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f6a042470840285/Desktop/pandas/"/>
    </mc:Choice>
  </mc:AlternateContent>
  <xr:revisionPtr revIDLastSave="13" documentId="8_{F283BAA3-2373-4909-90B8-37336A5BCD75}" xr6:coauthVersionLast="47" xr6:coauthVersionMax="47" xr10:uidLastSave="{D4D0FB4F-F17A-4884-A0BF-CEA8C9BDAD66}"/>
  <bookViews>
    <workbookView xWindow="-98" yWindow="-98" windowWidth="19396" windowHeight="11475" tabRatio="999" firstSheet="6" activeTab="17" xr2:uid="{00000000-000D-0000-FFFF-FFFF00000000}"/>
  </bookViews>
  <sheets>
    <sheet name="summary" sheetId="9" r:id="rId1"/>
    <sheet name="LAND" sheetId="10" r:id="rId2"/>
    <sheet name="Buildings" sheetId="11" r:id="rId3"/>
    <sheet name="construction equipment" sheetId="12" r:id="rId4"/>
    <sheet name="electrical equipment" sheetId="13" r:id="rId5"/>
    <sheet name="Furniture" sheetId="14" r:id="rId6"/>
    <sheet name="vehicles" sheetId="15" r:id="rId7"/>
    <sheet name="office equipment" sheetId="16" r:id="rId8"/>
    <sheet name="EDP" sheetId="17" r:id="rId9"/>
    <sheet name="note12" sheetId="2" r:id="rId10"/>
    <sheet name="Note 12 workings" sheetId="3" r:id="rId11"/>
    <sheet name="Add21-22" sheetId="4" state="hidden" r:id="rId12"/>
    <sheet name="IT DEp 24" sheetId="5" r:id="rId13"/>
    <sheet name="sold mc 24" sheetId="6" r:id="rId14"/>
    <sheet name="Deffred tax 24" sheetId="7" r:id="rId15"/>
    <sheet name="Add22-23" sheetId="1" state="hidden" r:id="rId16"/>
    <sheet name="Sheet1" sheetId="21" r:id="rId17"/>
    <sheet name="Sheet2" sheetId="22" r:id="rId18"/>
    <sheet name="Add23-24" sheetId="20" r:id="rId19"/>
    <sheet name="LMV" sheetId="19" state="hidden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S" localSheetId="14">#REF!</definedName>
    <definedName name="\S" localSheetId="12">#REF!</definedName>
    <definedName name="\S" localSheetId="1">#REF!</definedName>
    <definedName name="\S" localSheetId="13">#REF!</definedName>
    <definedName name="\S">#REF!</definedName>
    <definedName name="________________________________________________________________________dec05" localSheetId="18" hidden="1">{"'Sheet1'!$A$4386:$N$4591"}</definedName>
    <definedName name="________________________________________________________________________dec05" hidden="1">{"'Sheet1'!$A$4386:$N$4591"}</definedName>
    <definedName name="_______________________________________________________________________dec05" localSheetId="18" hidden="1">{"'Sheet1'!$A$4386:$N$4591"}</definedName>
    <definedName name="_______________________________________________________________________dec05" hidden="1">{"'Sheet1'!$A$4386:$N$4591"}</definedName>
    <definedName name="_____________________________________________________________________dec05" localSheetId="18" hidden="1">{"'Sheet1'!$A$4386:$N$4591"}</definedName>
    <definedName name="_____________________________________________________________________dec05" hidden="1">{"'Sheet1'!$A$4386:$N$4591"}</definedName>
    <definedName name="___________________________________________________________________dec05" localSheetId="18" hidden="1">{"'Sheet1'!$A$4386:$N$4591"}</definedName>
    <definedName name="___________________________________________________________________dec05" hidden="1">{"'Sheet1'!$A$4386:$N$4591"}</definedName>
    <definedName name="__________________________________________________________________dec05" localSheetId="18" hidden="1">{"'Sheet1'!$A$4386:$N$4591"}</definedName>
    <definedName name="__________________________________________________________________dec05" hidden="1">{"'Sheet1'!$A$4386:$N$4591"}</definedName>
    <definedName name="________________________________________________________________dec05" localSheetId="18" hidden="1">{"'Sheet1'!$A$4386:$N$4591"}</definedName>
    <definedName name="________________________________________________________________dec05" hidden="1">{"'Sheet1'!$A$4386:$N$4591"}</definedName>
    <definedName name="______________________________________________________________dec05" localSheetId="18" hidden="1">{"'Sheet1'!$A$4386:$N$4591"}</definedName>
    <definedName name="______________________________________________________________dec05" hidden="1">{"'Sheet1'!$A$4386:$N$4591"}</definedName>
    <definedName name="____________________________________________________________dec05" localSheetId="18" hidden="1">{"'Sheet1'!$A$4386:$N$4591"}</definedName>
    <definedName name="____________________________________________________________dec05" hidden="1">{"'Sheet1'!$A$4386:$N$4591"}</definedName>
    <definedName name="__________________________________________________________dec05" localSheetId="18" hidden="1">{"'Sheet1'!$A$4386:$N$4591"}</definedName>
    <definedName name="__________________________________________________________dec05" hidden="1">{"'Sheet1'!$A$4386:$N$4591"}</definedName>
    <definedName name="_________________________________________________________dec05" localSheetId="18" hidden="1">{"'Sheet1'!$A$4386:$N$4591"}</definedName>
    <definedName name="_________________________________________________________dec05" hidden="1">{"'Sheet1'!$A$4386:$N$4591"}</definedName>
    <definedName name="_______________________________________________________dec05" localSheetId="18" hidden="1">{"'Sheet1'!$A$4386:$N$4591"}</definedName>
    <definedName name="_______________________________________________________dec05" hidden="1">{"'Sheet1'!$A$4386:$N$4591"}</definedName>
    <definedName name="_____________________________________________________dec05" localSheetId="18" hidden="1">{"'Sheet1'!$A$4386:$N$4591"}</definedName>
    <definedName name="_____________________________________________________dec05" hidden="1">{"'Sheet1'!$A$4386:$N$4591"}</definedName>
    <definedName name="____________________________________________________dec05" localSheetId="18" hidden="1">{"'Sheet1'!$A$4386:$N$4591"}</definedName>
    <definedName name="____________________________________________________dec05" hidden="1">{"'Sheet1'!$A$4386:$N$4591"}</definedName>
    <definedName name="__________________________________________________dec05" localSheetId="18" hidden="1">{"'Sheet1'!$A$4386:$N$4591"}</definedName>
    <definedName name="__________________________________________________dec05" hidden="1">{"'Sheet1'!$A$4386:$N$4591"}</definedName>
    <definedName name="________________________________________________dec05" localSheetId="18" hidden="1">{"'Sheet1'!$A$4386:$N$4591"}</definedName>
    <definedName name="________________________________________________dec05" hidden="1">{"'Sheet1'!$A$4386:$N$4591"}</definedName>
    <definedName name="______________________________________________dec05" localSheetId="18" hidden="1">{"'Sheet1'!$A$4386:$N$4591"}</definedName>
    <definedName name="______________________________________________dec05" hidden="1">{"'Sheet1'!$A$4386:$N$4591"}</definedName>
    <definedName name="____________________________________________dec05" localSheetId="18" hidden="1">{"'Sheet1'!$A$4386:$N$4591"}</definedName>
    <definedName name="____________________________________________dec05" hidden="1">{"'Sheet1'!$A$4386:$N$4591"}</definedName>
    <definedName name="___________________________________________dec05" localSheetId="18" hidden="1">{"'Sheet1'!$A$4386:$N$4591"}</definedName>
    <definedName name="___________________________________________dec05" hidden="1">{"'Sheet1'!$A$4386:$N$4591"}</definedName>
    <definedName name="__________________________________________dec05" localSheetId="18" hidden="1">{"'Sheet1'!$A$4386:$N$4591"}</definedName>
    <definedName name="__________________________________________dec05" hidden="1">{"'Sheet1'!$A$4386:$N$4591"}</definedName>
    <definedName name="________________________________________dec05" localSheetId="18" hidden="1">{"'Sheet1'!$A$4386:$N$4591"}</definedName>
    <definedName name="________________________________________dec05" hidden="1">{"'Sheet1'!$A$4386:$N$4591"}</definedName>
    <definedName name="______________________________________dec05" localSheetId="18" hidden="1">{"'Sheet1'!$A$4386:$N$4591"}</definedName>
    <definedName name="______________________________________dec05" hidden="1">{"'Sheet1'!$A$4386:$N$4591"}</definedName>
    <definedName name="_____________________________________dec05" localSheetId="18" hidden="1">{"'Sheet1'!$A$4386:$N$4591"}</definedName>
    <definedName name="_____________________________________dec05" hidden="1">{"'Sheet1'!$A$4386:$N$4591"}</definedName>
    <definedName name="____________________________________dec05" localSheetId="18" hidden="1">{"'Sheet1'!$A$4386:$N$4591"}</definedName>
    <definedName name="____________________________________dec05" hidden="1">{"'Sheet1'!$A$4386:$N$4591"}</definedName>
    <definedName name="___________________________________dec05" localSheetId="18" hidden="1">{"'Sheet1'!$A$4386:$N$4591"}</definedName>
    <definedName name="___________________________________dec05" hidden="1">{"'Sheet1'!$A$4386:$N$4591"}</definedName>
    <definedName name="_________________________________dec05" localSheetId="18" hidden="1">{"'Sheet1'!$A$4386:$N$4591"}</definedName>
    <definedName name="_________________________________dec05" hidden="1">{"'Sheet1'!$A$4386:$N$4591"}</definedName>
    <definedName name="________________________________dec05" localSheetId="18" hidden="1">{"'Sheet1'!$A$4386:$N$4591"}</definedName>
    <definedName name="________________________________dec05" hidden="1">{"'Sheet1'!$A$4386:$N$4591"}</definedName>
    <definedName name="______________________________dec05" localSheetId="18" hidden="1">{"'Sheet1'!$A$4386:$N$4591"}</definedName>
    <definedName name="______________________________dec05" hidden="1">{"'Sheet1'!$A$4386:$N$4591"}</definedName>
    <definedName name="_____________________________dec05" localSheetId="18" hidden="1">{"'Sheet1'!$A$4386:$N$4591"}</definedName>
    <definedName name="_____________________________dec05" hidden="1">{"'Sheet1'!$A$4386:$N$4591"}</definedName>
    <definedName name="____________________________dec05" localSheetId="18" hidden="1">{"'Sheet1'!$A$4386:$N$4591"}</definedName>
    <definedName name="____________________________dec05" hidden="1">{"'Sheet1'!$A$4386:$N$4591"}</definedName>
    <definedName name="__________________________dec05" localSheetId="18" hidden="1">{"'Sheet1'!$A$4386:$N$4591"}</definedName>
    <definedName name="__________________________dec05" hidden="1">{"'Sheet1'!$A$4386:$N$4591"}</definedName>
    <definedName name="________________________dec05" localSheetId="18" hidden="1">{"'Sheet1'!$A$4386:$N$4591"}</definedName>
    <definedName name="________________________dec05" hidden="1">{"'Sheet1'!$A$4386:$N$4591"}</definedName>
    <definedName name="_______________________dec05" localSheetId="18" hidden="1">{"'Sheet1'!$A$4386:$N$4591"}</definedName>
    <definedName name="_______________________dec05" hidden="1">{"'Sheet1'!$A$4386:$N$4591"}</definedName>
    <definedName name="______________________dec05" localSheetId="18" hidden="1">{"'Sheet1'!$A$4386:$N$4591"}</definedName>
    <definedName name="______________________dec05" hidden="1">{"'Sheet1'!$A$4386:$N$4591"}</definedName>
    <definedName name="____________________dec05" localSheetId="18" hidden="1">{"'Sheet1'!$A$4386:$N$4591"}</definedName>
    <definedName name="____________________dec05" hidden="1">{"'Sheet1'!$A$4386:$N$4591"}</definedName>
    <definedName name="__________________dec05" localSheetId="18" hidden="1">{"'Sheet1'!$A$4386:$N$4591"}</definedName>
    <definedName name="__________________dec05" hidden="1">{"'Sheet1'!$A$4386:$N$4591"}</definedName>
    <definedName name="________________dec05" localSheetId="18" hidden="1">{"'Sheet1'!$A$4386:$N$4591"}</definedName>
    <definedName name="________________dec05" hidden="1">{"'Sheet1'!$A$4386:$N$4591"}</definedName>
    <definedName name="______________dec05" localSheetId="18" hidden="1">{"'Sheet1'!$A$4386:$N$4591"}</definedName>
    <definedName name="______________dec05" hidden="1">{"'Sheet1'!$A$4386:$N$4591"}</definedName>
    <definedName name="____________dec05" localSheetId="18" hidden="1">{"'Sheet1'!$A$4386:$N$4591"}</definedName>
    <definedName name="____________dec05" hidden="1">{"'Sheet1'!$A$4386:$N$4591"}</definedName>
    <definedName name="_________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___dec05" localSheetId="18" hidden="1">{"'Sheet1'!$A$4386:$N$4591"}</definedName>
    <definedName name="___________dec05" hidden="1">{"'Sheet1'!$A$4386:$N$4591"}</definedName>
    <definedName name="________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__dec05" localSheetId="18" hidden="1">{"'Sheet1'!$A$4386:$N$4591"}</definedName>
    <definedName name="__________dec05" hidden="1">{"'Sheet1'!$A$4386:$N$4591"}</definedName>
    <definedName name="_______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_dec05" localSheetId="18" hidden="1">{"'Sheet1'!$A$4386:$N$4591"}</definedName>
    <definedName name="_________dec05" hidden="1">{"'Sheet1'!$A$4386:$N$4591"}</definedName>
    <definedName name="______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dec05" localSheetId="18" hidden="1">{"'Sheet1'!$A$4386:$N$4591"}</definedName>
    <definedName name="________dec05" hidden="1">{"'Sheet1'!$A$4386:$N$4591"}</definedName>
    <definedName name="________huh3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____huh3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____huh3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____huh3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_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dec05" localSheetId="18" hidden="1">{"'Sheet1'!$A$4386:$N$4591"}</definedName>
    <definedName name="_______dec05" hidden="1">{"'Sheet1'!$A$4386:$N$4591"}</definedName>
    <definedName name="____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a53" localSheetId="18" hidden="1">{"'Sheet1'!$A$4386:$N$4591"}</definedName>
    <definedName name="______a53" hidden="1">{"'Sheet1'!$A$4386:$N$4591"}</definedName>
    <definedName name="______a64" localSheetId="18" hidden="1">{"'Sheet1'!$A$4386:$N$4591"}</definedName>
    <definedName name="______a64" hidden="1">{"'Sheet1'!$A$4386:$N$4591"}</definedName>
    <definedName name="______al3" localSheetId="18" hidden="1">{"'Sheet1'!$A$4386:$N$4591"}</definedName>
    <definedName name="______al3" hidden="1">{"'Sheet1'!$A$4386:$N$4591"}</definedName>
    <definedName name="______BCC2" localSheetId="18" hidden="1">{"'Sheet1'!$A$4386:$N$4591"}</definedName>
    <definedName name="______BCC2" hidden="1">{"'Sheet1'!$A$4386:$N$4591"}</definedName>
    <definedName name="______dec05" localSheetId="18" hidden="1">{"'Sheet1'!$A$4386:$N$4591"}</definedName>
    <definedName name="______dec05" hidden="1">{"'Sheet1'!$A$4386:$N$4591"}</definedName>
    <definedName name="______huh3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__huh3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__huh3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__huh3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dec05" localSheetId="18" hidden="1">{"'Sheet1'!$A$4386:$N$4591"}</definedName>
    <definedName name="_____dec05" hidden="1">{"'Sheet1'!$A$4386:$N$4591"}</definedName>
    <definedName name="__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a53" localSheetId="18" hidden="1">{"'Sheet1'!$A$4386:$N$4591"}</definedName>
    <definedName name="____a53" hidden="1">{"'Sheet1'!$A$4386:$N$4591"}</definedName>
    <definedName name="____a64" localSheetId="18" hidden="1">{"'Sheet1'!$A$4386:$N$4591"}</definedName>
    <definedName name="____a64" hidden="1">{"'Sheet1'!$A$4386:$N$4591"}</definedName>
    <definedName name="____al3" localSheetId="18" hidden="1">{"'Sheet1'!$A$4386:$N$4591"}</definedName>
    <definedName name="____al3" hidden="1">{"'Sheet1'!$A$4386:$N$4591"}</definedName>
    <definedName name="____ANN12" localSheetId="18" hidden="1">{"'Sheet1'!$A$4386:$N$4591"}</definedName>
    <definedName name="____ANN12" hidden="1">{"'Sheet1'!$A$4386:$N$4591"}</definedName>
    <definedName name="____BCC2" localSheetId="18" hidden="1">{"'Sheet1'!$A$4386:$N$4591"}</definedName>
    <definedName name="____BCC2" hidden="1">{"'Sheet1'!$A$4386:$N$4591"}</definedName>
    <definedName name="____dec05" localSheetId="18" hidden="1">{"'Sheet1'!$A$4386:$N$4591"}</definedName>
    <definedName name="____dec05" hidden="1">{"'Sheet1'!$A$4386:$N$4591"}</definedName>
    <definedName name="____huh3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huh3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huh3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huh3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_mis5" localSheetId="18" hidden="1">{"'Sheet1'!$A$4386:$N$4591"}</definedName>
    <definedName name="____mis5" hidden="1">{"'Sheet1'!$A$4386:$N$4591"}</definedName>
    <definedName name="___a53" localSheetId="18" hidden="1">{"'Sheet1'!$A$4386:$N$4591"}</definedName>
    <definedName name="___a53" hidden="1">{"'Sheet1'!$A$4386:$N$4591"}</definedName>
    <definedName name="___a64" localSheetId="18" hidden="1">{"'Sheet1'!$A$4386:$N$4591"}</definedName>
    <definedName name="___a64" hidden="1">{"'Sheet1'!$A$4386:$N$4591"}</definedName>
    <definedName name="___al3" localSheetId="18" hidden="1">{"'Sheet1'!$A$4386:$N$4591"}</definedName>
    <definedName name="___al3" hidden="1">{"'Sheet1'!$A$4386:$N$4591"}</definedName>
    <definedName name="___ANN12" localSheetId="18" hidden="1">{"'Sheet1'!$A$4386:$N$4591"}</definedName>
    <definedName name="___ANN12" hidden="1">{"'Sheet1'!$A$4386:$N$4591"}</definedName>
    <definedName name="___BCC2" localSheetId="18" hidden="1">{"'Sheet1'!$A$4386:$N$4591"}</definedName>
    <definedName name="___BCC2" hidden="1">{"'Sheet1'!$A$4386:$N$4591"}</definedName>
    <definedName name="___c" localSheetId="11" hidden="1">{#N/A,#N/A,FALSE,"Layout Cash Flow"}</definedName>
    <definedName name="___c" localSheetId="15" hidden="1">{#N/A,#N/A,FALSE,"Layout Cash Flow"}</definedName>
    <definedName name="___c" localSheetId="18" hidden="1">{#N/A,#N/A,FALSE,"Layout Cash Flow"}</definedName>
    <definedName name="___c" localSheetId="14" hidden="1">{#N/A,#N/A,FALSE,"Layout Cash Flow"}</definedName>
    <definedName name="___c" localSheetId="12" hidden="1">{#N/A,#N/A,FALSE,"Layout Cash Flow"}</definedName>
    <definedName name="___c" localSheetId="13" hidden="1">{#N/A,#N/A,FALSE,"Layout Cash Flow"}</definedName>
    <definedName name="___c" hidden="1">{#N/A,#N/A,FALSE,"Layout Cash Flow"}</definedName>
    <definedName name="___DAT1" localSheetId="1">'[1]BASE DATA'!#REF!</definedName>
    <definedName name="___DAT1">'[1]BASE DATA'!#REF!</definedName>
    <definedName name="___DAT11" localSheetId="1">'[1]BASE DATA'!#REF!</definedName>
    <definedName name="___DAT11">'[1]BASE DATA'!#REF!</definedName>
    <definedName name="___DAT2" localSheetId="1">'[1]BASE DATA'!#REF!</definedName>
    <definedName name="___DAT2">'[1]BASE DATA'!#REF!</definedName>
    <definedName name="___DAT3" localSheetId="1">'[1]BASE DATA'!#REF!</definedName>
    <definedName name="___DAT3">'[1]BASE DATA'!#REF!</definedName>
    <definedName name="___DAT4" localSheetId="1">'[1]BASE DATA'!#REF!</definedName>
    <definedName name="___DAT4">'[1]BASE DATA'!#REF!</definedName>
    <definedName name="___DAT5" localSheetId="1">'[1]BASE DATA'!#REF!</definedName>
    <definedName name="___DAT5">'[1]BASE DATA'!#REF!</definedName>
    <definedName name="___DCF2" localSheetId="14">#REF!</definedName>
    <definedName name="___DCF2" localSheetId="12">#REF!</definedName>
    <definedName name="___DCF2" localSheetId="1">#REF!</definedName>
    <definedName name="___DCF2" localSheetId="13">#REF!</definedName>
    <definedName name="___DCF2">#REF!</definedName>
    <definedName name="___Dec02">[2]SalaryData!$AV$11</definedName>
    <definedName name="___Dec03">[2]SalaryData!$BH$11</definedName>
    <definedName name="___dec05" localSheetId="18" hidden="1">{"'Sheet1'!$A$4386:$N$4591"}</definedName>
    <definedName name="___dec05" hidden="1">{"'Sheet1'!$A$4386:$N$4591"}</definedName>
    <definedName name="___e1" localSheetId="11">[3]BS!#REF!</definedName>
    <definedName name="___e1" localSheetId="1">[3]BS!#REF!</definedName>
    <definedName name="___e1">[3]BS!#REF!</definedName>
    <definedName name="___fy97" localSheetId="11" hidden="1">{#N/A,#N/A,FALSE,"FY97";#N/A,#N/A,FALSE,"FY98";#N/A,#N/A,FALSE,"FY99";#N/A,#N/A,FALSE,"FY00";#N/A,#N/A,FALSE,"FY01"}</definedName>
    <definedName name="___fy97" localSheetId="15" hidden="1">{#N/A,#N/A,FALSE,"FY97";#N/A,#N/A,FALSE,"FY98";#N/A,#N/A,FALSE,"FY99";#N/A,#N/A,FALSE,"FY00";#N/A,#N/A,FALSE,"FY01"}</definedName>
    <definedName name="___fy97" localSheetId="18" hidden="1">{#N/A,#N/A,FALSE,"FY97";#N/A,#N/A,FALSE,"FY98";#N/A,#N/A,FALSE,"FY99";#N/A,#N/A,FALSE,"FY00";#N/A,#N/A,FALSE,"FY01"}</definedName>
    <definedName name="___fy97" localSheetId="14" hidden="1">{#N/A,#N/A,FALSE,"FY97";#N/A,#N/A,FALSE,"FY98";#N/A,#N/A,FALSE,"FY99";#N/A,#N/A,FALSE,"FY00";#N/A,#N/A,FALSE,"FY01"}</definedName>
    <definedName name="___fy97" localSheetId="12" hidden="1">{#N/A,#N/A,FALSE,"FY97";#N/A,#N/A,FALSE,"FY98";#N/A,#N/A,FALSE,"FY99";#N/A,#N/A,FALSE,"FY00";#N/A,#N/A,FALSE,"FY01"}</definedName>
    <definedName name="___fy97" localSheetId="13" hidden="1">{#N/A,#N/A,FALSE,"FY97";#N/A,#N/A,FALSE,"FY98";#N/A,#N/A,FALSE,"FY99";#N/A,#N/A,FALSE,"FY00";#N/A,#N/A,FALSE,"FY01"}</definedName>
    <definedName name="___fy97" hidden="1">{#N/A,#N/A,FALSE,"FY97";#N/A,#N/A,FALSE,"FY98";#N/A,#N/A,FALSE,"FY99";#N/A,#N/A,FALSE,"FY00";#N/A,#N/A,FALSE,"FY01"}</definedName>
    <definedName name="___FYE2">[4]Inputs!$D$17</definedName>
    <definedName name="___huh3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huh3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huh3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huh3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_JAN02">[2]SalaryData!$AK$11</definedName>
    <definedName name="___mis5" localSheetId="18" hidden="1">{"'Sheet1'!$A$4386:$N$4591"}</definedName>
    <definedName name="___mis5" hidden="1">{"'Sheet1'!$A$4386:$N$4591"}</definedName>
    <definedName name="_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r" localSheetId="11" hidden="1">{"consolidated",#N/A,FALSE,"Sheet1";"cms",#N/A,FALSE,"Sheet1";"fse",#N/A,FALSE,"Sheet1"}</definedName>
    <definedName name="___r" localSheetId="15" hidden="1">{"consolidated",#N/A,FALSE,"Sheet1";"cms",#N/A,FALSE,"Sheet1";"fse",#N/A,FALSE,"Sheet1"}</definedName>
    <definedName name="___r" localSheetId="18" hidden="1">{"consolidated",#N/A,FALSE,"Sheet1";"cms",#N/A,FALSE,"Sheet1";"fse",#N/A,FALSE,"Sheet1"}</definedName>
    <definedName name="___r" localSheetId="14" hidden="1">{"consolidated",#N/A,FALSE,"Sheet1";"cms",#N/A,FALSE,"Sheet1";"fse",#N/A,FALSE,"Sheet1"}</definedName>
    <definedName name="___r" localSheetId="12" hidden="1">{"consolidated",#N/A,FALSE,"Sheet1";"cms",#N/A,FALSE,"Sheet1";"fse",#N/A,FALSE,"Sheet1"}</definedName>
    <definedName name="___r" localSheetId="13" hidden="1">{"consolidated",#N/A,FALSE,"Sheet1";"cms",#N/A,FALSE,"Sheet1";"fse",#N/A,FALSE,"Sheet1"}</definedName>
    <definedName name="___r" hidden="1">{"consolidated",#N/A,FALSE,"Sheet1";"cms",#N/A,FALSE,"Sheet1";"fse",#N/A,FALSE,"Sheet1"}</definedName>
    <definedName name="___Sch3" localSheetId="18" hidden="1">{#N/A,#N/A,FALSE,"PCPL9899"}</definedName>
    <definedName name="___Sch3" hidden="1">{#N/A,#N/A,FALSE,"PCPL9899"}</definedName>
    <definedName name="___SID1017" localSheetId="14">#REF!</definedName>
    <definedName name="___SID1017" localSheetId="12">#REF!</definedName>
    <definedName name="___SID1017" localSheetId="1">#REF!</definedName>
    <definedName name="___SID1017" localSheetId="13">#REF!</definedName>
    <definedName name="___SID1017">#REF!</definedName>
    <definedName name="___TB1" localSheetId="1">'[5]Other notes'!#REF!</definedName>
    <definedName name="___TB1">'[5]Other notes'!#REF!</definedName>
    <definedName name="___TB2" localSheetId="1">'[5]Other notes'!#REF!</definedName>
    <definedName name="___TB2">'[5]Other notes'!#REF!</definedName>
    <definedName name="___TB3" localSheetId="1">'[5]Other notes'!#REF!</definedName>
    <definedName name="___TB3">'[5]Other notes'!#REF!</definedName>
    <definedName name="___TB4" localSheetId="1">'[5]Other notes'!#REF!</definedName>
    <definedName name="___TB4">'[5]Other notes'!#REF!</definedName>
    <definedName name="___TB5" localSheetId="1">'[5]Other notes'!#REF!</definedName>
    <definedName name="___TB5">'[5]Other notes'!#REF!</definedName>
    <definedName name="___TB6" localSheetId="1">'[5]Other notes'!#REF!</definedName>
    <definedName name="___TB6">'[5]Other notes'!#REF!</definedName>
    <definedName name="___TB7" localSheetId="1">'[5]Other notes'!#REF!</definedName>
    <definedName name="___TB7">'[5]Other notes'!#REF!</definedName>
    <definedName name="___vii5" localSheetId="1">[6]LBO!#REF!</definedName>
    <definedName name="___vii5">[6]LBO!#REF!</definedName>
    <definedName name="___wrn1" localSheetId="11" hidden="1">{#N/A,#N/A,FALSE,"DCF";#N/A,#N/A,FALSE,"WACC";#N/A,#N/A,FALSE,"Sales_EBIT";#N/A,#N/A,FALSE,"Capex_Depreciation";#N/A,#N/A,FALSE,"WC";#N/A,#N/A,FALSE,"Interest";#N/A,#N/A,FALSE,"Assumptions"}</definedName>
    <definedName name="___wrn1" localSheetId="15" hidden="1">{#N/A,#N/A,FALSE,"DCF";#N/A,#N/A,FALSE,"WACC";#N/A,#N/A,FALSE,"Sales_EBIT";#N/A,#N/A,FALSE,"Capex_Depreciation";#N/A,#N/A,FALSE,"WC";#N/A,#N/A,FALSE,"Interest";#N/A,#N/A,FALSE,"Assumptions"}</definedName>
    <definedName name="___wrn1" localSheetId="18" hidden="1">{#N/A,#N/A,FALSE,"DCF";#N/A,#N/A,FALSE,"WACC";#N/A,#N/A,FALSE,"Sales_EBIT";#N/A,#N/A,FALSE,"Capex_Depreciation";#N/A,#N/A,FALSE,"WC";#N/A,#N/A,FALSE,"Interest";#N/A,#N/A,FALSE,"Assumptions"}</definedName>
    <definedName name="___wrn1" localSheetId="14" hidden="1">{#N/A,#N/A,FALSE,"DCF";#N/A,#N/A,FALSE,"WACC";#N/A,#N/A,FALSE,"Sales_EBIT";#N/A,#N/A,FALSE,"Capex_Depreciation";#N/A,#N/A,FALSE,"WC";#N/A,#N/A,FALSE,"Interest";#N/A,#N/A,FALSE,"Assumptions"}</definedName>
    <definedName name="___wrn1" localSheetId="12" hidden="1">{#N/A,#N/A,FALSE,"DCF";#N/A,#N/A,FALSE,"WACC";#N/A,#N/A,FALSE,"Sales_EBIT";#N/A,#N/A,FALSE,"Capex_Depreciation";#N/A,#N/A,FALSE,"WC";#N/A,#N/A,FALSE,"Interest";#N/A,#N/A,FALSE,"Assumptions"}</definedName>
    <definedName name="___wrn1" localSheetId="13" hidden="1">{#N/A,#N/A,FALSE,"DCF";#N/A,#N/A,FALSE,"WACC";#N/A,#N/A,FALSE,"Sales_EBIT";#N/A,#N/A,FALSE,"Capex_Depreciation";#N/A,#N/A,FALSE,"WC";#N/A,#N/A,FALSE,"Interest";#N/A,#N/A,FALSE,"Assumptions"}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xx1" localSheetId="18" hidden="1">{"'Typical Costs Estimates'!$C$158:$H$161"}</definedName>
    <definedName name="___xx1" hidden="1">{"'Typical Costs Estimates'!$C$158:$H$161"}</definedName>
    <definedName name="__123Graph_A" localSheetId="18" hidden="1">#REF!</definedName>
    <definedName name="__123Graph_A" localSheetId="1" hidden="1">[7]SALES!#REF!</definedName>
    <definedName name="__123Graph_A" hidden="1">[7]SALES!#REF!</definedName>
    <definedName name="__123Graph_AMONTH" localSheetId="18" hidden="1">#REF!</definedName>
    <definedName name="__123Graph_AMONTH" localSheetId="1" hidden="1">[8]SALES!#REF!</definedName>
    <definedName name="__123Graph_AMONTH" hidden="1">[8]SALES!#REF!</definedName>
    <definedName name="__123Graph_ATREND" localSheetId="18" hidden="1">#REF!</definedName>
    <definedName name="__123Graph_ATREND" localSheetId="1" hidden="1">[8]SALES!#REF!</definedName>
    <definedName name="__123Graph_ATREND" hidden="1">[8]SALES!#REF!</definedName>
    <definedName name="__123Graph_AYEAR" localSheetId="18" hidden="1">#REF!</definedName>
    <definedName name="__123Graph_AYEAR" localSheetId="1" hidden="1">[8]SALES!#REF!</definedName>
    <definedName name="__123Graph_AYEAR" hidden="1">[8]SALES!#REF!</definedName>
    <definedName name="__123Graph_B" localSheetId="18" hidden="1">#REF!</definedName>
    <definedName name="__123Graph_B" localSheetId="1" hidden="1">'[9]CASH-FLOW'!#REF!</definedName>
    <definedName name="__123Graph_B" hidden="1">'[9]CASH-FLOW'!#REF!</definedName>
    <definedName name="__123Graph_BCurrent" localSheetId="18" hidden="1">#REF!</definedName>
    <definedName name="__123Graph_BCurrent" localSheetId="1" hidden="1">'[10]1201'!#REF!</definedName>
    <definedName name="__123Graph_BCurrent" hidden="1">'[10]1201'!#REF!</definedName>
    <definedName name="__123Graph_BMONTH" localSheetId="18" hidden="1">#REF!</definedName>
    <definedName name="__123Graph_BMONTH" localSheetId="1" hidden="1">[8]SALES!#REF!</definedName>
    <definedName name="__123Graph_BMONTH" hidden="1">[8]SALES!#REF!</definedName>
    <definedName name="__123Graph_BTREND" localSheetId="18" hidden="1">#REF!</definedName>
    <definedName name="__123Graph_BTREND" localSheetId="1" hidden="1">[8]SALES!#REF!</definedName>
    <definedName name="__123Graph_BTREND" hidden="1">[8]SALES!#REF!</definedName>
    <definedName name="__123Graph_BYEAR" localSheetId="18" hidden="1">#REF!</definedName>
    <definedName name="__123Graph_BYEAR" localSheetId="1" hidden="1">[8]SALES!#REF!</definedName>
    <definedName name="__123Graph_BYEAR" hidden="1">[8]SALES!#REF!</definedName>
    <definedName name="__123Graph_D" localSheetId="18" hidden="1">#REF!</definedName>
    <definedName name="__123Graph_D" localSheetId="1" hidden="1">[11]Proforma!#REF!</definedName>
    <definedName name="__123Graph_D" hidden="1">[12]FINANCIAL!#REF!</definedName>
    <definedName name="__123Graph_DCurrent" localSheetId="18" hidden="1">#REF!</definedName>
    <definedName name="__123Graph_DCurrent" localSheetId="1" hidden="1">'[10]1201'!#REF!</definedName>
    <definedName name="__123Graph_DCurrent" hidden="1">'[10]1201'!#REF!</definedName>
    <definedName name="__123Graph_FCurrent" localSheetId="18" hidden="1">#REF!</definedName>
    <definedName name="__123Graph_FCurrent" localSheetId="1" hidden="1">'[10]1201'!#REF!</definedName>
    <definedName name="__123Graph_FCurrent" hidden="1">'[10]1201'!#REF!</definedName>
    <definedName name="__123Graph_LBL_A" localSheetId="18" hidden="1">#REF!</definedName>
    <definedName name="__123Graph_LBL_A" localSheetId="1" hidden="1">[8]SALES!#REF!</definedName>
    <definedName name="__123Graph_LBL_A" hidden="1">[8]SALES!#REF!</definedName>
    <definedName name="__123Graph_LBL_AMONTH" localSheetId="18" hidden="1">#REF!</definedName>
    <definedName name="__123Graph_LBL_AMONTH" localSheetId="1" hidden="1">[8]SALES!#REF!</definedName>
    <definedName name="__123Graph_LBL_AMONTH" hidden="1">[8]SALES!#REF!</definedName>
    <definedName name="__123Graph_LBL_ATREND" localSheetId="18" hidden="1">#REF!</definedName>
    <definedName name="__123Graph_LBL_ATREND" localSheetId="1" hidden="1">[8]SALES!#REF!</definedName>
    <definedName name="__123Graph_LBL_ATREND" hidden="1">[8]SALES!#REF!</definedName>
    <definedName name="__123Graph_LBL_AYEAR" localSheetId="18" hidden="1">#REF!</definedName>
    <definedName name="__123Graph_LBL_AYEAR" localSheetId="1" hidden="1">[8]SALES!#REF!</definedName>
    <definedName name="__123Graph_LBL_AYEAR" hidden="1">[8]SALES!#REF!</definedName>
    <definedName name="__123Graph_LBL_B" localSheetId="18" hidden="1">#REF!</definedName>
    <definedName name="__123Graph_LBL_B" localSheetId="1" hidden="1">[8]SALES!#REF!</definedName>
    <definedName name="__123Graph_LBL_B" hidden="1">[8]SALES!#REF!</definedName>
    <definedName name="__123Graph_LBL_BMONTH" localSheetId="18" hidden="1">#REF!</definedName>
    <definedName name="__123Graph_LBL_BMONTH" localSheetId="1" hidden="1">[8]SALES!#REF!</definedName>
    <definedName name="__123Graph_LBL_BMONTH" hidden="1">[8]SALES!#REF!</definedName>
    <definedName name="__123Graph_LBL_BTREND" localSheetId="18" hidden="1">#REF!</definedName>
    <definedName name="__123Graph_LBL_BTREND" localSheetId="1" hidden="1">[8]SALES!#REF!</definedName>
    <definedName name="__123Graph_LBL_BTREND" hidden="1">[8]SALES!#REF!</definedName>
    <definedName name="__123Graph_LBL_BYEAR" localSheetId="18" hidden="1">#REF!</definedName>
    <definedName name="__123Graph_LBL_BYEAR" localSheetId="1" hidden="1">[8]SALES!#REF!</definedName>
    <definedName name="__123Graph_LBL_BYEAR" hidden="1">[8]SALES!#REF!</definedName>
    <definedName name="__123Graph_X" localSheetId="18" hidden="1">#REF!</definedName>
    <definedName name="__123Graph_X" localSheetId="1" hidden="1">[13]BS!#REF!</definedName>
    <definedName name="__123Graph_X" hidden="1">[13]BS!#REF!</definedName>
    <definedName name="__123Graph_XCurrent" localSheetId="18" hidden="1">#REF!</definedName>
    <definedName name="__123Graph_XCurrent" localSheetId="1" hidden="1">'[10]1201'!#REF!</definedName>
    <definedName name="__123Graph_XCurrent" hidden="1">'[10]1201'!#REF!</definedName>
    <definedName name="__123Graph_XMONTH" localSheetId="18" hidden="1">#REF!</definedName>
    <definedName name="__123Graph_XMONTH" localSheetId="1" hidden="1">[8]SALES!#REF!</definedName>
    <definedName name="__123Graph_XMONTH" hidden="1">[8]SALES!#REF!</definedName>
    <definedName name="__123Graph_XTREND" localSheetId="18" hidden="1">#REF!</definedName>
    <definedName name="__123Graph_XTREND" localSheetId="1" hidden="1">[8]SALES!#REF!</definedName>
    <definedName name="__123Graph_XTREND" hidden="1">[8]SALES!#REF!</definedName>
    <definedName name="__123Graph_XYEAR" localSheetId="18" hidden="1">#REF!</definedName>
    <definedName name="__123Graph_XYEAR" localSheetId="1" hidden="1">[8]SALES!#REF!</definedName>
    <definedName name="__123Graph_XYEAR" hidden="1">[8]SALES!#REF!</definedName>
    <definedName name="__ANN12" localSheetId="18" hidden="1">{"'Sheet1'!$A$4386:$N$4591"}</definedName>
    <definedName name="__ANN12" hidden="1">{"'Sheet1'!$A$4386:$N$4591"}</definedName>
    <definedName name="__c" localSheetId="11" hidden="1">{#N/A,#N/A,FALSE,"Layout Cash Flow"}</definedName>
    <definedName name="__c" localSheetId="15" hidden="1">{#N/A,#N/A,FALSE,"Layout Cash Flow"}</definedName>
    <definedName name="__c" localSheetId="18" hidden="1">{#N/A,#N/A,FALSE,"Layout Cash Flow"}</definedName>
    <definedName name="__c" localSheetId="14" hidden="1">{#N/A,#N/A,FALSE,"Layout Cash Flow"}</definedName>
    <definedName name="__c" localSheetId="12" hidden="1">{#N/A,#N/A,FALSE,"Layout Cash Flow"}</definedName>
    <definedName name="__c" localSheetId="13" hidden="1">{#N/A,#N/A,FALSE,"Layout Cash Flow"}</definedName>
    <definedName name="__c" hidden="1">{#N/A,#N/A,FALSE,"Layout Cash Flow"}</definedName>
    <definedName name="__DAT1" localSheetId="1">'[1]BASE DATA'!#REF!</definedName>
    <definedName name="__DAT1">'[1]BASE DATA'!#REF!</definedName>
    <definedName name="__DAT11" localSheetId="1">'[1]BASE DATA'!#REF!</definedName>
    <definedName name="__DAT11">'[1]BASE DATA'!#REF!</definedName>
    <definedName name="__DAT2" localSheetId="1">'[1]BASE DATA'!#REF!</definedName>
    <definedName name="__DAT2">'[1]BASE DATA'!#REF!</definedName>
    <definedName name="__DAT3" localSheetId="1">'[1]BASE DATA'!#REF!</definedName>
    <definedName name="__DAT3">'[1]BASE DATA'!#REF!</definedName>
    <definedName name="__DAT4" localSheetId="1">'[1]BASE DATA'!#REF!</definedName>
    <definedName name="__DAT4">'[1]BASE DATA'!#REF!</definedName>
    <definedName name="__DAT5" localSheetId="1">'[1]BASE DATA'!#REF!</definedName>
    <definedName name="__DAT5">'[1]BASE DATA'!#REF!</definedName>
    <definedName name="__DCF2" localSheetId="14">#REF!</definedName>
    <definedName name="__DCF2" localSheetId="12">#REF!</definedName>
    <definedName name="__DCF2" localSheetId="1">#REF!</definedName>
    <definedName name="__DCF2" localSheetId="13">#REF!</definedName>
    <definedName name="__DCF2">#REF!</definedName>
    <definedName name="__Dec02">[2]SalaryData!$AV$11</definedName>
    <definedName name="__Dec03">[2]SalaryData!$BH$11</definedName>
    <definedName name="__dec05" localSheetId="18" hidden="1">{"'Sheet1'!$A$4386:$N$4591"}</definedName>
    <definedName name="__dec05" hidden="1">{"'Sheet1'!$A$4386:$N$4591"}</definedName>
    <definedName name="__e1" localSheetId="11">[3]BS!#REF!</definedName>
    <definedName name="__e1" localSheetId="1">[3]BS!#REF!</definedName>
    <definedName name="__e1">[3]BS!#REF!</definedName>
    <definedName name="__FDS_HYPERLINK_TOGGLE_STATE__" hidden="1">"ON"</definedName>
    <definedName name="__fy97" localSheetId="11" hidden="1">{#N/A,#N/A,FALSE,"FY97";#N/A,#N/A,FALSE,"FY98";#N/A,#N/A,FALSE,"FY99";#N/A,#N/A,FALSE,"FY00";#N/A,#N/A,FALSE,"FY01"}</definedName>
    <definedName name="__fy97" localSheetId="15" hidden="1">{#N/A,#N/A,FALSE,"FY97";#N/A,#N/A,FALSE,"FY98";#N/A,#N/A,FALSE,"FY99";#N/A,#N/A,FALSE,"FY00";#N/A,#N/A,FALSE,"FY01"}</definedName>
    <definedName name="__fy97" localSheetId="18" hidden="1">{#N/A,#N/A,FALSE,"FY97";#N/A,#N/A,FALSE,"FY98";#N/A,#N/A,FALSE,"FY99";#N/A,#N/A,FALSE,"FY00";#N/A,#N/A,FALSE,"FY01"}</definedName>
    <definedName name="__fy97" localSheetId="14" hidden="1">{#N/A,#N/A,FALSE,"FY97";#N/A,#N/A,FALSE,"FY98";#N/A,#N/A,FALSE,"FY99";#N/A,#N/A,FALSE,"FY00";#N/A,#N/A,FALSE,"FY01"}</definedName>
    <definedName name="__fy97" localSheetId="12" hidden="1">{#N/A,#N/A,FALSE,"FY97";#N/A,#N/A,FALSE,"FY98";#N/A,#N/A,FALSE,"FY99";#N/A,#N/A,FALSE,"FY00";#N/A,#N/A,FALSE,"FY01"}</definedName>
    <definedName name="__fy97" localSheetId="13" hidden="1">{#N/A,#N/A,FALSE,"FY97";#N/A,#N/A,FALSE,"FY98";#N/A,#N/A,FALSE,"FY99";#N/A,#N/A,FALSE,"FY00";#N/A,#N/A,FALSE,"FY01"}</definedName>
    <definedName name="__fy97" hidden="1">{#N/A,#N/A,FALSE,"FY97";#N/A,#N/A,FALSE,"FY98";#N/A,#N/A,FALSE,"FY99";#N/A,#N/A,FALSE,"FY00";#N/A,#N/A,FALSE,"FY01"}</definedName>
    <definedName name="__FYE2">[4]Inputs!$D$17</definedName>
    <definedName name="__huh3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huh3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huh3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huh3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_JAN02">[2]SalaryData!$AK$11</definedName>
    <definedName name="__key1" localSheetId="18" hidden="1">#REF!</definedName>
    <definedName name="__key1" localSheetId="1" hidden="1">[14]sheet6!#REF!</definedName>
    <definedName name="__key1" hidden="1">[14]sheet6!#REF!</definedName>
    <definedName name="__mis5" localSheetId="18" hidden="1">{"'Sheet1'!$A$4386:$N$4591"}</definedName>
    <definedName name="__mis5" hidden="1">{"'Sheet1'!$A$4386:$N$4591"}</definedName>
    <definedName name="_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r" localSheetId="11" hidden="1">{"consolidated",#N/A,FALSE,"Sheet1";"cms",#N/A,FALSE,"Sheet1";"fse",#N/A,FALSE,"Sheet1"}</definedName>
    <definedName name="__r" localSheetId="15" hidden="1">{"consolidated",#N/A,FALSE,"Sheet1";"cms",#N/A,FALSE,"Sheet1";"fse",#N/A,FALSE,"Sheet1"}</definedName>
    <definedName name="__r" localSheetId="18" hidden="1">{"consolidated",#N/A,FALSE,"Sheet1";"cms",#N/A,FALSE,"Sheet1";"fse",#N/A,FALSE,"Sheet1"}</definedName>
    <definedName name="__r" localSheetId="14" hidden="1">{"consolidated",#N/A,FALSE,"Sheet1";"cms",#N/A,FALSE,"Sheet1";"fse",#N/A,FALSE,"Sheet1"}</definedName>
    <definedName name="__r" localSheetId="12" hidden="1">{"consolidated",#N/A,FALSE,"Sheet1";"cms",#N/A,FALSE,"Sheet1";"fse",#N/A,FALSE,"Sheet1"}</definedName>
    <definedName name="__r" localSheetId="13" hidden="1">{"consolidated",#N/A,FALSE,"Sheet1";"cms",#N/A,FALSE,"Sheet1";"fse",#N/A,FALSE,"Sheet1"}</definedName>
    <definedName name="__r" hidden="1">{"consolidated",#N/A,FALSE,"Sheet1";"cms",#N/A,FALSE,"Sheet1";"fse",#N/A,FALSE,"Sheet1"}</definedName>
    <definedName name="__Sch3" localSheetId="18" hidden="1">{#N/A,#N/A,FALSE,"PCPL9899"}</definedName>
    <definedName name="__Sch3" hidden="1">{#N/A,#N/A,FALSE,"PCPL9899"}</definedName>
    <definedName name="__SID1017" localSheetId="14">#REF!</definedName>
    <definedName name="__SID1017" localSheetId="12">#REF!</definedName>
    <definedName name="__SID1017" localSheetId="1">#REF!</definedName>
    <definedName name="__SID1017" localSheetId="13">#REF!</definedName>
    <definedName name="__SID1017">#REF!</definedName>
    <definedName name="__TB1" localSheetId="1">'[5]Other notes'!#REF!</definedName>
    <definedName name="__TB1">'[5]Other notes'!#REF!</definedName>
    <definedName name="__TB2" localSheetId="1">'[5]Other notes'!#REF!</definedName>
    <definedName name="__TB2">'[5]Other notes'!#REF!</definedName>
    <definedName name="__TB3" localSheetId="1">'[5]Other notes'!#REF!</definedName>
    <definedName name="__TB3">'[5]Other notes'!#REF!</definedName>
    <definedName name="__TB4" localSheetId="1">'[5]Other notes'!#REF!</definedName>
    <definedName name="__TB4">'[5]Other notes'!#REF!</definedName>
    <definedName name="__TB5" localSheetId="1">'[5]Other notes'!#REF!</definedName>
    <definedName name="__TB5">'[5]Other notes'!#REF!</definedName>
    <definedName name="__TB6" localSheetId="1">'[5]Other notes'!#REF!</definedName>
    <definedName name="__TB6">'[5]Other notes'!#REF!</definedName>
    <definedName name="__TB7" localSheetId="1">'[5]Other notes'!#REF!</definedName>
    <definedName name="__TB7">'[5]Other notes'!#REF!</definedName>
    <definedName name="__TDS2" localSheetId="18" hidden="1">{"'Sheet1'!$A$4386:$N$4591"}</definedName>
    <definedName name="__TDS2" hidden="1">{"'Sheet1'!$A$4386:$N$4591"}</definedName>
    <definedName name="__vii5" localSheetId="1">[6]LBO!#REF!</definedName>
    <definedName name="__vii5">[6]LBO!#REF!</definedName>
    <definedName name="__wrn1" localSheetId="11" hidden="1">{#N/A,#N/A,FALSE,"DCF";#N/A,#N/A,FALSE,"WACC";#N/A,#N/A,FALSE,"Sales_EBIT";#N/A,#N/A,FALSE,"Capex_Depreciation";#N/A,#N/A,FALSE,"WC";#N/A,#N/A,FALSE,"Interest";#N/A,#N/A,FALSE,"Assumptions"}</definedName>
    <definedName name="__wrn1" localSheetId="15" hidden="1">{#N/A,#N/A,FALSE,"DCF";#N/A,#N/A,FALSE,"WACC";#N/A,#N/A,FALSE,"Sales_EBIT";#N/A,#N/A,FALSE,"Capex_Depreciation";#N/A,#N/A,FALSE,"WC";#N/A,#N/A,FALSE,"Interest";#N/A,#N/A,FALSE,"Assumptions"}</definedName>
    <definedName name="__wrn1" localSheetId="18" hidden="1">{#N/A,#N/A,FALSE,"DCF";#N/A,#N/A,FALSE,"WACC";#N/A,#N/A,FALSE,"Sales_EBIT";#N/A,#N/A,FALSE,"Capex_Depreciation";#N/A,#N/A,FALSE,"WC";#N/A,#N/A,FALSE,"Interest";#N/A,#N/A,FALSE,"Assumptions"}</definedName>
    <definedName name="__wrn1" localSheetId="14" hidden="1">{#N/A,#N/A,FALSE,"DCF";#N/A,#N/A,FALSE,"WACC";#N/A,#N/A,FALSE,"Sales_EBIT";#N/A,#N/A,FALSE,"Capex_Depreciation";#N/A,#N/A,FALSE,"WC";#N/A,#N/A,FALSE,"Interest";#N/A,#N/A,FALSE,"Assumptions"}</definedName>
    <definedName name="__wrn1" localSheetId="12" hidden="1">{#N/A,#N/A,FALSE,"DCF";#N/A,#N/A,FALSE,"WACC";#N/A,#N/A,FALSE,"Sales_EBIT";#N/A,#N/A,FALSE,"Capex_Depreciation";#N/A,#N/A,FALSE,"WC";#N/A,#N/A,FALSE,"Interest";#N/A,#N/A,FALSE,"Assumptions"}</definedName>
    <definedName name="__wrn1" localSheetId="13" hidden="1">{#N/A,#N/A,FALSE,"DCF";#N/A,#N/A,FALSE,"WACC";#N/A,#N/A,FALSE,"Sales_EBIT";#N/A,#N/A,FALSE,"Capex_Depreciation";#N/A,#N/A,FALSE,"WC";#N/A,#N/A,FALSE,"Interest";#N/A,#N/A,FALSE,"Assumptions"}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xx1" localSheetId="18" hidden="1">{"'Typical Costs Estimates'!$C$158:$H$161"}</definedName>
    <definedName name="__xx1" hidden="1">{"'Typical Costs Estimates'!$C$158:$H$161"}</definedName>
    <definedName name="_1.Q">#N/A</definedName>
    <definedName name="_1__123Graph_ACHART_1" localSheetId="18" hidden="1">#REF!</definedName>
    <definedName name="_1__123Graph_ACHART_1" localSheetId="1" hidden="1">[15]A!#REF!</definedName>
    <definedName name="_1__123Graph_ACHART_1" hidden="1">[15]A!#REF!</definedName>
    <definedName name="_10__123Graph_XMKT_MONTH" localSheetId="18" hidden="1">#REF!</definedName>
    <definedName name="_10__123Graph_XMKT_MONTH" localSheetId="1" hidden="1">[8]SALES!#REF!</definedName>
    <definedName name="_10__123Graph_XMKT_MONTH" hidden="1">[8]SALES!#REF!</definedName>
    <definedName name="_11__123Graph_XMKT_YTD" localSheetId="18" hidden="1">#REF!</definedName>
    <definedName name="_11__123Graph_XMKT_YTD" localSheetId="1" hidden="1">[8]SALES!#REF!</definedName>
    <definedName name="_11__123Graph_XMKT_YTD" hidden="1">[8]SALES!#REF!</definedName>
    <definedName name="_2.Q">#N/A</definedName>
    <definedName name="_2__123Graph_ACHART_2" localSheetId="18" hidden="1">#REF!</definedName>
    <definedName name="_2__123Graph_ACHART_2" localSheetId="1" hidden="1">[15]A!#REF!</definedName>
    <definedName name="_2__123Graph_ACHART_2" hidden="1">[15]A!#REF!</definedName>
    <definedName name="_2__123Graph_AMKT_MONTH" localSheetId="18" hidden="1">#REF!</definedName>
    <definedName name="_2__123Graph_AMKT_MONTH" localSheetId="1" hidden="1">[8]SALES!#REF!</definedName>
    <definedName name="_2__123Graph_AMKT_MONTH" hidden="1">[8]SALES!#REF!</definedName>
    <definedName name="_3.Q">#N/A</definedName>
    <definedName name="_3__123Graph_ACHART_3" localSheetId="18" hidden="1">#REF!</definedName>
    <definedName name="_3__123Graph_ACHART_3" localSheetId="1" hidden="1">[15]A!#REF!</definedName>
    <definedName name="_3__123Graph_ACHART_3" hidden="1">[15]A!#REF!</definedName>
    <definedName name="_3__123Graph_AMKT_YTD" localSheetId="18" hidden="1">#REF!</definedName>
    <definedName name="_3__123Graph_AMKT_YTD" localSheetId="1" hidden="1">[8]SALES!#REF!</definedName>
    <definedName name="_3__123Graph_AMKT_YTD" hidden="1">[8]SALES!#REF!</definedName>
    <definedName name="_4.Q">#N/A</definedName>
    <definedName name="_4__123Graph_ACHART_4" localSheetId="18" hidden="1">#REF!</definedName>
    <definedName name="_4__123Graph_ACHART_4" localSheetId="1" hidden="1">[15]A!#REF!</definedName>
    <definedName name="_4__123Graph_ACHART_4" hidden="1">[15]A!#REF!</definedName>
    <definedName name="_4__123Graph_BMKT_MONTH" localSheetId="18" hidden="1">#REF!</definedName>
    <definedName name="_4__123Graph_BMKT_MONTH" localSheetId="1" hidden="1">[8]SALES!#REF!</definedName>
    <definedName name="_4__123Graph_BMKT_MONTH" hidden="1">[8]SALES!#REF!</definedName>
    <definedName name="_5__123Graph_BMKT_YTD" localSheetId="18" hidden="1">#REF!</definedName>
    <definedName name="_5__123Graph_BMKT_YTD" localSheetId="1" hidden="1">[8]SALES!#REF!</definedName>
    <definedName name="_5__123Graph_BMKT_YTD" hidden="1">[8]SALES!#REF!</definedName>
    <definedName name="_5__123Graph_XCHART_2" localSheetId="18" hidden="1">#REF!</definedName>
    <definedName name="_5__123Graph_XCHART_2" localSheetId="1" hidden="1">[15]A!#REF!</definedName>
    <definedName name="_5__123Graph_XCHART_2" hidden="1">[15]A!#REF!</definedName>
    <definedName name="_6__123Graph_LBL_AMKT_MONTH" localSheetId="18" hidden="1">#REF!</definedName>
    <definedName name="_6__123Graph_LBL_AMKT_MONTH" localSheetId="1" hidden="1">[8]SALES!#REF!</definedName>
    <definedName name="_6__123Graph_LBL_AMKT_MONTH" hidden="1">[8]SALES!#REF!</definedName>
    <definedName name="_6__123Graph_XCHART_3" localSheetId="18" hidden="1">#REF!</definedName>
    <definedName name="_6__123Graph_XCHART_3" localSheetId="1" hidden="1">[15]A!#REF!</definedName>
    <definedName name="_6__123Graph_XCHART_3" hidden="1">[15]A!#REF!</definedName>
    <definedName name="_7__123Graph_LBL_AMKT_YTD" localSheetId="18" hidden="1">#REF!</definedName>
    <definedName name="_7__123Graph_LBL_AMKT_YTD" localSheetId="1" hidden="1">[8]SALES!#REF!</definedName>
    <definedName name="_7__123Graph_LBL_AMKT_YTD" hidden="1">[8]SALES!#REF!</definedName>
    <definedName name="_7__123Graph_XCHART_4" localSheetId="18" hidden="1">#REF!</definedName>
    <definedName name="_7__123Graph_XCHART_4" localSheetId="1" hidden="1">[15]A!#REF!</definedName>
    <definedName name="_7__123Graph_XCHART_4" hidden="1">[15]A!#REF!</definedName>
    <definedName name="_8__123Graph_LBL_BMKT_MONTH" localSheetId="18" hidden="1">#REF!</definedName>
    <definedName name="_8__123Graph_LBL_BMKT_MONTH" localSheetId="1" hidden="1">[8]SALES!#REF!</definedName>
    <definedName name="_8__123Graph_LBL_BMKT_MONTH" hidden="1">[8]SALES!#REF!</definedName>
    <definedName name="_9__123Graph_LBL_BMKT_YTD" localSheetId="18" hidden="1">#REF!</definedName>
    <definedName name="_9__123Graph_LBL_BMKT_YTD" localSheetId="1" hidden="1">[8]SALES!#REF!</definedName>
    <definedName name="_9__123Graph_LBL_BMKT_YTD" hidden="1">[8]SALES!#REF!</definedName>
    <definedName name="_a53" localSheetId="18" hidden="1">{"'Sheet1'!$A$4386:$N$4591"}</definedName>
    <definedName name="_a53" hidden="1">{"'Sheet1'!$A$4386:$N$4591"}</definedName>
    <definedName name="_a64" localSheetId="18" hidden="1">{"'Sheet1'!$A$4386:$N$4591"}</definedName>
    <definedName name="_a64" hidden="1">{"'Sheet1'!$A$4386:$N$4591"}</definedName>
    <definedName name="_al3" localSheetId="18" hidden="1">{"'Sheet1'!$A$4386:$N$4591"}</definedName>
    <definedName name="_al3" hidden="1">{"'Sheet1'!$A$4386:$N$4591"}</definedName>
    <definedName name="_ANN12" localSheetId="18" hidden="1">{"'Sheet1'!$A$4386:$N$4591"}</definedName>
    <definedName name="_ANN12" hidden="1">{"'Sheet1'!$A$4386:$N$4591"}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C1" localSheetId="18" hidden="1">{"'bar'!$A$1:$AQ$33","'bar'!$A$10:$B$10"}</definedName>
    <definedName name="_bC1" hidden="1">{"'bar'!$A$1:$AQ$33","'bar'!$A$10:$B$10"}</definedName>
    <definedName name="_BCC2" localSheetId="18" hidden="1">{"'Sheet1'!$A$4386:$N$4591"}</definedName>
    <definedName name="_BCC2" hidden="1">{"'Sheet1'!$A$4386:$N$4591"}</definedName>
    <definedName name="_bdm.91CD4DEC29C049BD929A8110F777B566.edm" localSheetId="14" hidden="1">#REF!</definedName>
    <definedName name="_bdm.91CD4DEC29C049BD929A8110F777B566.edm" localSheetId="12" hidden="1">#REF!</definedName>
    <definedName name="_bdm.91CD4DEC29C049BD929A8110F777B566.edm" localSheetId="1" hidden="1">#REF!</definedName>
    <definedName name="_bdm.91CD4DEC29C049BD929A8110F777B566.edm" localSheetId="13" hidden="1">#REF!</definedName>
    <definedName name="_bdm.91CD4DEC29C049BD929A8110F777B566.edm" hidden="1">#REF!</definedName>
    <definedName name="_bdm.9D576385AB334E0F91FC7FB7CEA21807.edm" localSheetId="14" hidden="1">#REF!</definedName>
    <definedName name="_bdm.9D576385AB334E0F91FC7FB7CEA21807.edm" localSheetId="12" hidden="1">#REF!</definedName>
    <definedName name="_bdm.9D576385AB334E0F91FC7FB7CEA21807.edm" localSheetId="1" hidden="1">#REF!</definedName>
    <definedName name="_bdm.9D576385AB334E0F91FC7FB7CEA21807.edm" localSheetId="13" hidden="1">#REF!</definedName>
    <definedName name="_bdm.9D576385AB334E0F91FC7FB7CEA21807.edm" hidden="1">#REF!</definedName>
    <definedName name="_bdm.F8A8DCEB4DD84118B520FF6070B6FAA2.edm" localSheetId="14" hidden="1">#REF!</definedName>
    <definedName name="_bdm.F8A8DCEB4DD84118B520FF6070B6FAA2.edm" localSheetId="12" hidden="1">#REF!</definedName>
    <definedName name="_bdm.F8A8DCEB4DD84118B520FF6070B6FAA2.edm" localSheetId="1" hidden="1">#REF!</definedName>
    <definedName name="_bdm.F8A8DCEB4DD84118B520FF6070B6FAA2.edm" localSheetId="13" hidden="1">#REF!</definedName>
    <definedName name="_bdm.F8A8DCEB4DD84118B520FF6070B6FAA2.edm" hidden="1">#REF!</definedName>
    <definedName name="_c" localSheetId="11" hidden="1">{#N/A,#N/A,FALSE,"Layout Cash Flow"}</definedName>
    <definedName name="_c" localSheetId="15" hidden="1">{#N/A,#N/A,FALSE,"Layout Cash Flow"}</definedName>
    <definedName name="_c" localSheetId="18" hidden="1">{#N/A,#N/A,FALSE,"Layout Cash Flow"}</definedName>
    <definedName name="_c" localSheetId="14" hidden="1">{#N/A,#N/A,FALSE,"Layout Cash Flow"}</definedName>
    <definedName name="_c" localSheetId="12" hidden="1">{#N/A,#N/A,FALSE,"Layout Cash Flow"}</definedName>
    <definedName name="_c" localSheetId="13" hidden="1">{#N/A,#N/A,FALSE,"Layout Cash Flow"}</definedName>
    <definedName name="_c" hidden="1">{#N/A,#N/A,FALSE,"Layout Cash Flow"}</definedName>
    <definedName name="_DAT1" localSheetId="1">'[1]BASE DATA'!#REF!</definedName>
    <definedName name="_DAT1">'[1]BASE DATA'!#REF!</definedName>
    <definedName name="_DAT11" localSheetId="1">'[1]BASE DATA'!#REF!</definedName>
    <definedName name="_DAT11">'[1]BASE DATA'!#REF!</definedName>
    <definedName name="_DAT2" localSheetId="1">'[1]BASE DATA'!#REF!</definedName>
    <definedName name="_DAT2">'[1]BASE DATA'!#REF!</definedName>
    <definedName name="_DAT3" localSheetId="1">'[1]BASE DATA'!#REF!</definedName>
    <definedName name="_DAT3">'[1]BASE DATA'!#REF!</definedName>
    <definedName name="_DAT4" localSheetId="1">'[1]BASE DATA'!#REF!</definedName>
    <definedName name="_DAT4">'[1]BASE DATA'!#REF!</definedName>
    <definedName name="_DAT5" localSheetId="1">'[1]BASE DATA'!#REF!</definedName>
    <definedName name="_DAT5">'[1]BASE DATA'!#REF!</definedName>
    <definedName name="_DCF2" localSheetId="14">#REF!</definedName>
    <definedName name="_DCF2" localSheetId="12">#REF!</definedName>
    <definedName name="_DCF2" localSheetId="1">#REF!</definedName>
    <definedName name="_DCF2" localSheetId="13">#REF!</definedName>
    <definedName name="_DCF2">#REF!</definedName>
    <definedName name="_Dec02">[2]SalaryData!$AV$11</definedName>
    <definedName name="_Dec03">[2]SalaryData!$BH$11</definedName>
    <definedName name="_dec05" localSheetId="18" hidden="1">{"'Sheet1'!$A$4386:$N$4591"}</definedName>
    <definedName name="_dec05" hidden="1">{"'Sheet1'!$A$4386:$N$4591"}</definedName>
    <definedName name="_e1" localSheetId="11">[3]BS!#REF!</definedName>
    <definedName name="_e1" localSheetId="1">[3]BS!#REF!</definedName>
    <definedName name="_e1">[3]BS!#REF!</definedName>
    <definedName name="_Fill" localSheetId="14" hidden="1">#REF!</definedName>
    <definedName name="_Fill" localSheetId="12" hidden="1">#REF!</definedName>
    <definedName name="_Fill" localSheetId="1" hidden="1">#REF!</definedName>
    <definedName name="_Fill" localSheetId="13" hidden="1">#REF!</definedName>
    <definedName name="_Fill" hidden="1">#REF!</definedName>
    <definedName name="_Fill1" localSheetId="18" hidden="1">#REF!</definedName>
    <definedName name="_Fill1" localSheetId="1" hidden="1">[16]S1BOQ!#REF!</definedName>
    <definedName name="_Fill1" hidden="1">[16]S1BOQ!#REF!</definedName>
    <definedName name="_xlnm._FilterDatabase" localSheetId="15" hidden="1">'Add22-23'!$B$3:$U$1041</definedName>
    <definedName name="_xlnm._FilterDatabase" localSheetId="18" hidden="1">'Add23-24'!$B$3:$V$583</definedName>
    <definedName name="_xlnm._FilterDatabase" localSheetId="2" hidden="1">Buildings!#REF!</definedName>
    <definedName name="_xlnm._FilterDatabase" localSheetId="3" hidden="1">'construction equipment'!$E$1:$E$1972</definedName>
    <definedName name="_xlnm._FilterDatabase" localSheetId="8" hidden="1">EDP!$B$8:$V$182</definedName>
    <definedName name="_xlnm._FilterDatabase" localSheetId="4" hidden="1">'electrical equipment'!#REF!</definedName>
    <definedName name="_xlnm._FilterDatabase" localSheetId="5" hidden="1">Furniture!#REF!</definedName>
    <definedName name="_xlnm._FilterDatabase" localSheetId="1" hidden="1">LAND!#REF!</definedName>
    <definedName name="_xlnm._FilterDatabase" localSheetId="7" hidden="1">'office equipment'!#REF!</definedName>
    <definedName name="_xlnm._FilterDatabase" localSheetId="6" hidden="1">vehicles!#REF!</definedName>
    <definedName name="_xlnm._FilterDatabase" hidden="1">#REF!</definedName>
    <definedName name="_fy97" localSheetId="11" hidden="1">{#N/A,#N/A,FALSE,"FY97";#N/A,#N/A,FALSE,"FY98";#N/A,#N/A,FALSE,"FY99";#N/A,#N/A,FALSE,"FY00";#N/A,#N/A,FALSE,"FY01"}</definedName>
    <definedName name="_fy97" localSheetId="15" hidden="1">{#N/A,#N/A,FALSE,"FY97";#N/A,#N/A,FALSE,"FY98";#N/A,#N/A,FALSE,"FY99";#N/A,#N/A,FALSE,"FY00";#N/A,#N/A,FALSE,"FY01"}</definedName>
    <definedName name="_fy97" localSheetId="18" hidden="1">{#N/A,#N/A,FALSE,"FY97";#N/A,#N/A,FALSE,"FY98";#N/A,#N/A,FALSE,"FY99";#N/A,#N/A,FALSE,"FY00";#N/A,#N/A,FALSE,"FY01"}</definedName>
    <definedName name="_fy97" localSheetId="14" hidden="1">{#N/A,#N/A,FALSE,"FY97";#N/A,#N/A,FALSE,"FY98";#N/A,#N/A,FALSE,"FY99";#N/A,#N/A,FALSE,"FY00";#N/A,#N/A,FALSE,"FY01"}</definedName>
    <definedName name="_fy97" localSheetId="12" hidden="1">{#N/A,#N/A,FALSE,"FY97";#N/A,#N/A,FALSE,"FY98";#N/A,#N/A,FALSE,"FY99";#N/A,#N/A,FALSE,"FY00";#N/A,#N/A,FALSE,"FY01"}</definedName>
    <definedName name="_fy97" localSheetId="13" hidden="1">{#N/A,#N/A,FALSE,"FY97";#N/A,#N/A,FALSE,"FY98";#N/A,#N/A,FALSE,"FY99";#N/A,#N/A,FALSE,"FY00";#N/A,#N/A,FALSE,"FY01"}</definedName>
    <definedName name="_fy97" hidden="1">{#N/A,#N/A,FALSE,"FY97";#N/A,#N/A,FALSE,"FY98";#N/A,#N/A,FALSE,"FY99";#N/A,#N/A,FALSE,"FY00";#N/A,#N/A,FALSE,"FY01"}</definedName>
    <definedName name="_FYE2">[4]Inputs!$D$17</definedName>
    <definedName name="_GSRATES_1" hidden="1">"CT30000120021231        "</definedName>
    <definedName name="_GSRATES_10" hidden="1">"CF3000012002123120020331"</definedName>
    <definedName name="_GSRATES_2" hidden="1">"CT30000120031231        "</definedName>
    <definedName name="_GSRATES_3" hidden="1">"CT30000120040331        "</definedName>
    <definedName name="_GSRATES_4" hidden="1">"CF3000012004033120030331"</definedName>
    <definedName name="_GSRATES_5" hidden="1">"CF3000012002093020020331"</definedName>
    <definedName name="_GSRATES_6" hidden="1">"CF3000012003123120030331"</definedName>
    <definedName name="_GSRATES_7" hidden="1">"CT300001Latest          "</definedName>
    <definedName name="_GSRATES_8" hidden="1">"CT300001Latest          "</definedName>
    <definedName name="_GSRATES_9" hidden="1">"CF3000012002123120020331"</definedName>
    <definedName name="_GSRATES_COUNT" hidden="1">10</definedName>
    <definedName name="_h1" localSheetId="18" hidden="1">{#N/A,#N/A,TRUE,"Sheet1"}</definedName>
    <definedName name="_h1" hidden="1">{#N/A,#N/A,TRUE,"Sheet1"}</definedName>
    <definedName name="_h2" localSheetId="18" hidden="1">{#N/A,#N/A,TRUE,"Sheet1"}</definedName>
    <definedName name="_h2" hidden="1">{#N/A,#N/A,TRUE,"Sheet1"}</definedName>
    <definedName name="_huh3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huh3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huh3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huh3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_JAN02">[2]SalaryData!$AK$11</definedName>
    <definedName name="_Key1" localSheetId="18" hidden="1">#REF!</definedName>
    <definedName name="_Key1" localSheetId="14" hidden="1">#REF!</definedName>
    <definedName name="_Key1" localSheetId="12" hidden="1">#REF!</definedName>
    <definedName name="_Key1" localSheetId="1" hidden="1">#REF!</definedName>
    <definedName name="_Key1" localSheetId="13" hidden="1">#REF!</definedName>
    <definedName name="_Key1" hidden="1">#REF!</definedName>
    <definedName name="_Key2" localSheetId="18" hidden="1">#REF!</definedName>
    <definedName name="_Key2" localSheetId="1" hidden="1">#REF!</definedName>
    <definedName name="_Key2" hidden="1">#REF!</definedName>
    <definedName name="_mis5" localSheetId="18" hidden="1">{"'Sheet1'!$A$4386:$N$4591"}</definedName>
    <definedName name="_mis5" hidden="1">{"'Sheet1'!$A$4386:$N$4591"}</definedName>
    <definedName name="_Order1" hidden="1">255</definedName>
    <definedName name="_Order2" hidden="1">255</definedName>
    <definedName name="_Parse_In" localSheetId="18" hidden="1">#REF!</definedName>
    <definedName name="_Parse_In" localSheetId="1" hidden="1">#REF!</definedName>
    <definedName name="_Parse_In" hidden="1">#REF!</definedName>
    <definedName name="_Parse_Out" localSheetId="18" hidden="1">#REF!</definedName>
    <definedName name="_Parse_Out" localSheetId="1" hidden="1">#REF!</definedName>
    <definedName name="_Parse_Out" hidden="1">#REF!</definedName>
    <definedName name="_Q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Q21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Q21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r" localSheetId="11" hidden="1">{"consolidated",#N/A,FALSE,"Sheet1";"cms",#N/A,FALSE,"Sheet1";"fse",#N/A,FALSE,"Sheet1"}</definedName>
    <definedName name="_r" localSheetId="15" hidden="1">{"consolidated",#N/A,FALSE,"Sheet1";"cms",#N/A,FALSE,"Sheet1";"fse",#N/A,FALSE,"Sheet1"}</definedName>
    <definedName name="_r" localSheetId="18" hidden="1">{"consolidated",#N/A,FALSE,"Sheet1";"cms",#N/A,FALSE,"Sheet1";"fse",#N/A,FALSE,"Sheet1"}</definedName>
    <definedName name="_r" localSheetId="14" hidden="1">{"consolidated",#N/A,FALSE,"Sheet1";"cms",#N/A,FALSE,"Sheet1";"fse",#N/A,FALSE,"Sheet1"}</definedName>
    <definedName name="_r" localSheetId="12" hidden="1">{"consolidated",#N/A,FALSE,"Sheet1";"cms",#N/A,FALSE,"Sheet1";"fse",#N/A,FALSE,"Sheet1"}</definedName>
    <definedName name="_r" localSheetId="13" hidden="1">{"consolidated",#N/A,FALSE,"Sheet1";"cms",#N/A,FALSE,"Sheet1";"fse",#N/A,FALSE,"Sheet1"}</definedName>
    <definedName name="_r" hidden="1">{"consolidated",#N/A,FALSE,"Sheet1";"cms",#N/A,FALSE,"Sheet1";"fse",#N/A,FALSE,"Sheet1"}</definedName>
    <definedName name="_Regression_Int" hidden="1">1</definedName>
    <definedName name="_Sch3" localSheetId="18" hidden="1">{#N/A,#N/A,FALSE,"PCPL9899"}</definedName>
    <definedName name="_Sch3" hidden="1">{#N/A,#N/A,FALSE,"PCPL9899"}</definedName>
    <definedName name="_SID1017" localSheetId="14">#REF!</definedName>
    <definedName name="_SID1017" localSheetId="12">#REF!</definedName>
    <definedName name="_SID1017" localSheetId="1">#REF!</definedName>
    <definedName name="_SID1017" localSheetId="13">#REF!</definedName>
    <definedName name="_SID1017">#REF!</definedName>
    <definedName name="_Sort" localSheetId="18" hidden="1">#REF!</definedName>
    <definedName name="_Sort" localSheetId="14" hidden="1">#REF!</definedName>
    <definedName name="_Sort" localSheetId="12" hidden="1">#REF!</definedName>
    <definedName name="_Sort" localSheetId="1" hidden="1">#REF!</definedName>
    <definedName name="_Sort" localSheetId="13" hidden="1">#REF!</definedName>
    <definedName name="_Sort" hidden="1">#REF!</definedName>
    <definedName name="_Table1_In1" localSheetId="18" hidden="1">#REF!</definedName>
    <definedName name="_Table1_In1" localSheetId="1" hidden="1">'[11]#REF'!#REF!</definedName>
    <definedName name="_Table1_In1" hidden="1">#REF!</definedName>
    <definedName name="_Table1_Out" localSheetId="18" hidden="1">#REF!</definedName>
    <definedName name="_Table1_Out" hidden="1">#REF!</definedName>
    <definedName name="_Table2_In1" localSheetId="11" hidden="1">'[11]#REF'!#REF!</definedName>
    <definedName name="_Table2_In1" localSheetId="15" hidden="1">'[11]#REF'!#REF!</definedName>
    <definedName name="_Table2_In1" localSheetId="18" hidden="1">#REF!</definedName>
    <definedName name="_Table2_In1" localSheetId="1" hidden="1">'[11]#REF'!#REF!</definedName>
    <definedName name="_Table2_In1" hidden="1">'[11]#REF'!#REF!</definedName>
    <definedName name="_Table2_In2" localSheetId="18" hidden="1">#REF!</definedName>
    <definedName name="_Table2_In2" hidden="1">'[11]#REF'!$M$14</definedName>
    <definedName name="_Table2_Out" localSheetId="18" hidden="1">#REF!</definedName>
    <definedName name="_Table2_Out" hidden="1">'[11]#REF'!$C$11:$I$22</definedName>
    <definedName name="_Table3_In2" localSheetId="14" hidden="1">#REF!</definedName>
    <definedName name="_Table3_In2" localSheetId="12" hidden="1">#REF!</definedName>
    <definedName name="_Table3_In2" localSheetId="1" hidden="1">#REF!</definedName>
    <definedName name="_Table3_In2" localSheetId="13" hidden="1">#REF!</definedName>
    <definedName name="_Table3_In2" hidden="1">#REF!</definedName>
    <definedName name="_TB1" localSheetId="1">'[5]Other notes'!#REF!</definedName>
    <definedName name="_TB1">'[5]Other notes'!#REF!</definedName>
    <definedName name="_TB2" localSheetId="1">'[5]Other notes'!#REF!</definedName>
    <definedName name="_TB2">'[5]Other notes'!#REF!</definedName>
    <definedName name="_TB3" localSheetId="1">'[5]Other notes'!#REF!</definedName>
    <definedName name="_TB3">'[5]Other notes'!#REF!</definedName>
    <definedName name="_TB4" localSheetId="1">'[5]Other notes'!#REF!</definedName>
    <definedName name="_TB4">'[5]Other notes'!#REF!</definedName>
    <definedName name="_TB5" localSheetId="1">'[5]Other notes'!#REF!</definedName>
    <definedName name="_TB5">'[5]Other notes'!#REF!</definedName>
    <definedName name="_TB6" localSheetId="1">'[5]Other notes'!#REF!</definedName>
    <definedName name="_TB6">'[5]Other notes'!#REF!</definedName>
    <definedName name="_TB7" localSheetId="1">'[5]Other notes'!#REF!</definedName>
    <definedName name="_TB7">'[5]Other notes'!#REF!</definedName>
    <definedName name="_TDS2" localSheetId="18" hidden="1">{"'Sheet1'!$A$4386:$N$4591"}</definedName>
    <definedName name="_TDS2" hidden="1">{"'Sheet1'!$A$4386:$N$4591"}</definedName>
    <definedName name="_vii5" localSheetId="1">[6]LBO!#REF!</definedName>
    <definedName name="_vii5">[6]LBO!#REF!</definedName>
    <definedName name="_wrn1" localSheetId="11" hidden="1">{#N/A,#N/A,FALSE,"DCF";#N/A,#N/A,FALSE,"WACC";#N/A,#N/A,FALSE,"Sales_EBIT";#N/A,#N/A,FALSE,"Capex_Depreciation";#N/A,#N/A,FALSE,"WC";#N/A,#N/A,FALSE,"Interest";#N/A,#N/A,FALSE,"Assumptions"}</definedName>
    <definedName name="_wrn1" localSheetId="15" hidden="1">{#N/A,#N/A,FALSE,"DCF";#N/A,#N/A,FALSE,"WACC";#N/A,#N/A,FALSE,"Sales_EBIT";#N/A,#N/A,FALSE,"Capex_Depreciation";#N/A,#N/A,FALSE,"WC";#N/A,#N/A,FALSE,"Interest";#N/A,#N/A,FALSE,"Assumptions"}</definedName>
    <definedName name="_wrn1" localSheetId="18" hidden="1">{#N/A,#N/A,FALSE,"DCF";#N/A,#N/A,FALSE,"WACC";#N/A,#N/A,FALSE,"Sales_EBIT";#N/A,#N/A,FALSE,"Capex_Depreciation";#N/A,#N/A,FALSE,"WC";#N/A,#N/A,FALSE,"Interest";#N/A,#N/A,FALSE,"Assumptions"}</definedName>
    <definedName name="_wrn1" localSheetId="14" hidden="1">{#N/A,#N/A,FALSE,"DCF";#N/A,#N/A,FALSE,"WACC";#N/A,#N/A,FALSE,"Sales_EBIT";#N/A,#N/A,FALSE,"Capex_Depreciation";#N/A,#N/A,FALSE,"WC";#N/A,#N/A,FALSE,"Interest";#N/A,#N/A,FALSE,"Assumptions"}</definedName>
    <definedName name="_wrn1" localSheetId="12" hidden="1">{#N/A,#N/A,FALSE,"DCF";#N/A,#N/A,FALSE,"WACC";#N/A,#N/A,FALSE,"Sales_EBIT";#N/A,#N/A,FALSE,"Capex_Depreciation";#N/A,#N/A,FALSE,"WC";#N/A,#N/A,FALSE,"Interest";#N/A,#N/A,FALSE,"Assumptions"}</definedName>
    <definedName name="_wrn1" localSheetId="13" hidden="1">{#N/A,#N/A,FALSE,"DCF";#N/A,#N/A,FALSE,"WACC";#N/A,#N/A,FALSE,"Sales_EBIT";#N/A,#N/A,FALSE,"Capex_Depreciation";#N/A,#N/A,FALSE,"WC";#N/A,#N/A,FALSE,"Interest";#N/A,#N/A,FALSE,"Assumptions"}</definedName>
    <definedName name="_wrn1" hidden="1">{#N/A,#N/A,FALSE,"DCF";#N/A,#N/A,FALSE,"WACC";#N/A,#N/A,FALSE,"Sales_EBIT";#N/A,#N/A,FALSE,"Capex_Depreciation";#N/A,#N/A,FALSE,"WC";#N/A,#N/A,FALSE,"Interest";#N/A,#N/A,FALSE,"Assumptions"}</definedName>
    <definedName name="_xx1" localSheetId="18" hidden="1">{"'Typical Costs Estimates'!$C$158:$H$161"}</definedName>
    <definedName name="_xx1" hidden="1">{"'Typical Costs Estimates'!$C$158:$H$161"}</definedName>
    <definedName name="A\" localSheetId="14" hidden="1">#REF!</definedName>
    <definedName name="A\" localSheetId="12" hidden="1">#REF!</definedName>
    <definedName name="A\" localSheetId="1" hidden="1">#REF!</definedName>
    <definedName name="A\" localSheetId="13" hidden="1">#REF!</definedName>
    <definedName name="A\" hidden="1">#REF!</definedName>
    <definedName name="a_1" localSheetId="18" hidden="1">{#N/A,#N/A,TRUE,"DCF Summary (2)";#N/A,#N/A,TRUE,"DCF Summary";#N/A,"Middle Case Drivers",TRUE,"DCF"}</definedName>
    <definedName name="a_1" hidden="1">{#N/A,#N/A,TRUE,"DCF Summary (2)";#N/A,#N/A,TRUE,"DCF Summary";#N/A,"Middle Case Drivers",TRUE,"DCF"}</definedName>
    <definedName name="aa" localSheetId="18" hidden="1">#REF!</definedName>
    <definedName name="aa" hidden="1">[17]fORMULAE!$BG$7</definedName>
    <definedName name="aaa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aa" localSheetId="15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aa" localSheetId="18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aa" localSheetId="1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aa" localSheetId="1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aa" localSheetId="1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aa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aa_1" localSheetId="18" hidden="1">{#N/A,#N/A,TRUE,"DCF Summary (2)";#N/A,#N/A,TRUE,"DCF Summary";#N/A,"Middle Case Drivers",TRUE,"DCF"}</definedName>
    <definedName name="aaa_1" hidden="1">{#N/A,#N/A,TRUE,"DCF Summary (2)";#N/A,#N/A,TRUE,"DCF Summary";#N/A,"Middle Case Drivers",TRUE,"DCF"}</definedName>
    <definedName name="AAA_DOCTOPS" hidden="1">"AAA_SET"</definedName>
    <definedName name="AAA_duser" hidden="1">"OFF"</definedName>
    <definedName name="AAAAAA" localSheetId="18" hidden="1">{"'Sheet1'!$A$4386:$N$4591"}</definedName>
    <definedName name="AAAAAA" hidden="1">{"'Sheet1'!$A$4386:$N$4591"}</definedName>
    <definedName name="aaaaaaaa" localSheetId="18" hidden="1">{"'Sheet1'!$A$4386:$N$4591"}</definedName>
    <definedName name="aaaaaaaa" hidden="1">{"'Sheet1'!$A$4386:$N$4591"}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bc" localSheetId="18" hidden="1">#REF!</definedName>
    <definedName name="abc" localSheetId="14">#REF!</definedName>
    <definedName name="abc" localSheetId="12">#REF!</definedName>
    <definedName name="abc" localSheetId="1">#REF!</definedName>
    <definedName name="abc" localSheetId="13">#REF!</definedName>
    <definedName name="abc" hidden="1">'[10]1201'!#REF!</definedName>
    <definedName name="abc_1" localSheetId="18" hidden="1">{#N/A,#N/A,TRUE,"DCF Summary (2)";#N/A,#N/A,TRUE,"DCF Summary";#N/A,"Middle Case Drivers",TRUE,"DCF"}</definedName>
    <definedName name="abc_1" hidden="1">{#N/A,#N/A,TRUE,"DCF Summary (2)";#N/A,#N/A,TRUE,"DCF Summary";#N/A,"Middle Case Drivers",TRUE,"DCF"}</definedName>
    <definedName name="abs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h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bst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CC_COS" localSheetId="14">#REF!</definedName>
    <definedName name="ACC_COS" localSheetId="12">#REF!</definedName>
    <definedName name="ACC_COS" localSheetId="1">#REF!</definedName>
    <definedName name="ACC_COS" localSheetId="13">#REF!</definedName>
    <definedName name="ACC_COS">#REF!</definedName>
    <definedName name="ACC_COS2" localSheetId="14">#REF!</definedName>
    <definedName name="ACC_COS2" localSheetId="12">#REF!</definedName>
    <definedName name="ACC_COS2" localSheetId="1">#REF!</definedName>
    <definedName name="ACC_COS2" localSheetId="13">#REF!</definedName>
    <definedName name="ACC_COS2">#REF!</definedName>
    <definedName name="AccessDatabase" hidden="1">"D:\Planning &amp; QS\Planning\Progress Reports\Daily Progress Report\Physical Progress.mdb"</definedName>
    <definedName name="ACT_FEE" localSheetId="14">#REF!</definedName>
    <definedName name="ACT_FEE" localSheetId="12">#REF!</definedName>
    <definedName name="ACT_FEE" localSheetId="1">#REF!</definedName>
    <definedName name="ACT_FEE" localSheetId="13">#REF!</definedName>
    <definedName name="ACT_FEE">#REF!</definedName>
    <definedName name="AD" localSheetId="18" hidden="1">{"'Sheet1'!$A$4386:$N$4591"}</definedName>
    <definedName name="AD" hidden="1">{"'Sheet1'!$A$4386:$N$4591"}</definedName>
    <definedName name="Addition" localSheetId="11">'[18]profit &amp; loss'!#REF!</definedName>
    <definedName name="Addition" localSheetId="1">'[18]profit &amp; loss'!#REF!</definedName>
    <definedName name="Addition">'[18]profit &amp; loss'!#REF!</definedName>
    <definedName name="adfwaerw" localSheetId="18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adfwaerw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adfwaerw_1" localSheetId="18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adfwaerw_1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aditya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ity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g" localSheetId="11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" localSheetId="15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" localSheetId="18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" localSheetId="14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" localSheetId="12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" localSheetId="13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ktualizace" localSheetId="1">[19]Data!#REF!</definedName>
    <definedName name="aktualizace">[19]Data!#REF!</definedName>
    <definedName name="aktualizace_01" localSheetId="1">[19]Data!#REF!</definedName>
    <definedName name="aktualizace_01">[19]Data!#REF!</definedName>
    <definedName name="Allowances" localSheetId="1">[2]SalaryData!#REF!</definedName>
    <definedName name="Allowances">[2]SalaryData!#REF!</definedName>
    <definedName name="analysis1" localSheetId="18" hidden="1">{"'Sheet1'!$A$4386:$N$4591"}</definedName>
    <definedName name="analysis1" hidden="1">{"'Sheet1'!$A$4386:$N$4591"}</definedName>
    <definedName name="anandh" localSheetId="18" hidden="1">{"'Sheet1'!$A$4386:$N$4591"}</definedName>
    <definedName name="anandh" hidden="1">{"'Sheet1'!$A$4386:$N$4591"}</definedName>
    <definedName name="Annual_Programming_Inflation" localSheetId="14">#REF!</definedName>
    <definedName name="Annual_Programming_Inflation" localSheetId="12">#REF!</definedName>
    <definedName name="Annual_Programming_Inflation" localSheetId="1">#REF!</definedName>
    <definedName name="Annual_Programming_Inflation" localSheetId="13">#REF!</definedName>
    <definedName name="Annual_Programming_Inflation">#REF!</definedName>
    <definedName name="anscount" hidden="1">1</definedName>
    <definedName name="appendix4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15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18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1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1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1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r_08">[20]CFData!$E$2:$E$1216</definedName>
    <definedName name="april" localSheetId="18" hidden="1">{"'bar'!$A$1:$AQ$33","'bar'!$A$10:$B$10"}</definedName>
    <definedName name="april" hidden="1">{"'bar'!$A$1:$AQ$33","'bar'!$A$10:$B$10"}</definedName>
    <definedName name="arn.dcf." localSheetId="11" hidden="1">{"mgmt forecast",#N/A,FALSE,"Mgmt Forecast";"dcf table",#N/A,FALSE,"Mgmt Forecast";"sensitivity",#N/A,FALSE,"Mgmt Forecast";"table inputs",#N/A,FALSE,"Mgmt Forecast";"calculations",#N/A,FALSE,"Mgmt Forecast"}</definedName>
    <definedName name="arn.dcf." localSheetId="15" hidden="1">{"mgmt forecast",#N/A,FALSE,"Mgmt Forecast";"dcf table",#N/A,FALSE,"Mgmt Forecast";"sensitivity",#N/A,FALSE,"Mgmt Forecast";"table inputs",#N/A,FALSE,"Mgmt Forecast";"calculations",#N/A,FALSE,"Mgmt Forecast"}</definedName>
    <definedName name="arn.dcf." localSheetId="18" hidden="1">{"mgmt forecast",#N/A,FALSE,"Mgmt Forecast";"dcf table",#N/A,FALSE,"Mgmt Forecast";"sensitivity",#N/A,FALSE,"Mgmt Forecast";"table inputs",#N/A,FALSE,"Mgmt Forecast";"calculations",#N/A,FALSE,"Mgmt Forecast"}</definedName>
    <definedName name="arn.dcf." localSheetId="14" hidden="1">{"mgmt forecast",#N/A,FALSE,"Mgmt Forecast";"dcf table",#N/A,FALSE,"Mgmt Forecast";"sensitivity",#N/A,FALSE,"Mgmt Forecast";"table inputs",#N/A,FALSE,"Mgmt Forecast";"calculations",#N/A,FALSE,"Mgmt Forecast"}</definedName>
    <definedName name="arn.dcf." localSheetId="12" hidden="1">{"mgmt forecast",#N/A,FALSE,"Mgmt Forecast";"dcf table",#N/A,FALSE,"Mgmt Forecast";"sensitivity",#N/A,FALSE,"Mgmt Forecast";"table inputs",#N/A,FALSE,"Mgmt Forecast";"calculations",#N/A,FALSE,"Mgmt Forecast"}</definedName>
    <definedName name="arn.dcf." localSheetId="13" hidden="1">{"mgmt forecast",#N/A,FALSE,"Mgmt Forecast";"dcf table",#N/A,FALSE,"Mgmt Forecast";"sensitivity",#N/A,FALSE,"Mgmt Forecast";"table inputs",#N/A,FALSE,"Mgmt Forecast";"calculations",#N/A,FALSE,"Mgmt Forecast"}</definedName>
    <definedName name="arn.dcf." hidden="1">{"mgmt forecast",#N/A,FALSE,"Mgmt Forecast";"dcf table",#N/A,FALSE,"Mgmt Forecast";"sensitivity",#N/A,FALSE,"Mgmt Forecast";"table inputs",#N/A,FALSE,"Mgmt Forecast";"calculations",#N/A,FALSE,"Mgmt Forecast"}</definedName>
    <definedName name="as" localSheetId="11" hidden="1">{"mgmt forecast",#N/A,FALSE,"Mgmt Forecast";"dcf table",#N/A,FALSE,"Mgmt Forecast";"sensitivity",#N/A,FALSE,"Mgmt Forecast";"table inputs",#N/A,FALSE,"Mgmt Forecast";"calculations",#N/A,FALSE,"Mgmt Forecast"}</definedName>
    <definedName name="as" localSheetId="15" hidden="1">{"mgmt forecast",#N/A,FALSE,"Mgmt Forecast";"dcf table",#N/A,FALSE,"Mgmt Forecast";"sensitivity",#N/A,FALSE,"Mgmt Forecast";"table inputs",#N/A,FALSE,"Mgmt Forecast";"calculations",#N/A,FALSE,"Mgmt Forecast"}</definedName>
    <definedName name="as" localSheetId="18" hidden="1">{"mgmt forecast",#N/A,FALSE,"Mgmt Forecast";"dcf table",#N/A,FALSE,"Mgmt Forecast";"sensitivity",#N/A,FALSE,"Mgmt Forecast";"table inputs",#N/A,FALSE,"Mgmt Forecast";"calculations",#N/A,FALSE,"Mgmt Forecast"}</definedName>
    <definedName name="as" localSheetId="14" hidden="1">{"mgmt forecast",#N/A,FALSE,"Mgmt Forecast";"dcf table",#N/A,FALSE,"Mgmt Forecast";"sensitivity",#N/A,FALSE,"Mgmt Forecast";"table inputs",#N/A,FALSE,"Mgmt Forecast";"calculations",#N/A,FALSE,"Mgmt Forecast"}</definedName>
    <definedName name="as" localSheetId="12" hidden="1">{"mgmt forecast",#N/A,FALSE,"Mgmt Forecast";"dcf table",#N/A,FALSE,"Mgmt Forecast";"sensitivity",#N/A,FALSE,"Mgmt Forecast";"table inputs",#N/A,FALSE,"Mgmt Forecast";"calculations",#N/A,FALSE,"Mgmt Forecast"}</definedName>
    <definedName name="as" localSheetId="13" hidden="1">{"mgmt forecast",#N/A,FALSE,"Mgmt Forecast";"dcf table",#N/A,FALSE,"Mgmt Forecast";"sensitivity",#N/A,FALSE,"Mgmt Forecast";"table inputs",#N/A,FALSE,"Mgmt Forecast";"calculations",#N/A,FALSE,"Mgmt Forecast"}</definedName>
    <definedName name="as" hidden="1">{#N/A,#N/A,TRUE,"DCF Summary (2)";#N/A,#N/A,TRUE,"DCF Summary";#N/A,"Middle Case Drivers",TRUE,"DCF"}</definedName>
    <definedName name="as_1" localSheetId="18" hidden="1">{#N/A,#N/A,TRUE,"DCF Summary (2)";#N/A,#N/A,TRUE,"DCF Summary";#N/A,"Middle Case Drivers",TRUE,"DCF"}</definedName>
    <definedName name="as_1" hidden="1">{#N/A,#N/A,TRUE,"DCF Summary (2)";#N/A,#N/A,TRUE,"DCF Summary";#N/A,"Middle Case Drivers",TRUE,"DCF"}</definedName>
    <definedName name="AS_T" localSheetId="14">#REF!</definedName>
    <definedName name="AS_T" localSheetId="12">#REF!</definedName>
    <definedName name="AS_T" localSheetId="1">#REF!</definedName>
    <definedName name="AS_T" localSheetId="13">#REF!</definedName>
    <definedName name="AS_T">#REF!</definedName>
    <definedName name="AS2DocOpenMode" hidden="1">"AS2DocumentEdit"</definedName>
    <definedName name="AS2NamedRange" hidden="1">21</definedName>
    <definedName name="AS2ReportLS" hidden="1">2</definedName>
    <definedName name="asas" localSheetId="18" hidden="1">{#N/A,#N/A,TRUE,"DCF Summary (2)";#N/A,#N/A,TRUE,"DCF Summary";#N/A,"Middle Case Drivers",TRUE,"DCF"}</definedName>
    <definedName name="asas" hidden="1">{#N/A,#N/A,TRUE,"DCF Summary (2)";#N/A,#N/A,TRUE,"DCF Summary";#N/A,"Middle Case Drivers",TRUE,"DCF"}</definedName>
    <definedName name="asas_1" localSheetId="18" hidden="1">{#N/A,#N/A,TRUE,"DCF Summary (2)";#N/A,#N/A,TRUE,"DCF Summary";#N/A,"Middle Case Drivers",TRUE,"DCF"}</definedName>
    <definedName name="asas_1" hidden="1">{#N/A,#N/A,TRUE,"DCF Summary (2)";#N/A,#N/A,TRUE,"DCF Summary";#N/A,"Middle Case Drivers",TRUE,"DCF"}</definedName>
    <definedName name="asdf_1" localSheetId="18" hidden="1">{#N/A,#N/A,TRUE,"DCF Summary (2)";#N/A,#N/A,TRUE,"DCF Summary";#N/A,"Middle Case Drivers",TRUE,"DCF"}</definedName>
    <definedName name="asdf_1" hidden="1">{#N/A,#N/A,TRUE,"DCF Summary (2)";#N/A,#N/A,TRUE,"DCF Summary";#N/A,"Middle Case Drivers",TRUE,"DCF"}</definedName>
    <definedName name="asdfe" localSheetId="18" hidden="1">{"'Sheet1'!$A$4386:$N$4591"}</definedName>
    <definedName name="asdfe" hidden="1">{"'Sheet1'!$A$4386:$N$4591"}</definedName>
    <definedName name="Aug_08">[20]CFData!$I$2:$I$1216</definedName>
    <definedName name="August">[20]HRData!$J$2:$J$100</definedName>
    <definedName name="b" localSheetId="18" hidden="1">#REF!</definedName>
    <definedName name="b" localSheetId="1" hidden="1">#REF!</definedName>
    <definedName name="b" hidden="1">#REF!</definedName>
    <definedName name="babu" localSheetId="18" hidden="1">{"'Sheet1'!$A$4386:$N$4591"}</definedName>
    <definedName name="babu" hidden="1">{"'Sheet1'!$A$4386:$N$4591"}</definedName>
    <definedName name="BACK_A" localSheetId="11">[4]Acquiror!#REF!</definedName>
    <definedName name="BACK_A" localSheetId="1">[4]Acquiror!#REF!</definedName>
    <definedName name="BACK_A">[4]Acquiror!#REF!</definedName>
    <definedName name="Bank" localSheetId="1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localSheetId="15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localSheetId="18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localSheetId="14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localSheetId="12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localSheetId="13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btog" localSheetId="14">#REF!</definedName>
    <definedName name="bbtog" localSheetId="12">#REF!</definedName>
    <definedName name="bbtog" localSheetId="1">#REF!</definedName>
    <definedName name="bbtog" localSheetId="13">#REF!</definedName>
    <definedName name="bbtog">#REF!</definedName>
    <definedName name="bc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bc" localSheetId="15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bc" localSheetId="18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bc" localSheetId="1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bc" localSheetId="1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bc" localSheetId="1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bcurr" localSheetId="14">#REF!</definedName>
    <definedName name="bcurr" localSheetId="12">#REF!</definedName>
    <definedName name="bcurr" localSheetId="1">#REF!</definedName>
    <definedName name="bcurr" localSheetId="13">#REF!</definedName>
    <definedName name="bcurr">#REF!</definedName>
    <definedName name="BEAS" localSheetId="14">#REF!</definedName>
    <definedName name="BEAS" localSheetId="12">#REF!</definedName>
    <definedName name="BEAS" localSheetId="1">#REF!</definedName>
    <definedName name="BEAS" localSheetId="13">#REF!</definedName>
    <definedName name="BEAS">#REF!</definedName>
    <definedName name="Beg_Bal" localSheetId="14">#REF!</definedName>
    <definedName name="Beg_Bal" localSheetId="12">#REF!</definedName>
    <definedName name="Beg_Bal" localSheetId="1">#REF!</definedName>
    <definedName name="Beg_Bal" localSheetId="13">#REF!</definedName>
    <definedName name="Beg_Bal">#REF!</definedName>
    <definedName name="BG_Del" hidden="1">15</definedName>
    <definedName name="BG_Ins" hidden="1">4</definedName>
    <definedName name="BG_Mod" hidden="1">6</definedName>
    <definedName name="BHAG" localSheetId="14">#REF!</definedName>
    <definedName name="BHAG" localSheetId="12">#REF!</definedName>
    <definedName name="BHAG" localSheetId="1">#REF!</definedName>
    <definedName name="BHAG" localSheetId="13">#REF!</definedName>
    <definedName name="BHAG">#REF!</definedName>
    <definedName name="Billed_MOU_EUR" localSheetId="14">#REF!</definedName>
    <definedName name="Billed_MOU_EUR" localSheetId="12">#REF!</definedName>
    <definedName name="Billed_MOU_EUR" localSheetId="1">#REF!</definedName>
    <definedName name="Billed_MOU_EUR" localSheetId="13">#REF!</definedName>
    <definedName name="Billed_MOU_EUR">#REF!</definedName>
    <definedName name="Billed_MOU_USD" localSheetId="14">#REF!</definedName>
    <definedName name="Billed_MOU_USD" localSheetId="12">#REF!</definedName>
    <definedName name="Billed_MOU_USD" localSheetId="1">#REF!</definedName>
    <definedName name="Billed_MOU_USD" localSheetId="13">#REF!</definedName>
    <definedName name="Billed_MOU_USD">#REF!</definedName>
    <definedName name="BmBt" localSheetId="14">#REF!</definedName>
    <definedName name="BmBt" localSheetId="12">#REF!</definedName>
    <definedName name="BmBt" localSheetId="1">#REF!</definedName>
    <definedName name="BmBt" localSheetId="13">#REF!</definedName>
    <definedName name="BmBt">#REF!</definedName>
    <definedName name="BMSeed" localSheetId="14">#REF!</definedName>
    <definedName name="BMSeed" localSheetId="12">#REF!</definedName>
    <definedName name="BMSeed" localSheetId="1">#REF!</definedName>
    <definedName name="BMSeed" localSheetId="13">#REF!</definedName>
    <definedName name="BMSeed">#REF!</definedName>
    <definedName name="bnnn" localSheetId="11" hidden="1">{"consolidated",#N/A,FALSE,"Sheet1";"cms",#N/A,FALSE,"Sheet1";"fse",#N/A,FALSE,"Sheet1"}</definedName>
    <definedName name="bnnn" localSheetId="15" hidden="1">{"consolidated",#N/A,FALSE,"Sheet1";"cms",#N/A,FALSE,"Sheet1";"fse",#N/A,FALSE,"Sheet1"}</definedName>
    <definedName name="bnnn" localSheetId="18" hidden="1">{"consolidated",#N/A,FALSE,"Sheet1";"cms",#N/A,FALSE,"Sheet1";"fse",#N/A,FALSE,"Sheet1"}</definedName>
    <definedName name="bnnn" localSheetId="14" hidden="1">{"consolidated",#N/A,FALSE,"Sheet1";"cms",#N/A,FALSE,"Sheet1";"fse",#N/A,FALSE,"Sheet1"}</definedName>
    <definedName name="bnnn" localSheetId="12" hidden="1">{"consolidated",#N/A,FALSE,"Sheet1";"cms",#N/A,FALSE,"Sheet1";"fse",#N/A,FALSE,"Sheet1"}</definedName>
    <definedName name="bnnn" localSheetId="13" hidden="1">{"consolidated",#N/A,FALSE,"Sheet1";"cms",#N/A,FALSE,"Sheet1";"fse",#N/A,FALSE,"Sheet1"}</definedName>
    <definedName name="bnnn" hidden="1">{"consolidated",#N/A,FALSE,"Sheet1";"cms",#N/A,FALSE,"Sheet1";"fse",#N/A,FALSE,"Sheet1"}</definedName>
    <definedName name="BRAH" localSheetId="14">#REF!</definedName>
    <definedName name="BRAH" localSheetId="12">#REF!</definedName>
    <definedName name="BRAH" localSheetId="1">#REF!</definedName>
    <definedName name="BRAH" localSheetId="13">#REF!</definedName>
    <definedName name="BRAH">#REF!</definedName>
    <definedName name="Brdg3" localSheetId="18" hidden="1">#REF!</definedName>
    <definedName name="Brdg3" localSheetId="1" hidden="1">'[21]final abstract'!#REF!</definedName>
    <definedName name="Brdg3" hidden="1">'[21]final abstract'!#REF!</definedName>
    <definedName name="BS" localSheetId="14">#REF!</definedName>
    <definedName name="BS" localSheetId="12">#REF!</definedName>
    <definedName name="BS" localSheetId="1">#REF!</definedName>
    <definedName name="BS" localSheetId="13">#REF!</definedName>
    <definedName name="BS">#REF!</definedName>
    <definedName name="BS_Run_Rates" localSheetId="14">#REF!</definedName>
    <definedName name="BS_Run_Rates" localSheetId="12">#REF!</definedName>
    <definedName name="BS_Run_Rates" localSheetId="1">#REF!</definedName>
    <definedName name="BS_Run_Rates" localSheetId="13">#REF!</definedName>
    <definedName name="BS_Run_Rates">#REF!</definedName>
    <definedName name="bscl" localSheetId="14">#REF!</definedName>
    <definedName name="bscl" localSheetId="12">#REF!</definedName>
    <definedName name="bscl" localSheetId="1">#REF!</definedName>
    <definedName name="bscl" localSheetId="13">#REF!</definedName>
    <definedName name="bscl">#REF!</definedName>
    <definedName name="Budget" localSheetId="14">#REF!</definedName>
    <definedName name="Budget" localSheetId="12">#REF!</definedName>
    <definedName name="Budget" localSheetId="1">#REF!</definedName>
    <definedName name="Budget" localSheetId="13">#REF!</definedName>
    <definedName name="Budget">#REF!</definedName>
    <definedName name="Buildings">[22]Capex!$D$6:$L$6</definedName>
    <definedName name="BuiltIn_Consolidate_Area___6">NA()</definedName>
    <definedName name="BuiltIn_Print_Area" localSheetId="14">#REF!</definedName>
    <definedName name="BuiltIn_Print_Area" localSheetId="12">#REF!</definedName>
    <definedName name="BuiltIn_Print_Area" localSheetId="1">#REF!</definedName>
    <definedName name="BuiltIn_Print_Area" localSheetId="13">#REF!</definedName>
    <definedName name="BuiltIn_Print_Area">#REF!</definedName>
    <definedName name="BuiltIn_Print_Area___0" localSheetId="14">#REF!</definedName>
    <definedName name="BuiltIn_Print_Area___0" localSheetId="12">#REF!</definedName>
    <definedName name="BuiltIn_Print_Area___0" localSheetId="1">#REF!</definedName>
    <definedName name="BuiltIn_Print_Area___0" localSheetId="13">#REF!</definedName>
    <definedName name="BuiltIn_Print_Area___0">#REF!</definedName>
    <definedName name="CallRevenue_Seg">'[23]Interconnect cost'!$A$3:$I$42</definedName>
    <definedName name="CallRevSegement2" localSheetId="14">#REF!</definedName>
    <definedName name="CallRevSegement2" localSheetId="12">#REF!</definedName>
    <definedName name="CallRevSegement2" localSheetId="1">#REF!</definedName>
    <definedName name="CallRevSegement2" localSheetId="13">#REF!</definedName>
    <definedName name="CallRevSegement2">#REF!</definedName>
    <definedName name="CallRevSegment" localSheetId="14">#REF!</definedName>
    <definedName name="CallRevSegment" localSheetId="12">#REF!</definedName>
    <definedName name="CallRevSegment" localSheetId="1">#REF!</definedName>
    <definedName name="CallRevSegment" localSheetId="13">#REF!</definedName>
    <definedName name="CallRevSegment">#REF!</definedName>
    <definedName name="Cap" localSheetId="11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localSheetId="15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localSheetId="18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localSheetId="14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localSheetId="12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localSheetId="13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rp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ar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arpg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arp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arpnm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arpn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case">[4]Summary_Sheet!$Z$50</definedName>
    <definedName name="CAUV" localSheetId="14">#REF!</definedName>
    <definedName name="CAUV" localSheetId="12">#REF!</definedName>
    <definedName name="CAUV" localSheetId="1">#REF!</definedName>
    <definedName name="CAUV" localSheetId="13">#REF!</definedName>
    <definedName name="CAUV">#REF!</definedName>
    <definedName name="cb_sChart155F5559_opts" hidden="1">"1, 1, 1, False, 2, False, False, , 0, False, False, 1, 1"</definedName>
    <definedName name="cb_sChart155F5734_opts" hidden="1">"1, 1, 1, False, 2, False, False, , 0, False, False, 2, 1"</definedName>
    <definedName name="cb_sChart155F57B3_opts" hidden="1">"1, 1, 1, False, 2, False, False, , 0, False, False, 1, 1"</definedName>
    <definedName name="cc" localSheetId="18" hidden="1">{"Execavation",#N/A,FALSE,"furniture (employer)"}</definedName>
    <definedName name="cc" hidden="1">{"Execavation",#N/A,FALSE,"furniture (employer)"}</definedName>
    <definedName name="ccc" localSheetId="11" hidden="1">{#N/A,#N/A,FALSE,"Calc";#N/A,#N/A,FALSE,"Sensitivity";#N/A,#N/A,FALSE,"LT Earn.Dil.";#N/A,#N/A,FALSE,"Dil. AVP"}</definedName>
    <definedName name="ccc" localSheetId="15" hidden="1">{#N/A,#N/A,FALSE,"Calc";#N/A,#N/A,FALSE,"Sensitivity";#N/A,#N/A,FALSE,"LT Earn.Dil.";#N/A,#N/A,FALSE,"Dil. AVP"}</definedName>
    <definedName name="ccc" localSheetId="18" hidden="1">{#N/A,#N/A,FALSE,"Calc";#N/A,#N/A,FALSE,"Sensitivity";#N/A,#N/A,FALSE,"LT Earn.Dil.";#N/A,#N/A,FALSE,"Dil. AVP"}</definedName>
    <definedName name="ccc" localSheetId="14" hidden="1">{#N/A,#N/A,FALSE,"Calc";#N/A,#N/A,FALSE,"Sensitivity";#N/A,#N/A,FALSE,"LT Earn.Dil.";#N/A,#N/A,FALSE,"Dil. AVP"}</definedName>
    <definedName name="ccc" localSheetId="12" hidden="1">{#N/A,#N/A,FALSE,"Calc";#N/A,#N/A,FALSE,"Sensitivity";#N/A,#N/A,FALSE,"LT Earn.Dil.";#N/A,#N/A,FALSE,"Dil. AVP"}</definedName>
    <definedName name="ccc" localSheetId="13" hidden="1">{#N/A,#N/A,FALSE,"Calc";#N/A,#N/A,FALSE,"Sensitivity";#N/A,#N/A,FALSE,"LT Earn.Dil.";#N/A,#N/A,FALSE,"Dil. AVP"}</definedName>
    <definedName name="ccc" hidden="1">{#N/A,#N/A,FALSE,"Calc";#N/A,#N/A,FALSE,"Sensitivity";#N/A,#N/A,FALSE,"LT Earn.Dil.";#N/A,#N/A,FALSE,"Dil. AVP"}</definedName>
    <definedName name="CCCZK" localSheetId="14">#REF!</definedName>
    <definedName name="CCCZK" localSheetId="12">#REF!</definedName>
    <definedName name="CCCZK" localSheetId="1">#REF!</definedName>
    <definedName name="CCCZK" localSheetId="13">#REF!</definedName>
    <definedName name="CCCZK">#REF!</definedName>
    <definedName name="CCDEM" localSheetId="14">#REF!</definedName>
    <definedName name="CCDEM" localSheetId="12">#REF!</definedName>
    <definedName name="CCDEM" localSheetId="1">#REF!</definedName>
    <definedName name="CCDEM" localSheetId="13">#REF!</definedName>
    <definedName name="CCDEM">#REF!</definedName>
    <definedName name="CCEUR" localSheetId="14">#REF!</definedName>
    <definedName name="CCEUR" localSheetId="12">#REF!</definedName>
    <definedName name="CCEUR" localSheetId="1">#REF!</definedName>
    <definedName name="CCEUR" localSheetId="13">#REF!</definedName>
    <definedName name="CCEUR">#REF!</definedName>
    <definedName name="CCUSD" localSheetId="14">#REF!</definedName>
    <definedName name="CCUSD" localSheetId="12">#REF!</definedName>
    <definedName name="CCUSD" localSheetId="1">#REF!</definedName>
    <definedName name="CCUSD" localSheetId="13">#REF!</definedName>
    <definedName name="CCUSD">#REF!</definedName>
    <definedName name="CE_months" localSheetId="14">#REF!</definedName>
    <definedName name="CE_months" localSheetId="12">#REF!</definedName>
    <definedName name="CE_months" localSheetId="1">#REF!</definedName>
    <definedName name="CE_months" localSheetId="13">#REF!</definedName>
    <definedName name="CE_months">#REF!</definedName>
    <definedName name="CFHeads">[20]CFData!$C$2:$C$1216</definedName>
    <definedName name="CFProjects">[20]CFData!$B$2:$B$1216</definedName>
    <definedName name="CFSector">[20]CFData!$A$2:$A$1216</definedName>
    <definedName name="change_2" localSheetId="18" hidden="1">#REF!</definedName>
    <definedName name="change_2" localSheetId="1" hidden="1">[15]A!#REF!</definedName>
    <definedName name="change_2" hidden="1">[15]A!#REF!</definedName>
    <definedName name="change_3" localSheetId="18" hidden="1">#REF!</definedName>
    <definedName name="change_3" localSheetId="1" hidden="1">[15]A!#REF!</definedName>
    <definedName name="change_3" hidden="1">[15]A!#REF!</definedName>
    <definedName name="change_it" localSheetId="18" hidden="1">#REF!</definedName>
    <definedName name="change_it" localSheetId="1" hidden="1">[15]A!#REF!</definedName>
    <definedName name="change_it" hidden="1">[15]A!#REF!</definedName>
    <definedName name="change4" localSheetId="18" hidden="1">#REF!</definedName>
    <definedName name="change4" localSheetId="1" hidden="1">[15]A!#REF!</definedName>
    <definedName name="change4" hidden="1">[15]A!#REF!</definedName>
    <definedName name="Changes_CON" localSheetId="14">#REF!</definedName>
    <definedName name="Changes_CON" localSheetId="12">#REF!</definedName>
    <definedName name="Changes_CON" localSheetId="1">#REF!</definedName>
    <definedName name="Changes_CON" localSheetId="13">#REF!</definedName>
    <definedName name="Changes_CON">#REF!</definedName>
    <definedName name="Changes_PRE" localSheetId="14">#REF!</definedName>
    <definedName name="Changes_PRE" localSheetId="12">#REF!</definedName>
    <definedName name="Changes_PRE" localSheetId="1">#REF!</definedName>
    <definedName name="Changes_PRE" localSheetId="13">#REF!</definedName>
    <definedName name="Changes_PRE">#REF!</definedName>
    <definedName name="Changes_TIP" localSheetId="14">#REF!</definedName>
    <definedName name="Changes_TIP" localSheetId="12">#REF!</definedName>
    <definedName name="Changes_TIP" localSheetId="1">#REF!</definedName>
    <definedName name="Changes_TIP" localSheetId="13">#REF!</definedName>
    <definedName name="Changes_TIP">#REF!</definedName>
    <definedName name="Changes_Total" localSheetId="14">#REF!</definedName>
    <definedName name="Changes_Total" localSheetId="12">#REF!</definedName>
    <definedName name="Changes_Total" localSheetId="1">#REF!</definedName>
    <definedName name="Changes_Total" localSheetId="13">#REF!</definedName>
    <definedName name="Changes_Total">#REF!</definedName>
    <definedName name="CIQWBGuid" hidden="1">"6ecba862-9cea-495e-9c8d-f89b942f87f7"</definedName>
    <definedName name="Cl.Preforma" localSheetId="18" hidden="1">{"Execavation",#N/A,FALSE,"furniture (employer)"}</definedName>
    <definedName name="Cl.Preforma" hidden="1">{"Execavation",#N/A,FALSE,"furniture (employer)"}</definedName>
    <definedName name="CLAIMB" localSheetId="18" hidden="1">{"Execavation",#N/A,FALSE,"furniture (employer)"}</definedName>
    <definedName name="CLAIMB" hidden="1">{"Execavation",#N/A,FALSE,"furniture (employer)"}</definedName>
    <definedName name="CLAIMSB" localSheetId="18" hidden="1">{"Execavation",#N/A,FALSE,"furniture (employer)"}</definedName>
    <definedName name="CLAIMSB" hidden="1">{"Execavation",#N/A,FALSE,"furniture (employer)"}</definedName>
    <definedName name="CLAIMSL" localSheetId="18" hidden="1">{"Execavation",#N/A,FALSE,"furniture (employer)"}</definedName>
    <definedName name="CLAIMSL" hidden="1">{"Execavation",#N/A,FALSE,"furniture (employer)"}</definedName>
    <definedName name="CLL" localSheetId="18" hidden="1">{"Execavation",#N/A,FALSE,"furniture (employer)"}</definedName>
    <definedName name="CLL" hidden="1">{"Execavation",#N/A,FALSE,"furniture (employer)"}</definedName>
    <definedName name="CLM" localSheetId="18" hidden="1">{"Execavation",#N/A,FALSE,"furniture (employer)"}</definedName>
    <definedName name="CLM" hidden="1">{"Execavation",#N/A,FALSE,"furniture (employer)"}</definedName>
    <definedName name="cloroz1p" localSheetId="1">'[24]Sumář jm. sez. Přípravy'!#REF!</definedName>
    <definedName name="cloroz1p">'[25]Sumář jm. sez. Přípravy'!#REF!</definedName>
    <definedName name="clozah1p" localSheetId="1">'[24]Sumář jm. sez. Přípravy'!#REF!</definedName>
    <definedName name="clozah1p">'[25]Sumář jm. sez. Přípravy'!#REF!</definedName>
    <definedName name="COMM" localSheetId="14">#REF!</definedName>
    <definedName name="COMM" localSheetId="12">#REF!</definedName>
    <definedName name="COMM" localSheetId="1">#REF!</definedName>
    <definedName name="COMM" localSheetId="13">#REF!</definedName>
    <definedName name="COMM">#REF!</definedName>
    <definedName name="CommonSize_CON" localSheetId="14">#REF!</definedName>
    <definedName name="CommonSize_CON" localSheetId="12">#REF!</definedName>
    <definedName name="CommonSize_CON" localSheetId="1">#REF!</definedName>
    <definedName name="CommonSize_CON" localSheetId="13">#REF!</definedName>
    <definedName name="CommonSize_CON">#REF!</definedName>
    <definedName name="CommonSize_PRE" localSheetId="14">#REF!</definedName>
    <definedName name="CommonSize_PRE" localSheetId="12">#REF!</definedName>
    <definedName name="CommonSize_PRE" localSheetId="1">#REF!</definedName>
    <definedName name="CommonSize_PRE" localSheetId="13">#REF!</definedName>
    <definedName name="CommonSize_PRE">#REF!</definedName>
    <definedName name="CommonSize_TIP" localSheetId="14">#REF!</definedName>
    <definedName name="CommonSize_TIP" localSheetId="12">#REF!</definedName>
    <definedName name="CommonSize_TIP" localSheetId="1">#REF!</definedName>
    <definedName name="CommonSize_TIP" localSheetId="13">#REF!</definedName>
    <definedName name="CommonSize_TIP">#REF!</definedName>
    <definedName name="CommonSize_Total" localSheetId="14">#REF!</definedName>
    <definedName name="CommonSize_Total" localSheetId="12">#REF!</definedName>
    <definedName name="CommonSize_Total" localSheetId="1">#REF!</definedName>
    <definedName name="CommonSize_Total" localSheetId="13">#REF!</definedName>
    <definedName name="CommonSize_Total">#REF!</definedName>
    <definedName name="COMP" localSheetId="14">#REF!</definedName>
    <definedName name="COMP" localSheetId="12">#REF!</definedName>
    <definedName name="COMP" localSheetId="1">#REF!</definedName>
    <definedName name="COMP" localSheetId="13">#REF!</definedName>
    <definedName name="COMP">#REF!</definedName>
    <definedName name="Comp_Print" localSheetId="11">#N/A</definedName>
    <definedName name="Comp_Print" localSheetId="14">#N/A</definedName>
    <definedName name="Comp_Print" localSheetId="12">#N/A</definedName>
    <definedName name="Comp_Print" localSheetId="1">#N/A</definedName>
    <definedName name="Comp_Print" localSheetId="13">#N/A</definedName>
    <definedName name="Comp_Print">#N/A</definedName>
    <definedName name="COMPANY" localSheetId="14">#REF!</definedName>
    <definedName name="COMPANY" localSheetId="12">#REF!</definedName>
    <definedName name="COMPANY" localSheetId="1">#REF!</definedName>
    <definedName name="COMPANY" localSheetId="13">#REF!</definedName>
    <definedName name="COMPANY">#REF!</definedName>
    <definedName name="Comparison" localSheetId="14">#REF!</definedName>
    <definedName name="Comparison" localSheetId="12">#REF!</definedName>
    <definedName name="Comparison" localSheetId="1">#REF!</definedName>
    <definedName name="Comparison" localSheetId="13">#REF!</definedName>
    <definedName name="Comparison">#REF!</definedName>
    <definedName name="Cost_of_Sales" localSheetId="14">#REF!</definedName>
    <definedName name="Cost_of_Sales" localSheetId="12">#REF!</definedName>
    <definedName name="Cost_of_Sales" localSheetId="1">#REF!</definedName>
    <definedName name="Cost_of_Sales" localSheetId="13">#REF!</definedName>
    <definedName name="Cost_of_Sales">#REF!</definedName>
    <definedName name="credit_stats" localSheetId="1">'[26]Model (Telecorp)'!#REF!</definedName>
    <definedName name="credit_stats">'[26]Model (Telecorp)'!#REF!</definedName>
    <definedName name="csd" localSheetId="18" hidden="1">{"Execavation",#N/A,FALSE,"furniture (employer)"}</definedName>
    <definedName name="csd" hidden="1">{"Execavation",#N/A,FALSE,"furniture (employer)"}</definedName>
    <definedName name="Cum.Interest">IF([27]DATA!XEW1048560&lt;&gt;"",[27]DATA!XFC1048559+[27]DATA!XEZ1048560,"")</definedName>
    <definedName name="Cum_Int" localSheetId="14">#REF!</definedName>
    <definedName name="Cum_Int" localSheetId="12">#REF!</definedName>
    <definedName name="Cum_Int" localSheetId="1">#REF!</definedName>
    <definedName name="Cum_Int" localSheetId="13">#REF!</definedName>
    <definedName name="Cum_Int">#REF!</definedName>
    <definedName name="cur" localSheetId="14">#REF!</definedName>
    <definedName name="cur" localSheetId="12">#REF!</definedName>
    <definedName name="cur" localSheetId="1">#REF!</definedName>
    <definedName name="cur" localSheetId="13">#REF!</definedName>
    <definedName name="cur">#REF!</definedName>
    <definedName name="curr" localSheetId="14">#REF!</definedName>
    <definedName name="curr" localSheetId="12">#REF!</definedName>
    <definedName name="curr" localSheetId="1">#REF!</definedName>
    <definedName name="curr" localSheetId="13">#REF!</definedName>
    <definedName name="curr">#REF!</definedName>
    <definedName name="CurrencyCode">[28]Valuation!$G$2</definedName>
    <definedName name="CurrencyList">[29]FX!$B$5:$C$50</definedName>
    <definedName name="CurrencyNote">[28]Valuation!$C$10</definedName>
    <definedName name="current" localSheetId="11">'[30]Mega Caps'!#REF!</definedName>
    <definedName name="current" localSheetId="1">'[30]Mega Caps'!#REF!</definedName>
    <definedName name="current">'[30]Mega Caps'!#REF!</definedName>
    <definedName name="cursup" localSheetId="14">#REF!</definedName>
    <definedName name="cursup" localSheetId="12">#REF!</definedName>
    <definedName name="cursup" localSheetId="1">#REF!</definedName>
    <definedName name="cursup" localSheetId="13">#REF!</definedName>
    <definedName name="cursup">#REF!</definedName>
    <definedName name="cushion" localSheetId="14">#REF!</definedName>
    <definedName name="cushion" localSheetId="12">#REF!</definedName>
    <definedName name="cushion" localSheetId="1">#REF!</definedName>
    <definedName name="cushion" localSheetId="13">#REF!</definedName>
    <definedName name="cushion">#REF!</definedName>
    <definedName name="CUST_LP" localSheetId="14">#REF!</definedName>
    <definedName name="CUST_LP" localSheetId="12">#REF!</definedName>
    <definedName name="CUST_LP" localSheetId="1">#REF!</definedName>
    <definedName name="CUST_LP" localSheetId="13">#REF!</definedName>
    <definedName name="CUST_LP">#REF!</definedName>
    <definedName name="Customers" localSheetId="11" hidden="1">{#N/A,#N/A,FALSE,"1996";#N/A,#N/A,FALSE,"1995";#N/A,#N/A,FALSE,"1994"}</definedName>
    <definedName name="Customers" localSheetId="15" hidden="1">{#N/A,#N/A,FALSE,"1996";#N/A,#N/A,FALSE,"1995";#N/A,#N/A,FALSE,"1994"}</definedName>
    <definedName name="Customers" localSheetId="18" hidden="1">{#N/A,#N/A,FALSE,"1996";#N/A,#N/A,FALSE,"1995";#N/A,#N/A,FALSE,"1994"}</definedName>
    <definedName name="Customers" localSheetId="14" hidden="1">{#N/A,#N/A,FALSE,"1996";#N/A,#N/A,FALSE,"1995";#N/A,#N/A,FALSE,"1994"}</definedName>
    <definedName name="Customers" localSheetId="12" hidden="1">{#N/A,#N/A,FALSE,"1996";#N/A,#N/A,FALSE,"1995";#N/A,#N/A,FALSE,"1994"}</definedName>
    <definedName name="Customers" localSheetId="13" hidden="1">{#N/A,#N/A,FALSE,"1996";#N/A,#N/A,FALSE,"1995";#N/A,#N/A,FALSE,"1994"}</definedName>
    <definedName name="Customers" hidden="1">{#N/A,#N/A,FALSE,"1996";#N/A,#N/A,FALSE,"1995";#N/A,#N/A,FALSE,"1994"}</definedName>
    <definedName name="CWI" localSheetId="1">[31]DCF!#REF!</definedName>
    <definedName name="CWI">[31]DCF!#REF!</definedName>
    <definedName name="Cwvu.GREY_ALL." localSheetId="18" hidden="1">#REF!</definedName>
    <definedName name="Cwvu.GREY_ALL." localSheetId="14" hidden="1">#REF!</definedName>
    <definedName name="Cwvu.GREY_ALL." localSheetId="12" hidden="1">#REF!</definedName>
    <definedName name="Cwvu.GREY_ALL." localSheetId="1" hidden="1">#REF!</definedName>
    <definedName name="Cwvu.GREY_ALL." localSheetId="13" hidden="1">#REF!</definedName>
    <definedName name="Cwvu.GREY_ALL." hidden="1">#REF!</definedName>
    <definedName name="CZK_interest_expense" localSheetId="14">#REF!</definedName>
    <definedName name="CZK_interest_expense" localSheetId="12">#REF!</definedName>
    <definedName name="CZK_interest_expense" localSheetId="1">#REF!</definedName>
    <definedName name="CZK_interest_expense" localSheetId="13">#REF!</definedName>
    <definedName name="CZK_interest_expense">#REF!</definedName>
    <definedName name="D" localSheetId="11" hidden="1">{#N/A,#N/A,FALSE,"Finanzbedarsrechnung"}</definedName>
    <definedName name="D" localSheetId="15" hidden="1">{#N/A,#N/A,FALSE,"Finanzbedarsrechnung"}</definedName>
    <definedName name="D" localSheetId="18" hidden="1">{#N/A,#N/A,FALSE,"Finanzbedarsrechnung"}</definedName>
    <definedName name="D" localSheetId="14" hidden="1">{#N/A,#N/A,FALSE,"Finanzbedarsrechnung"}</definedName>
    <definedName name="D" localSheetId="12" hidden="1">{#N/A,#N/A,FALSE,"Finanzbedarsrechnung"}</definedName>
    <definedName name="D" localSheetId="13" hidden="1">{#N/A,#N/A,FALSE,"Finanzbedarsrechnung"}</definedName>
    <definedName name="D" hidden="1">{#N/A,#N/A,FALSE,"Finanzbedarsrechnung"}</definedName>
    <definedName name="d_1" localSheetId="14">#REF!</definedName>
    <definedName name="d_1" localSheetId="12">#REF!</definedName>
    <definedName name="d_1" localSheetId="1">#REF!</definedName>
    <definedName name="d_1" localSheetId="13">#REF!</definedName>
    <definedName name="d_1">#REF!</definedName>
    <definedName name="d_2" localSheetId="14">#REF!</definedName>
    <definedName name="d_2" localSheetId="12">#REF!</definedName>
    <definedName name="d_2" localSheetId="1">#REF!</definedName>
    <definedName name="d_2" localSheetId="13">#REF!</definedName>
    <definedName name="d_2">#REF!</definedName>
    <definedName name="d_jp" localSheetId="18" hidden="1">{"'Sheet1'!$A$4386:$N$4591"}</definedName>
    <definedName name="d_jp" hidden="1">{"'Sheet1'!$A$4386:$N$4591"}</definedName>
    <definedName name="damx">[32]Calcul!$N$3</definedName>
    <definedName name="dasdibgfisbgjf" localSheetId="18" hidden="1">{"'Sheet1'!$A$4386:$N$4591"}</definedName>
    <definedName name="dasdibgfisbgjf" hidden="1">{"'Sheet1'!$A$4386:$N$4591"}</definedName>
    <definedName name="Data" localSheetId="14">#REF!</definedName>
    <definedName name="Data" localSheetId="12">#REF!</definedName>
    <definedName name="Data" localSheetId="1">#REF!</definedName>
    <definedName name="Data" localSheetId="13">#REF!</definedName>
    <definedName name="Data">#REF!</definedName>
    <definedName name="data_july">[33]July!$A$1:$M$68</definedName>
    <definedName name="data_status" localSheetId="14">#REF!</definedName>
    <definedName name="data_status" localSheetId="12">#REF!</definedName>
    <definedName name="data_status" localSheetId="1">#REF!</definedName>
    <definedName name="data_status" localSheetId="13">#REF!</definedName>
    <definedName name="data_status">#REF!</definedName>
    <definedName name="Data_summary" localSheetId="11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15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18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14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1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13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table" localSheetId="1">[6]LBO!#REF!</definedName>
    <definedName name="data_table">[6]LBO!#REF!</definedName>
    <definedName name="Data14">"Chart 14"</definedName>
    <definedName name="Data4" localSheetId="14">#REF!</definedName>
    <definedName name="Data4" localSheetId="12">#REF!</definedName>
    <definedName name="Data4" localSheetId="1">#REF!</definedName>
    <definedName name="Data4" localSheetId="13">#REF!</definedName>
    <definedName name="Data4">#REF!</definedName>
    <definedName name="Data5" localSheetId="14">#REF!</definedName>
    <definedName name="Data5" localSheetId="12">#REF!</definedName>
    <definedName name="Data5" localSheetId="1">#REF!</definedName>
    <definedName name="Data5" localSheetId="13">#REF!</definedName>
    <definedName name="Data5">#REF!</definedName>
    <definedName name="DateRangePrice" localSheetId="18" hidden="1">OFFSET(#REF!,5,0,COUNTA(#REF!)-COUNTA(#REF!),1)</definedName>
    <definedName name="DateRangePrice" hidden="1">OFFSET([34]!DateRangePriceMain,5,0,COUNTA([34]!DateRangePriceMain)-COUNTA([35]PriceDataSheet!$G$1:$G$5),1)</definedName>
    <definedName name="DateRangePriceMain" localSheetId="18" hidden="1">#REF!</definedName>
    <definedName name="DateRangePriceMain" hidden="1">[35]PriceDataSheet!$G$1:$G$65536</definedName>
    <definedName name="DBR" localSheetId="14">#REF!</definedName>
    <definedName name="DBR" localSheetId="12">#REF!</definedName>
    <definedName name="DBR" localSheetId="1">#REF!</definedName>
    <definedName name="DBR" localSheetId="13">#REF!</definedName>
    <definedName name="DBR">#REF!</definedName>
    <definedName name="DCF_" localSheetId="1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 localSheetId="1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 localSheetId="18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 localSheetId="1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 localSheetId="1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 localSheetId="1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IN_LBO" localSheetId="1">[6]LBO!#REF!</definedName>
    <definedName name="DCF_IN_LBO">[6]LBO!#REF!</definedName>
    <definedName name="DCF_Valuation" localSheetId="14">#REF!</definedName>
    <definedName name="DCF_Valuation" localSheetId="12">#REF!</definedName>
    <definedName name="DCF_Valuation" localSheetId="1">#REF!</definedName>
    <definedName name="DCF_Valuation" localSheetId="13">#REF!</definedName>
    <definedName name="DCF_Valuation">#REF!</definedName>
    <definedName name="DCI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i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LAB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LA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labc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clab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d" localSheetId="14">#REF!</definedName>
    <definedName name="dd" localSheetId="12">#REF!</definedName>
    <definedName name="dd" localSheetId="1">#REF!</definedName>
    <definedName name="dd" localSheetId="13">#REF!</definedName>
    <definedName name="dd">#REF!</definedName>
    <definedName name="ddd" localSheetId="11" hidden="1">{"histincome",#N/A,FALSE,"hyfins";"closing balance",#N/A,FALSE,"hyfins"}</definedName>
    <definedName name="ddd" localSheetId="15" hidden="1">{"histincome",#N/A,FALSE,"hyfins";"closing balance",#N/A,FALSE,"hyfins"}</definedName>
    <definedName name="ddd" localSheetId="18" hidden="1">{"histincome",#N/A,FALSE,"hyfins";"closing balance",#N/A,FALSE,"hyfins"}</definedName>
    <definedName name="ddd" localSheetId="14" hidden="1">{"histincome",#N/A,FALSE,"hyfins";"closing balance",#N/A,FALSE,"hyfins"}</definedName>
    <definedName name="ddd" localSheetId="12" hidden="1">{"histincome",#N/A,FALSE,"hyfins";"closing balance",#N/A,FALSE,"hyfins"}</definedName>
    <definedName name="ddd" localSheetId="13" hidden="1">{"histincome",#N/A,FALSE,"hyfins";"closing balance",#N/A,FALSE,"hyfins"}</definedName>
    <definedName name="ddd" hidden="1">{"histincome",#N/A,FALSE,"hyfins";"closing balance",#N/A,FALSE,"hyfins"}</definedName>
    <definedName name="ddd_1" localSheetId="18" hidden="1">{#N/A,#N/A,TRUE,"DCF Summary (2)";#N/A,#N/A,TRUE,"DCF Summary";#N/A,"Middle Case Drivers",TRUE,"DCF"}</definedName>
    <definedName name="ddd_1" hidden="1">{#N/A,#N/A,TRUE,"DCF Summary (2)";#N/A,#N/A,TRUE,"DCF Summary";#N/A,"Middle Case Drivers",TRUE,"DCF"}</definedName>
    <definedName name="ddorg" localSheetId="14">#REF!</definedName>
    <definedName name="ddorg" localSheetId="12">#REF!</definedName>
    <definedName name="ddorg" localSheetId="1">#REF!</definedName>
    <definedName name="ddorg" localSheetId="13">#REF!</definedName>
    <definedName name="ddorg">#REF!</definedName>
    <definedName name="dealclose">'[36]PF Assumptions'!$F$198</definedName>
    <definedName name="dealon" localSheetId="11">'[30]Mega Caps'!#REF!</definedName>
    <definedName name="dealon" localSheetId="1">'[30]Mega Caps'!#REF!</definedName>
    <definedName name="dealon">'[30]Mega Caps'!#REF!</definedName>
    <definedName name="Dec_08">[20]CFData!$M$2:$M$1216</definedName>
    <definedName name="December">[20]HRData!$N$2:$N$100</definedName>
    <definedName name="DEF" localSheetId="14">#REF!</definedName>
    <definedName name="DEF" localSheetId="12">#REF!</definedName>
    <definedName name="DEF" localSheetId="1">#REF!</definedName>
    <definedName name="DEF" localSheetId="13">#REF!</definedName>
    <definedName name="DEF">#REF!</definedName>
    <definedName name="deftax" localSheetId="1">'[37]DCF Analysis'!#REF!</definedName>
    <definedName name="deftax">'[37]DCF Analysis'!#REF!</definedName>
    <definedName name="Delhi" localSheetId="14">#REF!</definedName>
    <definedName name="Delhi" localSheetId="12">#REF!</definedName>
    <definedName name="Delhi" localSheetId="1">#REF!</definedName>
    <definedName name="Delhi" localSheetId="13">#REF!</definedName>
    <definedName name="Delhi">#REF!</definedName>
    <definedName name="delhi_new" localSheetId="14">#REF!</definedName>
    <definedName name="delhi_new" localSheetId="12">#REF!</definedName>
    <definedName name="delhi_new" localSheetId="1">#REF!</definedName>
    <definedName name="delhi_new" localSheetId="13">#REF!</definedName>
    <definedName name="delhi_new">#REF!</definedName>
    <definedName name="DEM_AVG" localSheetId="14">#REF!</definedName>
    <definedName name="DEM_AVG" localSheetId="12">#REF!</definedName>
    <definedName name="DEM_AVG" localSheetId="1">#REF!</definedName>
    <definedName name="DEM_AVG" localSheetId="13">#REF!</definedName>
    <definedName name="DEM_AVG">#REF!</definedName>
    <definedName name="DEM_BOP" localSheetId="14">#REF!</definedName>
    <definedName name="DEM_BOP" localSheetId="12">#REF!</definedName>
    <definedName name="DEM_BOP" localSheetId="1">#REF!</definedName>
    <definedName name="DEM_BOP" localSheetId="13">#REF!</definedName>
    <definedName name="DEM_BOP">#REF!</definedName>
    <definedName name="DEM_EOP" localSheetId="14">#REF!</definedName>
    <definedName name="DEM_EOP" localSheetId="12">#REF!</definedName>
    <definedName name="DEM_EOP" localSheetId="1">#REF!</definedName>
    <definedName name="DEM_EOP" localSheetId="13">#REF!</definedName>
    <definedName name="DEM_EOP">#REF!</definedName>
    <definedName name="Density" localSheetId="14">#REF!</definedName>
    <definedName name="Density" localSheetId="12">#REF!</definedName>
    <definedName name="Density" localSheetId="1">#REF!</definedName>
    <definedName name="Density" localSheetId="13">#REF!</definedName>
    <definedName name="Density">#REF!</definedName>
    <definedName name="Desc_Bonus" localSheetId="14">#REF!</definedName>
    <definedName name="Desc_Bonus" localSheetId="12">#REF!</definedName>
    <definedName name="Desc_Bonus" localSheetId="1">#REF!</definedName>
    <definedName name="Desc_Bonus" localSheetId="13">#REF!</definedName>
    <definedName name="Desc_Bonus">#REF!</definedName>
    <definedName name="description" localSheetId="14">#REF!</definedName>
    <definedName name="description" localSheetId="12">#REF!</definedName>
    <definedName name="description" localSheetId="1">#REF!</definedName>
    <definedName name="description" localSheetId="13">#REF!</definedName>
    <definedName name="description">#REF!</definedName>
    <definedName name="DF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dfs" localSheetId="18" hidden="1">{"'Sheet1'!$A$4386:$N$4591"}</definedName>
    <definedName name="dfdfs" hidden="1">{"'Sheet1'!$A$4386:$N$4591"}</definedName>
    <definedName name="dff">'[38]Bal Sheet'!$A$2</definedName>
    <definedName name="dfg" localSheetId="18" hidden="1">{"Execavation",#N/A,FALSE,"furniture (employer)"}</definedName>
    <definedName name="dfg" hidden="1">{"Execavation",#N/A,FALSE,"furniture (employer)"}</definedName>
    <definedName name="dfgddf" localSheetId="18" hidden="1">{"'Sheet1'!$A$4386:$N$4591"}</definedName>
    <definedName name="dfgddf" hidden="1">{"'Sheet1'!$A$4386:$N$4591"}</definedName>
    <definedName name="dfhfh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hf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fqadas" localSheetId="18" hidden="1">{"'Sheet1'!$A$4386:$N$4591"}</definedName>
    <definedName name="dfqadas" hidden="1">{"'Sheet1'!$A$4386:$N$4591"}</definedName>
    <definedName name="dfsdf" localSheetId="18" hidden="1">{"'Sheet1'!$A$4386:$N$4591"}</definedName>
    <definedName name="dfsdf" hidden="1">{"'Sheet1'!$A$4386:$N$4591"}</definedName>
    <definedName name="dgdf" localSheetId="11">[0]!Annual_interest_rate/[0]!Payments_per_year</definedName>
    <definedName name="dgdf" localSheetId="15">[0]!Annual_interest_rate/[0]!Payments_per_year</definedName>
    <definedName name="dgdf" localSheetId="14">[0]!Annual_interest_rate/[0]!Payments_per_year</definedName>
    <definedName name="dgdf" localSheetId="12">[0]!Annual_interest_rate/[0]!Payments_per_year</definedName>
    <definedName name="dgdf" localSheetId="1">[0]!Annual_interest_rate/[0]!Payments_per_year</definedName>
    <definedName name="dgdf" localSheetId="13">[0]!Annual_interest_rate/[0]!Payments_per_year</definedName>
    <definedName name="dgdf">[0]!Annual_interest_rate/[0]!Payments_per_year</definedName>
    <definedName name="dgdg" localSheetId="11" hidden="1">{#N/A,#N/A,FALSE,"Calc";#N/A,#N/A,FALSE,"Sensitivity";#N/A,#N/A,FALSE,"LT Earn.Dil.";#N/A,#N/A,FALSE,"Dil. AVP"}</definedName>
    <definedName name="dgdg" localSheetId="15" hidden="1">{#N/A,#N/A,FALSE,"Calc";#N/A,#N/A,FALSE,"Sensitivity";#N/A,#N/A,FALSE,"LT Earn.Dil.";#N/A,#N/A,FALSE,"Dil. AVP"}</definedName>
    <definedName name="dgdg" localSheetId="18" hidden="1">{#N/A,#N/A,FALSE,"Calc";#N/A,#N/A,FALSE,"Sensitivity";#N/A,#N/A,FALSE,"LT Earn.Dil.";#N/A,#N/A,FALSE,"Dil. AVP"}</definedName>
    <definedName name="dgdg" localSheetId="14" hidden="1">{#N/A,#N/A,FALSE,"Calc";#N/A,#N/A,FALSE,"Sensitivity";#N/A,#N/A,FALSE,"LT Earn.Dil.";#N/A,#N/A,FALSE,"Dil. AVP"}</definedName>
    <definedName name="dgdg" localSheetId="12" hidden="1">{#N/A,#N/A,FALSE,"Calc";#N/A,#N/A,FALSE,"Sensitivity";#N/A,#N/A,FALSE,"LT Earn.Dil.";#N/A,#N/A,FALSE,"Dil. AVP"}</definedName>
    <definedName name="dgdg" localSheetId="13" hidden="1">{#N/A,#N/A,FALSE,"Calc";#N/A,#N/A,FALSE,"Sensitivity";#N/A,#N/A,FALSE,"LT Earn.Dil.";#N/A,#N/A,FALSE,"Dil. AVP"}</definedName>
    <definedName name="dgdg" hidden="1">{#N/A,#N/A,FALSE,"Calc";#N/A,#N/A,FALSE,"Sensitivity";#N/A,#N/A,FALSE,"LT Earn.Dil.";#N/A,#N/A,FALSE,"Dil. AVP"}</definedName>
    <definedName name="dgdgss" localSheetId="11" hidden="1">{"consolidated",#N/A,FALSE,"Sheet1";"cms",#N/A,FALSE,"Sheet1";"fse",#N/A,FALSE,"Sheet1"}</definedName>
    <definedName name="dgdgss" localSheetId="15" hidden="1">{"consolidated",#N/A,FALSE,"Sheet1";"cms",#N/A,FALSE,"Sheet1";"fse",#N/A,FALSE,"Sheet1"}</definedName>
    <definedName name="dgdgss" localSheetId="18" hidden="1">{"consolidated",#N/A,FALSE,"Sheet1";"cms",#N/A,FALSE,"Sheet1";"fse",#N/A,FALSE,"Sheet1"}</definedName>
    <definedName name="dgdgss" localSheetId="14" hidden="1">{"consolidated",#N/A,FALSE,"Sheet1";"cms",#N/A,FALSE,"Sheet1";"fse",#N/A,FALSE,"Sheet1"}</definedName>
    <definedName name="dgdgss" localSheetId="12" hidden="1">{"consolidated",#N/A,FALSE,"Sheet1";"cms",#N/A,FALSE,"Sheet1";"fse",#N/A,FALSE,"Sheet1"}</definedName>
    <definedName name="dgdgss" localSheetId="13" hidden="1">{"consolidated",#N/A,FALSE,"Sheet1";"cms",#N/A,FALSE,"Sheet1";"fse",#N/A,FALSE,"Sheet1"}</definedName>
    <definedName name="dgdgss" hidden="1">{"consolidated",#N/A,FALSE,"Sheet1";"cms",#N/A,FALSE,"Sheet1";"fse",#N/A,FALSE,"Sheet1"}</definedName>
    <definedName name="DHTML" localSheetId="18" hidden="1">{"'Sheet1'!$A$4386:$N$4591"}</definedName>
    <definedName name="DHTML" hidden="1">{"'Sheet1'!$A$4386:$N$4591"}</definedName>
    <definedName name="Diff_AME" localSheetId="14">#REF!</definedName>
    <definedName name="Diff_AME" localSheetId="12">#REF!</definedName>
    <definedName name="Diff_AME" localSheetId="1">#REF!</definedName>
    <definedName name="Diff_AME" localSheetId="13">#REF!</definedName>
    <definedName name="Diff_AME">#REF!</definedName>
    <definedName name="DiffA" localSheetId="14">#REF!</definedName>
    <definedName name="DiffA" localSheetId="12">#REF!</definedName>
    <definedName name="DiffA" localSheetId="1">#REF!</definedName>
    <definedName name="DiffA" localSheetId="13">#REF!</definedName>
    <definedName name="DiffA">#REF!</definedName>
    <definedName name="DiffB" localSheetId="14">#REF!</definedName>
    <definedName name="DiffB" localSheetId="12">#REF!</definedName>
    <definedName name="DiffB" localSheetId="1">#REF!</definedName>
    <definedName name="DiffB" localSheetId="13">#REF!</definedName>
    <definedName name="DiffB">#REF!</definedName>
    <definedName name="dillibabu" localSheetId="18" hidden="1">{"'Sheet1'!$A$4386:$N$4591"}</definedName>
    <definedName name="dillibabu" hidden="1">{"'Sheet1'!$A$4386:$N$4591"}</definedName>
    <definedName name="Dilution" localSheetId="14">#REF!</definedName>
    <definedName name="Dilution" localSheetId="12">#REF!</definedName>
    <definedName name="Dilution" localSheetId="1">#REF!</definedName>
    <definedName name="Dilution" localSheetId="13">#REF!</definedName>
    <definedName name="Dilution">#REF!</definedName>
    <definedName name="Dir_Rep_dtls" localSheetId="14">#REF!</definedName>
    <definedName name="Dir_Rep_dtls" localSheetId="12">#REF!</definedName>
    <definedName name="Dir_Rep_dtls" localSheetId="1">#REF!</definedName>
    <definedName name="Dir_Rep_dtls" localSheetId="13">#REF!</definedName>
    <definedName name="Dir_Rep_dtls">#REF!</definedName>
    <definedName name="disal" localSheetId="18" hidden="1">{"'Sheet1'!$A$4386:$N$4591"}</definedName>
    <definedName name="disal" hidden="1">{"'Sheet1'!$A$4386:$N$4591"}</definedName>
    <definedName name="Discounted_Cash_Flow_Analysis" localSheetId="14">#REF!</definedName>
    <definedName name="Discounted_Cash_Flow_Analysis" localSheetId="12">#REF!</definedName>
    <definedName name="Discounted_Cash_Flow_Analysis" localSheetId="1">#REF!</definedName>
    <definedName name="Discounted_Cash_Flow_Analysis" localSheetId="13">#REF!</definedName>
    <definedName name="Discounted_Cash_Flow_Analysis">#REF!</definedName>
    <definedName name="divest" localSheetId="1">[6]LBO!#REF!</definedName>
    <definedName name="divest">[6]LBO!#REF!</definedName>
    <definedName name="DOCNAME" localSheetId="14">#REF!</definedName>
    <definedName name="DOCNAME" localSheetId="12">#REF!</definedName>
    <definedName name="DOCNAME" localSheetId="1">#REF!</definedName>
    <definedName name="DOCNAME" localSheetId="13">#REF!</definedName>
    <definedName name="DOCNAME">#REF!</definedName>
    <definedName name="document_name" localSheetId="14">#REF!</definedName>
    <definedName name="document_name" localSheetId="12">#REF!</definedName>
    <definedName name="document_name" localSheetId="1">#REF!</definedName>
    <definedName name="document_name" localSheetId="13">#REF!</definedName>
    <definedName name="document_name">#REF!</definedName>
    <definedName name="doitg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oit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ollar" localSheetId="14">#REF!</definedName>
    <definedName name="Dollar" localSheetId="12">#REF!</definedName>
    <definedName name="Dollar" localSheetId="1">#REF!</definedName>
    <definedName name="Dollar" localSheetId="13">#REF!</definedName>
    <definedName name="Dollar">#REF!</definedName>
    <definedName name="dom" localSheetId="1">'[37]DCF Analysis'!#REF!</definedName>
    <definedName name="dom">'[37]DCF Analysis'!#REF!</definedName>
    <definedName name="domx" localSheetId="1">'[37]DCF Analysis'!#REF!</definedName>
    <definedName name="domx">'[37]DCF Analysis'!#REF!</definedName>
    <definedName name="dpr" localSheetId="18" hidden="1">{"'Sheet1'!$A$4386:$N$4591"}</definedName>
    <definedName name="dpr" hidden="1">{"'Sheet1'!$A$4386:$N$4591"}</definedName>
    <definedName name="Drainage" localSheetId="18" hidden="1">{"'Typical Costs Estimates'!$C$158:$H$161"}</definedName>
    <definedName name="Drainage" hidden="1">{"'Typical Costs Estimates'!$C$158:$H$161"}</definedName>
    <definedName name="ds" localSheetId="11" hidden="1">{"mgmt forecast",#N/A,FALSE,"Mgmt Forecast";"dcf table",#N/A,FALSE,"Mgmt Forecast";"sensitivity",#N/A,FALSE,"Mgmt Forecast";"table inputs",#N/A,FALSE,"Mgmt Forecast";"calculations",#N/A,FALSE,"Mgmt Forecast"}</definedName>
    <definedName name="ds" localSheetId="15" hidden="1">{"mgmt forecast",#N/A,FALSE,"Mgmt Forecast";"dcf table",#N/A,FALSE,"Mgmt Forecast";"sensitivity",#N/A,FALSE,"Mgmt Forecast";"table inputs",#N/A,FALSE,"Mgmt Forecast";"calculations",#N/A,FALSE,"Mgmt Forecast"}</definedName>
    <definedName name="ds" localSheetId="18" hidden="1">{"mgmt forecast",#N/A,FALSE,"Mgmt Forecast";"dcf table",#N/A,FALSE,"Mgmt Forecast";"sensitivity",#N/A,FALSE,"Mgmt Forecast";"table inputs",#N/A,FALSE,"Mgmt Forecast";"calculations",#N/A,FALSE,"Mgmt Forecast"}</definedName>
    <definedName name="ds" localSheetId="14" hidden="1">{"mgmt forecast",#N/A,FALSE,"Mgmt Forecast";"dcf table",#N/A,FALSE,"Mgmt Forecast";"sensitivity",#N/A,FALSE,"Mgmt Forecast";"table inputs",#N/A,FALSE,"Mgmt Forecast";"calculations",#N/A,FALSE,"Mgmt Forecast"}</definedName>
    <definedName name="ds" localSheetId="12" hidden="1">{"mgmt forecast",#N/A,FALSE,"Mgmt Forecast";"dcf table",#N/A,FALSE,"Mgmt Forecast";"sensitivity",#N/A,FALSE,"Mgmt Forecast";"table inputs",#N/A,FALSE,"Mgmt Forecast";"calculations",#N/A,FALSE,"Mgmt Forecast"}</definedName>
    <definedName name="ds" localSheetId="13" hidden="1">{"mgmt forecast",#N/A,FALSE,"Mgmt Forecast";"dcf table",#N/A,FALSE,"Mgmt Forecast";"sensitivity",#N/A,FALSE,"Mgmt Forecast";"table inputs",#N/A,FALSE,"Mgmt Forecast";"calculations",#N/A,FALSE,"Mgmt Forecast"}</definedName>
    <definedName name="ds" hidden="1">{"mgmt forecast",#N/A,FALSE,"Mgmt Forecast";"dcf table",#N/A,FALSE,"Mgmt Forecast";"sensitivity",#N/A,FALSE,"Mgmt Forecast";"table inputs",#N/A,FALSE,"Mgmt Forecast";"calculations",#N/A,FALSE,"Mgmt Forecast"}</definedName>
    <definedName name="dsad" localSheetId="18" hidden="1">{"Execavation",#N/A,FALSE,"furniture (employer)"}</definedName>
    <definedName name="dsad" hidden="1">{"Execavation",#N/A,FALSE,"furniture (employer)"}</definedName>
    <definedName name="DSCR" localSheetId="1">'[39]CASH FLOW'!#REF!</definedName>
    <definedName name="DSCR">'[39]CASH FLOW'!#REF!</definedName>
    <definedName name="dsg" localSheetId="11" hidden="1">{#N/A,#N/A,FALSE,"Calc";#N/A,#N/A,FALSE,"Sensitivity";#N/A,#N/A,FALSE,"LT Earn.Dil.";#N/A,#N/A,FALSE,"Dil. AVP"}</definedName>
    <definedName name="dsg" localSheetId="15" hidden="1">{#N/A,#N/A,FALSE,"Calc";#N/A,#N/A,FALSE,"Sensitivity";#N/A,#N/A,FALSE,"LT Earn.Dil.";#N/A,#N/A,FALSE,"Dil. AVP"}</definedName>
    <definedName name="dsg" localSheetId="18" hidden="1">{#N/A,#N/A,FALSE,"Calc";#N/A,#N/A,FALSE,"Sensitivity";#N/A,#N/A,FALSE,"LT Earn.Dil.";#N/A,#N/A,FALSE,"Dil. AVP"}</definedName>
    <definedName name="dsg" localSheetId="14" hidden="1">{#N/A,#N/A,FALSE,"Calc";#N/A,#N/A,FALSE,"Sensitivity";#N/A,#N/A,FALSE,"LT Earn.Dil.";#N/A,#N/A,FALSE,"Dil. AVP"}</definedName>
    <definedName name="dsg" localSheetId="12" hidden="1">{#N/A,#N/A,FALSE,"Calc";#N/A,#N/A,FALSE,"Sensitivity";#N/A,#N/A,FALSE,"LT Earn.Dil.";#N/A,#N/A,FALSE,"Dil. AVP"}</definedName>
    <definedName name="dsg" localSheetId="13" hidden="1">{#N/A,#N/A,FALSE,"Calc";#N/A,#N/A,FALSE,"Sensitivity";#N/A,#N/A,FALSE,"LT Earn.Dil.";#N/A,#N/A,FALSE,"Dil. AVP"}</definedName>
    <definedName name="dsg" hidden="1">{#N/A,#N/A,FALSE,"Calc";#N/A,#N/A,FALSE,"Sensitivity";#N/A,#N/A,FALSE,"LT Earn.Dil.";#N/A,#N/A,FALSE,"Dil. AVP"}</definedName>
    <definedName name="dvd" localSheetId="14">#REF!</definedName>
    <definedName name="dvd" localSheetId="12">#REF!</definedName>
    <definedName name="dvd" localSheetId="1">#REF!</definedName>
    <definedName name="dvd" localSheetId="13">#REF!</definedName>
    <definedName name="dvd">#REF!</definedName>
    <definedName name="e" localSheetId="11" hidden="1">{#N/A,#N/A,FALSE,"Layout GuV"}</definedName>
    <definedName name="e" localSheetId="15" hidden="1">{#N/A,#N/A,FALSE,"Layout GuV"}</definedName>
    <definedName name="e" localSheetId="18" hidden="1">{#N/A,#N/A,FALSE,"Layout GuV"}</definedName>
    <definedName name="e" localSheetId="14" hidden="1">{#N/A,#N/A,FALSE,"Layout GuV"}</definedName>
    <definedName name="e" localSheetId="12" hidden="1">{#N/A,#N/A,FALSE,"Layout GuV"}</definedName>
    <definedName name="e" localSheetId="13" hidden="1">{#N/A,#N/A,FALSE,"Layout GuV"}</definedName>
    <definedName name="e" hidden="1">{#N/A,#N/A,FALSE,"Layout GuV"}</definedName>
    <definedName name="EARNFC" localSheetId="14">#REF!</definedName>
    <definedName name="EARNFC" localSheetId="12">#REF!</definedName>
    <definedName name="EARNFC" localSheetId="1">#REF!</definedName>
    <definedName name="EARNFC" localSheetId="13">#REF!</definedName>
    <definedName name="EARNFC">#REF!</definedName>
    <definedName name="EARNFCY" localSheetId="14">#REF!</definedName>
    <definedName name="EARNFCY" localSheetId="12">#REF!</definedName>
    <definedName name="EARNFCY" localSheetId="1">#REF!</definedName>
    <definedName name="EARNFCY" localSheetId="13">#REF!</definedName>
    <definedName name="EARNFCY">#REF!</definedName>
    <definedName name="EARNPY" localSheetId="14">#REF!</definedName>
    <definedName name="EARNPY" localSheetId="12">#REF!</definedName>
    <definedName name="EARNPY" localSheetId="1">#REF!</definedName>
    <definedName name="EARNPY" localSheetId="13">#REF!</definedName>
    <definedName name="EARNPY">#REF!</definedName>
    <definedName name="EARNPYY" localSheetId="14">#REF!</definedName>
    <definedName name="EARNPYY" localSheetId="12">#REF!</definedName>
    <definedName name="EARNPYY" localSheetId="1">#REF!</definedName>
    <definedName name="EARNPYY" localSheetId="13">#REF!</definedName>
    <definedName name="EARNPYY">#REF!</definedName>
    <definedName name="EBIT95" localSheetId="14">#REF!</definedName>
    <definedName name="EBIT95" localSheetId="12">#REF!</definedName>
    <definedName name="EBIT95" localSheetId="1">#REF!</definedName>
    <definedName name="EBIT95" localSheetId="13">#REF!</definedName>
    <definedName name="EBIT95">#REF!</definedName>
    <definedName name="EBITDA" localSheetId="1">'[30]Mega Caps'!#REF!</definedName>
    <definedName name="EBITDA">'[30]Mega Caps'!#REF!</definedName>
    <definedName name="EBITSENS" localSheetId="14">#REF!</definedName>
    <definedName name="EBITSENS" localSheetId="12">#REF!</definedName>
    <definedName name="EBITSENS" localSheetId="1">#REF!</definedName>
    <definedName name="EBITSENS" localSheetId="13">#REF!</definedName>
    <definedName name="EBITSENS">#REF!</definedName>
    <definedName name="eeeeeeeeeeee" localSheetId="18" hidden="1">#REF!</definedName>
    <definedName name="eeeeeeeeeeee" localSheetId="1" hidden="1">[40]Proforma!#REF!</definedName>
    <definedName name="eeeeeeeeeeee" hidden="1">[40]Proforma!#REF!</definedName>
    <definedName name="emb" localSheetId="18" hidden="1">{"Execavation",#N/A,FALSE,"furniture (employer)"}</definedName>
    <definedName name="emb" hidden="1">{"Execavation",#N/A,FALSE,"furniture (employer)"}</definedName>
    <definedName name="EMBL" localSheetId="18" hidden="1">{"Execavation",#N/A,FALSE,"furniture (employer)"}</definedName>
    <definedName name="EMBL" hidden="1">{"Execavation",#N/A,FALSE,"furniture (employer)"}</definedName>
    <definedName name="emily" localSheetId="11" hidden="1">{#N/A,#N/A,FALSE,"Calc";#N/A,#N/A,FALSE,"Sensitivity";#N/A,#N/A,FALSE,"LT Earn.Dil.";#N/A,#N/A,FALSE,"Dil. AVP"}</definedName>
    <definedName name="emily" localSheetId="15" hidden="1">{#N/A,#N/A,FALSE,"Calc";#N/A,#N/A,FALSE,"Sensitivity";#N/A,#N/A,FALSE,"LT Earn.Dil.";#N/A,#N/A,FALSE,"Dil. AVP"}</definedName>
    <definedName name="emily" localSheetId="18" hidden="1">{#N/A,#N/A,FALSE,"Calc";#N/A,#N/A,FALSE,"Sensitivity";#N/A,#N/A,FALSE,"LT Earn.Dil.";#N/A,#N/A,FALSE,"Dil. AVP"}</definedName>
    <definedName name="emily" localSheetId="14" hidden="1">{#N/A,#N/A,FALSE,"Calc";#N/A,#N/A,FALSE,"Sensitivity";#N/A,#N/A,FALSE,"LT Earn.Dil.";#N/A,#N/A,FALSE,"Dil. AVP"}</definedName>
    <definedName name="emily" localSheetId="12" hidden="1">{#N/A,#N/A,FALSE,"Calc";#N/A,#N/A,FALSE,"Sensitivity";#N/A,#N/A,FALSE,"LT Earn.Dil.";#N/A,#N/A,FALSE,"Dil. AVP"}</definedName>
    <definedName name="emily" localSheetId="13" hidden="1">{#N/A,#N/A,FALSE,"Calc";#N/A,#N/A,FALSE,"Sensitivity";#N/A,#N/A,FALSE,"LT Earn.Dil.";#N/A,#N/A,FALSE,"Dil. AVP"}</definedName>
    <definedName name="emily" hidden="1">{#N/A,#N/A,FALSE,"Calc";#N/A,#N/A,FALSE,"Sensitivity";#N/A,#N/A,FALSE,"LT Earn.Dil.";#N/A,#N/A,FALSE,"Dil. AVP"}</definedName>
    <definedName name="End_Agg_Lines" localSheetId="14">#REF!</definedName>
    <definedName name="End_Agg_Lines" localSheetId="12">#REF!</definedName>
    <definedName name="End_Agg_Lines" localSheetId="1">#REF!</definedName>
    <definedName name="End_Agg_Lines" localSheetId="13">#REF!</definedName>
    <definedName name="End_Agg_Lines">#REF!</definedName>
    <definedName name="End_Bal" localSheetId="14">#REF!</definedName>
    <definedName name="End_Bal" localSheetId="12">#REF!</definedName>
    <definedName name="End_Bal" localSheetId="1">#REF!</definedName>
    <definedName name="End_Bal" localSheetId="13">#REF!</definedName>
    <definedName name="End_Bal">#REF!</definedName>
    <definedName name="End_Basic" localSheetId="14">#REF!</definedName>
    <definedName name="End_Basic" localSheetId="12">#REF!</definedName>
    <definedName name="End_Basic" localSheetId="1">#REF!</definedName>
    <definedName name="End_Basic" localSheetId="13">#REF!</definedName>
    <definedName name="End_Basic">#REF!</definedName>
    <definedName name="End_Business" localSheetId="14">#REF!</definedName>
    <definedName name="End_Business" localSheetId="12">#REF!</definedName>
    <definedName name="End_Business" localSheetId="1">#REF!</definedName>
    <definedName name="End_Business" localSheetId="13">#REF!</definedName>
    <definedName name="End_Business">#REF!</definedName>
    <definedName name="End_Prem" localSheetId="14">#REF!</definedName>
    <definedName name="End_Prem" localSheetId="12">#REF!</definedName>
    <definedName name="End_Prem" localSheetId="1">#REF!</definedName>
    <definedName name="End_Prem" localSheetId="13">#REF!</definedName>
    <definedName name="End_Prem">#REF!</definedName>
    <definedName name="Ending.Balance">IF([27]DATA!XEX1048560&lt;&gt;"",[27]DATA!XEZ1048560-[27]DATA!XFB1048560,"")</definedName>
    <definedName name="Entiteit" localSheetId="14">#REF!</definedName>
    <definedName name="Entiteit" localSheetId="12">#REF!</definedName>
    <definedName name="Entiteit" localSheetId="1">#REF!</definedName>
    <definedName name="Entiteit" localSheetId="13">#REF!</definedName>
    <definedName name="Entiteit">#REF!</definedName>
    <definedName name="EPS" localSheetId="14">#REF!</definedName>
    <definedName name="EPS" localSheetId="12">#REF!</definedName>
    <definedName name="EPS" localSheetId="1">#REF!</definedName>
    <definedName name="EPS" localSheetId="13">#REF!</definedName>
    <definedName name="EPS">#REF!</definedName>
    <definedName name="epspredeal" localSheetId="11">'[30]Mega Caps'!#REF!</definedName>
    <definedName name="epspredeal" localSheetId="1">'[30]Mega Caps'!#REF!</definedName>
    <definedName name="epspredeal">'[30]Mega Caps'!#REF!</definedName>
    <definedName name="EQ_COS" localSheetId="14">#REF!</definedName>
    <definedName name="EQ_COS" localSheetId="12">#REF!</definedName>
    <definedName name="EQ_COS" localSheetId="1">#REF!</definedName>
    <definedName name="EQ_COS" localSheetId="13">#REF!</definedName>
    <definedName name="EQ_COS">#REF!</definedName>
    <definedName name="EQS_T" localSheetId="14">#REF!</definedName>
    <definedName name="EQS_T" localSheetId="12">#REF!</definedName>
    <definedName name="EQS_T" localSheetId="1">#REF!</definedName>
    <definedName name="EQS_T" localSheetId="13">#REF!</definedName>
    <definedName name="EQS_T">#REF!</definedName>
    <definedName name="Equip_Exp" localSheetId="14">#REF!</definedName>
    <definedName name="Equip_Exp" localSheetId="12">#REF!</definedName>
    <definedName name="Equip_Exp" localSheetId="1">#REF!</definedName>
    <definedName name="Equip_Exp" localSheetId="13">#REF!</definedName>
    <definedName name="Equip_Exp">#REF!</definedName>
    <definedName name="EQUITY" localSheetId="14">#REF!</definedName>
    <definedName name="EQUITY" localSheetId="12">#REF!</definedName>
    <definedName name="EQUITY" localSheetId="1">#REF!</definedName>
    <definedName name="EQUITY" localSheetId="13">#REF!</definedName>
    <definedName name="EQUITY">#REF!</definedName>
    <definedName name="erev" localSheetId="14">#REF!</definedName>
    <definedName name="erev" localSheetId="12">#REF!</definedName>
    <definedName name="erev" localSheetId="1">#REF!</definedName>
    <definedName name="erev" localSheetId="13">#REF!</definedName>
    <definedName name="erev">#REF!</definedName>
    <definedName name="etet" localSheetId="11" hidden="1">{#N/A,#N/A,FALSE,"Calc";#N/A,#N/A,FALSE,"Sensitivity";#N/A,#N/A,FALSE,"LT Earn.Dil.";#N/A,#N/A,FALSE,"Dil. AVP"}</definedName>
    <definedName name="etet" localSheetId="15" hidden="1">{#N/A,#N/A,FALSE,"Calc";#N/A,#N/A,FALSE,"Sensitivity";#N/A,#N/A,FALSE,"LT Earn.Dil.";#N/A,#N/A,FALSE,"Dil. AVP"}</definedName>
    <definedName name="etet" localSheetId="18" hidden="1">{#N/A,#N/A,FALSE,"Calc";#N/A,#N/A,FALSE,"Sensitivity";#N/A,#N/A,FALSE,"LT Earn.Dil.";#N/A,#N/A,FALSE,"Dil. AVP"}</definedName>
    <definedName name="etet" localSheetId="14" hidden="1">{#N/A,#N/A,FALSE,"Calc";#N/A,#N/A,FALSE,"Sensitivity";#N/A,#N/A,FALSE,"LT Earn.Dil.";#N/A,#N/A,FALSE,"Dil. AVP"}</definedName>
    <definedName name="etet" localSheetId="12" hidden="1">{#N/A,#N/A,FALSE,"Calc";#N/A,#N/A,FALSE,"Sensitivity";#N/A,#N/A,FALSE,"LT Earn.Dil.";#N/A,#N/A,FALSE,"Dil. AVP"}</definedName>
    <definedName name="etet" localSheetId="13" hidden="1">{#N/A,#N/A,FALSE,"Calc";#N/A,#N/A,FALSE,"Sensitivity";#N/A,#N/A,FALSE,"LT Earn.Dil.";#N/A,#N/A,FALSE,"Dil. AVP"}</definedName>
    <definedName name="etet" hidden="1">{#N/A,#N/A,FALSE,"Calc";#N/A,#N/A,FALSE,"Sensitivity";#N/A,#N/A,FALSE,"LT Earn.Dil.";#N/A,#N/A,FALSE,"Dil. AVP"}</definedName>
    <definedName name="EUR_0_AVG" localSheetId="14">#REF!</definedName>
    <definedName name="EUR_0_AVG" localSheetId="12">#REF!</definedName>
    <definedName name="EUR_0_AVG" localSheetId="1">#REF!</definedName>
    <definedName name="EUR_0_AVG" localSheetId="13">#REF!</definedName>
    <definedName name="EUR_0_AVG">#REF!</definedName>
    <definedName name="EUR_0_BOP" localSheetId="14">#REF!</definedName>
    <definedName name="EUR_0_BOP" localSheetId="12">#REF!</definedName>
    <definedName name="EUR_0_BOP" localSheetId="1">#REF!</definedName>
    <definedName name="EUR_0_BOP" localSheetId="13">#REF!</definedName>
    <definedName name="EUR_0_BOP">#REF!</definedName>
    <definedName name="EUR_0_EOP" localSheetId="14">#REF!</definedName>
    <definedName name="EUR_0_EOP" localSheetId="12">#REF!</definedName>
    <definedName name="EUR_0_EOP" localSheetId="1">#REF!</definedName>
    <definedName name="EUR_0_EOP" localSheetId="13">#REF!</definedName>
    <definedName name="EUR_0_EOP">#REF!</definedName>
    <definedName name="EUR_1_AVG" localSheetId="14">#REF!</definedName>
    <definedName name="EUR_1_AVG" localSheetId="12">#REF!</definedName>
    <definedName name="EUR_1_AVG" localSheetId="1">#REF!</definedName>
    <definedName name="EUR_1_AVG" localSheetId="13">#REF!</definedName>
    <definedName name="EUR_1_AVG">#REF!</definedName>
    <definedName name="EUR_1_BOP" localSheetId="14">#REF!</definedName>
    <definedName name="EUR_1_BOP" localSheetId="12">#REF!</definedName>
    <definedName name="EUR_1_BOP" localSheetId="1">#REF!</definedName>
    <definedName name="EUR_1_BOP" localSheetId="13">#REF!</definedName>
    <definedName name="EUR_1_BOP">#REF!</definedName>
    <definedName name="EUR_1_EOP" localSheetId="14">#REF!</definedName>
    <definedName name="EUR_1_EOP" localSheetId="12">#REF!</definedName>
    <definedName name="EUR_1_EOP" localSheetId="1">#REF!</definedName>
    <definedName name="EUR_1_EOP" localSheetId="13">#REF!</definedName>
    <definedName name="EUR_1_EOP">#REF!</definedName>
    <definedName name="EUR_AVG" localSheetId="14">#REF!</definedName>
    <definedName name="EUR_AVG" localSheetId="12">#REF!</definedName>
    <definedName name="EUR_AVG" localSheetId="1">#REF!</definedName>
    <definedName name="EUR_AVG" localSheetId="13">#REF!</definedName>
    <definedName name="EUR_AVG">#REF!</definedName>
    <definedName name="EUR_BOP" localSheetId="14">#REF!</definedName>
    <definedName name="EUR_BOP" localSheetId="12">#REF!</definedName>
    <definedName name="EUR_BOP" localSheetId="1">#REF!</definedName>
    <definedName name="EUR_BOP" localSheetId="13">#REF!</definedName>
    <definedName name="EUR_BOP">#REF!</definedName>
    <definedName name="EUR_EOP" localSheetId="14">#REF!</definedName>
    <definedName name="EUR_EOP" localSheetId="12">#REF!</definedName>
    <definedName name="EUR_EOP" localSheetId="1">#REF!</definedName>
    <definedName name="EUR_EOP" localSheetId="13">#REF!</definedName>
    <definedName name="EUR_EOP">#REF!</definedName>
    <definedName name="EUR_interest_expense" localSheetId="14">#REF!</definedName>
    <definedName name="EUR_interest_expense" localSheetId="12">#REF!</definedName>
    <definedName name="EUR_interest_expense" localSheetId="1">#REF!</definedName>
    <definedName name="EUR_interest_expense" localSheetId="13">#REF!</definedName>
    <definedName name="EUR_interest_expense">#REF!</definedName>
    <definedName name="ev.Calculation" hidden="1">-4105</definedName>
    <definedName name="ev.Initialized" hidden="1">FALSE</definedName>
    <definedName name="EVCoF" localSheetId="14">#REF!</definedName>
    <definedName name="EVCoF" localSheetId="12">#REF!</definedName>
    <definedName name="EVCoF" localSheetId="1">#REF!</definedName>
    <definedName name="EVCoF" localSheetId="13">#REF!</definedName>
    <definedName name="EVCoF">#REF!</definedName>
    <definedName name="EVCoG" localSheetId="14">#REF!</definedName>
    <definedName name="EVCoG" localSheetId="12">#REF!</definedName>
    <definedName name="EVCoG" localSheetId="1">#REF!</definedName>
    <definedName name="EVCoG" localSheetId="13">#REF!</definedName>
    <definedName name="EVCoG">#REF!</definedName>
    <definedName name="EVCoH" localSheetId="14">#REF!</definedName>
    <definedName name="EVCoH" localSheetId="12">#REF!</definedName>
    <definedName name="EVCoH" localSheetId="1">#REF!</definedName>
    <definedName name="EVCoH" localSheetId="13">#REF!</definedName>
    <definedName name="EVCoH">#REF!</definedName>
    <definedName name="EVCoI" localSheetId="14">#REF!</definedName>
    <definedName name="EVCoI" localSheetId="12">#REF!</definedName>
    <definedName name="EVCoI" localSheetId="1">#REF!</definedName>
    <definedName name="EVCoI" localSheetId="13">#REF!</definedName>
    <definedName name="EVCoI">#REF!</definedName>
    <definedName name="EVCoM" localSheetId="14">#REF!</definedName>
    <definedName name="EVCoM" localSheetId="12">#REF!</definedName>
    <definedName name="EVCoM" localSheetId="1">#REF!</definedName>
    <definedName name="EVCoM" localSheetId="13">#REF!</definedName>
    <definedName name="EVCoM">#REF!</definedName>
    <definedName name="EVCoN" localSheetId="14">#REF!</definedName>
    <definedName name="EVCoN" localSheetId="12">#REF!</definedName>
    <definedName name="EVCoN" localSheetId="1">#REF!</definedName>
    <definedName name="EVCoN" localSheetId="13">#REF!</definedName>
    <definedName name="EVCoN">#REF!</definedName>
    <definedName name="EVCoO" localSheetId="14">#REF!</definedName>
    <definedName name="EVCoO" localSheetId="12">#REF!</definedName>
    <definedName name="EVCoO" localSheetId="1">#REF!</definedName>
    <definedName name="EVCoO" localSheetId="13">#REF!</definedName>
    <definedName name="EVCoO">#REF!</definedName>
    <definedName name="EWEWE" localSheetId="18" hidden="1">#REF!</definedName>
    <definedName name="EWEWE" localSheetId="1" hidden="1">'[41]MAIN BS &amp; P&amp;L'!#REF!</definedName>
    <definedName name="EWEWE" hidden="1">'[41]MAIN BS &amp; P&amp;L'!#REF!</definedName>
    <definedName name="Excel_BuiltIn__FilterDatabase_1" localSheetId="14">#REF!</definedName>
    <definedName name="Excel_BuiltIn__FilterDatabase_1" localSheetId="12">#REF!</definedName>
    <definedName name="Excel_BuiltIn__FilterDatabase_1" localSheetId="1">#REF!</definedName>
    <definedName name="Excel_BuiltIn__FilterDatabase_1" localSheetId="13">#REF!</definedName>
    <definedName name="Excel_BuiltIn__FilterDatabase_1">#REF!</definedName>
    <definedName name="Excel_BuiltIn__FilterDatabase_1_7" localSheetId="14">#REF!</definedName>
    <definedName name="Excel_BuiltIn__FilterDatabase_1_7" localSheetId="12">#REF!</definedName>
    <definedName name="Excel_BuiltIn__FilterDatabase_1_7" localSheetId="1">#REF!</definedName>
    <definedName name="Excel_BuiltIn__FilterDatabase_1_7" localSheetId="13">#REF!</definedName>
    <definedName name="Excel_BuiltIn__FilterDatabase_1_7">#REF!</definedName>
    <definedName name="Excel_BuiltIn__FilterDatabase_2" localSheetId="14">#REF!</definedName>
    <definedName name="Excel_BuiltIn__FilterDatabase_2" localSheetId="12">#REF!</definedName>
    <definedName name="Excel_BuiltIn__FilterDatabase_2" localSheetId="1">#REF!</definedName>
    <definedName name="Excel_BuiltIn__FilterDatabase_2" localSheetId="13">#REF!</definedName>
    <definedName name="Excel_BuiltIn__FilterDatabase_2">#REF!</definedName>
    <definedName name="Excel_BuiltIn__FilterDatabase_2_2" localSheetId="14">#REF!</definedName>
    <definedName name="Excel_BuiltIn__FilterDatabase_2_2" localSheetId="12">#REF!</definedName>
    <definedName name="Excel_BuiltIn__FilterDatabase_2_2" localSheetId="1">#REF!</definedName>
    <definedName name="Excel_BuiltIn__FilterDatabase_2_2" localSheetId="13">#REF!</definedName>
    <definedName name="Excel_BuiltIn__FilterDatabase_2_2">#REF!</definedName>
    <definedName name="Excel_BuiltIn__FilterDatabase_2_3" localSheetId="14">#REF!</definedName>
    <definedName name="Excel_BuiltIn__FilterDatabase_2_3" localSheetId="12">#REF!</definedName>
    <definedName name="Excel_BuiltIn__FilterDatabase_2_3" localSheetId="1">#REF!</definedName>
    <definedName name="Excel_BuiltIn__FilterDatabase_2_3" localSheetId="13">#REF!</definedName>
    <definedName name="Excel_BuiltIn__FilterDatabase_2_3">#REF!</definedName>
    <definedName name="Excel_BuiltIn__FilterDatabase_2_4" localSheetId="14">#REF!</definedName>
    <definedName name="Excel_BuiltIn__FilterDatabase_2_4" localSheetId="12">#REF!</definedName>
    <definedName name="Excel_BuiltIn__FilterDatabase_2_4" localSheetId="1">#REF!</definedName>
    <definedName name="Excel_BuiltIn__FilterDatabase_2_4" localSheetId="13">#REF!</definedName>
    <definedName name="Excel_BuiltIn__FilterDatabase_2_4">#REF!</definedName>
    <definedName name="Excel_BuiltIn__FilterDatabase_2_5" localSheetId="14">#REF!</definedName>
    <definedName name="Excel_BuiltIn__FilterDatabase_2_5" localSheetId="12">#REF!</definedName>
    <definedName name="Excel_BuiltIn__FilterDatabase_2_5" localSheetId="1">#REF!</definedName>
    <definedName name="Excel_BuiltIn__FilterDatabase_2_5" localSheetId="13">#REF!</definedName>
    <definedName name="Excel_BuiltIn__FilterDatabase_2_5">#REF!</definedName>
    <definedName name="Excel_BuiltIn__FilterDatabase_3" localSheetId="14">#REF!</definedName>
    <definedName name="Excel_BuiltIn__FilterDatabase_3" localSheetId="12">#REF!</definedName>
    <definedName name="Excel_BuiltIn__FilterDatabase_3" localSheetId="1">#REF!</definedName>
    <definedName name="Excel_BuiltIn__FilterDatabase_3" localSheetId="13">#REF!</definedName>
    <definedName name="Excel_BuiltIn__FilterDatabase_3">#REF!</definedName>
    <definedName name="exit1">#N/A</definedName>
    <definedName name="exit2">#N/A</definedName>
    <definedName name="exit3">#N/A</definedName>
    <definedName name="expiry" localSheetId="14">#REF!</definedName>
    <definedName name="expiry" localSheetId="12">#REF!</definedName>
    <definedName name="expiry" localSheetId="1">#REF!</definedName>
    <definedName name="expiry" localSheetId="13">#REF!</definedName>
    <definedName name="expiry">#REF!</definedName>
    <definedName name="ExportFile" localSheetId="11">#N/A</definedName>
    <definedName name="ExportFile" localSheetId="14">#N/A</definedName>
    <definedName name="ExportFile" localSheetId="12">#N/A</definedName>
    <definedName name="ExportFile" localSheetId="1">#N/A</definedName>
    <definedName name="ExportFile" localSheetId="13">#N/A</definedName>
    <definedName name="ExportFile">#N/A</definedName>
    <definedName name="Extra_Pay" localSheetId="14">#REF!</definedName>
    <definedName name="Extra_Pay" localSheetId="12">#REF!</definedName>
    <definedName name="Extra_Pay" localSheetId="1">#REF!</definedName>
    <definedName name="Extra_Pay" localSheetId="13">#REF!</definedName>
    <definedName name="Extra_Pay">#REF!</definedName>
    <definedName name="f" localSheetId="11" hidden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" localSheetId="15" hidden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" localSheetId="18" hidden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" localSheetId="14" hidden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" localSheetId="12" hidden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" localSheetId="13" hidden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" hidden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adsf" localSheetId="18" hidden="1">{"'Sheet1'!$A$4386:$N$4591"}</definedName>
    <definedName name="fadsf" hidden="1">{"'Sheet1'!$A$4386:$N$4591"}</definedName>
    <definedName name="fchk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ch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f" localSheetId="18" hidden="1">{#N/A,#N/A,TRUE,"DCF Summary (2)";#N/A,#N/A,TRUE,"DCF Summary";#N/A,"Middle Case Drivers",TRUE,"DCF"}</definedName>
    <definedName name="fdf" hidden="1">{#N/A,#N/A,TRUE,"DCF Summary (2)";#N/A,#N/A,TRUE,"DCF Summary";#N/A,"Middle Case Drivers",TRUE,"DCF"}</definedName>
    <definedName name="fdf_1" localSheetId="18" hidden="1">{#N/A,#N/A,TRUE,"DCF Summary (2)";#N/A,#N/A,TRUE,"DCF Summary";#N/A,"Middle Case Drivers",TRUE,"DCF"}</definedName>
    <definedName name="fdf_1" hidden="1">{#N/A,#N/A,TRUE,"DCF Summary (2)";#N/A,#N/A,TRUE,"DCF Summary";#N/A,"Middle Case Drivers",TRUE,"DCF"}</definedName>
    <definedName name="fdgd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g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gdf" localSheetId="18" hidden="1">{"'Sheet1'!$A$4386:$N$4591"}</definedName>
    <definedName name="fdgdf" hidden="1">{"'Sheet1'!$A$4386:$N$4591"}</definedName>
    <definedName name="fdgdr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dgd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eb_09">[20]CFData!$O$2:$O$1216</definedName>
    <definedName name="February">[20]HRData!$P$2:$P$100</definedName>
    <definedName name="feeamort" localSheetId="11">[6]LBO!#REF!</definedName>
    <definedName name="feeamort" localSheetId="1">[6]LBO!#REF!</definedName>
    <definedName name="feeamort">[6]LBO!#REF!</definedName>
    <definedName name="fffffffffffffffffff" localSheetId="11">[40]CSCCincSKR!#REF!</definedName>
    <definedName name="fffffffffffffffffff" localSheetId="1">[40]CSCCincSKR!#REF!</definedName>
    <definedName name="fffffffffffffffffff">[40]CSCCincSKR!#REF!</definedName>
    <definedName name="FFWW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FW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gsg" localSheetId="11" hidden="1">{"consolidated",#N/A,FALSE,"Sheet1";"cms",#N/A,FALSE,"Sheet1";"fse",#N/A,FALSE,"Sheet1"}</definedName>
    <definedName name="fgsg" localSheetId="15" hidden="1">{"consolidated",#N/A,FALSE,"Sheet1";"cms",#N/A,FALSE,"Sheet1";"fse",#N/A,FALSE,"Sheet1"}</definedName>
    <definedName name="fgsg" localSheetId="18" hidden="1">{"consolidated",#N/A,FALSE,"Sheet1";"cms",#N/A,FALSE,"Sheet1";"fse",#N/A,FALSE,"Sheet1"}</definedName>
    <definedName name="fgsg" localSheetId="14" hidden="1">{"consolidated",#N/A,FALSE,"Sheet1";"cms",#N/A,FALSE,"Sheet1";"fse",#N/A,FALSE,"Sheet1"}</definedName>
    <definedName name="fgsg" localSheetId="12" hidden="1">{"consolidated",#N/A,FALSE,"Sheet1";"cms",#N/A,FALSE,"Sheet1";"fse",#N/A,FALSE,"Sheet1"}</definedName>
    <definedName name="fgsg" localSheetId="13" hidden="1">{"consolidated",#N/A,FALSE,"Sheet1";"cms",#N/A,FALSE,"Sheet1";"fse",#N/A,FALSE,"Sheet1"}</definedName>
    <definedName name="fgsg" hidden="1">{"consolidated",#N/A,FALSE,"Sheet1";"cms",#N/A,FALSE,"Sheet1";"fse",#N/A,FALSE,"Sheet1"}</definedName>
    <definedName name="fgtt" localSheetId="18" hidden="1">{"'Sheet1'!$A$4386:$N$4591"}</definedName>
    <definedName name="fgtt" hidden="1">{"'Sheet1'!$A$4386:$N$4591"}</definedName>
    <definedName name="FHS" localSheetId="1">[31]DCF!#REF!</definedName>
    <definedName name="FHS">[31]DCF!#REF!</definedName>
    <definedName name="fiexd" localSheetId="18" hidden="1">{"'Sheet1'!$A$4386:$N$4591"}</definedName>
    <definedName name="fiexd" hidden="1">{"'Sheet1'!$A$4386:$N$4591"}</definedName>
    <definedName name="fill" localSheetId="18" hidden="1">#REF!</definedName>
    <definedName name="fill" hidden="1">'[42]Sheet3 (2)'!$A$60:$A$76</definedName>
    <definedName name="financing_summ" localSheetId="1">'[26]Model (Telecorp)'!#REF!</definedName>
    <definedName name="financing_summ">'[26]Model (Telecorp)'!#REF!</definedName>
    <definedName name="finserv" localSheetId="14">#REF!</definedName>
    <definedName name="finserv" localSheetId="12">#REF!</definedName>
    <definedName name="finserv" localSheetId="1">#REF!</definedName>
    <definedName name="finserv" localSheetId="13">#REF!</definedName>
    <definedName name="finserv">#REF!</definedName>
    <definedName name="First_payment_due">[27]DATA!$C$7</definedName>
    <definedName name="fit" localSheetId="18" hidden="1">#REF!</definedName>
    <definedName name="fit" localSheetId="1" hidden="1">#REF!</definedName>
    <definedName name="fit" hidden="1">#REF!</definedName>
    <definedName name="Fixed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ixed" localSheetId="15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ixed" localSheetId="18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ixed" localSheetId="1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ixed" localSheetId="1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ixed" localSheetId="1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ixed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jhgfd" localSheetId="18" hidden="1">{"'Sheet1'!$A$4386:$N$4591"}</definedName>
    <definedName name="fjhgfd" hidden="1">{"'Sheet1'!$A$4386:$N$4591"}</definedName>
    <definedName name="fjhgfe" localSheetId="18" hidden="1">{"'Sheet1'!$A$4386:$N$4591"}</definedName>
    <definedName name="fjhgfe" hidden="1">{"'Sheet1'!$A$4386:$N$4591"}</definedName>
    <definedName name="flowfnd" localSheetId="14">#REF!</definedName>
    <definedName name="flowfnd" localSheetId="12">#REF!</definedName>
    <definedName name="flowfnd" localSheetId="1">#REF!</definedName>
    <definedName name="flowfnd" localSheetId="13">#REF!</definedName>
    <definedName name="flowfnd">#REF!</definedName>
    <definedName name="FootnoteAnchor" localSheetId="1">'[43]Sum proj'!#REF!</definedName>
    <definedName name="FootnoteAnchor">'[43]Sum proj'!#REF!</definedName>
    <definedName name="FootnoteRange" localSheetId="14">#REF!</definedName>
    <definedName name="FootnoteRange" localSheetId="12">#REF!</definedName>
    <definedName name="FootnoteRange" localSheetId="1">#REF!</definedName>
    <definedName name="FootnoteRange" localSheetId="13">#REF!</definedName>
    <definedName name="FootnoteRange">#REF!</definedName>
    <definedName name="formworkl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ormwork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ox" localSheetId="1">[31]DCF!#REF!</definedName>
    <definedName name="Fox">[31]DCF!#REF!</definedName>
    <definedName name="free" localSheetId="14">#REF!</definedName>
    <definedName name="free" localSheetId="12">#REF!</definedName>
    <definedName name="free" localSheetId="1">#REF!</definedName>
    <definedName name="free" localSheetId="13">#REF!</definedName>
    <definedName name="free">#REF!</definedName>
    <definedName name="Free_Business_Minutes" localSheetId="14">#REF!</definedName>
    <definedName name="Free_Business_Minutes" localSheetId="12">#REF!</definedName>
    <definedName name="Free_Business_Minutes" localSheetId="1">#REF!</definedName>
    <definedName name="Free_Business_Minutes" localSheetId="13">#REF!</definedName>
    <definedName name="Free_Business_Minutes">#REF!</definedName>
    <definedName name="frgrr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rgr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rom" localSheetId="18" hidden="1">{"'Typical Costs Estimates'!$C$158:$H$161"}</definedName>
    <definedName name="from" hidden="1">{"'Typical Costs Estimates'!$C$158:$H$161"}</definedName>
    <definedName name="fsfs" localSheetId="11" hidden="1">{#N/A,#N/A,FALSE,"Calc";#N/A,#N/A,FALSE,"Sensitivity";#N/A,#N/A,FALSE,"LT Earn.Dil.";#N/A,#N/A,FALSE,"Dil. AVP"}</definedName>
    <definedName name="fsfs" localSheetId="15" hidden="1">{#N/A,#N/A,FALSE,"Calc";#N/A,#N/A,FALSE,"Sensitivity";#N/A,#N/A,FALSE,"LT Earn.Dil.";#N/A,#N/A,FALSE,"Dil. AVP"}</definedName>
    <definedName name="fsfs" localSheetId="18" hidden="1">{#N/A,#N/A,FALSE,"Calc";#N/A,#N/A,FALSE,"Sensitivity";#N/A,#N/A,FALSE,"LT Earn.Dil.";#N/A,#N/A,FALSE,"Dil. AVP"}</definedName>
    <definedName name="fsfs" localSheetId="14" hidden="1">{#N/A,#N/A,FALSE,"Calc";#N/A,#N/A,FALSE,"Sensitivity";#N/A,#N/A,FALSE,"LT Earn.Dil.";#N/A,#N/A,FALSE,"Dil. AVP"}</definedName>
    <definedName name="fsfs" localSheetId="12" hidden="1">{#N/A,#N/A,FALSE,"Calc";#N/A,#N/A,FALSE,"Sensitivity";#N/A,#N/A,FALSE,"LT Earn.Dil.";#N/A,#N/A,FALSE,"Dil. AVP"}</definedName>
    <definedName name="fsfs" localSheetId="13" hidden="1">{#N/A,#N/A,FALSE,"Calc";#N/A,#N/A,FALSE,"Sensitivity";#N/A,#N/A,FALSE,"LT Earn.Dil.";#N/A,#N/A,FALSE,"Dil. AVP"}</definedName>
    <definedName name="fsfs" hidden="1">{#N/A,#N/A,FALSE,"Calc";#N/A,#N/A,FALSE,"Sensitivity";#N/A,#N/A,FALSE,"LT Earn.Dil.";#N/A,#N/A,FALSE,"Dil. AVP"}</definedName>
    <definedName name="ftebasic">[17]fORMULAE!$AS$7</definedName>
    <definedName name="fuck" localSheetId="11" hidden="1">{"by departments",#N/A,TRUE,"FORECAST";"cap_headcount",#N/A,TRUE,"FORECAST";"summary",#N/A,TRUE,"FORECAST"}</definedName>
    <definedName name="fuck" localSheetId="15" hidden="1">{"by departments",#N/A,TRUE,"FORECAST";"cap_headcount",#N/A,TRUE,"FORECAST";"summary",#N/A,TRUE,"FORECAST"}</definedName>
    <definedName name="fuck" localSheetId="18" hidden="1">{"by departments",#N/A,TRUE,"FORECAST";"cap_headcount",#N/A,TRUE,"FORECAST";"summary",#N/A,TRUE,"FORECAST"}</definedName>
    <definedName name="fuck" localSheetId="14" hidden="1">{"by departments",#N/A,TRUE,"FORECAST";"cap_headcount",#N/A,TRUE,"FORECAST";"summary",#N/A,TRUE,"FORECAST"}</definedName>
    <definedName name="fuck" localSheetId="12" hidden="1">{"by departments",#N/A,TRUE,"FORECAST";"cap_headcount",#N/A,TRUE,"FORECAST";"summary",#N/A,TRUE,"FORECAST"}</definedName>
    <definedName name="fuck" localSheetId="13" hidden="1">{"by departments",#N/A,TRUE,"FORECAST";"cap_headcount",#N/A,TRUE,"FORECAST";"summary",#N/A,TRUE,"FORECAST"}</definedName>
    <definedName name="fuck" hidden="1">{"by departments",#N/A,TRUE,"FORECAST";"cap_headcount",#N/A,TRUE,"FORECAST";"summary",#N/A,TRUE,"FORECAST"}</definedName>
    <definedName name="fuckme" localSheetId="11" hidden="1">{"SUMMARY",#N/A,TRUE,"SUMMARY";"compare",#N/A,TRUE,"Vs. Bus Plan";"ratios",#N/A,TRUE,"Ratios";"REVENUE",#N/A,TRUE,"Revenue";"expenses",#N/A,TRUE,"1996 budget";"payroll",#N/A,TRUE,"Payroll"}</definedName>
    <definedName name="fuckme" localSheetId="15" hidden="1">{"SUMMARY",#N/A,TRUE,"SUMMARY";"compare",#N/A,TRUE,"Vs. Bus Plan";"ratios",#N/A,TRUE,"Ratios";"REVENUE",#N/A,TRUE,"Revenue";"expenses",#N/A,TRUE,"1996 budget";"payroll",#N/A,TRUE,"Payroll"}</definedName>
    <definedName name="fuckme" localSheetId="18" hidden="1">{"SUMMARY",#N/A,TRUE,"SUMMARY";"compare",#N/A,TRUE,"Vs. Bus Plan";"ratios",#N/A,TRUE,"Ratios";"REVENUE",#N/A,TRUE,"Revenue";"expenses",#N/A,TRUE,"1996 budget";"payroll",#N/A,TRUE,"Payroll"}</definedName>
    <definedName name="fuckme" localSheetId="14" hidden="1">{"SUMMARY",#N/A,TRUE,"SUMMARY";"compare",#N/A,TRUE,"Vs. Bus Plan";"ratios",#N/A,TRUE,"Ratios";"REVENUE",#N/A,TRUE,"Revenue";"expenses",#N/A,TRUE,"1996 budget";"payroll",#N/A,TRUE,"Payroll"}</definedName>
    <definedName name="fuckme" localSheetId="12" hidden="1">{"SUMMARY",#N/A,TRUE,"SUMMARY";"compare",#N/A,TRUE,"Vs. Bus Plan";"ratios",#N/A,TRUE,"Ratios";"REVENUE",#N/A,TRUE,"Revenue";"expenses",#N/A,TRUE,"1996 budget";"payroll",#N/A,TRUE,"Payroll"}</definedName>
    <definedName name="fuckme" localSheetId="13" hidden="1">{"SUMMARY",#N/A,TRUE,"SUMMARY";"compare",#N/A,TRUE,"Vs. Bus Plan";"ratios",#N/A,TRUE,"Ratios";"REVENUE",#N/A,TRUE,"Revenue";"expenses",#N/A,TRUE,"1996 budget";"payroll",#N/A,TRUE,"Payroll"}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ll_Print" localSheetId="14">#REF!</definedName>
    <definedName name="Full_Print" localSheetId="12">#REF!</definedName>
    <definedName name="Full_Print" localSheetId="1">#REF!</definedName>
    <definedName name="Full_Print" localSheetId="13">#REF!</definedName>
    <definedName name="Full_Print">#REF!</definedName>
    <definedName name="fund" localSheetId="18" hidden="1">{"'Sheet1'!$A$4386:$N$4591"}</definedName>
    <definedName name="fund" hidden="1">{"'Sheet1'!$A$4386:$N$4591"}</definedName>
    <definedName name="funding" localSheetId="14">#REF!</definedName>
    <definedName name="funding" localSheetId="12">#REF!</definedName>
    <definedName name="funding" localSheetId="1">#REF!</definedName>
    <definedName name="funding" localSheetId="13">#REF!</definedName>
    <definedName name="funding">#REF!</definedName>
    <definedName name="funds" localSheetId="18" hidden="1">{"'Sheet1'!$A$4386:$N$4591"}</definedName>
    <definedName name="funds" hidden="1">{"'Sheet1'!$A$4386:$N$4591"}</definedName>
    <definedName name="fx" localSheetId="11">'[44]General Assumptions'!$L$10</definedName>
    <definedName name="fx" localSheetId="15">'[44]General Assumptions'!$L$10</definedName>
    <definedName name="fx" localSheetId="14">'[45]General Assumptions'!$L$10</definedName>
    <definedName name="fx" localSheetId="12">'[45]General Assumptions'!$L$10</definedName>
    <definedName name="fx" localSheetId="13">'[45]General Assumptions'!$L$10</definedName>
    <definedName name="fx">'[44]General Assumptions'!$L$10</definedName>
    <definedName name="FY">2005</definedName>
    <definedName name="FYE">[46]TargetOverview!$V$35</definedName>
    <definedName name="gadds" localSheetId="14">#REF!</definedName>
    <definedName name="gadds" localSheetId="12">#REF!</definedName>
    <definedName name="gadds" localSheetId="1">#REF!</definedName>
    <definedName name="gadds" localSheetId="13">#REF!</definedName>
    <definedName name="gadds">#REF!</definedName>
    <definedName name="GBP_EUR">[47]FXRATES!$D$2</definedName>
    <definedName name="GetData" localSheetId="11">#N/A</definedName>
    <definedName name="GetData" localSheetId="14">#N/A</definedName>
    <definedName name="GetData" localSheetId="12">#N/A</definedName>
    <definedName name="GetData" localSheetId="1">#N/A</definedName>
    <definedName name="GetData" localSheetId="13">#N/A</definedName>
    <definedName name="GetData">#N/A</definedName>
    <definedName name="gfdfgd" localSheetId="14">#REF!</definedName>
    <definedName name="gfdfgd" localSheetId="12">#REF!</definedName>
    <definedName name="gfdfgd" localSheetId="1">#REF!</definedName>
    <definedName name="gfdfgd" localSheetId="13">#REF!</definedName>
    <definedName name="gfdfgd">#REF!</definedName>
    <definedName name="gfthfh" localSheetId="18" hidden="1">{"'Sheet1'!$A$4386:$N$4591"}</definedName>
    <definedName name="gfthfh" hidden="1">{"'Sheet1'!$A$4386:$N$4591"}</definedName>
    <definedName name="GGGGG" localSheetId="18" hidden="1">{"'Sheet1'!$A$4386:$N$4591"}</definedName>
    <definedName name="GGGGG" hidden="1">{"'Sheet1'!$A$4386:$N$4591"}</definedName>
    <definedName name="ggjgjgiugu" localSheetId="1" hidden="1">#REF!</definedName>
    <definedName name="ggjgjgiugu" hidden="1">#REF!</definedName>
    <definedName name="GHGH" localSheetId="1" hidden="1">#REF!</definedName>
    <definedName name="GHGH" hidden="1">#REF!</definedName>
    <definedName name="GM" localSheetId="14">#REF!</definedName>
    <definedName name="GM" localSheetId="12">#REF!</definedName>
    <definedName name="GM" localSheetId="1">#REF!</definedName>
    <definedName name="GM" localSheetId="13">#REF!</definedName>
    <definedName name="GM">#REF!</definedName>
    <definedName name="gm_structure" localSheetId="14">#REF!</definedName>
    <definedName name="gm_structure" localSheetId="12">#REF!</definedName>
    <definedName name="gm_structure" localSheetId="1">#REF!</definedName>
    <definedName name="gm_structure" localSheetId="13">#REF!</definedName>
    <definedName name="gm_structure">#REF!</definedName>
    <definedName name="GODa" localSheetId="14">#REF!</definedName>
    <definedName name="GODa" localSheetId="12">#REF!</definedName>
    <definedName name="GODa" localSheetId="1">#REF!</definedName>
    <definedName name="GODa" localSheetId="13">#REF!</definedName>
    <definedName name="GODa">#REF!</definedName>
    <definedName name="Goodwill_Amortization">25</definedName>
    <definedName name="goto13" localSheetId="1">[48]!goto13</definedName>
    <definedName name="goto13">[48]!goto13</definedName>
    <definedName name="goto15" localSheetId="1">[48]!goto15</definedName>
    <definedName name="goto15">[48]!goto15</definedName>
    <definedName name="goto17" localSheetId="1">[48]!goto17</definedName>
    <definedName name="goto17">[48]!goto17</definedName>
    <definedName name="goto18" localSheetId="1">[48]!goto18</definedName>
    <definedName name="goto18">[48]!goto18</definedName>
    <definedName name="goto20" localSheetId="1">[48]!goto20</definedName>
    <definedName name="goto20">[48]!goto20</definedName>
    <definedName name="gr6k" localSheetId="11">'[24]Krycí list'!#REF!</definedName>
    <definedName name="gr6k" localSheetId="1">'[24]Krycí list'!#REF!</definedName>
    <definedName name="gr6k">'[25]Krycí list'!#REF!</definedName>
    <definedName name="GraphPage" localSheetId="18" hidden="1">#REF!</definedName>
    <definedName name="GraphPage" localSheetId="1" hidden="1">#REF!</definedName>
    <definedName name="GraphPage" hidden="1">#REF!</definedName>
    <definedName name="graphs" localSheetId="14">#REF!</definedName>
    <definedName name="graphs" localSheetId="12">#REF!</definedName>
    <definedName name="graphs" localSheetId="1">#REF!</definedName>
    <definedName name="graphs" localSheetId="13">#REF!</definedName>
    <definedName name="graphs">#REF!</definedName>
    <definedName name="GRD_EUR">[47]FXRATES!$D$17</definedName>
    <definedName name="Gross_Basic_Adds" localSheetId="14">#REF!</definedName>
    <definedName name="Gross_Basic_Adds" localSheetId="12">#REF!</definedName>
    <definedName name="Gross_Basic_Adds" localSheetId="1">#REF!</definedName>
    <definedName name="Gross_Basic_Adds" localSheetId="13">#REF!</definedName>
    <definedName name="Gross_Basic_Adds">#REF!</definedName>
    <definedName name="Gross_Bus_Adds" localSheetId="14">#REF!</definedName>
    <definedName name="Gross_Bus_Adds" localSheetId="12">#REF!</definedName>
    <definedName name="Gross_Bus_Adds" localSheetId="1">#REF!</definedName>
    <definedName name="Gross_Bus_Adds" localSheetId="13">#REF!</definedName>
    <definedName name="Gross_Bus_Adds">#REF!</definedName>
    <definedName name="Gross_Prem_Adds" localSheetId="14">#REF!</definedName>
    <definedName name="Gross_Prem_Adds" localSheetId="12">#REF!</definedName>
    <definedName name="Gross_Prem_Adds" localSheetId="1">#REF!</definedName>
    <definedName name="Gross_Prem_Adds" localSheetId="13">#REF!</definedName>
    <definedName name="Gross_Prem_Adds">#REF!</definedName>
    <definedName name="GSM_NW_CAPEX" localSheetId="14">#REF!</definedName>
    <definedName name="GSM_NW_CAPEX" localSheetId="12">#REF!</definedName>
    <definedName name="GSM_NW_CAPEX" localSheetId="1">#REF!</definedName>
    <definedName name="GSM_NW_CAPEX" localSheetId="13">#REF!</definedName>
    <definedName name="GSM_NW_CAPEX">#REF!</definedName>
    <definedName name="GSM_NW_CIP" localSheetId="14">#REF!</definedName>
    <definedName name="GSM_NW_CIP" localSheetId="12">#REF!</definedName>
    <definedName name="GSM_NW_CIP" localSheetId="1">#REF!</definedName>
    <definedName name="GSM_NW_CIP" localSheetId="13">#REF!</definedName>
    <definedName name="GSM_NW_CIP">#REF!</definedName>
    <definedName name="GSM_NW_Statistics" localSheetId="14">#REF!</definedName>
    <definedName name="GSM_NW_Statistics" localSheetId="12">#REF!</definedName>
    <definedName name="GSM_NW_Statistics" localSheetId="1">#REF!</definedName>
    <definedName name="GSM_NW_Statistics" localSheetId="13">#REF!</definedName>
    <definedName name="GSM_NW_Statistics">#REF!</definedName>
    <definedName name="gthh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thh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Wyears">40</definedName>
    <definedName name="gy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y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H" localSheetId="1">'[30]Mega Caps'!#REF!</definedName>
    <definedName name="H">'[30]Mega Caps'!#REF!</definedName>
    <definedName name="HALF1" localSheetId="1">[4]Acc_Dil!#REF!</definedName>
    <definedName name="HALF1">[4]Acc_Dil!#REF!</definedName>
    <definedName name="HALF2" localSheetId="1">[4]Acc_Dil!#REF!</definedName>
    <definedName name="HALF2">[4]Acc_Dil!#REF!</definedName>
    <definedName name="HALF3" localSheetId="1">[4]Acc_Dil!#REF!</definedName>
    <definedName name="HALF3">[4]Acc_Dil!#REF!</definedName>
    <definedName name="HEAD" localSheetId="11">#REF!,#REF!,#REF!</definedName>
    <definedName name="HEAD" localSheetId="15">#REF!,#REF!,#REF!</definedName>
    <definedName name="HEAD" localSheetId="14">#REF!,#REF!,#REF!</definedName>
    <definedName name="HEAD" localSheetId="12">#REF!,#REF!,#REF!</definedName>
    <definedName name="HEAD" localSheetId="1">#REF!,#REF!,#REF!</definedName>
    <definedName name="HEAD" localSheetId="13">#REF!,#REF!,#REF!</definedName>
    <definedName name="HEAD">#REF!,#REF!,#REF!</definedName>
    <definedName name="HEAD1" localSheetId="14">#REF!</definedName>
    <definedName name="HEAD1" localSheetId="12">#REF!</definedName>
    <definedName name="HEAD1" localSheetId="1">#REF!</definedName>
    <definedName name="HEAD1" localSheetId="13">#REF!</definedName>
    <definedName name="HEAD1">#REF!</definedName>
    <definedName name="HEAD2" localSheetId="14">#REF!</definedName>
    <definedName name="HEAD2" localSheetId="12">#REF!</definedName>
    <definedName name="HEAD2" localSheetId="1">#REF!</definedName>
    <definedName name="HEAD2" localSheetId="13">#REF!</definedName>
    <definedName name="HEAD2">#REF!</definedName>
    <definedName name="HEAD3" localSheetId="14">#REF!</definedName>
    <definedName name="HEAD3" localSheetId="12">#REF!</definedName>
    <definedName name="HEAD3" localSheetId="1">#REF!</definedName>
    <definedName name="HEAD3" localSheetId="13">#REF!</definedName>
    <definedName name="HEAD3">#REF!</definedName>
    <definedName name="HEAD4" localSheetId="14">#REF!</definedName>
    <definedName name="HEAD4" localSheetId="12">#REF!</definedName>
    <definedName name="HEAD4" localSheetId="1">#REF!</definedName>
    <definedName name="HEAD4" localSheetId="13">#REF!</definedName>
    <definedName name="HEAD4">#REF!</definedName>
    <definedName name="Headcount" localSheetId="14">#REF!</definedName>
    <definedName name="Headcount" localSheetId="12">#REF!</definedName>
    <definedName name="Headcount" localSheetId="1">#REF!</definedName>
    <definedName name="Headcount" localSheetId="13">#REF!</definedName>
    <definedName name="Headcount">#REF!</definedName>
    <definedName name="Header_Row" localSheetId="14">ROW(#REF!)</definedName>
    <definedName name="Header_Row" localSheetId="12">ROW(#REF!)</definedName>
    <definedName name="Header_Row" localSheetId="1">ROW(#REF!)</definedName>
    <definedName name="Header_Row" localSheetId="13">ROW(#REF!)</definedName>
    <definedName name="Header_Row">ROW(#REF!)</definedName>
    <definedName name="Header1" localSheetId="18" hidden="1">IF(COUNTA(#REF!)=0,0,INDEX(#REF!,MATCH(ROW(#REF!),#REF!,TRUE)))+1</definedName>
    <definedName name="Header1" localSheetId="1" hidden="1">IF(COUNTA(#REF!)=0,0,INDEX(#REF!,MATCH(ROW(#REF!),#REF!,TRUE)))+1</definedName>
    <definedName name="Header1" hidden="1">IF(COUNTA(#REF!)=0,0,INDEX(#REF!,MATCH(ROW(#REF!),#REF!,TRUE)))+1</definedName>
    <definedName name="hgfcg" localSheetId="18" hidden="1">{"'Sheet1'!$A$4386:$N$4591"}</definedName>
    <definedName name="hgfcg" hidden="1">{"'Sheet1'!$A$4386:$N$4591"}</definedName>
    <definedName name="hhh" localSheetId="11">'[30]Mega Caps'!#REF!</definedName>
    <definedName name="hhh" localSheetId="18" hidden="1">{"'Sheet1'!$A$4386:$N$4591"}</definedName>
    <definedName name="hhh" localSheetId="1">'[30]Mega Caps'!#REF!</definedName>
    <definedName name="hhh" hidden="1">{"'Sheet1'!$A$4386:$N$4591"}</definedName>
    <definedName name="Historange" localSheetId="14">#REF!</definedName>
    <definedName name="Historange" localSheetId="12">#REF!</definedName>
    <definedName name="Historange" localSheetId="1">#REF!</definedName>
    <definedName name="Historange" localSheetId="13">#REF!</definedName>
    <definedName name="Historange">#REF!</definedName>
    <definedName name="History" localSheetId="14">#REF!</definedName>
    <definedName name="History" localSheetId="12">#REF!</definedName>
    <definedName name="History" localSheetId="1">#REF!</definedName>
    <definedName name="History" localSheetId="13">#REF!</definedName>
    <definedName name="History">#REF!</definedName>
    <definedName name="hjhjhj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k" localSheetId="18" hidden="1">{"'Sheet1'!$A$4386:$N$4591"}</definedName>
    <definedName name="hk" hidden="1">{"'Sheet1'!$A$4386:$N$4591"}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odnoty" localSheetId="14">#REF!</definedName>
    <definedName name="Hodnoty" localSheetId="12">#REF!</definedName>
    <definedName name="Hodnoty" localSheetId="1">#REF!</definedName>
    <definedName name="Hodnoty" localSheetId="13">#REF!</definedName>
    <definedName name="Hodnoty">#REF!</definedName>
    <definedName name="Hosp_výsledek" localSheetId="14">#REF!</definedName>
    <definedName name="Hosp_výsledek" localSheetId="12">#REF!</definedName>
    <definedName name="Hosp_výsledek" localSheetId="1">#REF!</definedName>
    <definedName name="Hosp_výsledek" localSheetId="13">#REF!</definedName>
    <definedName name="Hosp_výsledek">#REF!</definedName>
    <definedName name="HP" localSheetId="11">'[39]CASH FLOW'!#REF!</definedName>
    <definedName name="HP" localSheetId="1">'[39]CASH FLOW'!#REF!</definedName>
    <definedName name="HP">'[39]CASH FLOW'!#REF!</definedName>
    <definedName name="HR_Heads">[20]HRData!$E$2:$E$100</definedName>
    <definedName name="HR_Projects">[20]HRData!$B$2:$B$100</definedName>
    <definedName name="HR_Sector">[20]HRData!$A$2:$A$100</definedName>
    <definedName name="Hr_type_1">[20]HRData!$C$2:$C$100</definedName>
    <definedName name="Hr_type_2">[20]HRData!$D$2:$D$100</definedName>
    <definedName name="HTML_CodePage" hidden="1">1252</definedName>
    <definedName name="HTML_Control" localSheetId="18" hidden="1">{"'bar'!$A$1:$AQ$33","'bar'!$A$10:$B$10"}</definedName>
    <definedName name="HTML_Control" hidden="1">{"'bar'!$A$1:$AQ$33","'bar'!$A$10:$B$10"}</definedName>
    <definedName name="html_control1" localSheetId="18" hidden="1">{"'Sheet1'!$A$4386:$N$4591"}</definedName>
    <definedName name="html_control1" hidden="1">{"'Sheet1'!$A$4386:$N$4591"}</definedName>
    <definedName name="HTML_control2" localSheetId="18" hidden="1">{"'Sheet1'!$A$4386:$N$4591"}</definedName>
    <definedName name="HTML_control2" hidden="1">{"'Sheet1'!$A$4386:$N$4591"}</definedName>
    <definedName name="HTML_Description" hidden="1">""</definedName>
    <definedName name="HTML_Email" hidden="1">""</definedName>
    <definedName name="HTML_Header" hidden="1">"Sheet1"</definedName>
    <definedName name="HTML_LastUpdate" hidden="1">"7/1/03"</definedName>
    <definedName name="HTML_LineAfter" hidden="1">FALSE</definedName>
    <definedName name="HTML_LineBefore" hidden="1">FALSE</definedName>
    <definedName name="HTML_Name" hidden="1">"m.p.raval"</definedName>
    <definedName name="HTML_OBDlg2" hidden="1">TRUE</definedName>
    <definedName name="HTML_OBDlg4" hidden="1">TRUE</definedName>
    <definedName name="HTML_OS" hidden="1">0</definedName>
    <definedName name="HTML_PathFile" hidden="1">"A:\MyHTML.htm"</definedName>
    <definedName name="HTML_PathFileMac" hidden="1">"Macintosh HD:HomePageStuff:New_Home_Page:datafile:histret.html"</definedName>
    <definedName name="HTML_Title" hidden="1">"SGSDaily Progress Report Piyaj toDharoi Pipeline"</definedName>
    <definedName name="HTML1_1" hidden="1">"[ReturnsHistorical]Sheet1!$A$1:$D$77"</definedName>
    <definedName name="HTML2_1" hidden="1">"[histret.xls]Sheet1!$A$1:$G$85"</definedName>
    <definedName name="HTML2_10" hidden="1">""</definedName>
    <definedName name="HTML2_11" hidden="1">1</definedName>
    <definedName name="HTML2_12" hidden="1">"Macintosh HD:New_Home_Page:datafile:histret.html"</definedName>
    <definedName name="HTML2_2" hidden="1">1</definedName>
    <definedName name="HTML2_3" hidden="1">"Historical Returns"</definedName>
    <definedName name="HTML2_4" hidden="1">"Historical Returns on Stocks, Bonds and Bills"</definedName>
    <definedName name="HTML2_5" hidden="1">""</definedName>
    <definedName name="HTML2_6" hidden="1">1</definedName>
    <definedName name="HTML2_7" hidden="1">1</definedName>
    <definedName name="HTML2_8" hidden="1">"2/3/98"</definedName>
    <definedName name="HTML2_9" hidden="1">"Aswath Damodaran"</definedName>
    <definedName name="huh?????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huh?????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huh?????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huh?????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hvtyfv" localSheetId="18" hidden="1">{"'Sheet1'!$A$4386:$N$4591"}</definedName>
    <definedName name="hvtyfv" hidden="1">{"'Sheet1'!$A$4386:$N$4591"}</definedName>
    <definedName name="HYown" localSheetId="14">#REF!</definedName>
    <definedName name="HYown" localSheetId="12">#REF!</definedName>
    <definedName name="HYown" localSheetId="1">#REF!</definedName>
    <definedName name="HYown" localSheetId="13">#REF!</definedName>
    <definedName name="HYown">#REF!</definedName>
    <definedName name="IAM" localSheetId="18" hidden="1">{"'Sheet1'!$A$4386:$N$4591"}</definedName>
    <definedName name="IAM" hidden="1">{"'Sheet1'!$A$4386:$N$4591"}</definedName>
    <definedName name="iiiii" localSheetId="11" hidden="1">{#N/A,#N/A,FALSE,"Calc";#N/A,#N/A,FALSE,"Sensitivity";#N/A,#N/A,FALSE,"LT Earn.Dil.";#N/A,#N/A,FALSE,"Dil. AVP"}</definedName>
    <definedName name="iiiii" localSheetId="15" hidden="1">{#N/A,#N/A,FALSE,"Calc";#N/A,#N/A,FALSE,"Sensitivity";#N/A,#N/A,FALSE,"LT Earn.Dil.";#N/A,#N/A,FALSE,"Dil. AVP"}</definedName>
    <definedName name="iiiii" localSheetId="18" hidden="1">{#N/A,#N/A,FALSE,"Calc";#N/A,#N/A,FALSE,"Sensitivity";#N/A,#N/A,FALSE,"LT Earn.Dil.";#N/A,#N/A,FALSE,"Dil. AVP"}</definedName>
    <definedName name="iiiii" localSheetId="14" hidden="1">{#N/A,#N/A,FALSE,"Calc";#N/A,#N/A,FALSE,"Sensitivity";#N/A,#N/A,FALSE,"LT Earn.Dil.";#N/A,#N/A,FALSE,"Dil. AVP"}</definedName>
    <definedName name="iiiii" localSheetId="12" hidden="1">{#N/A,#N/A,FALSE,"Calc";#N/A,#N/A,FALSE,"Sensitivity";#N/A,#N/A,FALSE,"LT Earn.Dil.";#N/A,#N/A,FALSE,"Dil. AVP"}</definedName>
    <definedName name="iiiii" localSheetId="13" hidden="1">{#N/A,#N/A,FALSE,"Calc";#N/A,#N/A,FALSE,"Sensitivity";#N/A,#N/A,FALSE,"LT Earn.Dil.";#N/A,#N/A,FALSE,"Dil. AVP"}</definedName>
    <definedName name="iiiii" hidden="1">{#N/A,#N/A,FALSE,"Calc";#N/A,#N/A,FALSE,"Sensitivity";#N/A,#N/A,FALSE,"LT Earn.Dil.";#N/A,#N/A,FALSE,"Dil. AVP"}</definedName>
    <definedName name="ILS_USD">[47]FXRATES!$E$30</definedName>
    <definedName name="IMCBS" localSheetId="14">#REF!</definedName>
    <definedName name="IMCBS" localSheetId="12">#REF!</definedName>
    <definedName name="IMCBS" localSheetId="1">#REF!</definedName>
    <definedName name="IMCBS" localSheetId="13">#REF!</definedName>
    <definedName name="IMCBS">#REF!</definedName>
    <definedName name="ImportFile" localSheetId="11">#N/A</definedName>
    <definedName name="ImportFile" localSheetId="14">#N/A</definedName>
    <definedName name="ImportFile" localSheetId="12">#N/A</definedName>
    <definedName name="ImportFile" localSheetId="1">#N/A</definedName>
    <definedName name="ImportFile" localSheetId="13">#N/A</definedName>
    <definedName name="ImportFile">#N/A</definedName>
    <definedName name="incassum" localSheetId="1">[6]LBO!#REF!</definedName>
    <definedName name="incassum">[6]LBO!#REF!</definedName>
    <definedName name="INCOME" localSheetId="1">'[49]Co. C'!#REF!</definedName>
    <definedName name="INCOME">'[49]Co. C'!#REF!</definedName>
    <definedName name="income_statement" localSheetId="1">'[26]Model (Telecorp)'!#REF!</definedName>
    <definedName name="income_statement">'[26]Model (Telecorp)'!#REF!</definedName>
    <definedName name="Income_Tax_Rate">[50]Assumptions!$B$1314</definedName>
    <definedName name="IncomeStatement" localSheetId="11">{0.35875,0.39124,0.421299}</definedName>
    <definedName name="IncomeStatement" localSheetId="15">{0.35875,0.39124,0.421299}</definedName>
    <definedName name="IncomeStatement" localSheetId="14">{0.35875,0.39124,0.421299}</definedName>
    <definedName name="IncomeStatement" localSheetId="12">{0.35875,0.39124,0.421299}</definedName>
    <definedName name="IncomeStatement" localSheetId="13">{0.35875,0.39124,0.421299}</definedName>
    <definedName name="IncomeStatement">{0.35875,0.39124,0.421299}</definedName>
    <definedName name="INCON_COS" localSheetId="14">#REF!</definedName>
    <definedName name="INCON_COS" localSheetId="12">#REF!</definedName>
    <definedName name="INCON_COS" localSheetId="1">#REF!</definedName>
    <definedName name="INCON_COS" localSheetId="13">#REF!</definedName>
    <definedName name="INCON_COS">#REF!</definedName>
    <definedName name="incstat" localSheetId="14">#REF!</definedName>
    <definedName name="incstat" localSheetId="12">#REF!</definedName>
    <definedName name="incstat" localSheetId="1">#REF!</definedName>
    <definedName name="incstat" localSheetId="13">#REF!</definedName>
    <definedName name="incstat">#REF!</definedName>
    <definedName name="Indexx" localSheetId="1">'[18]profit &amp; loss'!#REF!</definedName>
    <definedName name="Indexx">'[18]profit &amp; loss'!#REF!</definedName>
    <definedName name="Input" localSheetId="1">[6]LBO!#REF!</definedName>
    <definedName name="Input">[6]LBO!#REF!</definedName>
    <definedName name="Inputs" localSheetId="1">[6]LBO!#REF!</definedName>
    <definedName name="Inputs">[6]LBO!#REF!</definedName>
    <definedName name="INR_D" localSheetId="14">#REF!</definedName>
    <definedName name="INR_D" localSheetId="12">#REF!</definedName>
    <definedName name="INR_D" localSheetId="1">#REF!</definedName>
    <definedName name="INR_D" localSheetId="13">#REF!</definedName>
    <definedName name="INR_D">#REF!</definedName>
    <definedName name="INR_DGO" localSheetId="14">#REF!</definedName>
    <definedName name="INR_DGO" localSheetId="12">#REF!</definedName>
    <definedName name="INR_DGO" localSheetId="1">#REF!</definedName>
    <definedName name="INR_DGO" localSheetId="13">#REF!</definedName>
    <definedName name="INR_DGO">#REF!</definedName>
    <definedName name="INR_DN" localSheetId="14">#REF!</definedName>
    <definedName name="INR_DN" localSheetId="12">#REF!</definedName>
    <definedName name="INR_DN" localSheetId="1">#REF!</definedName>
    <definedName name="INR_DN" localSheetId="13">#REF!</definedName>
    <definedName name="INR_DN">#REF!</definedName>
    <definedName name="INR_I" localSheetId="14">#REF!</definedName>
    <definedName name="INR_I" localSheetId="12">#REF!</definedName>
    <definedName name="INR_I" localSheetId="1">#REF!</definedName>
    <definedName name="INR_I" localSheetId="13">#REF!</definedName>
    <definedName name="INR_I">#REF!</definedName>
    <definedName name="INR_IGO" localSheetId="14">#REF!</definedName>
    <definedName name="INR_IGO" localSheetId="12">#REF!</definedName>
    <definedName name="INR_IGO" localSheetId="1">#REF!</definedName>
    <definedName name="INR_IGO" localSheetId="13">#REF!</definedName>
    <definedName name="INR_IGO">#REF!</definedName>
    <definedName name="INR_IN" localSheetId="14">#REF!</definedName>
    <definedName name="INR_IN" localSheetId="12">#REF!</definedName>
    <definedName name="INR_IN" localSheetId="1">#REF!</definedName>
    <definedName name="INR_IN" localSheetId="13">#REF!</definedName>
    <definedName name="INR_IN">#REF!</definedName>
    <definedName name="INR_OMO" localSheetId="14">#REF!</definedName>
    <definedName name="INR_OMO" localSheetId="12">#REF!</definedName>
    <definedName name="INR_OMO" localSheetId="1">#REF!</definedName>
    <definedName name="INR_OMO" localSheetId="13">#REF!</definedName>
    <definedName name="INR_OMO">#REF!</definedName>
    <definedName name="INR_OMOGO" localSheetId="14">#REF!</definedName>
    <definedName name="INR_OMOGO" localSheetId="12">#REF!</definedName>
    <definedName name="INR_OMOGO" localSheetId="1">#REF!</definedName>
    <definedName name="INR_OMOGO" localSheetId="13">#REF!</definedName>
    <definedName name="INR_OMOGO">#REF!</definedName>
    <definedName name="INR_OMON" localSheetId="14">#REF!</definedName>
    <definedName name="INR_OMON" localSheetId="12">#REF!</definedName>
    <definedName name="INR_OMON" localSheetId="1">#REF!</definedName>
    <definedName name="INR_OMON" localSheetId="13">#REF!</definedName>
    <definedName name="INR_OMON">#REF!</definedName>
    <definedName name="INR_T" localSheetId="14">#REF!</definedName>
    <definedName name="INR_T" localSheetId="12">#REF!</definedName>
    <definedName name="INR_T" localSheetId="1">#REF!</definedName>
    <definedName name="INR_T" localSheetId="13">#REF!</definedName>
    <definedName name="INR_T">#REF!</definedName>
    <definedName name="Int" localSheetId="14">#REF!</definedName>
    <definedName name="Int" localSheetId="12">#REF!</definedName>
    <definedName name="Int" localSheetId="1">#REF!</definedName>
    <definedName name="Int" localSheetId="13">#REF!</definedName>
    <definedName name="Int">#REF!</definedName>
    <definedName name="Int_exp">8%</definedName>
    <definedName name="Interest" localSheetId="11">IF([51]ProSum!XEZ1048560&lt;&gt;"",[51]ProSum!XFB1048560*'Add21-22'!Periodic_rate,"")</definedName>
    <definedName name="Interest" localSheetId="15">IF([51]ProSum!XEZ1048560&lt;&gt;"",[51]ProSum!XFB1048560*'Add22-23'!Periodic_rate,"")</definedName>
    <definedName name="Interest" localSheetId="14">#N/A</definedName>
    <definedName name="Interest" localSheetId="12">#N/A</definedName>
    <definedName name="Interest" localSheetId="1">IF([51]ProSum!XEZ1048560&lt;&gt;"",[51]ProSum!XFB1048560*LAND!Periodic_rate,"")</definedName>
    <definedName name="Interest" localSheetId="13">#N/A</definedName>
    <definedName name="Interest">#N/A</definedName>
    <definedName name="Interest_BAse" localSheetId="11">IF([51]ProSum!XEZ1048560&lt;&gt;"",[51]ProSum!XFB1048560*'Add21-22'!Yes2,"")</definedName>
    <definedName name="Interest_BAse" localSheetId="15">IF([51]ProSum!XEZ1048560&lt;&gt;"",[51]ProSum!XFB1048560*'Add22-23'!Yes2,"")</definedName>
    <definedName name="Interest_BAse" localSheetId="14">#N/A</definedName>
    <definedName name="Interest_BAse" localSheetId="12">#N/A</definedName>
    <definedName name="Interest_BAse" localSheetId="1">IF([51]ProSum!XEZ1048560&lt;&gt;"",[51]ProSum!XFB1048560*LAND!Yes2,"")</definedName>
    <definedName name="Interest_BAse" localSheetId="13">#N/A</definedName>
    <definedName name="Interest_BAse">#N/A</definedName>
    <definedName name="Interest_income" localSheetId="14">#REF!</definedName>
    <definedName name="Interest_income" localSheetId="12">#REF!</definedName>
    <definedName name="Interest_income" localSheetId="1">#REF!</definedName>
    <definedName name="Interest_income" localSheetId="13">#REF!</definedName>
    <definedName name="Interest_income">#REF!</definedName>
    <definedName name="Interest_Rate" localSheetId="14">#REF!</definedName>
    <definedName name="Interest_Rate" localSheetId="12">#REF!</definedName>
    <definedName name="Interest_Rate" localSheetId="1">#REF!</definedName>
    <definedName name="Interest_Rate" localSheetId="13">#REF!</definedName>
    <definedName name="Interest_Rate">#REF!</definedName>
    <definedName name="Interest1" localSheetId="11">IF([51]ProSum!XEZ1048560&lt;&gt;"",[51]ProSum!XFB1048560*'Add21-22'!Periodic_rate,"")</definedName>
    <definedName name="Interest1" localSheetId="15">IF([51]ProSum!XEZ1048560&lt;&gt;"",[51]ProSum!XFB1048560*'Add22-23'!Periodic_rate,"")</definedName>
    <definedName name="Interest1" localSheetId="14">#N/A</definedName>
    <definedName name="Interest1" localSheetId="12">#N/A</definedName>
    <definedName name="Interest1" localSheetId="1">IF([51]ProSum!XEZ1048560&lt;&gt;"",[51]ProSum!XFB1048560*LAND!Periodic_rate,"")</definedName>
    <definedName name="Interest1" localSheetId="13">#N/A</definedName>
    <definedName name="Interest1">#N/A</definedName>
    <definedName name="Interstate_Miles" localSheetId="14">#REF!</definedName>
    <definedName name="Interstate_Miles" localSheetId="12">#REF!</definedName>
    <definedName name="Interstate_Miles" localSheetId="1">#REF!</definedName>
    <definedName name="Interstate_Miles" localSheetId="13">#REF!</definedName>
    <definedName name="Interstate_Miles">#REF!</definedName>
    <definedName name="Investment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Investment" localSheetId="14">#REF!</definedName>
    <definedName name="Investment" localSheetId="12">#REF!</definedName>
    <definedName name="Investment" localSheetId="1">#REF!</definedName>
    <definedName name="Investment" localSheetId="13">#REF!</definedName>
    <definedName name="Investment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Investment1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Investment1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Investment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Investment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IPO" localSheetId="14">#REF!</definedName>
    <definedName name="IPO" localSheetId="12">#REF!</definedName>
    <definedName name="IPO" localSheetId="1">#REF!</definedName>
    <definedName name="IPO" localSheetId="13">#REF!</definedName>
    <definedName name="IPO">#REF!</definedName>
    <definedName name="IPOs" localSheetId="14">#REF!</definedName>
    <definedName name="IPOs" localSheetId="12">#REF!</definedName>
    <definedName name="IPOs" localSheetId="1">#REF!</definedName>
    <definedName name="IPOs" localSheetId="13">#REF!</definedName>
    <definedName name="IPOs">#REF!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CCOUNT_CHANGE" hidden="1">"c1449"</definedName>
    <definedName name="IQ_ACCOUNTING_STANDARD" hidden="1">"c4539"</definedName>
    <definedName name="IQ_ACCOUNTING_STANDARD_CIQ" hidden="1">"c5092"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TER_TAX_INCOME_FDIC" hidden="1">"c6583"</definedName>
    <definedName name="IQ_AGENCY" hidden="1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MT_OUT" hidden="1">"c2145"</definedName>
    <definedName name="IQ_ANNU_DISTRIBUTION_UNIT" hidden="1">"c3004"</definedName>
    <definedName name="IQ_ANNUAL_DIVIDEND" hidden="1">"c229"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 hidden="1">"c8921"</definedName>
    <definedName name="IQ_ASSETS_NAME_AP_ABS" hidden="1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REUT" hidden="1">"c3630"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DUSTRY_REC_NO_CIQ" hidden="1">"c4983"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EST_CIQ" hidden="1">"c4541"</definedName>
    <definedName name="IQ_BASIC_OUTSTANDING_CURRENT_HIGH_EST" hidden="1">"c4129"</definedName>
    <definedName name="IQ_BASIC_OUTSTANDING_CURRENT_HIGH_EST_CIQ" hidden="1">"c4542"</definedName>
    <definedName name="IQ_BASIC_OUTSTANDING_CURRENT_LOW_EST" hidden="1">"c4130"</definedName>
    <definedName name="IQ_BASIC_OUTSTANDING_CURRENT_LOW_EST_CIQ" hidden="1">"c4543"</definedName>
    <definedName name="IQ_BASIC_OUTSTANDING_CURRENT_MEDIAN_EST" hidden="1">"c4131"</definedName>
    <definedName name="IQ_BASIC_OUTSTANDING_CURRENT_MEDIAN_EST_CIQ" hidden="1">"c4544"</definedName>
    <definedName name="IQ_BASIC_OUTSTANDING_CURRENT_NUM_EST" hidden="1">"c4132"</definedName>
    <definedName name="IQ_BASIC_OUTSTANDING_CURRENT_NUM_EST_CIQ" hidden="1">"c4545"</definedName>
    <definedName name="IQ_BASIC_OUTSTANDING_CURRENT_STDDEV_EST" hidden="1">"c4133"</definedName>
    <definedName name="IQ_BASIC_OUTSTANDING_CURRENT_STDDEV_EST_CIQ" hidden="1">"c4546"</definedName>
    <definedName name="IQ_BASIC_OUTSTANDING_EST" hidden="1">"c4134"</definedName>
    <definedName name="IQ_BASIC_OUTSTANDING_EST_CIQ" hidden="1">"c4547"</definedName>
    <definedName name="IQ_BASIC_OUTSTANDING_HIGH_EST" hidden="1">"c4135"</definedName>
    <definedName name="IQ_BASIC_OUTSTANDING_HIGH_EST_CIQ" hidden="1">"c4548"</definedName>
    <definedName name="IQ_BASIC_OUTSTANDING_LOW_EST" hidden="1">"c4136"</definedName>
    <definedName name="IQ_BASIC_OUTSTANDING_LOW_EST_CIQ" hidden="1">"c4549"</definedName>
    <definedName name="IQ_BASIC_OUTSTANDING_MEDIAN_EST" hidden="1">"c4137"</definedName>
    <definedName name="IQ_BASIC_OUTSTANDING_MEDIAN_EST_CIQ" hidden="1">"c4550"</definedName>
    <definedName name="IQ_BASIC_OUTSTANDING_NUM_EST" hidden="1">"c4138"</definedName>
    <definedName name="IQ_BASIC_OUTSTANDING_NUM_EST_CIQ" hidden="1">"c4551"</definedName>
    <definedName name="IQ_BASIC_OUTSTANDING_STDDEV_EST" hidden="1">"c4139"</definedName>
    <definedName name="IQ_BASIC_OUTSTANDING_STDDEV_EST_CIQ" hidden="1">"c4552"</definedName>
    <definedName name="IQ_BASIC_WEIGHT" hidden="1">"c87"</definedName>
    <definedName name="IQ_BASIC_WEIGHT_EST" hidden="1">"c4140"</definedName>
    <definedName name="IQ_BASIC_WEIGHT_EST_CIQ" hidden="1">"c4553"</definedName>
    <definedName name="IQ_BASIC_WEIGHT_GUIDANCE" hidden="1">"c4141"</definedName>
    <definedName name="IQ_BASIC_WEIGHT_HIGH_EST" hidden="1">"c4142"</definedName>
    <definedName name="IQ_BASIC_WEIGHT_HIGH_EST_CIQ" hidden="1">"c4554"</definedName>
    <definedName name="IQ_BASIC_WEIGHT_LOW_EST" hidden="1">"c4143"</definedName>
    <definedName name="IQ_BASIC_WEIGHT_LOW_EST_CIQ" hidden="1">"c4555"</definedName>
    <definedName name="IQ_BASIC_WEIGHT_MEDIAN_EST" hidden="1">"c4144"</definedName>
    <definedName name="IQ_BASIC_WEIGHT_MEDIAN_EST_CIQ" hidden="1">"c4556"</definedName>
    <definedName name="IQ_BASIC_WEIGHT_NUM_EST" hidden="1">"c4145"</definedName>
    <definedName name="IQ_BASIC_WEIGHT_NUM_EST_CIQ" hidden="1">"c4557"</definedName>
    <definedName name="IQ_BASIC_WEIGHT_STDDEV_EST" hidden="1">"c4146"</definedName>
    <definedName name="IQ_BASIC_WEIGHT_STDDEV_EST_CIQ" hidden="1">"c4558"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"c223"</definedName>
    <definedName name="IQ_BONDRATING_FITCH_DATE" hidden="1">"c241"</definedName>
    <definedName name="IQ_BONDRATING_SP" hidden="1">"c224"</definedName>
    <definedName name="IQ_BONDRATING_SP_DATE" hidden="1">"c242"</definedName>
    <definedName name="IQ_BOOK_VALUE" hidden="1">"c68"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ACT_OR_EST_CIQ" hidden="1">"c5068"</definedName>
    <definedName name="IQ_BV_EST" hidden="1">"c5624"</definedName>
    <definedName name="IQ_BV_EST_CIQ" hidden="1">"c4737"</definedName>
    <definedName name="IQ_BV_HIGH_EST" hidden="1">"c5626"</definedName>
    <definedName name="IQ_BV_HIGH_EST_CIQ" hidden="1">"c4739"</definedName>
    <definedName name="IQ_BV_LOW_EST" hidden="1">"c5627"</definedName>
    <definedName name="IQ_BV_LOW_EST_CIQ" hidden="1">"c4740"</definedName>
    <definedName name="IQ_BV_MEDIAN_EST" hidden="1">"c5625"</definedName>
    <definedName name="IQ_BV_MEDIAN_EST_CIQ" hidden="1">"c4738"</definedName>
    <definedName name="IQ_BV_NUM_EST" hidden="1">"c5628"</definedName>
    <definedName name="IQ_BV_NUM_EST_CIQ" hidden="1">"c4741"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CIQ" hidden="1">"c5072"</definedName>
    <definedName name="IQ_BV_SHARE_ACT_OR_EST_REUT" hidden="1">"c5477"</definedName>
    <definedName name="IQ_BV_SHARE_EST" hidden="1">"c3541"</definedName>
    <definedName name="IQ_BV_SHARE_EST_CIQ" hidden="1">"c3800"</definedName>
    <definedName name="IQ_BV_SHARE_EST_REUT" hidden="1">"c5439"</definedName>
    <definedName name="IQ_BV_SHARE_HIGH_EST" hidden="1">"c3542"</definedName>
    <definedName name="IQ_BV_SHARE_HIGH_EST_CIQ" hidden="1">"c3802"</definedName>
    <definedName name="IQ_BV_SHARE_HIGH_EST_REUT" hidden="1">"c5441"</definedName>
    <definedName name="IQ_BV_SHARE_LOW_EST" hidden="1">"c3543"</definedName>
    <definedName name="IQ_BV_SHARE_LOW_EST_CIQ" hidden="1">"c3803"</definedName>
    <definedName name="IQ_BV_SHARE_LOW_EST_REUT" hidden="1">"c5442"</definedName>
    <definedName name="IQ_BV_SHARE_MEDIAN_EST" hidden="1">"c3544"</definedName>
    <definedName name="IQ_BV_SHARE_MEDIAN_EST_CIQ" hidden="1">"c3801"</definedName>
    <definedName name="IQ_BV_SHARE_MEDIAN_EST_REUT" hidden="1">"c5440"</definedName>
    <definedName name="IQ_BV_SHARE_NUM_EST" hidden="1">"c3539"</definedName>
    <definedName name="IQ_BV_SHARE_NUM_EST_CIQ" hidden="1">"c3804"</definedName>
    <definedName name="IQ_BV_SHARE_NUM_EST_REUT" hidden="1">"c5443"</definedName>
    <definedName name="IQ_BV_SHARE_STDDEV_EST" hidden="1">"c3540"</definedName>
    <definedName name="IQ_BV_SHARE_STDDEV_EST_CIQ" hidden="1">"c3805"</definedName>
    <definedName name="IQ_BV_SHARE_STDDEV_EST_REUT" hidden="1">"c5444"</definedName>
    <definedName name="IQ_BV_STDDEV_EST" hidden="1">"c5629"</definedName>
    <definedName name="IQ_BV_STDDEV_EST_CIQ" hidden="1">"c4742"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REUT" hidden="1">"c6800"</definedName>
    <definedName name="IQ_CAL_Y" hidden="1">"c102"</definedName>
    <definedName name="IQ_CAL_Y_EST" hidden="1">"c6797"</definedName>
    <definedName name="IQ_CAL_Y_EST_CIQ" hidden="1">"c6809"</definedName>
    <definedName name="IQ_CAL_Y_EST_REUT" hidden="1">"c6801"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CIQ" hidden="1">"c5071"</definedName>
    <definedName name="IQ_CAPEX_ACT_OR_EST_REUT" hidden="1">"c5474"</definedName>
    <definedName name="IQ_CAPEX_BNK" hidden="1">"c110"</definedName>
    <definedName name="IQ_CAPEX_BR" hidden="1">"c111"</definedName>
    <definedName name="IQ_CAPEX_EST" hidden="1">"c3523"</definedName>
    <definedName name="IQ_CAPEX_EST_CIQ" hidden="1">"c3807"</definedName>
    <definedName name="IQ_CAPEX_EST_REUT" hidden="1">"c3969"</definedName>
    <definedName name="IQ_CAPEX_FIN" hidden="1">"c112"</definedName>
    <definedName name="IQ_CAPEX_GUIDANCE" hidden="1">"c4150"</definedName>
    <definedName name="IQ_CAPEX_GUIDANCE_CIQ" hidden="1">"c4562"</definedName>
    <definedName name="IQ_CAPEX_HIGH_EST" hidden="1">"c3524"</definedName>
    <definedName name="IQ_CAPEX_HIGH_EST_CIQ" hidden="1">"c3809"</definedName>
    <definedName name="IQ_CAPEX_HIGH_EST_REUT" hidden="1">"c3971"</definedName>
    <definedName name="IQ_CAPEX_HIGH_GUIDANCE" hidden="1">"c4180"</definedName>
    <definedName name="IQ_CAPEX_HIGH_GUIDANCE_CIQ" hidden="1">"c4592"</definedName>
    <definedName name="IQ_CAPEX_INS" hidden="1">"c113"</definedName>
    <definedName name="IQ_CAPEX_LOW_EST" hidden="1">"c3525"</definedName>
    <definedName name="IQ_CAPEX_LOW_EST_CIQ" hidden="1">"c3810"</definedName>
    <definedName name="IQ_CAPEX_LOW_EST_REUT" hidden="1">"c3972"</definedName>
    <definedName name="IQ_CAPEX_LOW_GUIDANCE" hidden="1">"c4220"</definedName>
    <definedName name="IQ_CAPEX_LOW_GUIDANCE_CIQ" hidden="1">"c4632"</definedName>
    <definedName name="IQ_CAPEX_MEDIAN_EST" hidden="1">"c3526"</definedName>
    <definedName name="IQ_CAPEX_MEDIAN_EST_CIQ" hidden="1">"c3808"</definedName>
    <definedName name="IQ_CAPEX_MEDIAN_EST_REUT" hidden="1">"c3970"</definedName>
    <definedName name="IQ_CAPEX_NUM_EST" hidden="1">"c3521"</definedName>
    <definedName name="IQ_CAPEX_NUM_EST_CIQ" hidden="1">"c3811"</definedName>
    <definedName name="IQ_CAPEX_NUM_EST_REUT" hidden="1">"c3973"</definedName>
    <definedName name="IQ_CAPEX_STDDEV_EST" hidden="1">"c3522"</definedName>
    <definedName name="IQ_CAPEX_STDDEV_EST_CIQ" hidden="1">"c3812"</definedName>
    <definedName name="IQ_CAPEX_STDDEV_EST_REUT" hidden="1">"c3974"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"c3460"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ACQUIRE_CF_1" hidden="1">"c116"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EST" hidden="1">"c5631"</definedName>
    <definedName name="IQ_CASH_EPS_HIGH_EST" hidden="1">"c5633"</definedName>
    <definedName name="IQ_CASH_EPS_LOW_EST" hidden="1">"c5634"</definedName>
    <definedName name="IQ_CASH_EPS_MEDIAN_EST" hidden="1">"c5632"</definedName>
    <definedName name="IQ_CASH_EPS_NUM_EST" hidden="1">"c5635"</definedName>
    <definedName name="IQ_CASH_EPS_STDDEV_EST" hidden="1">"c5636"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EST_CIQ" hidden="1">"c4565"</definedName>
    <definedName name="IQ_CASH_FLOW_GUIDANCE" hidden="1">"c4155"</definedName>
    <definedName name="IQ_CASH_FLOW_GUIDANCE_CIQ" hidden="1">"c4567"</definedName>
    <definedName name="IQ_CASH_FLOW_HIGH_EST" hidden="1">"c4156"</definedName>
    <definedName name="IQ_CASH_FLOW_HIGH_EST_CIQ" hidden="1">"c4568"</definedName>
    <definedName name="IQ_CASH_FLOW_HIGH_GUIDANCE" hidden="1">"c4201"</definedName>
    <definedName name="IQ_CASH_FLOW_HIGH_GUIDANCE_CIQ" hidden="1">"c4613"</definedName>
    <definedName name="IQ_CASH_FLOW_LOW_EST" hidden="1">"c4157"</definedName>
    <definedName name="IQ_CASH_FLOW_LOW_EST_CIQ" hidden="1">"c4569"</definedName>
    <definedName name="IQ_CASH_FLOW_LOW_GUIDANCE" hidden="1">"c4241"</definedName>
    <definedName name="IQ_CASH_FLOW_LOW_GUIDANCE_CIQ" hidden="1">"c4653"</definedName>
    <definedName name="IQ_CASH_FLOW_MEDIAN_EST" hidden="1">"c4158"</definedName>
    <definedName name="IQ_CASH_FLOW_MEDIAN_EST_CIQ" hidden="1">"c4570"</definedName>
    <definedName name="IQ_CASH_FLOW_NUM_EST" hidden="1">"c4159"</definedName>
    <definedName name="IQ_CASH_FLOW_NUM_EST_CIQ" hidden="1">"c4571"</definedName>
    <definedName name="IQ_CASH_FLOW_STDDEV_EST" hidden="1">"c4160"</definedName>
    <definedName name="IQ_CASH_FLOW_STDDEV_EST_CIQ" hidden="1">"c4572"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EST_CIQ" hidden="1">"c4575"</definedName>
    <definedName name="IQ_CASH_OPER_GUIDANCE" hidden="1">"c4165"</definedName>
    <definedName name="IQ_CASH_OPER_GUIDANCE_CIQ" hidden="1">"c4577"</definedName>
    <definedName name="IQ_CASH_OPER_HIGH_EST" hidden="1">"c4166"</definedName>
    <definedName name="IQ_CASH_OPER_HIGH_EST_CIQ" hidden="1">"c4578"</definedName>
    <definedName name="IQ_CASH_OPER_HIGH_GUIDANCE" hidden="1">"c4185"</definedName>
    <definedName name="IQ_CASH_OPER_HIGH_GUIDANCE_CIQ" hidden="1">"c4597"</definedName>
    <definedName name="IQ_CASH_OPER_LOW_EST" hidden="1">"c4244"</definedName>
    <definedName name="IQ_CASH_OPER_LOW_EST_CIQ" hidden="1">"c4768"</definedName>
    <definedName name="IQ_CASH_OPER_LOW_GUIDANCE" hidden="1">"c4225"</definedName>
    <definedName name="IQ_CASH_OPER_LOW_GUIDANCE_CIQ" hidden="1">"c4637"</definedName>
    <definedName name="IQ_CASH_OPER_MEDIAN_EST" hidden="1">"c4245"</definedName>
    <definedName name="IQ_CASH_OPER_MEDIAN_EST_CIQ" hidden="1">"c4771"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NUM_EST_CIQ" hidden="1">"c4772"</definedName>
    <definedName name="IQ_CASH_OPER_STDDEV_EST" hidden="1">"c4247"</definedName>
    <definedName name="IQ_CASH_OPER_STDDEV_EST_CIQ" hidden="1">"c4773"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EST_CIQ" hidden="1">"c4775"</definedName>
    <definedName name="IQ_CASH_ST_INVEST_GUIDANCE" hidden="1">"c4250"</definedName>
    <definedName name="IQ_CASH_ST_INVEST_GUIDANCE_CIQ" hidden="1">"c4776"</definedName>
    <definedName name="IQ_CASH_ST_INVEST_HIGH_EST" hidden="1">"c4251"</definedName>
    <definedName name="IQ_CASH_ST_INVEST_HIGH_EST_CIQ" hidden="1">"c4777"</definedName>
    <definedName name="IQ_CASH_ST_INVEST_HIGH_GUIDANCE" hidden="1">"c4195"</definedName>
    <definedName name="IQ_CASH_ST_INVEST_HIGH_GUIDANCE_CIQ" hidden="1">"c4607"</definedName>
    <definedName name="IQ_CASH_ST_INVEST_LOW_EST" hidden="1">"c4252"</definedName>
    <definedName name="IQ_CASH_ST_INVEST_LOW_EST_CIQ" hidden="1">"c4778"</definedName>
    <definedName name="IQ_CASH_ST_INVEST_LOW_GUIDANCE" hidden="1">"c4235"</definedName>
    <definedName name="IQ_CASH_ST_INVEST_LOW_GUIDANCE_CIQ" hidden="1">"c4647"</definedName>
    <definedName name="IQ_CASH_ST_INVEST_MEDIAN_EST" hidden="1">"c4253"</definedName>
    <definedName name="IQ_CASH_ST_INVEST_MEDIAN_EST_CIQ" hidden="1">"c4779"</definedName>
    <definedName name="IQ_CASH_ST_INVEST_NUM_EST" hidden="1">"c4254"</definedName>
    <definedName name="IQ_CASH_ST_INVEST_NUM_EST_CIQ" hidden="1">"c4780"</definedName>
    <definedName name="IQ_CASH_ST_INVEST_STDDEV_EST" hidden="1">"c4255"</definedName>
    <definedName name="IQ_CASH_ST_INVEST_STDDEV_EST_CIQ" hidden="1">"c4781"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EVAL_DATE" hidden="1">"c6029"</definedName>
    <definedName name="IQ_CDS_MID" hidden="1">"c6028"</definedName>
    <definedName name="IQ_CDS_NAME" hidden="1">"c6034"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CIQ" hidden="1">"c5061"</definedName>
    <definedName name="IQ_CFPS_ACT_OR_EST_REUT" hidden="1">"c5463"</definedName>
    <definedName name="IQ_CFPS_EST" hidden="1">"c1667"</definedName>
    <definedName name="IQ_CFPS_EST_CIQ" hidden="1">"c3675"</definedName>
    <definedName name="IQ_CFPS_EST_REUT" hidden="1">"c3844"</definedName>
    <definedName name="IQ_CFPS_GUIDANCE" hidden="1">"c4256"</definedName>
    <definedName name="IQ_CFPS_GUIDANCE_CIQ" hidden="1">"c4782"</definedName>
    <definedName name="IQ_CFPS_HIGH_EST" hidden="1">"c1669"</definedName>
    <definedName name="IQ_CFPS_HIGH_EST_CIQ" hidden="1">"c3677"</definedName>
    <definedName name="IQ_CFPS_HIGH_EST_REUT" hidden="1">"c3846"</definedName>
    <definedName name="IQ_CFPS_HIGH_GUIDANCE" hidden="1">"c4167"</definedName>
    <definedName name="IQ_CFPS_HIGH_GUIDANCE_CIQ" hidden="1">"c4579"</definedName>
    <definedName name="IQ_CFPS_LOW_EST" hidden="1">"c1670"</definedName>
    <definedName name="IQ_CFPS_LOW_EST_CIQ" hidden="1">"c3678"</definedName>
    <definedName name="IQ_CFPS_LOW_EST_REUT" hidden="1">"c3847"</definedName>
    <definedName name="IQ_CFPS_LOW_GUIDANCE" hidden="1">"c4207"</definedName>
    <definedName name="IQ_CFPS_LOW_GUIDANCE_CIQ" hidden="1">"c4619"</definedName>
    <definedName name="IQ_CFPS_MEDIAN_EST" hidden="1">"c1668"</definedName>
    <definedName name="IQ_CFPS_MEDIAN_EST_CIQ" hidden="1">"c3676"</definedName>
    <definedName name="IQ_CFPS_MEDIAN_EST_REUT" hidden="1">"c3845"</definedName>
    <definedName name="IQ_CFPS_NUM_EST" hidden="1">"c1671"</definedName>
    <definedName name="IQ_CFPS_NUM_EST_CIQ" hidden="1">"c3679"</definedName>
    <definedName name="IQ_CFPS_NUM_EST_REUT" hidden="1">"c3848"</definedName>
    <definedName name="IQ_CFPS_STDDEV_EST" hidden="1">"c1672"</definedName>
    <definedName name="IQ_CFPS_STDDEV_EST_CIQ" hidden="1">"c3680"</definedName>
    <definedName name="IQ_CFPS_STDDEV_EST_REUT" hidden="1">"c3849"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BINED_RATIO" hidden="1">"c176"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 hidden="1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TY_EST" hidden="1">"c4257"</definedName>
    <definedName name="IQ_DEBT_EQUITY_EST_CIQ" hidden="1">"c4783"</definedName>
    <definedName name="IQ_DEBT_EQUITY_HIGH_EST" hidden="1">"c4258"</definedName>
    <definedName name="IQ_DEBT_EQUITY_HIGH_EST_CIQ" hidden="1">"c4784"</definedName>
    <definedName name="IQ_DEBT_EQUITY_LOW_EST" hidden="1">"c4259"</definedName>
    <definedName name="IQ_DEBT_EQUITY_LOW_EST_CIQ" hidden="1">"c4785"</definedName>
    <definedName name="IQ_DEBT_EQUITY_MEDIAN_EST" hidden="1">"c4260"</definedName>
    <definedName name="IQ_DEBT_EQUITY_MEDIAN_EST_CIQ" hidden="1">"c4786"</definedName>
    <definedName name="IQ_DEBT_EQUITY_NUM_EST" hidden="1">"c4261"</definedName>
    <definedName name="IQ_DEBT_EQUITY_NUM_EST_CIQ" hidden="1">"c4787"</definedName>
    <definedName name="IQ_DEBT_EQUITY_STDDEV_EST" hidden="1">"c4262"</definedName>
    <definedName name="IQ_DEBT_EQUITY_STDDEV_EST_CIQ" hidden="1">"c4788"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EST_CIQ" hidden="1">"c4789"</definedName>
    <definedName name="IQ_DILUT_OUTSTANDING_CURRENT_HIGH_EST" hidden="1">"c4264"</definedName>
    <definedName name="IQ_DILUT_OUTSTANDING_CURRENT_HIGH_EST_CIQ" hidden="1">"c4790"</definedName>
    <definedName name="IQ_DILUT_OUTSTANDING_CURRENT_LOW_EST" hidden="1">"c4265"</definedName>
    <definedName name="IQ_DILUT_OUTSTANDING_CURRENT_LOW_EST_CIQ" hidden="1">"c4791"</definedName>
    <definedName name="IQ_DILUT_OUTSTANDING_CURRENT_MEDIAN_EST" hidden="1">"c4266"</definedName>
    <definedName name="IQ_DILUT_OUTSTANDING_CURRENT_MEDIAN_EST_CIQ" hidden="1">"c4792"</definedName>
    <definedName name="IQ_DILUT_OUTSTANDING_CURRENT_NUM_EST" hidden="1">"c4267"</definedName>
    <definedName name="IQ_DILUT_OUTSTANDING_CURRENT_NUM_EST_CIQ" hidden="1">"c4793"</definedName>
    <definedName name="IQ_DILUT_OUTSTANDING_CURRENT_STDDEV_EST" hidden="1">"c4268"</definedName>
    <definedName name="IQ_DILUT_OUTSTANDING_CURRENT_STDDEV_EST_CIQ" hidden="1">"c4794"</definedName>
    <definedName name="IQ_DILUT_WEIGHT" hidden="1">"c326"</definedName>
    <definedName name="IQ_DILUT_WEIGHT_EST" hidden="1">"c4269"</definedName>
    <definedName name="IQ_DILUT_WEIGHT_EST_CIQ" hidden="1">"c4795"</definedName>
    <definedName name="IQ_DILUT_WEIGHT_GUIDANCE" hidden="1">"c4270"</definedName>
    <definedName name="IQ_DILUT_WEIGHT_HIGH_EST" hidden="1">"c4271"</definedName>
    <definedName name="IQ_DILUT_WEIGHT_HIGH_EST_CIQ" hidden="1">"c4796"</definedName>
    <definedName name="IQ_DILUT_WEIGHT_LOW_EST" hidden="1">"c4272"</definedName>
    <definedName name="IQ_DILUT_WEIGHT_LOW_EST_CIQ" hidden="1">"c4797"</definedName>
    <definedName name="IQ_DILUT_WEIGHT_MEDIAN_EST" hidden="1">"c4273"</definedName>
    <definedName name="IQ_DILUT_WEIGHT_MEDIAN_EST_CIQ" hidden="1">"c4798"</definedName>
    <definedName name="IQ_DILUT_WEIGHT_NUM_EST" hidden="1">"c4274"</definedName>
    <definedName name="IQ_DILUT_WEIGHT_NUM_EST_CIQ" hidden="1">"c4799"</definedName>
    <definedName name="IQ_DILUT_WEIGHT_STDDEV_EST" hidden="1">"c4275"</definedName>
    <definedName name="IQ_DILUT_WEIGHT_STDDEV_EST_CIQ" hidden="1">"c4800"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EST_CIQ" hidden="1">"c4802"</definedName>
    <definedName name="IQ_DISTRIBUTABLE_CASH_GUIDANCE" hidden="1">"c4279"</definedName>
    <definedName name="IQ_DISTRIBUTABLE_CASH_GUIDANCE_CIQ" hidden="1">"c4804"</definedName>
    <definedName name="IQ_DISTRIBUTABLE_CASH_HIGH_EST" hidden="1">"c4280"</definedName>
    <definedName name="IQ_DISTRIBUTABLE_CASH_HIGH_EST_CIQ" hidden="1">"c4805"</definedName>
    <definedName name="IQ_DISTRIBUTABLE_CASH_HIGH_GUIDANCE" hidden="1">"c4198"</definedName>
    <definedName name="IQ_DISTRIBUTABLE_CASH_HIGH_GUIDANCE_CIQ" hidden="1">"c4610"</definedName>
    <definedName name="IQ_DISTRIBUTABLE_CASH_LOW_EST" hidden="1">"c4281"</definedName>
    <definedName name="IQ_DISTRIBUTABLE_CASH_LOW_EST_CIQ" hidden="1">"c4806"</definedName>
    <definedName name="IQ_DISTRIBUTABLE_CASH_LOW_GUIDANCE" hidden="1">"c4238"</definedName>
    <definedName name="IQ_DISTRIBUTABLE_CASH_LOW_GUIDANCE_CIQ" hidden="1">"c4650"</definedName>
    <definedName name="IQ_DISTRIBUTABLE_CASH_MEDIAN_EST" hidden="1">"c4282"</definedName>
    <definedName name="IQ_DISTRIBUTABLE_CASH_MEDIAN_EST_CIQ" hidden="1">"c4807"</definedName>
    <definedName name="IQ_DISTRIBUTABLE_CASH_NUM_EST" hidden="1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EST_CIQ" hidden="1">"c4810"</definedName>
    <definedName name="IQ_DISTRIBUTABLE_CASH_SHARE_GUIDANCE" hidden="1">"c4287"</definedName>
    <definedName name="IQ_DISTRIBUTABLE_CASH_SHARE_GUIDANCE_CIQ" hidden="1">"c4812"</definedName>
    <definedName name="IQ_DISTRIBUTABLE_CASH_SHARE_HIGH_EST" hidden="1">"c4288"</definedName>
    <definedName name="IQ_DISTRIBUTABLE_CASH_SHARE_HIGH_EST_CIQ" hidden="1">"c4813"</definedName>
    <definedName name="IQ_DISTRIBUTABLE_CASH_SHARE_HIGH_GUIDANCE" hidden="1">"c4199"</definedName>
    <definedName name="IQ_DISTRIBUTABLE_CASH_SHARE_HIGH_GUIDANCE_CIQ" hidden="1">"c4611"</definedName>
    <definedName name="IQ_DISTRIBUTABLE_CASH_SHARE_LOW_EST" hidden="1">"c4289"</definedName>
    <definedName name="IQ_DISTRIBUTABLE_CASH_SHARE_LOW_EST_CIQ" hidden="1">"c4814"</definedName>
    <definedName name="IQ_DISTRIBUTABLE_CASH_SHARE_LOW_GUIDANCE" hidden="1">"c4239"</definedName>
    <definedName name="IQ_DISTRIBUTABLE_CASH_SHARE_LOW_GUIDANCE_CIQ" hidden="1">"c4651"</definedName>
    <definedName name="IQ_DISTRIBUTABLE_CASH_SHARE_MEDIAN_EST" hidden="1">"c4290"</definedName>
    <definedName name="IQ_DISTRIBUTABLE_CASH_SHARE_MEDIAN_EST_CIQ" hidden="1">"c4815"</definedName>
    <definedName name="IQ_DISTRIBUTABLE_CASH_SHARE_NUM_EST" hidden="1">"c4291"</definedName>
    <definedName name="IQ_DISTRIBUTABLE_CASH_SHARE_NUM_EST_CIQ" hidden="1">"c4816"</definedName>
    <definedName name="IQ_DISTRIBUTABLE_CASH_SHARE_STDDEV_EST" hidden="1">"c4292"</definedName>
    <definedName name="IQ_DISTRIBUTABLE_CASH_SHARE_STDDEV_EST_CIQ" hidden="1">"c4817"</definedName>
    <definedName name="IQ_DISTRIBUTABLE_CASH_STDDEV_EST" hidden="1">"c4294"</definedName>
    <definedName name="IQ_DISTRIBUTABLE_CASH_STDDEV_EST_CIQ" hidden="1">"c4819"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EST_CIQ" hidden="1">"c4821"</definedName>
    <definedName name="IQ_DIVIDEND_HIGH_EST" hidden="1">"c4297"</definedName>
    <definedName name="IQ_DIVIDEND_HIGH_EST_CIQ" hidden="1">"c4822"</definedName>
    <definedName name="IQ_DIVIDEND_LOW_EST" hidden="1">"c4298"</definedName>
    <definedName name="IQ_DIVIDEND_LOW_EST_CIQ" hidden="1">"c4823"</definedName>
    <definedName name="IQ_DIVIDEND_MEDIAN_EST" hidden="1">"c4299"</definedName>
    <definedName name="IQ_DIVIDEND_MEDIAN_EST_CIQ" hidden="1">"c4824"</definedName>
    <definedName name="IQ_DIVIDEND_NUM_EST" hidden="1">"c4300"</definedName>
    <definedName name="IQ_DIVIDEND_NUM_EST_CIQ" hidden="1">"c4825"</definedName>
    <definedName name="IQ_DIVIDEND_STDDEV_EST" hidden="1">"c4301"</definedName>
    <definedName name="IQ_DIVIDEND_STDDEV_EST_CIQ" hidden="1">"c4826"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CIQ" hidden="1">"c5062"</definedName>
    <definedName name="IQ_DPS_ACT_OR_EST_REUT" hidden="1">"c5464"</definedName>
    <definedName name="IQ_DPS_EST" hidden="1">"c1674"</definedName>
    <definedName name="IQ_DPS_EST_BOTTOM_UP" hidden="1">"c5493"</definedName>
    <definedName name="IQ_DPS_EST_BOTTOM_UP_CIQ" hidden="1">"c12030"</definedName>
    <definedName name="IQ_DPS_EST_BOTTOM_UP_REUT" hidden="1">"c5501"</definedName>
    <definedName name="IQ_DPS_EST_CIQ" hidden="1">"c3682"</definedName>
    <definedName name="IQ_DPS_EST_REUT" hidden="1">"c3851"</definedName>
    <definedName name="IQ_DPS_GUIDANCE" hidden="1">"c4302"</definedName>
    <definedName name="IQ_DPS_GUIDANCE_CIQ" hidden="1">"c4827"</definedName>
    <definedName name="IQ_DPS_HIGH_EST" hidden="1">"c1676"</definedName>
    <definedName name="IQ_DPS_HIGH_EST_CIQ" hidden="1">"c3684"</definedName>
    <definedName name="IQ_DPS_HIGH_EST_REUT" hidden="1">"c3853"</definedName>
    <definedName name="IQ_DPS_HIGH_GUIDANCE" hidden="1">"c4168"</definedName>
    <definedName name="IQ_DPS_HIGH_GUIDANCE_CIQ" hidden="1">"c4580"</definedName>
    <definedName name="IQ_DPS_LOW_EST" hidden="1">"c1677"</definedName>
    <definedName name="IQ_DPS_LOW_EST_CIQ" hidden="1">"c3685"</definedName>
    <definedName name="IQ_DPS_LOW_EST_REUT" hidden="1">"c3854"</definedName>
    <definedName name="IQ_DPS_LOW_GUIDANCE" hidden="1">"c4208"</definedName>
    <definedName name="IQ_DPS_LOW_GUIDANCE_CIQ" hidden="1">"c4620"</definedName>
    <definedName name="IQ_DPS_MEDIAN_EST" hidden="1">"c1675"</definedName>
    <definedName name="IQ_DPS_MEDIAN_EST_CIQ" hidden="1">"c3683"</definedName>
    <definedName name="IQ_DPS_MEDIAN_EST_REUT" hidden="1">"c3852"</definedName>
    <definedName name="IQ_DPS_NUM_EST" hidden="1">"c1678"</definedName>
    <definedName name="IQ_DPS_NUM_EST_CIQ" hidden="1">"c3686"</definedName>
    <definedName name="IQ_DPS_NUM_EST_REUT" hidden="1">"c3855"</definedName>
    <definedName name="IQ_DPS_STDDEV_EST" hidden="1">"c1679"</definedName>
    <definedName name="IQ_DPS_STDDEV_EST_CIQ" hidden="1">"c3687"</definedName>
    <definedName name="IQ_DPS_STDDEV_EST_REUT" hidden="1">"c3856"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COVERAGE_NET_CHARGE_OFFS_FDIC" hidden="1">"c6735"</definedName>
    <definedName name="IQ_EARNINGS_PERIOD_COVERED" hidden="1">"c9958"</definedName>
    <definedName name="IQ_EARNINGS_PERIOD_GROUP" hidden="1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CIQ" hidden="1">"c5063"</definedName>
    <definedName name="IQ_EBIT_ACT_OR_EST_REUT" hidden="1">"c5465"</definedName>
    <definedName name="IQ_EBIT_EQ_INC" hidden="1">"c3498"</definedName>
    <definedName name="IQ_EBIT_EQ_INC_EXCL_SBC" hidden="1">"c3502"</definedName>
    <definedName name="IQ_EBIT_EST" hidden="1">"c1681"</definedName>
    <definedName name="IQ_EBIT_EST_CIQ" hidden="1">"c4674"</definedName>
    <definedName name="IQ_EBIT_EST_REUT" hidden="1">"c5333"</definedName>
    <definedName name="IQ_EBIT_EXCL_SBC" hidden="1">"c3082"</definedName>
    <definedName name="IQ_EBIT_GROWTH_1" hidden="1">"c157"</definedName>
    <definedName name="IQ_EBIT_GROWTH_2" hidden="1">"c161"</definedName>
    <definedName name="IQ_EBIT_GUIDANCE" hidden="1">"c4303"</definedName>
    <definedName name="IQ_EBIT_GUIDANCE_CIQ" hidden="1">"c4828"</definedName>
    <definedName name="IQ_EBIT_GW_ACT_OR_EST" hidden="1">"c4306"</definedName>
    <definedName name="IQ_EBIT_GW_ACT_OR_EST_CIQ" hidden="1">"c4831"</definedName>
    <definedName name="IQ_EBIT_GW_EST" hidden="1">"c4305"</definedName>
    <definedName name="IQ_EBIT_GW_EST_CIQ" hidden="1">"c4830"</definedName>
    <definedName name="IQ_EBIT_GW_GUIDANCE" hidden="1">"c4307"</definedName>
    <definedName name="IQ_EBIT_GW_GUIDANCE_CIQ" hidden="1">"c4832"</definedName>
    <definedName name="IQ_EBIT_GW_HIGH_EST" hidden="1">"c4308"</definedName>
    <definedName name="IQ_EBIT_GW_HIGH_EST_CIQ" hidden="1">"c4833"</definedName>
    <definedName name="IQ_EBIT_GW_HIGH_GUIDANCE" hidden="1">"c4171"</definedName>
    <definedName name="IQ_EBIT_GW_HIGH_GUIDANCE_CIQ" hidden="1">"c4583"</definedName>
    <definedName name="IQ_EBIT_GW_LOW_EST" hidden="1">"c4309"</definedName>
    <definedName name="IQ_EBIT_GW_LOW_EST_CIQ" hidden="1">"c4834"</definedName>
    <definedName name="IQ_EBIT_GW_LOW_GUIDANCE" hidden="1">"c4211"</definedName>
    <definedName name="IQ_EBIT_GW_LOW_GUIDANCE_CIQ" hidden="1">"c4623"</definedName>
    <definedName name="IQ_EBIT_GW_MEDIAN_EST" hidden="1">"c4310"</definedName>
    <definedName name="IQ_EBIT_GW_MEDIAN_EST_CIQ" hidden="1">"c4835"</definedName>
    <definedName name="IQ_EBIT_GW_NUM_EST" hidden="1">"c4311"</definedName>
    <definedName name="IQ_EBIT_GW_NUM_EST_CIQ" hidden="1">"c4836"</definedName>
    <definedName name="IQ_EBIT_GW_STDDEV_EST" hidden="1">"c4312"</definedName>
    <definedName name="IQ_EBIT_GW_STDDEV_EST_CIQ" hidden="1">"c4837"</definedName>
    <definedName name="IQ_EBIT_HIGH_EST" hidden="1">"c1683"</definedName>
    <definedName name="IQ_EBIT_HIGH_EST_CIQ" hidden="1">"c4676"</definedName>
    <definedName name="IQ_EBIT_HIGH_EST_REUT" hidden="1">"c5335"</definedName>
    <definedName name="IQ_EBIT_HIGH_GUIDANCE" hidden="1">"c4172"</definedName>
    <definedName name="IQ_EBIT_HIGH_GUIDANCE_CIQ" hidden="1">"c4584"</definedName>
    <definedName name="IQ_EBIT_INT" hidden="1">"c360"</definedName>
    <definedName name="IQ_EBIT_LOW_EST" hidden="1">"c1684"</definedName>
    <definedName name="IQ_EBIT_LOW_EST_CIQ" hidden="1">"c4677"</definedName>
    <definedName name="IQ_EBIT_LOW_EST_REUT" hidden="1">"c5336"</definedName>
    <definedName name="IQ_EBIT_LOW_GUIDANCE" hidden="1">"c4212"</definedName>
    <definedName name="IQ_EBIT_LOW_GUIDANCE_CIQ" hidden="1">"c4624"</definedName>
    <definedName name="IQ_EBIT_MARGIN" hidden="1">"c359"</definedName>
    <definedName name="IQ_EBIT_MEDIAN_EST" hidden="1">"c1682"</definedName>
    <definedName name="IQ_EBIT_MEDIAN_EST_CIQ" hidden="1">"c4675"</definedName>
    <definedName name="IQ_EBIT_MEDIAN_EST_REUT" hidden="1">"c5334"</definedName>
    <definedName name="IQ_EBIT_NUM_EST" hidden="1">"c1685"</definedName>
    <definedName name="IQ_EBIT_NUM_EST_CIQ" hidden="1">"c4678"</definedName>
    <definedName name="IQ_EBIT_NUM_EST_REUT" hidden="1">"c5337"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EST_CIQ" hidden="1">"c4840"</definedName>
    <definedName name="IQ_EBIT_SBC_GUIDANCE" hidden="1">"c4317"</definedName>
    <definedName name="IQ_EBIT_SBC_GUIDANCE_CIQ" hidden="1">"c4842"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EST_CIQ" hidden="1">"c4844"</definedName>
    <definedName name="IQ_EBIT_SBC_GW_GUIDANCE" hidden="1">"c4321"</definedName>
    <definedName name="IQ_EBIT_SBC_GW_GUIDANCE_CIQ" hidden="1">"c4846"</definedName>
    <definedName name="IQ_EBIT_SBC_GW_HIGH_EST" hidden="1">"c4322"</definedName>
    <definedName name="IQ_EBIT_SBC_GW_HIGH_EST_CIQ" hidden="1">"c4847"</definedName>
    <definedName name="IQ_EBIT_SBC_GW_HIGH_GUIDANCE" hidden="1">"c4193"</definedName>
    <definedName name="IQ_EBIT_SBC_GW_HIGH_GUIDANCE_CIQ" hidden="1">"c4605"</definedName>
    <definedName name="IQ_EBIT_SBC_GW_LOW_EST" hidden="1">"c4323"</definedName>
    <definedName name="IQ_EBIT_SBC_GW_LOW_EST_CIQ" hidden="1">"c4848"</definedName>
    <definedName name="IQ_EBIT_SBC_GW_LOW_GUIDANCE" hidden="1">"c4233"</definedName>
    <definedName name="IQ_EBIT_SBC_GW_LOW_GUIDANCE_CIQ" hidden="1">"c4645"</definedName>
    <definedName name="IQ_EBIT_SBC_GW_MEDIAN_EST" hidden="1">"c4324"</definedName>
    <definedName name="IQ_EBIT_SBC_GW_MEDIAN_EST_CIQ" hidden="1">"c4849"</definedName>
    <definedName name="IQ_EBIT_SBC_GW_NUM_EST" hidden="1">"c4325"</definedName>
    <definedName name="IQ_EBIT_SBC_GW_NUM_EST_CIQ" hidden="1">"c4850"</definedName>
    <definedName name="IQ_EBIT_SBC_GW_STDDEV_EST" hidden="1">"c4326"</definedName>
    <definedName name="IQ_EBIT_SBC_GW_STDDEV_EST_CIQ" hidden="1">"c4851"</definedName>
    <definedName name="IQ_EBIT_SBC_HIGH_EST" hidden="1">"c4328"</definedName>
    <definedName name="IQ_EBIT_SBC_HIGH_EST_CIQ" hidden="1">"c4853"</definedName>
    <definedName name="IQ_EBIT_SBC_HIGH_GUIDANCE" hidden="1">"c4192"</definedName>
    <definedName name="IQ_EBIT_SBC_HIGH_GUIDANCE_CIQ" hidden="1">"c4604"</definedName>
    <definedName name="IQ_EBIT_SBC_LOW_EST" hidden="1">"c4329"</definedName>
    <definedName name="IQ_EBIT_SBC_LOW_EST_CIQ" hidden="1">"c4854"</definedName>
    <definedName name="IQ_EBIT_SBC_LOW_GUIDANCE" hidden="1">"c4232"</definedName>
    <definedName name="IQ_EBIT_SBC_LOW_GUIDANCE_CIQ" hidden="1">"c4644"</definedName>
    <definedName name="IQ_EBIT_SBC_MEDIAN_EST" hidden="1">"c4330"</definedName>
    <definedName name="IQ_EBIT_SBC_MEDIAN_EST_CIQ" hidden="1">"c4855"</definedName>
    <definedName name="IQ_EBIT_SBC_NUM_EST" hidden="1">"c4331"</definedName>
    <definedName name="IQ_EBIT_SBC_NUM_EST_CIQ" hidden="1">"c4856"</definedName>
    <definedName name="IQ_EBIT_SBC_STDDEV_EST" hidden="1">"c4332"</definedName>
    <definedName name="IQ_EBIT_SBC_STDDEV_EST_CIQ" hidden="1">"c4857"</definedName>
    <definedName name="IQ_EBIT_STDDEV_EST" hidden="1">"c1686"</definedName>
    <definedName name="IQ_EBIT_STDDEV_EST_CIQ" hidden="1">"c4679"</definedName>
    <definedName name="IQ_EBIT_STDDEV_EST_REUT" hidden="1">"c5338"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REUT" hidden="1">"c5462"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REUT" hidden="1">"c3640"</definedName>
    <definedName name="IQ_EBITDA_EXCL_SBC" hidden="1">"c3081"</definedName>
    <definedName name="IQ_EBITDA_GROWTH_1" hidden="1">"c156"</definedName>
    <definedName name="IQ_EBITDA_GROWTH_2" hidden="1">"c160"</definedName>
    <definedName name="IQ_EBITDA_GUIDANCE" hidden="1">"c4334"</definedName>
    <definedName name="IQ_EBITDA_GUIDANCE_CIQ" hidden="1">"c4859"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GUIDANCE" hidden="1">"c4170"</definedName>
    <definedName name="IQ_EBITDA_HIGH_GUIDANCE_CIQ" hidden="1">"c4582"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GUIDANCE" hidden="1">"c4210"</definedName>
    <definedName name="IQ_EBITDA_LOW_GUIDANCE_CIQ" hidden="1">"c4622"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EST_CIQ" hidden="1">"c4861"</definedName>
    <definedName name="IQ_EBITDA_SBC_GUIDANCE" hidden="1">"c4338"</definedName>
    <definedName name="IQ_EBITDA_SBC_GUIDANCE_CIQ" hidden="1">"c4863"</definedName>
    <definedName name="IQ_EBITDA_SBC_HIGH_EST" hidden="1">"c4339"</definedName>
    <definedName name="IQ_EBITDA_SBC_HIGH_EST_CIQ" hidden="1">"c4864"</definedName>
    <definedName name="IQ_EBITDA_SBC_HIGH_GUIDANCE" hidden="1">"c4194"</definedName>
    <definedName name="IQ_EBITDA_SBC_HIGH_GUIDANCE_CIQ" hidden="1">"c4606"</definedName>
    <definedName name="IQ_EBITDA_SBC_LOW_EST" hidden="1">"c4340"</definedName>
    <definedName name="IQ_EBITDA_SBC_LOW_EST_CIQ" hidden="1">"c4865"</definedName>
    <definedName name="IQ_EBITDA_SBC_LOW_GUIDANCE" hidden="1">"c4234"</definedName>
    <definedName name="IQ_EBITDA_SBC_LOW_GUIDANCE_CIQ" hidden="1">"c4646"</definedName>
    <definedName name="IQ_EBITDA_SBC_MEDIAN_EST" hidden="1">"c4341"</definedName>
    <definedName name="IQ_EBITDA_SBC_MEDIAN_EST_CIQ" hidden="1">"c4866"</definedName>
    <definedName name="IQ_EBITDA_SBC_NUM_EST" hidden="1">"c4342"</definedName>
    <definedName name="IQ_EBITDA_SBC_NUM_EST_CIQ" hidden="1">"c4867"</definedName>
    <definedName name="IQ_EBITDA_SBC_STDDEV_EST" hidden="1">"c4343"</definedName>
    <definedName name="IQ_EBITDA_SBC_STDDEV_EST_CIQ" hidden="1">"c4868"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 hidden="1">"c4345"</definedName>
    <definedName name="IQ_EBT_GAAP_GUIDANCE_CIQ" hidden="1">"c4870"</definedName>
    <definedName name="IQ_EBT_GAAP_HIGH_GUIDANCE" hidden="1">"c4174"</definedName>
    <definedName name="IQ_EBT_GAAP_HIGH_GUIDANCE_CIQ" hidden="1">"c4586"</definedName>
    <definedName name="IQ_EBT_GAAP_LOW_GUIDANCE" hidden="1">"c4214"</definedName>
    <definedName name="IQ_EBT_GAAP_LOW_GUIDANCE_CIQ" hidden="1">"c4626"</definedName>
    <definedName name="IQ_EBT_GUIDANCE" hidden="1">"c4346"</definedName>
    <definedName name="IQ_EBT_GUIDANCE_CIQ" hidden="1">"c4871"</definedName>
    <definedName name="IQ_EBT_GW_GUIDANCE" hidden="1">"c4347"</definedName>
    <definedName name="IQ_EBT_GW_GUIDANCE_CIQ" hidden="1">"c4872"</definedName>
    <definedName name="IQ_EBT_GW_HIGH_GUIDANCE" hidden="1">"c4175"</definedName>
    <definedName name="IQ_EBT_GW_HIGH_GUIDANCE_CIQ" hidden="1">"c4587"</definedName>
    <definedName name="IQ_EBT_GW_LOW_GUIDANCE" hidden="1">"c4215"</definedName>
    <definedName name="IQ_EBT_GW_LOW_GUIDANCE_CIQ" hidden="1">"c4627"</definedName>
    <definedName name="IQ_EBT_HIGH_GUIDANCE" hidden="1">"c4173"</definedName>
    <definedName name="IQ_EBT_HIGH_GUIDANCE_CIQ" hidden="1">"c4585"</definedName>
    <definedName name="IQ_EBT_INCL_MARGIN" hidden="1">"c387"</definedName>
    <definedName name="IQ_EBT_INS" hidden="1">"c388"</definedName>
    <definedName name="IQ_EBT_LOW_GUIDANCE" hidden="1">"c4213"</definedName>
    <definedName name="IQ_EBT_LOW_GUIDANCE_CIQ" hidden="1">"c4625"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EST_CIQ" hidden="1">"c4874"</definedName>
    <definedName name="IQ_EBT_SBC_GUIDANCE" hidden="1">"c4351"</definedName>
    <definedName name="IQ_EBT_SBC_GUIDANCE_CIQ" hidden="1">"c4876"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EST_CIQ" hidden="1">"c4878"</definedName>
    <definedName name="IQ_EBT_SBC_GW_GUIDANCE" hidden="1">"c4355"</definedName>
    <definedName name="IQ_EBT_SBC_GW_GUIDANCE_CIQ" hidden="1">"c4880"</definedName>
    <definedName name="IQ_EBT_SBC_GW_HIGH_EST" hidden="1">"c4356"</definedName>
    <definedName name="IQ_EBT_SBC_GW_HIGH_EST_CIQ" hidden="1">"c4881"</definedName>
    <definedName name="IQ_EBT_SBC_GW_HIGH_GUIDANCE" hidden="1">"c4191"</definedName>
    <definedName name="IQ_EBT_SBC_GW_HIGH_GUIDANCE_CIQ" hidden="1">"c4603"</definedName>
    <definedName name="IQ_EBT_SBC_GW_LOW_EST" hidden="1">"c4357"</definedName>
    <definedName name="IQ_EBT_SBC_GW_LOW_EST_CIQ" hidden="1">"c4882"</definedName>
    <definedName name="IQ_EBT_SBC_GW_LOW_GUIDANCE" hidden="1">"c4231"</definedName>
    <definedName name="IQ_EBT_SBC_GW_LOW_GUIDANCE_CIQ" hidden="1">"c4643"</definedName>
    <definedName name="IQ_EBT_SBC_GW_MEDIAN_EST" hidden="1">"c4358"</definedName>
    <definedName name="IQ_EBT_SBC_GW_MEDIAN_EST_CIQ" hidden="1">"c4883"</definedName>
    <definedName name="IQ_EBT_SBC_GW_NUM_EST" hidden="1">"c4359"</definedName>
    <definedName name="IQ_EBT_SBC_GW_NUM_EST_CIQ" hidden="1">"c4884"</definedName>
    <definedName name="IQ_EBT_SBC_GW_STDDEV_EST" hidden="1">"c4360"</definedName>
    <definedName name="IQ_EBT_SBC_GW_STDDEV_EST_CIQ" hidden="1">"c4885"</definedName>
    <definedName name="IQ_EBT_SBC_HIGH_EST" hidden="1">"c4362"</definedName>
    <definedName name="IQ_EBT_SBC_HIGH_EST_CIQ" hidden="1">"c4887"</definedName>
    <definedName name="IQ_EBT_SBC_HIGH_GUIDANCE" hidden="1">"c4190"</definedName>
    <definedName name="IQ_EBT_SBC_HIGH_GUIDANCE_CIQ" hidden="1">"c4602"</definedName>
    <definedName name="IQ_EBT_SBC_LOW_EST" hidden="1">"c4363"</definedName>
    <definedName name="IQ_EBT_SBC_LOW_EST_CIQ" hidden="1">"c4888"</definedName>
    <definedName name="IQ_EBT_SBC_LOW_GUIDANCE" hidden="1">"c4230"</definedName>
    <definedName name="IQ_EBT_SBC_LOW_GUIDANCE_CIQ" hidden="1">"c4642"</definedName>
    <definedName name="IQ_EBT_SBC_MEDIAN_EST" hidden="1">"c4364"</definedName>
    <definedName name="IQ_EBT_SBC_MEDIAN_EST_CIQ" hidden="1">"c4889"</definedName>
    <definedName name="IQ_EBT_SBC_NUM_EST" hidden="1">"c4365"</definedName>
    <definedName name="IQ_EBT_SBC_NUM_EST_CIQ" hidden="1">"c4890"</definedName>
    <definedName name="IQ_EBT_SBC_STDDEV_EST" hidden="1">"c4366"</definedName>
    <definedName name="IQ_EBT_SBC_STDDEV_EST_CIQ" hidden="1">"c4891"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REUT" hidden="1">"c5460"</definedName>
    <definedName name="IQ_EPS_AP" hidden="1">"c8880"</definedName>
    <definedName name="IQ_EPS_AP_ABS" hidden="1">"c8899"</definedName>
    <definedName name="IQ_EPS_EST" hidden="1">"c399"</definedName>
    <definedName name="IQ_EPS_EST_1" hidden="1">"c189"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CIQ" hidden="1">"c4994"</definedName>
    <definedName name="IQ_EPS_EST_REUT" hidden="1">"c5453"</definedName>
    <definedName name="IQ_EPS_EXCL_GUIDANCE" hidden="1">"c4368"</definedName>
    <definedName name="IQ_EPS_EXCL_GUIDANCE_CIQ" hidden="1">"c4893"</definedName>
    <definedName name="IQ_EPS_EXCL_HIGH_GUIDANCE" hidden="1">"c4369"</definedName>
    <definedName name="IQ_EPS_EXCL_HIGH_GUIDANCE_CIQ" hidden="1">"c4894"</definedName>
    <definedName name="IQ_EPS_EXCL_LOW_GUIDANCE" hidden="1">"c4204"</definedName>
    <definedName name="IQ_EPS_EXCL_LOW_GUIDANCE_CIQ" hidden="1">"c4616"</definedName>
    <definedName name="IQ_EPS_GAAP_GUIDANCE" hidden="1">"c4370"</definedName>
    <definedName name="IQ_EPS_GAAP_GUIDANCE_CIQ" hidden="1">"c4895"</definedName>
    <definedName name="IQ_EPS_GAAP_HIGH_GUIDANCE" hidden="1">"c4371"</definedName>
    <definedName name="IQ_EPS_GAAP_HIGH_GUIDANCE_CIQ" hidden="1">"c4896"</definedName>
    <definedName name="IQ_EPS_GAAP_LOW_GUIDANCE" hidden="1">"c4205"</definedName>
    <definedName name="IQ_EPS_GAAP_LOW_GUIDANCE_CIQ" hidden="1">"c4617"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REUT" hidden="1">"c5389"</definedName>
    <definedName name="IQ_EPS_GW_GUIDANCE" hidden="1">"c4372"</definedName>
    <definedName name="IQ_EPS_GW_GUIDANCE_CIQ" hidden="1">"c4897"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GUIDANCE" hidden="1">"c4373"</definedName>
    <definedName name="IQ_EPS_GW_HIGH_GUIDANCE_CIQ" hidden="1">"c4898"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GUIDANCE" hidden="1">"c4206"</definedName>
    <definedName name="IQ_EPS_GW_LOW_GUIDANCE_CIQ" hidden="1">"c4618"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HIGH_EST" hidden="1">"c400"</definedName>
    <definedName name="IQ_EPS_HIGH_EST_CIQ" hidden="1">"c4995"</definedName>
    <definedName name="IQ_EPS_HIGH_EST_REUT" hidden="1">"c5454"</definedName>
    <definedName name="IQ_EPS_LOW_EST" hidden="1">"c401"</definedName>
    <definedName name="IQ_EPS_LOW_EST_CIQ" hidden="1">"c4996"</definedName>
    <definedName name="IQ_EPS_LOW_EST_REUT" hidden="1">"c5455"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NAME_AP" hidden="1">"c8918"</definedName>
    <definedName name="IQ_EPS_NAME_AP_ABS" hidden="1">"c8937"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REUT" hidden="1">"c5326"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REUT" hidden="1">"c5396"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EST_CIQ" hidden="1">"c4900"</definedName>
    <definedName name="IQ_EPS_SBC_GUIDANCE" hidden="1">"c4377"</definedName>
    <definedName name="IQ_EPS_SBC_GUIDANCE_CIQ" hidden="1">"c4902"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EST_CIQ" hidden="1">"c4904"</definedName>
    <definedName name="IQ_EPS_SBC_GW_GUIDANCE" hidden="1">"c4381"</definedName>
    <definedName name="IQ_EPS_SBC_GW_GUIDANCE_CIQ" hidden="1">"c4906"</definedName>
    <definedName name="IQ_EPS_SBC_GW_HIGH_EST" hidden="1">"c4382"</definedName>
    <definedName name="IQ_EPS_SBC_GW_HIGH_EST_CIQ" hidden="1">"c4907"</definedName>
    <definedName name="IQ_EPS_SBC_GW_HIGH_GUIDANCE" hidden="1">"c4189"</definedName>
    <definedName name="IQ_EPS_SBC_GW_HIGH_GUIDANCE_CIQ" hidden="1">"c4601"</definedName>
    <definedName name="IQ_EPS_SBC_GW_LOW_EST" hidden="1">"c4383"</definedName>
    <definedName name="IQ_EPS_SBC_GW_LOW_EST_CIQ" hidden="1">"c4908"</definedName>
    <definedName name="IQ_EPS_SBC_GW_LOW_GUIDANCE" hidden="1">"c4229"</definedName>
    <definedName name="IQ_EPS_SBC_GW_LOW_GUIDANCE_CIQ" hidden="1">"c4641"</definedName>
    <definedName name="IQ_EPS_SBC_GW_MEDIAN_EST" hidden="1">"c4384"</definedName>
    <definedName name="IQ_EPS_SBC_GW_MEDIAN_EST_CIQ" hidden="1">"c4909"</definedName>
    <definedName name="IQ_EPS_SBC_GW_NUM_EST" hidden="1">"c4385"</definedName>
    <definedName name="IQ_EPS_SBC_GW_NUM_EST_CIQ" hidden="1">"c4910"</definedName>
    <definedName name="IQ_EPS_SBC_GW_STDDEV_EST" hidden="1">"c4386"</definedName>
    <definedName name="IQ_EPS_SBC_GW_STDDEV_EST_CIQ" hidden="1">"c4911"</definedName>
    <definedName name="IQ_EPS_SBC_HIGH_EST" hidden="1">"c4388"</definedName>
    <definedName name="IQ_EPS_SBC_HIGH_EST_CIQ" hidden="1">"c4913"</definedName>
    <definedName name="IQ_EPS_SBC_HIGH_GUIDANCE" hidden="1">"c4188"</definedName>
    <definedName name="IQ_EPS_SBC_HIGH_GUIDANCE_CIQ" hidden="1">"c4600"</definedName>
    <definedName name="IQ_EPS_SBC_LOW_EST" hidden="1">"c4389"</definedName>
    <definedName name="IQ_EPS_SBC_LOW_EST_CIQ" hidden="1">"c4914"</definedName>
    <definedName name="IQ_EPS_SBC_LOW_GUIDANCE" hidden="1">"c4228"</definedName>
    <definedName name="IQ_EPS_SBC_LOW_GUIDANCE_CIQ" hidden="1">"c4640"</definedName>
    <definedName name="IQ_EPS_SBC_MEDIAN_EST" hidden="1">"c4390"</definedName>
    <definedName name="IQ_EPS_SBC_MEDIAN_EST_CIQ" hidden="1">"c4915"</definedName>
    <definedName name="IQ_EPS_SBC_NUM_EST" hidden="1">"c4391"</definedName>
    <definedName name="IQ_EPS_SBC_NUM_EST_CIQ" hidden="1">"c4916"</definedName>
    <definedName name="IQ_EPS_SBC_STDDEV_EST" hidden="1">"c4392"</definedName>
    <definedName name="IQ_EPS_SBC_STDDEV_EST_CIQ" hidden="1">"c4917"</definedName>
    <definedName name="IQ_EPS_STDDEV_EST" hidden="1">"c403"</definedName>
    <definedName name="IQ_EPS_STDDEV_EST_CIQ" hidden="1">"c4993"</definedName>
    <definedName name="IQ_EPS_STDDEV_EST_REUT" hidden="1">"c5452"</definedName>
    <definedName name="IQ_EQUITY_AFFIL" hidden="1">"c1451"</definedName>
    <definedName name="IQ_EQUITY_AP" hidden="1">"c8887"</definedName>
    <definedName name="IQ_EQUITY_AP_ABS" hidden="1">"c8906"</definedName>
    <definedName name="IQ_EQUITY_CAPITAL_ASSETS_FDIC" hidden="1">"c6744"</definedName>
    <definedName name="IQ_EQUITY_FDIC" hidden="1">"c6353"</definedName>
    <definedName name="IQ_EQUITY_METHOD" hidden="1">"c404"</definedName>
    <definedName name="IQ_EQUITY_NAME_AP" hidden="1">"c8925"</definedName>
    <definedName name="IQ_EQUITY_NAME_AP_ABS" hidden="1">"c8944"</definedName>
    <definedName name="IQ_EQUITY_SECURITIES_FDIC" hidden="1">"c6304"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T_ACT_BV" hidden="1">"c5630"</definedName>
    <definedName name="IQ_EST_ACT_BV_CIQ" hidden="1">"c4743"</definedName>
    <definedName name="IQ_EST_ACT_BV_SHARE" hidden="1">"c3549"</definedName>
    <definedName name="IQ_EST_ACT_BV_SHARE_CIQ" hidden="1">"c3806"</definedName>
    <definedName name="IQ_EST_ACT_BV_SHARE_REUT" hidden="1">"c5445"</definedName>
    <definedName name="IQ_EST_ACT_CAPEX" hidden="1">"c3546"</definedName>
    <definedName name="IQ_EST_ACT_CAPEX_CIQ" hidden="1">"c3813"</definedName>
    <definedName name="IQ_EST_ACT_CAPEX_REUT" hidden="1">"c3975"</definedName>
    <definedName name="IQ_EST_ACT_CASH_EPS" hidden="1">"c5637"</definedName>
    <definedName name="IQ_EST_ACT_CASH_FLOW" hidden="1">"c4394"</definedName>
    <definedName name="IQ_EST_ACT_CASH_FLOW_CIQ" hidden="1">"c4919"</definedName>
    <definedName name="IQ_EST_ACT_CASH_OPER" hidden="1">"c4395"</definedName>
    <definedName name="IQ_EST_ACT_CASH_OPER_CIQ" hidden="1">"c4920"</definedName>
    <definedName name="IQ_EST_ACT_CFPS" hidden="1">"c1673"</definedName>
    <definedName name="IQ_EST_ACT_CFPS_CIQ" hidden="1">"c3681"</definedName>
    <definedName name="IQ_EST_ACT_CFPS_REUT" hidden="1">"c3850"</definedName>
    <definedName name="IQ_EST_ACT_DISTRIBUTABLE_CASH" hidden="1">"c4396"</definedName>
    <definedName name="IQ_EST_ACT_DISTRIBUTABLE_CASH_CIQ" hidden="1">"c4921"</definedName>
    <definedName name="IQ_EST_ACT_DISTRIBUTABLE_CASH_SHARE" hidden="1">"c4397"</definedName>
    <definedName name="IQ_EST_ACT_DISTRIBUTABLE_CASH_SHARE_CIQ" hidden="1">"c4922"</definedName>
    <definedName name="IQ_EST_ACT_DPS" hidden="1">"c1680"</definedName>
    <definedName name="IQ_EST_ACT_DPS_CIQ" hidden="1">"c3688"</definedName>
    <definedName name="IQ_EST_ACT_DPS_REUT" hidden="1">"c3857"</definedName>
    <definedName name="IQ_EST_ACT_EBIT" hidden="1">"c1687"</definedName>
    <definedName name="IQ_EST_ACT_EBIT_CIQ" hidden="1">"c4680"</definedName>
    <definedName name="IQ_EST_ACT_EBIT_GW" hidden="1">"c4398"</definedName>
    <definedName name="IQ_EST_ACT_EBIT_GW_CIQ" hidden="1">"c4923"</definedName>
    <definedName name="IQ_EST_ACT_EBIT_REUT" hidden="1">"c5339"</definedName>
    <definedName name="IQ_EST_ACT_EBIT_SBC" hidden="1">"c4399"</definedName>
    <definedName name="IQ_EST_ACT_EBIT_SBC_CIQ" hidden="1">"c4924"</definedName>
    <definedName name="IQ_EST_ACT_EBIT_SBC_GW" hidden="1">"c4400"</definedName>
    <definedName name="IQ_EST_ACT_EBIT_SBC_GW_CIQ" hidden="1">"c4925"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SBC_CIQ" hidden="1">"c4926"</definedName>
    <definedName name="IQ_EST_ACT_EBT_SBC" hidden="1">"c4402"</definedName>
    <definedName name="IQ_EST_ACT_EBT_SBC_CIQ" hidden="1">"c4927"</definedName>
    <definedName name="IQ_EST_ACT_EBT_SBC_GW" hidden="1">"c4403"</definedName>
    <definedName name="IQ_EST_ACT_EBT_SBC_GW_CIQ" hidden="1">"c4928"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UT" hidden="1">"c5457"</definedName>
    <definedName name="IQ_EST_ACT_EPS_SBC" hidden="1">"c4404"</definedName>
    <definedName name="IQ_EST_ACT_EPS_SBC_CIQ" hidden="1">"c4929"</definedName>
    <definedName name="IQ_EST_ACT_EPS_SBC_GW" hidden="1">"c4405"</definedName>
    <definedName name="IQ_EST_ACT_EPS_SBC_GW_CIQ" hidden="1">"c4930"</definedName>
    <definedName name="IQ_EST_ACT_FFO" hidden="1">"c1666"</definedName>
    <definedName name="IQ_EST_ACT_FFO_ADJ" hidden="1">"c4406"</definedName>
    <definedName name="IQ_EST_ACT_FFO_ADJ_CIQ" hidden="1">"c4931"</definedName>
    <definedName name="IQ_EST_ACT_FFO_CIQ" hidden="1">"c3674"</definedName>
    <definedName name="IQ_EST_ACT_FFO_REUT" hidden="1">"c3843"</definedName>
    <definedName name="IQ_EST_ACT_FFO_SHARE" hidden="1">"c4407"</definedName>
    <definedName name="IQ_EST_ACT_FFO_SHARE_CIQ" hidden="1">"c4932"</definedName>
    <definedName name="IQ_EST_ACT_GROSS_MARGIN" hidden="1">"c5553"</definedName>
    <definedName name="IQ_EST_ACT_MAINT_CAPEX" hidden="1">"c4408"</definedName>
    <definedName name="IQ_EST_ACT_MAINT_CAPEX_CIQ" hidden="1">"c4933"</definedName>
    <definedName name="IQ_EST_ACT_NAV" hidden="1">"c1757"</definedName>
    <definedName name="IQ_EST_ACT_NAV_SHARE" hidden="1">"c5608"</definedName>
    <definedName name="IQ_EST_ACT_NAV_SHARE_CIQ" hidden="1">"c12031"</definedName>
    <definedName name="IQ_EST_ACT_NAV_SHARE_REUT" hidden="1">"c5616"</definedName>
    <definedName name="IQ_EST_ACT_NET_DEBT" hidden="1">"c3545"</definedName>
    <definedName name="IQ_EST_ACT_NET_DEBT_CIQ" hidden="1">"c3820"</definedName>
    <definedName name="IQ_EST_ACT_NET_DEBT_REUT" hidden="1">"c5446"</definedName>
    <definedName name="IQ_EST_ACT_NI" hidden="1">"c1722"</definedName>
    <definedName name="IQ_EST_ACT_NI_CIQ" hidden="1">"c4708"</definedName>
    <definedName name="IQ_EST_ACT_NI_GW" hidden="1">"c1729"</definedName>
    <definedName name="IQ_EST_ACT_NI_GW_CIQ" hidden="1">"c4715"</definedName>
    <definedName name="IQ_EST_ACT_NI_GW_REUT" hidden="1">"c5381"</definedName>
    <definedName name="IQ_EST_ACT_NI_REPORTED" hidden="1">"c1736"</definedName>
    <definedName name="IQ_EST_ACT_NI_REPORTED_CIQ" hidden="1">"c4722"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CIQ" hidden="1">"c4934"</definedName>
    <definedName name="IQ_EST_ACT_NI_SBC_GW" hidden="1">"c4410"</definedName>
    <definedName name="IQ_EST_ACT_NI_SBC_GW_CIQ" hidden="1">"c4935"</definedName>
    <definedName name="IQ_EST_ACT_OPER_INC" hidden="1">"c1694"</definedName>
    <definedName name="IQ_EST_ACT_OPER_INC_CIQ" hidden="1">"c12016"</definedName>
    <definedName name="IQ_EST_ACT_OPER_INC_REUT" hidden="1">"c5346"</definedName>
    <definedName name="IQ_EST_ACT_PRETAX_GW_INC" hidden="1">"c1708"</definedName>
    <definedName name="IQ_EST_ACT_PRETAX_GW_INC_CIQ" hidden="1">"c4694"</definedName>
    <definedName name="IQ_EST_ACT_PRETAX_GW_INC_REUT" hidden="1">"c5360"</definedName>
    <definedName name="IQ_EST_ACT_PRETAX_INC" hidden="1">"c1701"</definedName>
    <definedName name="IQ_EST_ACT_PRETAX_INC_CIQ" hidden="1">"c4687"</definedName>
    <definedName name="IQ_EST_ACT_PRETAX_INC_REUT" hidden="1">"c5353"</definedName>
    <definedName name="IQ_EST_ACT_PRETAX_REPORT_INC" hidden="1">"c1715"</definedName>
    <definedName name="IQ_EST_ACT_PRETAX_REPORT_INC_CIQ" hidden="1">"c4701"</definedName>
    <definedName name="IQ_EST_ACT_PRETAX_REPORT_INC_REUT" hidden="1">"c5367"</definedName>
    <definedName name="IQ_EST_ACT_RECURRING_PROFIT" hidden="1">"c4411"</definedName>
    <definedName name="IQ_EST_ACT_RECURRING_PROFIT_CIQ" hidden="1">"c4936"</definedName>
    <definedName name="IQ_EST_ACT_RECURRING_PROFIT_SHARE" hidden="1">"c4412"</definedName>
    <definedName name="IQ_EST_ACT_RECURRING_PROFIT_SHARE_CIQ" hidden="1">"c4937"</definedName>
    <definedName name="IQ_EST_ACT_RETURN_ASSETS" hidden="1">"c3547"</definedName>
    <definedName name="IQ_EST_ACT_RETURN_ASSETS_REUT" hidden="1">"c3996"</definedName>
    <definedName name="IQ_EST_ACT_RETURN_EQUITY" hidden="1">"c3548"</definedName>
    <definedName name="IQ_EST_ACT_RETURN_EQUITY_REUT" hidden="1">"c3989"</definedName>
    <definedName name="IQ_EST_ACT_REV" hidden="1">"c2113"</definedName>
    <definedName name="IQ_EST_ACT_REV_CIQ" hidden="1">"c3666"</definedName>
    <definedName name="IQ_EST_ACT_REV_REUT" hidden="1">"c3835"</definedName>
    <definedName name="IQ_EST_BV_SHARE_DIFF" hidden="1">"c4147"</definedName>
    <definedName name="IQ_EST_BV_SHARE_DIFF_CIQ" hidden="1">"c4559"</definedName>
    <definedName name="IQ_EST_BV_SHARE_SURPRISE_PERCENT" hidden="1">"c4148"</definedName>
    <definedName name="IQ_EST_BV_SHARE_SURPRISE_PERCENT_CIQ" hidden="1">"c4560"</definedName>
    <definedName name="IQ_EST_CAPEX_DIFF" hidden="1">"c4149"</definedName>
    <definedName name="IQ_EST_CAPEX_DIFF_CIQ" hidden="1">"c4561"</definedName>
    <definedName name="IQ_EST_CAPEX_GROWTH_1YR" hidden="1">"c3588"</definedName>
    <definedName name="IQ_EST_CAPEX_GROWTH_1YR_CIQ" hidden="1">"c4972"</definedName>
    <definedName name="IQ_EST_CAPEX_GROWTH_1YR_REUT" hidden="1">"c5447"</definedName>
    <definedName name="IQ_EST_CAPEX_GROWTH_2YR" hidden="1">"c3589"</definedName>
    <definedName name="IQ_EST_CAPEX_GROWTH_2YR_CIQ" hidden="1">"c4973"</definedName>
    <definedName name="IQ_EST_CAPEX_GROWTH_2YR_REUT" hidden="1">"c5448"</definedName>
    <definedName name="IQ_EST_CAPEX_GROWTH_Q_1YR" hidden="1">"c3590"</definedName>
    <definedName name="IQ_EST_CAPEX_GROWTH_Q_1YR_CIQ" hidden="1">"c4974"</definedName>
    <definedName name="IQ_EST_CAPEX_GROWTH_Q_1YR_REUT" hidden="1">"c5449"</definedName>
    <definedName name="IQ_EST_CAPEX_SEQ_GROWTH_Q" hidden="1">"c3591"</definedName>
    <definedName name="IQ_EST_CAPEX_SEQ_GROWTH_Q_CIQ" hidden="1">"c4975"</definedName>
    <definedName name="IQ_EST_CAPEX_SEQ_GROWTH_Q_REUT" hidden="1">"c5450"</definedName>
    <definedName name="IQ_EST_CAPEX_SURPRISE_PERCENT" hidden="1">"c4151"</definedName>
    <definedName name="IQ_EST_CAPEX_SURPRISE_PERCENT_CIQ" hidden="1">"c4563"</definedName>
    <definedName name="IQ_EST_CASH_FLOW_DIFF" hidden="1">"c4152"</definedName>
    <definedName name="IQ_EST_CASH_FLOW_DIFF_CIQ" hidden="1">"c4564"</definedName>
    <definedName name="IQ_EST_CASH_FLOW_SURPRISE_PERCENT" hidden="1">"c4161"</definedName>
    <definedName name="IQ_EST_CASH_FLOW_SURPRISE_PERCENT_CIQ" hidden="1">"c4573"</definedName>
    <definedName name="IQ_EST_CASH_OPER_DIFF" hidden="1">"c4162"</definedName>
    <definedName name="IQ_EST_CASH_OPER_DIFF_CIQ" hidden="1">"c4574"</definedName>
    <definedName name="IQ_EST_CASH_OPER_SURPRISE_PERCENT" hidden="1">"c4248"</definedName>
    <definedName name="IQ_EST_CASH_OPER_SURPRISE_PERCENT_CIQ" hidden="1">"c4774"</definedName>
    <definedName name="IQ_EST_CFPS_DIFF" hidden="1">"c1871"</definedName>
    <definedName name="IQ_EST_CFPS_DIFF_CIQ" hidden="1">"c3723"</definedName>
    <definedName name="IQ_EST_CFPS_DIFF_REUT" hidden="1">"c3892"</definedName>
    <definedName name="IQ_EST_CFPS_GROWTH_1YR" hidden="1">"c1774"</definedName>
    <definedName name="IQ_EST_CFPS_GROWTH_1YR_CIQ" hidden="1">"c3709"</definedName>
    <definedName name="IQ_EST_CFPS_GROWTH_1YR_REUT" hidden="1">"c3878"</definedName>
    <definedName name="IQ_EST_CFPS_GROWTH_2YR" hidden="1">"c1775"</definedName>
    <definedName name="IQ_EST_CFPS_GROWTH_2YR_CIQ" hidden="1">"c3710"</definedName>
    <definedName name="IQ_EST_CFPS_GROWTH_2YR_REUT" hidden="1">"c3879"</definedName>
    <definedName name="IQ_EST_CFPS_GROWTH_Q_1YR" hidden="1">"c1776"</definedName>
    <definedName name="IQ_EST_CFPS_GROWTH_Q_1YR_CIQ" hidden="1">"c3711"</definedName>
    <definedName name="IQ_EST_CFPS_GROWTH_Q_1YR_REUT" hidden="1">"c3880"</definedName>
    <definedName name="IQ_EST_CFPS_SEQ_GROWTH_Q" hidden="1">"c1777"</definedName>
    <definedName name="IQ_EST_CFPS_SEQ_GROWTH_Q_CIQ" hidden="1">"c3712"</definedName>
    <definedName name="IQ_EST_CFPS_SEQ_GROWTH_Q_REUT" hidden="1">"c3881"</definedName>
    <definedName name="IQ_EST_CFPS_SURPRISE_PERCENT" hidden="1">"c1872"</definedName>
    <definedName name="IQ_EST_CFPS_SURPRISE_PERCENT_CIQ" hidden="1">"c3724"</definedName>
    <definedName name="IQ_EST_CFPS_SURPRISE_PERCENT_REUT" hidden="1">"c3893"</definedName>
    <definedName name="IQ_EST_CURRENCY" hidden="1">"c2140"</definedName>
    <definedName name="IQ_EST_CURRENCY_CIQ" hidden="1">"c4769"</definedName>
    <definedName name="IQ_EST_CURRENCY_REUT" hidden="1">"c5437"</definedName>
    <definedName name="IQ_EST_DATE" hidden="1">"c1634"</definedName>
    <definedName name="IQ_EST_DATE_CIQ" hidden="1">"c4770"</definedName>
    <definedName name="IQ_EST_DATE_REUT" hidden="1">"c5438"</definedName>
    <definedName name="IQ_EST_DISTRIBUTABLE_CASH_DIFF" hidden="1">"c4276"</definedName>
    <definedName name="IQ_EST_DISTRIBUTABLE_CASH_DIFF_CIQ" hidden="1">"c4801"</definedName>
    <definedName name="IQ_EST_DISTRIBUTABLE_CASH_GROWTH_1YR" hidden="1">"c4413"</definedName>
    <definedName name="IQ_EST_DISTRIBUTABLE_CASH_GROWTH_1YR_CIQ" hidden="1">"c4938"</definedName>
    <definedName name="IQ_EST_DISTRIBUTABLE_CASH_GROWTH_2YR" hidden="1">"c4414"</definedName>
    <definedName name="IQ_EST_DISTRIBUTABLE_CASH_GROWTH_2YR_CIQ" hidden="1">"c4939"</definedName>
    <definedName name="IQ_EST_DISTRIBUTABLE_CASH_GROWTH_Q_1YR" hidden="1">"c4415"</definedName>
    <definedName name="IQ_EST_DISTRIBUTABLE_CASH_GROWTH_Q_1YR_CIQ" hidden="1">"c4940"</definedName>
    <definedName name="IQ_EST_DISTRIBUTABLE_CASH_SEQ_GROWTH_Q" hidden="1">"c4416"</definedName>
    <definedName name="IQ_EST_DISTRIBUTABLE_CASH_SEQ_GROWTH_Q_CIQ" hidden="1">"c4941"</definedName>
    <definedName name="IQ_EST_DISTRIBUTABLE_CASH_SHARE_DIFF" hidden="1">"c4284"</definedName>
    <definedName name="IQ_EST_DISTRIBUTABLE_CASH_SHARE_DIFF_CIQ" hidden="1">"c4809"</definedName>
    <definedName name="IQ_EST_DISTRIBUTABLE_CASH_SHARE_GROWTH_1YR" hidden="1">"c4417"</definedName>
    <definedName name="IQ_EST_DISTRIBUTABLE_CASH_SHARE_GROWTH_1YR_CIQ" hidden="1">"c4942"</definedName>
    <definedName name="IQ_EST_DISTRIBUTABLE_CASH_SHARE_GROWTH_2YR" hidden="1">"c4418"</definedName>
    <definedName name="IQ_EST_DISTRIBUTABLE_CASH_SHARE_GROWTH_2YR_CIQ" hidden="1">"c4943"</definedName>
    <definedName name="IQ_EST_DISTRIBUTABLE_CASH_SHARE_GROWTH_Q_1YR" hidden="1">"c4419"</definedName>
    <definedName name="IQ_EST_DISTRIBUTABLE_CASH_SHARE_GROWTH_Q_1YR_CIQ" hidden="1">"c4944"</definedName>
    <definedName name="IQ_EST_DISTRIBUTABLE_CASH_SHARE_SEQ_GROWTH_Q" hidden="1">"c4420"</definedName>
    <definedName name="IQ_EST_DISTRIBUTABLE_CASH_SHARE_SEQ_GROWTH_Q_CIQ" hidden="1">"c4945"</definedName>
    <definedName name="IQ_EST_DISTRIBUTABLE_CASH_SHARE_SURPRISE_PERCENT" hidden="1">"c4293"</definedName>
    <definedName name="IQ_EST_DISTRIBUTABLE_CASH_SHARE_SURPRISE_PERCENT_CIQ" hidden="1">"c4818"</definedName>
    <definedName name="IQ_EST_DISTRIBUTABLE_CASH_SURPRISE_PERCENT" hidden="1">"c4295"</definedName>
    <definedName name="IQ_EST_DISTRIBUTABLE_CASH_SURPRISE_PERCENT_CIQ" hidden="1">"c4820"</definedName>
    <definedName name="IQ_EST_DPS_DIFF" hidden="1">"c1873"</definedName>
    <definedName name="IQ_EST_DPS_DIFF_CIQ" hidden="1">"c3725"</definedName>
    <definedName name="IQ_EST_DPS_DIFF_REUT" hidden="1">"c3894"</definedName>
    <definedName name="IQ_EST_DPS_GROWTH_1YR" hidden="1">"c1778"</definedName>
    <definedName name="IQ_EST_DPS_GROWTH_1YR_CIQ" hidden="1">"c3713"</definedName>
    <definedName name="IQ_EST_DPS_GROWTH_1YR_REUT" hidden="1">"c3882"</definedName>
    <definedName name="IQ_EST_DPS_GROWTH_2YR" hidden="1">"c1779"</definedName>
    <definedName name="IQ_EST_DPS_GROWTH_2YR_CIQ" hidden="1">"c3714"</definedName>
    <definedName name="IQ_EST_DPS_GROWTH_2YR_REUT" hidden="1">"c3883"</definedName>
    <definedName name="IQ_EST_DPS_GROWTH_Q_1YR" hidden="1">"c1780"</definedName>
    <definedName name="IQ_EST_DPS_GROWTH_Q_1YR_CIQ" hidden="1">"c3715"</definedName>
    <definedName name="IQ_EST_DPS_GROWTH_Q_1YR_REUT" hidden="1">"c3884"</definedName>
    <definedName name="IQ_EST_DPS_SEQ_GROWTH_Q" hidden="1">"c1781"</definedName>
    <definedName name="IQ_EST_DPS_SEQ_GROWTH_Q_CIQ" hidden="1">"c3716"</definedName>
    <definedName name="IQ_EST_DPS_SEQ_GROWTH_Q_REUT" hidden="1">"c3885"</definedName>
    <definedName name="IQ_EST_DPS_SURPRISE_PERCENT" hidden="1">"c1874"</definedName>
    <definedName name="IQ_EST_DPS_SURPRISE_PERCENT_CIQ" hidden="1">"c3726"</definedName>
    <definedName name="IQ_EST_DPS_SURPRISE_PERCENT_REUT" hidden="1">"c3895"</definedName>
    <definedName name="IQ_EST_EBIT_DIFF" hidden="1">"c1875"</definedName>
    <definedName name="IQ_EST_EBIT_DIFF_CIQ" hidden="1">"c4747"</definedName>
    <definedName name="IQ_EST_EBIT_DIFF_REUT" hidden="1">"c5413"</definedName>
    <definedName name="IQ_EST_EBIT_GW_DIFF" hidden="1">"c4304"</definedName>
    <definedName name="IQ_EST_EBIT_GW_DIFF_CIQ" hidden="1">"c4829"</definedName>
    <definedName name="IQ_EST_EBIT_GW_SURPRISE_PERCENT" hidden="1">"c4313"</definedName>
    <definedName name="IQ_EST_EBIT_GW_SURPRISE_PERCENT_CIQ" hidden="1">"c4838"</definedName>
    <definedName name="IQ_EST_EBIT_SBC_DIFF" hidden="1">"c4314"</definedName>
    <definedName name="IQ_EST_EBIT_SBC_DIFF_CIQ" hidden="1">"c4839"</definedName>
    <definedName name="IQ_EST_EBIT_SBC_GW_DIFF" hidden="1">"c4318"</definedName>
    <definedName name="IQ_EST_EBIT_SBC_GW_DIFF_CIQ" hidden="1">"c4843"</definedName>
    <definedName name="IQ_EST_EBIT_SBC_GW_SURPRISE_PERCENT" hidden="1">"c4327"</definedName>
    <definedName name="IQ_EST_EBIT_SBC_GW_SURPRISE_PERCENT_CIQ" hidden="1">"c4852"</definedName>
    <definedName name="IQ_EST_EBIT_SBC_SURPRISE_PERCENT" hidden="1">"c4333"</definedName>
    <definedName name="IQ_EST_EBIT_SBC_SURPRISE_PERCENT_CIQ" hidden="1">"c4858"</definedName>
    <definedName name="IQ_EST_EBIT_SURPRISE_PERCENT" hidden="1">"c1876"</definedName>
    <definedName name="IQ_EST_EBIT_SURPRISE_PERCENT_CIQ" hidden="1">"c4748"</definedName>
    <definedName name="IQ_EST_EBIT_SURPRISE_PERCENT_REUT" hidden="1">"c5414"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GROWTH_1YR" hidden="1">"c1766"</definedName>
    <definedName name="IQ_EST_EBITDA_GROWTH_1YR_CIQ" hidden="1">"c3695"</definedName>
    <definedName name="IQ_EST_EBITDA_GROWTH_1YR_REUT" hidden="1">"c3864"</definedName>
    <definedName name="IQ_EST_EBITDA_GROWTH_2YR" hidden="1">"c1767"</definedName>
    <definedName name="IQ_EST_EBITDA_GROWTH_2YR_CIQ" hidden="1">"c3696"</definedName>
    <definedName name="IQ_EST_EBITDA_GROWTH_2YR_REUT" hidden="1">"c3865"</definedName>
    <definedName name="IQ_EST_EBITDA_GROWTH_Q_1YR" hidden="1">"c1768"</definedName>
    <definedName name="IQ_EST_EBITDA_GROWTH_Q_1YR_CIQ" hidden="1">"c3697"</definedName>
    <definedName name="IQ_EST_EBITDA_GROWTH_Q_1YR_REUT" hidden="1">"c3866"</definedName>
    <definedName name="IQ_EST_EBITDA_SBC_DIFF" hidden="1">"c4335"</definedName>
    <definedName name="IQ_EST_EBITDA_SBC_DIFF_CIQ" hidden="1">"c4860"</definedName>
    <definedName name="IQ_EST_EBITDA_SBC_SURPRISE_PERCENT" hidden="1">"c4344"</definedName>
    <definedName name="IQ_EST_EBITDA_SBC_SURPRISE_PERCENT_CIQ" hidden="1">"c4869"</definedName>
    <definedName name="IQ_EST_EBITDA_SEQ_GROWTH_Q" hidden="1">"c1769"</definedName>
    <definedName name="IQ_EST_EBITDA_SEQ_GROWTH_Q_CIQ" hidden="1">"c3698"</definedName>
    <definedName name="IQ_EST_EBITDA_SEQ_GROWTH_Q_REUT" hidden="1">"c3867"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T_SBC_DIFF" hidden="1">"c4348"</definedName>
    <definedName name="IQ_EST_EBT_SBC_DIFF_CIQ" hidden="1">"c4873"</definedName>
    <definedName name="IQ_EST_EBT_SBC_GW_DIFF" hidden="1">"c4352"</definedName>
    <definedName name="IQ_EST_EBT_SBC_GW_DIFF_CIQ" hidden="1">"c4877"</definedName>
    <definedName name="IQ_EST_EBT_SBC_GW_SURPRISE_PERCENT" hidden="1">"c4361"</definedName>
    <definedName name="IQ_EST_EBT_SBC_GW_SURPRISE_PERCENT_CIQ" hidden="1">"c4886"</definedName>
    <definedName name="IQ_EST_EBT_SBC_SURPRISE_PERCENT" hidden="1">"c4367"</definedName>
    <definedName name="IQ_EST_EBT_SBC_SURPRISE_PERCENT_CIQ" hidden="1">"c4892"</definedName>
    <definedName name="IQ_EST_EPS_DIFF" hidden="1">"c1864"</definedName>
    <definedName name="IQ_EST_EPS_DIFF_CIQ" hidden="1">"c4999"</definedName>
    <definedName name="IQ_EST_EPS_DIFF_REUT" hidden="1">"c5458"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2YR" hidden="1">"c1637"</definedName>
    <definedName name="IQ_EST_EPS_GROWTH_2YR_CIQ" hidden="1">"c3689"</definedName>
    <definedName name="IQ_EST_EPS_GROWTH_2YR_REUT" hidden="1">"c3858"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SBC_DIFF" hidden="1">"c4374"</definedName>
    <definedName name="IQ_EST_EPS_SBC_DIFF_CIQ" hidden="1">"c4899"</definedName>
    <definedName name="IQ_EST_EPS_SBC_GW_DIFF" hidden="1">"c4378"</definedName>
    <definedName name="IQ_EST_EPS_SBC_GW_DIFF_CIQ" hidden="1">"c4903"</definedName>
    <definedName name="IQ_EST_EPS_SBC_GW_SURPRISE_PERCENT" hidden="1">"c4387"</definedName>
    <definedName name="IQ_EST_EPS_SBC_GW_SURPRISE_PERCENT_CIQ" hidden="1">"c4912"</definedName>
    <definedName name="IQ_EST_EPS_SBC_SURPRISE_PERCENT" hidden="1">"c4393"</definedName>
    <definedName name="IQ_EST_EPS_SBC_SURPRISE_PERCENT_CIQ" hidden="1">"c4918"</definedName>
    <definedName name="IQ_EST_EPS_SEQ_GROWTH_Q" hidden="1">"c1764"</definedName>
    <definedName name="IQ_EST_EPS_SEQ_GROWTH_Q_CIQ" hidden="1">"c3690"</definedName>
    <definedName name="IQ_EST_EPS_SEQ_GROWTH_Q_REUT" hidden="1">"c3859"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FFO_ADJ_DIFF" hidden="1">"c4433"</definedName>
    <definedName name="IQ_EST_FFO_ADJ_DIFF_CIQ" hidden="1">"c4958"</definedName>
    <definedName name="IQ_EST_FFO_ADJ_GROWTH_1YR" hidden="1">"c4421"</definedName>
    <definedName name="IQ_EST_FFO_ADJ_GROWTH_1YR_CIQ" hidden="1">"c4946"</definedName>
    <definedName name="IQ_EST_FFO_ADJ_GROWTH_2YR" hidden="1">"c4422"</definedName>
    <definedName name="IQ_EST_FFO_ADJ_GROWTH_2YR_CIQ" hidden="1">"c4947"</definedName>
    <definedName name="IQ_EST_FFO_ADJ_GROWTH_Q_1YR" hidden="1">"c4423"</definedName>
    <definedName name="IQ_EST_FFO_ADJ_GROWTH_Q_1YR_CIQ" hidden="1">"c4948"</definedName>
    <definedName name="IQ_EST_FFO_ADJ_SEQ_GROWTH_Q" hidden="1">"c4424"</definedName>
    <definedName name="IQ_EST_FFO_ADJ_SEQ_GROWTH_Q_CIQ" hidden="1">"c4949"</definedName>
    <definedName name="IQ_EST_FFO_ADJ_SURPRISE_PERCENT" hidden="1">"c4442"</definedName>
    <definedName name="IQ_EST_FFO_ADJ_SURPRISE_PERCENT_CIQ" hidden="1">"c4967"</definedName>
    <definedName name="IQ_EST_FFO_DIFF" hidden="1">"c1869"</definedName>
    <definedName name="IQ_EST_FFO_DIFF_CIQ" hidden="1">"c3721"</definedName>
    <definedName name="IQ_EST_FFO_DIFF_REUT" hidden="1">"c3890"</definedName>
    <definedName name="IQ_EST_FFO_GROWTH_1YR" hidden="1">"c1770"</definedName>
    <definedName name="IQ_EST_FFO_GROWTH_1YR_CIQ" hidden="1">"c3705"</definedName>
    <definedName name="IQ_EST_FFO_GROWTH_1YR_REUT" hidden="1">"c3874"</definedName>
    <definedName name="IQ_EST_FFO_GROWTH_2YR" hidden="1">"c1771"</definedName>
    <definedName name="IQ_EST_FFO_GROWTH_2YR_CIQ" hidden="1">"c3706"</definedName>
    <definedName name="IQ_EST_FFO_GROWTH_2YR_REUT" hidden="1">"c3875"</definedName>
    <definedName name="IQ_EST_FFO_GROWTH_Q_1YR" hidden="1">"c1772"</definedName>
    <definedName name="IQ_EST_FFO_GROWTH_Q_1YR_CIQ" hidden="1">"c3707"</definedName>
    <definedName name="IQ_EST_FFO_GROWTH_Q_1YR_REUT" hidden="1">"c3876"</definedName>
    <definedName name="IQ_EST_FFO_SEQ_GROWTH_Q" hidden="1">"c1773"</definedName>
    <definedName name="IQ_EST_FFO_SEQ_GROWTH_Q_CIQ" hidden="1">"c3708"</definedName>
    <definedName name="IQ_EST_FFO_SEQ_GROWTH_Q_REUT" hidden="1">"c3877"</definedName>
    <definedName name="IQ_EST_FFO_SHARE_DIFF" hidden="1">"c4444"</definedName>
    <definedName name="IQ_EST_FFO_SHARE_DIFF_CIQ" hidden="1">"c4969"</definedName>
    <definedName name="IQ_EST_FFO_SHARE_GROWTH_1YR" hidden="1">"c4425"</definedName>
    <definedName name="IQ_EST_FFO_SHARE_GROWTH_1YR_CIQ" hidden="1">"c4950"</definedName>
    <definedName name="IQ_EST_FFO_SHARE_GROWTH_2YR" hidden="1">"c4426"</definedName>
    <definedName name="IQ_EST_FFO_SHARE_GROWTH_2YR_CIQ" hidden="1">"c4951"</definedName>
    <definedName name="IQ_EST_FFO_SHARE_GROWTH_Q_1YR" hidden="1">"c4427"</definedName>
    <definedName name="IQ_EST_FFO_SHARE_GROWTH_Q_1YR_CIQ" hidden="1">"c4952"</definedName>
    <definedName name="IQ_EST_FFO_SHARE_SEQ_GROWTH_Q" hidden="1">"c4428"</definedName>
    <definedName name="IQ_EST_FFO_SHARE_SEQ_GROWTH_Q_CIQ" hidden="1">"c4953"</definedName>
    <definedName name="IQ_EST_FFO_SHARE_SURPRISE_PERCENT" hidden="1">"c4453"</definedName>
    <definedName name="IQ_EST_FFO_SHARE_SURPRISE_PERCENT_CIQ" hidden="1">"c4982"</definedName>
    <definedName name="IQ_EST_FFO_SURPRISE_PERCENT" hidden="1">"c1870"</definedName>
    <definedName name="IQ_EST_FFO_SURPRISE_PERCENT_CIQ" hidden="1">"c3722"</definedName>
    <definedName name="IQ_EST_FFO_SURPRISE_PERCENT_REUT" hidden="1">"c3891"</definedName>
    <definedName name="IQ_EST_FOOTNOTE" hidden="1">"c4540"</definedName>
    <definedName name="IQ_EST_FOOTNOTE_CIQ" hidden="1">"c12022"</definedName>
    <definedName name="IQ_EST_FOOTNOTE_REUT" hidden="1">"c5478"</definedName>
    <definedName name="IQ_EST_MAINT_CAPEX_DIFF" hidden="1">"c4456"</definedName>
    <definedName name="IQ_EST_MAINT_CAPEX_DIFF_CIQ" hidden="1">"c4985"</definedName>
    <definedName name="IQ_EST_MAINT_CAPEX_GROWTH_1YR" hidden="1">"c4429"</definedName>
    <definedName name="IQ_EST_MAINT_CAPEX_GROWTH_1YR_CIQ" hidden="1">"c4954"</definedName>
    <definedName name="IQ_EST_MAINT_CAPEX_GROWTH_2YR" hidden="1">"c4430"</definedName>
    <definedName name="IQ_EST_MAINT_CAPEX_GROWTH_2YR_CIQ" hidden="1">"c4955"</definedName>
    <definedName name="IQ_EST_MAINT_CAPEX_GROWTH_Q_1YR" hidden="1">"c4431"</definedName>
    <definedName name="IQ_EST_MAINT_CAPEX_GROWTH_Q_1YR_CIQ" hidden="1">"c4956"</definedName>
    <definedName name="IQ_EST_MAINT_CAPEX_SEQ_GROWTH_Q" hidden="1">"c4432"</definedName>
    <definedName name="IQ_EST_MAINT_CAPEX_SEQ_GROWTH_Q_CIQ" hidden="1">"c4957"</definedName>
    <definedName name="IQ_EST_MAINT_CAPEX_SURPRISE_PERCENT" hidden="1">"c4465"</definedName>
    <definedName name="IQ_EST_MAINT_CAPEX_SURPRISE_PERCENT_CIQ" hidden="1">"c5003"</definedName>
    <definedName name="IQ_EST_NAV_DIFF" hidden="1">"c1895"</definedName>
    <definedName name="IQ_EST_NAV_SHARE_SURPRISE_PERCENT" hidden="1">"c1896"</definedName>
    <definedName name="IQ_EST_NAV_SURPRISE_PERCENT" hidden="1">"c1896"</definedName>
    <definedName name="IQ_EST_NET_DEBT_DIFF" hidden="1">"c4466"</definedName>
    <definedName name="IQ_EST_NET_DEBT_DIFF_CIQ" hidden="1">"c5004"</definedName>
    <definedName name="IQ_EST_NET_DEBT_SURPRISE_PERCENT" hidden="1">"c4468"</definedName>
    <definedName name="IQ_EST_NET_DEBT_SURPRISE_PERCENT_CIQ" hidden="1">"c5006"</definedName>
    <definedName name="IQ_EST_NI_DIFF" hidden="1">"c1885"</definedName>
    <definedName name="IQ_EST_NI_DIFF_CIQ" hidden="1">"c4755"</definedName>
    <definedName name="IQ_EST_NI_DIFF_REUT" hidden="1">"c5423"</definedName>
    <definedName name="IQ_EST_NI_GW_DIFF" hidden="1">"c1887"</definedName>
    <definedName name="IQ_EST_NI_GW_DIFF_CIQ" hidden="1">"c4757"</definedName>
    <definedName name="IQ_EST_NI_GW_DIFF_REUT" hidden="1">"c5425"</definedName>
    <definedName name="IQ_EST_NI_GW_SURPRISE_PERCENT" hidden="1">"c1888"</definedName>
    <definedName name="IQ_EST_NI_GW_SURPRISE_PERCENT_CIQ" hidden="1">"c4758"</definedName>
    <definedName name="IQ_EST_NI_GW_SURPRISE_PERCENT_REUT" hidden="1">"c5426"</definedName>
    <definedName name="IQ_EST_NI_REPORT_DIFF" hidden="1">"c1889"</definedName>
    <definedName name="IQ_EST_NI_REPORT_DIFF_CIQ" hidden="1">"c4759"</definedName>
    <definedName name="IQ_EST_NI_REPORT_DIFF_REUT" hidden="1">"c5427"</definedName>
    <definedName name="IQ_EST_NI_REPORT_SURPRISE_PERCENT" hidden="1">"c1890"</definedName>
    <definedName name="IQ_EST_NI_REPORT_SURPRISE_PERCENT_CIQ" hidden="1">"c4760"</definedName>
    <definedName name="IQ_EST_NI_REPORT_SURPRISE_PERCENT_REUT" hidden="1">"c5428"</definedName>
    <definedName name="IQ_EST_NI_SBC_DIFF" hidden="1">"c4472"</definedName>
    <definedName name="IQ_EST_NI_SBC_DIFF_CIQ" hidden="1">"c5010"</definedName>
    <definedName name="IQ_EST_NI_SBC_GW_DIFF" hidden="1">"c4476"</definedName>
    <definedName name="IQ_EST_NI_SBC_GW_DIFF_CIQ" hidden="1">"c5014"</definedName>
    <definedName name="IQ_EST_NI_SBC_GW_SURPRISE_PERCENT" hidden="1">"c4485"</definedName>
    <definedName name="IQ_EST_NI_SBC_GW_SURPRISE_PERCENT_CIQ" hidden="1">"c5023"</definedName>
    <definedName name="IQ_EST_NI_SBC_SURPRISE_PERCENT" hidden="1">"c4491"</definedName>
    <definedName name="IQ_EST_NI_SBC_SURPRISE_PERCENT_CIQ" hidden="1">"c5029"</definedName>
    <definedName name="IQ_EST_NI_SURPRISE_PERCENT" hidden="1">"c1886"</definedName>
    <definedName name="IQ_EST_NI_SURPRISE_PERCENT_CIQ" hidden="1">"c4756"</definedName>
    <definedName name="IQ_EST_NI_SURPRISE_PERCENT_REUT" hidden="1">"c5424"</definedName>
    <definedName name="IQ_EST_NUM_BUY" hidden="1">"c1759"</definedName>
    <definedName name="IQ_EST_NUM_HIGH_REC" hidden="1">"c5649"</definedName>
    <definedName name="IQ_EST_NUM_HIGH_REC_CIQ" hidden="1">"c3701"</definedName>
    <definedName name="IQ_EST_NUM_HIGH_REC_REUT" hidden="1">"c3870"</definedName>
    <definedName name="IQ_EST_NUM_HIGHEST_REC" hidden="1">"c5648"</definedName>
    <definedName name="IQ_EST_NUM_HIGHEST_REC_CIQ" hidden="1">"c3700"</definedName>
    <definedName name="IQ_EST_NUM_HIGHEST_REC_REUT" hidden="1">"c3869"</definedName>
    <definedName name="IQ_EST_NUM_HOLD" hidden="1">"c1761"</definedName>
    <definedName name="IQ_EST_NUM_LOW_REC" hidden="1">"c5651"</definedName>
    <definedName name="IQ_EST_NUM_LOW_REC_CIQ" hidden="1">"c3703"</definedName>
    <definedName name="IQ_EST_NUM_LOW_REC_REUT" hidden="1">"c3872"</definedName>
    <definedName name="IQ_EST_NUM_LOWEST_REC" hidden="1">"c5652"</definedName>
    <definedName name="IQ_EST_NUM_LOWEST_REC_CIQ" hidden="1">"c3704"</definedName>
    <definedName name="IQ_EST_NUM_LOWEST_REC_REUT" hidden="1">"c3873"</definedName>
    <definedName name="IQ_EST_NUM_NEUTRAL_REC" hidden="1">"c5650"</definedName>
    <definedName name="IQ_EST_NUM_NEUTRAL_REC_CIQ" hidden="1">"c3702"</definedName>
    <definedName name="IQ_EST_NUM_NEUTRAL_REC_REUT" hidden="1">"c3871"</definedName>
    <definedName name="IQ_EST_NUM_NO_OPINION" hidden="1">"c1758"</definedName>
    <definedName name="IQ_EST_NUM_NO_OPINION_CIQ" hidden="1">"c3699"</definedName>
    <definedName name="IQ_EST_NUM_NO_OPINION_REUT" hidden="1">"c3868"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CIQ" hidden="1">"c12017"</definedName>
    <definedName name="IQ_EST_OPER_INC_DIFF_REUT" hidden="1">"c5415"</definedName>
    <definedName name="IQ_EST_OPER_INC_SURPRISE_PERCENT" hidden="1">"c1878"</definedName>
    <definedName name="IQ_EST_OPER_INC_SURPRISE_PERCENT_CIQ" hidden="1">"c12018"</definedName>
    <definedName name="IQ_EST_OPER_INC_SURPRISE_PERCENT_REUT" hidden="1">"c5416"</definedName>
    <definedName name="IQ_EST_PRE_TAX_DIFF" hidden="1">"c1879"</definedName>
    <definedName name="IQ_EST_PRE_TAX_DIFF_CIQ" hidden="1">"c4749"</definedName>
    <definedName name="IQ_EST_PRE_TAX_DIFF_REUT" hidden="1">"c5417"</definedName>
    <definedName name="IQ_EST_PRE_TAX_GW_DIFF" hidden="1">"c1881"</definedName>
    <definedName name="IQ_EST_PRE_TAX_GW_DIFF_CIQ" hidden="1">"c4751"</definedName>
    <definedName name="IQ_EST_PRE_TAX_GW_DIFF_REUT" hidden="1">"c5419"</definedName>
    <definedName name="IQ_EST_PRE_TAX_GW_SURPRISE_PERCENT" hidden="1">"c1882"</definedName>
    <definedName name="IQ_EST_PRE_TAX_GW_SURPRISE_PERCENT_CIQ" hidden="1">"c4752"</definedName>
    <definedName name="IQ_EST_PRE_TAX_GW_SURPRISE_PERCENT_REUT" hidden="1">"c5420"</definedName>
    <definedName name="IQ_EST_PRE_TAX_REPORT_DIFF" hidden="1">"c1883"</definedName>
    <definedName name="IQ_EST_PRE_TAX_REPORT_DIFF_CIQ" hidden="1">"c4753"</definedName>
    <definedName name="IQ_EST_PRE_TAX_REPORT_DIFF_REUT" hidden="1">"c5421"</definedName>
    <definedName name="IQ_EST_PRE_TAX_REPORT_SURPRISE_PERCENT" hidden="1">"c1884"</definedName>
    <definedName name="IQ_EST_PRE_TAX_REPORT_SURPRISE_PERCENT_CIQ" hidden="1">"c4754"</definedName>
    <definedName name="IQ_EST_PRE_TAX_REPORT_SURPRISE_PERCENT_REUT" hidden="1">"c5422"</definedName>
    <definedName name="IQ_EST_PRE_TAX_SURPRISE_PERCENT" hidden="1">"c1880"</definedName>
    <definedName name="IQ_EST_PRE_TAX_SURPRISE_PERCENT_CIQ" hidden="1">"c4750"</definedName>
    <definedName name="IQ_EST_PRE_TAX_SURPRISE_PERCENT_REUT" hidden="1">"c5418"</definedName>
    <definedName name="IQ_EST_RECURRING_PROFIT_SHARE_DIFF" hidden="1">"c4505"</definedName>
    <definedName name="IQ_EST_RECURRING_PROFIT_SHARE_DIFF_CIQ" hidden="1">"c5043"</definedName>
    <definedName name="IQ_EST_RECURRING_PROFIT_SHARE_SURPRISE_PERCENT" hidden="1">"c4515"</definedName>
    <definedName name="IQ_EST_RECURRING_PROFIT_SHARE_SURPRISE_PERCENT_CIQ" hidden="1">"c5053"</definedName>
    <definedName name="IQ_EST_REV_DIFF" hidden="1">"c1865"</definedName>
    <definedName name="IQ_EST_REV_DIFF_CIQ" hidden="1">"c3717"</definedName>
    <definedName name="IQ_EST_REV_DIFF_REUT" hidden="1">"c3886"</definedName>
    <definedName name="IQ_EST_REV_GROWTH_1YR" hidden="1">"c1638"</definedName>
    <definedName name="IQ_EST_REV_GROWTH_1YR_CIQ" hidden="1">"c3691"</definedName>
    <definedName name="IQ_EST_REV_GROWTH_1YR_REUT" hidden="1">"c3860"</definedName>
    <definedName name="IQ_EST_REV_GROWTH_2YR" hidden="1">"c1639"</definedName>
    <definedName name="IQ_EST_REV_GROWTH_2YR_CIQ" hidden="1">"c3692"</definedName>
    <definedName name="IQ_EST_REV_GROWTH_2YR_REUT" hidden="1">"c3861"</definedName>
    <definedName name="IQ_EST_REV_GROWTH_Q_1YR" hidden="1">"c1640"</definedName>
    <definedName name="IQ_EST_REV_GROWTH_Q_1YR_CIQ" hidden="1">"c3693"</definedName>
    <definedName name="IQ_EST_REV_GROWTH_Q_1YR_REUT" hidden="1">"c3862"</definedName>
    <definedName name="IQ_EST_REV_SEQ_GROWTH_Q" hidden="1">"c1765"</definedName>
    <definedName name="IQ_EST_REV_SEQ_GROWTH_Q_CIQ" hidden="1">"c3694"</definedName>
    <definedName name="IQ_EST_REV_SEQ_GROWTH_Q_REUT" hidden="1">"c3863"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"c165"</definedName>
    <definedName name="IQ_EV_OVER_REVENUE_EST_1" hidden="1">"c166"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"c1459"</definedName>
    <definedName name="IQ_EXTRAORDINARY_GAINS_FDIC" hidden="1">"c6586"</definedName>
    <definedName name="IQ_FAD" hidden="1">"c8757"</definedName>
    <definedName name="IQ_FAD_PAYOUT_RATIO" hidden="1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FDIC" hidden="1">"c6343"</definedName>
    <definedName name="IQ_FED_FUNDS_SOLD_FDIC" hidden="1">"c6307"</definedName>
    <definedName name="IQ_FEDFUNDS_SOLD" hidden="1">"c2256"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EST_CIQ" hidden="1">"c4959"</definedName>
    <definedName name="IQ_FFO_ADJ_GUIDANCE" hidden="1">"c4436"</definedName>
    <definedName name="IQ_FFO_ADJ_GUIDANCE_CIQ" hidden="1">"c4961"</definedName>
    <definedName name="IQ_FFO_ADJ_HIGH_EST" hidden="1">"c4437"</definedName>
    <definedName name="IQ_FFO_ADJ_HIGH_EST_CIQ" hidden="1">"c4962"</definedName>
    <definedName name="IQ_FFO_ADJ_HIGH_GUIDANCE" hidden="1">"c4202"</definedName>
    <definedName name="IQ_FFO_ADJ_HIGH_GUIDANCE_CIQ" hidden="1">"c4614"</definedName>
    <definedName name="IQ_FFO_ADJ_LOW_EST" hidden="1">"c4438"</definedName>
    <definedName name="IQ_FFO_ADJ_LOW_EST_CIQ" hidden="1">"c4963"</definedName>
    <definedName name="IQ_FFO_ADJ_LOW_GUIDANCE" hidden="1">"c4242"</definedName>
    <definedName name="IQ_FFO_ADJ_LOW_GUIDANCE_CIQ" hidden="1">"c4654"</definedName>
    <definedName name="IQ_FFO_ADJ_MEDIAN_EST" hidden="1">"c4439"</definedName>
    <definedName name="IQ_FFO_ADJ_MEDIAN_EST_CIQ" hidden="1">"c4964"</definedName>
    <definedName name="IQ_FFO_ADJ_NUM_EST" hidden="1">"c4440"</definedName>
    <definedName name="IQ_FFO_ADJ_NUM_EST_CIQ" hidden="1">"c4965"</definedName>
    <definedName name="IQ_FFO_ADJ_STDDEV_EST" hidden="1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REUT" hidden="1">"c3837"</definedName>
    <definedName name="IQ_FFO_GUIDANCE" hidden="1">"c4443"</definedName>
    <definedName name="IQ_FFO_GUIDANCE_CIQ" hidden="1">"c4968"</definedName>
    <definedName name="IQ_FFO_HIGH_EST" hidden="1">"c419"</definedName>
    <definedName name="IQ_FFO_HIGH_EST_CIQ" hidden="1">"c3670"</definedName>
    <definedName name="IQ_FFO_HIGH_EST_REUT" hidden="1">"c3839"</definedName>
    <definedName name="IQ_FFO_HIGH_GUIDANCE" hidden="1">"c4184"</definedName>
    <definedName name="IQ_FFO_HIGH_GUIDANCE_CIQ" hidden="1">"c4596"</definedName>
    <definedName name="IQ_FFO_LOW_EST" hidden="1">"c420"</definedName>
    <definedName name="IQ_FFO_LOW_EST_CIQ" hidden="1">"c3671"</definedName>
    <definedName name="IQ_FFO_LOW_EST_REUT" hidden="1">"c3840"</definedName>
    <definedName name="IQ_FFO_LOW_GUIDANCE" hidden="1">"c4224"</definedName>
    <definedName name="IQ_FFO_LOW_GUIDANCE_CIQ" hidden="1">"c4636"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NUM_EST" hidden="1">"c421"</definedName>
    <definedName name="IQ_FFO_NUM_EST_CIQ" hidden="1">"c3672"</definedName>
    <definedName name="IQ_FFO_NUM_EST_REUT" hidden="1">"c3841"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"c4446"</definedName>
    <definedName name="IQ_FFO_SHARE_ACT_OR_EST_CIQ" hidden="1">"c4971"</definedName>
    <definedName name="IQ_FFO_SHARE_EST" hidden="1">"c4445"</definedName>
    <definedName name="IQ_FFO_SHARE_EST_CIQ" hidden="1">"c4970"</definedName>
    <definedName name="IQ_FFO_SHARE_GUIDANCE" hidden="1">"c4447"</definedName>
    <definedName name="IQ_FFO_SHARE_GUIDANCE_CIQ" hidden="1">"c4976"</definedName>
    <definedName name="IQ_FFO_SHARE_HIGH_EST" hidden="1">"c4448"</definedName>
    <definedName name="IQ_FFO_SHARE_HIGH_EST_CIQ" hidden="1">"c4977"</definedName>
    <definedName name="IQ_FFO_SHARE_HIGH_GUIDANCE" hidden="1">"c4203"</definedName>
    <definedName name="IQ_FFO_SHARE_HIGH_GUIDANCE_CIQ" hidden="1">"c4615"</definedName>
    <definedName name="IQ_FFO_SHARE_LOW_EST" hidden="1">"c4449"</definedName>
    <definedName name="IQ_FFO_SHARE_LOW_EST_CIQ" hidden="1">"c4978"</definedName>
    <definedName name="IQ_FFO_SHARE_LOW_GUIDANCE" hidden="1">"c4243"</definedName>
    <definedName name="IQ_FFO_SHARE_LOW_GUIDANCE_CIQ" hidden="1">"c4655"</definedName>
    <definedName name="IQ_FFO_SHARE_MEDIAN_EST" hidden="1">"c4450"</definedName>
    <definedName name="IQ_FFO_SHARE_MEDIAN_EST_CIQ" hidden="1">"c4979"</definedName>
    <definedName name="IQ_FFO_SHARE_NUM_EST" hidden="1">"c4451"</definedName>
    <definedName name="IQ_FFO_SHARE_NUM_EST_CIQ" hidden="1">"c4980"</definedName>
    <definedName name="IQ_FFO_SHARE_STDDEV_EST" hidden="1">"c4452"</definedName>
    <definedName name="IQ_FFO_SHARE_STDDEV_EST_CIQ" hidden="1">"c4981"</definedName>
    <definedName name="IQ_FFO_STDDEV_EST" hidden="1">"c422"</definedName>
    <definedName name="IQ_FFO_STDDEV_EST_CIQ" hidden="1">"c3673"</definedName>
    <definedName name="IQ_FFO_STDDEV_EST_REUT" hidden="1">"c3842"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REUT" hidden="1">"c6798"</definedName>
    <definedName name="IQ_FISCAL_Y" hidden="1">"c441"</definedName>
    <definedName name="IQ_FISCAL_Y_EST" hidden="1">"c6795"</definedName>
    <definedName name="IQ_FISCAL_Y_EST_CIQ" hidden="1">"c6807"</definedName>
    <definedName name="IQ_FISCAL_Y_EST_REUT" hidden="1">"c6799"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" hidden="1">"c225"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 hidden="1">"c5554"</definedName>
    <definedName name="IQ_GROSS_MARGIN_EST" hidden="1">"c5547"</definedName>
    <definedName name="IQ_GROSS_MARGIN_HIGH_EST" hidden="1">"c5549"</definedName>
    <definedName name="IQ_GROSS_MARGIN_LOW_EST" hidden="1">"c5550"</definedName>
    <definedName name="IQ_GROSS_MARGIN_MEDIAN_EST" hidden="1">"c5548"</definedName>
    <definedName name="IQ_GROSS_MARGIN_NUM_EST" hidden="1">"c5551"</definedName>
    <definedName name="IQ_GROSS_MARGIN_STDDEV_EST" hidden="1">"c5552"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 hidden="1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UB_NOTES_FDIC" hidden="1">"c6568"</definedName>
    <definedName name="IQ_INTANGIBLES_NET" hidden="1">"c1407"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EBIT_MARGIN" hidden="1">"c151"</definedName>
    <definedName name="IQ_LAST_EBITDA_MARGIN" hidden="1">"c150"</definedName>
    <definedName name="IQ_LAST_GROSS_MARGIN" hidden="1">"c149"</definedName>
    <definedName name="IQ_LAST_NET_INC_MARGIN" hidden="1">"c152"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 hidden="1">"c8971"</definedName>
    <definedName name="IQ_LATEST_MONTHLY_FACTOR_DATE" hidden="1">"c8972"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D_UNDERWRITER" hidden="1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CENSED_POPS" hidden="1">"c2123"</definedName>
    <definedName name="IQ_LIFE_EARNED" hidden="1">"c2739"</definedName>
    <definedName name="IQ_LIFE_INSURANCE_ASSETS_FDIC" hidden="1">"c6372"</definedName>
    <definedName name="IQ_LIFOR" hidden="1">"c655"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EST_CIQ" hidden="1">"c4986"</definedName>
    <definedName name="IQ_MAINT_CAPEX_GUIDANCE" hidden="1">"c4459"</definedName>
    <definedName name="IQ_MAINT_CAPEX_GUIDANCE_CIQ" hidden="1">"c4988"</definedName>
    <definedName name="IQ_MAINT_CAPEX_HIGH_EST" hidden="1">"c4460"</definedName>
    <definedName name="IQ_MAINT_CAPEX_HIGH_EST_CIQ" hidden="1">"c4989"</definedName>
    <definedName name="IQ_MAINT_CAPEX_HIGH_GUIDANCE" hidden="1">"c4197"</definedName>
    <definedName name="IQ_MAINT_CAPEX_HIGH_GUIDANCE_CIQ" hidden="1">"c4609"</definedName>
    <definedName name="IQ_MAINT_CAPEX_LOW_EST" hidden="1">"c4461"</definedName>
    <definedName name="IQ_MAINT_CAPEX_LOW_EST_CIQ" hidden="1">"c4990"</definedName>
    <definedName name="IQ_MAINT_CAPEX_LOW_GUIDANCE" hidden="1">"c4237"</definedName>
    <definedName name="IQ_MAINT_CAPEX_LOW_GUIDANCE_CIQ" hidden="1">"c4649"</definedName>
    <definedName name="IQ_MAINT_CAPEX_MEDIAN_EST" hidden="1">"c4462"</definedName>
    <definedName name="IQ_MAINT_CAPEX_MEDIAN_EST_CIQ" hidden="1">"c4991"</definedName>
    <definedName name="IQ_MAINT_CAPEX_NUM_EST" hidden="1">"c4463"</definedName>
    <definedName name="IQ_MAINT_CAPEX_NUM_EST_CIQ" hidden="1">"c5001"</definedName>
    <definedName name="IQ_MAINT_CAPEX_STDDEV_EST" hidden="1">"c4464"</definedName>
    <definedName name="IQ_MAINT_CAPEX_STDDEV_EST_CIQ" hidden="1">"c5002"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IDENTIAL_LOANS_FDIC" hidden="1">"c6311"</definedName>
    <definedName name="IQ_NAMES_REVISION_DATE_" hidden="1">41628.9417476852</definedName>
    <definedName name="IQ_NAMES_REVISION_DATE__1" hidden="1">41466.720775463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HARE_ACT_OR_EST" hidden="1">"c5615"</definedName>
    <definedName name="IQ_NAV_SHARE_ACT_OR_EST_CIQ" hidden="1">"c12038"</definedName>
    <definedName name="IQ_NAV_SHARE_ACT_OR_EST_REUT" hidden="1">"c5623"</definedName>
    <definedName name="IQ_NAV_SHARE_EST" hidden="1">"c5609"</definedName>
    <definedName name="IQ_NAV_SHARE_EST_CIQ" hidden="1">"c12032"</definedName>
    <definedName name="IQ_NAV_SHARE_EST_REUT" hidden="1">"c5617"</definedName>
    <definedName name="IQ_NAV_SHARE_HIGH_EST" hidden="1">"c5612"</definedName>
    <definedName name="IQ_NAV_SHARE_HIGH_EST_CIQ" hidden="1">"c12035"</definedName>
    <definedName name="IQ_NAV_SHARE_HIGH_EST_REUT" hidden="1">"c5620"</definedName>
    <definedName name="IQ_NAV_SHARE_LOW_EST" hidden="1">"c5613"</definedName>
    <definedName name="IQ_NAV_SHARE_LOW_EST_CIQ" hidden="1">"c12036"</definedName>
    <definedName name="IQ_NAV_SHARE_LOW_EST_REUT" hidden="1">"c5621"</definedName>
    <definedName name="IQ_NAV_SHARE_MEDIAN_EST" hidden="1">"c5610"</definedName>
    <definedName name="IQ_NAV_SHARE_MEDIAN_EST_CIQ" hidden="1">"c12033"</definedName>
    <definedName name="IQ_NAV_SHARE_MEDIAN_EST_REUT" hidden="1">"c5618"</definedName>
    <definedName name="IQ_NAV_SHARE_NUM_EST" hidden="1">"c5614"</definedName>
    <definedName name="IQ_NAV_SHARE_NUM_EST_CIQ" hidden="1">"c12037"</definedName>
    <definedName name="IQ_NAV_SHARE_NUM_EST_REUT" hidden="1">"c5622"</definedName>
    <definedName name="IQ_NAV_SHARE_STDDEV_EST" hidden="1">"c5611"</definedName>
    <definedName name="IQ_NAV_SHARE_STDDEV_EST_CIQ" hidden="1">"c12034"</definedName>
    <definedName name="IQ_NAV_SHARE_STDDEV_EST_REUT" hidden="1">"c5619"</definedName>
    <definedName name="IQ_NAV_STDDEV_EST" hidden="1">"c1756"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CIQ" hidden="1">"c5070"</definedName>
    <definedName name="IQ_NET_DEBT_ACT_OR_EST_REUT" hidden="1">"c5473"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CIQ" hidden="1">"c3814"</definedName>
    <definedName name="IQ_NET_DEBT_EST_REUT" hidden="1">"c3976"</definedName>
    <definedName name="IQ_NET_DEBT_GUIDANCE" hidden="1">"c4467"</definedName>
    <definedName name="IQ_NET_DEBT_GUIDANCE_CIQ" hidden="1">"c5005"</definedName>
    <definedName name="IQ_NET_DEBT_HIGH_EST" hidden="1">"c3518"</definedName>
    <definedName name="IQ_NET_DEBT_HIGH_EST_CIQ" hidden="1">"c3816"</definedName>
    <definedName name="IQ_NET_DEBT_HIGH_EST_REUT" hidden="1">"c3978"</definedName>
    <definedName name="IQ_NET_DEBT_HIGH_GUIDANCE" hidden="1">"c4181"</definedName>
    <definedName name="IQ_NET_DEBT_HIGH_GUIDANCE_CIQ" hidden="1">"c4593"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CIQ" hidden="1">"c3817"</definedName>
    <definedName name="IQ_NET_DEBT_LOW_EST_REUT" hidden="1">"c3979"</definedName>
    <definedName name="IQ_NET_DEBT_LOW_GUIDANCE" hidden="1">"c4221"</definedName>
    <definedName name="IQ_NET_DEBT_LOW_GUIDANCE_CIQ" hidden="1">"c4633"</definedName>
    <definedName name="IQ_NET_DEBT_MEDIAN_EST" hidden="1">"c3520"</definedName>
    <definedName name="IQ_NET_DEBT_MEDIAN_EST_CIQ" hidden="1">"c3815"</definedName>
    <definedName name="IQ_NET_DEBT_MEDIAN_EST_REUT" hidden="1">"c3977"</definedName>
    <definedName name="IQ_NET_DEBT_NUM_EST" hidden="1">"c3515"</definedName>
    <definedName name="IQ_NET_DEBT_NUM_EST_CIQ" hidden="1">"c3818"</definedName>
    <definedName name="IQ_NET_DEBT_NUM_EST_REUT" hidden="1">"c3980"</definedName>
    <definedName name="IQ_NET_DEBT_STDDEV_EST" hidden="1">"c3516"</definedName>
    <definedName name="IQ_NET_DEBT_STDDEV_EST_CIQ" hidden="1">"c3819"</definedName>
    <definedName name="IQ_NET_DEBT_STDDEV_EST_REUT" hidden="1">"c3981"</definedName>
    <definedName name="IQ_NET_EARNED" hidden="1">"c2734"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"c158"</definedName>
    <definedName name="IQ_NET_INC_GROWTH_2" hidden="1">"c162"</definedName>
    <definedName name="IQ_NET_INC_MARGIN" hidden="1">"c1398"</definedName>
    <definedName name="IQ_NET_INCOME_FDIC" hidden="1">"c6587"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CIQ" hidden="1">"c5065"</definedName>
    <definedName name="IQ_NI_ACT_OR_EST_REUT" hidden="1">"c5468"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CIQ" hidden="1">"c4702"</definedName>
    <definedName name="IQ_NI_EST_REUT" hidden="1">"c5368"</definedName>
    <definedName name="IQ_NI_GAAP_GUIDANCE" hidden="1">"c4470"</definedName>
    <definedName name="IQ_NI_GAAP_GUIDANCE_CIQ" hidden="1">"c5008"</definedName>
    <definedName name="IQ_NI_GAAP_HIGH_GUIDANCE" hidden="1">"c4177"</definedName>
    <definedName name="IQ_NI_GAAP_HIGH_GUIDANCE_CIQ" hidden="1">"c4589"</definedName>
    <definedName name="IQ_NI_GAAP_LOW_GUIDANCE" hidden="1">"c4217"</definedName>
    <definedName name="IQ_NI_GAAP_LOW_GUIDANCE_CIQ" hidden="1">"c4629"</definedName>
    <definedName name="IQ_NI_GUIDANCE" hidden="1">"c4469"</definedName>
    <definedName name="IQ_NI_GUIDANCE_CIQ" hidden="1">"c5007"</definedName>
    <definedName name="IQ_NI_GW_EST" hidden="1">"c1723"</definedName>
    <definedName name="IQ_NI_GW_EST_CIQ" hidden="1">"c4709"</definedName>
    <definedName name="IQ_NI_GW_EST_REUT" hidden="1">"c5375"</definedName>
    <definedName name="IQ_NI_GW_GUIDANCE" hidden="1">"c4471"</definedName>
    <definedName name="IQ_NI_GW_GUIDANCE_CIQ" hidden="1">"c5009"</definedName>
    <definedName name="IQ_NI_GW_HIGH_EST" hidden="1">"c1725"</definedName>
    <definedName name="IQ_NI_GW_HIGH_EST_CIQ" hidden="1">"c4711"</definedName>
    <definedName name="IQ_NI_GW_HIGH_EST_REUT" hidden="1">"c5377"</definedName>
    <definedName name="IQ_NI_GW_HIGH_GUIDANCE" hidden="1">"c4178"</definedName>
    <definedName name="IQ_NI_GW_HIGH_GUIDANCE_CIQ" hidden="1">"c4590"</definedName>
    <definedName name="IQ_NI_GW_LOW_EST" hidden="1">"c1726"</definedName>
    <definedName name="IQ_NI_GW_LOW_EST_CIQ" hidden="1">"c4712"</definedName>
    <definedName name="IQ_NI_GW_LOW_EST_REUT" hidden="1">"c5378"</definedName>
    <definedName name="IQ_NI_GW_LOW_GUIDANCE" hidden="1">"c4218"</definedName>
    <definedName name="IQ_NI_GW_LOW_GUIDANCE_CIQ" hidden="1">"c4630"</definedName>
    <definedName name="IQ_NI_GW_MEDIAN_EST" hidden="1">"c1724"</definedName>
    <definedName name="IQ_NI_GW_MEDIAN_EST_CIQ" hidden="1">"c4710"</definedName>
    <definedName name="IQ_NI_GW_MEDIAN_EST_REUT" hidden="1">"c5376"</definedName>
    <definedName name="IQ_NI_GW_NUM_EST" hidden="1">"c1727"</definedName>
    <definedName name="IQ_NI_GW_NUM_EST_CIQ" hidden="1">"c4713"</definedName>
    <definedName name="IQ_NI_GW_NUM_EST_REUT" hidden="1">"c5379"</definedName>
    <definedName name="IQ_NI_GW_STDDEV_EST" hidden="1">"c1728"</definedName>
    <definedName name="IQ_NI_GW_STDDEV_EST_CIQ" hidden="1">"c4714"</definedName>
    <definedName name="IQ_NI_GW_STDDEV_EST_REUT" hidden="1">"c5380"</definedName>
    <definedName name="IQ_NI_HIGH_EST" hidden="1">"c1718"</definedName>
    <definedName name="IQ_NI_HIGH_EST_CIQ" hidden="1">"c4704"</definedName>
    <definedName name="IQ_NI_HIGH_EST_REUT" hidden="1">"c5370"</definedName>
    <definedName name="IQ_NI_HIGH_GUIDANCE" hidden="1">"c4176"</definedName>
    <definedName name="IQ_NI_HIGH_GUIDANCE_CIQ" hidden="1">"c4588"</definedName>
    <definedName name="IQ_NI_LOW_EST" hidden="1">"c1719"</definedName>
    <definedName name="IQ_NI_LOW_EST_CIQ" hidden="1">"c4705"</definedName>
    <definedName name="IQ_NI_LOW_EST_REUT" hidden="1">"c5371"</definedName>
    <definedName name="IQ_NI_LOW_GUIDANCE" hidden="1">"c4216"</definedName>
    <definedName name="IQ_NI_LOW_GUIDANCE_CIQ" hidden="1">"c4628"</definedName>
    <definedName name="IQ_NI_MARGIN" hidden="1">"c794"</definedName>
    <definedName name="IQ_NI_MEDIAN_EST" hidden="1">"c1717"</definedName>
    <definedName name="IQ_NI_MEDIAN_EST_CIQ" hidden="1">"c4703"</definedName>
    <definedName name="IQ_NI_MEDIAN_EST_REUT" hidden="1">"c5369"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CIQ" hidden="1">"c4706"</definedName>
    <definedName name="IQ_NI_NUM_EST_REUT" hidden="1">"c5372"</definedName>
    <definedName name="IQ_NI_REPORTED_EST" hidden="1">"c1730"</definedName>
    <definedName name="IQ_NI_REPORTED_EST_CIQ" hidden="1">"c4716"</definedName>
    <definedName name="IQ_NI_REPORTED_EST_REUT" hidden="1">"c5382"</definedName>
    <definedName name="IQ_NI_REPORTED_HIGH_EST" hidden="1">"c1732"</definedName>
    <definedName name="IQ_NI_REPORTED_HIGH_EST_CIQ" hidden="1">"c4718"</definedName>
    <definedName name="IQ_NI_REPORTED_HIGH_EST_REUT" hidden="1">"c5384"</definedName>
    <definedName name="IQ_NI_REPORTED_LOW_EST" hidden="1">"c1733"</definedName>
    <definedName name="IQ_NI_REPORTED_LOW_EST_CIQ" hidden="1">"c4719"</definedName>
    <definedName name="IQ_NI_REPORTED_LOW_EST_REUT" hidden="1">"c5385"</definedName>
    <definedName name="IQ_NI_REPORTED_MEDIAN_EST" hidden="1">"c1731"</definedName>
    <definedName name="IQ_NI_REPORTED_MEDIAN_EST_CIQ" hidden="1">"c4717"</definedName>
    <definedName name="IQ_NI_REPORTED_MEDIAN_EST_REUT" hidden="1">"c5383"</definedName>
    <definedName name="IQ_NI_REPORTED_NUM_EST" hidden="1">"c1734"</definedName>
    <definedName name="IQ_NI_REPORTED_NUM_EST_CIQ" hidden="1">"c4720"</definedName>
    <definedName name="IQ_NI_REPORTED_NUM_EST_REUT" hidden="1">"c5386"</definedName>
    <definedName name="IQ_NI_REPORTED_STDDEV_EST" hidden="1">"c1735"</definedName>
    <definedName name="IQ_NI_REPORTED_STDDEV_EST_CIQ" hidden="1">"c4721"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EST_CIQ" hidden="1">"c5011"</definedName>
    <definedName name="IQ_NI_SBC_GUIDANCE" hidden="1">"c4475"</definedName>
    <definedName name="IQ_NI_SBC_GUIDANCE_CIQ" hidden="1">"c5013"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EST_CIQ" hidden="1">"c5015"</definedName>
    <definedName name="IQ_NI_SBC_GW_GUIDANCE" hidden="1">"c4479"</definedName>
    <definedName name="IQ_NI_SBC_GW_GUIDANCE_CIQ" hidden="1">"c5017"</definedName>
    <definedName name="IQ_NI_SBC_GW_HIGH_EST" hidden="1">"c4480"</definedName>
    <definedName name="IQ_NI_SBC_GW_HIGH_EST_CIQ" hidden="1">"c5018"</definedName>
    <definedName name="IQ_NI_SBC_GW_HIGH_GUIDANCE" hidden="1">"c4187"</definedName>
    <definedName name="IQ_NI_SBC_GW_HIGH_GUIDANCE_CIQ" hidden="1">"c4599"</definedName>
    <definedName name="IQ_NI_SBC_GW_LOW_EST" hidden="1">"c4481"</definedName>
    <definedName name="IQ_NI_SBC_GW_LOW_EST_CIQ" hidden="1">"c5019"</definedName>
    <definedName name="IQ_NI_SBC_GW_LOW_GUIDANCE" hidden="1">"c4227"</definedName>
    <definedName name="IQ_NI_SBC_GW_LOW_GUIDANCE_CIQ" hidden="1">"c4639"</definedName>
    <definedName name="IQ_NI_SBC_GW_MEDIAN_EST" hidden="1">"c4482"</definedName>
    <definedName name="IQ_NI_SBC_GW_MEDIAN_EST_CIQ" hidden="1">"c5020"</definedName>
    <definedName name="IQ_NI_SBC_GW_NUM_EST" hidden="1">"c4483"</definedName>
    <definedName name="IQ_NI_SBC_GW_NUM_EST_CIQ" hidden="1">"c5021"</definedName>
    <definedName name="IQ_NI_SBC_GW_STDDEV_EST" hidden="1">"c4484"</definedName>
    <definedName name="IQ_NI_SBC_GW_STDDEV_EST_CIQ" hidden="1">"c5022"</definedName>
    <definedName name="IQ_NI_SBC_HIGH_EST" hidden="1">"c4486"</definedName>
    <definedName name="IQ_NI_SBC_HIGH_EST_CIQ" hidden="1">"c5024"</definedName>
    <definedName name="IQ_NI_SBC_HIGH_GUIDANCE" hidden="1">"c4186"</definedName>
    <definedName name="IQ_NI_SBC_HIGH_GUIDANCE_CIQ" hidden="1">"c4598"</definedName>
    <definedName name="IQ_NI_SBC_LOW_EST" hidden="1">"c4487"</definedName>
    <definedName name="IQ_NI_SBC_LOW_EST_CIQ" hidden="1">"c5025"</definedName>
    <definedName name="IQ_NI_SBC_LOW_GUIDANCE" hidden="1">"c4226"</definedName>
    <definedName name="IQ_NI_SBC_LOW_GUIDANCE_CIQ" hidden="1">"c4638"</definedName>
    <definedName name="IQ_NI_SBC_MEDIAN_EST" hidden="1">"c4488"</definedName>
    <definedName name="IQ_NI_SBC_MEDIAN_EST_CIQ" hidden="1">"c5026"</definedName>
    <definedName name="IQ_NI_SBC_NUM_EST" hidden="1">"c4489"</definedName>
    <definedName name="IQ_NI_SBC_NUM_EST_CIQ" hidden="1">"c5027"</definedName>
    <definedName name="IQ_NI_SBC_STDDEV_EST" hidden="1">"c4490"</definedName>
    <definedName name="IQ_NI_SBC_STDDEV_EST_CIQ" hidden="1">"c5028"</definedName>
    <definedName name="IQ_NI_SFAS" hidden="1">"c795"</definedName>
    <definedName name="IQ_NI_STDDEV_EST" hidden="1">"c1721"</definedName>
    <definedName name="IQ_NI_STDDEV_EST_CIQ" hidden="1">"c4707"</definedName>
    <definedName name="IQ_NI_STDDEV_EST_REUT" hidden="1">"c5373"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ING_DEPOSITS" hidden="1">"c800"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ACT_OR_EST" hidden="1">"c2220"</definedName>
    <definedName name="IQ_OPER_INC_ACT_OR_EST_CIQ" hidden="1">"c12019"</definedName>
    <definedName name="IQ_OPER_INC_ACT_OR_EST_REUT" hidden="1">"c5466"</definedName>
    <definedName name="IQ_OPER_INC_BR" hidden="1">"c850"</definedName>
    <definedName name="IQ_OPER_INC_EST" hidden="1">"c1688"</definedName>
    <definedName name="IQ_OPER_INC_EST_CIQ" hidden="1">"c12010"</definedName>
    <definedName name="IQ_OPER_INC_EST_REUT" hidden="1">"c5340"</definedName>
    <definedName name="IQ_OPER_INC_FIN" hidden="1">"c851"</definedName>
    <definedName name="IQ_OPER_INC_HIGH_EST" hidden="1">"c1690"</definedName>
    <definedName name="IQ_OPER_INC_HIGH_EST_CIQ" hidden="1">"c12012"</definedName>
    <definedName name="IQ_OPER_INC_HIGH_EST_REUT" hidden="1">"c5342"</definedName>
    <definedName name="IQ_OPER_INC_INS" hidden="1">"c852"</definedName>
    <definedName name="IQ_OPER_INC_LOW_EST" hidden="1">"c1691"</definedName>
    <definedName name="IQ_OPER_INC_LOW_EST_CIQ" hidden="1">"c12013"</definedName>
    <definedName name="IQ_OPER_INC_LOW_EST_REUT" hidden="1">"c5343"</definedName>
    <definedName name="IQ_OPER_INC_MARGIN" hidden="1">"c1448"</definedName>
    <definedName name="IQ_OPER_INC_MEDIAN_EST" hidden="1">"c1689"</definedName>
    <definedName name="IQ_OPER_INC_MEDIAN_EST_CIQ" hidden="1">"c12011"</definedName>
    <definedName name="IQ_OPER_INC_MEDIAN_EST_REUT" hidden="1">"c5341"</definedName>
    <definedName name="IQ_OPER_INC_NUM_EST" hidden="1">"c1692"</definedName>
    <definedName name="IQ_OPER_INC_NUM_EST_CIQ" hidden="1">"c12014"</definedName>
    <definedName name="IQ_OPER_INC_NUM_EST_REUT" hidden="1">"c5344"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CIQ" hidden="1">"c12015"</definedName>
    <definedName name="IQ_OPER_INC_STDDEV_EST_REUT" hidden="1">"c5345"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DJUST_GROSS_LOANS" hidden="1">"c859"</definedName>
    <definedName name="IQ_OTHER_ADJUSTMENTS_COVERED" hidden="1">"c9961"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 hidden="1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CFPS_12MONTHS" hidden="1">"c1812"</definedName>
    <definedName name="IQ_PERCENT_CHANGE_EST_CFPS_12MONTHS_CIQ" hidden="1">"c3755"</definedName>
    <definedName name="IQ_PERCENT_CHANGE_EST_CFPS_12MONTHS_REUT" hidden="1">"c3924"</definedName>
    <definedName name="IQ_PERCENT_CHANGE_EST_CFPS_18MONTHS" hidden="1">"c1813"</definedName>
    <definedName name="IQ_PERCENT_CHANGE_EST_CFPS_18MONTHS_CIQ" hidden="1">"c3756"</definedName>
    <definedName name="IQ_PERCENT_CHANGE_EST_CFPS_18MONTHS_REUT" hidden="1">"c3925"</definedName>
    <definedName name="IQ_PERCENT_CHANGE_EST_CFPS_3MONTHS" hidden="1">"c1809"</definedName>
    <definedName name="IQ_PERCENT_CHANGE_EST_CFPS_3MONTHS_CIQ" hidden="1">"c3752"</definedName>
    <definedName name="IQ_PERCENT_CHANGE_EST_CFPS_3MONTHS_REUT" hidden="1">"c3921"</definedName>
    <definedName name="IQ_PERCENT_CHANGE_EST_CFPS_6MONTHS" hidden="1">"c1810"</definedName>
    <definedName name="IQ_PERCENT_CHANGE_EST_CFPS_6MONTHS_CIQ" hidden="1">"c3753"</definedName>
    <definedName name="IQ_PERCENT_CHANGE_EST_CFPS_6MONTHS_REUT" hidden="1">"c3922"</definedName>
    <definedName name="IQ_PERCENT_CHANGE_EST_CFPS_9MONTHS" hidden="1">"c1811"</definedName>
    <definedName name="IQ_PERCENT_CHANGE_EST_CFPS_9MONTHS_CIQ" hidden="1">"c3754"</definedName>
    <definedName name="IQ_PERCENT_CHANGE_EST_CFPS_9MONTHS_REUT" hidden="1">"c3923"</definedName>
    <definedName name="IQ_PERCENT_CHANGE_EST_CFPS_DAY" hidden="1">"c1806"</definedName>
    <definedName name="IQ_PERCENT_CHANGE_EST_CFPS_DAY_CIQ" hidden="1">"c3750"</definedName>
    <definedName name="IQ_PERCENT_CHANGE_EST_CFPS_DAY_REUT" hidden="1">"c3919"</definedName>
    <definedName name="IQ_PERCENT_CHANGE_EST_CFPS_MONTH" hidden="1">"c1808"</definedName>
    <definedName name="IQ_PERCENT_CHANGE_EST_CFPS_MONTH_CIQ" hidden="1">"c3751"</definedName>
    <definedName name="IQ_PERCENT_CHANGE_EST_CFPS_MONTH_REUT" hidden="1">"c3920"</definedName>
    <definedName name="IQ_PERCENT_CHANGE_EST_CFPS_WEEK" hidden="1">"c1807"</definedName>
    <definedName name="IQ_PERCENT_CHANGE_EST_CFPS_WEEK_CIQ" hidden="1">"c3793"</definedName>
    <definedName name="IQ_PERCENT_CHANGE_EST_CFPS_WEEK_REUT" hidden="1">"c3962"</definedName>
    <definedName name="IQ_PERCENT_CHANGE_EST_DPS_12MONTHS" hidden="1">"c1820"</definedName>
    <definedName name="IQ_PERCENT_CHANGE_EST_DPS_12MONTHS_CIQ" hidden="1">"c3762"</definedName>
    <definedName name="IQ_PERCENT_CHANGE_EST_DPS_12MONTHS_REUT" hidden="1">"c3931"</definedName>
    <definedName name="IQ_PERCENT_CHANGE_EST_DPS_18MONTHS" hidden="1">"c1821"</definedName>
    <definedName name="IQ_PERCENT_CHANGE_EST_DPS_18MONTHS_CIQ" hidden="1">"c3763"</definedName>
    <definedName name="IQ_PERCENT_CHANGE_EST_DPS_18MONTHS_REUT" hidden="1">"c3932"</definedName>
    <definedName name="IQ_PERCENT_CHANGE_EST_DPS_3MONTHS" hidden="1">"c1817"</definedName>
    <definedName name="IQ_PERCENT_CHANGE_EST_DPS_3MONTHS_CIQ" hidden="1">"c3759"</definedName>
    <definedName name="IQ_PERCENT_CHANGE_EST_DPS_3MONTHS_REUT" hidden="1">"c3928"</definedName>
    <definedName name="IQ_PERCENT_CHANGE_EST_DPS_6MONTHS" hidden="1">"c1818"</definedName>
    <definedName name="IQ_PERCENT_CHANGE_EST_DPS_6MONTHS_CIQ" hidden="1">"c3760"</definedName>
    <definedName name="IQ_PERCENT_CHANGE_EST_DPS_6MONTHS_REUT" hidden="1">"c3929"</definedName>
    <definedName name="IQ_PERCENT_CHANGE_EST_DPS_9MONTHS" hidden="1">"c1819"</definedName>
    <definedName name="IQ_PERCENT_CHANGE_EST_DPS_9MONTHS_CIQ" hidden="1">"c3761"</definedName>
    <definedName name="IQ_PERCENT_CHANGE_EST_DPS_9MONTHS_REUT" hidden="1">"c3930"</definedName>
    <definedName name="IQ_PERCENT_CHANGE_EST_DPS_DAY" hidden="1">"c1814"</definedName>
    <definedName name="IQ_PERCENT_CHANGE_EST_DPS_DAY_CIQ" hidden="1">"c3757"</definedName>
    <definedName name="IQ_PERCENT_CHANGE_EST_DPS_DAY_REUT" hidden="1">"c3926"</definedName>
    <definedName name="IQ_PERCENT_CHANGE_EST_DPS_MONTH" hidden="1">"c1816"</definedName>
    <definedName name="IQ_PERCENT_CHANGE_EST_DPS_MONTH_CIQ" hidden="1">"c3758"</definedName>
    <definedName name="IQ_PERCENT_CHANGE_EST_DPS_MONTH_REUT" hidden="1">"c3927"</definedName>
    <definedName name="IQ_PERCENT_CHANGE_EST_DPS_WEEK" hidden="1">"c1815"</definedName>
    <definedName name="IQ_PERCENT_CHANGE_EST_DPS_WEEK_CIQ" hidden="1">"c3794"</definedName>
    <definedName name="IQ_PERCENT_CHANGE_EST_DPS_WEEK_REUT" hidden="1">"c3963"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WEEK" hidden="1">"c1831"</definedName>
    <definedName name="IQ_PERCENT_CHANGE_EST_RECO_WEEK_CIQ" hidden="1">"c3796"</definedName>
    <definedName name="IQ_PERCENT_CHANGE_EST_RECO_WEEK_REUT" hidden="1">"c3965"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FLOAT" hidden="1">"c227"</definedName>
    <definedName name="IQ_PERCENT_INSURED_FDIC" hidden="1">"c6374"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CIQ" hidden="1">"c5064"</definedName>
    <definedName name="IQ_PRE_TAX_ACT_OR_EST_REUT" hidden="1">"c5467"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EST_CIQ" hidden="1">"c4688"</definedName>
    <definedName name="IQ_PRETAX_GW_INC_EST_REUT" hidden="1">"c5354"</definedName>
    <definedName name="IQ_PRETAX_GW_INC_HIGH_EST" hidden="1">"c1704"</definedName>
    <definedName name="IQ_PRETAX_GW_INC_HIGH_EST_CIQ" hidden="1">"c4690"</definedName>
    <definedName name="IQ_PRETAX_GW_INC_HIGH_EST_REUT" hidden="1">"c5356"</definedName>
    <definedName name="IQ_PRETAX_GW_INC_LOW_EST" hidden="1">"c1705"</definedName>
    <definedName name="IQ_PRETAX_GW_INC_LOW_EST_CIQ" hidden="1">"c4691"</definedName>
    <definedName name="IQ_PRETAX_GW_INC_LOW_EST_REUT" hidden="1">"c5357"</definedName>
    <definedName name="IQ_PRETAX_GW_INC_MEDIAN_EST" hidden="1">"c1703"</definedName>
    <definedName name="IQ_PRETAX_GW_INC_MEDIAN_EST_CIQ" hidden="1">"c4689"</definedName>
    <definedName name="IQ_PRETAX_GW_INC_MEDIAN_EST_REUT" hidden="1">"c5355"</definedName>
    <definedName name="IQ_PRETAX_GW_INC_NUM_EST" hidden="1">"c1706"</definedName>
    <definedName name="IQ_PRETAX_GW_INC_NUM_EST_CIQ" hidden="1">"c4692"</definedName>
    <definedName name="IQ_PRETAX_GW_INC_NUM_EST_REUT" hidden="1">"c5358"</definedName>
    <definedName name="IQ_PRETAX_GW_INC_STDDEV_EST" hidden="1">"c1707"</definedName>
    <definedName name="IQ_PRETAX_GW_INC_STDDEV_EST_CIQ" hidden="1">"c4693"</definedName>
    <definedName name="IQ_PRETAX_GW_INC_STDDEV_EST_REUT" hidden="1">"c5359"</definedName>
    <definedName name="IQ_PRETAX_INC" hidden="1">"c16"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EST" hidden="1">"c1695"</definedName>
    <definedName name="IQ_PRETAX_INC_EST_CIQ" hidden="1">"c4681"</definedName>
    <definedName name="IQ_PRETAX_INC_EST_REUT" hidden="1">"c5347"</definedName>
    <definedName name="IQ_PRETAX_INC_HIGH_EST" hidden="1">"c1697"</definedName>
    <definedName name="IQ_PRETAX_INC_HIGH_EST_CIQ" hidden="1">"c4683"</definedName>
    <definedName name="IQ_PRETAX_INC_HIGH_EST_REUT" hidden="1">"c5349"</definedName>
    <definedName name="IQ_PRETAX_INC_LOW_EST" hidden="1">"c1698"</definedName>
    <definedName name="IQ_PRETAX_INC_LOW_EST_CIQ" hidden="1">"c4684"</definedName>
    <definedName name="IQ_PRETAX_INC_LOW_EST_REUT" hidden="1">"c5350"</definedName>
    <definedName name="IQ_PRETAX_INC_MEDIAN_EST" hidden="1">"c1696"</definedName>
    <definedName name="IQ_PRETAX_INC_MEDIAN_EST_CIQ" hidden="1">"c4682"</definedName>
    <definedName name="IQ_PRETAX_INC_MEDIAN_EST_REUT" hidden="1">"c5348"</definedName>
    <definedName name="IQ_PRETAX_INC_NUM_EST" hidden="1">"c1699"</definedName>
    <definedName name="IQ_PRETAX_INC_NUM_EST_CIQ" hidden="1">"c4685"</definedName>
    <definedName name="IQ_PRETAX_INC_NUM_EST_REUT" hidden="1">"c5351"</definedName>
    <definedName name="IQ_PRETAX_INC_STDDEV_EST" hidden="1">"c1700"</definedName>
    <definedName name="IQ_PRETAX_INC_STDDEV_EST_CIQ" hidden="1">"c4686"</definedName>
    <definedName name="IQ_PRETAX_INC_STDDEV_EST_REUT" hidden="1">"c5352"</definedName>
    <definedName name="IQ_PRETAX_REPORT_INC_EST" hidden="1">"c1709"</definedName>
    <definedName name="IQ_PRETAX_REPORT_INC_EST_CIQ" hidden="1">"c4695"</definedName>
    <definedName name="IQ_PRETAX_REPORT_INC_EST_REUT" hidden="1">"c5361"</definedName>
    <definedName name="IQ_PRETAX_REPORT_INC_HIGH_EST" hidden="1">"c1711"</definedName>
    <definedName name="IQ_PRETAX_REPORT_INC_HIGH_EST_CIQ" hidden="1">"c4697"</definedName>
    <definedName name="IQ_PRETAX_REPORT_INC_HIGH_EST_REUT" hidden="1">"c5363"</definedName>
    <definedName name="IQ_PRETAX_REPORT_INC_LOW_EST" hidden="1">"c1712"</definedName>
    <definedName name="IQ_PRETAX_REPORT_INC_LOW_EST_CIQ" hidden="1">"c4698"</definedName>
    <definedName name="IQ_PRETAX_REPORT_INC_LOW_EST_REUT" hidden="1">"c5364"</definedName>
    <definedName name="IQ_PRETAX_REPORT_INC_MEDIAN_EST" hidden="1">"c1710"</definedName>
    <definedName name="IQ_PRETAX_REPORT_INC_MEDIAN_EST_CIQ" hidden="1">"c4696"</definedName>
    <definedName name="IQ_PRETAX_REPORT_INC_MEDIAN_EST_REUT" hidden="1">"c5362"</definedName>
    <definedName name="IQ_PRETAX_REPORT_INC_NUM_EST" hidden="1">"c1713"</definedName>
    <definedName name="IQ_PRETAX_REPORT_INC_NUM_EST_CIQ" hidden="1">"c4699"</definedName>
    <definedName name="IQ_PRETAX_REPORT_INC_NUM_EST_REUT" hidden="1">"c5365"</definedName>
    <definedName name="IQ_PRETAX_REPORT_INC_STDDEV_EST" hidden="1">"c1714"</definedName>
    <definedName name="IQ_PRETAX_REPORT_INC_STDDEV_EST_CIQ" hidden="1">"c4700"</definedName>
    <definedName name="IQ_PRETAX_REPORT_INC_STDDEV_EST_REUT" hidden="1">"c5366"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CIQ" hidden="1">"c4046"</definedName>
    <definedName name="IQ_PRICE_CFPS_FWD_REUT" hidden="1">"c4053"</definedName>
    <definedName name="IQ_PRICE_OVER_BVPS" hidden="1">"c1412"</definedName>
    <definedName name="IQ_PRICE_OVER_EPS_EST" hidden="1">"c174"</definedName>
    <definedName name="IQ_PRICE_OVER_EPS_EST_1" hidden="1">"c175"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REUT" hidden="1">"c3631"</definedName>
    <definedName name="IQ_PRICE_VOLATILITY_EST" hidden="1">"c4492"</definedName>
    <definedName name="IQ_PRICE_VOLATILITY_EST_CIQ" hidden="1">"c5030"</definedName>
    <definedName name="IQ_PRICE_VOLATILITY_HIGH" hidden="1">"c4493"</definedName>
    <definedName name="IQ_PRICE_VOLATILITY_HIGH_CIQ" hidden="1">"c5031"</definedName>
    <definedName name="IQ_PRICE_VOLATILITY_LOW" hidden="1">"c4494"</definedName>
    <definedName name="IQ_PRICE_VOLATILITY_LOW_CIQ" hidden="1">"c5032"</definedName>
    <definedName name="IQ_PRICE_VOLATILITY_MEDIAN" hidden="1">"c4495"</definedName>
    <definedName name="IQ_PRICE_VOLATILITY_MEDIAN_CIQ" hidden="1">"c5033"</definedName>
    <definedName name="IQ_PRICE_VOLATILITY_NUM" hidden="1">"c4496"</definedName>
    <definedName name="IQ_PRICE_VOLATILITY_NUM_CIQ" hidden="1">"c5034"</definedName>
    <definedName name="IQ_PRICE_VOLATILITY_STDDEV" hidden="1">"c4497"</definedName>
    <definedName name="IQ_PRICE_VOLATILITY_STDDEV_CIQ" hidden="1">"c5035"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PS_TYPE_REUT" hidden="1">"c5481"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 hidden="1">"c8750"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GAIN_LOSS_SALE_ASSETS" hidden="1">"c8751"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EST_CIQ" hidden="1">"c5037"</definedName>
    <definedName name="IQ_RECURRING_PROFIT_GUIDANCE" hidden="1">"c4500"</definedName>
    <definedName name="IQ_RECURRING_PROFIT_GUIDANCE_CIQ" hidden="1">"c5038"</definedName>
    <definedName name="IQ_RECURRING_PROFIT_HIGH_EST" hidden="1">"c4501"</definedName>
    <definedName name="IQ_RECURRING_PROFIT_HIGH_EST_CIQ" hidden="1">"c5039"</definedName>
    <definedName name="IQ_RECURRING_PROFIT_HIGH_GUIDANCE" hidden="1">"c4179"</definedName>
    <definedName name="IQ_RECURRING_PROFIT_HIGH_GUIDANCE_CIQ" hidden="1">"c4591"</definedName>
    <definedName name="IQ_RECURRING_PROFIT_LOW_EST" hidden="1">"c4502"</definedName>
    <definedName name="IQ_RECURRING_PROFIT_LOW_EST_CIQ" hidden="1">"c5040"</definedName>
    <definedName name="IQ_RECURRING_PROFIT_LOW_GUIDANCE" hidden="1">"c4219"</definedName>
    <definedName name="IQ_RECURRING_PROFIT_LOW_GUIDANCE_CIQ" hidden="1">"c4631"</definedName>
    <definedName name="IQ_RECURRING_PROFIT_MEDIAN_EST" hidden="1">"c4503"</definedName>
    <definedName name="IQ_RECURRING_PROFIT_MEDIAN_EST_CIQ" hidden="1">"c5041"</definedName>
    <definedName name="IQ_RECURRING_PROFIT_NUM_EST" hidden="1">"c4504"</definedName>
    <definedName name="IQ_RECURRING_PROFIT_NUM_EST_CIQ" hidden="1">"c5042"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EST_CIQ" hidden="1">"c5044"</definedName>
    <definedName name="IQ_RECURRING_PROFIT_SHARE_GUIDANCE" hidden="1">"c4509"</definedName>
    <definedName name="IQ_RECURRING_PROFIT_SHARE_GUIDANCE_CIQ" hidden="1">"c5047"</definedName>
    <definedName name="IQ_RECURRING_PROFIT_SHARE_HIGH_EST" hidden="1">"c4510"</definedName>
    <definedName name="IQ_RECURRING_PROFIT_SHARE_HIGH_EST_CIQ" hidden="1">"c5048"</definedName>
    <definedName name="IQ_RECURRING_PROFIT_SHARE_HIGH_GUIDANCE" hidden="1">"c4200"</definedName>
    <definedName name="IQ_RECURRING_PROFIT_SHARE_HIGH_GUIDANCE_CIQ" hidden="1">"c4612"</definedName>
    <definedName name="IQ_RECURRING_PROFIT_SHARE_LOW_EST" hidden="1">"c4511"</definedName>
    <definedName name="IQ_RECURRING_PROFIT_SHARE_LOW_EST_CIQ" hidden="1">"c5049"</definedName>
    <definedName name="IQ_RECURRING_PROFIT_SHARE_LOW_GUIDANCE" hidden="1">"c4240"</definedName>
    <definedName name="IQ_RECURRING_PROFIT_SHARE_LOW_GUIDANCE_CIQ" hidden="1">"c4652"</definedName>
    <definedName name="IQ_RECURRING_PROFIT_SHARE_MEDIAN_EST" hidden="1">"c4512"</definedName>
    <definedName name="IQ_RECURRING_PROFIT_SHARE_MEDIAN_EST_CIQ" hidden="1">"c5050"</definedName>
    <definedName name="IQ_RECURRING_PROFIT_SHARE_NUM_EST" hidden="1">"c4513"</definedName>
    <definedName name="IQ_RECURRING_PROFIT_SHARE_NUM_EST_CIQ" hidden="1">"c5051"</definedName>
    <definedName name="IQ_RECURRING_PROFIT_SHARE_STDDEV_EST" hidden="1">"c4514"</definedName>
    <definedName name="IQ_RECURRING_PROFIT_SHARE_STDDEV_EST_CIQ" hidden="1">"c5052"</definedName>
    <definedName name="IQ_RECURRING_PROFIT_STDDEV_EST" hidden="1">"c4516"</definedName>
    <definedName name="IQ_RECURRING_PROFIT_STDDEV_EST_CIQ" hidden="1">"c5054"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AL_REV" hidden="1">"c1101"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ACT_OR_EST" hidden="1">"c3585"</definedName>
    <definedName name="IQ_RETURN_ASSETS_ACT_OR_EST_CIQ" hidden="1">"c12020"</definedName>
    <definedName name="IQ_RETURN_ASSETS_ACT_OR_EST_REUT" hidden="1">"c5475"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CIQ" hidden="1">"c3828"</definedName>
    <definedName name="IQ_RETURN_ASSETS_EST_REUT" hidden="1">"c3990"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GUIDANCE_CIQ" hidden="1">"c5055"</definedName>
    <definedName name="IQ_RETURN_ASSETS_HIGH_EST" hidden="1">"c3530"</definedName>
    <definedName name="IQ_RETURN_ASSETS_HIGH_EST_CIQ" hidden="1">"c3830"</definedName>
    <definedName name="IQ_RETURN_ASSETS_HIGH_EST_REUT" hidden="1">"c3992"</definedName>
    <definedName name="IQ_RETURN_ASSETS_HIGH_GUIDANCE" hidden="1">"c4183"</definedName>
    <definedName name="IQ_RETURN_ASSETS_HIGH_GUIDANCE_CIQ" hidden="1">"c4595"</definedName>
    <definedName name="IQ_RETURN_ASSETS_LOW_EST" hidden="1">"c3531"</definedName>
    <definedName name="IQ_RETURN_ASSETS_LOW_EST_CIQ" hidden="1">"c3831"</definedName>
    <definedName name="IQ_RETURN_ASSETS_LOW_EST_REUT" hidden="1">"c3993"</definedName>
    <definedName name="IQ_RETURN_ASSETS_LOW_GUIDANCE" hidden="1">"c4223"</definedName>
    <definedName name="IQ_RETURN_ASSETS_LOW_GUIDANCE_CIQ" hidden="1">"c4635"</definedName>
    <definedName name="IQ_RETURN_ASSETS_MEDIAN_EST" hidden="1">"c3532"</definedName>
    <definedName name="IQ_RETURN_ASSETS_MEDIAN_EST_CIQ" hidden="1">"c3829"</definedName>
    <definedName name="IQ_RETURN_ASSETS_MEDIAN_EST_REUT" hidden="1">"c3991"</definedName>
    <definedName name="IQ_RETURN_ASSETS_NUM_EST" hidden="1">"c3527"</definedName>
    <definedName name="IQ_RETURN_ASSETS_NUM_EST_CIQ" hidden="1">"c3832"</definedName>
    <definedName name="IQ_RETURN_ASSETS_NUM_EST_REUT" hidden="1">"c3994"</definedName>
    <definedName name="IQ_RETURN_ASSETS_STDDEV_EST" hidden="1">"c3528"</definedName>
    <definedName name="IQ_RETURN_ASSETS_STDDEV_EST_CIQ" hidden="1">"c3833"</definedName>
    <definedName name="IQ_RETURN_ASSETS_STDDEV_EST_REUT" hidden="1">"c3995"</definedName>
    <definedName name="IQ_RETURN_CAPITAL" hidden="1">"c1117"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CIQ" hidden="1">"c12021"</definedName>
    <definedName name="IQ_RETURN_EQUITY_ACT_OR_EST_REUT" hidden="1">"c5476"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CIQ" hidden="1">"c3821"</definedName>
    <definedName name="IQ_RETURN_EQUITY_EST_REUT" hidden="1">"c3983"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GUIDANCE_CIQ" hidden="1">"c5056"</definedName>
    <definedName name="IQ_RETURN_EQUITY_HIGH_EST" hidden="1">"c3536"</definedName>
    <definedName name="IQ_RETURN_EQUITY_HIGH_EST_CIQ" hidden="1">"c3823"</definedName>
    <definedName name="IQ_RETURN_EQUITY_HIGH_EST_REUT" hidden="1">"c3985"</definedName>
    <definedName name="IQ_RETURN_EQUITY_HIGH_GUIDANCE" hidden="1">"c4182"</definedName>
    <definedName name="IQ_RETURN_EQUITY_HIGH_GUIDANCE_CIQ" hidden="1">"c4594"</definedName>
    <definedName name="IQ_RETURN_EQUITY_LOW_EST" hidden="1">"c3537"</definedName>
    <definedName name="IQ_RETURN_EQUITY_LOW_EST_CIQ" hidden="1">"c3824"</definedName>
    <definedName name="IQ_RETURN_EQUITY_LOW_EST_REUT" hidden="1">"c3986"</definedName>
    <definedName name="IQ_RETURN_EQUITY_LOW_GUIDANCE" hidden="1">"c4222"</definedName>
    <definedName name="IQ_RETURN_EQUITY_LOW_GUIDANCE_CIQ" hidden="1">"c4634"</definedName>
    <definedName name="IQ_RETURN_EQUITY_MEDIAN_EST" hidden="1">"c3538"</definedName>
    <definedName name="IQ_RETURN_EQUITY_MEDIAN_EST_CIQ" hidden="1">"c3822"</definedName>
    <definedName name="IQ_RETURN_EQUITY_MEDIAN_EST_REUT" hidden="1">"c3984"</definedName>
    <definedName name="IQ_RETURN_EQUITY_NUM_EST" hidden="1">"c3533"</definedName>
    <definedName name="IQ_RETURN_EQUITY_NUM_EST_CIQ" hidden="1">"c3825"</definedName>
    <definedName name="IQ_RETURN_EQUITY_NUM_EST_REUT" hidden="1">"c3987"</definedName>
    <definedName name="IQ_RETURN_EQUITY_STDDEV_EST" hidden="1">"c3534"</definedName>
    <definedName name="IQ_RETURN_EQUITY_STDDEV_EST_CIQ" hidden="1">"c3826"</definedName>
    <definedName name="IQ_RETURN_EQUITY_STDDEV_EST_REUT" hidden="1">"c3988"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 hidden="1">"c5059"</definedName>
    <definedName name="IQ_REVENUE_ACT_OR_EST_REUT" hidden="1">"c5461"</definedName>
    <definedName name="IQ_REVENUE_EST" hidden="1">"c1126"</definedName>
    <definedName name="IQ_REVENUE_EST_1" hidden="1">"c190"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REUT" hidden="1">"c3634"</definedName>
    <definedName name="IQ_REVENUE_GROWTH_1" hidden="1">"c155"</definedName>
    <definedName name="IQ_REVENUE_GROWTH_2" hidden="1">"c159"</definedName>
    <definedName name="IQ_REVENUE_GUIDANCE" hidden="1">"c4519"</definedName>
    <definedName name="IQ_REVENUE_GUIDANCE_CIQ" hidden="1">"c5057"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GUIDANCE" hidden="1">"c4169"</definedName>
    <definedName name="IQ_REVENUE_HIGH_GUIDANCE_CIQ" hidden="1">"c4581"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GUIDANCE" hidden="1">"c4209"</definedName>
    <definedName name="IQ_REVENUE_LOW_GUIDANCE_CIQ" hidden="1">"c4621"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ISION_DATE_" hidden="1">39349.4412268518</definedName>
    <definedName name="IQ_REVISION_DATE__1" hidden="1">39737.3888773148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Y" hidden="1">"c1130"</definedName>
    <definedName name="IQ_SALARY_FDIC" hidden="1">"c6576"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EC_PURCHASED_RESELL" hidden="1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 hidden="1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hidden="1">"c1425"</definedName>
    <definedName name="IQ_SMALL_INT_BEAR_CD" hidden="1">"c1166"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ST_CIQ" hidden="1">"c5073"</definedName>
    <definedName name="IQ_STOCK_BASED_GA" hidden="1">"c2993"</definedName>
    <definedName name="IQ_STOCK_BASED_HIGH_EST" hidden="1">"c4521"</definedName>
    <definedName name="IQ_STOCK_BASED_HIGH_EST_CIQ" hidden="1">"c5074"</definedName>
    <definedName name="IQ_STOCK_BASED_LOW_EST" hidden="1">"c4522"</definedName>
    <definedName name="IQ_STOCK_BASED_LOW_EST_CIQ" hidden="1">"c5075"</definedName>
    <definedName name="IQ_STOCK_BASED_MEDIAN_EST" hidden="1">"c4523"</definedName>
    <definedName name="IQ_STOCK_BASED_MEDIAN_EST_CIQ" hidden="1">"c5076"</definedName>
    <definedName name="IQ_STOCK_BASED_NUM_EST" hidden="1">"c4524"</definedName>
    <definedName name="IQ_STOCK_BASED_NUM_EST_CIQ" hidden="1">"c5077"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STDDEV_EST_CIQ" hidden="1">"c5078"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UCT_FIN_CLASS" hidden="1">"c8950"</definedName>
    <definedName name="IQ_STRUCT_FIN_SERIES" hidden="1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RPLUS_FDIC" hidden="1">"c6351"</definedName>
    <definedName name="IQ_SVA" hidden="1">"c1214"</definedName>
    <definedName name="IQ_TARGET_PRICE_LASTCLOSE" hidden="1">"c1855"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CIQ" hidden="1">"c4047"</definedName>
    <definedName name="IQ_TEV_EBIT_FWD_REUT" hidden="1">"c4054"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MPLOYEE_AVG" hidden="1">"c1225"</definedName>
    <definedName name="IQ_TEV_EST" hidden="1">"c4526"</definedName>
    <definedName name="IQ_TEV_EST_CIQ" hidden="1">"c5079"</definedName>
    <definedName name="IQ_TEV_HIGH_EST" hidden="1">"c4527"</definedName>
    <definedName name="IQ_TEV_HIGH_EST_CIQ" hidden="1">"c5080"</definedName>
    <definedName name="IQ_TEV_LOW_EST" hidden="1">"c4528"</definedName>
    <definedName name="IQ_TEV_LOW_EST_CIQ" hidden="1">"c5081"</definedName>
    <definedName name="IQ_TEV_MEDIAN_EST" hidden="1">"c4529"</definedName>
    <definedName name="IQ_TEV_MEDIAN_EST_CIQ" hidden="1">"c5082"</definedName>
    <definedName name="IQ_TEV_NUM_EST" hidden="1">"c4530"</definedName>
    <definedName name="IQ_TEV_NUM_EST_CIQ" hidden="1">"c5083"</definedName>
    <definedName name="IQ_TEV_STDDEV_EST" hidden="1">"c4531"</definedName>
    <definedName name="IQ_TEV_STDDEV_EST_CIQ" hidden="1">"c5084"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FDIC" hidden="1">"c6339"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ST_CIQ" hidden="1">"c5085"</definedName>
    <definedName name="IQ_TOTAL_DEBT_EXCL_FIN" hidden="1">"c2937"</definedName>
    <definedName name="IQ_TOTAL_DEBT_GUIDANCE" hidden="1">"c4533"</definedName>
    <definedName name="IQ_TOTAL_DEBT_GUIDANCE_CIQ" hidden="1">"c5086"</definedName>
    <definedName name="IQ_TOTAL_DEBT_HIGH_EST" hidden="1">"c4534"</definedName>
    <definedName name="IQ_TOTAL_DEBT_HIGH_EST_CIQ" hidden="1">"c5087"</definedName>
    <definedName name="IQ_TOTAL_DEBT_HIGH_GUIDANCE" hidden="1">"c4196"</definedName>
    <definedName name="IQ_TOTAL_DEBT_HIGH_GUIDANCE_CIQ" hidden="1">"c4608"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EST_CIQ" hidden="1">"c5088"</definedName>
    <definedName name="IQ_TOTAL_DEBT_LOW_GUIDANCE" hidden="1">"c4236"</definedName>
    <definedName name="IQ_TOTAL_DEBT_LOW_GUIDANCE_CIQ" hidden="1">"c4648"</definedName>
    <definedName name="IQ_TOTAL_DEBT_MEDIAN_EST" hidden="1">"c4536"</definedName>
    <definedName name="IQ_TOTAL_DEBT_MEDIAN_EST_CIQ" hidden="1">"c5089"</definedName>
    <definedName name="IQ_TOTAL_DEBT_NON_CURRENT" hidden="1">"c6191"</definedName>
    <definedName name="IQ_TOTAL_DEBT_NUM_EST" hidden="1">"c4537"</definedName>
    <definedName name="IQ_TOTAL_DEBT_NUM_EST_CIQ" hidden="1">"c5090"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BT_STDDEV_EST_CIQ" hidden="1">"c5091"</definedName>
    <definedName name="IQ_TOTAL_DEPOSITS" hidden="1">"c1265"</definedName>
    <definedName name="IQ_TOTAL_DEPOSITS_FDIC" hidden="1">"c6342"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SUBTOTAL_AP" hidden="1">"c8989"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DIC" hidden="1">"c6348"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ISK_BASED_CAPITAL_RATIO_FDIC" hidden="1">"c6747"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 hidden="1">"c8949"</definedName>
    <definedName name="IQ_TRADING_LIABILITIES_FDIC" hidden="1">"c6344"</definedName>
    <definedName name="IQ_TRANSACTION_ACCOUNTS_FDIC" hidden="1">"c6544"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"c2203"</definedName>
    <definedName name="IQ_XDIV_DATE_1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RR" localSheetId="14">#REF!</definedName>
    <definedName name="IRR" localSheetId="12">#REF!</definedName>
    <definedName name="IRR" localSheetId="1">#REF!</definedName>
    <definedName name="IRR" localSheetId="13">#REF!</definedName>
    <definedName name="IRR">#REF!</definedName>
    <definedName name="IRRarea">"t(IRR!$B$102):t(IRR!$E$102)"</definedName>
    <definedName name="IS" localSheetId="14">#REF!</definedName>
    <definedName name="IS" localSheetId="12">#REF!</definedName>
    <definedName name="IS" localSheetId="1">#REF!</definedName>
    <definedName name="IS" localSheetId="13">#REF!</definedName>
    <definedName name="IS">#REF!</definedName>
    <definedName name="IsColHidden" hidden="1">FALSE</definedName>
    <definedName name="IsLTMColHidden" hidden="1">FALSE</definedName>
    <definedName name="ivrcl" localSheetId="18" hidden="1">{"'Sheet1'!$A$4386:$N$4591"}</definedName>
    <definedName name="ivrcl" hidden="1">{"'Sheet1'!$A$4386:$N$4591"}</definedName>
    <definedName name="Jaar" localSheetId="14">#REF!</definedName>
    <definedName name="Jaar" localSheetId="12">#REF!</definedName>
    <definedName name="Jaar" localSheetId="1">#REF!</definedName>
    <definedName name="Jaar" localSheetId="13">#REF!</definedName>
    <definedName name="Jaar">#REF!</definedName>
    <definedName name="Jaar2" localSheetId="14">#REF!</definedName>
    <definedName name="Jaar2" localSheetId="12">#REF!</definedName>
    <definedName name="Jaar2" localSheetId="1">#REF!</definedName>
    <definedName name="Jaar2" localSheetId="13">#REF!</definedName>
    <definedName name="Jaar2">#REF!</definedName>
    <definedName name="Jamie" localSheetId="11">[52]BS!#REF!</definedName>
    <definedName name="Jamie" localSheetId="1">[52]BS!#REF!</definedName>
    <definedName name="Jamie">[52]BS!#REF!</definedName>
    <definedName name="Jan_09">[20]CFData!$N$2:$N$1216</definedName>
    <definedName name="January">[20]HRData!$O$2:$O$100</definedName>
    <definedName name="jen" localSheetId="11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localSheetId="15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localSheetId="18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localSheetId="14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localSheetId="12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localSheetId="13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gby" localSheetId="18" hidden="1">{"'Sheet1'!$A$4386:$N$4591"}</definedName>
    <definedName name="jgby" hidden="1">{"'Sheet1'!$A$4386:$N$4591"}</definedName>
    <definedName name="jk" localSheetId="11" hidden="1">{#N/A,#N/A,FALSE,"FY97";#N/A,#N/A,FALSE,"FY98";#N/A,#N/A,FALSE,"FY99";#N/A,#N/A,FALSE,"FY00";#N/A,#N/A,FALSE,"FY01"}</definedName>
    <definedName name="jk" localSheetId="15" hidden="1">{#N/A,#N/A,FALSE,"FY97";#N/A,#N/A,FALSE,"FY98";#N/A,#N/A,FALSE,"FY99";#N/A,#N/A,FALSE,"FY00";#N/A,#N/A,FALSE,"FY01"}</definedName>
    <definedName name="jk" localSheetId="18" hidden="1">{#N/A,#N/A,FALSE,"FY97";#N/A,#N/A,FALSE,"FY98";#N/A,#N/A,FALSE,"FY99";#N/A,#N/A,FALSE,"FY00";#N/A,#N/A,FALSE,"FY01"}</definedName>
    <definedName name="jk" localSheetId="14" hidden="1">{#N/A,#N/A,FALSE,"FY97";#N/A,#N/A,FALSE,"FY98";#N/A,#N/A,FALSE,"FY99";#N/A,#N/A,FALSE,"FY00";#N/A,#N/A,FALSE,"FY01"}</definedName>
    <definedName name="jk" localSheetId="12" hidden="1">{#N/A,#N/A,FALSE,"FY97";#N/A,#N/A,FALSE,"FY98";#N/A,#N/A,FALSE,"FY99";#N/A,#N/A,FALSE,"FY00";#N/A,#N/A,FALSE,"FY01"}</definedName>
    <definedName name="jk" localSheetId="13" hidden="1">{#N/A,#N/A,FALSE,"FY97";#N/A,#N/A,FALSE,"FY98";#N/A,#N/A,FALSE,"FY99";#N/A,#N/A,FALSE,"FY00";#N/A,#N/A,FALSE,"FY01"}</definedName>
    <definedName name="jk" hidden="1">{#N/A,#N/A,FALSE,"FY97";#N/A,#N/A,FALSE,"FY98";#N/A,#N/A,FALSE,"FY99";#N/A,#N/A,FALSE,"FY00";#N/A,#N/A,FALSE,"FY01"}</definedName>
    <definedName name="Jon" localSheetId="14">#REF!</definedName>
    <definedName name="Jon" localSheetId="12">#REF!</definedName>
    <definedName name="Jon" localSheetId="1">#REF!</definedName>
    <definedName name="Jon" localSheetId="13">#REF!</definedName>
    <definedName name="Jon">#REF!</definedName>
    <definedName name="Jul_08">[20]CFData!$H$2:$H$1216</definedName>
    <definedName name="July">[20]HRData!$I$2:$I$100</definedName>
    <definedName name="Jun_01" localSheetId="14">#REF!</definedName>
    <definedName name="Jun_01" localSheetId="12">#REF!</definedName>
    <definedName name="Jun_01" localSheetId="1">#REF!</definedName>
    <definedName name="Jun_01" localSheetId="13">#REF!</definedName>
    <definedName name="Jun_01">#REF!</definedName>
    <definedName name="Jun_08">[20]CFData!$G$2:$G$1216</definedName>
    <definedName name="June">[20]HRData!$H$2:$H$100</definedName>
    <definedName name="Key_assumptions" localSheetId="14">#REF!</definedName>
    <definedName name="Key_assumptions" localSheetId="12">#REF!</definedName>
    <definedName name="Key_assumptions" localSheetId="1">#REF!</definedName>
    <definedName name="Key_assumptions" localSheetId="13">#REF!</definedName>
    <definedName name="Key_assumptions">#REF!</definedName>
    <definedName name="Key_assumptions_CE" localSheetId="14">#REF!</definedName>
    <definedName name="Key_assumptions_CE" localSheetId="12">#REF!</definedName>
    <definedName name="Key_assumptions_CE" localSheetId="1">#REF!</definedName>
    <definedName name="Key_assumptions_CE" localSheetId="13">#REF!</definedName>
    <definedName name="Key_assumptions_CE">#REF!</definedName>
    <definedName name="Key_Bus1" localSheetId="14">#REF!</definedName>
    <definedName name="Key_Bus1" localSheetId="12">#REF!</definedName>
    <definedName name="Key_Bus1" localSheetId="1">#REF!</definedName>
    <definedName name="Key_Bus1" localSheetId="13">#REF!</definedName>
    <definedName name="Key_Bus1">#REF!</definedName>
    <definedName name="Key_Bus2" localSheetId="14">#REF!</definedName>
    <definedName name="Key_Bus2" localSheetId="12">#REF!</definedName>
    <definedName name="Key_Bus2" localSheetId="1">#REF!</definedName>
    <definedName name="Key_Bus2" localSheetId="13">#REF!</definedName>
    <definedName name="Key_Bus2">#REF!</definedName>
    <definedName name="Key_financial_data" localSheetId="14">#REF!</definedName>
    <definedName name="Key_financial_data" localSheetId="12">#REF!</definedName>
    <definedName name="Key_financial_data" localSheetId="1">#REF!</definedName>
    <definedName name="Key_financial_data" localSheetId="13">#REF!</definedName>
    <definedName name="Key_financial_data">#REF!</definedName>
    <definedName name="Key_financial_ratios" localSheetId="14">#REF!</definedName>
    <definedName name="Key_financial_ratios" localSheetId="12">#REF!</definedName>
    <definedName name="Key_financial_ratios" localSheetId="1">#REF!</definedName>
    <definedName name="Key_financial_ratios" localSheetId="13">#REF!</definedName>
    <definedName name="Key_financial_ratios">#REF!</definedName>
    <definedName name="Kilo" localSheetId="14">#REF!</definedName>
    <definedName name="Kilo" localSheetId="12">#REF!</definedName>
    <definedName name="Kilo" localSheetId="1">#REF!</definedName>
    <definedName name="Kilo" localSheetId="13">#REF!</definedName>
    <definedName name="Kilo">#REF!</definedName>
    <definedName name="kirsar" localSheetId="18" hidden="1">{"'Sheet1'!$A$4386:$N$4591"}</definedName>
    <definedName name="kirsar" hidden="1">{"'Sheet1'!$A$4386:$N$4591"}</definedName>
    <definedName name="kl" localSheetId="11" hidden="1">{#N/A,#N/A,FALSE,"FY97";#N/A,#N/A,FALSE,"FY98";#N/A,#N/A,FALSE,"FY99";#N/A,#N/A,FALSE,"FY00";#N/A,#N/A,FALSE,"FY01"}</definedName>
    <definedName name="kl" localSheetId="15" hidden="1">{#N/A,#N/A,FALSE,"FY97";#N/A,#N/A,FALSE,"FY98";#N/A,#N/A,FALSE,"FY99";#N/A,#N/A,FALSE,"FY00";#N/A,#N/A,FALSE,"FY01"}</definedName>
    <definedName name="kl" localSheetId="18" hidden="1">{#N/A,#N/A,FALSE,"FY97";#N/A,#N/A,FALSE,"FY98";#N/A,#N/A,FALSE,"FY99";#N/A,#N/A,FALSE,"FY00";#N/A,#N/A,FALSE,"FY01"}</definedName>
    <definedName name="kl" localSheetId="14" hidden="1">{#N/A,#N/A,FALSE,"FY97";#N/A,#N/A,FALSE,"FY98";#N/A,#N/A,FALSE,"FY99";#N/A,#N/A,FALSE,"FY00";#N/A,#N/A,FALSE,"FY01"}</definedName>
    <definedName name="kl" localSheetId="12" hidden="1">{#N/A,#N/A,FALSE,"FY97";#N/A,#N/A,FALSE,"FY98";#N/A,#N/A,FALSE,"FY99";#N/A,#N/A,FALSE,"FY00";#N/A,#N/A,FALSE,"FY01"}</definedName>
    <definedName name="kl" localSheetId="13" hidden="1">{#N/A,#N/A,FALSE,"FY97";#N/A,#N/A,FALSE,"FY98";#N/A,#N/A,FALSE,"FY99";#N/A,#N/A,FALSE,"FY00";#N/A,#N/A,FALSE,"FY01"}</definedName>
    <definedName name="kl" hidden="1">{#N/A,#N/A,FALSE,"FY97";#N/A,#N/A,FALSE,"FY98";#N/A,#N/A,FALSE,"FY99";#N/A,#N/A,FALSE,"FY00";#N/A,#N/A,FALSE,"FY01"}</definedName>
    <definedName name="klklklkl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ONKA" localSheetId="18" hidden="1">{"Execavation",#N/A,FALSE,"furniture (employer)"}</definedName>
    <definedName name="KONKA" hidden="1">{"Execavation",#N/A,FALSE,"furniture (employer)"}</definedName>
    <definedName name="Kontroly2" localSheetId="14">#REF!</definedName>
    <definedName name="Kontroly2" localSheetId="12">#REF!</definedName>
    <definedName name="Kontroly2" localSheetId="1">#REF!</definedName>
    <definedName name="Kontroly2" localSheetId="13">#REF!</definedName>
    <definedName name="Kontroly2">#REF!</definedName>
    <definedName name="KPDAMS2" localSheetId="18" hidden="1">{"'bar'!$A$1:$AQ$33","'bar'!$A$10:$B$10"}</definedName>
    <definedName name="KPDAMS2" hidden="1">{"'bar'!$A$1:$AQ$33","'bar'!$A$10:$B$10"}</definedName>
    <definedName name="kraom67" localSheetId="18" hidden="1">{"Execavation",#N/A,FALSE,"furniture (employer)"}</definedName>
    <definedName name="kraom67" hidden="1">{"Execavation",#N/A,FALSE,"furniture (employer)"}</definedName>
    <definedName name="KRISH" localSheetId="14">#REF!</definedName>
    <definedName name="KRISH" localSheetId="12">#REF!</definedName>
    <definedName name="KRISH" localSheetId="1">#REF!</definedName>
    <definedName name="KRISH" localSheetId="13">#REF!</definedName>
    <definedName name="KRISH">#REF!</definedName>
    <definedName name="KRSIH" localSheetId="14">#REF!</definedName>
    <definedName name="KRSIH" localSheetId="12">#REF!</definedName>
    <definedName name="KRSIH" localSheetId="1">#REF!</definedName>
    <definedName name="KRSIH" localSheetId="13">#REF!</definedName>
    <definedName name="KRSIH">#REF!</definedName>
    <definedName name="L" localSheetId="1">'[30]Mega Caps'!#REF!</definedName>
    <definedName name="L">'[30]Mega Caps'!#REF!</definedName>
    <definedName name="lacs" localSheetId="14">#REF!</definedName>
    <definedName name="lacs" localSheetId="12">#REF!</definedName>
    <definedName name="lacs" localSheetId="1">#REF!</definedName>
    <definedName name="lacs" localSheetId="13">#REF!</definedName>
    <definedName name="lacs">#REF!</definedName>
    <definedName name="Lakh" localSheetId="14">#REF!</definedName>
    <definedName name="Lakh" localSheetId="12">#REF!</definedName>
    <definedName name="Lakh" localSheetId="1">#REF!</definedName>
    <definedName name="Lakh" localSheetId="13">#REF!</definedName>
    <definedName name="Lakh">#REF!</definedName>
    <definedName name="Last_Row" localSheetId="11">IF('Add21-22'!Values_Entered,Header_Row+'Add21-22'!Number_of_Payments,Header_Row)</definedName>
    <definedName name="Last_Row" localSheetId="15">IF('Add22-23'!Values_Entered,Header_Row+'Add22-23'!Number_of_Payments,Header_Row)</definedName>
    <definedName name="Last_Row" localSheetId="14">#N/A</definedName>
    <definedName name="Last_Row" localSheetId="12">#N/A</definedName>
    <definedName name="Last_Row" localSheetId="1">IF(LAND!Values_Entered,LAND!Header_Row+LAND!Number_of_Payments,LAND!Header_Row)</definedName>
    <definedName name="Last_Row" localSheetId="13">#N/A</definedName>
    <definedName name="Last_Row">#N/A</definedName>
    <definedName name="Laufzeit_Verbind_verbund_P11" localSheetId="1">[53]Parameter!#REF!</definedName>
    <definedName name="Laufzeit_Verbind_verbund_P11">[53]Parameter!#REF!</definedName>
    <definedName name="Laufzeit_Verbind_verbund_P12" localSheetId="1">[53]Parameter!#REF!</definedName>
    <definedName name="Laufzeit_Verbind_verbund_P12">[53]Parameter!#REF!</definedName>
    <definedName name="Laufzeit_Verbind_verbund_P13" localSheetId="1">[53]Parameter!#REF!</definedName>
    <definedName name="Laufzeit_Verbind_verbund_P13">[53]Parameter!#REF!</definedName>
    <definedName name="Laufzeit_Verbind_verbund_P14" localSheetId="1">[53]Parameter!#REF!</definedName>
    <definedName name="Laufzeit_Verbind_verbund_P14">[53]Parameter!#REF!</definedName>
    <definedName name="Laufzeit_Verbind_verbund_P15" localSheetId="1">[53]Parameter!#REF!</definedName>
    <definedName name="Laufzeit_Verbind_verbund_P15">[53]Parameter!#REF!</definedName>
    <definedName name="Laufzeit_Verbind_verbund_P16" localSheetId="1">[53]Parameter!#REF!</definedName>
    <definedName name="Laufzeit_Verbind_verbund_P16">[53]Parameter!#REF!</definedName>
    <definedName name="Laufzeit_Verbind_verbund_P19" localSheetId="1">[53]Parameter!#REF!</definedName>
    <definedName name="Laufzeit_Verbind_verbund_P19">[53]Parameter!#REF!</definedName>
    <definedName name="Laufzeit_Verbind_verbund_P20" localSheetId="1">[53]Parameter!#REF!</definedName>
    <definedName name="Laufzeit_Verbind_verbund_P20">[53]Parameter!#REF!</definedName>
    <definedName name="LBL" localSheetId="18" hidden="1">#REF!</definedName>
    <definedName name="LBL" localSheetId="1" hidden="1">[54]SALES!#REF!</definedName>
    <definedName name="LBL" hidden="1">[54]SALES!#REF!</definedName>
    <definedName name="LBO" localSheetId="14">#REF!</definedName>
    <definedName name="LBO" localSheetId="12">#REF!</definedName>
    <definedName name="LBO" localSheetId="1">#REF!</definedName>
    <definedName name="LBO" localSheetId="13">#REF!</definedName>
    <definedName name="LBO">#REF!</definedName>
    <definedName name="lbrexp" localSheetId="14">#REF!</definedName>
    <definedName name="lbrexp" localSheetId="12">#REF!</definedName>
    <definedName name="lbrexp" localSheetId="1">#REF!</definedName>
    <definedName name="lbrexp" localSheetId="13">#REF!</definedName>
    <definedName name="lbrexp">#REF!</definedName>
    <definedName name="ldcost" localSheetId="14">#REF!</definedName>
    <definedName name="ldcost" localSheetId="12">#REF!</definedName>
    <definedName name="ldcost" localSheetId="1">#REF!</definedName>
    <definedName name="ldcost" localSheetId="13">#REF!</definedName>
    <definedName name="ldcost">#REF!</definedName>
    <definedName name="ldrate" localSheetId="14">#REF!</definedName>
    <definedName name="ldrate" localSheetId="12">#REF!</definedName>
    <definedName name="ldrate" localSheetId="1">#REF!</definedName>
    <definedName name="ldrate" localSheetId="13">#REF!</definedName>
    <definedName name="ldrate">#REF!</definedName>
    <definedName name="LEDGER">'[55]SACA-NT2'!$A$1:$B$776</definedName>
    <definedName name="ledger1">'[56]SACA-NT2'!$A$1:$B$776</definedName>
    <definedName name="ledger2">'[57]SACA-NT2'!$A$1:$B$776</definedName>
    <definedName name="limcount" hidden="1">1</definedName>
    <definedName name="ListCagr" localSheetId="14">#REF!</definedName>
    <definedName name="ListCagr" localSheetId="12">#REF!</definedName>
    <definedName name="ListCagr" localSheetId="1">#REF!</definedName>
    <definedName name="ListCagr" localSheetId="13">#REF!</definedName>
    <definedName name="ListCagr">#REF!</definedName>
    <definedName name="ListCurrency" localSheetId="14">#REF!</definedName>
    <definedName name="ListCurrency" localSheetId="12">#REF!</definedName>
    <definedName name="ListCurrency" localSheetId="1">#REF!</definedName>
    <definedName name="ListCurrency" localSheetId="13">#REF!</definedName>
    <definedName name="ListCurrency">#REF!</definedName>
    <definedName name="ListNames" localSheetId="14">#REF!</definedName>
    <definedName name="ListNames" localSheetId="12">#REF!</definedName>
    <definedName name="ListNames" localSheetId="1">#REF!</definedName>
    <definedName name="ListNames" localSheetId="13">#REF!</definedName>
    <definedName name="ListNames">#REF!</definedName>
    <definedName name="ListRatios" localSheetId="14">#REF!</definedName>
    <definedName name="ListRatios" localSheetId="12">#REF!</definedName>
    <definedName name="ListRatios" localSheetId="1">#REF!</definedName>
    <definedName name="ListRatios" localSheetId="13">#REF!</definedName>
    <definedName name="ListRatios">#REF!</definedName>
    <definedName name="lk" localSheetId="18" hidden="1">{"'Sheet1'!$A$4386:$N$4591"}</definedName>
    <definedName name="lk" hidden="1">{"'Sheet1'!$A$4386:$N$4591"}</definedName>
    <definedName name="lkjlkj" localSheetId="11" hidden="1">{"Final",#N/A,FALSE,"Feb-96"}</definedName>
    <definedName name="lkjlkj" localSheetId="15" hidden="1">{"Final",#N/A,FALSE,"Feb-96"}</definedName>
    <definedName name="lkjlkj" localSheetId="18" hidden="1">{"Final",#N/A,FALSE,"Feb-96"}</definedName>
    <definedName name="lkjlkj" localSheetId="14" hidden="1">{"Final",#N/A,FALSE,"Feb-96"}</definedName>
    <definedName name="lkjlkj" localSheetId="12" hidden="1">{"Final",#N/A,FALSE,"Feb-96"}</definedName>
    <definedName name="lkjlkj" localSheetId="13" hidden="1">{"Final",#N/A,FALSE,"Feb-96"}</definedName>
    <definedName name="lkjlkj" hidden="1">{"Final",#N/A,FALSE,"Feb-96"}</definedName>
    <definedName name="lklkl" localSheetId="11" hidden="1">{"consolidated",#N/A,FALSE,"Sheet1";"cms",#N/A,FALSE,"Sheet1";"fse",#N/A,FALSE,"Sheet1"}</definedName>
    <definedName name="lklkl" localSheetId="15" hidden="1">{"consolidated",#N/A,FALSE,"Sheet1";"cms",#N/A,FALSE,"Sheet1";"fse",#N/A,FALSE,"Sheet1"}</definedName>
    <definedName name="lklkl" localSheetId="18" hidden="1">{"consolidated",#N/A,FALSE,"Sheet1";"cms",#N/A,FALSE,"Sheet1";"fse",#N/A,FALSE,"Sheet1"}</definedName>
    <definedName name="lklkl" localSheetId="14" hidden="1">{"consolidated",#N/A,FALSE,"Sheet1";"cms",#N/A,FALSE,"Sheet1";"fse",#N/A,FALSE,"Sheet1"}</definedName>
    <definedName name="lklkl" localSheetId="12" hidden="1">{"consolidated",#N/A,FALSE,"Sheet1";"cms",#N/A,FALSE,"Sheet1";"fse",#N/A,FALSE,"Sheet1"}</definedName>
    <definedName name="lklkl" localSheetId="13" hidden="1">{"consolidated",#N/A,FALSE,"Sheet1";"cms",#N/A,FALSE,"Sheet1";"fse",#N/A,FALSE,"Sheet1"}</definedName>
    <definedName name="lklkl" hidden="1">{"consolidated",#N/A,FALSE,"Sheet1";"cms",#N/A,FALSE,"Sheet1";"fse",#N/A,FALSE,"Sheet1"}</definedName>
    <definedName name="ll" localSheetId="14">#REF!</definedName>
    <definedName name="ll" localSheetId="12">#REF!</definedName>
    <definedName name="ll" localSheetId="1">#REF!</definedName>
    <definedName name="ll" localSheetId="13">#REF!</definedName>
    <definedName name="ll">#REF!</definedName>
    <definedName name="LLL" localSheetId="11" hidden="1">{#N/A,#N/A,FALSE,"ACQ_GRAPHS";#N/A,#N/A,FALSE,"T_1 GRAPHS";#N/A,#N/A,FALSE,"T_2 GRAPHS";#N/A,#N/A,FALSE,"COMB_GRAPHS"}</definedName>
    <definedName name="LLL" localSheetId="15" hidden="1">{#N/A,#N/A,FALSE,"ACQ_GRAPHS";#N/A,#N/A,FALSE,"T_1 GRAPHS";#N/A,#N/A,FALSE,"T_2 GRAPHS";#N/A,#N/A,FALSE,"COMB_GRAPHS"}</definedName>
    <definedName name="LLL" localSheetId="18" hidden="1">{#N/A,#N/A,FALSE,"ACQ_GRAPHS";#N/A,#N/A,FALSE,"T_1 GRAPHS";#N/A,#N/A,FALSE,"T_2 GRAPHS";#N/A,#N/A,FALSE,"COMB_GRAPHS"}</definedName>
    <definedName name="LLL" localSheetId="14" hidden="1">{#N/A,#N/A,FALSE,"ACQ_GRAPHS";#N/A,#N/A,FALSE,"T_1 GRAPHS";#N/A,#N/A,FALSE,"T_2 GRAPHS";#N/A,#N/A,FALSE,"COMB_GRAPHS"}</definedName>
    <definedName name="LLL" localSheetId="12" hidden="1">{#N/A,#N/A,FALSE,"ACQ_GRAPHS";#N/A,#N/A,FALSE,"T_1 GRAPHS";#N/A,#N/A,FALSE,"T_2 GRAPHS";#N/A,#N/A,FALSE,"COMB_GRAPHS"}</definedName>
    <definedName name="LLL" localSheetId="13" hidden="1">{#N/A,#N/A,FALSE,"ACQ_GRAPHS";#N/A,#N/A,FALSE,"T_1 GRAPHS";#N/A,#N/A,FALSE,"T_2 GRAPHS";#N/A,#N/A,FALSE,"COMB_GRAPHS"}</definedName>
    <definedName name="LLL" hidden="1">{#N/A,#N/A,FALSE,"ACQ_GRAPHS";#N/A,#N/A,FALSE,"T_1 GRAPHS";#N/A,#N/A,FALSE,"T_2 GRAPHS";#N/A,#N/A,FALSE,"COMB_GRAPHS"}</definedName>
    <definedName name="lnkschbs" localSheetId="1">'[5]Other notes'!#REF!</definedName>
    <definedName name="lnkschbs">'[5]Other notes'!#REF!</definedName>
    <definedName name="LNKSCHPL" localSheetId="1">'[5]Other notes'!#REF!</definedName>
    <definedName name="LNKSCHPL">'[5]Other notes'!#REF!</definedName>
    <definedName name="Load" localSheetId="14">#REF!</definedName>
    <definedName name="Load" localSheetId="12">#REF!</definedName>
    <definedName name="Load" localSheetId="1">#REF!</definedName>
    <definedName name="Load" localSheetId="13">#REF!</definedName>
    <definedName name="Load">#REF!</definedName>
    <definedName name="Loan_Amount" localSheetId="14">#REF!</definedName>
    <definedName name="Loan_Amount" localSheetId="12">#REF!</definedName>
    <definedName name="Loan_Amount" localSheetId="1">#REF!</definedName>
    <definedName name="Loan_Amount" localSheetId="13">#REF!</definedName>
    <definedName name="Loan_Amount">#REF!</definedName>
    <definedName name="Loan_Start" localSheetId="14">#REF!</definedName>
    <definedName name="Loan_Start" localSheetId="12">#REF!</definedName>
    <definedName name="Loan_Start" localSheetId="1">#REF!</definedName>
    <definedName name="Loan_Start" localSheetId="13">#REF!</definedName>
    <definedName name="Loan_Start">#REF!</definedName>
    <definedName name="Loan_Years" localSheetId="14">#REF!</definedName>
    <definedName name="Loan_Years" localSheetId="12">#REF!</definedName>
    <definedName name="Loan_Years" localSheetId="1">#REF!</definedName>
    <definedName name="Loan_Years" localSheetId="13">#REF!</definedName>
    <definedName name="Loan_Years">#REF!</definedName>
    <definedName name="LOANS" localSheetId="1">'[39]CASH FLOW'!#REF!</definedName>
    <definedName name="LOANS">'[39]CASH FLOW'!#REF!</definedName>
    <definedName name="LOCAL_MYSQL_DATE_FORMAT" localSheetId="1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_Annual" localSheetId="14">#REF!</definedName>
    <definedName name="Location_Annual" localSheetId="12">#REF!</definedName>
    <definedName name="Location_Annual" localSheetId="1">#REF!</definedName>
    <definedName name="Location_Annual" localSheetId="13">#REF!</definedName>
    <definedName name="Location_Annual">#REF!</definedName>
    <definedName name="LONG_DIST" localSheetId="14">#REF!</definedName>
    <definedName name="LONG_DIST" localSheetId="12">#REF!</definedName>
    <definedName name="LONG_DIST" localSheetId="1">#REF!</definedName>
    <definedName name="LONG_DIST" localSheetId="13">#REF!</definedName>
    <definedName name="LONG_DIST">#REF!</definedName>
    <definedName name="loni" localSheetId="18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loni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loni_1" localSheetId="18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loni_1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lumnm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lumnm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" localSheetId="14">#REF!</definedName>
    <definedName name="m" localSheetId="12">#REF!</definedName>
    <definedName name="m" localSheetId="1">#REF!</definedName>
    <definedName name="m" localSheetId="13">#REF!</definedName>
    <definedName name="m">#REF!</definedName>
    <definedName name="Mahesh" localSheetId="14">#REF!</definedName>
    <definedName name="Mahesh" localSheetId="12">#REF!</definedName>
    <definedName name="Mahesh" localSheetId="1">#REF!</definedName>
    <definedName name="Mahesh" localSheetId="13">#REF!</definedName>
    <definedName name="Mahesh">#REF!</definedName>
    <definedName name="MAINDATA">'[58]Data to Pivot'!$A$1:$S$2428</definedName>
    <definedName name="mangalam" localSheetId="18" hidden="1">{"'Sheet1'!$A$4386:$N$4591"}</definedName>
    <definedName name="mangalam" hidden="1">{"'Sheet1'!$A$4386:$N$4591"}</definedName>
    <definedName name="Manoj" localSheetId="14">#REF!</definedName>
    <definedName name="Manoj" localSheetId="12">#REF!</definedName>
    <definedName name="Manoj" localSheetId="1">#REF!</definedName>
    <definedName name="Manoj" localSheetId="13">#REF!</definedName>
    <definedName name="Manoj">#REF!</definedName>
    <definedName name="Mar_09">[20]CFData!$P$2:$P$1216</definedName>
    <definedName name="March">[20]HRData!$Q$2:$Q$100</definedName>
    <definedName name="marganl" localSheetId="14">#REF!</definedName>
    <definedName name="marganl" localSheetId="12">#REF!</definedName>
    <definedName name="marganl" localSheetId="1">#REF!</definedName>
    <definedName name="marganl" localSheetId="13">#REF!</definedName>
    <definedName name="marganl">#REF!</definedName>
    <definedName name="MARGIN" localSheetId="14">#REF!</definedName>
    <definedName name="MARGIN" localSheetId="12">#REF!</definedName>
    <definedName name="MARGIN" localSheetId="1">#REF!</definedName>
    <definedName name="MARGIN" localSheetId="13">#REF!</definedName>
    <definedName name="MARGIN">#REF!</definedName>
    <definedName name="ma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ay">[20]HRData!$G$2:$G$100</definedName>
    <definedName name="May_01">[59]May_01!$A$1:$K$59</definedName>
    <definedName name="May_08">[20]CFData!$F$2:$F$1216</definedName>
    <definedName name="MCI" localSheetId="11">[31]DCF!#REF!</definedName>
    <definedName name="MCI" localSheetId="1">[31]DCF!#REF!</definedName>
    <definedName name="MCI">[31]DCF!#REF!</definedName>
    <definedName name="MCICOST" localSheetId="14">#REF!</definedName>
    <definedName name="MCICOST" localSheetId="12">#REF!</definedName>
    <definedName name="MCICOST" localSheetId="1">#REF!</definedName>
    <definedName name="MCICOST" localSheetId="13">#REF!</definedName>
    <definedName name="MCICOST">#REF!</definedName>
    <definedName name="MCIMARG" localSheetId="14">#REF!</definedName>
    <definedName name="MCIMARG" localSheetId="12">#REF!</definedName>
    <definedName name="MCIMARG" localSheetId="1">#REF!</definedName>
    <definedName name="MCIMARG" localSheetId="13">#REF!</definedName>
    <definedName name="MCIMARG">#REF!</definedName>
    <definedName name="MCIREV" localSheetId="14">#REF!</definedName>
    <definedName name="MCIREV" localSheetId="12">#REF!</definedName>
    <definedName name="MCIREV" localSheetId="1">#REF!</definedName>
    <definedName name="MCIREV" localSheetId="13">#REF!</definedName>
    <definedName name="MCIREV">#REF!</definedName>
    <definedName name="mcurr" localSheetId="14">#REF!</definedName>
    <definedName name="mcurr" localSheetId="12">#REF!</definedName>
    <definedName name="mcurr" localSheetId="1">#REF!</definedName>
    <definedName name="mcurr" localSheetId="13">#REF!</definedName>
    <definedName name="mcurr">#REF!</definedName>
    <definedName name="Media" localSheetId="14">#REF!</definedName>
    <definedName name="Media" localSheetId="12">#REF!</definedName>
    <definedName name="Media" localSheetId="1">#REF!</definedName>
    <definedName name="Media" localSheetId="13">#REF!</definedName>
    <definedName name="Media">#REF!</definedName>
    <definedName name="Metric1" localSheetId="14">#REF!</definedName>
    <definedName name="Metric1" localSheetId="12">#REF!</definedName>
    <definedName name="Metric1" localSheetId="1">#REF!</definedName>
    <definedName name="Metric1" localSheetId="13">#REF!</definedName>
    <definedName name="Metric1">#REF!</definedName>
    <definedName name="Metric2" localSheetId="14">#REF!</definedName>
    <definedName name="Metric2" localSheetId="12">#REF!</definedName>
    <definedName name="Metric2" localSheetId="1">#REF!</definedName>
    <definedName name="Metric2" localSheetId="13">#REF!</definedName>
    <definedName name="Metric2">#REF!</definedName>
    <definedName name="Metric3" localSheetId="14">#REF!</definedName>
    <definedName name="Metric3" localSheetId="12">#REF!</definedName>
    <definedName name="Metric3" localSheetId="1">#REF!</definedName>
    <definedName name="Metric3" localSheetId="13">#REF!</definedName>
    <definedName name="Metric3">#REF!</definedName>
    <definedName name="Metric4" localSheetId="14">#REF!</definedName>
    <definedName name="Metric4" localSheetId="12">#REF!</definedName>
    <definedName name="Metric4" localSheetId="1">#REF!</definedName>
    <definedName name="Metric4" localSheetId="13">#REF!</definedName>
    <definedName name="Metric4">#REF!</definedName>
    <definedName name="MF" localSheetId="14">#REF!</definedName>
    <definedName name="MF" localSheetId="12">#REF!</definedName>
    <definedName name="MF" localSheetId="1">#REF!</definedName>
    <definedName name="MF" localSheetId="13">#REF!</definedName>
    <definedName name="MF">#REF!</definedName>
    <definedName name="mgt_case" localSheetId="14">#REF!</definedName>
    <definedName name="mgt_case" localSheetId="12">#REF!</definedName>
    <definedName name="mgt_case" localSheetId="1">#REF!</definedName>
    <definedName name="mgt_case" localSheetId="13">#REF!</definedName>
    <definedName name="mgt_case">#REF!</definedName>
    <definedName name="mike" localSheetId="18" hidden="1">#REF!</definedName>
    <definedName name="mike" localSheetId="1" hidden="1">[60]TargBSCF!#REF!</definedName>
    <definedName name="mike" hidden="1">[60]TargBSCF!#REF!</definedName>
    <definedName name="mill" localSheetId="14">#REF!</definedName>
    <definedName name="mill" localSheetId="12">#REF!</definedName>
    <definedName name="mill" localSheetId="1">#REF!</definedName>
    <definedName name="mill" localSheetId="13">#REF!</definedName>
    <definedName name="mill">#REF!</definedName>
    <definedName name="Million" localSheetId="14">#REF!</definedName>
    <definedName name="Million" localSheetId="12">#REF!</definedName>
    <definedName name="Million" localSheetId="1">#REF!</definedName>
    <definedName name="Million" localSheetId="13">#REF!</definedName>
    <definedName name="Million">#REF!</definedName>
    <definedName name="mio" localSheetId="11">'[44]General Assumptions'!$F$8</definedName>
    <definedName name="mio" localSheetId="15">'[44]General Assumptions'!$F$8</definedName>
    <definedName name="mio" localSheetId="14">'[45]General Assumptions'!$F$8</definedName>
    <definedName name="mio" localSheetId="12">'[45]General Assumptions'!$F$8</definedName>
    <definedName name="mio" localSheetId="13">'[45]General Assumptions'!$F$8</definedName>
    <definedName name="mio">'[44]General Assumptions'!$F$8</definedName>
    <definedName name="mis" localSheetId="18" hidden="1">{"'Sheet1'!$A$4386:$N$4591"}</definedName>
    <definedName name="mis" hidden="1">{"'Sheet1'!$A$4386:$N$4591"}</definedName>
    <definedName name="mj" localSheetId="11" hidden="1">{#N/A,#N/A,FALSE,"FY97";#N/A,#N/A,FALSE,"FY98";#N/A,#N/A,FALSE,"FY99";#N/A,#N/A,FALSE,"FY00";#N/A,#N/A,FALSE,"FY01"}</definedName>
    <definedName name="mj" localSheetId="15" hidden="1">{#N/A,#N/A,FALSE,"FY97";#N/A,#N/A,FALSE,"FY98";#N/A,#N/A,FALSE,"FY99";#N/A,#N/A,FALSE,"FY00";#N/A,#N/A,FALSE,"FY01"}</definedName>
    <definedName name="mj" localSheetId="18" hidden="1">{#N/A,#N/A,FALSE,"FY97";#N/A,#N/A,FALSE,"FY98";#N/A,#N/A,FALSE,"FY99";#N/A,#N/A,FALSE,"FY00";#N/A,#N/A,FALSE,"FY01"}</definedName>
    <definedName name="mj" localSheetId="14" hidden="1">{#N/A,#N/A,FALSE,"FY97";#N/A,#N/A,FALSE,"FY98";#N/A,#N/A,FALSE,"FY99";#N/A,#N/A,FALSE,"FY00";#N/A,#N/A,FALSE,"FY01"}</definedName>
    <definedName name="mj" localSheetId="12" hidden="1">{#N/A,#N/A,FALSE,"FY97";#N/A,#N/A,FALSE,"FY98";#N/A,#N/A,FALSE,"FY99";#N/A,#N/A,FALSE,"FY00";#N/A,#N/A,FALSE,"FY01"}</definedName>
    <definedName name="mj" localSheetId="13" hidden="1">{#N/A,#N/A,FALSE,"FY97";#N/A,#N/A,FALSE,"FY98";#N/A,#N/A,FALSE,"FY99";#N/A,#N/A,FALSE,"FY00";#N/A,#N/A,FALSE,"FY01"}</definedName>
    <definedName name="mj" hidden="1">{#N/A,#N/A,FALSE,"FY97";#N/A,#N/A,FALSE,"FY98";#N/A,#N/A,FALSE,"FY99";#N/A,#N/A,FALSE,"FY00";#N/A,#N/A,FALSE,"FY01"}</definedName>
    <definedName name="mkexp" localSheetId="14">#REF!</definedName>
    <definedName name="mkexp" localSheetId="12">#REF!</definedName>
    <definedName name="mkexp" localSheetId="1">#REF!</definedName>
    <definedName name="mkexp" localSheetId="13">#REF!</definedName>
    <definedName name="mkexp">#REF!</definedName>
    <definedName name="mkt" localSheetId="1">[61]KPN!#REF!</definedName>
    <definedName name="mkt">[61]KPN!#REF!</definedName>
    <definedName name="MktCapCoA" localSheetId="14">#REF!</definedName>
    <definedName name="MktCapCoA" localSheetId="12">#REF!</definedName>
    <definedName name="MktCapCoA" localSheetId="1">#REF!</definedName>
    <definedName name="MktCapCoA" localSheetId="13">#REF!</definedName>
    <definedName name="MktCapCoA">#REF!</definedName>
    <definedName name="MktCapCoB" localSheetId="14">#REF!</definedName>
    <definedName name="MktCapCoB" localSheetId="12">#REF!</definedName>
    <definedName name="MktCapCoB" localSheetId="1">#REF!</definedName>
    <definedName name="MktCapCoB" localSheetId="13">#REF!</definedName>
    <definedName name="MktCapCoB">#REF!</definedName>
    <definedName name="MktCapCoC" localSheetId="14">#REF!</definedName>
    <definedName name="MktCapCoC" localSheetId="12">#REF!</definedName>
    <definedName name="MktCapCoC" localSheetId="1">#REF!</definedName>
    <definedName name="MktCapCoC" localSheetId="13">#REF!</definedName>
    <definedName name="MktCapCoC">#REF!</definedName>
    <definedName name="MktCapCoD" localSheetId="14">#REF!</definedName>
    <definedName name="MktCapCoD" localSheetId="12">#REF!</definedName>
    <definedName name="MktCapCoD" localSheetId="1">#REF!</definedName>
    <definedName name="MktCapCoD" localSheetId="13">#REF!</definedName>
    <definedName name="MktCapCoD">#REF!</definedName>
    <definedName name="MktCapCoE" localSheetId="14">#REF!</definedName>
    <definedName name="MktCapCoE" localSheetId="12">#REF!</definedName>
    <definedName name="MktCapCoE" localSheetId="1">#REF!</definedName>
    <definedName name="MktCapCoE" localSheetId="13">#REF!</definedName>
    <definedName name="MktCapCoE">#REF!</definedName>
    <definedName name="MktCapCoF" localSheetId="14">#REF!</definedName>
    <definedName name="MktCapCoF" localSheetId="12">#REF!</definedName>
    <definedName name="MktCapCoF" localSheetId="1">#REF!</definedName>
    <definedName name="MktCapCoF" localSheetId="13">#REF!</definedName>
    <definedName name="MktCapCoF">#REF!</definedName>
    <definedName name="MktCapCoG" localSheetId="14">#REF!</definedName>
    <definedName name="MktCapCoG" localSheetId="12">#REF!</definedName>
    <definedName name="MktCapCoG" localSheetId="1">#REF!</definedName>
    <definedName name="MktCapCoG" localSheetId="13">#REF!</definedName>
    <definedName name="MktCapCoG">#REF!</definedName>
    <definedName name="MktCapCoH" localSheetId="14">#REF!</definedName>
    <definedName name="MktCapCoH" localSheetId="12">#REF!</definedName>
    <definedName name="MktCapCoH" localSheetId="1">#REF!</definedName>
    <definedName name="MktCapCoH" localSheetId="13">#REF!</definedName>
    <definedName name="MktCapCoH">#REF!</definedName>
    <definedName name="MktCapCoI" localSheetId="14">#REF!</definedName>
    <definedName name="MktCapCoI" localSheetId="12">#REF!</definedName>
    <definedName name="MktCapCoI" localSheetId="1">#REF!</definedName>
    <definedName name="MktCapCoI" localSheetId="13">#REF!</definedName>
    <definedName name="MktCapCoI">#REF!</definedName>
    <definedName name="MktCapCoJ" localSheetId="14">#REF!</definedName>
    <definedName name="MktCapCoJ" localSheetId="12">#REF!</definedName>
    <definedName name="MktCapCoJ" localSheetId="1">#REF!</definedName>
    <definedName name="MktCapCoJ" localSheetId="13">#REF!</definedName>
    <definedName name="MktCapCoJ">#REF!</definedName>
    <definedName name="MktCapCoK" localSheetId="14">#REF!</definedName>
    <definedName name="MktCapCoK" localSheetId="12">#REF!</definedName>
    <definedName name="MktCapCoK" localSheetId="1">#REF!</definedName>
    <definedName name="MktCapCoK" localSheetId="13">#REF!</definedName>
    <definedName name="MktCapCoK">#REF!</definedName>
    <definedName name="MktCapCoL" localSheetId="14">#REF!</definedName>
    <definedName name="MktCapCoL" localSheetId="12">#REF!</definedName>
    <definedName name="MktCapCoL" localSheetId="1">#REF!</definedName>
    <definedName name="MktCapCoL" localSheetId="13">#REF!</definedName>
    <definedName name="MktCapCoL">#REF!</definedName>
    <definedName name="MktCapCoM" localSheetId="14">#REF!</definedName>
    <definedName name="MktCapCoM" localSheetId="12">#REF!</definedName>
    <definedName name="MktCapCoM" localSheetId="1">#REF!</definedName>
    <definedName name="MktCapCoM" localSheetId="13">#REF!</definedName>
    <definedName name="MktCapCoM">#REF!</definedName>
    <definedName name="MktCapCoN" localSheetId="14">#REF!</definedName>
    <definedName name="MktCapCoN" localSheetId="12">#REF!</definedName>
    <definedName name="MktCapCoN" localSheetId="1">#REF!</definedName>
    <definedName name="MktCapCoN" localSheetId="13">#REF!</definedName>
    <definedName name="MktCapCoN">#REF!</definedName>
    <definedName name="MktCapCoO" localSheetId="14">#REF!</definedName>
    <definedName name="MktCapCoO" localSheetId="12">#REF!</definedName>
    <definedName name="MktCapCoO" localSheetId="1">#REF!</definedName>
    <definedName name="MktCapCoO" localSheetId="13">#REF!</definedName>
    <definedName name="MktCapCoO">#REF!</definedName>
    <definedName name="ml" localSheetId="18" hidden="1">{#N/A,#N/A,TRUE,"CONSOLIDADO";#N/A,#N/A,TRUE,"PRINCELY";#N/A,#N/A,TRUE,"VERONICA";#N/A,#N/A,TRUE,"BARGE G3";#N/A,#N/A,TRUE,"CAVALIER";#N/A,#N/A,TRUE,"PIA";#N/A,#N/A,TRUE,"EVA";#N/A,#N/A,TRUE,"LAURA";#N/A,#N/A,TRUE,"FATIMA";#N/A,#N/A,TRUE,"PLATE";#N/A,#N/A,TRUE,"EGRET";#N/A,#N/A,TRUE,"DA QUING 92";#N/A,#N/A,TRUE,"abbeydale";#N/A,#N/A,TRUE,"CHARTEADOS";#N/A,#N/A,TRUE,"ADMINISTRATIVO";#N/A,#N/A,TRUE,"hydramar";#N/A,#N/A,TRUE,"adamas";#N/A,#N/A,TRUE,"alkman";#N/A,#N/A,TRUE,"daqing";#N/A,#N/A,TRUE,"acina";#N/A,#N/A,TRUE,"n.liberata";#N/A,#N/A,TRUE,"centaorus";#N/A,#N/A,TRUE,"harrier";#N/A,#N/A,TRUE,"upi"}</definedName>
    <definedName name="ml" hidden="1">{#N/A,#N/A,TRUE,"CONSOLIDADO";#N/A,#N/A,TRUE,"PRINCELY";#N/A,#N/A,TRUE,"VERONICA";#N/A,#N/A,TRUE,"BARGE G3";#N/A,#N/A,TRUE,"CAVALIER";#N/A,#N/A,TRUE,"PIA";#N/A,#N/A,TRUE,"EVA";#N/A,#N/A,TRUE,"LAURA";#N/A,#N/A,TRUE,"FATIMA";#N/A,#N/A,TRUE,"PLATE";#N/A,#N/A,TRUE,"EGRET";#N/A,#N/A,TRUE,"DA QUING 92";#N/A,#N/A,TRUE,"abbeydale";#N/A,#N/A,TRUE,"CHARTEADOS";#N/A,#N/A,TRUE,"ADMINISTRATIVO";#N/A,#N/A,TRUE,"hydramar";#N/A,#N/A,TRUE,"adamas";#N/A,#N/A,TRUE,"alkman";#N/A,#N/A,TRUE,"daqing";#N/A,#N/A,TRUE,"acina";#N/A,#N/A,TRUE,"n.liberata";#N/A,#N/A,TRUE,"centaorus";#N/A,#N/A,TRUE,"harrier";#N/A,#N/A,TRUE,"upi"}</definedName>
    <definedName name="mmm" localSheetId="18" hidden="1">#REF!</definedName>
    <definedName name="mmm" hidden="1">'[62]400800'!$C$30:$C$33</definedName>
    <definedName name="mmmm" localSheetId="18" hidden="1">#REF!</definedName>
    <definedName name="mmmm" hidden="1">[62]PREVCINE!$D$11:$D$59</definedName>
    <definedName name="mmmmm" localSheetId="11" hidden="1">{#N/A,#N/A,FALSE,"Calc";#N/A,#N/A,FALSE,"Sensitivity";#N/A,#N/A,FALSE,"LT Earn.Dil.";#N/A,#N/A,FALSE,"Dil. AVP"}</definedName>
    <definedName name="mmmmm" localSheetId="15" hidden="1">{#N/A,#N/A,FALSE,"Calc";#N/A,#N/A,FALSE,"Sensitivity";#N/A,#N/A,FALSE,"LT Earn.Dil.";#N/A,#N/A,FALSE,"Dil. AVP"}</definedName>
    <definedName name="mmmmm" localSheetId="18" hidden="1">{#N/A,#N/A,FALSE,"Calc";#N/A,#N/A,FALSE,"Sensitivity";#N/A,#N/A,FALSE,"LT Earn.Dil.";#N/A,#N/A,FALSE,"Dil. AVP"}</definedName>
    <definedName name="mmmmm" localSheetId="14" hidden="1">{#N/A,#N/A,FALSE,"Calc";#N/A,#N/A,FALSE,"Sensitivity";#N/A,#N/A,FALSE,"LT Earn.Dil.";#N/A,#N/A,FALSE,"Dil. AVP"}</definedName>
    <definedName name="mmmmm" localSheetId="12" hidden="1">{#N/A,#N/A,FALSE,"Calc";#N/A,#N/A,FALSE,"Sensitivity";#N/A,#N/A,FALSE,"LT Earn.Dil.";#N/A,#N/A,FALSE,"Dil. AVP"}</definedName>
    <definedName name="mmmmm" localSheetId="13" hidden="1">{#N/A,#N/A,FALSE,"Calc";#N/A,#N/A,FALSE,"Sensitivity";#N/A,#N/A,FALSE,"LT Earn.Dil.";#N/A,#N/A,FALSE,"Dil. AVP"}</definedName>
    <definedName name="mmmmm" hidden="1">'[62]400800'!$D$30:$D$33</definedName>
    <definedName name="mmmmmm" localSheetId="18" hidden="1">#REF!</definedName>
    <definedName name="mmmmmm" hidden="1">'[62]170117'!$E$54:$E$54</definedName>
    <definedName name="mmmmmmm" localSheetId="18" hidden="1">#REF!</definedName>
    <definedName name="mmmmmmm" hidden="1">[62]PREVCINE!$C$11:$C$59</definedName>
    <definedName name="mmmmmmmm" localSheetId="18" hidden="1">#REF!</definedName>
    <definedName name="mmmmmmmm" hidden="1">'[62]400800'!$C$30:$C$33</definedName>
    <definedName name="mmmmmmmmmm" localSheetId="18" hidden="1">#REF!</definedName>
    <definedName name="mmmmmmmmmm" hidden="1">[62]PREVCINE!$D$11:$D$59</definedName>
    <definedName name="MN_6" localSheetId="14">#REF!</definedName>
    <definedName name="MN_6" localSheetId="12">#REF!</definedName>
    <definedName name="MN_6" localSheetId="1">#REF!</definedName>
    <definedName name="MN_6" localSheetId="13">#REF!</definedName>
    <definedName name="MN_6">#REF!</definedName>
    <definedName name="model" localSheetId="14">#REF!</definedName>
    <definedName name="model" localSheetId="12">#REF!</definedName>
    <definedName name="model" localSheetId="1">#REF!</definedName>
    <definedName name="model" localSheetId="13">#REF!</definedName>
    <definedName name="model">#REF!</definedName>
    <definedName name="Modified" localSheetId="14">#REF!</definedName>
    <definedName name="Modified" localSheetId="12">#REF!</definedName>
    <definedName name="Modified" localSheetId="1">#REF!</definedName>
    <definedName name="Modified" localSheetId="13">#REF!</definedName>
    <definedName name="Modified">#REF!</definedName>
    <definedName name="MODRVSPY" localSheetId="14">#REF!</definedName>
    <definedName name="MODRVSPY" localSheetId="12">#REF!</definedName>
    <definedName name="MODRVSPY" localSheetId="1">#REF!</definedName>
    <definedName name="MODRVSPY" localSheetId="13">#REF!</definedName>
    <definedName name="MODRVSPY">#REF!</definedName>
    <definedName name="modsup" localSheetId="14">#REF!</definedName>
    <definedName name="modsup" localSheetId="12">#REF!</definedName>
    <definedName name="modsup" localSheetId="1">#REF!</definedName>
    <definedName name="modsup" localSheetId="13">#REF!</definedName>
    <definedName name="modsup">#REF!</definedName>
    <definedName name="Module4.goto16" localSheetId="1">[48]!Module4.goto16</definedName>
    <definedName name="Module4.goto16">[48]!Module4.goto16</definedName>
    <definedName name="Module6.goto14" localSheetId="1">[48]!Module6.goto14</definedName>
    <definedName name="Module6.goto14">[48]!Module6.goto14</definedName>
    <definedName name="Month">[63]Control!$B$4</definedName>
    <definedName name="montroz1p" localSheetId="11">'[24]Sumář jm. sez. Přípravy'!#REF!</definedName>
    <definedName name="montroz1p" localSheetId="1">'[24]Sumář jm. sez. Přípravy'!#REF!</definedName>
    <definedName name="montroz1p">'[25]Sumář jm. sez. Přípravy'!#REF!</definedName>
    <definedName name="montzah1p" localSheetId="11">'[24]Sumář jm. sez. Přípravy'!#REF!</definedName>
    <definedName name="montzah1p" localSheetId="1">'[24]Sumář jm. sez. Přípravy'!#REF!</definedName>
    <definedName name="montzah1p">'[25]Sumář jm. sez. Přípravy'!#REF!</definedName>
    <definedName name="Motiv_Bonus" localSheetId="14">#REF!</definedName>
    <definedName name="Motiv_Bonus" localSheetId="12">#REF!</definedName>
    <definedName name="Motiv_Bonus" localSheetId="1">#REF!</definedName>
    <definedName name="Motiv_Bonus" localSheetId="13">#REF!</definedName>
    <definedName name="Motiv_Bonus">#REF!</definedName>
    <definedName name="MOU_GO_out" localSheetId="14">#REF!</definedName>
    <definedName name="MOU_GO_out" localSheetId="12">#REF!</definedName>
    <definedName name="MOU_GO_out" localSheetId="1">#REF!</definedName>
    <definedName name="MOU_GO_out" localSheetId="13">#REF!</definedName>
    <definedName name="MOU_GO_out">#REF!</definedName>
    <definedName name="MOU_Total" localSheetId="14">#REF!</definedName>
    <definedName name="MOU_Total" localSheetId="12">#REF!</definedName>
    <definedName name="MOU_Total" localSheetId="1">#REF!</definedName>
    <definedName name="MOU_Total" localSheetId="13">#REF!</definedName>
    <definedName name="MOU_Total">#REF!</definedName>
    <definedName name="MPS.6" localSheetId="18" hidden="1">{"'bar'!$A$1:$AQ$33","'bar'!$A$10:$B$10"}</definedName>
    <definedName name="MPS.6" hidden="1">{"'bar'!$A$1:$AQ$33","'bar'!$A$10:$B$10"}</definedName>
    <definedName name="MRCSC" localSheetId="1">[64]CCSC!#REF!</definedName>
    <definedName name="MRCSC">[64]CCSC!#REF!</definedName>
    <definedName name="mscl" localSheetId="14">#REF!</definedName>
    <definedName name="mscl" localSheetId="12">#REF!</definedName>
    <definedName name="mscl" localSheetId="1">#REF!</definedName>
    <definedName name="mscl" localSheetId="13">#REF!</definedName>
    <definedName name="mscl">#REF!</definedName>
    <definedName name="Mumbai" localSheetId="14">#REF!</definedName>
    <definedName name="Mumbai" localSheetId="12">#REF!</definedName>
    <definedName name="Mumbai" localSheetId="1">#REF!</definedName>
    <definedName name="Mumbai" localSheetId="13">#REF!</definedName>
    <definedName name="Mumbai">#REF!</definedName>
    <definedName name="MW_hop" localSheetId="14">#REF!</definedName>
    <definedName name="MW_hop" localSheetId="12">#REF!</definedName>
    <definedName name="MW_hop" localSheetId="1">#REF!</definedName>
    <definedName name="MW_hop" localSheetId="13">#REF!</definedName>
    <definedName name="MW_hop">#REF!</definedName>
    <definedName name="MW_lease" localSheetId="14">#REF!</definedName>
    <definedName name="MW_lease" localSheetId="12">#REF!</definedName>
    <definedName name="MW_lease" localSheetId="1">#REF!</definedName>
    <definedName name="MW_lease" localSheetId="13">#REF!</definedName>
    <definedName name="MW_lease">#REF!</definedName>
    <definedName name="MWdata" localSheetId="14">#REF!</definedName>
    <definedName name="MWdata" localSheetId="12">#REF!</definedName>
    <definedName name="MWdata" localSheetId="1">#REF!</definedName>
    <definedName name="MWdata" localSheetId="13">#REF!</definedName>
    <definedName name="MWdata">#REF!</definedName>
    <definedName name="n" localSheetId="11" hidden="1">{"by departments",#N/A,TRUE,"FORECAST";"cap_headcount",#N/A,TRUE,"FORECAST";"summary",#N/A,TRUE,"FORECAST"}</definedName>
    <definedName name="n" localSheetId="15" hidden="1">{"by departments",#N/A,TRUE,"FORECAST";"cap_headcount",#N/A,TRUE,"FORECAST";"summary",#N/A,TRUE,"FORECAST"}</definedName>
    <definedName name="n" localSheetId="18" hidden="1">{"by departments",#N/A,TRUE,"FORECAST";"cap_headcount",#N/A,TRUE,"FORECAST";"summary",#N/A,TRUE,"FORECAST"}</definedName>
    <definedName name="n" localSheetId="14" hidden="1">{"by departments",#N/A,TRUE,"FORECAST";"cap_headcount",#N/A,TRUE,"FORECAST";"summary",#N/A,TRUE,"FORECAST"}</definedName>
    <definedName name="n" localSheetId="12" hidden="1">{"by departments",#N/A,TRUE,"FORECAST";"cap_headcount",#N/A,TRUE,"FORECAST";"summary",#N/A,TRUE,"FORECAST"}</definedName>
    <definedName name="n" localSheetId="13" hidden="1">{"by departments",#N/A,TRUE,"FORECAST";"cap_headcount",#N/A,TRUE,"FORECAST";"summary",#N/A,TRUE,"FORECAST"}</definedName>
    <definedName name="n" hidden="1">{"by departments",#N/A,TRUE,"FORECAST";"cap_headcount",#N/A,TRUE,"FORECAST";"summary",#N/A,TRUE,"FORECAST"}</definedName>
    <definedName name="NACCBS" localSheetId="14">#REF!</definedName>
    <definedName name="NACCBS" localSheetId="12">#REF!</definedName>
    <definedName name="NACCBS" localSheetId="1">#REF!</definedName>
    <definedName name="NACCBS" localSheetId="13">#REF!</definedName>
    <definedName name="NACCBS">#REF!</definedName>
    <definedName name="Naklady" localSheetId="14">#REF!</definedName>
    <definedName name="Naklady" localSheetId="12">#REF!</definedName>
    <definedName name="Naklady" localSheetId="1">#REF!</definedName>
    <definedName name="Naklady" localSheetId="13">#REF!</definedName>
    <definedName name="Naklady">#REF!</definedName>
    <definedName name="Náklady" localSheetId="14">#REF!</definedName>
    <definedName name="Náklady" localSheetId="12">#REF!</definedName>
    <definedName name="Náklady" localSheetId="1">#REF!</definedName>
    <definedName name="Náklady" localSheetId="13">#REF!</definedName>
    <definedName name="Náklady">#REF!</definedName>
    <definedName name="NARM" localSheetId="14">#REF!</definedName>
    <definedName name="NARM" localSheetId="12">#REF!</definedName>
    <definedName name="NARM" localSheetId="1">#REF!</definedName>
    <definedName name="NARM" localSheetId="13">#REF!</definedName>
    <definedName name="NARM">#REF!</definedName>
    <definedName name="Nazvy_ticku_MI" localSheetId="14">#REF!</definedName>
    <definedName name="Nazvy_ticku_MI" localSheetId="12">#REF!</definedName>
    <definedName name="Nazvy_ticku_MI" localSheetId="1">#REF!</definedName>
    <definedName name="Nazvy_ticku_MI" localSheetId="13">#REF!</definedName>
    <definedName name="Nazvy_ticku_MI">#REF!</definedName>
    <definedName name="Názvy_tisku_MI" localSheetId="14">#REF!</definedName>
    <definedName name="Názvy_tisku_MI" localSheetId="12">#REF!</definedName>
    <definedName name="Názvy_tisku_MI" localSheetId="1">#REF!</definedName>
    <definedName name="Názvy_tisku_MI" localSheetId="13">#REF!</definedName>
    <definedName name="Názvy_tisku_MI">#REF!</definedName>
    <definedName name="názvy_tisku_MI_02" localSheetId="14">#REF!</definedName>
    <definedName name="názvy_tisku_MI_02" localSheetId="12">#REF!</definedName>
    <definedName name="názvy_tisku_MI_02" localSheetId="1">#REF!</definedName>
    <definedName name="názvy_tisku_MI_02" localSheetId="13">#REF!</definedName>
    <definedName name="názvy_tisku_MI_02">#REF!</definedName>
    <definedName name="nbc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b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et_Agg_Adds" localSheetId="14">#REF!</definedName>
    <definedName name="Net_Agg_Adds" localSheetId="12">#REF!</definedName>
    <definedName name="Net_Agg_Adds" localSheetId="1">#REF!</definedName>
    <definedName name="Net_Agg_Adds" localSheetId="13">#REF!</definedName>
    <definedName name="Net_Agg_Adds">#REF!</definedName>
    <definedName name="Net_Income" localSheetId="14">#REF!</definedName>
    <definedName name="Net_Income" localSheetId="12">#REF!</definedName>
    <definedName name="Net_Income" localSheetId="1">#REF!</definedName>
    <definedName name="Net_Income" localSheetId="13">#REF!</definedName>
    <definedName name="Net_Income">#REF!</definedName>
    <definedName name="newpdt" localSheetId="18" hidden="1">{#N/A,#N/A,TRUE,"DCF Summary (2)";#N/A,#N/A,TRUE,"DCF Summary";#N/A,"Middle Case Drivers",TRUE,"DCF"}</definedName>
    <definedName name="newpdt" hidden="1">{#N/A,#N/A,TRUE,"DCF Summary (2)";#N/A,#N/A,TRUE,"DCF Summary";#N/A,"Middle Case Drivers",TRUE,"DCF"}</definedName>
    <definedName name="newpdt_1" localSheetId="18" hidden="1">{#N/A,#N/A,TRUE,"DCF Summary (2)";#N/A,#N/A,TRUE,"DCF Summary";#N/A,"Middle Case Drivers",TRUE,"DCF"}</definedName>
    <definedName name="newpdt_1" hidden="1">{#N/A,#N/A,TRUE,"DCF Summary (2)";#N/A,#N/A,TRUE,"DCF Summary";#N/A,"Middle Case Drivers",TRUE,"DCF"}</definedName>
    <definedName name="NI" localSheetId="14">#REF!</definedName>
    <definedName name="NI" localSheetId="12">#REF!</definedName>
    <definedName name="NI" localSheetId="1">#REF!</definedName>
    <definedName name="NI" localSheetId="13">#REF!</definedName>
    <definedName name="NI">#REF!</definedName>
    <definedName name="Nitin" localSheetId="18" hidden="1">#REF!</definedName>
    <definedName name="Nitin" hidden="1">'[65]Sheet3 (2)'!$A$60:$A$76</definedName>
    <definedName name="NMM" localSheetId="14">#REF!</definedName>
    <definedName name="NMM" localSheetId="12">#REF!</definedName>
    <definedName name="NMM" localSheetId="1">#REF!</definedName>
    <definedName name="NMM" localSheetId="13">#REF!</definedName>
    <definedName name="NMM">#REF!</definedName>
    <definedName name="nmnmm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T_NW_CAPEX" localSheetId="14">#REF!</definedName>
    <definedName name="NMT_NW_CAPEX" localSheetId="12">#REF!</definedName>
    <definedName name="NMT_NW_CAPEX" localSheetId="1">#REF!</definedName>
    <definedName name="NMT_NW_CAPEX" localSheetId="13">#REF!</definedName>
    <definedName name="NMT_NW_CAPEX">#REF!</definedName>
    <definedName name="NMT_NW_CIP" localSheetId="14">#REF!</definedName>
    <definedName name="NMT_NW_CIP" localSheetId="12">#REF!</definedName>
    <definedName name="NMT_NW_CIP" localSheetId="1">#REF!</definedName>
    <definedName name="NMT_NW_CIP" localSheetId="13">#REF!</definedName>
    <definedName name="NMT_NW_CIP">#REF!</definedName>
    <definedName name="NMT_NW_Statistics" localSheetId="14">#REF!</definedName>
    <definedName name="NMT_NW_Statistics" localSheetId="12">#REF!</definedName>
    <definedName name="NMT_NW_Statistics" localSheetId="1">#REF!</definedName>
    <definedName name="NMT_NW_Statistics" localSheetId="13">#REF!</definedName>
    <definedName name="NMT_NW_Statistics">#REF!</definedName>
    <definedName name="noidea" localSheetId="11" hidden="1">{#N/A,#N/A,FALSE,"Calc";#N/A,#N/A,FALSE,"Sensitivity";#N/A,#N/A,FALSE,"LT Earn.Dil.";#N/A,#N/A,FALSE,"Dil. AVP"}</definedName>
    <definedName name="noidea" localSheetId="15" hidden="1">{#N/A,#N/A,FALSE,"Calc";#N/A,#N/A,FALSE,"Sensitivity";#N/A,#N/A,FALSE,"LT Earn.Dil.";#N/A,#N/A,FALSE,"Dil. AVP"}</definedName>
    <definedName name="noidea" localSheetId="18" hidden="1">{#N/A,#N/A,FALSE,"Calc";#N/A,#N/A,FALSE,"Sensitivity";#N/A,#N/A,FALSE,"LT Earn.Dil.";#N/A,#N/A,FALSE,"Dil. AVP"}</definedName>
    <definedName name="noidea" localSheetId="14" hidden="1">{#N/A,#N/A,FALSE,"Calc";#N/A,#N/A,FALSE,"Sensitivity";#N/A,#N/A,FALSE,"LT Earn.Dil.";#N/A,#N/A,FALSE,"Dil. AVP"}</definedName>
    <definedName name="noidea" localSheetId="12" hidden="1">{#N/A,#N/A,FALSE,"Calc";#N/A,#N/A,FALSE,"Sensitivity";#N/A,#N/A,FALSE,"LT Earn.Dil.";#N/A,#N/A,FALSE,"Dil. AVP"}</definedName>
    <definedName name="noidea" localSheetId="13" hidden="1">{#N/A,#N/A,FALSE,"Calc";#N/A,#N/A,FALSE,"Sensitivity";#N/A,#N/A,FALSE,"LT Earn.Dil.";#N/A,#N/A,FALSE,"Dil. AVP"}</definedName>
    <definedName name="noidea" hidden="1">{#N/A,#N/A,FALSE,"Calc";#N/A,#N/A,FALSE,"Sensitivity";#N/A,#N/A,FALSE,"LT Earn.Dil.";#N/A,#N/A,FALSE,"Dil. AVP"}</definedName>
    <definedName name="Note_a" localSheetId="1">'[43]Sum proj'!#REF!</definedName>
    <definedName name="Note_a">'[43]Sum proj'!#REF!</definedName>
    <definedName name="Note_aa" localSheetId="1">'[43]Sum proj'!#REF!</definedName>
    <definedName name="Note_aa">'[43]Sum proj'!#REF!</definedName>
    <definedName name="Note_ab" localSheetId="1">'[43]Sum proj'!#REF!</definedName>
    <definedName name="Note_ab">'[43]Sum proj'!#REF!</definedName>
    <definedName name="Note_ac" localSheetId="1">'[43]Sum proj'!#REF!</definedName>
    <definedName name="Note_ac">'[43]Sum proj'!#REF!</definedName>
    <definedName name="Note_b" localSheetId="1">'[43]Sum proj'!#REF!</definedName>
    <definedName name="Note_b">'[43]Sum proj'!#REF!</definedName>
    <definedName name="Note_c" localSheetId="1">'[43]Sum proj'!#REF!</definedName>
    <definedName name="Note_c">'[43]Sum proj'!#REF!</definedName>
    <definedName name="Note_d" localSheetId="1">'[43]Sum proj'!#REF!</definedName>
    <definedName name="Note_d">'[43]Sum proj'!#REF!</definedName>
    <definedName name="Note_e" localSheetId="1">'[43]Sum proj'!#REF!</definedName>
    <definedName name="Note_e">'[43]Sum proj'!#REF!</definedName>
    <definedName name="Note_f" localSheetId="1">'[43]Sum proj'!#REF!</definedName>
    <definedName name="Note_f">'[43]Sum proj'!#REF!</definedName>
    <definedName name="Note_g" localSheetId="1">'[43]Sum proj'!#REF!</definedName>
    <definedName name="Note_g">'[43]Sum proj'!#REF!</definedName>
    <definedName name="Note_h" localSheetId="1">'[43]Sum proj'!#REF!</definedName>
    <definedName name="Note_h">'[43]Sum proj'!#REF!</definedName>
    <definedName name="Note_i" localSheetId="1">'[43]Sum proj'!#REF!</definedName>
    <definedName name="Note_i">'[43]Sum proj'!#REF!</definedName>
    <definedName name="Note_j" localSheetId="1">'[43]Sum proj'!#REF!</definedName>
    <definedName name="Note_j">'[43]Sum proj'!#REF!</definedName>
    <definedName name="Note_k" localSheetId="1">'[43]Sum proj'!#REF!</definedName>
    <definedName name="Note_k">'[43]Sum proj'!#REF!</definedName>
    <definedName name="Note_l" localSheetId="1">'[43]Sum proj'!#REF!</definedName>
    <definedName name="Note_l">'[43]Sum proj'!#REF!</definedName>
    <definedName name="Note_m" localSheetId="1">'[43]Sum proj'!#REF!</definedName>
    <definedName name="Note_m">'[43]Sum proj'!#REF!</definedName>
    <definedName name="Note_n" localSheetId="1">'[43]Sum proj'!#REF!</definedName>
    <definedName name="Note_n">'[43]Sum proj'!#REF!</definedName>
    <definedName name="Note_o" localSheetId="1">'[43]Sum proj'!#REF!</definedName>
    <definedName name="Note_o">'[43]Sum proj'!#REF!</definedName>
    <definedName name="Note_p" localSheetId="1">'[43]Sum proj'!#REF!</definedName>
    <definedName name="Note_p">'[43]Sum proj'!#REF!</definedName>
    <definedName name="Note_q" localSheetId="1">'[43]Sum proj'!#REF!</definedName>
    <definedName name="Note_q">'[43]Sum proj'!#REF!</definedName>
    <definedName name="Note_r" localSheetId="1">'[43]Sum proj'!#REF!</definedName>
    <definedName name="Note_r">'[43]Sum proj'!#REF!</definedName>
    <definedName name="Note_s" localSheetId="1">'[43]Sum proj'!#REF!</definedName>
    <definedName name="Note_s">'[43]Sum proj'!#REF!</definedName>
    <definedName name="Note_t" localSheetId="1">'[43]Sum proj'!#REF!</definedName>
    <definedName name="Note_t">'[43]Sum proj'!#REF!</definedName>
    <definedName name="Note_u" localSheetId="1">'[43]Sum proj'!#REF!</definedName>
    <definedName name="Note_u">'[43]Sum proj'!#REF!</definedName>
    <definedName name="Note_v" localSheetId="1">'[43]Sum proj'!#REF!</definedName>
    <definedName name="Note_v">'[43]Sum proj'!#REF!</definedName>
    <definedName name="Note_w" localSheetId="1">'[43]Sum proj'!#REF!</definedName>
    <definedName name="Note_w">'[43]Sum proj'!#REF!</definedName>
    <definedName name="Note_x" localSheetId="1">'[43]Sum proj'!#REF!</definedName>
    <definedName name="Note_x">'[43]Sum proj'!#REF!</definedName>
    <definedName name="Note_y" localSheetId="1">'[43]Sum proj'!#REF!</definedName>
    <definedName name="Note_y">'[43]Sum proj'!#REF!</definedName>
    <definedName name="Note_z" localSheetId="1">'[43]Sum proj'!#REF!</definedName>
    <definedName name="Note_z">'[43]Sum proj'!#REF!</definedName>
    <definedName name="notes" localSheetId="1">'[43]Sum proj'!#REF!</definedName>
    <definedName name="notes">'[43]Sum proj'!#REF!</definedName>
    <definedName name="Nov_08">[20]CFData!$L$2:$L$1216</definedName>
    <definedName name="November">[20]HRData!$M$2:$M$100</definedName>
    <definedName name="NSMAR" localSheetId="14">#REF!</definedName>
    <definedName name="NSMAR" localSheetId="12">#REF!</definedName>
    <definedName name="NSMAR" localSheetId="1">#REF!</definedName>
    <definedName name="NSMAR" localSheetId="13">#REF!</definedName>
    <definedName name="NSMAR">#REF!</definedName>
    <definedName name="NSMGS" localSheetId="14">#REF!</definedName>
    <definedName name="NSMGS" localSheetId="12">#REF!</definedName>
    <definedName name="NSMGS" localSheetId="1">#REF!</definedName>
    <definedName name="NSMGS" localSheetId="13">#REF!</definedName>
    <definedName name="NSMGS">#REF!</definedName>
    <definedName name="Num_Pmt_Per_Year" localSheetId="14">#REF!</definedName>
    <definedName name="Num_Pmt_Per_Year" localSheetId="12">#REF!</definedName>
    <definedName name="Num_Pmt_Per_Year" localSheetId="1">#REF!</definedName>
    <definedName name="Num_Pmt_Per_Year" localSheetId="13">#REF!</definedName>
    <definedName name="Num_Pmt_Per_Year">#REF!</definedName>
    <definedName name="Number_of_Payments" localSheetId="11">MATCH(0.01,End_Bal,-1)+1</definedName>
    <definedName name="Number_of_Payments" localSheetId="15">MATCH(0.01,End_Bal,-1)+1</definedName>
    <definedName name="Number_of_Payments" localSheetId="14">MATCH(0.01,'Deffred tax 24'!End_Bal,-1)+1</definedName>
    <definedName name="Number_of_Payments" localSheetId="12">MATCH(0.01,'IT DEp 24'!End_Bal,-1)+1</definedName>
    <definedName name="Number_of_Payments" localSheetId="1">MATCH(0.01,LAND!End_Bal,-1)+1</definedName>
    <definedName name="Number_of_Payments" localSheetId="13">MATCH(0.01,'sold mc 24'!End_Bal,-1)+1</definedName>
    <definedName name="Number_of_Payments">MATCH(0.01,End_Bal,-1)+1</definedName>
    <definedName name="nuovo" localSheetId="11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15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18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14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1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13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WNSM" localSheetId="14">#REF!</definedName>
    <definedName name="NWNSM" localSheetId="12">#REF!</definedName>
    <definedName name="NWNSM" localSheetId="1">#REF!</definedName>
    <definedName name="NWNSM" localSheetId="13">#REF!</definedName>
    <definedName name="NWNSM">#REF!</definedName>
    <definedName name="OA_Additions_Deletions_during_year">[20]CapexOAdata!$G$2:$G$12179</definedName>
    <definedName name="OA_Depreciation_for_year">[20]CapexOAdata!$H$2:$H$12179</definedName>
    <definedName name="OA_Fixed_Asset_Type_1">[20]CapexOAdata!$D$2:$D$12179</definedName>
    <definedName name="OA_Opening_balance_on_01.04.2009">[20]CapexOAdata!$F$2:$F$12179</definedName>
    <definedName name="Oblast" localSheetId="14">#REF!</definedName>
    <definedName name="Oblast" localSheetId="12">#REF!</definedName>
    <definedName name="Oblast" localSheetId="1">#REF!</definedName>
    <definedName name="Oblast" localSheetId="13">#REF!</definedName>
    <definedName name="Oblast">#REF!</definedName>
    <definedName name="oblast_formatu" localSheetId="14">#REF!</definedName>
    <definedName name="oblast_formatu" localSheetId="12">#REF!</definedName>
    <definedName name="oblast_formatu" localSheetId="1">#REF!</definedName>
    <definedName name="oblast_formatu" localSheetId="13">#REF!</definedName>
    <definedName name="oblast_formatu">#REF!</definedName>
    <definedName name="OC" localSheetId="14">#REF!</definedName>
    <definedName name="OC" localSheetId="12">#REF!</definedName>
    <definedName name="OC" localSheetId="1">#REF!</definedName>
    <definedName name="OC" localSheetId="13">#REF!</definedName>
    <definedName name="OC">#REF!</definedName>
    <definedName name="OCAP" localSheetId="14">#REF!</definedName>
    <definedName name="OCAP" localSheetId="12">#REF!</definedName>
    <definedName name="OCAP" localSheetId="1">#REF!</definedName>
    <definedName name="OCAP" localSheetId="13">#REF!</definedName>
    <definedName name="OCAP">#REF!</definedName>
    <definedName name="Oct_08">[20]CFData!$K$2:$K$1216</definedName>
    <definedName name="October">[20]HRData!$L$2:$L$100</definedName>
    <definedName name="offer" localSheetId="11">[66]Summary!#REF!</definedName>
    <definedName name="offer" localSheetId="1">[66]Summary!#REF!</definedName>
    <definedName name="offer">[66]Summary!#REF!</definedName>
    <definedName name="offer1" localSheetId="14">#REF!</definedName>
    <definedName name="offer1" localSheetId="12">#REF!</definedName>
    <definedName name="offer1" localSheetId="1">#REF!</definedName>
    <definedName name="offer1" localSheetId="13">#REF!</definedName>
    <definedName name="offer1">#REF!</definedName>
    <definedName name="offer2" localSheetId="1">[67]Summary!#REF!</definedName>
    <definedName name="offer2">[67]Summary!#REF!</definedName>
    <definedName name="ok" localSheetId="11">{0;0;0;0;1;1;0;0;0.6;0.3;2;FALSE;FALSE;FALSE;FALSE;FALSE;#N/A;1;100;#N/A;#N/A;"";""}</definedName>
    <definedName name="ok" localSheetId="15">{0;0;0;0;1;1;0;0;0.6;0.3;2;FALSE;FALSE;FALSE;FALSE;FALSE;#N/A;1;100;#N/A;#N/A;"";""}</definedName>
    <definedName name="ok" localSheetId="14">{0;0;0;0;1;1;0;0;0.6;0.3;2;FALSE;FALSE;FALSE;FALSE;FALSE;#N/A;1;100;#N/A;#N/A;"";""}</definedName>
    <definedName name="ok" localSheetId="12">{0;0;0;0;1;1;0;0;0.6;0.3;2;FALSE;FALSE;FALSE;FALSE;FALSE;#N/A;1;100;#N/A;#N/A;"";""}</definedName>
    <definedName name="ok" localSheetId="13">{0;0;0;0;1;1;0;0;0.6;0.3;2;FALSE;FALSE;FALSE;FALSE;FALSE;#N/A;1;100;#N/A;#N/A;"";""}</definedName>
    <definedName name="ok">{0;0;0;0;1;1;0;0;0.6;0.3;2;FALSE;FALSE;FALSE;FALSE;FALSE;#N/A;1;100;#N/A;#N/A;"";""}</definedName>
    <definedName name="OLA">[2]SalaryData!$EE$10</definedName>
    <definedName name="ONE" localSheetId="11">'[43]Sum proj'!#REF!</definedName>
    <definedName name="ONE" localSheetId="1">'[43]Sum proj'!#REF!</definedName>
    <definedName name="ONE">'[43]Sum proj'!#REF!</definedName>
    <definedName name="oo" localSheetId="18" hidden="1">{"'bar'!$A$1:$AQ$33","'bar'!$A$10:$B$10"}</definedName>
    <definedName name="oo" hidden="1">{"'bar'!$A$1:$AQ$33","'bar'!$A$10:$B$10"}</definedName>
    <definedName name="OOO" localSheetId="18" hidden="1">{"'Sheet1'!$A$4386:$N$4591"}</definedName>
    <definedName name="OOO" hidden="1">{"'Sheet1'!$A$4386:$N$4591"}</definedName>
    <definedName name="ooooo" localSheetId="11" hidden="1">{#N/A,#N/A,FALSE,"Calc";#N/A,#N/A,FALSE,"Sensitivity";#N/A,#N/A,FALSE,"LT Earn.Dil.";#N/A,#N/A,FALSE,"Dil. AVP"}</definedName>
    <definedName name="ooooo" localSheetId="15" hidden="1">{#N/A,#N/A,FALSE,"Calc";#N/A,#N/A,FALSE,"Sensitivity";#N/A,#N/A,FALSE,"LT Earn.Dil.";#N/A,#N/A,FALSE,"Dil. AVP"}</definedName>
    <definedName name="ooooo" localSheetId="18" hidden="1">{#N/A,#N/A,FALSE,"Calc";#N/A,#N/A,FALSE,"Sensitivity";#N/A,#N/A,FALSE,"LT Earn.Dil.";#N/A,#N/A,FALSE,"Dil. AVP"}</definedName>
    <definedName name="ooooo" localSheetId="14" hidden="1">{#N/A,#N/A,FALSE,"Calc";#N/A,#N/A,FALSE,"Sensitivity";#N/A,#N/A,FALSE,"LT Earn.Dil.";#N/A,#N/A,FALSE,"Dil. AVP"}</definedName>
    <definedName name="ooooo" localSheetId="12" hidden="1">{#N/A,#N/A,FALSE,"Calc";#N/A,#N/A,FALSE,"Sensitivity";#N/A,#N/A,FALSE,"LT Earn.Dil.";#N/A,#N/A,FALSE,"Dil. AVP"}</definedName>
    <definedName name="ooooo" localSheetId="13" hidden="1">{#N/A,#N/A,FALSE,"Calc";#N/A,#N/A,FALSE,"Sensitivity";#N/A,#N/A,FALSE,"LT Earn.Dil.";#N/A,#N/A,FALSE,"Dil. AVP"}</definedName>
    <definedName name="ooooo" hidden="1">{#N/A,#N/A,FALSE,"Calc";#N/A,#N/A,FALSE,"Sensitivity";#N/A,#N/A,FALSE,"LT Earn.Dil.";#N/A,#N/A,FALSE,"Dil. AVP"}</definedName>
    <definedName name="operating_scenario" localSheetId="1">[6]LBO!#REF!</definedName>
    <definedName name="operating_scenario">[6]LBO!#REF!</definedName>
    <definedName name="operation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operation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operation1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operation1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operation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operation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OPERMARG" localSheetId="14">#REF!</definedName>
    <definedName name="OPERMARG" localSheetId="12">#REF!</definedName>
    <definedName name="OPERMARG" localSheetId="1">#REF!</definedName>
    <definedName name="OPERMARG" localSheetId="13">#REF!</definedName>
    <definedName name="OPERMARG">#REF!</definedName>
    <definedName name="Opex_Amount">[20]OpexData!$F$2:$F$1153</definedName>
    <definedName name="Opex_Heads">[20]OpexData!$C$2:$C$1153</definedName>
    <definedName name="Opex_Month">[20]OpexData!$E$2:$E$1153</definedName>
    <definedName name="Opex_Projects">[20]OpexData!$B$2:$B$1153</definedName>
    <definedName name="Opex_Sector">[20]OpexData!$A$2:$A$1153</definedName>
    <definedName name="OPEX1" localSheetId="14">#REF!</definedName>
    <definedName name="OPEX1" localSheetId="12">#REF!</definedName>
    <definedName name="OPEX1" localSheetId="1">#REF!</definedName>
    <definedName name="OPEX1" localSheetId="13">#REF!</definedName>
    <definedName name="OPEX1">#REF!</definedName>
    <definedName name="OPEX10" localSheetId="14">#REF!</definedName>
    <definedName name="OPEX10" localSheetId="12">#REF!</definedName>
    <definedName name="OPEX10" localSheetId="1">#REF!</definedName>
    <definedName name="OPEX10" localSheetId="13">#REF!</definedName>
    <definedName name="OPEX10">#REF!</definedName>
    <definedName name="OPEX2" localSheetId="14">#REF!</definedName>
    <definedName name="OPEX2" localSheetId="12">#REF!</definedName>
    <definedName name="OPEX2" localSheetId="1">#REF!</definedName>
    <definedName name="OPEX2" localSheetId="13">#REF!</definedName>
    <definedName name="OPEX2">#REF!</definedName>
    <definedName name="OPEX3" localSheetId="14">#REF!</definedName>
    <definedName name="OPEX3" localSheetId="12">#REF!</definedName>
    <definedName name="OPEX3" localSheetId="1">#REF!</definedName>
    <definedName name="OPEX3" localSheetId="13">#REF!</definedName>
    <definedName name="OPEX3">#REF!</definedName>
    <definedName name="OPEX4" localSheetId="14">#REF!</definedName>
    <definedName name="OPEX4" localSheetId="12">#REF!</definedName>
    <definedName name="OPEX4" localSheetId="1">#REF!</definedName>
    <definedName name="OPEX4" localSheetId="13">#REF!</definedName>
    <definedName name="OPEX4">#REF!</definedName>
    <definedName name="OPEX5" localSheetId="14">#REF!</definedName>
    <definedName name="OPEX5" localSheetId="12">#REF!</definedName>
    <definedName name="OPEX5" localSheetId="1">#REF!</definedName>
    <definedName name="OPEX5" localSheetId="13">#REF!</definedName>
    <definedName name="OPEX5">#REF!</definedName>
    <definedName name="OPEX6" localSheetId="14">#REF!</definedName>
    <definedName name="OPEX6" localSheetId="12">#REF!</definedName>
    <definedName name="OPEX6" localSheetId="1">#REF!</definedName>
    <definedName name="OPEX6" localSheetId="13">#REF!</definedName>
    <definedName name="OPEX6">#REF!</definedName>
    <definedName name="OPEX7" localSheetId="14">#REF!</definedName>
    <definedName name="OPEX7" localSheetId="12">#REF!</definedName>
    <definedName name="OPEX7" localSheetId="1">#REF!</definedName>
    <definedName name="OPEX7" localSheetId="13">#REF!</definedName>
    <definedName name="OPEX7">#REF!</definedName>
    <definedName name="OPEX8" localSheetId="14">#REF!</definedName>
    <definedName name="OPEX8" localSheetId="12">#REF!</definedName>
    <definedName name="OPEX8" localSheetId="1">#REF!</definedName>
    <definedName name="OPEX8" localSheetId="13">#REF!</definedName>
    <definedName name="OPEX8">#REF!</definedName>
    <definedName name="OPEX9" localSheetId="14">#REF!</definedName>
    <definedName name="OPEX9" localSheetId="12">#REF!</definedName>
    <definedName name="OPEX9" localSheetId="1">#REF!</definedName>
    <definedName name="OPEX9" localSheetId="13">#REF!</definedName>
    <definedName name="OPEX9">#REF!</definedName>
    <definedName name="opexp" localSheetId="14">#REF!</definedName>
    <definedName name="opexp" localSheetId="12">#REF!</definedName>
    <definedName name="opexp" localSheetId="1">#REF!</definedName>
    <definedName name="opexp" localSheetId="13">#REF!</definedName>
    <definedName name="opexp">#REF!</definedName>
    <definedName name="OR" localSheetId="14">#REF!</definedName>
    <definedName name="OR" localSheetId="12">#REF!</definedName>
    <definedName name="OR" localSheetId="1">#REF!</definedName>
    <definedName name="OR" localSheetId="13">#REF!</definedName>
    <definedName name="OR">#REF!</definedName>
    <definedName name="os" localSheetId="14">#REF!</definedName>
    <definedName name="os" localSheetId="12">#REF!</definedName>
    <definedName name="os" localSheetId="1">#REF!</definedName>
    <definedName name="os" localSheetId="13">#REF!</definedName>
    <definedName name="os">#REF!</definedName>
    <definedName name="OT" localSheetId="14">#REF!</definedName>
    <definedName name="OT" localSheetId="12">#REF!</definedName>
    <definedName name="OT" localSheetId="1">#REF!</definedName>
    <definedName name="OT" localSheetId="13">#REF!</definedName>
    <definedName name="OT">#REF!</definedName>
    <definedName name="Other" localSheetId="18" hidden="1">{#N/A,#N/A,TRUE,"DCF Summary (2)";#N/A,#N/A,TRUE,"DCF Summary";#N/A,"Middle Case Drivers",TRUE,"DCF"}</definedName>
    <definedName name="Other" hidden="1">{#N/A,#N/A,TRUE,"DCF Summary (2)";#N/A,#N/A,TRUE,"DCF Summary";#N/A,"Middle Case Drivers",TRUE,"DCF"}</definedName>
    <definedName name="Other_1" localSheetId="18" hidden="1">{#N/A,#N/A,TRUE,"DCF Summary (2)";#N/A,#N/A,TRUE,"DCF Summary";#N/A,"Middle Case Drivers",TRUE,"DCF"}</definedName>
    <definedName name="Other_1" hidden="1">{#N/A,#N/A,TRUE,"DCF Summary (2)";#N/A,#N/A,TRUE,"DCF Summary";#N/A,"Middle Case Drivers",TRUE,"DCF"}</definedName>
    <definedName name="OTHER_EQUIP" localSheetId="14">#REF!</definedName>
    <definedName name="OTHER_EQUIP" localSheetId="12">#REF!</definedName>
    <definedName name="OTHER_EQUIP" localSheetId="1">#REF!</definedName>
    <definedName name="OTHER_EQUIP" localSheetId="13">#REF!</definedName>
    <definedName name="OTHER_EQUIP">#REF!</definedName>
    <definedName name="Otherdata" localSheetId="14">#REF!</definedName>
    <definedName name="Otherdata" localSheetId="12">#REF!</definedName>
    <definedName name="Otherdata" localSheetId="1">#REF!</definedName>
    <definedName name="Otherdata" localSheetId="13">#REF!</definedName>
    <definedName name="Otherdata">#REF!</definedName>
    <definedName name="OutputEV">[28]Valuation!$J$36,[28]Valuation!$J$29:$J$31</definedName>
    <definedName name="OutputMarketCap">[28]Valuation!$G$36,[28]Valuation!$G$29:$G$31</definedName>
    <definedName name="OutputPrice">[28]Valuation!$E$36</definedName>
    <definedName name="OUTR_GO" localSheetId="14">#REF!</definedName>
    <definedName name="OUTR_GO" localSheetId="12">#REF!</definedName>
    <definedName name="OUTR_GO" localSheetId="1">#REF!</definedName>
    <definedName name="OUTR_GO" localSheetId="13">#REF!</definedName>
    <definedName name="OUTR_GO">#REF!</definedName>
    <definedName name="OUTR_N" localSheetId="14">#REF!</definedName>
    <definedName name="OUTR_N" localSheetId="12">#REF!</definedName>
    <definedName name="OUTR_N" localSheetId="1">#REF!</definedName>
    <definedName name="OUTR_N" localSheetId="13">#REF!</definedName>
    <definedName name="OUTR_N">#REF!</definedName>
    <definedName name="OUTR_T" localSheetId="14">#REF!</definedName>
    <definedName name="OUTR_T" localSheetId="12">#REF!</definedName>
    <definedName name="OUTR_T" localSheetId="1">#REF!</definedName>
    <definedName name="OUTR_T" localSheetId="13">#REF!</definedName>
    <definedName name="OUTR_T">#REF!</definedName>
    <definedName name="OWN" localSheetId="14">#REF!</definedName>
    <definedName name="OWN" localSheetId="12">#REF!</definedName>
    <definedName name="OWN" localSheetId="1">#REF!</definedName>
    <definedName name="OWN" localSheetId="13">#REF!</definedName>
    <definedName name="OWN">#REF!</definedName>
    <definedName name="oz6k" localSheetId="1">'[24]Krycí list'!#REF!</definedName>
    <definedName name="oz6k">'[25]Krycí list'!#REF!</definedName>
    <definedName name="P_L_Amount" localSheetId="1">[68]PLData!#REF!</definedName>
    <definedName name="P_L_Amount">[68]PLData!#REF!</definedName>
    <definedName name="P_L_Apr">[20]PLData!$E$2:$E$550</definedName>
    <definedName name="P_L_Aug">[20]PLData!$I$2:$I$550</definedName>
    <definedName name="P_L_Dec">[20]PLData!$M$2:$M$550</definedName>
    <definedName name="P_L_Feb">[20]PLData!$O$2:$O$550</definedName>
    <definedName name="P_L_Heads">[20]PLData!$C$2:$C$550</definedName>
    <definedName name="P_L_Jan">[20]PLData!$N$2:$N$550</definedName>
    <definedName name="P_L_Jul">[20]PLData!$H$2:$H$550</definedName>
    <definedName name="P_L_Jun">[20]PLData!$G$2:$G$550</definedName>
    <definedName name="P_L_Mar">[20]PLData!$P$2:$P$550</definedName>
    <definedName name="P_L_May">[20]PLData!$F$2:$F$550</definedName>
    <definedName name="P_L_Nov">[20]PLData!$L$2:$L$550</definedName>
    <definedName name="P_L_Oct">[20]PLData!$K$2:$K$550</definedName>
    <definedName name="P_L_Projects">[20]PLData!$B$2:$B$550</definedName>
    <definedName name="P_L_Sector">[20]PLData!$A$2:$A$550</definedName>
    <definedName name="P_L_Sep">[20]PLData!$J$2:$J$550</definedName>
    <definedName name="P_L_Sum">[20]PLData!$Q$2:$Q$550</definedName>
    <definedName name="PAGE1" localSheetId="14">#REF!</definedName>
    <definedName name="PAGE1" localSheetId="12">#REF!</definedName>
    <definedName name="PAGE1" localSheetId="1">#REF!</definedName>
    <definedName name="PAGE1" localSheetId="13">#REF!</definedName>
    <definedName name="PAGE1">#REF!</definedName>
    <definedName name="PAGE10" localSheetId="14">#REF!</definedName>
    <definedName name="PAGE10" localSheetId="12">#REF!</definedName>
    <definedName name="PAGE10" localSheetId="1">#REF!</definedName>
    <definedName name="PAGE10" localSheetId="13">#REF!</definedName>
    <definedName name="PAGE10">#REF!</definedName>
    <definedName name="PAGE11" localSheetId="14">#REF!</definedName>
    <definedName name="PAGE11" localSheetId="12">#REF!</definedName>
    <definedName name="PAGE11" localSheetId="1">#REF!</definedName>
    <definedName name="PAGE11" localSheetId="13">#REF!</definedName>
    <definedName name="PAGE11">#REF!</definedName>
    <definedName name="PAGE12" localSheetId="14">#REF!</definedName>
    <definedName name="PAGE12" localSheetId="12">#REF!</definedName>
    <definedName name="PAGE12" localSheetId="1">#REF!</definedName>
    <definedName name="PAGE12" localSheetId="13">#REF!</definedName>
    <definedName name="PAGE12">#REF!</definedName>
    <definedName name="PAGE13" localSheetId="14">#REF!</definedName>
    <definedName name="PAGE13" localSheetId="12">#REF!</definedName>
    <definedName name="PAGE13" localSheetId="1">#REF!</definedName>
    <definedName name="PAGE13" localSheetId="13">#REF!</definedName>
    <definedName name="PAGE13">#REF!</definedName>
    <definedName name="PAGE15" localSheetId="14">#REF!</definedName>
    <definedName name="PAGE15" localSheetId="12">#REF!</definedName>
    <definedName name="PAGE15" localSheetId="1">#REF!</definedName>
    <definedName name="PAGE15" localSheetId="13">#REF!</definedName>
    <definedName name="PAGE15">#REF!</definedName>
    <definedName name="PAGE16" localSheetId="14">#REF!</definedName>
    <definedName name="PAGE16" localSheetId="12">#REF!</definedName>
    <definedName name="PAGE16" localSheetId="1">#REF!</definedName>
    <definedName name="PAGE16" localSheetId="13">#REF!</definedName>
    <definedName name="PAGE16">#REF!</definedName>
    <definedName name="PAGE17" localSheetId="14">#REF!</definedName>
    <definedName name="PAGE17" localSheetId="12">#REF!</definedName>
    <definedName name="PAGE17" localSheetId="1">#REF!</definedName>
    <definedName name="PAGE17" localSheetId="13">#REF!</definedName>
    <definedName name="PAGE17">#REF!</definedName>
    <definedName name="PAGE2" localSheetId="1">'[49]Co. C'!#REF!</definedName>
    <definedName name="PAGE2">'[49]Co. C'!#REF!</definedName>
    <definedName name="PAGE3" localSheetId="1">'[49]Co. C'!#REF!</definedName>
    <definedName name="PAGE3">'[49]Co. C'!#REF!</definedName>
    <definedName name="PAGE4" localSheetId="14">#REF!</definedName>
    <definedName name="PAGE4" localSheetId="12">#REF!</definedName>
    <definedName name="PAGE4" localSheetId="1">#REF!</definedName>
    <definedName name="PAGE4" localSheetId="13">#REF!</definedName>
    <definedName name="PAGE4">#REF!</definedName>
    <definedName name="PAGE5" localSheetId="1">'[49]Co. C'!#REF!</definedName>
    <definedName name="PAGE5">'[49]Co. C'!#REF!</definedName>
    <definedName name="PAGE6" localSheetId="14">#REF!</definedName>
    <definedName name="PAGE6" localSheetId="12">#REF!</definedName>
    <definedName name="PAGE6" localSheetId="1">#REF!</definedName>
    <definedName name="PAGE6" localSheetId="13">#REF!</definedName>
    <definedName name="PAGE6">#REF!</definedName>
    <definedName name="PAGE6A" localSheetId="14">#REF!</definedName>
    <definedName name="PAGE6A" localSheetId="12">#REF!</definedName>
    <definedName name="PAGE6A" localSheetId="1">#REF!</definedName>
    <definedName name="PAGE6A" localSheetId="13">#REF!</definedName>
    <definedName name="PAGE6A">#REF!</definedName>
    <definedName name="PAGE7" localSheetId="14">#REF!</definedName>
    <definedName name="PAGE7" localSheetId="12">#REF!</definedName>
    <definedName name="PAGE7" localSheetId="1">#REF!</definedName>
    <definedName name="PAGE7" localSheetId="13">#REF!</definedName>
    <definedName name="PAGE7">#REF!</definedName>
    <definedName name="PAGE8" localSheetId="14">#REF!</definedName>
    <definedName name="PAGE8" localSheetId="12">#REF!</definedName>
    <definedName name="PAGE8" localSheetId="1">#REF!</definedName>
    <definedName name="PAGE8" localSheetId="13">#REF!</definedName>
    <definedName name="PAGE8">#REF!</definedName>
    <definedName name="PAGE9" localSheetId="14">#REF!</definedName>
    <definedName name="PAGE9" localSheetId="12">#REF!</definedName>
    <definedName name="PAGE9" localSheetId="1">#REF!</definedName>
    <definedName name="PAGE9" localSheetId="13">#REF!</definedName>
    <definedName name="PAGE9">#REF!</definedName>
    <definedName name="PAGE9A" localSheetId="14">#REF!</definedName>
    <definedName name="PAGE9A" localSheetId="12">#REF!</definedName>
    <definedName name="PAGE9A" localSheetId="1">#REF!</definedName>
    <definedName name="PAGE9A" localSheetId="13">#REF!</definedName>
    <definedName name="PAGE9A">#REF!</definedName>
    <definedName name="PAGE9B" localSheetId="14">#REF!</definedName>
    <definedName name="PAGE9B" localSheetId="12">#REF!</definedName>
    <definedName name="PAGE9B" localSheetId="1">#REF!</definedName>
    <definedName name="PAGE9B" localSheetId="13">#REF!</definedName>
    <definedName name="PAGE9B">#REF!</definedName>
    <definedName name="PAGE9C" localSheetId="14">#REF!</definedName>
    <definedName name="PAGE9C" localSheetId="12">#REF!</definedName>
    <definedName name="PAGE9C" localSheetId="1">#REF!</definedName>
    <definedName name="PAGE9C" localSheetId="13">#REF!</definedName>
    <definedName name="PAGE9C">#REF!</definedName>
    <definedName name="PAI" localSheetId="18" hidden="1">{#N/A,#N/A,FALSE,"Aging Summary";#N/A,#N/A,FALSE,"Ratio Analysis";#N/A,#N/A,FALSE,"Test 120 Day Accts";#N/A,#N/A,FALSE,"Tickmarks"}</definedName>
    <definedName name="PAI" hidden="1">{#N/A,#N/A,FALSE,"Aging Summary";#N/A,#N/A,FALSE,"Ratio Analysis";#N/A,#N/A,FALSE,"Test 120 Day Accts";#N/A,#N/A,FALSE,"Tickmarks"}</definedName>
    <definedName name="PAI_1" localSheetId="18" hidden="1">{#N/A,#N/A,FALSE,"Aging Summary";#N/A,#N/A,FALSE,"Ratio Analysis";#N/A,#N/A,FALSE,"Test 120 Day Accts";#N/A,#N/A,FALSE,"Tickmarks"}</definedName>
    <definedName name="PAI_1" hidden="1">{#N/A,#N/A,FALSE,"Aging Summary";#N/A,#N/A,FALSE,"Ratio Analysis";#N/A,#N/A,FALSE,"Test 120 Day Accts";#N/A,#N/A,FALSE,"Tickmarks"}</definedName>
    <definedName name="parse" localSheetId="18" hidden="1">#REF!</definedName>
    <definedName name="parse" localSheetId="1" hidden="1">#REF!</definedName>
    <definedName name="parse" hidden="1">#REF!</definedName>
    <definedName name="pat" localSheetId="11">IF([51]ProSum!XEY1048560&lt;&gt;"",MIN([51]ProSum!XFA1048560,[0]!Pmt_to_use-[51]ProSum!XFB1048560),"")</definedName>
    <definedName name="pat" localSheetId="15">IF([51]ProSum!XEY1048560&lt;&gt;"",MIN([51]ProSum!XFA1048560,[0]!Pmt_to_use-[51]ProSum!XFB1048560),"")</definedName>
    <definedName name="pat" localSheetId="14">IF([51]ProSum!XEY1048560&lt;&gt;"",MIN([51]ProSum!XFA1048560,[0]!Pmt_to_use-[51]ProSum!XFB1048560),"")</definedName>
    <definedName name="pat" localSheetId="12">IF([51]ProSum!XEY1048560&lt;&gt;"",MIN([51]ProSum!XFA1048560,[0]!Pmt_to_use-[51]ProSum!XFB1048560),"")</definedName>
    <definedName name="pat" localSheetId="13">IF([51]ProSum!XEY1048560&lt;&gt;"",MIN([51]ProSum!XFA1048560,[0]!Pmt_to_use-[51]ProSum!XFB1048560),"")</definedName>
    <definedName name="pat">IF([51]ProSum!XEY1048560&lt;&gt;"",MIN([51]ProSum!XFA1048560,[0]!Pmt_to_use-[51]ProSum!XFB1048560),"")</definedName>
    <definedName name="PAy" localSheetId="18" hidden="1">{#N/A,#N/A,FALSE,"Aging Summary";#N/A,#N/A,FALSE,"Ratio Analysis";#N/A,#N/A,FALSE,"Test 120 Day Accts";#N/A,#N/A,FALSE,"Tickmarks"}</definedName>
    <definedName name="PAy" hidden="1">{#N/A,#N/A,FALSE,"Aging Summary";#N/A,#N/A,FALSE,"Ratio Analysis";#N/A,#N/A,FALSE,"Test 120 Day Accts";#N/A,#N/A,FALSE,"Tickmarks"}</definedName>
    <definedName name="PAy_1" localSheetId="18" hidden="1">{#N/A,#N/A,FALSE,"Aging Summary";#N/A,#N/A,FALSE,"Ratio Analysis";#N/A,#N/A,FALSE,"Test 120 Day Accts";#N/A,#N/A,FALSE,"Tickmarks"}</definedName>
    <definedName name="PAy_1" hidden="1">{#N/A,#N/A,FALSE,"Aging Summary";#N/A,#N/A,FALSE,"Ratio Analysis";#N/A,#N/A,FALSE,"Test 120 Day Accts";#N/A,#N/A,FALSE,"Tickmarks"}</definedName>
    <definedName name="Pay_Date" localSheetId="14">#REF!</definedName>
    <definedName name="Pay_Date" localSheetId="12">#REF!</definedName>
    <definedName name="Pay_Date" localSheetId="1">#REF!</definedName>
    <definedName name="Pay_Date" localSheetId="13">#REF!</definedName>
    <definedName name="Pay_Date">#REF!</definedName>
    <definedName name="Pay_Num" localSheetId="14">#REF!</definedName>
    <definedName name="Pay_Num" localSheetId="12">#REF!</definedName>
    <definedName name="Pay_Num" localSheetId="1">#REF!</definedName>
    <definedName name="Pay_Num" localSheetId="13">#REF!</definedName>
    <definedName name="Pay_Num">#REF!</definedName>
    <definedName name="payment.Num" localSheetId="11">IF(OR([51]ProSum!XFC1048559="",[51]ProSum!XFC1048559='Add21-22'!Total_payments),"",[51]ProSum!XFC1048559+1)</definedName>
    <definedName name="payment.Num" localSheetId="15">IF(OR([51]ProSum!XFC1048559="",[51]ProSum!XFC1048559='Add22-23'!Total_payments),"",[51]ProSum!XFC1048559+1)</definedName>
    <definedName name="payment.Num" localSheetId="14">IF(OR([51]ProSum!XFC1048559="",[51]ProSum!XFC1048559='Deffred tax 24'!Total_payments),"",[51]ProSum!XFC1048559+1)</definedName>
    <definedName name="payment.Num" localSheetId="12">IF(OR([51]ProSum!XFC1048559="",[51]ProSum!XFC1048559='IT DEp 24'!Total_payments),"",[51]ProSum!XFC1048559+1)</definedName>
    <definedName name="payment.Num" localSheetId="13">IF(OR([51]ProSum!XFC1048559="",[51]ProSum!XFC1048559='sold mc 24'!Total_payments),"",[51]ProSum!XFC1048559+1)</definedName>
    <definedName name="payment.Num">IF(OR([51]ProSum!XFC1048559="",[51]ProSum!XFC1048559=[0]!Total_payments),"",[51]ProSum!XFC1048559+1)</definedName>
    <definedName name="Payment_Date" localSheetId="11">DATE(YEAR(Loan_Start),MONTH(Loan_Start)+Payment_Number,DAY(Loan_Start))</definedName>
    <definedName name="Payment_Date" localSheetId="15">DATE(YEAR(Loan_Start),MONTH(Loan_Start)+Payment_Number,DAY(Loan_Start))</definedName>
    <definedName name="Payment_Date" localSheetId="14">DATE(YEAR('Deffred tax 24'!Loan_Start),MONTH('Deffred tax 24'!Loan_Start)+Payment_Number,DAY('Deffred tax 24'!Loan_Start))</definedName>
    <definedName name="Payment_Date" localSheetId="12">DATE(YEAR('IT DEp 24'!Loan_Start),MONTH('IT DEp 24'!Loan_Start)+Payment_Number,DAY('IT DEp 24'!Loan_Start))</definedName>
    <definedName name="Payment_Date" localSheetId="1">DATE(YEAR(LAND!Loan_Start),MONTH(LAND!Loan_Start)+Payment_Number,DAY(LAND!Loan_Start))</definedName>
    <definedName name="Payment_Date" localSheetId="13">DATE(YEAR('sold mc 24'!Loan_Start),MONTH('sold mc 24'!Loan_Start)+Payment_Number,DAY('sold mc 24'!Loan_Start))</definedName>
    <definedName name="Payment_Date">DATE(YEAR(Loan_Start),MONTH(Loan_Start)+Payment_Number,DAY(Loan_Start))</definedName>
    <definedName name="Payments_per_year">[27]DATA!$C$6</definedName>
    <definedName name="PCIPLSUM">#N/A</definedName>
    <definedName name="pcis" localSheetId="1">[69]!pcis</definedName>
    <definedName name="pcis">[69]!pcis</definedName>
    <definedName name="pcis_01" localSheetId="1">[69]!pcis</definedName>
    <definedName name="pcis_01">[69]!pcis</definedName>
    <definedName name="pcs" localSheetId="14">#REF!</definedName>
    <definedName name="pcs" localSheetId="12">#REF!</definedName>
    <definedName name="pcs" localSheetId="1">#REF!</definedName>
    <definedName name="pcs" localSheetId="13">#REF!</definedName>
    <definedName name="pcs">#REF!</definedName>
    <definedName name="PCT" localSheetId="14">#REF!</definedName>
    <definedName name="PCT" localSheetId="12">#REF!</definedName>
    <definedName name="PCT" localSheetId="1">#REF!</definedName>
    <definedName name="PCT" localSheetId="13">#REF!</definedName>
    <definedName name="PCT">#REF!</definedName>
    <definedName name="Pensions" localSheetId="14">#REF!</definedName>
    <definedName name="Pensions" localSheetId="12">#REF!</definedName>
    <definedName name="Pensions" localSheetId="1">#REF!</definedName>
    <definedName name="Pensions" localSheetId="13">#REF!</definedName>
    <definedName name="Pensions">#REF!</definedName>
    <definedName name="PER" localSheetId="14">#REF!</definedName>
    <definedName name="PER" localSheetId="12">#REF!</definedName>
    <definedName name="PER" localSheetId="1">#REF!</definedName>
    <definedName name="PER" localSheetId="13">#REF!</definedName>
    <definedName name="PER">#REF!</definedName>
    <definedName name="Percent">#N/A</definedName>
    <definedName name="percent_inc">[70]Assistance!$D$3</definedName>
    <definedName name="period">13</definedName>
    <definedName name="Periode" localSheetId="14">#REF!</definedName>
    <definedName name="Periode" localSheetId="12">#REF!</definedName>
    <definedName name="Periode" localSheetId="1">#REF!</definedName>
    <definedName name="Periode" localSheetId="13">#REF!</definedName>
    <definedName name="Periode">#REF!</definedName>
    <definedName name="Periodic_rate" localSheetId="11">[0]!Annual_interest_rate/[0]!Payments_per_year</definedName>
    <definedName name="Periodic_rate" localSheetId="15">[0]!Annual_interest_rate/[0]!Payments_per_year</definedName>
    <definedName name="Periodic_rate" localSheetId="14">[0]!Annual_interest_rate/[0]!Payments_per_year</definedName>
    <definedName name="Periodic_rate" localSheetId="12">[0]!Annual_interest_rate/[0]!Payments_per_year</definedName>
    <definedName name="Periodic_rate" localSheetId="1">[0]!Annual_interest_rate/[0]!Payments_per_year</definedName>
    <definedName name="Periodic_rate" localSheetId="13">[0]!Annual_interest_rate/[0]!Payments_per_year</definedName>
    <definedName name="Periodic_rate">[0]!Annual_interest_rate/[0]!Payments_per_year</definedName>
    <definedName name="periodjaar" localSheetId="14">#REF!</definedName>
    <definedName name="periodjaar" localSheetId="12">#REF!</definedName>
    <definedName name="periodjaar" localSheetId="1">#REF!</definedName>
    <definedName name="periodjaar" localSheetId="13">#REF!</definedName>
    <definedName name="periodjaar">#REF!</definedName>
    <definedName name="PeriodPrev" localSheetId="14">#REF!</definedName>
    <definedName name="PeriodPrev" localSheetId="12">#REF!</definedName>
    <definedName name="PeriodPrev" localSheetId="1">#REF!</definedName>
    <definedName name="PeriodPrev" localSheetId="13">#REF!</definedName>
    <definedName name="PeriodPrev">#REF!</definedName>
    <definedName name="PERSNL" localSheetId="14">#REF!</definedName>
    <definedName name="PERSNL" localSheetId="12">#REF!</definedName>
    <definedName name="PERSNL" localSheetId="1">#REF!</definedName>
    <definedName name="PERSNL" localSheetId="13">#REF!</definedName>
    <definedName name="PERSNL">#REF!</definedName>
    <definedName name="PESO" localSheetId="1">'[43]Sum proj'!#REF!</definedName>
    <definedName name="PESO">'[43]Sum proj'!#REF!</definedName>
    <definedName name="PFPRICE" localSheetId="14">#REF!</definedName>
    <definedName name="PFPRICE" localSheetId="12">#REF!</definedName>
    <definedName name="PFPRICE" localSheetId="1">#REF!</definedName>
    <definedName name="PFPRICE" localSheetId="13">#REF!</definedName>
    <definedName name="PFPRICE">#REF!</definedName>
    <definedName name="PFPRICE2" localSheetId="14">#REF!</definedName>
    <definedName name="PFPRICE2" localSheetId="12">#REF!</definedName>
    <definedName name="PFPRICE2" localSheetId="1">#REF!</definedName>
    <definedName name="PFPRICE2" localSheetId="13">#REF!</definedName>
    <definedName name="PFPRICE2">#REF!</definedName>
    <definedName name="Phillieco" localSheetId="14">#REF!</definedName>
    <definedName name="Phillieco" localSheetId="12">#REF!</definedName>
    <definedName name="Phillieco" localSheetId="1">#REF!</definedName>
    <definedName name="Phillieco" localSheetId="13">#REF!</definedName>
    <definedName name="Phillieco">#REF!</definedName>
    <definedName name="pik" localSheetId="14">#REF!</definedName>
    <definedName name="pik" localSheetId="12">#REF!</definedName>
    <definedName name="pik" localSheetId="1">#REF!</definedName>
    <definedName name="pik" localSheetId="13">#REF!</definedName>
    <definedName name="pik">#REF!</definedName>
    <definedName name="pipe" localSheetId="18" hidden="1">{"'Typical Costs Estimates'!$C$158:$H$161"}</definedName>
    <definedName name="pipe" hidden="1">{"'Typical Costs Estimates'!$C$158:$H$161"}</definedName>
    <definedName name="PL_Run_Rates" localSheetId="14">#REF!</definedName>
    <definedName name="PL_Run_Rates" localSheetId="12">#REF!</definedName>
    <definedName name="PL_Run_Rates" localSheetId="1">#REF!</definedName>
    <definedName name="PL_Run_Rates" localSheetId="13">#REF!</definedName>
    <definedName name="PL_Run_Rates">#REF!</definedName>
    <definedName name="PM_Projects">[20]CapexPMdata!$B$2:$B$2688</definedName>
    <definedName name="PM_Sector">[20]CapexPMdata!$A$2:$A$2688</definedName>
    <definedName name="PM_Total_Value">[20]CapexPMdata!$Q$2:$Q$2688</definedName>
    <definedName name="Pmt_to_use">[27]DATA!$C$12</definedName>
    <definedName name="pooling_Premium">25%</definedName>
    <definedName name="Pop_Growth_Rate" localSheetId="14">#REF!</definedName>
    <definedName name="Pop_Growth_Rate" localSheetId="12">#REF!</definedName>
    <definedName name="Pop_Growth_Rate" localSheetId="1">#REF!</definedName>
    <definedName name="Pop_Growth_Rate" localSheetId="13">#REF!</definedName>
    <definedName name="Pop_Growth_Rate">#REF!</definedName>
    <definedName name="popeak" localSheetId="14">#REF!</definedName>
    <definedName name="popeak" localSheetId="12">#REF!</definedName>
    <definedName name="popeak" localSheetId="1">#REF!</definedName>
    <definedName name="popeak" localSheetId="13">#REF!</definedName>
    <definedName name="popeak">#REF!</definedName>
    <definedName name="pops" localSheetId="14">#REF!</definedName>
    <definedName name="pops" localSheetId="12">#REF!</definedName>
    <definedName name="pops" localSheetId="1">#REF!</definedName>
    <definedName name="pops" localSheetId="13">#REF!</definedName>
    <definedName name="pops">#REF!</definedName>
    <definedName name="pp" localSheetId="11" hidden="1">{#N/A,#N/A,FALSE,"COMICRO";#N/A,#N/A,FALSE,"BALSCH";#N/A,#N/A,FALSE,"GLASS";#N/A,#N/A,FALSE,"DEPRE";#N/A,#N/A,FALSE,"A&amp;MCUR";#N/A,#N/A,FALSE,"AGEANAlysis";#N/A,#N/A,FALSE,"CHECKS";#N/A,#N/A,FALSE,"CHECKS"}</definedName>
    <definedName name="pp" localSheetId="15" hidden="1">{#N/A,#N/A,FALSE,"COMICRO";#N/A,#N/A,FALSE,"BALSCH";#N/A,#N/A,FALSE,"GLASS";#N/A,#N/A,FALSE,"DEPRE";#N/A,#N/A,FALSE,"A&amp;MCUR";#N/A,#N/A,FALSE,"AGEANAlysis";#N/A,#N/A,FALSE,"CHECKS";#N/A,#N/A,FALSE,"CHECKS"}</definedName>
    <definedName name="pp" localSheetId="18" hidden="1">{#N/A,#N/A,FALSE,"COMICRO";#N/A,#N/A,FALSE,"BALSCH";#N/A,#N/A,FALSE,"GLASS";#N/A,#N/A,FALSE,"DEPRE";#N/A,#N/A,FALSE,"A&amp;MCUR";#N/A,#N/A,FALSE,"AGEANAlysis";#N/A,#N/A,FALSE,"CHECKS";#N/A,#N/A,FALSE,"CHECKS"}</definedName>
    <definedName name="pp" localSheetId="14" hidden="1">{#N/A,#N/A,FALSE,"COMICRO";#N/A,#N/A,FALSE,"BALSCH";#N/A,#N/A,FALSE,"GLASS";#N/A,#N/A,FALSE,"DEPRE";#N/A,#N/A,FALSE,"A&amp;MCUR";#N/A,#N/A,FALSE,"AGEANAlysis";#N/A,#N/A,FALSE,"CHECKS";#N/A,#N/A,FALSE,"CHECKS"}</definedName>
    <definedName name="pp" localSheetId="12" hidden="1">{#N/A,#N/A,FALSE,"COMICRO";#N/A,#N/A,FALSE,"BALSCH";#N/A,#N/A,FALSE,"GLASS";#N/A,#N/A,FALSE,"DEPRE";#N/A,#N/A,FALSE,"A&amp;MCUR";#N/A,#N/A,FALSE,"AGEANAlysis";#N/A,#N/A,FALSE,"CHECKS";#N/A,#N/A,FALSE,"CHECKS"}</definedName>
    <definedName name="pp" localSheetId="13" hidden="1">{#N/A,#N/A,FALSE,"COMICRO";#N/A,#N/A,FALSE,"BALSCH";#N/A,#N/A,FALSE,"GLASS";#N/A,#N/A,FALSE,"DEPRE";#N/A,#N/A,FALSE,"A&amp;MCUR";#N/A,#N/A,FALSE,"AGEANAlysis";#N/A,#N/A,FALSE,"CHECKS";#N/A,#N/A,FALSE,"CHECKS"}</definedName>
    <definedName name="pp" hidden="1">{#N/A,#N/A,FALSE,"COMICRO";#N/A,#N/A,FALSE,"BALSCH";#N/A,#N/A,FALSE,"GLASS";#N/A,#N/A,FALSE,"DEPRE";#N/A,#N/A,FALSE,"A&amp;MCUR";#N/A,#N/A,FALSE,"AGEANAlysis";#N/A,#N/A,FALSE,"CHECKS";#N/A,#N/A,FALSE,"CHECKS"}</definedName>
    <definedName name="ppeak" localSheetId="14">#REF!</definedName>
    <definedName name="ppeak" localSheetId="12">#REF!</definedName>
    <definedName name="ppeak" localSheetId="1">#REF!</definedName>
    <definedName name="ppeak" localSheetId="13">#REF!</definedName>
    <definedName name="ppeak">#REF!</definedName>
    <definedName name="prakash" localSheetId="11" hidden="1">{#N/A,#N/A,FALSE,"COMICRO";#N/A,#N/A,FALSE,"BALSCH";#N/A,#N/A,FALSE,"GLASS";#N/A,#N/A,FALSE,"DEPRE";#N/A,#N/A,FALSE,"A&amp;MCUR";#N/A,#N/A,FALSE,"AGEANAlysis";#N/A,#N/A,FALSE,"CHECKS";#N/A,#N/A,FALSE,"CHECKS"}</definedName>
    <definedName name="prakash" localSheetId="15" hidden="1">{#N/A,#N/A,FALSE,"COMICRO";#N/A,#N/A,FALSE,"BALSCH";#N/A,#N/A,FALSE,"GLASS";#N/A,#N/A,FALSE,"DEPRE";#N/A,#N/A,FALSE,"A&amp;MCUR";#N/A,#N/A,FALSE,"AGEANAlysis";#N/A,#N/A,FALSE,"CHECKS";#N/A,#N/A,FALSE,"CHECKS"}</definedName>
    <definedName name="prakash" localSheetId="18" hidden="1">{#N/A,#N/A,FALSE,"COMICRO";#N/A,#N/A,FALSE,"BALSCH";#N/A,#N/A,FALSE,"GLASS";#N/A,#N/A,FALSE,"DEPRE";#N/A,#N/A,FALSE,"A&amp;MCUR";#N/A,#N/A,FALSE,"AGEANAlysis";#N/A,#N/A,FALSE,"CHECKS";#N/A,#N/A,FALSE,"CHECKS"}</definedName>
    <definedName name="prakash" localSheetId="14" hidden="1">{#N/A,#N/A,FALSE,"COMICRO";#N/A,#N/A,FALSE,"BALSCH";#N/A,#N/A,FALSE,"GLASS";#N/A,#N/A,FALSE,"DEPRE";#N/A,#N/A,FALSE,"A&amp;MCUR";#N/A,#N/A,FALSE,"AGEANAlysis";#N/A,#N/A,FALSE,"CHECKS";#N/A,#N/A,FALSE,"CHECKS"}</definedName>
    <definedName name="prakash" localSheetId="12" hidden="1">{#N/A,#N/A,FALSE,"COMICRO";#N/A,#N/A,FALSE,"BALSCH";#N/A,#N/A,FALSE,"GLASS";#N/A,#N/A,FALSE,"DEPRE";#N/A,#N/A,FALSE,"A&amp;MCUR";#N/A,#N/A,FALSE,"AGEANAlysis";#N/A,#N/A,FALSE,"CHECKS";#N/A,#N/A,FALSE,"CHECKS"}</definedName>
    <definedName name="prakash" localSheetId="13" hidden="1">{#N/A,#N/A,FALSE,"COMICRO";#N/A,#N/A,FALSE,"BALSCH";#N/A,#N/A,FALSE,"GLASS";#N/A,#N/A,FALSE,"DEPRE";#N/A,#N/A,FALSE,"A&amp;MCUR";#N/A,#N/A,FALSE,"AGEANAlysis";#N/A,#N/A,FALSE,"CHECKS";#N/A,#N/A,FALSE,"CHECKS"}</definedName>
    <definedName name="prakash" hidden="1">{#N/A,#N/A,FALSE,"COMICRO";#N/A,#N/A,FALSE,"BALSCH";#N/A,#N/A,FALSE,"GLASS";#N/A,#N/A,FALSE,"DEPRE";#N/A,#N/A,FALSE,"A&amp;MCUR";#N/A,#N/A,FALSE,"AGEANAlysis";#N/A,#N/A,FALSE,"CHECKS";#N/A,#N/A,FALSE,"CHECKS"}</definedName>
    <definedName name="pratap" localSheetId="18" hidden="1">{"'Sheet1'!$A$4386:$N$4591"}</definedName>
    <definedName name="pratap" hidden="1">{"'Sheet1'!$A$4386:$N$4591"}</definedName>
    <definedName name="Prem_Rate" localSheetId="14">#REF!</definedName>
    <definedName name="Prem_Rate" localSheetId="12">#REF!</definedName>
    <definedName name="Prem_Rate" localSheetId="1">#REF!</definedName>
    <definedName name="Prem_Rate" localSheetId="13">#REF!</definedName>
    <definedName name="Prem_Rate">#REF!</definedName>
    <definedName name="Pres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15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18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1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1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1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ation" localSheetId="1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 localSheetId="1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 localSheetId="18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 localSheetId="1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 localSheetId="1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 localSheetId="1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 localSheetId="14">#REF!</definedName>
    <definedName name="PresentationNormalA4" localSheetId="12">#REF!</definedName>
    <definedName name="PresentationNormalA4" localSheetId="1">#REF!</definedName>
    <definedName name="PresentationNormalA4" localSheetId="13">#REF!</definedName>
    <definedName name="PresentationNormalA4">#REF!</definedName>
    <definedName name="PRESS" localSheetId="14">#REF!</definedName>
    <definedName name="PRESS" localSheetId="12">#REF!</definedName>
    <definedName name="PRESS" localSheetId="1">#REF!</definedName>
    <definedName name="PRESS" localSheetId="13">#REF!</definedName>
    <definedName name="PRESS">#REF!</definedName>
    <definedName name="PRICE" localSheetId="1">'[49]Co. C'!#REF!</definedName>
    <definedName name="PRICE">'[49]Co. C'!#REF!</definedName>
    <definedName name="PriceRange" localSheetId="18" hidden="1">OFFSET(#REF!,5,0,COUNTA(#REF!)-COUNTA(#REF!),1)</definedName>
    <definedName name="PriceRange" hidden="1">OFFSET([34]!PriceRangeMain,5,0,COUNTA([34]!PriceRangeMain)-COUNTA([35]PriceDataSheet!$H$1:$H$5),1)</definedName>
    <definedName name="PriceRangeMain" localSheetId="18" hidden="1">#REF!</definedName>
    <definedName name="PriceRangeMain" hidden="1">[35]PriceDataSheet!$H$1:$H$65536</definedName>
    <definedName name="Princ" localSheetId="14">#REF!</definedName>
    <definedName name="Princ" localSheetId="12">#REF!</definedName>
    <definedName name="Princ" localSheetId="1">#REF!</definedName>
    <definedName name="Princ" localSheetId="13">#REF!</definedName>
    <definedName name="Princ">#REF!</definedName>
    <definedName name="Principal" localSheetId="11">IF([51]ProSum!XEY1048560&lt;&gt;"",MIN([51]ProSum!XFA1048560,[0]!Pmt_to_use-[51]ProSum!XFB1048560),"")</definedName>
    <definedName name="Principal" localSheetId="15">IF([51]ProSum!XEY1048560&lt;&gt;"",MIN([51]ProSum!XFA1048560,[0]!Pmt_to_use-[51]ProSum!XFB1048560),"")</definedName>
    <definedName name="Principal" localSheetId="14">IF([51]ProSum!XEY1048560&lt;&gt;"",MIN([51]ProSum!XFA1048560,[0]!Pmt_to_use-[51]ProSum!XFB1048560),"")</definedName>
    <definedName name="Principal" localSheetId="12">IF([51]ProSum!XEY1048560&lt;&gt;"",MIN([51]ProSum!XFA1048560,[0]!Pmt_to_use-[51]ProSum!XFB1048560),"")</definedName>
    <definedName name="Principal" localSheetId="13">IF([51]ProSum!XEY1048560&lt;&gt;"",MIN([51]ProSum!XFA1048560,[0]!Pmt_to_use-[51]ProSum!XFB1048560),"")</definedName>
    <definedName name="Principal">IF([51]ProSum!XEY1048560&lt;&gt;"",MIN([51]ProSum!XFA1048560,[0]!Pmt_to_use-[51]ProSum!XFB1048560),"")</definedName>
    <definedName name="_xlnm.Print_Area" localSheetId="11">'Add21-22'!$F$310:$T$348</definedName>
    <definedName name="_xlnm.Print_Area" localSheetId="15">'Add22-23'!$G$1044:$R$1082</definedName>
    <definedName name="_xlnm.Print_Area" localSheetId="18">'Add23-24'!$B$4:$V$577</definedName>
    <definedName name="_xlnm.Print_Area" localSheetId="2">Buildings!$B$1:$S$226</definedName>
    <definedName name="_xlnm.Print_Area" localSheetId="3">'construction equipment'!$A$9:$W$1015</definedName>
    <definedName name="_xlnm.Print_Area" localSheetId="14">'Deffred tax 24'!$B$1:$J$36</definedName>
    <definedName name="_xlnm.Print_Area" localSheetId="8">EDP!$A$8:$V$315</definedName>
    <definedName name="_xlnm.Print_Area" localSheetId="4">'electrical equipment'!$A$8:$V$24</definedName>
    <definedName name="_xlnm.Print_Area" localSheetId="5">Furniture!$A$1:$V$313</definedName>
    <definedName name="_xlnm.Print_Area" localSheetId="12">'IT DEp 24'!$A$1:$J$29</definedName>
    <definedName name="_xlnm.Print_Area" localSheetId="1">LAND!$B$1:$S$10</definedName>
    <definedName name="_xlnm.Print_Area" localSheetId="19">LMV!$A$1:$M$36</definedName>
    <definedName name="_xlnm.Print_Area" localSheetId="10">'Note 12 workings'!$A$1:$Q$21</definedName>
    <definedName name="_xlnm.Print_Area" localSheetId="9">note12!$A$2:$L$18</definedName>
    <definedName name="_xlnm.Print_Area" localSheetId="7">'office equipment'!$A$8:$V$334</definedName>
    <definedName name="_xlnm.Print_Area" localSheetId="13">'sold mc 24'!$B$2:$M$28</definedName>
    <definedName name="_xlnm.Print_Area" localSheetId="0">summary!$B$1:$O$14</definedName>
    <definedName name="_xlnm.Print_Area" localSheetId="6">vehicles!$A$8:$U$229</definedName>
    <definedName name="_xlnm.Print_Area">#REF!</definedName>
    <definedName name="Print_Area_1" localSheetId="14">#REF!</definedName>
    <definedName name="Print_Area_1" localSheetId="12">#REF!</definedName>
    <definedName name="Print_Area_1" localSheetId="1">#REF!</definedName>
    <definedName name="Print_Area_1" localSheetId="13">#REF!</definedName>
    <definedName name="Print_Area_1">#REF!</definedName>
    <definedName name="Print_Area_10" localSheetId="14">#REF!</definedName>
    <definedName name="Print_Area_10" localSheetId="12">#REF!</definedName>
    <definedName name="Print_Area_10" localSheetId="1">#REF!</definedName>
    <definedName name="Print_Area_10" localSheetId="13">#REF!</definedName>
    <definedName name="Print_Area_10">#REF!</definedName>
    <definedName name="Print_Area_11" localSheetId="14">#REF!</definedName>
    <definedName name="Print_Area_11" localSheetId="12">#REF!</definedName>
    <definedName name="Print_Area_11" localSheetId="1">#REF!</definedName>
    <definedName name="Print_Area_11" localSheetId="13">#REF!</definedName>
    <definedName name="Print_Area_11">#REF!</definedName>
    <definedName name="Print_Area_12" localSheetId="14">#REF!</definedName>
    <definedName name="Print_Area_12" localSheetId="12">#REF!</definedName>
    <definedName name="Print_Area_12" localSheetId="1">#REF!</definedName>
    <definedName name="Print_Area_12" localSheetId="13">#REF!</definedName>
    <definedName name="Print_Area_12">#REF!</definedName>
    <definedName name="Print_Area_13" localSheetId="14">#REF!</definedName>
    <definedName name="Print_Area_13" localSheetId="12">#REF!</definedName>
    <definedName name="Print_Area_13" localSheetId="1">#REF!</definedName>
    <definedName name="Print_Area_13" localSheetId="13">#REF!</definedName>
    <definedName name="Print_Area_13">#REF!</definedName>
    <definedName name="Print_Area_14" localSheetId="14">#REF!</definedName>
    <definedName name="Print_Area_14" localSheetId="12">#REF!</definedName>
    <definedName name="Print_Area_14" localSheetId="1">#REF!</definedName>
    <definedName name="Print_Area_14" localSheetId="13">#REF!</definedName>
    <definedName name="Print_Area_14">#REF!</definedName>
    <definedName name="Print_Area_15" localSheetId="14">#REF!</definedName>
    <definedName name="Print_Area_15" localSheetId="12">#REF!</definedName>
    <definedName name="Print_Area_15" localSheetId="1">#REF!</definedName>
    <definedName name="Print_Area_15" localSheetId="13">#REF!</definedName>
    <definedName name="Print_Area_15">#REF!</definedName>
    <definedName name="Print_Area_16" localSheetId="14">#REF!</definedName>
    <definedName name="Print_Area_16" localSheetId="12">#REF!</definedName>
    <definedName name="Print_Area_16" localSheetId="1">#REF!</definedName>
    <definedName name="Print_Area_16" localSheetId="13">#REF!</definedName>
    <definedName name="Print_Area_16">#REF!</definedName>
    <definedName name="Print_Area_17" localSheetId="14">#REF!</definedName>
    <definedName name="Print_Area_17" localSheetId="12">#REF!</definedName>
    <definedName name="Print_Area_17" localSheetId="1">#REF!</definedName>
    <definedName name="Print_Area_17" localSheetId="13">#REF!</definedName>
    <definedName name="Print_Area_17">#REF!</definedName>
    <definedName name="Print_Area_18" localSheetId="14">#REF!</definedName>
    <definedName name="Print_Area_18" localSheetId="12">#REF!</definedName>
    <definedName name="Print_Area_18" localSheetId="1">#REF!</definedName>
    <definedName name="Print_Area_18" localSheetId="13">#REF!</definedName>
    <definedName name="Print_Area_18">#REF!</definedName>
    <definedName name="Print_Area_19" localSheetId="14">#REF!</definedName>
    <definedName name="Print_Area_19" localSheetId="12">#REF!</definedName>
    <definedName name="Print_Area_19" localSheetId="1">#REF!</definedName>
    <definedName name="Print_Area_19" localSheetId="13">#REF!</definedName>
    <definedName name="Print_Area_19">#REF!</definedName>
    <definedName name="Print_Area_2" localSheetId="14">#REF!</definedName>
    <definedName name="Print_Area_2" localSheetId="12">#REF!</definedName>
    <definedName name="Print_Area_2" localSheetId="1">#REF!</definedName>
    <definedName name="Print_Area_2" localSheetId="13">#REF!</definedName>
    <definedName name="Print_Area_2">#REF!</definedName>
    <definedName name="Print_Area_3" localSheetId="14">#REF!</definedName>
    <definedName name="Print_Area_3" localSheetId="12">#REF!</definedName>
    <definedName name="Print_Area_3" localSheetId="1">#REF!</definedName>
    <definedName name="Print_Area_3" localSheetId="13">#REF!</definedName>
    <definedName name="Print_Area_3">#REF!</definedName>
    <definedName name="Print_Area_4" localSheetId="14">#REF!</definedName>
    <definedName name="Print_Area_4" localSheetId="12">#REF!</definedName>
    <definedName name="Print_Area_4" localSheetId="1">#REF!</definedName>
    <definedName name="Print_Area_4" localSheetId="13">#REF!</definedName>
    <definedName name="Print_Area_4">#REF!</definedName>
    <definedName name="Print_Area_5" localSheetId="14">#REF!</definedName>
    <definedName name="Print_Area_5" localSheetId="12">#REF!</definedName>
    <definedName name="Print_Area_5" localSheetId="1">#REF!</definedName>
    <definedName name="Print_Area_5" localSheetId="13">#REF!</definedName>
    <definedName name="Print_Area_5">#REF!</definedName>
    <definedName name="Print_Area_6" localSheetId="14">#REF!</definedName>
    <definedName name="Print_Area_6" localSheetId="12">#REF!</definedName>
    <definedName name="Print_Area_6" localSheetId="1">#REF!</definedName>
    <definedName name="Print_Area_6" localSheetId="13">#REF!</definedName>
    <definedName name="Print_Area_6">#REF!</definedName>
    <definedName name="Print_Area_7" localSheetId="14">#REF!</definedName>
    <definedName name="Print_Area_7" localSheetId="12">#REF!</definedName>
    <definedName name="Print_Area_7" localSheetId="1">#REF!</definedName>
    <definedName name="Print_Area_7" localSheetId="13">#REF!</definedName>
    <definedName name="Print_Area_7">#REF!</definedName>
    <definedName name="Print_Area_8" localSheetId="14">#REF!</definedName>
    <definedName name="Print_Area_8" localSheetId="12">#REF!</definedName>
    <definedName name="Print_Area_8" localSheetId="1">#REF!</definedName>
    <definedName name="Print_Area_8" localSheetId="13">#REF!</definedName>
    <definedName name="Print_Area_8">#REF!</definedName>
    <definedName name="Print_Area_9" localSheetId="14">#REF!</definedName>
    <definedName name="Print_Area_9" localSheetId="12">#REF!</definedName>
    <definedName name="Print_Area_9" localSheetId="1">#REF!</definedName>
    <definedName name="Print_Area_9" localSheetId="13">#REF!</definedName>
    <definedName name="Print_Area_9">#REF!</definedName>
    <definedName name="PRINT_AREA_MI" localSheetId="14">#REF!</definedName>
    <definedName name="PRINT_AREA_MI" localSheetId="12">#REF!</definedName>
    <definedName name="PRINT_AREA_MI" localSheetId="1">#REF!</definedName>
    <definedName name="PRINT_AREA_MI" localSheetId="13">#REF!</definedName>
    <definedName name="PRINT_AREA_MI">#REF!</definedName>
    <definedName name="Print_Area_Reset" localSheetId="11">OFFSET(Full_Print,0,0,'Add21-22'!Last_Row)</definedName>
    <definedName name="Print_Area_Reset" localSheetId="15">OFFSET(Full_Print,0,0,'Add22-23'!Last_Row)</definedName>
    <definedName name="Print_Area_Reset" localSheetId="14">OFFSET('Deffred tax 24'!Full_Print,0,0,'Deffred tax 24'!Last_Row)</definedName>
    <definedName name="Print_Area_Reset" localSheetId="12">OFFSET('IT DEp 24'!Full_Print,0,0,'IT DEp 24'!Last_Row)</definedName>
    <definedName name="Print_Area_Reset" localSheetId="1">OFFSET(LAND!Full_Print,0,0,LAND!Last_Row)</definedName>
    <definedName name="Print_Area_Reset" localSheetId="13">OFFSET('sold mc 24'!Full_Print,0,0,'sold mc 24'!Last_Row)</definedName>
    <definedName name="Print_Area_Reset">OFFSET(Full_Print,0,0,Last_Row)</definedName>
    <definedName name="_xlnm.Print_Titles" localSheetId="11">'Add21-22'!$1:$3</definedName>
    <definedName name="_xlnm.Print_Titles" localSheetId="15">'Add22-23'!$1:$3</definedName>
    <definedName name="_xlnm.Print_Titles" localSheetId="18">'Add23-24'!$3:$3</definedName>
    <definedName name="_xlnm.Print_Titles" localSheetId="3">'construction equipment'!$1:$7</definedName>
    <definedName name="_xlnm.Print_Titles" localSheetId="14">#REF!</definedName>
    <definedName name="_xlnm.Print_Titles" localSheetId="8">EDP!$1:$7</definedName>
    <definedName name="_xlnm.Print_Titles" localSheetId="4">'electrical equipment'!$1:$7</definedName>
    <definedName name="_xlnm.Print_Titles" localSheetId="5">Furniture!$1:$7</definedName>
    <definedName name="_xlnm.Print_Titles" localSheetId="12">#REF!</definedName>
    <definedName name="_xlnm.Print_Titles" localSheetId="1">#REF!</definedName>
    <definedName name="_xlnm.Print_Titles" localSheetId="9">note12!$2:$2</definedName>
    <definedName name="_xlnm.Print_Titles" localSheetId="7">'office equipment'!$1:$7</definedName>
    <definedName name="_xlnm.Print_Titles" localSheetId="6">vehicles!$1:$7</definedName>
    <definedName name="_xlnm.Print_Titles">#REF!</definedName>
    <definedName name="PRINT_TITLES_MI" localSheetId="14">#REF!</definedName>
    <definedName name="PRINT_TITLES_MI" localSheetId="12">#REF!</definedName>
    <definedName name="PRINT_TITLES_MI" localSheetId="1">#REF!</definedName>
    <definedName name="PRINT_TITLES_MI" localSheetId="13">#REF!</definedName>
    <definedName name="PRINT_TITLES_MI">#REF!</definedName>
    <definedName name="Print13" localSheetId="1">[48]!Print13</definedName>
    <definedName name="Print13">[48]!Print13</definedName>
    <definedName name="Print14" localSheetId="1">[48]!Print14</definedName>
    <definedName name="Print14">[48]!Print14</definedName>
    <definedName name="Print15" localSheetId="1">[48]!Print15</definedName>
    <definedName name="Print15">[48]!Print15</definedName>
    <definedName name="Print16" localSheetId="1">[48]!Print16</definedName>
    <definedName name="Print16">[48]!Print16</definedName>
    <definedName name="Print17" localSheetId="1">[48]!Print17</definedName>
    <definedName name="Print17">[48]!Print17</definedName>
    <definedName name="Print18" localSheetId="1">[48]!Print18</definedName>
    <definedName name="Print18">[48]!Print18</definedName>
    <definedName name="Print19" localSheetId="1">[48]!Print19</definedName>
    <definedName name="Print19">[48]!Print19</definedName>
    <definedName name="Print20" localSheetId="1">[48]!Print20</definedName>
    <definedName name="Print20">[48]!Print20</definedName>
    <definedName name="PrintMacro">'[5]Other notes'!$A$1</definedName>
    <definedName name="proforma" localSheetId="14">#REF!</definedName>
    <definedName name="proforma" localSheetId="12">#REF!</definedName>
    <definedName name="proforma" localSheetId="1">#REF!</definedName>
    <definedName name="proforma" localSheetId="13">#REF!</definedName>
    <definedName name="proforma">#REF!</definedName>
    <definedName name="Proj_PL" localSheetId="14">#REF!</definedName>
    <definedName name="Proj_PL" localSheetId="12">#REF!</definedName>
    <definedName name="Proj_PL" localSheetId="1">#REF!</definedName>
    <definedName name="Proj_PL" localSheetId="13">#REF!</definedName>
    <definedName name="Proj_PL">#REF!</definedName>
    <definedName name="Project">[68]Menu!$G$17</definedName>
    <definedName name="prova" localSheetId="11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15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18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14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1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13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ss" localSheetId="11" hidden="1">{#N/A,#N/A,FALSE,"COMICRO";#N/A,#N/A,FALSE,"BALSCH";#N/A,#N/A,FALSE,"GLASS";#N/A,#N/A,FALSE,"DEPRE";#N/A,#N/A,FALSE,"A&amp;MCUR";#N/A,#N/A,FALSE,"AGEANAlysis";#N/A,#N/A,FALSE,"CHECKS";#N/A,#N/A,FALSE,"CHECKS"}</definedName>
    <definedName name="pss" localSheetId="15" hidden="1">{#N/A,#N/A,FALSE,"COMICRO";#N/A,#N/A,FALSE,"BALSCH";#N/A,#N/A,FALSE,"GLASS";#N/A,#N/A,FALSE,"DEPRE";#N/A,#N/A,FALSE,"A&amp;MCUR";#N/A,#N/A,FALSE,"AGEANAlysis";#N/A,#N/A,FALSE,"CHECKS";#N/A,#N/A,FALSE,"CHECKS"}</definedName>
    <definedName name="pss" localSheetId="18" hidden="1">{#N/A,#N/A,FALSE,"COMICRO";#N/A,#N/A,FALSE,"BALSCH";#N/A,#N/A,FALSE,"GLASS";#N/A,#N/A,FALSE,"DEPRE";#N/A,#N/A,FALSE,"A&amp;MCUR";#N/A,#N/A,FALSE,"AGEANAlysis";#N/A,#N/A,FALSE,"CHECKS";#N/A,#N/A,FALSE,"CHECKS"}</definedName>
    <definedName name="pss" localSheetId="14" hidden="1">{#N/A,#N/A,FALSE,"COMICRO";#N/A,#N/A,FALSE,"BALSCH";#N/A,#N/A,FALSE,"GLASS";#N/A,#N/A,FALSE,"DEPRE";#N/A,#N/A,FALSE,"A&amp;MCUR";#N/A,#N/A,FALSE,"AGEANAlysis";#N/A,#N/A,FALSE,"CHECKS";#N/A,#N/A,FALSE,"CHECKS"}</definedName>
    <definedName name="pss" localSheetId="12" hidden="1">{#N/A,#N/A,FALSE,"COMICRO";#N/A,#N/A,FALSE,"BALSCH";#N/A,#N/A,FALSE,"GLASS";#N/A,#N/A,FALSE,"DEPRE";#N/A,#N/A,FALSE,"A&amp;MCUR";#N/A,#N/A,FALSE,"AGEANAlysis";#N/A,#N/A,FALSE,"CHECKS";#N/A,#N/A,FALSE,"CHECKS"}</definedName>
    <definedName name="pss" localSheetId="13" hidden="1">{#N/A,#N/A,FALSE,"COMICRO";#N/A,#N/A,FALSE,"BALSCH";#N/A,#N/A,FALSE,"GLASS";#N/A,#N/A,FALSE,"DEPRE";#N/A,#N/A,FALSE,"A&amp;MCUR";#N/A,#N/A,FALSE,"AGEANAlysis";#N/A,#N/A,FALSE,"CHECKS";#N/A,#N/A,FALSE,"CHECKS"}</definedName>
    <definedName name="pss" hidden="1">{#N/A,#N/A,FALSE,"COMICRO";#N/A,#N/A,FALSE,"BALSCH";#N/A,#N/A,FALSE,"GLASS";#N/A,#N/A,FALSE,"DEPRE";#N/A,#N/A,FALSE,"A&amp;MCUR";#N/A,#N/A,FALSE,"AGEANAlysis";#N/A,#N/A,FALSE,"CHECKS";#N/A,#N/A,FALSE,"CHECKS"}</definedName>
    <definedName name="pstr" localSheetId="1">[69]!pstr</definedName>
    <definedName name="pstr">[69]!pstr</definedName>
    <definedName name="pstr_01" localSheetId="1">[69]!pstr</definedName>
    <definedName name="pstr_01">[69]!pstr</definedName>
    <definedName name="purch" localSheetId="14">#REF!</definedName>
    <definedName name="purch" localSheetId="12">#REF!</definedName>
    <definedName name="purch" localSheetId="1">#REF!</definedName>
    <definedName name="purch" localSheetId="13">#REF!</definedName>
    <definedName name="purch">#REF!</definedName>
    <definedName name="purchase" localSheetId="14">#REF!</definedName>
    <definedName name="purchase" localSheetId="12">#REF!</definedName>
    <definedName name="purchase" localSheetId="1">#REF!</definedName>
    <definedName name="purchase" localSheetId="13">#REF!</definedName>
    <definedName name="purchase">#REF!</definedName>
    <definedName name="Purchase_Premium_A">25%</definedName>
    <definedName name="Purchase_Premium_B">0.25</definedName>
    <definedName name="q" localSheetId="18" hidden="1">#REF!</definedName>
    <definedName name="q" localSheetId="14">#REF!</definedName>
    <definedName name="q" localSheetId="12">#REF!</definedName>
    <definedName name="q" localSheetId="1">#REF!</definedName>
    <definedName name="q" localSheetId="13">#REF!</definedName>
    <definedName name="q" hidden="1">#REF!</definedName>
    <definedName name="Q2a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Q2a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qtrly" localSheetId="14">#REF!</definedName>
    <definedName name="qtrly" localSheetId="12">#REF!</definedName>
    <definedName name="qtrly" localSheetId="1">#REF!</definedName>
    <definedName name="qtrly" localSheetId="13">#REF!</definedName>
    <definedName name="qtrly">#REF!</definedName>
    <definedName name="qtrrev" localSheetId="14">#REF!</definedName>
    <definedName name="qtrrev" localSheetId="12">#REF!</definedName>
    <definedName name="qtrrev" localSheetId="1">#REF!</definedName>
    <definedName name="qtrrev" localSheetId="13">#REF!</definedName>
    <definedName name="qtrrev">#REF!</definedName>
    <definedName name="ra" localSheetId="18" hidden="1">{"'AR at dunning level'!$S$96","'AR at dunning level'!$L$124","'AR at dunning level'!$K$124"}</definedName>
    <definedName name="ra" hidden="1">{"'AR at dunning level'!$S$96","'AR at dunning level'!$L$124","'AR at dunning level'!$K$124"}</definedName>
    <definedName name="RA_COS" localSheetId="14">#REF!</definedName>
    <definedName name="RA_COS" localSheetId="12">#REF!</definedName>
    <definedName name="RA_COS" localSheetId="1">#REF!</definedName>
    <definedName name="RA_COS" localSheetId="13">#REF!</definedName>
    <definedName name="RA_COS">#REF!</definedName>
    <definedName name="raaa" localSheetId="18" hidden="1">{"'Sheet1'!$A$4386:$N$4591"}</definedName>
    <definedName name="raaa" hidden="1">{"'Sheet1'!$A$4386:$N$4591"}</definedName>
    <definedName name="RABILL" localSheetId="18" hidden="1">{"'Sheet1'!$A$4386:$N$4591"}</definedName>
    <definedName name="RABILL" hidden="1">{"'Sheet1'!$A$4386:$N$4591"}</definedName>
    <definedName name="railway" localSheetId="18" hidden="1">{"'Sheet1'!$A$4386:$N$4591"}</definedName>
    <definedName name="railway" hidden="1">{"'Sheet1'!$A$4386:$N$4591"}</definedName>
    <definedName name="Raj" localSheetId="18" hidden="1">{"'Sheet1'!$A$4386:$N$4591"}</definedName>
    <definedName name="Raj" hidden="1">{"'Sheet1'!$A$4386:$N$4591"}</definedName>
    <definedName name="RAR_GO" localSheetId="14">#REF!</definedName>
    <definedName name="RAR_GO" localSheetId="12">#REF!</definedName>
    <definedName name="RAR_GO" localSheetId="1">#REF!</definedName>
    <definedName name="RAR_GO" localSheetId="13">#REF!</definedName>
    <definedName name="RAR_GO">#REF!</definedName>
    <definedName name="RAR_T" localSheetId="14">#REF!</definedName>
    <definedName name="RAR_T" localSheetId="12">#REF!</definedName>
    <definedName name="RAR_T" localSheetId="1">#REF!</definedName>
    <definedName name="RAR_T" localSheetId="13">#REF!</definedName>
    <definedName name="RAR_T">#REF!</definedName>
    <definedName name="rate" localSheetId="14">#REF!</definedName>
    <definedName name="rate" localSheetId="12">#REF!</definedName>
    <definedName name="rate" localSheetId="1">#REF!</definedName>
    <definedName name="rate" localSheetId="13">#REF!</definedName>
    <definedName name="rate">#REF!</definedName>
    <definedName name="RATE_A" localSheetId="14">#REF!</definedName>
    <definedName name="RATE_A" localSheetId="12">#REF!</definedName>
    <definedName name="RATE_A" localSheetId="1">#REF!</definedName>
    <definedName name="RATE_A" localSheetId="13">#REF!</definedName>
    <definedName name="RATE_A">#REF!</definedName>
    <definedName name="RATE_B" localSheetId="14">#REF!</definedName>
    <definedName name="RATE_B" localSheetId="12">#REF!</definedName>
    <definedName name="RATE_B" localSheetId="1">#REF!</definedName>
    <definedName name="RATE_B" localSheetId="13">#REF!</definedName>
    <definedName name="RATE_B">#REF!</definedName>
    <definedName name="Ratio1" localSheetId="14">#REF!</definedName>
    <definedName name="Ratio1" localSheetId="12">#REF!</definedName>
    <definedName name="Ratio1" localSheetId="1">#REF!</definedName>
    <definedName name="Ratio1" localSheetId="13">#REF!</definedName>
    <definedName name="Ratio1">#REF!</definedName>
    <definedName name="Ratio2" localSheetId="14">#REF!</definedName>
    <definedName name="Ratio2" localSheetId="12">#REF!</definedName>
    <definedName name="Ratio2" localSheetId="1">#REF!</definedName>
    <definedName name="Ratio2" localSheetId="13">#REF!</definedName>
    <definedName name="Ratio2">#REF!</definedName>
    <definedName name="Ratio3" localSheetId="14">#REF!</definedName>
    <definedName name="Ratio3" localSheetId="12">#REF!</definedName>
    <definedName name="Ratio3" localSheetId="1">#REF!</definedName>
    <definedName name="Ratio3" localSheetId="13">#REF!</definedName>
    <definedName name="Ratio3">#REF!</definedName>
    <definedName name="Ratio4" localSheetId="14">#REF!</definedName>
    <definedName name="Ratio4" localSheetId="12">#REF!</definedName>
    <definedName name="Ratio4" localSheetId="1">#REF!</definedName>
    <definedName name="Ratio4" localSheetId="13">#REF!</definedName>
    <definedName name="Ratio4">#REF!</definedName>
    <definedName name="RatiosCoA" localSheetId="14">#REF!</definedName>
    <definedName name="RatiosCoA" localSheetId="12">#REF!</definedName>
    <definedName name="RatiosCoA" localSheetId="1">#REF!</definedName>
    <definedName name="RatiosCoA" localSheetId="13">#REF!</definedName>
    <definedName name="RatiosCoA">#REF!</definedName>
    <definedName name="RatiosCoB" localSheetId="14">#REF!</definedName>
    <definedName name="RatiosCoB" localSheetId="12">#REF!</definedName>
    <definedName name="RatiosCoB" localSheetId="1">#REF!</definedName>
    <definedName name="RatiosCoB" localSheetId="13">#REF!</definedName>
    <definedName name="RatiosCoB">#REF!</definedName>
    <definedName name="RatiosCoC" localSheetId="14">#REF!</definedName>
    <definedName name="RatiosCoC" localSheetId="12">#REF!</definedName>
    <definedName name="RatiosCoC" localSheetId="1">#REF!</definedName>
    <definedName name="RatiosCoC" localSheetId="13">#REF!</definedName>
    <definedName name="RatiosCoC">#REF!</definedName>
    <definedName name="RatiosCoD" localSheetId="14">#REF!</definedName>
    <definedName name="RatiosCoD" localSheetId="12">#REF!</definedName>
    <definedName name="RatiosCoD" localSheetId="1">#REF!</definedName>
    <definedName name="RatiosCoD" localSheetId="13">#REF!</definedName>
    <definedName name="RatiosCoD">#REF!</definedName>
    <definedName name="RatiosCoE" localSheetId="14">#REF!</definedName>
    <definedName name="RatiosCoE" localSheetId="12">#REF!</definedName>
    <definedName name="RatiosCoE" localSheetId="1">#REF!</definedName>
    <definedName name="RatiosCoE" localSheetId="13">#REF!</definedName>
    <definedName name="RatiosCoE">#REF!</definedName>
    <definedName name="RatiosCoF" localSheetId="14">#REF!</definedName>
    <definedName name="RatiosCoF" localSheetId="12">#REF!</definedName>
    <definedName name="RatiosCoF" localSheetId="1">#REF!</definedName>
    <definedName name="RatiosCoF" localSheetId="13">#REF!</definedName>
    <definedName name="RatiosCoF">#REF!</definedName>
    <definedName name="RatiosCoG" localSheetId="14">#REF!</definedName>
    <definedName name="RatiosCoG" localSheetId="12">#REF!</definedName>
    <definedName name="RatiosCoG" localSheetId="1">#REF!</definedName>
    <definedName name="RatiosCoG" localSheetId="13">#REF!</definedName>
    <definedName name="RatiosCoG">#REF!</definedName>
    <definedName name="RatiosCoH" localSheetId="14">#REF!</definedName>
    <definedName name="RatiosCoH" localSheetId="12">#REF!</definedName>
    <definedName name="RatiosCoH" localSheetId="1">#REF!</definedName>
    <definedName name="RatiosCoH" localSheetId="13">#REF!</definedName>
    <definedName name="RatiosCoH">#REF!</definedName>
    <definedName name="RatiosCoI" localSheetId="14">#REF!</definedName>
    <definedName name="RatiosCoI" localSheetId="12">#REF!</definedName>
    <definedName name="RatiosCoI" localSheetId="1">#REF!</definedName>
    <definedName name="RatiosCoI" localSheetId="13">#REF!</definedName>
    <definedName name="RatiosCoI">#REF!</definedName>
    <definedName name="RatiosCoJ" localSheetId="14">#REF!</definedName>
    <definedName name="RatiosCoJ" localSheetId="12">#REF!</definedName>
    <definedName name="RatiosCoJ" localSheetId="1">#REF!</definedName>
    <definedName name="RatiosCoJ" localSheetId="13">#REF!</definedName>
    <definedName name="RatiosCoJ">#REF!</definedName>
    <definedName name="RatiosCoK" localSheetId="14">#REF!</definedName>
    <definedName name="RatiosCoK" localSheetId="12">#REF!</definedName>
    <definedName name="RatiosCoK" localSheetId="1">#REF!</definedName>
    <definedName name="RatiosCoK" localSheetId="13">#REF!</definedName>
    <definedName name="RatiosCoK">#REF!</definedName>
    <definedName name="RatiosCoL" localSheetId="14">#REF!</definedName>
    <definedName name="RatiosCoL" localSheetId="12">#REF!</definedName>
    <definedName name="RatiosCoL" localSheetId="1">#REF!</definedName>
    <definedName name="RatiosCoL" localSheetId="13">#REF!</definedName>
    <definedName name="RatiosCoL">#REF!</definedName>
    <definedName name="RatiosCoM" localSheetId="14">#REF!</definedName>
    <definedName name="RatiosCoM" localSheetId="12">#REF!</definedName>
    <definedName name="RatiosCoM" localSheetId="1">#REF!</definedName>
    <definedName name="RatiosCoM" localSheetId="13">#REF!</definedName>
    <definedName name="RatiosCoM">#REF!</definedName>
    <definedName name="RatiosCoN" localSheetId="14">#REF!</definedName>
    <definedName name="RatiosCoN" localSheetId="12">#REF!</definedName>
    <definedName name="RatiosCoN" localSheetId="1">#REF!</definedName>
    <definedName name="RatiosCoN" localSheetId="13">#REF!</definedName>
    <definedName name="RatiosCoN">#REF!</definedName>
    <definedName name="RatiosCoO" localSheetId="14">#REF!</definedName>
    <definedName name="RatiosCoO" localSheetId="12">#REF!</definedName>
    <definedName name="RatiosCoO" localSheetId="1">#REF!</definedName>
    <definedName name="RatiosCoO" localSheetId="13">#REF!</definedName>
    <definedName name="RatiosCoO">#REF!</definedName>
    <definedName name="razdav">[22]Build!$E$6:$F$6</definedName>
    <definedName name="rec" localSheetId="18" hidden="1">{"'Sheet1'!$A$4386:$N$4591"}</definedName>
    <definedName name="rec" hidden="1">{"'Sheet1'!$A$4386:$N$4591"}</definedName>
    <definedName name="recession" localSheetId="14">#REF!</definedName>
    <definedName name="recession" localSheetId="12">#REF!</definedName>
    <definedName name="recession" localSheetId="1">#REF!</definedName>
    <definedName name="recession" localSheetId="13">#REF!</definedName>
    <definedName name="recession">#REF!</definedName>
    <definedName name="Record1">'[5]Other notes'!$A$1</definedName>
    <definedName name="redo" localSheetId="11" hidden="1">{#N/A,#N/A,FALSE,"ACQ_GRAPHS";#N/A,#N/A,FALSE,"T_1 GRAPHS";#N/A,#N/A,FALSE,"T_2 GRAPHS";#N/A,#N/A,FALSE,"COMB_GRAPHS"}</definedName>
    <definedName name="redo" localSheetId="15" hidden="1">{#N/A,#N/A,FALSE,"ACQ_GRAPHS";#N/A,#N/A,FALSE,"T_1 GRAPHS";#N/A,#N/A,FALSE,"T_2 GRAPHS";#N/A,#N/A,FALSE,"COMB_GRAPHS"}</definedName>
    <definedName name="redo" localSheetId="18" hidden="1">{#N/A,#N/A,FALSE,"ACQ_GRAPHS";#N/A,#N/A,FALSE,"T_1 GRAPHS";#N/A,#N/A,FALSE,"T_2 GRAPHS";#N/A,#N/A,FALSE,"COMB_GRAPHS"}</definedName>
    <definedName name="redo" localSheetId="14" hidden="1">{#N/A,#N/A,FALSE,"ACQ_GRAPHS";#N/A,#N/A,FALSE,"T_1 GRAPHS";#N/A,#N/A,FALSE,"T_2 GRAPHS";#N/A,#N/A,FALSE,"COMB_GRAPHS"}</definedName>
    <definedName name="redo" localSheetId="12" hidden="1">{#N/A,#N/A,FALSE,"ACQ_GRAPHS";#N/A,#N/A,FALSE,"T_1 GRAPHS";#N/A,#N/A,FALSE,"T_2 GRAPHS";#N/A,#N/A,FALSE,"COMB_GRAPHS"}</definedName>
    <definedName name="redo" localSheetId="13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M" localSheetId="14">#REF!</definedName>
    <definedName name="REM" localSheetId="12">#REF!</definedName>
    <definedName name="REM" localSheetId="1">#REF!</definedName>
    <definedName name="REM" localSheetId="13">#REF!</definedName>
    <definedName name="REM">#REF!</definedName>
    <definedName name="rent" localSheetId="18" hidden="1">{"'Sheet1'!$A$4386:$N$4591"}</definedName>
    <definedName name="rent" hidden="1">{"'Sheet1'!$A$4386:$N$4591"}</definedName>
    <definedName name="RENTALS" localSheetId="14">#REF!</definedName>
    <definedName name="RENTALS" localSheetId="12">#REF!</definedName>
    <definedName name="RENTALS" localSheetId="1">#REF!</definedName>
    <definedName name="RENTALS" localSheetId="13">#REF!</definedName>
    <definedName name="RENTALS">#REF!</definedName>
    <definedName name="report2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port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portCF" localSheetId="14">#REF!</definedName>
    <definedName name="ReportCF" localSheetId="12">#REF!</definedName>
    <definedName name="ReportCF" localSheetId="1">#REF!</definedName>
    <definedName name="ReportCF" localSheetId="13">#REF!</definedName>
    <definedName name="ReportCF">#REF!</definedName>
    <definedName name="ReportIS" localSheetId="14">#REF!</definedName>
    <definedName name="ReportIS" localSheetId="12">#REF!</definedName>
    <definedName name="ReportIS" localSheetId="1">#REF!</definedName>
    <definedName name="ReportIS" localSheetId="13">#REF!</definedName>
    <definedName name="ReportIS">#REF!</definedName>
    <definedName name="ReportSGA" localSheetId="14">#REF!</definedName>
    <definedName name="ReportSGA" localSheetId="12">#REF!</definedName>
    <definedName name="ReportSGA" localSheetId="1">#REF!</definedName>
    <definedName name="ReportSGA" localSheetId="13">#REF!</definedName>
    <definedName name="ReportSGA">#REF!</definedName>
    <definedName name="Required_Base_Stations" localSheetId="14">#REF!</definedName>
    <definedName name="Required_Base_Stations" localSheetId="12">#REF!</definedName>
    <definedName name="Required_Base_Stations" localSheetId="1">#REF!</definedName>
    <definedName name="Required_Base_Stations" localSheetId="13">#REF!</definedName>
    <definedName name="Required_Base_Stations">#REF!</definedName>
    <definedName name="Required_Channels" localSheetId="14">#REF!</definedName>
    <definedName name="Required_Channels" localSheetId="12">#REF!</definedName>
    <definedName name="Required_Channels" localSheetId="1">#REF!</definedName>
    <definedName name="Required_Channels" localSheetId="13">#REF!</definedName>
    <definedName name="Required_Channels">#REF!</definedName>
    <definedName name="res_sum" localSheetId="18" hidden="1">{#N/A,#N/A,FALSE,"COVER1.XLS ";#N/A,#N/A,FALSE,"RACT1.XLS";#N/A,#N/A,FALSE,"RACT2.XLS";#N/A,#N/A,FALSE,"ECCMP";#N/A,#N/A,FALSE,"WELDER.XLS"}</definedName>
    <definedName name="res_sum" hidden="1">{#N/A,#N/A,FALSE,"COVER1.XLS ";#N/A,#N/A,FALSE,"RACT1.XLS";#N/A,#N/A,FALSE,"RACT2.XLS";#N/A,#N/A,FALSE,"ECCMP";#N/A,#N/A,FALSE,"WELDER.XLS"}</definedName>
    <definedName name="reset" localSheetId="14">#REF!</definedName>
    <definedName name="reset" localSheetId="12">#REF!</definedName>
    <definedName name="reset" localSheetId="1">#REF!</definedName>
    <definedName name="reset" localSheetId="13">#REF!</definedName>
    <definedName name="reset">#REF!</definedName>
    <definedName name="reset2" localSheetId="14">#REF!</definedName>
    <definedName name="reset2" localSheetId="12">#REF!</definedName>
    <definedName name="reset2" localSheetId="1">#REF!</definedName>
    <definedName name="reset2" localSheetId="13">#REF!</definedName>
    <definedName name="reset2">#REF!</definedName>
    <definedName name="reset3" localSheetId="14">#REF!</definedName>
    <definedName name="reset3" localSheetId="12">#REF!</definedName>
    <definedName name="reset3" localSheetId="1">#REF!</definedName>
    <definedName name="reset3" localSheetId="13">#REF!</definedName>
    <definedName name="reset3">#REF!</definedName>
    <definedName name="Results" localSheetId="14">#REF!</definedName>
    <definedName name="Results" localSheetId="12">#REF!</definedName>
    <definedName name="Results" localSheetId="1">#REF!</definedName>
    <definedName name="Results" localSheetId="13">#REF!</definedName>
    <definedName name="Results">#REF!</definedName>
    <definedName name="reter" localSheetId="18" hidden="1">{"'Sheet1'!$A$4386:$N$4591"}</definedName>
    <definedName name="reter" hidden="1">{"'Sheet1'!$A$4386:$N$4591"}</definedName>
    <definedName name="RETURN" localSheetId="14">#REF!</definedName>
    <definedName name="RETURN" localSheetId="12">#REF!</definedName>
    <definedName name="RETURN" localSheetId="1">#REF!</definedName>
    <definedName name="RETURN" localSheetId="13">#REF!</definedName>
    <definedName name="RETURN">#REF!</definedName>
    <definedName name="Returns" localSheetId="14">#REF!</definedName>
    <definedName name="Returns" localSheetId="12">#REF!</definedName>
    <definedName name="Returns" localSheetId="1">#REF!</definedName>
    <definedName name="Returns" localSheetId="13">#REF!</definedName>
    <definedName name="Returns">#REF!</definedName>
    <definedName name="REVENUE" localSheetId="14">#REF!</definedName>
    <definedName name="REVENUE" localSheetId="12">#REF!</definedName>
    <definedName name="REVENUE" localSheetId="1">#REF!</definedName>
    <definedName name="REVENUE" localSheetId="13">#REF!</definedName>
    <definedName name="REVENUE">#REF!</definedName>
    <definedName name="RevenueSplit">'[23]Rev summary'!$A$26:$I$35</definedName>
    <definedName name="RevenueSum">'[23]Rev summary'!$A$3:$I$24</definedName>
    <definedName name="revs" localSheetId="14">#REF!</definedName>
    <definedName name="revs" localSheetId="12">#REF!</definedName>
    <definedName name="revs" localSheetId="1">#REF!</definedName>
    <definedName name="revs" localSheetId="13">#REF!</definedName>
    <definedName name="revs">#REF!</definedName>
    <definedName name="rex">[32]Calcul!$N$2</definedName>
    <definedName name="RG" localSheetId="11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 localSheetId="15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 localSheetId="18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 localSheetId="14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 localSheetId="12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 localSheetId="13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MCOptions">"*000000000000000"</definedName>
    <definedName name="ROK">#N/A</definedName>
    <definedName name="round">1</definedName>
    <definedName name="rrrrr" localSheetId="11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" localSheetId="15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" localSheetId="18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" localSheetId="14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" localSheetId="12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" localSheetId="13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s" localSheetId="14">#REF!</definedName>
    <definedName name="rs" localSheetId="12">#REF!</definedName>
    <definedName name="rs" localSheetId="1">#REF!</definedName>
    <definedName name="rs" localSheetId="13">#REF!</definedName>
    <definedName name="rs">#REF!</definedName>
    <definedName name="RV_COS" localSheetId="14">#REF!</definedName>
    <definedName name="RV_COS" localSheetId="12">#REF!</definedName>
    <definedName name="RV_COS" localSheetId="1">#REF!</definedName>
    <definedName name="RV_COS" localSheetId="13">#REF!</definedName>
    <definedName name="RV_COS">#REF!</definedName>
    <definedName name="RVR_T" localSheetId="14">#REF!</definedName>
    <definedName name="RVR_T" localSheetId="12">#REF!</definedName>
    <definedName name="RVR_T" localSheetId="1">#REF!</definedName>
    <definedName name="RVR_T" localSheetId="13">#REF!</definedName>
    <definedName name="RVR_T">#REF!</definedName>
    <definedName name="RWF" localSheetId="18" hidden="1">{"'Sheet1'!$A$4386:$N$4591"}</definedName>
    <definedName name="RWF" hidden="1">{"'Sheet1'!$A$4386:$N$4591"}</definedName>
    <definedName name="S" localSheetId="11">{0.1;0;0.45;0;0;0;0;0;0.45}</definedName>
    <definedName name="S" localSheetId="15">{0.1;0;0.45;0;0;0;0;0;0.45}</definedName>
    <definedName name="S" localSheetId="14">{0.1;0;0.45;0;0;0;0;0;0.45}</definedName>
    <definedName name="S" localSheetId="12">{0.1;0;0.45;0;0;0;0;0;0.45}</definedName>
    <definedName name="S" localSheetId="13">{0.1;0;0.45;0;0;0;0;0;0.45}</definedName>
    <definedName name="S">{0.1;0;0.45;0;0;0;0;0;0.45}</definedName>
    <definedName name="SABA" localSheetId="14">#REF!</definedName>
    <definedName name="SABA" localSheetId="12">#REF!</definedName>
    <definedName name="SABA" localSheetId="1">#REF!</definedName>
    <definedName name="SABA" localSheetId="13">#REF!</definedName>
    <definedName name="SABA">#REF!</definedName>
    <definedName name="saef" localSheetId="18" hidden="1">{"Execavation",#N/A,FALSE,"furniture (employer)"}</definedName>
    <definedName name="saef" hidden="1">{"Execavation",#N/A,FALSE,"furniture (employer)"}</definedName>
    <definedName name="sai" localSheetId="18" hidden="1">{"'bar'!$A$1:$AQ$33","'bar'!$A$10:$B$10"}</definedName>
    <definedName name="sai" hidden="1">{"'bar'!$A$1:$AQ$33","'bar'!$A$10:$B$10"}</definedName>
    <definedName name="salary1" localSheetId="18" hidden="1">{"'bar'!$A$1:$AQ$33","'bar'!$A$10:$B$10"}</definedName>
    <definedName name="salary1" hidden="1">{"'bar'!$A$1:$AQ$33","'bar'!$A$10:$B$10"}</definedName>
    <definedName name="sales02" localSheetId="11">[71]FY2002!$B$6:$E$506</definedName>
    <definedName name="sales02" localSheetId="15">[71]FY2002!$B$6:$E$506</definedName>
    <definedName name="sales02" localSheetId="14">[72]FY2002!$B$6:$E$506</definedName>
    <definedName name="sales02" localSheetId="12">[72]FY2002!$B$6:$E$506</definedName>
    <definedName name="sales02" localSheetId="13">[72]FY2002!$B$6:$E$506</definedName>
    <definedName name="sales02">[71]FY2002!$B$6:$E$506</definedName>
    <definedName name="sales04" localSheetId="11">[71]FY2004!$B$6:$E$506</definedName>
    <definedName name="sales04" localSheetId="15">[71]FY2004!$B$6:$E$506</definedName>
    <definedName name="sales04" localSheetId="14">[72]FY2004!$B$6:$E$506</definedName>
    <definedName name="sales04" localSheetId="12">[72]FY2004!$B$6:$E$506</definedName>
    <definedName name="sales04" localSheetId="13">[72]FY2004!$B$6:$E$506</definedName>
    <definedName name="sales04">[71]FY2004!$B$6:$E$506</definedName>
    <definedName name="sales05" localSheetId="11">[71]YTD2005!$B$6:$F$506</definedName>
    <definedName name="sales05" localSheetId="15">[71]YTD2005!$B$6:$F$506</definedName>
    <definedName name="sales05" localSheetId="14">[72]YTD2005!$B$6:$F$506</definedName>
    <definedName name="sales05" localSheetId="12">[72]YTD2005!$B$6:$F$506</definedName>
    <definedName name="sales05" localSheetId="13">[72]YTD2005!$B$6:$F$506</definedName>
    <definedName name="sales05">[71]YTD2005!$B$6:$F$506</definedName>
    <definedName name="Sals_OT_Allows" localSheetId="14">#REF!</definedName>
    <definedName name="Sals_OT_Allows" localSheetId="12">#REF!</definedName>
    <definedName name="Sals_OT_Allows" localSheetId="1">#REF!</definedName>
    <definedName name="Sals_OT_Allows" localSheetId="13">#REF!</definedName>
    <definedName name="Sals_OT_Allows">#REF!</definedName>
    <definedName name="SAPBEXdnldView" hidden="1">"41SCKSYYOD3CIE0R2X2KUB6XZ"</definedName>
    <definedName name="SAPBEXhrIndnt" hidden="1">"Wide"</definedName>
    <definedName name="SAPBEXrevision" hidden="1">1</definedName>
    <definedName name="SAPBEXsysID" hidden="1">"BWP"</definedName>
    <definedName name="SAPBEXwbID" hidden="1">"414GM0A1FMWJUN1J3G9EHHZAF"</definedName>
    <definedName name="SAPsysID" hidden="1">"708C5W7SBKP804JT78WJ0JNKI"</definedName>
    <definedName name="SAPwbID" hidden="1">"ARS"</definedName>
    <definedName name="SaveNewFile" localSheetId="11">#N/A</definedName>
    <definedName name="SaveNewFile" localSheetId="14">#N/A</definedName>
    <definedName name="SaveNewFile" localSheetId="12">#N/A</definedName>
    <definedName name="SaveNewFile" localSheetId="1">#N/A</definedName>
    <definedName name="SaveNewFile" localSheetId="13">#N/A</definedName>
    <definedName name="SaveNewFile">#N/A</definedName>
    <definedName name="Scenario" localSheetId="14">#REF!</definedName>
    <definedName name="Scenario" localSheetId="12">#REF!</definedName>
    <definedName name="Scenario" localSheetId="1">#REF!</definedName>
    <definedName name="Scenario" localSheetId="13">#REF!</definedName>
    <definedName name="Scenario">#REF!</definedName>
    <definedName name="ScenarioA" localSheetId="14">#REF!</definedName>
    <definedName name="ScenarioA" localSheetId="12">#REF!</definedName>
    <definedName name="ScenarioA" localSheetId="1">#REF!</definedName>
    <definedName name="ScenarioA" localSheetId="13">#REF!</definedName>
    <definedName name="ScenarioA">#REF!</definedName>
    <definedName name="ScenarioB" localSheetId="14">#REF!</definedName>
    <definedName name="ScenarioB" localSheetId="12">#REF!</definedName>
    <definedName name="ScenarioB" localSheetId="1">#REF!</definedName>
    <definedName name="ScenarioB" localSheetId="13">#REF!</definedName>
    <definedName name="ScenarioB">#REF!</definedName>
    <definedName name="Sched_Pay" localSheetId="14">#REF!</definedName>
    <definedName name="Sched_Pay" localSheetId="12">#REF!</definedName>
    <definedName name="Sched_Pay" localSheetId="1">#REF!</definedName>
    <definedName name="Sched_Pay" localSheetId="13">#REF!</definedName>
    <definedName name="Sched_Pay">#REF!</definedName>
    <definedName name="Schedule_12" localSheetId="1">'[73]Results PL'!#REF!</definedName>
    <definedName name="Schedule_12">'[73]Results PL'!#REF!</definedName>
    <definedName name="Scheduled_Extra_Payments" localSheetId="14">#REF!</definedName>
    <definedName name="Scheduled_Extra_Payments" localSheetId="12">#REF!</definedName>
    <definedName name="Scheduled_Extra_Payments" localSheetId="1">#REF!</definedName>
    <definedName name="Scheduled_Extra_Payments" localSheetId="13">#REF!</definedName>
    <definedName name="Scheduled_Extra_Payments">#REF!</definedName>
    <definedName name="Scheduled_Interest_Rate" localSheetId="14">#REF!</definedName>
    <definedName name="Scheduled_Interest_Rate" localSheetId="12">#REF!</definedName>
    <definedName name="Scheduled_Interest_Rate" localSheetId="1">#REF!</definedName>
    <definedName name="Scheduled_Interest_Rate" localSheetId="13">#REF!</definedName>
    <definedName name="Scheduled_Interest_Rate">#REF!</definedName>
    <definedName name="Scheduled_Monthly_Payment" localSheetId="14">#REF!</definedName>
    <definedName name="Scheduled_Monthly_Payment" localSheetId="12">#REF!</definedName>
    <definedName name="Scheduled_Monthly_Payment" localSheetId="1">#REF!</definedName>
    <definedName name="Scheduled_Monthly_Payment" localSheetId="13">#REF!</definedName>
    <definedName name="Scheduled_Monthly_Payment">#REF!</definedName>
    <definedName name="scl" localSheetId="14">#REF!</definedName>
    <definedName name="scl" localSheetId="12">#REF!</definedName>
    <definedName name="scl" localSheetId="1">#REF!</definedName>
    <definedName name="scl" localSheetId="13">#REF!</definedName>
    <definedName name="scl">#REF!</definedName>
    <definedName name="SCLdata" localSheetId="14">#REF!</definedName>
    <definedName name="SCLdata" localSheetId="12">#REF!</definedName>
    <definedName name="SCLdata" localSheetId="1">#REF!</definedName>
    <definedName name="SCLdata" localSheetId="13">#REF!</definedName>
    <definedName name="SCLdata">#REF!</definedName>
    <definedName name="sdd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fasd" localSheetId="18" hidden="1">{"Execavation",#N/A,FALSE,"furniture (employer)"}</definedName>
    <definedName name="sdfasd" hidden="1">{"Execavation",#N/A,FALSE,"furniture (employer)"}</definedName>
    <definedName name="SDFHG" localSheetId="11" hidden="1">{"Agg Output",#N/A,FALSE,"Operational Drivers Output";"NW Output",#N/A,FALSE,"Operational Drivers Output";"South Output",#N/A,FALSE,"Operational Drivers Output";"Central Output",#N/A,FALSE,"Operational Drivers Output"}</definedName>
    <definedName name="SDFHG" localSheetId="15" hidden="1">{"Agg Output",#N/A,FALSE,"Operational Drivers Output";"NW Output",#N/A,FALSE,"Operational Drivers Output";"South Output",#N/A,FALSE,"Operational Drivers Output";"Central Output",#N/A,FALSE,"Operational Drivers Output"}</definedName>
    <definedName name="SDFHG" localSheetId="18" hidden="1">{"Agg Output",#N/A,FALSE,"Operational Drivers Output";"NW Output",#N/A,FALSE,"Operational Drivers Output";"South Output",#N/A,FALSE,"Operational Drivers Output";"Central Output",#N/A,FALSE,"Operational Drivers Output"}</definedName>
    <definedName name="SDFHG" localSheetId="14" hidden="1">{"Agg Output",#N/A,FALSE,"Operational Drivers Output";"NW Output",#N/A,FALSE,"Operational Drivers Output";"South Output",#N/A,FALSE,"Operational Drivers Output";"Central Output",#N/A,FALSE,"Operational Drivers Output"}</definedName>
    <definedName name="SDFHG" localSheetId="12" hidden="1">{"Agg Output",#N/A,FALSE,"Operational Drivers Output";"NW Output",#N/A,FALSE,"Operational Drivers Output";"South Output",#N/A,FALSE,"Operational Drivers Output";"Central Output",#N/A,FALSE,"Operational Drivers Output"}</definedName>
    <definedName name="SDFHG" localSheetId="13" hidden="1">{"Agg Output",#N/A,FALSE,"Operational Drivers Output";"NW Output",#N/A,FALSE,"Operational Drivers Output";"South Output",#N/A,FALSE,"Operational Drivers Output";"Central Output",#N/A,FALSE,"Operational Drivers Output"}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sdfsdf" localSheetId="18" hidden="1">{#N/A,#N/A,TRUE,"DCF Summary (2)";#N/A,#N/A,TRUE,"DCF Summary";#N/A,"Middle Case Drivers",TRUE,"DCF"}</definedName>
    <definedName name="sdfsdfsdf" hidden="1">{#N/A,#N/A,TRUE,"DCF Summary (2)";#N/A,#N/A,TRUE,"DCF Summary";#N/A,"Middle Case Drivers",TRUE,"DCF"}</definedName>
    <definedName name="sdfsdfsdf_1" localSheetId="18" hidden="1">{#N/A,#N/A,TRUE,"DCF Summary (2)";#N/A,#N/A,TRUE,"DCF Summary";#N/A,"Middle Case Drivers",TRUE,"DCF"}</definedName>
    <definedName name="sdfsdfsdf_1" hidden="1">{#N/A,#N/A,TRUE,"DCF Summary (2)";#N/A,#N/A,TRUE,"DCF Summary";#N/A,"Middle Case Drivers",TRUE,"DCF"}</definedName>
    <definedName name="sdhdhfdfhh" localSheetId="11" hidden="1">{#N/A,#N/A,FALSE,"Balance Sheet";#N/A,#N/A,FALSE,"Income Statement";#N/A,#N/A,FALSE,"Changes in Financial Position"}</definedName>
    <definedName name="sdhdhfdfhh" localSheetId="15" hidden="1">{#N/A,#N/A,FALSE,"Balance Sheet";#N/A,#N/A,FALSE,"Income Statement";#N/A,#N/A,FALSE,"Changes in Financial Position"}</definedName>
    <definedName name="sdhdhfdfhh" localSheetId="18" hidden="1">{#N/A,#N/A,FALSE,"Balance Sheet";#N/A,#N/A,FALSE,"Income Statement";#N/A,#N/A,FALSE,"Changes in Financial Position"}</definedName>
    <definedName name="sdhdhfdfhh" localSheetId="14" hidden="1">{#N/A,#N/A,FALSE,"Balance Sheet";#N/A,#N/A,FALSE,"Income Statement";#N/A,#N/A,FALSE,"Changes in Financial Position"}</definedName>
    <definedName name="sdhdhfdfhh" localSheetId="12" hidden="1">{#N/A,#N/A,FALSE,"Balance Sheet";#N/A,#N/A,FALSE,"Income Statement";#N/A,#N/A,FALSE,"Changes in Financial Position"}</definedName>
    <definedName name="sdhdhfdfhh" localSheetId="13" hidden="1">{#N/A,#N/A,FALSE,"Balance Sheet";#N/A,#N/A,FALSE,"Income Statement";#N/A,#N/A,FALSE,"Changes in Financial Position"}</definedName>
    <definedName name="sdhdhfdfhh" hidden="1">{#N/A,#N/A,FALSE,"Balance Sheet";#N/A,#N/A,FALSE,"Income Statement";#N/A,#N/A,FALSE,"Changes in Financial Position"}</definedName>
    <definedName name="SDKSDAS" localSheetId="18" hidden="1">{"'Sheet1'!$A$4386:$N$4591"}</definedName>
    <definedName name="SDKSDAS" hidden="1">{"'Sheet1'!$A$4386:$N$4591"}</definedName>
    <definedName name="sdsdf" localSheetId="18" hidden="1">#REF!</definedName>
    <definedName name="sdsdf" localSheetId="1" hidden="1">'[10]1201'!#REF!</definedName>
    <definedName name="sdsdf" hidden="1">'[10]1201'!#REF!</definedName>
    <definedName name="sdufw" localSheetId="18" hidden="1">#REF!</definedName>
    <definedName name="sdufw" localSheetId="1" hidden="1">'[74]BS, PL, Sch 5 to 9'!#REF!</definedName>
    <definedName name="sdufw" hidden="1">'[74]BS, PL, Sch 5 to 9'!#REF!</definedName>
    <definedName name="seaso" localSheetId="1">'[67]Int Rates'!#REF!</definedName>
    <definedName name="seaso">'[67]Int Rates'!#REF!</definedName>
    <definedName name="season" localSheetId="14">#REF!</definedName>
    <definedName name="season" localSheetId="12">#REF!</definedName>
    <definedName name="season" localSheetId="1">#REF!</definedName>
    <definedName name="season" localSheetId="13">#REF!</definedName>
    <definedName name="season">#REF!</definedName>
    <definedName name="seasonality" localSheetId="14">#REF!</definedName>
    <definedName name="seasonality" localSheetId="12">#REF!</definedName>
    <definedName name="seasonality" localSheetId="1">#REF!</definedName>
    <definedName name="seasonality" localSheetId="13">#REF!</definedName>
    <definedName name="seasonality">#REF!</definedName>
    <definedName name="Sector" localSheetId="14">#REF!</definedName>
    <definedName name="Sector" localSheetId="12">#REF!</definedName>
    <definedName name="Sector" localSheetId="1">#REF!</definedName>
    <definedName name="Sector" localSheetId="13">#REF!</definedName>
    <definedName name="Sector">#REF!</definedName>
    <definedName name="Sectors" localSheetId="1">[20]Menu!#REF!</definedName>
    <definedName name="Sectors">[20]Menu!#REF!</definedName>
    <definedName name="SEEME" localSheetId="1">[75]control!#REF!</definedName>
    <definedName name="SEEME">[75]control!#REF!</definedName>
    <definedName name="segassum" localSheetId="1">[6]LBO!#REF!</definedName>
    <definedName name="segassum">[6]LBO!#REF!</definedName>
    <definedName name="segassum1" localSheetId="1">[6]LBO!#REF!</definedName>
    <definedName name="segassum1">[6]LBO!#REF!</definedName>
    <definedName name="segmenta" localSheetId="1">[6]LBO!#REF!</definedName>
    <definedName name="segmenta">[6]LBO!#REF!</definedName>
    <definedName name="SEGMENTAL" localSheetId="14">#REF!</definedName>
    <definedName name="SEGMENTAL" localSheetId="12">#REF!</definedName>
    <definedName name="SEGMENTAL" localSheetId="1">#REF!</definedName>
    <definedName name="SEGMENTAL" localSheetId="13">#REF!</definedName>
    <definedName name="SEGMENTAL">#REF!</definedName>
    <definedName name="segmentb" localSheetId="1">[6]LBO!#REF!</definedName>
    <definedName name="segmentb">[6]LBO!#REF!</definedName>
    <definedName name="segmentc" localSheetId="1">[6]LBO!#REF!</definedName>
    <definedName name="segmentc">[6]LBO!#REF!</definedName>
    <definedName name="segmentd" localSheetId="1">[6]LBO!#REF!</definedName>
    <definedName name="segmentd">[6]LBO!#REF!</definedName>
    <definedName name="SEK_EUR">[47]FXRATES!$D$11</definedName>
    <definedName name="sencount" hidden="1">1</definedName>
    <definedName name="Sep_08">[20]CFData!$J$2:$J$1216</definedName>
    <definedName name="September">[20]HRData!$K$2:$K$100</definedName>
    <definedName name="SFG" localSheetId="1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 localSheetId="15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 localSheetId="18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 localSheetId="14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 localSheetId="12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 localSheetId="13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v" localSheetId="11" hidden="1">{"consolidated",#N/A,FALSE,"Sheet1";"cms",#N/A,FALSE,"Sheet1";"fse",#N/A,FALSE,"Sheet1"}</definedName>
    <definedName name="sfgv" localSheetId="15" hidden="1">{"consolidated",#N/A,FALSE,"Sheet1";"cms",#N/A,FALSE,"Sheet1";"fse",#N/A,FALSE,"Sheet1"}</definedName>
    <definedName name="sfgv" localSheetId="18" hidden="1">{"consolidated",#N/A,FALSE,"Sheet1";"cms",#N/A,FALSE,"Sheet1";"fse",#N/A,FALSE,"Sheet1"}</definedName>
    <definedName name="sfgv" localSheetId="14" hidden="1">{"consolidated",#N/A,FALSE,"Sheet1";"cms",#N/A,FALSE,"Sheet1";"fse",#N/A,FALSE,"Sheet1"}</definedName>
    <definedName name="sfgv" localSheetId="12" hidden="1">{"consolidated",#N/A,FALSE,"Sheet1";"cms",#N/A,FALSE,"Sheet1";"fse",#N/A,FALSE,"Sheet1"}</definedName>
    <definedName name="sfgv" localSheetId="13" hidden="1">{"consolidated",#N/A,FALSE,"Sheet1";"cms",#N/A,FALSE,"Sheet1";"fse",#N/A,FALSE,"Sheet1"}</definedName>
    <definedName name="sfgv" hidden="1">{"consolidated",#N/A,FALSE,"Sheet1";"cms",#N/A,FALSE,"Sheet1";"fse",#N/A,FALSE,"Sheet1"}</definedName>
    <definedName name="sfq" localSheetId="11" hidden="1">{#N/A,#N/A,FALSE,"Calc";#N/A,#N/A,FALSE,"Sensitivity";#N/A,#N/A,FALSE,"LT Earn.Dil.";#N/A,#N/A,FALSE,"Dil. AVP"}</definedName>
    <definedName name="sfq" localSheetId="15" hidden="1">{#N/A,#N/A,FALSE,"Calc";#N/A,#N/A,FALSE,"Sensitivity";#N/A,#N/A,FALSE,"LT Earn.Dil.";#N/A,#N/A,FALSE,"Dil. AVP"}</definedName>
    <definedName name="sfq" localSheetId="18" hidden="1">{#N/A,#N/A,FALSE,"Calc";#N/A,#N/A,FALSE,"Sensitivity";#N/A,#N/A,FALSE,"LT Earn.Dil.";#N/A,#N/A,FALSE,"Dil. AVP"}</definedName>
    <definedName name="sfq" localSheetId="14" hidden="1">{#N/A,#N/A,FALSE,"Calc";#N/A,#N/A,FALSE,"Sensitivity";#N/A,#N/A,FALSE,"LT Earn.Dil.";#N/A,#N/A,FALSE,"Dil. AVP"}</definedName>
    <definedName name="sfq" localSheetId="12" hidden="1">{#N/A,#N/A,FALSE,"Calc";#N/A,#N/A,FALSE,"Sensitivity";#N/A,#N/A,FALSE,"LT Earn.Dil.";#N/A,#N/A,FALSE,"Dil. AVP"}</definedName>
    <definedName name="sfq" localSheetId="13" hidden="1">{#N/A,#N/A,FALSE,"Calc";#N/A,#N/A,FALSE,"Sensitivity";#N/A,#N/A,FALSE,"LT Earn.Dil.";#N/A,#N/A,FALSE,"Dil. AVP"}</definedName>
    <definedName name="sfq" hidden="1">{#N/A,#N/A,FALSE,"Calc";#N/A,#N/A,FALSE,"Sensitivity";#N/A,#N/A,FALSE,"LT Earn.Dil.";#N/A,#N/A,FALSE,"Dil. AVP"}</definedName>
    <definedName name="SGATOT" localSheetId="14">#REF!</definedName>
    <definedName name="SGATOT" localSheetId="12">#REF!</definedName>
    <definedName name="SGATOT" localSheetId="1">#REF!</definedName>
    <definedName name="SGATOT" localSheetId="13">#REF!</definedName>
    <definedName name="SGATOT">#REF!</definedName>
    <definedName name="SGAxCC" localSheetId="14">#REF!</definedName>
    <definedName name="SGAxCC" localSheetId="12">#REF!</definedName>
    <definedName name="SGAxCC" localSheetId="1">#REF!</definedName>
    <definedName name="SGAxCC" localSheetId="13">#REF!</definedName>
    <definedName name="SGAxCC">#REF!</definedName>
    <definedName name="sgdg" localSheetId="11" hidden="1">{#N/A,#N/A,FALSE,"Calc";#N/A,#N/A,FALSE,"Sensitivity";#N/A,#N/A,FALSE,"LT Earn.Dil.";#N/A,#N/A,FALSE,"Dil. AVP"}</definedName>
    <definedName name="sgdg" localSheetId="15" hidden="1">{#N/A,#N/A,FALSE,"Calc";#N/A,#N/A,FALSE,"Sensitivity";#N/A,#N/A,FALSE,"LT Earn.Dil.";#N/A,#N/A,FALSE,"Dil. AVP"}</definedName>
    <definedName name="sgdg" localSheetId="18" hidden="1">{#N/A,#N/A,FALSE,"Calc";#N/A,#N/A,FALSE,"Sensitivity";#N/A,#N/A,FALSE,"LT Earn.Dil.";#N/A,#N/A,FALSE,"Dil. AVP"}</definedName>
    <definedName name="sgdg" localSheetId="14" hidden="1">{#N/A,#N/A,FALSE,"Calc";#N/A,#N/A,FALSE,"Sensitivity";#N/A,#N/A,FALSE,"LT Earn.Dil.";#N/A,#N/A,FALSE,"Dil. AVP"}</definedName>
    <definedName name="sgdg" localSheetId="12" hidden="1">{#N/A,#N/A,FALSE,"Calc";#N/A,#N/A,FALSE,"Sensitivity";#N/A,#N/A,FALSE,"LT Earn.Dil.";#N/A,#N/A,FALSE,"Dil. AVP"}</definedName>
    <definedName name="sgdg" localSheetId="13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sx" localSheetId="11" hidden="1">{"consolidated",#N/A,FALSE,"Sheet1";"cms",#N/A,FALSE,"Sheet1";"fse",#N/A,FALSE,"Sheet1"}</definedName>
    <definedName name="sgsx" localSheetId="15" hidden="1">{"consolidated",#N/A,FALSE,"Sheet1";"cms",#N/A,FALSE,"Sheet1";"fse",#N/A,FALSE,"Sheet1"}</definedName>
    <definedName name="sgsx" localSheetId="18" hidden="1">{"consolidated",#N/A,FALSE,"Sheet1";"cms",#N/A,FALSE,"Sheet1";"fse",#N/A,FALSE,"Sheet1"}</definedName>
    <definedName name="sgsx" localSheetId="14" hidden="1">{"consolidated",#N/A,FALSE,"Sheet1";"cms",#N/A,FALSE,"Sheet1";"fse",#N/A,FALSE,"Sheet1"}</definedName>
    <definedName name="sgsx" localSheetId="12" hidden="1">{"consolidated",#N/A,FALSE,"Sheet1";"cms",#N/A,FALSE,"Sheet1";"fse",#N/A,FALSE,"Sheet1"}</definedName>
    <definedName name="sgsx" localSheetId="13" hidden="1">{"consolidated",#N/A,FALSE,"Sheet1";"cms",#N/A,FALSE,"Sheet1";"fse",#N/A,FALSE,"Sheet1"}</definedName>
    <definedName name="sgsx" hidden="1">{"consolidated",#N/A,FALSE,"Sheet1";"cms",#N/A,FALSE,"Sheet1";"fse",#N/A,FALSE,"Sheet1"}</definedName>
    <definedName name="shareprice" localSheetId="1">[76]Inputs!#REF!</definedName>
    <definedName name="shareprice">[76]Inputs!#REF!</definedName>
    <definedName name="shares" localSheetId="14">#REF!</definedName>
    <definedName name="shares" localSheetId="12">#REF!</definedName>
    <definedName name="shares" localSheetId="1">#REF!</definedName>
    <definedName name="shares" localSheetId="13">#REF!</definedName>
    <definedName name="shares">#REF!</definedName>
    <definedName name="shgf" localSheetId="11">{0;0;0;0;1;1;0;0;0.6;0.3;2;FALSE;FALSE;FALSE;FALSE;FALSE;#N/A;1;100;#N/A;#N/A;"";""}</definedName>
    <definedName name="shgf" localSheetId="15">{0;0;0;0;1;1;0;0;0.6;0.3;2;FALSE;FALSE;FALSE;FALSE;FALSE;#N/A;1;100;#N/A;#N/A;"";""}</definedName>
    <definedName name="shgf" localSheetId="14">{0;0;0;0;1;1;0;0;0.6;0.3;2;FALSE;FALSE;FALSE;FALSE;FALSE;#N/A;1;100;#N/A;#N/A;"";""}</definedName>
    <definedName name="shgf" localSheetId="12">{0;0;0;0;1;1;0;0;0.6;0.3;2;FALSE;FALSE;FALSE;FALSE;FALSE;#N/A;1;100;#N/A;#N/A;"";""}</definedName>
    <definedName name="shgf" localSheetId="13">{0;0;0;0;1;1;0;0;0.6;0.3;2;FALSE;FALSE;FALSE;FALSE;FALSE;#N/A;1;100;#N/A;#N/A;"";""}</definedName>
    <definedName name="shgf">{0;0;0;0;1;1;0;0;0.6;0.3;2;FALSE;FALSE;FALSE;FALSE;FALSE;#N/A;1;100;#N/A;#N/A;"";""}</definedName>
    <definedName name="short" localSheetId="18" hidden="1">{#N/A,#N/A,FALSE,"COVER1.XLS ";#N/A,#N/A,FALSE,"RACT1.XLS";#N/A,#N/A,FALSE,"RACT2.XLS";#N/A,#N/A,FALSE,"ECCMP";#N/A,#N/A,FALSE,"WELDER.XLS"}</definedName>
    <definedName name="short" hidden="1">{#N/A,#N/A,FALSE,"COVER1.XLS ";#N/A,#N/A,FALSE,"RACT1.XLS";#N/A,#N/A,FALSE,"RACT2.XLS";#N/A,#N/A,FALSE,"ECCMP";#N/A,#N/A,FALSE,"WELDER.XLS"}</definedName>
    <definedName name="Show.Date" localSheetId="11">IF([51]ProSum!XFB1048560&lt;&gt;"",DATE(YEAR([0]!First_payment_due),MONTH([0]!First_payment_due)+([51]ProSum!XFB1048560-1)*12/[0]!Payments_per_year,DAY([0]!First_payment_due)),"")</definedName>
    <definedName name="Show.Date" localSheetId="15">IF([51]ProSum!XFB1048560&lt;&gt;"",DATE(YEAR([0]!First_payment_due),MONTH([0]!First_payment_due)+([51]ProSum!XFB1048560-1)*12/[0]!Payments_per_year,DAY([0]!First_payment_due)),"")</definedName>
    <definedName name="Show.Date" localSheetId="14">IF([51]ProSum!XFB1048560&lt;&gt;"",DATE(YEAR([0]!First_payment_due),MONTH([0]!First_payment_due)+([51]ProSum!XFB1048560-1)*12/[0]!Payments_per_year,DAY([0]!First_payment_due)),"")</definedName>
    <definedName name="Show.Date" localSheetId="12">IF([51]ProSum!XFB1048560&lt;&gt;"",DATE(YEAR([0]!First_payment_due),MONTH([0]!First_payment_due)+([51]ProSum!XFB1048560-1)*12/[0]!Payments_per_year,DAY([0]!First_payment_due)),"")</definedName>
    <definedName name="Show.Date" localSheetId="13">IF([51]ProSum!XFB1048560&lt;&gt;"",DATE(YEAR([0]!First_payment_due),MONTH([0]!First_payment_due)+([51]ProSum!XFB1048560-1)*12/[0]!Payments_per_year,DAY([0]!First_payment_due)),"")</definedName>
    <definedName name="Show.Date">IF([51]ProSum!XFB1048560&lt;&gt;"",DATE(YEAR([0]!First_payment_due),MONTH([0]!First_payment_due)+([51]ProSum!XFB1048560-1)*12/[0]!Payments_per_year,DAY([0]!First_payment_due)),"")</definedName>
    <definedName name="ShPriceNowCoA" localSheetId="14">#REF!</definedName>
    <definedName name="ShPriceNowCoA" localSheetId="12">#REF!</definedName>
    <definedName name="ShPriceNowCoA" localSheetId="1">#REF!</definedName>
    <definedName name="ShPriceNowCoA" localSheetId="13">#REF!</definedName>
    <definedName name="ShPriceNowCoA">#REF!</definedName>
    <definedName name="ShPriceNowCoB" localSheetId="14">#REF!</definedName>
    <definedName name="ShPriceNowCoB" localSheetId="12">#REF!</definedName>
    <definedName name="ShPriceNowCoB" localSheetId="1">#REF!</definedName>
    <definedName name="ShPriceNowCoB" localSheetId="13">#REF!</definedName>
    <definedName name="ShPriceNowCoB">#REF!</definedName>
    <definedName name="ShPriceNowCoC" localSheetId="14">#REF!</definedName>
    <definedName name="ShPriceNowCoC" localSheetId="12">#REF!</definedName>
    <definedName name="ShPriceNowCoC" localSheetId="1">#REF!</definedName>
    <definedName name="ShPriceNowCoC" localSheetId="13">#REF!</definedName>
    <definedName name="ShPriceNowCoC">#REF!</definedName>
    <definedName name="ShPriceNowCoD" localSheetId="14">#REF!</definedName>
    <definedName name="ShPriceNowCoD" localSheetId="12">#REF!</definedName>
    <definedName name="ShPriceNowCoD" localSheetId="1">#REF!</definedName>
    <definedName name="ShPriceNowCoD" localSheetId="13">#REF!</definedName>
    <definedName name="ShPriceNowCoD">#REF!</definedName>
    <definedName name="ShPriceNowCoE" localSheetId="14">#REF!</definedName>
    <definedName name="ShPriceNowCoE" localSheetId="12">#REF!</definedName>
    <definedName name="ShPriceNowCoE" localSheetId="1">#REF!</definedName>
    <definedName name="ShPriceNowCoE" localSheetId="13">#REF!</definedName>
    <definedName name="ShPriceNowCoE">#REF!</definedName>
    <definedName name="ShPriceNowCoF" localSheetId="14">#REF!</definedName>
    <definedName name="ShPriceNowCoF" localSheetId="12">#REF!</definedName>
    <definedName name="ShPriceNowCoF" localSheetId="1">#REF!</definedName>
    <definedName name="ShPriceNowCoF" localSheetId="13">#REF!</definedName>
    <definedName name="ShPriceNowCoF">#REF!</definedName>
    <definedName name="ShPriceNowCoG" localSheetId="14">#REF!</definedName>
    <definedName name="ShPriceNowCoG" localSheetId="12">#REF!</definedName>
    <definedName name="ShPriceNowCoG" localSheetId="1">#REF!</definedName>
    <definedName name="ShPriceNowCoG" localSheetId="13">#REF!</definedName>
    <definedName name="ShPriceNowCoG">#REF!</definedName>
    <definedName name="ShPriceNowCoH" localSheetId="14">#REF!</definedName>
    <definedName name="ShPriceNowCoH" localSheetId="12">#REF!</definedName>
    <definedName name="ShPriceNowCoH" localSheetId="1">#REF!</definedName>
    <definedName name="ShPriceNowCoH" localSheetId="13">#REF!</definedName>
    <definedName name="ShPriceNowCoH">#REF!</definedName>
    <definedName name="ShPriceNowCoI" localSheetId="14">#REF!</definedName>
    <definedName name="ShPriceNowCoI" localSheetId="12">#REF!</definedName>
    <definedName name="ShPriceNowCoI" localSheetId="1">#REF!</definedName>
    <definedName name="ShPriceNowCoI" localSheetId="13">#REF!</definedName>
    <definedName name="ShPriceNowCoI">#REF!</definedName>
    <definedName name="ShPriceNowCoJ" localSheetId="14">#REF!</definedName>
    <definedName name="ShPriceNowCoJ" localSheetId="12">#REF!</definedName>
    <definedName name="ShPriceNowCoJ" localSheetId="1">#REF!</definedName>
    <definedName name="ShPriceNowCoJ" localSheetId="13">#REF!</definedName>
    <definedName name="ShPriceNowCoJ">#REF!</definedName>
    <definedName name="ShPriceNowCoK" localSheetId="14">#REF!</definedName>
    <definedName name="ShPriceNowCoK" localSheetId="12">#REF!</definedName>
    <definedName name="ShPriceNowCoK" localSheetId="1">#REF!</definedName>
    <definedName name="ShPriceNowCoK" localSheetId="13">#REF!</definedName>
    <definedName name="ShPriceNowCoK">#REF!</definedName>
    <definedName name="ShPriceNowCoL" localSheetId="14">#REF!</definedName>
    <definedName name="ShPriceNowCoL" localSheetId="12">#REF!</definedName>
    <definedName name="ShPriceNowCoL" localSheetId="1">#REF!</definedName>
    <definedName name="ShPriceNowCoL" localSheetId="13">#REF!</definedName>
    <definedName name="ShPriceNowCoL">#REF!</definedName>
    <definedName name="ShPriceNowCoM" localSheetId="14">#REF!</definedName>
    <definedName name="ShPriceNowCoM" localSheetId="12">#REF!</definedName>
    <definedName name="ShPriceNowCoM" localSheetId="1">#REF!</definedName>
    <definedName name="ShPriceNowCoM" localSheetId="13">#REF!</definedName>
    <definedName name="ShPriceNowCoM">#REF!</definedName>
    <definedName name="ShPriceNowCoN" localSheetId="14">#REF!</definedName>
    <definedName name="ShPriceNowCoN" localSheetId="12">#REF!</definedName>
    <definedName name="ShPriceNowCoN" localSheetId="1">#REF!</definedName>
    <definedName name="ShPriceNowCoN" localSheetId="13">#REF!</definedName>
    <definedName name="ShPriceNowCoN">#REF!</definedName>
    <definedName name="ShPriceNowCoO" localSheetId="14">#REF!</definedName>
    <definedName name="ShPriceNowCoO" localSheetId="12">#REF!</definedName>
    <definedName name="ShPriceNowCoO" localSheetId="1">#REF!</definedName>
    <definedName name="ShPriceNowCoO" localSheetId="13">#REF!</definedName>
    <definedName name="ShPriceNowCoO">#REF!</definedName>
    <definedName name="shuttering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hutterin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IM_COS" localSheetId="14">#REF!</definedName>
    <definedName name="SIM_COS" localSheetId="12">#REF!</definedName>
    <definedName name="SIM_COS" localSheetId="1">#REF!</definedName>
    <definedName name="SIM_COS" localSheetId="13">#REF!</definedName>
    <definedName name="SIM_COS">#REF!</definedName>
    <definedName name="SL" localSheetId="18" hidden="1">{"Execavation",#N/A,FALSE,"furniture (employer)"}</definedName>
    <definedName name="SL" localSheetId="14">#REF!</definedName>
    <definedName name="SL" localSheetId="12">#REF!</definedName>
    <definedName name="SL" localSheetId="1">#REF!</definedName>
    <definedName name="SL" localSheetId="13">#REF!</definedName>
    <definedName name="SL" hidden="1">{"Execavation",#N/A,FALSE,"furniture (employer)"}</definedName>
    <definedName name="slab_p" localSheetId="18" hidden="1">{"form-D1",#N/A,FALSE,"FORM-D1";"form-D1_amt",#N/A,FALSE,"FORM-D1"}</definedName>
    <definedName name="slab_p" hidden="1">{"form-D1",#N/A,FALSE,"FORM-D1";"form-D1_amt",#N/A,FALSE,"FORM-D1"}</definedName>
    <definedName name="sName" localSheetId="1">[77]!sName</definedName>
    <definedName name="sName">[77]!sName</definedName>
    <definedName name="SofV" localSheetId="14">#REF!</definedName>
    <definedName name="SofV" localSheetId="12">#REF!</definedName>
    <definedName name="SofV" localSheetId="1">#REF!</definedName>
    <definedName name="SofV" localSheetId="13">#REF!</definedName>
    <definedName name="SofV">#REF!</definedName>
    <definedName name="solver_adj" localSheetId="18" hidden="1">#REF!</definedName>
    <definedName name="solver_adj" localSheetId="14" hidden="1">#REF!</definedName>
    <definedName name="solver_adj" localSheetId="12" hidden="1">#REF!</definedName>
    <definedName name="solver_adj" localSheetId="1" hidden="1">#REF!</definedName>
    <definedName name="solver_adj" localSheetId="13" hidden="1">#REF!</definedName>
    <definedName name="solver_adj" hidden="1">#REF!</definedName>
    <definedName name="solver_lin" hidden="1">0</definedName>
    <definedName name="solver_num" hidden="1">0</definedName>
    <definedName name="solver_opt" localSheetId="18" hidden="1">#REF!</definedName>
    <definedName name="solver_opt" localSheetId="14" hidden="1">#REF!</definedName>
    <definedName name="solver_opt" localSheetId="12" hidden="1">#REF!</definedName>
    <definedName name="solver_opt" localSheetId="1" hidden="1">#REF!</definedName>
    <definedName name="solver_opt" localSheetId="13" hidden="1">#REF!</definedName>
    <definedName name="solver_opt" hidden="1">#REF!</definedName>
    <definedName name="solver_typ" hidden="1">3</definedName>
    <definedName name="solver_val" hidden="1">0.6</definedName>
    <definedName name="Sources_Uses" localSheetId="14">#REF!</definedName>
    <definedName name="Sources_Uses" localSheetId="12">#REF!</definedName>
    <definedName name="Sources_Uses" localSheetId="1">#REF!</definedName>
    <definedName name="Sources_Uses" localSheetId="13">#REF!</definedName>
    <definedName name="Sources_Uses">#REF!</definedName>
    <definedName name="Spectrum" localSheetId="14">#REF!</definedName>
    <definedName name="Spectrum" localSheetId="12">#REF!</definedName>
    <definedName name="Spectrum" localSheetId="1">#REF!</definedName>
    <definedName name="Spectrum" localSheetId="13">#REF!</definedName>
    <definedName name="Spectrum">#REF!</definedName>
    <definedName name="split" localSheetId="1">'[78]Lead Sheets'!#REF!</definedName>
    <definedName name="split">'[78]Lead Sheets'!#REF!</definedName>
    <definedName name="split1" localSheetId="1">'[52]Lead Sheets'!#REF!</definedName>
    <definedName name="split1">'[52]Lead Sheets'!#REF!</definedName>
    <definedName name="Sprint_Corporation_Annual_Earnings_Model" localSheetId="14">#REF!</definedName>
    <definedName name="Sprint_Corporation_Annual_Earnings_Model" localSheetId="12">#REF!</definedName>
    <definedName name="Sprint_Corporation_Annual_Earnings_Model" localSheetId="1">#REF!</definedName>
    <definedName name="Sprint_Corporation_Annual_Earnings_Model" localSheetId="13">#REF!</definedName>
    <definedName name="Sprint_Corporation_Annual_Earnings_Model">#REF!</definedName>
    <definedName name="Sprint_Corporation_Annual_Margin_Analysis" localSheetId="14">#REF!</definedName>
    <definedName name="Sprint_Corporation_Annual_Margin_Analysis" localSheetId="12">#REF!</definedName>
    <definedName name="Sprint_Corporation_Annual_Margin_Analysis" localSheetId="1">#REF!</definedName>
    <definedName name="Sprint_Corporation_Annual_Margin_Analysis" localSheetId="13">#REF!</definedName>
    <definedName name="Sprint_Corporation_Annual_Margin_Analysis">#REF!</definedName>
    <definedName name="Sprint_Corporation_Annual_Revenues_Model" localSheetId="14">#REF!</definedName>
    <definedName name="Sprint_Corporation_Annual_Revenues_Model" localSheetId="12">#REF!</definedName>
    <definedName name="Sprint_Corporation_Annual_Revenues_Model" localSheetId="1">#REF!</definedName>
    <definedName name="Sprint_Corporation_Annual_Revenues_Model" localSheetId="13">#REF!</definedName>
    <definedName name="Sprint_Corporation_Annual_Revenues_Model">#REF!</definedName>
    <definedName name="SprintCom" localSheetId="14">#REF!</definedName>
    <definedName name="SprintCom" localSheetId="12">#REF!</definedName>
    <definedName name="SprintCom" localSheetId="1">#REF!</definedName>
    <definedName name="SprintCom" localSheetId="13">#REF!</definedName>
    <definedName name="SprintCom">#REF!</definedName>
    <definedName name="SRMR" localSheetId="14">#REF!</definedName>
    <definedName name="SRMR" localSheetId="12">#REF!</definedName>
    <definedName name="SRMR" localSheetId="1">#REF!</definedName>
    <definedName name="SRMR" localSheetId="13">#REF!</definedName>
    <definedName name="SRMR">#REF!</definedName>
    <definedName name="ss" localSheetId="11" hidden="1">{#N/A,#N/A,FALSE,"Calc";#N/A,#N/A,FALSE,"Sensitivity";#N/A,#N/A,FALSE,"LT Earn.Dil.";#N/A,#N/A,FALSE,"Dil. AVP"}</definedName>
    <definedName name="ss" localSheetId="15" hidden="1">{#N/A,#N/A,FALSE,"Calc";#N/A,#N/A,FALSE,"Sensitivity";#N/A,#N/A,FALSE,"LT Earn.Dil.";#N/A,#N/A,FALSE,"Dil. AVP"}</definedName>
    <definedName name="ss" localSheetId="18" hidden="1">{#N/A,#N/A,FALSE,"Calc";#N/A,#N/A,FALSE,"Sensitivity";#N/A,#N/A,FALSE,"LT Earn.Dil.";#N/A,#N/A,FALSE,"Dil. AVP"}</definedName>
    <definedName name="ss" localSheetId="14" hidden="1">{#N/A,#N/A,FALSE,"Calc";#N/A,#N/A,FALSE,"Sensitivity";#N/A,#N/A,FALSE,"LT Earn.Dil.";#N/A,#N/A,FALSE,"Dil. AVP"}</definedName>
    <definedName name="ss" localSheetId="12" hidden="1">{#N/A,#N/A,FALSE,"Calc";#N/A,#N/A,FALSE,"Sensitivity";#N/A,#N/A,FALSE,"LT Earn.Dil.";#N/A,#N/A,FALSE,"Dil. AVP"}</definedName>
    <definedName name="ss" localSheetId="13" hidden="1">{#N/A,#N/A,FALSE,"Calc";#N/A,#N/A,FALSE,"Sensitivity";#N/A,#N/A,FALSE,"LT Earn.Dil.";#N/A,#N/A,FALSE,"Dil. AVP"}</definedName>
    <definedName name="ss" hidden="1">{#N/A,#N/A,FALSE,"Calc";#N/A,#N/A,FALSE,"Sensitivity";#N/A,#N/A,FALSE,"LT Earn.Dil.";#N/A,#N/A,FALSE,"Dil. AVP"}</definedName>
    <definedName name="SS_Project">[20]CapexSSdata!$B$2:$B$643</definedName>
    <definedName name="SS_Sector">[20]CapexSSdata!$A$2:$A$643</definedName>
    <definedName name="SS_Value">[20]CapexSSdata!$L$2:$L$643</definedName>
    <definedName name="ssss" localSheetId="18" hidden="1">{"'Sheet1'!$A$4386:$N$4591"}</definedName>
    <definedName name="ssss" hidden="1">{"'Sheet1'!$A$4386:$N$4591"}</definedName>
    <definedName name="SSSSS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" localSheetId="15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" localSheetId="18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" localSheetId="1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" localSheetId="1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" localSheetId="1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at_Total" localSheetId="14">#REF!</definedName>
    <definedName name="Stat_Total" localSheetId="12">#REF!</definedName>
    <definedName name="Stat_Total" localSheetId="1">#REF!</definedName>
    <definedName name="Stat_Total" localSheetId="13">#REF!</definedName>
    <definedName name="Stat_Total">#REF!</definedName>
    <definedName name="State_Miles" localSheetId="14">#REF!</definedName>
    <definedName name="State_Miles" localSheetId="12">#REF!</definedName>
    <definedName name="State_Miles" localSheetId="1">#REF!</definedName>
    <definedName name="State_Miles" localSheetId="13">#REF!</definedName>
    <definedName name="State_Miles">#REF!</definedName>
    <definedName name="statistics_structure" localSheetId="14">#REF!</definedName>
    <definedName name="statistics_structure" localSheetId="12">#REF!</definedName>
    <definedName name="statistics_structure" localSheetId="1">#REF!</definedName>
    <definedName name="statistics_structure" localSheetId="13">#REF!</definedName>
    <definedName name="statistics_structure">#REF!</definedName>
    <definedName name="stav_akce" localSheetId="1">[79]!stav_akce</definedName>
    <definedName name="stav_akce">[79]!stav_akce</definedName>
    <definedName name="stav_akce_01" localSheetId="1">[79]!stav_akce</definedName>
    <definedName name="stav_akce_01">[79]!stav_akce</definedName>
    <definedName name="Steel" localSheetId="18" hidden="1">{"'bar'!$A$1:$AQ$33","'bar'!$A$10:$B$10"}</definedName>
    <definedName name="Steel" hidden="1">{"'bar'!$A$1:$AQ$33","'bar'!$A$10:$B$10"}</definedName>
    <definedName name="stef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15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18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1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1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1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OCK1" localSheetId="1">[4]Acc_Dil!#REF!</definedName>
    <definedName name="STOCK1">[4]Acc_Dil!#REF!</definedName>
    <definedName name="STOCK2" localSheetId="1">[4]Acc_Dil!#REF!</definedName>
    <definedName name="STOCK2">[4]Acc_Dil!#REF!</definedName>
    <definedName name="STOCK3" localSheetId="1">[4]Acc_Dil!#REF!</definedName>
    <definedName name="STOCK3">[4]Acc_Dil!#REF!</definedName>
    <definedName name="stockp" localSheetId="14">#REF!</definedName>
    <definedName name="stockp" localSheetId="12">#REF!</definedName>
    <definedName name="stockp" localSheetId="1">#REF!</definedName>
    <definedName name="stockp" localSheetId="13">#REF!</definedName>
    <definedName name="stockp">#REF!</definedName>
    <definedName name="strikep" localSheetId="14">#REF!</definedName>
    <definedName name="strikep" localSheetId="12">#REF!</definedName>
    <definedName name="strikep" localSheetId="1">#REF!</definedName>
    <definedName name="strikep" localSheetId="13">#REF!</definedName>
    <definedName name="strikep">#REF!</definedName>
    <definedName name="stub" localSheetId="14">#REF!</definedName>
    <definedName name="stub" localSheetId="12">#REF!</definedName>
    <definedName name="stub" localSheetId="1">#REF!</definedName>
    <definedName name="stub" localSheetId="13">#REF!</definedName>
    <definedName name="stub">#REF!</definedName>
    <definedName name="SUB" localSheetId="1">'[49]Co. C'!#REF!</definedName>
    <definedName name="SUB">'[49]Co. C'!#REF!</definedName>
    <definedName name="Subheader">[46]TargetOverview!$B$4</definedName>
    <definedName name="Subs" localSheetId="14">#REF!</definedName>
    <definedName name="Subs" localSheetId="12">#REF!</definedName>
    <definedName name="Subs" localSheetId="1">#REF!</definedName>
    <definedName name="Subs" localSheetId="13">#REF!</definedName>
    <definedName name="Subs">#REF!</definedName>
    <definedName name="SUBTITLE">#N/A</definedName>
    <definedName name="SUM" localSheetId="14">#REF!</definedName>
    <definedName name="SUM" localSheetId="12">#REF!</definedName>
    <definedName name="SUM" localSheetId="1">#REF!</definedName>
    <definedName name="SUM" localSheetId="13">#REF!</definedName>
    <definedName name="SUM">#REF!</definedName>
    <definedName name="SumaLim">[80]Servco_LIM!$C$3:$D$3,[80]Servco_LIM!$C$6:$C$10,[80]Servco_LIM!$F$6:$F$9,[80]Servco_LIM!$C$13:$D$13,[80]Servco_LIM!$C$18:$D$18,[80]Servco_LIM!$C$23:$D$23</definedName>
    <definedName name="sumdata" localSheetId="14">#REF!</definedName>
    <definedName name="sumdata" localSheetId="12">#REF!</definedName>
    <definedName name="sumdata" localSheetId="1">#REF!</definedName>
    <definedName name="sumdata" localSheetId="13">#REF!</definedName>
    <definedName name="sumdata">#REF!</definedName>
    <definedName name="sunil" localSheetId="18" hidden="1">#REF!</definedName>
    <definedName name="sunil" localSheetId="1" hidden="1">#REF!</definedName>
    <definedName name="sunil" hidden="1">#REF!</definedName>
    <definedName name="Suppliers" localSheetId="11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 localSheetId="15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 localSheetId="18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 localSheetId="14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 localSheetId="12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 localSheetId="13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TL" localSheetId="14">#REF!</definedName>
    <definedName name="SUTL" localSheetId="12">#REF!</definedName>
    <definedName name="SUTL" localSheetId="1">#REF!</definedName>
    <definedName name="SUTL" localSheetId="13">#REF!</definedName>
    <definedName name="SUTL">#REF!</definedName>
    <definedName name="Sutlej" localSheetId="14">#REF!</definedName>
    <definedName name="Sutlej" localSheetId="12">#REF!</definedName>
    <definedName name="Sutlej" localSheetId="1">#REF!</definedName>
    <definedName name="Sutlej" localSheetId="13">#REF!</definedName>
    <definedName name="Sutlej">#REF!</definedName>
    <definedName name="SVdata" localSheetId="14">#REF!</definedName>
    <definedName name="SVdata" localSheetId="12">#REF!</definedName>
    <definedName name="SVdata" localSheetId="1">#REF!</definedName>
    <definedName name="SVdata" localSheetId="13">#REF!</definedName>
    <definedName name="SVdata">#REF!</definedName>
    <definedName name="SVFFG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VFF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witch_Table" localSheetId="14">#REF!</definedName>
    <definedName name="Switch_Table" localSheetId="12">#REF!</definedName>
    <definedName name="Switch_Table" localSheetId="1">#REF!</definedName>
    <definedName name="Switch_Table" localSheetId="13">#REF!</definedName>
    <definedName name="Switch_Table">#REF!</definedName>
    <definedName name="SwitchEPS" localSheetId="14">#REF!</definedName>
    <definedName name="SwitchEPS" localSheetId="12">#REF!</definedName>
    <definedName name="SwitchEPS" localSheetId="1">#REF!</definedName>
    <definedName name="SwitchEPS" localSheetId="13">#REF!</definedName>
    <definedName name="SwitchEPS">#REF!</definedName>
    <definedName name="SYAM" localSheetId="18" hidden="1">{"Execavation",#N/A,FALSE,"furniture (employer)"}</definedName>
    <definedName name="SYAM" hidden="1">{"Execavation",#N/A,FALSE,"furniture (employer)"}</definedName>
    <definedName name="Syn" localSheetId="1">[31]DCF!#REF!</definedName>
    <definedName name="Syn">[31]DCF!#REF!</definedName>
    <definedName name="synergies" localSheetId="14">#REF!</definedName>
    <definedName name="synergies" localSheetId="12">#REF!</definedName>
    <definedName name="synergies" localSheetId="1">#REF!</definedName>
    <definedName name="synergies" localSheetId="13">#REF!</definedName>
    <definedName name="synergies">#REF!</definedName>
    <definedName name="Table" localSheetId="1">'[81]Detailed Income statement'!#REF!</definedName>
    <definedName name="Table">'[81]Detailed Income statement'!#REF!</definedName>
    <definedName name="TableBottom" localSheetId="1">'[81]Detailed Income statement'!#REF!</definedName>
    <definedName name="TableBottom">'[81]Detailed Income statement'!#REF!</definedName>
    <definedName name="TableHeader" localSheetId="1">'[81]Detailed Income statement'!#REF!</definedName>
    <definedName name="TableHeader">'[81]Detailed Income statement'!#REF!</definedName>
    <definedName name="Tabulka" localSheetId="14">#REF!</definedName>
    <definedName name="Tabulka" localSheetId="12">#REF!</definedName>
    <definedName name="Tabulka" localSheetId="1">#REF!</definedName>
    <definedName name="Tabulka" localSheetId="13">#REF!</definedName>
    <definedName name="Tabulka">#REF!</definedName>
    <definedName name="Target_AME" localSheetId="14">#REF!</definedName>
    <definedName name="Target_AME" localSheetId="12">#REF!</definedName>
    <definedName name="Target_AME" localSheetId="1">#REF!</definedName>
    <definedName name="Target_AME" localSheetId="13">#REF!</definedName>
    <definedName name="Target_AME">#REF!</definedName>
    <definedName name="targname">[36]Target!$C$306</definedName>
    <definedName name="TAX_DEPR_1" localSheetId="14">#REF!</definedName>
    <definedName name="TAX_DEPR_1" localSheetId="12">#REF!</definedName>
    <definedName name="TAX_DEPR_1" localSheetId="1">#REF!</definedName>
    <definedName name="TAX_DEPR_1" localSheetId="13">#REF!</definedName>
    <definedName name="TAX_DEPR_1">#REF!</definedName>
    <definedName name="tax_rate">38%</definedName>
    <definedName name="taxrate" localSheetId="1">'[30]Mega Caps'!#REF!</definedName>
    <definedName name="taxrate">'[30]Mega Caps'!#REF!</definedName>
    <definedName name="TBinfoma" localSheetId="18" hidden="1">#REF!</definedName>
    <definedName name="TBinfoma" localSheetId="1" hidden="1">#REF!</definedName>
    <definedName name="TBinfoma" hidden="1">#REF!</definedName>
    <definedName name="TBSUM" localSheetId="14">#REF!</definedName>
    <definedName name="TBSUM" localSheetId="12">#REF!</definedName>
    <definedName name="TBSUM" localSheetId="1">#REF!</definedName>
    <definedName name="TBSUM" localSheetId="13">#REF!</definedName>
    <definedName name="TBSUM">#REF!</definedName>
    <definedName name="TCGI97" localSheetId="14">#REF!</definedName>
    <definedName name="TCGI97" localSheetId="12">#REF!</definedName>
    <definedName name="TCGI97" localSheetId="1">#REF!</definedName>
    <definedName name="TCGI97" localSheetId="13">#REF!</definedName>
    <definedName name="TCGI97">#REF!</definedName>
    <definedName name="TDS" localSheetId="18" hidden="1">{"'Sheet1'!$A$4386:$N$4591"}</definedName>
    <definedName name="TDS" hidden="1">{"'Sheet1'!$A$4386:$N$4591"}</definedName>
    <definedName name="tender" localSheetId="14">#REF!</definedName>
    <definedName name="tender" localSheetId="12">#REF!</definedName>
    <definedName name="tender" localSheetId="1">#REF!</definedName>
    <definedName name="tender" localSheetId="13">#REF!</definedName>
    <definedName name="tender">#REF!</definedName>
    <definedName name="Term_in_years">[27]DATA!$C$5</definedName>
    <definedName name="test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test" localSheetId="14">#REF!</definedName>
    <definedName name="test" localSheetId="12">#REF!</definedName>
    <definedName name="test" localSheetId="1">#REF!</definedName>
    <definedName name="test" localSheetId="13">#REF!</definedName>
    <definedName name="test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test_1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test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TestAdd">"Test RefersTo1"</definedName>
    <definedName name="tester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hou" localSheetId="14">#REF!</definedName>
    <definedName name="thou" localSheetId="12">#REF!</definedName>
    <definedName name="thou" localSheetId="1">#REF!</definedName>
    <definedName name="thou" localSheetId="13">#REF!</definedName>
    <definedName name="thou">#REF!</definedName>
    <definedName name="thth" localSheetId="11" hidden="1">{#N/A,#N/A,FALSE,"Calc";#N/A,#N/A,FALSE,"Sensitivity";#N/A,#N/A,FALSE,"LT Earn.Dil.";#N/A,#N/A,FALSE,"Dil. AVP"}</definedName>
    <definedName name="thth" localSheetId="15" hidden="1">{#N/A,#N/A,FALSE,"Calc";#N/A,#N/A,FALSE,"Sensitivity";#N/A,#N/A,FALSE,"LT Earn.Dil.";#N/A,#N/A,FALSE,"Dil. AVP"}</definedName>
    <definedName name="thth" localSheetId="18" hidden="1">{#N/A,#N/A,FALSE,"Calc";#N/A,#N/A,FALSE,"Sensitivity";#N/A,#N/A,FALSE,"LT Earn.Dil.";#N/A,#N/A,FALSE,"Dil. AVP"}</definedName>
    <definedName name="thth" localSheetId="14" hidden="1">{#N/A,#N/A,FALSE,"Calc";#N/A,#N/A,FALSE,"Sensitivity";#N/A,#N/A,FALSE,"LT Earn.Dil.";#N/A,#N/A,FALSE,"Dil. AVP"}</definedName>
    <definedName name="thth" localSheetId="12" hidden="1">{#N/A,#N/A,FALSE,"Calc";#N/A,#N/A,FALSE,"Sensitivity";#N/A,#N/A,FALSE,"LT Earn.Dil.";#N/A,#N/A,FALSE,"Dil. AVP"}</definedName>
    <definedName name="thth" localSheetId="13" hidden="1">{#N/A,#N/A,FALSE,"Calc";#N/A,#N/A,FALSE,"Sensitivity";#N/A,#N/A,FALSE,"LT Earn.Dil.";#N/A,#N/A,FALSE,"Dil. AVP"}</definedName>
    <definedName name="thth" hidden="1">{#N/A,#N/A,FALSE,"Calc";#N/A,#N/A,FALSE,"Sensitivity";#N/A,#N/A,FALSE,"LT Earn.Dil.";#N/A,#N/A,FALSE,"Dil. AVP"}</definedName>
    <definedName name="Ticket_Price" localSheetId="1">[50]Assumptions!#REF!</definedName>
    <definedName name="Ticket_Price">[50]Assumptions!#REF!</definedName>
    <definedName name="TITULEK">#N/A</definedName>
    <definedName name="tix_rev_ebita" localSheetId="18" hidden="1">{#N/A,#N/A,TRUE,"DCF Summary (2)";#N/A,#N/A,TRUE,"DCF Summary";#N/A,"Middle Case Drivers",TRUE,"DCF"}</definedName>
    <definedName name="tix_rev_ebita" hidden="1">{#N/A,#N/A,TRUE,"DCF Summary (2)";#N/A,#N/A,TRUE,"DCF Summary";#N/A,"Middle Case Drivers",TRUE,"DCF"}</definedName>
    <definedName name="tix_rev_ebita_1" localSheetId="18" hidden="1">{#N/A,#N/A,TRUE,"DCF Summary (2)";#N/A,#N/A,TRUE,"DCF Summary";#N/A,"Middle Case Drivers",TRUE,"DCF"}</definedName>
    <definedName name="tix_rev_ebita_1" hidden="1">{#N/A,#N/A,TRUE,"DCF Summary (2)";#N/A,#N/A,TRUE,"DCF Summary";#N/A,"Middle Case Drivers",TRUE,"DCF"}</definedName>
    <definedName name="tonne" localSheetId="14">#REF!</definedName>
    <definedName name="tonne" localSheetId="12">#REF!</definedName>
    <definedName name="tonne" localSheetId="1">#REF!</definedName>
    <definedName name="tonne" localSheetId="13">#REF!</definedName>
    <definedName name="tonne">#REF!</definedName>
    <definedName name="topexp" localSheetId="14">#REF!</definedName>
    <definedName name="topexp" localSheetId="12">#REF!</definedName>
    <definedName name="topexp" localSheetId="1">#REF!</definedName>
    <definedName name="topexp" localSheetId="13">#REF!</definedName>
    <definedName name="topexp">#REF!</definedName>
    <definedName name="Tot_Penetr1" localSheetId="14">#REF!</definedName>
    <definedName name="Tot_Penetr1" localSheetId="12">#REF!</definedName>
    <definedName name="Tot_Penetr1" localSheetId="1">#REF!</definedName>
    <definedName name="Tot_Penetr1" localSheetId="13">#REF!</definedName>
    <definedName name="Tot_Penetr1">#REF!</definedName>
    <definedName name="Tot_Penetr2" localSheetId="14">#REF!</definedName>
    <definedName name="Tot_Penetr2" localSheetId="12">#REF!</definedName>
    <definedName name="Tot_Penetr2" localSheetId="1">#REF!</definedName>
    <definedName name="Tot_Penetr2" localSheetId="13">#REF!</definedName>
    <definedName name="Tot_Penetr2">#REF!</definedName>
    <definedName name="Tot_Penetr3" localSheetId="14">#REF!</definedName>
    <definedName name="Tot_Penetr3" localSheetId="12">#REF!</definedName>
    <definedName name="Tot_Penetr3" localSheetId="1">#REF!</definedName>
    <definedName name="Tot_Penetr3" localSheetId="13">#REF!</definedName>
    <definedName name="Tot_Penetr3">#REF!</definedName>
    <definedName name="TOTAL" localSheetId="14">#REF!</definedName>
    <definedName name="TOTAL" localSheetId="12">#REF!</definedName>
    <definedName name="TOTAL" localSheetId="1">#REF!</definedName>
    <definedName name="TOTAL" localSheetId="13">#REF!</definedName>
    <definedName name="TOTAL">#REF!</definedName>
    <definedName name="Total_BS" localSheetId="14">#REF!</definedName>
    <definedName name="Total_BS" localSheetId="12">#REF!</definedName>
    <definedName name="Total_BS" localSheetId="1">#REF!</definedName>
    <definedName name="Total_BS" localSheetId="13">#REF!</definedName>
    <definedName name="Total_BS">#REF!</definedName>
    <definedName name="Total_CAPEX" localSheetId="14">#REF!</definedName>
    <definedName name="Total_CAPEX" localSheetId="12">#REF!</definedName>
    <definedName name="Total_CAPEX" localSheetId="1">#REF!</definedName>
    <definedName name="Total_CAPEX" localSheetId="13">#REF!</definedName>
    <definedName name="Total_CAPEX">#REF!</definedName>
    <definedName name="Total_CF" localSheetId="14">#REF!</definedName>
    <definedName name="Total_CF" localSheetId="12">#REF!</definedName>
    <definedName name="Total_CF" localSheetId="1">#REF!</definedName>
    <definedName name="Total_CF" localSheetId="13">#REF!</definedName>
    <definedName name="Total_CF">#REF!</definedName>
    <definedName name="Total_Interest" localSheetId="14">#REF!</definedName>
    <definedName name="Total_Interest" localSheetId="12">#REF!</definedName>
    <definedName name="Total_Interest" localSheetId="1">#REF!</definedName>
    <definedName name="Total_Interest" localSheetId="13">#REF!</definedName>
    <definedName name="Total_Interest">#REF!</definedName>
    <definedName name="Total_NW_CIP" localSheetId="14">#REF!</definedName>
    <definedName name="Total_NW_CIP" localSheetId="12">#REF!</definedName>
    <definedName name="Total_NW_CIP" localSheetId="1">#REF!</definedName>
    <definedName name="Total_NW_CIP" localSheetId="13">#REF!</definedName>
    <definedName name="Total_NW_CIP">#REF!</definedName>
    <definedName name="Total_OPEX" localSheetId="14">#REF!</definedName>
    <definedName name="Total_OPEX" localSheetId="12">#REF!</definedName>
    <definedName name="Total_OPEX" localSheetId="1">#REF!</definedName>
    <definedName name="Total_OPEX" localSheetId="13">#REF!</definedName>
    <definedName name="Total_OPEX">#REF!</definedName>
    <definedName name="Total_Pay" localSheetId="14">#REF!</definedName>
    <definedName name="Total_Pay" localSheetId="12">#REF!</definedName>
    <definedName name="Total_Pay" localSheetId="1">#REF!</definedName>
    <definedName name="Total_Pay" localSheetId="13">#REF!</definedName>
    <definedName name="Total_Pay">#REF!</definedName>
    <definedName name="Total_payments" localSheetId="11">[0]!Payments_per_year*[0]!Term_in_years</definedName>
    <definedName name="Total_payments" localSheetId="15">[0]!Payments_per_year*[0]!Term_in_years</definedName>
    <definedName name="Total_payments" localSheetId="14">[0]!Payments_per_year*[0]!Term_in_years</definedName>
    <definedName name="Total_payments" localSheetId="12">[0]!Payments_per_year*[0]!Term_in_years</definedName>
    <definedName name="Total_payments" localSheetId="13">[0]!Payments_per_year*[0]!Term_in_years</definedName>
    <definedName name="Total_payments">[0]!Payments_per_year*[0]!Term_in_years</definedName>
    <definedName name="TRANS" localSheetId="14">#REF!</definedName>
    <definedName name="TRANS" localSheetId="12">#REF!</definedName>
    <definedName name="TRANS" localSheetId="1">#REF!</definedName>
    <definedName name="TRANS" localSheetId="13">#REF!</definedName>
    <definedName name="TRANS">#REF!</definedName>
    <definedName name="transtech" localSheetId="1">'[30]Mega Caps'!#REF!</definedName>
    <definedName name="transtech">'[30]Mega Caps'!#REF!</definedName>
    <definedName name="trev" localSheetId="14">#REF!</definedName>
    <definedName name="trev" localSheetId="12">#REF!</definedName>
    <definedName name="trev" localSheetId="1">#REF!</definedName>
    <definedName name="trev" localSheetId="13">#REF!</definedName>
    <definedName name="trev">#REF!</definedName>
    <definedName name="TRGG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RG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RHFTRHTRHRT" localSheetId="18" hidden="1">{"'Sheet1'!$A$4386:$N$4591"}</definedName>
    <definedName name="TRHFTRHTRHRT" hidden="1">{"'Sheet1'!$A$4386:$N$4591"}</definedName>
    <definedName name="trrryt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rrry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tt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tt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tt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tt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TTTTTTTTT" localSheetId="18" hidden="1">#REF!</definedName>
    <definedName name="TTTTTTTTTT" localSheetId="1" hidden="1">#REF!</definedName>
    <definedName name="TTTTTTTTTT" hidden="1">#REF!</definedName>
    <definedName name="TUNG" localSheetId="14">#REF!</definedName>
    <definedName name="TUNG" localSheetId="12">#REF!</definedName>
    <definedName name="TUNG" localSheetId="1">#REF!</definedName>
    <definedName name="TUNG" localSheetId="13">#REF!</definedName>
    <definedName name="TUNG">#REF!</definedName>
    <definedName name="tuzdroz1p" localSheetId="1">'[24]Sumář jm. sez. Přípravy'!#REF!</definedName>
    <definedName name="tuzdroz1p">'[25]Sumář jm. sez. Přípravy'!#REF!</definedName>
    <definedName name="tuzdzah1" localSheetId="1">'[24]Sumář jm. sez. Přípravy'!#REF!</definedName>
    <definedName name="tuzdzah1">'[25]Sumář jm. sez. Přípravy'!#REF!</definedName>
    <definedName name="TW" localSheetId="18" hidden="1">{#N/A,#N/A,TRUE,"DCF Summary (2)";#N/A,#N/A,TRUE,"DCF Summary";#N/A,"Middle Case Drivers",TRUE,"DCF"}</definedName>
    <definedName name="TW" hidden="1">{#N/A,#N/A,TRUE,"DCF Summary (2)";#N/A,#N/A,TRUE,"DCF Summary";#N/A,"Middle Case Drivers",TRUE,"DCF"}</definedName>
    <definedName name="TW_1" localSheetId="18" hidden="1">{#N/A,#N/A,TRUE,"DCF Summary (2)";#N/A,#N/A,TRUE,"DCF Summary";#N/A,"Middle Case Drivers",TRUE,"DCF"}</definedName>
    <definedName name="TW_1" hidden="1">{#N/A,#N/A,TRUE,"DCF Summary (2)";#N/A,#N/A,TRUE,"DCF Summary";#N/A,"Middle Case Drivers",TRUE,"DCF"}</definedName>
    <definedName name="TWO" localSheetId="1">'[43]Sum proj'!#REF!</definedName>
    <definedName name="TWO">'[43]Sum proj'!#REF!</definedName>
    <definedName name="Type" localSheetId="14">#REF!</definedName>
    <definedName name="Type" localSheetId="12">#REF!</definedName>
    <definedName name="Type" localSheetId="1">#REF!</definedName>
    <definedName name="Type" localSheetId="13">#REF!</definedName>
    <definedName name="Type">#REF!</definedName>
    <definedName name="U_S_WEST_Comm.__Inc._Annual_Earnings" localSheetId="14">#REF!</definedName>
    <definedName name="U_S_WEST_Comm.__Inc._Annual_Earnings" localSheetId="12">#REF!</definedName>
    <definedName name="U_S_WEST_Comm.__Inc._Annual_Earnings" localSheetId="1">#REF!</definedName>
    <definedName name="U_S_WEST_Comm.__Inc._Annual_Earnings" localSheetId="13">#REF!</definedName>
    <definedName name="U_S_WEST_Comm.__Inc._Annual_Earnings">#REF!</definedName>
    <definedName name="U_S_WEST_Comm.__Inc._Annual_Revenues_Model" localSheetId="14">#REF!</definedName>
    <definedName name="U_S_WEST_Comm.__Inc._Annual_Revenues_Model" localSheetId="12">#REF!</definedName>
    <definedName name="U_S_WEST_Comm.__Inc._Annual_Revenues_Model" localSheetId="1">#REF!</definedName>
    <definedName name="U_S_WEST_Comm.__Inc._Annual_Revenues_Model" localSheetId="13">#REF!</definedName>
    <definedName name="U_S_WEST_Comm.__Inc._Annual_Revenues_Model">#REF!</definedName>
    <definedName name="U_S_WEST_Comm.__Inc._Margin_Analysis" localSheetId="14">#REF!</definedName>
    <definedName name="U_S_WEST_Comm.__Inc._Margin_Analysis" localSheetId="12">#REF!</definedName>
    <definedName name="U_S_WEST_Comm.__Inc._Margin_Analysis" localSheetId="1">#REF!</definedName>
    <definedName name="U_S_WEST_Comm.__Inc._Margin_Analysis" localSheetId="13">#REF!</definedName>
    <definedName name="U_S_WEST_Comm.__Inc._Margin_Analysis">#REF!</definedName>
    <definedName name="UDAYA2" localSheetId="18" hidden="1">{"'bar'!$A$1:$AQ$33","'bar'!$A$10:$B$10"}</definedName>
    <definedName name="UDAYA2" hidden="1">{"'bar'!$A$1:$AQ$33","'bar'!$A$10:$B$10"}</definedName>
    <definedName name="UMTS_NW_CAPEX" localSheetId="14">#REF!</definedName>
    <definedName name="UMTS_NW_CAPEX" localSheetId="12">#REF!</definedName>
    <definedName name="UMTS_NW_CAPEX" localSheetId="1">#REF!</definedName>
    <definedName name="UMTS_NW_CAPEX" localSheetId="13">#REF!</definedName>
    <definedName name="UMTS_NW_CAPEX">#REF!</definedName>
    <definedName name="UMTS_NW_Statistics" localSheetId="14">#REF!</definedName>
    <definedName name="UMTS_NW_Statistics" localSheetId="12">#REF!</definedName>
    <definedName name="UMTS_NW_Statistics" localSheetId="1">#REF!</definedName>
    <definedName name="UMTS_NW_Statistics" localSheetId="13">#REF!</definedName>
    <definedName name="UMTS_NW_Statistics">#REF!</definedName>
    <definedName name="und" localSheetId="11">{0;0;0;0;1;1;0;0;0.6;0.3;2;FALSE;FALSE;FALSE;FALSE;FALSE;#N/A;1;100;#N/A;#N/A;"";""}</definedName>
    <definedName name="und" localSheetId="15">{0;0;0;0;1;1;0;0;0.6;0.3;2;FALSE;FALSE;FALSE;FALSE;FALSE;#N/A;1;100;#N/A;#N/A;"";""}</definedName>
    <definedName name="und" localSheetId="14">{0;0;0;0;1;1;0;0;0.6;0.3;2;FALSE;FALSE;FALSE;FALSE;FALSE;#N/A;1;100;#N/A;#N/A;"";""}</definedName>
    <definedName name="und" localSheetId="12">{0;0;0;0;1;1;0;0;0.6;0.3;2;FALSE;FALSE;FALSE;FALSE;FALSE;#N/A;1;100;#N/A;#N/A;"";""}</definedName>
    <definedName name="und" localSheetId="13">{0;0;0;0;1;1;0;0;0.6;0.3;2;FALSE;FALSE;FALSE;FALSE;FALSE;#N/A;1;100;#N/A;#N/A;"";""}</definedName>
    <definedName name="und">{0;0;0;0;1;1;0;0;0.6;0.3;2;FALSE;FALSE;FALSE;FALSE;FALSE;#N/A;1;100;#N/A;#N/A;"";""}</definedName>
    <definedName name="upside" localSheetId="14">#REF!</definedName>
    <definedName name="upside" localSheetId="12">#REF!</definedName>
    <definedName name="upside" localSheetId="1">#REF!</definedName>
    <definedName name="upside" localSheetId="13">#REF!</definedName>
    <definedName name="upside">#REF!</definedName>
    <definedName name="USD_AVG" localSheetId="14">#REF!</definedName>
    <definedName name="USD_AVG" localSheetId="12">#REF!</definedName>
    <definedName name="USD_AVG" localSheetId="1">#REF!</definedName>
    <definedName name="USD_AVG" localSheetId="13">#REF!</definedName>
    <definedName name="USD_AVG">#REF!</definedName>
    <definedName name="USD_BOP" localSheetId="14">#REF!</definedName>
    <definedName name="USD_BOP" localSheetId="12">#REF!</definedName>
    <definedName name="USD_BOP" localSheetId="1">#REF!</definedName>
    <definedName name="USD_BOP" localSheetId="13">#REF!</definedName>
    <definedName name="USD_BOP">#REF!</definedName>
    <definedName name="USD_EOP" localSheetId="14">#REF!</definedName>
    <definedName name="USD_EOP" localSheetId="12">#REF!</definedName>
    <definedName name="USD_EOP" localSheetId="1">#REF!</definedName>
    <definedName name="USD_EOP" localSheetId="13">#REF!</definedName>
    <definedName name="USD_EOP">#REF!</definedName>
    <definedName name="USD_EUR">[47]FXRATES!$D$3</definedName>
    <definedName name="uui" localSheetId="18" hidden="1">{#N/A,#N/A,FALSE,"Aging Summary";#N/A,#N/A,FALSE,"Ratio Analysis";#N/A,#N/A,FALSE,"Test 120 Day Accts";#N/A,#N/A,FALSE,"Tickmarks"}</definedName>
    <definedName name="uui" hidden="1">{#N/A,#N/A,FALSE,"Aging Summary";#N/A,#N/A,FALSE,"Ratio Analysis";#N/A,#N/A,FALSE,"Test 120 Day Accts";#N/A,#N/A,FALSE,"Tickmarks"}</definedName>
    <definedName name="uui_1" localSheetId="18" hidden="1">{#N/A,#N/A,FALSE,"Aging Summary";#N/A,#N/A,FALSE,"Ratio Analysis";#N/A,#N/A,FALSE,"Test 120 Day Accts";#N/A,#N/A,FALSE,"Tickmarks"}</definedName>
    <definedName name="uui_1" hidden="1">{#N/A,#N/A,FALSE,"Aging Summary";#N/A,#N/A,FALSE,"Ratio Analysis";#N/A,#N/A,FALSE,"Test 120 Day Accts";#N/A,#N/A,FALSE,"Tickmarks"}</definedName>
    <definedName name="v" localSheetId="11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" localSheetId="15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" localSheetId="18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" localSheetId="14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" localSheetId="12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" localSheetId="13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aluation" localSheetId="1">'[26]Model (Telecorp)'!#REF!</definedName>
    <definedName name="valuation">'[26]Model (Telecorp)'!#REF!</definedName>
    <definedName name="Value" localSheetId="14">#REF!</definedName>
    <definedName name="Value" localSheetId="12">#REF!</definedName>
    <definedName name="Value" localSheetId="1">#REF!</definedName>
    <definedName name="Value" localSheetId="13">#REF!</definedName>
    <definedName name="Value">#REF!</definedName>
    <definedName name="value1" localSheetId="14">#REF!</definedName>
    <definedName name="value1" localSheetId="12">#REF!</definedName>
    <definedName name="value1" localSheetId="1">#REF!</definedName>
    <definedName name="value1" localSheetId="13">#REF!</definedName>
    <definedName name="value1">#REF!</definedName>
    <definedName name="Values_Entered" localSheetId="11">IF(Loan_Amount*Interest_Rate*Loan_Years*Loan_Start&gt;0,1,0)</definedName>
    <definedName name="Values_Entered" localSheetId="15">IF(Loan_Amount*Interest_Rate*Loan_Years*Loan_Start&gt;0,1,0)</definedName>
    <definedName name="Values_Entered" localSheetId="14">IF('Deffred tax 24'!Loan_Amount*'Deffred tax 24'!Interest_Rate*'Deffred tax 24'!Loan_Years*'Deffred tax 24'!Loan_Start&gt;0,1,0)</definedName>
    <definedName name="Values_Entered" localSheetId="12">IF('IT DEp 24'!Loan_Amount*'IT DEp 24'!Interest_Rate*'IT DEp 24'!Loan_Years*'IT DEp 24'!Loan_Start&gt;0,1,0)</definedName>
    <definedName name="Values_Entered" localSheetId="1">IF(LAND!Loan_Amount*LAND!Interest_Rate*LAND!Loan_Years*LAND!Loan_Start&gt;0,1,0)</definedName>
    <definedName name="Values_Entered" localSheetId="13">IF('sold mc 24'!Loan_Amount*'sold mc 24'!Interest_Rate*'sold mc 24'!Loan_Years*'sold mc 24'!Loan_Start&gt;0,1,0)</definedName>
    <definedName name="Values_Entered">IF(Loan_Amount*Interest_Rate*Loan_Years*Loan_Start&gt;0,1,0)</definedName>
    <definedName name="vamsi" localSheetId="18" hidden="1">{"'Sheet1'!$A$4386:$N$4591"}</definedName>
    <definedName name="vamsi" hidden="1">{"'Sheet1'!$A$4386:$N$4591"}</definedName>
    <definedName name="VarianceIS" localSheetId="14">#REF!</definedName>
    <definedName name="VarianceIS" localSheetId="12">#REF!</definedName>
    <definedName name="VarianceIS" localSheetId="1">#REF!</definedName>
    <definedName name="VarianceIS" localSheetId="13">#REF!</definedName>
    <definedName name="VarianceIS">#REF!</definedName>
    <definedName name="VarianceSGA" localSheetId="14">#REF!</definedName>
    <definedName name="VarianceSGA" localSheetId="12">#REF!</definedName>
    <definedName name="VarianceSGA" localSheetId="1">#REF!</definedName>
    <definedName name="VarianceSGA" localSheetId="13">#REF!</definedName>
    <definedName name="VarianceSGA">#REF!</definedName>
    <definedName name="VAS_T" localSheetId="14">#REF!</definedName>
    <definedName name="VAS_T" localSheetId="12">#REF!</definedName>
    <definedName name="VAS_T" localSheetId="1">#REF!</definedName>
    <definedName name="VAS_T" localSheetId="13">#REF!</definedName>
    <definedName name="VAS_T">#REF!</definedName>
    <definedName name="VAS_TGO" localSheetId="14">#REF!</definedName>
    <definedName name="VAS_TGO" localSheetId="12">#REF!</definedName>
    <definedName name="VAS_TGO" localSheetId="1">#REF!</definedName>
    <definedName name="VAS_TGO" localSheetId="13">#REF!</definedName>
    <definedName name="VAS_TGO">#REF!</definedName>
    <definedName name="VAS_TN" localSheetId="14">#REF!</definedName>
    <definedName name="VAS_TN" localSheetId="12">#REF!</definedName>
    <definedName name="VAS_TN" localSheetId="1">#REF!</definedName>
    <definedName name="VAS_TN" localSheetId="13">#REF!</definedName>
    <definedName name="VAS_TN">#REF!</definedName>
    <definedName name="VC" localSheetId="14">#REF!</definedName>
    <definedName name="VC" localSheetId="12">#REF!</definedName>
    <definedName name="VC" localSheetId="1">#REF!</definedName>
    <definedName name="VC" localSheetId="13">#REF!</definedName>
    <definedName name="VC">#REF!</definedName>
    <definedName name="vcvv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cvv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versionno">"1.0"</definedName>
    <definedName name="vo" localSheetId="11" hidden="1">{"consolidated",#N/A,FALSE,"Sheet1";"cms",#N/A,FALSE,"Sheet1";"fse",#N/A,FALSE,"Sheet1"}</definedName>
    <definedName name="vo" localSheetId="15" hidden="1">{"consolidated",#N/A,FALSE,"Sheet1";"cms",#N/A,FALSE,"Sheet1";"fse",#N/A,FALSE,"Sheet1"}</definedName>
    <definedName name="vo" localSheetId="18" hidden="1">{"consolidated",#N/A,FALSE,"Sheet1";"cms",#N/A,FALSE,"Sheet1";"fse",#N/A,FALSE,"Sheet1"}</definedName>
    <definedName name="vo" localSheetId="14" hidden="1">{"consolidated",#N/A,FALSE,"Sheet1";"cms",#N/A,FALSE,"Sheet1";"fse",#N/A,FALSE,"Sheet1"}</definedName>
    <definedName name="vo" localSheetId="12" hidden="1">{"consolidated",#N/A,FALSE,"Sheet1";"cms",#N/A,FALSE,"Sheet1";"fse",#N/A,FALSE,"Sheet1"}</definedName>
    <definedName name="vo" localSheetId="13" hidden="1">{"consolidated",#N/A,FALSE,"Sheet1";"cms",#N/A,FALSE,"Sheet1";"fse",#N/A,FALSE,"Sheet1"}</definedName>
    <definedName name="vo" hidden="1">{"consolidated",#N/A,FALSE,"Sheet1";"cms",#N/A,FALSE,"Sheet1";"fse",#N/A,FALSE,"Sheet1"}</definedName>
    <definedName name="VO_COS" localSheetId="14">#REF!</definedName>
    <definedName name="VO_COS" localSheetId="12">#REF!</definedName>
    <definedName name="VO_COS" localSheetId="1">#REF!</definedName>
    <definedName name="VO_COS" localSheetId="13">#REF!</definedName>
    <definedName name="VO_COS">#REF!</definedName>
    <definedName name="vol" localSheetId="14">#REF!</definedName>
    <definedName name="vol" localSheetId="12">#REF!</definedName>
    <definedName name="vol" localSheetId="1">#REF!</definedName>
    <definedName name="vol" localSheetId="13">#REF!</definedName>
    <definedName name="vol">#REF!</definedName>
    <definedName name="vsr" localSheetId="1">[11]CSCCincSKR!#REF!</definedName>
    <definedName name="vsr">[11]CSCCincSKR!#REF!</definedName>
    <definedName name="vsrao" localSheetId="1">[69]!pstr</definedName>
    <definedName name="vsrao">[69]!pstr</definedName>
    <definedName name="Vstup1" localSheetId="14">#REF!</definedName>
    <definedName name="Vstup1" localSheetId="12">#REF!</definedName>
    <definedName name="Vstup1" localSheetId="1">#REF!</definedName>
    <definedName name="Vstup1" localSheetId="13">#REF!</definedName>
    <definedName name="Vstup1">#REF!</definedName>
    <definedName name="Vstup10" localSheetId="14">#REF!</definedName>
    <definedName name="Vstup10" localSheetId="12">#REF!</definedName>
    <definedName name="Vstup10" localSheetId="1">#REF!</definedName>
    <definedName name="Vstup10" localSheetId="13">#REF!</definedName>
    <definedName name="Vstup10">#REF!</definedName>
    <definedName name="Vstup11" localSheetId="14">#REF!</definedName>
    <definedName name="Vstup11" localSheetId="12">#REF!</definedName>
    <definedName name="Vstup11" localSheetId="1">#REF!</definedName>
    <definedName name="Vstup11" localSheetId="13">#REF!</definedName>
    <definedName name="Vstup11">#REF!</definedName>
    <definedName name="Vstup2" localSheetId="14">#REF!</definedName>
    <definedName name="Vstup2" localSheetId="12">#REF!</definedName>
    <definedName name="Vstup2" localSheetId="1">#REF!</definedName>
    <definedName name="Vstup2" localSheetId="13">#REF!</definedName>
    <definedName name="Vstup2">#REF!</definedName>
    <definedName name="Vstup3" localSheetId="14">#REF!</definedName>
    <definedName name="Vstup3" localSheetId="12">#REF!</definedName>
    <definedName name="Vstup3" localSheetId="1">#REF!</definedName>
    <definedName name="Vstup3" localSheetId="13">#REF!</definedName>
    <definedName name="Vstup3">#REF!</definedName>
    <definedName name="Vstup5" localSheetId="14">#REF!</definedName>
    <definedName name="Vstup5" localSheetId="12">#REF!</definedName>
    <definedName name="Vstup5" localSheetId="1">#REF!</definedName>
    <definedName name="Vstup5" localSheetId="13">#REF!</definedName>
    <definedName name="Vstup5">#REF!</definedName>
    <definedName name="Vstup6" localSheetId="14">#REF!</definedName>
    <definedName name="Vstup6" localSheetId="12">#REF!</definedName>
    <definedName name="Vstup6" localSheetId="1">#REF!</definedName>
    <definedName name="Vstup6" localSheetId="13">#REF!</definedName>
    <definedName name="Vstup6">#REF!</definedName>
    <definedName name="Vstup7" localSheetId="14">#REF!</definedName>
    <definedName name="Vstup7" localSheetId="12">#REF!</definedName>
    <definedName name="Vstup7" localSheetId="1">#REF!</definedName>
    <definedName name="Vstup7" localSheetId="13">#REF!</definedName>
    <definedName name="Vstup7">#REF!</definedName>
    <definedName name="Vstup8" localSheetId="14">#REF!</definedName>
    <definedName name="Vstup8" localSheetId="12">#REF!</definedName>
    <definedName name="Vstup8" localSheetId="1">#REF!</definedName>
    <definedName name="Vstup8" localSheetId="13">#REF!</definedName>
    <definedName name="Vstup8">#REF!</definedName>
    <definedName name="Vstup9" localSheetId="14">#REF!</definedName>
    <definedName name="Vstup9" localSheetId="12">#REF!</definedName>
    <definedName name="Vstup9" localSheetId="1">#REF!</definedName>
    <definedName name="Vstup9" localSheetId="13">#REF!</definedName>
    <definedName name="Vstup9">#REF!</definedName>
    <definedName name="vyber_sdroj_01" localSheetId="1">[19]Data!#REF!</definedName>
    <definedName name="vyber_sdroj_01">[19]Data!#REF!</definedName>
    <definedName name="výběr_zdroj1" localSheetId="1">[19]Data!#REF!</definedName>
    <definedName name="výběr_zdroj1">[19]Data!#REF!</definedName>
    <definedName name="výběr_zdroj2" localSheetId="1">[19]Data!#REF!</definedName>
    <definedName name="výběr_zdroj2">[19]Data!#REF!</definedName>
    <definedName name="vyber_zdroj2_01" localSheetId="1">[19]Data!#REF!</definedName>
    <definedName name="vyber_zdroj2_01">[19]Data!#REF!</definedName>
    <definedName name="VymazLim">[80]Servco_LIM!$E$3:$G$3,[80]Servco_LIM!$E$6:$E$9,[80]Servco_LIM!$E$13:$G$13,[80]Servco_LIM!$E$18,[80]Servco_LIM!$E$23</definedName>
    <definedName name="Vynosy" localSheetId="14">#REF!</definedName>
    <definedName name="Vynosy" localSheetId="12">#REF!</definedName>
    <definedName name="Vynosy" localSheetId="1">#REF!</definedName>
    <definedName name="Vynosy" localSheetId="13">#REF!</definedName>
    <definedName name="Vynosy">#REF!</definedName>
    <definedName name="Výnosy" localSheetId="14">#REF!</definedName>
    <definedName name="Výnosy" localSheetId="12">#REF!</definedName>
    <definedName name="Výnosy" localSheetId="1">#REF!</definedName>
    <definedName name="Výnosy" localSheetId="13">#REF!</definedName>
    <definedName name="Výnosy">#REF!</definedName>
    <definedName name="water_funds" localSheetId="18" hidden="1">{"'Sheet1'!$A$4386:$N$4591"}</definedName>
    <definedName name="water_funds" hidden="1">{"'Sheet1'!$A$4386:$N$4591"}</definedName>
    <definedName name="wc" localSheetId="1">'[37]DCF Analysis'!#REF!</definedName>
    <definedName name="wc">'[37]DCF Analysis'!#REF!</definedName>
    <definedName name="WCAmount">[20]WCData!$F$2:$F$1681</definedName>
    <definedName name="WCHeads">[20]WCData!$C$2:$C$1681</definedName>
    <definedName name="WCMonth">[20]WCData!$D$2:$D$1681</definedName>
    <definedName name="WCProjects">[20]WCData!$B$2:$B$1681</definedName>
    <definedName name="WCSector">[20]WCData!$A$2:$A$1681</definedName>
    <definedName name="WF" localSheetId="11">{0;0;0;0;1;1;0;0;0.6;0.3;2;FALSE;FALSE;FALSE;FALSE;FALSE;#N/A;1;100;#N/A;#N/A;"";""}</definedName>
    <definedName name="WF" localSheetId="15">{0;0;0;0;1;1;0;0;0.6;0.3;2;FALSE;FALSE;FALSE;FALSE;FALSE;#N/A;1;100;#N/A;#N/A;"";""}</definedName>
    <definedName name="WF" localSheetId="14">{0;0;0;0;1;1;0;0;0.6;0.3;2;FALSE;FALSE;FALSE;FALSE;FALSE;#N/A;1;100;#N/A;#N/A;"";""}</definedName>
    <definedName name="WF" localSheetId="12">{0;0;0;0;1;1;0;0;0.6;0.3;2;FALSE;FALSE;FALSE;FALSE;FALSE;#N/A;1;100;#N/A;#N/A;"";""}</definedName>
    <definedName name="WF" localSheetId="13">{0;0;0;0;1;1;0;0;0.6;0.3;2;FALSE;FALSE;FALSE;FALSE;FALSE;#N/A;1;100;#N/A;#N/A;"";""}</definedName>
    <definedName name="WF">{0;0;0;0;1;1;0;0;0.6;0.3;2;FALSE;FALSE;FALSE;FALSE;FALSE;#N/A;1;100;#N/A;#N/A;"";""}</definedName>
    <definedName name="WIP" localSheetId="18" hidden="1">{"Execavation",#N/A,FALSE,"furniture (employer)"}</definedName>
    <definedName name="WIP" hidden="1">{"Execavation",#N/A,FALSE,"furniture (employer)"}</definedName>
    <definedName name="WIP_graph">'[33]Sales by Month'!$M$156:$Y$193</definedName>
    <definedName name="WIRELESS" localSheetId="11">'[30]Mega Caps'!#REF!</definedName>
    <definedName name="WIRELESS" localSheetId="1">'[30]Mega Caps'!#REF!</definedName>
    <definedName name="WIRELESS">'[30]Mega Caps'!#REF!</definedName>
    <definedName name="WorkingTable1" localSheetId="14">#REF!</definedName>
    <definedName name="WorkingTable1" localSheetId="12">#REF!</definedName>
    <definedName name="WorkingTable1" localSheetId="1">#REF!</definedName>
    <definedName name="WorkingTable1" localSheetId="13">#REF!</definedName>
    <definedName name="WorkingTable1">#REF!</definedName>
    <definedName name="WorkingTable2" localSheetId="14">#REF!</definedName>
    <definedName name="WorkingTable2" localSheetId="12">#REF!</definedName>
    <definedName name="WorkingTable2" localSheetId="1">#REF!</definedName>
    <definedName name="WorkingTable2" localSheetId="13">#REF!</definedName>
    <definedName name="WorkingTable2">#REF!</definedName>
    <definedName name="wrn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1." localSheetId="11" hidden="1">{#N/A,#N/A,FALSE,"Calc";#N/A,#N/A,FALSE,"Sensitivity";#N/A,#N/A,FALSE,"LT Earn.Dil.";#N/A,#N/A,FALSE,"Dil. AVP"}</definedName>
    <definedName name="wrn.1." localSheetId="15" hidden="1">{#N/A,#N/A,FALSE,"Calc";#N/A,#N/A,FALSE,"Sensitivity";#N/A,#N/A,FALSE,"LT Earn.Dil.";#N/A,#N/A,FALSE,"Dil. AVP"}</definedName>
    <definedName name="wrn.1." localSheetId="18" hidden="1">{#N/A,#N/A,FALSE,"Calc";#N/A,#N/A,FALSE,"Sensitivity";#N/A,#N/A,FALSE,"LT Earn.Dil.";#N/A,#N/A,FALSE,"Dil. AVP"}</definedName>
    <definedName name="wrn.1." localSheetId="14" hidden="1">{#N/A,#N/A,FALSE,"Calc";#N/A,#N/A,FALSE,"Sensitivity";#N/A,#N/A,FALSE,"LT Earn.Dil.";#N/A,#N/A,FALSE,"Dil. AVP"}</definedName>
    <definedName name="wrn.1." localSheetId="12" hidden="1">{#N/A,#N/A,FALSE,"Calc";#N/A,#N/A,FALSE,"Sensitivity";#N/A,#N/A,FALSE,"LT Earn.Dil.";#N/A,#N/A,FALSE,"Dil. AVP"}</definedName>
    <definedName name="wrn.1." localSheetId="13" hidden="1">{#N/A,#N/A,FALSE,"Calc";#N/A,#N/A,FALSE,"Sensitivity";#N/A,#N/A,FALSE,"LT Earn.Dil.";#N/A,#N/A,FALSE,"Dil. AVP"}</definedName>
    <definedName name="wrn.1." hidden="1">{#N/A,#N/A,FALSE,"Calc";#N/A,#N/A,FALSE,"Sensitivity";#N/A,#N/A,FALSE,"LT Earn.Dil.";#N/A,#N/A,FALSE,"Dil. AVP"}</definedName>
    <definedName name="wrn.1996._.BUDGET." localSheetId="11" hidden="1">{"SUMMARY",#N/A,TRUE,"SUMMARY";"compare",#N/A,TRUE,"Vs. Bus Plan";"ratios",#N/A,TRUE,"Ratios";"REVENUE",#N/A,TRUE,"Revenue";"expenses",#N/A,TRUE,"1996 budget";"payroll",#N/A,TRUE,"Payroll"}</definedName>
    <definedName name="wrn.1996._.BUDGET." localSheetId="15" hidden="1">{"SUMMARY",#N/A,TRUE,"SUMMARY";"compare",#N/A,TRUE,"Vs. Bus Plan";"ratios",#N/A,TRUE,"Ratios";"REVENUE",#N/A,TRUE,"Revenue";"expenses",#N/A,TRUE,"1996 budget";"payroll",#N/A,TRUE,"Payroll"}</definedName>
    <definedName name="wrn.1996._.BUDGET." localSheetId="18" hidden="1">{"SUMMARY",#N/A,TRUE,"SUMMARY";"compare",#N/A,TRUE,"Vs. Bus Plan";"ratios",#N/A,TRUE,"Ratios";"REVENUE",#N/A,TRUE,"Revenue";"expenses",#N/A,TRUE,"1996 budget";"payroll",#N/A,TRUE,"Payroll"}</definedName>
    <definedName name="wrn.1996._.BUDGET." localSheetId="14" hidden="1">{"SUMMARY",#N/A,TRUE,"SUMMARY";"compare",#N/A,TRUE,"Vs. Bus Plan";"ratios",#N/A,TRUE,"Ratios";"REVENUE",#N/A,TRUE,"Revenue";"expenses",#N/A,TRUE,"1996 budget";"payroll",#N/A,TRUE,"Payroll"}</definedName>
    <definedName name="wrn.1996._.BUDGET." localSheetId="12" hidden="1">{"SUMMARY",#N/A,TRUE,"SUMMARY";"compare",#N/A,TRUE,"Vs. Bus Plan";"ratios",#N/A,TRUE,"Ratios";"REVENUE",#N/A,TRUE,"Revenue";"expenses",#N/A,TRUE,"1996 budget";"payroll",#N/A,TRUE,"Payroll"}</definedName>
    <definedName name="wrn.1996._.BUDGET." localSheetId="13" hidden="1">{"SUMMARY",#N/A,TRUE,"SUMMARY";"compare",#N/A,TRUE,"Vs. Bus Plan";"ratios",#N/A,TRUE,"Ratios";"REVENUE",#N/A,TRUE,"Revenue";"expenses",#N/A,TRUE,"1996 budget";"payroll",#N/A,TRUE,"Payroll"}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localSheetId="11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localSheetId="15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localSheetId="18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localSheetId="14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localSheetId="12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localSheetId="13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2." localSheetId="18" hidden="1">{#N/A,#N/A,TRUE,"Sheet1"}</definedName>
    <definedName name="wrn.2." hidden="1">{#N/A,#N/A,TRUE,"Sheet1"}</definedName>
    <definedName name="wrn.2.1" localSheetId="18" hidden="1">{#N/A,#N/A,TRUE,"Sheet1"}</definedName>
    <definedName name="wrn.2.1" hidden="1">{#N/A,#N/A,TRUE,"Sheet1"}</definedName>
    <definedName name="wrn.2.2" localSheetId="18" hidden="1">{#N/A,#N/A,TRUE,"Sheet1"}</definedName>
    <definedName name="wrn.2.2" hidden="1">{#N/A,#N/A,TRUE,"Sheet1"}</definedName>
    <definedName name="wrn.abc." localSheetId="18" hidden="1">{"Execavation",#N/A,FALSE,"furniture (employer)"}</definedName>
    <definedName name="wrn.abc." hidden="1">{"Execavation",#N/A,FALSE,"furniture (employer)"}</definedName>
    <definedName name="WRN.ABL." localSheetId="18" hidden="1">{"Execavation",#N/A,FALSE,"furniture (employer)"}</definedName>
    <definedName name="WRN.ABL." hidden="1">{"Execavation",#N/A,FALSE,"furniture (employer)"}</definedName>
    <definedName name="wrn.Accounts." localSheetId="11" hidden="1">{"turnover",#N/A,FALSE;"profits",#N/A,FALSE;"cash",#N/A,FALSE}</definedName>
    <definedName name="wrn.Accounts." localSheetId="15" hidden="1">{"turnover",#N/A,FALSE;"profits",#N/A,FALSE;"cash",#N/A,FALSE}</definedName>
    <definedName name="wrn.Accounts." localSheetId="18" hidden="1">{"turnover",#N/A,FALSE;"profits",#N/A,FALSE;"cash",#N/A,FALSE}</definedName>
    <definedName name="wrn.Accounts." localSheetId="14" hidden="1">{"turnover",#N/A,FALSE;"profits",#N/A,FALSE;"cash",#N/A,FALSE}</definedName>
    <definedName name="wrn.Accounts." localSheetId="12" hidden="1">{"turnover",#N/A,FALSE;"profits",#N/A,FALSE;"cash",#N/A,FALSE}</definedName>
    <definedName name="wrn.Accounts." localSheetId="13" hidden="1">{"turnover",#N/A,FALSE;"profits",#N/A,FALSE;"cash",#N/A,FALSE}</definedName>
    <definedName name="wrn.Accounts." hidden="1">{"turnover",#N/A,FALSE;"profits",#N/A,FALSE;"cash",#N/A,FALSE}</definedName>
    <definedName name="wrn.adj95." localSheetId="11" hidden="1">{"adj95mult",#N/A,FALSE,"COMPCO";"adj95est",#N/A,FALSE,"COMPCO"}</definedName>
    <definedName name="wrn.adj95." localSheetId="15" hidden="1">{"adj95mult",#N/A,FALSE,"COMPCO";"adj95est",#N/A,FALSE,"COMPCO"}</definedName>
    <definedName name="wrn.adj95." localSheetId="18" hidden="1">{"adj95mult",#N/A,FALSE,"COMPCO";"adj95est",#N/A,FALSE,"COMPCO"}</definedName>
    <definedName name="wrn.adj95." localSheetId="14" hidden="1">{"adj95mult",#N/A,FALSE,"COMPCO";"adj95est",#N/A,FALSE,"COMPCO"}</definedName>
    <definedName name="wrn.adj95." localSheetId="12" hidden="1">{"adj95mult",#N/A,FALSE,"COMPCO";"adj95est",#N/A,FALSE,"COMPCO"}</definedName>
    <definedName name="wrn.adj95." localSheetId="13" hidden="1">{"adj95mult",#N/A,FALSE,"COMPCO";"adj95est",#N/A,FALSE,"COMPCO"}</definedName>
    <definedName name="wrn.adj95." hidden="1">{"adj95mult",#N/A,FALSE,"COMPCO";"adj95est",#N/A,FALSE,"COMPCO"}</definedName>
    <definedName name="wrn.Aging._.and._.Trend._.Analysis." localSheetId="18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localSheetId="18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LL." localSheetId="11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localSheetId="15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localSheetId="18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localSheetId="14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localSheetId="1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localSheetId="1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input." localSheetId="11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15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18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14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12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13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2" localSheetId="11" hidden="1">{#N/A,#N/A,FALSE,"DCF";#N/A,#N/A,FALSE,"WACC";#N/A,#N/A,FALSE,"Sales_EBIT";#N/A,#N/A,FALSE,"Capex_Depreciation";#N/A,#N/A,FALSE,"WC";#N/A,#N/A,FALSE,"Interest";#N/A,#N/A,FALSE,"Assumptions"}</definedName>
    <definedName name="wrn.all.2" localSheetId="15" hidden="1">{#N/A,#N/A,FALSE,"DCF";#N/A,#N/A,FALSE,"WACC";#N/A,#N/A,FALSE,"Sales_EBIT";#N/A,#N/A,FALSE,"Capex_Depreciation";#N/A,#N/A,FALSE,"WC";#N/A,#N/A,FALSE,"Interest";#N/A,#N/A,FALSE,"Assumptions"}</definedName>
    <definedName name="wrn.all.2" localSheetId="18" hidden="1">{#N/A,#N/A,FALSE,"DCF";#N/A,#N/A,FALSE,"WACC";#N/A,#N/A,FALSE,"Sales_EBIT";#N/A,#N/A,FALSE,"Capex_Depreciation";#N/A,#N/A,FALSE,"WC";#N/A,#N/A,FALSE,"Interest";#N/A,#N/A,FALSE,"Assumptions"}</definedName>
    <definedName name="wrn.all.2" localSheetId="14" hidden="1">{#N/A,#N/A,FALSE,"DCF";#N/A,#N/A,FALSE,"WACC";#N/A,#N/A,FALSE,"Sales_EBIT";#N/A,#N/A,FALSE,"Capex_Depreciation";#N/A,#N/A,FALSE,"WC";#N/A,#N/A,FALSE,"Interest";#N/A,#N/A,FALSE,"Assumptions"}</definedName>
    <definedName name="wrn.all.2" localSheetId="12" hidden="1">{#N/A,#N/A,FALSE,"DCF";#N/A,#N/A,FALSE,"WACC";#N/A,#N/A,FALSE,"Sales_EBIT";#N/A,#N/A,FALSE,"Capex_Depreciation";#N/A,#N/A,FALSE,"WC";#N/A,#N/A,FALSE,"Interest";#N/A,#N/A,FALSE,"Assumptions"}</definedName>
    <definedName name="wrn.all.2" localSheetId="13" hidden="1">{#N/A,#N/A,FALSE,"DCF";#N/A,#N/A,FALSE,"WACC";#N/A,#N/A,FALSE,"Sales_EBIT";#N/A,#N/A,FALSE,"Capex_Depreciation";#N/A,#N/A,FALSE,"WC";#N/A,#N/A,FALSE,"Interest";#N/A,#N/A,FALSE,"Assumptions"}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2." localSheetId="11" hidden="1">{#N/A,#N/A,FALSE,"DCF";#N/A,#N/A,FALSE,"WACC";#N/A,#N/A,FALSE,"Sales_EBIT";#N/A,#N/A,FALSE,"Capex_Depreciation";#N/A,#N/A,FALSE,"WC";#N/A,#N/A,FALSE,"Interest";#N/A,#N/A,FALSE,"Assumptions"}</definedName>
    <definedName name="wrn.ALL2." localSheetId="15" hidden="1">{#N/A,#N/A,FALSE,"DCF";#N/A,#N/A,FALSE,"WACC";#N/A,#N/A,FALSE,"Sales_EBIT";#N/A,#N/A,FALSE,"Capex_Depreciation";#N/A,#N/A,FALSE,"WC";#N/A,#N/A,FALSE,"Interest";#N/A,#N/A,FALSE,"Assumptions"}</definedName>
    <definedName name="wrn.ALL2." localSheetId="18" hidden="1">{#N/A,#N/A,FALSE,"DCF";#N/A,#N/A,FALSE,"WACC";#N/A,#N/A,FALSE,"Sales_EBIT";#N/A,#N/A,FALSE,"Capex_Depreciation";#N/A,#N/A,FALSE,"WC";#N/A,#N/A,FALSE,"Interest";#N/A,#N/A,FALSE,"Assumptions"}</definedName>
    <definedName name="wrn.ALL2." localSheetId="14" hidden="1">{#N/A,#N/A,FALSE,"DCF";#N/A,#N/A,FALSE,"WACC";#N/A,#N/A,FALSE,"Sales_EBIT";#N/A,#N/A,FALSE,"Capex_Depreciation";#N/A,#N/A,FALSE,"WC";#N/A,#N/A,FALSE,"Interest";#N/A,#N/A,FALSE,"Assumptions"}</definedName>
    <definedName name="wrn.ALL2." localSheetId="12" hidden="1">{#N/A,#N/A,FALSE,"DCF";#N/A,#N/A,FALSE,"WACC";#N/A,#N/A,FALSE,"Sales_EBIT";#N/A,#N/A,FALSE,"Capex_Depreciation";#N/A,#N/A,FALSE,"WC";#N/A,#N/A,FALSE,"Interest";#N/A,#N/A,FALSE,"Assumptions"}</definedName>
    <definedName name="wrn.ALL2." localSheetId="13" hidden="1">{#N/A,#N/A,FALSE,"DCF";#N/A,#N/A,FALSE,"WACC";#N/A,#N/A,FALSE,"Sales_EBIT";#N/A,#N/A,FALSE,"Capex_Depreciation";#N/A,#N/A,FALSE,"WC";#N/A,#N/A,FALSE,"Interest";#N/A,#N/A,FALSE,"Assumptions"}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localSheetId="11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 localSheetId="15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 localSheetId="18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 localSheetId="14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 localSheetId="12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 localSheetId="1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DataPages." localSheetId="11" hidden="1">{#N/A,#N/A,FALSE,"Balance Sheet";#N/A,#N/A,FALSE,"Income Statement";#N/A,#N/A,FALSE,"Changes in Financial Position"}</definedName>
    <definedName name="wrn.AllDataPages." localSheetId="15" hidden="1">{#N/A,#N/A,FALSE,"Balance Sheet";#N/A,#N/A,FALSE,"Income Statement";#N/A,#N/A,FALSE,"Changes in Financial Position"}</definedName>
    <definedName name="wrn.AllDataPages." localSheetId="18" hidden="1">{#N/A,#N/A,FALSE,"Balance Sheet";#N/A,#N/A,FALSE,"Income Statement";#N/A,#N/A,FALSE,"Changes in Financial Position"}</definedName>
    <definedName name="wrn.AllDataPages." localSheetId="14" hidden="1">{#N/A,#N/A,FALSE,"Balance Sheet";#N/A,#N/A,FALSE,"Income Statement";#N/A,#N/A,FALSE,"Changes in Financial Position"}</definedName>
    <definedName name="wrn.AllDataPages." localSheetId="12" hidden="1">{#N/A,#N/A,FALSE,"Balance Sheet";#N/A,#N/A,FALSE,"Income Statement";#N/A,#N/A,FALSE,"Changes in Financial Position"}</definedName>
    <definedName name="wrn.AllDataPages." localSheetId="13" hidden="1">{#N/A,#N/A,FALSE,"Balance Sheet";#N/A,#N/A,FALSE,"Income Statement";#N/A,#N/A,FALSE,"Changes in Financial Position"}</definedName>
    <definedName name="wrn.AllDataPages." hidden="1">{#N/A,#N/A,FALSE,"Balance Sheet";#N/A,#N/A,FALSE,"Income Statement";#N/A,#N/A,FALSE,"Changes in Financial Position"}</definedName>
    <definedName name="wrn.Asia." localSheetId="1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" localSheetId="1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" localSheetId="18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" localSheetId="1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" localSheetId="1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" localSheetId="1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B.SHEET." localSheetId="11" hidden="1">{#N/A,#N/A,FALSE,"COMICRO";#N/A,#N/A,FALSE,"BALSCH";#N/A,#N/A,FALSE,"GLASS";#N/A,#N/A,FALSE,"DEPRE";#N/A,#N/A,FALSE,"A&amp;MCUR";#N/A,#N/A,FALSE,"AGEANAlysis";#N/A,#N/A,FALSE,"CHECKS";#N/A,#N/A,FALSE,"CHECKS"}</definedName>
    <definedName name="wrn.B.SHEET." localSheetId="15" hidden="1">{#N/A,#N/A,FALSE,"COMICRO";#N/A,#N/A,FALSE,"BALSCH";#N/A,#N/A,FALSE,"GLASS";#N/A,#N/A,FALSE,"DEPRE";#N/A,#N/A,FALSE,"A&amp;MCUR";#N/A,#N/A,FALSE,"AGEANAlysis";#N/A,#N/A,FALSE,"CHECKS";#N/A,#N/A,FALSE,"CHECKS"}</definedName>
    <definedName name="wrn.B.SHEET." localSheetId="18" hidden="1">{#N/A,#N/A,FALSE,"COMICRO";#N/A,#N/A,FALSE,"BALSCH";#N/A,#N/A,FALSE,"GLASS";#N/A,#N/A,FALSE,"DEPRE";#N/A,#N/A,FALSE,"A&amp;MCUR";#N/A,#N/A,FALSE,"AGEANAlysis";#N/A,#N/A,FALSE,"CHECKS";#N/A,#N/A,FALSE,"CHECKS"}</definedName>
    <definedName name="wrn.B.SHEET." localSheetId="14" hidden="1">{#N/A,#N/A,FALSE,"COMICRO";#N/A,#N/A,FALSE,"BALSCH";#N/A,#N/A,FALSE,"GLASS";#N/A,#N/A,FALSE,"DEPRE";#N/A,#N/A,FALSE,"A&amp;MCUR";#N/A,#N/A,FALSE,"AGEANAlysis";#N/A,#N/A,FALSE,"CHECKS";#N/A,#N/A,FALSE,"CHECKS"}</definedName>
    <definedName name="wrn.B.SHEET." localSheetId="12" hidden="1">{#N/A,#N/A,FALSE,"COMICRO";#N/A,#N/A,FALSE,"BALSCH";#N/A,#N/A,FALSE,"GLASS";#N/A,#N/A,FALSE,"DEPRE";#N/A,#N/A,FALSE,"A&amp;MCUR";#N/A,#N/A,FALSE,"AGEANAlysis";#N/A,#N/A,FALSE,"CHECKS";#N/A,#N/A,FALSE,"CHECKS"}</definedName>
    <definedName name="wrn.B.SHEET." localSheetId="13" hidden="1">{#N/A,#N/A,FALSE,"COMICRO";#N/A,#N/A,FALSE,"BALSCH";#N/A,#N/A,FALSE,"GLASS";#N/A,#N/A,FALSE,"DEPRE";#N/A,#N/A,FALSE,"A&amp;MCUR";#N/A,#N/A,FALSE,"AGEANAlysis";#N/A,#N/A,FALSE,"CHECKS";#N/A,#N/A,FALSE,"CHECKS"}</definedName>
    <definedName name="wrn.B.SHEET." hidden="1">{#N/A,#N/A,FALSE,"COMICRO";#N/A,#N/A,FALSE,"BALSCH";#N/A,#N/A,FALSE,"GLASS";#N/A,#N/A,FALSE,"DEPRE";#N/A,#N/A,FALSE,"A&amp;MCUR";#N/A,#N/A,FALSE,"AGEANAlysis";#N/A,#N/A,FALSE,"CHECKS";#N/A,#N/A,FALSE,"CHECKS"}</definedName>
    <definedName name="wrn.Back._.Page." localSheetId="11" hidden="1">{"Back Page",#N/A,FALSE,"Front and Back"}</definedName>
    <definedName name="wrn.Back._.Page." localSheetId="15" hidden="1">{"Back Page",#N/A,FALSE,"Front and Back"}</definedName>
    <definedName name="wrn.Back._.Page." localSheetId="18" hidden="1">{"Back Page",#N/A,FALSE,"Front and Back"}</definedName>
    <definedName name="wrn.Back._.Page." localSheetId="14" hidden="1">{"Back Page",#N/A,FALSE,"Front and Back"}</definedName>
    <definedName name="wrn.Back._.Page." localSheetId="12" hidden="1">{"Back Page",#N/A,FALSE,"Front and Back"}</definedName>
    <definedName name="wrn.Back._.Page." localSheetId="13" hidden="1">{"Back Page",#N/A,FALSE,"Front and Back"}</definedName>
    <definedName name="wrn.Back._.Page." hidden="1">{"Back Page",#N/A,FALSE,"Front and Back"}</definedName>
    <definedName name="wrn.BALSHT." localSheetId="18" hidden="1">{#N/A,#N/A,FALSE,"PCPL9899"}</definedName>
    <definedName name="wrn.BALSHT." hidden="1">{#N/A,#N/A,FALSE,"PCPL9899"}</definedName>
    <definedName name="wrn.Base_Middle_Drivers." localSheetId="18" hidden="1">{#N/A,#N/A,TRUE,"DCF Summary (2)";#N/A,#N/A,TRUE,"DCF Summary";#N/A,"Middle Case Drivers",TRUE,"DCF"}</definedName>
    <definedName name="wrn.Base_Middle_Drivers." hidden="1">{#N/A,#N/A,TRUE,"DCF Summary (2)";#N/A,#N/A,TRUE,"DCF Summary";#N/A,"Middle Case Drivers",TRUE,"DCF"}</definedName>
    <definedName name="wrn.Base_Middle_Drivers._1" localSheetId="18" hidden="1">{#N/A,#N/A,TRUE,"DCF Summary (2)";#N/A,#N/A,TRUE,"DCF Summary";#N/A,"Middle Case Drivers",TRUE,"DCF"}</definedName>
    <definedName name="wrn.Base_Middle_Drivers._1" hidden="1">{#N/A,#N/A,TRUE,"DCF Summary (2)";#N/A,#N/A,TRUE,"DCF Summary";#N/A,"Middle Case Drivers",TRUE,"DCF"}</definedName>
    <definedName name="wrn.Bewegungsbilanz." localSheetId="11" hidden="1">{#N/A,#N/A,FALSE,"Mittelherkunft";#N/A,#N/A,FALSE,"Mittelverwendung"}</definedName>
    <definedName name="wrn.Bewegungsbilanz." localSheetId="15" hidden="1">{#N/A,#N/A,FALSE,"Mittelherkunft";#N/A,#N/A,FALSE,"Mittelverwendung"}</definedName>
    <definedName name="wrn.Bewegungsbilanz." localSheetId="18" hidden="1">{#N/A,#N/A,FALSE,"Mittelherkunft";#N/A,#N/A,FALSE,"Mittelverwendung"}</definedName>
    <definedName name="wrn.Bewegungsbilanz." localSheetId="14" hidden="1">{#N/A,#N/A,FALSE,"Mittelherkunft";#N/A,#N/A,FALSE,"Mittelverwendung"}</definedName>
    <definedName name="wrn.Bewegungsbilanz." localSheetId="12" hidden="1">{#N/A,#N/A,FALSE,"Mittelherkunft";#N/A,#N/A,FALSE,"Mittelverwendung"}</definedName>
    <definedName name="wrn.Bewegungsbilanz." localSheetId="13" hidden="1">{#N/A,#N/A,FALSE,"Mittelherkunft";#N/A,#N/A,FALSE,"Mittelverwendung"}</definedName>
    <definedName name="wrn.Bewegungsbilanz." hidden="1">{#N/A,#N/A,FALSE,"Mittelherkunft";#N/A,#N/A,FALSE,"Mittelverwendung"}</definedName>
    <definedName name="wrn.Bilanz." localSheetId="11" hidden="1">{#N/A,#N/A,FALSE,"Layout Aktiva";#N/A,#N/A,FALSE,"Layout Passiva"}</definedName>
    <definedName name="wrn.Bilanz." localSheetId="15" hidden="1">{#N/A,#N/A,FALSE,"Layout Aktiva";#N/A,#N/A,FALSE,"Layout Passiva"}</definedName>
    <definedName name="wrn.Bilanz." localSheetId="18" hidden="1">{#N/A,#N/A,FALSE,"Layout Aktiva";#N/A,#N/A,FALSE,"Layout Passiva"}</definedName>
    <definedName name="wrn.Bilanz." localSheetId="14" hidden="1">{#N/A,#N/A,FALSE,"Layout Aktiva";#N/A,#N/A,FALSE,"Layout Passiva"}</definedName>
    <definedName name="wrn.Bilanz." localSheetId="12" hidden="1">{#N/A,#N/A,FALSE,"Layout Aktiva";#N/A,#N/A,FALSE,"Layout Passiva"}</definedName>
    <definedName name="wrn.Bilanz." localSheetId="13" hidden="1">{#N/A,#N/A,FALSE,"Layout Aktiva";#N/A,#N/A,FALSE,"Layout Passiva"}</definedName>
    <definedName name="wrn.Bilanz." hidden="1">{#N/A,#N/A,FALSE,"Layout Aktiva";#N/A,#N/A,FALSE,"Layout Passiva"}</definedName>
    <definedName name="wrn.Board." localSheetId="18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wrn.Board.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wrn.Board._.Summary." localSheetId="18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Centre";#N/A,#N/A,TRUE,"Related"}</definedName>
    <definedName name="wrn.Board._.Summary.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Centre";#N/A,#N/A,TRUE,"Related"}</definedName>
    <definedName name="wrn.Board._.Summary._1" localSheetId="18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Centre";#N/A,#N/A,TRUE,"Related"}</definedName>
    <definedName name="wrn.Board._.Summary._1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Centre";#N/A,#N/A,TRUE,"Related"}</definedName>
    <definedName name="wrn.Board._1" localSheetId="18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wrn.Board._1" hidden="1">{#N/A,#N/A,TRUE,"TOC";#N/A,#N/A,TRUE,"Results";#N/A,#N/A,TRUE,"Variance Analysis";#N/A,#N/A,TRUE,"Key Overview";#N/A,#N/A,TRUE,"Key Overview Per Ticket";#N/A,#N/A,TRUE,"Cash Flow";#N/A,#N/A,TRUE,"Balance Sheet";#N/A,#N/A,TRUE,"Forecast";#N/A,#N/A,TRUE,"Forecast-Tickets";#N/A,#N/A,TRUE,"Forecast-Revenue";#N/A,#N/A,TRUE,"Forecast-Direct";#N/A,#N/A,TRUE,"Forecast-Indirect";#N/A,#N/A,TRUE,"Forecast - EBITDA";#N/A,#N/A,TRUE,"Csh Flow Proj";#N/A,#N/A,TRUE,"RankMTD";#N/A,#N/A,TRUE,"Head Count";#N/A,#N/A,TRUE,"Call Centre";#N/A,#N/A,TRUE,"Related";#N/A,#N/A,TRUE,"MbyM";#N/A,#N/A,TRUE,"Ticket # Consol";#N/A,#N/A,TRUE,"Ticket-Melb";#N/A,#N/A,TRUE,"Ticket-Syd";#N/A,#N/A,TRUE,"Ticket-BNE";#N/A,#N/A,TRUE,"Ticket-Perth";#N/A,#N/A,TRUE,"Rev Consol";#N/A,#N/A,TRUE,"Rev Melb";#N/A,#N/A,TRUE,"Rev Syd";#N/A,#N/A,TRUE,"Rev BNE";#N/A,#N/A,TRUE,"Rev Perth";#N/A,#N/A,TRUE,"Costs Consol";#N/A,#N/A,TRUE,"Direct Costs X State";#N/A,#N/A,TRUE,"InDirect Costs"}</definedName>
    <definedName name="wrn.Bob." localSheetId="18" hidden="1">{#N/A,#N/A,FALSE,"PBG Plan vs Fcst";#N/A,#N/A,FALSE,"PBG Aug vs Sept";#N/A,#N/A,FALSE,"PBG Q2vQ3";#N/A,#N/A,FALSE,"PBG Q3vQ4";#N/A,#N/A,FALSE,"PBG Q2vQ3 wo Intg";#N/A,#N/A,FALSE,"PBG Q3vQ4 wo Intg ";#N/A,#N/A,FALSE,"Intg Q2vQ3";#N/A,#N/A,FALSE,"Intg Q3vQ4"}</definedName>
    <definedName name="wrn.Bob." hidden="1">{#N/A,#N/A,FALSE,"PBG Plan vs Fcst";#N/A,#N/A,FALSE,"PBG Aug vs Sept";#N/A,#N/A,FALSE,"PBG Q2vQ3";#N/A,#N/A,FALSE,"PBG Q3vQ4";#N/A,#N/A,FALSE,"PBG Q2vQ3 wo Intg";#N/A,#N/A,FALSE,"PBG Q3vQ4 wo Intg ";#N/A,#N/A,FALSE,"Intg Q2vQ3";#N/A,#N/A,FALSE,"Intg Q3vQ4"}</definedName>
    <definedName name="wrn.Bob._1" localSheetId="18" hidden="1">{#N/A,#N/A,FALSE,"PBG Plan vs Fcst";#N/A,#N/A,FALSE,"PBG Aug vs Sept";#N/A,#N/A,FALSE,"PBG Q2vQ3";#N/A,#N/A,FALSE,"PBG Q3vQ4";#N/A,#N/A,FALSE,"PBG Q2vQ3 wo Intg";#N/A,#N/A,FALSE,"PBG Q3vQ4 wo Intg ";#N/A,#N/A,FALSE,"Intg Q2vQ3";#N/A,#N/A,FALSE,"Intg Q3vQ4"}</definedName>
    <definedName name="wrn.Bob._1" hidden="1">{#N/A,#N/A,FALSE,"PBG Plan vs Fcst";#N/A,#N/A,FALSE,"PBG Aug vs Sept";#N/A,#N/A,FALSE,"PBG Q2vQ3";#N/A,#N/A,FALSE,"PBG Q3vQ4";#N/A,#N/A,FALSE,"PBG Q2vQ3 wo Intg";#N/A,#N/A,FALSE,"PBG Q3vQ4 wo Intg ";#N/A,#N/A,FALSE,"Intg Q2vQ3";#N/A,#N/A,FALSE,"Intg Q3vQ4"}</definedName>
    <definedName name="wrn.BP._.print." localSheetId="11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15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18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14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12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13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S." localSheetId="18" hidden="1">{#N/A,#N/A,FALSE,"PCPL9899"}</definedName>
    <definedName name="wrn.BS." hidden="1">{#N/A,#N/A,FALSE,"PCPL9899"}</definedName>
    <definedName name="wrn.budget." localSheetId="18" hidden="1">{"form-D1",#N/A,FALSE,"FORM-D1";"form-D1_amt",#N/A,FALSE,"FORM-D1"}</definedName>
    <definedName name="wrn.budget." hidden="1">{"form-D1",#N/A,FALSE,"FORM-D1";"form-D1_amt",#N/A,FALSE,"FORM-D1"}</definedName>
    <definedName name="wrn.Cash._.Flow." localSheetId="11" hidden="1">{#N/A,#N/A,FALSE,"Layout Cash Flow"}</definedName>
    <definedName name="wrn.Cash._.Flow." localSheetId="15" hidden="1">{#N/A,#N/A,FALSE,"Layout Cash Flow"}</definedName>
    <definedName name="wrn.Cash._.Flow." localSheetId="18" hidden="1">{#N/A,#N/A,FALSE,"Layout Cash Flow"}</definedName>
    <definedName name="wrn.Cash._.Flow." localSheetId="14" hidden="1">{#N/A,#N/A,FALSE,"Layout Cash Flow"}</definedName>
    <definedName name="wrn.Cash._.Flow." localSheetId="12" hidden="1">{#N/A,#N/A,FALSE,"Layout Cash Flow"}</definedName>
    <definedName name="wrn.Cash._.Flow." localSheetId="13" hidden="1">{#N/A,#N/A,FALSE,"Layout Cash Flow"}</definedName>
    <definedName name="wrn.Cash._.Flow." hidden="1">{#N/A,#N/A,FALSE,"Layout Cash Flow"}</definedName>
    <definedName name="wrn.COMBINED." localSheetId="11" hidden="1">{#N/A,#N/A,FALSE,"INPUTS";#N/A,#N/A,FALSE,"PROFORMA BSHEET";#N/A,#N/A,FALSE,"COMBINED";#N/A,#N/A,FALSE,"HIGH YIELD";#N/A,#N/A,FALSE,"COMB_GRAPHS"}</definedName>
    <definedName name="wrn.COMBINED." localSheetId="15" hidden="1">{#N/A,#N/A,FALSE,"INPUTS";#N/A,#N/A,FALSE,"PROFORMA BSHEET";#N/A,#N/A,FALSE,"COMBINED";#N/A,#N/A,FALSE,"HIGH YIELD";#N/A,#N/A,FALSE,"COMB_GRAPHS"}</definedName>
    <definedName name="wrn.COMBINED." localSheetId="18" hidden="1">{#N/A,#N/A,FALSE,"INPUTS";#N/A,#N/A,FALSE,"PROFORMA BSHEET";#N/A,#N/A,FALSE,"COMBINED";#N/A,#N/A,FALSE,"HIGH YIELD";#N/A,#N/A,FALSE,"COMB_GRAPHS"}</definedName>
    <definedName name="wrn.COMBINED." localSheetId="14" hidden="1">{#N/A,#N/A,FALSE,"INPUTS";#N/A,#N/A,FALSE,"PROFORMA BSHEET";#N/A,#N/A,FALSE,"COMBINED";#N/A,#N/A,FALSE,"HIGH YIELD";#N/A,#N/A,FALSE,"COMB_GRAPHS"}</definedName>
    <definedName name="wrn.COMBINED." localSheetId="12" hidden="1">{#N/A,#N/A,FALSE,"INPUTS";#N/A,#N/A,FALSE,"PROFORMA BSHEET";#N/A,#N/A,FALSE,"COMBINED";#N/A,#N/A,FALSE,"HIGH YIELD";#N/A,#N/A,FALSE,"COMB_GRAPHS"}</definedName>
    <definedName name="wrn.COMBINED." localSheetId="13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PCO." localSheetId="11" hidden="1">{"Page1",#N/A,FALSE,"CompCo";"Page2",#N/A,FALSE,"CompCo"}</definedName>
    <definedName name="wrn.COMPCO." localSheetId="15" hidden="1">{"Page1",#N/A,FALSE,"CompCo";"Page2",#N/A,FALSE,"CompCo"}</definedName>
    <definedName name="wrn.COMPCO." localSheetId="18" hidden="1">{"Page1",#N/A,FALSE,"CompCo";"Page2",#N/A,FALSE,"CompCo"}</definedName>
    <definedName name="wrn.COMPCO." localSheetId="14" hidden="1">{"Page1",#N/A,FALSE,"CompCo";"Page2",#N/A,FALSE,"CompCo"}</definedName>
    <definedName name="wrn.COMPCO." localSheetId="12" hidden="1">{"Page1",#N/A,FALSE,"CompCo";"Page2",#N/A,FALSE,"CompCo"}</definedName>
    <definedName name="wrn.COMPCO." localSheetId="13" hidden="1">{"Page1",#N/A,FALSE,"CompCo";"Page2",#N/A,FALSE,"CompCo"}</definedName>
    <definedName name="wrn.COMPCO." hidden="1">{"Page1",#N/A,FALSE,"CompCo";"Page2",#N/A,FALSE,"CompCo"}</definedName>
    <definedName name="wrn.consumable." localSheetId="18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ntinous._.Page._.Numbers._.DCF." localSheetId="11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 localSheetId="15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 localSheetId="18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 localSheetId="14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 localSheetId="12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 localSheetId="13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ver." localSheetId="1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 localSheetId="1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 localSheetId="18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 localSheetId="1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 localSheetId="1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 localSheetId="1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dcf." localSheetId="11" hidden="1">{"mgmt forecast",#N/A,FALSE,"Mgmt Forecast";"dcf table",#N/A,FALSE,"Mgmt Forecast";"sensitivity",#N/A,FALSE,"Mgmt Forecast";"table inputs",#N/A,FALSE,"Mgmt Forecast";"calculations",#N/A,FALSE,"Mgmt Forecast"}</definedName>
    <definedName name="wrn.dcf." localSheetId="15" hidden="1">{"mgmt forecast",#N/A,FALSE,"Mgmt Forecast";"dcf table",#N/A,FALSE,"Mgmt Forecast";"sensitivity",#N/A,FALSE,"Mgmt Forecast";"table inputs",#N/A,FALSE,"Mgmt Forecast";"calculations",#N/A,FALSE,"Mgmt Forecast"}</definedName>
    <definedName name="wrn.dcf." localSheetId="18" hidden="1">{"mgmt forecast",#N/A,FALSE,"Mgmt Forecast";"dcf table",#N/A,FALSE,"Mgmt Forecast";"sensitivity",#N/A,FALSE,"Mgmt Forecast";"table inputs",#N/A,FALSE,"Mgmt Forecast";"calculations",#N/A,FALSE,"Mgmt Forecast"}</definedName>
    <definedName name="wrn.dcf." localSheetId="14" hidden="1">{"mgmt forecast",#N/A,FALSE,"Mgmt Forecast";"dcf table",#N/A,FALSE,"Mgmt Forecast";"sensitivity",#N/A,FALSE,"Mgmt Forecast";"table inputs",#N/A,FALSE,"Mgmt Forecast";"calculations",#N/A,FALSE,"Mgmt Forecast"}</definedName>
    <definedName name="wrn.dcf." localSheetId="12" hidden="1">{"mgmt forecast",#N/A,FALSE,"Mgmt Forecast";"dcf table",#N/A,FALSE,"Mgmt Forecast";"sensitivity",#N/A,FALSE,"Mgmt Forecast";"table inputs",#N/A,FALSE,"Mgmt Forecast";"calculations",#N/A,FALSE,"Mgmt Forecast"}</definedName>
    <definedName name="wrn.dcf." localSheetId="13" hidden="1">{"mgmt forecast",#N/A,FALSE,"Mgmt Forecast";"dcf table",#N/A,FALSE,"Mgmt Forecast";"sensitivity",#N/A,FALSE,"Mgmt Forecast";"table inputs",#N/A,FALSE,"Mgmt Forecast";"calculations",#N/A,FALSE,"Mgmt Forecast"}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CFEpervier." localSheetId="11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15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18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14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12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13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mographic._.report.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mographic._.report.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mographic._.report._1" localSheetId="18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mographic._.report._1" hidden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tail." localSheetId="11" hidden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 localSheetId="15" hidden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 localSheetId="18" hidden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 localSheetId="14" hidden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 localSheetId="12" hidden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 localSheetId="13" hidden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 hidden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ed._.P._.and._.L." localSheetId="11" hidden="1">{"P and L Detail Page 1",#N/A,FALSE,"Data";"P and L Detail Page 2",#N/A,FALSE,"Data"}</definedName>
    <definedName name="wrn.Detailed._.P._.and._.L." localSheetId="15" hidden="1">{"P and L Detail Page 1",#N/A,FALSE,"Data";"P and L Detail Page 2",#N/A,FALSE,"Data"}</definedName>
    <definedName name="wrn.Detailed._.P._.and._.L." localSheetId="18" hidden="1">{"P and L Detail Page 1",#N/A,FALSE,"Data";"P and L Detail Page 2",#N/A,FALSE,"Data"}</definedName>
    <definedName name="wrn.Detailed._.P._.and._.L." localSheetId="14" hidden="1">{"P and L Detail Page 1",#N/A,FALSE,"Data";"P and L Detail Page 2",#N/A,FALSE,"Data"}</definedName>
    <definedName name="wrn.Detailed._.P._.and._.L." localSheetId="12" hidden="1">{"P and L Detail Page 1",#N/A,FALSE,"Data";"P and L Detail Page 2",#N/A,FALSE,"Data"}</definedName>
    <definedName name="wrn.Detailed._.P._.and._.L." localSheetId="13" hidden="1">{"P and L Detail Page 1",#N/A,FALSE,"Data";"P and L Detail Page 2",#N/A,FALSE,"Data"}</definedName>
    <definedName name="wrn.Detailed._.P._.and._.L." hidden="1">{"P and L Detail Page 1",#N/A,FALSE,"Data";"P and L Detail Page 2",#N/A,FALSE,"Data"}</definedName>
    <definedName name="wrn.document." localSheetId="11" hidden="1">{"consolidated",#N/A,FALSE,"Sheet1";"cms",#N/A,FALSE,"Sheet1";"fse",#N/A,FALSE,"Sheet1"}</definedName>
    <definedName name="wrn.document." localSheetId="15" hidden="1">{"consolidated",#N/A,FALSE,"Sheet1";"cms",#N/A,FALSE,"Sheet1";"fse",#N/A,FALSE,"Sheet1"}</definedName>
    <definedName name="wrn.document." localSheetId="18" hidden="1">{"consolidated",#N/A,FALSE,"Sheet1";"cms",#N/A,FALSE,"Sheet1";"fse",#N/A,FALSE,"Sheet1"}</definedName>
    <definedName name="wrn.document." localSheetId="14" hidden="1">{"consolidated",#N/A,FALSE,"Sheet1";"cms",#N/A,FALSE,"Sheet1";"fse",#N/A,FALSE,"Sheet1"}</definedName>
    <definedName name="wrn.document." localSheetId="12" hidden="1">{"consolidated",#N/A,FALSE,"Sheet1";"cms",#N/A,FALSE,"Sheet1";"fse",#N/A,FALSE,"Sheet1"}</definedName>
    <definedName name="wrn.document." localSheetId="13" hidden="1">{"consolidated",#N/A,FALSE,"Sheet1";"cms",#N/A,FALSE,"Sheet1";"fse",#N/A,FALSE,"Sheet1"}</definedName>
    <definedName name="wrn.document." hidden="1">{"consolidated",#N/A,FALSE,"Sheet1";"cms",#N/A,FALSE,"Sheet1";"fse",#N/A,FALSE,"Sheet1"}</definedName>
    <definedName name="wrn.Draft." localSheetId="11" hidden="1">{"Draft",#N/A,FALSE,"Feb-96"}</definedName>
    <definedName name="wrn.Draft." localSheetId="15" hidden="1">{"Draft",#N/A,FALSE,"Feb-96"}</definedName>
    <definedName name="wrn.Draft." localSheetId="18" hidden="1">{"Draft",#N/A,FALSE,"Feb-96"}</definedName>
    <definedName name="wrn.Draft." localSheetId="14" hidden="1">{"Draft",#N/A,FALSE,"Feb-96"}</definedName>
    <definedName name="wrn.Draft." localSheetId="12" hidden="1">{"Draft",#N/A,FALSE,"Feb-96"}</definedName>
    <definedName name="wrn.Draft." localSheetId="13" hidden="1">{"Draft",#N/A,FALSE,"Feb-96"}</definedName>
    <definedName name="wrn.Draft." hidden="1">{"Draft",#N/A,FALSE,"Feb-96"}</definedName>
    <definedName name="wrn.Economic._.Value._.Added._.Analysis." localSheetId="11" hidden="1">{"EVA",#N/A,FALSE,"EVA";"WACC",#N/A,FALSE,"WACC"}</definedName>
    <definedName name="wrn.Economic._.Value._.Added._.Analysis." localSheetId="15" hidden="1">{"EVA",#N/A,FALSE,"EVA";"WACC",#N/A,FALSE,"WACC"}</definedName>
    <definedName name="wrn.Economic._.Value._.Added._.Analysis." localSheetId="18" hidden="1">{"EVA",#N/A,FALSE,"EVA";"WACC",#N/A,FALSE,"WACC"}</definedName>
    <definedName name="wrn.Economic._.Value._.Added._.Analysis." localSheetId="14" hidden="1">{"EVA",#N/A,FALSE,"EVA";"WACC",#N/A,FALSE,"WACC"}</definedName>
    <definedName name="wrn.Economic._.Value._.Added._.Analysis." localSheetId="12" hidden="1">{"EVA",#N/A,FALSE,"EVA";"WACC",#N/A,FALSE,"WACC"}</definedName>
    <definedName name="wrn.Economic._.Value._.Added._.Analysis." localSheetId="13" hidden="1">{"EVA",#N/A,FALSE,"EVA";"WACC",#N/A,FALSE,"WACC"}</definedName>
    <definedName name="wrn.Economic._.Value._.Added._.Analysis." hidden="1">{"EVA",#N/A,FALSE,"EVA";"WACC",#N/A,FALSE,"WACC"}</definedName>
    <definedName name="wrn.Europe." localSheetId="1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" localSheetId="1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" localSheetId="18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" localSheetId="1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" localSheetId="1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" localSheetId="1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FCB." localSheetId="11" hidden="1">{"FCB_ALL",#N/A,FALSE,"FCB"}</definedName>
    <definedName name="wrn.FCB." localSheetId="15" hidden="1">{"FCB_ALL",#N/A,FALSE,"FCB"}</definedName>
    <definedName name="wrn.FCB." localSheetId="18" hidden="1">{"FCB_ALL",#N/A,FALSE,"FCB"}</definedName>
    <definedName name="wrn.FCB." localSheetId="14" hidden="1">{"FCB_ALL",#N/A,FALSE,"FCB"}</definedName>
    <definedName name="wrn.FCB." localSheetId="12" hidden="1">{"FCB_ALL",#N/A,FALSE,"FCB"}</definedName>
    <definedName name="wrn.FCB." localSheetId="13" hidden="1">{"FCB_ALL",#N/A,FALSE,"FCB"}</definedName>
    <definedName name="wrn.FCB." hidden="1">{"FCB_ALL",#N/A,FALSE,"FCB"}</definedName>
    <definedName name="wrn.fcb2" localSheetId="11" hidden="1">{"FCB_ALL",#N/A,FALSE,"FCB"}</definedName>
    <definedName name="wrn.fcb2" localSheetId="15" hidden="1">{"FCB_ALL",#N/A,FALSE,"FCB"}</definedName>
    <definedName name="wrn.fcb2" localSheetId="18" hidden="1">{"FCB_ALL",#N/A,FALSE,"FCB"}</definedName>
    <definedName name="wrn.fcb2" localSheetId="14" hidden="1">{"FCB_ALL",#N/A,FALSE,"FCB"}</definedName>
    <definedName name="wrn.fcb2" localSheetId="12" hidden="1">{"FCB_ALL",#N/A,FALSE,"FCB"}</definedName>
    <definedName name="wrn.fcb2" localSheetId="13" hidden="1">{"FCB_ALL",#N/A,FALSE,"FCB"}</definedName>
    <definedName name="wrn.fcb2" hidden="1">{"FCB_ALL",#N/A,FALSE,"FCB"}</definedName>
    <definedName name="wrn.Final." localSheetId="11" hidden="1">{"Final",#N/A,FALSE,"Feb-96"}</definedName>
    <definedName name="wrn.Final." localSheetId="15" hidden="1">{"Final",#N/A,FALSE,"Feb-96"}</definedName>
    <definedName name="wrn.Final." localSheetId="18" hidden="1">{"Final",#N/A,FALSE,"Feb-96"}</definedName>
    <definedName name="wrn.Final." localSheetId="14" hidden="1">{"Final",#N/A,FALSE,"Feb-96"}</definedName>
    <definedName name="wrn.Final." localSheetId="12" hidden="1">{"Final",#N/A,FALSE,"Feb-96"}</definedName>
    <definedName name="wrn.Final." localSheetId="13" hidden="1">{"Final",#N/A,FALSE,"Feb-96"}</definedName>
    <definedName name="wrn.Final." hidden="1">{"Final",#N/A,FALSE,"Feb-96"}</definedName>
    <definedName name="wrn.Financial._.Output." localSheetId="11" hidden="1">{"P and L",#N/A,FALSE,"Financial Output";"Cashflow",#N/A,FALSE,"Financial Output";"Balance Sheet",#N/A,FALSE,"Financial Output"}</definedName>
    <definedName name="wrn.Financial._.Output." localSheetId="15" hidden="1">{"P and L",#N/A,FALSE,"Financial Output";"Cashflow",#N/A,FALSE,"Financial Output";"Balance Sheet",#N/A,FALSE,"Financial Output"}</definedName>
    <definedName name="wrn.Financial._.Output." localSheetId="18" hidden="1">{"P and L",#N/A,FALSE,"Financial Output";"Cashflow",#N/A,FALSE,"Financial Output";"Balance Sheet",#N/A,FALSE,"Financial Output"}</definedName>
    <definedName name="wrn.Financial._.Output." localSheetId="14" hidden="1">{"P and L",#N/A,FALSE,"Financial Output";"Cashflow",#N/A,FALSE,"Financial Output";"Balance Sheet",#N/A,FALSE,"Financial Output"}</definedName>
    <definedName name="wrn.Financial._.Output." localSheetId="12" hidden="1">{"P and L",#N/A,FALSE,"Financial Output";"Cashflow",#N/A,FALSE,"Financial Output";"Balance Sheet",#N/A,FALSE,"Financial Output"}</definedName>
    <definedName name="wrn.Financial._.Output." localSheetId="13" hidden="1">{"P and L",#N/A,FALSE,"Financial Output";"Cashflow",#N/A,FALSE,"Financial Output";"Balance Sheet",#N/A,FALSE,"Financial Output"}</definedName>
    <definedName name="wrn.Financial._.Output." hidden="1">{"P and L",#N/A,FALSE,"Financial Output";"Cashflow",#N/A,FALSE,"Financial Output";"Balance Sheet",#N/A,FALSE,"Financial Output"}</definedName>
    <definedName name="wrn.Finanzbedarfsrechnung." localSheetId="11" hidden="1">{#N/A,#N/A,FALSE,"Finanzbedarfsrechnung"}</definedName>
    <definedName name="wrn.Finanzbedarfsrechnung." localSheetId="15" hidden="1">{#N/A,#N/A,FALSE,"Finanzbedarfsrechnung"}</definedName>
    <definedName name="wrn.Finanzbedarfsrechnung." localSheetId="18" hidden="1">{#N/A,#N/A,FALSE,"Finanzbedarfsrechnung"}</definedName>
    <definedName name="wrn.Finanzbedarfsrechnung." localSheetId="14" hidden="1">{#N/A,#N/A,FALSE,"Finanzbedarfsrechnung"}</definedName>
    <definedName name="wrn.Finanzbedarfsrechnung." localSheetId="12" hidden="1">{#N/A,#N/A,FALSE,"Finanzbedarfsrechnung"}</definedName>
    <definedName name="wrn.Finanzbedarfsrechnung." localSheetId="13" hidden="1">{#N/A,#N/A,FALSE,"Finanzbedarfsrechnung"}</definedName>
    <definedName name="wrn.Finanzbedarfsrechnung." hidden="1">{#N/A,#N/A,FALSE,"Finanzbedarfsrechnung"}</definedName>
    <definedName name="wrn.FIVE._.YEAR._.PROJECTION." localSheetId="11" hidden="1">{"FIVEYEAR",#N/A,TRUE,"SUMMARY";"FIVEYEAR",#N/A,TRUE,"Ratios";"FIVEYEAR",#N/A,TRUE,"Revenue";"FIVEYEAR",#N/A,TRUE,"DETAIL";"FIVEYEAR",#N/A,TRUE,"Payroll"}</definedName>
    <definedName name="wrn.FIVE._.YEAR._.PROJECTION." localSheetId="15" hidden="1">{"FIVEYEAR",#N/A,TRUE,"SUMMARY";"FIVEYEAR",#N/A,TRUE,"Ratios";"FIVEYEAR",#N/A,TRUE,"Revenue";"FIVEYEAR",#N/A,TRUE,"DETAIL";"FIVEYEAR",#N/A,TRUE,"Payroll"}</definedName>
    <definedName name="wrn.FIVE._.YEAR._.PROJECTION." localSheetId="18" hidden="1">{"FIVEYEAR",#N/A,TRUE,"SUMMARY";"FIVEYEAR",#N/A,TRUE,"Ratios";"FIVEYEAR",#N/A,TRUE,"Revenue";"FIVEYEAR",#N/A,TRUE,"DETAIL";"FIVEYEAR",#N/A,TRUE,"Payroll"}</definedName>
    <definedName name="wrn.FIVE._.YEAR._.PROJECTION." localSheetId="14" hidden="1">{"FIVEYEAR",#N/A,TRUE,"SUMMARY";"FIVEYEAR",#N/A,TRUE,"Ratios";"FIVEYEAR",#N/A,TRUE,"Revenue";"FIVEYEAR",#N/A,TRUE,"DETAIL";"FIVEYEAR",#N/A,TRUE,"Payroll"}</definedName>
    <definedName name="wrn.FIVE._.YEAR._.PROJECTION." localSheetId="12" hidden="1">{"FIVEYEAR",#N/A,TRUE,"SUMMARY";"FIVEYEAR",#N/A,TRUE,"Ratios";"FIVEYEAR",#N/A,TRUE,"Revenue";"FIVEYEAR",#N/A,TRUE,"DETAIL";"FIVEYEAR",#N/A,TRUE,"Payroll"}</definedName>
    <definedName name="wrn.FIVE._.YEAR._.PROJECTION." localSheetId="13" hidden="1">{"FIVEYEAR",#N/A,TRUE,"SUMMARY";"FIVEYEAR",#N/A,TRUE,"Ratios";"FIVEYEAR",#N/A,TRUE,"Revenue";"FIVEYEAR",#N/A,TRUE,"DETAIL";"FIVEYEAR",#N/A,TRUE,"Payroll"}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localSheetId="11" hidden="1">{"Five Year Record",#N/A,FALSE,"Front and Back"}</definedName>
    <definedName name="wrn.Five._.Year._.Record." localSheetId="15" hidden="1">{"Five Year Record",#N/A,FALSE,"Front and Back"}</definedName>
    <definedName name="wrn.Five._.Year._.Record." localSheetId="18" hidden="1">{"Five Year Record",#N/A,FALSE,"Front and Back"}</definedName>
    <definedName name="wrn.Five._.Year._.Record." localSheetId="14" hidden="1">{"Five Year Record",#N/A,FALSE,"Front and Back"}</definedName>
    <definedName name="wrn.Five._.Year._.Record." localSheetId="12" hidden="1">{"Five Year Record",#N/A,FALSE,"Front and Back"}</definedName>
    <definedName name="wrn.Five._.Year._.Record." localSheetId="13" hidden="1">{"Five Year Record",#N/A,FALSE,"Front and Back"}</definedName>
    <definedName name="wrn.Five._.Year._.Record." hidden="1">{"Five Year Record",#N/A,FALSE,"Front and Back"}</definedName>
    <definedName name="wrn.Front._.Page." localSheetId="11" hidden="1">{"Front Page",#N/A,FALSE,"Front and Back"}</definedName>
    <definedName name="wrn.Front._.Page." localSheetId="15" hidden="1">{"Front Page",#N/A,FALSE,"Front and Back"}</definedName>
    <definedName name="wrn.Front._.Page." localSheetId="18" hidden="1">{"Front Page",#N/A,FALSE,"Front and Back"}</definedName>
    <definedName name="wrn.Front._.Page." localSheetId="14" hidden="1">{"Front Page",#N/A,FALSE,"Front and Back"}</definedName>
    <definedName name="wrn.Front._.Page." localSheetId="12" hidden="1">{"Front Page",#N/A,FALSE,"Front and Back"}</definedName>
    <definedName name="wrn.Front._.Page." localSheetId="13" hidden="1">{"Front Page",#N/A,FALSE,"Front and Back"}</definedName>
    <definedName name="wrn.Front._.Page." hidden="1">{"Front Page",#N/A,FALSE,"Front and Back"}</definedName>
    <definedName name="WRN.FULL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" localSheetId="11" hidden="1">{#N/A,#N/A,FALSE,"Cover";#N/A,#N/A,FALSE,"Outputs";#N/A,#N/A,FALSE,"Control (In)";#N/A,#N/A,FALSE,"Tesco";#N/A,#N/A,FALSE,"Sainsbury";#N/A,#N/A,FALSE,"Carrefour";#N/A,#N/A,FALSE,"Co D";#N/A,#N/A,FALSE,"Co E";#N/A,#N/A,FALSE,"Co F";#N/A,#N/A,FALSE,"Co G";#N/A,#N/A,FALSE,"Co H";#N/A,#N/A,FALSE,"Co I";#N/A,#N/A,FALSE,"Co J";#N/A,#N/A,FALSE,"Co K";#N/A,#N/A,FALSE,"Co L";#N/A,#N/A,FALSE,"Co M";#N/A,#N/A,FALSE,"Co N";#N/A,#N/A,FALSE,"Co O"}</definedName>
    <definedName name="wrn.full." localSheetId="15" hidden="1">{#N/A,#N/A,FALSE,"Cover";#N/A,#N/A,FALSE,"Outputs";#N/A,#N/A,FALSE,"Control (In)";#N/A,#N/A,FALSE,"Tesco";#N/A,#N/A,FALSE,"Sainsbury";#N/A,#N/A,FALSE,"Carrefour";#N/A,#N/A,FALSE,"Co D";#N/A,#N/A,FALSE,"Co E";#N/A,#N/A,FALSE,"Co F";#N/A,#N/A,FALSE,"Co G";#N/A,#N/A,FALSE,"Co H";#N/A,#N/A,FALSE,"Co I";#N/A,#N/A,FALSE,"Co J";#N/A,#N/A,FALSE,"Co K";#N/A,#N/A,FALSE,"Co L";#N/A,#N/A,FALSE,"Co M";#N/A,#N/A,FALSE,"Co N";#N/A,#N/A,FALSE,"Co O"}</definedName>
    <definedName name="wrn.full." localSheetId="18" hidden="1">{#N/A,#N/A,FALSE,"Cover";#N/A,#N/A,FALSE,"Outputs";#N/A,#N/A,FALSE,"Control (In)";#N/A,#N/A,FALSE,"Tesco";#N/A,#N/A,FALSE,"Sainsbury";#N/A,#N/A,FALSE,"Carrefour";#N/A,#N/A,FALSE,"Co D";#N/A,#N/A,FALSE,"Co E";#N/A,#N/A,FALSE,"Co F";#N/A,#N/A,FALSE,"Co G";#N/A,#N/A,FALSE,"Co H";#N/A,#N/A,FALSE,"Co I";#N/A,#N/A,FALSE,"Co J";#N/A,#N/A,FALSE,"Co K";#N/A,#N/A,FALSE,"Co L";#N/A,#N/A,FALSE,"Co M";#N/A,#N/A,FALSE,"Co N";#N/A,#N/A,FALSE,"Co O"}</definedName>
    <definedName name="wrn.full." localSheetId="14" hidden="1">{#N/A,#N/A,FALSE,"Cover";#N/A,#N/A,FALSE,"Outputs";#N/A,#N/A,FALSE,"Control (In)";#N/A,#N/A,FALSE,"Tesco";#N/A,#N/A,FALSE,"Sainsbury";#N/A,#N/A,FALSE,"Carrefour";#N/A,#N/A,FALSE,"Co D";#N/A,#N/A,FALSE,"Co E";#N/A,#N/A,FALSE,"Co F";#N/A,#N/A,FALSE,"Co G";#N/A,#N/A,FALSE,"Co H";#N/A,#N/A,FALSE,"Co I";#N/A,#N/A,FALSE,"Co J";#N/A,#N/A,FALSE,"Co K";#N/A,#N/A,FALSE,"Co L";#N/A,#N/A,FALSE,"Co M";#N/A,#N/A,FALSE,"Co N";#N/A,#N/A,FALSE,"Co O"}</definedName>
    <definedName name="wrn.full." localSheetId="12" hidden="1">{#N/A,#N/A,FALSE,"Cover";#N/A,#N/A,FALSE,"Outputs";#N/A,#N/A,FALSE,"Control (In)";#N/A,#N/A,FALSE,"Tesco";#N/A,#N/A,FALSE,"Sainsbury";#N/A,#N/A,FALSE,"Carrefour";#N/A,#N/A,FALSE,"Co D";#N/A,#N/A,FALSE,"Co E";#N/A,#N/A,FALSE,"Co F";#N/A,#N/A,FALSE,"Co G";#N/A,#N/A,FALSE,"Co H";#N/A,#N/A,FALSE,"Co I";#N/A,#N/A,FALSE,"Co J";#N/A,#N/A,FALSE,"Co K";#N/A,#N/A,FALSE,"Co L";#N/A,#N/A,FALSE,"Co M";#N/A,#N/A,FALSE,"Co N";#N/A,#N/A,FALSE,"Co O"}</definedName>
    <definedName name="wrn.full." localSheetId="13" hidden="1">{#N/A,#N/A,FALSE,"Cover";#N/A,#N/A,FALSE,"Outputs";#N/A,#N/A,FALSE,"Control (In)";#N/A,#N/A,FALSE,"Tesco";#N/A,#N/A,FALSE,"Sainsbury";#N/A,#N/A,FALSE,"Carrefour";#N/A,#N/A,FALSE,"Co D";#N/A,#N/A,FALSE,"Co E";#N/A,#N/A,FALSE,"Co F";#N/A,#N/A,FALSE,"Co G";#N/A,#N/A,FALSE,"Co H";#N/A,#N/A,FALSE,"Co I";#N/A,#N/A,FALSE,"Co J";#N/A,#N/A,FALSE,"Co K";#N/A,#N/A,FALSE,"Co L";#N/A,#N/A,FALSE,"Co M";#N/A,#N/A,FALSE,"Co N";#N/A,#N/A,FALSE,"Co O"}</definedName>
    <definedName name="wrn.full." hidden="1">{#N/A,#N/A,FALSE,"Cover";#N/A,#N/A,FALSE,"Outputs";#N/A,#N/A,FALSE,"Control (In)";#N/A,#N/A,FALSE,"Tesco";#N/A,#N/A,FALSE,"Sainsbury";#N/A,#N/A,FALSE,"Carrefour";#N/A,#N/A,FALSE,"Co D";#N/A,#N/A,FALSE,"Co E";#N/A,#N/A,FALSE,"Co F";#N/A,#N/A,FALSE,"Co G";#N/A,#N/A,FALSE,"Co H";#N/A,#N/A,FALSE,"Co I";#N/A,#N/A,FALSE,"Co J";#N/A,#N/A,FALSE,"Co K";#N/A,#N/A,FALSE,"Co L";#N/A,#N/A,FALSE,"Co M";#N/A,#N/A,FALSE,"Co N";#N/A,#N/A,FALSE,"Co O"}</definedName>
    <definedName name="wrn.Full._.Report." localSheetId="11" hidden="1">{#N/A,#N/A,TRUE,"Income Statement";#N/A,#N/A,TRUE,"Gas Assumptions";#N/A,#N/A,TRUE,"DCF";#N/A,#N/A,TRUE,"Depreciation Matrix";#N/A,#N/A,TRUE,"Matrix";#N/A,#N/A,TRUE,"Matrix_Perpetuity"}</definedName>
    <definedName name="wrn.Full._.Report." localSheetId="15" hidden="1">{#N/A,#N/A,TRUE,"Income Statement";#N/A,#N/A,TRUE,"Gas Assumptions";#N/A,#N/A,TRUE,"DCF";#N/A,#N/A,TRUE,"Depreciation Matrix";#N/A,#N/A,TRUE,"Matrix";#N/A,#N/A,TRUE,"Matrix_Perpetuity"}</definedName>
    <definedName name="wrn.Full._.Report." localSheetId="18" hidden="1">{#N/A,#N/A,TRUE,"Income Statement";#N/A,#N/A,TRUE,"Gas Assumptions";#N/A,#N/A,TRUE,"DCF";#N/A,#N/A,TRUE,"Depreciation Matrix";#N/A,#N/A,TRUE,"Matrix";#N/A,#N/A,TRUE,"Matrix_Perpetuity"}</definedName>
    <definedName name="wrn.Full._.Report." localSheetId="14" hidden="1">{#N/A,#N/A,TRUE,"Income Statement";#N/A,#N/A,TRUE,"Gas Assumptions";#N/A,#N/A,TRUE,"DCF";#N/A,#N/A,TRUE,"Depreciation Matrix";#N/A,#N/A,TRUE,"Matrix";#N/A,#N/A,TRUE,"Matrix_Perpetuity"}</definedName>
    <definedName name="wrn.Full._.Report." localSheetId="12" hidden="1">{#N/A,#N/A,TRUE,"Income Statement";#N/A,#N/A,TRUE,"Gas Assumptions";#N/A,#N/A,TRUE,"DCF";#N/A,#N/A,TRUE,"Depreciation Matrix";#N/A,#N/A,TRUE,"Matrix";#N/A,#N/A,TRUE,"Matrix_Perpetuity"}</definedName>
    <definedName name="wrn.Full._.Report." localSheetId="13" hidden="1">{#N/A,#N/A,TRUE,"Income Statement";#N/A,#N/A,TRUE,"Gas Assumptions";#N/A,#N/A,TRUE,"DCF";#N/A,#N/A,TRUE,"Depreciation Matrix";#N/A,#N/A,TRUE,"Matrix";#N/A,#N/A,TRUE,"Matrix_Perpetuity"}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_1" localSheetId="18" hidden="1">{"Assumptions",#N/A,FALSE,"Sheet1";"Main Report",#N/A,FALSE,"Sheet1";"Results",#N/A,FALSE,"Sheet1";"Advances",#N/A,FALSE,"Sheet1"}</definedName>
    <definedName name="wrn.Full._.Report._1" hidden="1">{"Assumptions",#N/A,FALSE,"Sheet1";"Main Report",#N/A,FALSE,"Sheet1";"Results",#N/A,FALSE,"Sheet1";"Advances",#N/A,FALSE,"Sheet1"}</definedName>
    <definedName name="wrn.Full_Analysis_Analyst." localSheetId="18" hidden="1">{#N/A,#N/A,TRUE,"DCF Summary (2)";#N/A,#N/A,TRUE,"DCF Summary";#N/A,"Analyst Value Drivers",TRUE,"DCF"}</definedName>
    <definedName name="wrn.Full_Analysis_Analyst." hidden="1">{#N/A,#N/A,TRUE,"DCF Summary (2)";#N/A,#N/A,TRUE,"DCF Summary";#N/A,"Analyst Value Drivers",TRUE,"DCF"}</definedName>
    <definedName name="wrn.Full_Analysis_Analyst._1" localSheetId="18" hidden="1">{#N/A,#N/A,TRUE,"DCF Summary (2)";#N/A,#N/A,TRUE,"DCF Summary";#N/A,"Analyst Value Drivers",TRUE,"DCF"}</definedName>
    <definedName name="wrn.Full_Analysis_Analyst._1" hidden="1">{#N/A,#N/A,TRUE,"DCF Summary (2)";#N/A,#N/A,TRUE,"DCF Summary";#N/A,"Analyst Value Drivers",TRUE,"DCF"}</definedName>
    <definedName name="wrn.Full_Analysis_Base." localSheetId="18" hidden="1">{#N/A,#N/A,TRUE,"DCF Summary (2)";#N/A,#N/A,TRUE,"DCF Summary";#N/A,"Base Case Value Drivers",TRUE,"DCF"}</definedName>
    <definedName name="wrn.Full_Analysis_Base." hidden="1">{#N/A,#N/A,TRUE,"DCF Summary (2)";#N/A,#N/A,TRUE,"DCF Summary";#N/A,"Base Case Value Drivers",TRUE,"DCF"}</definedName>
    <definedName name="wrn.Full_Analysis_Base._1" localSheetId="18" hidden="1">{#N/A,#N/A,TRUE,"DCF Summary (2)";#N/A,#N/A,TRUE,"DCF Summary";#N/A,"Base Case Value Drivers",TRUE,"DCF"}</definedName>
    <definedName name="wrn.Full_Analysis_Base._1" hidden="1">{#N/A,#N/A,TRUE,"DCF Summary (2)";#N/A,#N/A,TRUE,"DCF Summary";#N/A,"Base Case Value Drivers",TRUE,"DCF"}</definedName>
    <definedName name="wrn.Full_Analysis_Middle." localSheetId="18" hidden="1">{#N/A,#N/A,TRUE,"DCF Summary (2)";#N/A,#N/A,TRUE,"DCF Summary";#N/A,"Middle Case Drivers",TRUE,"DCF"}</definedName>
    <definedName name="wrn.Full_Analysis_Middle." hidden="1">{#N/A,#N/A,TRUE,"DCF Summary (2)";#N/A,#N/A,TRUE,"DCF Summary";#N/A,"Middle Case Drivers",TRUE,"DCF"}</definedName>
    <definedName name="wrn.Full_Analysis_Middle._1" localSheetId="18" hidden="1">{#N/A,#N/A,TRUE,"DCF Summary (2)";#N/A,#N/A,TRUE,"DCF Summary";#N/A,"Middle Case Drivers",TRUE,"DCF"}</definedName>
    <definedName name="wrn.Full_Analysis_Middle._1" hidden="1">{#N/A,#N/A,TRUE,"DCF Summary (2)";#N/A,#N/A,TRUE,"DCF Summary";#N/A,"Middle Case Drivers",TRUE,"DCF"}</definedName>
    <definedName name="wrn.fulld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l" localSheetId="1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Y96sbp99" localSheetId="11" hidden="1">{#N/A,#N/A,FALSE,"FY97";#N/A,#N/A,FALSE,"FY98";#N/A,#N/A,FALSE,"FY99";#N/A,#N/A,FALSE,"FY00";#N/A,#N/A,FALSE,"FY01"}</definedName>
    <definedName name="wrn.FY96sbp99" localSheetId="15" hidden="1">{#N/A,#N/A,FALSE,"FY97";#N/A,#N/A,FALSE,"FY98";#N/A,#N/A,FALSE,"FY99";#N/A,#N/A,FALSE,"FY00";#N/A,#N/A,FALSE,"FY01"}</definedName>
    <definedName name="wrn.FY96sbp99" localSheetId="18" hidden="1">{#N/A,#N/A,FALSE,"FY97";#N/A,#N/A,FALSE,"FY98";#N/A,#N/A,FALSE,"FY99";#N/A,#N/A,FALSE,"FY00";#N/A,#N/A,FALSE,"FY01"}</definedName>
    <definedName name="wrn.FY96sbp99" localSheetId="14" hidden="1">{#N/A,#N/A,FALSE,"FY97";#N/A,#N/A,FALSE,"FY98";#N/A,#N/A,FALSE,"FY99";#N/A,#N/A,FALSE,"FY00";#N/A,#N/A,FALSE,"FY01"}</definedName>
    <definedName name="wrn.FY96sbp99" localSheetId="12" hidden="1">{#N/A,#N/A,FALSE,"FY97";#N/A,#N/A,FALSE,"FY98";#N/A,#N/A,FALSE,"FY99";#N/A,#N/A,FALSE,"FY00";#N/A,#N/A,FALSE,"FY01"}</definedName>
    <definedName name="wrn.FY96sbp99" localSheetId="13" hidden="1">{#N/A,#N/A,FALSE,"FY97";#N/A,#N/A,FALSE,"FY98";#N/A,#N/A,FALSE,"FY99";#N/A,#N/A,FALSE,"FY00";#N/A,#N/A,FALSE,"FY01"}</definedName>
    <definedName name="wrn.FY96sbp99" hidden="1">{#N/A,#N/A,FALSE,"FY97";#N/A,#N/A,FALSE,"FY98";#N/A,#N/A,FALSE,"FY99";#N/A,#N/A,FALSE,"FY00";#N/A,#N/A,FALSE,"FY01"}</definedName>
    <definedName name="wrn.FY97SBP." localSheetId="11" hidden="1">{#N/A,#N/A,FALSE,"FY97";#N/A,#N/A,FALSE,"FY98";#N/A,#N/A,FALSE,"FY99";#N/A,#N/A,FALSE,"FY00";#N/A,#N/A,FALSE,"FY01"}</definedName>
    <definedName name="wrn.FY97SBP." localSheetId="15" hidden="1">{#N/A,#N/A,FALSE,"FY97";#N/A,#N/A,FALSE,"FY98";#N/A,#N/A,FALSE,"FY99";#N/A,#N/A,FALSE,"FY00";#N/A,#N/A,FALSE,"FY01"}</definedName>
    <definedName name="wrn.FY97SBP." localSheetId="18" hidden="1">{#N/A,#N/A,FALSE,"FY97";#N/A,#N/A,FALSE,"FY98";#N/A,#N/A,FALSE,"FY99";#N/A,#N/A,FALSE,"FY00";#N/A,#N/A,FALSE,"FY01"}</definedName>
    <definedName name="wrn.FY97SBP." localSheetId="14" hidden="1">{#N/A,#N/A,FALSE,"FY97";#N/A,#N/A,FALSE,"FY98";#N/A,#N/A,FALSE,"FY99";#N/A,#N/A,FALSE,"FY00";#N/A,#N/A,FALSE,"FY01"}</definedName>
    <definedName name="wrn.FY97SBP." localSheetId="12" hidden="1">{#N/A,#N/A,FALSE,"FY97";#N/A,#N/A,FALSE,"FY98";#N/A,#N/A,FALSE,"FY99";#N/A,#N/A,FALSE,"FY00";#N/A,#N/A,FALSE,"FY01"}</definedName>
    <definedName name="wrn.FY97SBP." localSheetId="13" hidden="1">{#N/A,#N/A,FALSE,"FY97";#N/A,#N/A,FALSE,"FY98";#N/A,#N/A,FALSE,"FY99";#N/A,#N/A,FALSE,"FY00";#N/A,#N/A,FALSE,"FY01"}</definedName>
    <definedName name="wrn.FY97SBP." hidden="1">{#N/A,#N/A,FALSE,"FY97";#N/A,#N/A,FALSE,"FY98";#N/A,#N/A,FALSE,"FY99";#N/A,#N/A,FALSE,"FY00";#N/A,#N/A,FALSE,"FY01"}</definedName>
    <definedName name="wrn.FY97SBP2" localSheetId="11" hidden="1">{#N/A,#N/A,FALSE,"FY97";#N/A,#N/A,FALSE,"FY98";#N/A,#N/A,FALSE,"FY99";#N/A,#N/A,FALSE,"FY00";#N/A,#N/A,FALSE,"FY01"}</definedName>
    <definedName name="wrn.FY97SBP2" localSheetId="15" hidden="1">{#N/A,#N/A,FALSE,"FY97";#N/A,#N/A,FALSE,"FY98";#N/A,#N/A,FALSE,"FY99";#N/A,#N/A,FALSE,"FY00";#N/A,#N/A,FALSE,"FY01"}</definedName>
    <definedName name="wrn.FY97SBP2" localSheetId="18" hidden="1">{#N/A,#N/A,FALSE,"FY97";#N/A,#N/A,FALSE,"FY98";#N/A,#N/A,FALSE,"FY99";#N/A,#N/A,FALSE,"FY00";#N/A,#N/A,FALSE,"FY01"}</definedName>
    <definedName name="wrn.FY97SBP2" localSheetId="14" hidden="1">{#N/A,#N/A,FALSE,"FY97";#N/A,#N/A,FALSE,"FY98";#N/A,#N/A,FALSE,"FY99";#N/A,#N/A,FALSE,"FY00";#N/A,#N/A,FALSE,"FY01"}</definedName>
    <definedName name="wrn.FY97SBP2" localSheetId="12" hidden="1">{#N/A,#N/A,FALSE,"FY97";#N/A,#N/A,FALSE,"FY98";#N/A,#N/A,FALSE,"FY99";#N/A,#N/A,FALSE,"FY00";#N/A,#N/A,FALSE,"FY01"}</definedName>
    <definedName name="wrn.FY97SBP2" localSheetId="13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eographic._.Trends." localSheetId="11" hidden="1">{"Geographic P1",#N/A,FALSE,"Division &amp; Geog"}</definedName>
    <definedName name="wrn.Geographic._.Trends." localSheetId="15" hidden="1">{"Geographic P1",#N/A,FALSE,"Division &amp; Geog"}</definedName>
    <definedName name="wrn.Geographic._.Trends." localSheetId="18" hidden="1">{"Geographic P1",#N/A,FALSE,"Division &amp; Geog"}</definedName>
    <definedName name="wrn.Geographic._.Trends." localSheetId="14" hidden="1">{"Geographic P1",#N/A,FALSE,"Division &amp; Geog"}</definedName>
    <definedName name="wrn.Geographic._.Trends." localSheetId="12" hidden="1">{"Geographic P1",#N/A,FALSE,"Division &amp; Geog"}</definedName>
    <definedName name="wrn.Geographic._.Trends." localSheetId="13" hidden="1">{"Geographic P1",#N/A,FALSE,"Division &amp; Geog"}</definedName>
    <definedName name="wrn.Geographic._.Trends." hidden="1">{"Geographic P1",#N/A,FALSE,"Division &amp; Geog"}</definedName>
    <definedName name="wrn.GRAPHS." localSheetId="11" hidden="1">{#N/A,#N/A,FALSE,"ACQ_GRAPHS";#N/A,#N/A,FALSE,"T_1 GRAPHS";#N/A,#N/A,FALSE,"T_2 GRAPHS";#N/A,#N/A,FALSE,"COMB_GRAPHS"}</definedName>
    <definedName name="wrn.GRAPHS." localSheetId="15" hidden="1">{#N/A,#N/A,FALSE,"ACQ_GRAPHS";#N/A,#N/A,FALSE,"T_1 GRAPHS";#N/A,#N/A,FALSE,"T_2 GRAPHS";#N/A,#N/A,FALSE,"COMB_GRAPHS"}</definedName>
    <definedName name="wrn.GRAPHS." localSheetId="18" hidden="1">{#N/A,#N/A,FALSE,"ACQ_GRAPHS";#N/A,#N/A,FALSE,"T_1 GRAPHS";#N/A,#N/A,FALSE,"T_2 GRAPHS";#N/A,#N/A,FALSE,"COMB_GRAPHS"}</definedName>
    <definedName name="wrn.GRAPHS." localSheetId="14" hidden="1">{#N/A,#N/A,FALSE,"ACQ_GRAPHS";#N/A,#N/A,FALSE,"T_1 GRAPHS";#N/A,#N/A,FALSE,"T_2 GRAPHS";#N/A,#N/A,FALSE,"COMB_GRAPHS"}</definedName>
    <definedName name="wrn.GRAPHS." localSheetId="12" hidden="1">{#N/A,#N/A,FALSE,"ACQ_GRAPHS";#N/A,#N/A,FALSE,"T_1 GRAPHS";#N/A,#N/A,FALSE,"T_2 GRAPHS";#N/A,#N/A,FALSE,"COMB_GRAPHS"}</definedName>
    <definedName name="wrn.GRAPHS." localSheetId="13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uV." localSheetId="11" hidden="1">{#N/A,#N/A,FALSE,"Layout GuV"}</definedName>
    <definedName name="wrn.GuV." localSheetId="15" hidden="1">{#N/A,#N/A,FALSE,"Layout GuV"}</definedName>
    <definedName name="wrn.GuV." localSheetId="18" hidden="1">{#N/A,#N/A,FALSE,"Layout GuV"}</definedName>
    <definedName name="wrn.GuV." localSheetId="14" hidden="1">{#N/A,#N/A,FALSE,"Layout GuV"}</definedName>
    <definedName name="wrn.GuV." localSheetId="12" hidden="1">{#N/A,#N/A,FALSE,"Layout GuV"}</definedName>
    <definedName name="wrn.GuV." localSheetId="13" hidden="1">{#N/A,#N/A,FALSE,"Layout GuV"}</definedName>
    <definedName name="wrn.GuV." hidden="1">{#N/A,#N/A,FALSE,"Layout GuV"}</definedName>
    <definedName name="wrn.income._.statement." localSheetId="11" hidden="1">{"income statement",#N/A,FALSE,"ATLAS-A"}</definedName>
    <definedName name="wrn.income._.statement." localSheetId="15" hidden="1">{"income statement",#N/A,FALSE,"ATLAS-A"}</definedName>
    <definedName name="wrn.income._.statement." localSheetId="18" hidden="1">{"income statement",#N/A,FALSE,"ATLAS-A"}</definedName>
    <definedName name="wrn.income._.statement." localSheetId="14" hidden="1">{"income statement",#N/A,FALSE,"ATLAS-A"}</definedName>
    <definedName name="wrn.income._.statement." localSheetId="12" hidden="1">{"income statement",#N/A,FALSE,"ATLAS-A"}</definedName>
    <definedName name="wrn.income._.statement." localSheetId="13" hidden="1">{"income statement",#N/A,FALSE,"ATLAS-A"}</definedName>
    <definedName name="wrn.income._.statement." hidden="1">{"income statement",#N/A,FALSE,"ATLAS-A"}</definedName>
    <definedName name="wrn.input._.and._.output." localSheetId="18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 localSheetId="18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vestment._.Package." localSheetId="18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Package._1" localSheetId="18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Package._1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Komplettausdruck." localSheetId="11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localSheetId="15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localSheetId="18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localSheetId="14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localSheetId="12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localSheetId="13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Massimo." localSheetId="11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15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18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14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1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13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odel." localSheetId="18" hidden="1">{"toc",#N/A,FALSE,"toc";"cover1",#N/A,FALSE,"Cover";"consol1",#N/A,FALSE,"Consol";"Acq1",#N/A,FALSE,"Acquiror";"T_Consol1",#N/A,FALSE,"Target_Consol";"Primary1",#N/A,FALSE,"Primary";"Secondary2",#N/A,FALSE,"Secondary";"Sterile1",#N/A,FALSE,"Sterile";"Deprec1",#N/A,FALSE,"Deprec"}</definedName>
    <definedName name="wrn.Model." hidden="1">{"toc",#N/A,FALSE,"toc";"cover1",#N/A,FALSE,"Cover";"consol1",#N/A,FALSE,"Consol";"Acq1",#N/A,FALSE,"Acquiror";"T_Consol1",#N/A,FALSE,"Target_Consol";"Primary1",#N/A,FALSE,"Primary";"Secondary2",#N/A,FALSE,"Secondary";"Sterile1",#N/A,FALSE,"Sterile";"Deprec1",#N/A,FALSE,"Deprec"}</definedName>
    <definedName name="wrn.NACCFS." localSheetId="11" hidden="1">{"NACCFS",#N/A,FALSE,"NACC";"NACC Assumptions",#N/A,FALSE,"NACC";#N/A,#N/A,FALSE,"NACC PPE"}</definedName>
    <definedName name="wrn.NACCFS." localSheetId="15" hidden="1">{"NACCFS",#N/A,FALSE,"NACC";"NACC Assumptions",#N/A,FALSE,"NACC";#N/A,#N/A,FALSE,"NACC PPE"}</definedName>
    <definedName name="wrn.NACCFS." localSheetId="18" hidden="1">{"NACCFS",#N/A,FALSE,"NACC";"NACC Assumptions",#N/A,FALSE,"NACC";#N/A,#N/A,FALSE,"NACC PPE"}</definedName>
    <definedName name="wrn.NACCFS." localSheetId="14" hidden="1">{"NACCFS",#N/A,FALSE,"NACC";"NACC Assumptions",#N/A,FALSE,"NACC";#N/A,#N/A,FALSE,"NACC PPE"}</definedName>
    <definedName name="wrn.NACCFS." localSheetId="12" hidden="1">{"NACCFS",#N/A,FALSE,"NACC";"NACC Assumptions",#N/A,FALSE,"NACC";#N/A,#N/A,FALSE,"NACC PPE"}</definedName>
    <definedName name="wrn.NACCFS." localSheetId="13" hidden="1">{"NACCFS",#N/A,FALSE,"NACC";"NACC Assumptions",#N/A,FALSE,"NACC";#N/A,#N/A,FALSE,"NACC PPE"}</definedName>
    <definedName name="wrn.NACCFS." hidden="1">{"NACCFS",#N/A,FALSE,"NACC";"NACC Assumptions",#N/A,FALSE,"NACC";#N/A,#N/A,FALSE,"NACC PPE"}</definedName>
    <definedName name="wrn.ntfinance." localSheetId="11" hidden="1">{"Rate",#N/A,TRUE,"SUMMARY";"Ratios",#N/A,TRUE,"Ratios";"BUDGETREVENUE",#N/A,TRUE,"Revenue";"TOTALS",#N/A,TRUE,"DETAIL"}</definedName>
    <definedName name="wrn.ntfinance." localSheetId="15" hidden="1">{"Rate",#N/A,TRUE,"SUMMARY";"Ratios",#N/A,TRUE,"Ratios";"BUDGETREVENUE",#N/A,TRUE,"Revenue";"TOTALS",#N/A,TRUE,"DETAIL"}</definedName>
    <definedName name="wrn.ntfinance." localSheetId="18" hidden="1">{"Rate",#N/A,TRUE,"SUMMARY";"Ratios",#N/A,TRUE,"Ratios";"BUDGETREVENUE",#N/A,TRUE,"Revenue";"TOTALS",#N/A,TRUE,"DETAIL"}</definedName>
    <definedName name="wrn.ntfinance." localSheetId="14" hidden="1">{"Rate",#N/A,TRUE,"SUMMARY";"Ratios",#N/A,TRUE,"Ratios";"BUDGETREVENUE",#N/A,TRUE,"Revenue";"TOTALS",#N/A,TRUE,"DETAIL"}</definedName>
    <definedName name="wrn.ntfinance." localSheetId="12" hidden="1">{"Rate",#N/A,TRUE,"SUMMARY";"Ratios",#N/A,TRUE,"Ratios";"BUDGETREVENUE",#N/A,TRUE,"Revenue";"TOTALS",#N/A,TRUE,"DETAIL"}</definedName>
    <definedName name="wrn.ntfinance." localSheetId="13" hidden="1">{"Rate",#N/A,TRUE,"SUMMARY";"Ratios",#N/A,TRUE,"Ratios";"BUDGETREVENUE",#N/A,TRUE,"Revenue";"TOTALS",#N/A,TRUE,"DETAIL"}</definedName>
    <definedName name="wrn.ntfinance." hidden="1">{"Rate",#N/A,TRUE,"SUMMARY";"Ratios",#N/A,TRUE,"Ratios";"BUDGETREVENUE",#N/A,TRUE,"Revenue";"TOTALS",#N/A,TRUE,"DETAIL"}</definedName>
    <definedName name="wrn.Output." localSheetId="1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" localSheetId="1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" localSheetId="18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" localSheetId="1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" localSheetId="1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" localSheetId="1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s." localSheetId="11" hidden="1">{#N/A,#N/A,FALSE,"Outputs"}</definedName>
    <definedName name="wrn.outputs." localSheetId="15" hidden="1">{#N/A,#N/A,FALSE,"Outputs"}</definedName>
    <definedName name="wrn.outputs." localSheetId="18" hidden="1">{#N/A,#N/A,FALSE,"Outputs"}</definedName>
    <definedName name="wrn.outputs." localSheetId="14" hidden="1">{#N/A,#N/A,FALSE,"Outputs"}</definedName>
    <definedName name="wrn.outputs." localSheetId="12" hidden="1">{#N/A,#N/A,FALSE,"Outputs"}</definedName>
    <definedName name="wrn.outputs." localSheetId="13" hidden="1">{#N/A,#N/A,FALSE,"Outputs"}</definedName>
    <definedName name="wrn.outputs." hidden="1">{#N/A,#N/A,FALSE,"Outputs"}</definedName>
    <definedName name="wrn.P100B" localSheetId="18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100B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100B1" localSheetId="18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100B1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100B2" localSheetId="18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100B2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78A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78A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78a1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78a1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78A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78A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." localSheetId="18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.2" localSheetId="18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.2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A." localSheetId="18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wrn.P98A.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wrn.p98a.1" localSheetId="18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wrn.p98a.1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wrn.P98A.2" localSheetId="18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wrn.P98A.2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wrn.P98B.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B.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b.1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b.1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B.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B.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C." localSheetId="18" hidden="1">{#N/A,#N/A,FALSE,"DETOFWAG";#N/A,#N/A,FALSE,"Sheet4";#N/A,#N/A,FALSE,"Sheet5";#N/A,#N/A,FALSE,"Sheet6";#N/A,#N/A,FALSE,"Sheet7";#N/A,#N/A,FALSE,"Sheet8";#N/A,#N/A,FALSE,"Sheet9";#N/A,#N/A,FALSE,"Sheet10";#N/A,#N/A,FALSE,"Sheet11";#N/A,#N/A,FALSE,"Sheet17";#N/A,#N/A,FALSE,"Sheet17";#N/A,#N/A,FALSE,"Sheet13";#N/A,#N/A,FALSE,"Sheet14";#N/A,#N/A,FALSE,"Sheet15";#N/A,#N/A,FALSE,"Sheet16"}</definedName>
    <definedName name="wrn.P98C." hidden="1">{#N/A,#N/A,FALSE,"DETOFWAG";#N/A,#N/A,FALSE,"Sheet4";#N/A,#N/A,FALSE,"Sheet5";#N/A,#N/A,FALSE,"Sheet6";#N/A,#N/A,FALSE,"Sheet7";#N/A,#N/A,FALSE,"Sheet8";#N/A,#N/A,FALSE,"Sheet9";#N/A,#N/A,FALSE,"Sheet10";#N/A,#N/A,FALSE,"Sheet11";#N/A,#N/A,FALSE,"Sheet17";#N/A,#N/A,FALSE,"Sheet17";#N/A,#N/A,FALSE,"Sheet13";#N/A,#N/A,FALSE,"Sheet14";#N/A,#N/A,FALSE,"Sheet15";#N/A,#N/A,FALSE,"Sheet16"}</definedName>
    <definedName name="wrn.P98C.2" localSheetId="18" hidden="1">{#N/A,#N/A,FALSE,"DETOFWAG";#N/A,#N/A,FALSE,"Sheet4";#N/A,#N/A,FALSE,"Sheet5";#N/A,#N/A,FALSE,"Sheet6";#N/A,#N/A,FALSE,"Sheet7";#N/A,#N/A,FALSE,"Sheet8";#N/A,#N/A,FALSE,"Sheet9";#N/A,#N/A,FALSE,"Sheet10";#N/A,#N/A,FALSE,"Sheet11";#N/A,#N/A,FALSE,"Sheet17";#N/A,#N/A,FALSE,"Sheet17";#N/A,#N/A,FALSE,"Sheet13";#N/A,#N/A,FALSE,"Sheet14";#N/A,#N/A,FALSE,"Sheet15";#N/A,#N/A,FALSE,"Sheet16"}</definedName>
    <definedName name="wrn.P98C.2" hidden="1">{#N/A,#N/A,FALSE,"DETOFWAG";#N/A,#N/A,FALSE,"Sheet4";#N/A,#N/A,FALSE,"Sheet5";#N/A,#N/A,FALSE,"Sheet6";#N/A,#N/A,FALSE,"Sheet7";#N/A,#N/A,FALSE,"Sheet8";#N/A,#N/A,FALSE,"Sheet9";#N/A,#N/A,FALSE,"Sheet10";#N/A,#N/A,FALSE,"Sheet11";#N/A,#N/A,FALSE,"Sheet17";#N/A,#N/A,FALSE,"Sheet17";#N/A,#N/A,FALSE,"Sheet13";#N/A,#N/A,FALSE,"Sheet14";#N/A,#N/A,FALSE,"Sheet15";#N/A,#N/A,FALSE,"Sheet16"}</definedName>
    <definedName name="wrn.p98C1." localSheetId="18" hidden="1">{#N/A,#N/A,FALSE,"DETOFWAG";#N/A,#N/A,FALSE,"Sheet4";#N/A,#N/A,FALSE,"Sheet5";#N/A,#N/A,FALSE,"Sheet6";#N/A,#N/A,FALSE,"Sheet7";#N/A,#N/A,FALSE,"Sheet8";#N/A,#N/A,FALSE,"Sheet9";#N/A,#N/A,FALSE,"Sheet10";#N/A,#N/A,FALSE,"Sheet11";#N/A,#N/A,FALSE,"Sheet17";#N/A,#N/A,FALSE,"Sheet17";#N/A,#N/A,FALSE,"Sheet13";#N/A,#N/A,FALSE,"Sheet14";#N/A,#N/A,FALSE,"Sheet15";#N/A,#N/A,FALSE,"Sheet16"}</definedName>
    <definedName name="wrn.p98C1." hidden="1">{#N/A,#N/A,FALSE,"DETOFWAG";#N/A,#N/A,FALSE,"Sheet4";#N/A,#N/A,FALSE,"Sheet5";#N/A,#N/A,FALSE,"Sheet6";#N/A,#N/A,FALSE,"Sheet7";#N/A,#N/A,FALSE,"Sheet8";#N/A,#N/A,FALSE,"Sheet9";#N/A,#N/A,FALSE,"Sheet10";#N/A,#N/A,FALSE,"Sheet11";#N/A,#N/A,FALSE,"Sheet17";#N/A,#N/A,FALSE,"Sheet17";#N/A,#N/A,FALSE,"Sheet13";#N/A,#N/A,FALSE,"Sheet14";#N/A,#N/A,FALSE,"Sheet15";#N/A,#N/A,FALSE,"Sheet16"}</definedName>
    <definedName name="wrn.P98D." localSheetId="18" hidden="1">{#N/A,#N/A,FALSE,"Sheet1";#N/A,#N/A,FALSE,"Sheet2";#N/A,#N/A,FALSE,"Sheet3";#N/A,#N/A,FALSE,"Sheet4";#N/A,#N/A,FALSE,"Sheet5";#N/A,#N/A,FALSE,"Sheet6";#N/A,#N/A,FALSE,"ANNE-A";#N/A,#N/A,FALSE,"P - A-1";#N/A,#N/A,FALSE,"P - A-2";#N/A,#N/A,FALSE,"ANNE-B";#N/A,#N/A,FALSE,"ANNE-E";#N/A,#N/A,FALSE,"ANNE-C1";#N/A,#N/A,FALSE,"ANNE-C";#N/A,#N/A,FALSE,"ANNE-D"}</definedName>
    <definedName name="wrn.P98D." hidden="1">{#N/A,#N/A,FALSE,"Sheet1";#N/A,#N/A,FALSE,"Sheet2";#N/A,#N/A,FALSE,"Sheet3";#N/A,#N/A,FALSE,"Sheet4";#N/A,#N/A,FALSE,"Sheet5";#N/A,#N/A,FALSE,"Sheet6";#N/A,#N/A,FALSE,"ANNE-A";#N/A,#N/A,FALSE,"P - A-1";#N/A,#N/A,FALSE,"P - A-2";#N/A,#N/A,FALSE,"ANNE-B";#N/A,#N/A,FALSE,"ANNE-E";#N/A,#N/A,FALSE,"ANNE-C1";#N/A,#N/A,FALSE,"ANNE-C";#N/A,#N/A,FALSE,"ANNE-D"}</definedName>
    <definedName name="wrn.p98D.1" localSheetId="18" hidden="1">{#N/A,#N/A,FALSE,"Sheet1";#N/A,#N/A,FALSE,"Sheet2";#N/A,#N/A,FALSE,"Sheet3";#N/A,#N/A,FALSE,"Sheet4";#N/A,#N/A,FALSE,"Sheet5";#N/A,#N/A,FALSE,"Sheet6";#N/A,#N/A,FALSE,"ANNE-A";#N/A,#N/A,FALSE,"P - A-1";#N/A,#N/A,FALSE,"P - A-2";#N/A,#N/A,FALSE,"ANNE-B";#N/A,#N/A,FALSE,"ANNE-E";#N/A,#N/A,FALSE,"ANNE-C1";#N/A,#N/A,FALSE,"ANNE-C";#N/A,#N/A,FALSE,"ANNE-D"}</definedName>
    <definedName name="wrn.p98D.1" hidden="1">{#N/A,#N/A,FALSE,"Sheet1";#N/A,#N/A,FALSE,"Sheet2";#N/A,#N/A,FALSE,"Sheet3";#N/A,#N/A,FALSE,"Sheet4";#N/A,#N/A,FALSE,"Sheet5";#N/A,#N/A,FALSE,"Sheet6";#N/A,#N/A,FALSE,"ANNE-A";#N/A,#N/A,FALSE,"P - A-1";#N/A,#N/A,FALSE,"P - A-2";#N/A,#N/A,FALSE,"ANNE-B";#N/A,#N/A,FALSE,"ANNE-E";#N/A,#N/A,FALSE,"ANNE-C1";#N/A,#N/A,FALSE,"ANNE-C";#N/A,#N/A,FALSE,"ANNE-D"}</definedName>
    <definedName name="wrn.P98D.2" localSheetId="18" hidden="1">{#N/A,#N/A,FALSE,"Sheet1";#N/A,#N/A,FALSE,"Sheet2";#N/A,#N/A,FALSE,"Sheet3";#N/A,#N/A,FALSE,"Sheet4";#N/A,#N/A,FALSE,"Sheet5";#N/A,#N/A,FALSE,"Sheet6";#N/A,#N/A,FALSE,"ANNE-A";#N/A,#N/A,FALSE,"P - A-1";#N/A,#N/A,FALSE,"P - A-2";#N/A,#N/A,FALSE,"ANNE-B";#N/A,#N/A,FALSE,"ANNE-E";#N/A,#N/A,FALSE,"ANNE-C1";#N/A,#N/A,FALSE,"ANNE-C";#N/A,#N/A,FALSE,"ANNE-D"}</definedName>
    <definedName name="wrn.P98D.2" hidden="1">{#N/A,#N/A,FALSE,"Sheet1";#N/A,#N/A,FALSE,"Sheet2";#N/A,#N/A,FALSE,"Sheet3";#N/A,#N/A,FALSE,"Sheet4";#N/A,#N/A,FALSE,"Sheet5";#N/A,#N/A,FALSE,"Sheet6";#N/A,#N/A,FALSE,"ANNE-A";#N/A,#N/A,FALSE,"P - A-1";#N/A,#N/A,FALSE,"P - A-2";#N/A,#N/A,FALSE,"ANNE-B";#N/A,#N/A,FALSE,"ANNE-E";#N/A,#N/A,FALSE,"ANNE-C1";#N/A,#N/A,FALSE,"ANNE-C";#N/A,#N/A,FALSE,"ANNE-D"}</definedName>
    <definedName name="wrn.P99B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9B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9B1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9B1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9B2" localSheetId="18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9B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iping." localSheetId="18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L." localSheetId="18" hidden="1">{#N/A,#N/A,FALSE,"PCPL9899"}</definedName>
    <definedName name="wrn.PL." hidden="1">{#N/A,#N/A,FALSE,"PCPL9899"}</definedName>
    <definedName name="wrn.PLBL." localSheetId="18" hidden="1">{#N/A,#N/A,FALSE,"PCPL9899"}</definedName>
    <definedName name="wrn.PLBL." hidden="1">{#N/A,#N/A,FALSE,"PCPL9899"}</definedName>
    <definedName name="wrn.PLBLSIGN." localSheetId="18" hidden="1">{#N/A,#N/A,FALSE,"PCPL9899"}</definedName>
    <definedName name="wrn.PLBLSIGN." hidden="1">{#N/A,#N/A,FALSE,"PCPL9899"}</definedName>
    <definedName name="wrn.print" localSheetId="11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 localSheetId="15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 localSheetId="18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 localSheetId="14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 localSheetId="12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 localSheetId="13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11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15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18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14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12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13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_.24.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localSheetId="18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Forecast." localSheetId="18" hidden="1">{"2004 Inc For",#N/A,FALSE,"2004 Income-Forecast";"2004 Bal For",#N/A,FALSE,"2004 Bal Sheet Forecast";"2004 Cash For",#N/A,FALSE,"2004 Forecast Cash Flow";"2004 Wells For",#N/A,FALSE,"Wells Fargo Covnts Forecast"}</definedName>
    <definedName name="wrn.Print._.Forecast." hidden="1">{"2004 Inc For",#N/A,FALSE,"2004 Income-Forecast";"2004 Bal For",#N/A,FALSE,"2004 Bal Sheet Forecast";"2004 Cash For",#N/A,FALSE,"2004 Forecast Cash Flow";"2004 Wells For",#N/A,FALSE,"Wells Fargo Covnts Forecast"}</definedName>
    <definedName name="wrn.print._.graphs." localSheetId="11" hidden="1">{"cap_structure",#N/A,FALSE,"Graph-Mkt Cap";"price",#N/A,FALSE,"Graph-Price";"ebit",#N/A,FALSE,"Graph-EBITDA";"ebitda",#N/A,FALSE,"Graph-EBITDA"}</definedName>
    <definedName name="wrn.print._.graphs." localSheetId="15" hidden="1">{"cap_structure",#N/A,FALSE,"Graph-Mkt Cap";"price",#N/A,FALSE,"Graph-Price";"ebit",#N/A,FALSE,"Graph-EBITDA";"ebitda",#N/A,FALSE,"Graph-EBITDA"}</definedName>
    <definedName name="wrn.print._.graphs." localSheetId="18" hidden="1">{"cap_structure",#N/A,FALSE,"Graph-Mkt Cap";"price",#N/A,FALSE,"Graph-Price";"ebit",#N/A,FALSE,"Graph-EBITDA";"ebitda",#N/A,FALSE,"Graph-EBITDA"}</definedName>
    <definedName name="wrn.print._.graphs." localSheetId="14" hidden="1">{"cap_structure",#N/A,FALSE,"Graph-Mkt Cap";"price",#N/A,FALSE,"Graph-Price";"ebit",#N/A,FALSE,"Graph-EBITDA";"ebitda",#N/A,FALSE,"Graph-EBITDA"}</definedName>
    <definedName name="wrn.print._.graphs." localSheetId="12" hidden="1">{"cap_structure",#N/A,FALSE,"Graph-Mkt Cap";"price",#N/A,FALSE,"Graph-Price";"ebit",#N/A,FALSE,"Graph-EBITDA";"ebitda",#N/A,FALSE,"Graph-EBITDA"}</definedName>
    <definedName name="wrn.print._.graphs." localSheetId="13" hidden="1">{"cap_structure",#N/A,FALSE,"Graph-Mkt Cap";"price",#N/A,FALSE,"Graph-Price";"ebit",#N/A,FALSE,"Graph-EBITDA";"ebitda",#N/A,FALSE,"Graph-EBITDA"}</definedName>
    <definedName name="wrn.print._.graphs." hidden="1">{"cap_structure",#N/A,FALSE,"Graph-Mkt Cap";"price",#N/A,FALSE,"Graph-Price";"ebit",#N/A,FALSE,"Graph-EBITDA";"ebitda",#N/A,FALSE,"Graph-EBITDA"}</definedName>
    <definedName name="wrn.print._.raw._.data._.entry." localSheetId="11" hidden="1">{"inputs raw data",#N/A,TRUE,"INPUT"}</definedName>
    <definedName name="wrn.print._.raw._.data._.entry." localSheetId="15" hidden="1">{"inputs raw data",#N/A,TRUE,"INPUT"}</definedName>
    <definedName name="wrn.print._.raw._.data._.entry." localSheetId="18" hidden="1">{"inputs raw data",#N/A,TRUE,"INPUT"}</definedName>
    <definedName name="wrn.print._.raw._.data._.entry." localSheetId="14" hidden="1">{"inputs raw data",#N/A,TRUE,"INPUT"}</definedName>
    <definedName name="wrn.print._.raw._.data._.entry." localSheetId="12" hidden="1">{"inputs raw data",#N/A,TRUE,"INPUT"}</definedName>
    <definedName name="wrn.print._.raw._.data._.entry." localSheetId="13" hidden="1">{"inputs raw data",#N/A,TRUE,"INPUT"}</definedName>
    <definedName name="wrn.print._.raw._.data._.entry." hidden="1">{"inputs raw data",#N/A,TRUE,"INPUT"}</definedName>
    <definedName name="wrn.Print._.Results._.A4." localSheetId="18" hidden="1">{"Valuation",#N/A,TRUE,"Valuation Summary";"Financial Statements",#N/A,TRUE,"Results";"Results",#N/A,TRUE,"Results";"Ratios",#N/A,TRUE,"Results"}</definedName>
    <definedName name="wrn.Print._.Results._.A4." hidden="1">{"Valuation",#N/A,TRUE,"Valuation Summary";"Financial Statements",#N/A,TRUE,"Results";"Results",#N/A,TRUE,"Results";"Ratios",#N/A,TRUE,"Results"}</definedName>
    <definedName name="wrn.Print._.Results._.Letter." localSheetId="18" hidden="1">{"Valuation Letter",#N/A,TRUE,"Valuation Summary";"Financial Statements Letter",#N/A,TRUE,"Results";"Results Letter",#N/A,TRUE,"Results";"Ratios Letter",#N/A,TRUE,"Results"}</definedName>
    <definedName name="wrn.Print._.Results._.Letter." hidden="1">{"Valuation Letter",#N/A,TRUE,"Valuation Summary";"Financial Statements Letter",#N/A,TRUE,"Results";"Results Letter",#N/A,TRUE,"Results";"Ratios Letter",#N/A,TRUE,"Results"}</definedName>
    <definedName name="wrn.print._.summary._.sheets." localSheetId="11" hidden="1">{"summary1",#N/A,TRUE,"Comps";"summary2",#N/A,TRUE,"Comps";"summary3",#N/A,TRUE,"Comps"}</definedName>
    <definedName name="wrn.print._.summary._.sheets." localSheetId="15" hidden="1">{"summary1",#N/A,TRUE,"Comps";"summary2",#N/A,TRUE,"Comps";"summary3",#N/A,TRUE,"Comps"}</definedName>
    <definedName name="wrn.print._.summary._.sheets." localSheetId="18" hidden="1">{"summary1",#N/A,TRUE,"Comps";"summary2",#N/A,TRUE,"Comps";"summary3",#N/A,TRUE,"Comps"}</definedName>
    <definedName name="wrn.print._.summary._.sheets." localSheetId="14" hidden="1">{"summary1",#N/A,TRUE,"Comps";"summary2",#N/A,TRUE,"Comps";"summary3",#N/A,TRUE,"Comps"}</definedName>
    <definedName name="wrn.print._.summary._.sheets." localSheetId="12" hidden="1">{"summary1",#N/A,TRUE,"Comps";"summary2",#N/A,TRUE,"Comps";"summary3",#N/A,TRUE,"Comps"}</definedName>
    <definedName name="wrn.print._.summary._.sheets." localSheetId="13" hidden="1">{"summary1",#N/A,TRUE,"Comps";"summary2",#N/A,TRUE,"Comps";"summary3",#N/A,TRUE,"Comps"}</definedName>
    <definedName name="wrn.print._.summary._.sheets." hidden="1">{"summary1",#N/A,TRUE,"Comps";"summary2",#N/A,TRUE,"Comps";"summary3",#N/A,TRUE,"Comps"}</definedName>
    <definedName name="wrn.Print_Buyer." localSheetId="11" hidden="1">{#N/A,"DR",FALSE,"increm pf";#N/A,"MAMSI",FALSE,"increm pf";#N/A,"MAXI",FALSE,"increm pf";#N/A,"PCAM",FALSE,"increm pf";#N/A,"PHSV",FALSE,"increm pf";#N/A,"SIE",FALSE,"increm pf"}</definedName>
    <definedName name="wrn.Print_Buyer." localSheetId="15" hidden="1">{#N/A,"DR",FALSE,"increm pf";#N/A,"MAMSI",FALSE,"increm pf";#N/A,"MAXI",FALSE,"increm pf";#N/A,"PCAM",FALSE,"increm pf";#N/A,"PHSV",FALSE,"increm pf";#N/A,"SIE",FALSE,"increm pf"}</definedName>
    <definedName name="wrn.Print_Buyer." localSheetId="18" hidden="1">{#N/A,"DR",FALSE,"increm pf";#N/A,"MAMSI",FALSE,"increm pf";#N/A,"MAXI",FALSE,"increm pf";#N/A,"PCAM",FALSE,"increm pf";#N/A,"PHSV",FALSE,"increm pf";#N/A,"SIE",FALSE,"increm pf"}</definedName>
    <definedName name="wrn.Print_Buyer." localSheetId="14" hidden="1">{#N/A,"DR",FALSE,"increm pf";#N/A,"MAMSI",FALSE,"increm pf";#N/A,"MAXI",FALSE,"increm pf";#N/A,"PCAM",FALSE,"increm pf";#N/A,"PHSV",FALSE,"increm pf";#N/A,"SIE",FALSE,"increm pf"}</definedName>
    <definedName name="wrn.Print_Buyer." localSheetId="12" hidden="1">{#N/A,"DR",FALSE,"increm pf";#N/A,"MAMSI",FALSE,"increm pf";#N/A,"MAXI",FALSE,"increm pf";#N/A,"PCAM",FALSE,"increm pf";#N/A,"PHSV",FALSE,"increm pf";#N/A,"SIE",FALSE,"increm pf"}</definedName>
    <definedName name="wrn.Print_Buyer." localSheetId="13" hidden="1">{#N/A,"DR",FALSE,"increm pf";#N/A,"MAMSI",FALSE,"increm pf";#N/A,"MAXI",FALSE,"increm pf";#N/A,"PCAM",FALSE,"increm pf";#N/A,"PHSV",FALSE,"increm pf";#N/A,"SIE",FALSE,"increm pf"}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Target." localSheetId="1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localSheetId="15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localSheetId="18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localSheetId="14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localSheetId="1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localSheetId="1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ac." localSheetId="11" hidden="1">{#N/A,#N/A,FALSE,"Op-BS";#N/A,#N/A,FALSE,"Assum";#N/A,#N/A,FALSE,"IS";#N/A,#N/A,FALSE,"Syn+Elim";#N/A,#N/A,FALSE,"BSCF";#N/A,#N/A,FALSE,"Blue_IS";#N/A,#N/A,FALSE,"Blue_BSCF";#N/A,#N/A,FALSE,"Ratings"}</definedName>
    <definedName name="wrn.printac." localSheetId="15" hidden="1">{#N/A,#N/A,FALSE,"Op-BS";#N/A,#N/A,FALSE,"Assum";#N/A,#N/A,FALSE,"IS";#N/A,#N/A,FALSE,"Syn+Elim";#N/A,#N/A,FALSE,"BSCF";#N/A,#N/A,FALSE,"Blue_IS";#N/A,#N/A,FALSE,"Blue_BSCF";#N/A,#N/A,FALSE,"Ratings"}</definedName>
    <definedName name="wrn.printac." localSheetId="18" hidden="1">{#N/A,#N/A,FALSE,"Op-BS";#N/A,#N/A,FALSE,"Assum";#N/A,#N/A,FALSE,"IS";#N/A,#N/A,FALSE,"Syn+Elim";#N/A,#N/A,FALSE,"BSCF";#N/A,#N/A,FALSE,"Blue_IS";#N/A,#N/A,FALSE,"Blue_BSCF";#N/A,#N/A,FALSE,"Ratings"}</definedName>
    <definedName name="wrn.printac." localSheetId="14" hidden="1">{#N/A,#N/A,FALSE,"Op-BS";#N/A,#N/A,FALSE,"Assum";#N/A,#N/A,FALSE,"IS";#N/A,#N/A,FALSE,"Syn+Elim";#N/A,#N/A,FALSE,"BSCF";#N/A,#N/A,FALSE,"Blue_IS";#N/A,#N/A,FALSE,"Blue_BSCF";#N/A,#N/A,FALSE,"Ratings"}</definedName>
    <definedName name="wrn.printac." localSheetId="12" hidden="1">{#N/A,#N/A,FALSE,"Op-BS";#N/A,#N/A,FALSE,"Assum";#N/A,#N/A,FALSE,"IS";#N/A,#N/A,FALSE,"Syn+Elim";#N/A,#N/A,FALSE,"BSCF";#N/A,#N/A,FALSE,"Blue_IS";#N/A,#N/A,FALSE,"Blue_BSCF";#N/A,#N/A,FALSE,"Ratings"}</definedName>
    <definedName name="wrn.printac." localSheetId="13" hidden="1">{#N/A,#N/A,FALSE,"Op-BS";#N/A,#N/A,FALSE,"Assum";#N/A,#N/A,FALSE,"IS";#N/A,#N/A,FALSE,"Syn+Elim";#N/A,#N/A,FALSE,"BSCF";#N/A,#N/A,FALSE,"Blue_IS";#N/A,#N/A,FALSE,"Blue_BSCF";#N/A,#N/A,FALSE,"Ratings"}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out." localSheetId="11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15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18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14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12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13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REP." localSheetId="11" hidden="1">{"PRINTREP",#N/A,FALSE,"Sheet1"}</definedName>
    <definedName name="wrn.PRINTREP." localSheetId="15" hidden="1">{"PRINTREP",#N/A,FALSE,"Sheet1"}</definedName>
    <definedName name="wrn.PRINTREP." localSheetId="18" hidden="1">{"PRINTREP",#N/A,FALSE,"Sheet1"}</definedName>
    <definedName name="wrn.PRINTREP." localSheetId="14" hidden="1">{"PRINTREP",#N/A,FALSE,"Sheet1"}</definedName>
    <definedName name="wrn.PRINTREP." localSheetId="12" hidden="1">{"PRINTREP",#N/A,FALSE,"Sheet1"}</definedName>
    <definedName name="wrn.PRINTREP." localSheetId="13" hidden="1">{"PRINTREP",#N/A,FALSE,"Sheet1"}</definedName>
    <definedName name="wrn.PRINTREP." hidden="1">{"PRINTREP",#N/A,FALSE,"Sheet1"}</definedName>
    <definedName name="wrn.RCC." localSheetId="18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localSheetId="18" hidden="1">{#N/A,#N/A,FALSE,"COVER.XLS";#N/A,#N/A,FALSE,"RACT1.XLS";#N/A,#N/A,FALSE,"RACT2.XLS";#N/A,#N/A,FALSE,"ECCMP";#N/A,#N/A,FALSE,"WELDER.XLS"}</definedName>
    <definedName name="wrn.report." hidden="1">{#N/A,#N/A,FALSE,"COVER.XLS";#N/A,#N/A,FALSE,"RACT1.XLS";#N/A,#N/A,FALSE,"RACT2.XLS";#N/A,#N/A,FALSE,"ECCMP";#N/A,#N/A,FALSE,"WELDER.XLS"}</definedName>
    <definedName name="wrn.Report._.2." localSheetId="11" hidden="1">{#N/A,#N/A,TRUE,"Pivots-Employee";#N/A,"Scenerio2",TRUE,"Assumptions Summary"}</definedName>
    <definedName name="wrn.Report._.2." localSheetId="15" hidden="1">{#N/A,#N/A,TRUE,"Pivots-Employee";#N/A,"Scenerio2",TRUE,"Assumptions Summary"}</definedName>
    <definedName name="wrn.Report._.2." localSheetId="18" hidden="1">{#N/A,#N/A,TRUE,"Pivots-Employee";#N/A,"Scenerio2",TRUE,"Assumptions Summary"}</definedName>
    <definedName name="wrn.Report._.2." localSheetId="14" hidden="1">{#N/A,#N/A,TRUE,"Pivots-Employee";#N/A,"Scenerio2",TRUE,"Assumptions Summary"}</definedName>
    <definedName name="wrn.Report._.2." localSheetId="12" hidden="1">{#N/A,#N/A,TRUE,"Pivots-Employee";#N/A,"Scenerio2",TRUE,"Assumptions Summary"}</definedName>
    <definedName name="wrn.Report._.2." localSheetId="13" hidden="1">{#N/A,#N/A,TRUE,"Pivots-Employee";#N/A,"Scenerio2",TRUE,"Assumptions Summary"}</definedName>
    <definedName name="wrn.Report._.2." hidden="1">{#N/A,#N/A,TRUE,"Pivots-Employee";#N/A,"Scenerio2",TRUE,"Assumptions Summary"}</definedName>
    <definedName name="wrn.Report1." localSheetId="11" hidden="1">{#N/A,#N/A,FALSE,"IS";#N/A,#N/A,FALSE,"BS";#N/A,#N/A,FALSE,"CF";#N/A,#N/A,FALSE,"CE";#N/A,#N/A,FALSE,"Depr";#N/A,#N/A,FALSE,"APAL"}</definedName>
    <definedName name="wrn.Report1." localSheetId="15" hidden="1">{#N/A,#N/A,FALSE,"IS";#N/A,#N/A,FALSE,"BS";#N/A,#N/A,FALSE,"CF";#N/A,#N/A,FALSE,"CE";#N/A,#N/A,FALSE,"Depr";#N/A,#N/A,FALSE,"APAL"}</definedName>
    <definedName name="wrn.Report1." localSheetId="18" hidden="1">{#N/A,#N/A,FALSE,"IS";#N/A,#N/A,FALSE,"BS";#N/A,#N/A,FALSE,"CF";#N/A,#N/A,FALSE,"CE";#N/A,#N/A,FALSE,"Depr";#N/A,#N/A,FALSE,"APAL"}</definedName>
    <definedName name="wrn.Report1." localSheetId="14" hidden="1">{#N/A,#N/A,FALSE,"IS";#N/A,#N/A,FALSE,"BS";#N/A,#N/A,FALSE,"CF";#N/A,#N/A,FALSE,"CE";#N/A,#N/A,FALSE,"Depr";#N/A,#N/A,FALSE,"APAL"}</definedName>
    <definedName name="wrn.Report1." localSheetId="12" hidden="1">{#N/A,#N/A,FALSE,"IS";#N/A,#N/A,FALSE,"BS";#N/A,#N/A,FALSE,"CF";#N/A,#N/A,FALSE,"CE";#N/A,#N/A,FALSE,"Depr";#N/A,#N/A,FALSE,"APAL"}</definedName>
    <definedName name="wrn.Report1." localSheetId="13" hidden="1">{#N/A,#N/A,FALSE,"IS";#N/A,#N/A,FALSE,"BS";#N/A,#N/A,FALSE,"CF";#N/A,#N/A,FALSE,"CE";#N/A,#N/A,FALSE,"Depr";#N/A,#N/A,FALSE,"APAL"}</definedName>
    <definedName name="wrn.Report1." hidden="1">{#N/A,#N/A,FALSE,"IS";#N/A,#N/A,FALSE,"BS";#N/A,#N/A,FALSE,"CF";#N/A,#N/A,FALSE,"CE";#N/A,#N/A,FALSE,"Depr";#N/A,#N/A,FALSE,"APAL"}</definedName>
    <definedName name="wrn.results." localSheetId="11" hidden="1">{#N/A,#N/A,TRUE,"BALSCH";#N/A,#N/A,TRUE,"COMICRO";#N/A,#N/A,TRUE,"CHECKS";#N/A,#N/A,TRUE,"GLASS";#N/A,#N/A,TRUE,"DEPRE";#N/A,#N/A,TRUE,"A&amp;MCUR";#N/A,#N/A,TRUE,"AGEANAlysis";#N/A,#N/A,TRUE,"CHECKS"}</definedName>
    <definedName name="wrn.results." localSheetId="15" hidden="1">{#N/A,#N/A,TRUE,"BALSCH";#N/A,#N/A,TRUE,"COMICRO";#N/A,#N/A,TRUE,"CHECKS";#N/A,#N/A,TRUE,"GLASS";#N/A,#N/A,TRUE,"DEPRE";#N/A,#N/A,TRUE,"A&amp;MCUR";#N/A,#N/A,TRUE,"AGEANAlysis";#N/A,#N/A,TRUE,"CHECKS"}</definedName>
    <definedName name="wrn.results." localSheetId="18" hidden="1">{#N/A,#N/A,TRUE,"BALSCH";#N/A,#N/A,TRUE,"COMICRO";#N/A,#N/A,TRUE,"CHECKS";#N/A,#N/A,TRUE,"GLASS";#N/A,#N/A,TRUE,"DEPRE";#N/A,#N/A,TRUE,"A&amp;MCUR";#N/A,#N/A,TRUE,"AGEANAlysis";#N/A,#N/A,TRUE,"CHECKS"}</definedName>
    <definedName name="wrn.results." localSheetId="14" hidden="1">{#N/A,#N/A,TRUE,"BALSCH";#N/A,#N/A,TRUE,"COMICRO";#N/A,#N/A,TRUE,"CHECKS";#N/A,#N/A,TRUE,"GLASS";#N/A,#N/A,TRUE,"DEPRE";#N/A,#N/A,TRUE,"A&amp;MCUR";#N/A,#N/A,TRUE,"AGEANAlysis";#N/A,#N/A,TRUE,"CHECKS"}</definedName>
    <definedName name="wrn.results." localSheetId="12" hidden="1">{#N/A,#N/A,TRUE,"BALSCH";#N/A,#N/A,TRUE,"COMICRO";#N/A,#N/A,TRUE,"CHECKS";#N/A,#N/A,TRUE,"GLASS";#N/A,#N/A,TRUE,"DEPRE";#N/A,#N/A,TRUE,"A&amp;MCUR";#N/A,#N/A,TRUE,"AGEANAlysis";#N/A,#N/A,TRUE,"CHECKS"}</definedName>
    <definedName name="wrn.results." localSheetId="13" hidden="1">{#N/A,#N/A,TRUE,"BALSCH";#N/A,#N/A,TRUE,"COMICRO";#N/A,#N/A,TRUE,"CHECKS";#N/A,#N/A,TRUE,"GLASS";#N/A,#N/A,TRUE,"DEPRE";#N/A,#N/A,TRUE,"A&amp;MCUR";#N/A,#N/A,TRUE,"AGEANAlysis";#N/A,#N/A,TRUE,"CHECKS"}</definedName>
    <definedName name="wrn.results." hidden="1">{#N/A,#N/A,TRUE,"BALSCH";#N/A,#N/A,TRUE,"COMICRO";#N/A,#N/A,TRUE,"CHECKS";#N/A,#N/A,TRUE,"GLASS";#N/A,#N/A,TRUE,"DEPRE";#N/A,#N/A,TRUE,"A&amp;MCUR";#N/A,#N/A,TRUE,"AGEANAlysis";#N/A,#N/A,TRUE,"CHECKS"}</definedName>
    <definedName name="wrn.RPLINS." localSheetId="18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ales." localSheetId="11" hidden="1">{"sales",#N/A,FALSE,"Sales";"sales existing",#N/A,FALSE,"Sales";"sales rd1",#N/A,FALSE,"Sales";"sales rd2",#N/A,FALSE,"Sales"}</definedName>
    <definedName name="wrn.sales." localSheetId="15" hidden="1">{"sales",#N/A,FALSE,"Sales";"sales existing",#N/A,FALSE,"Sales";"sales rd1",#N/A,FALSE,"Sales";"sales rd2",#N/A,FALSE,"Sales"}</definedName>
    <definedName name="wrn.sales." localSheetId="18" hidden="1">{"sales",#N/A,FALSE,"Sales";"sales existing",#N/A,FALSE,"Sales";"sales rd1",#N/A,FALSE,"Sales";"sales rd2",#N/A,FALSE,"Sales"}</definedName>
    <definedName name="wrn.sales." localSheetId="14" hidden="1">{"sales",#N/A,FALSE,"Sales";"sales existing",#N/A,FALSE,"Sales";"sales rd1",#N/A,FALSE,"Sales";"sales rd2",#N/A,FALSE,"Sales"}</definedName>
    <definedName name="wrn.sales." localSheetId="12" hidden="1">{"sales",#N/A,FALSE,"Sales";"sales existing",#N/A,FALSE,"Sales";"sales rd1",#N/A,FALSE,"Sales";"sales rd2",#N/A,FALSE,"Sales"}</definedName>
    <definedName name="wrn.sales." localSheetId="13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CHEDULE_F." localSheetId="18" hidden="1">{#N/A,#N/A,FALSE,"SCHDULE F"}</definedName>
    <definedName name="wrn.SCHEDULE_F." hidden="1">{#N/A,#N/A,FALSE,"SCHDULE F"}</definedName>
    <definedName name="wrn.SCHEDULE_M." localSheetId="18" hidden="1">{#N/A,#N/A,FALSE,"SCHEDULE M"}</definedName>
    <definedName name="wrn.SCHEDULE_M." hidden="1">{#N/A,#N/A,FALSE,"SCHEDULE M"}</definedName>
    <definedName name="wrn.SCHEDULES." localSheetId="18" hidden="1">{#N/A,#N/A,FALSE,"BALSHEET"}</definedName>
    <definedName name="wrn.SCHEDULES." hidden="1">{#N/A,#N/A,FALSE,"BALSHEET"}</definedName>
    <definedName name="wrn.SIGNS." localSheetId="18" hidden="1">{#N/A,#N/A,FALSE,"PCPL9899"}</definedName>
    <definedName name="wrn.SIGNS." hidden="1">{#N/A,#N/A,FALSE,"PCPL9899"}</definedName>
    <definedName name="wrn.STAND_ALONE_BOTH." localSheetId="11" hidden="1">{"FCB_ALL",#N/A,FALSE,"FCB";"GREY_ALL",#N/A,FALSE,"GREY"}</definedName>
    <definedName name="wrn.STAND_ALONE_BOTH." localSheetId="15" hidden="1">{"FCB_ALL",#N/A,FALSE,"FCB";"GREY_ALL",#N/A,FALSE,"GREY"}</definedName>
    <definedName name="wrn.STAND_ALONE_BOTH." localSheetId="18" hidden="1">{"FCB_ALL",#N/A,FALSE,"FCB";"GREY_ALL",#N/A,FALSE,"GREY"}</definedName>
    <definedName name="wrn.STAND_ALONE_BOTH." localSheetId="14" hidden="1">{"FCB_ALL",#N/A,FALSE,"FCB";"GREY_ALL",#N/A,FALSE,"GREY"}</definedName>
    <definedName name="wrn.STAND_ALONE_BOTH." localSheetId="12" hidden="1">{"FCB_ALL",#N/A,FALSE,"FCB";"GREY_ALL",#N/A,FALSE,"GREY"}</definedName>
    <definedName name="wrn.STAND_ALONE_BOTH." localSheetId="13" hidden="1">{"FCB_ALL",#N/A,FALSE,"FCB";"GREY_ALL",#N/A,FALSE,"GREY"}</definedName>
    <definedName name="wrn.STAND_ALONE_BOTH." hidden="1">{"FCB_ALL",#N/A,FALSE,"FCB";"GREY_ALL",#N/A,FALSE,"GREY"}</definedName>
    <definedName name="wrn.summaries." localSheetId="11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 localSheetId="15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 localSheetId="18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 localSheetId="14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 localSheetId="12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 localSheetId="13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localSheetId="18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est." localSheetId="11" hidden="1">{"test2",#N/A,TRUE,"Prices"}</definedName>
    <definedName name="wrn.test." localSheetId="15" hidden="1">{"test2",#N/A,TRUE,"Prices"}</definedName>
    <definedName name="wrn.test." localSheetId="18" hidden="1">{"test2",#N/A,TRUE,"Prices"}</definedName>
    <definedName name="wrn.test." localSheetId="14" hidden="1">{"test2",#N/A,TRUE,"Prices"}</definedName>
    <definedName name="wrn.test." localSheetId="12" hidden="1">{"test2",#N/A,TRUE,"Prices"}</definedName>
    <definedName name="wrn.test." localSheetId="13" hidden="1">{"test2",#N/A,TRUE,"Prices"}</definedName>
    <definedName name="wrn.test." hidden="1">{"test2",#N/A,TRUE,"Prices"}</definedName>
    <definedName name="wrn.Test._.REport." localSheetId="18" hidden="1">{"Test View",#N/A,FALSE,"Detail"}</definedName>
    <definedName name="wrn.Test._.REport." hidden="1">{"Test View",#N/A,FALSE,"Detail"}</definedName>
    <definedName name="wrn.Test._.REport._1" localSheetId="18" hidden="1">{"Test View",#N/A,FALSE,"Detail"}</definedName>
    <definedName name="wrn.Test._.REport._1" hidden="1">{"Test View",#N/A,FALSE,"Detail"}</definedName>
    <definedName name="wrn.Tout._.Sauf._.BG." localSheetId="11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localSheetId="15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localSheetId="18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localSheetId="14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localSheetId="12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localSheetId="13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yphoon." localSheetId="11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" localSheetId="15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" localSheetId="18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" localSheetId="14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" localSheetId="12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" localSheetId="13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upstairs." localSheetId="11" hidden="1">{"histincome",#N/A,FALSE,"hyfins";"closing balance",#N/A,FALSE,"hyfins"}</definedName>
    <definedName name="wrn.upstairs." localSheetId="15" hidden="1">{"histincome",#N/A,FALSE,"hyfins";"closing balance",#N/A,FALSE,"hyfins"}</definedName>
    <definedName name="wrn.upstairs." localSheetId="18" hidden="1">{"histincome",#N/A,FALSE,"hyfins";"closing balance",#N/A,FALSE,"hyfins"}</definedName>
    <definedName name="wrn.upstairs." localSheetId="14" hidden="1">{"histincome",#N/A,FALSE,"hyfins";"closing balance",#N/A,FALSE,"hyfins"}</definedName>
    <definedName name="wrn.upstairs." localSheetId="12" hidden="1">{"histincome",#N/A,FALSE,"hyfins";"closing balance",#N/A,FALSE,"hyfins"}</definedName>
    <definedName name="wrn.upstairs." localSheetId="13" hidden="1">{"histincome",#N/A,FALSE,"hyfins";"closing balance",#N/A,FALSE,"hyfins"}</definedName>
    <definedName name="wrn.upstairs." hidden="1">{"histincome",#N/A,FALSE,"hyfins";"closing balance",#N/A,FALSE,"hyfins"}</definedName>
    <definedName name="wrn.VALUATION." localSheetId="11" hidden="1">{#N/A,#N/A,FALSE,"Valuation Assumptions";#N/A,#N/A,FALSE,"Summary";#N/A,#N/A,FALSE,"DCF";#N/A,#N/A,FALSE,"Valuation";#N/A,#N/A,FALSE,"WACC";#N/A,#N/A,FALSE,"UBVH";#N/A,#N/A,FALSE,"Free Cash Flow"}</definedName>
    <definedName name="wrn.VALUATION." localSheetId="15" hidden="1">{#N/A,#N/A,FALSE,"Valuation Assumptions";#N/A,#N/A,FALSE,"Summary";#N/A,#N/A,FALSE,"DCF";#N/A,#N/A,FALSE,"Valuation";#N/A,#N/A,FALSE,"WACC";#N/A,#N/A,FALSE,"UBVH";#N/A,#N/A,FALSE,"Free Cash Flow"}</definedName>
    <definedName name="wrn.VALUATION." localSheetId="18" hidden="1">{#N/A,#N/A,FALSE,"Valuation Assumptions";#N/A,#N/A,FALSE,"Summary";#N/A,#N/A,FALSE,"DCF";#N/A,#N/A,FALSE,"Valuation";#N/A,#N/A,FALSE,"WACC";#N/A,#N/A,FALSE,"UBVH";#N/A,#N/A,FALSE,"Free Cash Flow"}</definedName>
    <definedName name="wrn.VALUATION." localSheetId="14" hidden="1">{#N/A,#N/A,FALSE,"Valuation Assumptions";#N/A,#N/A,FALSE,"Summary";#N/A,#N/A,FALSE,"DCF";#N/A,#N/A,FALSE,"Valuation";#N/A,#N/A,FALSE,"WACC";#N/A,#N/A,FALSE,"UBVH";#N/A,#N/A,FALSE,"Free Cash Flow"}</definedName>
    <definedName name="wrn.VALUATION." localSheetId="12" hidden="1">{#N/A,#N/A,FALSE,"Valuation Assumptions";#N/A,#N/A,FALSE,"Summary";#N/A,#N/A,FALSE,"DCF";#N/A,#N/A,FALSE,"Valuation";#N/A,#N/A,FALSE,"WACC";#N/A,#N/A,FALSE,"UBVH";#N/A,#N/A,FALSE,"Free Cash Flow"}</definedName>
    <definedName name="wrn.VALUATION." localSheetId="13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xrates." localSheetId="11" hidden="1">{#N/A,#N/A,FALSE,"1996";#N/A,#N/A,FALSE,"1995";#N/A,#N/A,FALSE,"1994"}</definedName>
    <definedName name="wrn.xrates." localSheetId="15" hidden="1">{#N/A,#N/A,FALSE,"1996";#N/A,#N/A,FALSE,"1995";#N/A,#N/A,FALSE,"1994"}</definedName>
    <definedName name="wrn.xrates." localSheetId="18" hidden="1">{#N/A,#N/A,FALSE,"1996";#N/A,#N/A,FALSE,"1995";#N/A,#N/A,FALSE,"1994"}</definedName>
    <definedName name="wrn.xrates." localSheetId="14" hidden="1">{#N/A,#N/A,FALSE,"1996";#N/A,#N/A,FALSE,"1995";#N/A,#N/A,FALSE,"1994"}</definedName>
    <definedName name="wrn.xrates." localSheetId="12" hidden="1">{#N/A,#N/A,FALSE,"1996";#N/A,#N/A,FALSE,"1995";#N/A,#N/A,FALSE,"1994"}</definedName>
    <definedName name="wrn.xrates." localSheetId="13" hidden="1">{#N/A,#N/A,FALSE,"1996";#N/A,#N/A,FALSE,"1995";#N/A,#N/A,FALSE,"1994"}</definedName>
    <definedName name="wrn.xrates." hidden="1">{#N/A,#N/A,FALSE,"1996";#N/A,#N/A,FALSE,"1995";#N/A,#N/A,FALSE,"1994"}</definedName>
    <definedName name="wrn1.bs." localSheetId="18" hidden="1">{#N/A,#N/A,FALSE,"PCPL9899"}</definedName>
    <definedName name="wrn1.bs." hidden="1">{#N/A,#N/A,FALSE,"PCPL9899"}</definedName>
    <definedName name="wrn1.pl." localSheetId="18" hidden="1">{#N/A,#N/A,FALSE,"PCPL9899"}</definedName>
    <definedName name="wrn1.pl." hidden="1">{#N/A,#N/A,FALSE,"PCPL9899"}</definedName>
    <definedName name="wrn1.plbl." localSheetId="18" hidden="1">{#N/A,#N/A,FALSE,"PCPL9899"}</definedName>
    <definedName name="wrn1.plbl." hidden="1">{#N/A,#N/A,FALSE,"PCPL9899"}</definedName>
    <definedName name="wrn1.signs." localSheetId="18" hidden="1">{#N/A,#N/A,FALSE,"PCPL9899"}</definedName>
    <definedName name="wrn1.signs." hidden="1">{#N/A,#N/A,FALSE,"PCPL9899"}</definedName>
    <definedName name="wrn3.ALL." localSheetId="11" hidden="1">{#N/A,#N/A,FALSE,"DCF";#N/A,#N/A,FALSE,"WACC";#N/A,#N/A,FALSE,"Sales_EBIT";#N/A,#N/A,FALSE,"Capex_Depreciation";#N/A,#N/A,FALSE,"WC";#N/A,#N/A,FALSE,"Interest";#N/A,#N/A,FALSE,"Assumptions"}</definedName>
    <definedName name="wrn3.ALL." localSheetId="15" hidden="1">{#N/A,#N/A,FALSE,"DCF";#N/A,#N/A,FALSE,"WACC";#N/A,#N/A,FALSE,"Sales_EBIT";#N/A,#N/A,FALSE,"Capex_Depreciation";#N/A,#N/A,FALSE,"WC";#N/A,#N/A,FALSE,"Interest";#N/A,#N/A,FALSE,"Assumptions"}</definedName>
    <definedName name="wrn3.ALL." localSheetId="18" hidden="1">{#N/A,#N/A,FALSE,"DCF";#N/A,#N/A,FALSE,"WACC";#N/A,#N/A,FALSE,"Sales_EBIT";#N/A,#N/A,FALSE,"Capex_Depreciation";#N/A,#N/A,FALSE,"WC";#N/A,#N/A,FALSE,"Interest";#N/A,#N/A,FALSE,"Assumptions"}</definedName>
    <definedName name="wrn3.ALL." localSheetId="14" hidden="1">{#N/A,#N/A,FALSE,"DCF";#N/A,#N/A,FALSE,"WACC";#N/A,#N/A,FALSE,"Sales_EBIT";#N/A,#N/A,FALSE,"Capex_Depreciation";#N/A,#N/A,FALSE,"WC";#N/A,#N/A,FALSE,"Interest";#N/A,#N/A,FALSE,"Assumptions"}</definedName>
    <definedName name="wrn3.ALL." localSheetId="12" hidden="1">{#N/A,#N/A,FALSE,"DCF";#N/A,#N/A,FALSE,"WACC";#N/A,#N/A,FALSE,"Sales_EBIT";#N/A,#N/A,FALSE,"Capex_Depreciation";#N/A,#N/A,FALSE,"WC";#N/A,#N/A,FALSE,"Interest";#N/A,#N/A,FALSE,"Assumptions"}</definedName>
    <definedName name="wrn3.ALL." localSheetId="13" hidden="1">{#N/A,#N/A,FALSE,"DCF";#N/A,#N/A,FALSE,"WACC";#N/A,#N/A,FALSE,"Sales_EBIT";#N/A,#N/A,FALSE,"Capex_Depreciation";#N/A,#N/A,FALSE,"WC";#N/A,#N/A,FALSE,"Interest";#N/A,#N/A,FALSE,"Assumptions"}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fy97" localSheetId="11" hidden="1">{#N/A,#N/A,FALSE,"FY97";#N/A,#N/A,FALSE,"FY98";#N/A,#N/A,FALSE,"FY99";#N/A,#N/A,FALSE,"FY00";#N/A,#N/A,FALSE,"FY01"}</definedName>
    <definedName name="wrnfy97" localSheetId="15" hidden="1">{#N/A,#N/A,FALSE,"FY97";#N/A,#N/A,FALSE,"FY98";#N/A,#N/A,FALSE,"FY99";#N/A,#N/A,FALSE,"FY00";#N/A,#N/A,FALSE,"FY01"}</definedName>
    <definedName name="wrnfy97" localSheetId="18" hidden="1">{#N/A,#N/A,FALSE,"FY97";#N/A,#N/A,FALSE,"FY98";#N/A,#N/A,FALSE,"FY99";#N/A,#N/A,FALSE,"FY00";#N/A,#N/A,FALSE,"FY01"}</definedName>
    <definedName name="wrnfy97" localSheetId="14" hidden="1">{#N/A,#N/A,FALSE,"FY97";#N/A,#N/A,FALSE,"FY98";#N/A,#N/A,FALSE,"FY99";#N/A,#N/A,FALSE,"FY00";#N/A,#N/A,FALSE,"FY01"}</definedName>
    <definedName name="wrnfy97" localSheetId="12" hidden="1">{#N/A,#N/A,FALSE,"FY97";#N/A,#N/A,FALSE,"FY98";#N/A,#N/A,FALSE,"FY99";#N/A,#N/A,FALSE,"FY00";#N/A,#N/A,FALSE,"FY01"}</definedName>
    <definedName name="wrnfy97" localSheetId="13" hidden="1">{#N/A,#N/A,FALSE,"FY97";#N/A,#N/A,FALSE,"FY98";#N/A,#N/A,FALSE,"FY99";#N/A,#N/A,FALSE,"FY00";#N/A,#N/A,FALSE,"FY01"}</definedName>
    <definedName name="wrnfy97" hidden="1">{#N/A,#N/A,FALSE,"FY97";#N/A,#N/A,FALSE,"FY98";#N/A,#N/A,FALSE,"FY99";#N/A,#N/A,FALSE,"FY00";#N/A,#N/A,FALSE,"FY01"}</definedName>
    <definedName name="wrnp98.1" localSheetId="18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p98.1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t" localSheetId="11" hidden="1">{#N/A,#N/A,FALSE,"FY97";#N/A,#N/A,FALSE,"FY98";#N/A,#N/A,FALSE,"FY99";#N/A,#N/A,FALSE,"FY00";#N/A,#N/A,FALSE,"FY01"}</definedName>
    <definedName name="wt" localSheetId="15" hidden="1">{#N/A,#N/A,FALSE,"FY97";#N/A,#N/A,FALSE,"FY98";#N/A,#N/A,FALSE,"FY99";#N/A,#N/A,FALSE,"FY00";#N/A,#N/A,FALSE,"FY01"}</definedName>
    <definedName name="wt" localSheetId="18" hidden="1">{#N/A,#N/A,FALSE,"FY97";#N/A,#N/A,FALSE,"FY98";#N/A,#N/A,FALSE,"FY99";#N/A,#N/A,FALSE,"FY00";#N/A,#N/A,FALSE,"FY01"}</definedName>
    <definedName name="wt" localSheetId="14" hidden="1">{#N/A,#N/A,FALSE,"FY97";#N/A,#N/A,FALSE,"FY98";#N/A,#N/A,FALSE,"FY99";#N/A,#N/A,FALSE,"FY00";#N/A,#N/A,FALSE,"FY01"}</definedName>
    <definedName name="wt" localSheetId="12" hidden="1">{#N/A,#N/A,FALSE,"FY97";#N/A,#N/A,FALSE,"FY98";#N/A,#N/A,FALSE,"FY99";#N/A,#N/A,FALSE,"FY00";#N/A,#N/A,FALSE,"FY01"}</definedName>
    <definedName name="wt" localSheetId="13" hidden="1">{#N/A,#N/A,FALSE,"FY97";#N/A,#N/A,FALSE,"FY98";#N/A,#N/A,FALSE,"FY99";#N/A,#N/A,FALSE,"FY00";#N/A,#N/A,FALSE,"FY01"}</definedName>
    <definedName name="wt" hidden="1">{#N/A,#N/A,FALSE,"FY97";#N/A,#N/A,FALSE,"FY98";#N/A,#N/A,FALSE,"FY99";#N/A,#N/A,FALSE,"FY00";#N/A,#N/A,FALSE,"FY01"}</definedName>
    <definedName name="Wtd_Avg_Basic" localSheetId="14">#REF!</definedName>
    <definedName name="Wtd_Avg_Basic" localSheetId="12">#REF!</definedName>
    <definedName name="Wtd_Avg_Basic" localSheetId="1">#REF!</definedName>
    <definedName name="Wtd_Avg_Basic" localSheetId="13">#REF!</definedName>
    <definedName name="Wtd_Avg_Basic">#REF!</definedName>
    <definedName name="Wtd_Avg_Business" localSheetId="14">#REF!</definedName>
    <definedName name="Wtd_Avg_Business" localSheetId="12">#REF!</definedName>
    <definedName name="Wtd_Avg_Business" localSheetId="1">#REF!</definedName>
    <definedName name="Wtd_Avg_Business" localSheetId="13">#REF!</definedName>
    <definedName name="Wtd_Avg_Business">#REF!</definedName>
    <definedName name="Wtd_Avg_Prem" localSheetId="14">#REF!</definedName>
    <definedName name="Wtd_Avg_Prem" localSheetId="12">#REF!</definedName>
    <definedName name="Wtd_Avg_Prem" localSheetId="1">#REF!</definedName>
    <definedName name="Wtd_Avg_Prem" localSheetId="13">#REF!</definedName>
    <definedName name="Wtd_Avg_Prem">#REF!</definedName>
    <definedName name="wvu.cash." localSheetId="11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15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18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14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12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13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inputs._.raw._.data." localSheetId="1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localSheetId="15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localSheetId="18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localSheetId="14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localSheetId="1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localSheetId="1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profits." localSheetId="1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15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18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14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12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13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ummary1." localSheetId="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localSheetId="15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localSheetId="18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localSheetId="14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localSheetId="1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localSheetId="1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1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localSheetId="15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localSheetId="18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localSheetId="14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localSheetId="1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localSheetId="1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1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localSheetId="15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localSheetId="18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localSheetId="1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localSheetId="1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localSheetId="1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turnover." localSheetId="11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15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18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14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12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13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W" localSheetId="18" hidden="1">{"'Sheet1'!$A$4386:$N$4591"}</definedName>
    <definedName name="WW" hidden="1">{"'Sheet1'!$A$4386:$N$4591"}</definedName>
    <definedName name="wwwwwwwwwwwwwwwwwwwwwwwwwww" localSheetId="14">#REF!</definedName>
    <definedName name="wwwwwwwwwwwwwwwwwwwwwwwwwww" localSheetId="12">#REF!</definedName>
    <definedName name="wwwwwwwwwwwwwwwwwwwwwwwwwww" localSheetId="1">#REF!</definedName>
    <definedName name="wwwwwwwwwwwwwwwwwwwwwwwwwww" localSheetId="13">#REF!</definedName>
    <definedName name="wwwwwwwwwwwwwwwwwwwwwwwwwww">#REF!</definedName>
    <definedName name="x" localSheetId="11" hidden="1">{#N/A,#N/A,FALSE,"FY97";#N/A,#N/A,FALSE,"FY98";#N/A,#N/A,FALSE,"FY99";#N/A,#N/A,FALSE,"FY00";#N/A,#N/A,FALSE,"FY01"}</definedName>
    <definedName name="x" localSheetId="15" hidden="1">{#N/A,#N/A,FALSE,"FY97";#N/A,#N/A,FALSE,"FY98";#N/A,#N/A,FALSE,"FY99";#N/A,#N/A,FALSE,"FY00";#N/A,#N/A,FALSE,"FY01"}</definedName>
    <definedName name="x" localSheetId="18" hidden="1">{#N/A,#N/A,FALSE,"FY97";#N/A,#N/A,FALSE,"FY98";#N/A,#N/A,FALSE,"FY99";#N/A,#N/A,FALSE,"FY00";#N/A,#N/A,FALSE,"FY01"}</definedName>
    <definedName name="x" localSheetId="14" hidden="1">{#N/A,#N/A,FALSE,"FY97";#N/A,#N/A,FALSE,"FY98";#N/A,#N/A,FALSE,"FY99";#N/A,#N/A,FALSE,"FY00";#N/A,#N/A,FALSE,"FY01"}</definedName>
    <definedName name="x" localSheetId="12" hidden="1">{#N/A,#N/A,FALSE,"FY97";#N/A,#N/A,FALSE,"FY98";#N/A,#N/A,FALSE,"FY99";#N/A,#N/A,FALSE,"FY00";#N/A,#N/A,FALSE,"FY01"}</definedName>
    <definedName name="x" localSheetId="13" hidden="1">{#N/A,#N/A,FALSE,"FY97";#N/A,#N/A,FALSE,"FY98";#N/A,#N/A,FALSE,"FY99";#N/A,#N/A,FALSE,"FY00";#N/A,#N/A,FALSE,"FY01"}</definedName>
    <definedName name="x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XFDG" localSheetId="11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 localSheetId="15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 localSheetId="18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 localSheetId="14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 localSheetId="12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 localSheetId="13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ratio" localSheetId="11">OFFSET([0]!xratiodate,,1)</definedName>
    <definedName name="xratio" localSheetId="15">OFFSET([0]!xratiodate,,1)</definedName>
    <definedName name="xratio" localSheetId="14">OFFSET([0]!xratiodate,,1)</definedName>
    <definedName name="xratio" localSheetId="12">OFFSET([0]!xratiodate,,1)</definedName>
    <definedName name="xratio" localSheetId="1">OFFSET([0]!xratiodate,,1)</definedName>
    <definedName name="xratio" localSheetId="13">OFFSET([0]!xratiodate,,1)</definedName>
    <definedName name="xratio">OFFSET([0]!xratiodate,,1)</definedName>
    <definedName name="xray" localSheetId="11">OFFSET([0]!xraydate,,1)</definedName>
    <definedName name="xray" localSheetId="15">OFFSET([0]!xraydate,,1)</definedName>
    <definedName name="xray" localSheetId="14">OFFSET([0]!xraydate,,1)</definedName>
    <definedName name="xray" localSheetId="12">OFFSET([0]!xraydate,,1)</definedName>
    <definedName name="xray" localSheetId="1">OFFSET([0]!xraydate,,1)</definedName>
    <definedName name="xray" localSheetId="13">OFFSET([0]!xraydate,,1)</definedName>
    <definedName name="xray">OFFSET([0]!xraydate,,1)</definedName>
    <definedName name="XREF_COLUMN_1" localSheetId="18" hidden="1">#REF!</definedName>
    <definedName name="XREF_COLUMN_1" localSheetId="1" hidden="1">#REF!</definedName>
    <definedName name="XREF_COLUMN_1" hidden="1">#REF!</definedName>
    <definedName name="XREF_COLUMN_2" localSheetId="18" hidden="1">#REF!</definedName>
    <definedName name="XREF_COLUMN_2" localSheetId="1" hidden="1">'[82]Balance Sheet'!#REF!</definedName>
    <definedName name="XREF_COLUMN_2" hidden="1">'[82]Balance Sheet'!#REF!</definedName>
    <definedName name="XREF_COLUMN_3" localSheetId="18" hidden="1">#REF!</definedName>
    <definedName name="XREF_COLUMN_3" localSheetId="1" hidden="1">#REF!</definedName>
    <definedName name="XREF_COLUMN_3" hidden="1">#REF!</definedName>
    <definedName name="XREF_COLUMN_4" localSheetId="18" hidden="1">#REF!</definedName>
    <definedName name="XREF_COLUMN_4" localSheetId="1" hidden="1">'[82]Schedule-Fixed assets '!#REF!</definedName>
    <definedName name="XREF_COLUMN_4" hidden="1">'[82]Schedule-Fixed assets '!#REF!</definedName>
    <definedName name="XREF_COLUMN_5" localSheetId="18" hidden="1">#REF!</definedName>
    <definedName name="XREF_COLUMN_5" localSheetId="1" hidden="1">'[82]Schedule-Fixed assets '!#REF!</definedName>
    <definedName name="XREF_COLUMN_5" hidden="1">'[82]Schedule-Fixed assets '!#REF!</definedName>
    <definedName name="XREF_COLUMN_7" localSheetId="18" hidden="1">#REF!</definedName>
    <definedName name="XREF_COLUMN_7" localSheetId="1" hidden="1">#REF!</definedName>
    <definedName name="XREF_COLUMN_7" hidden="1">#REF!</definedName>
    <definedName name="XREF_COLUMN_8" localSheetId="1" hidden="1">#REF!</definedName>
    <definedName name="XREF_COLUMN_8" hidden="1">#REF!</definedName>
    <definedName name="XRefActiveRow" localSheetId="1" hidden="1">#REF!</definedName>
    <definedName name="XRefActiveRow" hidden="1">#REF!</definedName>
    <definedName name="XRefColumnsCount" hidden="1">8</definedName>
    <definedName name="XRefCopy10" localSheetId="18" hidden="1">#REF!</definedName>
    <definedName name="XRefCopy10" localSheetId="1" hidden="1">#REF!</definedName>
    <definedName name="XRefCopy10" hidden="1">#REF!</definedName>
    <definedName name="XRefCopy10Row" localSheetId="18" hidden="1">#REF!</definedName>
    <definedName name="XRefCopy10Row" localSheetId="1" hidden="1">#REF!</definedName>
    <definedName name="XRefCopy10Row" hidden="1">#REF!</definedName>
    <definedName name="XRefCopy11" localSheetId="18" hidden="1">#REF!</definedName>
    <definedName name="XRefCopy11" localSheetId="1" hidden="1">'[82]P&amp;L'!#REF!</definedName>
    <definedName name="XRefCopy11" hidden="1">'[82]P&amp;L'!#REF!</definedName>
    <definedName name="XRefCopy11Row" localSheetId="18" hidden="1">#REF!</definedName>
    <definedName name="XRefCopy11Row" localSheetId="1" hidden="1">#REF!</definedName>
    <definedName name="XRefCopy11Row" hidden="1">#REF!</definedName>
    <definedName name="XRefCopy12" localSheetId="18" hidden="1">#REF!</definedName>
    <definedName name="XRefCopy12" localSheetId="1" hidden="1">'[82]P&amp;L'!#REF!</definedName>
    <definedName name="XRefCopy12" hidden="1">'[82]P&amp;L'!#REF!</definedName>
    <definedName name="XRefCopy12Row" localSheetId="18" hidden="1">#REF!</definedName>
    <definedName name="XRefCopy12Row" localSheetId="1" hidden="1">#REF!</definedName>
    <definedName name="XRefCopy12Row" hidden="1">#REF!</definedName>
    <definedName name="XRefCopy13" localSheetId="18" hidden="1">#REF!</definedName>
    <definedName name="XRefCopy13" localSheetId="1" hidden="1">[82]Schedule!#REF!</definedName>
    <definedName name="XRefCopy13" hidden="1">[82]Schedule!#REF!</definedName>
    <definedName name="XRefCopy13Row" localSheetId="18" hidden="1">#REF!</definedName>
    <definedName name="XRefCopy13Row" localSheetId="1" hidden="1">#REF!</definedName>
    <definedName name="XRefCopy13Row" hidden="1">#REF!</definedName>
    <definedName name="XRefCopy14" localSheetId="1" hidden="1">#REF!</definedName>
    <definedName name="XRefCopy14" hidden="1">#REF!</definedName>
    <definedName name="XRefCopy14Row" localSheetId="1" hidden="1">#REF!</definedName>
    <definedName name="XRefCopy14Row" hidden="1">#REF!</definedName>
    <definedName name="XRefCopy15" localSheetId="1" hidden="1">#REF!</definedName>
    <definedName name="XRefCopy15" hidden="1">#REF!</definedName>
    <definedName name="XRefCopy15Row" localSheetId="1" hidden="1">#REF!</definedName>
    <definedName name="XRefCopy15Row" hidden="1">#REF!</definedName>
    <definedName name="XRefCopy16" localSheetId="1" hidden="1">#REF!</definedName>
    <definedName name="XRefCopy16" hidden="1">#REF!</definedName>
    <definedName name="XRefCopy16Row" localSheetId="1" hidden="1">#REF!</definedName>
    <definedName name="XRefCopy16Row" hidden="1">#REF!</definedName>
    <definedName name="XRefCopy17" localSheetId="1" hidden="1">#REF!</definedName>
    <definedName name="XRefCopy17" hidden="1">#REF!</definedName>
    <definedName name="XRefCopy17Row" localSheetId="1" hidden="1">#REF!</definedName>
    <definedName name="XRefCopy17Row" hidden="1">#REF!</definedName>
    <definedName name="XRefCopy18" localSheetId="18" hidden="1">#REF!</definedName>
    <definedName name="XRefCopy18" localSheetId="1" hidden="1">'[82]P&amp;L'!#REF!</definedName>
    <definedName name="XRefCopy18" hidden="1">'[82]P&amp;L'!#REF!</definedName>
    <definedName name="XRefCopy18Row" localSheetId="18" hidden="1">#REF!</definedName>
    <definedName name="XRefCopy18Row" localSheetId="1" hidden="1">#REF!</definedName>
    <definedName name="XRefCopy18Row" hidden="1">#REF!</definedName>
    <definedName name="XRefCopy19" localSheetId="1" hidden="1">#REF!</definedName>
    <definedName name="XRefCopy19" hidden="1">#REF!</definedName>
    <definedName name="XRefCopy19Row" localSheetId="1" hidden="1">#REF!</definedName>
    <definedName name="XRefCopy19Row" hidden="1">#REF!</definedName>
    <definedName name="XRefCopy1Row" localSheetId="1" hidden="1">#REF!</definedName>
    <definedName name="XRefCopy1Row" hidden="1">#REF!</definedName>
    <definedName name="XRefCopy2Row" localSheetId="1" hidden="1">#REF!</definedName>
    <definedName name="XRefCopy2Row" hidden="1">#REF!</definedName>
    <definedName name="XRefCopy3" localSheetId="1" hidden="1">#REF!</definedName>
    <definedName name="XRefCopy3" hidden="1">#REF!</definedName>
    <definedName name="XRefCopy3Row" localSheetId="1" hidden="1">#REF!</definedName>
    <definedName name="XRefCopy3Row" hidden="1">#REF!</definedName>
    <definedName name="XRefCopy4" localSheetId="1" hidden="1">#REF!</definedName>
    <definedName name="XRefCopy4" hidden="1">#REF!</definedName>
    <definedName name="XRefCopy4Row" localSheetId="1" hidden="1">#REF!</definedName>
    <definedName name="XRefCopy4Row" hidden="1">#REF!</definedName>
    <definedName name="XRefCopy5Row" localSheetId="1" hidden="1">#REF!</definedName>
    <definedName name="XRefCopy5Row" hidden="1">#REF!</definedName>
    <definedName name="XRefCopy6" localSheetId="1" hidden="1">#REF!</definedName>
    <definedName name="XRefCopy6" hidden="1">#REF!</definedName>
    <definedName name="XRefCopy6Row" localSheetId="1" hidden="1">#REF!</definedName>
    <definedName name="XRefCopy6Row" hidden="1">#REF!</definedName>
    <definedName name="XRefCopy7" localSheetId="18" hidden="1">#REF!</definedName>
    <definedName name="XRefCopy7" localSheetId="1" hidden="1">[82]Schedule!#REF!</definedName>
    <definedName name="XRefCopy7" hidden="1">[82]Schedule!#REF!</definedName>
    <definedName name="XRefCopy7Row" localSheetId="18" hidden="1">#REF!</definedName>
    <definedName name="XRefCopy7Row" localSheetId="1" hidden="1">#REF!</definedName>
    <definedName name="XRefCopy7Row" hidden="1">#REF!</definedName>
    <definedName name="XRefCopy8" localSheetId="18" hidden="1">#REF!</definedName>
    <definedName name="XRefCopy8" localSheetId="1" hidden="1">[82]Schedule!#REF!</definedName>
    <definedName name="XRefCopy8" hidden="1">[82]Schedule!#REF!</definedName>
    <definedName name="XRefCopy8Row" localSheetId="18" hidden="1">#REF!</definedName>
    <definedName name="XRefCopy8Row" localSheetId="1" hidden="1">#REF!</definedName>
    <definedName name="XRefCopy8Row" hidden="1">#REF!</definedName>
    <definedName name="XRefCopy9" localSheetId="1" hidden="1">#REF!</definedName>
    <definedName name="XRefCopy9" hidden="1">#REF!</definedName>
    <definedName name="XRefCopy9Row" localSheetId="1" hidden="1">#REF!</definedName>
    <definedName name="XRefCopy9Row" hidden="1">#REF!</definedName>
    <definedName name="XRefCopyRangeCount" hidden="1">19</definedName>
    <definedName name="XRefPaste1" localSheetId="18" hidden="1">#REF!</definedName>
    <definedName name="XRefPaste1" localSheetId="1" hidden="1">#REF!</definedName>
    <definedName name="XRefPaste1" hidden="1">#REF!</definedName>
    <definedName name="XRefPaste10" localSheetId="18" hidden="1">#REF!</definedName>
    <definedName name="XRefPaste10" localSheetId="1" hidden="1">[82]Schedule!#REF!</definedName>
    <definedName name="XRefPaste10" hidden="1">[82]Schedule!#REF!</definedName>
    <definedName name="XRefPaste10Row" localSheetId="18" hidden="1">#REF!</definedName>
    <definedName name="XRefPaste10Row" localSheetId="1" hidden="1">#REF!</definedName>
    <definedName name="XRefPaste10Row" hidden="1">#REF!</definedName>
    <definedName name="XRefPaste11Row" localSheetId="1" hidden="1">#REF!</definedName>
    <definedName name="XRefPaste11Row" hidden="1">#REF!</definedName>
    <definedName name="XRefPaste12Row" localSheetId="1" hidden="1">#REF!</definedName>
    <definedName name="XRefPaste12Row" hidden="1">#REF!</definedName>
    <definedName name="XRefPaste13Row" localSheetId="1" hidden="1">#REF!</definedName>
    <definedName name="XRefPaste13Row" hidden="1">#REF!</definedName>
    <definedName name="XRefPaste14Row" localSheetId="1" hidden="1">#REF!</definedName>
    <definedName name="XRefPaste14Row" hidden="1">#REF!</definedName>
    <definedName name="XRefPaste15Row" localSheetId="1" hidden="1">#REF!</definedName>
    <definedName name="XRefPaste15Row" hidden="1">#REF!</definedName>
    <definedName name="XRefPaste16Row" localSheetId="1" hidden="1">#REF!</definedName>
    <definedName name="XRefPaste16Row" hidden="1">#REF!</definedName>
    <definedName name="XRefPaste17Row" localSheetId="1" hidden="1">#REF!</definedName>
    <definedName name="XRefPaste17Row" hidden="1">#REF!</definedName>
    <definedName name="XRefPaste18Row" localSheetId="1" hidden="1">#REF!</definedName>
    <definedName name="XRefPaste18Row" hidden="1">#REF!</definedName>
    <definedName name="XRefPaste19Row" localSheetId="1" hidden="1">#REF!</definedName>
    <definedName name="XRefPaste19Row" hidden="1">#REF!</definedName>
    <definedName name="XRefPaste1Row" localSheetId="1" hidden="1">#REF!</definedName>
    <definedName name="XRefPaste1Row" hidden="1">#REF!</definedName>
    <definedName name="XRefPaste2" localSheetId="1" hidden="1">#REF!</definedName>
    <definedName name="XRefPaste2" hidden="1">#REF!</definedName>
    <definedName name="XRefPaste20Row" localSheetId="1" hidden="1">#REF!</definedName>
    <definedName name="XRefPaste20Row" hidden="1">#REF!</definedName>
    <definedName name="XRefPaste21Row" localSheetId="1" hidden="1">#REF!</definedName>
    <definedName name="XRefPaste21Row" hidden="1">#REF!</definedName>
    <definedName name="XRefPaste22Row" localSheetId="1" hidden="1">#REF!</definedName>
    <definedName name="XRefPaste22Row" hidden="1">#REF!</definedName>
    <definedName name="XRefPaste23Row" localSheetId="1" hidden="1">#REF!</definedName>
    <definedName name="XRefPaste23Row" hidden="1">#REF!</definedName>
    <definedName name="XRefPaste24" localSheetId="18" hidden="1">#REF!</definedName>
    <definedName name="XRefPaste24" localSheetId="1" hidden="1">[82]Schedule!#REF!</definedName>
    <definedName name="XRefPaste24" hidden="1">[82]Schedule!#REF!</definedName>
    <definedName name="XRefPaste24Row" localSheetId="18" hidden="1">#REF!</definedName>
    <definedName name="XRefPaste24Row" localSheetId="1" hidden="1">#REF!</definedName>
    <definedName name="XRefPaste24Row" hidden="1">#REF!</definedName>
    <definedName name="XRefPaste25Row" localSheetId="1" hidden="1">#REF!</definedName>
    <definedName name="XRefPaste25Row" hidden="1">#REF!</definedName>
    <definedName name="XRefPaste26Row" localSheetId="1" hidden="1">#REF!</definedName>
    <definedName name="XRefPaste26Row" hidden="1">#REF!</definedName>
    <definedName name="XRefPaste27Row" localSheetId="1" hidden="1">#REF!</definedName>
    <definedName name="XRefPaste27Row" hidden="1">#REF!</definedName>
    <definedName name="XRefPaste28" localSheetId="18" hidden="1">#REF!</definedName>
    <definedName name="XRefPaste28" localSheetId="1" hidden="1">[82]Schedule!#REF!</definedName>
    <definedName name="XRefPaste28" hidden="1">[82]Schedule!#REF!</definedName>
    <definedName name="XRefPaste28Row" localSheetId="18" hidden="1">#REF!</definedName>
    <definedName name="XRefPaste28Row" localSheetId="1" hidden="1">#REF!</definedName>
    <definedName name="XRefPaste28Row" hidden="1">#REF!</definedName>
    <definedName name="XRefPaste29Row" localSheetId="1" hidden="1">#REF!</definedName>
    <definedName name="XRefPaste29Row" hidden="1">#REF!</definedName>
    <definedName name="XRefPaste2Row" localSheetId="1" hidden="1">#REF!</definedName>
    <definedName name="XRefPaste2Row" hidden="1">#REF!</definedName>
    <definedName name="XRefPaste3" localSheetId="1" hidden="1">#REF!</definedName>
    <definedName name="XRefPaste3" hidden="1">#REF!</definedName>
    <definedName name="XRefPaste30Row" localSheetId="1" hidden="1">#REF!</definedName>
    <definedName name="XRefPaste30Row" hidden="1">#REF!</definedName>
    <definedName name="XRefPaste3Row" localSheetId="1" hidden="1">#REF!</definedName>
    <definedName name="XRefPaste3Row" hidden="1">#REF!</definedName>
    <definedName name="XRefPaste4Row" localSheetId="1" hidden="1">#REF!</definedName>
    <definedName name="XRefPaste4Row" hidden="1">#REF!</definedName>
    <definedName name="XRefPaste5Row" localSheetId="1" hidden="1">#REF!</definedName>
    <definedName name="XRefPaste5Row" hidden="1">#REF!</definedName>
    <definedName name="XRefPaste6Row" localSheetId="1" hidden="1">#REF!</definedName>
    <definedName name="XRefPaste6Row" hidden="1">#REF!</definedName>
    <definedName name="XRefPaste7Row" localSheetId="1" hidden="1">#REF!</definedName>
    <definedName name="XRefPaste7Row" hidden="1">#REF!</definedName>
    <definedName name="XRefPaste8Row" localSheetId="1" hidden="1">#REF!</definedName>
    <definedName name="XRefPaste8Row" hidden="1">#REF!</definedName>
    <definedName name="XRefPaste9Row" localSheetId="1" hidden="1">#REF!</definedName>
    <definedName name="XRefPaste9Row" hidden="1">#REF!</definedName>
    <definedName name="XRefPasteRangeCount" hidden="1">30</definedName>
    <definedName name="xx" localSheetId="18" hidden="1">{"'Sheet1'!$A$4386:$N$4591"}</definedName>
    <definedName name="xx" hidden="1">{"'Sheet1'!$A$4386:$N$4591"}</definedName>
    <definedName name="xxx" localSheetId="11" hidden="1">{#N/A,#N/A,FALSE,"ACQ_GRAPHS";#N/A,#N/A,FALSE,"T_1 GRAPHS";#N/A,#N/A,FALSE,"T_2 GRAPHS";#N/A,#N/A,FALSE,"COMB_GRAPHS"}</definedName>
    <definedName name="xxx" localSheetId="15" hidden="1">{#N/A,#N/A,FALSE,"ACQ_GRAPHS";#N/A,#N/A,FALSE,"T_1 GRAPHS";#N/A,#N/A,FALSE,"T_2 GRAPHS";#N/A,#N/A,FALSE,"COMB_GRAPHS"}</definedName>
    <definedName name="xxx" localSheetId="18" hidden="1">{#N/A,#N/A,FALSE,"ACQ_GRAPHS";#N/A,#N/A,FALSE,"T_1 GRAPHS";#N/A,#N/A,FALSE,"T_2 GRAPHS";#N/A,#N/A,FALSE,"COMB_GRAPHS"}</definedName>
    <definedName name="xxx" localSheetId="14" hidden="1">{#N/A,#N/A,FALSE,"ACQ_GRAPHS";#N/A,#N/A,FALSE,"T_1 GRAPHS";#N/A,#N/A,FALSE,"T_2 GRAPHS";#N/A,#N/A,FALSE,"COMB_GRAPHS"}</definedName>
    <definedName name="xxx" localSheetId="12" hidden="1">{#N/A,#N/A,FALSE,"ACQ_GRAPHS";#N/A,#N/A,FALSE,"T_1 GRAPHS";#N/A,#N/A,FALSE,"T_2 GRAPHS";#N/A,#N/A,FALSE,"COMB_GRAPHS"}</definedName>
    <definedName name="xxx" localSheetId="13" hidden="1">{#N/A,#N/A,FALSE,"ACQ_GRAPHS";#N/A,#N/A,FALSE,"T_1 GRAPHS";#N/A,#N/A,FALSE,"T_2 GRAPHS";#N/A,#N/A,FALSE,"COMB_GRAPHS"}</definedName>
    <definedName name="xxx" hidden="1">{#N/A,#N/A,FALSE,"ACQ_GRAPHS";#N/A,#N/A,FALSE,"T_1 GRAPHS";#N/A,#N/A,FALSE,"T_2 GRAPHS";#N/A,#N/A,FALSE,"COMB_GRAPHS"}</definedName>
    <definedName name="xxxxx" localSheetId="11" hidden="1">{#N/A,#N/A,FALSE,"Calc";#N/A,#N/A,FALSE,"Sensitivity";#N/A,#N/A,FALSE,"LT Earn.Dil.";#N/A,#N/A,FALSE,"Dil. AVP"}</definedName>
    <definedName name="xxxxx" localSheetId="15" hidden="1">{#N/A,#N/A,FALSE,"Calc";#N/A,#N/A,FALSE,"Sensitivity";#N/A,#N/A,FALSE,"LT Earn.Dil.";#N/A,#N/A,FALSE,"Dil. AVP"}</definedName>
    <definedName name="xxxxx" localSheetId="18" hidden="1">{#N/A,#N/A,FALSE,"Calc";#N/A,#N/A,FALSE,"Sensitivity";#N/A,#N/A,FALSE,"LT Earn.Dil.";#N/A,#N/A,FALSE,"Dil. AVP"}</definedName>
    <definedName name="xxxxx" localSheetId="14" hidden="1">{#N/A,#N/A,FALSE,"Calc";#N/A,#N/A,FALSE,"Sensitivity";#N/A,#N/A,FALSE,"LT Earn.Dil.";#N/A,#N/A,FALSE,"Dil. AVP"}</definedName>
    <definedName name="xxxxx" localSheetId="12" hidden="1">{#N/A,#N/A,FALSE,"Calc";#N/A,#N/A,FALSE,"Sensitivity";#N/A,#N/A,FALSE,"LT Earn.Dil.";#N/A,#N/A,FALSE,"Dil. AVP"}</definedName>
    <definedName name="xxxxx" localSheetId="13" hidden="1">{#N/A,#N/A,FALSE,"Calc";#N/A,#N/A,FALSE,"Sensitivity";#N/A,#N/A,FALSE,"LT Earn.Dil.";#N/A,#N/A,FALSE,"Dil. AVP"}</definedName>
    <definedName name="xxxxx" hidden="1">{#N/A,#N/A,FALSE,"Calc";#N/A,#N/A,FALSE,"Sensitivity";#N/A,#N/A,FALSE,"LT Earn.Dil.";#N/A,#N/A,FALSE,"Dil. AVP"}</definedName>
    <definedName name="y" localSheetId="1">'[30]Mega Caps'!#REF!</definedName>
    <definedName name="y">'[30]Mega Caps'!#REF!</definedName>
    <definedName name="YAMU" localSheetId="14">#REF!</definedName>
    <definedName name="YAMU" localSheetId="12">#REF!</definedName>
    <definedName name="YAMU" localSheetId="1">#REF!</definedName>
    <definedName name="YAMU" localSheetId="13">#REF!</definedName>
    <definedName name="YAMU">#REF!</definedName>
    <definedName name="year" localSheetId="14">#REF!</definedName>
    <definedName name="year" localSheetId="12">#REF!</definedName>
    <definedName name="year" localSheetId="1">#REF!</definedName>
    <definedName name="year" localSheetId="13">#REF!</definedName>
    <definedName name="year">#REF!</definedName>
    <definedName name="Year0" localSheetId="14">#REF!</definedName>
    <definedName name="Year0" localSheetId="12">#REF!</definedName>
    <definedName name="Year0" localSheetId="1">#REF!</definedName>
    <definedName name="Year0" localSheetId="13">#REF!</definedName>
    <definedName name="Year0">#REF!</definedName>
    <definedName name="Year1" localSheetId="14">#REF!</definedName>
    <definedName name="Year1" localSheetId="12">#REF!</definedName>
    <definedName name="Year1" localSheetId="1">#REF!</definedName>
    <definedName name="Year1" localSheetId="13">#REF!</definedName>
    <definedName name="Year1">#REF!</definedName>
    <definedName name="YEAR2">[4]Inputs!$D$18</definedName>
    <definedName name="Year5" localSheetId="14">#REF!</definedName>
    <definedName name="Year5" localSheetId="12">#REF!</definedName>
    <definedName name="Year5" localSheetId="1">#REF!</definedName>
    <definedName name="Year5" localSheetId="13">#REF!</definedName>
    <definedName name="Year5">#REF!</definedName>
    <definedName name="YECoA" localSheetId="14">#REF!</definedName>
    <definedName name="YECoA" localSheetId="12">#REF!</definedName>
    <definedName name="YECoA" localSheetId="1">#REF!</definedName>
    <definedName name="YECoA" localSheetId="13">#REF!</definedName>
    <definedName name="YECoA">#REF!</definedName>
    <definedName name="YECoB" localSheetId="14">#REF!</definedName>
    <definedName name="YECoB" localSheetId="12">#REF!</definedName>
    <definedName name="YECoB" localSheetId="1">#REF!</definedName>
    <definedName name="YECoB" localSheetId="13">#REF!</definedName>
    <definedName name="YECoB">#REF!</definedName>
    <definedName name="YECoC" localSheetId="14">#REF!</definedName>
    <definedName name="YECoC" localSheetId="12">#REF!</definedName>
    <definedName name="YECoC" localSheetId="1">#REF!</definedName>
    <definedName name="YECoC" localSheetId="13">#REF!</definedName>
    <definedName name="YECoC">#REF!</definedName>
    <definedName name="YECoD" localSheetId="14">#REF!</definedName>
    <definedName name="YECoD" localSheetId="12">#REF!</definedName>
    <definedName name="YECoD" localSheetId="1">#REF!</definedName>
    <definedName name="YECoD" localSheetId="13">#REF!</definedName>
    <definedName name="YECoD">#REF!</definedName>
    <definedName name="YECoE" localSheetId="14">#REF!</definedName>
    <definedName name="YECoE" localSheetId="12">#REF!</definedName>
    <definedName name="YECoE" localSheetId="1">#REF!</definedName>
    <definedName name="YECoE" localSheetId="13">#REF!</definedName>
    <definedName name="YECoE">#REF!</definedName>
    <definedName name="YECoF" localSheetId="14">#REF!</definedName>
    <definedName name="YECoF" localSheetId="12">#REF!</definedName>
    <definedName name="YECoF" localSheetId="1">#REF!</definedName>
    <definedName name="YECoF" localSheetId="13">#REF!</definedName>
    <definedName name="YECoF">#REF!</definedName>
    <definedName name="YECoG" localSheetId="14">#REF!</definedName>
    <definedName name="YECoG" localSheetId="12">#REF!</definedName>
    <definedName name="YECoG" localSheetId="1">#REF!</definedName>
    <definedName name="YECoG" localSheetId="13">#REF!</definedName>
    <definedName name="YECoG">#REF!</definedName>
    <definedName name="YECoH" localSheetId="14">#REF!</definedName>
    <definedName name="YECoH" localSheetId="12">#REF!</definedName>
    <definedName name="YECoH" localSheetId="1">#REF!</definedName>
    <definedName name="YECoH" localSheetId="13">#REF!</definedName>
    <definedName name="YECoH">#REF!</definedName>
    <definedName name="YECoI" localSheetId="14">#REF!</definedName>
    <definedName name="YECoI" localSheetId="12">#REF!</definedName>
    <definedName name="YECoI" localSheetId="1">#REF!</definedName>
    <definedName name="YECoI" localSheetId="13">#REF!</definedName>
    <definedName name="YECoI">#REF!</definedName>
    <definedName name="YECoJ" localSheetId="14">#REF!</definedName>
    <definedName name="YECoJ" localSheetId="12">#REF!</definedName>
    <definedName name="YECoJ" localSheetId="1">#REF!</definedName>
    <definedName name="YECoJ" localSheetId="13">#REF!</definedName>
    <definedName name="YECoJ">#REF!</definedName>
    <definedName name="YECoK" localSheetId="14">#REF!</definedName>
    <definedName name="YECoK" localSheetId="12">#REF!</definedName>
    <definedName name="YECoK" localSheetId="1">#REF!</definedName>
    <definedName name="YECoK" localSheetId="13">#REF!</definedName>
    <definedName name="YECoK">#REF!</definedName>
    <definedName name="YECoL" localSheetId="14">#REF!</definedName>
    <definedName name="YECoL" localSheetId="12">#REF!</definedName>
    <definedName name="YECoL" localSheetId="1">#REF!</definedName>
    <definedName name="YECoL" localSheetId="13">#REF!</definedName>
    <definedName name="YECoL">#REF!</definedName>
    <definedName name="YECoM" localSheetId="14">#REF!</definedName>
    <definedName name="YECoM" localSheetId="12">#REF!</definedName>
    <definedName name="YECoM" localSheetId="1">#REF!</definedName>
    <definedName name="YECoM" localSheetId="13">#REF!</definedName>
    <definedName name="YECoM">#REF!</definedName>
    <definedName name="YECoN" localSheetId="14">#REF!</definedName>
    <definedName name="YECoN" localSheetId="12">#REF!</definedName>
    <definedName name="YECoN" localSheetId="1">#REF!</definedName>
    <definedName name="YECoN" localSheetId="13">#REF!</definedName>
    <definedName name="YECoN">#REF!</definedName>
    <definedName name="YECoO" localSheetId="14">#REF!</definedName>
    <definedName name="YECoO" localSheetId="12">#REF!</definedName>
    <definedName name="YECoO" localSheetId="1">#REF!</definedName>
    <definedName name="YECoO" localSheetId="13">#REF!</definedName>
    <definedName name="YECoO">#REF!</definedName>
    <definedName name="YEFirst" localSheetId="14">#REF!</definedName>
    <definedName name="YEFirst" localSheetId="12">#REF!</definedName>
    <definedName name="YEFirst" localSheetId="1">#REF!</definedName>
    <definedName name="YEFirst" localSheetId="13">#REF!</definedName>
    <definedName name="YEFirst">#REF!</definedName>
    <definedName name="YEFirstNoCal" localSheetId="14">#REF!</definedName>
    <definedName name="YEFirstNoCal" localSheetId="12">#REF!</definedName>
    <definedName name="YEFirstNoCal" localSheetId="1">#REF!</definedName>
    <definedName name="YEFirstNoCal" localSheetId="13">#REF!</definedName>
    <definedName name="YEFirstNoCal">#REF!</definedName>
    <definedName name="Yes" localSheetId="11">IF(OR([51]ProSum!XFC1048559="",[51]ProSum!XFC1048559='Add21-22'!Total_payments),"",[51]ProSum!XFC1048559+1)</definedName>
    <definedName name="Yes" localSheetId="15">IF(OR([51]ProSum!XFC1048559="",[51]ProSum!XFC1048559='Add22-23'!Total_payments),"",[51]ProSum!XFC1048559+1)</definedName>
    <definedName name="Yes" localSheetId="14">IF(OR([51]ProSum!XFC1048559="",[51]ProSum!XFC1048559='Deffred tax 24'!Total_payments),"",[51]ProSum!XFC1048559+1)</definedName>
    <definedName name="Yes" localSheetId="12">IF(OR([51]ProSum!XFC1048559="",[51]ProSum!XFC1048559='IT DEp 24'!Total_payments),"",[51]ProSum!XFC1048559+1)</definedName>
    <definedName name="Yes" localSheetId="13">IF(OR([51]ProSum!XFC1048559="",[51]ProSum!XFC1048559='sold mc 24'!Total_payments),"",[51]ProSum!XFC1048559+1)</definedName>
    <definedName name="Yes">IF(OR([51]ProSum!XFC1048559="",[51]ProSum!XFC1048559=[0]!Total_payments),"",[51]ProSum!XFC1048559+1)</definedName>
    <definedName name="Yes2" localSheetId="11">[0]!Annual_interest_rate/[0]!Payments_per_year</definedName>
    <definedName name="Yes2" localSheetId="15">[0]!Annual_interest_rate/[0]!Payments_per_year</definedName>
    <definedName name="Yes2" localSheetId="14">[0]!Annual_interest_rate/[0]!Payments_per_year</definedName>
    <definedName name="Yes2" localSheetId="12">[0]!Annual_interest_rate/[0]!Payments_per_year</definedName>
    <definedName name="Yes2" localSheetId="1">[0]!Annual_interest_rate/[0]!Payments_per_year</definedName>
    <definedName name="Yes2" localSheetId="13">[0]!Annual_interest_rate/[0]!Payments_per_year</definedName>
    <definedName name="Yes2">[0]!Annual_interest_rate/[0]!Payments_per_year</definedName>
    <definedName name="Yr1CoA" localSheetId="14">#REF!</definedName>
    <definedName name="Yr1CoA" localSheetId="12">#REF!</definedName>
    <definedName name="Yr1CoA" localSheetId="1">#REF!</definedName>
    <definedName name="Yr1CoA" localSheetId="13">#REF!</definedName>
    <definedName name="Yr1CoA">#REF!</definedName>
    <definedName name="Yr1CoB" localSheetId="14">#REF!</definedName>
    <definedName name="Yr1CoB" localSheetId="12">#REF!</definedName>
    <definedName name="Yr1CoB" localSheetId="1">#REF!</definedName>
    <definedName name="Yr1CoB" localSheetId="13">#REF!</definedName>
    <definedName name="Yr1CoB">#REF!</definedName>
    <definedName name="Yr1CoC" localSheetId="14">#REF!</definedName>
    <definedName name="Yr1CoC" localSheetId="12">#REF!</definedName>
    <definedName name="Yr1CoC" localSheetId="1">#REF!</definedName>
    <definedName name="Yr1CoC" localSheetId="13">#REF!</definedName>
    <definedName name="Yr1CoC">#REF!</definedName>
    <definedName name="Yr1CoD" localSheetId="14">#REF!</definedName>
    <definedName name="Yr1CoD" localSheetId="12">#REF!</definedName>
    <definedName name="Yr1CoD" localSheetId="1">#REF!</definedName>
    <definedName name="Yr1CoD" localSheetId="13">#REF!</definedName>
    <definedName name="Yr1CoD">#REF!</definedName>
    <definedName name="Yr1CoE" localSheetId="14">#REF!</definedName>
    <definedName name="Yr1CoE" localSheetId="12">#REF!</definedName>
    <definedName name="Yr1CoE" localSheetId="1">#REF!</definedName>
    <definedName name="Yr1CoE" localSheetId="13">#REF!</definedName>
    <definedName name="Yr1CoE">#REF!</definedName>
    <definedName name="Yr1CoF" localSheetId="14">#REF!</definedName>
    <definedName name="Yr1CoF" localSheetId="12">#REF!</definedName>
    <definedName name="Yr1CoF" localSheetId="1">#REF!</definedName>
    <definedName name="Yr1CoF" localSheetId="13">#REF!</definedName>
    <definedName name="Yr1CoF">#REF!</definedName>
    <definedName name="Yr1CoG" localSheetId="14">#REF!</definedName>
    <definedName name="Yr1CoG" localSheetId="12">#REF!</definedName>
    <definedName name="Yr1CoG" localSheetId="1">#REF!</definedName>
    <definedName name="Yr1CoG" localSheetId="13">#REF!</definedName>
    <definedName name="Yr1CoG">#REF!</definedName>
    <definedName name="Yr1CoH" localSheetId="14">#REF!</definedName>
    <definedName name="Yr1CoH" localSheetId="12">#REF!</definedName>
    <definedName name="Yr1CoH" localSheetId="1">#REF!</definedName>
    <definedName name="Yr1CoH" localSheetId="13">#REF!</definedName>
    <definedName name="Yr1CoH">#REF!</definedName>
    <definedName name="Yr1CoI" localSheetId="14">#REF!</definedName>
    <definedName name="Yr1CoI" localSheetId="12">#REF!</definedName>
    <definedName name="Yr1CoI" localSheetId="1">#REF!</definedName>
    <definedName name="Yr1CoI" localSheetId="13">#REF!</definedName>
    <definedName name="Yr1CoI">#REF!</definedName>
    <definedName name="Yr1CoJ" localSheetId="14">#REF!</definedName>
    <definedName name="Yr1CoJ" localSheetId="12">#REF!</definedName>
    <definedName name="Yr1CoJ" localSheetId="1">#REF!</definedName>
    <definedName name="Yr1CoJ" localSheetId="13">#REF!</definedName>
    <definedName name="Yr1CoJ">#REF!</definedName>
    <definedName name="Yr1CoK" localSheetId="14">#REF!</definedName>
    <definedName name="Yr1CoK" localSheetId="12">#REF!</definedName>
    <definedName name="Yr1CoK" localSheetId="1">#REF!</definedName>
    <definedName name="Yr1CoK" localSheetId="13">#REF!</definedName>
    <definedName name="Yr1CoK">#REF!</definedName>
    <definedName name="Yr1CoL" localSheetId="14">#REF!</definedName>
    <definedName name="Yr1CoL" localSheetId="12">#REF!</definedName>
    <definedName name="Yr1CoL" localSheetId="1">#REF!</definedName>
    <definedName name="Yr1CoL" localSheetId="13">#REF!</definedName>
    <definedName name="Yr1CoL">#REF!</definedName>
    <definedName name="Yr1CoM" localSheetId="14">#REF!</definedName>
    <definedName name="Yr1CoM" localSheetId="12">#REF!</definedName>
    <definedName name="Yr1CoM" localSheetId="1">#REF!</definedName>
    <definedName name="Yr1CoM" localSheetId="13">#REF!</definedName>
    <definedName name="Yr1CoM">#REF!</definedName>
    <definedName name="Yr1CoN" localSheetId="14">#REF!</definedName>
    <definedName name="Yr1CoN" localSheetId="12">#REF!</definedName>
    <definedName name="Yr1CoN" localSheetId="1">#REF!</definedName>
    <definedName name="Yr1CoN" localSheetId="13">#REF!</definedName>
    <definedName name="Yr1CoN">#REF!</definedName>
    <definedName name="Yr1CoO" localSheetId="14">#REF!</definedName>
    <definedName name="Yr1CoO" localSheetId="12">#REF!</definedName>
    <definedName name="Yr1CoO" localSheetId="1">#REF!</definedName>
    <definedName name="Yr1CoO" localSheetId="13">#REF!</definedName>
    <definedName name="Yr1CoO">#REF!</definedName>
    <definedName name="Yr2CoA" localSheetId="14">#REF!</definedName>
    <definedName name="Yr2CoA" localSheetId="12">#REF!</definedName>
    <definedName name="Yr2CoA" localSheetId="1">#REF!</definedName>
    <definedName name="Yr2CoA" localSheetId="13">#REF!</definedName>
    <definedName name="Yr2CoA">#REF!</definedName>
    <definedName name="Yr2CoB" localSheetId="14">#REF!</definedName>
    <definedName name="Yr2CoB" localSheetId="12">#REF!</definedName>
    <definedName name="Yr2CoB" localSheetId="1">#REF!</definedName>
    <definedName name="Yr2CoB" localSheetId="13">#REF!</definedName>
    <definedName name="Yr2CoB">#REF!</definedName>
    <definedName name="Yr2CoC" localSheetId="14">#REF!</definedName>
    <definedName name="Yr2CoC" localSheetId="12">#REF!</definedName>
    <definedName name="Yr2CoC" localSheetId="1">#REF!</definedName>
    <definedName name="Yr2CoC" localSheetId="13">#REF!</definedName>
    <definedName name="Yr2CoC">#REF!</definedName>
    <definedName name="Yr2CoD" localSheetId="14">#REF!</definedName>
    <definedName name="Yr2CoD" localSheetId="12">#REF!</definedName>
    <definedName name="Yr2CoD" localSheetId="1">#REF!</definedName>
    <definedName name="Yr2CoD" localSheetId="13">#REF!</definedName>
    <definedName name="Yr2CoD">#REF!</definedName>
    <definedName name="Yr2CoE" localSheetId="14">#REF!</definedName>
    <definedName name="Yr2CoE" localSheetId="12">#REF!</definedName>
    <definedName name="Yr2CoE" localSheetId="1">#REF!</definedName>
    <definedName name="Yr2CoE" localSheetId="13">#REF!</definedName>
    <definedName name="Yr2CoE">#REF!</definedName>
    <definedName name="Yr2CoF" localSheetId="14">#REF!</definedName>
    <definedName name="Yr2CoF" localSheetId="12">#REF!</definedName>
    <definedName name="Yr2CoF" localSheetId="1">#REF!</definedName>
    <definedName name="Yr2CoF" localSheetId="13">#REF!</definedName>
    <definedName name="Yr2CoF">#REF!</definedName>
    <definedName name="Yr2CoG" localSheetId="14">#REF!</definedName>
    <definedName name="Yr2CoG" localSheetId="12">#REF!</definedName>
    <definedName name="Yr2CoG" localSheetId="1">#REF!</definedName>
    <definedName name="Yr2CoG" localSheetId="13">#REF!</definedName>
    <definedName name="Yr2CoG">#REF!</definedName>
    <definedName name="Yr2CoH" localSheetId="14">#REF!</definedName>
    <definedName name="Yr2CoH" localSheetId="12">#REF!</definedName>
    <definedName name="Yr2CoH" localSheetId="1">#REF!</definedName>
    <definedName name="Yr2CoH" localSheetId="13">#REF!</definedName>
    <definedName name="Yr2CoH">#REF!</definedName>
    <definedName name="Yr2CoI" localSheetId="14">#REF!</definedName>
    <definedName name="Yr2CoI" localSheetId="12">#REF!</definedName>
    <definedName name="Yr2CoI" localSheetId="1">#REF!</definedName>
    <definedName name="Yr2CoI" localSheetId="13">#REF!</definedName>
    <definedName name="Yr2CoI">#REF!</definedName>
    <definedName name="Yr2CoJ" localSheetId="14">#REF!</definedName>
    <definedName name="Yr2CoJ" localSheetId="12">#REF!</definedName>
    <definedName name="Yr2CoJ" localSheetId="1">#REF!</definedName>
    <definedName name="Yr2CoJ" localSheetId="13">#REF!</definedName>
    <definedName name="Yr2CoJ">#REF!</definedName>
    <definedName name="Yr2CoK" localSheetId="14">#REF!</definedName>
    <definedName name="Yr2CoK" localSheetId="12">#REF!</definedName>
    <definedName name="Yr2CoK" localSheetId="1">#REF!</definedName>
    <definedName name="Yr2CoK" localSheetId="13">#REF!</definedName>
    <definedName name="Yr2CoK">#REF!</definedName>
    <definedName name="Yr2CoL" localSheetId="14">#REF!</definedName>
    <definedName name="Yr2CoL" localSheetId="12">#REF!</definedName>
    <definedName name="Yr2CoL" localSheetId="1">#REF!</definedName>
    <definedName name="Yr2CoL" localSheetId="13">#REF!</definedName>
    <definedName name="Yr2CoL">#REF!</definedName>
    <definedName name="Yr2CoM" localSheetId="14">#REF!</definedName>
    <definedName name="Yr2CoM" localSheetId="12">#REF!</definedName>
    <definedName name="Yr2CoM" localSheetId="1">#REF!</definedName>
    <definedName name="Yr2CoM" localSheetId="13">#REF!</definedName>
    <definedName name="Yr2CoM">#REF!</definedName>
    <definedName name="Yr2CoN" localSheetId="14">#REF!</definedName>
    <definedName name="Yr2CoN" localSheetId="12">#REF!</definedName>
    <definedName name="Yr2CoN" localSheetId="1">#REF!</definedName>
    <definedName name="Yr2CoN" localSheetId="13">#REF!</definedName>
    <definedName name="Yr2CoN">#REF!</definedName>
    <definedName name="Yr2CoO" localSheetId="14">#REF!</definedName>
    <definedName name="Yr2CoO" localSheetId="12">#REF!</definedName>
    <definedName name="Yr2CoO" localSheetId="1">#REF!</definedName>
    <definedName name="Yr2CoO" localSheetId="13">#REF!</definedName>
    <definedName name="Yr2CoO">#REF!</definedName>
    <definedName name="Yr3CoA" localSheetId="14">#REF!</definedName>
    <definedName name="Yr3CoA" localSheetId="12">#REF!</definedName>
    <definedName name="Yr3CoA" localSheetId="1">#REF!</definedName>
    <definedName name="Yr3CoA" localSheetId="13">#REF!</definedName>
    <definedName name="Yr3CoA">#REF!</definedName>
    <definedName name="Yr3CoB" localSheetId="14">#REF!</definedName>
    <definedName name="Yr3CoB" localSheetId="12">#REF!</definedName>
    <definedName name="Yr3CoB" localSheetId="1">#REF!</definedName>
    <definedName name="Yr3CoB" localSheetId="13">#REF!</definedName>
    <definedName name="Yr3CoB">#REF!</definedName>
    <definedName name="Yr3CoC" localSheetId="14">#REF!</definedName>
    <definedName name="Yr3CoC" localSheetId="12">#REF!</definedName>
    <definedName name="Yr3CoC" localSheetId="1">#REF!</definedName>
    <definedName name="Yr3CoC" localSheetId="13">#REF!</definedName>
    <definedName name="Yr3CoC">#REF!</definedName>
    <definedName name="Yr3CoD" localSheetId="14">#REF!</definedName>
    <definedName name="Yr3CoD" localSheetId="12">#REF!</definedName>
    <definedName name="Yr3CoD" localSheetId="1">#REF!</definedName>
    <definedName name="Yr3CoD" localSheetId="13">#REF!</definedName>
    <definedName name="Yr3CoD">#REF!</definedName>
    <definedName name="Yr3CoE" localSheetId="14">#REF!</definedName>
    <definedName name="Yr3CoE" localSheetId="12">#REF!</definedName>
    <definedName name="Yr3CoE" localSheetId="1">#REF!</definedName>
    <definedName name="Yr3CoE" localSheetId="13">#REF!</definedName>
    <definedName name="Yr3CoE">#REF!</definedName>
    <definedName name="Yr3CoF" localSheetId="14">#REF!</definedName>
    <definedName name="Yr3CoF" localSheetId="12">#REF!</definedName>
    <definedName name="Yr3CoF" localSheetId="1">#REF!</definedName>
    <definedName name="Yr3CoF" localSheetId="13">#REF!</definedName>
    <definedName name="Yr3CoF">#REF!</definedName>
    <definedName name="Yr3CoG" localSheetId="14">#REF!</definedName>
    <definedName name="Yr3CoG" localSheetId="12">#REF!</definedName>
    <definedName name="Yr3CoG" localSheetId="1">#REF!</definedName>
    <definedName name="Yr3CoG" localSheetId="13">#REF!</definedName>
    <definedName name="Yr3CoG">#REF!</definedName>
    <definedName name="Yr3CoH" localSheetId="14">#REF!</definedName>
    <definedName name="Yr3CoH" localSheetId="12">#REF!</definedName>
    <definedName name="Yr3CoH" localSheetId="1">#REF!</definedName>
    <definedName name="Yr3CoH" localSheetId="13">#REF!</definedName>
    <definedName name="Yr3CoH">#REF!</definedName>
    <definedName name="Yr3CoI" localSheetId="14">#REF!</definedName>
    <definedName name="Yr3CoI" localSheetId="12">#REF!</definedName>
    <definedName name="Yr3CoI" localSheetId="1">#REF!</definedName>
    <definedName name="Yr3CoI" localSheetId="13">#REF!</definedName>
    <definedName name="Yr3CoI">#REF!</definedName>
    <definedName name="Yr3CoJ" localSheetId="14">#REF!</definedName>
    <definedName name="Yr3CoJ" localSheetId="12">#REF!</definedName>
    <definedName name="Yr3CoJ" localSheetId="1">#REF!</definedName>
    <definedName name="Yr3CoJ" localSheetId="13">#REF!</definedName>
    <definedName name="Yr3CoJ">#REF!</definedName>
    <definedName name="Yr3CoK" localSheetId="14">#REF!</definedName>
    <definedName name="Yr3CoK" localSheetId="12">#REF!</definedName>
    <definedName name="Yr3CoK" localSheetId="1">#REF!</definedName>
    <definedName name="Yr3CoK" localSheetId="13">#REF!</definedName>
    <definedName name="Yr3CoK">#REF!</definedName>
    <definedName name="Yr3CoL" localSheetId="14">#REF!</definedName>
    <definedName name="Yr3CoL" localSheetId="12">#REF!</definedName>
    <definedName name="Yr3CoL" localSheetId="1">#REF!</definedName>
    <definedName name="Yr3CoL" localSheetId="13">#REF!</definedName>
    <definedName name="Yr3CoL">#REF!</definedName>
    <definedName name="Yr3CoM" localSheetId="14">#REF!</definedName>
    <definedName name="Yr3CoM" localSheetId="12">#REF!</definedName>
    <definedName name="Yr3CoM" localSheetId="1">#REF!</definedName>
    <definedName name="Yr3CoM" localSheetId="13">#REF!</definedName>
    <definedName name="Yr3CoM">#REF!</definedName>
    <definedName name="Yr3CoN" localSheetId="14">#REF!</definedName>
    <definedName name="Yr3CoN" localSheetId="12">#REF!</definedName>
    <definedName name="Yr3CoN" localSheetId="1">#REF!</definedName>
    <definedName name="Yr3CoN" localSheetId="13">#REF!</definedName>
    <definedName name="Yr3CoN">#REF!</definedName>
    <definedName name="Yr3CoO" localSheetId="14">#REF!</definedName>
    <definedName name="Yr3CoO" localSheetId="12">#REF!</definedName>
    <definedName name="Yr3CoO" localSheetId="1">#REF!</definedName>
    <definedName name="Yr3CoO" localSheetId="13">#REF!</definedName>
    <definedName name="Yr3CoO">#REF!</definedName>
    <definedName name="YrEnd_FFr_USD">0.1767</definedName>
    <definedName name="YTD" localSheetId="14">#REF!</definedName>
    <definedName name="YTD" localSheetId="12">#REF!</definedName>
    <definedName name="YTD" localSheetId="1">#REF!</definedName>
    <definedName name="YTD" localSheetId="13">#REF!</definedName>
    <definedName name="YTD">#REF!</definedName>
    <definedName name="yy" localSheetId="11" hidden="1">{"consolidated",#N/A,FALSE,"Sheet1";"cms",#N/A,FALSE,"Sheet1";"fse",#N/A,FALSE,"Sheet1"}</definedName>
    <definedName name="yy" localSheetId="15" hidden="1">{"consolidated",#N/A,FALSE,"Sheet1";"cms",#N/A,FALSE,"Sheet1";"fse",#N/A,FALSE,"Sheet1"}</definedName>
    <definedName name="yy" localSheetId="18" hidden="1">{"consolidated",#N/A,FALSE,"Sheet1";"cms",#N/A,FALSE,"Sheet1";"fse",#N/A,FALSE,"Sheet1"}</definedName>
    <definedName name="yy" localSheetId="14" hidden="1">{"consolidated",#N/A,FALSE,"Sheet1";"cms",#N/A,FALSE,"Sheet1";"fse",#N/A,FALSE,"Sheet1"}</definedName>
    <definedName name="yy" localSheetId="12" hidden="1">{"consolidated",#N/A,FALSE,"Sheet1";"cms",#N/A,FALSE,"Sheet1";"fse",#N/A,FALSE,"Sheet1"}</definedName>
    <definedName name="yy" localSheetId="13" hidden="1">{"consolidated",#N/A,FALSE,"Sheet1";"cms",#N/A,FALSE,"Sheet1";"fse",#N/A,FALSE,"Sheet1"}</definedName>
    <definedName name="yy" hidden="1">{"consolidated",#N/A,FALSE,"Sheet1";"cms",#N/A,FALSE,"Sheet1";"fse",#N/A,FALSE,"Sheet1"}</definedName>
    <definedName name="Z_151C847C_F869_11D1_B680_00A02416AF98_.wvu.Cols" localSheetId="18" hidden="1">#REF!</definedName>
    <definedName name="Z_151C847C_F869_11D1_B680_00A02416AF98_.wvu.Cols" localSheetId="1" hidden="1">#REF!</definedName>
    <definedName name="Z_151C847C_F869_11D1_B680_00A02416AF98_.wvu.Cols" hidden="1">#REF!</definedName>
    <definedName name="Z_151C847C_F869_11D1_B680_00A02416AF98_.wvu.PrintTitles" localSheetId="18" hidden="1">#REF!,#REF!</definedName>
    <definedName name="Z_151C847C_F869_11D1_B680_00A02416AF98_.wvu.PrintTitles" hidden="1">'[83]19-PERF'!$B$1:$B$65536,'[83]19-PERF'!$A$1:$IV$4</definedName>
    <definedName name="Z_15E8B5FA_BBB1_4882_BE1D_B48D8E0B0ED8_.wvu.FilterData" localSheetId="2" hidden="1">Buildings!#REF!</definedName>
    <definedName name="Z_15E8B5FA_BBB1_4882_BE1D_B48D8E0B0ED8_.wvu.FilterData" localSheetId="3" hidden="1">'construction equipment'!$B$9:$L$259</definedName>
    <definedName name="Z_15E8B5FA_BBB1_4882_BE1D_B48D8E0B0ED8_.wvu.FilterData" localSheetId="8" hidden="1">EDP!#REF!</definedName>
    <definedName name="Z_15E8B5FA_BBB1_4882_BE1D_B48D8E0B0ED8_.wvu.FilterData" localSheetId="4" hidden="1">'electrical equipment'!#REF!</definedName>
    <definedName name="Z_15E8B5FA_BBB1_4882_BE1D_B48D8E0B0ED8_.wvu.FilterData" localSheetId="5" hidden="1">Furniture!#REF!</definedName>
    <definedName name="Z_15E8B5FA_BBB1_4882_BE1D_B48D8E0B0ED8_.wvu.FilterData" localSheetId="1" hidden="1">LAND!#REF!</definedName>
    <definedName name="Z_15E8B5FA_BBB1_4882_BE1D_B48D8E0B0ED8_.wvu.FilterData" localSheetId="7" hidden="1">'office equipment'!#REF!</definedName>
    <definedName name="Z_15E8B5FA_BBB1_4882_BE1D_B48D8E0B0ED8_.wvu.FilterData" localSheetId="6" hidden="1">vehicles!#REF!</definedName>
    <definedName name="Z_7CFF8C65_5229_49C8_ABC2_C1280B207CF4_.wvu.FilterData" localSheetId="2" hidden="1">Buildings!#REF!</definedName>
    <definedName name="Z_7CFF8C65_5229_49C8_ABC2_C1280B207CF4_.wvu.FilterData" localSheetId="3" hidden="1">'construction equipment'!$B$9:$L$259</definedName>
    <definedName name="Z_7CFF8C65_5229_49C8_ABC2_C1280B207CF4_.wvu.FilterData" localSheetId="8" hidden="1">EDP!#REF!</definedName>
    <definedName name="Z_7CFF8C65_5229_49C8_ABC2_C1280B207CF4_.wvu.FilterData" localSheetId="4" hidden="1">'electrical equipment'!#REF!</definedName>
    <definedName name="Z_7CFF8C65_5229_49C8_ABC2_C1280B207CF4_.wvu.FilterData" localSheetId="5" hidden="1">Furniture!#REF!</definedName>
    <definedName name="Z_7CFF8C65_5229_49C8_ABC2_C1280B207CF4_.wvu.FilterData" localSheetId="1" hidden="1">LAND!#REF!</definedName>
    <definedName name="Z_7CFF8C65_5229_49C8_ABC2_C1280B207CF4_.wvu.FilterData" localSheetId="7" hidden="1">'office equipment'!#REF!</definedName>
    <definedName name="Z_7CFF8C65_5229_49C8_ABC2_C1280B207CF4_.wvu.FilterData" localSheetId="6" hidden="1">vehicles!#REF!</definedName>
    <definedName name="Z_80A1E310_17DB_4A93_A92F_B023AD1A7590_.wvu.Cols" localSheetId="2" hidden="1">Buildings!$H:$H,Buildings!$L:$L</definedName>
    <definedName name="Z_80A1E310_17DB_4A93_A92F_B023AD1A7590_.wvu.Cols" localSheetId="3" hidden="1">'construction equipment'!#REF!,'construction equipment'!#REF!</definedName>
    <definedName name="Z_80A1E310_17DB_4A93_A92F_B023AD1A7590_.wvu.Cols" localSheetId="8" hidden="1">EDP!#REF!,EDP!#REF!</definedName>
    <definedName name="Z_80A1E310_17DB_4A93_A92F_B023AD1A7590_.wvu.Cols" localSheetId="4" hidden="1">'electrical equipment'!#REF!,'electrical equipment'!#REF!</definedName>
    <definedName name="Z_80A1E310_17DB_4A93_A92F_B023AD1A7590_.wvu.Cols" localSheetId="5" hidden="1">Furniture!#REF!,Furniture!#REF!</definedName>
    <definedName name="Z_80A1E310_17DB_4A93_A92F_B023AD1A7590_.wvu.Cols" localSheetId="1" hidden="1">LAND!$H:$H,LAND!$L:$L</definedName>
    <definedName name="Z_80A1E310_17DB_4A93_A92F_B023AD1A7590_.wvu.Cols" localSheetId="7" hidden="1">'office equipment'!#REF!,'office equipment'!#REF!</definedName>
    <definedName name="Z_80A1E310_17DB_4A93_A92F_B023AD1A7590_.wvu.Cols" localSheetId="6" hidden="1">vehicles!#REF!,vehicles!#REF!</definedName>
    <definedName name="Z_80A1E310_17DB_4A93_A92F_B023AD1A7590_.wvu.FilterData" localSheetId="2" hidden="1">Buildings!#REF!</definedName>
    <definedName name="Z_80A1E310_17DB_4A93_A92F_B023AD1A7590_.wvu.FilterData" localSheetId="3" hidden="1">'construction equipment'!$B$9:$L$246</definedName>
    <definedName name="Z_80A1E310_17DB_4A93_A92F_B023AD1A7590_.wvu.FilterData" localSheetId="8" hidden="1">EDP!#REF!</definedName>
    <definedName name="Z_80A1E310_17DB_4A93_A92F_B023AD1A7590_.wvu.FilterData" localSheetId="4" hidden="1">'electrical equipment'!#REF!</definedName>
    <definedName name="Z_80A1E310_17DB_4A93_A92F_B023AD1A7590_.wvu.FilterData" localSheetId="5" hidden="1">Furniture!#REF!</definedName>
    <definedName name="Z_80A1E310_17DB_4A93_A92F_B023AD1A7590_.wvu.FilterData" localSheetId="1" hidden="1">LAND!#REF!</definedName>
    <definedName name="Z_80A1E310_17DB_4A93_A92F_B023AD1A7590_.wvu.FilterData" localSheetId="7" hidden="1">'office equipment'!#REF!</definedName>
    <definedName name="Z_80A1E310_17DB_4A93_A92F_B023AD1A7590_.wvu.FilterData" localSheetId="6" hidden="1">vehicles!#REF!</definedName>
    <definedName name="Z_8DE1A446_7B44_4837_99C7_B8AC3FD01F70_.wvu.Cols" localSheetId="2" hidden="1">Buildings!#REF!,Buildings!$F:$F,Buildings!$L:$L,Buildings!#REF!</definedName>
    <definedName name="Z_8DE1A446_7B44_4837_99C7_B8AC3FD01F70_.wvu.Cols" localSheetId="3" hidden="1">'construction equipment'!$I:$I,'construction equipment'!$K:$K,'construction equipment'!#REF!,'construction equipment'!#REF!</definedName>
    <definedName name="Z_8DE1A446_7B44_4837_99C7_B8AC3FD01F70_.wvu.Cols" localSheetId="8" hidden="1">EDP!#REF!,EDP!#REF!,EDP!#REF!,EDP!#REF!</definedName>
    <definedName name="Z_8DE1A446_7B44_4837_99C7_B8AC3FD01F70_.wvu.Cols" localSheetId="4" hidden="1">'electrical equipment'!#REF!,'electrical equipment'!$E:$E,'electrical equipment'!#REF!,'electrical equipment'!#REF!</definedName>
    <definedName name="Z_8DE1A446_7B44_4837_99C7_B8AC3FD01F70_.wvu.Cols" localSheetId="5" hidden="1">Furniture!#REF!,Furniture!#REF!,Furniture!#REF!,Furniture!#REF!</definedName>
    <definedName name="Z_8DE1A446_7B44_4837_99C7_B8AC3FD01F70_.wvu.Cols" localSheetId="1" hidden="1">LAND!#REF!,LAND!$F:$F,LAND!$L:$L,LAND!#REF!</definedName>
    <definedName name="Z_8DE1A446_7B44_4837_99C7_B8AC3FD01F70_.wvu.Cols" localSheetId="7" hidden="1">'office equipment'!#REF!,'office equipment'!#REF!,'office equipment'!#REF!,'office equipment'!#REF!</definedName>
    <definedName name="Z_8DE1A446_7B44_4837_99C7_B8AC3FD01F70_.wvu.Cols" localSheetId="6" hidden="1">vehicles!#REF!,vehicles!#REF!,vehicles!#REF!,vehicles!#REF!</definedName>
    <definedName name="Z_8DE1A446_7B44_4837_99C7_B8AC3FD01F70_.wvu.FilterData" localSheetId="2" hidden="1">Buildings!#REF!</definedName>
    <definedName name="Z_8DE1A446_7B44_4837_99C7_B8AC3FD01F70_.wvu.FilterData" localSheetId="3" hidden="1">'construction equipment'!$B$9:$L$259</definedName>
    <definedName name="Z_8DE1A446_7B44_4837_99C7_B8AC3FD01F70_.wvu.FilterData" localSheetId="8" hidden="1">EDP!#REF!</definedName>
    <definedName name="Z_8DE1A446_7B44_4837_99C7_B8AC3FD01F70_.wvu.FilterData" localSheetId="4" hidden="1">'electrical equipment'!#REF!</definedName>
    <definedName name="Z_8DE1A446_7B44_4837_99C7_B8AC3FD01F70_.wvu.FilterData" localSheetId="5" hidden="1">Furniture!#REF!</definedName>
    <definedName name="Z_8DE1A446_7B44_4837_99C7_B8AC3FD01F70_.wvu.FilterData" localSheetId="1" hidden="1">LAND!#REF!</definedName>
    <definedName name="Z_8DE1A446_7B44_4837_99C7_B8AC3FD01F70_.wvu.FilterData" localSheetId="7" hidden="1">'office equipment'!#REF!</definedName>
    <definedName name="Z_8DE1A446_7B44_4837_99C7_B8AC3FD01F70_.wvu.FilterData" localSheetId="6" hidden="1">vehicles!#REF!</definedName>
    <definedName name="Z_BE5FE65A_AF2F_43F3_AD7C_2EC022B30368_.wvu.FilterData" localSheetId="2" hidden="1">Buildings!#REF!</definedName>
    <definedName name="Z_BE5FE65A_AF2F_43F3_AD7C_2EC022B30368_.wvu.FilterData" localSheetId="3" hidden="1">'construction equipment'!$B$9:$L$246</definedName>
    <definedName name="Z_BE5FE65A_AF2F_43F3_AD7C_2EC022B30368_.wvu.FilterData" localSheetId="8" hidden="1">EDP!#REF!</definedName>
    <definedName name="Z_BE5FE65A_AF2F_43F3_AD7C_2EC022B30368_.wvu.FilterData" localSheetId="4" hidden="1">'electrical equipment'!#REF!</definedName>
    <definedName name="Z_BE5FE65A_AF2F_43F3_AD7C_2EC022B30368_.wvu.FilterData" localSheetId="5" hidden="1">Furniture!#REF!</definedName>
    <definedName name="Z_BE5FE65A_AF2F_43F3_AD7C_2EC022B30368_.wvu.FilterData" localSheetId="1" hidden="1">LAND!#REF!</definedName>
    <definedName name="Z_BE5FE65A_AF2F_43F3_AD7C_2EC022B30368_.wvu.FilterData" localSheetId="7" hidden="1">'office equipment'!#REF!</definedName>
    <definedName name="Z_BE5FE65A_AF2F_43F3_AD7C_2EC022B30368_.wvu.FilterData" localSheetId="6" hidden="1">vehicles!#REF!</definedName>
    <definedName name="zaCQW" localSheetId="11" hidden="1">{"turnover",#N/A,FALSE;"profits",#N/A,FALSE;"cash",#N/A,FALSE}</definedName>
    <definedName name="zaCQW" localSheetId="15" hidden="1">{"turnover",#N/A,FALSE;"profits",#N/A,FALSE;"cash",#N/A,FALSE}</definedName>
    <definedName name="zaCQW" localSheetId="18" hidden="1">{"turnover",#N/A,FALSE;"profits",#N/A,FALSE;"cash",#N/A,FALSE}</definedName>
    <definedName name="zaCQW" localSheetId="14" hidden="1">{"turnover",#N/A,FALSE;"profits",#N/A,FALSE;"cash",#N/A,FALSE}</definedName>
    <definedName name="zaCQW" localSheetId="12" hidden="1">{"turnover",#N/A,FALSE;"profits",#N/A,FALSE;"cash",#N/A,FALSE}</definedName>
    <definedName name="zaCQW" localSheetId="13" hidden="1">{"turnover",#N/A,FALSE;"profits",#N/A,FALSE;"cash",#N/A,FALSE}</definedName>
    <definedName name="zaCQW" hidden="1">{"turnover",#N/A,FALSE;"profits",#N/A,FALSE;"cash",#N/A,FALSE}</definedName>
    <definedName name="Záhlaví" localSheetId="14">#REF!</definedName>
    <definedName name="Záhlaví" localSheetId="12">#REF!</definedName>
    <definedName name="Záhlaví" localSheetId="1">#REF!</definedName>
    <definedName name="Záhlaví" localSheetId="13">#REF!</definedName>
    <definedName name="Záhlaví">#REF!</definedName>
    <definedName name="zaq" localSheetId="11" hidden="1">{#N/A,#N/A,FALSE,"Calc";#N/A,#N/A,FALSE,"Sensitivity";#N/A,#N/A,FALSE,"LT Earn.Dil.";#N/A,#N/A,FALSE,"Dil. AVP"}</definedName>
    <definedName name="zaq" localSheetId="15" hidden="1">{#N/A,#N/A,FALSE,"Calc";#N/A,#N/A,FALSE,"Sensitivity";#N/A,#N/A,FALSE,"LT Earn.Dil.";#N/A,#N/A,FALSE,"Dil. AVP"}</definedName>
    <definedName name="zaq" localSheetId="18" hidden="1">{#N/A,#N/A,FALSE,"Calc";#N/A,#N/A,FALSE,"Sensitivity";#N/A,#N/A,FALSE,"LT Earn.Dil.";#N/A,#N/A,FALSE,"Dil. AVP"}</definedName>
    <definedName name="zaq" localSheetId="14" hidden="1">{#N/A,#N/A,FALSE,"Calc";#N/A,#N/A,FALSE,"Sensitivity";#N/A,#N/A,FALSE,"LT Earn.Dil.";#N/A,#N/A,FALSE,"Dil. AVP"}</definedName>
    <definedName name="zaq" localSheetId="12" hidden="1">{#N/A,#N/A,FALSE,"Calc";#N/A,#N/A,FALSE,"Sensitivity";#N/A,#N/A,FALSE,"LT Earn.Dil.";#N/A,#N/A,FALSE,"Dil. AVP"}</definedName>
    <definedName name="zaq" localSheetId="13" hidden="1">{#N/A,#N/A,FALSE,"Calc";#N/A,#N/A,FALSE,"Sensitivity";#N/A,#N/A,FALSE,"LT Earn.Dil.";#N/A,#N/A,FALSE,"Dil. AVP"}</definedName>
    <definedName name="zaq" hidden="1">{#N/A,#N/A,FALSE,"Calc";#N/A,#N/A,FALSE,"Sensitivity";#N/A,#N/A,FALSE,"LT Earn.Dil.";#N/A,#N/A,FALSE,"Dil. AVP"}</definedName>
    <definedName name="zer" localSheetId="11" hidden="1">{#N/A,#N/A,FALSE,"Calc";#N/A,#N/A,FALSE,"Sensitivity";#N/A,#N/A,FALSE,"LT Earn.Dil.";#N/A,#N/A,FALSE,"Dil. AVP"}</definedName>
    <definedName name="zer" localSheetId="15" hidden="1">{#N/A,#N/A,FALSE,"Calc";#N/A,#N/A,FALSE,"Sensitivity";#N/A,#N/A,FALSE,"LT Earn.Dil.";#N/A,#N/A,FALSE,"Dil. AVP"}</definedName>
    <definedName name="zer" localSheetId="18" hidden="1">{#N/A,#N/A,FALSE,"Calc";#N/A,#N/A,FALSE,"Sensitivity";#N/A,#N/A,FALSE,"LT Earn.Dil.";#N/A,#N/A,FALSE,"Dil. AVP"}</definedName>
    <definedName name="zer" localSheetId="14" hidden="1">{#N/A,#N/A,FALSE,"Calc";#N/A,#N/A,FALSE,"Sensitivity";#N/A,#N/A,FALSE,"LT Earn.Dil.";#N/A,#N/A,FALSE,"Dil. AVP"}</definedName>
    <definedName name="zer" localSheetId="12" hidden="1">{#N/A,#N/A,FALSE,"Calc";#N/A,#N/A,FALSE,"Sensitivity";#N/A,#N/A,FALSE,"LT Earn.Dil.";#N/A,#N/A,FALSE,"Dil. AVP"}</definedName>
    <definedName name="zer" localSheetId="13" hidden="1">{#N/A,#N/A,FALSE,"Calc";#N/A,#N/A,FALSE,"Sensitivity";#N/A,#N/A,FALSE,"LT Earn.Dil.";#N/A,#N/A,FALSE,"Dil. AVP"}</definedName>
    <definedName name="zer" hidden="1">{#N/A,#N/A,FALSE,"Calc";#N/A,#N/A,FALSE,"Sensitivity";#N/A,#N/A,FALSE,"LT Earn.Dil.";#N/A,#N/A,FALSE,"Dil. AVP"}</definedName>
    <definedName name="zzzz" localSheetId="18" hidden="1">{"'Sheet1'!$A$4386:$N$4591"}</definedName>
    <definedName name="zzzz" hidden="1">{"'Sheet1'!$A$4386:$N$4591"}</definedName>
    <definedName name="전체" localSheetId="14">#REF!</definedName>
    <definedName name="전체" localSheetId="12">#REF!</definedName>
    <definedName name="전체" localSheetId="1">#REF!</definedName>
    <definedName name="전체" localSheetId="13">#REF!</definedName>
    <definedName name="전체">#REF!</definedName>
  </definedNames>
  <calcPr calcId="191029"/>
  <pivotCaches>
    <pivotCache cacheId="6" r:id="rId10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90" i="20" l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507" i="20" s="1"/>
  <c r="B508" i="20" s="1"/>
  <c r="B509" i="20" s="1"/>
  <c r="B510" i="20" s="1"/>
  <c r="B511" i="20" s="1"/>
  <c r="B512" i="20" s="1"/>
  <c r="B513" i="20" s="1"/>
  <c r="B514" i="20" s="1"/>
  <c r="B515" i="20" s="1"/>
  <c r="B516" i="20" s="1"/>
  <c r="B517" i="20" s="1"/>
  <c r="B518" i="20" s="1"/>
  <c r="B519" i="20" s="1"/>
  <c r="B520" i="20" s="1"/>
  <c r="B521" i="20" s="1"/>
  <c r="B522" i="20" s="1"/>
  <c r="B523" i="20" s="1"/>
  <c r="B524" i="20" s="1"/>
  <c r="B525" i="20" s="1"/>
  <c r="B526" i="20" s="1"/>
  <c r="B451" i="20"/>
  <c r="B452" i="20" s="1"/>
  <c r="B453" i="20" s="1"/>
  <c r="B454" i="20" s="1"/>
  <c r="B455" i="20" s="1"/>
  <c r="B456" i="20" s="1"/>
  <c r="B457" i="20" s="1"/>
  <c r="B458" i="20" s="1"/>
  <c r="B459" i="20" s="1"/>
  <c r="B460" i="20" s="1"/>
  <c r="B461" i="20" s="1"/>
  <c r="B462" i="20" s="1"/>
  <c r="B463" i="20" s="1"/>
  <c r="B464" i="20" s="1"/>
  <c r="B465" i="20" s="1"/>
  <c r="B466" i="20" s="1"/>
  <c r="B467" i="20" s="1"/>
  <c r="B468" i="20" s="1"/>
  <c r="B469" i="20" s="1"/>
  <c r="B470" i="20" s="1"/>
  <c r="B471" i="20" s="1"/>
  <c r="B472" i="20" s="1"/>
  <c r="B473" i="20" s="1"/>
  <c r="B474" i="20" s="1"/>
  <c r="B475" i="20" s="1"/>
  <c r="B476" i="20" s="1"/>
  <c r="B477" i="20" s="1"/>
  <c r="B478" i="20" s="1"/>
  <c r="B479" i="20" s="1"/>
  <c r="B480" i="20" s="1"/>
  <c r="B481" i="20" s="1"/>
  <c r="B482" i="20" s="1"/>
  <c r="B483" i="20" s="1"/>
  <c r="B484" i="20" s="1"/>
  <c r="B485" i="20" s="1"/>
  <c r="B407" i="20"/>
  <c r="B408" i="20" s="1"/>
  <c r="B409" i="20" s="1"/>
  <c r="B410" i="20" s="1"/>
  <c r="B411" i="20" s="1"/>
  <c r="B412" i="20" s="1"/>
  <c r="B413" i="20" s="1"/>
  <c r="B414" i="20" s="1"/>
  <c r="B415" i="20" s="1"/>
  <c r="B416" i="20" s="1"/>
  <c r="B417" i="20" s="1"/>
  <c r="B418" i="20" s="1"/>
  <c r="B419" i="20" s="1"/>
  <c r="B420" i="20" s="1"/>
  <c r="B421" i="20" s="1"/>
  <c r="B422" i="20" s="1"/>
  <c r="B423" i="20" s="1"/>
  <c r="B424" i="20" s="1"/>
  <c r="B425" i="20" s="1"/>
  <c r="B426" i="20" s="1"/>
  <c r="B427" i="20" s="1"/>
  <c r="B428" i="20" s="1"/>
  <c r="B429" i="20" s="1"/>
  <c r="B430" i="20" s="1"/>
  <c r="B431" i="20" s="1"/>
  <c r="B432" i="20" s="1"/>
  <c r="B433" i="20" s="1"/>
  <c r="B434" i="20" s="1"/>
  <c r="B435" i="20" s="1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373" i="20"/>
  <c r="B374" i="20" s="1"/>
  <c r="B375" i="20" s="1"/>
  <c r="B376" i="20" s="1"/>
  <c r="B377" i="20" s="1"/>
  <c r="B378" i="20" s="1"/>
  <c r="B379" i="20" s="1"/>
  <c r="B380" i="20" s="1"/>
  <c r="B381" i="20" s="1"/>
  <c r="B382" i="20" s="1"/>
  <c r="B383" i="20" s="1"/>
  <c r="B384" i="20" s="1"/>
  <c r="B385" i="20" s="1"/>
  <c r="B386" i="20" s="1"/>
  <c r="B387" i="20" s="1"/>
  <c r="B388" i="20" s="1"/>
  <c r="B389" i="20" s="1"/>
  <c r="B390" i="20" s="1"/>
  <c r="B391" i="20" s="1"/>
  <c r="B392" i="20" s="1"/>
  <c r="B393" i="20" s="1"/>
  <c r="B394" i="20" s="1"/>
  <c r="B395" i="20" s="1"/>
  <c r="B339" i="20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63" i="20" s="1"/>
  <c r="B364" i="20" s="1"/>
  <c r="B365" i="20" s="1"/>
  <c r="B366" i="20" s="1"/>
  <c r="B367" i="20" s="1"/>
  <c r="B368" i="20" s="1"/>
  <c r="B7" i="20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43" i="20" s="1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67" i="20" s="1"/>
  <c r="B268" i="20" s="1"/>
  <c r="B269" i="20" s="1"/>
  <c r="B270" i="20" s="1"/>
  <c r="B271" i="20" s="1"/>
  <c r="B272" i="20" s="1"/>
  <c r="B273" i="20" s="1"/>
  <c r="B274" i="20" s="1"/>
  <c r="B275" i="20" s="1"/>
  <c r="B276" i="20" s="1"/>
  <c r="B277" i="20" s="1"/>
  <c r="B278" i="20" s="1"/>
  <c r="B279" i="20" s="1"/>
  <c r="B280" i="20" s="1"/>
  <c r="B281" i="20" s="1"/>
  <c r="B282" i="20" s="1"/>
  <c r="B283" i="20" s="1"/>
  <c r="B284" i="20" s="1"/>
  <c r="B285" i="20" s="1"/>
  <c r="B286" i="20" s="1"/>
  <c r="B287" i="20" s="1"/>
  <c r="B288" i="20" s="1"/>
  <c r="B289" i="20" s="1"/>
  <c r="B290" i="20" s="1"/>
  <c r="B291" i="20" s="1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315" i="20" s="1"/>
  <c r="B316" i="20" s="1"/>
  <c r="B317" i="20" s="1"/>
  <c r="B318" i="20" s="1"/>
  <c r="B319" i="20" s="1"/>
  <c r="B320" i="20" s="1"/>
  <c r="B321" i="20" s="1"/>
  <c r="B322" i="20" s="1"/>
  <c r="B323" i="20" s="1"/>
  <c r="B324" i="20" s="1"/>
  <c r="B325" i="20" s="1"/>
  <c r="B326" i="20" s="1"/>
  <c r="B327" i="20" s="1"/>
  <c r="B328" i="20" s="1"/>
  <c r="B329" i="20" s="1"/>
  <c r="B330" i="20" s="1"/>
  <c r="B331" i="20" s="1"/>
  <c r="B332" i="20" s="1"/>
  <c r="B333" i="20" s="1"/>
  <c r="B334" i="20" s="1"/>
  <c r="J13" i="9"/>
  <c r="M281" i="17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K283" i="20"/>
  <c r="K282" i="20"/>
  <c r="K281" i="20"/>
  <c r="J283" i="20"/>
  <c r="J282" i="20"/>
  <c r="J281" i="20"/>
  <c r="K280" i="20"/>
  <c r="K279" i="20"/>
  <c r="K278" i="20"/>
  <c r="K277" i="20"/>
  <c r="K276" i="20"/>
  <c r="J280" i="20"/>
  <c r="J279" i="20"/>
  <c r="J278" i="20"/>
  <c r="J277" i="20"/>
  <c r="J276" i="20"/>
  <c r="K275" i="20"/>
  <c r="K274" i="20"/>
  <c r="K273" i="20"/>
  <c r="K272" i="20"/>
  <c r="K271" i="20"/>
  <c r="K270" i="20"/>
  <c r="K269" i="20"/>
  <c r="K268" i="20"/>
  <c r="K267" i="20"/>
  <c r="K266" i="20"/>
  <c r="J275" i="20"/>
  <c r="J274" i="20"/>
  <c r="J273" i="20"/>
  <c r="J272" i="20"/>
  <c r="J271" i="20"/>
  <c r="J270" i="20"/>
  <c r="J269" i="20"/>
  <c r="J268" i="20"/>
  <c r="J267" i="20"/>
  <c r="J266" i="20"/>
  <c r="K256" i="20"/>
  <c r="K255" i="20"/>
  <c r="J256" i="20"/>
  <c r="J255" i="20"/>
  <c r="K254" i="20"/>
  <c r="J254" i="20"/>
  <c r="K248" i="20"/>
  <c r="J248" i="20"/>
  <c r="K219" i="20"/>
  <c r="K218" i="20"/>
  <c r="J219" i="20"/>
  <c r="J218" i="20"/>
  <c r="K212" i="20"/>
  <c r="K211" i="20"/>
  <c r="J212" i="20"/>
  <c r="J211" i="20"/>
  <c r="K204" i="20"/>
  <c r="K203" i="20"/>
  <c r="K202" i="20"/>
  <c r="K201" i="20"/>
  <c r="K200" i="20"/>
  <c r="J204" i="20"/>
  <c r="J203" i="20"/>
  <c r="J202" i="20"/>
  <c r="J201" i="20"/>
  <c r="J200" i="20"/>
  <c r="K195" i="20"/>
  <c r="J19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K89" i="20"/>
  <c r="K88" i="20"/>
  <c r="K87" i="20"/>
  <c r="J89" i="20"/>
  <c r="J88" i="20"/>
  <c r="J87" i="20"/>
  <c r="K85" i="20"/>
  <c r="K86" i="20"/>
  <c r="J86" i="20"/>
  <c r="J85" i="20"/>
  <c r="K68" i="20"/>
  <c r="K67" i="20"/>
  <c r="J68" i="20"/>
  <c r="J67" i="20"/>
  <c r="K41" i="20"/>
  <c r="J41" i="20"/>
  <c r="J9" i="20"/>
  <c r="K253" i="20"/>
  <c r="K252" i="20"/>
  <c r="K251" i="20"/>
  <c r="K250" i="20"/>
  <c r="K249" i="20"/>
  <c r="O41" i="20" l="1"/>
  <c r="T570" i="20" l="1"/>
  <c r="T558" i="20"/>
  <c r="T563" i="20"/>
  <c r="T561" i="20"/>
  <c r="T552" i="20"/>
  <c r="O9" i="20"/>
  <c r="T559" i="20"/>
  <c r="T555" i="20"/>
  <c r="O113" i="20"/>
  <c r="J481" i="20"/>
  <c r="O481" i="20" s="1"/>
  <c r="I481" i="20"/>
  <c r="P481" i="20" s="1"/>
  <c r="R481" i="20" s="1"/>
  <c r="U481" i="20" l="1"/>
  <c r="V481" i="20"/>
  <c r="S481" i="20"/>
  <c r="T481" i="20" s="1"/>
  <c r="G13" i="6" l="1"/>
  <c r="I69" i="20" l="1"/>
  <c r="I9" i="20" l="1"/>
  <c r="P9" i="20" s="1"/>
  <c r="R9" i="20" s="1"/>
  <c r="O8" i="20"/>
  <c r="S578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199" i="20"/>
  <c r="O198" i="20"/>
  <c r="O197" i="20"/>
  <c r="O196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7" i="20"/>
  <c r="O136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0" i="20"/>
  <c r="O39" i="20"/>
  <c r="O38" i="20"/>
  <c r="O37" i="20"/>
  <c r="O36" i="20"/>
  <c r="O35" i="20"/>
  <c r="O34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7" i="20"/>
  <c r="O6" i="20"/>
  <c r="O5" i="20"/>
  <c r="I86" i="20"/>
  <c r="V86" i="20" s="1"/>
  <c r="I85" i="20"/>
  <c r="V85" i="20" s="1"/>
  <c r="S254" i="20"/>
  <c r="O283" i="20"/>
  <c r="O282" i="20"/>
  <c r="O281" i="20"/>
  <c r="O280" i="20"/>
  <c r="O279" i="20"/>
  <c r="O278" i="20"/>
  <c r="O277" i="20"/>
  <c r="O276" i="20"/>
  <c r="U9" i="20" l="1"/>
  <c r="V9" i="20"/>
  <c r="S9" i="20"/>
  <c r="T9" i="20" s="1"/>
  <c r="U85" i="20"/>
  <c r="U86" i="20"/>
  <c r="K553" i="20"/>
  <c r="K574" i="20"/>
  <c r="K573" i="20"/>
  <c r="K572" i="20"/>
  <c r="K571" i="20"/>
  <c r="K570" i="20"/>
  <c r="K569" i="20"/>
  <c r="K568" i="20"/>
  <c r="K567" i="20"/>
  <c r="K566" i="20"/>
  <c r="K565" i="20"/>
  <c r="K564" i="20"/>
  <c r="K563" i="20"/>
  <c r="K562" i="20"/>
  <c r="K561" i="20"/>
  <c r="K560" i="20"/>
  <c r="K559" i="20"/>
  <c r="K558" i="20"/>
  <c r="K557" i="20"/>
  <c r="K556" i="20"/>
  <c r="K555" i="20"/>
  <c r="K554" i="20"/>
  <c r="K552" i="20"/>
  <c r="K551" i="20"/>
  <c r="K550" i="20"/>
  <c r="K549" i="20"/>
  <c r="K548" i="20"/>
  <c r="K547" i="20"/>
  <c r="K335" i="20"/>
  <c r="K531" i="20" s="1"/>
  <c r="O310" i="20"/>
  <c r="O275" i="20"/>
  <c r="O274" i="20"/>
  <c r="O273" i="20"/>
  <c r="O272" i="20"/>
  <c r="O271" i="20"/>
  <c r="O270" i="20"/>
  <c r="O269" i="20"/>
  <c r="O268" i="20"/>
  <c r="O267" i="20"/>
  <c r="O266" i="20"/>
  <c r="J249" i="20"/>
  <c r="O249" i="20" s="1"/>
  <c r="O248" i="20"/>
  <c r="O219" i="20"/>
  <c r="O218" i="20"/>
  <c r="O202" i="20"/>
  <c r="O203" i="20"/>
  <c r="O204" i="20"/>
  <c r="O201" i="20"/>
  <c r="O200" i="20"/>
  <c r="J135" i="20"/>
  <c r="O135" i="20" s="1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67" i="20"/>
  <c r="O68" i="20"/>
  <c r="K575" i="20" l="1"/>
  <c r="O507" i="20"/>
  <c r="I507" i="20"/>
  <c r="U507" i="20" s="1"/>
  <c r="T547" i="20"/>
  <c r="V507" i="20" l="1"/>
  <c r="P507" i="20"/>
  <c r="R507" i="20" s="1"/>
  <c r="S507" i="20" l="1"/>
  <c r="T507" i="20" s="1"/>
  <c r="N530" i="20" l="1"/>
  <c r="M530" i="20"/>
  <c r="L530" i="20"/>
  <c r="J530" i="20"/>
  <c r="S540" i="20"/>
  <c r="V552" i="20"/>
  <c r="J403" i="20"/>
  <c r="O402" i="20"/>
  <c r="T402" i="20" s="1"/>
  <c r="I402" i="20"/>
  <c r="J247" i="20"/>
  <c r="O247" i="20" s="1"/>
  <c r="J246" i="20"/>
  <c r="O246" i="20" s="1"/>
  <c r="N439" i="20"/>
  <c r="O439" i="20" s="1"/>
  <c r="I439" i="20"/>
  <c r="U439" i="20" s="1"/>
  <c r="O525" i="20"/>
  <c r="I525" i="20"/>
  <c r="U525" i="20" s="1"/>
  <c r="O524" i="20"/>
  <c r="I524" i="20"/>
  <c r="P524" i="20" s="1"/>
  <c r="R524" i="20" s="1"/>
  <c r="N480" i="20"/>
  <c r="O480" i="20" s="1"/>
  <c r="I480" i="20"/>
  <c r="P480" i="20" s="1"/>
  <c r="R480" i="20" s="1"/>
  <c r="I235" i="20"/>
  <c r="P235" i="20" s="1"/>
  <c r="R235" i="20" s="1"/>
  <c r="I234" i="20"/>
  <c r="P234" i="20" s="1"/>
  <c r="R234" i="20" s="1"/>
  <c r="V402" i="20" l="1"/>
  <c r="P439" i="20"/>
  <c r="R439" i="20" s="1"/>
  <c r="V524" i="20"/>
  <c r="V439" i="20"/>
  <c r="P525" i="20"/>
  <c r="R525" i="20" s="1"/>
  <c r="U524" i="20"/>
  <c r="V525" i="20"/>
  <c r="S524" i="20"/>
  <c r="T524" i="20" s="1"/>
  <c r="V480" i="20"/>
  <c r="S480" i="20"/>
  <c r="T480" i="20" s="1"/>
  <c r="S235" i="20"/>
  <c r="T235" i="20" s="1"/>
  <c r="U480" i="20"/>
  <c r="U234" i="20"/>
  <c r="V235" i="20"/>
  <c r="S234" i="20"/>
  <c r="T234" i="20" s="1"/>
  <c r="V234" i="20"/>
  <c r="U235" i="20"/>
  <c r="S439" i="20" l="1"/>
  <c r="T439" i="20" s="1"/>
  <c r="S525" i="20"/>
  <c r="T525" i="20" s="1"/>
  <c r="O195" i="20" l="1"/>
  <c r="I192" i="20"/>
  <c r="U192" i="20" s="1"/>
  <c r="I191" i="20"/>
  <c r="U191" i="20" s="1"/>
  <c r="P192" i="20" l="1"/>
  <c r="R192" i="20" s="1"/>
  <c r="P191" i="20"/>
  <c r="R191" i="20" s="1"/>
  <c r="V191" i="20"/>
  <c r="V192" i="20"/>
  <c r="S192" i="20" l="1"/>
  <c r="T192" i="20" s="1"/>
  <c r="S191" i="20"/>
  <c r="T191" i="20" s="1"/>
  <c r="N384" i="20"/>
  <c r="O384" i="20" s="1"/>
  <c r="N385" i="20"/>
  <c r="O385" i="20" s="1"/>
  <c r="I385" i="20"/>
  <c r="P385" i="20" s="1"/>
  <c r="R385" i="20" s="1"/>
  <c r="I384" i="20"/>
  <c r="P384" i="20" s="1"/>
  <c r="R384" i="20" s="1"/>
  <c r="J139" i="20"/>
  <c r="J138" i="20"/>
  <c r="I139" i="20"/>
  <c r="I138" i="20"/>
  <c r="P138" i="20" s="1"/>
  <c r="R138" i="20" s="1"/>
  <c r="N139" i="20" l="1"/>
  <c r="O139" i="20" s="1"/>
  <c r="V139" i="20" s="1"/>
  <c r="N138" i="20"/>
  <c r="O138" i="20" s="1"/>
  <c r="V384" i="20"/>
  <c r="U384" i="20"/>
  <c r="S385" i="20"/>
  <c r="T385" i="20" s="1"/>
  <c r="U385" i="20"/>
  <c r="V385" i="20"/>
  <c r="S384" i="20"/>
  <c r="T384" i="20" s="1"/>
  <c r="U138" i="20"/>
  <c r="U139" i="20"/>
  <c r="P139" i="20"/>
  <c r="R139" i="20" s="1"/>
  <c r="S138" i="20" l="1"/>
  <c r="T138" i="20" s="1"/>
  <c r="V138" i="20"/>
  <c r="S139" i="20"/>
  <c r="T139" i="20" s="1"/>
  <c r="O456" i="20"/>
  <c r="I456" i="20"/>
  <c r="I70" i="20"/>
  <c r="P70" i="20" s="1"/>
  <c r="R70" i="20" s="1"/>
  <c r="T553" i="20"/>
  <c r="T575" i="20" s="1"/>
  <c r="P33" i="20"/>
  <c r="R33" i="20" s="1"/>
  <c r="J33" i="20"/>
  <c r="J32" i="20"/>
  <c r="O32" i="20" s="1"/>
  <c r="J31" i="20"/>
  <c r="O31" i="20" s="1"/>
  <c r="U33" i="20"/>
  <c r="U32" i="20"/>
  <c r="P32" i="20"/>
  <c r="R32" i="20" s="1"/>
  <c r="U31" i="20"/>
  <c r="P31" i="20"/>
  <c r="R31" i="20" s="1"/>
  <c r="R549" i="20"/>
  <c r="P549" i="20"/>
  <c r="O549" i="20"/>
  <c r="R548" i="20"/>
  <c r="Q548" i="20"/>
  <c r="P548" i="20"/>
  <c r="O548" i="20"/>
  <c r="N548" i="20"/>
  <c r="M548" i="20"/>
  <c r="L548" i="20"/>
  <c r="U15" i="20"/>
  <c r="P15" i="20"/>
  <c r="U14" i="20"/>
  <c r="P14" i="20"/>
  <c r="R14" i="20" s="1"/>
  <c r="U13" i="20"/>
  <c r="P13" i="20"/>
  <c r="V15" i="20"/>
  <c r="V14" i="20"/>
  <c r="V13" i="20"/>
  <c r="V12" i="20"/>
  <c r="N12" i="9"/>
  <c r="N10" i="9"/>
  <c r="N9" i="9"/>
  <c r="N6" i="9"/>
  <c r="O6" i="9"/>
  <c r="E225" i="11"/>
  <c r="O33" i="20" l="1"/>
  <c r="V33" i="20" s="1"/>
  <c r="V456" i="20"/>
  <c r="V69" i="20"/>
  <c r="P456" i="20"/>
  <c r="U456" i="20"/>
  <c r="P69" i="20"/>
  <c r="U69" i="20"/>
  <c r="S32" i="20"/>
  <c r="T32" i="20" s="1"/>
  <c r="S70" i="20"/>
  <c r="T70" i="20" s="1"/>
  <c r="U70" i="20"/>
  <c r="V70" i="20"/>
  <c r="V32" i="20"/>
  <c r="V31" i="20"/>
  <c r="S31" i="20"/>
  <c r="T31" i="20" s="1"/>
  <c r="J548" i="20"/>
  <c r="S14" i="20"/>
  <c r="T14" i="20" s="1"/>
  <c r="S15" i="20"/>
  <c r="T15" i="20" s="1"/>
  <c r="S13" i="20"/>
  <c r="T13" i="20" s="1"/>
  <c r="R13" i="20"/>
  <c r="R15" i="20"/>
  <c r="P12" i="20"/>
  <c r="R12" i="20" s="1"/>
  <c r="U12" i="20"/>
  <c r="S33" i="20" l="1"/>
  <c r="T33" i="20" s="1"/>
  <c r="S548" i="20"/>
  <c r="U548" i="20" s="1"/>
  <c r="S456" i="20"/>
  <c r="T456" i="20" s="1"/>
  <c r="R456" i="20"/>
  <c r="R69" i="20"/>
  <c r="S69" i="20"/>
  <c r="T69" i="20" s="1"/>
  <c r="S12" i="20"/>
  <c r="T12" i="20" s="1"/>
  <c r="M16" i="6"/>
  <c r="K16" i="6"/>
  <c r="J16" i="6"/>
  <c r="G21" i="5" s="1"/>
  <c r="I16" i="6"/>
  <c r="L15" i="6"/>
  <c r="L16" i="6" s="1"/>
  <c r="G15" i="6"/>
  <c r="H15" i="6" s="1"/>
  <c r="H16" i="6" s="1"/>
  <c r="L13" i="6"/>
  <c r="J13" i="6"/>
  <c r="G18" i="5" s="1"/>
  <c r="K576" i="20"/>
  <c r="J23" i="15"/>
  <c r="J18" i="15"/>
  <c r="J17" i="15"/>
  <c r="J16" i="15"/>
  <c r="J15" i="15"/>
  <c r="J14" i="15"/>
  <c r="J13" i="15"/>
  <c r="J12" i="15"/>
  <c r="K10" i="6"/>
  <c r="I10" i="6"/>
  <c r="M10" i="6" s="1"/>
  <c r="H1829" i="12"/>
  <c r="T1832" i="12"/>
  <c r="O1832" i="12"/>
  <c r="Q1832" i="12" s="1"/>
  <c r="R1832" i="12" s="1"/>
  <c r="S1832" i="12" s="1"/>
  <c r="K1832" i="12"/>
  <c r="U1832" i="12" s="1"/>
  <c r="K7" i="6"/>
  <c r="I7" i="6"/>
  <c r="M7" i="6" s="1"/>
  <c r="J1019" i="12"/>
  <c r="J1018" i="12"/>
  <c r="K11" i="6"/>
  <c r="K9" i="6"/>
  <c r="K8" i="6"/>
  <c r="I12" i="6"/>
  <c r="M12" i="6" s="1"/>
  <c r="I11" i="6"/>
  <c r="M11" i="6" s="1"/>
  <c r="I9" i="6"/>
  <c r="M9" i="6" s="1"/>
  <c r="J12" i="6"/>
  <c r="K12" i="6" s="1"/>
  <c r="H6" i="6"/>
  <c r="I6" i="6" s="1"/>
  <c r="M6" i="6" s="1"/>
  <c r="H5" i="6"/>
  <c r="K6" i="6"/>
  <c r="K5" i="6"/>
  <c r="M1019" i="12"/>
  <c r="F27" i="7"/>
  <c r="F23" i="7"/>
  <c r="G13" i="7"/>
  <c r="G12" i="7"/>
  <c r="D27" i="7"/>
  <c r="E13" i="7"/>
  <c r="H13" i="6" l="1"/>
  <c r="S576" i="20"/>
  <c r="K577" i="20"/>
  <c r="G16" i="6"/>
  <c r="K13" i="6"/>
  <c r="K19" i="6" s="1"/>
  <c r="L19" i="6"/>
  <c r="L11" i="9"/>
  <c r="J16" i="3"/>
  <c r="J13" i="3"/>
  <c r="L8" i="9"/>
  <c r="H19" i="6"/>
  <c r="J19" i="6"/>
  <c r="E13" i="3"/>
  <c r="F8" i="9"/>
  <c r="G19" i="6"/>
  <c r="E16" i="3"/>
  <c r="V1832" i="12"/>
  <c r="X1832" i="12" s="1"/>
  <c r="D10" i="7"/>
  <c r="M538" i="20"/>
  <c r="L538" i="20"/>
  <c r="T577" i="20"/>
  <c r="R574" i="20"/>
  <c r="Q574" i="20"/>
  <c r="P574" i="20"/>
  <c r="O574" i="20"/>
  <c r="N574" i="20"/>
  <c r="M574" i="20"/>
  <c r="L574" i="20"/>
  <c r="R573" i="20"/>
  <c r="Q573" i="20"/>
  <c r="P573" i="20"/>
  <c r="O573" i="20"/>
  <c r="N573" i="20"/>
  <c r="L573" i="20"/>
  <c r="R572" i="20"/>
  <c r="Q572" i="20"/>
  <c r="P572" i="20"/>
  <c r="O572" i="20"/>
  <c r="N572" i="20"/>
  <c r="L572" i="20"/>
  <c r="J572" i="20"/>
  <c r="R571" i="20"/>
  <c r="Q571" i="20"/>
  <c r="P571" i="20"/>
  <c r="O571" i="20"/>
  <c r="N571" i="20"/>
  <c r="M571" i="20"/>
  <c r="L571" i="20"/>
  <c r="R570" i="20"/>
  <c r="P570" i="20"/>
  <c r="O570" i="20"/>
  <c r="L570" i="20"/>
  <c r="R569" i="20"/>
  <c r="P569" i="20"/>
  <c r="O569" i="20"/>
  <c r="N569" i="20"/>
  <c r="M569" i="20"/>
  <c r="J569" i="20"/>
  <c r="R568" i="20"/>
  <c r="Q568" i="20"/>
  <c r="P568" i="20"/>
  <c r="O568" i="20"/>
  <c r="N568" i="20"/>
  <c r="L568" i="20"/>
  <c r="J568" i="20"/>
  <c r="R567" i="20"/>
  <c r="Q567" i="20"/>
  <c r="P567" i="20"/>
  <c r="O567" i="20"/>
  <c r="N567" i="20"/>
  <c r="M567" i="20"/>
  <c r="L567" i="20"/>
  <c r="J567" i="20"/>
  <c r="R566" i="20"/>
  <c r="P566" i="20"/>
  <c r="O566" i="20"/>
  <c r="M566" i="20"/>
  <c r="R565" i="20"/>
  <c r="Q565" i="20"/>
  <c r="P565" i="20"/>
  <c r="O565" i="20"/>
  <c r="N565" i="20"/>
  <c r="M565" i="20"/>
  <c r="J565" i="20"/>
  <c r="R564" i="20"/>
  <c r="Q564" i="20"/>
  <c r="P564" i="20"/>
  <c r="O564" i="20"/>
  <c r="N564" i="20"/>
  <c r="M564" i="20"/>
  <c r="L564" i="20"/>
  <c r="J564" i="20"/>
  <c r="R563" i="20"/>
  <c r="P563" i="20"/>
  <c r="O563" i="20"/>
  <c r="N563" i="20"/>
  <c r="R562" i="20"/>
  <c r="Q562" i="20"/>
  <c r="P562" i="20"/>
  <c r="O562" i="20"/>
  <c r="N562" i="20"/>
  <c r="L562" i="20"/>
  <c r="J562" i="20"/>
  <c r="R561" i="20"/>
  <c r="Q561" i="20"/>
  <c r="P561" i="20"/>
  <c r="O561" i="20"/>
  <c r="N561" i="20"/>
  <c r="M561" i="20"/>
  <c r="R560" i="20"/>
  <c r="Q560" i="20"/>
  <c r="P560" i="20"/>
  <c r="O560" i="20"/>
  <c r="N560" i="20"/>
  <c r="M560" i="20"/>
  <c r="L560" i="20"/>
  <c r="J560" i="20"/>
  <c r="R559" i="20"/>
  <c r="Q559" i="20"/>
  <c r="O559" i="20"/>
  <c r="N559" i="20"/>
  <c r="M559" i="20"/>
  <c r="L559" i="20"/>
  <c r="R558" i="20"/>
  <c r="N558" i="20"/>
  <c r="L558" i="20"/>
  <c r="R557" i="20"/>
  <c r="Q557" i="20"/>
  <c r="P557" i="20"/>
  <c r="O557" i="20"/>
  <c r="M557" i="20"/>
  <c r="L557" i="20"/>
  <c r="R556" i="20"/>
  <c r="Q556" i="20"/>
  <c r="P556" i="20"/>
  <c r="O556" i="20"/>
  <c r="N556" i="20"/>
  <c r="L556" i="20"/>
  <c r="R555" i="20"/>
  <c r="Q555" i="20"/>
  <c r="O555" i="20"/>
  <c r="R554" i="20"/>
  <c r="Q554" i="20"/>
  <c r="P554" i="20"/>
  <c r="O554" i="20"/>
  <c r="N554" i="20"/>
  <c r="M554" i="20"/>
  <c r="L554" i="20"/>
  <c r="R553" i="20"/>
  <c r="P553" i="20"/>
  <c r="O553" i="20"/>
  <c r="Q552" i="20"/>
  <c r="O552" i="20"/>
  <c r="R551" i="20"/>
  <c r="P551" i="20"/>
  <c r="O551" i="20"/>
  <c r="R550" i="20"/>
  <c r="Q550" i="20"/>
  <c r="P550" i="20"/>
  <c r="O550" i="20"/>
  <c r="M550" i="20"/>
  <c r="L550" i="20"/>
  <c r="G550" i="20"/>
  <c r="G551" i="20" s="1"/>
  <c r="G552" i="20" s="1"/>
  <c r="G553" i="20" s="1"/>
  <c r="G554" i="20" s="1"/>
  <c r="G555" i="20" s="1"/>
  <c r="G556" i="20" s="1"/>
  <c r="G557" i="20" s="1"/>
  <c r="G558" i="20" s="1"/>
  <c r="G559" i="20" s="1"/>
  <c r="G560" i="20" s="1"/>
  <c r="G561" i="20" s="1"/>
  <c r="G562" i="20" s="1"/>
  <c r="G563" i="20" s="1"/>
  <c r="G564" i="20" s="1"/>
  <c r="G565" i="20" s="1"/>
  <c r="G566" i="20" s="1"/>
  <c r="G567" i="20" s="1"/>
  <c r="G568" i="20" s="1"/>
  <c r="G569" i="20" s="1"/>
  <c r="G570" i="20" s="1"/>
  <c r="G571" i="20" s="1"/>
  <c r="G572" i="20" s="1"/>
  <c r="G573" i="20" s="1"/>
  <c r="G574" i="20" s="1"/>
  <c r="R547" i="20"/>
  <c r="P547" i="20"/>
  <c r="O547" i="20"/>
  <c r="M547" i="20"/>
  <c r="L547" i="20"/>
  <c r="P542" i="20"/>
  <c r="N538" i="20"/>
  <c r="J538" i="20"/>
  <c r="R529" i="20"/>
  <c r="O529" i="20"/>
  <c r="I529" i="20"/>
  <c r="V528" i="20"/>
  <c r="O528" i="20"/>
  <c r="N527" i="20"/>
  <c r="N535" i="20" s="1"/>
  <c r="M527" i="20"/>
  <c r="M535" i="20" s="1"/>
  <c r="J527" i="20"/>
  <c r="J535" i="20" s="1"/>
  <c r="R526" i="20"/>
  <c r="O526" i="20"/>
  <c r="I526" i="20"/>
  <c r="O523" i="20"/>
  <c r="I523" i="20"/>
  <c r="L522" i="20"/>
  <c r="O522" i="20" s="1"/>
  <c r="I522" i="20"/>
  <c r="O521" i="20"/>
  <c r="I521" i="20"/>
  <c r="O520" i="20"/>
  <c r="I520" i="20"/>
  <c r="O519" i="20"/>
  <c r="I519" i="20"/>
  <c r="O518" i="20"/>
  <c r="I518" i="20"/>
  <c r="U518" i="20" s="1"/>
  <c r="O517" i="20"/>
  <c r="I517" i="20"/>
  <c r="V517" i="20" s="1"/>
  <c r="O516" i="20"/>
  <c r="I516" i="20"/>
  <c r="P516" i="20" s="1"/>
  <c r="R516" i="20" s="1"/>
  <c r="O515" i="20"/>
  <c r="I515" i="20"/>
  <c r="O514" i="20"/>
  <c r="I514" i="20"/>
  <c r="O513" i="20"/>
  <c r="I513" i="20"/>
  <c r="O512" i="20"/>
  <c r="I512" i="20"/>
  <c r="O511" i="20"/>
  <c r="I511" i="20"/>
  <c r="R510" i="20"/>
  <c r="O510" i="20"/>
  <c r="S510" i="20" s="1"/>
  <c r="I510" i="20"/>
  <c r="U510" i="20" s="1"/>
  <c r="R509" i="20"/>
  <c r="O509" i="20"/>
  <c r="S509" i="20" s="1"/>
  <c r="T509" i="20" s="1"/>
  <c r="I509" i="20"/>
  <c r="R508" i="20"/>
  <c r="O508" i="20"/>
  <c r="S508" i="20" s="1"/>
  <c r="I508" i="20"/>
  <c r="O506" i="20"/>
  <c r="I506" i="20"/>
  <c r="R505" i="20"/>
  <c r="O505" i="20"/>
  <c r="S505" i="20" s="1"/>
  <c r="I505" i="20"/>
  <c r="R504" i="20"/>
  <c r="O504" i="20"/>
  <c r="I504" i="20"/>
  <c r="U504" i="20" s="1"/>
  <c r="R503" i="20"/>
  <c r="O503" i="20"/>
  <c r="S503" i="20" s="1"/>
  <c r="I503" i="20"/>
  <c r="O502" i="20"/>
  <c r="I502" i="20"/>
  <c r="O501" i="20"/>
  <c r="I501" i="20"/>
  <c r="L500" i="20"/>
  <c r="O500" i="20" s="1"/>
  <c r="I500" i="20"/>
  <c r="V500" i="20" s="1"/>
  <c r="O499" i="20"/>
  <c r="I499" i="20"/>
  <c r="R498" i="20"/>
  <c r="O498" i="20"/>
  <c r="I498" i="20"/>
  <c r="O497" i="20"/>
  <c r="I497" i="20"/>
  <c r="O496" i="20"/>
  <c r="I496" i="20"/>
  <c r="O495" i="20"/>
  <c r="I495" i="20"/>
  <c r="O494" i="20"/>
  <c r="I494" i="20"/>
  <c r="L493" i="20"/>
  <c r="O493" i="20" s="1"/>
  <c r="I493" i="20"/>
  <c r="R492" i="20"/>
  <c r="L492" i="20"/>
  <c r="O492" i="20" s="1"/>
  <c r="I492" i="20"/>
  <c r="O491" i="20"/>
  <c r="I491" i="20"/>
  <c r="P491" i="20" s="1"/>
  <c r="R491" i="20" s="1"/>
  <c r="O490" i="20"/>
  <c r="I490" i="20"/>
  <c r="O489" i="20"/>
  <c r="I489" i="20"/>
  <c r="O488" i="20"/>
  <c r="I488" i="20"/>
  <c r="N486" i="20"/>
  <c r="N536" i="20" s="1"/>
  <c r="M486" i="20"/>
  <c r="M536" i="20" s="1"/>
  <c r="L486" i="20"/>
  <c r="L536" i="20" s="1"/>
  <c r="J486" i="20"/>
  <c r="J536" i="20" s="1"/>
  <c r="O485" i="20"/>
  <c r="I485" i="20"/>
  <c r="O484" i="20"/>
  <c r="I484" i="20"/>
  <c r="V484" i="20" s="1"/>
  <c r="O483" i="20"/>
  <c r="I483" i="20"/>
  <c r="V483" i="20" s="1"/>
  <c r="O482" i="20"/>
  <c r="I482" i="20"/>
  <c r="V482" i="20" s="1"/>
  <c r="O479" i="20"/>
  <c r="I479" i="20"/>
  <c r="O478" i="20"/>
  <c r="I478" i="20"/>
  <c r="P478" i="20" s="1"/>
  <c r="R478" i="20" s="1"/>
  <c r="O477" i="20"/>
  <c r="I477" i="20"/>
  <c r="O476" i="20"/>
  <c r="I476" i="20"/>
  <c r="V476" i="20" s="1"/>
  <c r="O475" i="20"/>
  <c r="I475" i="20"/>
  <c r="O474" i="20"/>
  <c r="I474" i="20"/>
  <c r="V474" i="20" s="1"/>
  <c r="O473" i="20"/>
  <c r="I473" i="20"/>
  <c r="V473" i="20" s="1"/>
  <c r="O472" i="20"/>
  <c r="I472" i="20"/>
  <c r="O471" i="20"/>
  <c r="M556" i="20" s="1"/>
  <c r="I471" i="20"/>
  <c r="O470" i="20"/>
  <c r="I470" i="20"/>
  <c r="O469" i="20"/>
  <c r="I469" i="20"/>
  <c r="O468" i="20"/>
  <c r="I468" i="20"/>
  <c r="V468" i="20" s="1"/>
  <c r="O467" i="20"/>
  <c r="I467" i="20"/>
  <c r="V467" i="20" s="1"/>
  <c r="O466" i="20"/>
  <c r="I466" i="20"/>
  <c r="O465" i="20"/>
  <c r="I465" i="20"/>
  <c r="O464" i="20"/>
  <c r="I464" i="20"/>
  <c r="O463" i="20"/>
  <c r="I463" i="20"/>
  <c r="O462" i="20"/>
  <c r="I462" i="20"/>
  <c r="O461" i="20"/>
  <c r="I461" i="20"/>
  <c r="O460" i="20"/>
  <c r="I460" i="20"/>
  <c r="O459" i="20"/>
  <c r="I459" i="20"/>
  <c r="O458" i="20"/>
  <c r="I458" i="20"/>
  <c r="O457" i="20"/>
  <c r="I457" i="20"/>
  <c r="O455" i="20"/>
  <c r="I455" i="20"/>
  <c r="O454" i="20"/>
  <c r="I454" i="20"/>
  <c r="O453" i="20"/>
  <c r="I453" i="20"/>
  <c r="O452" i="20"/>
  <c r="I452" i="20"/>
  <c r="O451" i="20"/>
  <c r="I451" i="20"/>
  <c r="O450" i="20"/>
  <c r="I450" i="20"/>
  <c r="O449" i="20"/>
  <c r="M549" i="20" s="1"/>
  <c r="I449" i="20"/>
  <c r="M447" i="20"/>
  <c r="M541" i="20" s="1"/>
  <c r="L447" i="20"/>
  <c r="L541" i="20" s="1"/>
  <c r="O446" i="20"/>
  <c r="I446" i="20"/>
  <c r="P446" i="20" s="1"/>
  <c r="R446" i="20" s="1"/>
  <c r="O445" i="20"/>
  <c r="I445" i="20"/>
  <c r="V445" i="20" s="1"/>
  <c r="O444" i="20"/>
  <c r="I444" i="20"/>
  <c r="P444" i="20" s="1"/>
  <c r="O443" i="20"/>
  <c r="I443" i="20"/>
  <c r="O442" i="20"/>
  <c r="I442" i="20"/>
  <c r="V442" i="20" s="1"/>
  <c r="O441" i="20"/>
  <c r="I441" i="20"/>
  <c r="V441" i="20" s="1"/>
  <c r="O440" i="20"/>
  <c r="Q569" i="20" s="1"/>
  <c r="I440" i="20"/>
  <c r="O438" i="20"/>
  <c r="I438" i="20"/>
  <c r="U438" i="20" s="1"/>
  <c r="O437" i="20"/>
  <c r="I437" i="20"/>
  <c r="O436" i="20"/>
  <c r="I436" i="20"/>
  <c r="O435" i="20"/>
  <c r="I435" i="20"/>
  <c r="V435" i="20" s="1"/>
  <c r="O434" i="20"/>
  <c r="I434" i="20"/>
  <c r="P434" i="20" s="1"/>
  <c r="R434" i="20" s="1"/>
  <c r="O433" i="20"/>
  <c r="I433" i="20"/>
  <c r="O432" i="20"/>
  <c r="I432" i="20"/>
  <c r="V432" i="20" s="1"/>
  <c r="O431" i="20"/>
  <c r="I431" i="20"/>
  <c r="P431" i="20" s="1"/>
  <c r="R431" i="20" s="1"/>
  <c r="O430" i="20"/>
  <c r="I430" i="20"/>
  <c r="O429" i="20"/>
  <c r="I429" i="20"/>
  <c r="V429" i="20" s="1"/>
  <c r="O428" i="20"/>
  <c r="I428" i="20"/>
  <c r="O427" i="20"/>
  <c r="I427" i="20"/>
  <c r="O426" i="20"/>
  <c r="I426" i="20"/>
  <c r="V426" i="20" s="1"/>
  <c r="O425" i="20"/>
  <c r="I425" i="20"/>
  <c r="P425" i="20" s="1"/>
  <c r="R425" i="20" s="1"/>
  <c r="O424" i="20"/>
  <c r="I424" i="20"/>
  <c r="V424" i="20" s="1"/>
  <c r="O423" i="20"/>
  <c r="I423" i="20"/>
  <c r="V423" i="20" s="1"/>
  <c r="O422" i="20"/>
  <c r="I422" i="20"/>
  <c r="V422" i="20" s="1"/>
  <c r="O421" i="20"/>
  <c r="I421" i="20"/>
  <c r="V421" i="20" s="1"/>
  <c r="O420" i="20"/>
  <c r="I420" i="20"/>
  <c r="P420" i="20" s="1"/>
  <c r="R420" i="20" s="1"/>
  <c r="O419" i="20"/>
  <c r="I419" i="20"/>
  <c r="V419" i="20" s="1"/>
  <c r="O418" i="20"/>
  <c r="I418" i="20"/>
  <c r="U418" i="20" s="1"/>
  <c r="O417" i="20"/>
  <c r="I417" i="20"/>
  <c r="P417" i="20" s="1"/>
  <c r="R417" i="20" s="1"/>
  <c r="O416" i="20"/>
  <c r="I416" i="20"/>
  <c r="O415" i="20"/>
  <c r="I415" i="20"/>
  <c r="O414" i="20"/>
  <c r="I414" i="20"/>
  <c r="O413" i="20"/>
  <c r="I413" i="20"/>
  <c r="U413" i="20" s="1"/>
  <c r="O412" i="20"/>
  <c r="I412" i="20"/>
  <c r="V412" i="20" s="1"/>
  <c r="J411" i="20"/>
  <c r="I411" i="20"/>
  <c r="O410" i="20"/>
  <c r="I410" i="20"/>
  <c r="O409" i="20"/>
  <c r="I409" i="20"/>
  <c r="O408" i="20"/>
  <c r="I408" i="20"/>
  <c r="O407" i="20"/>
  <c r="I407" i="20"/>
  <c r="O406" i="20"/>
  <c r="I406" i="20"/>
  <c r="O405" i="20"/>
  <c r="I405" i="20"/>
  <c r="P405" i="20" s="1"/>
  <c r="R405" i="20" s="1"/>
  <c r="S403" i="20"/>
  <c r="N403" i="20"/>
  <c r="N540" i="20" s="1"/>
  <c r="M403" i="20"/>
  <c r="M540" i="20" s="1"/>
  <c r="L403" i="20"/>
  <c r="L540" i="20" s="1"/>
  <c r="J540" i="20"/>
  <c r="O401" i="20"/>
  <c r="T401" i="20" s="1"/>
  <c r="I401" i="20"/>
  <c r="V401" i="20" s="1"/>
  <c r="O400" i="20"/>
  <c r="I400" i="20"/>
  <c r="V400" i="20" s="1"/>
  <c r="O399" i="20"/>
  <c r="I399" i="20"/>
  <c r="V399" i="20" s="1"/>
  <c r="O398" i="20"/>
  <c r="I398" i="20"/>
  <c r="V398" i="20" s="1"/>
  <c r="N396" i="20"/>
  <c r="N539" i="20" s="1"/>
  <c r="M396" i="20"/>
  <c r="M539" i="20" s="1"/>
  <c r="L396" i="20"/>
  <c r="L539" i="20" s="1"/>
  <c r="J396" i="20"/>
  <c r="J539" i="20" s="1"/>
  <c r="O395" i="20"/>
  <c r="I395" i="20"/>
  <c r="O394" i="20"/>
  <c r="I394" i="20"/>
  <c r="O393" i="20"/>
  <c r="I393" i="20"/>
  <c r="O392" i="20"/>
  <c r="I392" i="20"/>
  <c r="O391" i="20"/>
  <c r="I391" i="20"/>
  <c r="O390" i="20"/>
  <c r="I390" i="20"/>
  <c r="O389" i="20"/>
  <c r="I389" i="20"/>
  <c r="P389" i="20" s="1"/>
  <c r="R389" i="20" s="1"/>
  <c r="O388" i="20"/>
  <c r="I388" i="20"/>
  <c r="U388" i="20" s="1"/>
  <c r="O387" i="20"/>
  <c r="I387" i="20"/>
  <c r="O386" i="20"/>
  <c r="I386" i="20"/>
  <c r="O383" i="20"/>
  <c r="I383" i="20"/>
  <c r="V383" i="20" s="1"/>
  <c r="O382" i="20"/>
  <c r="I382" i="20"/>
  <c r="O381" i="20"/>
  <c r="I381" i="20"/>
  <c r="V381" i="20" s="1"/>
  <c r="O380" i="20"/>
  <c r="I380" i="20"/>
  <c r="O379" i="20"/>
  <c r="I379" i="20"/>
  <c r="O378" i="20"/>
  <c r="I378" i="20"/>
  <c r="O377" i="20"/>
  <c r="I377" i="20"/>
  <c r="O376" i="20"/>
  <c r="I376" i="20"/>
  <c r="O375" i="20"/>
  <c r="I375" i="20"/>
  <c r="P375" i="20" s="1"/>
  <c r="R375" i="20" s="1"/>
  <c r="O374" i="20"/>
  <c r="I374" i="20"/>
  <c r="O373" i="20"/>
  <c r="I373" i="20"/>
  <c r="O372" i="20"/>
  <c r="I372" i="20"/>
  <c r="O371" i="20"/>
  <c r="I371" i="20"/>
  <c r="P371" i="20" s="1"/>
  <c r="R371" i="20" s="1"/>
  <c r="M369" i="20"/>
  <c r="M537" i="20" s="1"/>
  <c r="L369" i="20"/>
  <c r="L537" i="20" s="1"/>
  <c r="J369" i="20"/>
  <c r="J537" i="20" s="1"/>
  <c r="O368" i="20"/>
  <c r="I368" i="20"/>
  <c r="V368" i="20" s="1"/>
  <c r="O367" i="20"/>
  <c r="N566" i="20" s="1"/>
  <c r="I367" i="20"/>
  <c r="V367" i="20" s="1"/>
  <c r="N366" i="20"/>
  <c r="O366" i="20" s="1"/>
  <c r="I366" i="20"/>
  <c r="O365" i="20"/>
  <c r="I365" i="20"/>
  <c r="V365" i="20" s="1"/>
  <c r="O364" i="20"/>
  <c r="I364" i="20"/>
  <c r="V364" i="20" s="1"/>
  <c r="O363" i="20"/>
  <c r="I363" i="20"/>
  <c r="O362" i="20"/>
  <c r="I362" i="20"/>
  <c r="U362" i="20" s="1"/>
  <c r="O361" i="20"/>
  <c r="I361" i="20"/>
  <c r="O360" i="20"/>
  <c r="I360" i="20"/>
  <c r="V360" i="20" s="1"/>
  <c r="O359" i="20"/>
  <c r="I359" i="20"/>
  <c r="O358" i="20"/>
  <c r="I358" i="20"/>
  <c r="P358" i="20" s="1"/>
  <c r="R358" i="20" s="1"/>
  <c r="O357" i="20"/>
  <c r="I357" i="20"/>
  <c r="V357" i="20" s="1"/>
  <c r="N356" i="20"/>
  <c r="O356" i="20" s="1"/>
  <c r="I356" i="20"/>
  <c r="O355" i="20"/>
  <c r="I355" i="20"/>
  <c r="V355" i="20" s="1"/>
  <c r="O354" i="20"/>
  <c r="I354" i="20"/>
  <c r="P354" i="20" s="1"/>
  <c r="R354" i="20" s="1"/>
  <c r="O353" i="20"/>
  <c r="I353" i="20"/>
  <c r="V353" i="20" s="1"/>
  <c r="O352" i="20"/>
  <c r="I352" i="20"/>
  <c r="P352" i="20" s="1"/>
  <c r="R352" i="20" s="1"/>
  <c r="O351" i="20"/>
  <c r="I351" i="20"/>
  <c r="O350" i="20"/>
  <c r="I350" i="20"/>
  <c r="V350" i="20" s="1"/>
  <c r="O349" i="20"/>
  <c r="I349" i="20"/>
  <c r="V349" i="20" s="1"/>
  <c r="O348" i="20"/>
  <c r="I348" i="20"/>
  <c r="O347" i="20"/>
  <c r="I347" i="20"/>
  <c r="P347" i="20" s="1"/>
  <c r="R347" i="20" s="1"/>
  <c r="O346" i="20"/>
  <c r="I346" i="20"/>
  <c r="V346" i="20" s="1"/>
  <c r="O345" i="20"/>
  <c r="I345" i="20"/>
  <c r="V345" i="20" s="1"/>
  <c r="O344" i="20"/>
  <c r="I344" i="20"/>
  <c r="P344" i="20" s="1"/>
  <c r="R344" i="20" s="1"/>
  <c r="O343" i="20"/>
  <c r="I343" i="20"/>
  <c r="O342" i="20"/>
  <c r="I342" i="20"/>
  <c r="O341" i="20"/>
  <c r="I341" i="20"/>
  <c r="O340" i="20"/>
  <c r="I340" i="20"/>
  <c r="N339" i="20"/>
  <c r="O339" i="20" s="1"/>
  <c r="I339" i="20"/>
  <c r="O338" i="20"/>
  <c r="I338" i="20"/>
  <c r="V338" i="20" s="1"/>
  <c r="N337" i="20"/>
  <c r="I337" i="20"/>
  <c r="N335" i="20"/>
  <c r="M335" i="20"/>
  <c r="L335" i="20"/>
  <c r="I334" i="20"/>
  <c r="V334" i="20" s="1"/>
  <c r="I333" i="20"/>
  <c r="I332" i="20"/>
  <c r="I331" i="20"/>
  <c r="P331" i="20" s="1"/>
  <c r="R331" i="20" s="1"/>
  <c r="I330" i="20"/>
  <c r="V330" i="20" s="1"/>
  <c r="I329" i="20"/>
  <c r="V329" i="20" s="1"/>
  <c r="I328" i="20"/>
  <c r="V328" i="20" s="1"/>
  <c r="I327" i="20"/>
  <c r="V327" i="20" s="1"/>
  <c r="I326" i="20"/>
  <c r="V326" i="20" s="1"/>
  <c r="I325" i="20"/>
  <c r="V325" i="20" s="1"/>
  <c r="I324" i="20"/>
  <c r="I323" i="20"/>
  <c r="I322" i="20"/>
  <c r="V322" i="20" s="1"/>
  <c r="I321" i="20"/>
  <c r="I320" i="20"/>
  <c r="V320" i="20" s="1"/>
  <c r="I319" i="20"/>
  <c r="V319" i="20" s="1"/>
  <c r="I318" i="20"/>
  <c r="V318" i="20" s="1"/>
  <c r="I317" i="20"/>
  <c r="I316" i="20"/>
  <c r="I315" i="20"/>
  <c r="V315" i="20" s="1"/>
  <c r="I314" i="20"/>
  <c r="V314" i="20" s="1"/>
  <c r="I313" i="20"/>
  <c r="V313" i="20" s="1"/>
  <c r="I312" i="20"/>
  <c r="V312" i="20" s="1"/>
  <c r="I311" i="20"/>
  <c r="V311" i="20" s="1"/>
  <c r="I310" i="20"/>
  <c r="P310" i="20" s="1"/>
  <c r="R310" i="20" s="1"/>
  <c r="I309" i="20"/>
  <c r="V309" i="20" s="1"/>
  <c r="I308" i="20"/>
  <c r="V308" i="20" s="1"/>
  <c r="I307" i="20"/>
  <c r="I306" i="20"/>
  <c r="V306" i="20" s="1"/>
  <c r="I305" i="20"/>
  <c r="V305" i="20" s="1"/>
  <c r="I304" i="20"/>
  <c r="V304" i="20" s="1"/>
  <c r="I303" i="20"/>
  <c r="V303" i="20" s="1"/>
  <c r="I302" i="20"/>
  <c r="V302" i="20" s="1"/>
  <c r="I301" i="20"/>
  <c r="V301" i="20" s="1"/>
  <c r="I300" i="20"/>
  <c r="V300" i="20" s="1"/>
  <c r="I299" i="20"/>
  <c r="V299" i="20" s="1"/>
  <c r="I298" i="20"/>
  <c r="I297" i="20"/>
  <c r="V297" i="20" s="1"/>
  <c r="I296" i="20"/>
  <c r="V296" i="20" s="1"/>
  <c r="I295" i="20"/>
  <c r="V295" i="20" s="1"/>
  <c r="I294" i="20"/>
  <c r="V294" i="20" s="1"/>
  <c r="I293" i="20"/>
  <c r="V293" i="20" s="1"/>
  <c r="I292" i="20"/>
  <c r="V292" i="20" s="1"/>
  <c r="I291" i="20"/>
  <c r="V291" i="20" s="1"/>
  <c r="I290" i="20"/>
  <c r="V290" i="20" s="1"/>
  <c r="I289" i="20"/>
  <c r="V289" i="20" s="1"/>
  <c r="I288" i="20"/>
  <c r="V288" i="20" s="1"/>
  <c r="I287" i="20"/>
  <c r="I286" i="20"/>
  <c r="V286" i="20" s="1"/>
  <c r="I285" i="20"/>
  <c r="V285" i="20" s="1"/>
  <c r="I284" i="20"/>
  <c r="V284" i="20" s="1"/>
  <c r="I283" i="20"/>
  <c r="I282" i="20"/>
  <c r="V282" i="20" s="1"/>
  <c r="I281" i="20"/>
  <c r="V281" i="20" s="1"/>
  <c r="I280" i="20"/>
  <c r="V280" i="20" s="1"/>
  <c r="I279" i="20"/>
  <c r="V279" i="20" s="1"/>
  <c r="I278" i="20"/>
  <c r="V278" i="20" s="1"/>
  <c r="I277" i="20"/>
  <c r="V277" i="20" s="1"/>
  <c r="I276" i="20"/>
  <c r="V276" i="20" s="1"/>
  <c r="I275" i="20"/>
  <c r="V275" i="20" s="1"/>
  <c r="I274" i="20"/>
  <c r="V274" i="20" s="1"/>
  <c r="I273" i="20"/>
  <c r="V273" i="20" s="1"/>
  <c r="I272" i="20"/>
  <c r="I271" i="20"/>
  <c r="I270" i="20"/>
  <c r="V270" i="20" s="1"/>
  <c r="I269" i="20"/>
  <c r="V269" i="20" s="1"/>
  <c r="I268" i="20"/>
  <c r="V268" i="20" s="1"/>
  <c r="I267" i="20"/>
  <c r="V267" i="20" s="1"/>
  <c r="I266" i="20"/>
  <c r="V266" i="20" s="1"/>
  <c r="I265" i="20"/>
  <c r="V265" i="20" s="1"/>
  <c r="I264" i="20"/>
  <c r="V264" i="20" s="1"/>
  <c r="I263" i="20"/>
  <c r="V263" i="20" s="1"/>
  <c r="I262" i="20"/>
  <c r="V262" i="20" s="1"/>
  <c r="I261" i="20"/>
  <c r="I260" i="20"/>
  <c r="I259" i="20"/>
  <c r="P259" i="20" s="1"/>
  <c r="S259" i="20" s="1"/>
  <c r="I258" i="20"/>
  <c r="I257" i="20"/>
  <c r="V257" i="20" s="1"/>
  <c r="I256" i="20"/>
  <c r="V256" i="20" s="1"/>
  <c r="I255" i="20"/>
  <c r="V255" i="20" s="1"/>
  <c r="I253" i="20"/>
  <c r="P253" i="20" s="1"/>
  <c r="I252" i="20"/>
  <c r="V252" i="20" s="1"/>
  <c r="I251" i="20"/>
  <c r="I250" i="20"/>
  <c r="V250" i="20" s="1"/>
  <c r="I249" i="20"/>
  <c r="I248" i="20"/>
  <c r="V248" i="20" s="1"/>
  <c r="I247" i="20"/>
  <c r="V247" i="20" s="1"/>
  <c r="I246" i="20"/>
  <c r="I245" i="20"/>
  <c r="I244" i="20"/>
  <c r="V244" i="20" s="1"/>
  <c r="I243" i="20"/>
  <c r="V243" i="20" s="1"/>
  <c r="I242" i="20"/>
  <c r="V242" i="20" s="1"/>
  <c r="I241" i="20"/>
  <c r="I240" i="20"/>
  <c r="V240" i="20" s="1"/>
  <c r="I239" i="20"/>
  <c r="I238" i="20"/>
  <c r="I237" i="20"/>
  <c r="V237" i="20" s="1"/>
  <c r="I236" i="20"/>
  <c r="P236" i="20" s="1"/>
  <c r="R236" i="20" s="1"/>
  <c r="I233" i="20"/>
  <c r="I232" i="20"/>
  <c r="I231" i="20"/>
  <c r="V231" i="20" s="1"/>
  <c r="I230" i="20"/>
  <c r="V230" i="20" s="1"/>
  <c r="I229" i="20"/>
  <c r="V229" i="20" s="1"/>
  <c r="I228" i="20"/>
  <c r="V228" i="20" s="1"/>
  <c r="I227" i="20"/>
  <c r="I226" i="20"/>
  <c r="I225" i="20"/>
  <c r="I224" i="20"/>
  <c r="I223" i="20"/>
  <c r="V223" i="20" s="1"/>
  <c r="I222" i="20"/>
  <c r="I221" i="20"/>
  <c r="V221" i="20" s="1"/>
  <c r="I220" i="20"/>
  <c r="I219" i="20"/>
  <c r="V219" i="20" s="1"/>
  <c r="I218" i="20"/>
  <c r="I217" i="20"/>
  <c r="I216" i="20"/>
  <c r="U216" i="20" s="1"/>
  <c r="I215" i="20"/>
  <c r="I214" i="20"/>
  <c r="I213" i="20"/>
  <c r="V213" i="20" s="1"/>
  <c r="I212" i="20"/>
  <c r="V212" i="20" s="1"/>
  <c r="I211" i="20"/>
  <c r="V211" i="20" s="1"/>
  <c r="I210" i="20"/>
  <c r="I209" i="20"/>
  <c r="I208" i="20"/>
  <c r="I207" i="20"/>
  <c r="I206" i="20"/>
  <c r="I205" i="20"/>
  <c r="V205" i="20" s="1"/>
  <c r="I204" i="20"/>
  <c r="V204" i="20" s="1"/>
  <c r="I203" i="20"/>
  <c r="V203" i="20" s="1"/>
  <c r="I202" i="20"/>
  <c r="I201" i="20"/>
  <c r="I200" i="20"/>
  <c r="I199" i="20"/>
  <c r="U199" i="20" s="1"/>
  <c r="I198" i="20"/>
  <c r="I197" i="20"/>
  <c r="V197" i="20" s="1"/>
  <c r="I196" i="20"/>
  <c r="V196" i="20" s="1"/>
  <c r="I195" i="20"/>
  <c r="I194" i="20"/>
  <c r="I193" i="20"/>
  <c r="I190" i="20"/>
  <c r="I189" i="20"/>
  <c r="I188" i="20"/>
  <c r="I187" i="20"/>
  <c r="V187" i="20" s="1"/>
  <c r="I186" i="20"/>
  <c r="V186" i="20" s="1"/>
  <c r="I185" i="20"/>
  <c r="I184" i="20"/>
  <c r="I183" i="20"/>
  <c r="I182" i="20"/>
  <c r="U182" i="20" s="1"/>
  <c r="I181" i="20"/>
  <c r="U181" i="20" s="1"/>
  <c r="I180" i="20"/>
  <c r="I179" i="20"/>
  <c r="V179" i="20" s="1"/>
  <c r="I178" i="20"/>
  <c r="I177" i="20"/>
  <c r="I176" i="20"/>
  <c r="I175" i="20"/>
  <c r="U175" i="20" s="1"/>
  <c r="I174" i="20"/>
  <c r="I173" i="20"/>
  <c r="I172" i="20"/>
  <c r="I171" i="20"/>
  <c r="V171" i="20" s="1"/>
  <c r="I170" i="20"/>
  <c r="V170" i="20" s="1"/>
  <c r="I169" i="20"/>
  <c r="V169" i="20" s="1"/>
  <c r="I168" i="20"/>
  <c r="I167" i="20"/>
  <c r="I166" i="20"/>
  <c r="I165" i="20"/>
  <c r="I164" i="20"/>
  <c r="I163" i="20"/>
  <c r="V163" i="20" s="1"/>
  <c r="I162" i="20"/>
  <c r="V162" i="20" s="1"/>
  <c r="I161" i="20"/>
  <c r="V161" i="20" s="1"/>
  <c r="I160" i="20"/>
  <c r="I159" i="20"/>
  <c r="I158" i="20"/>
  <c r="I157" i="20"/>
  <c r="U157" i="20" s="1"/>
  <c r="I156" i="20"/>
  <c r="I155" i="20"/>
  <c r="I154" i="20"/>
  <c r="I153" i="20"/>
  <c r="I152" i="20"/>
  <c r="U152" i="20" s="1"/>
  <c r="I151" i="20"/>
  <c r="I150" i="20"/>
  <c r="U150" i="20" s="1"/>
  <c r="I149" i="20"/>
  <c r="I148" i="20"/>
  <c r="I147" i="20"/>
  <c r="V147" i="20" s="1"/>
  <c r="I146" i="20"/>
  <c r="I145" i="20"/>
  <c r="V145" i="20" s="1"/>
  <c r="I144" i="20"/>
  <c r="U144" i="20" s="1"/>
  <c r="I143" i="20"/>
  <c r="U143" i="20" s="1"/>
  <c r="I142" i="20"/>
  <c r="I141" i="20"/>
  <c r="I140" i="20"/>
  <c r="I137" i="20"/>
  <c r="V137" i="20" s="1"/>
  <c r="I136" i="20"/>
  <c r="V136" i="20" s="1"/>
  <c r="I135" i="20"/>
  <c r="I134" i="20"/>
  <c r="U134" i="20" s="1"/>
  <c r="I133" i="20"/>
  <c r="I132" i="20"/>
  <c r="U132" i="20" s="1"/>
  <c r="I131" i="20"/>
  <c r="U131" i="20" s="1"/>
  <c r="I130" i="20"/>
  <c r="I129" i="20"/>
  <c r="I128" i="20"/>
  <c r="I127" i="20"/>
  <c r="I126" i="20"/>
  <c r="I125" i="20"/>
  <c r="I124" i="20"/>
  <c r="I123" i="20"/>
  <c r="I122" i="20"/>
  <c r="V122" i="20" s="1"/>
  <c r="I121" i="20"/>
  <c r="V121" i="20" s="1"/>
  <c r="I120" i="20"/>
  <c r="V120" i="20" s="1"/>
  <c r="I119" i="20"/>
  <c r="I118" i="20"/>
  <c r="I117" i="20"/>
  <c r="I116" i="20"/>
  <c r="I115" i="20"/>
  <c r="I114" i="20"/>
  <c r="V114" i="20" s="1"/>
  <c r="I113" i="20"/>
  <c r="I112" i="20"/>
  <c r="U112" i="20" s="1"/>
  <c r="I111" i="20"/>
  <c r="V111" i="20" s="1"/>
  <c r="I110" i="20"/>
  <c r="V110" i="20" s="1"/>
  <c r="I109" i="20"/>
  <c r="I108" i="20"/>
  <c r="V108" i="20" s="1"/>
  <c r="I107" i="20"/>
  <c r="V107" i="20" s="1"/>
  <c r="I106" i="20"/>
  <c r="V106" i="20" s="1"/>
  <c r="I105" i="20"/>
  <c r="I104" i="20"/>
  <c r="V104" i="20" s="1"/>
  <c r="I103" i="20"/>
  <c r="V103" i="20" s="1"/>
  <c r="I102" i="20"/>
  <c r="V102" i="20" s="1"/>
  <c r="I101" i="20"/>
  <c r="I100" i="20"/>
  <c r="V100" i="20" s="1"/>
  <c r="I99" i="20"/>
  <c r="V99" i="20" s="1"/>
  <c r="I98" i="20"/>
  <c r="V98" i="20" s="1"/>
  <c r="I97" i="20"/>
  <c r="V97" i="20" s="1"/>
  <c r="I96" i="20"/>
  <c r="V96" i="20" s="1"/>
  <c r="I95" i="20"/>
  <c r="V95" i="20" s="1"/>
  <c r="I94" i="20"/>
  <c r="V94" i="20" s="1"/>
  <c r="I93" i="20"/>
  <c r="I92" i="20"/>
  <c r="U92" i="20" s="1"/>
  <c r="I91" i="20"/>
  <c r="P91" i="20" s="1"/>
  <c r="R91" i="20" s="1"/>
  <c r="I90" i="20"/>
  <c r="P90" i="20" s="1"/>
  <c r="R90" i="20" s="1"/>
  <c r="I89" i="20"/>
  <c r="V89" i="20" s="1"/>
  <c r="I88" i="20"/>
  <c r="V88" i="20" s="1"/>
  <c r="I87" i="20"/>
  <c r="V87" i="20" s="1"/>
  <c r="I84" i="20"/>
  <c r="V84" i="20" s="1"/>
  <c r="I83" i="20"/>
  <c r="V83" i="20" s="1"/>
  <c r="I82" i="20"/>
  <c r="V82" i="20" s="1"/>
  <c r="I81" i="20"/>
  <c r="V81" i="20" s="1"/>
  <c r="I80" i="20"/>
  <c r="V80" i="20" s="1"/>
  <c r="I79" i="20"/>
  <c r="V79" i="20" s="1"/>
  <c r="I78" i="20"/>
  <c r="V78" i="20" s="1"/>
  <c r="I77" i="20"/>
  <c r="V77" i="20" s="1"/>
  <c r="I76" i="20"/>
  <c r="V76" i="20" s="1"/>
  <c r="I75" i="20"/>
  <c r="V75" i="20" s="1"/>
  <c r="I74" i="20"/>
  <c r="V74" i="20" s="1"/>
  <c r="I73" i="20"/>
  <c r="V73" i="20" s="1"/>
  <c r="I72" i="20"/>
  <c r="V72" i="20" s="1"/>
  <c r="I71" i="20"/>
  <c r="V71" i="20" s="1"/>
  <c r="I68" i="20"/>
  <c r="V68" i="20" s="1"/>
  <c r="I67" i="20"/>
  <c r="V67" i="20" s="1"/>
  <c r="I66" i="20"/>
  <c r="I65" i="20"/>
  <c r="V65" i="20" s="1"/>
  <c r="I64" i="20"/>
  <c r="V64" i="20" s="1"/>
  <c r="I63" i="20"/>
  <c r="I62" i="20"/>
  <c r="I61" i="20"/>
  <c r="P61" i="20" s="1"/>
  <c r="R61" i="20" s="1"/>
  <c r="I60" i="20"/>
  <c r="U60" i="20" s="1"/>
  <c r="I59" i="20"/>
  <c r="U59" i="20" s="1"/>
  <c r="I58" i="20"/>
  <c r="V58" i="20" s="1"/>
  <c r="I57" i="20"/>
  <c r="V57" i="20" s="1"/>
  <c r="I56" i="20"/>
  <c r="V56" i="20" s="1"/>
  <c r="I55" i="20"/>
  <c r="V55" i="20" s="1"/>
  <c r="I54" i="20"/>
  <c r="V54" i="20" s="1"/>
  <c r="I53" i="20"/>
  <c r="I52" i="20"/>
  <c r="U52" i="20" s="1"/>
  <c r="I51" i="20"/>
  <c r="U51" i="20" s="1"/>
  <c r="I50" i="20"/>
  <c r="P50" i="20" s="1"/>
  <c r="R50" i="20" s="1"/>
  <c r="I49" i="20"/>
  <c r="I48" i="20"/>
  <c r="P48" i="20" s="1"/>
  <c r="R48" i="20" s="1"/>
  <c r="I47" i="20"/>
  <c r="I46" i="20"/>
  <c r="U46" i="20" s="1"/>
  <c r="I45" i="20"/>
  <c r="P45" i="20" s="1"/>
  <c r="R45" i="20" s="1"/>
  <c r="I44" i="20"/>
  <c r="I43" i="20"/>
  <c r="V43" i="20" s="1"/>
  <c r="I42" i="20"/>
  <c r="V42" i="20" s="1"/>
  <c r="I41" i="20"/>
  <c r="V41" i="20" s="1"/>
  <c r="I40" i="20"/>
  <c r="I39" i="20"/>
  <c r="I38" i="20"/>
  <c r="I37" i="20"/>
  <c r="I36" i="20"/>
  <c r="I35" i="20"/>
  <c r="I34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V18" i="20" s="1"/>
  <c r="I17" i="20"/>
  <c r="V17" i="20" s="1"/>
  <c r="I16" i="20"/>
  <c r="V16" i="20" s="1"/>
  <c r="I11" i="20"/>
  <c r="V11" i="20" s="1"/>
  <c r="I10" i="20"/>
  <c r="V10" i="20" s="1"/>
  <c r="I8" i="20"/>
  <c r="I7" i="20"/>
  <c r="I6" i="20"/>
  <c r="I5" i="20"/>
  <c r="S564" i="20" l="1"/>
  <c r="U564" i="20" s="1"/>
  <c r="S567" i="20"/>
  <c r="U567" i="20" s="1"/>
  <c r="S560" i="20"/>
  <c r="U560" i="20" s="1"/>
  <c r="R253" i="20"/>
  <c r="S253" i="20"/>
  <c r="O558" i="20"/>
  <c r="O575" i="20" s="1"/>
  <c r="O577" i="20" s="1"/>
  <c r="O530" i="20"/>
  <c r="O538" i="20" s="1"/>
  <c r="T398" i="20"/>
  <c r="R552" i="20"/>
  <c r="O403" i="20"/>
  <c r="O540" i="20" s="1"/>
  <c r="V8" i="20"/>
  <c r="V21" i="20"/>
  <c r="U324" i="20"/>
  <c r="V488" i="20"/>
  <c r="V471" i="20"/>
  <c r="V66" i="20"/>
  <c r="L549" i="20"/>
  <c r="N549" i="20"/>
  <c r="P112" i="20"/>
  <c r="S112" i="20" s="1"/>
  <c r="T112" i="20" s="1"/>
  <c r="J549" i="20"/>
  <c r="U55" i="20"/>
  <c r="V7" i="20"/>
  <c r="V63" i="20"/>
  <c r="U430" i="20"/>
  <c r="P55" i="20"/>
  <c r="R55" i="20" s="1"/>
  <c r="U193" i="20"/>
  <c r="U260" i="20"/>
  <c r="U21" i="20"/>
  <c r="P221" i="20"/>
  <c r="R221" i="20" s="1"/>
  <c r="V443" i="20"/>
  <c r="U11" i="20"/>
  <c r="V24" i="20"/>
  <c r="V28" i="20"/>
  <c r="V35" i="20"/>
  <c r="V39" i="20"/>
  <c r="V47" i="20"/>
  <c r="V36" i="20"/>
  <c r="V44" i="20"/>
  <c r="U124" i="20"/>
  <c r="V146" i="20"/>
  <c r="U158" i="20"/>
  <c r="U166" i="20"/>
  <c r="U207" i="20"/>
  <c r="U244" i="20"/>
  <c r="U442" i="20"/>
  <c r="U48" i="20"/>
  <c r="P72" i="20"/>
  <c r="R72" i="20" s="1"/>
  <c r="V452" i="20"/>
  <c r="V457" i="20"/>
  <c r="V461" i="20"/>
  <c r="V465" i="20"/>
  <c r="V469" i="20"/>
  <c r="V23" i="20"/>
  <c r="V34" i="20"/>
  <c r="V38" i="20"/>
  <c r="V49" i="20"/>
  <c r="V53" i="20"/>
  <c r="V233" i="20"/>
  <c r="P314" i="20"/>
  <c r="R314" i="20" s="1"/>
  <c r="V363" i="20"/>
  <c r="V153" i="20"/>
  <c r="U222" i="20"/>
  <c r="P268" i="20"/>
  <c r="U34" i="20"/>
  <c r="U116" i="20"/>
  <c r="U142" i="20"/>
  <c r="U218" i="20"/>
  <c r="U253" i="20"/>
  <c r="U419" i="20"/>
  <c r="U352" i="20"/>
  <c r="P59" i="20"/>
  <c r="R59" i="20" s="1"/>
  <c r="P98" i="20"/>
  <c r="R98" i="20" s="1"/>
  <c r="V178" i="20"/>
  <c r="P250" i="20"/>
  <c r="T259" i="20"/>
  <c r="N369" i="20"/>
  <c r="N537" i="20" s="1"/>
  <c r="V485" i="20"/>
  <c r="V489" i="20"/>
  <c r="U506" i="20"/>
  <c r="V5" i="20"/>
  <c r="U17" i="20"/>
  <c r="V25" i="20"/>
  <c r="V29" i="20"/>
  <c r="U43" i="20"/>
  <c r="P56" i="20"/>
  <c r="R56" i="20" s="1"/>
  <c r="P75" i="20"/>
  <c r="R75" i="20" s="1"/>
  <c r="V155" i="20"/>
  <c r="U159" i="20"/>
  <c r="U230" i="20"/>
  <c r="P247" i="20"/>
  <c r="R247" i="20" s="1"/>
  <c r="P329" i="20"/>
  <c r="R329" i="20" s="1"/>
  <c r="V342" i="20"/>
  <c r="S417" i="20"/>
  <c r="T417" i="20" s="1"/>
  <c r="V493" i="20"/>
  <c r="V6" i="20"/>
  <c r="V22" i="20"/>
  <c r="V26" i="20"/>
  <c r="P83" i="20"/>
  <c r="R83" i="20" s="1"/>
  <c r="P92" i="20"/>
  <c r="R92" i="20" s="1"/>
  <c r="P111" i="20"/>
  <c r="R111" i="20" s="1"/>
  <c r="P114" i="20"/>
  <c r="R114" i="20" s="1"/>
  <c r="U118" i="20"/>
  <c r="U160" i="20"/>
  <c r="U168" i="20"/>
  <c r="U200" i="20"/>
  <c r="V343" i="20"/>
  <c r="U351" i="20"/>
  <c r="V359" i="20"/>
  <c r="P362" i="20"/>
  <c r="R362" i="20" s="1"/>
  <c r="V387" i="20"/>
  <c r="V403" i="20"/>
  <c r="V540" i="20" s="1"/>
  <c r="S425" i="20"/>
  <c r="T425" i="20" s="1"/>
  <c r="V433" i="20"/>
  <c r="V437" i="20"/>
  <c r="P476" i="20"/>
  <c r="R476" i="20" s="1"/>
  <c r="U501" i="20"/>
  <c r="V518" i="20"/>
  <c r="V19" i="20"/>
  <c r="V37" i="20"/>
  <c r="P76" i="20"/>
  <c r="R76" i="20" s="1"/>
  <c r="V90" i="20"/>
  <c r="V93" i="20"/>
  <c r="U119" i="20"/>
  <c r="U201" i="20"/>
  <c r="P264" i="20"/>
  <c r="V415" i="20"/>
  <c r="V449" i="20"/>
  <c r="V453" i="20"/>
  <c r="V458" i="20"/>
  <c r="V462" i="20"/>
  <c r="V466" i="20"/>
  <c r="U470" i="20"/>
  <c r="P473" i="20"/>
  <c r="R473" i="20" s="1"/>
  <c r="V494" i="20"/>
  <c r="P518" i="20"/>
  <c r="R518" i="20" s="1"/>
  <c r="S478" i="20"/>
  <c r="T478" i="20" s="1"/>
  <c r="U54" i="20"/>
  <c r="U44" i="20"/>
  <c r="P49" i="20"/>
  <c r="R49" i="20" s="1"/>
  <c r="V52" i="20"/>
  <c r="P57" i="20"/>
  <c r="R57" i="20" s="1"/>
  <c r="P71" i="20"/>
  <c r="R71" i="20" s="1"/>
  <c r="P89" i="20"/>
  <c r="R89" i="20" s="1"/>
  <c r="U91" i="20"/>
  <c r="P219" i="20"/>
  <c r="R219" i="20" s="1"/>
  <c r="P229" i="20"/>
  <c r="R229" i="20" s="1"/>
  <c r="U231" i="20"/>
  <c r="U236" i="20"/>
  <c r="U240" i="20"/>
  <c r="P256" i="20"/>
  <c r="P284" i="20"/>
  <c r="R284" i="20" s="1"/>
  <c r="U330" i="20"/>
  <c r="O337" i="20"/>
  <c r="O369" i="20" s="1"/>
  <c r="O537" i="20" s="1"/>
  <c r="U350" i="20"/>
  <c r="U358" i="20"/>
  <c r="P360" i="20"/>
  <c r="R360" i="20" s="1"/>
  <c r="P415" i="20"/>
  <c r="R415" i="20" s="1"/>
  <c r="U423" i="20"/>
  <c r="P437" i="20"/>
  <c r="R437" i="20" s="1"/>
  <c r="P443" i="20"/>
  <c r="R443" i="20" s="1"/>
  <c r="P445" i="20"/>
  <c r="R445" i="20" s="1"/>
  <c r="T508" i="20"/>
  <c r="T510" i="20"/>
  <c r="P517" i="20"/>
  <c r="R517" i="20" s="1"/>
  <c r="S91" i="20"/>
  <c r="T91" i="20" s="1"/>
  <c r="U19" i="20"/>
  <c r="U8" i="20"/>
  <c r="V20" i="20"/>
  <c r="V30" i="20"/>
  <c r="U47" i="20"/>
  <c r="U49" i="20"/>
  <c r="P60" i="20"/>
  <c r="S60" i="20" s="1"/>
  <c r="T60" i="20" s="1"/>
  <c r="P67" i="20"/>
  <c r="R67" i="20" s="1"/>
  <c r="P84" i="20"/>
  <c r="R84" i="20" s="1"/>
  <c r="P97" i="20"/>
  <c r="R97" i="20" s="1"/>
  <c r="V128" i="20"/>
  <c r="P240" i="20"/>
  <c r="S240" i="20" s="1"/>
  <c r="T240" i="20" s="1"/>
  <c r="P292" i="20"/>
  <c r="S292" i="20" s="1"/>
  <c r="V361" i="20"/>
  <c r="U415" i="20"/>
  <c r="P418" i="20"/>
  <c r="R418" i="20" s="1"/>
  <c r="U429" i="20"/>
  <c r="U437" i="20"/>
  <c r="P469" i="20"/>
  <c r="R469" i="20" s="1"/>
  <c r="V509" i="20"/>
  <c r="U23" i="20"/>
  <c r="V27" i="20"/>
  <c r="U36" i="20"/>
  <c r="V40" i="20"/>
  <c r="S45" i="20"/>
  <c r="T45" i="20" s="1"/>
  <c r="P94" i="20"/>
  <c r="R94" i="20" s="1"/>
  <c r="P104" i="20"/>
  <c r="R104" i="20" s="1"/>
  <c r="V135" i="20"/>
  <c r="V241" i="20"/>
  <c r="P267" i="20"/>
  <c r="P296" i="20"/>
  <c r="S296" i="20" s="1"/>
  <c r="P303" i="20"/>
  <c r="R303" i="20" s="1"/>
  <c r="P306" i="20"/>
  <c r="S306" i="20" s="1"/>
  <c r="T306" i="20" s="1"/>
  <c r="S331" i="20"/>
  <c r="T331" i="20" s="1"/>
  <c r="U378" i="20"/>
  <c r="P387" i="20"/>
  <c r="R387" i="20" s="1"/>
  <c r="V416" i="20"/>
  <c r="P432" i="20"/>
  <c r="R432" i="20" s="1"/>
  <c r="P435" i="20"/>
  <c r="R435" i="20" s="1"/>
  <c r="V438" i="20"/>
  <c r="P441" i="20"/>
  <c r="R441" i="20" s="1"/>
  <c r="U443" i="20"/>
  <c r="P54" i="20"/>
  <c r="R54" i="20" s="1"/>
  <c r="S50" i="20"/>
  <c r="T50" i="20" s="1"/>
  <c r="S61" i="20"/>
  <c r="T61" i="20" s="1"/>
  <c r="P342" i="20"/>
  <c r="R342" i="20" s="1"/>
  <c r="P357" i="20"/>
  <c r="R357" i="20" s="1"/>
  <c r="P359" i="20"/>
  <c r="R359" i="20" s="1"/>
  <c r="U361" i="20"/>
  <c r="U364" i="20"/>
  <c r="P421" i="20"/>
  <c r="R421" i="20" s="1"/>
  <c r="P424" i="20"/>
  <c r="R424" i="20" s="1"/>
  <c r="U435" i="20"/>
  <c r="P467" i="20"/>
  <c r="R467" i="20" s="1"/>
  <c r="P506" i="20"/>
  <c r="R506" i="20" s="1"/>
  <c r="V501" i="20"/>
  <c r="U38" i="20"/>
  <c r="P44" i="20"/>
  <c r="S44" i="20" s="1"/>
  <c r="T44" i="20" s="1"/>
  <c r="U6" i="20"/>
  <c r="U27" i="20"/>
  <c r="U40" i="20"/>
  <c r="P43" i="20"/>
  <c r="R43" i="20" s="1"/>
  <c r="U56" i="20"/>
  <c r="P79" i="20"/>
  <c r="R79" i="20" s="1"/>
  <c r="U90" i="20"/>
  <c r="P108" i="20"/>
  <c r="R108" i="20" s="1"/>
  <c r="P230" i="20"/>
  <c r="R230" i="20" s="1"/>
  <c r="U241" i="20"/>
  <c r="P244" i="20"/>
  <c r="R244" i="20" s="1"/>
  <c r="U342" i="20"/>
  <c r="U349" i="20"/>
  <c r="U357" i="20"/>
  <c r="V362" i="20"/>
  <c r="P364" i="20"/>
  <c r="R364" i="20" s="1"/>
  <c r="P438" i="20"/>
  <c r="R438" i="20" s="1"/>
  <c r="U469" i="20"/>
  <c r="P484" i="20"/>
  <c r="R484" i="20" s="1"/>
  <c r="U519" i="20"/>
  <c r="P519" i="20"/>
  <c r="R519" i="20" s="1"/>
  <c r="U149" i="20"/>
  <c r="U25" i="20"/>
  <c r="U57" i="20"/>
  <c r="P80" i="20"/>
  <c r="R80" i="20" s="1"/>
  <c r="U93" i="20"/>
  <c r="P106" i="20"/>
  <c r="R106" i="20" s="1"/>
  <c r="V177" i="20"/>
  <c r="U242" i="20"/>
  <c r="V245" i="20"/>
  <c r="P280" i="20"/>
  <c r="P302" i="20"/>
  <c r="R302" i="20" s="1"/>
  <c r="P305" i="20"/>
  <c r="R305" i="20" s="1"/>
  <c r="P327" i="20"/>
  <c r="R327" i="20" s="1"/>
  <c r="P330" i="20"/>
  <c r="S330" i="20" s="1"/>
  <c r="T330" i="20" s="1"/>
  <c r="P350" i="20"/>
  <c r="R350" i="20" s="1"/>
  <c r="P429" i="20"/>
  <c r="R429" i="20" s="1"/>
  <c r="P125" i="20"/>
  <c r="R125" i="20" s="1"/>
  <c r="V125" i="20"/>
  <c r="P189" i="20"/>
  <c r="V189" i="20"/>
  <c r="P217" i="20"/>
  <c r="R217" i="20" s="1"/>
  <c r="V217" i="20"/>
  <c r="U217" i="20"/>
  <c r="V225" i="20"/>
  <c r="U225" i="20"/>
  <c r="U29" i="20"/>
  <c r="V46" i="20"/>
  <c r="V51" i="20"/>
  <c r="V62" i="20"/>
  <c r="P148" i="20"/>
  <c r="R148" i="20" s="1"/>
  <c r="V148" i="20"/>
  <c r="P164" i="20"/>
  <c r="R164" i="20" s="1"/>
  <c r="V164" i="20"/>
  <c r="P181" i="20"/>
  <c r="R181" i="20" s="1"/>
  <c r="V181" i="20"/>
  <c r="P199" i="20"/>
  <c r="V199" i="20"/>
  <c r="J335" i="20"/>
  <c r="J534" i="20" s="1"/>
  <c r="V283" i="20"/>
  <c r="P283" i="20"/>
  <c r="S344" i="20"/>
  <c r="T344" i="20" s="1"/>
  <c r="U344" i="20"/>
  <c r="P366" i="20"/>
  <c r="R366" i="20" s="1"/>
  <c r="V366" i="20"/>
  <c r="U366" i="20"/>
  <c r="U490" i="20"/>
  <c r="V490" i="20"/>
  <c r="P490" i="20"/>
  <c r="R490" i="20" s="1"/>
  <c r="J550" i="20"/>
  <c r="J551" i="20"/>
  <c r="V45" i="20"/>
  <c r="P46" i="20"/>
  <c r="R46" i="20" s="1"/>
  <c r="V48" i="20"/>
  <c r="V50" i="20"/>
  <c r="P51" i="20"/>
  <c r="R51" i="20" s="1"/>
  <c r="V59" i="20"/>
  <c r="P62" i="20"/>
  <c r="R62" i="20" s="1"/>
  <c r="P64" i="20"/>
  <c r="R64" i="20" s="1"/>
  <c r="V91" i="20"/>
  <c r="P123" i="20"/>
  <c r="R123" i="20" s="1"/>
  <c r="V123" i="20"/>
  <c r="P141" i="20"/>
  <c r="R141" i="20" s="1"/>
  <c r="V141" i="20"/>
  <c r="U141" i="20"/>
  <c r="P149" i="20"/>
  <c r="V149" i="20"/>
  <c r="P157" i="20"/>
  <c r="R157" i="20" s="1"/>
  <c r="V157" i="20"/>
  <c r="P173" i="20"/>
  <c r="R173" i="20" s="1"/>
  <c r="V173" i="20"/>
  <c r="P183" i="20"/>
  <c r="V183" i="20"/>
  <c r="U183" i="20"/>
  <c r="P201" i="20"/>
  <c r="R201" i="20" s="1"/>
  <c r="V201" i="20"/>
  <c r="P209" i="20"/>
  <c r="R209" i="20" s="1"/>
  <c r="V209" i="20"/>
  <c r="U219" i="20"/>
  <c r="V222" i="20"/>
  <c r="P222" i="20"/>
  <c r="S222" i="20" s="1"/>
  <c r="T222" i="20" s="1"/>
  <c r="U239" i="20"/>
  <c r="P276" i="20"/>
  <c r="V287" i="20"/>
  <c r="P287" i="20"/>
  <c r="R287" i="20" s="1"/>
  <c r="U446" i="20"/>
  <c r="S446" i="20"/>
  <c r="T446" i="20" s="1"/>
  <c r="U528" i="20"/>
  <c r="U394" i="20"/>
  <c r="V394" i="20"/>
  <c r="P5" i="20"/>
  <c r="R5" i="20" s="1"/>
  <c r="P7" i="20"/>
  <c r="S7" i="20" s="1"/>
  <c r="T7" i="20" s="1"/>
  <c r="P10" i="20"/>
  <c r="R10" i="20" s="1"/>
  <c r="P16" i="20"/>
  <c r="S16" i="20" s="1"/>
  <c r="T16" i="20" s="1"/>
  <c r="P18" i="20"/>
  <c r="R18" i="20" s="1"/>
  <c r="P20" i="20"/>
  <c r="R20" i="20" s="1"/>
  <c r="P22" i="20"/>
  <c r="S22" i="20" s="1"/>
  <c r="T22" i="20" s="1"/>
  <c r="P24" i="20"/>
  <c r="R24" i="20" s="1"/>
  <c r="P26" i="20"/>
  <c r="R26" i="20" s="1"/>
  <c r="P28" i="20"/>
  <c r="S28" i="20" s="1"/>
  <c r="T28" i="20" s="1"/>
  <c r="P30" i="20"/>
  <c r="R30" i="20" s="1"/>
  <c r="P35" i="20"/>
  <c r="S35" i="20" s="1"/>
  <c r="T35" i="20" s="1"/>
  <c r="P37" i="20"/>
  <c r="R37" i="20" s="1"/>
  <c r="P39" i="20"/>
  <c r="R39" i="20" s="1"/>
  <c r="P53" i="20"/>
  <c r="V61" i="20"/>
  <c r="U62" i="20"/>
  <c r="P66" i="20"/>
  <c r="R66" i="20" s="1"/>
  <c r="P68" i="20"/>
  <c r="P73" i="20"/>
  <c r="P77" i="20"/>
  <c r="P81" i="20"/>
  <c r="P87" i="20"/>
  <c r="S87" i="20" s="1"/>
  <c r="P96" i="20"/>
  <c r="P100" i="20"/>
  <c r="P102" i="20"/>
  <c r="R102" i="20" s="1"/>
  <c r="P107" i="20"/>
  <c r="R107" i="20" s="1"/>
  <c r="U123" i="20"/>
  <c r="U125" i="20"/>
  <c r="V129" i="20"/>
  <c r="V154" i="20"/>
  <c r="U173" i="20"/>
  <c r="V220" i="20"/>
  <c r="P220" i="20"/>
  <c r="R220" i="20" s="1"/>
  <c r="U220" i="20"/>
  <c r="V226" i="20"/>
  <c r="V298" i="20"/>
  <c r="P298" i="20"/>
  <c r="S298" i="20" s="1"/>
  <c r="V323" i="20"/>
  <c r="U323" i="20"/>
  <c r="P323" i="20"/>
  <c r="U339" i="20"/>
  <c r="V339" i="20"/>
  <c r="P339" i="20"/>
  <c r="R339" i="20" s="1"/>
  <c r="U382" i="20"/>
  <c r="V382" i="20"/>
  <c r="U391" i="20"/>
  <c r="V391" i="20"/>
  <c r="P391" i="20"/>
  <c r="R391" i="20" s="1"/>
  <c r="U515" i="20"/>
  <c r="V515" i="20"/>
  <c r="P515" i="20"/>
  <c r="R515" i="20" s="1"/>
  <c r="V310" i="20"/>
  <c r="V239" i="20"/>
  <c r="P239" i="20"/>
  <c r="R239" i="20" s="1"/>
  <c r="Q570" i="20"/>
  <c r="U441" i="20"/>
  <c r="U5" i="20"/>
  <c r="U7" i="20"/>
  <c r="U10" i="20"/>
  <c r="U16" i="20"/>
  <c r="U18" i="20"/>
  <c r="U20" i="20"/>
  <c r="U22" i="20"/>
  <c r="U24" i="20"/>
  <c r="U26" i="20"/>
  <c r="U28" i="20"/>
  <c r="U30" i="20"/>
  <c r="U35" i="20"/>
  <c r="U37" i="20"/>
  <c r="U39" i="20"/>
  <c r="P41" i="20"/>
  <c r="R41" i="20" s="1"/>
  <c r="V105" i="20"/>
  <c r="P105" i="20"/>
  <c r="R105" i="20" s="1"/>
  <c r="P117" i="20"/>
  <c r="R117" i="20" s="1"/>
  <c r="V117" i="20"/>
  <c r="U117" i="20"/>
  <c r="P124" i="20"/>
  <c r="R124" i="20" s="1"/>
  <c r="V124" i="20"/>
  <c r="P126" i="20"/>
  <c r="R126" i="20" s="1"/>
  <c r="V126" i="20"/>
  <c r="V232" i="20"/>
  <c r="U232" i="20"/>
  <c r="V258" i="20"/>
  <c r="P258" i="20"/>
  <c r="P261" i="20"/>
  <c r="V261" i="20"/>
  <c r="U261" i="20"/>
  <c r="V271" i="20"/>
  <c r="P271" i="20"/>
  <c r="V378" i="20"/>
  <c r="V109" i="20"/>
  <c r="P109" i="20"/>
  <c r="R109" i="20" s="1"/>
  <c r="P133" i="20"/>
  <c r="V133" i="20"/>
  <c r="U66" i="20"/>
  <c r="P110" i="20"/>
  <c r="R110" i="20" s="1"/>
  <c r="P115" i="20"/>
  <c r="R115" i="20" s="1"/>
  <c r="V115" i="20"/>
  <c r="U133" i="20"/>
  <c r="P142" i="20"/>
  <c r="R142" i="20" s="1"/>
  <c r="V142" i="20"/>
  <c r="P158" i="20"/>
  <c r="V158" i="20"/>
  <c r="U165" i="20"/>
  <c r="P174" i="20"/>
  <c r="V174" i="20"/>
  <c r="U174" i="20"/>
  <c r="P184" i="20"/>
  <c r="R184" i="20" s="1"/>
  <c r="V184" i="20"/>
  <c r="U184" i="20"/>
  <c r="P188" i="20"/>
  <c r="V188" i="20"/>
  <c r="P194" i="20"/>
  <c r="R194" i="20" s="1"/>
  <c r="V194" i="20"/>
  <c r="U194" i="20"/>
  <c r="P198" i="20"/>
  <c r="V198" i="20"/>
  <c r="P202" i="20"/>
  <c r="S202" i="20" s="1"/>
  <c r="T202" i="20" s="1"/>
  <c r="V202" i="20"/>
  <c r="U209" i="20"/>
  <c r="P227" i="20"/>
  <c r="S227" i="20" s="1"/>
  <c r="T227" i="20" s="1"/>
  <c r="V227" i="20"/>
  <c r="P251" i="20"/>
  <c r="V251" i="20"/>
  <c r="P332" i="20"/>
  <c r="R332" i="20" s="1"/>
  <c r="V332" i="20"/>
  <c r="U332" i="20"/>
  <c r="N570" i="20"/>
  <c r="U368" i="20"/>
  <c r="P410" i="20"/>
  <c r="R410" i="20" s="1"/>
  <c r="V410" i="20"/>
  <c r="U410" i="20"/>
  <c r="U421" i="20"/>
  <c r="V427" i="20"/>
  <c r="P427" i="20"/>
  <c r="U427" i="20"/>
  <c r="R444" i="20"/>
  <c r="S444" i="20"/>
  <c r="T444" i="20" s="1"/>
  <c r="U502" i="20"/>
  <c r="V502" i="20"/>
  <c r="U42" i="20"/>
  <c r="U53" i="20"/>
  <c r="U58" i="20"/>
  <c r="P63" i="20"/>
  <c r="R63" i="20" s="1"/>
  <c r="P65" i="20"/>
  <c r="R65" i="20" s="1"/>
  <c r="V101" i="20"/>
  <c r="P101" i="20"/>
  <c r="R101" i="20" s="1"/>
  <c r="P103" i="20"/>
  <c r="R103" i="20" s="1"/>
  <c r="U115" i="20"/>
  <c r="P118" i="20"/>
  <c r="R118" i="20" s="1"/>
  <c r="V118" i="20"/>
  <c r="U126" i="20"/>
  <c r="P132" i="20"/>
  <c r="R132" i="20" s="1"/>
  <c r="V132" i="20"/>
  <c r="P150" i="20"/>
  <c r="V150" i="20"/>
  <c r="P166" i="20"/>
  <c r="R166" i="20" s="1"/>
  <c r="V166" i="20"/>
  <c r="P176" i="20"/>
  <c r="R176" i="20" s="1"/>
  <c r="V176" i="20"/>
  <c r="U176" i="20"/>
  <c r="P180" i="20"/>
  <c r="R180" i="20" s="1"/>
  <c r="V180" i="20"/>
  <c r="P210" i="20"/>
  <c r="S210" i="20" s="1"/>
  <c r="T210" i="20" s="1"/>
  <c r="V210" i="20"/>
  <c r="U210" i="20"/>
  <c r="V238" i="20"/>
  <c r="P238" i="20"/>
  <c r="V249" i="20"/>
  <c r="P249" i="20"/>
  <c r="V259" i="20"/>
  <c r="U259" i="20"/>
  <c r="V272" i="20"/>
  <c r="P272" i="20"/>
  <c r="S272" i="20" s="1"/>
  <c r="P288" i="20"/>
  <c r="R288" i="20" s="1"/>
  <c r="V414" i="20"/>
  <c r="U414" i="20"/>
  <c r="P414" i="20"/>
  <c r="P119" i="20"/>
  <c r="R119" i="20" s="1"/>
  <c r="V119" i="20"/>
  <c r="P6" i="20"/>
  <c r="R6" i="20" s="1"/>
  <c r="P8" i="20"/>
  <c r="R8" i="20" s="1"/>
  <c r="P11" i="20"/>
  <c r="R11" i="20" s="1"/>
  <c r="P17" i="20"/>
  <c r="R17" i="20" s="1"/>
  <c r="P19" i="20"/>
  <c r="S19" i="20" s="1"/>
  <c r="T19" i="20" s="1"/>
  <c r="P21" i="20"/>
  <c r="R21" i="20" s="1"/>
  <c r="P23" i="20"/>
  <c r="R23" i="20" s="1"/>
  <c r="P25" i="20"/>
  <c r="S25" i="20" s="1"/>
  <c r="T25" i="20" s="1"/>
  <c r="P27" i="20"/>
  <c r="R27" i="20" s="1"/>
  <c r="P29" i="20"/>
  <c r="R29" i="20" s="1"/>
  <c r="P34" i="20"/>
  <c r="R34" i="20" s="1"/>
  <c r="P36" i="20"/>
  <c r="R36" i="20" s="1"/>
  <c r="P38" i="20"/>
  <c r="S38" i="20" s="1"/>
  <c r="T38" i="20" s="1"/>
  <c r="P40" i="20"/>
  <c r="R40" i="20" s="1"/>
  <c r="P42" i="20"/>
  <c r="U45" i="20"/>
  <c r="P47" i="20"/>
  <c r="R47" i="20" s="1"/>
  <c r="U50" i="20"/>
  <c r="P52" i="20"/>
  <c r="S52" i="20" s="1"/>
  <c r="T52" i="20" s="1"/>
  <c r="P58" i="20"/>
  <c r="V60" i="20"/>
  <c r="U61" i="20"/>
  <c r="U63" i="20"/>
  <c r="P74" i="20"/>
  <c r="P78" i="20"/>
  <c r="P82" i="20"/>
  <c r="P88" i="20"/>
  <c r="S88" i="20" s="1"/>
  <c r="V92" i="20"/>
  <c r="P93" i="20"/>
  <c r="R93" i="20" s="1"/>
  <c r="P95" i="20"/>
  <c r="P99" i="20"/>
  <c r="V113" i="20"/>
  <c r="P113" i="20"/>
  <c r="R113" i="20" s="1"/>
  <c r="P127" i="20"/>
  <c r="R127" i="20" s="1"/>
  <c r="V127" i="20"/>
  <c r="P144" i="20"/>
  <c r="R144" i="20" s="1"/>
  <c r="V144" i="20"/>
  <c r="P156" i="20"/>
  <c r="V156" i="20"/>
  <c r="P160" i="20"/>
  <c r="R160" i="20" s="1"/>
  <c r="V160" i="20"/>
  <c r="P172" i="20"/>
  <c r="V172" i="20"/>
  <c r="V185" i="20"/>
  <c r="V195" i="20"/>
  <c r="U202" i="20"/>
  <c r="P208" i="20"/>
  <c r="R208" i="20" s="1"/>
  <c r="V208" i="20"/>
  <c r="U208" i="20"/>
  <c r="V246" i="20"/>
  <c r="P246" i="20"/>
  <c r="R246" i="20" s="1"/>
  <c r="U251" i="20"/>
  <c r="V321" i="20"/>
  <c r="P321" i="20"/>
  <c r="R321" i="20" s="1"/>
  <c r="U360" i="20"/>
  <c r="P407" i="20"/>
  <c r="R407" i="20" s="1"/>
  <c r="V407" i="20"/>
  <c r="U407" i="20"/>
  <c r="U432" i="20"/>
  <c r="U499" i="20"/>
  <c r="V499" i="20"/>
  <c r="P499" i="20"/>
  <c r="U315" i="20"/>
  <c r="U363" i="20"/>
  <c r="U375" i="20"/>
  <c r="V375" i="20"/>
  <c r="U416" i="20"/>
  <c r="V420" i="20"/>
  <c r="Q563" i="20"/>
  <c r="U433" i="20"/>
  <c r="V450" i="20"/>
  <c r="V454" i="20"/>
  <c r="V459" i="20"/>
  <c r="V463" i="20"/>
  <c r="V496" i="20"/>
  <c r="U505" i="20"/>
  <c r="V505" i="20"/>
  <c r="U508" i="20"/>
  <c r="V508" i="20"/>
  <c r="U512" i="20"/>
  <c r="V512" i="20"/>
  <c r="P512" i="20"/>
  <c r="R512" i="20" s="1"/>
  <c r="U521" i="20"/>
  <c r="P521" i="20"/>
  <c r="R521" i="20" s="1"/>
  <c r="V521" i="20"/>
  <c r="U500" i="20"/>
  <c r="V253" i="20"/>
  <c r="V388" i="20"/>
  <c r="P130" i="20"/>
  <c r="V130" i="20"/>
  <c r="P151" i="20"/>
  <c r="V151" i="20"/>
  <c r="P167" i="20"/>
  <c r="V167" i="20"/>
  <c r="P190" i="20"/>
  <c r="V190" i="20"/>
  <c r="P206" i="20"/>
  <c r="V206" i="20"/>
  <c r="P215" i="20"/>
  <c r="V215" i="20"/>
  <c r="P218" i="20"/>
  <c r="S218" i="20" s="1"/>
  <c r="T218" i="20" s="1"/>
  <c r="V218" i="20"/>
  <c r="V236" i="20"/>
  <c r="U307" i="20"/>
  <c r="V307" i="20"/>
  <c r="P316" i="20"/>
  <c r="V316" i="20"/>
  <c r="V331" i="20"/>
  <c r="U372" i="20"/>
  <c r="V372" i="20"/>
  <c r="U379" i="20"/>
  <c r="V379" i="20"/>
  <c r="U395" i="20"/>
  <c r="V395" i="20"/>
  <c r="U412" i="20"/>
  <c r="V417" i="20"/>
  <c r="U422" i="20"/>
  <c r="U431" i="20"/>
  <c r="V431" i="20"/>
  <c r="V434" i="20"/>
  <c r="U434" i="20"/>
  <c r="P440" i="20"/>
  <c r="V440" i="20"/>
  <c r="V477" i="20"/>
  <c r="P477" i="20"/>
  <c r="U503" i="20"/>
  <c r="V503" i="20"/>
  <c r="U509" i="20"/>
  <c r="V405" i="20"/>
  <c r="P333" i="20"/>
  <c r="R333" i="20" s="1"/>
  <c r="V333" i="20"/>
  <c r="V348" i="20"/>
  <c r="V356" i="20"/>
  <c r="V358" i="20"/>
  <c r="U389" i="20"/>
  <c r="V389" i="20"/>
  <c r="U392" i="20"/>
  <c r="V392" i="20"/>
  <c r="P408" i="20"/>
  <c r="R408" i="20" s="1"/>
  <c r="V408" i="20"/>
  <c r="P411" i="20"/>
  <c r="R411" i="20" s="1"/>
  <c r="V411" i="20"/>
  <c r="Q566" i="20"/>
  <c r="V436" i="20"/>
  <c r="P436" i="20"/>
  <c r="R436" i="20" s="1"/>
  <c r="V451" i="20"/>
  <c r="V455" i="20"/>
  <c r="V460" i="20"/>
  <c r="V464" i="20"/>
  <c r="V479" i="20"/>
  <c r="V491" i="20"/>
  <c r="V497" i="20"/>
  <c r="T503" i="20"/>
  <c r="U513" i="20"/>
  <c r="P513" i="20"/>
  <c r="R513" i="20" s="1"/>
  <c r="V513" i="20"/>
  <c r="U516" i="20"/>
  <c r="V516" i="20"/>
  <c r="P522" i="20"/>
  <c r="R522" i="20" s="1"/>
  <c r="U522" i="20"/>
  <c r="V522" i="20"/>
  <c r="U529" i="20"/>
  <c r="U530" i="20" s="1"/>
  <c r="V529" i="20"/>
  <c r="V530" i="20" s="1"/>
  <c r="U517" i="20"/>
  <c r="V413" i="20"/>
  <c r="V340" i="20"/>
  <c r="U373" i="20"/>
  <c r="V373" i="20"/>
  <c r="U376" i="20"/>
  <c r="V376" i="20"/>
  <c r="U380" i="20"/>
  <c r="V380" i="20"/>
  <c r="U386" i="20"/>
  <c r="V386" i="20"/>
  <c r="Q551" i="20"/>
  <c r="S420" i="20"/>
  <c r="T420" i="20" s="1"/>
  <c r="P475" i="20"/>
  <c r="R475" i="20" s="1"/>
  <c r="V475" i="20"/>
  <c r="U488" i="20"/>
  <c r="V344" i="20"/>
  <c r="P351" i="20"/>
  <c r="R351" i="20" s="1"/>
  <c r="V351" i="20"/>
  <c r="U393" i="20"/>
  <c r="V393" i="20"/>
  <c r="P406" i="20"/>
  <c r="R406" i="20" s="1"/>
  <c r="V406" i="20"/>
  <c r="U408" i="20"/>
  <c r="P413" i="20"/>
  <c r="R413" i="20" s="1"/>
  <c r="Q553" i="20"/>
  <c r="P423" i="20"/>
  <c r="R423" i="20" s="1"/>
  <c r="P426" i="20"/>
  <c r="R426" i="20" s="1"/>
  <c r="V428" i="20"/>
  <c r="U428" i="20"/>
  <c r="S431" i="20"/>
  <c r="T431" i="20" s="1"/>
  <c r="S434" i="20"/>
  <c r="T434" i="20" s="1"/>
  <c r="V472" i="20"/>
  <c r="U472" i="20"/>
  <c r="U498" i="20"/>
  <c r="V498" i="20"/>
  <c r="U511" i="20"/>
  <c r="V511" i="20"/>
  <c r="U514" i="20"/>
  <c r="V514" i="20"/>
  <c r="U523" i="20"/>
  <c r="V523" i="20"/>
  <c r="V352" i="20"/>
  <c r="P131" i="20"/>
  <c r="V131" i="20"/>
  <c r="P134" i="20"/>
  <c r="R134" i="20" s="1"/>
  <c r="V134" i="20"/>
  <c r="P143" i="20"/>
  <c r="V143" i="20"/>
  <c r="U151" i="20"/>
  <c r="P159" i="20"/>
  <c r="V159" i="20"/>
  <c r="U167" i="20"/>
  <c r="P182" i="20"/>
  <c r="V182" i="20"/>
  <c r="U189" i="20"/>
  <c r="U190" i="20"/>
  <c r="P200" i="20"/>
  <c r="V200" i="20"/>
  <c r="P207" i="20"/>
  <c r="V207" i="20"/>
  <c r="P214" i="20"/>
  <c r="V214" i="20"/>
  <c r="U215" i="20"/>
  <c r="U224" i="20"/>
  <c r="V224" i="20"/>
  <c r="U249" i="20"/>
  <c r="P297" i="20"/>
  <c r="R297" i="20" s="1"/>
  <c r="P312" i="20"/>
  <c r="R312" i="20" s="1"/>
  <c r="P315" i="20"/>
  <c r="U316" i="20"/>
  <c r="P322" i="20"/>
  <c r="S322" i="20" s="1"/>
  <c r="T322" i="20" s="1"/>
  <c r="P324" i="20"/>
  <c r="V324" i="20"/>
  <c r="U340" i="20"/>
  <c r="U354" i="20"/>
  <c r="V354" i="20"/>
  <c r="S358" i="20"/>
  <c r="T358" i="20" s="1"/>
  <c r="U359" i="20"/>
  <c r="U367" i="20"/>
  <c r="P373" i="20"/>
  <c r="R373" i="20" s="1"/>
  <c r="U377" i="20"/>
  <c r="V377" i="20"/>
  <c r="U390" i="20"/>
  <c r="V390" i="20"/>
  <c r="P409" i="20"/>
  <c r="R409" i="20" s="1"/>
  <c r="V409" i="20"/>
  <c r="P416" i="20"/>
  <c r="R416" i="20" s="1"/>
  <c r="U417" i="20"/>
  <c r="P419" i="20"/>
  <c r="R419" i="20" s="1"/>
  <c r="U420" i="20"/>
  <c r="Q558" i="20"/>
  <c r="U424" i="20"/>
  <c r="P430" i="20"/>
  <c r="V430" i="20"/>
  <c r="U436" i="20"/>
  <c r="U440" i="20"/>
  <c r="P442" i="20"/>
  <c r="R442" i="20" s="1"/>
  <c r="V444" i="20"/>
  <c r="U444" i="20"/>
  <c r="U445" i="20"/>
  <c r="V470" i="20"/>
  <c r="P470" i="20"/>
  <c r="U477" i="20"/>
  <c r="P485" i="20"/>
  <c r="R485" i="20" s="1"/>
  <c r="V492" i="20"/>
  <c r="S529" i="20"/>
  <c r="S530" i="20" s="1"/>
  <c r="V510" i="20"/>
  <c r="V112" i="20"/>
  <c r="P116" i="20"/>
  <c r="R116" i="20" s="1"/>
  <c r="V116" i="20"/>
  <c r="P140" i="20"/>
  <c r="R140" i="20" s="1"/>
  <c r="V140" i="20"/>
  <c r="P152" i="20"/>
  <c r="R152" i="20" s="1"/>
  <c r="V152" i="20"/>
  <c r="P165" i="20"/>
  <c r="R165" i="20" s="1"/>
  <c r="V165" i="20"/>
  <c r="P168" i="20"/>
  <c r="R168" i="20" s="1"/>
  <c r="V168" i="20"/>
  <c r="P175" i="20"/>
  <c r="V175" i="20"/>
  <c r="P193" i="20"/>
  <c r="V193" i="20"/>
  <c r="P216" i="20"/>
  <c r="R216" i="20" s="1"/>
  <c r="V216" i="20"/>
  <c r="U221" i="20"/>
  <c r="U250" i="20"/>
  <c r="P260" i="20"/>
  <c r="V260" i="20"/>
  <c r="P317" i="20"/>
  <c r="R317" i="20" s="1"/>
  <c r="V317" i="20"/>
  <c r="P320" i="20"/>
  <c r="R320" i="20" s="1"/>
  <c r="U322" i="20"/>
  <c r="U331" i="20"/>
  <c r="P338" i="20"/>
  <c r="R338" i="20" s="1"/>
  <c r="V341" i="20"/>
  <c r="V347" i="20"/>
  <c r="P349" i="20"/>
  <c r="R349" i="20" s="1"/>
  <c r="P361" i="20"/>
  <c r="R361" i="20" s="1"/>
  <c r="P363" i="20"/>
  <c r="P365" i="20"/>
  <c r="R365" i="20" s="1"/>
  <c r="U371" i="20"/>
  <c r="V371" i="20"/>
  <c r="U374" i="20"/>
  <c r="V374" i="20"/>
  <c r="P393" i="20"/>
  <c r="R393" i="20" s="1"/>
  <c r="U406" i="20"/>
  <c r="P412" i="20"/>
  <c r="V418" i="20"/>
  <c r="P422" i="20"/>
  <c r="V425" i="20"/>
  <c r="U425" i="20"/>
  <c r="U426" i="20"/>
  <c r="P428" i="20"/>
  <c r="P433" i="20"/>
  <c r="P468" i="20"/>
  <c r="S468" i="20" s="1"/>
  <c r="T468" i="20" s="1"/>
  <c r="V478" i="20"/>
  <c r="U478" i="20"/>
  <c r="U485" i="20"/>
  <c r="V495" i="20"/>
  <c r="S504" i="20"/>
  <c r="T504" i="20" s="1"/>
  <c r="P511" i="20"/>
  <c r="R511" i="20" s="1"/>
  <c r="P514" i="20"/>
  <c r="R514" i="20" s="1"/>
  <c r="U520" i="20"/>
  <c r="V520" i="20"/>
  <c r="P520" i="20"/>
  <c r="R520" i="20" s="1"/>
  <c r="U526" i="20"/>
  <c r="V446" i="20"/>
  <c r="V519" i="20"/>
  <c r="V504" i="20"/>
  <c r="V506" i="20"/>
  <c r="V526" i="20"/>
  <c r="S310" i="20"/>
  <c r="T310" i="20" s="1"/>
  <c r="U310" i="20"/>
  <c r="U64" i="20"/>
  <c r="U68" i="20"/>
  <c r="U87" i="20"/>
  <c r="U99" i="20"/>
  <c r="U103" i="20"/>
  <c r="U226" i="20"/>
  <c r="P226" i="20"/>
  <c r="R226" i="20" s="1"/>
  <c r="P122" i="20"/>
  <c r="U122" i="20"/>
  <c r="P128" i="20"/>
  <c r="R128" i="20" s="1"/>
  <c r="U128" i="20"/>
  <c r="P135" i="20"/>
  <c r="R135" i="20" s="1"/>
  <c r="U135" i="20"/>
  <c r="J557" i="20"/>
  <c r="P153" i="20"/>
  <c r="R153" i="20" s="1"/>
  <c r="U153" i="20"/>
  <c r="P163" i="20"/>
  <c r="R163" i="20" s="1"/>
  <c r="U163" i="20"/>
  <c r="P186" i="20"/>
  <c r="R186" i="20" s="1"/>
  <c r="U186" i="20"/>
  <c r="P195" i="20"/>
  <c r="R195" i="20" s="1"/>
  <c r="U195" i="20"/>
  <c r="P211" i="20"/>
  <c r="U211" i="20"/>
  <c r="U237" i="20"/>
  <c r="P237" i="20"/>
  <c r="R237" i="20" s="1"/>
  <c r="U262" i="20"/>
  <c r="P262" i="20"/>
  <c r="U278" i="20"/>
  <c r="P278" i="20"/>
  <c r="U294" i="20"/>
  <c r="P294" i="20"/>
  <c r="R294" i="20" s="1"/>
  <c r="U348" i="20"/>
  <c r="P348" i="20"/>
  <c r="R348" i="20" s="1"/>
  <c r="U73" i="20"/>
  <c r="U77" i="20"/>
  <c r="U81" i="20"/>
  <c r="U95" i="20"/>
  <c r="U107" i="20"/>
  <c r="U111" i="20"/>
  <c r="P146" i="20"/>
  <c r="R146" i="20" s="1"/>
  <c r="U146" i="20"/>
  <c r="P169" i="20"/>
  <c r="R169" i="20" s="1"/>
  <c r="U169" i="20"/>
  <c r="P179" i="20"/>
  <c r="R179" i="20" s="1"/>
  <c r="U179" i="20"/>
  <c r="P204" i="20"/>
  <c r="U204" i="20"/>
  <c r="U365" i="20"/>
  <c r="U67" i="20"/>
  <c r="U72" i="20"/>
  <c r="U76" i="20"/>
  <c r="U80" i="20"/>
  <c r="U84" i="20"/>
  <c r="U94" i="20"/>
  <c r="U98" i="20"/>
  <c r="U102" i="20"/>
  <c r="U106" i="20"/>
  <c r="U110" i="20"/>
  <c r="U114" i="20"/>
  <c r="J556" i="20"/>
  <c r="P147" i="20"/>
  <c r="R147" i="20" s="1"/>
  <c r="U147" i="20"/>
  <c r="P205" i="20"/>
  <c r="U205" i="20"/>
  <c r="T253" i="20"/>
  <c r="U327" i="20"/>
  <c r="P129" i="20"/>
  <c r="R129" i="20" s="1"/>
  <c r="U129" i="20"/>
  <c r="P177" i="20"/>
  <c r="R177" i="20" s="1"/>
  <c r="U177" i="20"/>
  <c r="U346" i="20"/>
  <c r="P346" i="20"/>
  <c r="R346" i="20" s="1"/>
  <c r="R259" i="20"/>
  <c r="U299" i="20"/>
  <c r="P299" i="20"/>
  <c r="S299" i="20" s="1"/>
  <c r="S90" i="20"/>
  <c r="T90" i="20" s="1"/>
  <c r="P145" i="20"/>
  <c r="R145" i="20" s="1"/>
  <c r="U145" i="20"/>
  <c r="P171" i="20"/>
  <c r="R171" i="20" s="1"/>
  <c r="U171" i="20"/>
  <c r="J561" i="20"/>
  <c r="P203" i="20"/>
  <c r="U203" i="20"/>
  <c r="P120" i="20"/>
  <c r="R120" i="20" s="1"/>
  <c r="U120" i="20"/>
  <c r="J558" i="20"/>
  <c r="P170" i="20"/>
  <c r="R170" i="20" s="1"/>
  <c r="U170" i="20"/>
  <c r="P233" i="20"/>
  <c r="R233" i="20" s="1"/>
  <c r="U233" i="20"/>
  <c r="U75" i="20"/>
  <c r="U83" i="20"/>
  <c r="U101" i="20"/>
  <c r="U109" i="20"/>
  <c r="P154" i="20"/>
  <c r="R154" i="20" s="1"/>
  <c r="U154" i="20"/>
  <c r="U65" i="20"/>
  <c r="J552" i="20"/>
  <c r="U74" i="20"/>
  <c r="U78" i="20"/>
  <c r="J555" i="20"/>
  <c r="U82" i="20"/>
  <c r="U88" i="20"/>
  <c r="U96" i="20"/>
  <c r="U100" i="20"/>
  <c r="U104" i="20"/>
  <c r="U108" i="20"/>
  <c r="P121" i="20"/>
  <c r="R121" i="20" s="1"/>
  <c r="U121" i="20"/>
  <c r="P137" i="20"/>
  <c r="R137" i="20" s="1"/>
  <c r="U137" i="20"/>
  <c r="P155" i="20"/>
  <c r="R155" i="20" s="1"/>
  <c r="U155" i="20"/>
  <c r="P178" i="20"/>
  <c r="R178" i="20" s="1"/>
  <c r="U178" i="20"/>
  <c r="P185" i="20"/>
  <c r="R185" i="20" s="1"/>
  <c r="U185" i="20"/>
  <c r="P197" i="20"/>
  <c r="U197" i="20"/>
  <c r="P213" i="20"/>
  <c r="U213" i="20"/>
  <c r="U258" i="20"/>
  <c r="U275" i="20"/>
  <c r="P275" i="20"/>
  <c r="U291" i="20"/>
  <c r="P291" i="20"/>
  <c r="R291" i="20" s="1"/>
  <c r="J553" i="20"/>
  <c r="U41" i="20"/>
  <c r="P187" i="20"/>
  <c r="R187" i="20" s="1"/>
  <c r="U187" i="20"/>
  <c r="U229" i="20"/>
  <c r="U248" i="20"/>
  <c r="P248" i="20"/>
  <c r="R248" i="20" s="1"/>
  <c r="S327" i="20"/>
  <c r="T327" i="20" s="1"/>
  <c r="U71" i="20"/>
  <c r="J554" i="20"/>
  <c r="U79" i="20"/>
  <c r="U89" i="20"/>
  <c r="U97" i="20"/>
  <c r="U105" i="20"/>
  <c r="U113" i="20"/>
  <c r="P136" i="20"/>
  <c r="R136" i="20" s="1"/>
  <c r="U136" i="20"/>
  <c r="P161" i="20"/>
  <c r="R161" i="20" s="1"/>
  <c r="U161" i="20"/>
  <c r="P196" i="20"/>
  <c r="R196" i="20" s="1"/>
  <c r="U196" i="20"/>
  <c r="P212" i="20"/>
  <c r="U212" i="20"/>
  <c r="S48" i="20"/>
  <c r="T48" i="20" s="1"/>
  <c r="U127" i="20"/>
  <c r="P162" i="20"/>
  <c r="R162" i="20" s="1"/>
  <c r="U162" i="20"/>
  <c r="P223" i="20"/>
  <c r="U223" i="20"/>
  <c r="P252" i="20"/>
  <c r="S252" i="20" s="1"/>
  <c r="U252" i="20"/>
  <c r="U271" i="20"/>
  <c r="U287" i="20"/>
  <c r="U356" i="20"/>
  <c r="P356" i="20"/>
  <c r="R356" i="20" s="1"/>
  <c r="U383" i="20"/>
  <c r="P383" i="20"/>
  <c r="R383" i="20" s="1"/>
  <c r="U466" i="20"/>
  <c r="P466" i="20"/>
  <c r="R466" i="20" s="1"/>
  <c r="U228" i="20"/>
  <c r="P243" i="20"/>
  <c r="R243" i="20" s="1"/>
  <c r="U245" i="20"/>
  <c r="U255" i="20"/>
  <c r="U257" i="20"/>
  <c r="U266" i="20"/>
  <c r="P266" i="20"/>
  <c r="U282" i="20"/>
  <c r="P282" i="20"/>
  <c r="U313" i="20"/>
  <c r="P313" i="20"/>
  <c r="U318" i="20"/>
  <c r="P318" i="20"/>
  <c r="R318" i="20" s="1"/>
  <c r="P325" i="20"/>
  <c r="U325" i="20"/>
  <c r="L534" i="20"/>
  <c r="U140" i="20"/>
  <c r="U148" i="20"/>
  <c r="U172" i="20"/>
  <c r="U180" i="20"/>
  <c r="U188" i="20"/>
  <c r="U206" i="20"/>
  <c r="U214" i="20"/>
  <c r="U263" i="20"/>
  <c r="U279" i="20"/>
  <c r="U295" i="20"/>
  <c r="U463" i="20"/>
  <c r="P463" i="20"/>
  <c r="R463" i="20" s="1"/>
  <c r="P479" i="20"/>
  <c r="R479" i="20" s="1"/>
  <c r="U479" i="20"/>
  <c r="U492" i="20"/>
  <c r="U130" i="20"/>
  <c r="J559" i="20"/>
  <c r="P228" i="20"/>
  <c r="P232" i="20"/>
  <c r="P245" i="20"/>
  <c r="R245" i="20" s="1"/>
  <c r="P255" i="20"/>
  <c r="P257" i="20"/>
  <c r="S257" i="20" s="1"/>
  <c r="U270" i="20"/>
  <c r="P270" i="20"/>
  <c r="U286" i="20"/>
  <c r="P286" i="20"/>
  <c r="R286" i="20" s="1"/>
  <c r="U300" i="20"/>
  <c r="P300" i="20"/>
  <c r="S300" i="20" s="1"/>
  <c r="U311" i="20"/>
  <c r="P311" i="20"/>
  <c r="R311" i="20" s="1"/>
  <c r="N557" i="20"/>
  <c r="P552" i="20"/>
  <c r="S371" i="20"/>
  <c r="O396" i="20"/>
  <c r="O539" i="20" s="1"/>
  <c r="S389" i="20"/>
  <c r="T389" i="20" s="1"/>
  <c r="U455" i="20"/>
  <c r="P455" i="20"/>
  <c r="R455" i="20" s="1"/>
  <c r="U156" i="20"/>
  <c r="U164" i="20"/>
  <c r="U198" i="20"/>
  <c r="U247" i="20"/>
  <c r="J547" i="20"/>
  <c r="P225" i="20"/>
  <c r="R225" i="20" s="1"/>
  <c r="U227" i="20"/>
  <c r="U238" i="20"/>
  <c r="P242" i="20"/>
  <c r="U243" i="20"/>
  <c r="P263" i="20"/>
  <c r="U267" i="20"/>
  <c r="P279" i="20"/>
  <c r="U283" i="20"/>
  <c r="P295" i="20"/>
  <c r="R295" i="20" s="1"/>
  <c r="U302" i="20"/>
  <c r="U304" i="20"/>
  <c r="P304" i="20"/>
  <c r="U309" i="20"/>
  <c r="P309" i="20"/>
  <c r="R309" i="20" s="1"/>
  <c r="U319" i="20"/>
  <c r="P319" i="20"/>
  <c r="R319" i="20" s="1"/>
  <c r="U333" i="20"/>
  <c r="U337" i="20"/>
  <c r="P337" i="20"/>
  <c r="R337" i="20" s="1"/>
  <c r="U387" i="20"/>
  <c r="U452" i="20"/>
  <c r="P452" i="20"/>
  <c r="R452" i="20" s="1"/>
  <c r="P224" i="20"/>
  <c r="S236" i="20"/>
  <c r="T236" i="20" s="1"/>
  <c r="U256" i="20"/>
  <c r="U274" i="20"/>
  <c r="P274" i="20"/>
  <c r="U290" i="20"/>
  <c r="P290" i="20"/>
  <c r="R290" i="20" s="1"/>
  <c r="U312" i="20"/>
  <c r="U314" i="20"/>
  <c r="U449" i="20"/>
  <c r="P449" i="20"/>
  <c r="R449" i="20" s="1"/>
  <c r="J566" i="20"/>
  <c r="U265" i="20"/>
  <c r="U269" i="20"/>
  <c r="U273" i="20"/>
  <c r="U277" i="20"/>
  <c r="U281" i="20"/>
  <c r="U285" i="20"/>
  <c r="U289" i="20"/>
  <c r="U293" i="20"/>
  <c r="U301" i="20"/>
  <c r="U328" i="20"/>
  <c r="U334" i="20"/>
  <c r="P334" i="20"/>
  <c r="R334" i="20" s="1"/>
  <c r="O486" i="20"/>
  <c r="O536" i="20" s="1"/>
  <c r="P471" i="20"/>
  <c r="R471" i="20" s="1"/>
  <c r="U471" i="20"/>
  <c r="U474" i="20"/>
  <c r="P474" i="20"/>
  <c r="R474" i="20" s="1"/>
  <c r="L569" i="20"/>
  <c r="S526" i="20"/>
  <c r="T526" i="20" s="1"/>
  <c r="J563" i="20"/>
  <c r="U296" i="20"/>
  <c r="U308" i="20"/>
  <c r="P308" i="20"/>
  <c r="U341" i="20"/>
  <c r="P341" i="20"/>
  <c r="R341" i="20" s="1"/>
  <c r="P343" i="20"/>
  <c r="R343" i="20" s="1"/>
  <c r="U343" i="20"/>
  <c r="P231" i="20"/>
  <c r="P241" i="20"/>
  <c r="U264" i="20"/>
  <c r="P265" i="20"/>
  <c r="S265" i="20" s="1"/>
  <c r="U268" i="20"/>
  <c r="P269" i="20"/>
  <c r="S269" i="20" s="1"/>
  <c r="U272" i="20"/>
  <c r="P273" i="20"/>
  <c r="S273" i="20" s="1"/>
  <c r="U276" i="20"/>
  <c r="P277" i="20"/>
  <c r="S277" i="20" s="1"/>
  <c r="U280" i="20"/>
  <c r="P281" i="20"/>
  <c r="S281" i="20" s="1"/>
  <c r="U284" i="20"/>
  <c r="P285" i="20"/>
  <c r="S285" i="20" s="1"/>
  <c r="U288" i="20"/>
  <c r="P289" i="20"/>
  <c r="S289" i="20" s="1"/>
  <c r="U292" i="20"/>
  <c r="P293" i="20"/>
  <c r="S293" i="20" s="1"/>
  <c r="P301" i="20"/>
  <c r="R301" i="20" s="1"/>
  <c r="U303" i="20"/>
  <c r="U317" i="20"/>
  <c r="U320" i="20"/>
  <c r="U326" i="20"/>
  <c r="P326" i="20"/>
  <c r="R326" i="20" s="1"/>
  <c r="P328" i="20"/>
  <c r="R328" i="20" s="1"/>
  <c r="U353" i="20"/>
  <c r="P353" i="20"/>
  <c r="R353" i="20" s="1"/>
  <c r="U381" i="20"/>
  <c r="P381" i="20"/>
  <c r="R381" i="20" s="1"/>
  <c r="L566" i="20"/>
  <c r="M534" i="20"/>
  <c r="M542" i="20" s="1"/>
  <c r="M531" i="20"/>
  <c r="N551" i="20"/>
  <c r="U355" i="20"/>
  <c r="J447" i="20"/>
  <c r="J541" i="20" s="1"/>
  <c r="N411" i="20"/>
  <c r="N447" i="20" s="1"/>
  <c r="N541" i="20" s="1"/>
  <c r="M568" i="20"/>
  <c r="U321" i="20"/>
  <c r="U329" i="20"/>
  <c r="J573" i="20"/>
  <c r="N534" i="20"/>
  <c r="Q547" i="20"/>
  <c r="S405" i="20"/>
  <c r="T405" i="20" s="1"/>
  <c r="U409" i="20"/>
  <c r="U482" i="20"/>
  <c r="U298" i="20"/>
  <c r="U306" i="20"/>
  <c r="J574" i="20"/>
  <c r="N550" i="20"/>
  <c r="P345" i="20"/>
  <c r="R345" i="20" s="1"/>
  <c r="U347" i="20"/>
  <c r="S352" i="20"/>
  <c r="T352" i="20" s="1"/>
  <c r="P355" i="20"/>
  <c r="R355" i="20" s="1"/>
  <c r="P368" i="20"/>
  <c r="R368" i="20" s="1"/>
  <c r="P379" i="20"/>
  <c r="R379" i="20" s="1"/>
  <c r="P559" i="20"/>
  <c r="T399" i="20"/>
  <c r="R575" i="20"/>
  <c r="R577" i="20" s="1"/>
  <c r="U405" i="20"/>
  <c r="U464" i="20"/>
  <c r="P464" i="20"/>
  <c r="R464" i="20" s="1"/>
  <c r="U483" i="20"/>
  <c r="P483" i="20"/>
  <c r="R483" i="20" s="1"/>
  <c r="U297" i="20"/>
  <c r="U305" i="20"/>
  <c r="P307" i="20"/>
  <c r="J571" i="20"/>
  <c r="P340" i="20"/>
  <c r="R340" i="20" s="1"/>
  <c r="U345" i="20"/>
  <c r="S347" i="20"/>
  <c r="T347" i="20" s="1"/>
  <c r="S375" i="20"/>
  <c r="T375" i="20" s="1"/>
  <c r="P377" i="20"/>
  <c r="R377" i="20" s="1"/>
  <c r="P395" i="20"/>
  <c r="R395" i="20" s="1"/>
  <c r="U451" i="20"/>
  <c r="P451" i="20"/>
  <c r="R451" i="20" s="1"/>
  <c r="U454" i="20"/>
  <c r="P454" i="20"/>
  <c r="R454" i="20" s="1"/>
  <c r="U458" i="20"/>
  <c r="P458" i="20"/>
  <c r="R458" i="20" s="1"/>
  <c r="U461" i="20"/>
  <c r="P461" i="20"/>
  <c r="R461" i="20" s="1"/>
  <c r="U338" i="20"/>
  <c r="S354" i="20"/>
  <c r="T354" i="20" s="1"/>
  <c r="U473" i="20"/>
  <c r="P501" i="20"/>
  <c r="R501" i="20" s="1"/>
  <c r="U450" i="20"/>
  <c r="P450" i="20"/>
  <c r="R450" i="20" s="1"/>
  <c r="U459" i="20"/>
  <c r="P459" i="20"/>
  <c r="R459" i="20" s="1"/>
  <c r="M563" i="20"/>
  <c r="N553" i="20"/>
  <c r="N555" i="20"/>
  <c r="P367" i="20"/>
  <c r="P555" i="20"/>
  <c r="P558" i="20"/>
  <c r="T400" i="20"/>
  <c r="U453" i="20"/>
  <c r="P453" i="20"/>
  <c r="R453" i="20" s="1"/>
  <c r="M552" i="20"/>
  <c r="U462" i="20"/>
  <c r="P462" i="20"/>
  <c r="R462" i="20" s="1"/>
  <c r="M555" i="20"/>
  <c r="L551" i="20"/>
  <c r="S492" i="20"/>
  <c r="T492" i="20" s="1"/>
  <c r="P372" i="20"/>
  <c r="R372" i="20" s="1"/>
  <c r="P374" i="20"/>
  <c r="R374" i="20" s="1"/>
  <c r="P376" i="20"/>
  <c r="R376" i="20" s="1"/>
  <c r="P378" i="20"/>
  <c r="R378" i="20" s="1"/>
  <c r="P380" i="20"/>
  <c r="R380" i="20" s="1"/>
  <c r="P382" i="20"/>
  <c r="R382" i="20" s="1"/>
  <c r="P386" i="20"/>
  <c r="R386" i="20" s="1"/>
  <c r="P388" i="20"/>
  <c r="R388" i="20" s="1"/>
  <c r="P390" i="20"/>
  <c r="R390" i="20" s="1"/>
  <c r="P392" i="20"/>
  <c r="R392" i="20" s="1"/>
  <c r="P394" i="20"/>
  <c r="R394" i="20" s="1"/>
  <c r="M553" i="20"/>
  <c r="U457" i="20"/>
  <c r="P457" i="20"/>
  <c r="R457" i="20" s="1"/>
  <c r="U465" i="20"/>
  <c r="P465" i="20"/>
  <c r="R465" i="20" s="1"/>
  <c r="M558" i="20"/>
  <c r="M572" i="20"/>
  <c r="S572" i="20" s="1"/>
  <c r="U484" i="20"/>
  <c r="O527" i="20"/>
  <c r="O535" i="20" s="1"/>
  <c r="L555" i="20"/>
  <c r="L565" i="20"/>
  <c r="S565" i="20" s="1"/>
  <c r="M551" i="20"/>
  <c r="U460" i="20"/>
  <c r="P460" i="20"/>
  <c r="R460" i="20" s="1"/>
  <c r="U489" i="20"/>
  <c r="P489" i="20"/>
  <c r="R489" i="20" s="1"/>
  <c r="P500" i="20"/>
  <c r="R500" i="20" s="1"/>
  <c r="L527" i="20"/>
  <c r="L535" i="20" s="1"/>
  <c r="P495" i="20"/>
  <c r="R495" i="20" s="1"/>
  <c r="U495" i="20"/>
  <c r="L552" i="20"/>
  <c r="L561" i="20"/>
  <c r="M562" i="20"/>
  <c r="S562" i="20" s="1"/>
  <c r="M570" i="20"/>
  <c r="N552" i="20"/>
  <c r="U468" i="20"/>
  <c r="P472" i="20"/>
  <c r="R472" i="20" s="1"/>
  <c r="U476" i="20"/>
  <c r="P482" i="20"/>
  <c r="R482" i="20" s="1"/>
  <c r="P488" i="20"/>
  <c r="R488" i="20" s="1"/>
  <c r="U491" i="20"/>
  <c r="P497" i="20"/>
  <c r="U497" i="20"/>
  <c r="S498" i="20"/>
  <c r="T498" i="20" s="1"/>
  <c r="P523" i="20"/>
  <c r="U467" i="20"/>
  <c r="U475" i="20"/>
  <c r="P494" i="20"/>
  <c r="U494" i="20"/>
  <c r="M573" i="20"/>
  <c r="L553" i="20"/>
  <c r="P502" i="20"/>
  <c r="T505" i="20"/>
  <c r="S516" i="20"/>
  <c r="T516" i="20" s="1"/>
  <c r="L563" i="20"/>
  <c r="S491" i="20"/>
  <c r="T491" i="20" s="1"/>
  <c r="P493" i="20"/>
  <c r="R493" i="20" s="1"/>
  <c r="U493" i="20"/>
  <c r="P496" i="20"/>
  <c r="R496" i="20" s="1"/>
  <c r="U496" i="20"/>
  <c r="S18" i="20" l="1"/>
  <c r="T18" i="20" s="1"/>
  <c r="S573" i="20"/>
  <c r="U573" i="20" s="1"/>
  <c r="S555" i="20"/>
  <c r="U555" i="20" s="1"/>
  <c r="S557" i="20"/>
  <c r="U557" i="20" s="1"/>
  <c r="S566" i="20"/>
  <c r="U566" i="20" s="1"/>
  <c r="S552" i="20"/>
  <c r="U552" i="20" s="1"/>
  <c r="U565" i="20"/>
  <c r="S561" i="20"/>
  <c r="U561" i="20" s="1"/>
  <c r="S568" i="20"/>
  <c r="U568" i="20" s="1"/>
  <c r="U562" i="20"/>
  <c r="U572" i="20"/>
  <c r="S553" i="20"/>
  <c r="U553" i="20" s="1"/>
  <c r="S551" i="20"/>
  <c r="U551" i="20" s="1"/>
  <c r="S563" i="20"/>
  <c r="U563" i="20" s="1"/>
  <c r="S559" i="20"/>
  <c r="U559" i="20" s="1"/>
  <c r="S558" i="20"/>
  <c r="U558" i="20" s="1"/>
  <c r="S550" i="20"/>
  <c r="U550" i="20" s="1"/>
  <c r="S569" i="20"/>
  <c r="U569" i="20" s="1"/>
  <c r="S556" i="20"/>
  <c r="U556" i="20" s="1"/>
  <c r="S571" i="20"/>
  <c r="U571" i="20" s="1"/>
  <c r="S554" i="20"/>
  <c r="U554" i="20" s="1"/>
  <c r="S574" i="20"/>
  <c r="U574" i="20" s="1"/>
  <c r="S89" i="20"/>
  <c r="T89" i="20" s="1"/>
  <c r="S301" i="20"/>
  <c r="T301" i="20" s="1"/>
  <c r="S284" i="20"/>
  <c r="T284" i="20" s="1"/>
  <c r="S297" i="20"/>
  <c r="T297" i="20" s="1"/>
  <c r="R251" i="20"/>
  <c r="S251" i="20"/>
  <c r="T251" i="20" s="1"/>
  <c r="R279" i="20"/>
  <c r="S279" i="20"/>
  <c r="T279" i="20" s="1"/>
  <c r="R271" i="20"/>
  <c r="S271" i="20"/>
  <c r="T271" i="20" s="1"/>
  <c r="R268" i="20"/>
  <c r="S268" i="20"/>
  <c r="S288" i="20"/>
  <c r="T288" i="20" s="1"/>
  <c r="R282" i="20"/>
  <c r="S282" i="20"/>
  <c r="T282" i="20" s="1"/>
  <c r="R276" i="20"/>
  <c r="S276" i="20"/>
  <c r="T276" i="20" s="1"/>
  <c r="R263" i="20"/>
  <c r="S263" i="20"/>
  <c r="T263" i="20" s="1"/>
  <c r="R270" i="20"/>
  <c r="S270" i="20"/>
  <c r="T270" i="20" s="1"/>
  <c r="R260" i="20"/>
  <c r="S260" i="20"/>
  <c r="T260" i="20" s="1"/>
  <c r="R264" i="20"/>
  <c r="S264" i="20"/>
  <c r="T264" i="20" s="1"/>
  <c r="R266" i="20"/>
  <c r="S266" i="20"/>
  <c r="T266" i="20" s="1"/>
  <c r="R275" i="20"/>
  <c r="S275" i="20"/>
  <c r="T275" i="20" s="1"/>
  <c r="R278" i="20"/>
  <c r="S278" i="20"/>
  <c r="T278" i="20" s="1"/>
  <c r="R283" i="20"/>
  <c r="S283" i="20"/>
  <c r="T283" i="20" s="1"/>
  <c r="T296" i="20"/>
  <c r="S294" i="20"/>
  <c r="T294" i="20" s="1"/>
  <c r="S295" i="20"/>
  <c r="T295" i="20" s="1"/>
  <c r="R280" i="20"/>
  <c r="S280" i="20"/>
  <c r="T280" i="20" s="1"/>
  <c r="R274" i="20"/>
  <c r="S274" i="20"/>
  <c r="T274" i="20" s="1"/>
  <c r="R261" i="20"/>
  <c r="S261" i="20"/>
  <c r="T261" i="20" s="1"/>
  <c r="R267" i="20"/>
  <c r="S267" i="20"/>
  <c r="T267" i="20" s="1"/>
  <c r="S290" i="20"/>
  <c r="T290" i="20" s="1"/>
  <c r="S291" i="20"/>
  <c r="T291" i="20" s="1"/>
  <c r="R256" i="20"/>
  <c r="S256" i="20"/>
  <c r="T256" i="20" s="1"/>
  <c r="R255" i="20"/>
  <c r="S255" i="20"/>
  <c r="T255" i="20" s="1"/>
  <c r="R262" i="20"/>
  <c r="S262" i="20"/>
  <c r="T262" i="20" s="1"/>
  <c r="R258" i="20"/>
  <c r="S258" i="20"/>
  <c r="T258" i="20" s="1"/>
  <c r="T292" i="20"/>
  <c r="R250" i="20"/>
  <c r="S250" i="20"/>
  <c r="T250" i="20" s="1"/>
  <c r="S286" i="20"/>
  <c r="T286" i="20" s="1"/>
  <c r="S287" i="20"/>
  <c r="T287" i="20" s="1"/>
  <c r="S49" i="20"/>
  <c r="T49" i="20" s="1"/>
  <c r="S476" i="20"/>
  <c r="T476" i="20" s="1"/>
  <c r="S514" i="20"/>
  <c r="T514" i="20" s="1"/>
  <c r="O579" i="20"/>
  <c r="D14" i="3"/>
  <c r="F14" i="3" s="1"/>
  <c r="R579" i="20"/>
  <c r="D11" i="3"/>
  <c r="F11" i="3" s="1"/>
  <c r="S164" i="20"/>
  <c r="T164" i="20" s="1"/>
  <c r="S43" i="20"/>
  <c r="T43" i="20" s="1"/>
  <c r="S305" i="20"/>
  <c r="T305" i="20" s="1"/>
  <c r="R112" i="20"/>
  <c r="S314" i="20"/>
  <c r="T314" i="20" s="1"/>
  <c r="R292" i="20"/>
  <c r="T403" i="20"/>
  <c r="T540" i="20" s="1"/>
  <c r="S332" i="20"/>
  <c r="T332" i="20" s="1"/>
  <c r="N547" i="20"/>
  <c r="S547" i="20" s="1"/>
  <c r="S515" i="20"/>
  <c r="T515" i="20" s="1"/>
  <c r="S362" i="20"/>
  <c r="T362" i="20" s="1"/>
  <c r="S83" i="20"/>
  <c r="T83" i="20" s="1"/>
  <c r="S373" i="20"/>
  <c r="T373" i="20" s="1"/>
  <c r="S350" i="20"/>
  <c r="T350" i="20" s="1"/>
  <c r="S47" i="20"/>
  <c r="T47" i="20" s="1"/>
  <c r="S37" i="20"/>
  <c r="T37" i="20" s="1"/>
  <c r="S106" i="20"/>
  <c r="T106" i="20" s="1"/>
  <c r="R296" i="20"/>
  <c r="R227" i="20"/>
  <c r="S114" i="20"/>
  <c r="T114" i="20" s="1"/>
  <c r="S56" i="20"/>
  <c r="T56" i="20" s="1"/>
  <c r="S105" i="20"/>
  <c r="T105" i="20" s="1"/>
  <c r="S110" i="20"/>
  <c r="T110" i="20" s="1"/>
  <c r="S520" i="20"/>
  <c r="T520" i="20" s="1"/>
  <c r="S317" i="20"/>
  <c r="T317" i="20" s="1"/>
  <c r="S475" i="20"/>
  <c r="T475" i="20" s="1"/>
  <c r="S355" i="20"/>
  <c r="T355" i="20" s="1"/>
  <c r="S120" i="20"/>
  <c r="T120" i="20" s="1"/>
  <c r="S518" i="20"/>
  <c r="T518" i="20" s="1"/>
  <c r="S84" i="20"/>
  <c r="T84" i="20" s="1"/>
  <c r="S421" i="20"/>
  <c r="T421" i="20" s="1"/>
  <c r="S79" i="20"/>
  <c r="T79" i="20" s="1"/>
  <c r="S413" i="20"/>
  <c r="T413" i="20" s="1"/>
  <c r="T268" i="20"/>
  <c r="S117" i="20"/>
  <c r="T117" i="20" s="1"/>
  <c r="R306" i="20"/>
  <c r="S441" i="20"/>
  <c r="T441" i="20" s="1"/>
  <c r="S93" i="20"/>
  <c r="T93" i="20" s="1"/>
  <c r="S366" i="20"/>
  <c r="T366" i="20" s="1"/>
  <c r="S512" i="20"/>
  <c r="T512" i="20" s="1"/>
  <c r="S513" i="20"/>
  <c r="T513" i="20" s="1"/>
  <c r="S312" i="20"/>
  <c r="T312" i="20" s="1"/>
  <c r="S217" i="20"/>
  <c r="T217" i="20" s="1"/>
  <c r="S21" i="20"/>
  <c r="T21" i="20" s="1"/>
  <c r="S311" i="20"/>
  <c r="T311" i="20" s="1"/>
  <c r="S76" i="20"/>
  <c r="T76" i="20" s="1"/>
  <c r="S10" i="20"/>
  <c r="T10" i="20" s="1"/>
  <c r="S209" i="20"/>
  <c r="T209" i="20" s="1"/>
  <c r="S221" i="20"/>
  <c r="T221" i="20" s="1"/>
  <c r="S517" i="20"/>
  <c r="T517" i="20" s="1"/>
  <c r="S407" i="20"/>
  <c r="T407" i="20" s="1"/>
  <c r="S333" i="20"/>
  <c r="T333" i="20" s="1"/>
  <c r="S40" i="20"/>
  <c r="T40" i="20" s="1"/>
  <c r="S360" i="20"/>
  <c r="T360" i="20" s="1"/>
  <c r="S485" i="20"/>
  <c r="T485" i="20" s="1"/>
  <c r="S455" i="20"/>
  <c r="T455" i="20" s="1"/>
  <c r="S329" i="20"/>
  <c r="T329" i="20" s="1"/>
  <c r="S127" i="20"/>
  <c r="T127" i="20" s="1"/>
  <c r="S55" i="20"/>
  <c r="T55" i="20" s="1"/>
  <c r="S180" i="20"/>
  <c r="T180" i="20" s="1"/>
  <c r="S129" i="20"/>
  <c r="T129" i="20" s="1"/>
  <c r="S98" i="20"/>
  <c r="T98" i="20" s="1"/>
  <c r="R28" i="20"/>
  <c r="S115" i="20"/>
  <c r="T115" i="20" s="1"/>
  <c r="S445" i="20"/>
  <c r="T445" i="20" s="1"/>
  <c r="S406" i="20"/>
  <c r="T406" i="20" s="1"/>
  <c r="S109" i="20"/>
  <c r="T109" i="20" s="1"/>
  <c r="S94" i="20"/>
  <c r="T94" i="20" s="1"/>
  <c r="S30" i="20"/>
  <c r="T30" i="20" s="1"/>
  <c r="R22" i="20"/>
  <c r="S419" i="20"/>
  <c r="T419" i="20" s="1"/>
  <c r="S395" i="20"/>
  <c r="T395" i="20" s="1"/>
  <c r="S463" i="20"/>
  <c r="T463" i="20" s="1"/>
  <c r="S72" i="20"/>
  <c r="T72" i="20" s="1"/>
  <c r="R330" i="20"/>
  <c r="S125" i="20"/>
  <c r="T125" i="20" s="1"/>
  <c r="S519" i="20"/>
  <c r="T519" i="20" s="1"/>
  <c r="S357" i="20"/>
  <c r="T357" i="20" s="1"/>
  <c r="S141" i="20"/>
  <c r="T141" i="20" s="1"/>
  <c r="S171" i="20"/>
  <c r="T171" i="20" s="1"/>
  <c r="S39" i="20"/>
  <c r="T39" i="20" s="1"/>
  <c r="R52" i="20"/>
  <c r="S134" i="20"/>
  <c r="T134" i="20" s="1"/>
  <c r="S132" i="20"/>
  <c r="T132" i="20" s="1"/>
  <c r="S229" i="20"/>
  <c r="T229" i="20" s="1"/>
  <c r="R38" i="20"/>
  <c r="S181" i="20"/>
  <c r="T181" i="20" s="1"/>
  <c r="R44" i="20"/>
  <c r="S54" i="20"/>
  <c r="T54" i="20" s="1"/>
  <c r="S459" i="20"/>
  <c r="T459" i="20" s="1"/>
  <c r="S20" i="20"/>
  <c r="T20" i="20" s="1"/>
  <c r="S521" i="20"/>
  <c r="T521" i="20" s="1"/>
  <c r="S364" i="20"/>
  <c r="T364" i="20" s="1"/>
  <c r="R19" i="20"/>
  <c r="S247" i="20"/>
  <c r="T247" i="20" s="1"/>
  <c r="S152" i="20"/>
  <c r="T152" i="20" s="1"/>
  <c r="S111" i="20"/>
  <c r="T111" i="20" s="1"/>
  <c r="S500" i="20"/>
  <c r="T500" i="20" s="1"/>
  <c r="S108" i="20"/>
  <c r="T108" i="20" s="1"/>
  <c r="S387" i="20"/>
  <c r="T387" i="20" s="1"/>
  <c r="R240" i="20"/>
  <c r="S339" i="20"/>
  <c r="T339" i="20" s="1"/>
  <c r="S176" i="20"/>
  <c r="T176" i="20" s="1"/>
  <c r="S302" i="20"/>
  <c r="T302" i="20" s="1"/>
  <c r="S34" i="20"/>
  <c r="T34" i="20" s="1"/>
  <c r="S6" i="20"/>
  <c r="T6" i="20" s="1"/>
  <c r="R16" i="20"/>
  <c r="S230" i="20"/>
  <c r="T230" i="20" s="1"/>
  <c r="S432" i="20"/>
  <c r="T432" i="20" s="1"/>
  <c r="S435" i="20"/>
  <c r="T435" i="20" s="1"/>
  <c r="S124" i="20"/>
  <c r="T124" i="20" s="1"/>
  <c r="S225" i="20"/>
  <c r="T225" i="20" s="1"/>
  <c r="R322" i="20"/>
  <c r="S424" i="20"/>
  <c r="T424" i="20" s="1"/>
  <c r="S473" i="20"/>
  <c r="T473" i="20" s="1"/>
  <c r="S11" i="20"/>
  <c r="T11" i="20" s="1"/>
  <c r="S465" i="20"/>
  <c r="T465" i="20" s="1"/>
  <c r="S351" i="20"/>
  <c r="T351" i="20" s="1"/>
  <c r="S75" i="20"/>
  <c r="T75" i="20" s="1"/>
  <c r="S27" i="20"/>
  <c r="T27" i="20" s="1"/>
  <c r="S348" i="20"/>
  <c r="T348" i="20" s="1"/>
  <c r="S393" i="20"/>
  <c r="T393" i="20" s="1"/>
  <c r="S409" i="20"/>
  <c r="T409" i="20" s="1"/>
  <c r="S113" i="20"/>
  <c r="T113" i="20" s="1"/>
  <c r="S71" i="20"/>
  <c r="T71" i="20" s="1"/>
  <c r="S62" i="20"/>
  <c r="T62" i="20" s="1"/>
  <c r="S154" i="20"/>
  <c r="T154" i="20" s="1"/>
  <c r="S26" i="20"/>
  <c r="T26" i="20" s="1"/>
  <c r="S201" i="20"/>
  <c r="T201" i="20" s="1"/>
  <c r="S67" i="20"/>
  <c r="T67" i="20" s="1"/>
  <c r="S408" i="20"/>
  <c r="T408" i="20" s="1"/>
  <c r="S490" i="20"/>
  <c r="T490" i="20" s="1"/>
  <c r="S233" i="20"/>
  <c r="T233" i="20" s="1"/>
  <c r="S57" i="20"/>
  <c r="T57" i="20" s="1"/>
  <c r="S166" i="20"/>
  <c r="T166" i="20" s="1"/>
  <c r="S386" i="20"/>
  <c r="T386" i="20" s="1"/>
  <c r="S391" i="20"/>
  <c r="T391" i="20" s="1"/>
  <c r="R468" i="20"/>
  <c r="S321" i="20"/>
  <c r="T321" i="20" s="1"/>
  <c r="S169" i="20"/>
  <c r="T169" i="20" s="1"/>
  <c r="S146" i="20"/>
  <c r="T146" i="20" s="1"/>
  <c r="V447" i="20"/>
  <c r="V541" i="20" s="1"/>
  <c r="F25" i="5" s="1"/>
  <c r="S59" i="20"/>
  <c r="T59" i="20" s="1"/>
  <c r="S173" i="20"/>
  <c r="T173" i="20" s="1"/>
  <c r="S415" i="20"/>
  <c r="T415" i="20" s="1"/>
  <c r="S92" i="20"/>
  <c r="T92" i="20" s="1"/>
  <c r="S161" i="20"/>
  <c r="T161" i="20" s="1"/>
  <c r="S80" i="20"/>
  <c r="T80" i="20" s="1"/>
  <c r="R60" i="20"/>
  <c r="S118" i="20"/>
  <c r="T118" i="20" s="1"/>
  <c r="S438" i="20"/>
  <c r="T438" i="20" s="1"/>
  <c r="S219" i="20"/>
  <c r="T219" i="20" s="1"/>
  <c r="S469" i="20"/>
  <c r="T469" i="20" s="1"/>
  <c r="S457" i="20"/>
  <c r="T457" i="20" s="1"/>
  <c r="S484" i="20"/>
  <c r="T484" i="20" s="1"/>
  <c r="S342" i="20"/>
  <c r="T342" i="20" s="1"/>
  <c r="P575" i="20"/>
  <c r="P577" i="20" s="1"/>
  <c r="S464" i="20"/>
  <c r="T464" i="20" s="1"/>
  <c r="S244" i="20"/>
  <c r="T244" i="20" s="1"/>
  <c r="R25" i="20"/>
  <c r="S186" i="20"/>
  <c r="T186" i="20" s="1"/>
  <c r="S374" i="20"/>
  <c r="T374" i="20" s="1"/>
  <c r="S153" i="20"/>
  <c r="T153" i="20" s="1"/>
  <c r="S137" i="20"/>
  <c r="T137" i="20" s="1"/>
  <c r="S23" i="20"/>
  <c r="T23" i="20" s="1"/>
  <c r="S5" i="20"/>
  <c r="T5" i="20" s="1"/>
  <c r="S303" i="20"/>
  <c r="T303" i="20" s="1"/>
  <c r="S148" i="20"/>
  <c r="T148" i="20" s="1"/>
  <c r="S144" i="20"/>
  <c r="T144" i="20" s="1"/>
  <c r="S65" i="20"/>
  <c r="T65" i="20" s="1"/>
  <c r="S506" i="20"/>
  <c r="T506" i="20" s="1"/>
  <c r="V337" i="20"/>
  <c r="V369" i="20" s="1"/>
  <c r="S437" i="20"/>
  <c r="T437" i="20" s="1"/>
  <c r="S418" i="20"/>
  <c r="T418" i="20" s="1"/>
  <c r="R210" i="20"/>
  <c r="V396" i="20"/>
  <c r="V539" i="20" s="1"/>
  <c r="F22" i="5" s="1"/>
  <c r="S467" i="20"/>
  <c r="T467" i="20" s="1"/>
  <c r="S102" i="20"/>
  <c r="T102" i="20" s="1"/>
  <c r="N542" i="20"/>
  <c r="J542" i="20"/>
  <c r="R202" i="20"/>
  <c r="S119" i="20"/>
  <c r="T119" i="20" s="1"/>
  <c r="S338" i="20"/>
  <c r="T338" i="20" s="1"/>
  <c r="S63" i="20"/>
  <c r="T63" i="20" s="1"/>
  <c r="S36" i="20"/>
  <c r="T36" i="20" s="1"/>
  <c r="R7" i="20"/>
  <c r="T529" i="20"/>
  <c r="T530" i="20" s="1"/>
  <c r="S429" i="20"/>
  <c r="T429" i="20" s="1"/>
  <c r="S472" i="20"/>
  <c r="T472" i="20" s="1"/>
  <c r="S135" i="20"/>
  <c r="T135" i="20" s="1"/>
  <c r="S452" i="20"/>
  <c r="T452" i="20" s="1"/>
  <c r="J531" i="20"/>
  <c r="S66" i="20"/>
  <c r="T66" i="20" s="1"/>
  <c r="S17" i="20"/>
  <c r="T17" i="20" s="1"/>
  <c r="S443" i="20"/>
  <c r="T443" i="20" s="1"/>
  <c r="S392" i="20"/>
  <c r="T392" i="20" s="1"/>
  <c r="S460" i="20"/>
  <c r="T460" i="20" s="1"/>
  <c r="S177" i="20"/>
  <c r="T177" i="20" s="1"/>
  <c r="S97" i="20"/>
  <c r="T97" i="20" s="1"/>
  <c r="R35" i="20"/>
  <c r="S220" i="20"/>
  <c r="T220" i="20" s="1"/>
  <c r="S104" i="20"/>
  <c r="T104" i="20" s="1"/>
  <c r="S359" i="20"/>
  <c r="T359" i="20" s="1"/>
  <c r="V335" i="20"/>
  <c r="V534" i="20" s="1"/>
  <c r="F18" i="5" s="1"/>
  <c r="T298" i="20"/>
  <c r="R298" i="20"/>
  <c r="S340" i="20"/>
  <c r="T340" i="20" s="1"/>
  <c r="S243" i="20"/>
  <c r="T243" i="20" s="1"/>
  <c r="U396" i="20"/>
  <c r="U539" i="20" s="1"/>
  <c r="E22" i="5" s="1"/>
  <c r="S178" i="20"/>
  <c r="T178" i="20" s="1"/>
  <c r="S121" i="20"/>
  <c r="T121" i="20" s="1"/>
  <c r="R428" i="20"/>
  <c r="S428" i="20"/>
  <c r="T428" i="20" s="1"/>
  <c r="S361" i="20"/>
  <c r="T361" i="20" s="1"/>
  <c r="R324" i="20"/>
  <c r="S324" i="20"/>
  <c r="T324" i="20" s="1"/>
  <c r="R190" i="20"/>
  <c r="S190" i="20"/>
  <c r="T190" i="20" s="1"/>
  <c r="R172" i="20"/>
  <c r="S172" i="20"/>
  <c r="T172" i="20" s="1"/>
  <c r="S74" i="20"/>
  <c r="T74" i="20" s="1"/>
  <c r="R74" i="20"/>
  <c r="T272" i="20"/>
  <c r="R272" i="20"/>
  <c r="S442" i="20"/>
  <c r="T442" i="20" s="1"/>
  <c r="R87" i="20"/>
  <c r="T87" i="20"/>
  <c r="S53" i="20"/>
  <c r="T53" i="20" s="1"/>
  <c r="R53" i="20"/>
  <c r="S116" i="20"/>
  <c r="T116" i="20" s="1"/>
  <c r="S140" i="20"/>
  <c r="T140" i="20" s="1"/>
  <c r="R433" i="20"/>
  <c r="S433" i="20"/>
  <c r="T433" i="20" s="1"/>
  <c r="S479" i="20"/>
  <c r="T479" i="20" s="1"/>
  <c r="S483" i="20"/>
  <c r="T483" i="20" s="1"/>
  <c r="L575" i="20"/>
  <c r="L577" i="20" s="1"/>
  <c r="S378" i="20"/>
  <c r="T378" i="20" s="1"/>
  <c r="N531" i="20"/>
  <c r="S522" i="20"/>
  <c r="T522" i="20" s="1"/>
  <c r="S383" i="20"/>
  <c r="T383" i="20" s="1"/>
  <c r="R222" i="20"/>
  <c r="S365" i="20"/>
  <c r="T365" i="20" s="1"/>
  <c r="R193" i="20"/>
  <c r="S193" i="20"/>
  <c r="T193" i="20" s="1"/>
  <c r="S423" i="20"/>
  <c r="T423" i="20" s="1"/>
  <c r="R143" i="20"/>
  <c r="S143" i="20"/>
  <c r="T143" i="20" s="1"/>
  <c r="S477" i="20"/>
  <c r="T477" i="20" s="1"/>
  <c r="R477" i="20"/>
  <c r="S168" i="20"/>
  <c r="T168" i="20" s="1"/>
  <c r="R99" i="20"/>
  <c r="S99" i="20"/>
  <c r="T99" i="20" s="1"/>
  <c r="S216" i="20"/>
  <c r="T216" i="20" s="1"/>
  <c r="S126" i="20"/>
  <c r="T126" i="20" s="1"/>
  <c r="S436" i="20"/>
  <c r="T436" i="20" s="1"/>
  <c r="R81" i="20"/>
  <c r="S81" i="20"/>
  <c r="T81" i="20" s="1"/>
  <c r="R149" i="20"/>
  <c r="S149" i="20"/>
  <c r="T149" i="20" s="1"/>
  <c r="S107" i="20"/>
  <c r="T107" i="20" s="1"/>
  <c r="S46" i="20"/>
  <c r="T46" i="20" s="1"/>
  <c r="S96" i="20"/>
  <c r="T96" i="20" s="1"/>
  <c r="R96" i="20"/>
  <c r="L542" i="20"/>
  <c r="S320" i="20"/>
  <c r="T320" i="20" s="1"/>
  <c r="S196" i="20"/>
  <c r="T196" i="20" s="1"/>
  <c r="R167" i="20"/>
  <c r="S167" i="20"/>
  <c r="T167" i="20" s="1"/>
  <c r="R499" i="20"/>
  <c r="S499" i="20"/>
  <c r="T499" i="20" s="1"/>
  <c r="R95" i="20"/>
  <c r="S95" i="20"/>
  <c r="T95" i="20" s="1"/>
  <c r="S42" i="20"/>
  <c r="T42" i="20" s="1"/>
  <c r="R42" i="20"/>
  <c r="R174" i="20"/>
  <c r="S174" i="20"/>
  <c r="T174" i="20" s="1"/>
  <c r="S123" i="20"/>
  <c r="T123" i="20" s="1"/>
  <c r="R77" i="20"/>
  <c r="S77" i="20"/>
  <c r="T77" i="20" s="1"/>
  <c r="R183" i="20"/>
  <c r="S183" i="20"/>
  <c r="T183" i="20" s="1"/>
  <c r="R363" i="20"/>
  <c r="S363" i="20"/>
  <c r="T363" i="20" s="1"/>
  <c r="R150" i="20"/>
  <c r="S150" i="20"/>
  <c r="T150" i="20" s="1"/>
  <c r="R198" i="20"/>
  <c r="S198" i="20"/>
  <c r="T198" i="20" s="1"/>
  <c r="L531" i="20"/>
  <c r="S41" i="20"/>
  <c r="T41" i="20" s="1"/>
  <c r="S29" i="20"/>
  <c r="T29" i="20" s="1"/>
  <c r="S163" i="20"/>
  <c r="T163" i="20" s="1"/>
  <c r="R175" i="20"/>
  <c r="S175" i="20"/>
  <c r="T175" i="20" s="1"/>
  <c r="R315" i="20"/>
  <c r="S315" i="20"/>
  <c r="T315" i="20" s="1"/>
  <c r="S214" i="20"/>
  <c r="T214" i="20" s="1"/>
  <c r="R214" i="20"/>
  <c r="R182" i="20"/>
  <c r="S182" i="20"/>
  <c r="T182" i="20" s="1"/>
  <c r="R414" i="20"/>
  <c r="S414" i="20"/>
  <c r="T414" i="20" s="1"/>
  <c r="S426" i="20"/>
  <c r="T426" i="20" s="1"/>
  <c r="R73" i="20"/>
  <c r="S73" i="20"/>
  <c r="T73" i="20" s="1"/>
  <c r="R189" i="20"/>
  <c r="S189" i="20"/>
  <c r="T189" i="20" s="1"/>
  <c r="S142" i="20"/>
  <c r="T142" i="20" s="1"/>
  <c r="R412" i="20"/>
  <c r="S412" i="20"/>
  <c r="T412" i="20" s="1"/>
  <c r="R430" i="20"/>
  <c r="S430" i="20"/>
  <c r="T430" i="20" s="1"/>
  <c r="R200" i="20"/>
  <c r="S200" i="20"/>
  <c r="T200" i="20" s="1"/>
  <c r="M575" i="20"/>
  <c r="M577" i="20" s="1"/>
  <c r="S458" i="20"/>
  <c r="T458" i="20" s="1"/>
  <c r="S318" i="20"/>
  <c r="T318" i="20" s="1"/>
  <c r="S346" i="20"/>
  <c r="T346" i="20" s="1"/>
  <c r="S101" i="20"/>
  <c r="T101" i="20" s="1"/>
  <c r="S128" i="20"/>
  <c r="T128" i="20" s="1"/>
  <c r="R218" i="20"/>
  <c r="S162" i="20"/>
  <c r="T162" i="20" s="1"/>
  <c r="R422" i="20"/>
  <c r="S422" i="20"/>
  <c r="T422" i="20" s="1"/>
  <c r="R440" i="20"/>
  <c r="S440" i="20"/>
  <c r="T440" i="20" s="1"/>
  <c r="S215" i="20"/>
  <c r="T215" i="20" s="1"/>
  <c r="R215" i="20"/>
  <c r="R151" i="20"/>
  <c r="S151" i="20"/>
  <c r="T151" i="20" s="1"/>
  <c r="S416" i="20"/>
  <c r="T416" i="20" s="1"/>
  <c r="R188" i="20"/>
  <c r="S188" i="20"/>
  <c r="T188" i="20" s="1"/>
  <c r="R133" i="20"/>
  <c r="S133" i="20"/>
  <c r="T133" i="20" s="1"/>
  <c r="S323" i="20"/>
  <c r="T323" i="20" s="1"/>
  <c r="R323" i="20"/>
  <c r="S165" i="20"/>
  <c r="T165" i="20" s="1"/>
  <c r="R68" i="20"/>
  <c r="S68" i="20"/>
  <c r="T68" i="20" s="1"/>
  <c r="S160" i="20"/>
  <c r="T160" i="20" s="1"/>
  <c r="S64" i="20"/>
  <c r="T64" i="20" s="1"/>
  <c r="S78" i="20"/>
  <c r="T78" i="20" s="1"/>
  <c r="R78" i="20"/>
  <c r="S238" i="20"/>
  <c r="T238" i="20" s="1"/>
  <c r="R238" i="20"/>
  <c r="R427" i="20"/>
  <c r="S427" i="20"/>
  <c r="T427" i="20" s="1"/>
  <c r="S199" i="20"/>
  <c r="T199" i="20" s="1"/>
  <c r="R199" i="20"/>
  <c r="S368" i="20"/>
  <c r="T368" i="20" s="1"/>
  <c r="S394" i="20"/>
  <c r="T394" i="20" s="1"/>
  <c r="S451" i="20"/>
  <c r="T451" i="20" s="1"/>
  <c r="S511" i="20"/>
  <c r="T511" i="20" s="1"/>
  <c r="S349" i="20"/>
  <c r="T349" i="20" s="1"/>
  <c r="S207" i="20"/>
  <c r="T207" i="20" s="1"/>
  <c r="R207" i="20"/>
  <c r="S131" i="20"/>
  <c r="T131" i="20" s="1"/>
  <c r="R131" i="20"/>
  <c r="S316" i="20"/>
  <c r="T316" i="20" s="1"/>
  <c r="R316" i="20"/>
  <c r="T88" i="20"/>
  <c r="R88" i="20"/>
  <c r="S58" i="20"/>
  <c r="T58" i="20" s="1"/>
  <c r="R58" i="20"/>
  <c r="S249" i="20"/>
  <c r="T249" i="20" s="1"/>
  <c r="R249" i="20"/>
  <c r="S194" i="20"/>
  <c r="T194" i="20" s="1"/>
  <c r="R158" i="20"/>
  <c r="S158" i="20"/>
  <c r="T158" i="20" s="1"/>
  <c r="S157" i="20"/>
  <c r="T157" i="20" s="1"/>
  <c r="S239" i="20"/>
  <c r="T239" i="20" s="1"/>
  <c r="S208" i="20"/>
  <c r="T208" i="20" s="1"/>
  <c r="U527" i="20"/>
  <c r="U535" i="20" s="1"/>
  <c r="E21" i="5" s="1"/>
  <c r="S410" i="20"/>
  <c r="T410" i="20" s="1"/>
  <c r="S24" i="20"/>
  <c r="T24" i="20" s="1"/>
  <c r="S8" i="20"/>
  <c r="T8" i="20" s="1"/>
  <c r="R470" i="20"/>
  <c r="S470" i="20"/>
  <c r="T470" i="20" s="1"/>
  <c r="R159" i="20"/>
  <c r="S159" i="20"/>
  <c r="T159" i="20" s="1"/>
  <c r="S206" i="20"/>
  <c r="T206" i="20" s="1"/>
  <c r="R206" i="20"/>
  <c r="R130" i="20"/>
  <c r="S130" i="20"/>
  <c r="T130" i="20" s="1"/>
  <c r="R156" i="20"/>
  <c r="S156" i="20"/>
  <c r="T156" i="20" s="1"/>
  <c r="R82" i="20"/>
  <c r="S82" i="20"/>
  <c r="T82" i="20" s="1"/>
  <c r="S184" i="20"/>
  <c r="T184" i="20" s="1"/>
  <c r="S103" i="20"/>
  <c r="T103" i="20" s="1"/>
  <c r="S100" i="20"/>
  <c r="T100" i="20" s="1"/>
  <c r="R100" i="20"/>
  <c r="S51" i="20"/>
  <c r="T51" i="20" s="1"/>
  <c r="U540" i="20"/>
  <c r="R281" i="20"/>
  <c r="T281" i="20"/>
  <c r="U369" i="20"/>
  <c r="U537" i="20" s="1"/>
  <c r="E20" i="5" s="1"/>
  <c r="R242" i="20"/>
  <c r="S242" i="20"/>
  <c r="T242" i="20" s="1"/>
  <c r="S213" i="20"/>
  <c r="T213" i="20" s="1"/>
  <c r="R213" i="20"/>
  <c r="S497" i="20"/>
  <c r="T497" i="20" s="1"/>
  <c r="R497" i="20"/>
  <c r="V486" i="20"/>
  <c r="S466" i="20"/>
  <c r="T466" i="20" s="1"/>
  <c r="T269" i="20"/>
  <c r="R269" i="20"/>
  <c r="S471" i="20"/>
  <c r="T471" i="20" s="1"/>
  <c r="S488" i="20"/>
  <c r="S376" i="20"/>
  <c r="T376" i="20" s="1"/>
  <c r="S367" i="20"/>
  <c r="T367" i="20" s="1"/>
  <c r="R367" i="20"/>
  <c r="S474" i="20"/>
  <c r="T474" i="20" s="1"/>
  <c r="S454" i="20"/>
  <c r="T454" i="20" s="1"/>
  <c r="S495" i="20"/>
  <c r="T495" i="20" s="1"/>
  <c r="S307" i="20"/>
  <c r="T307" i="20" s="1"/>
  <c r="R307" i="20"/>
  <c r="S345" i="20"/>
  <c r="T345" i="20" s="1"/>
  <c r="S381" i="20"/>
  <c r="T381" i="20" s="1"/>
  <c r="S334" i="20"/>
  <c r="T334" i="20" s="1"/>
  <c r="S185" i="20"/>
  <c r="T185" i="20" s="1"/>
  <c r="S223" i="20"/>
  <c r="T223" i="20" s="1"/>
  <c r="R223" i="20"/>
  <c r="S170" i="20"/>
  <c r="T170" i="20" s="1"/>
  <c r="S353" i="20"/>
  <c r="T353" i="20" s="1"/>
  <c r="T265" i="20"/>
  <c r="R265" i="20"/>
  <c r="S145" i="20"/>
  <c r="T145" i="20" s="1"/>
  <c r="S245" i="20"/>
  <c r="T245" i="20" s="1"/>
  <c r="S122" i="20"/>
  <c r="T122" i="20" s="1"/>
  <c r="R122" i="20"/>
  <c r="S453" i="20"/>
  <c r="T453" i="20" s="1"/>
  <c r="S382" i="20"/>
  <c r="T382" i="20" s="1"/>
  <c r="S501" i="20"/>
  <c r="T501" i="20" s="1"/>
  <c r="T293" i="20"/>
  <c r="R293" i="20"/>
  <c r="T371" i="20"/>
  <c r="R232" i="20"/>
  <c r="S232" i="20"/>
  <c r="T232" i="20" s="1"/>
  <c r="S136" i="20"/>
  <c r="T136" i="20" s="1"/>
  <c r="S205" i="20"/>
  <c r="T205" i="20" s="1"/>
  <c r="R205" i="20"/>
  <c r="S204" i="20"/>
  <c r="T204" i="20" s="1"/>
  <c r="R204" i="20"/>
  <c r="J570" i="20"/>
  <c r="S246" i="20"/>
  <c r="T246" i="20" s="1"/>
  <c r="S328" i="20"/>
  <c r="T328" i="20" s="1"/>
  <c r="R502" i="20"/>
  <c r="S502" i="20"/>
  <c r="T502" i="20" s="1"/>
  <c r="S390" i="20"/>
  <c r="T390" i="20" s="1"/>
  <c r="T277" i="20"/>
  <c r="R277" i="20"/>
  <c r="S450" i="20"/>
  <c r="T450" i="20" s="1"/>
  <c r="S380" i="20"/>
  <c r="T380" i="20" s="1"/>
  <c r="S461" i="20"/>
  <c r="T461" i="20" s="1"/>
  <c r="S379" i="20"/>
  <c r="T379" i="20" s="1"/>
  <c r="S482" i="20"/>
  <c r="T482" i="20" s="1"/>
  <c r="O411" i="20"/>
  <c r="Q549" i="20" s="1"/>
  <c r="S549" i="20" s="1"/>
  <c r="S337" i="20"/>
  <c r="R308" i="20"/>
  <c r="S308" i="20"/>
  <c r="T308" i="20" s="1"/>
  <c r="U246" i="20"/>
  <c r="U335" i="20" s="1"/>
  <c r="S326" i="20"/>
  <c r="T326" i="20" s="1"/>
  <c r="R304" i="20"/>
  <c r="S304" i="20"/>
  <c r="T304" i="20" s="1"/>
  <c r="O335" i="20"/>
  <c r="S155" i="20"/>
  <c r="T155" i="20" s="1"/>
  <c r="S197" i="20"/>
  <c r="T197" i="20" s="1"/>
  <c r="R197" i="20"/>
  <c r="R203" i="20"/>
  <c r="S203" i="20"/>
  <c r="T203" i="20" s="1"/>
  <c r="S248" i="20"/>
  <c r="T248" i="20" s="1"/>
  <c r="S226" i="20"/>
  <c r="T226" i="20" s="1"/>
  <c r="R224" i="20"/>
  <c r="S224" i="20"/>
  <c r="T224" i="20" s="1"/>
  <c r="S343" i="20"/>
  <c r="T343" i="20" s="1"/>
  <c r="S309" i="20"/>
  <c r="T309" i="20" s="1"/>
  <c r="R494" i="20"/>
  <c r="S494" i="20"/>
  <c r="T494" i="20" s="1"/>
  <c r="S462" i="20"/>
  <c r="T462" i="20" s="1"/>
  <c r="S388" i="20"/>
  <c r="T388" i="20" s="1"/>
  <c r="S372" i="20"/>
  <c r="T372" i="20" s="1"/>
  <c r="S377" i="20"/>
  <c r="T377" i="20" s="1"/>
  <c r="S341" i="20"/>
  <c r="T341" i="20" s="1"/>
  <c r="T289" i="20"/>
  <c r="R289" i="20"/>
  <c r="T273" i="20"/>
  <c r="R273" i="20"/>
  <c r="S241" i="20"/>
  <c r="T241" i="20" s="1"/>
  <c r="R241" i="20"/>
  <c r="S449" i="20"/>
  <c r="U486" i="20"/>
  <c r="U536" i="20" s="1"/>
  <c r="E19" i="5" s="1"/>
  <c r="S228" i="20"/>
  <c r="T228" i="20" s="1"/>
  <c r="R228" i="20"/>
  <c r="S195" i="20"/>
  <c r="T195" i="20" s="1"/>
  <c r="S493" i="20"/>
  <c r="T493" i="20" s="1"/>
  <c r="S496" i="20"/>
  <c r="T496" i="20" s="1"/>
  <c r="S356" i="20"/>
  <c r="T356" i="20" s="1"/>
  <c r="S212" i="20"/>
  <c r="T212" i="20" s="1"/>
  <c r="R212" i="20"/>
  <c r="S187" i="20"/>
  <c r="T187" i="20" s="1"/>
  <c r="S147" i="20"/>
  <c r="T147" i="20" s="1"/>
  <c r="T299" i="20"/>
  <c r="R299" i="20"/>
  <c r="R211" i="20"/>
  <c r="S211" i="20"/>
  <c r="T211" i="20" s="1"/>
  <c r="R231" i="20"/>
  <c r="S231" i="20"/>
  <c r="T231" i="20" s="1"/>
  <c r="S489" i="20"/>
  <c r="T489" i="20" s="1"/>
  <c r="S325" i="20"/>
  <c r="T325" i="20" s="1"/>
  <c r="R325" i="20"/>
  <c r="R252" i="20"/>
  <c r="T252" i="20"/>
  <c r="R313" i="20"/>
  <c r="S313" i="20"/>
  <c r="T313" i="20" s="1"/>
  <c r="V527" i="20"/>
  <c r="V535" i="20" s="1"/>
  <c r="F21" i="5" s="1"/>
  <c r="R523" i="20"/>
  <c r="S523" i="20"/>
  <c r="T523" i="20" s="1"/>
  <c r="T285" i="20"/>
  <c r="R285" i="20"/>
  <c r="S319" i="20"/>
  <c r="T319" i="20" s="1"/>
  <c r="R300" i="20"/>
  <c r="T300" i="20"/>
  <c r="T257" i="20"/>
  <c r="R257" i="20"/>
  <c r="S237" i="20"/>
  <c r="T237" i="20" s="1"/>
  <c r="S179" i="20"/>
  <c r="T179" i="20" s="1"/>
  <c r="O2" i="20" l="1"/>
  <c r="O534" i="20"/>
  <c r="U534" i="20"/>
  <c r="E18" i="5" s="1"/>
  <c r="U547" i="20"/>
  <c r="S570" i="20"/>
  <c r="U570" i="20" s="1"/>
  <c r="N575" i="20"/>
  <c r="M579" i="20"/>
  <c r="D17" i="3"/>
  <c r="F17" i="3" s="1"/>
  <c r="P579" i="20"/>
  <c r="D15" i="3"/>
  <c r="F15" i="3" s="1"/>
  <c r="L579" i="20"/>
  <c r="D16" i="3"/>
  <c r="F16" i="3" s="1"/>
  <c r="T335" i="20"/>
  <c r="T534" i="20" s="1"/>
  <c r="J543" i="20"/>
  <c r="V536" i="20"/>
  <c r="F19" i="5" s="1"/>
  <c r="V537" i="20"/>
  <c r="F20" i="5" s="1"/>
  <c r="U538" i="20"/>
  <c r="S486" i="20"/>
  <c r="S536" i="20" s="1"/>
  <c r="I17" i="3" s="1"/>
  <c r="T449" i="20"/>
  <c r="J575" i="20"/>
  <c r="S369" i="20"/>
  <c r="S537" i="20" s="1"/>
  <c r="I18" i="3" s="1"/>
  <c r="T337" i="20"/>
  <c r="T369" i="20" s="1"/>
  <c r="T537" i="20" s="1"/>
  <c r="S335" i="20"/>
  <c r="S534" i="20" s="1"/>
  <c r="I13" i="3" s="1"/>
  <c r="S527" i="20"/>
  <c r="S535" i="20" s="1"/>
  <c r="I16" i="3" s="1"/>
  <c r="T488" i="20"/>
  <c r="S411" i="20"/>
  <c r="S447" i="20" s="1"/>
  <c r="S541" i="20" s="1"/>
  <c r="I12" i="3" s="1"/>
  <c r="O447" i="20"/>
  <c r="O531" i="20" s="1"/>
  <c r="U411" i="20"/>
  <c r="U447" i="20" s="1"/>
  <c r="T396" i="20"/>
  <c r="T539" i="20" s="1"/>
  <c r="S396" i="20"/>
  <c r="S539" i="20" s="1"/>
  <c r="I15" i="3" s="1"/>
  <c r="U531" i="20"/>
  <c r="N579" i="20" l="1"/>
  <c r="N577" i="20"/>
  <c r="J577" i="20"/>
  <c r="D18" i="3"/>
  <c r="F18" i="3" s="1"/>
  <c r="J579" i="20"/>
  <c r="J580" i="20" s="1"/>
  <c r="D13" i="3"/>
  <c r="F13" i="3" s="1"/>
  <c r="T486" i="20"/>
  <c r="T536" i="20" s="1"/>
  <c r="U541" i="20"/>
  <c r="E25" i="5" s="1"/>
  <c r="T411" i="20"/>
  <c r="T447" i="20" s="1"/>
  <c r="T541" i="20" s="1"/>
  <c r="V538" i="20"/>
  <c r="V531" i="20"/>
  <c r="Q575" i="20"/>
  <c r="Q577" i="20" s="1"/>
  <c r="U549" i="20"/>
  <c r="T527" i="20"/>
  <c r="T535" i="20" s="1"/>
  <c r="O541" i="20"/>
  <c r="S538" i="20"/>
  <c r="S575" i="20" l="1"/>
  <c r="S577" i="20" s="1"/>
  <c r="S542" i="20"/>
  <c r="I14" i="3"/>
  <c r="Q579" i="20"/>
  <c r="D12" i="3"/>
  <c r="F12" i="3" s="1"/>
  <c r="U542" i="20"/>
  <c r="O542" i="20"/>
  <c r="V542" i="20"/>
  <c r="F24" i="5"/>
  <c r="T538" i="20"/>
  <c r="T542" i="20" s="1"/>
  <c r="S531" i="20"/>
  <c r="U575" i="20" l="1"/>
  <c r="F28" i="5"/>
  <c r="S579" i="20"/>
  <c r="T531" i="20"/>
  <c r="W240" i="17" l="1"/>
  <c r="N314" i="17"/>
  <c r="N313" i="17"/>
  <c r="N312" i="17"/>
  <c r="N311" i="17"/>
  <c r="N310" i="17"/>
  <c r="N309" i="17"/>
  <c r="U309" i="17" s="1"/>
  <c r="N308" i="17"/>
  <c r="U308" i="17" s="1"/>
  <c r="N307" i="17"/>
  <c r="U307" i="17" s="1"/>
  <c r="N306" i="17"/>
  <c r="N305" i="17"/>
  <c r="N304" i="17"/>
  <c r="N303" i="17"/>
  <c r="N302" i="17"/>
  <c r="N301" i="17"/>
  <c r="U301" i="17" s="1"/>
  <c r="N300" i="17"/>
  <c r="U300" i="17" s="1"/>
  <c r="N299" i="17"/>
  <c r="U299" i="17" s="1"/>
  <c r="N298" i="17"/>
  <c r="N297" i="17"/>
  <c r="N296" i="17"/>
  <c r="N295" i="17"/>
  <c r="N294" i="17"/>
  <c r="N293" i="17"/>
  <c r="U293" i="17" s="1"/>
  <c r="N292" i="17"/>
  <c r="U292" i="17" s="1"/>
  <c r="N291" i="17"/>
  <c r="U291" i="17" s="1"/>
  <c r="N290" i="17"/>
  <c r="N289" i="17"/>
  <c r="N288" i="17"/>
  <c r="N287" i="17"/>
  <c r="N286" i="17"/>
  <c r="N285" i="17"/>
  <c r="U285" i="17" s="1"/>
  <c r="N284" i="17"/>
  <c r="U284" i="17" s="1"/>
  <c r="N283" i="17"/>
  <c r="U283" i="17" s="1"/>
  <c r="N282" i="17"/>
  <c r="N281" i="17"/>
  <c r="U281" i="17" s="1"/>
  <c r="N280" i="17"/>
  <c r="N279" i="17"/>
  <c r="N278" i="17"/>
  <c r="N277" i="17"/>
  <c r="U277" i="17" s="1"/>
  <c r="N276" i="17"/>
  <c r="U276" i="17" s="1"/>
  <c r="N274" i="17"/>
  <c r="N273" i="17"/>
  <c r="N269" i="17"/>
  <c r="U269" i="17" s="1"/>
  <c r="N268" i="17"/>
  <c r="U268" i="17" s="1"/>
  <c r="N267" i="17"/>
  <c r="U267" i="17" s="1"/>
  <c r="N266" i="17"/>
  <c r="N265" i="17"/>
  <c r="N264" i="17"/>
  <c r="N263" i="17"/>
  <c r="N262" i="17"/>
  <c r="N261" i="17"/>
  <c r="U261" i="17" s="1"/>
  <c r="N260" i="17"/>
  <c r="U260" i="17" s="1"/>
  <c r="N259" i="17"/>
  <c r="U259" i="17" s="1"/>
  <c r="N258" i="17"/>
  <c r="N257" i="17"/>
  <c r="N256" i="17"/>
  <c r="N255" i="17"/>
  <c r="N254" i="17"/>
  <c r="N253" i="17"/>
  <c r="N252" i="17"/>
  <c r="N251" i="17"/>
  <c r="N250" i="17"/>
  <c r="N249" i="17"/>
  <c r="N248" i="17"/>
  <c r="N247" i="17"/>
  <c r="N246" i="17"/>
  <c r="N245" i="17"/>
  <c r="N244" i="17"/>
  <c r="N243" i="17"/>
  <c r="N242" i="17"/>
  <c r="N241" i="17"/>
  <c r="N240" i="17"/>
  <c r="N239" i="17"/>
  <c r="N238" i="17"/>
  <c r="N237" i="17"/>
  <c r="N236" i="17"/>
  <c r="N235" i="17"/>
  <c r="N234" i="17"/>
  <c r="N233" i="17"/>
  <c r="N232" i="17"/>
  <c r="N231" i="17"/>
  <c r="N230" i="17"/>
  <c r="N229" i="17"/>
  <c r="N228" i="17"/>
  <c r="N227" i="17"/>
  <c r="N226" i="17"/>
  <c r="N225" i="17"/>
  <c r="N224" i="17"/>
  <c r="N223" i="17"/>
  <c r="N222" i="17"/>
  <c r="N221" i="17"/>
  <c r="N220" i="17"/>
  <c r="N219" i="17"/>
  <c r="N218" i="17"/>
  <c r="N217" i="17"/>
  <c r="N216" i="17"/>
  <c r="N215" i="17"/>
  <c r="N214" i="17"/>
  <c r="N213" i="17"/>
  <c r="N212" i="17"/>
  <c r="N211" i="17"/>
  <c r="N210" i="17"/>
  <c r="N209" i="17"/>
  <c r="N208" i="17"/>
  <c r="N207" i="17"/>
  <c r="N206" i="17"/>
  <c r="N205" i="17"/>
  <c r="N204" i="17"/>
  <c r="N203" i="17"/>
  <c r="N202" i="17"/>
  <c r="N201" i="17"/>
  <c r="N200" i="17"/>
  <c r="N199" i="17"/>
  <c r="N198" i="17"/>
  <c r="N197" i="17"/>
  <c r="N196" i="17"/>
  <c r="N195" i="17"/>
  <c r="N194" i="17"/>
  <c r="N193" i="17"/>
  <c r="N192" i="17"/>
  <c r="N191" i="17"/>
  <c r="N190" i="17"/>
  <c r="N189" i="17"/>
  <c r="N188" i="17"/>
  <c r="N187" i="17"/>
  <c r="N186" i="17"/>
  <c r="N185" i="17"/>
  <c r="N184" i="17"/>
  <c r="N183" i="17"/>
  <c r="N182" i="17"/>
  <c r="N181" i="17"/>
  <c r="N180" i="17"/>
  <c r="N179" i="17"/>
  <c r="N178" i="17"/>
  <c r="N177" i="17"/>
  <c r="N176" i="17"/>
  <c r="N175" i="17"/>
  <c r="N174" i="17"/>
  <c r="N173" i="17"/>
  <c r="N172" i="17"/>
  <c r="N171" i="17"/>
  <c r="N170" i="17"/>
  <c r="N169" i="17"/>
  <c r="N168" i="17"/>
  <c r="N167" i="17"/>
  <c r="N166" i="17"/>
  <c r="N165" i="17"/>
  <c r="N164" i="17"/>
  <c r="N163" i="17"/>
  <c r="N162" i="17"/>
  <c r="N161" i="17"/>
  <c r="N160" i="17"/>
  <c r="N159" i="17"/>
  <c r="N158" i="17"/>
  <c r="N157" i="17"/>
  <c r="N156" i="17"/>
  <c r="N155" i="17"/>
  <c r="N154" i="17"/>
  <c r="N153" i="17"/>
  <c r="N152" i="17"/>
  <c r="N151" i="17"/>
  <c r="N150" i="17"/>
  <c r="N149" i="17"/>
  <c r="N148" i="17"/>
  <c r="N147" i="17"/>
  <c r="N146" i="17"/>
  <c r="N145" i="17"/>
  <c r="N144" i="17"/>
  <c r="N143" i="17"/>
  <c r="N142" i="17"/>
  <c r="N141" i="17"/>
  <c r="N140" i="17"/>
  <c r="N139" i="17"/>
  <c r="N138" i="17"/>
  <c r="N137" i="17"/>
  <c r="N136" i="17"/>
  <c r="N135" i="17"/>
  <c r="N134" i="17"/>
  <c r="N133" i="17"/>
  <c r="N132" i="17"/>
  <c r="N131" i="17"/>
  <c r="N130" i="17"/>
  <c r="N129" i="17"/>
  <c r="N128" i="17"/>
  <c r="N127" i="17"/>
  <c r="N126" i="17"/>
  <c r="N125" i="17"/>
  <c r="N124" i="17"/>
  <c r="N123" i="17"/>
  <c r="N122" i="17"/>
  <c r="N121" i="17"/>
  <c r="N120" i="17"/>
  <c r="N119" i="17"/>
  <c r="N118" i="17"/>
  <c r="N117" i="17"/>
  <c r="N116" i="17"/>
  <c r="N115" i="17"/>
  <c r="N114" i="17"/>
  <c r="N113" i="17"/>
  <c r="N112" i="17"/>
  <c r="N111" i="17"/>
  <c r="N110" i="17"/>
  <c r="N109" i="17"/>
  <c r="N108" i="17"/>
  <c r="N107" i="17"/>
  <c r="N106" i="17"/>
  <c r="N105" i="17"/>
  <c r="N104" i="17"/>
  <c r="N103" i="17"/>
  <c r="N102" i="17"/>
  <c r="N101" i="17"/>
  <c r="N100" i="17"/>
  <c r="N99" i="17"/>
  <c r="N98" i="17"/>
  <c r="N97" i="17"/>
  <c r="N96" i="17"/>
  <c r="N95" i="17"/>
  <c r="N94" i="17"/>
  <c r="N93" i="17"/>
  <c r="N92" i="17"/>
  <c r="N91" i="17"/>
  <c r="N90" i="17"/>
  <c r="N89" i="17"/>
  <c r="N88" i="17"/>
  <c r="N87" i="17"/>
  <c r="N86" i="17"/>
  <c r="N85" i="17"/>
  <c r="N84" i="17"/>
  <c r="N83" i="17"/>
  <c r="N82" i="17"/>
  <c r="N81" i="17"/>
  <c r="N80" i="17"/>
  <c r="N79" i="17"/>
  <c r="N78" i="17"/>
  <c r="N77" i="17"/>
  <c r="N76" i="17"/>
  <c r="N75" i="17"/>
  <c r="N74" i="17"/>
  <c r="N73" i="17"/>
  <c r="N72" i="17"/>
  <c r="N71" i="17"/>
  <c r="N70" i="17"/>
  <c r="N69" i="17"/>
  <c r="N68" i="17"/>
  <c r="N67" i="17"/>
  <c r="N66" i="17"/>
  <c r="N65" i="17"/>
  <c r="N64" i="17"/>
  <c r="N63" i="17"/>
  <c r="N62" i="17"/>
  <c r="N61" i="17"/>
  <c r="N60" i="17"/>
  <c r="N59" i="17"/>
  <c r="N58" i="17"/>
  <c r="N57" i="17"/>
  <c r="N56" i="17"/>
  <c r="N55" i="17"/>
  <c r="N54" i="17"/>
  <c r="N53" i="17"/>
  <c r="N52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V314" i="17"/>
  <c r="U314" i="17"/>
  <c r="V313" i="17"/>
  <c r="U313" i="17"/>
  <c r="V312" i="17"/>
  <c r="U312" i="17"/>
  <c r="V311" i="17"/>
  <c r="U311" i="17"/>
  <c r="V310" i="17"/>
  <c r="U310" i="17"/>
  <c r="V309" i="17"/>
  <c r="V308" i="17"/>
  <c r="V307" i="17"/>
  <c r="V306" i="17"/>
  <c r="U306" i="17"/>
  <c r="V305" i="17"/>
  <c r="U305" i="17"/>
  <c r="V304" i="17"/>
  <c r="U304" i="17"/>
  <c r="V303" i="17"/>
  <c r="U303" i="17"/>
  <c r="V302" i="17"/>
  <c r="U302" i="17"/>
  <c r="V301" i="17"/>
  <c r="V300" i="17"/>
  <c r="V299" i="17"/>
  <c r="V298" i="17"/>
  <c r="U298" i="17"/>
  <c r="V297" i="17"/>
  <c r="U297" i="17"/>
  <c r="V296" i="17"/>
  <c r="U296" i="17"/>
  <c r="V295" i="17"/>
  <c r="U295" i="17"/>
  <c r="V294" i="17"/>
  <c r="U294" i="17"/>
  <c r="V293" i="17"/>
  <c r="V292" i="17"/>
  <c r="V291" i="17"/>
  <c r="V290" i="17"/>
  <c r="U290" i="17"/>
  <c r="V289" i="17"/>
  <c r="U289" i="17"/>
  <c r="V288" i="17"/>
  <c r="U288" i="17"/>
  <c r="V287" i="17"/>
  <c r="U287" i="17"/>
  <c r="V286" i="17"/>
  <c r="U286" i="17"/>
  <c r="V285" i="17"/>
  <c r="V284" i="17"/>
  <c r="V283" i="17"/>
  <c r="V282" i="17"/>
  <c r="U282" i="17"/>
  <c r="V281" i="17"/>
  <c r="V280" i="17"/>
  <c r="U280" i="17"/>
  <c r="V279" i="17"/>
  <c r="U279" i="17"/>
  <c r="V278" i="17"/>
  <c r="U278" i="17"/>
  <c r="V277" i="17"/>
  <c r="V276" i="17"/>
  <c r="V275" i="17"/>
  <c r="V274" i="17"/>
  <c r="U274" i="17"/>
  <c r="V273" i="17"/>
  <c r="U273" i="17"/>
  <c r="V272" i="17"/>
  <c r="V271" i="17"/>
  <c r="V270" i="17"/>
  <c r="V269" i="17"/>
  <c r="V268" i="17"/>
  <c r="V267" i="17"/>
  <c r="V266" i="17"/>
  <c r="U266" i="17"/>
  <c r="V265" i="17"/>
  <c r="U265" i="17"/>
  <c r="V264" i="17"/>
  <c r="U264" i="17"/>
  <c r="V263" i="17"/>
  <c r="U263" i="17"/>
  <c r="V262" i="17"/>
  <c r="U262" i="17"/>
  <c r="V261" i="17"/>
  <c r="V260" i="17"/>
  <c r="V259" i="17"/>
  <c r="T314" i="17"/>
  <c r="S314" i="17"/>
  <c r="O314" i="17"/>
  <c r="Q314" i="17" s="1"/>
  <c r="R314" i="17" s="1"/>
  <c r="S313" i="17"/>
  <c r="T313" i="17" s="1"/>
  <c r="R313" i="17"/>
  <c r="Q313" i="17"/>
  <c r="O313" i="17"/>
  <c r="S312" i="17"/>
  <c r="T312" i="17" s="1"/>
  <c r="O312" i="17"/>
  <c r="Q312" i="17" s="1"/>
  <c r="R312" i="17" s="1"/>
  <c r="T311" i="17"/>
  <c r="S311" i="17"/>
  <c r="O311" i="17"/>
  <c r="Q311" i="17" s="1"/>
  <c r="R311" i="17" s="1"/>
  <c r="S310" i="17"/>
  <c r="T310" i="17" s="1"/>
  <c r="Q310" i="17"/>
  <c r="R310" i="17" s="1"/>
  <c r="O310" i="17"/>
  <c r="S309" i="17"/>
  <c r="T309" i="17" s="1"/>
  <c r="O309" i="17"/>
  <c r="Q309" i="17" s="1"/>
  <c r="R309" i="17" s="1"/>
  <c r="S308" i="17"/>
  <c r="T308" i="17" s="1"/>
  <c r="O308" i="17"/>
  <c r="Q308" i="17" s="1"/>
  <c r="R308" i="17" s="1"/>
  <c r="S307" i="17"/>
  <c r="T307" i="17" s="1"/>
  <c r="O307" i="17"/>
  <c r="Q307" i="17" s="1"/>
  <c r="R307" i="17" s="1"/>
  <c r="T306" i="17"/>
  <c r="S306" i="17"/>
  <c r="O306" i="17"/>
  <c r="Q306" i="17" s="1"/>
  <c r="R306" i="17" s="1"/>
  <c r="S305" i="17"/>
  <c r="T305" i="17" s="1"/>
  <c r="R305" i="17"/>
  <c r="Q305" i="17"/>
  <c r="O305" i="17"/>
  <c r="S304" i="17"/>
  <c r="T304" i="17" s="1"/>
  <c r="O304" i="17"/>
  <c r="Q304" i="17" s="1"/>
  <c r="R304" i="17" s="1"/>
  <c r="T303" i="17"/>
  <c r="S303" i="17"/>
  <c r="O303" i="17"/>
  <c r="Q303" i="17" s="1"/>
  <c r="R303" i="17" s="1"/>
  <c r="S302" i="17"/>
  <c r="T302" i="17" s="1"/>
  <c r="Q302" i="17"/>
  <c r="R302" i="17" s="1"/>
  <c r="O302" i="17"/>
  <c r="S301" i="17"/>
  <c r="T301" i="17" s="1"/>
  <c r="O301" i="17"/>
  <c r="Q301" i="17" s="1"/>
  <c r="R301" i="17" s="1"/>
  <c r="S300" i="17"/>
  <c r="T300" i="17" s="1"/>
  <c r="O300" i="17"/>
  <c r="Q300" i="17" s="1"/>
  <c r="R300" i="17" s="1"/>
  <c r="S299" i="17"/>
  <c r="T299" i="17" s="1"/>
  <c r="O299" i="17"/>
  <c r="Q299" i="17" s="1"/>
  <c r="R299" i="17" s="1"/>
  <c r="T298" i="17"/>
  <c r="S298" i="17"/>
  <c r="O298" i="17"/>
  <c r="Q298" i="17" s="1"/>
  <c r="R298" i="17" s="1"/>
  <c r="S297" i="17"/>
  <c r="T297" i="17" s="1"/>
  <c r="R297" i="17"/>
  <c r="Q297" i="17"/>
  <c r="O297" i="17"/>
  <c r="S296" i="17"/>
  <c r="T296" i="17" s="1"/>
  <c r="O296" i="17"/>
  <c r="Q296" i="17" s="1"/>
  <c r="R296" i="17" s="1"/>
  <c r="T295" i="17"/>
  <c r="S295" i="17"/>
  <c r="O295" i="17"/>
  <c r="Q295" i="17" s="1"/>
  <c r="R295" i="17" s="1"/>
  <c r="S294" i="17"/>
  <c r="T294" i="17" s="1"/>
  <c r="Q294" i="17"/>
  <c r="R294" i="17" s="1"/>
  <c r="O294" i="17"/>
  <c r="T293" i="17"/>
  <c r="S293" i="17"/>
  <c r="O293" i="17"/>
  <c r="Q293" i="17" s="1"/>
  <c r="R293" i="17" s="1"/>
  <c r="S292" i="17"/>
  <c r="T292" i="17" s="1"/>
  <c r="R292" i="17"/>
  <c r="Q292" i="17"/>
  <c r="O292" i="17"/>
  <c r="S291" i="17"/>
  <c r="T291" i="17" s="1"/>
  <c r="O291" i="17"/>
  <c r="Q291" i="17" s="1"/>
  <c r="R291" i="17" s="1"/>
  <c r="T290" i="17"/>
  <c r="S290" i="17"/>
  <c r="O290" i="17"/>
  <c r="Q290" i="17" s="1"/>
  <c r="R290" i="17" s="1"/>
  <c r="S289" i="17"/>
  <c r="T289" i="17" s="1"/>
  <c r="R289" i="17"/>
  <c r="Q289" i="17"/>
  <c r="O289" i="17"/>
  <c r="S288" i="17"/>
  <c r="T288" i="17" s="1"/>
  <c r="O288" i="17"/>
  <c r="Q288" i="17" s="1"/>
  <c r="R288" i="17" s="1"/>
  <c r="T287" i="17"/>
  <c r="S287" i="17"/>
  <c r="O287" i="17"/>
  <c r="Q287" i="17" s="1"/>
  <c r="R287" i="17" s="1"/>
  <c r="S286" i="17"/>
  <c r="T286" i="17" s="1"/>
  <c r="Q286" i="17"/>
  <c r="R286" i="17" s="1"/>
  <c r="O286" i="17"/>
  <c r="T285" i="17"/>
  <c r="S285" i="17"/>
  <c r="O285" i="17"/>
  <c r="Q285" i="17" s="1"/>
  <c r="R285" i="17" s="1"/>
  <c r="S284" i="17"/>
  <c r="T284" i="17" s="1"/>
  <c r="R284" i="17"/>
  <c r="Q284" i="17"/>
  <c r="O284" i="17"/>
  <c r="S283" i="17"/>
  <c r="T283" i="17" s="1"/>
  <c r="O283" i="17"/>
  <c r="Q283" i="17" s="1"/>
  <c r="R283" i="17" s="1"/>
  <c r="T282" i="17"/>
  <c r="S282" i="17"/>
  <c r="O282" i="17"/>
  <c r="Q282" i="17" s="1"/>
  <c r="R282" i="17" s="1"/>
  <c r="S281" i="17"/>
  <c r="T281" i="17" s="1"/>
  <c r="R281" i="17"/>
  <c r="Q281" i="17"/>
  <c r="O281" i="17"/>
  <c r="S280" i="17"/>
  <c r="T280" i="17" s="1"/>
  <c r="O280" i="17"/>
  <c r="Q280" i="17" s="1"/>
  <c r="R280" i="17" s="1"/>
  <c r="T279" i="17"/>
  <c r="S279" i="17"/>
  <c r="O279" i="17"/>
  <c r="Q279" i="17" s="1"/>
  <c r="R279" i="17" s="1"/>
  <c r="S278" i="17"/>
  <c r="T278" i="17" s="1"/>
  <c r="Q278" i="17"/>
  <c r="R278" i="17" s="1"/>
  <c r="O278" i="17"/>
  <c r="S277" i="17"/>
  <c r="T277" i="17" s="1"/>
  <c r="O277" i="17"/>
  <c r="Q277" i="17" s="1"/>
  <c r="R277" i="17" s="1"/>
  <c r="S276" i="17"/>
  <c r="T276" i="17" s="1"/>
  <c r="O276" i="17"/>
  <c r="Q276" i="17" s="1"/>
  <c r="R276" i="17" s="1"/>
  <c r="S275" i="17"/>
  <c r="O275" i="17"/>
  <c r="Q275" i="17" s="1"/>
  <c r="R275" i="17" s="1"/>
  <c r="T274" i="17"/>
  <c r="S274" i="17"/>
  <c r="O274" i="17"/>
  <c r="Q274" i="17" s="1"/>
  <c r="R274" i="17" s="1"/>
  <c r="S273" i="17"/>
  <c r="T273" i="17" s="1"/>
  <c r="R273" i="17"/>
  <c r="Q273" i="17"/>
  <c r="O273" i="17"/>
  <c r="S272" i="17"/>
  <c r="O272" i="17"/>
  <c r="Q272" i="17" s="1"/>
  <c r="R272" i="17" s="1"/>
  <c r="S271" i="17"/>
  <c r="O271" i="17"/>
  <c r="Q271" i="17" s="1"/>
  <c r="R271" i="17" s="1"/>
  <c r="S270" i="17"/>
  <c r="Q270" i="17"/>
  <c r="R270" i="17" s="1"/>
  <c r="O270" i="17"/>
  <c r="S269" i="17"/>
  <c r="T269" i="17" s="1"/>
  <c r="O269" i="17"/>
  <c r="Q269" i="17" s="1"/>
  <c r="R269" i="17" s="1"/>
  <c r="S268" i="17"/>
  <c r="T268" i="17" s="1"/>
  <c r="O268" i="17"/>
  <c r="Q268" i="17" s="1"/>
  <c r="R268" i="17" s="1"/>
  <c r="S267" i="17"/>
  <c r="T267" i="17" s="1"/>
  <c r="O267" i="17"/>
  <c r="Q267" i="17" s="1"/>
  <c r="R267" i="17" s="1"/>
  <c r="T266" i="17"/>
  <c r="S266" i="17"/>
  <c r="O266" i="17"/>
  <c r="Q266" i="17" s="1"/>
  <c r="R266" i="17" s="1"/>
  <c r="S265" i="17"/>
  <c r="T265" i="17" s="1"/>
  <c r="R265" i="17"/>
  <c r="Q265" i="17"/>
  <c r="O265" i="17"/>
  <c r="S264" i="17"/>
  <c r="T264" i="17" s="1"/>
  <c r="O264" i="17"/>
  <c r="Q264" i="17" s="1"/>
  <c r="R264" i="17" s="1"/>
  <c r="T263" i="17"/>
  <c r="S263" i="17"/>
  <c r="O263" i="17"/>
  <c r="Q263" i="17" s="1"/>
  <c r="R263" i="17" s="1"/>
  <c r="S262" i="17"/>
  <c r="T262" i="17" s="1"/>
  <c r="Q262" i="17"/>
  <c r="R262" i="17" s="1"/>
  <c r="O262" i="17"/>
  <c r="T261" i="17"/>
  <c r="S261" i="17"/>
  <c r="O261" i="17"/>
  <c r="Q261" i="17" s="1"/>
  <c r="R261" i="17" s="1"/>
  <c r="S260" i="17"/>
  <c r="T260" i="17" s="1"/>
  <c r="R260" i="17"/>
  <c r="Q260" i="17"/>
  <c r="O260" i="17"/>
  <c r="S259" i="17"/>
  <c r="T259" i="17" s="1"/>
  <c r="O259" i="17"/>
  <c r="Q259" i="17" s="1"/>
  <c r="R259" i="17" s="1"/>
  <c r="M315" i="17"/>
  <c r="J315" i="17"/>
  <c r="I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N275" i="17" s="1"/>
  <c r="K274" i="17"/>
  <c r="K273" i="17"/>
  <c r="K272" i="17"/>
  <c r="N272" i="17" s="1"/>
  <c r="K271" i="17"/>
  <c r="T271" i="17" s="1"/>
  <c r="K270" i="17"/>
  <c r="N270" i="17" s="1"/>
  <c r="K269" i="17"/>
  <c r="K268" i="17"/>
  <c r="K267" i="17"/>
  <c r="K266" i="17"/>
  <c r="K265" i="17"/>
  <c r="K264" i="17"/>
  <c r="K263" i="17"/>
  <c r="K262" i="17"/>
  <c r="K261" i="17"/>
  <c r="K260" i="17"/>
  <c r="K259" i="17"/>
  <c r="M334" i="16"/>
  <c r="J334" i="16"/>
  <c r="I334" i="16"/>
  <c r="N328" i="16"/>
  <c r="N327" i="16"/>
  <c r="N326" i="16"/>
  <c r="N320" i="16"/>
  <c r="N319" i="16"/>
  <c r="N318" i="16"/>
  <c r="N312" i="16"/>
  <c r="N311" i="16"/>
  <c r="N310" i="16"/>
  <c r="K333" i="16"/>
  <c r="N333" i="16" s="1"/>
  <c r="K332" i="16"/>
  <c r="N332" i="16" s="1"/>
  <c r="K331" i="16"/>
  <c r="N331" i="16" s="1"/>
  <c r="K330" i="16"/>
  <c r="N330" i="16" s="1"/>
  <c r="K329" i="16"/>
  <c r="N329" i="16" s="1"/>
  <c r="K328" i="16"/>
  <c r="K327" i="16"/>
  <c r="K326" i="16"/>
  <c r="K325" i="16"/>
  <c r="N325" i="16" s="1"/>
  <c r="K324" i="16"/>
  <c r="N324" i="16" s="1"/>
  <c r="K323" i="16"/>
  <c r="N323" i="16" s="1"/>
  <c r="K322" i="16"/>
  <c r="N322" i="16" s="1"/>
  <c r="K321" i="16"/>
  <c r="N321" i="16" s="1"/>
  <c r="K320" i="16"/>
  <c r="K319" i="16"/>
  <c r="K318" i="16"/>
  <c r="K317" i="16"/>
  <c r="N317" i="16" s="1"/>
  <c r="K316" i="16"/>
  <c r="N316" i="16" s="1"/>
  <c r="K315" i="16"/>
  <c r="N315" i="16" s="1"/>
  <c r="K314" i="16"/>
  <c r="N314" i="16" s="1"/>
  <c r="K313" i="16"/>
  <c r="K312" i="16"/>
  <c r="K311" i="16"/>
  <c r="K310" i="16"/>
  <c r="K309" i="16"/>
  <c r="N309" i="16" s="1"/>
  <c r="K308" i="16"/>
  <c r="N308" i="16" s="1"/>
  <c r="V333" i="16"/>
  <c r="O333" i="16"/>
  <c r="Q333" i="16" s="1"/>
  <c r="R333" i="16" s="1"/>
  <c r="V332" i="16"/>
  <c r="O332" i="16"/>
  <c r="Q332" i="16" s="1"/>
  <c r="R332" i="16" s="1"/>
  <c r="V331" i="16"/>
  <c r="O331" i="16"/>
  <c r="Q331" i="16" s="1"/>
  <c r="R331" i="16" s="1"/>
  <c r="V330" i="16"/>
  <c r="O330" i="16"/>
  <c r="Q330" i="16" s="1"/>
  <c r="R330" i="16" s="1"/>
  <c r="V329" i="16"/>
  <c r="O329" i="16"/>
  <c r="Q329" i="16" s="1"/>
  <c r="R329" i="16" s="1"/>
  <c r="V328" i="16"/>
  <c r="O328" i="16"/>
  <c r="Q328" i="16" s="1"/>
  <c r="R328" i="16" s="1"/>
  <c r="V327" i="16"/>
  <c r="O327" i="16"/>
  <c r="Q327" i="16" s="1"/>
  <c r="R327" i="16" s="1"/>
  <c r="V326" i="16"/>
  <c r="O326" i="16"/>
  <c r="Q326" i="16" s="1"/>
  <c r="R326" i="16" s="1"/>
  <c r="V325" i="16"/>
  <c r="O325" i="16"/>
  <c r="Q325" i="16" s="1"/>
  <c r="R325" i="16" s="1"/>
  <c r="V324" i="16"/>
  <c r="O324" i="16"/>
  <c r="Q324" i="16" s="1"/>
  <c r="R324" i="16" s="1"/>
  <c r="V323" i="16"/>
  <c r="O323" i="16"/>
  <c r="Q323" i="16" s="1"/>
  <c r="R323" i="16" s="1"/>
  <c r="V322" i="16"/>
  <c r="O322" i="16"/>
  <c r="Q322" i="16" s="1"/>
  <c r="R322" i="16" s="1"/>
  <c r="V321" i="16"/>
  <c r="O321" i="16"/>
  <c r="Q321" i="16" s="1"/>
  <c r="R321" i="16" s="1"/>
  <c r="S321" i="16" s="1"/>
  <c r="T321" i="16" s="1"/>
  <c r="U321" i="16" s="1"/>
  <c r="V320" i="16"/>
  <c r="O320" i="16"/>
  <c r="Q320" i="16" s="1"/>
  <c r="R320" i="16" s="1"/>
  <c r="V319" i="16"/>
  <c r="O319" i="16"/>
  <c r="Q319" i="16" s="1"/>
  <c r="R319" i="16" s="1"/>
  <c r="V318" i="16"/>
  <c r="O318" i="16"/>
  <c r="Q318" i="16" s="1"/>
  <c r="R318" i="16" s="1"/>
  <c r="V317" i="16"/>
  <c r="O317" i="16"/>
  <c r="Q317" i="16" s="1"/>
  <c r="R317" i="16" s="1"/>
  <c r="V316" i="16"/>
  <c r="O316" i="16"/>
  <c r="Q316" i="16" s="1"/>
  <c r="R316" i="16" s="1"/>
  <c r="V315" i="16"/>
  <c r="O315" i="16"/>
  <c r="Q315" i="16" s="1"/>
  <c r="R315" i="16" s="1"/>
  <c r="V314" i="16"/>
  <c r="O314" i="16"/>
  <c r="Q314" i="16" s="1"/>
  <c r="R314" i="16" s="1"/>
  <c r="V313" i="16"/>
  <c r="O313" i="16"/>
  <c r="Q313" i="16" s="1"/>
  <c r="R313" i="16" s="1"/>
  <c r="V312" i="16"/>
  <c r="O312" i="16"/>
  <c r="Q312" i="16" s="1"/>
  <c r="R312" i="16" s="1"/>
  <c r="V311" i="16"/>
  <c r="O311" i="16"/>
  <c r="Q311" i="16" s="1"/>
  <c r="R311" i="16" s="1"/>
  <c r="V310" i="16"/>
  <c r="O310" i="16"/>
  <c r="Q310" i="16" s="1"/>
  <c r="R310" i="16" s="1"/>
  <c r="V309" i="16"/>
  <c r="O309" i="16"/>
  <c r="Q309" i="16" s="1"/>
  <c r="R309" i="16" s="1"/>
  <c r="V308" i="16"/>
  <c r="O308" i="16"/>
  <c r="Q308" i="16" s="1"/>
  <c r="R308" i="16" s="1"/>
  <c r="M313" i="14"/>
  <c r="J313" i="14"/>
  <c r="I313" i="14"/>
  <c r="H313" i="14"/>
  <c r="O312" i="14"/>
  <c r="Q312" i="14" s="1"/>
  <c r="R312" i="14" s="1"/>
  <c r="O311" i="14"/>
  <c r="Q311" i="14" s="1"/>
  <c r="R311" i="14" s="1"/>
  <c r="O310" i="14"/>
  <c r="Q310" i="14" s="1"/>
  <c r="R310" i="14" s="1"/>
  <c r="O309" i="14"/>
  <c r="Q309" i="14" s="1"/>
  <c r="R309" i="14" s="1"/>
  <c r="O308" i="14"/>
  <c r="Q308" i="14" s="1"/>
  <c r="R308" i="14" s="1"/>
  <c r="O307" i="14"/>
  <c r="Q307" i="14" s="1"/>
  <c r="R307" i="14" s="1"/>
  <c r="O306" i="14"/>
  <c r="Q306" i="14" s="1"/>
  <c r="R306" i="14" s="1"/>
  <c r="O305" i="14"/>
  <c r="Q305" i="14" s="1"/>
  <c r="R305" i="14" s="1"/>
  <c r="O304" i="14"/>
  <c r="Q304" i="14" s="1"/>
  <c r="R304" i="14" s="1"/>
  <c r="O303" i="14"/>
  <c r="Q303" i="14" s="1"/>
  <c r="R303" i="14" s="1"/>
  <c r="O302" i="14"/>
  <c r="Q302" i="14" s="1"/>
  <c r="R302" i="14" s="1"/>
  <c r="O301" i="14"/>
  <c r="Q301" i="14" s="1"/>
  <c r="R301" i="14" s="1"/>
  <c r="O300" i="14"/>
  <c r="O299" i="14"/>
  <c r="Q299" i="14" s="1"/>
  <c r="R299" i="14" s="1"/>
  <c r="O298" i="14"/>
  <c r="Q298" i="14" s="1"/>
  <c r="R298" i="14" s="1"/>
  <c r="O297" i="14"/>
  <c r="Q297" i="14" s="1"/>
  <c r="R297" i="14" s="1"/>
  <c r="O296" i="14"/>
  <c r="O295" i="14"/>
  <c r="O294" i="14"/>
  <c r="Q294" i="14" s="1"/>
  <c r="R294" i="14" s="1"/>
  <c r="O293" i="14"/>
  <c r="Q293" i="14" s="1"/>
  <c r="R293" i="14" s="1"/>
  <c r="O292" i="14"/>
  <c r="Q292" i="14" s="1"/>
  <c r="R292" i="14" s="1"/>
  <c r="O291" i="14"/>
  <c r="Q291" i="14" s="1"/>
  <c r="R291" i="14" s="1"/>
  <c r="O290" i="14"/>
  <c r="Q290" i="14" s="1"/>
  <c r="R290" i="14" s="1"/>
  <c r="O289" i="14"/>
  <c r="Q289" i="14" s="1"/>
  <c r="R289" i="14" s="1"/>
  <c r="O288" i="14"/>
  <c r="O287" i="14"/>
  <c r="Q287" i="14" s="1"/>
  <c r="R287" i="14" s="1"/>
  <c r="O286" i="14"/>
  <c r="Q286" i="14" s="1"/>
  <c r="R286" i="14" s="1"/>
  <c r="O285" i="14"/>
  <c r="Q285" i="14" s="1"/>
  <c r="R285" i="14" s="1"/>
  <c r="O284" i="14"/>
  <c r="O283" i="14"/>
  <c r="Q283" i="14" s="1"/>
  <c r="R283" i="14" s="1"/>
  <c r="O282" i="14"/>
  <c r="Q282" i="14" s="1"/>
  <c r="R282" i="14" s="1"/>
  <c r="O281" i="14"/>
  <c r="Q281" i="14" s="1"/>
  <c r="R281" i="14" s="1"/>
  <c r="O280" i="14"/>
  <c r="Q280" i="14" s="1"/>
  <c r="R280" i="14" s="1"/>
  <c r="O279" i="14"/>
  <c r="Q279" i="14" s="1"/>
  <c r="R279" i="14" s="1"/>
  <c r="O278" i="14"/>
  <c r="Q278" i="14" s="1"/>
  <c r="R278" i="14" s="1"/>
  <c r="O277" i="14"/>
  <c r="Q277" i="14" s="1"/>
  <c r="R277" i="14" s="1"/>
  <c r="O276" i="14"/>
  <c r="Q276" i="14" s="1"/>
  <c r="R276" i="14" s="1"/>
  <c r="O275" i="14"/>
  <c r="Q275" i="14" s="1"/>
  <c r="R275" i="14" s="1"/>
  <c r="O274" i="14"/>
  <c r="Q274" i="14" s="1"/>
  <c r="R274" i="14" s="1"/>
  <c r="O273" i="14"/>
  <c r="Q273" i="14" s="1"/>
  <c r="R273" i="14" s="1"/>
  <c r="O272" i="14"/>
  <c r="O271" i="14"/>
  <c r="O270" i="14"/>
  <c r="Q270" i="14" s="1"/>
  <c r="R270" i="14" s="1"/>
  <c r="O269" i="14"/>
  <c r="Q269" i="14" s="1"/>
  <c r="R269" i="14" s="1"/>
  <c r="O268" i="14"/>
  <c r="O267" i="14"/>
  <c r="Q267" i="14" s="1"/>
  <c r="R267" i="14" s="1"/>
  <c r="O266" i="14"/>
  <c r="Q266" i="14" s="1"/>
  <c r="R266" i="14" s="1"/>
  <c r="O265" i="14"/>
  <c r="Q265" i="14" s="1"/>
  <c r="R265" i="14" s="1"/>
  <c r="O264" i="14"/>
  <c r="O263" i="14"/>
  <c r="Q263" i="14" s="1"/>
  <c r="R263" i="14" s="1"/>
  <c r="O262" i="14"/>
  <c r="Q262" i="14" s="1"/>
  <c r="R262" i="14" s="1"/>
  <c r="O261" i="14"/>
  <c r="Q261" i="14" s="1"/>
  <c r="R261" i="14" s="1"/>
  <c r="O260" i="14"/>
  <c r="Q260" i="14" s="1"/>
  <c r="R260" i="14" s="1"/>
  <c r="O259" i="14"/>
  <c r="Q259" i="14" s="1"/>
  <c r="R259" i="14" s="1"/>
  <c r="O258" i="14"/>
  <c r="Q258" i="14" s="1"/>
  <c r="R258" i="14" s="1"/>
  <c r="O257" i="14"/>
  <c r="Q257" i="14" s="1"/>
  <c r="R257" i="14" s="1"/>
  <c r="O256" i="14"/>
  <c r="Q256" i="14" s="1"/>
  <c r="R256" i="14" s="1"/>
  <c r="O255" i="14"/>
  <c r="Q255" i="14" s="1"/>
  <c r="R255" i="14" s="1"/>
  <c r="O254" i="14"/>
  <c r="Q254" i="14" s="1"/>
  <c r="R254" i="14" s="1"/>
  <c r="O253" i="14"/>
  <c r="Q253" i="14" s="1"/>
  <c r="R253" i="14" s="1"/>
  <c r="O252" i="14"/>
  <c r="O251" i="14"/>
  <c r="Q251" i="14" s="1"/>
  <c r="R251" i="14" s="1"/>
  <c r="O250" i="14"/>
  <c r="Q250" i="14" s="1"/>
  <c r="R250" i="14" s="1"/>
  <c r="O249" i="14"/>
  <c r="Q249" i="14" s="1"/>
  <c r="R249" i="14" s="1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S312" i="14"/>
  <c r="T312" i="14" s="1"/>
  <c r="S311" i="14"/>
  <c r="S310" i="14"/>
  <c r="S309" i="14"/>
  <c r="S308" i="14"/>
  <c r="S307" i="14"/>
  <c r="T307" i="14" s="1"/>
  <c r="S306" i="14"/>
  <c r="T306" i="14" s="1"/>
  <c r="U306" i="14" s="1"/>
  <c r="S305" i="14"/>
  <c r="S304" i="14"/>
  <c r="S303" i="14"/>
  <c r="S302" i="14"/>
  <c r="S301" i="14"/>
  <c r="S300" i="14"/>
  <c r="Q300" i="14"/>
  <c r="R300" i="14" s="1"/>
  <c r="S299" i="14"/>
  <c r="S298" i="14"/>
  <c r="S297" i="14"/>
  <c r="S296" i="14"/>
  <c r="Q296" i="14"/>
  <c r="R296" i="14" s="1"/>
  <c r="S295" i="14"/>
  <c r="Q295" i="14"/>
  <c r="R295" i="14" s="1"/>
  <c r="S294" i="14"/>
  <c r="S293" i="14"/>
  <c r="S292" i="14"/>
  <c r="S291" i="14"/>
  <c r="T291" i="14" s="1"/>
  <c r="S290" i="14"/>
  <c r="S289" i="14"/>
  <c r="S288" i="14"/>
  <c r="Q288" i="14"/>
  <c r="R288" i="14" s="1"/>
  <c r="S287" i="14"/>
  <c r="S286" i="14"/>
  <c r="S285" i="14"/>
  <c r="S284" i="14"/>
  <c r="Q284" i="14"/>
  <c r="R284" i="14" s="1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Q272" i="14"/>
  <c r="R272" i="14" s="1"/>
  <c r="S271" i="14"/>
  <c r="Q271" i="14"/>
  <c r="R271" i="14" s="1"/>
  <c r="S270" i="14"/>
  <c r="S269" i="14"/>
  <c r="S268" i="14"/>
  <c r="Q268" i="14"/>
  <c r="R268" i="14" s="1"/>
  <c r="S267" i="14"/>
  <c r="S266" i="14"/>
  <c r="S265" i="14"/>
  <c r="S264" i="14"/>
  <c r="Q264" i="14"/>
  <c r="R264" i="14" s="1"/>
  <c r="S263" i="14"/>
  <c r="S262" i="14"/>
  <c r="S261" i="14"/>
  <c r="S260" i="14"/>
  <c r="S259" i="14"/>
  <c r="T259" i="14" s="1"/>
  <c r="S258" i="14"/>
  <c r="S257" i="14"/>
  <c r="S256" i="14"/>
  <c r="S255" i="14"/>
  <c r="S254" i="14"/>
  <c r="S253" i="14"/>
  <c r="S252" i="14"/>
  <c r="Q252" i="14"/>
  <c r="R252" i="14" s="1"/>
  <c r="S251" i="14"/>
  <c r="S250" i="14"/>
  <c r="S249" i="14"/>
  <c r="S248" i="14"/>
  <c r="Q248" i="14"/>
  <c r="R248" i="14" s="1"/>
  <c r="V312" i="14"/>
  <c r="V311" i="14"/>
  <c r="V310" i="14"/>
  <c r="V309" i="14"/>
  <c r="V308" i="14"/>
  <c r="V307" i="14"/>
  <c r="V306" i="14"/>
  <c r="V305" i="14"/>
  <c r="V304" i="14"/>
  <c r="T304" i="14"/>
  <c r="V303" i="14"/>
  <c r="V302" i="14"/>
  <c r="V301" i="14"/>
  <c r="V300" i="14"/>
  <c r="V299" i="14"/>
  <c r="V298" i="14"/>
  <c r="V297" i="14"/>
  <c r="V296" i="14"/>
  <c r="V295" i="14"/>
  <c r="V294" i="14"/>
  <c r="V293" i="14"/>
  <c r="V292" i="14"/>
  <c r="V291" i="14"/>
  <c r="V290" i="14"/>
  <c r="V289" i="14"/>
  <c r="V288" i="14"/>
  <c r="V287" i="14"/>
  <c r="V286" i="14"/>
  <c r="V285" i="14"/>
  <c r="V284" i="14"/>
  <c r="V283" i="14"/>
  <c r="V282" i="14"/>
  <c r="V281" i="14"/>
  <c r="V280" i="14"/>
  <c r="V279" i="14"/>
  <c r="V278" i="14"/>
  <c r="V277" i="14"/>
  <c r="V276" i="14"/>
  <c r="V275" i="14"/>
  <c r="V274" i="14"/>
  <c r="V273" i="14"/>
  <c r="V272" i="14"/>
  <c r="T272" i="14"/>
  <c r="V271" i="14"/>
  <c r="V270" i="14"/>
  <c r="V269" i="14"/>
  <c r="V268" i="14"/>
  <c r="V267" i="14"/>
  <c r="V266" i="14"/>
  <c r="V265" i="14"/>
  <c r="T265" i="14"/>
  <c r="V264" i="14"/>
  <c r="V263" i="14"/>
  <c r="V262" i="14"/>
  <c r="V261" i="14"/>
  <c r="V260" i="14"/>
  <c r="V259" i="14"/>
  <c r="V258" i="14"/>
  <c r="T258" i="14"/>
  <c r="V257" i="14"/>
  <c r="V256" i="14"/>
  <c r="V255" i="14"/>
  <c r="V254" i="14"/>
  <c r="V253" i="14"/>
  <c r="V252" i="14"/>
  <c r="V251" i="14"/>
  <c r="V250" i="14"/>
  <c r="V249" i="14"/>
  <c r="V248" i="14"/>
  <c r="N307" i="14"/>
  <c r="N299" i="14"/>
  <c r="N291" i="14"/>
  <c r="N275" i="14"/>
  <c r="N259" i="14"/>
  <c r="N251" i="14"/>
  <c r="K312" i="14"/>
  <c r="N312" i="14" s="1"/>
  <c r="K311" i="14"/>
  <c r="T311" i="14" s="1"/>
  <c r="K310" i="14"/>
  <c r="T310" i="14" s="1"/>
  <c r="K309" i="14"/>
  <c r="K308" i="14"/>
  <c r="N308" i="14" s="1"/>
  <c r="K307" i="14"/>
  <c r="K306" i="14"/>
  <c r="N306" i="14" s="1"/>
  <c r="K305" i="14"/>
  <c r="N305" i="14" s="1"/>
  <c r="K304" i="14"/>
  <c r="N304" i="14" s="1"/>
  <c r="K303" i="14"/>
  <c r="N303" i="14" s="1"/>
  <c r="K302" i="14"/>
  <c r="T302" i="14" s="1"/>
  <c r="K301" i="14"/>
  <c r="K300" i="14"/>
  <c r="K299" i="14"/>
  <c r="K298" i="14"/>
  <c r="T298" i="14" s="1"/>
  <c r="K297" i="14"/>
  <c r="T297" i="14" s="1"/>
  <c r="K296" i="14"/>
  <c r="N296" i="14" s="1"/>
  <c r="K295" i="14"/>
  <c r="N295" i="14" s="1"/>
  <c r="K294" i="14"/>
  <c r="N294" i="14" s="1"/>
  <c r="K293" i="14"/>
  <c r="N293" i="14" s="1"/>
  <c r="K292" i="14"/>
  <c r="T292" i="14" s="1"/>
  <c r="K291" i="14"/>
  <c r="K290" i="14"/>
  <c r="N290" i="14" s="1"/>
  <c r="K289" i="14"/>
  <c r="K288" i="14"/>
  <c r="K287" i="14"/>
  <c r="N287" i="14" s="1"/>
  <c r="K286" i="14"/>
  <c r="N286" i="14" s="1"/>
  <c r="K285" i="14"/>
  <c r="N285" i="14" s="1"/>
  <c r="K284" i="14"/>
  <c r="K283" i="14"/>
  <c r="T283" i="14" s="1"/>
  <c r="K282" i="14"/>
  <c r="N282" i="14" s="1"/>
  <c r="K281" i="14"/>
  <c r="N281" i="14" s="1"/>
  <c r="K280" i="14"/>
  <c r="N280" i="14" s="1"/>
  <c r="K279" i="14"/>
  <c r="T279" i="14" s="1"/>
  <c r="K278" i="14"/>
  <c r="N278" i="14" s="1"/>
  <c r="K277" i="14"/>
  <c r="N277" i="14" s="1"/>
  <c r="K276" i="14"/>
  <c r="N276" i="14" s="1"/>
  <c r="K275" i="14"/>
  <c r="T275" i="14" s="1"/>
  <c r="K274" i="14"/>
  <c r="N274" i="14" s="1"/>
  <c r="K273" i="14"/>
  <c r="N273" i="14" s="1"/>
  <c r="K272" i="14"/>
  <c r="N272" i="14" s="1"/>
  <c r="K271" i="14"/>
  <c r="T271" i="14" s="1"/>
  <c r="K270" i="14"/>
  <c r="T270" i="14" s="1"/>
  <c r="K269" i="14"/>
  <c r="T269" i="14" s="1"/>
  <c r="K268" i="14"/>
  <c r="T268" i="14" s="1"/>
  <c r="K267" i="14"/>
  <c r="N267" i="14" s="1"/>
  <c r="K266" i="14"/>
  <c r="N266" i="14" s="1"/>
  <c r="K265" i="14"/>
  <c r="N265" i="14" s="1"/>
  <c r="K264" i="14"/>
  <c r="N264" i="14" s="1"/>
  <c r="K263" i="14"/>
  <c r="N263" i="14" s="1"/>
  <c r="K262" i="14"/>
  <c r="T262" i="14" s="1"/>
  <c r="K261" i="14"/>
  <c r="K260" i="14"/>
  <c r="N260" i="14" s="1"/>
  <c r="K259" i="14"/>
  <c r="K258" i="14"/>
  <c r="N258" i="14" s="1"/>
  <c r="K257" i="14"/>
  <c r="K256" i="14"/>
  <c r="N256" i="14" s="1"/>
  <c r="K255" i="14"/>
  <c r="N255" i="14" s="1"/>
  <c r="K254" i="14"/>
  <c r="N254" i="14" s="1"/>
  <c r="K253" i="14"/>
  <c r="K252" i="14"/>
  <c r="K251" i="14"/>
  <c r="K250" i="14"/>
  <c r="N250" i="14" s="1"/>
  <c r="K249" i="14"/>
  <c r="N249" i="14" s="1"/>
  <c r="K248" i="14"/>
  <c r="N248" i="14" s="1"/>
  <c r="U229" i="15"/>
  <c r="T229" i="15"/>
  <c r="A10" i="15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N16" i="15"/>
  <c r="N15" i="15"/>
  <c r="N14" i="15"/>
  <c r="N13" i="15"/>
  <c r="N12" i="15"/>
  <c r="N11" i="15"/>
  <c r="M229" i="15"/>
  <c r="S228" i="15"/>
  <c r="O228" i="15"/>
  <c r="Q228" i="15" s="1"/>
  <c r="R228" i="15" s="1"/>
  <c r="S227" i="15"/>
  <c r="O227" i="15"/>
  <c r="Q227" i="15" s="1"/>
  <c r="R227" i="15" s="1"/>
  <c r="S226" i="15"/>
  <c r="O226" i="15"/>
  <c r="Q226" i="15" s="1"/>
  <c r="R226" i="15" s="1"/>
  <c r="S225" i="15"/>
  <c r="O225" i="15"/>
  <c r="Q225" i="15" s="1"/>
  <c r="R225" i="15" s="1"/>
  <c r="S224" i="15"/>
  <c r="O224" i="15"/>
  <c r="Q224" i="15" s="1"/>
  <c r="R224" i="15" s="1"/>
  <c r="S223" i="15"/>
  <c r="O223" i="15"/>
  <c r="Q223" i="15" s="1"/>
  <c r="R223" i="15" s="1"/>
  <c r="S222" i="15"/>
  <c r="O222" i="15"/>
  <c r="Q222" i="15" s="1"/>
  <c r="R222" i="15" s="1"/>
  <c r="S221" i="15"/>
  <c r="O221" i="15"/>
  <c r="Q221" i="15" s="1"/>
  <c r="R221" i="15" s="1"/>
  <c r="S220" i="15"/>
  <c r="O220" i="15"/>
  <c r="Q220" i="15" s="1"/>
  <c r="R220" i="15" s="1"/>
  <c r="S219" i="15"/>
  <c r="O219" i="15"/>
  <c r="Q219" i="15" s="1"/>
  <c r="R219" i="15" s="1"/>
  <c r="S218" i="15"/>
  <c r="O218" i="15"/>
  <c r="Q218" i="15" s="1"/>
  <c r="R218" i="15" s="1"/>
  <c r="S217" i="15"/>
  <c r="T217" i="15" s="1"/>
  <c r="U217" i="15" s="1"/>
  <c r="O217" i="15"/>
  <c r="Q217" i="15" s="1"/>
  <c r="R217" i="15" s="1"/>
  <c r="S216" i="15"/>
  <c r="O216" i="15"/>
  <c r="Q216" i="15" s="1"/>
  <c r="R216" i="15" s="1"/>
  <c r="S215" i="15"/>
  <c r="Q215" i="15"/>
  <c r="R215" i="15" s="1"/>
  <c r="O215" i="15"/>
  <c r="S214" i="15"/>
  <c r="O214" i="15"/>
  <c r="Q214" i="15" s="1"/>
  <c r="R214" i="15" s="1"/>
  <c r="S213" i="15"/>
  <c r="O213" i="15"/>
  <c r="Q213" i="15" s="1"/>
  <c r="R213" i="15" s="1"/>
  <c r="T212" i="15"/>
  <c r="U212" i="15" s="1"/>
  <c r="S212" i="15"/>
  <c r="O212" i="15"/>
  <c r="Q212" i="15" s="1"/>
  <c r="R212" i="15" s="1"/>
  <c r="S211" i="15"/>
  <c r="O211" i="15"/>
  <c r="Q211" i="15" s="1"/>
  <c r="R211" i="15" s="1"/>
  <c r="S210" i="15"/>
  <c r="O210" i="15"/>
  <c r="Q210" i="15" s="1"/>
  <c r="R210" i="15" s="1"/>
  <c r="S209" i="15"/>
  <c r="T209" i="15" s="1"/>
  <c r="U209" i="15" s="1"/>
  <c r="O209" i="15"/>
  <c r="Q209" i="15" s="1"/>
  <c r="R209" i="15" s="1"/>
  <c r="S208" i="15"/>
  <c r="O208" i="15"/>
  <c r="Q208" i="15" s="1"/>
  <c r="R208" i="15" s="1"/>
  <c r="S207" i="15"/>
  <c r="O207" i="15"/>
  <c r="Q207" i="15" s="1"/>
  <c r="R207" i="15" s="1"/>
  <c r="S206" i="15"/>
  <c r="O206" i="15"/>
  <c r="Q206" i="15" s="1"/>
  <c r="R206" i="15" s="1"/>
  <c r="S205" i="15"/>
  <c r="O205" i="15"/>
  <c r="Q205" i="15" s="1"/>
  <c r="R205" i="15" s="1"/>
  <c r="S204" i="15"/>
  <c r="O204" i="15"/>
  <c r="Q204" i="15" s="1"/>
  <c r="R204" i="15" s="1"/>
  <c r="S203" i="15"/>
  <c r="O203" i="15"/>
  <c r="Q203" i="15" s="1"/>
  <c r="R203" i="15" s="1"/>
  <c r="S202" i="15"/>
  <c r="O202" i="15"/>
  <c r="Q202" i="15" s="1"/>
  <c r="R202" i="15" s="1"/>
  <c r="S201" i="15"/>
  <c r="O201" i="15"/>
  <c r="Q201" i="15" s="1"/>
  <c r="R201" i="15" s="1"/>
  <c r="S200" i="15"/>
  <c r="O200" i="15"/>
  <c r="Q200" i="15" s="1"/>
  <c r="R200" i="15" s="1"/>
  <c r="S199" i="15"/>
  <c r="O199" i="15"/>
  <c r="Q199" i="15" s="1"/>
  <c r="R199" i="15" s="1"/>
  <c r="S198" i="15"/>
  <c r="O198" i="15"/>
  <c r="Q198" i="15" s="1"/>
  <c r="R198" i="15" s="1"/>
  <c r="S197" i="15"/>
  <c r="O197" i="15"/>
  <c r="Q197" i="15" s="1"/>
  <c r="R197" i="15" s="1"/>
  <c r="S196" i="15"/>
  <c r="O196" i="15"/>
  <c r="Q196" i="15" s="1"/>
  <c r="R196" i="15" s="1"/>
  <c r="S195" i="15"/>
  <c r="O195" i="15"/>
  <c r="Q195" i="15" s="1"/>
  <c r="R195" i="15" s="1"/>
  <c r="S194" i="15"/>
  <c r="O194" i="15"/>
  <c r="Q194" i="15" s="1"/>
  <c r="R194" i="15" s="1"/>
  <c r="S193" i="15"/>
  <c r="T193" i="15" s="1"/>
  <c r="U193" i="15" s="1"/>
  <c r="O193" i="15"/>
  <c r="Q193" i="15" s="1"/>
  <c r="R193" i="15" s="1"/>
  <c r="S192" i="15"/>
  <c r="O192" i="15"/>
  <c r="Q192" i="15" s="1"/>
  <c r="R192" i="15" s="1"/>
  <c r="S191" i="15"/>
  <c r="Q191" i="15"/>
  <c r="R191" i="15" s="1"/>
  <c r="O191" i="15"/>
  <c r="S190" i="15"/>
  <c r="O190" i="15"/>
  <c r="Q190" i="15" s="1"/>
  <c r="R190" i="15" s="1"/>
  <c r="S189" i="15"/>
  <c r="O189" i="15"/>
  <c r="Q189" i="15" s="1"/>
  <c r="R189" i="15" s="1"/>
  <c r="T188" i="15"/>
  <c r="S188" i="15"/>
  <c r="O188" i="15"/>
  <c r="Q188" i="15" s="1"/>
  <c r="R188" i="15" s="1"/>
  <c r="S187" i="15"/>
  <c r="O187" i="15"/>
  <c r="Q187" i="15" s="1"/>
  <c r="R187" i="15" s="1"/>
  <c r="S186" i="15"/>
  <c r="O186" i="15"/>
  <c r="Q186" i="15" s="1"/>
  <c r="R186" i="15" s="1"/>
  <c r="S185" i="15"/>
  <c r="T185" i="15" s="1"/>
  <c r="U185" i="15" s="1"/>
  <c r="O185" i="15"/>
  <c r="Q185" i="15" s="1"/>
  <c r="R185" i="15" s="1"/>
  <c r="S184" i="15"/>
  <c r="O184" i="15"/>
  <c r="Q184" i="15" s="1"/>
  <c r="R184" i="15" s="1"/>
  <c r="S183" i="15"/>
  <c r="O183" i="15"/>
  <c r="Q183" i="15" s="1"/>
  <c r="R183" i="15" s="1"/>
  <c r="S182" i="15"/>
  <c r="O182" i="15"/>
  <c r="Q182" i="15" s="1"/>
  <c r="R182" i="15" s="1"/>
  <c r="S181" i="15"/>
  <c r="O181" i="15"/>
  <c r="Q181" i="15" s="1"/>
  <c r="R181" i="15" s="1"/>
  <c r="S180" i="15"/>
  <c r="O180" i="15"/>
  <c r="Q180" i="15" s="1"/>
  <c r="R180" i="15" s="1"/>
  <c r="S179" i="15"/>
  <c r="O179" i="15"/>
  <c r="Q179" i="15" s="1"/>
  <c r="R179" i="15" s="1"/>
  <c r="S178" i="15"/>
  <c r="T178" i="15" s="1"/>
  <c r="U178" i="15" s="1"/>
  <c r="O178" i="15"/>
  <c r="Q178" i="15" s="1"/>
  <c r="R178" i="15" s="1"/>
  <c r="S177" i="15"/>
  <c r="O177" i="15"/>
  <c r="Q177" i="15" s="1"/>
  <c r="R177" i="15" s="1"/>
  <c r="S176" i="15"/>
  <c r="O176" i="15"/>
  <c r="Q176" i="15" s="1"/>
  <c r="R176" i="15" s="1"/>
  <c r="S175" i="15"/>
  <c r="O175" i="15"/>
  <c r="Q175" i="15" s="1"/>
  <c r="R175" i="15" s="1"/>
  <c r="S174" i="15"/>
  <c r="O174" i="15"/>
  <c r="Q174" i="15" s="1"/>
  <c r="R174" i="15" s="1"/>
  <c r="K228" i="15"/>
  <c r="T228" i="15" s="1"/>
  <c r="U228" i="15" s="1"/>
  <c r="K227" i="15"/>
  <c r="T227" i="15" s="1"/>
  <c r="K226" i="15"/>
  <c r="T226" i="15" s="1"/>
  <c r="K225" i="15"/>
  <c r="T225" i="15" s="1"/>
  <c r="K224" i="15"/>
  <c r="T224" i="15" s="1"/>
  <c r="U224" i="15" s="1"/>
  <c r="K223" i="15"/>
  <c r="K222" i="15"/>
  <c r="T222" i="15" s="1"/>
  <c r="U222" i="15" s="1"/>
  <c r="K221" i="15"/>
  <c r="T221" i="15" s="1"/>
  <c r="K220" i="15"/>
  <c r="K219" i="15"/>
  <c r="T219" i="15" s="1"/>
  <c r="U219" i="15" s="1"/>
  <c r="K218" i="15"/>
  <c r="K217" i="15"/>
  <c r="K216" i="15"/>
  <c r="T216" i="15" s="1"/>
  <c r="K215" i="15"/>
  <c r="T215" i="15" s="1"/>
  <c r="K214" i="15"/>
  <c r="T214" i="15" s="1"/>
  <c r="U214" i="15" s="1"/>
  <c r="K213" i="15"/>
  <c r="T213" i="15" s="1"/>
  <c r="K212" i="15"/>
  <c r="K211" i="15"/>
  <c r="T211" i="15" s="1"/>
  <c r="K210" i="15"/>
  <c r="T210" i="15" s="1"/>
  <c r="U210" i="15" s="1"/>
  <c r="K209" i="15"/>
  <c r="K208" i="15"/>
  <c r="T208" i="15" s="1"/>
  <c r="K207" i="15"/>
  <c r="T207" i="15" s="1"/>
  <c r="K206" i="15"/>
  <c r="K205" i="15"/>
  <c r="K204" i="15"/>
  <c r="T204" i="15" s="1"/>
  <c r="U204" i="15" s="1"/>
  <c r="K203" i="15"/>
  <c r="T203" i="15" s="1"/>
  <c r="K202" i="15"/>
  <c r="K201" i="15"/>
  <c r="K200" i="15"/>
  <c r="T200" i="15" s="1"/>
  <c r="U200" i="15" s="1"/>
  <c r="K199" i="15"/>
  <c r="T199" i="15" s="1"/>
  <c r="K198" i="15"/>
  <c r="T198" i="15" s="1"/>
  <c r="U198" i="15" s="1"/>
  <c r="K197" i="15"/>
  <c r="T197" i="15" s="1"/>
  <c r="U197" i="15" s="1"/>
  <c r="K196" i="15"/>
  <c r="K195" i="15"/>
  <c r="T195" i="15" s="1"/>
  <c r="K194" i="15"/>
  <c r="K193" i="15"/>
  <c r="K192" i="15"/>
  <c r="T192" i="15" s="1"/>
  <c r="U192" i="15" s="1"/>
  <c r="K191" i="15"/>
  <c r="T191" i="15" s="1"/>
  <c r="K190" i="15"/>
  <c r="T190" i="15" s="1"/>
  <c r="U190" i="15" s="1"/>
  <c r="K189" i="15"/>
  <c r="T189" i="15" s="1"/>
  <c r="K188" i="15"/>
  <c r="K187" i="15"/>
  <c r="T187" i="15" s="1"/>
  <c r="K186" i="15"/>
  <c r="T186" i="15" s="1"/>
  <c r="K185" i="15"/>
  <c r="K184" i="15"/>
  <c r="T184" i="15" s="1"/>
  <c r="K183" i="15"/>
  <c r="T183" i="15" s="1"/>
  <c r="K182" i="15"/>
  <c r="K181" i="15"/>
  <c r="K180" i="15"/>
  <c r="T180" i="15" s="1"/>
  <c r="U180" i="15" s="1"/>
  <c r="K179" i="15"/>
  <c r="T179" i="15" s="1"/>
  <c r="K178" i="15"/>
  <c r="K177" i="15"/>
  <c r="K176" i="15"/>
  <c r="T176" i="15" s="1"/>
  <c r="K175" i="15"/>
  <c r="T175" i="15" s="1"/>
  <c r="K174" i="15"/>
  <c r="T174" i="15" s="1"/>
  <c r="U174" i="15" s="1"/>
  <c r="J229" i="15"/>
  <c r="I229" i="15"/>
  <c r="T21" i="13"/>
  <c r="M1840" i="12"/>
  <c r="J1840" i="12"/>
  <c r="F16" i="9" s="1"/>
  <c r="X1972" i="12"/>
  <c r="X1971" i="12"/>
  <c r="X1970" i="12"/>
  <c r="X1969" i="12"/>
  <c r="X1968" i="12"/>
  <c r="X1967" i="12"/>
  <c r="X1966" i="12"/>
  <c r="X1965" i="12"/>
  <c r="X1964" i="12"/>
  <c r="X1963" i="12"/>
  <c r="X1962" i="12"/>
  <c r="X1961" i="12"/>
  <c r="X1960" i="12"/>
  <c r="X1959" i="12"/>
  <c r="X1958" i="12"/>
  <c r="X1957" i="12"/>
  <c r="X1956" i="12"/>
  <c r="X1955" i="12"/>
  <c r="X1954" i="12"/>
  <c r="X1953" i="12"/>
  <c r="X1952" i="12"/>
  <c r="X1951" i="12"/>
  <c r="X1950" i="12"/>
  <c r="X1949" i="12"/>
  <c r="X1948" i="12"/>
  <c r="X1947" i="12"/>
  <c r="X1946" i="12"/>
  <c r="X1945" i="12"/>
  <c r="X1944" i="12"/>
  <c r="X1943" i="12"/>
  <c r="X1942" i="12"/>
  <c r="X1941" i="12"/>
  <c r="X1940" i="12"/>
  <c r="X1939" i="12"/>
  <c r="X1938" i="12"/>
  <c r="X1937" i="12"/>
  <c r="X1936" i="12"/>
  <c r="X1935" i="12"/>
  <c r="X1934" i="12"/>
  <c r="X1933" i="12"/>
  <c r="X1932" i="12"/>
  <c r="X1931" i="12"/>
  <c r="X1930" i="12"/>
  <c r="X1929" i="12"/>
  <c r="X1928" i="12"/>
  <c r="X1927" i="12"/>
  <c r="X1926" i="12"/>
  <c r="X1925" i="12"/>
  <c r="X1924" i="12"/>
  <c r="X1923" i="12"/>
  <c r="X1922" i="12"/>
  <c r="X1921" i="12"/>
  <c r="X1920" i="12"/>
  <c r="X1919" i="12"/>
  <c r="X1918" i="12"/>
  <c r="X1917" i="12"/>
  <c r="X1916" i="12"/>
  <c r="X1915" i="12"/>
  <c r="X1914" i="12"/>
  <c r="X1913" i="12"/>
  <c r="X1912" i="12"/>
  <c r="X1911" i="12"/>
  <c r="X1910" i="12"/>
  <c r="X1909" i="12"/>
  <c r="X1908" i="12"/>
  <c r="X1907" i="12"/>
  <c r="X1906" i="12"/>
  <c r="X1905" i="12"/>
  <c r="X1904" i="12"/>
  <c r="X1903" i="12"/>
  <c r="X1902" i="12"/>
  <c r="X1901" i="12"/>
  <c r="X1900" i="12"/>
  <c r="X1899" i="12"/>
  <c r="X1898" i="12"/>
  <c r="X1897" i="12"/>
  <c r="X1896" i="12"/>
  <c r="X1895" i="12"/>
  <c r="X1894" i="12"/>
  <c r="X1893" i="12"/>
  <c r="X1892" i="12"/>
  <c r="X1891" i="12"/>
  <c r="X1890" i="12"/>
  <c r="X1889" i="12"/>
  <c r="X1888" i="12"/>
  <c r="X1887" i="12"/>
  <c r="X1886" i="12"/>
  <c r="X1885" i="12"/>
  <c r="X1884" i="12"/>
  <c r="X1883" i="12"/>
  <c r="X1882" i="12"/>
  <c r="X1881" i="12"/>
  <c r="X1880" i="12"/>
  <c r="X1879" i="12"/>
  <c r="X1878" i="12"/>
  <c r="X1877" i="12"/>
  <c r="X1876" i="12"/>
  <c r="X1875" i="12"/>
  <c r="X1874" i="12"/>
  <c r="X1873" i="12"/>
  <c r="X1872" i="12"/>
  <c r="X1871" i="12"/>
  <c r="X1870" i="12"/>
  <c r="X1869" i="12"/>
  <c r="X1868" i="12"/>
  <c r="X1867" i="12"/>
  <c r="X1866" i="12"/>
  <c r="X1865" i="12"/>
  <c r="X1864" i="12"/>
  <c r="X1863" i="12"/>
  <c r="X1862" i="12"/>
  <c r="X1861" i="12"/>
  <c r="X1860" i="12"/>
  <c r="X1859" i="12"/>
  <c r="X1858" i="12"/>
  <c r="X1857" i="12"/>
  <c r="X1856" i="12"/>
  <c r="X1855" i="12"/>
  <c r="X1854" i="12"/>
  <c r="X1853" i="12"/>
  <c r="X1852" i="12"/>
  <c r="X1851" i="12"/>
  <c r="X1850" i="12"/>
  <c r="X1849" i="12"/>
  <c r="X1848" i="12"/>
  <c r="X1847" i="12"/>
  <c r="X1846" i="12"/>
  <c r="X1845" i="12"/>
  <c r="X1844" i="12"/>
  <c r="X1843" i="12"/>
  <c r="X1842" i="12"/>
  <c r="X1841" i="12"/>
  <c r="W1839" i="12"/>
  <c r="W1838" i="12"/>
  <c r="W1837" i="12"/>
  <c r="W1836" i="12"/>
  <c r="W1835" i="12"/>
  <c r="W1834" i="12"/>
  <c r="W1833" i="12"/>
  <c r="W1831" i="12"/>
  <c r="W1830" i="12"/>
  <c r="W1829" i="12"/>
  <c r="W1828" i="12"/>
  <c r="W1827" i="12"/>
  <c r="W1826" i="12"/>
  <c r="W1825" i="12"/>
  <c r="W1822" i="12"/>
  <c r="W1821" i="12"/>
  <c r="W1820" i="12"/>
  <c r="W1819" i="12"/>
  <c r="W1818" i="12"/>
  <c r="W1817" i="12"/>
  <c r="W1816" i="12"/>
  <c r="W1815" i="12"/>
  <c r="W1814" i="12"/>
  <c r="W1813" i="12"/>
  <c r="W1812" i="12"/>
  <c r="W1811" i="12"/>
  <c r="W1810" i="12"/>
  <c r="W1809" i="12"/>
  <c r="W1808" i="12"/>
  <c r="W1807" i="12"/>
  <c r="W1806" i="12"/>
  <c r="W1805" i="12"/>
  <c r="W1804" i="12"/>
  <c r="W1803" i="12"/>
  <c r="W1802" i="12"/>
  <c r="W1801" i="12"/>
  <c r="W1800" i="12"/>
  <c r="W1799" i="12"/>
  <c r="W1798" i="12"/>
  <c r="W1793" i="12"/>
  <c r="W1792" i="12"/>
  <c r="W1791" i="12"/>
  <c r="W1790" i="12"/>
  <c r="W1789" i="12"/>
  <c r="W1788" i="12"/>
  <c r="W1787" i="12"/>
  <c r="W1786" i="12"/>
  <c r="W1785" i="12"/>
  <c r="W1784" i="12"/>
  <c r="W1783" i="12"/>
  <c r="W1782" i="12"/>
  <c r="W1781" i="12"/>
  <c r="W1780" i="12"/>
  <c r="W1779" i="12"/>
  <c r="W1778" i="12"/>
  <c r="W1777" i="12"/>
  <c r="W1776" i="12"/>
  <c r="W1775" i="12"/>
  <c r="W1774" i="12"/>
  <c r="W1773" i="12"/>
  <c r="W1772" i="12"/>
  <c r="W1771" i="12"/>
  <c r="W1770" i="12"/>
  <c r="W1769" i="12"/>
  <c r="W1768" i="12"/>
  <c r="W1767" i="12"/>
  <c r="W1766" i="12"/>
  <c r="W1765" i="12"/>
  <c r="W1764" i="12"/>
  <c r="W1763" i="12"/>
  <c r="W1762" i="12"/>
  <c r="W1761" i="12"/>
  <c r="W1760" i="12"/>
  <c r="W1759" i="12"/>
  <c r="W1758" i="12"/>
  <c r="W1757" i="12"/>
  <c r="W1756" i="12"/>
  <c r="W1755" i="12"/>
  <c r="W1754" i="12"/>
  <c r="W1753" i="12"/>
  <c r="W1752" i="12"/>
  <c r="W1751" i="12"/>
  <c r="W1750" i="12"/>
  <c r="W1749" i="12"/>
  <c r="W1748" i="12"/>
  <c r="W1747" i="12"/>
  <c r="W1746" i="12"/>
  <c r="W1745" i="12"/>
  <c r="W1744" i="12"/>
  <c r="W1743" i="12"/>
  <c r="W1742" i="12"/>
  <c r="W1741" i="12"/>
  <c r="W1740" i="12"/>
  <c r="W1739" i="12"/>
  <c r="W1738" i="12"/>
  <c r="W1737" i="12"/>
  <c r="W1736" i="12"/>
  <c r="W1735" i="12"/>
  <c r="W1734" i="12"/>
  <c r="W1733" i="12"/>
  <c r="W1732" i="12"/>
  <c r="W1731" i="12"/>
  <c r="W1730" i="12"/>
  <c r="W1729" i="12"/>
  <c r="W1728" i="12"/>
  <c r="W1727" i="12"/>
  <c r="W1726" i="12"/>
  <c r="W1725" i="12"/>
  <c r="W1724" i="12"/>
  <c r="W1723" i="12"/>
  <c r="W1722" i="12"/>
  <c r="W1721" i="12"/>
  <c r="W1720" i="12"/>
  <c r="W1719" i="12"/>
  <c r="W1718" i="12"/>
  <c r="W1717" i="12"/>
  <c r="W1716" i="12"/>
  <c r="W1715" i="12"/>
  <c r="W1714" i="12"/>
  <c r="W1713" i="12"/>
  <c r="W1712" i="12"/>
  <c r="W1711" i="12"/>
  <c r="W1710" i="12"/>
  <c r="W1709" i="12"/>
  <c r="W1708" i="12"/>
  <c r="W1707" i="12"/>
  <c r="W1706" i="12"/>
  <c r="W1705" i="12"/>
  <c r="W1704" i="12"/>
  <c r="W1703" i="12"/>
  <c r="W1702" i="12"/>
  <c r="W1701" i="12"/>
  <c r="W1700" i="12"/>
  <c r="W1699" i="12"/>
  <c r="W1698" i="12"/>
  <c r="W1697" i="12"/>
  <c r="W1696" i="12"/>
  <c r="W1695" i="12"/>
  <c r="W1694" i="12"/>
  <c r="W1693" i="12"/>
  <c r="W1692" i="12"/>
  <c r="W1691" i="12"/>
  <c r="W1690" i="12"/>
  <c r="W1689" i="12"/>
  <c r="W1688" i="12"/>
  <c r="W1687" i="12"/>
  <c r="W1686" i="12"/>
  <c r="W1685" i="12"/>
  <c r="W1684" i="12"/>
  <c r="W1683" i="12"/>
  <c r="W1682" i="12"/>
  <c r="W1681" i="12"/>
  <c r="W1680" i="12"/>
  <c r="W1679" i="12"/>
  <c r="W1678" i="12"/>
  <c r="W1677" i="12"/>
  <c r="W1676" i="12"/>
  <c r="W1675" i="12"/>
  <c r="W1674" i="12"/>
  <c r="W1673" i="12"/>
  <c r="W1672" i="12"/>
  <c r="W1671" i="12"/>
  <c r="W1670" i="12"/>
  <c r="W1669" i="12"/>
  <c r="W1668" i="12"/>
  <c r="W1667" i="12"/>
  <c r="W1666" i="12"/>
  <c r="W1665" i="12"/>
  <c r="W1664" i="12"/>
  <c r="W1663" i="12"/>
  <c r="W1662" i="12"/>
  <c r="W1661" i="12"/>
  <c r="W1660" i="12"/>
  <c r="W1659" i="12"/>
  <c r="W1658" i="12"/>
  <c r="W1657" i="12"/>
  <c r="W1656" i="12"/>
  <c r="W1655" i="12"/>
  <c r="W1654" i="12"/>
  <c r="W1653" i="12"/>
  <c r="W1652" i="12"/>
  <c r="W1651" i="12"/>
  <c r="W1650" i="12"/>
  <c r="W1649" i="12"/>
  <c r="W1648" i="12"/>
  <c r="W1647" i="12"/>
  <c r="W1646" i="12"/>
  <c r="W1645" i="12"/>
  <c r="W1644" i="12"/>
  <c r="W1643" i="12"/>
  <c r="W1642" i="12"/>
  <c r="W1641" i="12"/>
  <c r="W1640" i="12"/>
  <c r="W1639" i="12"/>
  <c r="W1638" i="12"/>
  <c r="W1637" i="12"/>
  <c r="W1636" i="12"/>
  <c r="W1635" i="12"/>
  <c r="W1634" i="12"/>
  <c r="W1633" i="12"/>
  <c r="W1632" i="12"/>
  <c r="W1631" i="12"/>
  <c r="W1630" i="12"/>
  <c r="W1629" i="12"/>
  <c r="W1628" i="12"/>
  <c r="W1627" i="12"/>
  <c r="W1626" i="12"/>
  <c r="W1625" i="12"/>
  <c r="W1624" i="12"/>
  <c r="W1623" i="12"/>
  <c r="W1622" i="12"/>
  <c r="W1621" i="12"/>
  <c r="W1620" i="12"/>
  <c r="W1619" i="12"/>
  <c r="W1618" i="12"/>
  <c r="W1617" i="12"/>
  <c r="W1616" i="12"/>
  <c r="W1615" i="12"/>
  <c r="W1614" i="12"/>
  <c r="W1613" i="12"/>
  <c r="W1612" i="12"/>
  <c r="W1611" i="12"/>
  <c r="W1610" i="12"/>
  <c r="W1609" i="12"/>
  <c r="W1608" i="12"/>
  <c r="W1607" i="12"/>
  <c r="W1606" i="12"/>
  <c r="W1605" i="12"/>
  <c r="W1604" i="12"/>
  <c r="W1603" i="12"/>
  <c r="W1602" i="12"/>
  <c r="W1601" i="12"/>
  <c r="W1600" i="12"/>
  <c r="W1599" i="12"/>
  <c r="W1598" i="12"/>
  <c r="W1597" i="12"/>
  <c r="W1596" i="12"/>
  <c r="W1595" i="12"/>
  <c r="W1594" i="12"/>
  <c r="W1593" i="12"/>
  <c r="W1592" i="12"/>
  <c r="W1591" i="12"/>
  <c r="W1590" i="12"/>
  <c r="W1589" i="12"/>
  <c r="W1588" i="12"/>
  <c r="W1587" i="12"/>
  <c r="W1586" i="12"/>
  <c r="W1585" i="12"/>
  <c r="W1584" i="12"/>
  <c r="W1583" i="12"/>
  <c r="W1582" i="12"/>
  <c r="W1581" i="12"/>
  <c r="W1580" i="12"/>
  <c r="W1579" i="12"/>
  <c r="W1578" i="12"/>
  <c r="W1577" i="12"/>
  <c r="W1576" i="12"/>
  <c r="W1575" i="12"/>
  <c r="W1574" i="12"/>
  <c r="W1573" i="12"/>
  <c r="W1572" i="12"/>
  <c r="W1571" i="12"/>
  <c r="W1570" i="12"/>
  <c r="W1569" i="12"/>
  <c r="W1568" i="12"/>
  <c r="W1567" i="12"/>
  <c r="W1566" i="12"/>
  <c r="W1565" i="12"/>
  <c r="W1564" i="12"/>
  <c r="W1563" i="12"/>
  <c r="W1562" i="12"/>
  <c r="W1561" i="12"/>
  <c r="W1560" i="12"/>
  <c r="W1559" i="12"/>
  <c r="W1558" i="12"/>
  <c r="W1557" i="12"/>
  <c r="W1556" i="12"/>
  <c r="W1555" i="12"/>
  <c r="W1554" i="12"/>
  <c r="W1553" i="12"/>
  <c r="W1552" i="12"/>
  <c r="W1551" i="12"/>
  <c r="W1550" i="12"/>
  <c r="W1549" i="12"/>
  <c r="W1548" i="12"/>
  <c r="W1547" i="12"/>
  <c r="W1546" i="12"/>
  <c r="W1545" i="12"/>
  <c r="W1544" i="12"/>
  <c r="W1543" i="12"/>
  <c r="W1542" i="12"/>
  <c r="W1541" i="12"/>
  <c r="W1540" i="12"/>
  <c r="W1539" i="12"/>
  <c r="W1538" i="12"/>
  <c r="W1537" i="12"/>
  <c r="W1536" i="12"/>
  <c r="W1535" i="12"/>
  <c r="W1534" i="12"/>
  <c r="W1533" i="12"/>
  <c r="W1532" i="12"/>
  <c r="W1531" i="12"/>
  <c r="W1530" i="12"/>
  <c r="W1529" i="12"/>
  <c r="W1528" i="12"/>
  <c r="W1527" i="12"/>
  <c r="W1526" i="12"/>
  <c r="W1525" i="12"/>
  <c r="W1524" i="12"/>
  <c r="W1523" i="12"/>
  <c r="W1522" i="12"/>
  <c r="W1521" i="12"/>
  <c r="W1520" i="12"/>
  <c r="W1519" i="12"/>
  <c r="W1518" i="12"/>
  <c r="W1517" i="12"/>
  <c r="W1516" i="12"/>
  <c r="W1515" i="12"/>
  <c r="W1514" i="12"/>
  <c r="W1513" i="12"/>
  <c r="W1512" i="12"/>
  <c r="W1511" i="12"/>
  <c r="W1510" i="12"/>
  <c r="W1509" i="12"/>
  <c r="W1508" i="12"/>
  <c r="W1507" i="12"/>
  <c r="W1506" i="12"/>
  <c r="W1505" i="12"/>
  <c r="W1504" i="12"/>
  <c r="W1503" i="12"/>
  <c r="W1502" i="12"/>
  <c r="W1501" i="12"/>
  <c r="W1500" i="12"/>
  <c r="W1499" i="12"/>
  <c r="W1498" i="12"/>
  <c r="W1497" i="12"/>
  <c r="W1496" i="12"/>
  <c r="W1495" i="12"/>
  <c r="W1494" i="12"/>
  <c r="W1493" i="12"/>
  <c r="W1492" i="12"/>
  <c r="W1491" i="12"/>
  <c r="W1490" i="12"/>
  <c r="W1489" i="12"/>
  <c r="W1488" i="12"/>
  <c r="W1487" i="12"/>
  <c r="W1486" i="12"/>
  <c r="W1485" i="12"/>
  <c r="W1484" i="12"/>
  <c r="W1483" i="12"/>
  <c r="W1482" i="12"/>
  <c r="W1481" i="12"/>
  <c r="W1480" i="12"/>
  <c r="W1479" i="12"/>
  <c r="W1478" i="12"/>
  <c r="W1477" i="12"/>
  <c r="W1476" i="12"/>
  <c r="W1475" i="12"/>
  <c r="W1474" i="12"/>
  <c r="W1473" i="12"/>
  <c r="W1472" i="12"/>
  <c r="W1471" i="12"/>
  <c r="W1470" i="12"/>
  <c r="W1469" i="12"/>
  <c r="W1468" i="12"/>
  <c r="W1467" i="12"/>
  <c r="W1466" i="12"/>
  <c r="W1465" i="12"/>
  <c r="W1464" i="12"/>
  <c r="W1463" i="12"/>
  <c r="W1462" i="12"/>
  <c r="W1461" i="12"/>
  <c r="W1460" i="12"/>
  <c r="W1459" i="12"/>
  <c r="W1458" i="12"/>
  <c r="W1457" i="12"/>
  <c r="W1456" i="12"/>
  <c r="W1455" i="12"/>
  <c r="W1454" i="12"/>
  <c r="W1453" i="12"/>
  <c r="W1452" i="12"/>
  <c r="W1451" i="12"/>
  <c r="W1450" i="12"/>
  <c r="W1449" i="12"/>
  <c r="W1448" i="12"/>
  <c r="W1447" i="12"/>
  <c r="W1446" i="12"/>
  <c r="W1445" i="12"/>
  <c r="W1444" i="12"/>
  <c r="W1443" i="12"/>
  <c r="W1442" i="12"/>
  <c r="W1441" i="12"/>
  <c r="W1440" i="12"/>
  <c r="W1439" i="12"/>
  <c r="W1438" i="12"/>
  <c r="W1437" i="12"/>
  <c r="W1436" i="12"/>
  <c r="W1435" i="12"/>
  <c r="W1434" i="12"/>
  <c r="W1433" i="12"/>
  <c r="W1432" i="12"/>
  <c r="W1431" i="12"/>
  <c r="W1430" i="12"/>
  <c r="W1429" i="12"/>
  <c r="W1428" i="12"/>
  <c r="W1427" i="12"/>
  <c r="W1426" i="12"/>
  <c r="W1425" i="12"/>
  <c r="W1424" i="12"/>
  <c r="W1423" i="12"/>
  <c r="W1422" i="12"/>
  <c r="W1421" i="12"/>
  <c r="W1420" i="12"/>
  <c r="W1419" i="12"/>
  <c r="W1418" i="12"/>
  <c r="W1417" i="12"/>
  <c r="W1416" i="12"/>
  <c r="W1415" i="12"/>
  <c r="W1414" i="12"/>
  <c r="W1413" i="12"/>
  <c r="W1412" i="12"/>
  <c r="W1411" i="12"/>
  <c r="W1410" i="12"/>
  <c r="W1409" i="12"/>
  <c r="W1408" i="12"/>
  <c r="W1407" i="12"/>
  <c r="W1406" i="12"/>
  <c r="W1405" i="12"/>
  <c r="W1404" i="12"/>
  <c r="W1403" i="12"/>
  <c r="W1402" i="12"/>
  <c r="W1401" i="12"/>
  <c r="W1400" i="12"/>
  <c r="W1399" i="12"/>
  <c r="W1398" i="12"/>
  <c r="W1397" i="12"/>
  <c r="W1396" i="12"/>
  <c r="W1395" i="12"/>
  <c r="W1394" i="12"/>
  <c r="W1393" i="12"/>
  <c r="W1392" i="12"/>
  <c r="W1391" i="12"/>
  <c r="W1390" i="12"/>
  <c r="W1389" i="12"/>
  <c r="W1388" i="12"/>
  <c r="W1387" i="12"/>
  <c r="W1386" i="12"/>
  <c r="W1385" i="12"/>
  <c r="W1384" i="12"/>
  <c r="W1383" i="12"/>
  <c r="W1382" i="12"/>
  <c r="W1381" i="12"/>
  <c r="W1380" i="12"/>
  <c r="W1379" i="12"/>
  <c r="W1378" i="12"/>
  <c r="W1377" i="12"/>
  <c r="W1376" i="12"/>
  <c r="W1375" i="12"/>
  <c r="W1374" i="12"/>
  <c r="W1373" i="12"/>
  <c r="W1372" i="12"/>
  <c r="W1371" i="12"/>
  <c r="W1370" i="12"/>
  <c r="W1369" i="12"/>
  <c r="W1368" i="12"/>
  <c r="W1367" i="12"/>
  <c r="W1366" i="12"/>
  <c r="W1365" i="12"/>
  <c r="W1364" i="12"/>
  <c r="W1363" i="12"/>
  <c r="W1362" i="12"/>
  <c r="W1361" i="12"/>
  <c r="W1360" i="12"/>
  <c r="W1359" i="12"/>
  <c r="W1358" i="12"/>
  <c r="W1357" i="12"/>
  <c r="W1356" i="12"/>
  <c r="W1355" i="12"/>
  <c r="W1354" i="12"/>
  <c r="W1353" i="12"/>
  <c r="W1352" i="12"/>
  <c r="W1351" i="12"/>
  <c r="W1350" i="12"/>
  <c r="W1349" i="12"/>
  <c r="W1348" i="12"/>
  <c r="W1347" i="12"/>
  <c r="W1346" i="12"/>
  <c r="W1345" i="12"/>
  <c r="W1344" i="12"/>
  <c r="W1343" i="12"/>
  <c r="W1342" i="12"/>
  <c r="W1341" i="12"/>
  <c r="W1340" i="12"/>
  <c r="W1339" i="12"/>
  <c r="W1338" i="12"/>
  <c r="W1337" i="12"/>
  <c r="W1336" i="12"/>
  <c r="W1335" i="12"/>
  <c r="W1334" i="12"/>
  <c r="W1333" i="12"/>
  <c r="W1332" i="12"/>
  <c r="W1331" i="12"/>
  <c r="W1330" i="12"/>
  <c r="W1329" i="12"/>
  <c r="W1328" i="12"/>
  <c r="W1327" i="12"/>
  <c r="W1326" i="12"/>
  <c r="W1325" i="12"/>
  <c r="W1324" i="12"/>
  <c r="W1323" i="12"/>
  <c r="W1322" i="12"/>
  <c r="W1321" i="12"/>
  <c r="W1320" i="12"/>
  <c r="W1319" i="12"/>
  <c r="W1318" i="12"/>
  <c r="W1317" i="12"/>
  <c r="W1316" i="12"/>
  <c r="W1315" i="12"/>
  <c r="W1314" i="12"/>
  <c r="W1313" i="12"/>
  <c r="W1312" i="12"/>
  <c r="W1311" i="12"/>
  <c r="W1310" i="12"/>
  <c r="W1309" i="12"/>
  <c r="W1308" i="12"/>
  <c r="W1307" i="12"/>
  <c r="W1306" i="12"/>
  <c r="W1305" i="12"/>
  <c r="W1304" i="12"/>
  <c r="W1303" i="12"/>
  <c r="W1302" i="12"/>
  <c r="W1301" i="12"/>
  <c r="W1300" i="12"/>
  <c r="W1299" i="12"/>
  <c r="W1298" i="12"/>
  <c r="W1297" i="12"/>
  <c r="W1296" i="12"/>
  <c r="W1295" i="12"/>
  <c r="W1294" i="12"/>
  <c r="W1293" i="12"/>
  <c r="W1292" i="12"/>
  <c r="W1291" i="12"/>
  <c r="W1290" i="12"/>
  <c r="W1289" i="12"/>
  <c r="W1288" i="12"/>
  <c r="W1287" i="12"/>
  <c r="W1286" i="12"/>
  <c r="W1285" i="12"/>
  <c r="W1284" i="12"/>
  <c r="W1283" i="12"/>
  <c r="W1282" i="12"/>
  <c r="W1281" i="12"/>
  <c r="W1280" i="12"/>
  <c r="W1279" i="12"/>
  <c r="W1278" i="12"/>
  <c r="W1277" i="12"/>
  <c r="W1276" i="12"/>
  <c r="W1275" i="12"/>
  <c r="W1274" i="12"/>
  <c r="W1273" i="12"/>
  <c r="W1272" i="12"/>
  <c r="W1271" i="12"/>
  <c r="W1270" i="12"/>
  <c r="W1269" i="12"/>
  <c r="W1268" i="12"/>
  <c r="W1267" i="12"/>
  <c r="W1266" i="12"/>
  <c r="W1265" i="12"/>
  <c r="W1264" i="12"/>
  <c r="W1263" i="12"/>
  <c r="W1262" i="12"/>
  <c r="W1261" i="12"/>
  <c r="W1260" i="12"/>
  <c r="W1259" i="12"/>
  <c r="W1258" i="12"/>
  <c r="W1257" i="12"/>
  <c r="W1256" i="12"/>
  <c r="W1255" i="12"/>
  <c r="W1254" i="12"/>
  <c r="W1253" i="12"/>
  <c r="W1252" i="12"/>
  <c r="W1251" i="12"/>
  <c r="W1250" i="12"/>
  <c r="W1249" i="12"/>
  <c r="W1248" i="12"/>
  <c r="W1247" i="12"/>
  <c r="W1246" i="12"/>
  <c r="W1245" i="12"/>
  <c r="W1244" i="12"/>
  <c r="W1243" i="12"/>
  <c r="W1242" i="12"/>
  <c r="W1241" i="12"/>
  <c r="W1240" i="12"/>
  <c r="W1239" i="12"/>
  <c r="W1238" i="12"/>
  <c r="W1237" i="12"/>
  <c r="W1236" i="12"/>
  <c r="W1235" i="12"/>
  <c r="W1234" i="12"/>
  <c r="W1233" i="12"/>
  <c r="W1232" i="12"/>
  <c r="W1231" i="12"/>
  <c r="W1230" i="12"/>
  <c r="W1229" i="12"/>
  <c r="W1228" i="12"/>
  <c r="W1227" i="12"/>
  <c r="W1226" i="12"/>
  <c r="W1225" i="12"/>
  <c r="W1224" i="12"/>
  <c r="W1223" i="12"/>
  <c r="W1222" i="12"/>
  <c r="W1221" i="12"/>
  <c r="W1220" i="12"/>
  <c r="W1219" i="12"/>
  <c r="W1218" i="12"/>
  <c r="W1217" i="12"/>
  <c r="W1216" i="12"/>
  <c r="W1215" i="12"/>
  <c r="W1214" i="12"/>
  <c r="W1213" i="12"/>
  <c r="W1212" i="12"/>
  <c r="W1211" i="12"/>
  <c r="W1210" i="12"/>
  <c r="W1209" i="12"/>
  <c r="W1208" i="12"/>
  <c r="W1207" i="12"/>
  <c r="W1206" i="12"/>
  <c r="W1205" i="12"/>
  <c r="W1204" i="12"/>
  <c r="W1203" i="12"/>
  <c r="W1202" i="12"/>
  <c r="W1201" i="12"/>
  <c r="W1200" i="12"/>
  <c r="W1199" i="12"/>
  <c r="W1198" i="12"/>
  <c r="W1197" i="12"/>
  <c r="W1196" i="12"/>
  <c r="W1195" i="12"/>
  <c r="W1194" i="12"/>
  <c r="W1193" i="12"/>
  <c r="W1192" i="12"/>
  <c r="W1191" i="12"/>
  <c r="W1190" i="12"/>
  <c r="W1189" i="12"/>
  <c r="W1188" i="12"/>
  <c r="W1187" i="12"/>
  <c r="W1186" i="12"/>
  <c r="W1185" i="12"/>
  <c r="W1184" i="12"/>
  <c r="W1183" i="12"/>
  <c r="W1182" i="12"/>
  <c r="W1181" i="12"/>
  <c r="W1180" i="12"/>
  <c r="W1179" i="12"/>
  <c r="W1178" i="12"/>
  <c r="W1177" i="12"/>
  <c r="W1176" i="12"/>
  <c r="W1175" i="12"/>
  <c r="W1174" i="12"/>
  <c r="W1173" i="12"/>
  <c r="W1172" i="12"/>
  <c r="W1171" i="12"/>
  <c r="W1170" i="12"/>
  <c r="W1169" i="12"/>
  <c r="W1168" i="12"/>
  <c r="W1167" i="12"/>
  <c r="W1166" i="12"/>
  <c r="T1839" i="12"/>
  <c r="T1838" i="12"/>
  <c r="T1837" i="12"/>
  <c r="T1836" i="12"/>
  <c r="T1835" i="12"/>
  <c r="T1834" i="12"/>
  <c r="T1833" i="12"/>
  <c r="T1831" i="12"/>
  <c r="T1830" i="12"/>
  <c r="T1829" i="12"/>
  <c r="T1828" i="12"/>
  <c r="T1827" i="12"/>
  <c r="T1826" i="12"/>
  <c r="T1825" i="12"/>
  <c r="T1824" i="12"/>
  <c r="T1823" i="12"/>
  <c r="T1822" i="12"/>
  <c r="T1821" i="12"/>
  <c r="T1820" i="12"/>
  <c r="T1819" i="12"/>
  <c r="T1818" i="12"/>
  <c r="T1817" i="12"/>
  <c r="T1816" i="12"/>
  <c r="T1815" i="12"/>
  <c r="T1814" i="12"/>
  <c r="T1813" i="12"/>
  <c r="T1812" i="12"/>
  <c r="T1811" i="12"/>
  <c r="T1810" i="12"/>
  <c r="T1809" i="12"/>
  <c r="T1808" i="12"/>
  <c r="T1807" i="12"/>
  <c r="T1806" i="12"/>
  <c r="T1805" i="12"/>
  <c r="T1804" i="12"/>
  <c r="T1803" i="12"/>
  <c r="T1802" i="12"/>
  <c r="T1801" i="12"/>
  <c r="T1800" i="12"/>
  <c r="T1799" i="12"/>
  <c r="T1798" i="12"/>
  <c r="T1797" i="12"/>
  <c r="T1796" i="12"/>
  <c r="T1795" i="12"/>
  <c r="T1794" i="12"/>
  <c r="T1793" i="12"/>
  <c r="T1792" i="12"/>
  <c r="T1791" i="12"/>
  <c r="T1790" i="12"/>
  <c r="T1789" i="12"/>
  <c r="T1788" i="12"/>
  <c r="T1787" i="12"/>
  <c r="T1786" i="12"/>
  <c r="T1785" i="12"/>
  <c r="T1784" i="12"/>
  <c r="T1783" i="12"/>
  <c r="T1782" i="12"/>
  <c r="T1781" i="12"/>
  <c r="T1780" i="12"/>
  <c r="T1779" i="12"/>
  <c r="T1778" i="12"/>
  <c r="T1777" i="12"/>
  <c r="T1776" i="12"/>
  <c r="T1775" i="12"/>
  <c r="T1774" i="12"/>
  <c r="T1773" i="12"/>
  <c r="T1772" i="12"/>
  <c r="T1771" i="12"/>
  <c r="T1770" i="12"/>
  <c r="T1769" i="12"/>
  <c r="T1768" i="12"/>
  <c r="T1767" i="12"/>
  <c r="T1766" i="12"/>
  <c r="T1765" i="12"/>
  <c r="T1764" i="12"/>
  <c r="T1763" i="12"/>
  <c r="T1762" i="12"/>
  <c r="T1761" i="12"/>
  <c r="T1760" i="12"/>
  <c r="T1759" i="12"/>
  <c r="T1758" i="12"/>
  <c r="T1757" i="12"/>
  <c r="T1756" i="12"/>
  <c r="T1755" i="12"/>
  <c r="T1754" i="12"/>
  <c r="T1753" i="12"/>
  <c r="T1752" i="12"/>
  <c r="T1751" i="12"/>
  <c r="T1750" i="12"/>
  <c r="T1749" i="12"/>
  <c r="T1748" i="12"/>
  <c r="T1747" i="12"/>
  <c r="T1746" i="12"/>
  <c r="T1745" i="12"/>
  <c r="T1744" i="12"/>
  <c r="T1743" i="12"/>
  <c r="T1742" i="12"/>
  <c r="T1741" i="12"/>
  <c r="T1740" i="12"/>
  <c r="T1739" i="12"/>
  <c r="T1738" i="12"/>
  <c r="T1737" i="12"/>
  <c r="T1736" i="12"/>
  <c r="T1735" i="12"/>
  <c r="T1734" i="12"/>
  <c r="T1733" i="12"/>
  <c r="T1732" i="12"/>
  <c r="T1731" i="12"/>
  <c r="T1730" i="12"/>
  <c r="T1729" i="12"/>
  <c r="T1728" i="12"/>
  <c r="T1727" i="12"/>
  <c r="T1726" i="12"/>
  <c r="T1725" i="12"/>
  <c r="T1724" i="12"/>
  <c r="T1723" i="12"/>
  <c r="T1722" i="12"/>
  <c r="T1721" i="12"/>
  <c r="T1720" i="12"/>
  <c r="T1719" i="12"/>
  <c r="T1718" i="12"/>
  <c r="T1717" i="12"/>
  <c r="T1716" i="12"/>
  <c r="T1715" i="12"/>
  <c r="T1714" i="12"/>
  <c r="T1713" i="12"/>
  <c r="T1712" i="12"/>
  <c r="T1711" i="12"/>
  <c r="T1710" i="12"/>
  <c r="T1709" i="12"/>
  <c r="T1708" i="12"/>
  <c r="T1707" i="12"/>
  <c r="T1706" i="12"/>
  <c r="T1705" i="12"/>
  <c r="T1704" i="12"/>
  <c r="T1703" i="12"/>
  <c r="T1702" i="12"/>
  <c r="T1701" i="12"/>
  <c r="T1700" i="12"/>
  <c r="T1699" i="12"/>
  <c r="T1698" i="12"/>
  <c r="T1697" i="12"/>
  <c r="T1696" i="12"/>
  <c r="T1695" i="12"/>
  <c r="T1694" i="12"/>
  <c r="T1693" i="12"/>
  <c r="T1692" i="12"/>
  <c r="T1691" i="12"/>
  <c r="T1690" i="12"/>
  <c r="T1689" i="12"/>
  <c r="T1688" i="12"/>
  <c r="T1687" i="12"/>
  <c r="T1686" i="12"/>
  <c r="T1685" i="12"/>
  <c r="T1684" i="12"/>
  <c r="T1683" i="12"/>
  <c r="T1682" i="12"/>
  <c r="T1681" i="12"/>
  <c r="T1680" i="12"/>
  <c r="T1679" i="12"/>
  <c r="T1678" i="12"/>
  <c r="T1677" i="12"/>
  <c r="T1676" i="12"/>
  <c r="T1675" i="12"/>
  <c r="T1674" i="12"/>
  <c r="T1673" i="12"/>
  <c r="T1672" i="12"/>
  <c r="T1671" i="12"/>
  <c r="T1670" i="12"/>
  <c r="T1669" i="12"/>
  <c r="T1668" i="12"/>
  <c r="T1667" i="12"/>
  <c r="T1666" i="12"/>
  <c r="T1665" i="12"/>
  <c r="T1664" i="12"/>
  <c r="T1663" i="12"/>
  <c r="T1662" i="12"/>
  <c r="T1661" i="12"/>
  <c r="T1660" i="12"/>
  <c r="T1659" i="12"/>
  <c r="T1658" i="12"/>
  <c r="T1657" i="12"/>
  <c r="T1656" i="12"/>
  <c r="T1655" i="12"/>
  <c r="T1654" i="12"/>
  <c r="T1653" i="12"/>
  <c r="T1652" i="12"/>
  <c r="T1651" i="12"/>
  <c r="T1650" i="12"/>
  <c r="T1649" i="12"/>
  <c r="T1648" i="12"/>
  <c r="T1647" i="12"/>
  <c r="T1646" i="12"/>
  <c r="T1645" i="12"/>
  <c r="T1644" i="12"/>
  <c r="T1643" i="12"/>
  <c r="T1642" i="12"/>
  <c r="T1641" i="12"/>
  <c r="T1640" i="12"/>
  <c r="T1639" i="12"/>
  <c r="T1638" i="12"/>
  <c r="T1637" i="12"/>
  <c r="T1636" i="12"/>
  <c r="T1635" i="12"/>
  <c r="T1634" i="12"/>
  <c r="T1633" i="12"/>
  <c r="T1632" i="12"/>
  <c r="T1631" i="12"/>
  <c r="T1630" i="12"/>
  <c r="T1629" i="12"/>
  <c r="T1628" i="12"/>
  <c r="T1627" i="12"/>
  <c r="T1626" i="12"/>
  <c r="T1625" i="12"/>
  <c r="T1624" i="12"/>
  <c r="T1623" i="12"/>
  <c r="T1622" i="12"/>
  <c r="T1621" i="12"/>
  <c r="T1620" i="12"/>
  <c r="T1619" i="12"/>
  <c r="T1618" i="12"/>
  <c r="T1617" i="12"/>
  <c r="T1616" i="12"/>
  <c r="T1615" i="12"/>
  <c r="T1614" i="12"/>
  <c r="T1613" i="12"/>
  <c r="T1612" i="12"/>
  <c r="T1611" i="12"/>
  <c r="T1610" i="12"/>
  <c r="T1609" i="12"/>
  <c r="T1608" i="12"/>
  <c r="T1607" i="12"/>
  <c r="T1606" i="12"/>
  <c r="T1605" i="12"/>
  <c r="T1604" i="12"/>
  <c r="T1603" i="12"/>
  <c r="T1602" i="12"/>
  <c r="T1601" i="12"/>
  <c r="T1600" i="12"/>
  <c r="T1599" i="12"/>
  <c r="T1598" i="12"/>
  <c r="T1597" i="12"/>
  <c r="T1596" i="12"/>
  <c r="T1595" i="12"/>
  <c r="T1594" i="12"/>
  <c r="T1593" i="12"/>
  <c r="T1592" i="12"/>
  <c r="T1591" i="12"/>
  <c r="T1590" i="12"/>
  <c r="T1589" i="12"/>
  <c r="T1588" i="12"/>
  <c r="T1587" i="12"/>
  <c r="T1586" i="12"/>
  <c r="T1585" i="12"/>
  <c r="T1584" i="12"/>
  <c r="T1583" i="12"/>
  <c r="T1582" i="12"/>
  <c r="T1581" i="12"/>
  <c r="T1580" i="12"/>
  <c r="T1579" i="12"/>
  <c r="T1578" i="12"/>
  <c r="T1577" i="12"/>
  <c r="T1576" i="12"/>
  <c r="T1575" i="12"/>
  <c r="T1574" i="12"/>
  <c r="T1573" i="12"/>
  <c r="T1572" i="12"/>
  <c r="T1571" i="12"/>
  <c r="T1570" i="12"/>
  <c r="T1569" i="12"/>
  <c r="T1568" i="12"/>
  <c r="T1567" i="12"/>
  <c r="T1566" i="12"/>
  <c r="T1565" i="12"/>
  <c r="T1564" i="12"/>
  <c r="T1563" i="12"/>
  <c r="T1562" i="12"/>
  <c r="T1561" i="12"/>
  <c r="T1560" i="12"/>
  <c r="T1559" i="12"/>
  <c r="T1558" i="12"/>
  <c r="T1557" i="12"/>
  <c r="T1556" i="12"/>
  <c r="T1555" i="12"/>
  <c r="T1554" i="12"/>
  <c r="T1553" i="12"/>
  <c r="T1552" i="12"/>
  <c r="T1551" i="12"/>
  <c r="T1550" i="12"/>
  <c r="T1549" i="12"/>
  <c r="T1548" i="12"/>
  <c r="T1547" i="12"/>
  <c r="T1546" i="12"/>
  <c r="T1545" i="12"/>
  <c r="T1544" i="12"/>
  <c r="T1543" i="12"/>
  <c r="T1542" i="12"/>
  <c r="T1541" i="12"/>
  <c r="T1540" i="12"/>
  <c r="T1539" i="12"/>
  <c r="T1538" i="12"/>
  <c r="T1537" i="12"/>
  <c r="T1536" i="12"/>
  <c r="T1535" i="12"/>
  <c r="T1534" i="12"/>
  <c r="T1533" i="12"/>
  <c r="T1532" i="12"/>
  <c r="T1531" i="12"/>
  <c r="T1530" i="12"/>
  <c r="T1529" i="12"/>
  <c r="T1528" i="12"/>
  <c r="T1527" i="12"/>
  <c r="T1526" i="12"/>
  <c r="T1525" i="12"/>
  <c r="T1524" i="12"/>
  <c r="T1523" i="12"/>
  <c r="T1522" i="12"/>
  <c r="T1521" i="12"/>
  <c r="T1520" i="12"/>
  <c r="T1519" i="12"/>
  <c r="T1518" i="12"/>
  <c r="T1517" i="12"/>
  <c r="T1516" i="12"/>
  <c r="T1515" i="12"/>
  <c r="T1514" i="12"/>
  <c r="T1513" i="12"/>
  <c r="T1512" i="12"/>
  <c r="T1511" i="12"/>
  <c r="T1510" i="12"/>
  <c r="T1509" i="12"/>
  <c r="T1508" i="12"/>
  <c r="T1507" i="12"/>
  <c r="T1506" i="12"/>
  <c r="T1505" i="12"/>
  <c r="T1504" i="12"/>
  <c r="T1503" i="12"/>
  <c r="T1502" i="12"/>
  <c r="T1501" i="12"/>
  <c r="T1500" i="12"/>
  <c r="T1499" i="12"/>
  <c r="T1498" i="12"/>
  <c r="T1497" i="12"/>
  <c r="T1496" i="12"/>
  <c r="T1495" i="12"/>
  <c r="T1494" i="12"/>
  <c r="T1493" i="12"/>
  <c r="T1492" i="12"/>
  <c r="T1491" i="12"/>
  <c r="T1490" i="12"/>
  <c r="T1489" i="12"/>
  <c r="T1488" i="12"/>
  <c r="T1487" i="12"/>
  <c r="T1486" i="12"/>
  <c r="T1485" i="12"/>
  <c r="T1484" i="12"/>
  <c r="T1483" i="12"/>
  <c r="T1482" i="12"/>
  <c r="T1481" i="12"/>
  <c r="T1480" i="12"/>
  <c r="T1479" i="12"/>
  <c r="T1478" i="12"/>
  <c r="T1477" i="12"/>
  <c r="T1476" i="12"/>
  <c r="T1475" i="12"/>
  <c r="T1474" i="12"/>
  <c r="T1473" i="12"/>
  <c r="T1472" i="12"/>
  <c r="T1471" i="12"/>
  <c r="T1470" i="12"/>
  <c r="T1469" i="12"/>
  <c r="T1468" i="12"/>
  <c r="T1467" i="12"/>
  <c r="T1466" i="12"/>
  <c r="T1465" i="12"/>
  <c r="T1464" i="12"/>
  <c r="T1463" i="12"/>
  <c r="T1462" i="12"/>
  <c r="T1461" i="12"/>
  <c r="T1460" i="12"/>
  <c r="T1459" i="12"/>
  <c r="T1458" i="12"/>
  <c r="T1457" i="12"/>
  <c r="T1456" i="12"/>
  <c r="T1455" i="12"/>
  <c r="T1454" i="12"/>
  <c r="T1453" i="12"/>
  <c r="T1452" i="12"/>
  <c r="T1451" i="12"/>
  <c r="T1450" i="12"/>
  <c r="T1449" i="12"/>
  <c r="T1448" i="12"/>
  <c r="T1447" i="12"/>
  <c r="T1446" i="12"/>
  <c r="T1445" i="12"/>
  <c r="T1444" i="12"/>
  <c r="T1443" i="12"/>
  <c r="T1442" i="12"/>
  <c r="T1441" i="12"/>
  <c r="T1440" i="12"/>
  <c r="T1439" i="12"/>
  <c r="T1438" i="12"/>
  <c r="T1437" i="12"/>
  <c r="T1436" i="12"/>
  <c r="T1435" i="12"/>
  <c r="T1434" i="12"/>
  <c r="T1433" i="12"/>
  <c r="T1432" i="12"/>
  <c r="T1431" i="12"/>
  <c r="T1430" i="12"/>
  <c r="T1429" i="12"/>
  <c r="T1428" i="12"/>
  <c r="T1427" i="12"/>
  <c r="T1426" i="12"/>
  <c r="T1425" i="12"/>
  <c r="T1424" i="12"/>
  <c r="T1423" i="12"/>
  <c r="T1422" i="12"/>
  <c r="T1421" i="12"/>
  <c r="T1420" i="12"/>
  <c r="T1419" i="12"/>
  <c r="T1418" i="12"/>
  <c r="T1417" i="12"/>
  <c r="T1416" i="12"/>
  <c r="T1415" i="12"/>
  <c r="T1414" i="12"/>
  <c r="T1413" i="12"/>
  <c r="T1412" i="12"/>
  <c r="T1411" i="12"/>
  <c r="T1410" i="12"/>
  <c r="T1409" i="12"/>
  <c r="T1408" i="12"/>
  <c r="T1407" i="12"/>
  <c r="T1406" i="12"/>
  <c r="T1405" i="12"/>
  <c r="T1404" i="12"/>
  <c r="T1403" i="12"/>
  <c r="T1402" i="12"/>
  <c r="T1401" i="12"/>
  <c r="T1400" i="12"/>
  <c r="T1399" i="12"/>
  <c r="T1398" i="12"/>
  <c r="T1397" i="12"/>
  <c r="T1396" i="12"/>
  <c r="T1395" i="12"/>
  <c r="T1394" i="12"/>
  <c r="T1393" i="12"/>
  <c r="T1392" i="12"/>
  <c r="T1391" i="12"/>
  <c r="T1390" i="12"/>
  <c r="T1389" i="12"/>
  <c r="T1388" i="12"/>
  <c r="T1387" i="12"/>
  <c r="T1386" i="12"/>
  <c r="T1385" i="12"/>
  <c r="T1384" i="12"/>
  <c r="T1383" i="12"/>
  <c r="T1382" i="12"/>
  <c r="T1381" i="12"/>
  <c r="T1380" i="12"/>
  <c r="T1379" i="12"/>
  <c r="T1378" i="12"/>
  <c r="T1377" i="12"/>
  <c r="T1376" i="12"/>
  <c r="T1375" i="12"/>
  <c r="T1374" i="12"/>
  <c r="T1373" i="12"/>
  <c r="T1372" i="12"/>
  <c r="T1371" i="12"/>
  <c r="T1370" i="12"/>
  <c r="T1369" i="12"/>
  <c r="T1368" i="12"/>
  <c r="T1367" i="12"/>
  <c r="T1366" i="12"/>
  <c r="T1365" i="12"/>
  <c r="T1364" i="12"/>
  <c r="T1363" i="12"/>
  <c r="T1362" i="12"/>
  <c r="T1361" i="12"/>
  <c r="T1360" i="12"/>
  <c r="T1359" i="12"/>
  <c r="T1358" i="12"/>
  <c r="T1357" i="12"/>
  <c r="T1356" i="12"/>
  <c r="T1355" i="12"/>
  <c r="T1354" i="12"/>
  <c r="T1353" i="12"/>
  <c r="T1352" i="12"/>
  <c r="T1351" i="12"/>
  <c r="T1350" i="12"/>
  <c r="T1349" i="12"/>
  <c r="T1348" i="12"/>
  <c r="T1347" i="12"/>
  <c r="T1346" i="12"/>
  <c r="T1345" i="12"/>
  <c r="T1344" i="12"/>
  <c r="T1343" i="12"/>
  <c r="T1342" i="12"/>
  <c r="T1341" i="12"/>
  <c r="T1340" i="12"/>
  <c r="T1339" i="12"/>
  <c r="T1338" i="12"/>
  <c r="T1337" i="12"/>
  <c r="T1336" i="12"/>
  <c r="T1335" i="12"/>
  <c r="T1334" i="12"/>
  <c r="T1333" i="12"/>
  <c r="T1332" i="12"/>
  <c r="T1331" i="12"/>
  <c r="T1330" i="12"/>
  <c r="T1329" i="12"/>
  <c r="T1328" i="12"/>
  <c r="T1327" i="12"/>
  <c r="T1326" i="12"/>
  <c r="T1325" i="12"/>
  <c r="T1324" i="12"/>
  <c r="T1323" i="12"/>
  <c r="T1322" i="12"/>
  <c r="T1321" i="12"/>
  <c r="T1320" i="12"/>
  <c r="T1319" i="12"/>
  <c r="T1318" i="12"/>
  <c r="T1317" i="12"/>
  <c r="T1316" i="12"/>
  <c r="T1315" i="12"/>
  <c r="T1314" i="12"/>
  <c r="T1313" i="12"/>
  <c r="T1312" i="12"/>
  <c r="T1311" i="12"/>
  <c r="T1310" i="12"/>
  <c r="T1309" i="12"/>
  <c r="T1308" i="12"/>
  <c r="T1307" i="12"/>
  <c r="T1306" i="12"/>
  <c r="T1305" i="12"/>
  <c r="T1304" i="12"/>
  <c r="T1303" i="12"/>
  <c r="T1302" i="12"/>
  <c r="T1301" i="12"/>
  <c r="T1300" i="12"/>
  <c r="T1299" i="12"/>
  <c r="T1298" i="12"/>
  <c r="T1297" i="12"/>
  <c r="T1296" i="12"/>
  <c r="T1295" i="12"/>
  <c r="T1294" i="12"/>
  <c r="T1293" i="12"/>
  <c r="T1292" i="12"/>
  <c r="T1291" i="12"/>
  <c r="T1290" i="12"/>
  <c r="T1289" i="12"/>
  <c r="T1288" i="12"/>
  <c r="T1287" i="12"/>
  <c r="T1286" i="12"/>
  <c r="T1285" i="12"/>
  <c r="T1284" i="12"/>
  <c r="T1283" i="12"/>
  <c r="T1282" i="12"/>
  <c r="T1281" i="12"/>
  <c r="T1280" i="12"/>
  <c r="T1279" i="12"/>
  <c r="T1278" i="12"/>
  <c r="T1277" i="12"/>
  <c r="T1276" i="12"/>
  <c r="T1275" i="12"/>
  <c r="T1274" i="12"/>
  <c r="T1273" i="12"/>
  <c r="T1272" i="12"/>
  <c r="T1271" i="12"/>
  <c r="T1270" i="12"/>
  <c r="T1269" i="12"/>
  <c r="T1268" i="12"/>
  <c r="T1267" i="12"/>
  <c r="T1266" i="12"/>
  <c r="T1265" i="12"/>
  <c r="T1264" i="12"/>
  <c r="T1263" i="12"/>
  <c r="T1262" i="12"/>
  <c r="T1261" i="12"/>
  <c r="T1260" i="12"/>
  <c r="T1259" i="12"/>
  <c r="T1258" i="12"/>
  <c r="T1257" i="12"/>
  <c r="T1256" i="12"/>
  <c r="T1255" i="12"/>
  <c r="T1254" i="12"/>
  <c r="T1253" i="12"/>
  <c r="T1252" i="12"/>
  <c r="T1251" i="12"/>
  <c r="T1250" i="12"/>
  <c r="T1249" i="12"/>
  <c r="T1248" i="12"/>
  <c r="T1247" i="12"/>
  <c r="T1246" i="12"/>
  <c r="T1245" i="12"/>
  <c r="T1244" i="12"/>
  <c r="T1243" i="12"/>
  <c r="T1242" i="12"/>
  <c r="T1241" i="12"/>
  <c r="T1240" i="12"/>
  <c r="T1239" i="12"/>
  <c r="T1238" i="12"/>
  <c r="T1237" i="12"/>
  <c r="T1236" i="12"/>
  <c r="T1235" i="12"/>
  <c r="T1234" i="12"/>
  <c r="T1233" i="12"/>
  <c r="T1232" i="12"/>
  <c r="T1231" i="12"/>
  <c r="T1230" i="12"/>
  <c r="T1229" i="12"/>
  <c r="T1228" i="12"/>
  <c r="T1227" i="12"/>
  <c r="T1226" i="12"/>
  <c r="T1225" i="12"/>
  <c r="T1224" i="12"/>
  <c r="T1223" i="12"/>
  <c r="T1222" i="12"/>
  <c r="T1221" i="12"/>
  <c r="T1220" i="12"/>
  <c r="T1219" i="12"/>
  <c r="T1218" i="12"/>
  <c r="T1217" i="12"/>
  <c r="T1216" i="12"/>
  <c r="T1215" i="12"/>
  <c r="T1214" i="12"/>
  <c r="T1213" i="12"/>
  <c r="T1212" i="12"/>
  <c r="T1211" i="12"/>
  <c r="T1210" i="12"/>
  <c r="T1209" i="12"/>
  <c r="T1208" i="12"/>
  <c r="T1207" i="12"/>
  <c r="T1206" i="12"/>
  <c r="T1205" i="12"/>
  <c r="T1204" i="12"/>
  <c r="T1203" i="12"/>
  <c r="T1202" i="12"/>
  <c r="T1201" i="12"/>
  <c r="T1200" i="12"/>
  <c r="T1199" i="12"/>
  <c r="T1198" i="12"/>
  <c r="T1197" i="12"/>
  <c r="T1196" i="12"/>
  <c r="T1195" i="12"/>
  <c r="T1194" i="12"/>
  <c r="T1193" i="12"/>
  <c r="T1192" i="12"/>
  <c r="T1191" i="12"/>
  <c r="T1190" i="12"/>
  <c r="T1189" i="12"/>
  <c r="T1188" i="12"/>
  <c r="T1187" i="12"/>
  <c r="T1186" i="12"/>
  <c r="T1185" i="12"/>
  <c r="T1184" i="12"/>
  <c r="T1183" i="12"/>
  <c r="T1182" i="12"/>
  <c r="T1181" i="12"/>
  <c r="T1180" i="12"/>
  <c r="T1179" i="12"/>
  <c r="T1178" i="12"/>
  <c r="T1177" i="12"/>
  <c r="T1176" i="12"/>
  <c r="T1175" i="12"/>
  <c r="T1174" i="12"/>
  <c r="T1173" i="12"/>
  <c r="T1172" i="12"/>
  <c r="T1171" i="12"/>
  <c r="T1170" i="12"/>
  <c r="T1169" i="12"/>
  <c r="T1168" i="12"/>
  <c r="T1167" i="12"/>
  <c r="T1166" i="12"/>
  <c r="O1839" i="12"/>
  <c r="Q1839" i="12" s="1"/>
  <c r="R1839" i="12" s="1"/>
  <c r="S1839" i="12" s="1"/>
  <c r="O1838" i="12"/>
  <c r="Q1838" i="12" s="1"/>
  <c r="R1838" i="12" s="1"/>
  <c r="S1838" i="12" s="1"/>
  <c r="O1837" i="12"/>
  <c r="Q1837" i="12" s="1"/>
  <c r="R1837" i="12" s="1"/>
  <c r="S1837" i="12" s="1"/>
  <c r="O1836" i="12"/>
  <c r="Q1836" i="12" s="1"/>
  <c r="R1836" i="12" s="1"/>
  <c r="S1836" i="12" s="1"/>
  <c r="O1835" i="12"/>
  <c r="Q1835" i="12" s="1"/>
  <c r="R1835" i="12" s="1"/>
  <c r="S1835" i="12" s="1"/>
  <c r="O1834" i="12"/>
  <c r="Q1834" i="12" s="1"/>
  <c r="R1834" i="12" s="1"/>
  <c r="S1834" i="12" s="1"/>
  <c r="O1833" i="12"/>
  <c r="Q1833" i="12" s="1"/>
  <c r="R1833" i="12" s="1"/>
  <c r="S1833" i="12" s="1"/>
  <c r="O1831" i="12"/>
  <c r="Q1831" i="12" s="1"/>
  <c r="R1831" i="12" s="1"/>
  <c r="S1831" i="12" s="1"/>
  <c r="O1830" i="12"/>
  <c r="Q1830" i="12" s="1"/>
  <c r="R1830" i="12" s="1"/>
  <c r="S1830" i="12" s="1"/>
  <c r="O1829" i="12"/>
  <c r="Q1829" i="12" s="1"/>
  <c r="R1829" i="12" s="1"/>
  <c r="S1829" i="12" s="1"/>
  <c r="O1828" i="12"/>
  <c r="Q1828" i="12" s="1"/>
  <c r="R1828" i="12" s="1"/>
  <c r="S1828" i="12" s="1"/>
  <c r="O1827" i="12"/>
  <c r="Q1827" i="12" s="1"/>
  <c r="R1827" i="12" s="1"/>
  <c r="S1827" i="12" s="1"/>
  <c r="O1826" i="12"/>
  <c r="Q1826" i="12" s="1"/>
  <c r="R1826" i="12" s="1"/>
  <c r="S1826" i="12" s="1"/>
  <c r="O1825" i="12"/>
  <c r="Q1825" i="12" s="1"/>
  <c r="R1825" i="12" s="1"/>
  <c r="S1825" i="12" s="1"/>
  <c r="O1824" i="12"/>
  <c r="Q1824" i="12" s="1"/>
  <c r="R1824" i="12" s="1"/>
  <c r="S1824" i="12" s="1"/>
  <c r="O1823" i="12"/>
  <c r="Q1823" i="12" s="1"/>
  <c r="R1823" i="12" s="1"/>
  <c r="S1823" i="12" s="1"/>
  <c r="O1822" i="12"/>
  <c r="Q1822" i="12" s="1"/>
  <c r="R1822" i="12" s="1"/>
  <c r="S1822" i="12" s="1"/>
  <c r="O1821" i="12"/>
  <c r="Q1821" i="12" s="1"/>
  <c r="R1821" i="12" s="1"/>
  <c r="S1821" i="12" s="1"/>
  <c r="O1820" i="12"/>
  <c r="Q1820" i="12" s="1"/>
  <c r="R1820" i="12" s="1"/>
  <c r="S1820" i="12" s="1"/>
  <c r="O1819" i="12"/>
  <c r="Q1819" i="12" s="1"/>
  <c r="R1819" i="12" s="1"/>
  <c r="S1819" i="12" s="1"/>
  <c r="O1818" i="12"/>
  <c r="Q1818" i="12" s="1"/>
  <c r="R1818" i="12" s="1"/>
  <c r="S1818" i="12" s="1"/>
  <c r="O1817" i="12"/>
  <c r="Q1817" i="12" s="1"/>
  <c r="R1817" i="12" s="1"/>
  <c r="S1817" i="12" s="1"/>
  <c r="O1816" i="12"/>
  <c r="Q1816" i="12" s="1"/>
  <c r="R1816" i="12" s="1"/>
  <c r="S1816" i="12" s="1"/>
  <c r="O1815" i="12"/>
  <c r="Q1815" i="12" s="1"/>
  <c r="R1815" i="12" s="1"/>
  <c r="S1815" i="12" s="1"/>
  <c r="O1814" i="12"/>
  <c r="Q1814" i="12" s="1"/>
  <c r="R1814" i="12" s="1"/>
  <c r="S1814" i="12" s="1"/>
  <c r="O1813" i="12"/>
  <c r="Q1813" i="12" s="1"/>
  <c r="R1813" i="12" s="1"/>
  <c r="S1813" i="12" s="1"/>
  <c r="O1812" i="12"/>
  <c r="Q1812" i="12" s="1"/>
  <c r="R1812" i="12" s="1"/>
  <c r="S1812" i="12" s="1"/>
  <c r="O1811" i="12"/>
  <c r="Q1811" i="12" s="1"/>
  <c r="R1811" i="12" s="1"/>
  <c r="S1811" i="12" s="1"/>
  <c r="O1810" i="12"/>
  <c r="Q1810" i="12" s="1"/>
  <c r="R1810" i="12" s="1"/>
  <c r="S1810" i="12" s="1"/>
  <c r="O1809" i="12"/>
  <c r="Q1809" i="12" s="1"/>
  <c r="R1809" i="12" s="1"/>
  <c r="S1809" i="12" s="1"/>
  <c r="O1808" i="12"/>
  <c r="Q1808" i="12" s="1"/>
  <c r="R1808" i="12" s="1"/>
  <c r="S1808" i="12" s="1"/>
  <c r="O1807" i="12"/>
  <c r="Q1807" i="12" s="1"/>
  <c r="R1807" i="12" s="1"/>
  <c r="S1807" i="12" s="1"/>
  <c r="O1806" i="12"/>
  <c r="Q1806" i="12" s="1"/>
  <c r="R1806" i="12" s="1"/>
  <c r="S1806" i="12" s="1"/>
  <c r="O1805" i="12"/>
  <c r="Q1805" i="12" s="1"/>
  <c r="R1805" i="12" s="1"/>
  <c r="S1805" i="12" s="1"/>
  <c r="O1804" i="12"/>
  <c r="Q1804" i="12" s="1"/>
  <c r="R1804" i="12" s="1"/>
  <c r="S1804" i="12" s="1"/>
  <c r="O1803" i="12"/>
  <c r="Q1803" i="12" s="1"/>
  <c r="R1803" i="12" s="1"/>
  <c r="S1803" i="12" s="1"/>
  <c r="O1802" i="12"/>
  <c r="Q1802" i="12" s="1"/>
  <c r="R1802" i="12" s="1"/>
  <c r="S1802" i="12" s="1"/>
  <c r="O1801" i="12"/>
  <c r="Q1801" i="12" s="1"/>
  <c r="R1801" i="12" s="1"/>
  <c r="S1801" i="12" s="1"/>
  <c r="O1800" i="12"/>
  <c r="Q1800" i="12" s="1"/>
  <c r="R1800" i="12" s="1"/>
  <c r="S1800" i="12" s="1"/>
  <c r="O1799" i="12"/>
  <c r="Q1799" i="12" s="1"/>
  <c r="R1799" i="12" s="1"/>
  <c r="S1799" i="12" s="1"/>
  <c r="O1798" i="12"/>
  <c r="Q1798" i="12" s="1"/>
  <c r="R1798" i="12" s="1"/>
  <c r="S1798" i="12" s="1"/>
  <c r="O1797" i="12"/>
  <c r="Q1797" i="12" s="1"/>
  <c r="R1797" i="12" s="1"/>
  <c r="S1797" i="12" s="1"/>
  <c r="O1796" i="12"/>
  <c r="Q1796" i="12" s="1"/>
  <c r="R1796" i="12" s="1"/>
  <c r="S1796" i="12" s="1"/>
  <c r="O1795" i="12"/>
  <c r="Q1795" i="12" s="1"/>
  <c r="R1795" i="12" s="1"/>
  <c r="S1795" i="12" s="1"/>
  <c r="O1794" i="12"/>
  <c r="Q1794" i="12" s="1"/>
  <c r="R1794" i="12" s="1"/>
  <c r="S1794" i="12" s="1"/>
  <c r="O1793" i="12"/>
  <c r="Q1793" i="12" s="1"/>
  <c r="R1793" i="12" s="1"/>
  <c r="S1793" i="12" s="1"/>
  <c r="O1792" i="12"/>
  <c r="Q1792" i="12" s="1"/>
  <c r="R1792" i="12" s="1"/>
  <c r="S1792" i="12" s="1"/>
  <c r="O1791" i="12"/>
  <c r="Q1791" i="12" s="1"/>
  <c r="R1791" i="12" s="1"/>
  <c r="S1791" i="12" s="1"/>
  <c r="O1790" i="12"/>
  <c r="Q1790" i="12" s="1"/>
  <c r="R1790" i="12" s="1"/>
  <c r="S1790" i="12" s="1"/>
  <c r="O1789" i="12"/>
  <c r="Q1789" i="12" s="1"/>
  <c r="R1789" i="12" s="1"/>
  <c r="S1789" i="12" s="1"/>
  <c r="O1788" i="12"/>
  <c r="Q1788" i="12" s="1"/>
  <c r="R1788" i="12" s="1"/>
  <c r="S1788" i="12" s="1"/>
  <c r="O1787" i="12"/>
  <c r="Q1787" i="12" s="1"/>
  <c r="R1787" i="12" s="1"/>
  <c r="S1787" i="12" s="1"/>
  <c r="O1786" i="12"/>
  <c r="Q1786" i="12" s="1"/>
  <c r="R1786" i="12" s="1"/>
  <c r="S1786" i="12" s="1"/>
  <c r="O1785" i="12"/>
  <c r="Q1785" i="12" s="1"/>
  <c r="R1785" i="12" s="1"/>
  <c r="S1785" i="12" s="1"/>
  <c r="O1784" i="12"/>
  <c r="Q1784" i="12" s="1"/>
  <c r="R1784" i="12" s="1"/>
  <c r="S1784" i="12" s="1"/>
  <c r="O1783" i="12"/>
  <c r="Q1783" i="12" s="1"/>
  <c r="R1783" i="12" s="1"/>
  <c r="S1783" i="12" s="1"/>
  <c r="O1782" i="12"/>
  <c r="Q1782" i="12" s="1"/>
  <c r="R1782" i="12" s="1"/>
  <c r="S1782" i="12" s="1"/>
  <c r="O1781" i="12"/>
  <c r="Q1781" i="12" s="1"/>
  <c r="R1781" i="12" s="1"/>
  <c r="S1781" i="12" s="1"/>
  <c r="O1780" i="12"/>
  <c r="Q1780" i="12" s="1"/>
  <c r="R1780" i="12" s="1"/>
  <c r="S1780" i="12" s="1"/>
  <c r="O1779" i="12"/>
  <c r="Q1779" i="12" s="1"/>
  <c r="R1779" i="12" s="1"/>
  <c r="S1779" i="12" s="1"/>
  <c r="O1778" i="12"/>
  <c r="Q1778" i="12" s="1"/>
  <c r="R1778" i="12" s="1"/>
  <c r="S1778" i="12" s="1"/>
  <c r="O1777" i="12"/>
  <c r="Q1777" i="12" s="1"/>
  <c r="R1777" i="12" s="1"/>
  <c r="S1777" i="12" s="1"/>
  <c r="O1776" i="12"/>
  <c r="Q1776" i="12" s="1"/>
  <c r="R1776" i="12" s="1"/>
  <c r="S1776" i="12" s="1"/>
  <c r="O1775" i="12"/>
  <c r="Q1775" i="12" s="1"/>
  <c r="R1775" i="12" s="1"/>
  <c r="S1775" i="12" s="1"/>
  <c r="O1774" i="12"/>
  <c r="Q1774" i="12" s="1"/>
  <c r="R1774" i="12" s="1"/>
  <c r="S1774" i="12" s="1"/>
  <c r="O1773" i="12"/>
  <c r="Q1773" i="12" s="1"/>
  <c r="R1773" i="12" s="1"/>
  <c r="S1773" i="12" s="1"/>
  <c r="O1772" i="12"/>
  <c r="Q1772" i="12" s="1"/>
  <c r="R1772" i="12" s="1"/>
  <c r="S1772" i="12" s="1"/>
  <c r="O1771" i="12"/>
  <c r="Q1771" i="12" s="1"/>
  <c r="R1771" i="12" s="1"/>
  <c r="S1771" i="12" s="1"/>
  <c r="O1770" i="12"/>
  <c r="Q1770" i="12" s="1"/>
  <c r="R1770" i="12" s="1"/>
  <c r="S1770" i="12" s="1"/>
  <c r="O1769" i="12"/>
  <c r="Q1769" i="12" s="1"/>
  <c r="R1769" i="12" s="1"/>
  <c r="S1769" i="12" s="1"/>
  <c r="O1768" i="12"/>
  <c r="Q1768" i="12" s="1"/>
  <c r="R1768" i="12" s="1"/>
  <c r="S1768" i="12" s="1"/>
  <c r="O1767" i="12"/>
  <c r="Q1767" i="12" s="1"/>
  <c r="R1767" i="12" s="1"/>
  <c r="S1767" i="12" s="1"/>
  <c r="O1766" i="12"/>
  <c r="Q1766" i="12" s="1"/>
  <c r="R1766" i="12" s="1"/>
  <c r="S1766" i="12" s="1"/>
  <c r="O1765" i="12"/>
  <c r="Q1765" i="12" s="1"/>
  <c r="R1765" i="12" s="1"/>
  <c r="S1765" i="12" s="1"/>
  <c r="O1764" i="12"/>
  <c r="Q1764" i="12" s="1"/>
  <c r="R1764" i="12" s="1"/>
  <c r="S1764" i="12" s="1"/>
  <c r="O1763" i="12"/>
  <c r="Q1763" i="12" s="1"/>
  <c r="R1763" i="12" s="1"/>
  <c r="S1763" i="12" s="1"/>
  <c r="O1762" i="12"/>
  <c r="Q1762" i="12" s="1"/>
  <c r="R1762" i="12" s="1"/>
  <c r="S1762" i="12" s="1"/>
  <c r="O1761" i="12"/>
  <c r="Q1761" i="12" s="1"/>
  <c r="R1761" i="12" s="1"/>
  <c r="S1761" i="12" s="1"/>
  <c r="O1760" i="12"/>
  <c r="Q1760" i="12" s="1"/>
  <c r="R1760" i="12" s="1"/>
  <c r="S1760" i="12" s="1"/>
  <c r="O1759" i="12"/>
  <c r="Q1759" i="12" s="1"/>
  <c r="R1759" i="12" s="1"/>
  <c r="S1759" i="12" s="1"/>
  <c r="O1758" i="12"/>
  <c r="Q1758" i="12" s="1"/>
  <c r="R1758" i="12" s="1"/>
  <c r="S1758" i="12" s="1"/>
  <c r="O1757" i="12"/>
  <c r="Q1757" i="12" s="1"/>
  <c r="R1757" i="12" s="1"/>
  <c r="S1757" i="12" s="1"/>
  <c r="O1756" i="12"/>
  <c r="Q1756" i="12" s="1"/>
  <c r="R1756" i="12" s="1"/>
  <c r="S1756" i="12" s="1"/>
  <c r="O1755" i="12"/>
  <c r="Q1755" i="12" s="1"/>
  <c r="R1755" i="12" s="1"/>
  <c r="S1755" i="12" s="1"/>
  <c r="O1754" i="12"/>
  <c r="Q1754" i="12" s="1"/>
  <c r="R1754" i="12" s="1"/>
  <c r="S1754" i="12" s="1"/>
  <c r="O1753" i="12"/>
  <c r="Q1753" i="12" s="1"/>
  <c r="R1753" i="12" s="1"/>
  <c r="S1753" i="12" s="1"/>
  <c r="O1752" i="12"/>
  <c r="Q1752" i="12" s="1"/>
  <c r="R1752" i="12" s="1"/>
  <c r="S1752" i="12" s="1"/>
  <c r="O1751" i="12"/>
  <c r="Q1751" i="12" s="1"/>
  <c r="R1751" i="12" s="1"/>
  <c r="S1751" i="12" s="1"/>
  <c r="O1750" i="12"/>
  <c r="Q1750" i="12" s="1"/>
  <c r="R1750" i="12" s="1"/>
  <c r="S1750" i="12" s="1"/>
  <c r="O1749" i="12"/>
  <c r="Q1749" i="12" s="1"/>
  <c r="R1749" i="12" s="1"/>
  <c r="S1749" i="12" s="1"/>
  <c r="O1748" i="12"/>
  <c r="Q1748" i="12" s="1"/>
  <c r="R1748" i="12" s="1"/>
  <c r="S1748" i="12" s="1"/>
  <c r="O1747" i="12"/>
  <c r="Q1747" i="12" s="1"/>
  <c r="R1747" i="12" s="1"/>
  <c r="S1747" i="12" s="1"/>
  <c r="O1746" i="12"/>
  <c r="Q1746" i="12" s="1"/>
  <c r="R1746" i="12" s="1"/>
  <c r="S1746" i="12" s="1"/>
  <c r="O1745" i="12"/>
  <c r="Q1745" i="12" s="1"/>
  <c r="R1745" i="12" s="1"/>
  <c r="S1745" i="12" s="1"/>
  <c r="O1744" i="12"/>
  <c r="Q1744" i="12" s="1"/>
  <c r="R1744" i="12" s="1"/>
  <c r="S1744" i="12" s="1"/>
  <c r="O1743" i="12"/>
  <c r="Q1743" i="12" s="1"/>
  <c r="R1743" i="12" s="1"/>
  <c r="S1743" i="12" s="1"/>
  <c r="O1742" i="12"/>
  <c r="Q1742" i="12" s="1"/>
  <c r="R1742" i="12" s="1"/>
  <c r="S1742" i="12" s="1"/>
  <c r="O1741" i="12"/>
  <c r="Q1741" i="12" s="1"/>
  <c r="R1741" i="12" s="1"/>
  <c r="S1741" i="12" s="1"/>
  <c r="O1740" i="12"/>
  <c r="Q1740" i="12" s="1"/>
  <c r="R1740" i="12" s="1"/>
  <c r="S1740" i="12" s="1"/>
  <c r="O1739" i="12"/>
  <c r="Q1739" i="12" s="1"/>
  <c r="R1739" i="12" s="1"/>
  <c r="S1739" i="12" s="1"/>
  <c r="O1738" i="12"/>
  <c r="Q1738" i="12" s="1"/>
  <c r="R1738" i="12" s="1"/>
  <c r="S1738" i="12" s="1"/>
  <c r="O1737" i="12"/>
  <c r="Q1737" i="12" s="1"/>
  <c r="R1737" i="12" s="1"/>
  <c r="S1737" i="12" s="1"/>
  <c r="O1736" i="12"/>
  <c r="Q1736" i="12" s="1"/>
  <c r="R1736" i="12" s="1"/>
  <c r="S1736" i="12" s="1"/>
  <c r="O1735" i="12"/>
  <c r="Q1735" i="12" s="1"/>
  <c r="R1735" i="12" s="1"/>
  <c r="S1735" i="12" s="1"/>
  <c r="O1734" i="12"/>
  <c r="Q1734" i="12" s="1"/>
  <c r="R1734" i="12" s="1"/>
  <c r="S1734" i="12" s="1"/>
  <c r="O1733" i="12"/>
  <c r="Q1733" i="12" s="1"/>
  <c r="R1733" i="12" s="1"/>
  <c r="S1733" i="12" s="1"/>
  <c r="O1732" i="12"/>
  <c r="Q1732" i="12" s="1"/>
  <c r="R1732" i="12" s="1"/>
  <c r="S1732" i="12" s="1"/>
  <c r="O1731" i="12"/>
  <c r="Q1731" i="12" s="1"/>
  <c r="R1731" i="12" s="1"/>
  <c r="S1731" i="12" s="1"/>
  <c r="O1730" i="12"/>
  <c r="Q1730" i="12" s="1"/>
  <c r="R1730" i="12" s="1"/>
  <c r="S1730" i="12" s="1"/>
  <c r="O1729" i="12"/>
  <c r="Q1729" i="12" s="1"/>
  <c r="R1729" i="12" s="1"/>
  <c r="S1729" i="12" s="1"/>
  <c r="O1728" i="12"/>
  <c r="Q1728" i="12" s="1"/>
  <c r="R1728" i="12" s="1"/>
  <c r="S1728" i="12" s="1"/>
  <c r="O1727" i="12"/>
  <c r="Q1727" i="12" s="1"/>
  <c r="R1727" i="12" s="1"/>
  <c r="S1727" i="12" s="1"/>
  <c r="O1726" i="12"/>
  <c r="Q1726" i="12" s="1"/>
  <c r="R1726" i="12" s="1"/>
  <c r="S1726" i="12" s="1"/>
  <c r="O1725" i="12"/>
  <c r="Q1725" i="12" s="1"/>
  <c r="R1725" i="12" s="1"/>
  <c r="S1725" i="12" s="1"/>
  <c r="O1724" i="12"/>
  <c r="Q1724" i="12" s="1"/>
  <c r="R1724" i="12" s="1"/>
  <c r="S1724" i="12" s="1"/>
  <c r="O1723" i="12"/>
  <c r="Q1723" i="12" s="1"/>
  <c r="R1723" i="12" s="1"/>
  <c r="S1723" i="12" s="1"/>
  <c r="O1722" i="12"/>
  <c r="Q1722" i="12" s="1"/>
  <c r="R1722" i="12" s="1"/>
  <c r="S1722" i="12" s="1"/>
  <c r="O1721" i="12"/>
  <c r="Q1721" i="12" s="1"/>
  <c r="R1721" i="12" s="1"/>
  <c r="S1721" i="12" s="1"/>
  <c r="O1720" i="12"/>
  <c r="Q1720" i="12" s="1"/>
  <c r="R1720" i="12" s="1"/>
  <c r="S1720" i="12" s="1"/>
  <c r="O1719" i="12"/>
  <c r="Q1719" i="12" s="1"/>
  <c r="R1719" i="12" s="1"/>
  <c r="S1719" i="12" s="1"/>
  <c r="O1718" i="12"/>
  <c r="Q1718" i="12" s="1"/>
  <c r="R1718" i="12" s="1"/>
  <c r="S1718" i="12" s="1"/>
  <c r="O1717" i="12"/>
  <c r="Q1717" i="12" s="1"/>
  <c r="R1717" i="12" s="1"/>
  <c r="S1717" i="12" s="1"/>
  <c r="O1716" i="12"/>
  <c r="Q1716" i="12" s="1"/>
  <c r="R1716" i="12" s="1"/>
  <c r="S1716" i="12" s="1"/>
  <c r="O1715" i="12"/>
  <c r="Q1715" i="12" s="1"/>
  <c r="R1715" i="12" s="1"/>
  <c r="S1715" i="12" s="1"/>
  <c r="O1714" i="12"/>
  <c r="Q1714" i="12" s="1"/>
  <c r="R1714" i="12" s="1"/>
  <c r="S1714" i="12" s="1"/>
  <c r="O1713" i="12"/>
  <c r="Q1713" i="12" s="1"/>
  <c r="R1713" i="12" s="1"/>
  <c r="S1713" i="12" s="1"/>
  <c r="O1712" i="12"/>
  <c r="Q1712" i="12" s="1"/>
  <c r="R1712" i="12" s="1"/>
  <c r="S1712" i="12" s="1"/>
  <c r="O1711" i="12"/>
  <c r="Q1711" i="12" s="1"/>
  <c r="R1711" i="12" s="1"/>
  <c r="S1711" i="12" s="1"/>
  <c r="O1710" i="12"/>
  <c r="Q1710" i="12" s="1"/>
  <c r="R1710" i="12" s="1"/>
  <c r="S1710" i="12" s="1"/>
  <c r="O1709" i="12"/>
  <c r="Q1709" i="12" s="1"/>
  <c r="R1709" i="12" s="1"/>
  <c r="S1709" i="12" s="1"/>
  <c r="O1708" i="12"/>
  <c r="Q1708" i="12" s="1"/>
  <c r="R1708" i="12" s="1"/>
  <c r="S1708" i="12" s="1"/>
  <c r="O1707" i="12"/>
  <c r="Q1707" i="12" s="1"/>
  <c r="R1707" i="12" s="1"/>
  <c r="S1707" i="12" s="1"/>
  <c r="O1706" i="12"/>
  <c r="Q1706" i="12" s="1"/>
  <c r="R1706" i="12" s="1"/>
  <c r="S1706" i="12" s="1"/>
  <c r="O1705" i="12"/>
  <c r="Q1705" i="12" s="1"/>
  <c r="R1705" i="12" s="1"/>
  <c r="S1705" i="12" s="1"/>
  <c r="O1704" i="12"/>
  <c r="Q1704" i="12" s="1"/>
  <c r="R1704" i="12" s="1"/>
  <c r="S1704" i="12" s="1"/>
  <c r="O1703" i="12"/>
  <c r="Q1703" i="12" s="1"/>
  <c r="R1703" i="12" s="1"/>
  <c r="S1703" i="12" s="1"/>
  <c r="O1702" i="12"/>
  <c r="Q1702" i="12" s="1"/>
  <c r="R1702" i="12" s="1"/>
  <c r="S1702" i="12" s="1"/>
  <c r="O1701" i="12"/>
  <c r="Q1701" i="12" s="1"/>
  <c r="R1701" i="12" s="1"/>
  <c r="S1701" i="12" s="1"/>
  <c r="O1700" i="12"/>
  <c r="Q1700" i="12" s="1"/>
  <c r="R1700" i="12" s="1"/>
  <c r="S1700" i="12" s="1"/>
  <c r="O1699" i="12"/>
  <c r="Q1699" i="12" s="1"/>
  <c r="R1699" i="12" s="1"/>
  <c r="S1699" i="12" s="1"/>
  <c r="O1698" i="12"/>
  <c r="Q1698" i="12" s="1"/>
  <c r="R1698" i="12" s="1"/>
  <c r="S1698" i="12" s="1"/>
  <c r="O1697" i="12"/>
  <c r="Q1697" i="12" s="1"/>
  <c r="R1697" i="12" s="1"/>
  <c r="S1697" i="12" s="1"/>
  <c r="O1696" i="12"/>
  <c r="Q1696" i="12" s="1"/>
  <c r="R1696" i="12" s="1"/>
  <c r="S1696" i="12" s="1"/>
  <c r="O1695" i="12"/>
  <c r="Q1695" i="12" s="1"/>
  <c r="R1695" i="12" s="1"/>
  <c r="S1695" i="12" s="1"/>
  <c r="O1694" i="12"/>
  <c r="Q1694" i="12" s="1"/>
  <c r="R1694" i="12" s="1"/>
  <c r="S1694" i="12" s="1"/>
  <c r="O1693" i="12"/>
  <c r="Q1693" i="12" s="1"/>
  <c r="R1693" i="12" s="1"/>
  <c r="S1693" i="12" s="1"/>
  <c r="O1692" i="12"/>
  <c r="Q1692" i="12" s="1"/>
  <c r="R1692" i="12" s="1"/>
  <c r="S1692" i="12" s="1"/>
  <c r="O1691" i="12"/>
  <c r="Q1691" i="12" s="1"/>
  <c r="R1691" i="12" s="1"/>
  <c r="S1691" i="12" s="1"/>
  <c r="O1690" i="12"/>
  <c r="Q1690" i="12" s="1"/>
  <c r="R1690" i="12" s="1"/>
  <c r="S1690" i="12" s="1"/>
  <c r="O1689" i="12"/>
  <c r="Q1689" i="12" s="1"/>
  <c r="R1689" i="12" s="1"/>
  <c r="S1689" i="12" s="1"/>
  <c r="O1688" i="12"/>
  <c r="Q1688" i="12" s="1"/>
  <c r="R1688" i="12" s="1"/>
  <c r="S1688" i="12" s="1"/>
  <c r="O1687" i="12"/>
  <c r="Q1687" i="12" s="1"/>
  <c r="R1687" i="12" s="1"/>
  <c r="S1687" i="12" s="1"/>
  <c r="O1686" i="12"/>
  <c r="Q1686" i="12" s="1"/>
  <c r="R1686" i="12" s="1"/>
  <c r="S1686" i="12" s="1"/>
  <c r="O1685" i="12"/>
  <c r="Q1685" i="12" s="1"/>
  <c r="R1685" i="12" s="1"/>
  <c r="S1685" i="12" s="1"/>
  <c r="O1684" i="12"/>
  <c r="Q1684" i="12" s="1"/>
  <c r="R1684" i="12" s="1"/>
  <c r="S1684" i="12" s="1"/>
  <c r="O1683" i="12"/>
  <c r="Q1683" i="12" s="1"/>
  <c r="R1683" i="12" s="1"/>
  <c r="S1683" i="12" s="1"/>
  <c r="O1682" i="12"/>
  <c r="Q1682" i="12" s="1"/>
  <c r="R1682" i="12" s="1"/>
  <c r="S1682" i="12" s="1"/>
  <c r="O1681" i="12"/>
  <c r="Q1681" i="12" s="1"/>
  <c r="R1681" i="12" s="1"/>
  <c r="S1681" i="12" s="1"/>
  <c r="O1680" i="12"/>
  <c r="Q1680" i="12" s="1"/>
  <c r="R1680" i="12" s="1"/>
  <c r="S1680" i="12" s="1"/>
  <c r="O1679" i="12"/>
  <c r="Q1679" i="12" s="1"/>
  <c r="R1679" i="12" s="1"/>
  <c r="S1679" i="12" s="1"/>
  <c r="O1678" i="12"/>
  <c r="Q1678" i="12" s="1"/>
  <c r="R1678" i="12" s="1"/>
  <c r="S1678" i="12" s="1"/>
  <c r="O1677" i="12"/>
  <c r="Q1677" i="12" s="1"/>
  <c r="R1677" i="12" s="1"/>
  <c r="S1677" i="12" s="1"/>
  <c r="O1676" i="12"/>
  <c r="Q1676" i="12" s="1"/>
  <c r="R1676" i="12" s="1"/>
  <c r="S1676" i="12" s="1"/>
  <c r="O1675" i="12"/>
  <c r="Q1675" i="12" s="1"/>
  <c r="R1675" i="12" s="1"/>
  <c r="S1675" i="12" s="1"/>
  <c r="O1674" i="12"/>
  <c r="Q1674" i="12" s="1"/>
  <c r="R1674" i="12" s="1"/>
  <c r="S1674" i="12" s="1"/>
  <c r="O1673" i="12"/>
  <c r="Q1673" i="12" s="1"/>
  <c r="R1673" i="12" s="1"/>
  <c r="S1673" i="12" s="1"/>
  <c r="O1672" i="12"/>
  <c r="Q1672" i="12" s="1"/>
  <c r="R1672" i="12" s="1"/>
  <c r="S1672" i="12" s="1"/>
  <c r="O1671" i="12"/>
  <c r="Q1671" i="12" s="1"/>
  <c r="R1671" i="12" s="1"/>
  <c r="S1671" i="12" s="1"/>
  <c r="O1670" i="12"/>
  <c r="Q1670" i="12" s="1"/>
  <c r="R1670" i="12" s="1"/>
  <c r="S1670" i="12" s="1"/>
  <c r="O1669" i="12"/>
  <c r="Q1669" i="12" s="1"/>
  <c r="R1669" i="12" s="1"/>
  <c r="S1669" i="12" s="1"/>
  <c r="O1668" i="12"/>
  <c r="Q1668" i="12" s="1"/>
  <c r="R1668" i="12" s="1"/>
  <c r="S1668" i="12" s="1"/>
  <c r="O1667" i="12"/>
  <c r="Q1667" i="12" s="1"/>
  <c r="R1667" i="12" s="1"/>
  <c r="S1667" i="12" s="1"/>
  <c r="O1666" i="12"/>
  <c r="Q1666" i="12" s="1"/>
  <c r="R1666" i="12" s="1"/>
  <c r="S1666" i="12" s="1"/>
  <c r="O1665" i="12"/>
  <c r="Q1665" i="12" s="1"/>
  <c r="R1665" i="12" s="1"/>
  <c r="S1665" i="12" s="1"/>
  <c r="O1664" i="12"/>
  <c r="Q1664" i="12" s="1"/>
  <c r="R1664" i="12" s="1"/>
  <c r="S1664" i="12" s="1"/>
  <c r="O1663" i="12"/>
  <c r="Q1663" i="12" s="1"/>
  <c r="R1663" i="12" s="1"/>
  <c r="S1663" i="12" s="1"/>
  <c r="O1662" i="12"/>
  <c r="Q1662" i="12" s="1"/>
  <c r="R1662" i="12" s="1"/>
  <c r="S1662" i="12" s="1"/>
  <c r="O1661" i="12"/>
  <c r="Q1661" i="12" s="1"/>
  <c r="R1661" i="12" s="1"/>
  <c r="S1661" i="12" s="1"/>
  <c r="O1660" i="12"/>
  <c r="Q1660" i="12" s="1"/>
  <c r="R1660" i="12" s="1"/>
  <c r="S1660" i="12" s="1"/>
  <c r="O1659" i="12"/>
  <c r="Q1659" i="12" s="1"/>
  <c r="R1659" i="12" s="1"/>
  <c r="S1659" i="12" s="1"/>
  <c r="O1658" i="12"/>
  <c r="Q1658" i="12" s="1"/>
  <c r="R1658" i="12" s="1"/>
  <c r="S1658" i="12" s="1"/>
  <c r="O1657" i="12"/>
  <c r="Q1657" i="12" s="1"/>
  <c r="R1657" i="12" s="1"/>
  <c r="S1657" i="12" s="1"/>
  <c r="O1656" i="12"/>
  <c r="Q1656" i="12" s="1"/>
  <c r="R1656" i="12" s="1"/>
  <c r="S1656" i="12" s="1"/>
  <c r="O1655" i="12"/>
  <c r="Q1655" i="12" s="1"/>
  <c r="R1655" i="12" s="1"/>
  <c r="S1655" i="12" s="1"/>
  <c r="O1654" i="12"/>
  <c r="Q1654" i="12" s="1"/>
  <c r="R1654" i="12" s="1"/>
  <c r="S1654" i="12" s="1"/>
  <c r="O1653" i="12"/>
  <c r="Q1653" i="12" s="1"/>
  <c r="R1653" i="12" s="1"/>
  <c r="S1653" i="12" s="1"/>
  <c r="O1652" i="12"/>
  <c r="Q1652" i="12" s="1"/>
  <c r="R1652" i="12" s="1"/>
  <c r="S1652" i="12" s="1"/>
  <c r="O1651" i="12"/>
  <c r="Q1651" i="12" s="1"/>
  <c r="R1651" i="12" s="1"/>
  <c r="S1651" i="12" s="1"/>
  <c r="O1650" i="12"/>
  <c r="Q1650" i="12" s="1"/>
  <c r="R1650" i="12" s="1"/>
  <c r="S1650" i="12" s="1"/>
  <c r="O1649" i="12"/>
  <c r="Q1649" i="12" s="1"/>
  <c r="R1649" i="12" s="1"/>
  <c r="S1649" i="12" s="1"/>
  <c r="O1648" i="12"/>
  <c r="Q1648" i="12" s="1"/>
  <c r="R1648" i="12" s="1"/>
  <c r="S1648" i="12" s="1"/>
  <c r="O1647" i="12"/>
  <c r="Q1647" i="12" s="1"/>
  <c r="R1647" i="12" s="1"/>
  <c r="S1647" i="12" s="1"/>
  <c r="O1646" i="12"/>
  <c r="Q1646" i="12" s="1"/>
  <c r="R1646" i="12" s="1"/>
  <c r="S1646" i="12" s="1"/>
  <c r="O1645" i="12"/>
  <c r="Q1645" i="12" s="1"/>
  <c r="R1645" i="12" s="1"/>
  <c r="S1645" i="12" s="1"/>
  <c r="O1644" i="12"/>
  <c r="Q1644" i="12" s="1"/>
  <c r="R1644" i="12" s="1"/>
  <c r="S1644" i="12" s="1"/>
  <c r="O1643" i="12"/>
  <c r="Q1643" i="12" s="1"/>
  <c r="R1643" i="12" s="1"/>
  <c r="S1643" i="12" s="1"/>
  <c r="O1642" i="12"/>
  <c r="Q1642" i="12" s="1"/>
  <c r="R1642" i="12" s="1"/>
  <c r="S1642" i="12" s="1"/>
  <c r="O1641" i="12"/>
  <c r="Q1641" i="12" s="1"/>
  <c r="R1641" i="12" s="1"/>
  <c r="S1641" i="12" s="1"/>
  <c r="O1640" i="12"/>
  <c r="Q1640" i="12" s="1"/>
  <c r="R1640" i="12" s="1"/>
  <c r="S1640" i="12" s="1"/>
  <c r="O1639" i="12"/>
  <c r="Q1639" i="12" s="1"/>
  <c r="R1639" i="12" s="1"/>
  <c r="S1639" i="12" s="1"/>
  <c r="O1638" i="12"/>
  <c r="Q1638" i="12" s="1"/>
  <c r="R1638" i="12" s="1"/>
  <c r="S1638" i="12" s="1"/>
  <c r="O1637" i="12"/>
  <c r="Q1637" i="12" s="1"/>
  <c r="R1637" i="12" s="1"/>
  <c r="S1637" i="12" s="1"/>
  <c r="O1636" i="12"/>
  <c r="Q1636" i="12" s="1"/>
  <c r="R1636" i="12" s="1"/>
  <c r="S1636" i="12" s="1"/>
  <c r="O1635" i="12"/>
  <c r="Q1635" i="12" s="1"/>
  <c r="R1635" i="12" s="1"/>
  <c r="S1635" i="12" s="1"/>
  <c r="O1634" i="12"/>
  <c r="Q1634" i="12" s="1"/>
  <c r="R1634" i="12" s="1"/>
  <c r="S1634" i="12" s="1"/>
  <c r="O1633" i="12"/>
  <c r="Q1633" i="12" s="1"/>
  <c r="R1633" i="12" s="1"/>
  <c r="S1633" i="12" s="1"/>
  <c r="O1632" i="12"/>
  <c r="Q1632" i="12" s="1"/>
  <c r="R1632" i="12" s="1"/>
  <c r="S1632" i="12" s="1"/>
  <c r="O1631" i="12"/>
  <c r="Q1631" i="12" s="1"/>
  <c r="R1631" i="12" s="1"/>
  <c r="S1631" i="12" s="1"/>
  <c r="O1630" i="12"/>
  <c r="Q1630" i="12" s="1"/>
  <c r="R1630" i="12" s="1"/>
  <c r="S1630" i="12" s="1"/>
  <c r="O1629" i="12"/>
  <c r="Q1629" i="12" s="1"/>
  <c r="R1629" i="12" s="1"/>
  <c r="S1629" i="12" s="1"/>
  <c r="O1628" i="12"/>
  <c r="Q1628" i="12" s="1"/>
  <c r="R1628" i="12" s="1"/>
  <c r="S1628" i="12" s="1"/>
  <c r="O1627" i="12"/>
  <c r="Q1627" i="12" s="1"/>
  <c r="R1627" i="12" s="1"/>
  <c r="S1627" i="12" s="1"/>
  <c r="O1626" i="12"/>
  <c r="Q1626" i="12" s="1"/>
  <c r="R1626" i="12" s="1"/>
  <c r="S1626" i="12" s="1"/>
  <c r="O1625" i="12"/>
  <c r="Q1625" i="12" s="1"/>
  <c r="R1625" i="12" s="1"/>
  <c r="S1625" i="12" s="1"/>
  <c r="O1624" i="12"/>
  <c r="Q1624" i="12" s="1"/>
  <c r="R1624" i="12" s="1"/>
  <c r="S1624" i="12" s="1"/>
  <c r="O1623" i="12"/>
  <c r="Q1623" i="12" s="1"/>
  <c r="R1623" i="12" s="1"/>
  <c r="S1623" i="12" s="1"/>
  <c r="O1622" i="12"/>
  <c r="Q1622" i="12" s="1"/>
  <c r="R1622" i="12" s="1"/>
  <c r="S1622" i="12" s="1"/>
  <c r="O1621" i="12"/>
  <c r="Q1621" i="12" s="1"/>
  <c r="R1621" i="12" s="1"/>
  <c r="S1621" i="12" s="1"/>
  <c r="O1620" i="12"/>
  <c r="Q1620" i="12" s="1"/>
  <c r="R1620" i="12" s="1"/>
  <c r="S1620" i="12" s="1"/>
  <c r="O1619" i="12"/>
  <c r="Q1619" i="12" s="1"/>
  <c r="R1619" i="12" s="1"/>
  <c r="S1619" i="12" s="1"/>
  <c r="O1618" i="12"/>
  <c r="Q1618" i="12" s="1"/>
  <c r="R1618" i="12" s="1"/>
  <c r="S1618" i="12" s="1"/>
  <c r="O1617" i="12"/>
  <c r="Q1617" i="12" s="1"/>
  <c r="R1617" i="12" s="1"/>
  <c r="S1617" i="12" s="1"/>
  <c r="O1616" i="12"/>
  <c r="Q1616" i="12" s="1"/>
  <c r="R1616" i="12" s="1"/>
  <c r="S1616" i="12" s="1"/>
  <c r="O1615" i="12"/>
  <c r="Q1615" i="12" s="1"/>
  <c r="R1615" i="12" s="1"/>
  <c r="S1615" i="12" s="1"/>
  <c r="O1614" i="12"/>
  <c r="Q1614" i="12" s="1"/>
  <c r="R1614" i="12" s="1"/>
  <c r="S1614" i="12" s="1"/>
  <c r="O1613" i="12"/>
  <c r="Q1613" i="12" s="1"/>
  <c r="R1613" i="12" s="1"/>
  <c r="S1613" i="12" s="1"/>
  <c r="O1612" i="12"/>
  <c r="Q1612" i="12" s="1"/>
  <c r="R1612" i="12" s="1"/>
  <c r="S1612" i="12" s="1"/>
  <c r="O1611" i="12"/>
  <c r="Q1611" i="12" s="1"/>
  <c r="R1611" i="12" s="1"/>
  <c r="S1611" i="12" s="1"/>
  <c r="O1610" i="12"/>
  <c r="Q1610" i="12" s="1"/>
  <c r="R1610" i="12" s="1"/>
  <c r="S1610" i="12" s="1"/>
  <c r="O1609" i="12"/>
  <c r="Q1609" i="12" s="1"/>
  <c r="R1609" i="12" s="1"/>
  <c r="S1609" i="12" s="1"/>
  <c r="O1608" i="12"/>
  <c r="Q1608" i="12" s="1"/>
  <c r="R1608" i="12" s="1"/>
  <c r="S1608" i="12" s="1"/>
  <c r="O1607" i="12"/>
  <c r="Q1607" i="12" s="1"/>
  <c r="R1607" i="12" s="1"/>
  <c r="S1607" i="12" s="1"/>
  <c r="O1606" i="12"/>
  <c r="Q1606" i="12" s="1"/>
  <c r="R1606" i="12" s="1"/>
  <c r="S1606" i="12" s="1"/>
  <c r="O1605" i="12"/>
  <c r="Q1605" i="12" s="1"/>
  <c r="R1605" i="12" s="1"/>
  <c r="S1605" i="12" s="1"/>
  <c r="O1604" i="12"/>
  <c r="Q1604" i="12" s="1"/>
  <c r="R1604" i="12" s="1"/>
  <c r="S1604" i="12" s="1"/>
  <c r="O1603" i="12"/>
  <c r="Q1603" i="12" s="1"/>
  <c r="R1603" i="12" s="1"/>
  <c r="S1603" i="12" s="1"/>
  <c r="O1602" i="12"/>
  <c r="Q1602" i="12" s="1"/>
  <c r="R1602" i="12" s="1"/>
  <c r="S1602" i="12" s="1"/>
  <c r="O1601" i="12"/>
  <c r="Q1601" i="12" s="1"/>
  <c r="R1601" i="12" s="1"/>
  <c r="S1601" i="12" s="1"/>
  <c r="O1600" i="12"/>
  <c r="Q1600" i="12" s="1"/>
  <c r="R1600" i="12" s="1"/>
  <c r="S1600" i="12" s="1"/>
  <c r="O1599" i="12"/>
  <c r="Q1599" i="12" s="1"/>
  <c r="R1599" i="12" s="1"/>
  <c r="S1599" i="12" s="1"/>
  <c r="O1598" i="12"/>
  <c r="Q1598" i="12" s="1"/>
  <c r="R1598" i="12" s="1"/>
  <c r="S1598" i="12" s="1"/>
  <c r="O1597" i="12"/>
  <c r="Q1597" i="12" s="1"/>
  <c r="R1597" i="12" s="1"/>
  <c r="S1597" i="12" s="1"/>
  <c r="O1596" i="12"/>
  <c r="Q1596" i="12" s="1"/>
  <c r="R1596" i="12" s="1"/>
  <c r="S1596" i="12" s="1"/>
  <c r="O1595" i="12"/>
  <c r="Q1595" i="12" s="1"/>
  <c r="R1595" i="12" s="1"/>
  <c r="S1595" i="12" s="1"/>
  <c r="O1594" i="12"/>
  <c r="Q1594" i="12" s="1"/>
  <c r="R1594" i="12" s="1"/>
  <c r="S1594" i="12" s="1"/>
  <c r="O1593" i="12"/>
  <c r="Q1593" i="12" s="1"/>
  <c r="R1593" i="12" s="1"/>
  <c r="S1593" i="12" s="1"/>
  <c r="O1592" i="12"/>
  <c r="Q1592" i="12" s="1"/>
  <c r="R1592" i="12" s="1"/>
  <c r="S1592" i="12" s="1"/>
  <c r="O1591" i="12"/>
  <c r="Q1591" i="12" s="1"/>
  <c r="R1591" i="12" s="1"/>
  <c r="S1591" i="12" s="1"/>
  <c r="O1590" i="12"/>
  <c r="Q1590" i="12" s="1"/>
  <c r="R1590" i="12" s="1"/>
  <c r="S1590" i="12" s="1"/>
  <c r="O1589" i="12"/>
  <c r="Q1589" i="12" s="1"/>
  <c r="R1589" i="12" s="1"/>
  <c r="S1589" i="12" s="1"/>
  <c r="O1588" i="12"/>
  <c r="Q1588" i="12" s="1"/>
  <c r="R1588" i="12" s="1"/>
  <c r="S1588" i="12" s="1"/>
  <c r="O1587" i="12"/>
  <c r="Q1587" i="12" s="1"/>
  <c r="R1587" i="12" s="1"/>
  <c r="S1587" i="12" s="1"/>
  <c r="O1586" i="12"/>
  <c r="Q1586" i="12" s="1"/>
  <c r="R1586" i="12" s="1"/>
  <c r="S1586" i="12" s="1"/>
  <c r="O1585" i="12"/>
  <c r="Q1585" i="12" s="1"/>
  <c r="R1585" i="12" s="1"/>
  <c r="S1585" i="12" s="1"/>
  <c r="O1584" i="12"/>
  <c r="Q1584" i="12" s="1"/>
  <c r="R1584" i="12" s="1"/>
  <c r="S1584" i="12" s="1"/>
  <c r="O1583" i="12"/>
  <c r="Q1583" i="12" s="1"/>
  <c r="R1583" i="12" s="1"/>
  <c r="S1583" i="12" s="1"/>
  <c r="O1582" i="12"/>
  <c r="Q1582" i="12" s="1"/>
  <c r="R1582" i="12" s="1"/>
  <c r="S1582" i="12" s="1"/>
  <c r="O1581" i="12"/>
  <c r="Q1581" i="12" s="1"/>
  <c r="R1581" i="12" s="1"/>
  <c r="S1581" i="12" s="1"/>
  <c r="O1580" i="12"/>
  <c r="Q1580" i="12" s="1"/>
  <c r="R1580" i="12" s="1"/>
  <c r="S1580" i="12" s="1"/>
  <c r="O1579" i="12"/>
  <c r="Q1579" i="12" s="1"/>
  <c r="R1579" i="12" s="1"/>
  <c r="S1579" i="12" s="1"/>
  <c r="O1578" i="12"/>
  <c r="Q1578" i="12" s="1"/>
  <c r="R1578" i="12" s="1"/>
  <c r="S1578" i="12" s="1"/>
  <c r="O1577" i="12"/>
  <c r="Q1577" i="12" s="1"/>
  <c r="R1577" i="12" s="1"/>
  <c r="S1577" i="12" s="1"/>
  <c r="O1576" i="12"/>
  <c r="Q1576" i="12" s="1"/>
  <c r="R1576" i="12" s="1"/>
  <c r="S1576" i="12" s="1"/>
  <c r="O1575" i="12"/>
  <c r="Q1575" i="12" s="1"/>
  <c r="R1575" i="12" s="1"/>
  <c r="S1575" i="12" s="1"/>
  <c r="O1574" i="12"/>
  <c r="Q1574" i="12" s="1"/>
  <c r="R1574" i="12" s="1"/>
  <c r="S1574" i="12" s="1"/>
  <c r="O1573" i="12"/>
  <c r="Q1573" i="12" s="1"/>
  <c r="R1573" i="12" s="1"/>
  <c r="S1573" i="12" s="1"/>
  <c r="O1572" i="12"/>
  <c r="Q1572" i="12" s="1"/>
  <c r="R1572" i="12" s="1"/>
  <c r="S1572" i="12" s="1"/>
  <c r="O1571" i="12"/>
  <c r="Q1571" i="12" s="1"/>
  <c r="R1571" i="12" s="1"/>
  <c r="S1571" i="12" s="1"/>
  <c r="O1570" i="12"/>
  <c r="Q1570" i="12" s="1"/>
  <c r="R1570" i="12" s="1"/>
  <c r="S1570" i="12" s="1"/>
  <c r="O1569" i="12"/>
  <c r="Q1569" i="12" s="1"/>
  <c r="R1569" i="12" s="1"/>
  <c r="S1569" i="12" s="1"/>
  <c r="O1568" i="12"/>
  <c r="Q1568" i="12" s="1"/>
  <c r="R1568" i="12" s="1"/>
  <c r="S1568" i="12" s="1"/>
  <c r="O1567" i="12"/>
  <c r="Q1567" i="12" s="1"/>
  <c r="R1567" i="12" s="1"/>
  <c r="S1567" i="12" s="1"/>
  <c r="O1566" i="12"/>
  <c r="Q1566" i="12" s="1"/>
  <c r="R1566" i="12" s="1"/>
  <c r="S1566" i="12" s="1"/>
  <c r="O1565" i="12"/>
  <c r="Q1565" i="12" s="1"/>
  <c r="R1565" i="12" s="1"/>
  <c r="S1565" i="12" s="1"/>
  <c r="O1564" i="12"/>
  <c r="Q1564" i="12" s="1"/>
  <c r="R1564" i="12" s="1"/>
  <c r="S1564" i="12" s="1"/>
  <c r="O1563" i="12"/>
  <c r="Q1563" i="12" s="1"/>
  <c r="R1563" i="12" s="1"/>
  <c r="S1563" i="12" s="1"/>
  <c r="O1562" i="12"/>
  <c r="Q1562" i="12" s="1"/>
  <c r="R1562" i="12" s="1"/>
  <c r="S1562" i="12" s="1"/>
  <c r="O1561" i="12"/>
  <c r="Q1561" i="12" s="1"/>
  <c r="R1561" i="12" s="1"/>
  <c r="S1561" i="12" s="1"/>
  <c r="O1560" i="12"/>
  <c r="Q1560" i="12" s="1"/>
  <c r="R1560" i="12" s="1"/>
  <c r="S1560" i="12" s="1"/>
  <c r="O1559" i="12"/>
  <c r="Q1559" i="12" s="1"/>
  <c r="R1559" i="12" s="1"/>
  <c r="S1559" i="12" s="1"/>
  <c r="O1558" i="12"/>
  <c r="Q1558" i="12" s="1"/>
  <c r="R1558" i="12" s="1"/>
  <c r="S1558" i="12" s="1"/>
  <c r="O1557" i="12"/>
  <c r="Q1557" i="12" s="1"/>
  <c r="R1557" i="12" s="1"/>
  <c r="S1557" i="12" s="1"/>
  <c r="O1556" i="12"/>
  <c r="Q1556" i="12" s="1"/>
  <c r="R1556" i="12" s="1"/>
  <c r="S1556" i="12" s="1"/>
  <c r="O1555" i="12"/>
  <c r="Q1555" i="12" s="1"/>
  <c r="R1555" i="12" s="1"/>
  <c r="S1555" i="12" s="1"/>
  <c r="O1554" i="12"/>
  <c r="Q1554" i="12" s="1"/>
  <c r="R1554" i="12" s="1"/>
  <c r="S1554" i="12" s="1"/>
  <c r="O1553" i="12"/>
  <c r="Q1553" i="12" s="1"/>
  <c r="R1553" i="12" s="1"/>
  <c r="S1553" i="12" s="1"/>
  <c r="O1552" i="12"/>
  <c r="Q1552" i="12" s="1"/>
  <c r="R1552" i="12" s="1"/>
  <c r="S1552" i="12" s="1"/>
  <c r="O1551" i="12"/>
  <c r="Q1551" i="12" s="1"/>
  <c r="R1551" i="12" s="1"/>
  <c r="S1551" i="12" s="1"/>
  <c r="O1550" i="12"/>
  <c r="Q1550" i="12" s="1"/>
  <c r="R1550" i="12" s="1"/>
  <c r="S1550" i="12" s="1"/>
  <c r="O1549" i="12"/>
  <c r="Q1549" i="12" s="1"/>
  <c r="R1549" i="12" s="1"/>
  <c r="S1549" i="12" s="1"/>
  <c r="O1548" i="12"/>
  <c r="Q1548" i="12" s="1"/>
  <c r="R1548" i="12" s="1"/>
  <c r="S1548" i="12" s="1"/>
  <c r="O1547" i="12"/>
  <c r="Q1547" i="12" s="1"/>
  <c r="R1547" i="12" s="1"/>
  <c r="S1547" i="12" s="1"/>
  <c r="O1546" i="12"/>
  <c r="Q1546" i="12" s="1"/>
  <c r="R1546" i="12" s="1"/>
  <c r="S1546" i="12" s="1"/>
  <c r="O1545" i="12"/>
  <c r="Q1545" i="12" s="1"/>
  <c r="R1545" i="12" s="1"/>
  <c r="S1545" i="12" s="1"/>
  <c r="O1544" i="12"/>
  <c r="Q1544" i="12" s="1"/>
  <c r="R1544" i="12" s="1"/>
  <c r="S1544" i="12" s="1"/>
  <c r="O1543" i="12"/>
  <c r="Q1543" i="12" s="1"/>
  <c r="R1543" i="12" s="1"/>
  <c r="S1543" i="12" s="1"/>
  <c r="O1542" i="12"/>
  <c r="Q1542" i="12" s="1"/>
  <c r="R1542" i="12" s="1"/>
  <c r="S1542" i="12" s="1"/>
  <c r="O1541" i="12"/>
  <c r="Q1541" i="12" s="1"/>
  <c r="R1541" i="12" s="1"/>
  <c r="S1541" i="12" s="1"/>
  <c r="O1540" i="12"/>
  <c r="Q1540" i="12" s="1"/>
  <c r="R1540" i="12" s="1"/>
  <c r="S1540" i="12" s="1"/>
  <c r="O1539" i="12"/>
  <c r="Q1539" i="12" s="1"/>
  <c r="R1539" i="12" s="1"/>
  <c r="S1539" i="12" s="1"/>
  <c r="O1538" i="12"/>
  <c r="Q1538" i="12" s="1"/>
  <c r="R1538" i="12" s="1"/>
  <c r="S1538" i="12" s="1"/>
  <c r="O1537" i="12"/>
  <c r="Q1537" i="12" s="1"/>
  <c r="R1537" i="12" s="1"/>
  <c r="S1537" i="12" s="1"/>
  <c r="O1536" i="12"/>
  <c r="Q1536" i="12" s="1"/>
  <c r="R1536" i="12" s="1"/>
  <c r="S1536" i="12" s="1"/>
  <c r="O1535" i="12"/>
  <c r="Q1535" i="12" s="1"/>
  <c r="R1535" i="12" s="1"/>
  <c r="S1535" i="12" s="1"/>
  <c r="O1534" i="12"/>
  <c r="Q1534" i="12" s="1"/>
  <c r="R1534" i="12" s="1"/>
  <c r="S1534" i="12" s="1"/>
  <c r="O1533" i="12"/>
  <c r="Q1533" i="12" s="1"/>
  <c r="R1533" i="12" s="1"/>
  <c r="S1533" i="12" s="1"/>
  <c r="O1532" i="12"/>
  <c r="Q1532" i="12" s="1"/>
  <c r="R1532" i="12" s="1"/>
  <c r="S1532" i="12" s="1"/>
  <c r="O1531" i="12"/>
  <c r="Q1531" i="12" s="1"/>
  <c r="R1531" i="12" s="1"/>
  <c r="S1531" i="12" s="1"/>
  <c r="O1530" i="12"/>
  <c r="Q1530" i="12" s="1"/>
  <c r="R1530" i="12" s="1"/>
  <c r="S1530" i="12" s="1"/>
  <c r="O1529" i="12"/>
  <c r="Q1529" i="12" s="1"/>
  <c r="R1529" i="12" s="1"/>
  <c r="S1529" i="12" s="1"/>
  <c r="O1528" i="12"/>
  <c r="Q1528" i="12" s="1"/>
  <c r="R1528" i="12" s="1"/>
  <c r="S1528" i="12" s="1"/>
  <c r="O1527" i="12"/>
  <c r="Q1527" i="12" s="1"/>
  <c r="R1527" i="12" s="1"/>
  <c r="S1527" i="12" s="1"/>
  <c r="O1526" i="12"/>
  <c r="Q1526" i="12" s="1"/>
  <c r="R1526" i="12" s="1"/>
  <c r="S1526" i="12" s="1"/>
  <c r="O1525" i="12"/>
  <c r="Q1525" i="12" s="1"/>
  <c r="R1525" i="12" s="1"/>
  <c r="S1525" i="12" s="1"/>
  <c r="O1524" i="12"/>
  <c r="Q1524" i="12" s="1"/>
  <c r="R1524" i="12" s="1"/>
  <c r="S1524" i="12" s="1"/>
  <c r="O1523" i="12"/>
  <c r="Q1523" i="12" s="1"/>
  <c r="R1523" i="12" s="1"/>
  <c r="S1523" i="12" s="1"/>
  <c r="O1522" i="12"/>
  <c r="Q1522" i="12" s="1"/>
  <c r="R1522" i="12" s="1"/>
  <c r="S1522" i="12" s="1"/>
  <c r="O1521" i="12"/>
  <c r="Q1521" i="12" s="1"/>
  <c r="R1521" i="12" s="1"/>
  <c r="S1521" i="12" s="1"/>
  <c r="O1520" i="12"/>
  <c r="Q1520" i="12" s="1"/>
  <c r="R1520" i="12" s="1"/>
  <c r="S1520" i="12" s="1"/>
  <c r="O1519" i="12"/>
  <c r="Q1519" i="12" s="1"/>
  <c r="R1519" i="12" s="1"/>
  <c r="S1519" i="12" s="1"/>
  <c r="O1518" i="12"/>
  <c r="Q1518" i="12" s="1"/>
  <c r="R1518" i="12" s="1"/>
  <c r="S1518" i="12" s="1"/>
  <c r="O1517" i="12"/>
  <c r="Q1517" i="12" s="1"/>
  <c r="R1517" i="12" s="1"/>
  <c r="S1517" i="12" s="1"/>
  <c r="O1516" i="12"/>
  <c r="Q1516" i="12" s="1"/>
  <c r="R1516" i="12" s="1"/>
  <c r="S1516" i="12" s="1"/>
  <c r="O1515" i="12"/>
  <c r="Q1515" i="12" s="1"/>
  <c r="R1515" i="12" s="1"/>
  <c r="S1515" i="12" s="1"/>
  <c r="O1514" i="12"/>
  <c r="Q1514" i="12" s="1"/>
  <c r="R1514" i="12" s="1"/>
  <c r="S1514" i="12" s="1"/>
  <c r="O1513" i="12"/>
  <c r="Q1513" i="12" s="1"/>
  <c r="R1513" i="12" s="1"/>
  <c r="S1513" i="12" s="1"/>
  <c r="O1512" i="12"/>
  <c r="Q1512" i="12" s="1"/>
  <c r="R1512" i="12" s="1"/>
  <c r="S1512" i="12" s="1"/>
  <c r="O1511" i="12"/>
  <c r="Q1511" i="12" s="1"/>
  <c r="R1511" i="12" s="1"/>
  <c r="S1511" i="12" s="1"/>
  <c r="O1510" i="12"/>
  <c r="Q1510" i="12" s="1"/>
  <c r="R1510" i="12" s="1"/>
  <c r="S1510" i="12" s="1"/>
  <c r="O1509" i="12"/>
  <c r="Q1509" i="12" s="1"/>
  <c r="R1509" i="12" s="1"/>
  <c r="S1509" i="12" s="1"/>
  <c r="O1508" i="12"/>
  <c r="Q1508" i="12" s="1"/>
  <c r="R1508" i="12" s="1"/>
  <c r="S1508" i="12" s="1"/>
  <c r="O1507" i="12"/>
  <c r="Q1507" i="12" s="1"/>
  <c r="R1507" i="12" s="1"/>
  <c r="S1507" i="12" s="1"/>
  <c r="O1506" i="12"/>
  <c r="Q1506" i="12" s="1"/>
  <c r="R1506" i="12" s="1"/>
  <c r="S1506" i="12" s="1"/>
  <c r="O1505" i="12"/>
  <c r="Q1505" i="12" s="1"/>
  <c r="R1505" i="12" s="1"/>
  <c r="S1505" i="12" s="1"/>
  <c r="O1504" i="12"/>
  <c r="Q1504" i="12" s="1"/>
  <c r="R1504" i="12" s="1"/>
  <c r="S1504" i="12" s="1"/>
  <c r="O1503" i="12"/>
  <c r="Q1503" i="12" s="1"/>
  <c r="R1503" i="12" s="1"/>
  <c r="S1503" i="12" s="1"/>
  <c r="O1502" i="12"/>
  <c r="Q1502" i="12" s="1"/>
  <c r="R1502" i="12" s="1"/>
  <c r="S1502" i="12" s="1"/>
  <c r="O1501" i="12"/>
  <c r="Q1501" i="12" s="1"/>
  <c r="R1501" i="12" s="1"/>
  <c r="S1501" i="12" s="1"/>
  <c r="O1500" i="12"/>
  <c r="Q1500" i="12" s="1"/>
  <c r="R1500" i="12" s="1"/>
  <c r="S1500" i="12" s="1"/>
  <c r="O1499" i="12"/>
  <c r="Q1499" i="12" s="1"/>
  <c r="R1499" i="12" s="1"/>
  <c r="S1499" i="12" s="1"/>
  <c r="O1498" i="12"/>
  <c r="Q1498" i="12" s="1"/>
  <c r="R1498" i="12" s="1"/>
  <c r="S1498" i="12" s="1"/>
  <c r="O1497" i="12"/>
  <c r="Q1497" i="12" s="1"/>
  <c r="R1497" i="12" s="1"/>
  <c r="S1497" i="12" s="1"/>
  <c r="O1496" i="12"/>
  <c r="Q1496" i="12" s="1"/>
  <c r="R1496" i="12" s="1"/>
  <c r="S1496" i="12" s="1"/>
  <c r="O1495" i="12"/>
  <c r="Q1495" i="12" s="1"/>
  <c r="R1495" i="12" s="1"/>
  <c r="S1495" i="12" s="1"/>
  <c r="O1494" i="12"/>
  <c r="Q1494" i="12" s="1"/>
  <c r="R1494" i="12" s="1"/>
  <c r="S1494" i="12" s="1"/>
  <c r="O1493" i="12"/>
  <c r="Q1493" i="12" s="1"/>
  <c r="R1493" i="12" s="1"/>
  <c r="S1493" i="12" s="1"/>
  <c r="O1492" i="12"/>
  <c r="Q1492" i="12" s="1"/>
  <c r="R1492" i="12" s="1"/>
  <c r="S1492" i="12" s="1"/>
  <c r="O1491" i="12"/>
  <c r="Q1491" i="12" s="1"/>
  <c r="R1491" i="12" s="1"/>
  <c r="S1491" i="12" s="1"/>
  <c r="O1490" i="12"/>
  <c r="Q1490" i="12" s="1"/>
  <c r="R1490" i="12" s="1"/>
  <c r="S1490" i="12" s="1"/>
  <c r="O1489" i="12"/>
  <c r="Q1489" i="12" s="1"/>
  <c r="R1489" i="12" s="1"/>
  <c r="S1489" i="12" s="1"/>
  <c r="O1488" i="12"/>
  <c r="Q1488" i="12" s="1"/>
  <c r="R1488" i="12" s="1"/>
  <c r="S1488" i="12" s="1"/>
  <c r="O1487" i="12"/>
  <c r="Q1487" i="12" s="1"/>
  <c r="R1487" i="12" s="1"/>
  <c r="S1487" i="12" s="1"/>
  <c r="O1486" i="12"/>
  <c r="Q1486" i="12" s="1"/>
  <c r="R1486" i="12" s="1"/>
  <c r="S1486" i="12" s="1"/>
  <c r="O1485" i="12"/>
  <c r="Q1485" i="12" s="1"/>
  <c r="R1485" i="12" s="1"/>
  <c r="S1485" i="12" s="1"/>
  <c r="O1484" i="12"/>
  <c r="Q1484" i="12" s="1"/>
  <c r="R1484" i="12" s="1"/>
  <c r="S1484" i="12" s="1"/>
  <c r="O1483" i="12"/>
  <c r="Q1483" i="12" s="1"/>
  <c r="R1483" i="12" s="1"/>
  <c r="S1483" i="12" s="1"/>
  <c r="O1482" i="12"/>
  <c r="Q1482" i="12" s="1"/>
  <c r="R1482" i="12" s="1"/>
  <c r="S1482" i="12" s="1"/>
  <c r="O1481" i="12"/>
  <c r="Q1481" i="12" s="1"/>
  <c r="R1481" i="12" s="1"/>
  <c r="S1481" i="12" s="1"/>
  <c r="O1480" i="12"/>
  <c r="Q1480" i="12" s="1"/>
  <c r="R1480" i="12" s="1"/>
  <c r="S1480" i="12" s="1"/>
  <c r="O1479" i="12"/>
  <c r="Q1479" i="12" s="1"/>
  <c r="R1479" i="12" s="1"/>
  <c r="S1479" i="12" s="1"/>
  <c r="O1478" i="12"/>
  <c r="Q1478" i="12" s="1"/>
  <c r="R1478" i="12" s="1"/>
  <c r="S1478" i="12" s="1"/>
  <c r="O1477" i="12"/>
  <c r="Q1477" i="12" s="1"/>
  <c r="R1477" i="12" s="1"/>
  <c r="S1477" i="12" s="1"/>
  <c r="O1476" i="12"/>
  <c r="Q1476" i="12" s="1"/>
  <c r="R1476" i="12" s="1"/>
  <c r="S1476" i="12" s="1"/>
  <c r="O1475" i="12"/>
  <c r="Q1475" i="12" s="1"/>
  <c r="R1475" i="12" s="1"/>
  <c r="S1475" i="12" s="1"/>
  <c r="O1474" i="12"/>
  <c r="Q1474" i="12" s="1"/>
  <c r="R1474" i="12" s="1"/>
  <c r="S1474" i="12" s="1"/>
  <c r="O1473" i="12"/>
  <c r="Q1473" i="12" s="1"/>
  <c r="R1473" i="12" s="1"/>
  <c r="S1473" i="12" s="1"/>
  <c r="O1472" i="12"/>
  <c r="Q1472" i="12" s="1"/>
  <c r="R1472" i="12" s="1"/>
  <c r="S1472" i="12" s="1"/>
  <c r="O1471" i="12"/>
  <c r="Q1471" i="12" s="1"/>
  <c r="R1471" i="12" s="1"/>
  <c r="S1471" i="12" s="1"/>
  <c r="O1470" i="12"/>
  <c r="Q1470" i="12" s="1"/>
  <c r="R1470" i="12" s="1"/>
  <c r="S1470" i="12" s="1"/>
  <c r="O1469" i="12"/>
  <c r="Q1469" i="12" s="1"/>
  <c r="R1469" i="12" s="1"/>
  <c r="S1469" i="12" s="1"/>
  <c r="O1468" i="12"/>
  <c r="Q1468" i="12" s="1"/>
  <c r="R1468" i="12" s="1"/>
  <c r="S1468" i="12" s="1"/>
  <c r="O1467" i="12"/>
  <c r="Q1467" i="12" s="1"/>
  <c r="R1467" i="12" s="1"/>
  <c r="S1467" i="12" s="1"/>
  <c r="O1466" i="12"/>
  <c r="Q1466" i="12" s="1"/>
  <c r="R1466" i="12" s="1"/>
  <c r="S1466" i="12" s="1"/>
  <c r="O1465" i="12"/>
  <c r="Q1465" i="12" s="1"/>
  <c r="R1465" i="12" s="1"/>
  <c r="S1465" i="12" s="1"/>
  <c r="O1464" i="12"/>
  <c r="Q1464" i="12" s="1"/>
  <c r="R1464" i="12" s="1"/>
  <c r="S1464" i="12" s="1"/>
  <c r="O1463" i="12"/>
  <c r="Q1463" i="12" s="1"/>
  <c r="R1463" i="12" s="1"/>
  <c r="S1463" i="12" s="1"/>
  <c r="O1462" i="12"/>
  <c r="Q1462" i="12" s="1"/>
  <c r="R1462" i="12" s="1"/>
  <c r="S1462" i="12" s="1"/>
  <c r="O1461" i="12"/>
  <c r="Q1461" i="12" s="1"/>
  <c r="R1461" i="12" s="1"/>
  <c r="S1461" i="12" s="1"/>
  <c r="O1460" i="12"/>
  <c r="Q1460" i="12" s="1"/>
  <c r="R1460" i="12" s="1"/>
  <c r="S1460" i="12" s="1"/>
  <c r="O1459" i="12"/>
  <c r="Q1459" i="12" s="1"/>
  <c r="R1459" i="12" s="1"/>
  <c r="S1459" i="12" s="1"/>
  <c r="O1458" i="12"/>
  <c r="Q1458" i="12" s="1"/>
  <c r="R1458" i="12" s="1"/>
  <c r="S1458" i="12" s="1"/>
  <c r="O1457" i="12"/>
  <c r="Q1457" i="12" s="1"/>
  <c r="R1457" i="12" s="1"/>
  <c r="S1457" i="12" s="1"/>
  <c r="O1456" i="12"/>
  <c r="Q1456" i="12" s="1"/>
  <c r="R1456" i="12" s="1"/>
  <c r="S1456" i="12" s="1"/>
  <c r="O1455" i="12"/>
  <c r="Q1455" i="12" s="1"/>
  <c r="R1455" i="12" s="1"/>
  <c r="S1455" i="12" s="1"/>
  <c r="O1454" i="12"/>
  <c r="Q1454" i="12" s="1"/>
  <c r="R1454" i="12" s="1"/>
  <c r="S1454" i="12" s="1"/>
  <c r="O1453" i="12"/>
  <c r="Q1453" i="12" s="1"/>
  <c r="R1453" i="12" s="1"/>
  <c r="S1453" i="12" s="1"/>
  <c r="O1452" i="12"/>
  <c r="Q1452" i="12" s="1"/>
  <c r="R1452" i="12" s="1"/>
  <c r="S1452" i="12" s="1"/>
  <c r="O1451" i="12"/>
  <c r="Q1451" i="12" s="1"/>
  <c r="R1451" i="12" s="1"/>
  <c r="S1451" i="12" s="1"/>
  <c r="O1450" i="12"/>
  <c r="Q1450" i="12" s="1"/>
  <c r="R1450" i="12" s="1"/>
  <c r="S1450" i="12" s="1"/>
  <c r="O1449" i="12"/>
  <c r="Q1449" i="12" s="1"/>
  <c r="R1449" i="12" s="1"/>
  <c r="S1449" i="12" s="1"/>
  <c r="O1448" i="12"/>
  <c r="Q1448" i="12" s="1"/>
  <c r="R1448" i="12" s="1"/>
  <c r="S1448" i="12" s="1"/>
  <c r="O1447" i="12"/>
  <c r="Q1447" i="12" s="1"/>
  <c r="R1447" i="12" s="1"/>
  <c r="S1447" i="12" s="1"/>
  <c r="O1446" i="12"/>
  <c r="Q1446" i="12" s="1"/>
  <c r="R1446" i="12" s="1"/>
  <c r="S1446" i="12" s="1"/>
  <c r="O1445" i="12"/>
  <c r="Q1445" i="12" s="1"/>
  <c r="R1445" i="12" s="1"/>
  <c r="S1445" i="12" s="1"/>
  <c r="O1444" i="12"/>
  <c r="Q1444" i="12" s="1"/>
  <c r="R1444" i="12" s="1"/>
  <c r="S1444" i="12" s="1"/>
  <c r="O1443" i="12"/>
  <c r="Q1443" i="12" s="1"/>
  <c r="R1443" i="12" s="1"/>
  <c r="S1443" i="12" s="1"/>
  <c r="O1442" i="12"/>
  <c r="Q1442" i="12" s="1"/>
  <c r="R1442" i="12" s="1"/>
  <c r="S1442" i="12" s="1"/>
  <c r="O1441" i="12"/>
  <c r="Q1441" i="12" s="1"/>
  <c r="R1441" i="12" s="1"/>
  <c r="S1441" i="12" s="1"/>
  <c r="O1440" i="12"/>
  <c r="Q1440" i="12" s="1"/>
  <c r="R1440" i="12" s="1"/>
  <c r="S1440" i="12" s="1"/>
  <c r="O1439" i="12"/>
  <c r="Q1439" i="12" s="1"/>
  <c r="R1439" i="12" s="1"/>
  <c r="S1439" i="12" s="1"/>
  <c r="O1438" i="12"/>
  <c r="Q1438" i="12" s="1"/>
  <c r="R1438" i="12" s="1"/>
  <c r="S1438" i="12" s="1"/>
  <c r="O1437" i="12"/>
  <c r="Q1437" i="12" s="1"/>
  <c r="R1437" i="12" s="1"/>
  <c r="S1437" i="12" s="1"/>
  <c r="O1436" i="12"/>
  <c r="Q1436" i="12" s="1"/>
  <c r="R1436" i="12" s="1"/>
  <c r="S1436" i="12" s="1"/>
  <c r="O1435" i="12"/>
  <c r="Q1435" i="12" s="1"/>
  <c r="R1435" i="12" s="1"/>
  <c r="S1435" i="12" s="1"/>
  <c r="O1434" i="12"/>
  <c r="Q1434" i="12" s="1"/>
  <c r="R1434" i="12" s="1"/>
  <c r="S1434" i="12" s="1"/>
  <c r="O1433" i="12"/>
  <c r="Q1433" i="12" s="1"/>
  <c r="R1433" i="12" s="1"/>
  <c r="S1433" i="12" s="1"/>
  <c r="O1432" i="12"/>
  <c r="Q1432" i="12" s="1"/>
  <c r="R1432" i="12" s="1"/>
  <c r="S1432" i="12" s="1"/>
  <c r="O1431" i="12"/>
  <c r="Q1431" i="12" s="1"/>
  <c r="R1431" i="12" s="1"/>
  <c r="S1431" i="12" s="1"/>
  <c r="O1430" i="12"/>
  <c r="Q1430" i="12" s="1"/>
  <c r="R1430" i="12" s="1"/>
  <c r="S1430" i="12" s="1"/>
  <c r="O1429" i="12"/>
  <c r="Q1429" i="12" s="1"/>
  <c r="R1429" i="12" s="1"/>
  <c r="S1429" i="12" s="1"/>
  <c r="O1428" i="12"/>
  <c r="Q1428" i="12" s="1"/>
  <c r="R1428" i="12" s="1"/>
  <c r="S1428" i="12" s="1"/>
  <c r="O1427" i="12"/>
  <c r="Q1427" i="12" s="1"/>
  <c r="R1427" i="12" s="1"/>
  <c r="S1427" i="12" s="1"/>
  <c r="O1426" i="12"/>
  <c r="Q1426" i="12" s="1"/>
  <c r="R1426" i="12" s="1"/>
  <c r="S1426" i="12" s="1"/>
  <c r="O1425" i="12"/>
  <c r="Q1425" i="12" s="1"/>
  <c r="R1425" i="12" s="1"/>
  <c r="S1425" i="12" s="1"/>
  <c r="O1424" i="12"/>
  <c r="Q1424" i="12" s="1"/>
  <c r="R1424" i="12" s="1"/>
  <c r="S1424" i="12" s="1"/>
  <c r="O1423" i="12"/>
  <c r="Q1423" i="12" s="1"/>
  <c r="R1423" i="12" s="1"/>
  <c r="S1423" i="12" s="1"/>
  <c r="O1422" i="12"/>
  <c r="Q1422" i="12" s="1"/>
  <c r="R1422" i="12" s="1"/>
  <c r="S1422" i="12" s="1"/>
  <c r="O1421" i="12"/>
  <c r="Q1421" i="12" s="1"/>
  <c r="R1421" i="12" s="1"/>
  <c r="S1421" i="12" s="1"/>
  <c r="O1420" i="12"/>
  <c r="Q1420" i="12" s="1"/>
  <c r="R1420" i="12" s="1"/>
  <c r="S1420" i="12" s="1"/>
  <c r="O1419" i="12"/>
  <c r="Q1419" i="12" s="1"/>
  <c r="R1419" i="12" s="1"/>
  <c r="S1419" i="12" s="1"/>
  <c r="O1418" i="12"/>
  <c r="Q1418" i="12" s="1"/>
  <c r="R1418" i="12" s="1"/>
  <c r="S1418" i="12" s="1"/>
  <c r="O1417" i="12"/>
  <c r="Q1417" i="12" s="1"/>
  <c r="R1417" i="12" s="1"/>
  <c r="S1417" i="12" s="1"/>
  <c r="O1416" i="12"/>
  <c r="Q1416" i="12" s="1"/>
  <c r="R1416" i="12" s="1"/>
  <c r="S1416" i="12" s="1"/>
  <c r="O1415" i="12"/>
  <c r="Q1415" i="12" s="1"/>
  <c r="R1415" i="12" s="1"/>
  <c r="S1415" i="12" s="1"/>
  <c r="O1414" i="12"/>
  <c r="Q1414" i="12" s="1"/>
  <c r="R1414" i="12" s="1"/>
  <c r="S1414" i="12" s="1"/>
  <c r="O1413" i="12"/>
  <c r="Q1413" i="12" s="1"/>
  <c r="R1413" i="12" s="1"/>
  <c r="S1413" i="12" s="1"/>
  <c r="O1412" i="12"/>
  <c r="Q1412" i="12" s="1"/>
  <c r="R1412" i="12" s="1"/>
  <c r="S1412" i="12" s="1"/>
  <c r="O1411" i="12"/>
  <c r="Q1411" i="12" s="1"/>
  <c r="R1411" i="12" s="1"/>
  <c r="S1411" i="12" s="1"/>
  <c r="O1410" i="12"/>
  <c r="Q1410" i="12" s="1"/>
  <c r="R1410" i="12" s="1"/>
  <c r="S1410" i="12" s="1"/>
  <c r="O1409" i="12"/>
  <c r="Q1409" i="12" s="1"/>
  <c r="R1409" i="12" s="1"/>
  <c r="S1409" i="12" s="1"/>
  <c r="O1408" i="12"/>
  <c r="Q1408" i="12" s="1"/>
  <c r="R1408" i="12" s="1"/>
  <c r="S1408" i="12" s="1"/>
  <c r="O1407" i="12"/>
  <c r="Q1407" i="12" s="1"/>
  <c r="R1407" i="12" s="1"/>
  <c r="S1407" i="12" s="1"/>
  <c r="O1406" i="12"/>
  <c r="Q1406" i="12" s="1"/>
  <c r="R1406" i="12" s="1"/>
  <c r="S1406" i="12" s="1"/>
  <c r="O1405" i="12"/>
  <c r="Q1405" i="12" s="1"/>
  <c r="R1405" i="12" s="1"/>
  <c r="S1405" i="12" s="1"/>
  <c r="O1404" i="12"/>
  <c r="Q1404" i="12" s="1"/>
  <c r="R1404" i="12" s="1"/>
  <c r="S1404" i="12" s="1"/>
  <c r="O1403" i="12"/>
  <c r="Q1403" i="12" s="1"/>
  <c r="R1403" i="12" s="1"/>
  <c r="S1403" i="12" s="1"/>
  <c r="O1402" i="12"/>
  <c r="Q1402" i="12" s="1"/>
  <c r="R1402" i="12" s="1"/>
  <c r="S1402" i="12" s="1"/>
  <c r="O1401" i="12"/>
  <c r="Q1401" i="12" s="1"/>
  <c r="R1401" i="12" s="1"/>
  <c r="S1401" i="12" s="1"/>
  <c r="O1400" i="12"/>
  <c r="Q1400" i="12" s="1"/>
  <c r="R1400" i="12" s="1"/>
  <c r="S1400" i="12" s="1"/>
  <c r="O1399" i="12"/>
  <c r="Q1399" i="12" s="1"/>
  <c r="R1399" i="12" s="1"/>
  <c r="S1399" i="12" s="1"/>
  <c r="O1398" i="12"/>
  <c r="Q1398" i="12" s="1"/>
  <c r="R1398" i="12" s="1"/>
  <c r="S1398" i="12" s="1"/>
  <c r="O1397" i="12"/>
  <c r="Q1397" i="12" s="1"/>
  <c r="R1397" i="12" s="1"/>
  <c r="S1397" i="12" s="1"/>
  <c r="O1396" i="12"/>
  <c r="Q1396" i="12" s="1"/>
  <c r="R1396" i="12" s="1"/>
  <c r="S1396" i="12" s="1"/>
  <c r="O1395" i="12"/>
  <c r="Q1395" i="12" s="1"/>
  <c r="R1395" i="12" s="1"/>
  <c r="S1395" i="12" s="1"/>
  <c r="O1394" i="12"/>
  <c r="Q1394" i="12" s="1"/>
  <c r="R1394" i="12" s="1"/>
  <c r="S1394" i="12" s="1"/>
  <c r="O1393" i="12"/>
  <c r="Q1393" i="12" s="1"/>
  <c r="R1393" i="12" s="1"/>
  <c r="S1393" i="12" s="1"/>
  <c r="O1392" i="12"/>
  <c r="Q1392" i="12" s="1"/>
  <c r="R1392" i="12" s="1"/>
  <c r="S1392" i="12" s="1"/>
  <c r="O1391" i="12"/>
  <c r="Q1391" i="12" s="1"/>
  <c r="R1391" i="12" s="1"/>
  <c r="S1391" i="12" s="1"/>
  <c r="O1390" i="12"/>
  <c r="Q1390" i="12" s="1"/>
  <c r="R1390" i="12" s="1"/>
  <c r="S1390" i="12" s="1"/>
  <c r="O1389" i="12"/>
  <c r="Q1389" i="12" s="1"/>
  <c r="R1389" i="12" s="1"/>
  <c r="S1389" i="12" s="1"/>
  <c r="O1388" i="12"/>
  <c r="Q1388" i="12" s="1"/>
  <c r="R1388" i="12" s="1"/>
  <c r="S1388" i="12" s="1"/>
  <c r="O1387" i="12"/>
  <c r="Q1387" i="12" s="1"/>
  <c r="R1387" i="12" s="1"/>
  <c r="S1387" i="12" s="1"/>
  <c r="O1386" i="12"/>
  <c r="Q1386" i="12" s="1"/>
  <c r="R1386" i="12" s="1"/>
  <c r="S1386" i="12" s="1"/>
  <c r="O1385" i="12"/>
  <c r="Q1385" i="12" s="1"/>
  <c r="R1385" i="12" s="1"/>
  <c r="S1385" i="12" s="1"/>
  <c r="O1384" i="12"/>
  <c r="Q1384" i="12" s="1"/>
  <c r="R1384" i="12" s="1"/>
  <c r="S1384" i="12" s="1"/>
  <c r="O1383" i="12"/>
  <c r="Q1383" i="12" s="1"/>
  <c r="R1383" i="12" s="1"/>
  <c r="S1383" i="12" s="1"/>
  <c r="O1382" i="12"/>
  <c r="Q1382" i="12" s="1"/>
  <c r="R1382" i="12" s="1"/>
  <c r="S1382" i="12" s="1"/>
  <c r="O1381" i="12"/>
  <c r="Q1381" i="12" s="1"/>
  <c r="R1381" i="12" s="1"/>
  <c r="S1381" i="12" s="1"/>
  <c r="O1380" i="12"/>
  <c r="Q1380" i="12" s="1"/>
  <c r="R1380" i="12" s="1"/>
  <c r="S1380" i="12" s="1"/>
  <c r="O1379" i="12"/>
  <c r="Q1379" i="12" s="1"/>
  <c r="R1379" i="12" s="1"/>
  <c r="S1379" i="12" s="1"/>
  <c r="O1378" i="12"/>
  <c r="Q1378" i="12" s="1"/>
  <c r="R1378" i="12" s="1"/>
  <c r="S1378" i="12" s="1"/>
  <c r="O1377" i="12"/>
  <c r="Q1377" i="12" s="1"/>
  <c r="R1377" i="12" s="1"/>
  <c r="S1377" i="12" s="1"/>
  <c r="O1376" i="12"/>
  <c r="Q1376" i="12" s="1"/>
  <c r="R1376" i="12" s="1"/>
  <c r="S1376" i="12" s="1"/>
  <c r="O1375" i="12"/>
  <c r="Q1375" i="12" s="1"/>
  <c r="R1375" i="12" s="1"/>
  <c r="S1375" i="12" s="1"/>
  <c r="O1374" i="12"/>
  <c r="Q1374" i="12" s="1"/>
  <c r="R1374" i="12" s="1"/>
  <c r="S1374" i="12" s="1"/>
  <c r="O1373" i="12"/>
  <c r="Q1373" i="12" s="1"/>
  <c r="R1373" i="12" s="1"/>
  <c r="S1373" i="12" s="1"/>
  <c r="O1372" i="12"/>
  <c r="Q1372" i="12" s="1"/>
  <c r="R1372" i="12" s="1"/>
  <c r="S1372" i="12" s="1"/>
  <c r="O1371" i="12"/>
  <c r="Q1371" i="12" s="1"/>
  <c r="R1371" i="12" s="1"/>
  <c r="S1371" i="12" s="1"/>
  <c r="O1370" i="12"/>
  <c r="Q1370" i="12" s="1"/>
  <c r="R1370" i="12" s="1"/>
  <c r="S1370" i="12" s="1"/>
  <c r="O1369" i="12"/>
  <c r="Q1369" i="12" s="1"/>
  <c r="R1369" i="12" s="1"/>
  <c r="S1369" i="12" s="1"/>
  <c r="O1368" i="12"/>
  <c r="Q1368" i="12" s="1"/>
  <c r="R1368" i="12" s="1"/>
  <c r="S1368" i="12" s="1"/>
  <c r="O1367" i="12"/>
  <c r="Q1367" i="12" s="1"/>
  <c r="R1367" i="12" s="1"/>
  <c r="S1367" i="12" s="1"/>
  <c r="O1366" i="12"/>
  <c r="Q1366" i="12" s="1"/>
  <c r="R1366" i="12" s="1"/>
  <c r="S1366" i="12" s="1"/>
  <c r="O1365" i="12"/>
  <c r="Q1365" i="12" s="1"/>
  <c r="R1365" i="12" s="1"/>
  <c r="S1365" i="12" s="1"/>
  <c r="O1364" i="12"/>
  <c r="Q1364" i="12" s="1"/>
  <c r="R1364" i="12" s="1"/>
  <c r="S1364" i="12" s="1"/>
  <c r="O1363" i="12"/>
  <c r="Q1363" i="12" s="1"/>
  <c r="R1363" i="12" s="1"/>
  <c r="S1363" i="12" s="1"/>
  <c r="O1362" i="12"/>
  <c r="Q1362" i="12" s="1"/>
  <c r="R1362" i="12" s="1"/>
  <c r="S1362" i="12" s="1"/>
  <c r="O1361" i="12"/>
  <c r="Q1361" i="12" s="1"/>
  <c r="R1361" i="12" s="1"/>
  <c r="S1361" i="12" s="1"/>
  <c r="O1360" i="12"/>
  <c r="Q1360" i="12" s="1"/>
  <c r="R1360" i="12" s="1"/>
  <c r="S1360" i="12" s="1"/>
  <c r="O1359" i="12"/>
  <c r="Q1359" i="12" s="1"/>
  <c r="R1359" i="12" s="1"/>
  <c r="S1359" i="12" s="1"/>
  <c r="O1358" i="12"/>
  <c r="Q1358" i="12" s="1"/>
  <c r="R1358" i="12" s="1"/>
  <c r="S1358" i="12" s="1"/>
  <c r="O1357" i="12"/>
  <c r="Q1357" i="12" s="1"/>
  <c r="R1357" i="12" s="1"/>
  <c r="S1357" i="12" s="1"/>
  <c r="O1356" i="12"/>
  <c r="Q1356" i="12" s="1"/>
  <c r="R1356" i="12" s="1"/>
  <c r="S1356" i="12" s="1"/>
  <c r="O1355" i="12"/>
  <c r="Q1355" i="12" s="1"/>
  <c r="R1355" i="12" s="1"/>
  <c r="S1355" i="12" s="1"/>
  <c r="O1354" i="12"/>
  <c r="Q1354" i="12" s="1"/>
  <c r="R1354" i="12" s="1"/>
  <c r="S1354" i="12" s="1"/>
  <c r="O1353" i="12"/>
  <c r="Q1353" i="12" s="1"/>
  <c r="R1353" i="12" s="1"/>
  <c r="S1353" i="12" s="1"/>
  <c r="O1352" i="12"/>
  <c r="Q1352" i="12" s="1"/>
  <c r="R1352" i="12" s="1"/>
  <c r="S1352" i="12" s="1"/>
  <c r="O1351" i="12"/>
  <c r="Q1351" i="12" s="1"/>
  <c r="R1351" i="12" s="1"/>
  <c r="S1351" i="12" s="1"/>
  <c r="O1350" i="12"/>
  <c r="Q1350" i="12" s="1"/>
  <c r="R1350" i="12" s="1"/>
  <c r="S1350" i="12" s="1"/>
  <c r="O1349" i="12"/>
  <c r="Q1349" i="12" s="1"/>
  <c r="R1349" i="12" s="1"/>
  <c r="S1349" i="12" s="1"/>
  <c r="O1348" i="12"/>
  <c r="Q1348" i="12" s="1"/>
  <c r="R1348" i="12" s="1"/>
  <c r="S1348" i="12" s="1"/>
  <c r="O1347" i="12"/>
  <c r="Q1347" i="12" s="1"/>
  <c r="R1347" i="12" s="1"/>
  <c r="S1347" i="12" s="1"/>
  <c r="O1346" i="12"/>
  <c r="Q1346" i="12" s="1"/>
  <c r="R1346" i="12" s="1"/>
  <c r="S1346" i="12" s="1"/>
  <c r="O1345" i="12"/>
  <c r="Q1345" i="12" s="1"/>
  <c r="R1345" i="12" s="1"/>
  <c r="S1345" i="12" s="1"/>
  <c r="O1344" i="12"/>
  <c r="Q1344" i="12" s="1"/>
  <c r="R1344" i="12" s="1"/>
  <c r="S1344" i="12" s="1"/>
  <c r="O1343" i="12"/>
  <c r="Q1343" i="12" s="1"/>
  <c r="R1343" i="12" s="1"/>
  <c r="S1343" i="12" s="1"/>
  <c r="O1342" i="12"/>
  <c r="Q1342" i="12" s="1"/>
  <c r="R1342" i="12" s="1"/>
  <c r="S1342" i="12" s="1"/>
  <c r="O1341" i="12"/>
  <c r="Q1341" i="12" s="1"/>
  <c r="R1341" i="12" s="1"/>
  <c r="S1341" i="12" s="1"/>
  <c r="O1340" i="12"/>
  <c r="Q1340" i="12" s="1"/>
  <c r="R1340" i="12" s="1"/>
  <c r="S1340" i="12" s="1"/>
  <c r="O1339" i="12"/>
  <c r="Q1339" i="12" s="1"/>
  <c r="R1339" i="12" s="1"/>
  <c r="S1339" i="12" s="1"/>
  <c r="O1338" i="12"/>
  <c r="Q1338" i="12" s="1"/>
  <c r="R1338" i="12" s="1"/>
  <c r="S1338" i="12" s="1"/>
  <c r="O1337" i="12"/>
  <c r="Q1337" i="12" s="1"/>
  <c r="R1337" i="12" s="1"/>
  <c r="S1337" i="12" s="1"/>
  <c r="O1336" i="12"/>
  <c r="Q1336" i="12" s="1"/>
  <c r="R1336" i="12" s="1"/>
  <c r="S1336" i="12" s="1"/>
  <c r="O1335" i="12"/>
  <c r="Q1335" i="12" s="1"/>
  <c r="R1335" i="12" s="1"/>
  <c r="S1335" i="12" s="1"/>
  <c r="O1334" i="12"/>
  <c r="Q1334" i="12" s="1"/>
  <c r="R1334" i="12" s="1"/>
  <c r="S1334" i="12" s="1"/>
  <c r="O1333" i="12"/>
  <c r="Q1333" i="12" s="1"/>
  <c r="R1333" i="12" s="1"/>
  <c r="S1333" i="12" s="1"/>
  <c r="O1332" i="12"/>
  <c r="Q1332" i="12" s="1"/>
  <c r="R1332" i="12" s="1"/>
  <c r="S1332" i="12" s="1"/>
  <c r="O1331" i="12"/>
  <c r="Q1331" i="12" s="1"/>
  <c r="R1331" i="12" s="1"/>
  <c r="S1331" i="12" s="1"/>
  <c r="O1330" i="12"/>
  <c r="Q1330" i="12" s="1"/>
  <c r="R1330" i="12" s="1"/>
  <c r="S1330" i="12" s="1"/>
  <c r="O1329" i="12"/>
  <c r="Q1329" i="12" s="1"/>
  <c r="R1329" i="12" s="1"/>
  <c r="S1329" i="12" s="1"/>
  <c r="O1328" i="12"/>
  <c r="Q1328" i="12" s="1"/>
  <c r="R1328" i="12" s="1"/>
  <c r="S1328" i="12" s="1"/>
  <c r="O1327" i="12"/>
  <c r="Q1327" i="12" s="1"/>
  <c r="R1327" i="12" s="1"/>
  <c r="S1327" i="12" s="1"/>
  <c r="O1326" i="12"/>
  <c r="Q1326" i="12" s="1"/>
  <c r="R1326" i="12" s="1"/>
  <c r="S1326" i="12" s="1"/>
  <c r="O1325" i="12"/>
  <c r="Q1325" i="12" s="1"/>
  <c r="R1325" i="12" s="1"/>
  <c r="S1325" i="12" s="1"/>
  <c r="O1324" i="12"/>
  <c r="Q1324" i="12" s="1"/>
  <c r="R1324" i="12" s="1"/>
  <c r="S1324" i="12" s="1"/>
  <c r="O1323" i="12"/>
  <c r="Q1323" i="12" s="1"/>
  <c r="R1323" i="12" s="1"/>
  <c r="S1323" i="12" s="1"/>
  <c r="O1322" i="12"/>
  <c r="Q1322" i="12" s="1"/>
  <c r="R1322" i="12" s="1"/>
  <c r="S1322" i="12" s="1"/>
  <c r="O1321" i="12"/>
  <c r="Q1321" i="12" s="1"/>
  <c r="R1321" i="12" s="1"/>
  <c r="S1321" i="12" s="1"/>
  <c r="O1320" i="12"/>
  <c r="Q1320" i="12" s="1"/>
  <c r="R1320" i="12" s="1"/>
  <c r="S1320" i="12" s="1"/>
  <c r="O1319" i="12"/>
  <c r="Q1319" i="12" s="1"/>
  <c r="R1319" i="12" s="1"/>
  <c r="S1319" i="12" s="1"/>
  <c r="O1318" i="12"/>
  <c r="Q1318" i="12" s="1"/>
  <c r="R1318" i="12" s="1"/>
  <c r="S1318" i="12" s="1"/>
  <c r="O1317" i="12"/>
  <c r="Q1317" i="12" s="1"/>
  <c r="R1317" i="12" s="1"/>
  <c r="S1317" i="12" s="1"/>
  <c r="O1316" i="12"/>
  <c r="Q1316" i="12" s="1"/>
  <c r="R1316" i="12" s="1"/>
  <c r="S1316" i="12" s="1"/>
  <c r="O1315" i="12"/>
  <c r="Q1315" i="12" s="1"/>
  <c r="R1315" i="12" s="1"/>
  <c r="S1315" i="12" s="1"/>
  <c r="O1314" i="12"/>
  <c r="Q1314" i="12" s="1"/>
  <c r="R1314" i="12" s="1"/>
  <c r="S1314" i="12" s="1"/>
  <c r="O1313" i="12"/>
  <c r="Q1313" i="12" s="1"/>
  <c r="R1313" i="12" s="1"/>
  <c r="S1313" i="12" s="1"/>
  <c r="O1312" i="12"/>
  <c r="Q1312" i="12" s="1"/>
  <c r="R1312" i="12" s="1"/>
  <c r="S1312" i="12" s="1"/>
  <c r="O1311" i="12"/>
  <c r="Q1311" i="12" s="1"/>
  <c r="R1311" i="12" s="1"/>
  <c r="S1311" i="12" s="1"/>
  <c r="O1310" i="12"/>
  <c r="Q1310" i="12" s="1"/>
  <c r="R1310" i="12" s="1"/>
  <c r="S1310" i="12" s="1"/>
  <c r="O1309" i="12"/>
  <c r="Q1309" i="12" s="1"/>
  <c r="R1309" i="12" s="1"/>
  <c r="S1309" i="12" s="1"/>
  <c r="O1308" i="12"/>
  <c r="Q1308" i="12" s="1"/>
  <c r="R1308" i="12" s="1"/>
  <c r="S1308" i="12" s="1"/>
  <c r="O1307" i="12"/>
  <c r="Q1307" i="12" s="1"/>
  <c r="R1307" i="12" s="1"/>
  <c r="S1307" i="12" s="1"/>
  <c r="O1306" i="12"/>
  <c r="Q1306" i="12" s="1"/>
  <c r="R1306" i="12" s="1"/>
  <c r="S1306" i="12" s="1"/>
  <c r="O1305" i="12"/>
  <c r="Q1305" i="12" s="1"/>
  <c r="R1305" i="12" s="1"/>
  <c r="S1305" i="12" s="1"/>
  <c r="O1304" i="12"/>
  <c r="Q1304" i="12" s="1"/>
  <c r="R1304" i="12" s="1"/>
  <c r="S1304" i="12" s="1"/>
  <c r="O1303" i="12"/>
  <c r="Q1303" i="12" s="1"/>
  <c r="R1303" i="12" s="1"/>
  <c r="S1303" i="12" s="1"/>
  <c r="O1302" i="12"/>
  <c r="Q1302" i="12" s="1"/>
  <c r="R1302" i="12" s="1"/>
  <c r="S1302" i="12" s="1"/>
  <c r="O1301" i="12"/>
  <c r="Q1301" i="12" s="1"/>
  <c r="R1301" i="12" s="1"/>
  <c r="S1301" i="12" s="1"/>
  <c r="O1300" i="12"/>
  <c r="Q1300" i="12" s="1"/>
  <c r="R1300" i="12" s="1"/>
  <c r="S1300" i="12" s="1"/>
  <c r="O1299" i="12"/>
  <c r="Q1299" i="12" s="1"/>
  <c r="R1299" i="12" s="1"/>
  <c r="S1299" i="12" s="1"/>
  <c r="O1298" i="12"/>
  <c r="Q1298" i="12" s="1"/>
  <c r="R1298" i="12" s="1"/>
  <c r="S1298" i="12" s="1"/>
  <c r="O1297" i="12"/>
  <c r="Q1297" i="12" s="1"/>
  <c r="R1297" i="12" s="1"/>
  <c r="S1297" i="12" s="1"/>
  <c r="O1296" i="12"/>
  <c r="Q1296" i="12" s="1"/>
  <c r="R1296" i="12" s="1"/>
  <c r="S1296" i="12" s="1"/>
  <c r="O1295" i="12"/>
  <c r="Q1295" i="12" s="1"/>
  <c r="R1295" i="12" s="1"/>
  <c r="S1295" i="12" s="1"/>
  <c r="O1294" i="12"/>
  <c r="Q1294" i="12" s="1"/>
  <c r="R1294" i="12" s="1"/>
  <c r="S1294" i="12" s="1"/>
  <c r="O1293" i="12"/>
  <c r="Q1293" i="12" s="1"/>
  <c r="R1293" i="12" s="1"/>
  <c r="S1293" i="12" s="1"/>
  <c r="O1292" i="12"/>
  <c r="Q1292" i="12" s="1"/>
  <c r="R1292" i="12" s="1"/>
  <c r="S1292" i="12" s="1"/>
  <c r="O1291" i="12"/>
  <c r="Q1291" i="12" s="1"/>
  <c r="R1291" i="12" s="1"/>
  <c r="S1291" i="12" s="1"/>
  <c r="O1290" i="12"/>
  <c r="Q1290" i="12" s="1"/>
  <c r="R1290" i="12" s="1"/>
  <c r="S1290" i="12" s="1"/>
  <c r="O1289" i="12"/>
  <c r="Q1289" i="12" s="1"/>
  <c r="R1289" i="12" s="1"/>
  <c r="S1289" i="12" s="1"/>
  <c r="O1288" i="12"/>
  <c r="Q1288" i="12" s="1"/>
  <c r="R1288" i="12" s="1"/>
  <c r="S1288" i="12" s="1"/>
  <c r="O1287" i="12"/>
  <c r="Q1287" i="12" s="1"/>
  <c r="R1287" i="12" s="1"/>
  <c r="S1287" i="12" s="1"/>
  <c r="O1286" i="12"/>
  <c r="Q1286" i="12" s="1"/>
  <c r="R1286" i="12" s="1"/>
  <c r="S1286" i="12" s="1"/>
  <c r="O1285" i="12"/>
  <c r="Q1285" i="12" s="1"/>
  <c r="R1285" i="12" s="1"/>
  <c r="S1285" i="12" s="1"/>
  <c r="O1284" i="12"/>
  <c r="Q1284" i="12" s="1"/>
  <c r="R1284" i="12" s="1"/>
  <c r="S1284" i="12" s="1"/>
  <c r="O1283" i="12"/>
  <c r="Q1283" i="12" s="1"/>
  <c r="R1283" i="12" s="1"/>
  <c r="S1283" i="12" s="1"/>
  <c r="O1282" i="12"/>
  <c r="Q1282" i="12" s="1"/>
  <c r="R1282" i="12" s="1"/>
  <c r="S1282" i="12" s="1"/>
  <c r="O1281" i="12"/>
  <c r="Q1281" i="12" s="1"/>
  <c r="R1281" i="12" s="1"/>
  <c r="S1281" i="12" s="1"/>
  <c r="O1280" i="12"/>
  <c r="Q1280" i="12" s="1"/>
  <c r="R1280" i="12" s="1"/>
  <c r="S1280" i="12" s="1"/>
  <c r="O1279" i="12"/>
  <c r="Q1279" i="12" s="1"/>
  <c r="R1279" i="12" s="1"/>
  <c r="S1279" i="12" s="1"/>
  <c r="O1278" i="12"/>
  <c r="Q1278" i="12" s="1"/>
  <c r="R1278" i="12" s="1"/>
  <c r="S1278" i="12" s="1"/>
  <c r="O1277" i="12"/>
  <c r="Q1277" i="12" s="1"/>
  <c r="R1277" i="12" s="1"/>
  <c r="S1277" i="12" s="1"/>
  <c r="O1276" i="12"/>
  <c r="Q1276" i="12" s="1"/>
  <c r="R1276" i="12" s="1"/>
  <c r="S1276" i="12" s="1"/>
  <c r="O1275" i="12"/>
  <c r="Q1275" i="12" s="1"/>
  <c r="R1275" i="12" s="1"/>
  <c r="S1275" i="12" s="1"/>
  <c r="O1274" i="12"/>
  <c r="Q1274" i="12" s="1"/>
  <c r="R1274" i="12" s="1"/>
  <c r="S1274" i="12" s="1"/>
  <c r="O1273" i="12"/>
  <c r="Q1273" i="12" s="1"/>
  <c r="R1273" i="12" s="1"/>
  <c r="S1273" i="12" s="1"/>
  <c r="O1272" i="12"/>
  <c r="Q1272" i="12" s="1"/>
  <c r="R1272" i="12" s="1"/>
  <c r="S1272" i="12" s="1"/>
  <c r="O1271" i="12"/>
  <c r="Q1271" i="12" s="1"/>
  <c r="R1271" i="12" s="1"/>
  <c r="S1271" i="12" s="1"/>
  <c r="O1270" i="12"/>
  <c r="Q1270" i="12" s="1"/>
  <c r="R1270" i="12" s="1"/>
  <c r="S1270" i="12" s="1"/>
  <c r="O1269" i="12"/>
  <c r="Q1269" i="12" s="1"/>
  <c r="R1269" i="12" s="1"/>
  <c r="S1269" i="12" s="1"/>
  <c r="O1268" i="12"/>
  <c r="Q1268" i="12" s="1"/>
  <c r="R1268" i="12" s="1"/>
  <c r="S1268" i="12" s="1"/>
  <c r="O1267" i="12"/>
  <c r="Q1267" i="12" s="1"/>
  <c r="R1267" i="12" s="1"/>
  <c r="S1267" i="12" s="1"/>
  <c r="O1266" i="12"/>
  <c r="Q1266" i="12" s="1"/>
  <c r="R1266" i="12" s="1"/>
  <c r="S1266" i="12" s="1"/>
  <c r="O1265" i="12"/>
  <c r="Q1265" i="12" s="1"/>
  <c r="R1265" i="12" s="1"/>
  <c r="S1265" i="12" s="1"/>
  <c r="O1264" i="12"/>
  <c r="Q1264" i="12" s="1"/>
  <c r="R1264" i="12" s="1"/>
  <c r="S1264" i="12" s="1"/>
  <c r="O1263" i="12"/>
  <c r="Q1263" i="12" s="1"/>
  <c r="R1263" i="12" s="1"/>
  <c r="S1263" i="12" s="1"/>
  <c r="O1262" i="12"/>
  <c r="Q1262" i="12" s="1"/>
  <c r="R1262" i="12" s="1"/>
  <c r="S1262" i="12" s="1"/>
  <c r="O1261" i="12"/>
  <c r="Q1261" i="12" s="1"/>
  <c r="R1261" i="12" s="1"/>
  <c r="S1261" i="12" s="1"/>
  <c r="O1260" i="12"/>
  <c r="Q1260" i="12" s="1"/>
  <c r="R1260" i="12" s="1"/>
  <c r="S1260" i="12" s="1"/>
  <c r="O1259" i="12"/>
  <c r="Q1259" i="12" s="1"/>
  <c r="R1259" i="12" s="1"/>
  <c r="S1259" i="12" s="1"/>
  <c r="O1258" i="12"/>
  <c r="Q1258" i="12" s="1"/>
  <c r="R1258" i="12" s="1"/>
  <c r="S1258" i="12" s="1"/>
  <c r="O1257" i="12"/>
  <c r="Q1257" i="12" s="1"/>
  <c r="R1257" i="12" s="1"/>
  <c r="S1257" i="12" s="1"/>
  <c r="O1256" i="12"/>
  <c r="Q1256" i="12" s="1"/>
  <c r="R1256" i="12" s="1"/>
  <c r="S1256" i="12" s="1"/>
  <c r="O1255" i="12"/>
  <c r="Q1255" i="12" s="1"/>
  <c r="R1255" i="12" s="1"/>
  <c r="S1255" i="12" s="1"/>
  <c r="O1254" i="12"/>
  <c r="Q1254" i="12" s="1"/>
  <c r="R1254" i="12" s="1"/>
  <c r="S1254" i="12" s="1"/>
  <c r="O1253" i="12"/>
  <c r="Q1253" i="12" s="1"/>
  <c r="R1253" i="12" s="1"/>
  <c r="S1253" i="12" s="1"/>
  <c r="O1252" i="12"/>
  <c r="Q1252" i="12" s="1"/>
  <c r="R1252" i="12" s="1"/>
  <c r="S1252" i="12" s="1"/>
  <c r="O1251" i="12"/>
  <c r="Q1251" i="12" s="1"/>
  <c r="R1251" i="12" s="1"/>
  <c r="S1251" i="12" s="1"/>
  <c r="O1250" i="12"/>
  <c r="Q1250" i="12" s="1"/>
  <c r="R1250" i="12" s="1"/>
  <c r="S1250" i="12" s="1"/>
  <c r="O1249" i="12"/>
  <c r="Q1249" i="12" s="1"/>
  <c r="R1249" i="12" s="1"/>
  <c r="S1249" i="12" s="1"/>
  <c r="O1248" i="12"/>
  <c r="Q1248" i="12" s="1"/>
  <c r="R1248" i="12" s="1"/>
  <c r="S1248" i="12" s="1"/>
  <c r="O1247" i="12"/>
  <c r="Q1247" i="12" s="1"/>
  <c r="R1247" i="12" s="1"/>
  <c r="S1247" i="12" s="1"/>
  <c r="O1246" i="12"/>
  <c r="Q1246" i="12" s="1"/>
  <c r="R1246" i="12" s="1"/>
  <c r="S1246" i="12" s="1"/>
  <c r="O1245" i="12"/>
  <c r="Q1245" i="12" s="1"/>
  <c r="R1245" i="12" s="1"/>
  <c r="S1245" i="12" s="1"/>
  <c r="O1244" i="12"/>
  <c r="Q1244" i="12" s="1"/>
  <c r="R1244" i="12" s="1"/>
  <c r="S1244" i="12" s="1"/>
  <c r="O1243" i="12"/>
  <c r="Q1243" i="12" s="1"/>
  <c r="R1243" i="12" s="1"/>
  <c r="S1243" i="12" s="1"/>
  <c r="O1242" i="12"/>
  <c r="Q1242" i="12" s="1"/>
  <c r="R1242" i="12" s="1"/>
  <c r="S1242" i="12" s="1"/>
  <c r="O1241" i="12"/>
  <c r="Q1241" i="12" s="1"/>
  <c r="R1241" i="12" s="1"/>
  <c r="S1241" i="12" s="1"/>
  <c r="O1240" i="12"/>
  <c r="Q1240" i="12" s="1"/>
  <c r="R1240" i="12" s="1"/>
  <c r="S1240" i="12" s="1"/>
  <c r="O1239" i="12"/>
  <c r="Q1239" i="12" s="1"/>
  <c r="R1239" i="12" s="1"/>
  <c r="S1239" i="12" s="1"/>
  <c r="O1238" i="12"/>
  <c r="Q1238" i="12" s="1"/>
  <c r="R1238" i="12" s="1"/>
  <c r="S1238" i="12" s="1"/>
  <c r="O1237" i="12"/>
  <c r="Q1237" i="12" s="1"/>
  <c r="R1237" i="12" s="1"/>
  <c r="S1237" i="12" s="1"/>
  <c r="O1236" i="12"/>
  <c r="Q1236" i="12" s="1"/>
  <c r="R1236" i="12" s="1"/>
  <c r="S1236" i="12" s="1"/>
  <c r="O1235" i="12"/>
  <c r="Q1235" i="12" s="1"/>
  <c r="R1235" i="12" s="1"/>
  <c r="S1235" i="12" s="1"/>
  <c r="O1234" i="12"/>
  <c r="Q1234" i="12" s="1"/>
  <c r="R1234" i="12" s="1"/>
  <c r="S1234" i="12" s="1"/>
  <c r="O1233" i="12"/>
  <c r="Q1233" i="12" s="1"/>
  <c r="R1233" i="12" s="1"/>
  <c r="S1233" i="12" s="1"/>
  <c r="O1232" i="12"/>
  <c r="Q1232" i="12" s="1"/>
  <c r="R1232" i="12" s="1"/>
  <c r="S1232" i="12" s="1"/>
  <c r="O1231" i="12"/>
  <c r="Q1231" i="12" s="1"/>
  <c r="R1231" i="12" s="1"/>
  <c r="S1231" i="12" s="1"/>
  <c r="O1230" i="12"/>
  <c r="Q1230" i="12" s="1"/>
  <c r="R1230" i="12" s="1"/>
  <c r="S1230" i="12" s="1"/>
  <c r="O1229" i="12"/>
  <c r="Q1229" i="12" s="1"/>
  <c r="R1229" i="12" s="1"/>
  <c r="S1229" i="12" s="1"/>
  <c r="O1228" i="12"/>
  <c r="Q1228" i="12" s="1"/>
  <c r="R1228" i="12" s="1"/>
  <c r="S1228" i="12" s="1"/>
  <c r="O1227" i="12"/>
  <c r="Q1227" i="12" s="1"/>
  <c r="R1227" i="12" s="1"/>
  <c r="S1227" i="12" s="1"/>
  <c r="O1226" i="12"/>
  <c r="Q1226" i="12" s="1"/>
  <c r="R1226" i="12" s="1"/>
  <c r="S1226" i="12" s="1"/>
  <c r="O1225" i="12"/>
  <c r="Q1225" i="12" s="1"/>
  <c r="R1225" i="12" s="1"/>
  <c r="S1225" i="12" s="1"/>
  <c r="O1224" i="12"/>
  <c r="Q1224" i="12" s="1"/>
  <c r="R1224" i="12" s="1"/>
  <c r="S1224" i="12" s="1"/>
  <c r="O1223" i="12"/>
  <c r="Q1223" i="12" s="1"/>
  <c r="R1223" i="12" s="1"/>
  <c r="S1223" i="12" s="1"/>
  <c r="O1222" i="12"/>
  <c r="Q1222" i="12" s="1"/>
  <c r="R1222" i="12" s="1"/>
  <c r="S1222" i="12" s="1"/>
  <c r="O1221" i="12"/>
  <c r="Q1221" i="12" s="1"/>
  <c r="R1221" i="12" s="1"/>
  <c r="S1221" i="12" s="1"/>
  <c r="O1220" i="12"/>
  <c r="Q1220" i="12" s="1"/>
  <c r="R1220" i="12" s="1"/>
  <c r="S1220" i="12" s="1"/>
  <c r="O1219" i="12"/>
  <c r="Q1219" i="12" s="1"/>
  <c r="R1219" i="12" s="1"/>
  <c r="S1219" i="12" s="1"/>
  <c r="O1218" i="12"/>
  <c r="Q1218" i="12" s="1"/>
  <c r="R1218" i="12" s="1"/>
  <c r="S1218" i="12" s="1"/>
  <c r="O1217" i="12"/>
  <c r="Q1217" i="12" s="1"/>
  <c r="R1217" i="12" s="1"/>
  <c r="S1217" i="12" s="1"/>
  <c r="O1216" i="12"/>
  <c r="Q1216" i="12" s="1"/>
  <c r="R1216" i="12" s="1"/>
  <c r="S1216" i="12" s="1"/>
  <c r="O1215" i="12"/>
  <c r="Q1215" i="12" s="1"/>
  <c r="R1215" i="12" s="1"/>
  <c r="S1215" i="12" s="1"/>
  <c r="O1214" i="12"/>
  <c r="Q1214" i="12" s="1"/>
  <c r="R1214" i="12" s="1"/>
  <c r="S1214" i="12" s="1"/>
  <c r="O1213" i="12"/>
  <c r="Q1213" i="12" s="1"/>
  <c r="R1213" i="12" s="1"/>
  <c r="S1213" i="12" s="1"/>
  <c r="O1212" i="12"/>
  <c r="Q1212" i="12" s="1"/>
  <c r="R1212" i="12" s="1"/>
  <c r="S1212" i="12" s="1"/>
  <c r="O1211" i="12"/>
  <c r="Q1211" i="12" s="1"/>
  <c r="R1211" i="12" s="1"/>
  <c r="S1211" i="12" s="1"/>
  <c r="O1210" i="12"/>
  <c r="Q1210" i="12" s="1"/>
  <c r="R1210" i="12" s="1"/>
  <c r="S1210" i="12" s="1"/>
  <c r="O1209" i="12"/>
  <c r="Q1209" i="12" s="1"/>
  <c r="R1209" i="12" s="1"/>
  <c r="S1209" i="12" s="1"/>
  <c r="O1208" i="12"/>
  <c r="Q1208" i="12" s="1"/>
  <c r="R1208" i="12" s="1"/>
  <c r="S1208" i="12" s="1"/>
  <c r="O1207" i="12"/>
  <c r="Q1207" i="12" s="1"/>
  <c r="R1207" i="12" s="1"/>
  <c r="S1207" i="12" s="1"/>
  <c r="O1206" i="12"/>
  <c r="Q1206" i="12" s="1"/>
  <c r="R1206" i="12" s="1"/>
  <c r="S1206" i="12" s="1"/>
  <c r="O1205" i="12"/>
  <c r="Q1205" i="12" s="1"/>
  <c r="R1205" i="12" s="1"/>
  <c r="S1205" i="12" s="1"/>
  <c r="O1204" i="12"/>
  <c r="Q1204" i="12" s="1"/>
  <c r="R1204" i="12" s="1"/>
  <c r="S1204" i="12" s="1"/>
  <c r="O1203" i="12"/>
  <c r="Q1203" i="12" s="1"/>
  <c r="R1203" i="12" s="1"/>
  <c r="S1203" i="12" s="1"/>
  <c r="O1202" i="12"/>
  <c r="Q1202" i="12" s="1"/>
  <c r="R1202" i="12" s="1"/>
  <c r="S1202" i="12" s="1"/>
  <c r="O1201" i="12"/>
  <c r="Q1201" i="12" s="1"/>
  <c r="R1201" i="12" s="1"/>
  <c r="S1201" i="12" s="1"/>
  <c r="O1200" i="12"/>
  <c r="Q1200" i="12" s="1"/>
  <c r="R1200" i="12" s="1"/>
  <c r="S1200" i="12" s="1"/>
  <c r="O1199" i="12"/>
  <c r="Q1199" i="12" s="1"/>
  <c r="R1199" i="12" s="1"/>
  <c r="S1199" i="12" s="1"/>
  <c r="O1198" i="12"/>
  <c r="Q1198" i="12" s="1"/>
  <c r="R1198" i="12" s="1"/>
  <c r="S1198" i="12" s="1"/>
  <c r="O1197" i="12"/>
  <c r="Q1197" i="12" s="1"/>
  <c r="R1197" i="12" s="1"/>
  <c r="S1197" i="12" s="1"/>
  <c r="O1196" i="12"/>
  <c r="Q1196" i="12" s="1"/>
  <c r="R1196" i="12" s="1"/>
  <c r="S1196" i="12" s="1"/>
  <c r="O1195" i="12"/>
  <c r="Q1195" i="12" s="1"/>
  <c r="R1195" i="12" s="1"/>
  <c r="S1195" i="12" s="1"/>
  <c r="O1194" i="12"/>
  <c r="Q1194" i="12" s="1"/>
  <c r="R1194" i="12" s="1"/>
  <c r="S1194" i="12" s="1"/>
  <c r="O1193" i="12"/>
  <c r="Q1193" i="12" s="1"/>
  <c r="R1193" i="12" s="1"/>
  <c r="S1193" i="12" s="1"/>
  <c r="O1192" i="12"/>
  <c r="Q1192" i="12" s="1"/>
  <c r="R1192" i="12" s="1"/>
  <c r="S1192" i="12" s="1"/>
  <c r="O1191" i="12"/>
  <c r="Q1191" i="12" s="1"/>
  <c r="R1191" i="12" s="1"/>
  <c r="S1191" i="12" s="1"/>
  <c r="O1190" i="12"/>
  <c r="Q1190" i="12" s="1"/>
  <c r="R1190" i="12" s="1"/>
  <c r="S1190" i="12" s="1"/>
  <c r="O1189" i="12"/>
  <c r="Q1189" i="12" s="1"/>
  <c r="R1189" i="12" s="1"/>
  <c r="S1189" i="12" s="1"/>
  <c r="O1188" i="12"/>
  <c r="Q1188" i="12" s="1"/>
  <c r="R1188" i="12" s="1"/>
  <c r="S1188" i="12" s="1"/>
  <c r="O1187" i="12"/>
  <c r="Q1187" i="12" s="1"/>
  <c r="R1187" i="12" s="1"/>
  <c r="S1187" i="12" s="1"/>
  <c r="O1186" i="12"/>
  <c r="Q1186" i="12" s="1"/>
  <c r="R1186" i="12" s="1"/>
  <c r="S1186" i="12" s="1"/>
  <c r="O1185" i="12"/>
  <c r="Q1185" i="12" s="1"/>
  <c r="R1185" i="12" s="1"/>
  <c r="S1185" i="12" s="1"/>
  <c r="O1184" i="12"/>
  <c r="Q1184" i="12" s="1"/>
  <c r="R1184" i="12" s="1"/>
  <c r="S1184" i="12" s="1"/>
  <c r="O1183" i="12"/>
  <c r="Q1183" i="12" s="1"/>
  <c r="R1183" i="12" s="1"/>
  <c r="S1183" i="12" s="1"/>
  <c r="O1182" i="12"/>
  <c r="Q1182" i="12" s="1"/>
  <c r="R1182" i="12" s="1"/>
  <c r="S1182" i="12" s="1"/>
  <c r="O1181" i="12"/>
  <c r="Q1181" i="12" s="1"/>
  <c r="R1181" i="12" s="1"/>
  <c r="S1181" i="12" s="1"/>
  <c r="O1180" i="12"/>
  <c r="Q1180" i="12" s="1"/>
  <c r="R1180" i="12" s="1"/>
  <c r="S1180" i="12" s="1"/>
  <c r="O1179" i="12"/>
  <c r="Q1179" i="12" s="1"/>
  <c r="R1179" i="12" s="1"/>
  <c r="S1179" i="12" s="1"/>
  <c r="O1178" i="12"/>
  <c r="Q1178" i="12" s="1"/>
  <c r="R1178" i="12" s="1"/>
  <c r="S1178" i="12" s="1"/>
  <c r="O1177" i="12"/>
  <c r="Q1177" i="12" s="1"/>
  <c r="R1177" i="12" s="1"/>
  <c r="S1177" i="12" s="1"/>
  <c r="O1176" i="12"/>
  <c r="Q1176" i="12" s="1"/>
  <c r="R1176" i="12" s="1"/>
  <c r="S1176" i="12" s="1"/>
  <c r="O1175" i="12"/>
  <c r="Q1175" i="12" s="1"/>
  <c r="R1175" i="12" s="1"/>
  <c r="S1175" i="12" s="1"/>
  <c r="O1174" i="12"/>
  <c r="Q1174" i="12" s="1"/>
  <c r="R1174" i="12" s="1"/>
  <c r="S1174" i="12" s="1"/>
  <c r="O1173" i="12"/>
  <c r="Q1173" i="12" s="1"/>
  <c r="R1173" i="12" s="1"/>
  <c r="S1173" i="12" s="1"/>
  <c r="O1172" i="12"/>
  <c r="Q1172" i="12" s="1"/>
  <c r="R1172" i="12" s="1"/>
  <c r="S1172" i="12" s="1"/>
  <c r="O1171" i="12"/>
  <c r="Q1171" i="12" s="1"/>
  <c r="R1171" i="12" s="1"/>
  <c r="S1171" i="12" s="1"/>
  <c r="O1170" i="12"/>
  <c r="Q1170" i="12" s="1"/>
  <c r="R1170" i="12" s="1"/>
  <c r="S1170" i="12" s="1"/>
  <c r="O1169" i="12"/>
  <c r="Q1169" i="12" s="1"/>
  <c r="R1169" i="12" s="1"/>
  <c r="S1169" i="12" s="1"/>
  <c r="O1168" i="12"/>
  <c r="Q1168" i="12" s="1"/>
  <c r="R1168" i="12" s="1"/>
  <c r="S1168" i="12" s="1"/>
  <c r="O1167" i="12"/>
  <c r="Q1167" i="12" s="1"/>
  <c r="R1167" i="12" s="1"/>
  <c r="S1167" i="12" s="1"/>
  <c r="O1166" i="12"/>
  <c r="Q1166" i="12" s="1"/>
  <c r="R1166" i="12" s="1"/>
  <c r="S1166" i="12" s="1"/>
  <c r="O1015" i="12"/>
  <c r="O1014" i="12"/>
  <c r="O1013" i="12"/>
  <c r="O1012" i="12"/>
  <c r="O1011" i="12"/>
  <c r="O1010" i="12"/>
  <c r="O1009" i="12"/>
  <c r="O1008" i="12"/>
  <c r="O1007" i="12"/>
  <c r="O1006" i="12"/>
  <c r="O1005" i="12"/>
  <c r="O1004" i="12"/>
  <c r="O1003" i="12"/>
  <c r="O1002" i="12"/>
  <c r="O1001" i="12"/>
  <c r="O1000" i="12"/>
  <c r="O999" i="12"/>
  <c r="O998" i="12"/>
  <c r="O997" i="12"/>
  <c r="O996" i="12"/>
  <c r="O995" i="12"/>
  <c r="O994" i="12"/>
  <c r="O993" i="12"/>
  <c r="O992" i="12"/>
  <c r="O991" i="12"/>
  <c r="O990" i="12"/>
  <c r="O989" i="12"/>
  <c r="O988" i="12"/>
  <c r="O987" i="12"/>
  <c r="O986" i="12"/>
  <c r="O985" i="12"/>
  <c r="O984" i="12"/>
  <c r="O983" i="12"/>
  <c r="O982" i="12"/>
  <c r="O981" i="12"/>
  <c r="O980" i="12"/>
  <c r="O979" i="12"/>
  <c r="O978" i="12"/>
  <c r="O977" i="12"/>
  <c r="O976" i="12"/>
  <c r="O975" i="12"/>
  <c r="O974" i="12"/>
  <c r="O973" i="12"/>
  <c r="O972" i="12"/>
  <c r="O971" i="12"/>
  <c r="O970" i="12"/>
  <c r="O969" i="12"/>
  <c r="O968" i="12"/>
  <c r="O967" i="12"/>
  <c r="O966" i="12"/>
  <c r="O965" i="12"/>
  <c r="O964" i="12"/>
  <c r="O963" i="12"/>
  <c r="O962" i="12"/>
  <c r="O961" i="12"/>
  <c r="O960" i="12"/>
  <c r="O959" i="12"/>
  <c r="O958" i="12"/>
  <c r="O957" i="12"/>
  <c r="O956" i="12"/>
  <c r="O955" i="12"/>
  <c r="O954" i="12"/>
  <c r="O953" i="12"/>
  <c r="O952" i="12"/>
  <c r="O951" i="12"/>
  <c r="O950" i="12"/>
  <c r="O949" i="12"/>
  <c r="O948" i="12"/>
  <c r="O947" i="12"/>
  <c r="O946" i="12"/>
  <c r="O945" i="12"/>
  <c r="O944" i="12"/>
  <c r="O943" i="12"/>
  <c r="O942" i="12"/>
  <c r="O941" i="12"/>
  <c r="O940" i="12"/>
  <c r="O939" i="12"/>
  <c r="O938" i="12"/>
  <c r="O937" i="12"/>
  <c r="O936" i="12"/>
  <c r="O935" i="12"/>
  <c r="O934" i="12"/>
  <c r="O933" i="12"/>
  <c r="O932" i="12"/>
  <c r="O931" i="12"/>
  <c r="O930" i="12"/>
  <c r="O929" i="12"/>
  <c r="O928" i="12"/>
  <c r="O927" i="12"/>
  <c r="O926" i="12"/>
  <c r="O925" i="12"/>
  <c r="O924" i="12"/>
  <c r="O923" i="12"/>
  <c r="O922" i="12"/>
  <c r="O921" i="12"/>
  <c r="O920" i="12"/>
  <c r="O919" i="12"/>
  <c r="O918" i="12"/>
  <c r="O917" i="12"/>
  <c r="O916" i="12"/>
  <c r="O915" i="12"/>
  <c r="O914" i="12"/>
  <c r="O913" i="12"/>
  <c r="O912" i="12"/>
  <c r="O911" i="12"/>
  <c r="O910" i="12"/>
  <c r="O909" i="12"/>
  <c r="O908" i="12"/>
  <c r="O907" i="12"/>
  <c r="O906" i="12"/>
  <c r="O905" i="12"/>
  <c r="O904" i="12"/>
  <c r="O903" i="12"/>
  <c r="O902" i="12"/>
  <c r="O901" i="12"/>
  <c r="O900" i="12"/>
  <c r="O899" i="12"/>
  <c r="O898" i="12"/>
  <c r="O897" i="12"/>
  <c r="O896" i="12"/>
  <c r="O895" i="12"/>
  <c r="O894" i="12"/>
  <c r="O893" i="12"/>
  <c r="O892" i="12"/>
  <c r="O891" i="12"/>
  <c r="O890" i="12"/>
  <c r="O889" i="12"/>
  <c r="O888" i="12"/>
  <c r="O887" i="12"/>
  <c r="O886" i="12"/>
  <c r="O885" i="12"/>
  <c r="O884" i="12"/>
  <c r="O883" i="12"/>
  <c r="O882" i="12"/>
  <c r="O881" i="12"/>
  <c r="O880" i="12"/>
  <c r="O879" i="12"/>
  <c r="O878" i="12"/>
  <c r="O877" i="12"/>
  <c r="O876" i="12"/>
  <c r="O875" i="12"/>
  <c r="O874" i="12"/>
  <c r="O873" i="12"/>
  <c r="O872" i="12"/>
  <c r="O871" i="12"/>
  <c r="O870" i="12"/>
  <c r="O869" i="12"/>
  <c r="O868" i="12"/>
  <c r="O867" i="12"/>
  <c r="O866" i="12"/>
  <c r="O865" i="12"/>
  <c r="O864" i="12"/>
  <c r="O863" i="12"/>
  <c r="O862" i="12"/>
  <c r="O861" i="12"/>
  <c r="O860" i="12"/>
  <c r="O859" i="12"/>
  <c r="O858" i="12"/>
  <c r="O857" i="12"/>
  <c r="O856" i="12"/>
  <c r="O855" i="12"/>
  <c r="O854" i="12"/>
  <c r="O853" i="12"/>
  <c r="O852" i="12"/>
  <c r="K1839" i="12"/>
  <c r="K1838" i="12"/>
  <c r="K1837" i="12"/>
  <c r="N1837" i="12" s="1"/>
  <c r="K1836" i="12"/>
  <c r="K1835" i="12"/>
  <c r="K1834" i="12"/>
  <c r="K1833" i="12"/>
  <c r="K1831" i="12"/>
  <c r="N1831" i="12" s="1"/>
  <c r="K1830" i="12"/>
  <c r="K1829" i="12"/>
  <c r="K1828" i="12"/>
  <c r="N1828" i="12" s="1"/>
  <c r="K1827" i="12"/>
  <c r="K1826" i="12"/>
  <c r="K1825" i="12"/>
  <c r="K1824" i="12"/>
  <c r="K1823" i="12"/>
  <c r="N1823" i="12" s="1"/>
  <c r="K1822" i="12"/>
  <c r="K1821" i="12"/>
  <c r="K1820" i="12"/>
  <c r="K1819" i="12"/>
  <c r="K1818" i="12"/>
  <c r="K1817" i="12"/>
  <c r="K1816" i="12"/>
  <c r="K1815" i="12"/>
  <c r="K1814" i="12"/>
  <c r="K1813" i="12"/>
  <c r="K1812" i="12"/>
  <c r="N1812" i="12" s="1"/>
  <c r="K1811" i="12"/>
  <c r="K1810" i="12"/>
  <c r="K1809" i="12"/>
  <c r="K1808" i="12"/>
  <c r="K1807" i="12"/>
  <c r="K1806" i="12"/>
  <c r="K1805" i="12"/>
  <c r="K1804" i="12"/>
  <c r="K1803" i="12"/>
  <c r="K1802" i="12"/>
  <c r="K1801" i="12"/>
  <c r="K1800" i="12"/>
  <c r="K1799" i="12"/>
  <c r="K1798" i="12"/>
  <c r="K1797" i="12"/>
  <c r="K1796" i="12"/>
  <c r="K1795" i="12"/>
  <c r="K1794" i="12"/>
  <c r="K1793" i="12"/>
  <c r="K1792" i="12"/>
  <c r="K1791" i="12"/>
  <c r="K1790" i="12"/>
  <c r="K1789" i="12"/>
  <c r="K1788" i="12"/>
  <c r="K1787" i="12"/>
  <c r="K1786" i="12"/>
  <c r="K1785" i="12"/>
  <c r="K1784" i="12"/>
  <c r="K1783" i="12"/>
  <c r="K1782" i="12"/>
  <c r="K1781" i="12"/>
  <c r="K1780" i="12"/>
  <c r="K1779" i="12"/>
  <c r="K1778" i="12"/>
  <c r="K1777" i="12"/>
  <c r="K1776" i="12"/>
  <c r="K1775" i="12"/>
  <c r="K1774" i="12"/>
  <c r="K1773" i="12"/>
  <c r="K1772" i="12"/>
  <c r="K1771" i="12"/>
  <c r="K1770" i="12"/>
  <c r="K1769" i="12"/>
  <c r="K1768" i="12"/>
  <c r="K1767" i="12"/>
  <c r="K1766" i="12"/>
  <c r="K1765" i="12"/>
  <c r="K1764" i="12"/>
  <c r="K1763" i="12"/>
  <c r="K1762" i="12"/>
  <c r="K1761" i="12"/>
  <c r="K1760" i="12"/>
  <c r="K1759" i="12"/>
  <c r="K1758" i="12"/>
  <c r="K1757" i="12"/>
  <c r="K1756" i="12"/>
  <c r="K1755" i="12"/>
  <c r="K1754" i="12"/>
  <c r="K1753" i="12"/>
  <c r="K1752" i="12"/>
  <c r="K1751" i="12"/>
  <c r="K1750" i="12"/>
  <c r="K1749" i="12"/>
  <c r="K1748" i="12"/>
  <c r="K1747" i="12"/>
  <c r="K1746" i="12"/>
  <c r="K1745" i="12"/>
  <c r="K1744" i="12"/>
  <c r="K1743" i="12"/>
  <c r="K1742" i="12"/>
  <c r="K1741" i="12"/>
  <c r="K1740" i="12"/>
  <c r="K1739" i="12"/>
  <c r="K1738" i="12"/>
  <c r="K1737" i="12"/>
  <c r="K1736" i="12"/>
  <c r="K1735" i="12"/>
  <c r="K1734" i="12"/>
  <c r="K1733" i="12"/>
  <c r="K1732" i="12"/>
  <c r="K1731" i="12"/>
  <c r="K1730" i="12"/>
  <c r="K1729" i="12"/>
  <c r="K1728" i="12"/>
  <c r="K1727" i="12"/>
  <c r="K1726" i="12"/>
  <c r="K1725" i="12"/>
  <c r="K1724" i="12"/>
  <c r="K1723" i="12"/>
  <c r="K1722" i="12"/>
  <c r="K1721" i="12"/>
  <c r="K1720" i="12"/>
  <c r="K1719" i="12"/>
  <c r="K1718" i="12"/>
  <c r="K1717" i="12"/>
  <c r="K1716" i="12"/>
  <c r="K1715" i="12"/>
  <c r="K1714" i="12"/>
  <c r="K1713" i="12"/>
  <c r="K1712" i="12"/>
  <c r="K1711" i="12"/>
  <c r="K1710" i="12"/>
  <c r="K1709" i="12"/>
  <c r="K1708" i="12"/>
  <c r="K1707" i="12"/>
  <c r="K1706" i="12"/>
  <c r="K1705" i="12"/>
  <c r="K1704" i="12"/>
  <c r="K1703" i="12"/>
  <c r="K1702" i="12"/>
  <c r="K1701" i="12"/>
  <c r="K1700" i="12"/>
  <c r="K1699" i="12"/>
  <c r="K1698" i="12"/>
  <c r="K1697" i="12"/>
  <c r="K1696" i="12"/>
  <c r="K1695" i="12"/>
  <c r="K1694" i="12"/>
  <c r="K1693" i="12"/>
  <c r="K1692" i="12"/>
  <c r="K1691" i="12"/>
  <c r="K1690" i="12"/>
  <c r="K1689" i="12"/>
  <c r="K1688" i="12"/>
  <c r="K1687" i="12"/>
  <c r="K1686" i="12"/>
  <c r="K1685" i="12"/>
  <c r="K1684" i="12"/>
  <c r="K1683" i="12"/>
  <c r="K1682" i="12"/>
  <c r="K1681" i="12"/>
  <c r="K1680" i="12"/>
  <c r="K1679" i="12"/>
  <c r="K1678" i="12"/>
  <c r="K1677" i="12"/>
  <c r="K1676" i="12"/>
  <c r="K1675" i="12"/>
  <c r="K1674" i="12"/>
  <c r="K1673" i="12"/>
  <c r="K1672" i="12"/>
  <c r="K1671" i="12"/>
  <c r="K1670" i="12"/>
  <c r="K1669" i="12"/>
  <c r="K1668" i="12"/>
  <c r="K1667" i="12"/>
  <c r="K1666" i="12"/>
  <c r="K1665" i="12"/>
  <c r="K1664" i="12"/>
  <c r="K1663" i="12"/>
  <c r="K1662" i="12"/>
  <c r="K1661" i="12"/>
  <c r="K1660" i="12"/>
  <c r="K1659" i="12"/>
  <c r="K1658" i="12"/>
  <c r="K1657" i="12"/>
  <c r="K1656" i="12"/>
  <c r="K1655" i="12"/>
  <c r="K1654" i="12"/>
  <c r="K1653" i="12"/>
  <c r="K1652" i="12"/>
  <c r="K1651" i="12"/>
  <c r="K1650" i="12"/>
  <c r="K1649" i="12"/>
  <c r="K1648" i="12"/>
  <c r="K1647" i="12"/>
  <c r="K1646" i="12"/>
  <c r="K1645" i="12"/>
  <c r="K1644" i="12"/>
  <c r="K1643" i="12"/>
  <c r="K1642" i="12"/>
  <c r="K1641" i="12"/>
  <c r="K1640" i="12"/>
  <c r="K1639" i="12"/>
  <c r="K1638" i="12"/>
  <c r="K1637" i="12"/>
  <c r="K1636" i="12"/>
  <c r="K1635" i="12"/>
  <c r="K1634" i="12"/>
  <c r="K1633" i="12"/>
  <c r="K1632" i="12"/>
  <c r="K1631" i="12"/>
  <c r="K1630" i="12"/>
  <c r="K1629" i="12"/>
  <c r="K1628" i="12"/>
  <c r="K1627" i="12"/>
  <c r="K1626" i="12"/>
  <c r="K1625" i="12"/>
  <c r="K1624" i="12"/>
  <c r="K1623" i="12"/>
  <c r="K1622" i="12"/>
  <c r="K1621" i="12"/>
  <c r="K1620" i="12"/>
  <c r="K1619" i="12"/>
  <c r="K1618" i="12"/>
  <c r="K1617" i="12"/>
  <c r="K1616" i="12"/>
  <c r="K1615" i="12"/>
  <c r="K1614" i="12"/>
  <c r="K1613" i="12"/>
  <c r="K1612" i="12"/>
  <c r="K1611" i="12"/>
  <c r="K1610" i="12"/>
  <c r="K1609" i="12"/>
  <c r="K1608" i="12"/>
  <c r="K1607" i="12"/>
  <c r="K1606" i="12"/>
  <c r="K1605" i="12"/>
  <c r="K1604" i="12"/>
  <c r="K1603" i="12"/>
  <c r="K1602" i="12"/>
  <c r="K1601" i="12"/>
  <c r="K1600" i="12"/>
  <c r="K1599" i="12"/>
  <c r="K1598" i="12"/>
  <c r="K1597" i="12"/>
  <c r="K1596" i="12"/>
  <c r="K1595" i="12"/>
  <c r="K1594" i="12"/>
  <c r="K1593" i="12"/>
  <c r="K1592" i="12"/>
  <c r="K1591" i="12"/>
  <c r="K1590" i="12"/>
  <c r="K1589" i="12"/>
  <c r="K1588" i="12"/>
  <c r="K1587" i="12"/>
  <c r="K1586" i="12"/>
  <c r="K1585" i="12"/>
  <c r="K1584" i="12"/>
  <c r="K1583" i="12"/>
  <c r="K1582" i="12"/>
  <c r="K1581" i="12"/>
  <c r="K1580" i="12"/>
  <c r="K1579" i="12"/>
  <c r="K1578" i="12"/>
  <c r="K1577" i="12"/>
  <c r="K1576" i="12"/>
  <c r="K1575" i="12"/>
  <c r="K1574" i="12"/>
  <c r="K1573" i="12"/>
  <c r="K1572" i="12"/>
  <c r="K1571" i="12"/>
  <c r="K1570" i="12"/>
  <c r="K1569" i="12"/>
  <c r="K1568" i="12"/>
  <c r="K1567" i="12"/>
  <c r="K1566" i="12"/>
  <c r="K1565" i="12"/>
  <c r="K1564" i="12"/>
  <c r="K1563" i="12"/>
  <c r="K1562" i="12"/>
  <c r="K1561" i="12"/>
  <c r="K1560" i="12"/>
  <c r="K1559" i="12"/>
  <c r="K1558" i="12"/>
  <c r="K1557" i="12"/>
  <c r="K1556" i="12"/>
  <c r="K1555" i="12"/>
  <c r="K1554" i="12"/>
  <c r="K1553" i="12"/>
  <c r="K1552" i="12"/>
  <c r="K1551" i="12"/>
  <c r="K1550" i="12"/>
  <c r="K1549" i="12"/>
  <c r="K1548" i="12"/>
  <c r="K1547" i="12"/>
  <c r="K1546" i="12"/>
  <c r="K1545" i="12"/>
  <c r="K1544" i="12"/>
  <c r="K1543" i="12"/>
  <c r="K1542" i="12"/>
  <c r="K1541" i="12"/>
  <c r="K1540" i="12"/>
  <c r="K1539" i="12"/>
  <c r="K1538" i="12"/>
  <c r="K1537" i="12"/>
  <c r="K1536" i="12"/>
  <c r="K1535" i="12"/>
  <c r="K1534" i="12"/>
  <c r="K1533" i="12"/>
  <c r="K1532" i="12"/>
  <c r="N1532" i="12" s="1"/>
  <c r="K1531" i="12"/>
  <c r="K1530" i="12"/>
  <c r="K1529" i="12"/>
  <c r="K1528" i="12"/>
  <c r="K1527" i="12"/>
  <c r="K1526" i="12"/>
  <c r="K1525" i="12"/>
  <c r="K1524" i="12"/>
  <c r="N1524" i="12" s="1"/>
  <c r="K1523" i="12"/>
  <c r="K1522" i="12"/>
  <c r="K1521" i="12"/>
  <c r="K1520" i="12"/>
  <c r="K1519" i="12"/>
  <c r="K1518" i="12"/>
  <c r="K1517" i="12"/>
  <c r="K1516" i="12"/>
  <c r="N1516" i="12" s="1"/>
  <c r="K1515" i="12"/>
  <c r="K1514" i="12"/>
  <c r="K1513" i="12"/>
  <c r="K1512" i="12"/>
  <c r="K1511" i="12"/>
  <c r="K1510" i="12"/>
  <c r="K1509" i="12"/>
  <c r="K1508" i="12"/>
  <c r="K1507" i="12"/>
  <c r="K1506" i="12"/>
  <c r="K1505" i="12"/>
  <c r="K1504" i="12"/>
  <c r="K1503" i="12"/>
  <c r="K1502" i="12"/>
  <c r="K1501" i="12"/>
  <c r="K1500" i="12"/>
  <c r="N1500" i="12" s="1"/>
  <c r="K1499" i="12"/>
  <c r="K1498" i="12"/>
  <c r="K1497" i="12"/>
  <c r="K1496" i="12"/>
  <c r="K1495" i="12"/>
  <c r="K1494" i="12"/>
  <c r="K1493" i="12"/>
  <c r="K1492" i="12"/>
  <c r="N1492" i="12" s="1"/>
  <c r="K1491" i="12"/>
  <c r="K1490" i="12"/>
  <c r="K1489" i="12"/>
  <c r="K1488" i="12"/>
  <c r="K1487" i="12"/>
  <c r="K1486" i="12"/>
  <c r="K1485" i="12"/>
  <c r="K1484" i="12"/>
  <c r="N1484" i="12" s="1"/>
  <c r="K1483" i="12"/>
  <c r="K1482" i="12"/>
  <c r="K1481" i="12"/>
  <c r="K1480" i="12"/>
  <c r="K1479" i="12"/>
  <c r="K1478" i="12"/>
  <c r="K1477" i="12"/>
  <c r="K1476" i="12"/>
  <c r="K1475" i="12"/>
  <c r="K1474" i="12"/>
  <c r="K1473" i="12"/>
  <c r="K1472" i="12"/>
  <c r="K1471" i="12"/>
  <c r="K1470" i="12"/>
  <c r="K1469" i="12"/>
  <c r="K1468" i="12"/>
  <c r="N1468" i="12" s="1"/>
  <c r="K1467" i="12"/>
  <c r="K1466" i="12"/>
  <c r="K1465" i="12"/>
  <c r="K1464" i="12"/>
  <c r="K1463" i="12"/>
  <c r="K1462" i="12"/>
  <c r="K1461" i="12"/>
  <c r="K1460" i="12"/>
  <c r="N1460" i="12" s="1"/>
  <c r="K1459" i="12"/>
  <c r="K1458" i="12"/>
  <c r="K1457" i="12"/>
  <c r="K1456" i="12"/>
  <c r="K1455" i="12"/>
  <c r="K1454" i="12"/>
  <c r="K1453" i="12"/>
  <c r="K1452" i="12"/>
  <c r="N1452" i="12" s="1"/>
  <c r="K1451" i="12"/>
  <c r="K1450" i="12"/>
  <c r="K1449" i="12"/>
  <c r="K1448" i="12"/>
  <c r="K1447" i="12"/>
  <c r="K1446" i="12"/>
  <c r="K1445" i="12"/>
  <c r="K1444" i="12"/>
  <c r="K1443" i="12"/>
  <c r="K1442" i="12"/>
  <c r="K1441" i="12"/>
  <c r="K1440" i="12"/>
  <c r="K1439" i="12"/>
  <c r="K1438" i="12"/>
  <c r="K1437" i="12"/>
  <c r="K1436" i="12"/>
  <c r="N1436" i="12" s="1"/>
  <c r="K1435" i="12"/>
  <c r="K1434" i="12"/>
  <c r="K1433" i="12"/>
  <c r="K1432" i="12"/>
  <c r="K1431" i="12"/>
  <c r="K1430" i="12"/>
  <c r="K1429" i="12"/>
  <c r="K1428" i="12"/>
  <c r="N1428" i="12" s="1"/>
  <c r="K1427" i="12"/>
  <c r="K1426" i="12"/>
  <c r="K1425" i="12"/>
  <c r="K1424" i="12"/>
  <c r="K1423" i="12"/>
  <c r="K1422" i="12"/>
  <c r="K1421" i="12"/>
  <c r="K1420" i="12"/>
  <c r="K1419" i="12"/>
  <c r="K1418" i="12"/>
  <c r="K1417" i="12"/>
  <c r="K1416" i="12"/>
  <c r="K1415" i="12"/>
  <c r="K1414" i="12"/>
  <c r="K1413" i="12"/>
  <c r="K1412" i="12"/>
  <c r="K1411" i="12"/>
  <c r="K1410" i="12"/>
  <c r="K1409" i="12"/>
  <c r="K1408" i="12"/>
  <c r="K1407" i="12"/>
  <c r="K1406" i="12"/>
  <c r="K1405" i="12"/>
  <c r="K1404" i="12"/>
  <c r="K1403" i="12"/>
  <c r="K1402" i="12"/>
  <c r="K1401" i="12"/>
  <c r="K1400" i="12"/>
  <c r="K1399" i="12"/>
  <c r="K1398" i="12"/>
  <c r="K1397" i="12"/>
  <c r="K1396" i="12"/>
  <c r="K1395" i="12"/>
  <c r="K1394" i="12"/>
  <c r="K1393" i="12"/>
  <c r="K1392" i="12"/>
  <c r="K1391" i="12"/>
  <c r="K1390" i="12"/>
  <c r="K1389" i="12"/>
  <c r="K1388" i="12"/>
  <c r="K1387" i="12"/>
  <c r="K1386" i="12"/>
  <c r="K1385" i="12"/>
  <c r="K1384" i="12"/>
  <c r="K1383" i="12"/>
  <c r="K1382" i="12"/>
  <c r="K1381" i="12"/>
  <c r="K1380" i="12"/>
  <c r="K1379" i="12"/>
  <c r="K1378" i="12"/>
  <c r="K1377" i="12"/>
  <c r="K1376" i="12"/>
  <c r="K1375" i="12"/>
  <c r="K1374" i="12"/>
  <c r="K1373" i="12"/>
  <c r="K1372" i="12"/>
  <c r="K1371" i="12"/>
  <c r="K1370" i="12"/>
  <c r="K1369" i="12"/>
  <c r="K1368" i="12"/>
  <c r="K1367" i="12"/>
  <c r="K1366" i="12"/>
  <c r="K1365" i="12"/>
  <c r="K1364" i="12"/>
  <c r="K1363" i="12"/>
  <c r="K1362" i="12"/>
  <c r="K1361" i="12"/>
  <c r="K1360" i="12"/>
  <c r="K1359" i="12"/>
  <c r="K1358" i="12"/>
  <c r="K1357" i="12"/>
  <c r="K1356" i="12"/>
  <c r="K1355" i="12"/>
  <c r="K1354" i="12"/>
  <c r="K1353" i="12"/>
  <c r="K1352" i="12"/>
  <c r="K1351" i="12"/>
  <c r="K1350" i="12"/>
  <c r="K1349" i="12"/>
  <c r="K1348" i="12"/>
  <c r="K1347" i="12"/>
  <c r="K1346" i="12"/>
  <c r="K1345" i="12"/>
  <c r="K1344" i="12"/>
  <c r="K1343" i="12"/>
  <c r="K1342" i="12"/>
  <c r="K1341" i="12"/>
  <c r="K1340" i="12"/>
  <c r="K1339" i="12"/>
  <c r="K1338" i="12"/>
  <c r="K1337" i="12"/>
  <c r="K1336" i="12"/>
  <c r="K1335" i="12"/>
  <c r="K1334" i="12"/>
  <c r="K1333" i="12"/>
  <c r="K1332" i="12"/>
  <c r="K1331" i="12"/>
  <c r="K1330" i="12"/>
  <c r="K1329" i="12"/>
  <c r="K1328" i="12"/>
  <c r="K1327" i="12"/>
  <c r="K1326" i="12"/>
  <c r="K1325" i="12"/>
  <c r="K1324" i="12"/>
  <c r="K1323" i="12"/>
  <c r="K1322" i="12"/>
  <c r="K1321" i="12"/>
  <c r="K1320" i="12"/>
  <c r="K1319" i="12"/>
  <c r="K1318" i="12"/>
  <c r="K1317" i="12"/>
  <c r="K1316" i="12"/>
  <c r="K1315" i="12"/>
  <c r="K1314" i="12"/>
  <c r="K1313" i="12"/>
  <c r="K1312" i="12"/>
  <c r="K1311" i="12"/>
  <c r="K1310" i="12"/>
  <c r="K1309" i="12"/>
  <c r="K1308" i="12"/>
  <c r="K1307" i="12"/>
  <c r="K1306" i="12"/>
  <c r="K1305" i="12"/>
  <c r="K1304" i="12"/>
  <c r="K1303" i="12"/>
  <c r="K1302" i="12"/>
  <c r="K1301" i="12"/>
  <c r="U1301" i="12" s="1"/>
  <c r="K1300" i="12"/>
  <c r="K1299" i="12"/>
  <c r="K1298" i="12"/>
  <c r="K1297" i="12"/>
  <c r="K1296" i="12"/>
  <c r="K1295" i="12"/>
  <c r="K1294" i="12"/>
  <c r="K1293" i="12"/>
  <c r="U1293" i="12" s="1"/>
  <c r="K1292" i="12"/>
  <c r="K1291" i="12"/>
  <c r="K1290" i="12"/>
  <c r="K1289" i="12"/>
  <c r="K1288" i="12"/>
  <c r="K1287" i="12"/>
  <c r="K1286" i="12"/>
  <c r="K1285" i="12"/>
  <c r="U1285" i="12" s="1"/>
  <c r="K1284" i="12"/>
  <c r="K1283" i="12"/>
  <c r="K1282" i="12"/>
  <c r="K1281" i="12"/>
  <c r="K1280" i="12"/>
  <c r="K1279" i="12"/>
  <c r="K1278" i="12"/>
  <c r="K1277" i="12"/>
  <c r="U1277" i="12" s="1"/>
  <c r="K1276" i="12"/>
  <c r="K1275" i="12"/>
  <c r="K1274" i="12"/>
  <c r="K1273" i="12"/>
  <c r="K1272" i="12"/>
  <c r="K1271" i="12"/>
  <c r="K1270" i="12"/>
  <c r="K1269" i="12"/>
  <c r="U1269" i="12" s="1"/>
  <c r="K1268" i="12"/>
  <c r="K1267" i="12"/>
  <c r="K1266" i="12"/>
  <c r="K1265" i="12"/>
  <c r="K1264" i="12"/>
  <c r="K1263" i="12"/>
  <c r="K1262" i="12"/>
  <c r="K1261" i="12"/>
  <c r="U1261" i="12" s="1"/>
  <c r="K1260" i="12"/>
  <c r="K1259" i="12"/>
  <c r="K1258" i="12"/>
  <c r="K1257" i="12"/>
  <c r="K1256" i="12"/>
  <c r="K1255" i="12"/>
  <c r="K1254" i="12"/>
  <c r="K1253" i="12"/>
  <c r="U1253" i="12" s="1"/>
  <c r="K1252" i="12"/>
  <c r="K1251" i="12"/>
  <c r="K1250" i="12"/>
  <c r="K1249" i="12"/>
  <c r="K1248" i="12"/>
  <c r="K1247" i="12"/>
  <c r="K1246" i="12"/>
  <c r="K1245" i="12"/>
  <c r="U1245" i="12" s="1"/>
  <c r="K1244" i="12"/>
  <c r="K1243" i="12"/>
  <c r="K1242" i="12"/>
  <c r="K1241" i="12"/>
  <c r="K1240" i="12"/>
  <c r="K1239" i="12"/>
  <c r="K1238" i="12"/>
  <c r="K1237" i="12"/>
  <c r="U1237" i="12" s="1"/>
  <c r="K1236" i="12"/>
  <c r="K1235" i="12"/>
  <c r="K1234" i="12"/>
  <c r="K1233" i="12"/>
  <c r="K1232" i="12"/>
  <c r="K1231" i="12"/>
  <c r="K1230" i="12"/>
  <c r="K1229" i="12"/>
  <c r="U1229" i="12" s="1"/>
  <c r="K1228" i="12"/>
  <c r="K1227" i="12"/>
  <c r="K1226" i="12"/>
  <c r="K1225" i="12"/>
  <c r="K1224" i="12"/>
  <c r="K1223" i="12"/>
  <c r="K1222" i="12"/>
  <c r="K1221" i="12"/>
  <c r="U1221" i="12" s="1"/>
  <c r="K1220" i="12"/>
  <c r="K1219" i="12"/>
  <c r="K1218" i="12"/>
  <c r="K1217" i="12"/>
  <c r="K1216" i="12"/>
  <c r="K1215" i="12"/>
  <c r="K1214" i="12"/>
  <c r="K1213" i="12"/>
  <c r="U1213" i="12" s="1"/>
  <c r="K1212" i="12"/>
  <c r="K1211" i="12"/>
  <c r="K1210" i="12"/>
  <c r="K1209" i="12"/>
  <c r="K1208" i="12"/>
  <c r="K1207" i="12"/>
  <c r="K1206" i="12"/>
  <c r="K1205" i="12"/>
  <c r="U1205" i="12" s="1"/>
  <c r="K1204" i="12"/>
  <c r="K1203" i="12"/>
  <c r="K1202" i="12"/>
  <c r="K1201" i="12"/>
  <c r="K1200" i="12"/>
  <c r="K1199" i="12"/>
  <c r="K1198" i="12"/>
  <c r="K1197" i="12"/>
  <c r="U1197" i="12" s="1"/>
  <c r="K1196" i="12"/>
  <c r="K1195" i="12"/>
  <c r="K1194" i="12"/>
  <c r="K1193" i="12"/>
  <c r="K1192" i="12"/>
  <c r="K1191" i="12"/>
  <c r="K1190" i="12"/>
  <c r="K1189" i="12"/>
  <c r="U1189" i="12" s="1"/>
  <c r="K1188" i="12"/>
  <c r="K1187" i="12"/>
  <c r="K1186" i="12"/>
  <c r="K1185" i="12"/>
  <c r="K1184" i="12"/>
  <c r="K1183" i="12"/>
  <c r="K1182" i="12"/>
  <c r="K1181" i="12"/>
  <c r="U1181" i="12" s="1"/>
  <c r="K1180" i="12"/>
  <c r="K1179" i="12"/>
  <c r="K1178" i="12"/>
  <c r="K1177" i="12"/>
  <c r="K1176" i="12"/>
  <c r="K1175" i="12"/>
  <c r="K1174" i="12"/>
  <c r="K1173" i="12"/>
  <c r="U1173" i="12" s="1"/>
  <c r="K1172" i="12"/>
  <c r="K1171" i="12"/>
  <c r="K1170" i="12"/>
  <c r="K1169" i="12"/>
  <c r="K1168" i="12"/>
  <c r="K1167" i="12"/>
  <c r="K1166" i="12"/>
  <c r="R8" i="10"/>
  <c r="K8" i="10"/>
  <c r="H8" i="10"/>
  <c r="E8" i="10"/>
  <c r="N1050" i="1"/>
  <c r="T275" i="17" l="1"/>
  <c r="U275" i="17" s="1"/>
  <c r="T272" i="17"/>
  <c r="U272" i="17" s="1"/>
  <c r="N271" i="17"/>
  <c r="U271" i="17" s="1"/>
  <c r="V315" i="17"/>
  <c r="T270" i="17"/>
  <c r="U270" i="17" s="1"/>
  <c r="T315" i="17"/>
  <c r="K13" i="9" s="1"/>
  <c r="N315" i="17"/>
  <c r="U1225" i="12"/>
  <c r="U1257" i="12"/>
  <c r="U1305" i="12"/>
  <c r="U1345" i="12"/>
  <c r="U1393" i="12"/>
  <c r="U1209" i="12"/>
  <c r="U1233" i="12"/>
  <c r="U1265" i="12"/>
  <c r="U1297" i="12"/>
  <c r="U1329" i="12"/>
  <c r="U1377" i="12"/>
  <c r="U1177" i="12"/>
  <c r="U1193" i="12"/>
  <c r="U1217" i="12"/>
  <c r="U1249" i="12"/>
  <c r="U1281" i="12"/>
  <c r="U1289" i="12"/>
  <c r="U1321" i="12"/>
  <c r="U1353" i="12"/>
  <c r="U1361" i="12"/>
  <c r="U1369" i="12"/>
  <c r="U1385" i="12"/>
  <c r="U1201" i="12"/>
  <c r="U1241" i="12"/>
  <c r="U1273" i="12"/>
  <c r="U1313" i="12"/>
  <c r="U1337" i="12"/>
  <c r="U1401" i="12"/>
  <c r="U1178" i="12"/>
  <c r="U1194" i="12"/>
  <c r="U1210" i="12"/>
  <c r="U1226" i="12"/>
  <c r="U1242" i="12"/>
  <c r="U1274" i="12"/>
  <c r="U1290" i="12"/>
  <c r="U1306" i="12"/>
  <c r="U1330" i="12"/>
  <c r="U1346" i="12"/>
  <c r="U1362" i="12"/>
  <c r="U1378" i="12"/>
  <c r="U1410" i="12"/>
  <c r="U1426" i="12"/>
  <c r="U1450" i="12"/>
  <c r="U1506" i="12"/>
  <c r="U1794" i="12"/>
  <c r="U1170" i="12"/>
  <c r="U1186" i="12"/>
  <c r="U1202" i="12"/>
  <c r="U1218" i="12"/>
  <c r="U1234" i="12"/>
  <c r="U1250" i="12"/>
  <c r="U1266" i="12"/>
  <c r="U1282" i="12"/>
  <c r="U1298" i="12"/>
  <c r="U1314" i="12"/>
  <c r="U1338" i="12"/>
  <c r="U1370" i="12"/>
  <c r="U1394" i="12"/>
  <c r="U1402" i="12"/>
  <c r="U1418" i="12"/>
  <c r="U1434" i="12"/>
  <c r="U1442" i="12"/>
  <c r="U1458" i="12"/>
  <c r="U1466" i="12"/>
  <c r="U1474" i="12"/>
  <c r="U1482" i="12"/>
  <c r="U1490" i="12"/>
  <c r="U1498" i="12"/>
  <c r="U1514" i="12"/>
  <c r="U1522" i="12"/>
  <c r="U1530" i="12"/>
  <c r="U1538" i="12"/>
  <c r="U1546" i="12"/>
  <c r="U1554" i="12"/>
  <c r="U1562" i="12"/>
  <c r="U1570" i="12"/>
  <c r="U1578" i="12"/>
  <c r="U1586" i="12"/>
  <c r="U1602" i="12"/>
  <c r="U1610" i="12"/>
  <c r="U1618" i="12"/>
  <c r="U1626" i="12"/>
  <c r="U1634" i="12"/>
  <c r="U1642" i="12"/>
  <c r="U1650" i="12"/>
  <c r="U1658" i="12"/>
  <c r="U1666" i="12"/>
  <c r="U1674" i="12"/>
  <c r="U1682" i="12"/>
  <c r="U1690" i="12"/>
  <c r="U1698" i="12"/>
  <c r="U1706" i="12"/>
  <c r="U1714" i="12"/>
  <c r="U1722" i="12"/>
  <c r="U1730" i="12"/>
  <c r="U1738" i="12"/>
  <c r="U1746" i="12"/>
  <c r="U1754" i="12"/>
  <c r="U1762" i="12"/>
  <c r="U1778" i="12"/>
  <c r="U1810" i="12"/>
  <c r="U1818" i="12"/>
  <c r="U1835" i="12"/>
  <c r="U1171" i="12"/>
  <c r="U1179" i="12"/>
  <c r="U1187" i="12"/>
  <c r="U1195" i="12"/>
  <c r="U1203" i="12"/>
  <c r="U1211" i="12"/>
  <c r="U1219" i="12"/>
  <c r="U1227" i="12"/>
  <c r="U1235" i="12"/>
  <c r="U1243" i="12"/>
  <c r="U1251" i="12"/>
  <c r="U1259" i="12"/>
  <c r="U1267" i="12"/>
  <c r="U1275" i="12"/>
  <c r="U1283" i="12"/>
  <c r="U1291" i="12"/>
  <c r="U1299" i="12"/>
  <c r="U1307" i="12"/>
  <c r="U1315" i="12"/>
  <c r="U1323" i="12"/>
  <c r="U1331" i="12"/>
  <c r="U1339" i="12"/>
  <c r="U1347" i="12"/>
  <c r="U1355" i="12"/>
  <c r="U1363" i="12"/>
  <c r="U1371" i="12"/>
  <c r="U1379" i="12"/>
  <c r="U1387" i="12"/>
  <c r="U1395" i="12"/>
  <c r="U1403" i="12"/>
  <c r="U1411" i="12"/>
  <c r="U1419" i="12"/>
  <c r="U1427" i="12"/>
  <c r="U1435" i="12"/>
  <c r="U1443" i="12"/>
  <c r="U1451" i="12"/>
  <c r="U1459" i="12"/>
  <c r="U1467" i="12"/>
  <c r="U1475" i="12"/>
  <c r="U1483" i="12"/>
  <c r="U1491" i="12"/>
  <c r="U1499" i="12"/>
  <c r="U1507" i="12"/>
  <c r="U1515" i="12"/>
  <c r="U1523" i="12"/>
  <c r="U1531" i="12"/>
  <c r="U1539" i="12"/>
  <c r="U1547" i="12"/>
  <c r="U1555" i="12"/>
  <c r="U1563" i="12"/>
  <c r="U1571" i="12"/>
  <c r="U1579" i="12"/>
  <c r="U1587" i="12"/>
  <c r="U1595" i="12"/>
  <c r="U1603" i="12"/>
  <c r="U1611" i="12"/>
  <c r="U1619" i="12"/>
  <c r="U1627" i="12"/>
  <c r="U1635" i="12"/>
  <c r="U1643" i="12"/>
  <c r="U1651" i="12"/>
  <c r="U1659" i="12"/>
  <c r="U1667" i="12"/>
  <c r="U1675" i="12"/>
  <c r="U1683" i="12"/>
  <c r="U1691" i="12"/>
  <c r="U1699" i="12"/>
  <c r="U1707" i="12"/>
  <c r="U1715" i="12"/>
  <c r="U1723" i="12"/>
  <c r="U1731" i="12"/>
  <c r="U1739" i="12"/>
  <c r="U1747" i="12"/>
  <c r="U1755" i="12"/>
  <c r="U1763" i="12"/>
  <c r="U1771" i="12"/>
  <c r="U1779" i="12"/>
  <c r="U1787" i="12"/>
  <c r="U1795" i="12"/>
  <c r="U1803" i="12"/>
  <c r="U1811" i="12"/>
  <c r="U1819" i="12"/>
  <c r="U1786" i="12"/>
  <c r="U1802" i="12"/>
  <c r="U1826" i="12"/>
  <c r="U1172" i="12"/>
  <c r="U1188" i="12"/>
  <c r="U1196" i="12"/>
  <c r="U1204" i="12"/>
  <c r="U1220" i="12"/>
  <c r="U1228" i="12"/>
  <c r="U1236" i="12"/>
  <c r="U1252" i="12"/>
  <c r="U1260" i="12"/>
  <c r="U1268" i="12"/>
  <c r="U1284" i="12"/>
  <c r="U1292" i="12"/>
  <c r="U1300" i="12"/>
  <c r="U1308" i="12"/>
  <c r="U1316" i="12"/>
  <c r="U1324" i="12"/>
  <c r="U1332" i="12"/>
  <c r="U1340" i="12"/>
  <c r="U1348" i="12"/>
  <c r="U1356" i="12"/>
  <c r="U1364" i="12"/>
  <c r="U1372" i="12"/>
  <c r="U1380" i="12"/>
  <c r="U1388" i="12"/>
  <c r="U1396" i="12"/>
  <c r="U1404" i="12"/>
  <c r="U1412" i="12"/>
  <c r="U1420" i="12"/>
  <c r="T313" i="16"/>
  <c r="S315" i="16"/>
  <c r="T315" i="16" s="1"/>
  <c r="U315" i="16" s="1"/>
  <c r="S323" i="16"/>
  <c r="T323" i="16" s="1"/>
  <c r="U323" i="16" s="1"/>
  <c r="S331" i="16"/>
  <c r="T331" i="16" s="1"/>
  <c r="U331" i="16" s="1"/>
  <c r="S333" i="16"/>
  <c r="T333" i="16" s="1"/>
  <c r="U333" i="16" s="1"/>
  <c r="S314" i="16"/>
  <c r="T314" i="16" s="1"/>
  <c r="U314" i="16" s="1"/>
  <c r="N313" i="16"/>
  <c r="S308" i="16"/>
  <c r="S316" i="16"/>
  <c r="T316" i="16" s="1"/>
  <c r="U316" i="16" s="1"/>
  <c r="S325" i="16"/>
  <c r="T325" i="16" s="1"/>
  <c r="U325" i="16" s="1"/>
  <c r="S322" i="16"/>
  <c r="T322" i="16" s="1"/>
  <c r="U322" i="16" s="1"/>
  <c r="S324" i="16"/>
  <c r="T324" i="16" s="1"/>
  <c r="U324" i="16" s="1"/>
  <c r="S332" i="16"/>
  <c r="T332" i="16" s="1"/>
  <c r="U332" i="16" s="1"/>
  <c r="S310" i="16"/>
  <c r="S313" i="16"/>
  <c r="S317" i="16"/>
  <c r="T317" i="16" s="1"/>
  <c r="U317" i="16" s="1"/>
  <c r="S328" i="16"/>
  <c r="T328" i="16" s="1"/>
  <c r="U328" i="16" s="1"/>
  <c r="S311" i="16"/>
  <c r="S326" i="16"/>
  <c r="T326" i="16" s="1"/>
  <c r="U326" i="16" s="1"/>
  <c r="S329" i="16"/>
  <c r="T329" i="16" s="1"/>
  <c r="U329" i="16" s="1"/>
  <c r="S312" i="16"/>
  <c r="S319" i="16"/>
  <c r="T319" i="16" s="1"/>
  <c r="U319" i="16" s="1"/>
  <c r="S309" i="16"/>
  <c r="S330" i="16"/>
  <c r="T330" i="16" s="1"/>
  <c r="U330" i="16" s="1"/>
  <c r="S318" i="16"/>
  <c r="T318" i="16" s="1"/>
  <c r="U318" i="16" s="1"/>
  <c r="S320" i="16"/>
  <c r="T320" i="16" s="1"/>
  <c r="U320" i="16" s="1"/>
  <c r="S327" i="16"/>
  <c r="T327" i="16" s="1"/>
  <c r="U327" i="16" s="1"/>
  <c r="T288" i="14"/>
  <c r="T254" i="14"/>
  <c r="T249" i="14"/>
  <c r="T294" i="14"/>
  <c r="U275" i="14"/>
  <c r="T282" i="14"/>
  <c r="U282" i="14" s="1"/>
  <c r="T273" i="14"/>
  <c r="U273" i="14" s="1"/>
  <c r="T295" i="14"/>
  <c r="U295" i="14" s="1"/>
  <c r="T252" i="14"/>
  <c r="T284" i="14"/>
  <c r="T300" i="14"/>
  <c r="T250" i="14"/>
  <c r="T274" i="14"/>
  <c r="U274" i="14" s="1"/>
  <c r="T280" i="14"/>
  <c r="U280" i="14" s="1"/>
  <c r="T257" i="14"/>
  <c r="T289" i="14"/>
  <c r="T253" i="14"/>
  <c r="T261" i="14"/>
  <c r="T301" i="14"/>
  <c r="T309" i="14"/>
  <c r="N283" i="14"/>
  <c r="U283" i="14" s="1"/>
  <c r="T264" i="14"/>
  <c r="T290" i="14"/>
  <c r="T296" i="14"/>
  <c r="U296" i="14" s="1"/>
  <c r="T263" i="14"/>
  <c r="T281" i="14"/>
  <c r="T305" i="14"/>
  <c r="U271" i="14"/>
  <c r="U302" i="14"/>
  <c r="U269" i="14"/>
  <c r="U305" i="14"/>
  <c r="U249" i="14"/>
  <c r="T276" i="14"/>
  <c r="U276" i="14" s="1"/>
  <c r="T308" i="14"/>
  <c r="U308" i="14" s="1"/>
  <c r="N252" i="14"/>
  <c r="U252" i="14" s="1"/>
  <c r="N268" i="14"/>
  <c r="U268" i="14" s="1"/>
  <c r="N284" i="14"/>
  <c r="U284" i="14" s="1"/>
  <c r="N300" i="14"/>
  <c r="U300" i="14" s="1"/>
  <c r="U254" i="14"/>
  <c r="U290" i="14"/>
  <c r="U304" i="14"/>
  <c r="N253" i="14"/>
  <c r="U253" i="14" s="1"/>
  <c r="N269" i="14"/>
  <c r="N301" i="14"/>
  <c r="U301" i="14" s="1"/>
  <c r="N309" i="14"/>
  <c r="U309" i="14" s="1"/>
  <c r="T286" i="14"/>
  <c r="U286" i="14" s="1"/>
  <c r="T285" i="14"/>
  <c r="U285" i="14" s="1"/>
  <c r="N270" i="14"/>
  <c r="U270" i="14" s="1"/>
  <c r="N302" i="14"/>
  <c r="T260" i="14"/>
  <c r="U260" i="14" s="1"/>
  <c r="T278" i="14"/>
  <c r="U278" i="14" s="1"/>
  <c r="U259" i="14"/>
  <c r="U291" i="14"/>
  <c r="U307" i="14"/>
  <c r="N279" i="14"/>
  <c r="U279" i="14" s="1"/>
  <c r="N311" i="14"/>
  <c r="U311" i="14" s="1"/>
  <c r="T256" i="14"/>
  <c r="U256" i="14" s="1"/>
  <c r="N288" i="14"/>
  <c r="U288" i="14" s="1"/>
  <c r="N257" i="14"/>
  <c r="N289" i="14"/>
  <c r="N297" i="14"/>
  <c r="U297" i="14" s="1"/>
  <c r="T248" i="14"/>
  <c r="U248" i="14" s="1"/>
  <c r="T266" i="14"/>
  <c r="U266" i="14" s="1"/>
  <c r="T293" i="14"/>
  <c r="U293" i="14" s="1"/>
  <c r="T277" i="14"/>
  <c r="U277" i="14" s="1"/>
  <c r="U258" i="14"/>
  <c r="U294" i="14"/>
  <c r="U312" i="14"/>
  <c r="N292" i="14"/>
  <c r="U292" i="14" s="1"/>
  <c r="U272" i="14"/>
  <c r="U263" i="14"/>
  <c r="N261" i="14"/>
  <c r="U261" i="14" s="1"/>
  <c r="U250" i="14"/>
  <c r="U264" i="14"/>
  <c r="N262" i="14"/>
  <c r="U262" i="14" s="1"/>
  <c r="N310" i="14"/>
  <c r="U310" i="14" s="1"/>
  <c r="N271" i="14"/>
  <c r="U265" i="14"/>
  <c r="U281" i="14"/>
  <c r="T255" i="14"/>
  <c r="U255" i="14" s="1"/>
  <c r="T287" i="14"/>
  <c r="U287" i="14" s="1"/>
  <c r="T303" i="14"/>
  <c r="U303" i="14" s="1"/>
  <c r="N298" i="14"/>
  <c r="U298" i="14" s="1"/>
  <c r="T251" i="14"/>
  <c r="U251" i="14" s="1"/>
  <c r="T267" i="14"/>
  <c r="U267" i="14" s="1"/>
  <c r="T299" i="14"/>
  <c r="U299" i="14" s="1"/>
  <c r="U175" i="15"/>
  <c r="U183" i="15"/>
  <c r="U191" i="15"/>
  <c r="U199" i="15"/>
  <c r="U207" i="15"/>
  <c r="U215" i="15"/>
  <c r="T223" i="15"/>
  <c r="U223" i="15" s="1"/>
  <c r="T177" i="15"/>
  <c r="U177" i="15" s="1"/>
  <c r="T201" i="15"/>
  <c r="U201" i="15" s="1"/>
  <c r="T196" i="15"/>
  <c r="U196" i="15" s="1"/>
  <c r="T220" i="15"/>
  <c r="T202" i="15"/>
  <c r="U202" i="15" s="1"/>
  <c r="U225" i="15"/>
  <c r="T182" i="15"/>
  <c r="U182" i="15" s="1"/>
  <c r="T206" i="15"/>
  <c r="U206" i="15" s="1"/>
  <c r="T181" i="15"/>
  <c r="U181" i="15" s="1"/>
  <c r="T205" i="15"/>
  <c r="T194" i="15"/>
  <c r="U194" i="15" s="1"/>
  <c r="T218" i="15"/>
  <c r="U189" i="15"/>
  <c r="U205" i="15"/>
  <c r="U213" i="15"/>
  <c r="U221" i="15"/>
  <c r="U179" i="15"/>
  <c r="U211" i="15"/>
  <c r="U186" i="15"/>
  <c r="U188" i="15"/>
  <c r="U218" i="15"/>
  <c r="U220" i="15"/>
  <c r="U184" i="15"/>
  <c r="U203" i="15"/>
  <c r="U216" i="15"/>
  <c r="U176" i="15"/>
  <c r="U195" i="15"/>
  <c r="U208" i="15"/>
  <c r="U227" i="15"/>
  <c r="U187" i="15"/>
  <c r="U226" i="15"/>
  <c r="U1175" i="12"/>
  <c r="U1191" i="12"/>
  <c r="U1199" i="12"/>
  <c r="U1207" i="12"/>
  <c r="U1215" i="12"/>
  <c r="U1223" i="12"/>
  <c r="U1231" i="12"/>
  <c r="U1239" i="12"/>
  <c r="U1247" i="12"/>
  <c r="U1255" i="12"/>
  <c r="U1263" i="12"/>
  <c r="U1271" i="12"/>
  <c r="U1375" i="12"/>
  <c r="U1383" i="12"/>
  <c r="U1391" i="12"/>
  <c r="U1399" i="12"/>
  <c r="U1407" i="12"/>
  <c r="U1415" i="12"/>
  <c r="U1423" i="12"/>
  <c r="U1431" i="12"/>
  <c r="U1439" i="12"/>
  <c r="U1447" i="12"/>
  <c r="U1455" i="12"/>
  <c r="U1463" i="12"/>
  <c r="U1471" i="12"/>
  <c r="N1388" i="12"/>
  <c r="U1167" i="12"/>
  <c r="U1183" i="12"/>
  <c r="N1404" i="12"/>
  <c r="U1166" i="12"/>
  <c r="U1174" i="12"/>
  <c r="U1182" i="12"/>
  <c r="U1190" i="12"/>
  <c r="U1198" i="12"/>
  <c r="U1206" i="12"/>
  <c r="U1214" i="12"/>
  <c r="U1222" i="12"/>
  <c r="U1230" i="12"/>
  <c r="U1238" i="12"/>
  <c r="U1246" i="12"/>
  <c r="U1254" i="12"/>
  <c r="U1262" i="12"/>
  <c r="U1270" i="12"/>
  <c r="U1278" i="12"/>
  <c r="U1286" i="12"/>
  <c r="U1294" i="12"/>
  <c r="U1302" i="12"/>
  <c r="U1310" i="12"/>
  <c r="U1318" i="12"/>
  <c r="U1326" i="12"/>
  <c r="U1334" i="12"/>
  <c r="U1342" i="12"/>
  <c r="U1350" i="12"/>
  <c r="U1358" i="12"/>
  <c r="U1366" i="12"/>
  <c r="U1390" i="12"/>
  <c r="U1398" i="12"/>
  <c r="U1406" i="12"/>
  <c r="U1414" i="12"/>
  <c r="U1422" i="12"/>
  <c r="U1430" i="12"/>
  <c r="U1438" i="12"/>
  <c r="U1446" i="12"/>
  <c r="U1454" i="12"/>
  <c r="U1462" i="12"/>
  <c r="U1470" i="12"/>
  <c r="U1478" i="12"/>
  <c r="U1486" i="12"/>
  <c r="U1494" i="12"/>
  <c r="U1502" i="12"/>
  <c r="U1510" i="12"/>
  <c r="U1518" i="12"/>
  <c r="U1526" i="12"/>
  <c r="U1534" i="12"/>
  <c r="N1308" i="12"/>
  <c r="V1308" i="12" s="1"/>
  <c r="X1308" i="12" s="1"/>
  <c r="U1280" i="12"/>
  <c r="U1296" i="12"/>
  <c r="U1312" i="12"/>
  <c r="U1320" i="12"/>
  <c r="U1336" i="12"/>
  <c r="U1352" i="12"/>
  <c r="U1368" i="12"/>
  <c r="U1384" i="12"/>
  <c r="U1400" i="12"/>
  <c r="U1416" i="12"/>
  <c r="U1432" i="12"/>
  <c r="U1448" i="12"/>
  <c r="U1464" i="12"/>
  <c r="U1480" i="12"/>
  <c r="U1496" i="12"/>
  <c r="U1512" i="12"/>
  <c r="U1528" i="12"/>
  <c r="U1544" i="12"/>
  <c r="U1560" i="12"/>
  <c r="U1576" i="12"/>
  <c r="U1592" i="12"/>
  <c r="U1600" i="12"/>
  <c r="U1608" i="12"/>
  <c r="U1616" i="12"/>
  <c r="U1632" i="12"/>
  <c r="U1640" i="12"/>
  <c r="U1648" i="12"/>
  <c r="U1656" i="12"/>
  <c r="U1664" i="12"/>
  <c r="U1672" i="12"/>
  <c r="U1680" i="12"/>
  <c r="U1688" i="12"/>
  <c r="U1696" i="12"/>
  <c r="U1704" i="12"/>
  <c r="U1720" i="12"/>
  <c r="U1728" i="12"/>
  <c r="U1736" i="12"/>
  <c r="U1744" i="12"/>
  <c r="U1760" i="12"/>
  <c r="U1768" i="12"/>
  <c r="U1776" i="12"/>
  <c r="U1784" i="12"/>
  <c r="U1792" i="12"/>
  <c r="U1800" i="12"/>
  <c r="U1808" i="12"/>
  <c r="U1816" i="12"/>
  <c r="U1824" i="12"/>
  <c r="U1833" i="12"/>
  <c r="N1324" i="12"/>
  <c r="U1168" i="12"/>
  <c r="U1288" i="12"/>
  <c r="U1304" i="12"/>
  <c r="U1328" i="12"/>
  <c r="U1344" i="12"/>
  <c r="U1360" i="12"/>
  <c r="U1376" i="12"/>
  <c r="U1392" i="12"/>
  <c r="U1408" i="12"/>
  <c r="U1424" i="12"/>
  <c r="U1440" i="12"/>
  <c r="U1456" i="12"/>
  <c r="U1472" i="12"/>
  <c r="U1488" i="12"/>
  <c r="U1504" i="12"/>
  <c r="U1520" i="12"/>
  <c r="U1536" i="12"/>
  <c r="U1552" i="12"/>
  <c r="U1568" i="12"/>
  <c r="N1372" i="12"/>
  <c r="N1194" i="12"/>
  <c r="N1418" i="12"/>
  <c r="N1554" i="12"/>
  <c r="V1554" i="12" s="1"/>
  <c r="X1554" i="12" s="1"/>
  <c r="U1584" i="12"/>
  <c r="N1584" i="12"/>
  <c r="U1624" i="12"/>
  <c r="N1624" i="12"/>
  <c r="U1712" i="12"/>
  <c r="N1712" i="12"/>
  <c r="U1752" i="12"/>
  <c r="N1752" i="12"/>
  <c r="N1226" i="12"/>
  <c r="N1450" i="12"/>
  <c r="N1642" i="12"/>
  <c r="U1409" i="12"/>
  <c r="U1417" i="12"/>
  <c r="U1425" i="12"/>
  <c r="U1433" i="12"/>
  <c r="U1441" i="12"/>
  <c r="U1449" i="12"/>
  <c r="U1457" i="12"/>
  <c r="U1465" i="12"/>
  <c r="U1473" i="12"/>
  <c r="U1481" i="12"/>
  <c r="U1489" i="12"/>
  <c r="U1497" i="12"/>
  <c r="U1505" i="12"/>
  <c r="U1513" i="12"/>
  <c r="U1521" i="12"/>
  <c r="U1529" i="12"/>
  <c r="N1290" i="12"/>
  <c r="N1682" i="12"/>
  <c r="V1682" i="12" s="1"/>
  <c r="X1682" i="12" s="1"/>
  <c r="U1322" i="12"/>
  <c r="N1322" i="12"/>
  <c r="U1354" i="12"/>
  <c r="N1354" i="12"/>
  <c r="U1770" i="12"/>
  <c r="N1770" i="12"/>
  <c r="N1722" i="12"/>
  <c r="N1482" i="12"/>
  <c r="N1810" i="12"/>
  <c r="U1258" i="12"/>
  <c r="N1258" i="12"/>
  <c r="U1386" i="12"/>
  <c r="N1386" i="12"/>
  <c r="U1594" i="12"/>
  <c r="N1594" i="12"/>
  <c r="U1180" i="12"/>
  <c r="N1180" i="12"/>
  <c r="U1212" i="12"/>
  <c r="N1212" i="12"/>
  <c r="U1244" i="12"/>
  <c r="N1244" i="12"/>
  <c r="U1276" i="12"/>
  <c r="V1276" i="12" s="1"/>
  <c r="X1276" i="12" s="1"/>
  <c r="N1276" i="12"/>
  <c r="N1514" i="12"/>
  <c r="N1340" i="12"/>
  <c r="N1420" i="12"/>
  <c r="U1309" i="12"/>
  <c r="U1317" i="12"/>
  <c r="U1325" i="12"/>
  <c r="U1333" i="12"/>
  <c r="U1341" i="12"/>
  <c r="U1349" i="12"/>
  <c r="U1357" i="12"/>
  <c r="U1365" i="12"/>
  <c r="U1373" i="12"/>
  <c r="U1381" i="12"/>
  <c r="U1389" i="12"/>
  <c r="U1397" i="12"/>
  <c r="U1405" i="12"/>
  <c r="U1413" i="12"/>
  <c r="U1421" i="12"/>
  <c r="U1429" i="12"/>
  <c r="U1437" i="12"/>
  <c r="U1445" i="12"/>
  <c r="U1453" i="12"/>
  <c r="U1461" i="12"/>
  <c r="U1469" i="12"/>
  <c r="U1477" i="12"/>
  <c r="U1485" i="12"/>
  <c r="U1493" i="12"/>
  <c r="U1501" i="12"/>
  <c r="U1509" i="12"/>
  <c r="U1517" i="12"/>
  <c r="U1525" i="12"/>
  <c r="U1533" i="12"/>
  <c r="U1541" i="12"/>
  <c r="U1549" i="12"/>
  <c r="U1557" i="12"/>
  <c r="U1565" i="12"/>
  <c r="U1573" i="12"/>
  <c r="U1581" i="12"/>
  <c r="U1589" i="12"/>
  <c r="U1597" i="12"/>
  <c r="U1605" i="12"/>
  <c r="U1613" i="12"/>
  <c r="U1621" i="12"/>
  <c r="U1629" i="12"/>
  <c r="U1637" i="12"/>
  <c r="U1645" i="12"/>
  <c r="U1653" i="12"/>
  <c r="U1661" i="12"/>
  <c r="U1669" i="12"/>
  <c r="U1677" i="12"/>
  <c r="U1685" i="12"/>
  <c r="U1693" i="12"/>
  <c r="U1701" i="12"/>
  <c r="U1709" i="12"/>
  <c r="U1717" i="12"/>
  <c r="U1725" i="12"/>
  <c r="U1733" i="12"/>
  <c r="U1741" i="12"/>
  <c r="U1749" i="12"/>
  <c r="U1757" i="12"/>
  <c r="U1765" i="12"/>
  <c r="U1773" i="12"/>
  <c r="U1781" i="12"/>
  <c r="U1789" i="12"/>
  <c r="U1797" i="12"/>
  <c r="U1805" i="12"/>
  <c r="U1813" i="12"/>
  <c r="U1821" i="12"/>
  <c r="U1838" i="12"/>
  <c r="N1356" i="12"/>
  <c r="N1787" i="12"/>
  <c r="U1479" i="12"/>
  <c r="U1487" i="12"/>
  <c r="U1495" i="12"/>
  <c r="U1503" i="12"/>
  <c r="U1511" i="12"/>
  <c r="U1519" i="12"/>
  <c r="U1527" i="12"/>
  <c r="U1535" i="12"/>
  <c r="U1543" i="12"/>
  <c r="U1551" i="12"/>
  <c r="U1559" i="12"/>
  <c r="U1567" i="12"/>
  <c r="U1575" i="12"/>
  <c r="U1583" i="12"/>
  <c r="U1591" i="12"/>
  <c r="U1599" i="12"/>
  <c r="U1607" i="12"/>
  <c r="U1615" i="12"/>
  <c r="U1623" i="12"/>
  <c r="U1631" i="12"/>
  <c r="U1639" i="12"/>
  <c r="U1647" i="12"/>
  <c r="U1655" i="12"/>
  <c r="U1663" i="12"/>
  <c r="U1671" i="12"/>
  <c r="U1679" i="12"/>
  <c r="U1687" i="12"/>
  <c r="U1695" i="12"/>
  <c r="U1703" i="12"/>
  <c r="U1711" i="12"/>
  <c r="U1719" i="12"/>
  <c r="U1727" i="12"/>
  <c r="U1735" i="12"/>
  <c r="U1743" i="12"/>
  <c r="U1751" i="12"/>
  <c r="U1759" i="12"/>
  <c r="U1767" i="12"/>
  <c r="U1775" i="12"/>
  <c r="U1783" i="12"/>
  <c r="U1791" i="12"/>
  <c r="U1799" i="12"/>
  <c r="U1807" i="12"/>
  <c r="U1815" i="12"/>
  <c r="U1823" i="12"/>
  <c r="V1823" i="12" s="1"/>
  <c r="X1823" i="12" s="1"/>
  <c r="U1831" i="12"/>
  <c r="V1831" i="12" s="1"/>
  <c r="X1831" i="12" s="1"/>
  <c r="N1292" i="12"/>
  <c r="N1659" i="12"/>
  <c r="V1659" i="12" s="1"/>
  <c r="X1659" i="12" s="1"/>
  <c r="U1382" i="12"/>
  <c r="N1196" i="12"/>
  <c r="V1196" i="12" s="1"/>
  <c r="X1196" i="12" s="1"/>
  <c r="N1228" i="12"/>
  <c r="N1260" i="12"/>
  <c r="N1560" i="12"/>
  <c r="N1595" i="12"/>
  <c r="N1648" i="12"/>
  <c r="N1688" i="12"/>
  <c r="N1723" i="12"/>
  <c r="N1776" i="12"/>
  <c r="U1374" i="12"/>
  <c r="U1279" i="12"/>
  <c r="U1287" i="12"/>
  <c r="U1295" i="12"/>
  <c r="U1303" i="12"/>
  <c r="U1311" i="12"/>
  <c r="U1319" i="12"/>
  <c r="U1327" i="12"/>
  <c r="U1335" i="12"/>
  <c r="U1343" i="12"/>
  <c r="U1351" i="12"/>
  <c r="U1359" i="12"/>
  <c r="U1367" i="12"/>
  <c r="N1170" i="12"/>
  <c r="V1170" i="12" s="1"/>
  <c r="X1170" i="12" s="1"/>
  <c r="N1202" i="12"/>
  <c r="N1234" i="12"/>
  <c r="N1266" i="12"/>
  <c r="N1298" i="12"/>
  <c r="V1298" i="12" s="1"/>
  <c r="X1298" i="12" s="1"/>
  <c r="N1330" i="12"/>
  <c r="N1362" i="12"/>
  <c r="V1362" i="12" s="1"/>
  <c r="X1362" i="12" s="1"/>
  <c r="N1394" i="12"/>
  <c r="V1394" i="12" s="1"/>
  <c r="X1394" i="12" s="1"/>
  <c r="N1426" i="12"/>
  <c r="N1458" i="12"/>
  <c r="N1490" i="12"/>
  <c r="N1522" i="12"/>
  <c r="N1562" i="12"/>
  <c r="N1610" i="12"/>
  <c r="N1650" i="12"/>
  <c r="N1690" i="12"/>
  <c r="V1690" i="12" s="1"/>
  <c r="X1690" i="12" s="1"/>
  <c r="N1738" i="12"/>
  <c r="V1738" i="12" s="1"/>
  <c r="X1738" i="12" s="1"/>
  <c r="N1778" i="12"/>
  <c r="N1818" i="12"/>
  <c r="V1818" i="12" s="1"/>
  <c r="X1818" i="12" s="1"/>
  <c r="U1176" i="12"/>
  <c r="U1184" i="12"/>
  <c r="U1192" i="12"/>
  <c r="U1200" i="12"/>
  <c r="U1208" i="12"/>
  <c r="U1216" i="12"/>
  <c r="U1224" i="12"/>
  <c r="U1232" i="12"/>
  <c r="U1240" i="12"/>
  <c r="U1248" i="12"/>
  <c r="U1256" i="12"/>
  <c r="U1264" i="12"/>
  <c r="U1272" i="12"/>
  <c r="N1172" i="12"/>
  <c r="V1172" i="12" s="1"/>
  <c r="X1172" i="12" s="1"/>
  <c r="N1204" i="12"/>
  <c r="N1236" i="12"/>
  <c r="N1268" i="12"/>
  <c r="N1300" i="12"/>
  <c r="V1300" i="12" s="1"/>
  <c r="X1300" i="12" s="1"/>
  <c r="N1332" i="12"/>
  <c r="N1364" i="12"/>
  <c r="V1364" i="12" s="1"/>
  <c r="X1364" i="12" s="1"/>
  <c r="N1396" i="12"/>
  <c r="N1563" i="12"/>
  <c r="N1616" i="12"/>
  <c r="N1656" i="12"/>
  <c r="V1656" i="12" s="1"/>
  <c r="X1656" i="12" s="1"/>
  <c r="N1691" i="12"/>
  <c r="N1744" i="12"/>
  <c r="N1784" i="12"/>
  <c r="N1819" i="12"/>
  <c r="V1819" i="12" s="1"/>
  <c r="X1819" i="12" s="1"/>
  <c r="U1169" i="12"/>
  <c r="N1178" i="12"/>
  <c r="N1210" i="12"/>
  <c r="N1242" i="12"/>
  <c r="V1242" i="12" s="1"/>
  <c r="X1242" i="12" s="1"/>
  <c r="N1274" i="12"/>
  <c r="N1306" i="12"/>
  <c r="N1338" i="12"/>
  <c r="N1370" i="12"/>
  <c r="V1370" i="12" s="1"/>
  <c r="X1370" i="12" s="1"/>
  <c r="N1402" i="12"/>
  <c r="N1434" i="12"/>
  <c r="V1434" i="12" s="1"/>
  <c r="X1434" i="12" s="1"/>
  <c r="N1466" i="12"/>
  <c r="N1498" i="12"/>
  <c r="N1530" i="12"/>
  <c r="N1578" i="12"/>
  <c r="N1618" i="12"/>
  <c r="V1618" i="12" s="1"/>
  <c r="X1618" i="12" s="1"/>
  <c r="N1658" i="12"/>
  <c r="V1658" i="12" s="1"/>
  <c r="X1658" i="12" s="1"/>
  <c r="N1706" i="12"/>
  <c r="V1706" i="12" s="1"/>
  <c r="X1706" i="12" s="1"/>
  <c r="N1746" i="12"/>
  <c r="N1786" i="12"/>
  <c r="N1218" i="12"/>
  <c r="V1218" i="12" s="1"/>
  <c r="X1218" i="12" s="1"/>
  <c r="N1314" i="12"/>
  <c r="N1410" i="12"/>
  <c r="V1410" i="12" s="1"/>
  <c r="X1410" i="12" s="1"/>
  <c r="N1506" i="12"/>
  <c r="N1626" i="12"/>
  <c r="V1626" i="12" s="1"/>
  <c r="X1626" i="12" s="1"/>
  <c r="N1714" i="12"/>
  <c r="N1802" i="12"/>
  <c r="N1186" i="12"/>
  <c r="N1250" i="12"/>
  <c r="N1282" i="12"/>
  <c r="N1346" i="12"/>
  <c r="V1346" i="12" s="1"/>
  <c r="X1346" i="12" s="1"/>
  <c r="N1378" i="12"/>
  <c r="N1442" i="12"/>
  <c r="V1442" i="12" s="1"/>
  <c r="X1442" i="12" s="1"/>
  <c r="N1474" i="12"/>
  <c r="V1474" i="12" s="1"/>
  <c r="X1474" i="12" s="1"/>
  <c r="N1546" i="12"/>
  <c r="N1586" i="12"/>
  <c r="V1586" i="12" s="1"/>
  <c r="X1586" i="12" s="1"/>
  <c r="N1674" i="12"/>
  <c r="N1754" i="12"/>
  <c r="U1428" i="12"/>
  <c r="V1428" i="12" s="1"/>
  <c r="X1428" i="12" s="1"/>
  <c r="U1436" i="12"/>
  <c r="V1436" i="12" s="1"/>
  <c r="X1436" i="12" s="1"/>
  <c r="U1444" i="12"/>
  <c r="U1452" i="12"/>
  <c r="V1452" i="12" s="1"/>
  <c r="X1452" i="12" s="1"/>
  <c r="U1460" i="12"/>
  <c r="V1460" i="12" s="1"/>
  <c r="X1460" i="12" s="1"/>
  <c r="U1468" i="12"/>
  <c r="V1468" i="12" s="1"/>
  <c r="X1468" i="12" s="1"/>
  <c r="U1476" i="12"/>
  <c r="U1484" i="12"/>
  <c r="V1484" i="12" s="1"/>
  <c r="X1484" i="12" s="1"/>
  <c r="U1492" i="12"/>
  <c r="V1492" i="12" s="1"/>
  <c r="X1492" i="12" s="1"/>
  <c r="U1500" i="12"/>
  <c r="V1500" i="12" s="1"/>
  <c r="X1500" i="12" s="1"/>
  <c r="U1508" i="12"/>
  <c r="U1516" i="12"/>
  <c r="V1516" i="12" s="1"/>
  <c r="X1516" i="12" s="1"/>
  <c r="U1524" i="12"/>
  <c r="V1524" i="12" s="1"/>
  <c r="X1524" i="12" s="1"/>
  <c r="U1532" i="12"/>
  <c r="V1532" i="12" s="1"/>
  <c r="X1532" i="12" s="1"/>
  <c r="U1540" i="12"/>
  <c r="U1548" i="12"/>
  <c r="U1556" i="12"/>
  <c r="U1564" i="12"/>
  <c r="U1572" i="12"/>
  <c r="U1580" i="12"/>
  <c r="U1588" i="12"/>
  <c r="U1596" i="12"/>
  <c r="U1604" i="12"/>
  <c r="U1612" i="12"/>
  <c r="U1620" i="12"/>
  <c r="U1628" i="12"/>
  <c r="U1636" i="12"/>
  <c r="U1644" i="12"/>
  <c r="U1652" i="12"/>
  <c r="U1660" i="12"/>
  <c r="U1668" i="12"/>
  <c r="U1676" i="12"/>
  <c r="U1684" i="12"/>
  <c r="U1692" i="12"/>
  <c r="U1700" i="12"/>
  <c r="U1708" i="12"/>
  <c r="U1716" i="12"/>
  <c r="U1724" i="12"/>
  <c r="U1732" i="12"/>
  <c r="U1740" i="12"/>
  <c r="U1748" i="12"/>
  <c r="U1756" i="12"/>
  <c r="U1764" i="12"/>
  <c r="U1772" i="12"/>
  <c r="U1780" i="12"/>
  <c r="U1788" i="12"/>
  <c r="U1796" i="12"/>
  <c r="U1804" i="12"/>
  <c r="U1812" i="12"/>
  <c r="V1812" i="12" s="1"/>
  <c r="X1812" i="12" s="1"/>
  <c r="U1820" i="12"/>
  <c r="U1828" i="12"/>
  <c r="V1828" i="12" s="1"/>
  <c r="X1828" i="12" s="1"/>
  <c r="U1837" i="12"/>
  <c r="V1837" i="12" s="1"/>
  <c r="X1837" i="12" s="1"/>
  <c r="N1188" i="12"/>
  <c r="V1188" i="12" s="1"/>
  <c r="X1188" i="12" s="1"/>
  <c r="N1220" i="12"/>
  <c r="N1252" i="12"/>
  <c r="N1284" i="12"/>
  <c r="N1316" i="12"/>
  <c r="N1348" i="12"/>
  <c r="V1348" i="12" s="1"/>
  <c r="X1348" i="12" s="1"/>
  <c r="N1380" i="12"/>
  <c r="V1380" i="12" s="1"/>
  <c r="X1380" i="12" s="1"/>
  <c r="N1412" i="12"/>
  <c r="V1412" i="12" s="1"/>
  <c r="X1412" i="12" s="1"/>
  <c r="N1444" i="12"/>
  <c r="N1476" i="12"/>
  <c r="N1508" i="12"/>
  <c r="N1552" i="12"/>
  <c r="N1592" i="12"/>
  <c r="N1627" i="12"/>
  <c r="V1627" i="12" s="1"/>
  <c r="X1627" i="12" s="1"/>
  <c r="N1680" i="12"/>
  <c r="V1680" i="12" s="1"/>
  <c r="X1680" i="12" s="1"/>
  <c r="N1720" i="12"/>
  <c r="N1755" i="12"/>
  <c r="N1808" i="12"/>
  <c r="N1835" i="12"/>
  <c r="V1835" i="12" s="1"/>
  <c r="X1835" i="12" s="1"/>
  <c r="N1701" i="12"/>
  <c r="N1733" i="12"/>
  <c r="N1797" i="12"/>
  <c r="U1537" i="12"/>
  <c r="N1537" i="12"/>
  <c r="U1553" i="12"/>
  <c r="N1553" i="12"/>
  <c r="U1569" i="12"/>
  <c r="N1569" i="12"/>
  <c r="U1585" i="12"/>
  <c r="N1585" i="12"/>
  <c r="U1609" i="12"/>
  <c r="N1609" i="12"/>
  <c r="U1625" i="12"/>
  <c r="N1625" i="12"/>
  <c r="U1641" i="12"/>
  <c r="N1641" i="12"/>
  <c r="U1657" i="12"/>
  <c r="N1657" i="12"/>
  <c r="U1673" i="12"/>
  <c r="N1673" i="12"/>
  <c r="U1689" i="12"/>
  <c r="N1689" i="12"/>
  <c r="U1705" i="12"/>
  <c r="N1705" i="12"/>
  <c r="U1713" i="12"/>
  <c r="N1713" i="12"/>
  <c r="U1721" i="12"/>
  <c r="N1721" i="12"/>
  <c r="U1737" i="12"/>
  <c r="N1737" i="12"/>
  <c r="U1745" i="12"/>
  <c r="N1745" i="12"/>
  <c r="U1753" i="12"/>
  <c r="N1753" i="12"/>
  <c r="U1761" i="12"/>
  <c r="N1761" i="12"/>
  <c r="U1769" i="12"/>
  <c r="N1769" i="12"/>
  <c r="U1777" i="12"/>
  <c r="N1777" i="12"/>
  <c r="U1785" i="12"/>
  <c r="N1785" i="12"/>
  <c r="U1793" i="12"/>
  <c r="N1793" i="12"/>
  <c r="U1801" i="12"/>
  <c r="N1801" i="12"/>
  <c r="U1809" i="12"/>
  <c r="N1809" i="12"/>
  <c r="U1817" i="12"/>
  <c r="N1817" i="12"/>
  <c r="U1825" i="12"/>
  <c r="N1825" i="12"/>
  <c r="U1834" i="12"/>
  <c r="N1834" i="12"/>
  <c r="N1176" i="12"/>
  <c r="N1184" i="12"/>
  <c r="N1192" i="12"/>
  <c r="N1200" i="12"/>
  <c r="N1208" i="12"/>
  <c r="N1216" i="12"/>
  <c r="N1224" i="12"/>
  <c r="V1224" i="12" s="1"/>
  <c r="X1224" i="12" s="1"/>
  <c r="N1232" i="12"/>
  <c r="N1240" i="12"/>
  <c r="N1248" i="12"/>
  <c r="N1256" i="12"/>
  <c r="N1264" i="12"/>
  <c r="N1272" i="12"/>
  <c r="N1280" i="12"/>
  <c r="N1288" i="12"/>
  <c r="V1288" i="12" s="1"/>
  <c r="X1288" i="12" s="1"/>
  <c r="N1296" i="12"/>
  <c r="N1304" i="12"/>
  <c r="V1304" i="12" s="1"/>
  <c r="X1304" i="12" s="1"/>
  <c r="N1312" i="12"/>
  <c r="N1320" i="12"/>
  <c r="V1320" i="12" s="1"/>
  <c r="X1320" i="12" s="1"/>
  <c r="N1328" i="12"/>
  <c r="N1336" i="12"/>
  <c r="N1344" i="12"/>
  <c r="N1352" i="12"/>
  <c r="N1360" i="12"/>
  <c r="N1368" i="12"/>
  <c r="V1368" i="12" s="1"/>
  <c r="X1368" i="12" s="1"/>
  <c r="N1376" i="12"/>
  <c r="N1384" i="12"/>
  <c r="N1392" i="12"/>
  <c r="N1400" i="12"/>
  <c r="V1400" i="12" s="1"/>
  <c r="X1400" i="12" s="1"/>
  <c r="N1408" i="12"/>
  <c r="N1416" i="12"/>
  <c r="N1424" i="12"/>
  <c r="N1432" i="12"/>
  <c r="N1440" i="12"/>
  <c r="N1448" i="12"/>
  <c r="V1448" i="12" s="1"/>
  <c r="X1448" i="12" s="1"/>
  <c r="N1456" i="12"/>
  <c r="N1464" i="12"/>
  <c r="N1472" i="12"/>
  <c r="N1480" i="12"/>
  <c r="N1488" i="12"/>
  <c r="N1496" i="12"/>
  <c r="V1496" i="12" s="1"/>
  <c r="X1496" i="12" s="1"/>
  <c r="N1504" i="12"/>
  <c r="N1512" i="12"/>
  <c r="N1520" i="12"/>
  <c r="N1528" i="12"/>
  <c r="V1528" i="12" s="1"/>
  <c r="X1528" i="12" s="1"/>
  <c r="N1536" i="12"/>
  <c r="N1547" i="12"/>
  <c r="N1557" i="12"/>
  <c r="N1568" i="12"/>
  <c r="V1568" i="12" s="1"/>
  <c r="X1568" i="12" s="1"/>
  <c r="N1579" i="12"/>
  <c r="N1589" i="12"/>
  <c r="N1600" i="12"/>
  <c r="N1611" i="12"/>
  <c r="V1611" i="12" s="1"/>
  <c r="X1611" i="12" s="1"/>
  <c r="N1621" i="12"/>
  <c r="V1621" i="12" s="1"/>
  <c r="X1621" i="12" s="1"/>
  <c r="N1632" i="12"/>
  <c r="N1643" i="12"/>
  <c r="N1653" i="12"/>
  <c r="N1664" i="12"/>
  <c r="N1675" i="12"/>
  <c r="N1685" i="12"/>
  <c r="V1685" i="12" s="1"/>
  <c r="X1685" i="12" s="1"/>
  <c r="N1696" i="12"/>
  <c r="V1696" i="12" s="1"/>
  <c r="X1696" i="12" s="1"/>
  <c r="N1707" i="12"/>
  <c r="N1717" i="12"/>
  <c r="N1728" i="12"/>
  <c r="V1728" i="12" s="1"/>
  <c r="X1728" i="12" s="1"/>
  <c r="N1739" i="12"/>
  <c r="V1739" i="12" s="1"/>
  <c r="X1739" i="12" s="1"/>
  <c r="N1749" i="12"/>
  <c r="N1760" i="12"/>
  <c r="V1760" i="12" s="1"/>
  <c r="X1760" i="12" s="1"/>
  <c r="N1771" i="12"/>
  <c r="N1781" i="12"/>
  <c r="N1792" i="12"/>
  <c r="N1803" i="12"/>
  <c r="N1813" i="12"/>
  <c r="N1824" i="12"/>
  <c r="V1824" i="12" s="1"/>
  <c r="X1824" i="12" s="1"/>
  <c r="N1838" i="12"/>
  <c r="N1637" i="12"/>
  <c r="N1669" i="12"/>
  <c r="U1185" i="12"/>
  <c r="U1545" i="12"/>
  <c r="N1545" i="12"/>
  <c r="U1561" i="12"/>
  <c r="N1561" i="12"/>
  <c r="V1561" i="12" s="1"/>
  <c r="X1561" i="12" s="1"/>
  <c r="U1577" i="12"/>
  <c r="N1577" i="12"/>
  <c r="U1593" i="12"/>
  <c r="N1593" i="12"/>
  <c r="U1601" i="12"/>
  <c r="N1601" i="12"/>
  <c r="U1617" i="12"/>
  <c r="N1617" i="12"/>
  <c r="V1617" i="12" s="1"/>
  <c r="X1617" i="12" s="1"/>
  <c r="U1633" i="12"/>
  <c r="N1633" i="12"/>
  <c r="U1649" i="12"/>
  <c r="N1649" i="12"/>
  <c r="U1665" i="12"/>
  <c r="N1665" i="12"/>
  <c r="U1681" i="12"/>
  <c r="N1681" i="12"/>
  <c r="V1681" i="12" s="1"/>
  <c r="X1681" i="12" s="1"/>
  <c r="U1697" i="12"/>
  <c r="N1697" i="12"/>
  <c r="U1729" i="12"/>
  <c r="N1729" i="12"/>
  <c r="N1168" i="12"/>
  <c r="V1722" i="12"/>
  <c r="X1722" i="12" s="1"/>
  <c r="N1169" i="12"/>
  <c r="N1177" i="12"/>
  <c r="V1177" i="12" s="1"/>
  <c r="X1177" i="12" s="1"/>
  <c r="N1185" i="12"/>
  <c r="N1193" i="12"/>
  <c r="N1201" i="12"/>
  <c r="V1201" i="12" s="1"/>
  <c r="X1201" i="12" s="1"/>
  <c r="N1209" i="12"/>
  <c r="V1209" i="12" s="1"/>
  <c r="X1209" i="12" s="1"/>
  <c r="N1217" i="12"/>
  <c r="V1217" i="12" s="1"/>
  <c r="X1217" i="12" s="1"/>
  <c r="N1225" i="12"/>
  <c r="V1225" i="12" s="1"/>
  <c r="X1225" i="12" s="1"/>
  <c r="N1233" i="12"/>
  <c r="V1233" i="12" s="1"/>
  <c r="X1233" i="12" s="1"/>
  <c r="N1241" i="12"/>
  <c r="V1241" i="12" s="1"/>
  <c r="X1241" i="12" s="1"/>
  <c r="N1249" i="12"/>
  <c r="V1249" i="12" s="1"/>
  <c r="X1249" i="12" s="1"/>
  <c r="N1257" i="12"/>
  <c r="V1257" i="12" s="1"/>
  <c r="X1257" i="12" s="1"/>
  <c r="N1265" i="12"/>
  <c r="N1273" i="12"/>
  <c r="V1273" i="12" s="1"/>
  <c r="X1273" i="12" s="1"/>
  <c r="N1281" i="12"/>
  <c r="V1281" i="12" s="1"/>
  <c r="X1281" i="12" s="1"/>
  <c r="N1289" i="12"/>
  <c r="V1289" i="12" s="1"/>
  <c r="X1289" i="12" s="1"/>
  <c r="N1297" i="12"/>
  <c r="V1297" i="12" s="1"/>
  <c r="X1297" i="12" s="1"/>
  <c r="N1305" i="12"/>
  <c r="V1305" i="12" s="1"/>
  <c r="X1305" i="12" s="1"/>
  <c r="N1313" i="12"/>
  <c r="V1313" i="12" s="1"/>
  <c r="X1313" i="12" s="1"/>
  <c r="N1321" i="12"/>
  <c r="V1321" i="12" s="1"/>
  <c r="X1321" i="12" s="1"/>
  <c r="N1329" i="12"/>
  <c r="V1329" i="12" s="1"/>
  <c r="X1329" i="12" s="1"/>
  <c r="N1337" i="12"/>
  <c r="V1337" i="12" s="1"/>
  <c r="X1337" i="12" s="1"/>
  <c r="N1345" i="12"/>
  <c r="V1345" i="12" s="1"/>
  <c r="X1345" i="12" s="1"/>
  <c r="N1353" i="12"/>
  <c r="V1353" i="12" s="1"/>
  <c r="X1353" i="12" s="1"/>
  <c r="N1361" i="12"/>
  <c r="V1361" i="12" s="1"/>
  <c r="X1361" i="12" s="1"/>
  <c r="N1369" i="12"/>
  <c r="V1369" i="12" s="1"/>
  <c r="X1369" i="12" s="1"/>
  <c r="N1377" i="12"/>
  <c r="V1377" i="12" s="1"/>
  <c r="X1377" i="12" s="1"/>
  <c r="N1385" i="12"/>
  <c r="V1385" i="12" s="1"/>
  <c r="X1385" i="12" s="1"/>
  <c r="N1393" i="12"/>
  <c r="N1401" i="12"/>
  <c r="V1401" i="12" s="1"/>
  <c r="X1401" i="12" s="1"/>
  <c r="N1409" i="12"/>
  <c r="V1409" i="12" s="1"/>
  <c r="X1409" i="12" s="1"/>
  <c r="N1417" i="12"/>
  <c r="N1425" i="12"/>
  <c r="N1433" i="12"/>
  <c r="N1441" i="12"/>
  <c r="N1449" i="12"/>
  <c r="N1457" i="12"/>
  <c r="N1465" i="12"/>
  <c r="N1473" i="12"/>
  <c r="V1473" i="12" s="1"/>
  <c r="X1473" i="12" s="1"/>
  <c r="N1481" i="12"/>
  <c r="N1489" i="12"/>
  <c r="N1497" i="12"/>
  <c r="N1505" i="12"/>
  <c r="N1513" i="12"/>
  <c r="N1521" i="12"/>
  <c r="N1529" i="12"/>
  <c r="N1538" i="12"/>
  <c r="V1538" i="12" s="1"/>
  <c r="X1538" i="12" s="1"/>
  <c r="N1548" i="12"/>
  <c r="N1559" i="12"/>
  <c r="V1559" i="12" s="1"/>
  <c r="X1559" i="12" s="1"/>
  <c r="N1570" i="12"/>
  <c r="N1580" i="12"/>
  <c r="N1591" i="12"/>
  <c r="N1602" i="12"/>
  <c r="N1612" i="12"/>
  <c r="N1623" i="12"/>
  <c r="N1634" i="12"/>
  <c r="N1644" i="12"/>
  <c r="N1655" i="12"/>
  <c r="N1666" i="12"/>
  <c r="N1676" i="12"/>
  <c r="N1687" i="12"/>
  <c r="N1698" i="12"/>
  <c r="N1708" i="12"/>
  <c r="N1719" i="12"/>
  <c r="N1730" i="12"/>
  <c r="V1730" i="12" s="1"/>
  <c r="X1730" i="12" s="1"/>
  <c r="N1740" i="12"/>
  <c r="V1740" i="12" s="1"/>
  <c r="X1740" i="12" s="1"/>
  <c r="N1751" i="12"/>
  <c r="N1762" i="12"/>
  <c r="N1772" i="12"/>
  <c r="N1783" i="12"/>
  <c r="N1794" i="12"/>
  <c r="V1794" i="12" s="1"/>
  <c r="X1794" i="12" s="1"/>
  <c r="N1804" i="12"/>
  <c r="N1815" i="12"/>
  <c r="V1815" i="12" s="1"/>
  <c r="X1815" i="12" s="1"/>
  <c r="N1826" i="12"/>
  <c r="U1827" i="12"/>
  <c r="N1827" i="12"/>
  <c r="U1836" i="12"/>
  <c r="N1836" i="12"/>
  <c r="N1539" i="12"/>
  <c r="V1539" i="12" s="1"/>
  <c r="X1539" i="12" s="1"/>
  <c r="N1549" i="12"/>
  <c r="N1571" i="12"/>
  <c r="N1581" i="12"/>
  <c r="N1603" i="12"/>
  <c r="V1603" i="12" s="1"/>
  <c r="X1603" i="12" s="1"/>
  <c r="N1613" i="12"/>
  <c r="N1635" i="12"/>
  <c r="N1645" i="12"/>
  <c r="N1667" i="12"/>
  <c r="V1667" i="12" s="1"/>
  <c r="X1667" i="12" s="1"/>
  <c r="N1677" i="12"/>
  <c r="N1699" i="12"/>
  <c r="N1709" i="12"/>
  <c r="N1731" i="12"/>
  <c r="V1731" i="12" s="1"/>
  <c r="X1731" i="12" s="1"/>
  <c r="N1741" i="12"/>
  <c r="N1763" i="12"/>
  <c r="N1773" i="12"/>
  <c r="N1795" i="12"/>
  <c r="V1795" i="12" s="1"/>
  <c r="X1795" i="12" s="1"/>
  <c r="N1805" i="12"/>
  <c r="N1816" i="12"/>
  <c r="V1204" i="12"/>
  <c r="X1204" i="12" s="1"/>
  <c r="N1171" i="12"/>
  <c r="N1179" i="12"/>
  <c r="V1179" i="12" s="1"/>
  <c r="X1179" i="12" s="1"/>
  <c r="N1187" i="12"/>
  <c r="N1195" i="12"/>
  <c r="N1203" i="12"/>
  <c r="N1211" i="12"/>
  <c r="N1219" i="12"/>
  <c r="V1219" i="12" s="1"/>
  <c r="X1219" i="12" s="1"/>
  <c r="N1227" i="12"/>
  <c r="N1235" i="12"/>
  <c r="N1243" i="12"/>
  <c r="V1243" i="12" s="1"/>
  <c r="X1243" i="12" s="1"/>
  <c r="N1251" i="12"/>
  <c r="N1259" i="12"/>
  <c r="N1267" i="12"/>
  <c r="N1275" i="12"/>
  <c r="N1283" i="12"/>
  <c r="V1283" i="12" s="1"/>
  <c r="X1283" i="12" s="1"/>
  <c r="N1291" i="12"/>
  <c r="N1299" i="12"/>
  <c r="N1307" i="12"/>
  <c r="V1307" i="12" s="1"/>
  <c r="X1307" i="12" s="1"/>
  <c r="N1315" i="12"/>
  <c r="N1323" i="12"/>
  <c r="N1331" i="12"/>
  <c r="N1339" i="12"/>
  <c r="N1347" i="12"/>
  <c r="V1347" i="12" s="1"/>
  <c r="X1347" i="12" s="1"/>
  <c r="N1355" i="12"/>
  <c r="N1363" i="12"/>
  <c r="N1371" i="12"/>
  <c r="V1371" i="12" s="1"/>
  <c r="X1371" i="12" s="1"/>
  <c r="N1379" i="12"/>
  <c r="N1387" i="12"/>
  <c r="N1395" i="12"/>
  <c r="N1403" i="12"/>
  <c r="N1411" i="12"/>
  <c r="V1411" i="12" s="1"/>
  <c r="X1411" i="12" s="1"/>
  <c r="N1419" i="12"/>
  <c r="N1427" i="12"/>
  <c r="N1435" i="12"/>
  <c r="V1435" i="12" s="1"/>
  <c r="X1435" i="12" s="1"/>
  <c r="N1443" i="12"/>
  <c r="N1451" i="12"/>
  <c r="N1459" i="12"/>
  <c r="N1467" i="12"/>
  <c r="N1475" i="12"/>
  <c r="V1475" i="12" s="1"/>
  <c r="X1475" i="12" s="1"/>
  <c r="N1483" i="12"/>
  <c r="N1491" i="12"/>
  <c r="N1499" i="12"/>
  <c r="V1499" i="12" s="1"/>
  <c r="X1499" i="12" s="1"/>
  <c r="N1507" i="12"/>
  <c r="N1515" i="12"/>
  <c r="N1523" i="12"/>
  <c r="N1531" i="12"/>
  <c r="N1540" i="12"/>
  <c r="N1551" i="12"/>
  <c r="N1572" i="12"/>
  <c r="N1583" i="12"/>
  <c r="N1604" i="12"/>
  <c r="N1615" i="12"/>
  <c r="V1615" i="12" s="1"/>
  <c r="X1615" i="12" s="1"/>
  <c r="N1636" i="12"/>
  <c r="N1647" i="12"/>
  <c r="N1668" i="12"/>
  <c r="N1679" i="12"/>
  <c r="N1700" i="12"/>
  <c r="N1711" i="12"/>
  <c r="N1732" i="12"/>
  <c r="N1743" i="12"/>
  <c r="V1743" i="12" s="1"/>
  <c r="X1743" i="12" s="1"/>
  <c r="N1764" i="12"/>
  <c r="N1775" i="12"/>
  <c r="N1796" i="12"/>
  <c r="N1807" i="12"/>
  <c r="N1829" i="12"/>
  <c r="N1541" i="12"/>
  <c r="U1542" i="12"/>
  <c r="N1542" i="12"/>
  <c r="U1550" i="12"/>
  <c r="N1550" i="12"/>
  <c r="U1558" i="12"/>
  <c r="N1558" i="12"/>
  <c r="U1566" i="12"/>
  <c r="N1566" i="12"/>
  <c r="U1574" i="12"/>
  <c r="N1574" i="12"/>
  <c r="U1582" i="12"/>
  <c r="N1582" i="12"/>
  <c r="U1590" i="12"/>
  <c r="N1590" i="12"/>
  <c r="U1598" i="12"/>
  <c r="N1598" i="12"/>
  <c r="U1606" i="12"/>
  <c r="N1606" i="12"/>
  <c r="U1614" i="12"/>
  <c r="N1614" i="12"/>
  <c r="U1622" i="12"/>
  <c r="N1622" i="12"/>
  <c r="U1630" i="12"/>
  <c r="N1630" i="12"/>
  <c r="U1638" i="12"/>
  <c r="N1638" i="12"/>
  <c r="U1646" i="12"/>
  <c r="N1646" i="12"/>
  <c r="U1654" i="12"/>
  <c r="N1654" i="12"/>
  <c r="U1662" i="12"/>
  <c r="N1662" i="12"/>
  <c r="U1670" i="12"/>
  <c r="N1670" i="12"/>
  <c r="U1678" i="12"/>
  <c r="N1678" i="12"/>
  <c r="U1686" i="12"/>
  <c r="N1686" i="12"/>
  <c r="U1694" i="12"/>
  <c r="N1694" i="12"/>
  <c r="U1702" i="12"/>
  <c r="N1702" i="12"/>
  <c r="U1710" i="12"/>
  <c r="N1710" i="12"/>
  <c r="U1718" i="12"/>
  <c r="N1718" i="12"/>
  <c r="U1726" i="12"/>
  <c r="N1726" i="12"/>
  <c r="U1734" i="12"/>
  <c r="N1734" i="12"/>
  <c r="U1742" i="12"/>
  <c r="N1742" i="12"/>
  <c r="U1750" i="12"/>
  <c r="N1750" i="12"/>
  <c r="U1758" i="12"/>
  <c r="N1758" i="12"/>
  <c r="U1766" i="12"/>
  <c r="N1766" i="12"/>
  <c r="U1774" i="12"/>
  <c r="N1774" i="12"/>
  <c r="U1782" i="12"/>
  <c r="N1782" i="12"/>
  <c r="U1790" i="12"/>
  <c r="N1790" i="12"/>
  <c r="U1798" i="12"/>
  <c r="N1798" i="12"/>
  <c r="U1806" i="12"/>
  <c r="N1806" i="12"/>
  <c r="U1814" i="12"/>
  <c r="N1814" i="12"/>
  <c r="U1822" i="12"/>
  <c r="N1822" i="12"/>
  <c r="U1830" i="12"/>
  <c r="N1830" i="12"/>
  <c r="U1839" i="12"/>
  <c r="N1839" i="12"/>
  <c r="N1173" i="12"/>
  <c r="V1173" i="12" s="1"/>
  <c r="X1173" i="12" s="1"/>
  <c r="N1181" i="12"/>
  <c r="V1181" i="12" s="1"/>
  <c r="X1181" i="12" s="1"/>
  <c r="N1189" i="12"/>
  <c r="V1189" i="12" s="1"/>
  <c r="X1189" i="12" s="1"/>
  <c r="N1197" i="12"/>
  <c r="V1197" i="12" s="1"/>
  <c r="X1197" i="12" s="1"/>
  <c r="N1205" i="12"/>
  <c r="V1205" i="12" s="1"/>
  <c r="X1205" i="12" s="1"/>
  <c r="N1213" i="12"/>
  <c r="V1213" i="12" s="1"/>
  <c r="X1213" i="12" s="1"/>
  <c r="N1221" i="12"/>
  <c r="V1221" i="12" s="1"/>
  <c r="X1221" i="12" s="1"/>
  <c r="N1229" i="12"/>
  <c r="V1229" i="12" s="1"/>
  <c r="X1229" i="12" s="1"/>
  <c r="N1237" i="12"/>
  <c r="V1237" i="12" s="1"/>
  <c r="X1237" i="12" s="1"/>
  <c r="N1245" i="12"/>
  <c r="V1245" i="12" s="1"/>
  <c r="X1245" i="12" s="1"/>
  <c r="N1253" i="12"/>
  <c r="V1253" i="12" s="1"/>
  <c r="X1253" i="12" s="1"/>
  <c r="N1261" i="12"/>
  <c r="V1261" i="12" s="1"/>
  <c r="X1261" i="12" s="1"/>
  <c r="N1269" i="12"/>
  <c r="V1269" i="12" s="1"/>
  <c r="X1269" i="12" s="1"/>
  <c r="N1277" i="12"/>
  <c r="V1277" i="12" s="1"/>
  <c r="X1277" i="12" s="1"/>
  <c r="N1285" i="12"/>
  <c r="V1285" i="12" s="1"/>
  <c r="X1285" i="12" s="1"/>
  <c r="N1293" i="12"/>
  <c r="V1293" i="12" s="1"/>
  <c r="X1293" i="12" s="1"/>
  <c r="N1301" i="12"/>
  <c r="V1301" i="12" s="1"/>
  <c r="X1301" i="12" s="1"/>
  <c r="N1309" i="12"/>
  <c r="N1317" i="12"/>
  <c r="N1325" i="12"/>
  <c r="N1333" i="12"/>
  <c r="N1341" i="12"/>
  <c r="V1341" i="12" s="1"/>
  <c r="X1341" i="12" s="1"/>
  <c r="N1349" i="12"/>
  <c r="N1357" i="12"/>
  <c r="N1365" i="12"/>
  <c r="N1373" i="12"/>
  <c r="N1381" i="12"/>
  <c r="N1389" i="12"/>
  <c r="N1397" i="12"/>
  <c r="N1405" i="12"/>
  <c r="V1405" i="12" s="1"/>
  <c r="X1405" i="12" s="1"/>
  <c r="N1413" i="12"/>
  <c r="N1421" i="12"/>
  <c r="N1429" i="12"/>
  <c r="N1437" i="12"/>
  <c r="N1445" i="12"/>
  <c r="N1453" i="12"/>
  <c r="N1461" i="12"/>
  <c r="N1469" i="12"/>
  <c r="V1469" i="12" s="1"/>
  <c r="X1469" i="12" s="1"/>
  <c r="N1477" i="12"/>
  <c r="N1485" i="12"/>
  <c r="N1493" i="12"/>
  <c r="N1501" i="12"/>
  <c r="N1509" i="12"/>
  <c r="N1517" i="12"/>
  <c r="N1525" i="12"/>
  <c r="N1533" i="12"/>
  <c r="V1533" i="12" s="1"/>
  <c r="X1533" i="12" s="1"/>
  <c r="N1543" i="12"/>
  <c r="N1564" i="12"/>
  <c r="N1575" i="12"/>
  <c r="N1596" i="12"/>
  <c r="V1596" i="12" s="1"/>
  <c r="X1596" i="12" s="1"/>
  <c r="N1607" i="12"/>
  <c r="N1628" i="12"/>
  <c r="N1639" i="12"/>
  <c r="N1660" i="12"/>
  <c r="V1660" i="12" s="1"/>
  <c r="X1660" i="12" s="1"/>
  <c r="N1671" i="12"/>
  <c r="N1692" i="12"/>
  <c r="N1703" i="12"/>
  <c r="N1724" i="12"/>
  <c r="V1724" i="12" s="1"/>
  <c r="X1724" i="12" s="1"/>
  <c r="N1735" i="12"/>
  <c r="N1756" i="12"/>
  <c r="N1767" i="12"/>
  <c r="N1788" i="12"/>
  <c r="V1788" i="12" s="1"/>
  <c r="X1788" i="12" s="1"/>
  <c r="N1799" i="12"/>
  <c r="N1820" i="12"/>
  <c r="N1833" i="12"/>
  <c r="N1573" i="12"/>
  <c r="N1765" i="12"/>
  <c r="N1166" i="12"/>
  <c r="N1174" i="12"/>
  <c r="V1174" i="12" s="1"/>
  <c r="X1174" i="12" s="1"/>
  <c r="N1182" i="12"/>
  <c r="N1190" i="12"/>
  <c r="N1198" i="12"/>
  <c r="N1206" i="12"/>
  <c r="N1214" i="12"/>
  <c r="N1222" i="12"/>
  <c r="N1230" i="12"/>
  <c r="N1238" i="12"/>
  <c r="V1238" i="12" s="1"/>
  <c r="X1238" i="12" s="1"/>
  <c r="N1246" i="12"/>
  <c r="N1254" i="12"/>
  <c r="N1262" i="12"/>
  <c r="N1270" i="12"/>
  <c r="N1278" i="12"/>
  <c r="N1286" i="12"/>
  <c r="N1294" i="12"/>
  <c r="N1302" i="12"/>
  <c r="V1302" i="12" s="1"/>
  <c r="X1302" i="12" s="1"/>
  <c r="N1310" i="12"/>
  <c r="N1318" i="12"/>
  <c r="N1326" i="12"/>
  <c r="N1334" i="12"/>
  <c r="N1342" i="12"/>
  <c r="N1350" i="12"/>
  <c r="N1358" i="12"/>
  <c r="N1366" i="12"/>
  <c r="V1366" i="12" s="1"/>
  <c r="X1366" i="12" s="1"/>
  <c r="N1374" i="12"/>
  <c r="V1374" i="12" s="1"/>
  <c r="X1374" i="12" s="1"/>
  <c r="N1382" i="12"/>
  <c r="V1382" i="12" s="1"/>
  <c r="X1382" i="12" s="1"/>
  <c r="N1390" i="12"/>
  <c r="N1398" i="12"/>
  <c r="N1406" i="12"/>
  <c r="N1414" i="12"/>
  <c r="N1422" i="12"/>
  <c r="N1430" i="12"/>
  <c r="N1438" i="12"/>
  <c r="V1438" i="12" s="1"/>
  <c r="X1438" i="12" s="1"/>
  <c r="N1446" i="12"/>
  <c r="V1446" i="12" s="1"/>
  <c r="X1446" i="12" s="1"/>
  <c r="N1454" i="12"/>
  <c r="N1462" i="12"/>
  <c r="N1470" i="12"/>
  <c r="N1478" i="12"/>
  <c r="N1486" i="12"/>
  <c r="N1494" i="12"/>
  <c r="N1502" i="12"/>
  <c r="V1502" i="12" s="1"/>
  <c r="X1502" i="12" s="1"/>
  <c r="N1510" i="12"/>
  <c r="V1510" i="12" s="1"/>
  <c r="X1510" i="12" s="1"/>
  <c r="N1518" i="12"/>
  <c r="N1526" i="12"/>
  <c r="N1534" i="12"/>
  <c r="N1544" i="12"/>
  <c r="N1555" i="12"/>
  <c r="N1565" i="12"/>
  <c r="N1576" i="12"/>
  <c r="V1576" i="12" s="1"/>
  <c r="X1576" i="12" s="1"/>
  <c r="N1587" i="12"/>
  <c r="N1597" i="12"/>
  <c r="V1597" i="12" s="1"/>
  <c r="X1597" i="12" s="1"/>
  <c r="N1608" i="12"/>
  <c r="N1619" i="12"/>
  <c r="N1629" i="12"/>
  <c r="N1640" i="12"/>
  <c r="N1651" i="12"/>
  <c r="N1661" i="12"/>
  <c r="V1661" i="12" s="1"/>
  <c r="X1661" i="12" s="1"/>
  <c r="N1672" i="12"/>
  <c r="N1683" i="12"/>
  <c r="N1693" i="12"/>
  <c r="N1704" i="12"/>
  <c r="N1715" i="12"/>
  <c r="N1725" i="12"/>
  <c r="V1725" i="12" s="1"/>
  <c r="X1725" i="12" s="1"/>
  <c r="N1736" i="12"/>
  <c r="N1747" i="12"/>
  <c r="V1747" i="12" s="1"/>
  <c r="X1747" i="12" s="1"/>
  <c r="N1757" i="12"/>
  <c r="N1768" i="12"/>
  <c r="N1779" i="12"/>
  <c r="N1789" i="12"/>
  <c r="V1789" i="12" s="1"/>
  <c r="X1789" i="12" s="1"/>
  <c r="N1800" i="12"/>
  <c r="N1811" i="12"/>
  <c r="N1821" i="12"/>
  <c r="N1605" i="12"/>
  <c r="N1167" i="12"/>
  <c r="N1175" i="12"/>
  <c r="N1183" i="12"/>
  <c r="N1191" i="12"/>
  <c r="N1199" i="12"/>
  <c r="N1207" i="12"/>
  <c r="N1215" i="12"/>
  <c r="N1223" i="12"/>
  <c r="V1223" i="12" s="1"/>
  <c r="X1223" i="12" s="1"/>
  <c r="N1231" i="12"/>
  <c r="V1231" i="12" s="1"/>
  <c r="X1231" i="12" s="1"/>
  <c r="N1239" i="12"/>
  <c r="N1247" i="12"/>
  <c r="V1247" i="12" s="1"/>
  <c r="X1247" i="12" s="1"/>
  <c r="N1255" i="12"/>
  <c r="N1263" i="12"/>
  <c r="N1271" i="12"/>
  <c r="N1279" i="12"/>
  <c r="N1287" i="12"/>
  <c r="N1295" i="12"/>
  <c r="N1303" i="12"/>
  <c r="N1311" i="12"/>
  <c r="N1319" i="12"/>
  <c r="V1319" i="12" s="1"/>
  <c r="X1319" i="12" s="1"/>
  <c r="N1327" i="12"/>
  <c r="N1335" i="12"/>
  <c r="N1343" i="12"/>
  <c r="N1351" i="12"/>
  <c r="N1359" i="12"/>
  <c r="N1367" i="12"/>
  <c r="N1375" i="12"/>
  <c r="N1383" i="12"/>
  <c r="N1391" i="12"/>
  <c r="N1399" i="12"/>
  <c r="N1407" i="12"/>
  <c r="N1415" i="12"/>
  <c r="V1415" i="12" s="1"/>
  <c r="X1415" i="12" s="1"/>
  <c r="N1423" i="12"/>
  <c r="N1431" i="12"/>
  <c r="N1439" i="12"/>
  <c r="N1447" i="12"/>
  <c r="N1455" i="12"/>
  <c r="N1463" i="12"/>
  <c r="N1471" i="12"/>
  <c r="N1479" i="12"/>
  <c r="N1487" i="12"/>
  <c r="N1495" i="12"/>
  <c r="N1503" i="12"/>
  <c r="N1511" i="12"/>
  <c r="N1519" i="12"/>
  <c r="N1527" i="12"/>
  <c r="N1535" i="12"/>
  <c r="V1535" i="12" s="1"/>
  <c r="X1535" i="12" s="1"/>
  <c r="N1556" i="12"/>
  <c r="N1567" i="12"/>
  <c r="N1588" i="12"/>
  <c r="N1599" i="12"/>
  <c r="V1599" i="12" s="1"/>
  <c r="X1599" i="12" s="1"/>
  <c r="N1620" i="12"/>
  <c r="N1631" i="12"/>
  <c r="N1652" i="12"/>
  <c r="N1663" i="12"/>
  <c r="V1663" i="12" s="1"/>
  <c r="X1663" i="12" s="1"/>
  <c r="N1684" i="12"/>
  <c r="N1695" i="12"/>
  <c r="N1716" i="12"/>
  <c r="N1727" i="12"/>
  <c r="V1727" i="12" s="1"/>
  <c r="X1727" i="12" s="1"/>
  <c r="N1748" i="12"/>
  <c r="N1759" i="12"/>
  <c r="N1780" i="12"/>
  <c r="N1791" i="12"/>
  <c r="V1791" i="12" s="1"/>
  <c r="X1791" i="12" s="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Q226" i="11"/>
  <c r="P226" i="11"/>
  <c r="J226" i="11"/>
  <c r="G226" i="11"/>
  <c r="F226" i="11"/>
  <c r="R160" i="11"/>
  <c r="R136" i="11"/>
  <c r="R96" i="11"/>
  <c r="Q219" i="11"/>
  <c r="Q217" i="11"/>
  <c r="R217" i="11" s="1"/>
  <c r="Q214" i="11"/>
  <c r="Q211" i="11"/>
  <c r="Q203" i="11"/>
  <c r="Q195" i="11"/>
  <c r="Q187" i="11"/>
  <c r="Q179" i="11"/>
  <c r="Q177" i="11"/>
  <c r="R177" i="11" s="1"/>
  <c r="Q171" i="11"/>
  <c r="Q163" i="11"/>
  <c r="Q155" i="11"/>
  <c r="Q153" i="11"/>
  <c r="R153" i="11" s="1"/>
  <c r="Q150" i="11"/>
  <c r="Q147" i="11"/>
  <c r="Q139" i="11"/>
  <c r="Q131" i="11"/>
  <c r="Q123" i="11"/>
  <c r="Q115" i="11"/>
  <c r="Q113" i="11"/>
  <c r="R113" i="11" s="1"/>
  <c r="Q107" i="11"/>
  <c r="Q99" i="11"/>
  <c r="Q91" i="11"/>
  <c r="Q89" i="11"/>
  <c r="R89" i="11" s="1"/>
  <c r="Q86" i="11"/>
  <c r="Q83" i="11"/>
  <c r="P225" i="11"/>
  <c r="P224" i="11"/>
  <c r="P223" i="11"/>
  <c r="P222" i="11"/>
  <c r="Q222" i="11" s="1"/>
  <c r="P221" i="11"/>
  <c r="P220" i="11"/>
  <c r="P219" i="11"/>
  <c r="P218" i="11"/>
  <c r="P217" i="11"/>
  <c r="P216" i="11"/>
  <c r="P215" i="11"/>
  <c r="P214" i="11"/>
  <c r="P213" i="11"/>
  <c r="P212" i="11"/>
  <c r="P211" i="11"/>
  <c r="P210" i="11"/>
  <c r="P209" i="11"/>
  <c r="P208" i="11"/>
  <c r="P207" i="11"/>
  <c r="P206" i="11"/>
  <c r="Q206" i="11" s="1"/>
  <c r="P205" i="11"/>
  <c r="P204" i="11"/>
  <c r="P203" i="11"/>
  <c r="P202" i="11"/>
  <c r="P201" i="11"/>
  <c r="P200" i="11"/>
  <c r="P199" i="11"/>
  <c r="P198" i="11"/>
  <c r="Q198" i="11" s="1"/>
  <c r="P197" i="11"/>
  <c r="P196" i="11"/>
  <c r="P195" i="11"/>
  <c r="P194" i="11"/>
  <c r="P193" i="11"/>
  <c r="P192" i="11"/>
  <c r="P191" i="11"/>
  <c r="P190" i="11"/>
  <c r="Q190" i="11" s="1"/>
  <c r="P189" i="11"/>
  <c r="P188" i="11"/>
  <c r="P187" i="11"/>
  <c r="P186" i="11"/>
  <c r="P185" i="11"/>
  <c r="P184" i="11"/>
  <c r="P183" i="11"/>
  <c r="P182" i="11"/>
  <c r="Q182" i="11" s="1"/>
  <c r="P181" i="11"/>
  <c r="P180" i="11"/>
  <c r="P179" i="11"/>
  <c r="P178" i="11"/>
  <c r="P177" i="11"/>
  <c r="P176" i="11"/>
  <c r="P175" i="11"/>
  <c r="P174" i="11"/>
  <c r="Q174" i="11" s="1"/>
  <c r="P173" i="11"/>
  <c r="P172" i="11"/>
  <c r="P171" i="11"/>
  <c r="P170" i="11"/>
  <c r="P169" i="11"/>
  <c r="P168" i="11"/>
  <c r="P167" i="11"/>
  <c r="P166" i="11"/>
  <c r="Q166" i="11" s="1"/>
  <c r="P165" i="11"/>
  <c r="P164" i="11"/>
  <c r="P163" i="11"/>
  <c r="P162" i="11"/>
  <c r="P161" i="11"/>
  <c r="P160" i="11"/>
  <c r="P159" i="11"/>
  <c r="P158" i="11"/>
  <c r="Q158" i="11" s="1"/>
  <c r="P157" i="11"/>
  <c r="P156" i="11"/>
  <c r="P155" i="11"/>
  <c r="P154" i="11"/>
  <c r="P153" i="11"/>
  <c r="P152" i="11"/>
  <c r="P151" i="11"/>
  <c r="P150" i="11"/>
  <c r="P149" i="11"/>
  <c r="P148" i="11"/>
  <c r="P147" i="11"/>
  <c r="P146" i="11"/>
  <c r="P145" i="11"/>
  <c r="P144" i="11"/>
  <c r="P143" i="11"/>
  <c r="P142" i="11"/>
  <c r="Q142" i="11" s="1"/>
  <c r="P141" i="11"/>
  <c r="P140" i="11"/>
  <c r="P139" i="11"/>
  <c r="P138" i="11"/>
  <c r="P137" i="11"/>
  <c r="P136" i="11"/>
  <c r="P135" i="11"/>
  <c r="P134" i="11"/>
  <c r="Q134" i="11" s="1"/>
  <c r="P133" i="11"/>
  <c r="P132" i="11"/>
  <c r="P131" i="11"/>
  <c r="P130" i="11"/>
  <c r="P129" i="11"/>
  <c r="P128" i="11"/>
  <c r="P127" i="11"/>
  <c r="P126" i="11"/>
  <c r="Q126" i="11" s="1"/>
  <c r="P125" i="11"/>
  <c r="P124" i="11"/>
  <c r="P123" i="11"/>
  <c r="P122" i="11"/>
  <c r="P121" i="11"/>
  <c r="P120" i="11"/>
  <c r="P119" i="11"/>
  <c r="P118" i="11"/>
  <c r="Q118" i="11" s="1"/>
  <c r="P117" i="11"/>
  <c r="P116" i="11"/>
  <c r="P115" i="11"/>
  <c r="P114" i="11"/>
  <c r="P113" i="11"/>
  <c r="P112" i="11"/>
  <c r="P111" i="11"/>
  <c r="P110" i="11"/>
  <c r="Q110" i="11" s="1"/>
  <c r="P109" i="11"/>
  <c r="P108" i="11"/>
  <c r="P107" i="11"/>
  <c r="P106" i="11"/>
  <c r="P105" i="11"/>
  <c r="P104" i="11"/>
  <c r="P103" i="11"/>
  <c r="P102" i="11"/>
  <c r="Q102" i="11" s="1"/>
  <c r="P101" i="11"/>
  <c r="P100" i="11"/>
  <c r="P99" i="11"/>
  <c r="P98" i="11"/>
  <c r="P97" i="11"/>
  <c r="P96" i="11"/>
  <c r="P95" i="11"/>
  <c r="P94" i="11"/>
  <c r="Q94" i="11" s="1"/>
  <c r="P93" i="11"/>
  <c r="P92" i="11"/>
  <c r="P91" i="11"/>
  <c r="P90" i="11"/>
  <c r="P89" i="11"/>
  <c r="P88" i="11"/>
  <c r="P87" i="11"/>
  <c r="P86" i="11"/>
  <c r="P85" i="11"/>
  <c r="P84" i="11"/>
  <c r="P83" i="11"/>
  <c r="P82" i="11"/>
  <c r="P81" i="11"/>
  <c r="P80" i="11"/>
  <c r="P79" i="11"/>
  <c r="P78" i="11"/>
  <c r="P77" i="11"/>
  <c r="P76" i="11"/>
  <c r="P75" i="11"/>
  <c r="P74" i="11"/>
  <c r="P73" i="11"/>
  <c r="P72" i="11"/>
  <c r="P71" i="11"/>
  <c r="P70" i="11"/>
  <c r="P69" i="11"/>
  <c r="P68" i="11"/>
  <c r="P67" i="11"/>
  <c r="P66" i="11"/>
  <c r="P65" i="11"/>
  <c r="P64" i="11"/>
  <c r="P63" i="11"/>
  <c r="P62" i="11"/>
  <c r="P61" i="11"/>
  <c r="P60" i="11"/>
  <c r="P59" i="11"/>
  <c r="P58" i="11"/>
  <c r="P57" i="11"/>
  <c r="P56" i="11"/>
  <c r="P55" i="11"/>
  <c r="P54" i="11"/>
  <c r="P53" i="11"/>
  <c r="P52" i="11"/>
  <c r="P51" i="11"/>
  <c r="P50" i="11"/>
  <c r="P49" i="11"/>
  <c r="P48" i="11"/>
  <c r="P47" i="11"/>
  <c r="P46" i="11"/>
  <c r="P45" i="11"/>
  <c r="P44" i="11"/>
  <c r="P43" i="11"/>
  <c r="P42" i="11"/>
  <c r="P41" i="11"/>
  <c r="P40" i="11"/>
  <c r="P39" i="11"/>
  <c r="P38" i="11"/>
  <c r="P37" i="11"/>
  <c r="P36" i="11"/>
  <c r="P35" i="11"/>
  <c r="P34" i="11"/>
  <c r="P33" i="11"/>
  <c r="P32" i="11"/>
  <c r="P31" i="11"/>
  <c r="P30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N222" i="11"/>
  <c r="N220" i="11"/>
  <c r="N215" i="11"/>
  <c r="N212" i="11"/>
  <c r="N207" i="11"/>
  <c r="N206" i="11"/>
  <c r="N204" i="11"/>
  <c r="N196" i="11"/>
  <c r="N190" i="11"/>
  <c r="N188" i="11"/>
  <c r="N183" i="11"/>
  <c r="N182" i="11"/>
  <c r="N180" i="11"/>
  <c r="N178" i="11"/>
  <c r="N172" i="11"/>
  <c r="N167" i="11"/>
  <c r="N164" i="11"/>
  <c r="N158" i="11"/>
  <c r="N156" i="11"/>
  <c r="N151" i="11"/>
  <c r="N148" i="11"/>
  <c r="N143" i="11"/>
  <c r="N142" i="11"/>
  <c r="N140" i="11"/>
  <c r="N132" i="11"/>
  <c r="N130" i="11"/>
  <c r="N126" i="11"/>
  <c r="N124" i="11"/>
  <c r="N119" i="11"/>
  <c r="N118" i="11"/>
  <c r="N116" i="11"/>
  <c r="N114" i="11"/>
  <c r="N108" i="11"/>
  <c r="N106" i="11"/>
  <c r="N103" i="11"/>
  <c r="N100" i="11"/>
  <c r="N94" i="11"/>
  <c r="N92" i="11"/>
  <c r="N87" i="11"/>
  <c r="N84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L225" i="11"/>
  <c r="N225" i="11" s="1"/>
  <c r="L224" i="11"/>
  <c r="N224" i="11" s="1"/>
  <c r="L223" i="11"/>
  <c r="N223" i="11" s="1"/>
  <c r="L222" i="11"/>
  <c r="L221" i="11"/>
  <c r="N221" i="11" s="1"/>
  <c r="L220" i="11"/>
  <c r="L219" i="11"/>
  <c r="N219" i="11" s="1"/>
  <c r="L218" i="11"/>
  <c r="N218" i="11" s="1"/>
  <c r="L217" i="11"/>
  <c r="N217" i="11" s="1"/>
  <c r="L216" i="11"/>
  <c r="N216" i="11" s="1"/>
  <c r="L215" i="11"/>
  <c r="L214" i="11"/>
  <c r="N214" i="11" s="1"/>
  <c r="L213" i="11"/>
  <c r="N213" i="11" s="1"/>
  <c r="L212" i="11"/>
  <c r="L211" i="11"/>
  <c r="N211" i="11" s="1"/>
  <c r="L210" i="11"/>
  <c r="N210" i="11" s="1"/>
  <c r="L209" i="11"/>
  <c r="N209" i="11" s="1"/>
  <c r="L208" i="11"/>
  <c r="N208" i="11" s="1"/>
  <c r="L207" i="11"/>
  <c r="L206" i="11"/>
  <c r="L205" i="11"/>
  <c r="N205" i="11" s="1"/>
  <c r="L204" i="11"/>
  <c r="L203" i="11"/>
  <c r="N203" i="11" s="1"/>
  <c r="L202" i="11"/>
  <c r="N202" i="11" s="1"/>
  <c r="L201" i="11"/>
  <c r="N201" i="11" s="1"/>
  <c r="L200" i="11"/>
  <c r="N200" i="11" s="1"/>
  <c r="L199" i="11"/>
  <c r="N199" i="11" s="1"/>
  <c r="L198" i="11"/>
  <c r="N198" i="11" s="1"/>
  <c r="L197" i="11"/>
  <c r="N197" i="11" s="1"/>
  <c r="L196" i="11"/>
  <c r="L195" i="11"/>
  <c r="N195" i="11" s="1"/>
  <c r="L194" i="11"/>
  <c r="N194" i="11" s="1"/>
  <c r="L193" i="11"/>
  <c r="N193" i="11" s="1"/>
  <c r="L192" i="11"/>
  <c r="N192" i="11" s="1"/>
  <c r="L191" i="11"/>
  <c r="N191" i="11" s="1"/>
  <c r="L190" i="11"/>
  <c r="L189" i="11"/>
  <c r="N189" i="11" s="1"/>
  <c r="L188" i="11"/>
  <c r="L187" i="11"/>
  <c r="N187" i="11" s="1"/>
  <c r="L186" i="11"/>
  <c r="N186" i="11" s="1"/>
  <c r="L185" i="11"/>
  <c r="N185" i="11" s="1"/>
  <c r="L184" i="11"/>
  <c r="N184" i="11" s="1"/>
  <c r="L183" i="11"/>
  <c r="L182" i="11"/>
  <c r="L181" i="11"/>
  <c r="N181" i="11" s="1"/>
  <c r="L180" i="11"/>
  <c r="L179" i="11"/>
  <c r="N179" i="11" s="1"/>
  <c r="L178" i="11"/>
  <c r="L177" i="11"/>
  <c r="N177" i="11" s="1"/>
  <c r="L176" i="11"/>
  <c r="N176" i="11" s="1"/>
  <c r="L175" i="11"/>
  <c r="N175" i="11" s="1"/>
  <c r="L174" i="11"/>
  <c r="N174" i="11" s="1"/>
  <c r="L173" i="11"/>
  <c r="N173" i="11" s="1"/>
  <c r="L172" i="11"/>
  <c r="L171" i="11"/>
  <c r="N171" i="11" s="1"/>
  <c r="L170" i="11"/>
  <c r="N170" i="11" s="1"/>
  <c r="L169" i="11"/>
  <c r="N169" i="11" s="1"/>
  <c r="L168" i="11"/>
  <c r="N168" i="11" s="1"/>
  <c r="L167" i="11"/>
  <c r="L166" i="11"/>
  <c r="N166" i="11" s="1"/>
  <c r="L165" i="11"/>
  <c r="N165" i="11" s="1"/>
  <c r="L164" i="11"/>
  <c r="L163" i="11"/>
  <c r="N163" i="11" s="1"/>
  <c r="L162" i="11"/>
  <c r="N162" i="11" s="1"/>
  <c r="L161" i="11"/>
  <c r="N161" i="11" s="1"/>
  <c r="L160" i="11"/>
  <c r="N160" i="11" s="1"/>
  <c r="L159" i="11"/>
  <c r="N159" i="11" s="1"/>
  <c r="L158" i="11"/>
  <c r="L157" i="11"/>
  <c r="N157" i="11" s="1"/>
  <c r="L156" i="11"/>
  <c r="L155" i="11"/>
  <c r="N155" i="11" s="1"/>
  <c r="L154" i="11"/>
  <c r="N154" i="11" s="1"/>
  <c r="L153" i="11"/>
  <c r="N153" i="11" s="1"/>
  <c r="L152" i="11"/>
  <c r="N152" i="11" s="1"/>
  <c r="L151" i="11"/>
  <c r="L150" i="11"/>
  <c r="N150" i="11" s="1"/>
  <c r="L149" i="11"/>
  <c r="N149" i="11" s="1"/>
  <c r="L148" i="11"/>
  <c r="L147" i="11"/>
  <c r="N147" i="11" s="1"/>
  <c r="L146" i="11"/>
  <c r="N146" i="11" s="1"/>
  <c r="L145" i="11"/>
  <c r="N145" i="11" s="1"/>
  <c r="L144" i="11"/>
  <c r="N144" i="11" s="1"/>
  <c r="L143" i="11"/>
  <c r="L142" i="11"/>
  <c r="L141" i="11"/>
  <c r="N141" i="11" s="1"/>
  <c r="L140" i="11"/>
  <c r="L139" i="11"/>
  <c r="N139" i="11" s="1"/>
  <c r="L138" i="11"/>
  <c r="N138" i="11" s="1"/>
  <c r="L137" i="11"/>
  <c r="N137" i="11" s="1"/>
  <c r="L136" i="11"/>
  <c r="N136" i="11" s="1"/>
  <c r="L135" i="11"/>
  <c r="N135" i="11" s="1"/>
  <c r="L134" i="11"/>
  <c r="N134" i="11" s="1"/>
  <c r="L133" i="11"/>
  <c r="N133" i="11" s="1"/>
  <c r="L132" i="11"/>
  <c r="L131" i="11"/>
  <c r="N131" i="11" s="1"/>
  <c r="L130" i="11"/>
  <c r="L129" i="11"/>
  <c r="N129" i="11" s="1"/>
  <c r="L128" i="11"/>
  <c r="N128" i="11" s="1"/>
  <c r="L127" i="11"/>
  <c r="N127" i="11" s="1"/>
  <c r="L126" i="11"/>
  <c r="L125" i="11"/>
  <c r="N125" i="11" s="1"/>
  <c r="L124" i="11"/>
  <c r="L123" i="11"/>
  <c r="N123" i="11" s="1"/>
  <c r="L122" i="11"/>
  <c r="N122" i="11" s="1"/>
  <c r="L121" i="11"/>
  <c r="N121" i="11" s="1"/>
  <c r="L120" i="11"/>
  <c r="N120" i="11" s="1"/>
  <c r="L119" i="11"/>
  <c r="L118" i="11"/>
  <c r="L117" i="11"/>
  <c r="N117" i="11" s="1"/>
  <c r="L116" i="11"/>
  <c r="L115" i="11"/>
  <c r="N115" i="11" s="1"/>
  <c r="L114" i="11"/>
  <c r="L113" i="11"/>
  <c r="N113" i="11" s="1"/>
  <c r="L112" i="11"/>
  <c r="N112" i="11" s="1"/>
  <c r="L111" i="11"/>
  <c r="N111" i="11" s="1"/>
  <c r="L110" i="11"/>
  <c r="N110" i="11" s="1"/>
  <c r="L109" i="11"/>
  <c r="N109" i="11" s="1"/>
  <c r="L108" i="11"/>
  <c r="L107" i="11"/>
  <c r="N107" i="11" s="1"/>
  <c r="L106" i="11"/>
  <c r="L105" i="11"/>
  <c r="N105" i="11" s="1"/>
  <c r="L104" i="11"/>
  <c r="N104" i="11" s="1"/>
  <c r="L103" i="11"/>
  <c r="L102" i="11"/>
  <c r="N102" i="11" s="1"/>
  <c r="L101" i="11"/>
  <c r="N101" i="11" s="1"/>
  <c r="L100" i="11"/>
  <c r="L99" i="11"/>
  <c r="N99" i="11" s="1"/>
  <c r="L98" i="11"/>
  <c r="N98" i="11" s="1"/>
  <c r="L97" i="11"/>
  <c r="N97" i="11" s="1"/>
  <c r="L96" i="11"/>
  <c r="N96" i="11" s="1"/>
  <c r="L95" i="11"/>
  <c r="N95" i="11" s="1"/>
  <c r="L94" i="11"/>
  <c r="L93" i="11"/>
  <c r="N93" i="11" s="1"/>
  <c r="L92" i="11"/>
  <c r="L91" i="11"/>
  <c r="N91" i="11" s="1"/>
  <c r="L90" i="11"/>
  <c r="N90" i="11" s="1"/>
  <c r="L89" i="11"/>
  <c r="N89" i="11" s="1"/>
  <c r="L88" i="11"/>
  <c r="N88" i="11" s="1"/>
  <c r="L87" i="11"/>
  <c r="L86" i="11"/>
  <c r="N86" i="11" s="1"/>
  <c r="L85" i="11"/>
  <c r="N85" i="11" s="1"/>
  <c r="L84" i="11"/>
  <c r="L83" i="11"/>
  <c r="N83" i="11" s="1"/>
  <c r="L82" i="11"/>
  <c r="N82" i="11" s="1"/>
  <c r="L81" i="11"/>
  <c r="N81" i="11" s="1"/>
  <c r="L80" i="11"/>
  <c r="N80" i="11" s="1"/>
  <c r="H225" i="11"/>
  <c r="Q225" i="11" s="1"/>
  <c r="H224" i="11"/>
  <c r="Q224" i="11" s="1"/>
  <c r="R224" i="11" s="1"/>
  <c r="H223" i="11"/>
  <c r="Q223" i="11" s="1"/>
  <c r="H222" i="11"/>
  <c r="H221" i="11"/>
  <c r="Q221" i="11" s="1"/>
  <c r="R221" i="11" s="1"/>
  <c r="H220" i="11"/>
  <c r="Q220" i="11" s="1"/>
  <c r="H219" i="11"/>
  <c r="H218" i="11"/>
  <c r="Q218" i="11" s="1"/>
  <c r="H217" i="11"/>
  <c r="H216" i="11"/>
  <c r="Q216" i="11" s="1"/>
  <c r="R216" i="11" s="1"/>
  <c r="H215" i="11"/>
  <c r="Q215" i="11" s="1"/>
  <c r="H214" i="11"/>
  <c r="H213" i="11"/>
  <c r="Q213" i="11" s="1"/>
  <c r="R213" i="11" s="1"/>
  <c r="H212" i="11"/>
  <c r="Q212" i="11" s="1"/>
  <c r="H211" i="11"/>
  <c r="H210" i="11"/>
  <c r="Q210" i="11" s="1"/>
  <c r="H209" i="11"/>
  <c r="Q209" i="11" s="1"/>
  <c r="R209" i="11" s="1"/>
  <c r="H208" i="11"/>
  <c r="Q208" i="11" s="1"/>
  <c r="R208" i="11" s="1"/>
  <c r="H207" i="11"/>
  <c r="Q207" i="11" s="1"/>
  <c r="H206" i="11"/>
  <c r="H205" i="11"/>
  <c r="Q205" i="11" s="1"/>
  <c r="R205" i="11" s="1"/>
  <c r="H204" i="11"/>
  <c r="Q204" i="11" s="1"/>
  <c r="H203" i="11"/>
  <c r="H202" i="11"/>
  <c r="Q202" i="11" s="1"/>
  <c r="H201" i="11"/>
  <c r="Q201" i="11" s="1"/>
  <c r="R201" i="11" s="1"/>
  <c r="H200" i="11"/>
  <c r="Q200" i="11" s="1"/>
  <c r="R200" i="11" s="1"/>
  <c r="H199" i="11"/>
  <c r="Q199" i="11" s="1"/>
  <c r="H198" i="11"/>
  <c r="H197" i="11"/>
  <c r="Q197" i="11" s="1"/>
  <c r="R197" i="11" s="1"/>
  <c r="H196" i="11"/>
  <c r="Q196" i="11" s="1"/>
  <c r="H195" i="11"/>
  <c r="H194" i="11"/>
  <c r="Q194" i="11" s="1"/>
  <c r="H193" i="11"/>
  <c r="Q193" i="11" s="1"/>
  <c r="R193" i="11" s="1"/>
  <c r="H192" i="11"/>
  <c r="Q192" i="11" s="1"/>
  <c r="H191" i="11"/>
  <c r="Q191" i="11" s="1"/>
  <c r="H190" i="11"/>
  <c r="H189" i="11"/>
  <c r="Q189" i="11" s="1"/>
  <c r="R189" i="11" s="1"/>
  <c r="H188" i="11"/>
  <c r="Q188" i="11" s="1"/>
  <c r="H187" i="11"/>
  <c r="H186" i="11"/>
  <c r="Q186" i="11" s="1"/>
  <c r="H185" i="11"/>
  <c r="Q185" i="11" s="1"/>
  <c r="R185" i="11" s="1"/>
  <c r="H184" i="11"/>
  <c r="Q184" i="11" s="1"/>
  <c r="H183" i="11"/>
  <c r="Q183" i="11" s="1"/>
  <c r="H182" i="11"/>
  <c r="H181" i="11"/>
  <c r="Q181" i="11" s="1"/>
  <c r="R181" i="11" s="1"/>
  <c r="H180" i="11"/>
  <c r="Q180" i="11" s="1"/>
  <c r="H179" i="11"/>
  <c r="H178" i="11"/>
  <c r="Q178" i="11" s="1"/>
  <c r="H177" i="11"/>
  <c r="H176" i="11"/>
  <c r="Q176" i="11" s="1"/>
  <c r="H175" i="11"/>
  <c r="Q175" i="11" s="1"/>
  <c r="H174" i="11"/>
  <c r="H173" i="11"/>
  <c r="Q173" i="11" s="1"/>
  <c r="R173" i="11" s="1"/>
  <c r="H172" i="11"/>
  <c r="Q172" i="11" s="1"/>
  <c r="H171" i="11"/>
  <c r="H170" i="11"/>
  <c r="Q170" i="11" s="1"/>
  <c r="H169" i="11"/>
  <c r="Q169" i="11" s="1"/>
  <c r="R169" i="11" s="1"/>
  <c r="H168" i="11"/>
  <c r="Q168" i="11" s="1"/>
  <c r="H167" i="11"/>
  <c r="Q167" i="11" s="1"/>
  <c r="H166" i="11"/>
  <c r="H165" i="11"/>
  <c r="Q165" i="11" s="1"/>
  <c r="R165" i="11" s="1"/>
  <c r="H164" i="11"/>
  <c r="Q164" i="11" s="1"/>
  <c r="H163" i="11"/>
  <c r="H162" i="11"/>
  <c r="Q162" i="11" s="1"/>
  <c r="H161" i="11"/>
  <c r="Q161" i="11" s="1"/>
  <c r="R161" i="11" s="1"/>
  <c r="H160" i="11"/>
  <c r="Q160" i="11" s="1"/>
  <c r="H159" i="11"/>
  <c r="Q159" i="11" s="1"/>
  <c r="H158" i="11"/>
  <c r="H157" i="11"/>
  <c r="Q157" i="11" s="1"/>
  <c r="R157" i="11" s="1"/>
  <c r="H156" i="11"/>
  <c r="Q156" i="11" s="1"/>
  <c r="H155" i="11"/>
  <c r="H154" i="11"/>
  <c r="Q154" i="11" s="1"/>
  <c r="H153" i="11"/>
  <c r="H152" i="11"/>
  <c r="Q152" i="11" s="1"/>
  <c r="H151" i="11"/>
  <c r="Q151" i="11" s="1"/>
  <c r="H150" i="11"/>
  <c r="H149" i="11"/>
  <c r="Q149" i="11" s="1"/>
  <c r="R149" i="11" s="1"/>
  <c r="H148" i="11"/>
  <c r="Q148" i="11" s="1"/>
  <c r="H147" i="11"/>
  <c r="H146" i="11"/>
  <c r="Q146" i="11" s="1"/>
  <c r="R146" i="11" s="1"/>
  <c r="H145" i="11"/>
  <c r="Q145" i="11" s="1"/>
  <c r="R145" i="11" s="1"/>
  <c r="H144" i="11"/>
  <c r="Q144" i="11" s="1"/>
  <c r="H143" i="11"/>
  <c r="Q143" i="11" s="1"/>
  <c r="H142" i="11"/>
  <c r="H141" i="11"/>
  <c r="Q141" i="11" s="1"/>
  <c r="R141" i="11" s="1"/>
  <c r="H140" i="11"/>
  <c r="Q140" i="11" s="1"/>
  <c r="H139" i="11"/>
  <c r="H138" i="11"/>
  <c r="Q138" i="11" s="1"/>
  <c r="H137" i="11"/>
  <c r="Q137" i="11" s="1"/>
  <c r="R137" i="11" s="1"/>
  <c r="H136" i="11"/>
  <c r="Q136" i="11" s="1"/>
  <c r="H135" i="11"/>
  <c r="Q135" i="11" s="1"/>
  <c r="H134" i="11"/>
  <c r="H133" i="11"/>
  <c r="Q133" i="11" s="1"/>
  <c r="R133" i="11" s="1"/>
  <c r="H132" i="11"/>
  <c r="Q132" i="11" s="1"/>
  <c r="H131" i="11"/>
  <c r="H130" i="11"/>
  <c r="Q130" i="11" s="1"/>
  <c r="H129" i="11"/>
  <c r="Q129" i="11" s="1"/>
  <c r="R129" i="11" s="1"/>
  <c r="H128" i="11"/>
  <c r="Q128" i="11" s="1"/>
  <c r="H127" i="11"/>
  <c r="Q127" i="11" s="1"/>
  <c r="H126" i="11"/>
  <c r="H125" i="11"/>
  <c r="Q125" i="11" s="1"/>
  <c r="R125" i="11" s="1"/>
  <c r="H124" i="11"/>
  <c r="Q124" i="11" s="1"/>
  <c r="H123" i="11"/>
  <c r="H122" i="11"/>
  <c r="Q122" i="11" s="1"/>
  <c r="R122" i="11" s="1"/>
  <c r="H121" i="11"/>
  <c r="Q121" i="11" s="1"/>
  <c r="R121" i="11" s="1"/>
  <c r="H120" i="11"/>
  <c r="Q120" i="11" s="1"/>
  <c r="H119" i="11"/>
  <c r="Q119" i="11" s="1"/>
  <c r="H118" i="11"/>
  <c r="H117" i="11"/>
  <c r="Q117" i="11" s="1"/>
  <c r="R117" i="11" s="1"/>
  <c r="H116" i="11"/>
  <c r="Q116" i="11" s="1"/>
  <c r="H115" i="11"/>
  <c r="H114" i="11"/>
  <c r="Q114" i="11" s="1"/>
  <c r="H113" i="11"/>
  <c r="H112" i="11"/>
  <c r="Q112" i="11" s="1"/>
  <c r="H111" i="11"/>
  <c r="Q111" i="11" s="1"/>
  <c r="H110" i="11"/>
  <c r="H109" i="11"/>
  <c r="Q109" i="11" s="1"/>
  <c r="R109" i="11" s="1"/>
  <c r="H108" i="11"/>
  <c r="Q108" i="11" s="1"/>
  <c r="H107" i="11"/>
  <c r="H106" i="11"/>
  <c r="Q106" i="11" s="1"/>
  <c r="H105" i="11"/>
  <c r="Q105" i="11" s="1"/>
  <c r="R105" i="11" s="1"/>
  <c r="H104" i="11"/>
  <c r="Q104" i="11" s="1"/>
  <c r="H103" i="11"/>
  <c r="Q103" i="11" s="1"/>
  <c r="H102" i="11"/>
  <c r="H101" i="11"/>
  <c r="Q101" i="11" s="1"/>
  <c r="R101" i="11" s="1"/>
  <c r="H100" i="11"/>
  <c r="Q100" i="11" s="1"/>
  <c r="H99" i="11"/>
  <c r="H98" i="11"/>
  <c r="Q98" i="11" s="1"/>
  <c r="H97" i="11"/>
  <c r="Q97" i="11" s="1"/>
  <c r="R97" i="11" s="1"/>
  <c r="H96" i="11"/>
  <c r="Q96" i="11" s="1"/>
  <c r="H95" i="11"/>
  <c r="Q95" i="11" s="1"/>
  <c r="H94" i="11"/>
  <c r="H93" i="11"/>
  <c r="Q93" i="11" s="1"/>
  <c r="R93" i="11" s="1"/>
  <c r="H92" i="11"/>
  <c r="Q92" i="11" s="1"/>
  <c r="H91" i="11"/>
  <c r="H90" i="11"/>
  <c r="Q90" i="11" s="1"/>
  <c r="H89" i="11"/>
  <c r="H88" i="11"/>
  <c r="Q88" i="11" s="1"/>
  <c r="H87" i="11"/>
  <c r="Q87" i="11" s="1"/>
  <c r="H86" i="11"/>
  <c r="H85" i="11"/>
  <c r="Q85" i="11" s="1"/>
  <c r="R85" i="11" s="1"/>
  <c r="H84" i="11"/>
  <c r="Q84" i="11" s="1"/>
  <c r="H83" i="11"/>
  <c r="H82" i="11"/>
  <c r="Q82" i="11" s="1"/>
  <c r="R82" i="11" s="1"/>
  <c r="H81" i="11"/>
  <c r="Q81" i="11" s="1"/>
  <c r="R81" i="11" s="1"/>
  <c r="H80" i="11"/>
  <c r="Q80" i="11" s="1"/>
  <c r="K225" i="11"/>
  <c r="K224" i="11"/>
  <c r="K223" i="11"/>
  <c r="R223" i="11" s="1"/>
  <c r="K222" i="11"/>
  <c r="R222" i="11" s="1"/>
  <c r="K221" i="11"/>
  <c r="K220" i="11"/>
  <c r="R220" i="11" s="1"/>
  <c r="K219" i="11"/>
  <c r="R219" i="11" s="1"/>
  <c r="K218" i="11"/>
  <c r="K217" i="11"/>
  <c r="K216" i="11"/>
  <c r="K215" i="11"/>
  <c r="R215" i="11" s="1"/>
  <c r="K214" i="11"/>
  <c r="K213" i="11"/>
  <c r="K212" i="11"/>
  <c r="R212" i="11" s="1"/>
  <c r="K211" i="11"/>
  <c r="R211" i="11" s="1"/>
  <c r="K210" i="11"/>
  <c r="K209" i="11"/>
  <c r="K208" i="11"/>
  <c r="K207" i="11"/>
  <c r="R207" i="11" s="1"/>
  <c r="K206" i="11"/>
  <c r="R206" i="11" s="1"/>
  <c r="K205" i="11"/>
  <c r="K204" i="11"/>
  <c r="R204" i="11" s="1"/>
  <c r="K203" i="11"/>
  <c r="K202" i="11"/>
  <c r="K201" i="11"/>
  <c r="K200" i="11"/>
  <c r="K199" i="11"/>
  <c r="R199" i="11" s="1"/>
  <c r="K198" i="11"/>
  <c r="R198" i="11" s="1"/>
  <c r="K197" i="11"/>
  <c r="K196" i="11"/>
  <c r="R196" i="11" s="1"/>
  <c r="K195" i="11"/>
  <c r="R195" i="11" s="1"/>
  <c r="K194" i="11"/>
  <c r="K193" i="11"/>
  <c r="K192" i="11"/>
  <c r="R192" i="11" s="1"/>
  <c r="K191" i="11"/>
  <c r="R191" i="11" s="1"/>
  <c r="K190" i="11"/>
  <c r="K189" i="11"/>
  <c r="K188" i="11"/>
  <c r="R188" i="11" s="1"/>
  <c r="K187" i="11"/>
  <c r="R187" i="11" s="1"/>
  <c r="K186" i="11"/>
  <c r="K185" i="11"/>
  <c r="K184" i="11"/>
  <c r="R184" i="11" s="1"/>
  <c r="K183" i="11"/>
  <c r="R183" i="11" s="1"/>
  <c r="K182" i="11"/>
  <c r="R182" i="11" s="1"/>
  <c r="K181" i="11"/>
  <c r="K180" i="11"/>
  <c r="R180" i="11" s="1"/>
  <c r="K179" i="11"/>
  <c r="R179" i="11" s="1"/>
  <c r="K178" i="11"/>
  <c r="K177" i="11"/>
  <c r="K176" i="11"/>
  <c r="R176" i="11" s="1"/>
  <c r="K175" i="11"/>
  <c r="R175" i="11" s="1"/>
  <c r="K174" i="11"/>
  <c r="R174" i="11" s="1"/>
  <c r="K173" i="11"/>
  <c r="K172" i="11"/>
  <c r="R172" i="11" s="1"/>
  <c r="K171" i="11"/>
  <c r="R171" i="11" s="1"/>
  <c r="K170" i="11"/>
  <c r="K169" i="11"/>
  <c r="K168" i="11"/>
  <c r="R168" i="11" s="1"/>
  <c r="K167" i="11"/>
  <c r="R167" i="11" s="1"/>
  <c r="K166" i="11"/>
  <c r="R166" i="11" s="1"/>
  <c r="K165" i="11"/>
  <c r="K164" i="11"/>
  <c r="R164" i="11" s="1"/>
  <c r="K163" i="11"/>
  <c r="K162" i="11"/>
  <c r="K161" i="11"/>
  <c r="K160" i="11"/>
  <c r="K159" i="11"/>
  <c r="R159" i="11" s="1"/>
  <c r="K158" i="11"/>
  <c r="R158" i="11" s="1"/>
  <c r="K157" i="11"/>
  <c r="K156" i="11"/>
  <c r="R156" i="11" s="1"/>
  <c r="K155" i="11"/>
  <c r="R155" i="11" s="1"/>
  <c r="K154" i="11"/>
  <c r="K153" i="11"/>
  <c r="K152" i="11"/>
  <c r="R152" i="11" s="1"/>
  <c r="K151" i="11"/>
  <c r="R151" i="11" s="1"/>
  <c r="K150" i="11"/>
  <c r="K149" i="11"/>
  <c r="K148" i="11"/>
  <c r="R148" i="11" s="1"/>
  <c r="K147" i="11"/>
  <c r="R147" i="11" s="1"/>
  <c r="K146" i="11"/>
  <c r="K145" i="11"/>
  <c r="K144" i="11"/>
  <c r="R144" i="11" s="1"/>
  <c r="K143" i="11"/>
  <c r="R143" i="11" s="1"/>
  <c r="K142" i="11"/>
  <c r="R142" i="11" s="1"/>
  <c r="K141" i="11"/>
  <c r="K140" i="11"/>
  <c r="R140" i="11" s="1"/>
  <c r="K139" i="11"/>
  <c r="K138" i="11"/>
  <c r="K137" i="11"/>
  <c r="K136" i="11"/>
  <c r="K135" i="11"/>
  <c r="R135" i="11" s="1"/>
  <c r="K134" i="11"/>
  <c r="R134" i="11" s="1"/>
  <c r="K133" i="11"/>
  <c r="K132" i="11"/>
  <c r="R132" i="11" s="1"/>
  <c r="K131" i="11"/>
  <c r="R131" i="11" s="1"/>
  <c r="K130" i="11"/>
  <c r="K129" i="11"/>
  <c r="K128" i="11"/>
  <c r="R128" i="11" s="1"/>
  <c r="K127" i="11"/>
  <c r="R127" i="11" s="1"/>
  <c r="K126" i="11"/>
  <c r="K125" i="11"/>
  <c r="K124" i="11"/>
  <c r="R124" i="11" s="1"/>
  <c r="K123" i="11"/>
  <c r="R123" i="11" s="1"/>
  <c r="K122" i="11"/>
  <c r="K121" i="11"/>
  <c r="K120" i="11"/>
  <c r="R120" i="11" s="1"/>
  <c r="K119" i="11"/>
  <c r="R119" i="11" s="1"/>
  <c r="K118" i="11"/>
  <c r="R118" i="11" s="1"/>
  <c r="K117" i="11"/>
  <c r="K116" i="11"/>
  <c r="R116" i="11" s="1"/>
  <c r="K115" i="11"/>
  <c r="R115" i="11" s="1"/>
  <c r="K114" i="11"/>
  <c r="K113" i="11"/>
  <c r="K112" i="11"/>
  <c r="R112" i="11" s="1"/>
  <c r="K111" i="11"/>
  <c r="R111" i="11" s="1"/>
  <c r="K110" i="11"/>
  <c r="R110" i="11" s="1"/>
  <c r="K109" i="11"/>
  <c r="K108" i="11"/>
  <c r="R108" i="11" s="1"/>
  <c r="K107" i="11"/>
  <c r="R107" i="11" s="1"/>
  <c r="K106" i="11"/>
  <c r="K105" i="11"/>
  <c r="K104" i="11"/>
  <c r="R104" i="11" s="1"/>
  <c r="K103" i="11"/>
  <c r="R103" i="11" s="1"/>
  <c r="K102" i="11"/>
  <c r="R102" i="11" s="1"/>
  <c r="K101" i="11"/>
  <c r="K100" i="11"/>
  <c r="R100" i="11" s="1"/>
  <c r="K99" i="11"/>
  <c r="K98" i="11"/>
  <c r="K97" i="11"/>
  <c r="K96" i="11"/>
  <c r="K95" i="11"/>
  <c r="R95" i="11" s="1"/>
  <c r="K94" i="11"/>
  <c r="R94" i="11" s="1"/>
  <c r="K93" i="11"/>
  <c r="K92" i="11"/>
  <c r="R92" i="11" s="1"/>
  <c r="K91" i="11"/>
  <c r="R91" i="11" s="1"/>
  <c r="K90" i="11"/>
  <c r="K89" i="11"/>
  <c r="K88" i="11"/>
  <c r="R88" i="11" s="1"/>
  <c r="K87" i="11"/>
  <c r="R87" i="11" s="1"/>
  <c r="K86" i="11"/>
  <c r="R86" i="11" s="1"/>
  <c r="K85" i="11"/>
  <c r="K84" i="11"/>
  <c r="R84" i="11" s="1"/>
  <c r="K83" i="11"/>
  <c r="R83" i="11" s="1"/>
  <c r="K82" i="11"/>
  <c r="K81" i="11"/>
  <c r="K80" i="11"/>
  <c r="R80" i="11" s="1"/>
  <c r="J1051" i="1"/>
  <c r="A3" i="12"/>
  <c r="R225" i="11" l="1"/>
  <c r="V1175" i="12"/>
  <c r="X1175" i="12" s="1"/>
  <c r="V1683" i="12"/>
  <c r="X1683" i="12" s="1"/>
  <c r="V1485" i="12"/>
  <c r="X1485" i="12" s="1"/>
  <c r="V1421" i="12"/>
  <c r="X1421" i="12" s="1"/>
  <c r="V1357" i="12"/>
  <c r="X1357" i="12" s="1"/>
  <c r="V1531" i="12"/>
  <c r="X1531" i="12" s="1"/>
  <c r="V1467" i="12"/>
  <c r="X1467" i="12" s="1"/>
  <c r="V1403" i="12"/>
  <c r="X1403" i="12" s="1"/>
  <c r="V1339" i="12"/>
  <c r="X1339" i="12" s="1"/>
  <c r="V1275" i="12"/>
  <c r="X1275" i="12" s="1"/>
  <c r="V1211" i="12"/>
  <c r="X1211" i="12" s="1"/>
  <c r="V1432" i="12"/>
  <c r="X1432" i="12" s="1"/>
  <c r="V1240" i="12"/>
  <c r="X1240" i="12" s="1"/>
  <c r="V1176" i="12"/>
  <c r="X1176" i="12" s="1"/>
  <c r="V1476" i="12"/>
  <c r="X1476" i="12" s="1"/>
  <c r="V1674" i="12"/>
  <c r="X1674" i="12" s="1"/>
  <c r="V1514" i="12"/>
  <c r="X1514" i="12" s="1"/>
  <c r="V1487" i="12"/>
  <c r="X1487" i="12" s="1"/>
  <c r="V1805" i="12"/>
  <c r="X1805" i="12" s="1"/>
  <c r="V1424" i="12"/>
  <c r="X1424" i="12" s="1"/>
  <c r="V1466" i="12"/>
  <c r="X1466" i="12" s="1"/>
  <c r="V1202" i="12"/>
  <c r="X1202" i="12" s="1"/>
  <c r="V1723" i="12"/>
  <c r="X1723" i="12" s="1"/>
  <c r="V1787" i="12"/>
  <c r="X1787" i="12" s="1"/>
  <c r="V1178" i="12"/>
  <c r="X1178" i="12" s="1"/>
  <c r="V1471" i="12"/>
  <c r="X1471" i="12" s="1"/>
  <c r="V1407" i="12"/>
  <c r="X1407" i="12" s="1"/>
  <c r="V1525" i="12"/>
  <c r="X1525" i="12" s="1"/>
  <c r="V1461" i="12"/>
  <c r="X1461" i="12" s="1"/>
  <c r="V1397" i="12"/>
  <c r="X1397" i="12" s="1"/>
  <c r="V1333" i="12"/>
  <c r="X1333" i="12" s="1"/>
  <c r="V1612" i="12"/>
  <c r="X1612" i="12" s="1"/>
  <c r="V1792" i="12"/>
  <c r="X1792" i="12" s="1"/>
  <c r="V1720" i="12"/>
  <c r="X1720" i="12" s="1"/>
  <c r="V1714" i="12"/>
  <c r="X1714" i="12" s="1"/>
  <c r="V1396" i="12"/>
  <c r="X1396" i="12" s="1"/>
  <c r="V1648" i="12"/>
  <c r="X1648" i="12" s="1"/>
  <c r="V1292" i="12"/>
  <c r="X1292" i="12" s="1"/>
  <c r="V1404" i="12"/>
  <c r="X1404" i="12" s="1"/>
  <c r="V1780" i="12"/>
  <c r="X1780" i="12" s="1"/>
  <c r="V1335" i="12"/>
  <c r="X1335" i="12" s="1"/>
  <c r="V1811" i="12"/>
  <c r="X1811" i="12" s="1"/>
  <c r="V1555" i="12"/>
  <c r="X1555" i="12" s="1"/>
  <c r="V1358" i="12"/>
  <c r="X1358" i="12" s="1"/>
  <c r="V1294" i="12"/>
  <c r="X1294" i="12" s="1"/>
  <c r="V1230" i="12"/>
  <c r="X1230" i="12" s="1"/>
  <c r="V1166" i="12"/>
  <c r="X1166" i="12" s="1"/>
  <c r="V1393" i="12"/>
  <c r="X1393" i="12" s="1"/>
  <c r="V1265" i="12"/>
  <c r="X1265" i="12" s="1"/>
  <c r="V1650" i="12"/>
  <c r="X1650" i="12" s="1"/>
  <c r="V1595" i="12"/>
  <c r="X1595" i="12" s="1"/>
  <c r="V1354" i="12"/>
  <c r="X1354" i="12" s="1"/>
  <c r="V1226" i="12"/>
  <c r="X1226" i="12" s="1"/>
  <c r="V1643" i="12"/>
  <c r="X1643" i="12" s="1"/>
  <c r="V1356" i="12"/>
  <c r="X1356" i="12" s="1"/>
  <c r="V1491" i="12"/>
  <c r="X1491" i="12" s="1"/>
  <c r="V1427" i="12"/>
  <c r="X1427" i="12" s="1"/>
  <c r="V1363" i="12"/>
  <c r="X1363" i="12" s="1"/>
  <c r="V1299" i="12"/>
  <c r="X1299" i="12" s="1"/>
  <c r="V1235" i="12"/>
  <c r="X1235" i="12" s="1"/>
  <c r="V1171" i="12"/>
  <c r="X1171" i="12" s="1"/>
  <c r="V1193" i="12"/>
  <c r="X1193" i="12" s="1"/>
  <c r="V1378" i="12"/>
  <c r="X1378" i="12" s="1"/>
  <c r="V1338" i="12"/>
  <c r="X1338" i="12" s="1"/>
  <c r="V1332" i="12"/>
  <c r="X1332" i="12" s="1"/>
  <c r="V1610" i="12"/>
  <c r="X1610" i="12" s="1"/>
  <c r="V1330" i="12"/>
  <c r="X1330" i="12" s="1"/>
  <c r="V1560" i="12"/>
  <c r="X1560" i="12" s="1"/>
  <c r="V1447" i="12"/>
  <c r="X1447" i="12" s="1"/>
  <c r="V1383" i="12"/>
  <c r="X1383" i="12" s="1"/>
  <c r="V1619" i="12"/>
  <c r="X1619" i="12" s="1"/>
  <c r="V1807" i="12"/>
  <c r="X1807" i="12" s="1"/>
  <c r="V1679" i="12"/>
  <c r="X1679" i="12" s="1"/>
  <c r="V1551" i="12"/>
  <c r="X1551" i="12" s="1"/>
  <c r="V1578" i="12"/>
  <c r="X1578" i="12" s="1"/>
  <c r="V1260" i="12"/>
  <c r="X1260" i="12" s="1"/>
  <c r="V1420" i="12"/>
  <c r="X1420" i="12" s="1"/>
  <c r="V1707" i="12"/>
  <c r="X1707" i="12" s="1"/>
  <c r="V1402" i="12"/>
  <c r="X1402" i="12" s="1"/>
  <c r="V1450" i="12"/>
  <c r="X1450" i="12" s="1"/>
  <c r="V1388" i="12"/>
  <c r="X1388" i="12" s="1"/>
  <c r="V1220" i="12"/>
  <c r="X1220" i="12" s="1"/>
  <c r="V1180" i="12"/>
  <c r="X1180" i="12" s="1"/>
  <c r="V1547" i="12"/>
  <c r="X1547" i="12" s="1"/>
  <c r="V1691" i="12"/>
  <c r="X1691" i="12" s="1"/>
  <c r="V1695" i="12"/>
  <c r="X1695" i="12" s="1"/>
  <c r="V1567" i="12"/>
  <c r="X1567" i="12" s="1"/>
  <c r="V1423" i="12"/>
  <c r="X1423" i="12" s="1"/>
  <c r="V1167" i="12"/>
  <c r="X1167" i="12" s="1"/>
  <c r="V1343" i="12"/>
  <c r="X1343" i="12" s="1"/>
  <c r="V1279" i="12"/>
  <c r="X1279" i="12" s="1"/>
  <c r="V1813" i="12"/>
  <c r="X1813" i="12" s="1"/>
  <c r="V1666" i="12"/>
  <c r="X1666" i="12" s="1"/>
  <c r="V1580" i="12"/>
  <c r="X1580" i="12" s="1"/>
  <c r="V1675" i="12"/>
  <c r="X1675" i="12" s="1"/>
  <c r="V1562" i="12"/>
  <c r="X1562" i="12" s="1"/>
  <c r="V1455" i="12"/>
  <c r="X1455" i="12" s="1"/>
  <c r="V1391" i="12"/>
  <c r="X1391" i="12" s="1"/>
  <c r="V1800" i="12"/>
  <c r="X1800" i="12" s="1"/>
  <c r="V1497" i="12"/>
  <c r="X1497" i="12" s="1"/>
  <c r="V1433" i="12"/>
  <c r="X1433" i="12" s="1"/>
  <c r="V1440" i="12"/>
  <c r="X1440" i="12" s="1"/>
  <c r="V1312" i="12"/>
  <c r="X1312" i="12" s="1"/>
  <c r="V1552" i="12"/>
  <c r="X1552" i="12" s="1"/>
  <c r="V1282" i="12"/>
  <c r="X1282" i="12" s="1"/>
  <c r="V1268" i="12"/>
  <c r="X1268" i="12" s="1"/>
  <c r="V1522" i="12"/>
  <c r="X1522" i="12" s="1"/>
  <c r="V1340" i="12"/>
  <c r="X1340" i="12" s="1"/>
  <c r="V1810" i="12"/>
  <c r="X1810" i="12" s="1"/>
  <c r="V1194" i="12"/>
  <c r="X1194" i="12" s="1"/>
  <c r="V1571" i="12"/>
  <c r="X1571" i="12" s="1"/>
  <c r="V1833" i="12"/>
  <c r="X1833" i="12" s="1"/>
  <c r="V1493" i="12"/>
  <c r="X1493" i="12" s="1"/>
  <c r="V1699" i="12"/>
  <c r="X1699" i="12" s="1"/>
  <c r="V1495" i="12"/>
  <c r="X1495" i="12" s="1"/>
  <c r="V1431" i="12"/>
  <c r="X1431" i="12" s="1"/>
  <c r="V1367" i="12"/>
  <c r="X1367" i="12" s="1"/>
  <c r="V1303" i="12"/>
  <c r="X1303" i="12" s="1"/>
  <c r="V1768" i="12"/>
  <c r="X1768" i="12" s="1"/>
  <c r="V1326" i="12"/>
  <c r="X1326" i="12" s="1"/>
  <c r="V1262" i="12"/>
  <c r="X1262" i="12" s="1"/>
  <c r="V1198" i="12"/>
  <c r="X1198" i="12" s="1"/>
  <c r="V1587" i="12"/>
  <c r="X1587" i="12" s="1"/>
  <c r="V1709" i="12"/>
  <c r="X1709" i="12" s="1"/>
  <c r="V1826" i="12"/>
  <c r="X1826" i="12" s="1"/>
  <c r="V1570" i="12"/>
  <c r="X1570" i="12" s="1"/>
  <c r="V1272" i="12"/>
  <c r="X1272" i="12" s="1"/>
  <c r="V1244" i="12"/>
  <c r="X1244" i="12" s="1"/>
  <c r="V1324" i="12"/>
  <c r="X1324" i="12" s="1"/>
  <c r="V1523" i="12"/>
  <c r="X1523" i="12" s="1"/>
  <c r="V1331" i="12"/>
  <c r="X1331" i="12" s="1"/>
  <c r="V1506" i="12"/>
  <c r="X1506" i="12" s="1"/>
  <c r="V1515" i="12"/>
  <c r="X1515" i="12" s="1"/>
  <c r="V1451" i="12"/>
  <c r="X1451" i="12" s="1"/>
  <c r="V1387" i="12"/>
  <c r="X1387" i="12" s="1"/>
  <c r="V1323" i="12"/>
  <c r="X1323" i="12" s="1"/>
  <c r="V1259" i="12"/>
  <c r="X1259" i="12" s="1"/>
  <c r="V1195" i="12"/>
  <c r="X1195" i="12" s="1"/>
  <c r="V1634" i="12"/>
  <c r="X1634" i="12" s="1"/>
  <c r="V1512" i="12"/>
  <c r="X1512" i="12" s="1"/>
  <c r="V1384" i="12"/>
  <c r="X1384" i="12" s="1"/>
  <c r="V1316" i="12"/>
  <c r="X1316" i="12" s="1"/>
  <c r="V1306" i="12"/>
  <c r="X1306" i="12" s="1"/>
  <c r="V1418" i="12"/>
  <c r="X1418" i="12" s="1"/>
  <c r="V1271" i="12"/>
  <c r="X1271" i="12" s="1"/>
  <c r="V1207" i="12"/>
  <c r="X1207" i="12" s="1"/>
  <c r="V1640" i="12"/>
  <c r="X1640" i="12" s="1"/>
  <c r="V1486" i="12"/>
  <c r="X1486" i="12" s="1"/>
  <c r="V1422" i="12"/>
  <c r="X1422" i="12" s="1"/>
  <c r="V1507" i="12"/>
  <c r="X1507" i="12" s="1"/>
  <c r="V1443" i="12"/>
  <c r="X1443" i="12" s="1"/>
  <c r="V1379" i="12"/>
  <c r="X1379" i="12" s="1"/>
  <c r="V1315" i="12"/>
  <c r="X1315" i="12" s="1"/>
  <c r="V1251" i="12"/>
  <c r="X1251" i="12" s="1"/>
  <c r="V1187" i="12"/>
  <c r="X1187" i="12" s="1"/>
  <c r="V1708" i="12"/>
  <c r="X1708" i="12" s="1"/>
  <c r="V1623" i="12"/>
  <c r="X1623" i="12" s="1"/>
  <c r="V1838" i="12"/>
  <c r="X1838" i="12" s="1"/>
  <c r="V1749" i="12"/>
  <c r="X1749" i="12" s="1"/>
  <c r="V1579" i="12"/>
  <c r="X1579" i="12" s="1"/>
  <c r="V1504" i="12"/>
  <c r="X1504" i="12" s="1"/>
  <c r="V1376" i="12"/>
  <c r="X1376" i="12" s="1"/>
  <c r="V1284" i="12"/>
  <c r="X1284" i="12" s="1"/>
  <c r="V1548" i="12"/>
  <c r="X1548" i="12" s="1"/>
  <c r="V1754" i="12"/>
  <c r="X1754" i="12" s="1"/>
  <c r="V1314" i="12"/>
  <c r="X1314" i="12" s="1"/>
  <c r="V1530" i="12"/>
  <c r="X1530" i="12" s="1"/>
  <c r="V1274" i="12"/>
  <c r="X1274" i="12" s="1"/>
  <c r="V1266" i="12"/>
  <c r="X1266" i="12" s="1"/>
  <c r="V1228" i="12"/>
  <c r="X1228" i="12" s="1"/>
  <c r="V1775" i="12"/>
  <c r="X1775" i="12" s="1"/>
  <c r="V1208" i="12"/>
  <c r="X1208" i="12" s="1"/>
  <c r="V1386" i="12"/>
  <c r="X1386" i="12" s="1"/>
  <c r="V1459" i="12"/>
  <c r="X1459" i="12" s="1"/>
  <c r="V1267" i="12"/>
  <c r="X1267" i="12" s="1"/>
  <c r="V1215" i="12"/>
  <c r="X1215" i="12" s="1"/>
  <c r="V1759" i="12"/>
  <c r="X1759" i="12" s="1"/>
  <c r="V1519" i="12"/>
  <c r="X1519" i="12" s="1"/>
  <c r="V1629" i="12"/>
  <c r="X1629" i="12" s="1"/>
  <c r="V1478" i="12"/>
  <c r="X1478" i="12" s="1"/>
  <c r="V1517" i="12"/>
  <c r="X1517" i="12" s="1"/>
  <c r="V1389" i="12"/>
  <c r="X1389" i="12" s="1"/>
  <c r="V1711" i="12"/>
  <c r="X1711" i="12" s="1"/>
  <c r="V1773" i="12"/>
  <c r="X1773" i="12" s="1"/>
  <c r="V1252" i="12"/>
  <c r="X1252" i="12" s="1"/>
  <c r="V1236" i="12"/>
  <c r="X1236" i="12" s="1"/>
  <c r="V1490" i="12"/>
  <c r="X1490" i="12" s="1"/>
  <c r="V1482" i="12"/>
  <c r="X1482" i="12" s="1"/>
  <c r="V1372" i="12"/>
  <c r="X1372" i="12" s="1"/>
  <c r="V1748" i="12"/>
  <c r="X1748" i="12" s="1"/>
  <c r="V1620" i="12"/>
  <c r="X1620" i="12" s="1"/>
  <c r="V1255" i="12"/>
  <c r="X1255" i="12" s="1"/>
  <c r="V1191" i="12"/>
  <c r="X1191" i="12" s="1"/>
  <c r="V1534" i="12"/>
  <c r="X1534" i="12" s="1"/>
  <c r="V1470" i="12"/>
  <c r="X1470" i="12" s="1"/>
  <c r="V1406" i="12"/>
  <c r="X1406" i="12" s="1"/>
  <c r="V1763" i="12"/>
  <c r="X1763" i="12" s="1"/>
  <c r="V1635" i="12"/>
  <c r="X1635" i="12" s="1"/>
  <c r="V1772" i="12"/>
  <c r="X1772" i="12" s="1"/>
  <c r="V1687" i="12"/>
  <c r="X1687" i="12" s="1"/>
  <c r="V1602" i="12"/>
  <c r="X1602" i="12" s="1"/>
  <c r="V1521" i="12"/>
  <c r="X1521" i="12" s="1"/>
  <c r="V1457" i="12"/>
  <c r="X1457" i="12" s="1"/>
  <c r="V1488" i="12"/>
  <c r="X1488" i="12" s="1"/>
  <c r="V1360" i="12"/>
  <c r="X1360" i="12" s="1"/>
  <c r="V1186" i="12"/>
  <c r="X1186" i="12" s="1"/>
  <c r="V1786" i="12"/>
  <c r="X1786" i="12" s="1"/>
  <c r="V1210" i="12"/>
  <c r="X1210" i="12" s="1"/>
  <c r="V1778" i="12"/>
  <c r="X1778" i="12" s="1"/>
  <c r="V1458" i="12"/>
  <c r="X1458" i="12" s="1"/>
  <c r="V1290" i="12"/>
  <c r="X1290" i="12" s="1"/>
  <c r="V1647" i="12"/>
  <c r="X1647" i="12" s="1"/>
  <c r="V1581" i="12"/>
  <c r="X1581" i="12" s="1"/>
  <c r="V1395" i="12"/>
  <c r="X1395" i="12" s="1"/>
  <c r="V1203" i="12"/>
  <c r="X1203" i="12" s="1"/>
  <c r="V1644" i="12"/>
  <c r="X1644" i="12" s="1"/>
  <c r="V1169" i="12"/>
  <c r="X1169" i="12" s="1"/>
  <c r="V1771" i="12"/>
  <c r="X1771" i="12" s="1"/>
  <c r="V1651" i="12"/>
  <c r="X1651" i="12" s="1"/>
  <c r="V1631" i="12"/>
  <c r="X1631" i="12" s="1"/>
  <c r="V1263" i="12"/>
  <c r="X1263" i="12" s="1"/>
  <c r="V1199" i="12"/>
  <c r="X1199" i="12" s="1"/>
  <c r="V1715" i="12"/>
  <c r="X1715" i="12" s="1"/>
  <c r="V1414" i="12"/>
  <c r="X1414" i="12" s="1"/>
  <c r="V1453" i="12"/>
  <c r="X1453" i="12" s="1"/>
  <c r="V1325" i="12"/>
  <c r="X1325" i="12" s="1"/>
  <c r="V1583" i="12"/>
  <c r="X1583" i="12" s="1"/>
  <c r="V1645" i="12"/>
  <c r="X1645" i="12" s="1"/>
  <c r="V1698" i="12"/>
  <c r="X1698" i="12" s="1"/>
  <c r="V1250" i="12"/>
  <c r="X1250" i="12" s="1"/>
  <c r="V1498" i="12"/>
  <c r="X1498" i="12" s="1"/>
  <c r="V1234" i="12"/>
  <c r="X1234" i="12" s="1"/>
  <c r="V1776" i="12"/>
  <c r="X1776" i="12" s="1"/>
  <c r="V1439" i="12"/>
  <c r="X1439" i="12" s="1"/>
  <c r="V1375" i="12"/>
  <c r="X1375" i="12" s="1"/>
  <c r="V1183" i="12"/>
  <c r="X1183" i="12" s="1"/>
  <c r="V1779" i="12"/>
  <c r="X1779" i="12" s="1"/>
  <c r="V1608" i="12"/>
  <c r="X1608" i="12" s="1"/>
  <c r="V1334" i="12"/>
  <c r="X1334" i="12" s="1"/>
  <c r="V1270" i="12"/>
  <c r="X1270" i="12" s="1"/>
  <c r="V1206" i="12"/>
  <c r="X1206" i="12" s="1"/>
  <c r="V1501" i="12"/>
  <c r="X1501" i="12" s="1"/>
  <c r="V1437" i="12"/>
  <c r="X1437" i="12" s="1"/>
  <c r="V1373" i="12"/>
  <c r="X1373" i="12" s="1"/>
  <c r="V1309" i="12"/>
  <c r="X1309" i="12" s="1"/>
  <c r="V1483" i="12"/>
  <c r="X1483" i="12" s="1"/>
  <c r="V1419" i="12"/>
  <c r="X1419" i="12" s="1"/>
  <c r="V1355" i="12"/>
  <c r="X1355" i="12" s="1"/>
  <c r="V1291" i="12"/>
  <c r="X1291" i="12" s="1"/>
  <c r="V1227" i="12"/>
  <c r="X1227" i="12" s="1"/>
  <c r="V1762" i="12"/>
  <c r="X1762" i="12" s="1"/>
  <c r="V1803" i="12"/>
  <c r="X1803" i="12" s="1"/>
  <c r="V1755" i="12"/>
  <c r="X1755" i="12" s="1"/>
  <c r="V1546" i="12"/>
  <c r="X1546" i="12" s="1"/>
  <c r="V1802" i="12"/>
  <c r="X1802" i="12" s="1"/>
  <c r="V1746" i="12"/>
  <c r="X1746" i="12" s="1"/>
  <c r="V1563" i="12"/>
  <c r="X1563" i="12" s="1"/>
  <c r="V1426" i="12"/>
  <c r="X1426" i="12" s="1"/>
  <c r="V1642" i="12"/>
  <c r="X1642" i="12" s="1"/>
  <c r="T310" i="16"/>
  <c r="U310" i="16" s="1"/>
  <c r="U311" i="16"/>
  <c r="T308" i="16"/>
  <c r="U308" i="16" s="1"/>
  <c r="T312" i="16"/>
  <c r="U312" i="16" s="1"/>
  <c r="U309" i="16"/>
  <c r="T309" i="16"/>
  <c r="U313" i="16"/>
  <c r="T311" i="16"/>
  <c r="U289" i="14"/>
  <c r="U257" i="14"/>
  <c r="V1310" i="12"/>
  <c r="X1310" i="12" s="1"/>
  <c r="V1246" i="12"/>
  <c r="X1246" i="12" s="1"/>
  <c r="V1182" i="12"/>
  <c r="X1182" i="12" s="1"/>
  <c r="V1808" i="12"/>
  <c r="X1808" i="12" s="1"/>
  <c r="V1736" i="12"/>
  <c r="X1736" i="12" s="1"/>
  <c r="V1676" i="12"/>
  <c r="X1676" i="12" s="1"/>
  <c r="V1770" i="12"/>
  <c r="X1770" i="12" s="1"/>
  <c r="V1463" i="12"/>
  <c r="X1463" i="12" s="1"/>
  <c r="V1399" i="12"/>
  <c r="X1399" i="12" s="1"/>
  <c r="V1464" i="12"/>
  <c r="X1464" i="12" s="1"/>
  <c r="V1336" i="12"/>
  <c r="X1336" i="12" s="1"/>
  <c r="V1508" i="12"/>
  <c r="X1508" i="12" s="1"/>
  <c r="V1489" i="12"/>
  <c r="X1489" i="12" s="1"/>
  <c r="V1425" i="12"/>
  <c r="X1425" i="12" s="1"/>
  <c r="V1669" i="12"/>
  <c r="X1669" i="12" s="1"/>
  <c r="V1600" i="12"/>
  <c r="X1600" i="12" s="1"/>
  <c r="V1520" i="12"/>
  <c r="X1520" i="12" s="1"/>
  <c r="V1456" i="12"/>
  <c r="X1456" i="12" s="1"/>
  <c r="V1392" i="12"/>
  <c r="X1392" i="12" s="1"/>
  <c r="V1328" i="12"/>
  <c r="X1328" i="12" s="1"/>
  <c r="V1797" i="12"/>
  <c r="X1797" i="12" s="1"/>
  <c r="V1327" i="12"/>
  <c r="X1327" i="12" s="1"/>
  <c r="V1677" i="12"/>
  <c r="X1677" i="12" s="1"/>
  <c r="V1549" i="12"/>
  <c r="X1549" i="12" s="1"/>
  <c r="V1592" i="12"/>
  <c r="X1592" i="12" s="1"/>
  <c r="V1322" i="12"/>
  <c r="X1322" i="12" s="1"/>
  <c r="V1239" i="12"/>
  <c r="X1239" i="12" s="1"/>
  <c r="V1518" i="12"/>
  <c r="X1518" i="12" s="1"/>
  <c r="V1454" i="12"/>
  <c r="X1454" i="12" s="1"/>
  <c r="V1390" i="12"/>
  <c r="X1390" i="12" s="1"/>
  <c r="V1654" i="12"/>
  <c r="X1654" i="12" s="1"/>
  <c r="V1664" i="12"/>
  <c r="X1664" i="12" s="1"/>
  <c r="V1222" i="12"/>
  <c r="X1222" i="12" s="1"/>
  <c r="V1767" i="12"/>
  <c r="X1767" i="12" s="1"/>
  <c r="V1784" i="12"/>
  <c r="X1784" i="12" s="1"/>
  <c r="V1503" i="12"/>
  <c r="X1503" i="12" s="1"/>
  <c r="V1704" i="12"/>
  <c r="X1704" i="12" s="1"/>
  <c r="V1342" i="12"/>
  <c r="X1342" i="12" s="1"/>
  <c r="V1278" i="12"/>
  <c r="X1278" i="12" s="1"/>
  <c r="V1214" i="12"/>
  <c r="X1214" i="12" s="1"/>
  <c r="V1756" i="12"/>
  <c r="X1756" i="12" s="1"/>
  <c r="V1628" i="12"/>
  <c r="X1628" i="12" s="1"/>
  <c r="V1796" i="12"/>
  <c r="X1796" i="12" s="1"/>
  <c r="V1668" i="12"/>
  <c r="X1668" i="12" s="1"/>
  <c r="V1540" i="12"/>
  <c r="X1540" i="12" s="1"/>
  <c r="V1816" i="12"/>
  <c r="X1816" i="12" s="1"/>
  <c r="V1505" i="12"/>
  <c r="X1505" i="12" s="1"/>
  <c r="V1441" i="12"/>
  <c r="X1441" i="12" s="1"/>
  <c r="V1256" i="12"/>
  <c r="X1256" i="12" s="1"/>
  <c r="V1192" i="12"/>
  <c r="X1192" i="12" s="1"/>
  <c r="V1733" i="12"/>
  <c r="X1733" i="12" s="1"/>
  <c r="V1744" i="12"/>
  <c r="X1744" i="12" s="1"/>
  <c r="V1557" i="12"/>
  <c r="X1557" i="12" s="1"/>
  <c r="V1212" i="12"/>
  <c r="X1212" i="12" s="1"/>
  <c r="V1544" i="12"/>
  <c r="X1544" i="12" s="1"/>
  <c r="V1350" i="12"/>
  <c r="X1350" i="12" s="1"/>
  <c r="V1286" i="12"/>
  <c r="X1286" i="12" s="1"/>
  <c r="V1765" i="12"/>
  <c r="X1765" i="12" s="1"/>
  <c r="V1639" i="12"/>
  <c r="X1639" i="12" s="1"/>
  <c r="V1693" i="12"/>
  <c r="X1693" i="12" s="1"/>
  <c r="V1526" i="12"/>
  <c r="X1526" i="12" s="1"/>
  <c r="V1462" i="12"/>
  <c r="X1462" i="12" s="1"/>
  <c r="V1398" i="12"/>
  <c r="X1398" i="12" s="1"/>
  <c r="V1735" i="12"/>
  <c r="X1735" i="12" s="1"/>
  <c r="V1607" i="12"/>
  <c r="X1607" i="12" s="1"/>
  <c r="V1509" i="12"/>
  <c r="X1509" i="12" s="1"/>
  <c r="V1445" i="12"/>
  <c r="X1445" i="12" s="1"/>
  <c r="V1381" i="12"/>
  <c r="X1381" i="12" s="1"/>
  <c r="V1317" i="12"/>
  <c r="X1317" i="12" s="1"/>
  <c r="V1804" i="12"/>
  <c r="X1804" i="12" s="1"/>
  <c r="V1712" i="12"/>
  <c r="X1712" i="12" s="1"/>
  <c r="V1479" i="12"/>
  <c r="X1479" i="12" s="1"/>
  <c r="V1351" i="12"/>
  <c r="X1351" i="12" s="1"/>
  <c r="V1287" i="12"/>
  <c r="X1287" i="12" s="1"/>
  <c r="V1605" i="12"/>
  <c r="X1605" i="12" s="1"/>
  <c r="V1757" i="12"/>
  <c r="X1757" i="12" s="1"/>
  <c r="V1672" i="12"/>
  <c r="X1672" i="12" s="1"/>
  <c r="V1318" i="12"/>
  <c r="X1318" i="12" s="1"/>
  <c r="V1254" i="12"/>
  <c r="X1254" i="12" s="1"/>
  <c r="V1190" i="12"/>
  <c r="X1190" i="12" s="1"/>
  <c r="V1541" i="12"/>
  <c r="X1541" i="12" s="1"/>
  <c r="V1481" i="12"/>
  <c r="X1481" i="12" s="1"/>
  <c r="V1417" i="12"/>
  <c r="X1417" i="12" s="1"/>
  <c r="V1296" i="12"/>
  <c r="X1296" i="12" s="1"/>
  <c r="V1232" i="12"/>
  <c r="X1232" i="12" s="1"/>
  <c r="V1616" i="12"/>
  <c r="X1616" i="12" s="1"/>
  <c r="V1594" i="12"/>
  <c r="X1594" i="12" s="1"/>
  <c r="V1820" i="12"/>
  <c r="X1820" i="12" s="1"/>
  <c r="V1692" i="12"/>
  <c r="X1692" i="12" s="1"/>
  <c r="V1564" i="12"/>
  <c r="X1564" i="12" s="1"/>
  <c r="V1732" i="12"/>
  <c r="X1732" i="12" s="1"/>
  <c r="V1604" i="12"/>
  <c r="X1604" i="12" s="1"/>
  <c r="V1632" i="12"/>
  <c r="X1632" i="12" s="1"/>
  <c r="V1480" i="12"/>
  <c r="X1480" i="12" s="1"/>
  <c r="V1416" i="12"/>
  <c r="X1416" i="12" s="1"/>
  <c r="V1352" i="12"/>
  <c r="X1352" i="12" s="1"/>
  <c r="V1444" i="12"/>
  <c r="X1444" i="12" s="1"/>
  <c r="V1652" i="12"/>
  <c r="X1652" i="12" s="1"/>
  <c r="V1688" i="12"/>
  <c r="X1688" i="12" s="1"/>
  <c r="V1781" i="12"/>
  <c r="X1781" i="12" s="1"/>
  <c r="V1589" i="12"/>
  <c r="X1589" i="12" s="1"/>
  <c r="V1821" i="12"/>
  <c r="X1821" i="12" s="1"/>
  <c r="V1565" i="12"/>
  <c r="X1565" i="12" s="1"/>
  <c r="V1494" i="12"/>
  <c r="X1494" i="12" s="1"/>
  <c r="V1430" i="12"/>
  <c r="X1430" i="12" s="1"/>
  <c r="V1799" i="12"/>
  <c r="X1799" i="12" s="1"/>
  <c r="V1671" i="12"/>
  <c r="X1671" i="12" s="1"/>
  <c r="V1543" i="12"/>
  <c r="X1543" i="12" s="1"/>
  <c r="V1477" i="12"/>
  <c r="X1477" i="12" s="1"/>
  <c r="V1413" i="12"/>
  <c r="X1413" i="12" s="1"/>
  <c r="V1349" i="12"/>
  <c r="X1349" i="12" s="1"/>
  <c r="V1168" i="12"/>
  <c r="X1168" i="12" s="1"/>
  <c r="V1536" i="12"/>
  <c r="X1536" i="12" s="1"/>
  <c r="V1472" i="12"/>
  <c r="X1472" i="12" s="1"/>
  <c r="V1408" i="12"/>
  <c r="X1408" i="12" s="1"/>
  <c r="V1344" i="12"/>
  <c r="X1344" i="12" s="1"/>
  <c r="V1280" i="12"/>
  <c r="X1280" i="12" s="1"/>
  <c r="V1825" i="12"/>
  <c r="X1825" i="12" s="1"/>
  <c r="V1793" i="12"/>
  <c r="X1793" i="12" s="1"/>
  <c r="V1761" i="12"/>
  <c r="X1761" i="12" s="1"/>
  <c r="V1721" i="12"/>
  <c r="X1721" i="12" s="1"/>
  <c r="V1673" i="12"/>
  <c r="X1673" i="12" s="1"/>
  <c r="V1609" i="12"/>
  <c r="X1609" i="12" s="1"/>
  <c r="V1537" i="12"/>
  <c r="X1537" i="12" s="1"/>
  <c r="V1684" i="12"/>
  <c r="X1684" i="12" s="1"/>
  <c r="V1556" i="12"/>
  <c r="X1556" i="12" s="1"/>
  <c r="V1573" i="12"/>
  <c r="X1573" i="12" s="1"/>
  <c r="V1719" i="12"/>
  <c r="X1719" i="12" s="1"/>
  <c r="V1584" i="12"/>
  <c r="X1584" i="12" s="1"/>
  <c r="V1527" i="12"/>
  <c r="X1527" i="12" s="1"/>
  <c r="V1598" i="12"/>
  <c r="X1598" i="12" s="1"/>
  <c r="V1566" i="12"/>
  <c r="X1566" i="12" s="1"/>
  <c r="V1783" i="12"/>
  <c r="X1783" i="12" s="1"/>
  <c r="V1529" i="12"/>
  <c r="X1529" i="12" s="1"/>
  <c r="V1465" i="12"/>
  <c r="X1465" i="12" s="1"/>
  <c r="V1637" i="12"/>
  <c r="X1637" i="12" s="1"/>
  <c r="V1258" i="12"/>
  <c r="X1258" i="12" s="1"/>
  <c r="V1752" i="12"/>
  <c r="X1752" i="12" s="1"/>
  <c r="V1701" i="12"/>
  <c r="X1701" i="12" s="1"/>
  <c r="V1591" i="12"/>
  <c r="X1591" i="12" s="1"/>
  <c r="V1513" i="12"/>
  <c r="X1513" i="12" s="1"/>
  <c r="V1449" i="12"/>
  <c r="X1449" i="12" s="1"/>
  <c r="V1653" i="12"/>
  <c r="X1653" i="12" s="1"/>
  <c r="V1511" i="12"/>
  <c r="X1511" i="12" s="1"/>
  <c r="V1703" i="12"/>
  <c r="X1703" i="12" s="1"/>
  <c r="V1575" i="12"/>
  <c r="X1575" i="12" s="1"/>
  <c r="V1429" i="12"/>
  <c r="X1429" i="12" s="1"/>
  <c r="V1365" i="12"/>
  <c r="X1365" i="12" s="1"/>
  <c r="V1741" i="12"/>
  <c r="X1741" i="12" s="1"/>
  <c r="V1613" i="12"/>
  <c r="X1613" i="12" s="1"/>
  <c r="V1751" i="12"/>
  <c r="X1751" i="12" s="1"/>
  <c r="V1716" i="12"/>
  <c r="X1716" i="12" s="1"/>
  <c r="V1588" i="12"/>
  <c r="X1588" i="12" s="1"/>
  <c r="V1829" i="12"/>
  <c r="X1829" i="12" s="1"/>
  <c r="V1655" i="12"/>
  <c r="X1655" i="12" s="1"/>
  <c r="V1665" i="12"/>
  <c r="X1665" i="12" s="1"/>
  <c r="V1601" i="12"/>
  <c r="X1601" i="12" s="1"/>
  <c r="V1545" i="12"/>
  <c r="X1545" i="12" s="1"/>
  <c r="V1717" i="12"/>
  <c r="X1717" i="12" s="1"/>
  <c r="V1624" i="12"/>
  <c r="X1624" i="12" s="1"/>
  <c r="V1311" i="12"/>
  <c r="X1311" i="12" s="1"/>
  <c r="V1830" i="12"/>
  <c r="X1830" i="12" s="1"/>
  <c r="V1798" i="12"/>
  <c r="X1798" i="12" s="1"/>
  <c r="V1766" i="12"/>
  <c r="X1766" i="12" s="1"/>
  <c r="V1734" i="12"/>
  <c r="X1734" i="12" s="1"/>
  <c r="V1702" i="12"/>
  <c r="X1702" i="12" s="1"/>
  <c r="V1670" i="12"/>
  <c r="X1670" i="12" s="1"/>
  <c r="V1638" i="12"/>
  <c r="X1638" i="12" s="1"/>
  <c r="V1606" i="12"/>
  <c r="X1606" i="12" s="1"/>
  <c r="V1542" i="12"/>
  <c r="X1542" i="12" s="1"/>
  <c r="V1248" i="12"/>
  <c r="X1248" i="12" s="1"/>
  <c r="V1184" i="12"/>
  <c r="X1184" i="12" s="1"/>
  <c r="V1809" i="12"/>
  <c r="X1809" i="12" s="1"/>
  <c r="V1777" i="12"/>
  <c r="X1777" i="12" s="1"/>
  <c r="V1745" i="12"/>
  <c r="X1745" i="12" s="1"/>
  <c r="V1705" i="12"/>
  <c r="X1705" i="12" s="1"/>
  <c r="V1641" i="12"/>
  <c r="X1641" i="12" s="1"/>
  <c r="V1569" i="12"/>
  <c r="X1569" i="12" s="1"/>
  <c r="V1359" i="12"/>
  <c r="X1359" i="12" s="1"/>
  <c r="V1295" i="12"/>
  <c r="X1295" i="12" s="1"/>
  <c r="V1700" i="12"/>
  <c r="X1700" i="12" s="1"/>
  <c r="V1572" i="12"/>
  <c r="X1572" i="12" s="1"/>
  <c r="V1814" i="12"/>
  <c r="X1814" i="12" s="1"/>
  <c r="V1782" i="12"/>
  <c r="X1782" i="12" s="1"/>
  <c r="V1750" i="12"/>
  <c r="X1750" i="12" s="1"/>
  <c r="V1718" i="12"/>
  <c r="X1718" i="12" s="1"/>
  <c r="V1622" i="12"/>
  <c r="X1622" i="12" s="1"/>
  <c r="V1558" i="12"/>
  <c r="X1558" i="12" s="1"/>
  <c r="V1216" i="12"/>
  <c r="X1216" i="12" s="1"/>
  <c r="V1646" i="12"/>
  <c r="X1646" i="12" s="1"/>
  <c r="V1582" i="12"/>
  <c r="X1582" i="12" s="1"/>
  <c r="V1697" i="12"/>
  <c r="X1697" i="12" s="1"/>
  <c r="V1633" i="12"/>
  <c r="X1633" i="12" s="1"/>
  <c r="V1577" i="12"/>
  <c r="X1577" i="12" s="1"/>
  <c r="V1764" i="12"/>
  <c r="X1764" i="12" s="1"/>
  <c r="V1636" i="12"/>
  <c r="X1636" i="12" s="1"/>
  <c r="V1264" i="12"/>
  <c r="X1264" i="12" s="1"/>
  <c r="V1200" i="12"/>
  <c r="X1200" i="12" s="1"/>
  <c r="V1817" i="12"/>
  <c r="X1817" i="12" s="1"/>
  <c r="V1785" i="12"/>
  <c r="X1785" i="12" s="1"/>
  <c r="V1753" i="12"/>
  <c r="X1753" i="12" s="1"/>
  <c r="V1713" i="12"/>
  <c r="X1713" i="12" s="1"/>
  <c r="V1657" i="12"/>
  <c r="X1657" i="12" s="1"/>
  <c r="V1585" i="12"/>
  <c r="X1585" i="12" s="1"/>
  <c r="V1822" i="12"/>
  <c r="X1822" i="12" s="1"/>
  <c r="V1790" i="12"/>
  <c r="X1790" i="12" s="1"/>
  <c r="V1758" i="12"/>
  <c r="X1758" i="12" s="1"/>
  <c r="V1726" i="12"/>
  <c r="X1726" i="12" s="1"/>
  <c r="V1694" i="12"/>
  <c r="X1694" i="12" s="1"/>
  <c r="V1662" i="12"/>
  <c r="X1662" i="12" s="1"/>
  <c r="V1630" i="12"/>
  <c r="X1630" i="12" s="1"/>
  <c r="V1836" i="12"/>
  <c r="X1836" i="12" s="1"/>
  <c r="V1590" i="12"/>
  <c r="X1590" i="12" s="1"/>
  <c r="V1185" i="12"/>
  <c r="X1185" i="12" s="1"/>
  <c r="V1686" i="12"/>
  <c r="X1686" i="12" s="1"/>
  <c r="V1827" i="12"/>
  <c r="X1827" i="12" s="1"/>
  <c r="V1839" i="12"/>
  <c r="X1839" i="12" s="1"/>
  <c r="V1806" i="12"/>
  <c r="X1806" i="12" s="1"/>
  <c r="V1774" i="12"/>
  <c r="X1774" i="12" s="1"/>
  <c r="V1742" i="12"/>
  <c r="X1742" i="12" s="1"/>
  <c r="V1710" i="12"/>
  <c r="X1710" i="12" s="1"/>
  <c r="V1678" i="12"/>
  <c r="X1678" i="12" s="1"/>
  <c r="V1614" i="12"/>
  <c r="X1614" i="12" s="1"/>
  <c r="V1550" i="12"/>
  <c r="X1550" i="12" s="1"/>
  <c r="V1574" i="12"/>
  <c r="X1574" i="12" s="1"/>
  <c r="V1729" i="12"/>
  <c r="X1729" i="12" s="1"/>
  <c r="V1649" i="12"/>
  <c r="X1649" i="12" s="1"/>
  <c r="V1593" i="12"/>
  <c r="X1593" i="12" s="1"/>
  <c r="V1834" i="12"/>
  <c r="X1834" i="12" s="1"/>
  <c r="V1801" i="12"/>
  <c r="X1801" i="12" s="1"/>
  <c r="V1769" i="12"/>
  <c r="X1769" i="12" s="1"/>
  <c r="V1737" i="12"/>
  <c r="X1737" i="12" s="1"/>
  <c r="V1689" i="12"/>
  <c r="X1689" i="12" s="1"/>
  <c r="V1625" i="12"/>
  <c r="X1625" i="12" s="1"/>
  <c r="V1553" i="12"/>
  <c r="X1553" i="12" s="1"/>
  <c r="R126" i="11"/>
  <c r="R150" i="11"/>
  <c r="R190" i="11"/>
  <c r="R214" i="11"/>
  <c r="R90" i="11"/>
  <c r="R98" i="11"/>
  <c r="R106" i="11"/>
  <c r="R114" i="11"/>
  <c r="R130" i="11"/>
  <c r="R138" i="11"/>
  <c r="R154" i="11"/>
  <c r="R162" i="11"/>
  <c r="R170" i="11"/>
  <c r="R178" i="11"/>
  <c r="R186" i="11"/>
  <c r="R194" i="11"/>
  <c r="R202" i="11"/>
  <c r="R210" i="11"/>
  <c r="R218" i="11"/>
  <c r="R99" i="11"/>
  <c r="R139" i="11"/>
  <c r="R163" i="11"/>
  <c r="R203" i="11"/>
  <c r="T674" i="1" l="1"/>
  <c r="O674" i="1"/>
  <c r="Q674" i="1" s="1"/>
  <c r="T673" i="1"/>
  <c r="O673" i="1"/>
  <c r="U672" i="1"/>
  <c r="T672" i="1"/>
  <c r="O672" i="1"/>
  <c r="R672" i="1" s="1"/>
  <c r="S672" i="1" s="1"/>
  <c r="T671" i="1"/>
  <c r="O671" i="1"/>
  <c r="Q671" i="1" s="1"/>
  <c r="U673" i="1"/>
  <c r="U671" i="1"/>
  <c r="J674" i="1"/>
  <c r="Q672" i="1" l="1"/>
  <c r="U674" i="1"/>
  <c r="R674" i="1"/>
  <c r="S674" i="1" s="1"/>
  <c r="R671" i="1"/>
  <c r="S671" i="1" s="1"/>
  <c r="R673" i="1"/>
  <c r="S673" i="1" s="1"/>
  <c r="Q673" i="1"/>
  <c r="M489" i="1" l="1"/>
  <c r="K138" i="1"/>
  <c r="K137" i="1"/>
  <c r="J553" i="1" l="1"/>
  <c r="J552" i="1"/>
  <c r="T1039" i="1"/>
  <c r="O1039" i="1"/>
  <c r="Q1039" i="1" s="1"/>
  <c r="N1039" i="1"/>
  <c r="U1039" i="1" s="1"/>
  <c r="T1038" i="1"/>
  <c r="O1038" i="1"/>
  <c r="N1038" i="1"/>
  <c r="U1038" i="1" s="1"/>
  <c r="T1040" i="1"/>
  <c r="O1040" i="1"/>
  <c r="N1040" i="1"/>
  <c r="U1040" i="1" s="1"/>
  <c r="O636" i="1"/>
  <c r="Q636" i="1" s="1"/>
  <c r="U636" i="1"/>
  <c r="O635" i="1"/>
  <c r="Q635" i="1" s="1"/>
  <c r="O634" i="1"/>
  <c r="Q634" i="1" s="1"/>
  <c r="U634" i="1"/>
  <c r="O633" i="1"/>
  <c r="Q633" i="1" s="1"/>
  <c r="K1034" i="1"/>
  <c r="T732" i="1"/>
  <c r="O732" i="1"/>
  <c r="N732" i="1"/>
  <c r="U732" i="1" s="1"/>
  <c r="N980" i="1"/>
  <c r="O980" i="1"/>
  <c r="Q980" i="1" s="1"/>
  <c r="J936" i="1"/>
  <c r="N936" i="1" s="1"/>
  <c r="N979" i="1"/>
  <c r="T979" i="1"/>
  <c r="N730" i="1"/>
  <c r="O730" i="1"/>
  <c r="Q730" i="1" s="1"/>
  <c r="N1033" i="1"/>
  <c r="N1032" i="1"/>
  <c r="N1031" i="1"/>
  <c r="O617" i="1"/>
  <c r="Q617" i="1" s="1"/>
  <c r="O616" i="1"/>
  <c r="Q616" i="1" s="1"/>
  <c r="U617" i="1"/>
  <c r="U616" i="1"/>
  <c r="J598" i="1"/>
  <c r="J597" i="1"/>
  <c r="J606" i="1"/>
  <c r="J605" i="1"/>
  <c r="T889" i="1"/>
  <c r="O889" i="1"/>
  <c r="Q889" i="1" s="1"/>
  <c r="T888" i="1"/>
  <c r="O888" i="1"/>
  <c r="N890" i="1"/>
  <c r="N889" i="1"/>
  <c r="N888" i="1"/>
  <c r="U888" i="1" s="1"/>
  <c r="T374" i="1"/>
  <c r="O374" i="1"/>
  <c r="T373" i="1"/>
  <c r="O373" i="1"/>
  <c r="T372" i="1"/>
  <c r="O372" i="1"/>
  <c r="Q372" i="1" s="1"/>
  <c r="T371" i="1"/>
  <c r="O371" i="1"/>
  <c r="Q371" i="1" s="1"/>
  <c r="T370" i="1"/>
  <c r="O370" i="1"/>
  <c r="T369" i="1"/>
  <c r="O369" i="1"/>
  <c r="T368" i="1"/>
  <c r="O368" i="1"/>
  <c r="Q368" i="1" s="1"/>
  <c r="N374" i="1"/>
  <c r="U374" i="1" s="1"/>
  <c r="N373" i="1"/>
  <c r="U373" i="1" s="1"/>
  <c r="N372" i="1"/>
  <c r="N371" i="1"/>
  <c r="U371" i="1" s="1"/>
  <c r="N370" i="1"/>
  <c r="U370" i="1" s="1"/>
  <c r="N369" i="1"/>
  <c r="U369" i="1" s="1"/>
  <c r="N368" i="1"/>
  <c r="U368" i="1" s="1"/>
  <c r="T882" i="1"/>
  <c r="O882" i="1"/>
  <c r="T881" i="1"/>
  <c r="O881" i="1"/>
  <c r="T880" i="1"/>
  <c r="O880" i="1"/>
  <c r="Q880" i="1" s="1"/>
  <c r="N882" i="1"/>
  <c r="U882" i="1" s="1"/>
  <c r="N881" i="1"/>
  <c r="U881" i="1" s="1"/>
  <c r="N880" i="1"/>
  <c r="U662" i="1" l="1"/>
  <c r="U663" i="1"/>
  <c r="O663" i="1"/>
  <c r="R663" i="1" s="1"/>
  <c r="S663" i="1" s="1"/>
  <c r="T663" i="1"/>
  <c r="O662" i="1"/>
  <c r="R662" i="1" s="1"/>
  <c r="S662" i="1" s="1"/>
  <c r="T662" i="1"/>
  <c r="U624" i="1"/>
  <c r="R1039" i="1"/>
  <c r="S1039" i="1" s="1"/>
  <c r="O624" i="1"/>
  <c r="R624" i="1" s="1"/>
  <c r="S624" i="1" s="1"/>
  <c r="R1038" i="1"/>
  <c r="S1038" i="1" s="1"/>
  <c r="Q1038" i="1"/>
  <c r="U1031" i="1"/>
  <c r="R634" i="1"/>
  <c r="S634" i="1" s="1"/>
  <c r="R635" i="1"/>
  <c r="S635" i="1" s="1"/>
  <c r="R1040" i="1"/>
  <c r="S1040" i="1" s="1"/>
  <c r="Q1040" i="1"/>
  <c r="U635" i="1"/>
  <c r="U633" i="1"/>
  <c r="R636" i="1"/>
  <c r="S636" i="1" s="1"/>
  <c r="R633" i="1"/>
  <c r="S633" i="1" s="1"/>
  <c r="U1033" i="1"/>
  <c r="R732" i="1"/>
  <c r="S732" i="1" s="1"/>
  <c r="U1032" i="1"/>
  <c r="U936" i="1"/>
  <c r="Q732" i="1"/>
  <c r="T980" i="1"/>
  <c r="U980" i="1"/>
  <c r="R980" i="1"/>
  <c r="S980" i="1" s="1"/>
  <c r="O936" i="1"/>
  <c r="Q936" i="1" s="1"/>
  <c r="T936" i="1"/>
  <c r="U979" i="1"/>
  <c r="O979" i="1"/>
  <c r="T730" i="1"/>
  <c r="U730" i="1"/>
  <c r="R730" i="1"/>
  <c r="S730" i="1" s="1"/>
  <c r="O1031" i="1"/>
  <c r="O1032" i="1"/>
  <c r="Q1032" i="1" s="1"/>
  <c r="O1033" i="1"/>
  <c r="Q1033" i="1" s="1"/>
  <c r="T1031" i="1"/>
  <c r="T1032" i="1"/>
  <c r="T1033" i="1"/>
  <c r="R617" i="1"/>
  <c r="S617" i="1" s="1"/>
  <c r="R616" i="1"/>
  <c r="S616" i="1" s="1"/>
  <c r="R372" i="1"/>
  <c r="S372" i="1" s="1"/>
  <c r="R368" i="1"/>
  <c r="S368" i="1" s="1"/>
  <c r="R889" i="1"/>
  <c r="S889" i="1" s="1"/>
  <c r="R371" i="1"/>
  <c r="S371" i="1" s="1"/>
  <c r="R888" i="1"/>
  <c r="S888" i="1" s="1"/>
  <c r="U372" i="1"/>
  <c r="U889" i="1"/>
  <c r="R373" i="1"/>
  <c r="S373" i="1" s="1"/>
  <c r="R369" i="1"/>
  <c r="S369" i="1" s="1"/>
  <c r="R374" i="1"/>
  <c r="S374" i="1" s="1"/>
  <c r="R880" i="1"/>
  <c r="S880" i="1" s="1"/>
  <c r="R370" i="1"/>
  <c r="S370" i="1" s="1"/>
  <c r="Q888" i="1"/>
  <c r="Q370" i="1"/>
  <c r="Q374" i="1"/>
  <c r="Q369" i="1"/>
  <c r="Q373" i="1"/>
  <c r="R881" i="1"/>
  <c r="S881" i="1" s="1"/>
  <c r="U880" i="1"/>
  <c r="R882" i="1"/>
  <c r="S882" i="1" s="1"/>
  <c r="Q882" i="1"/>
  <c r="Q881" i="1"/>
  <c r="J138" i="1"/>
  <c r="J137" i="1"/>
  <c r="Q663" i="1" l="1"/>
  <c r="Q624" i="1"/>
  <c r="Q662" i="1"/>
  <c r="R936" i="1"/>
  <c r="S936" i="1" s="1"/>
  <c r="R979" i="1"/>
  <c r="S979" i="1" s="1"/>
  <c r="Q979" i="1"/>
  <c r="R1032" i="1"/>
  <c r="S1032" i="1" s="1"/>
  <c r="R1031" i="1"/>
  <c r="S1031" i="1" s="1"/>
  <c r="Q1031" i="1"/>
  <c r="R1033" i="1"/>
  <c r="S1033" i="1" s="1"/>
  <c r="J228" i="1"/>
  <c r="J255" i="1"/>
  <c r="J283" i="1"/>
  <c r="O302" i="1"/>
  <c r="O301" i="1"/>
  <c r="M301" i="1"/>
  <c r="J301" i="1"/>
  <c r="N302" i="1"/>
  <c r="N300" i="1"/>
  <c r="K1002" i="1"/>
  <c r="N1002" i="1" s="1"/>
  <c r="K1001" i="1"/>
  <c r="N1001" i="1" s="1"/>
  <c r="K1000" i="1"/>
  <c r="N1000" i="1" s="1"/>
  <c r="N1037" i="1"/>
  <c r="N1036" i="1"/>
  <c r="N1034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T1008" i="1" s="1"/>
  <c r="N1007" i="1"/>
  <c r="U1007" i="1" s="1"/>
  <c r="N1006" i="1"/>
  <c r="U1006" i="1" s="1"/>
  <c r="N1005" i="1"/>
  <c r="N1004" i="1"/>
  <c r="N1003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U1008" i="1"/>
  <c r="O1008" i="1"/>
  <c r="T1007" i="1"/>
  <c r="O1007" i="1"/>
  <c r="Q1007" i="1" s="1"/>
  <c r="T1006" i="1"/>
  <c r="O1006" i="1"/>
  <c r="Q1006" i="1" s="1"/>
  <c r="T969" i="1"/>
  <c r="O969" i="1"/>
  <c r="T968" i="1"/>
  <c r="O968" i="1"/>
  <c r="Q968" i="1" s="1"/>
  <c r="N971" i="1"/>
  <c r="N970" i="1"/>
  <c r="N969" i="1"/>
  <c r="U969" i="1" s="1"/>
  <c r="N968" i="1"/>
  <c r="U968" i="1" s="1"/>
  <c r="N967" i="1"/>
  <c r="T781" i="1"/>
  <c r="O781" i="1"/>
  <c r="Q781" i="1" s="1"/>
  <c r="N781" i="1"/>
  <c r="U781" i="1" s="1"/>
  <c r="T780" i="1"/>
  <c r="O780" i="1"/>
  <c r="Q780" i="1" s="1"/>
  <c r="M780" i="1"/>
  <c r="N780" i="1" s="1"/>
  <c r="M25" i="1"/>
  <c r="N25" i="1" s="1"/>
  <c r="O25" i="1"/>
  <c r="I8" i="6"/>
  <c r="M8" i="6" s="1"/>
  <c r="N46" i="1"/>
  <c r="U46" i="1"/>
  <c r="T8" i="1"/>
  <c r="O8" i="1"/>
  <c r="Q8" i="1" s="1"/>
  <c r="N8" i="1"/>
  <c r="U8" i="1" s="1"/>
  <c r="J29" i="7"/>
  <c r="U302" i="1" l="1"/>
  <c r="R302" i="1"/>
  <c r="S302" i="1" s="1"/>
  <c r="O300" i="1"/>
  <c r="R300" i="1" s="1"/>
  <c r="S300" i="1" s="1"/>
  <c r="R25" i="1"/>
  <c r="S25" i="1" s="1"/>
  <c r="N301" i="1"/>
  <c r="U301" i="1" s="1"/>
  <c r="U300" i="1"/>
  <c r="Q302" i="1"/>
  <c r="Q301" i="1"/>
  <c r="R1006" i="1"/>
  <c r="S1006" i="1" s="1"/>
  <c r="U25" i="1"/>
  <c r="R1008" i="1"/>
  <c r="S1008" i="1" s="1"/>
  <c r="Q1008" i="1"/>
  <c r="R1007" i="1"/>
  <c r="S1007" i="1" s="1"/>
  <c r="R968" i="1"/>
  <c r="S968" i="1" s="1"/>
  <c r="R969" i="1"/>
  <c r="S969" i="1" s="1"/>
  <c r="Q969" i="1"/>
  <c r="R781" i="1"/>
  <c r="S781" i="1" s="1"/>
  <c r="U780" i="1"/>
  <c r="R780" i="1"/>
  <c r="S780" i="1" s="1"/>
  <c r="Q25" i="1"/>
  <c r="O46" i="1"/>
  <c r="Q46" i="1" s="1"/>
  <c r="T46" i="1"/>
  <c r="R8" i="1"/>
  <c r="S8" i="1" s="1"/>
  <c r="Q300" i="1" l="1"/>
  <c r="R301" i="1"/>
  <c r="S301" i="1" s="1"/>
  <c r="R46" i="1"/>
  <c r="S46" i="1" s="1"/>
  <c r="I1074" i="1"/>
  <c r="K1074" i="1"/>
  <c r="L1074" i="1"/>
  <c r="M1074" i="1"/>
  <c r="N1074" i="1"/>
  <c r="O1074" i="1"/>
  <c r="O1036" i="1"/>
  <c r="J1074" i="1"/>
  <c r="U1036" i="1"/>
  <c r="O1077" i="1"/>
  <c r="M1077" i="1"/>
  <c r="L1077" i="1"/>
  <c r="K1077" i="1"/>
  <c r="J1077" i="1"/>
  <c r="O1079" i="1"/>
  <c r="O1078" i="1"/>
  <c r="K1078" i="1"/>
  <c r="J1078" i="1"/>
  <c r="O1076" i="1"/>
  <c r="M1076" i="1"/>
  <c r="K1076" i="1"/>
  <c r="J1076" i="1"/>
  <c r="O1075" i="1"/>
  <c r="O1073" i="1"/>
  <c r="N1073" i="1"/>
  <c r="M1073" i="1"/>
  <c r="L1073" i="1"/>
  <c r="K1073" i="1"/>
  <c r="J1073" i="1"/>
  <c r="O1072" i="1"/>
  <c r="N1072" i="1"/>
  <c r="L1072" i="1"/>
  <c r="J1072" i="1"/>
  <c r="O1071" i="1"/>
  <c r="M1071" i="1"/>
  <c r="J1071" i="1"/>
  <c r="O1070" i="1"/>
  <c r="M1070" i="1"/>
  <c r="L1070" i="1"/>
  <c r="K1070" i="1"/>
  <c r="I1070" i="1"/>
  <c r="O1069" i="1"/>
  <c r="N1069" i="1"/>
  <c r="M1069" i="1"/>
  <c r="J1069" i="1"/>
  <c r="O1067" i="1"/>
  <c r="M1067" i="1"/>
  <c r="K1067" i="1"/>
  <c r="J1067" i="1"/>
  <c r="M1066" i="1"/>
  <c r="K1066" i="1"/>
  <c r="J1066" i="1"/>
  <c r="O1065" i="1"/>
  <c r="M1065" i="1"/>
  <c r="L1065" i="1"/>
  <c r="K1065" i="1"/>
  <c r="J1065" i="1"/>
  <c r="O1064" i="1"/>
  <c r="M1064" i="1"/>
  <c r="O1063" i="1"/>
  <c r="K1063" i="1"/>
  <c r="O1062" i="1"/>
  <c r="K1062" i="1"/>
  <c r="J1062" i="1"/>
  <c r="O1060" i="1"/>
  <c r="N1060" i="1"/>
  <c r="M1060" i="1"/>
  <c r="L1060" i="1"/>
  <c r="K1060" i="1"/>
  <c r="O1059" i="1"/>
  <c r="L1059" i="1"/>
  <c r="J1059" i="1"/>
  <c r="O1057" i="1"/>
  <c r="K1057" i="1"/>
  <c r="J1057" i="1"/>
  <c r="M883" i="1"/>
  <c r="N883" i="1" s="1"/>
  <c r="O883" i="1"/>
  <c r="Q883" i="1" s="1"/>
  <c r="T805" i="1"/>
  <c r="N805" i="1"/>
  <c r="T806" i="1"/>
  <c r="N806" i="1"/>
  <c r="S806" i="1" s="1"/>
  <c r="N807" i="1"/>
  <c r="S807" i="1" s="1"/>
  <c r="O735" i="1"/>
  <c r="Q735" i="1" s="1"/>
  <c r="M735" i="1"/>
  <c r="N735" i="1" s="1"/>
  <c r="L1079" i="1" s="1"/>
  <c r="L678" i="1"/>
  <c r="M677" i="1"/>
  <c r="O72" i="1"/>
  <c r="Q72" i="1" s="1"/>
  <c r="N72" i="1"/>
  <c r="N73" i="1"/>
  <c r="O74" i="1"/>
  <c r="Q74" i="1" s="1"/>
  <c r="N74" i="1"/>
  <c r="O75" i="1"/>
  <c r="Q75" i="1" s="1"/>
  <c r="N75" i="1"/>
  <c r="N76" i="1"/>
  <c r="N77" i="1"/>
  <c r="O78" i="1"/>
  <c r="Q78" i="1" s="1"/>
  <c r="N78" i="1"/>
  <c r="O79" i="1"/>
  <c r="Q79" i="1" s="1"/>
  <c r="N79" i="1"/>
  <c r="O80" i="1"/>
  <c r="Q80" i="1" s="1"/>
  <c r="N80" i="1"/>
  <c r="N81" i="1"/>
  <c r="O82" i="1"/>
  <c r="Q82" i="1" s="1"/>
  <c r="N82" i="1"/>
  <c r="N83" i="1"/>
  <c r="O84" i="1"/>
  <c r="Q84" i="1" s="1"/>
  <c r="N84" i="1"/>
  <c r="O622" i="1"/>
  <c r="Q622" i="1" s="1"/>
  <c r="M622" i="1"/>
  <c r="K1071" i="1" s="1"/>
  <c r="O623" i="1"/>
  <c r="Q623" i="1" s="1"/>
  <c r="J623" i="1"/>
  <c r="M623" i="1"/>
  <c r="O632" i="1"/>
  <c r="J632" i="1"/>
  <c r="M632" i="1" s="1"/>
  <c r="O596" i="1"/>
  <c r="N596" i="1"/>
  <c r="O597" i="1"/>
  <c r="Q597" i="1" s="1"/>
  <c r="N597" i="1"/>
  <c r="O598" i="1"/>
  <c r="Q598" i="1" s="1"/>
  <c r="N598" i="1"/>
  <c r="O599" i="1"/>
  <c r="Q599" i="1" s="1"/>
  <c r="M599" i="1"/>
  <c r="N599" i="1" s="1"/>
  <c r="O600" i="1"/>
  <c r="Q600" i="1" s="1"/>
  <c r="N600" i="1"/>
  <c r="O601" i="1"/>
  <c r="Q601" i="1" s="1"/>
  <c r="N601" i="1"/>
  <c r="O602" i="1"/>
  <c r="Q602" i="1" s="1"/>
  <c r="N602" i="1"/>
  <c r="N603" i="1"/>
  <c r="O604" i="1"/>
  <c r="Q604" i="1" s="1"/>
  <c r="O605" i="1"/>
  <c r="Q605" i="1" s="1"/>
  <c r="O606" i="1"/>
  <c r="Q606" i="1" s="1"/>
  <c r="O607" i="1"/>
  <c r="Q607" i="1" s="1"/>
  <c r="O608" i="1"/>
  <c r="Q608" i="1" s="1"/>
  <c r="O609" i="1"/>
  <c r="Q609" i="1" s="1"/>
  <c r="J609" i="1"/>
  <c r="J610" i="1"/>
  <c r="J611" i="1"/>
  <c r="O612" i="1"/>
  <c r="Q612" i="1" s="1"/>
  <c r="J612" i="1"/>
  <c r="O613" i="1"/>
  <c r="Q613" i="1" s="1"/>
  <c r="J613" i="1"/>
  <c r="O614" i="1"/>
  <c r="Q614" i="1" s="1"/>
  <c r="O615" i="1"/>
  <c r="Q615" i="1" s="1"/>
  <c r="O287" i="1"/>
  <c r="Q287" i="1" s="1"/>
  <c r="N287" i="1"/>
  <c r="N288" i="1"/>
  <c r="O289" i="1"/>
  <c r="Q289" i="1" s="1"/>
  <c r="M289" i="1"/>
  <c r="N289" i="1" s="1"/>
  <c r="N290" i="1"/>
  <c r="O291" i="1"/>
  <c r="Q291" i="1" s="1"/>
  <c r="N291" i="1"/>
  <c r="N292" i="1"/>
  <c r="O293" i="1"/>
  <c r="Q293" i="1" s="1"/>
  <c r="N293" i="1"/>
  <c r="N294" i="1"/>
  <c r="N295" i="1"/>
  <c r="M296" i="1"/>
  <c r="N296" i="1" s="1"/>
  <c r="O297" i="1"/>
  <c r="Q297" i="1" s="1"/>
  <c r="M297" i="1"/>
  <c r="N297" i="1" s="1"/>
  <c r="O298" i="1"/>
  <c r="M298" i="1"/>
  <c r="N298" i="1" s="1"/>
  <c r="O299" i="1"/>
  <c r="M299" i="1"/>
  <c r="N299" i="1" s="1"/>
  <c r="O47" i="1"/>
  <c r="Q47" i="1" s="1"/>
  <c r="M47" i="1"/>
  <c r="N47" i="1" s="1"/>
  <c r="O48" i="1"/>
  <c r="Q48" i="1" s="1"/>
  <c r="M48" i="1"/>
  <c r="N48" i="1" s="1"/>
  <c r="M49" i="1"/>
  <c r="N49" i="1" s="1"/>
  <c r="N50" i="1"/>
  <c r="N51" i="1"/>
  <c r="O20" i="1"/>
  <c r="Q20" i="1" s="1"/>
  <c r="J20" i="1"/>
  <c r="O21" i="1"/>
  <c r="Q21" i="1" s="1"/>
  <c r="J21" i="1"/>
  <c r="N21" i="1" s="1"/>
  <c r="J22" i="1"/>
  <c r="N22" i="1" s="1"/>
  <c r="J23" i="1"/>
  <c r="N23" i="1" s="1"/>
  <c r="O24" i="1"/>
  <c r="J24" i="1"/>
  <c r="N24" i="1" s="1"/>
  <c r="N20" i="1" l="1"/>
  <c r="U677" i="1"/>
  <c r="T677" i="1"/>
  <c r="O677" i="1"/>
  <c r="J1079" i="1"/>
  <c r="K1059" i="1"/>
  <c r="J1060" i="1"/>
  <c r="U605" i="1"/>
  <c r="U623" i="1"/>
  <c r="R1036" i="1"/>
  <c r="S1036" i="1" s="1"/>
  <c r="P1074" i="1"/>
  <c r="R1074" i="1" s="1"/>
  <c r="Q1036" i="1"/>
  <c r="T1036" i="1"/>
  <c r="U602" i="1"/>
  <c r="U77" i="1"/>
  <c r="U73" i="1"/>
  <c r="O1058" i="1"/>
  <c r="U76" i="1"/>
  <c r="U805" i="1"/>
  <c r="U24" i="1"/>
  <c r="U806" i="1"/>
  <c r="U596" i="1"/>
  <c r="U603" i="1"/>
  <c r="U807" i="1"/>
  <c r="S805" i="1"/>
  <c r="U81" i="1"/>
  <c r="R883" i="1"/>
  <c r="S883" i="1" s="1"/>
  <c r="U47" i="1"/>
  <c r="U607" i="1"/>
  <c r="U883" i="1"/>
  <c r="M678" i="1"/>
  <c r="R614" i="1"/>
  <c r="S614" i="1" s="1"/>
  <c r="U600" i="1"/>
  <c r="U597" i="1"/>
  <c r="T807" i="1"/>
  <c r="U50" i="1"/>
  <c r="U295" i="1"/>
  <c r="U82" i="1"/>
  <c r="U287" i="1"/>
  <c r="U604" i="1"/>
  <c r="U598" i="1"/>
  <c r="U84" i="1"/>
  <c r="O77" i="1"/>
  <c r="Q77" i="1" s="1"/>
  <c r="O603" i="1"/>
  <c r="Q603" i="1" s="1"/>
  <c r="R598" i="1"/>
  <c r="S598" i="1" s="1"/>
  <c r="R596" i="1"/>
  <c r="S596" i="1" s="1"/>
  <c r="U735" i="1"/>
  <c r="U632" i="1"/>
  <c r="U614" i="1"/>
  <c r="R735" i="1"/>
  <c r="S735" i="1" s="1"/>
  <c r="R79" i="1"/>
  <c r="S79" i="1" s="1"/>
  <c r="R74" i="1"/>
  <c r="S74" i="1" s="1"/>
  <c r="U49" i="1"/>
  <c r="O295" i="1"/>
  <c r="Q295" i="1" s="1"/>
  <c r="U613" i="1"/>
  <c r="U609" i="1"/>
  <c r="R82" i="1"/>
  <c r="S82" i="1" s="1"/>
  <c r="U72" i="1"/>
  <c r="U296" i="1"/>
  <c r="U290" i="1"/>
  <c r="U83" i="1"/>
  <c r="R75" i="1"/>
  <c r="S75" i="1" s="1"/>
  <c r="U80" i="1"/>
  <c r="R72" i="1"/>
  <c r="S72" i="1" s="1"/>
  <c r="U611" i="1"/>
  <c r="U608" i="1"/>
  <c r="U601" i="1"/>
  <c r="U293" i="1"/>
  <c r="U291" i="1"/>
  <c r="U615" i="1"/>
  <c r="U599" i="1"/>
  <c r="R84" i="1"/>
  <c r="S84" i="1" s="1"/>
  <c r="O81" i="1"/>
  <c r="Q81" i="1" s="1"/>
  <c r="U79" i="1"/>
  <c r="O76" i="1"/>
  <c r="Q76" i="1" s="1"/>
  <c r="U74" i="1"/>
  <c r="R78" i="1"/>
  <c r="S78" i="1" s="1"/>
  <c r="U294" i="1"/>
  <c r="U23" i="1"/>
  <c r="U51" i="1"/>
  <c r="O296" i="1"/>
  <c r="Q296" i="1" s="1"/>
  <c r="U289" i="1"/>
  <c r="U606" i="1"/>
  <c r="U78" i="1"/>
  <c r="O73" i="1"/>
  <c r="Q73" i="1" s="1"/>
  <c r="U292" i="1"/>
  <c r="U288" i="1"/>
  <c r="R80" i="1"/>
  <c r="S80" i="1" s="1"/>
  <c r="U75" i="1"/>
  <c r="U20" i="1"/>
  <c r="U22" i="1"/>
  <c r="U48" i="1"/>
  <c r="O294" i="1"/>
  <c r="Q294" i="1" s="1"/>
  <c r="O292" i="1"/>
  <c r="Q292" i="1" s="1"/>
  <c r="O290" i="1"/>
  <c r="Q290" i="1" s="1"/>
  <c r="O288" i="1"/>
  <c r="Q288" i="1" s="1"/>
  <c r="U610" i="1"/>
  <c r="O83" i="1"/>
  <c r="Q83" i="1" s="1"/>
  <c r="R602" i="1"/>
  <c r="S602" i="1" s="1"/>
  <c r="Q596" i="1"/>
  <c r="R622" i="1"/>
  <c r="S622" i="1" s="1"/>
  <c r="Q632" i="1"/>
  <c r="R606" i="1"/>
  <c r="S606" i="1" s="1"/>
  <c r="U622" i="1"/>
  <c r="R605" i="1"/>
  <c r="S605" i="1" s="1"/>
  <c r="R597" i="1"/>
  <c r="S597" i="1" s="1"/>
  <c r="R612" i="1"/>
  <c r="S612" i="1" s="1"/>
  <c r="R608" i="1"/>
  <c r="S608" i="1" s="1"/>
  <c r="R600" i="1"/>
  <c r="S600" i="1" s="1"/>
  <c r="R604" i="1"/>
  <c r="S604" i="1" s="1"/>
  <c r="R601" i="1"/>
  <c r="S601" i="1" s="1"/>
  <c r="R297" i="1"/>
  <c r="S297" i="1" s="1"/>
  <c r="R613" i="1"/>
  <c r="S613" i="1" s="1"/>
  <c r="R607" i="1"/>
  <c r="S607" i="1" s="1"/>
  <c r="R599" i="1"/>
  <c r="S599" i="1" s="1"/>
  <c r="R615" i="1"/>
  <c r="S615" i="1" s="1"/>
  <c r="O611" i="1"/>
  <c r="Q611" i="1" s="1"/>
  <c r="R609" i="1"/>
  <c r="S609" i="1" s="1"/>
  <c r="O610" i="1"/>
  <c r="Q610" i="1" s="1"/>
  <c r="U612" i="1"/>
  <c r="R48" i="1"/>
  <c r="S48" i="1" s="1"/>
  <c r="R293" i="1"/>
  <c r="S293" i="1" s="1"/>
  <c r="R291" i="1"/>
  <c r="S291" i="1" s="1"/>
  <c r="R289" i="1"/>
  <c r="S289" i="1" s="1"/>
  <c r="R287" i="1"/>
  <c r="S287" i="1" s="1"/>
  <c r="Q299" i="1"/>
  <c r="R299" i="1"/>
  <c r="S299" i="1" s="1"/>
  <c r="Q298" i="1"/>
  <c r="R298" i="1"/>
  <c r="S298" i="1" s="1"/>
  <c r="U299" i="1"/>
  <c r="U298" i="1"/>
  <c r="U297" i="1"/>
  <c r="R20" i="1"/>
  <c r="R47" i="1"/>
  <c r="S47" i="1" s="1"/>
  <c r="O51" i="1"/>
  <c r="O50" i="1"/>
  <c r="O49" i="1"/>
  <c r="Q24" i="1"/>
  <c r="R24" i="1"/>
  <c r="S24" i="1" s="1"/>
  <c r="R21" i="1"/>
  <c r="S21" i="1" s="1"/>
  <c r="O23" i="1"/>
  <c r="O22" i="1"/>
  <c r="U21" i="1"/>
  <c r="O664" i="1"/>
  <c r="Q664" i="1" s="1"/>
  <c r="N595" i="1"/>
  <c r="O595" i="1"/>
  <c r="Q595" i="1" s="1"/>
  <c r="N594" i="1"/>
  <c r="O594" i="1"/>
  <c r="Q594" i="1" s="1"/>
  <c r="N593" i="1"/>
  <c r="O593" i="1"/>
  <c r="Q593" i="1" s="1"/>
  <c r="N286" i="1"/>
  <c r="O286" i="1"/>
  <c r="Q286" i="1" s="1"/>
  <c r="N285" i="1"/>
  <c r="O285" i="1"/>
  <c r="Q285" i="1" s="1"/>
  <c r="N284" i="1"/>
  <c r="O284" i="1"/>
  <c r="Q284" i="1" s="1"/>
  <c r="N283" i="1"/>
  <c r="O283" i="1"/>
  <c r="Q283" i="1" s="1"/>
  <c r="R677" i="1" l="1"/>
  <c r="S677" i="1" s="1"/>
  <c r="Q677" i="1"/>
  <c r="I1077" i="1"/>
  <c r="N1077" i="1"/>
  <c r="R623" i="1"/>
  <c r="S623" i="1" s="1"/>
  <c r="R632" i="1"/>
  <c r="S632" i="1" s="1"/>
  <c r="R603" i="1"/>
  <c r="S603" i="1" s="1"/>
  <c r="R295" i="1"/>
  <c r="S295" i="1" s="1"/>
  <c r="R73" i="1"/>
  <c r="S73" i="1" s="1"/>
  <c r="R81" i="1"/>
  <c r="S81" i="1" s="1"/>
  <c r="R77" i="1"/>
  <c r="S77" i="1" s="1"/>
  <c r="R290" i="1"/>
  <c r="S290" i="1" s="1"/>
  <c r="R288" i="1"/>
  <c r="S288" i="1" s="1"/>
  <c r="R76" i="1"/>
  <c r="S76" i="1" s="1"/>
  <c r="S20" i="1"/>
  <c r="R294" i="1"/>
  <c r="S294" i="1" s="1"/>
  <c r="R611" i="1"/>
  <c r="S611" i="1" s="1"/>
  <c r="R292" i="1"/>
  <c r="S292" i="1" s="1"/>
  <c r="R296" i="1"/>
  <c r="S296" i="1" s="1"/>
  <c r="R83" i="1"/>
  <c r="S83" i="1" s="1"/>
  <c r="R610" i="1"/>
  <c r="S610" i="1" s="1"/>
  <c r="R49" i="1"/>
  <c r="S49" i="1" s="1"/>
  <c r="Q49" i="1"/>
  <c r="R50" i="1"/>
  <c r="S50" i="1" s="1"/>
  <c r="Q50" i="1"/>
  <c r="Q51" i="1"/>
  <c r="R51" i="1"/>
  <c r="S51" i="1" s="1"/>
  <c r="R23" i="1"/>
  <c r="S23" i="1" s="1"/>
  <c r="Q23" i="1"/>
  <c r="Q22" i="1"/>
  <c r="R22" i="1"/>
  <c r="S22" i="1" s="1"/>
  <c r="U283" i="1"/>
  <c r="R664" i="1"/>
  <c r="S664" i="1" s="1"/>
  <c r="R284" i="1"/>
  <c r="S284" i="1" s="1"/>
  <c r="U593" i="1"/>
  <c r="R594" i="1"/>
  <c r="S594" i="1" s="1"/>
  <c r="U594" i="1"/>
  <c r="U284" i="1"/>
  <c r="U285" i="1"/>
  <c r="U595" i="1"/>
  <c r="U286" i="1"/>
  <c r="U664" i="1"/>
  <c r="R595" i="1"/>
  <c r="S595" i="1" s="1"/>
  <c r="R286" i="1"/>
  <c r="S286" i="1" s="1"/>
  <c r="R283" i="1"/>
  <c r="S283" i="1" s="1"/>
  <c r="R593" i="1"/>
  <c r="S593" i="1" s="1"/>
  <c r="R285" i="1"/>
  <c r="S285" i="1" s="1"/>
  <c r="P1077" i="1" l="1"/>
  <c r="R1077" i="1" s="1"/>
  <c r="O1000" i="1"/>
  <c r="Q1000" i="1" s="1"/>
  <c r="T1002" i="1"/>
  <c r="T1004" i="1"/>
  <c r="T1005" i="1"/>
  <c r="T1024" i="1"/>
  <c r="O1025" i="1"/>
  <c r="Q1025" i="1" s="1"/>
  <c r="O1027" i="1"/>
  <c r="Q1027" i="1" s="1"/>
  <c r="T1028" i="1"/>
  <c r="T1029" i="1"/>
  <c r="T1030" i="1"/>
  <c r="K1035" i="1"/>
  <c r="N1035" i="1" s="1"/>
  <c r="N1070" i="1" s="1"/>
  <c r="O16" i="1"/>
  <c r="N16" i="1"/>
  <c r="O17" i="1"/>
  <c r="N17" i="1"/>
  <c r="O18" i="1"/>
  <c r="Q18" i="1" s="1"/>
  <c r="N18" i="1"/>
  <c r="T19" i="1"/>
  <c r="N19" i="1"/>
  <c r="T41" i="1"/>
  <c r="N41" i="1"/>
  <c r="N42" i="1"/>
  <c r="O43" i="1"/>
  <c r="Q43" i="1" s="1"/>
  <c r="N43" i="1"/>
  <c r="O44" i="1"/>
  <c r="N44" i="1"/>
  <c r="N45" i="1"/>
  <c r="N267" i="1"/>
  <c r="T268" i="1"/>
  <c r="N268" i="1"/>
  <c r="T269" i="1"/>
  <c r="N269" i="1"/>
  <c r="T270" i="1"/>
  <c r="N270" i="1"/>
  <c r="O271" i="1"/>
  <c r="N271" i="1"/>
  <c r="T272" i="1"/>
  <c r="N272" i="1"/>
  <c r="O273" i="1"/>
  <c r="N273" i="1"/>
  <c r="O274" i="1"/>
  <c r="N274" i="1"/>
  <c r="T275" i="1"/>
  <c r="N275" i="1"/>
  <c r="T276" i="1"/>
  <c r="N276" i="1"/>
  <c r="T277" i="1"/>
  <c r="N277" i="1"/>
  <c r="T278" i="1"/>
  <c r="N278" i="1"/>
  <c r="N279" i="1"/>
  <c r="O280" i="1"/>
  <c r="Q280" i="1" s="1"/>
  <c r="N280" i="1"/>
  <c r="O281" i="1"/>
  <c r="N281" i="1"/>
  <c r="O282" i="1"/>
  <c r="N282" i="1"/>
  <c r="O343" i="1"/>
  <c r="N343" i="1"/>
  <c r="O344" i="1"/>
  <c r="N344" i="1"/>
  <c r="T366" i="1"/>
  <c r="N366" i="1"/>
  <c r="T367" i="1"/>
  <c r="N367" i="1"/>
  <c r="O383" i="1"/>
  <c r="N383" i="1"/>
  <c r="T395" i="1"/>
  <c r="N395" i="1"/>
  <c r="O396" i="1"/>
  <c r="N396" i="1"/>
  <c r="O397" i="1"/>
  <c r="N397" i="1"/>
  <c r="N398" i="1"/>
  <c r="T570" i="1"/>
  <c r="N570" i="1"/>
  <c r="T571" i="1"/>
  <c r="N571" i="1"/>
  <c r="T572" i="1"/>
  <c r="N572" i="1"/>
  <c r="N573" i="1"/>
  <c r="O574" i="1"/>
  <c r="Q574" i="1" s="1"/>
  <c r="N574" i="1"/>
  <c r="O575" i="1"/>
  <c r="N575" i="1"/>
  <c r="N576" i="1"/>
  <c r="O577" i="1"/>
  <c r="N577" i="1"/>
  <c r="O578" i="1"/>
  <c r="N578" i="1"/>
  <c r="T579" i="1"/>
  <c r="N579" i="1"/>
  <c r="T580" i="1"/>
  <c r="N580" i="1"/>
  <c r="O581" i="1"/>
  <c r="N581" i="1"/>
  <c r="T582" i="1"/>
  <c r="N582" i="1"/>
  <c r="O583" i="1"/>
  <c r="N583" i="1"/>
  <c r="O584" i="1"/>
  <c r="N584" i="1"/>
  <c r="T585" i="1"/>
  <c r="N585" i="1"/>
  <c r="T586" i="1"/>
  <c r="N586" i="1"/>
  <c r="T587" i="1"/>
  <c r="N587" i="1"/>
  <c r="T588" i="1"/>
  <c r="N588" i="1"/>
  <c r="N589" i="1"/>
  <c r="O590" i="1"/>
  <c r="Q590" i="1" s="1"/>
  <c r="N590" i="1"/>
  <c r="O591" i="1"/>
  <c r="N591" i="1"/>
  <c r="O592" i="1"/>
  <c r="N592" i="1"/>
  <c r="O620" i="1"/>
  <c r="T621" i="1"/>
  <c r="T661" i="1"/>
  <c r="O668" i="1"/>
  <c r="T669" i="1"/>
  <c r="O670" i="1"/>
  <c r="O680" i="1"/>
  <c r="N680" i="1"/>
  <c r="N681" i="1"/>
  <c r="N682" i="1"/>
  <c r="N683" i="1"/>
  <c r="N684" i="1"/>
  <c r="O685" i="1"/>
  <c r="N685" i="1"/>
  <c r="O686" i="1"/>
  <c r="N686" i="1"/>
  <c r="O687" i="1"/>
  <c r="N687" i="1"/>
  <c r="N688" i="1"/>
  <c r="U689" i="1"/>
  <c r="N689" i="1"/>
  <c r="O690" i="1"/>
  <c r="Q690" i="1" s="1"/>
  <c r="N690" i="1"/>
  <c r="T691" i="1"/>
  <c r="N691" i="1"/>
  <c r="T692" i="1"/>
  <c r="N692" i="1"/>
  <c r="O693" i="1"/>
  <c r="N693" i="1"/>
  <c r="N1067" i="1" l="1"/>
  <c r="N1078" i="1"/>
  <c r="O1004" i="1"/>
  <c r="Q1004" i="1" s="1"/>
  <c r="U1027" i="1"/>
  <c r="T1027" i="1"/>
  <c r="T1000" i="1"/>
  <c r="O1029" i="1"/>
  <c r="Q1029" i="1" s="1"/>
  <c r="O1028" i="1"/>
  <c r="Q1028" i="1" s="1"/>
  <c r="U1026" i="1"/>
  <c r="U1003" i="1"/>
  <c r="U1001" i="1"/>
  <c r="U1024" i="1"/>
  <c r="U1002" i="1"/>
  <c r="O1024" i="1"/>
  <c r="Q1024" i="1" s="1"/>
  <c r="O1002" i="1"/>
  <c r="Q1002" i="1" s="1"/>
  <c r="T1003" i="1"/>
  <c r="U1035" i="1"/>
  <c r="T1025" i="1"/>
  <c r="O1003" i="1"/>
  <c r="Q1003" i="1" s="1"/>
  <c r="U668" i="1"/>
  <c r="T620" i="1"/>
  <c r="T668" i="1"/>
  <c r="U619" i="1"/>
  <c r="R343" i="1"/>
  <c r="S343" i="1" s="1"/>
  <c r="U279" i="1"/>
  <c r="T343" i="1"/>
  <c r="T271" i="1"/>
  <c r="T577" i="1"/>
  <c r="T344" i="1"/>
  <c r="U42" i="1"/>
  <c r="U383" i="1"/>
  <c r="U267" i="1"/>
  <c r="U570" i="1"/>
  <c r="R577" i="1"/>
  <c r="S577" i="1" s="1"/>
  <c r="U45" i="1"/>
  <c r="O42" i="1"/>
  <c r="R42" i="1" s="1"/>
  <c r="S42" i="1" s="1"/>
  <c r="T590" i="1"/>
  <c r="T18" i="1"/>
  <c r="O45" i="1"/>
  <c r="T619" i="1"/>
  <c r="T267" i="1"/>
  <c r="T574" i="1"/>
  <c r="U576" i="1"/>
  <c r="U573" i="1"/>
  <c r="U398" i="1"/>
  <c r="T383" i="1"/>
  <c r="O576" i="1"/>
  <c r="U581" i="1"/>
  <c r="T578" i="1"/>
  <c r="T280" i="1"/>
  <c r="U589" i="1"/>
  <c r="T581" i="1"/>
  <c r="O267" i="1"/>
  <c r="Q267" i="1" s="1"/>
  <c r="O275" i="1"/>
  <c r="O398" i="1"/>
  <c r="O585" i="1"/>
  <c r="O619" i="1"/>
  <c r="R619" i="1" s="1"/>
  <c r="S619" i="1" s="1"/>
  <c r="U41" i="1"/>
  <c r="O268" i="1"/>
  <c r="Q268" i="1" s="1"/>
  <c r="O276" i="1"/>
  <c r="Q276" i="1" s="1"/>
  <c r="O570" i="1"/>
  <c r="Q570" i="1" s="1"/>
  <c r="O586" i="1"/>
  <c r="Q586" i="1" s="1"/>
  <c r="U343" i="1"/>
  <c r="U271" i="1"/>
  <c r="O19" i="1"/>
  <c r="Q19" i="1" s="1"/>
  <c r="O269" i="1"/>
  <c r="Q269" i="1" s="1"/>
  <c r="O277" i="1"/>
  <c r="Q277" i="1" s="1"/>
  <c r="O366" i="1"/>
  <c r="Q366" i="1" s="1"/>
  <c r="O571" i="1"/>
  <c r="Q571" i="1" s="1"/>
  <c r="O579" i="1"/>
  <c r="Q579" i="1" s="1"/>
  <c r="O587" i="1"/>
  <c r="Q587" i="1" s="1"/>
  <c r="O621" i="1"/>
  <c r="Q621" i="1" s="1"/>
  <c r="R1000" i="1"/>
  <c r="S1000" i="1" s="1"/>
  <c r="O41" i="1"/>
  <c r="O270" i="1"/>
  <c r="O278" i="1"/>
  <c r="O367" i="1"/>
  <c r="O572" i="1"/>
  <c r="O580" i="1"/>
  <c r="O588" i="1"/>
  <c r="O661" i="1"/>
  <c r="R1027" i="1"/>
  <c r="S1027" i="1" s="1"/>
  <c r="R1025" i="1"/>
  <c r="S1025" i="1" s="1"/>
  <c r="U577" i="1"/>
  <c r="U282" i="1"/>
  <c r="T43" i="1"/>
  <c r="O279" i="1"/>
  <c r="R279" i="1" s="1"/>
  <c r="S279" i="1" s="1"/>
  <c r="O573" i="1"/>
  <c r="R573" i="1" s="1"/>
  <c r="S573" i="1" s="1"/>
  <c r="O589" i="1"/>
  <c r="R589" i="1" s="1"/>
  <c r="S589" i="1" s="1"/>
  <c r="O272" i="1"/>
  <c r="Q272" i="1" s="1"/>
  <c r="O395" i="1"/>
  <c r="Q395" i="1" s="1"/>
  <c r="O582" i="1"/>
  <c r="Q582" i="1" s="1"/>
  <c r="O669" i="1"/>
  <c r="Q669" i="1" s="1"/>
  <c r="T1035" i="1"/>
  <c r="O1035" i="1"/>
  <c r="O1030" i="1"/>
  <c r="Q1030" i="1" s="1"/>
  <c r="T1026" i="1"/>
  <c r="U1025" i="1"/>
  <c r="O1005" i="1"/>
  <c r="Q1005" i="1" s="1"/>
  <c r="T1001" i="1"/>
  <c r="U1000" i="1"/>
  <c r="U1030" i="1"/>
  <c r="U1005" i="1"/>
  <c r="U1029" i="1"/>
  <c r="O1026" i="1"/>
  <c r="U1004" i="1"/>
  <c r="O1001" i="1"/>
  <c r="U1028" i="1"/>
  <c r="O689" i="1"/>
  <c r="Q670" i="1"/>
  <c r="Q273" i="1"/>
  <c r="Q575" i="1"/>
  <c r="R396" i="1"/>
  <c r="S396" i="1" s="1"/>
  <c r="Q591" i="1"/>
  <c r="Q44" i="1"/>
  <c r="R583" i="1"/>
  <c r="S583" i="1" s="1"/>
  <c r="R690" i="1"/>
  <c r="S690" i="1" s="1"/>
  <c r="O691" i="1"/>
  <c r="R691" i="1" s="1"/>
  <c r="S691" i="1" s="1"/>
  <c r="Q578" i="1"/>
  <c r="Q396" i="1"/>
  <c r="T684" i="1"/>
  <c r="O684" i="1"/>
  <c r="Q684" i="1" s="1"/>
  <c r="O683" i="1"/>
  <c r="Q683" i="1" s="1"/>
  <c r="U688" i="1"/>
  <c r="O688" i="1"/>
  <c r="Q688" i="1" s="1"/>
  <c r="T682" i="1"/>
  <c r="O682" i="1"/>
  <c r="Q682" i="1" s="1"/>
  <c r="U681" i="1"/>
  <c r="O681" i="1"/>
  <c r="T681" i="1"/>
  <c r="T680" i="1"/>
  <c r="O692" i="1"/>
  <c r="Q692" i="1" s="1"/>
  <c r="Q693" i="1"/>
  <c r="Q685" i="1"/>
  <c r="Q17" i="1"/>
  <c r="Q343" i="1"/>
  <c r="Q620" i="1"/>
  <c r="R273" i="1"/>
  <c r="S273" i="1" s="1"/>
  <c r="Q577" i="1"/>
  <c r="Q344" i="1"/>
  <c r="Q583" i="1"/>
  <c r="Q281" i="1"/>
  <c r="R668" i="1"/>
  <c r="S668" i="1" s="1"/>
  <c r="Q668" i="1"/>
  <c r="R271" i="1"/>
  <c r="S271" i="1" s="1"/>
  <c r="Q271" i="1"/>
  <c r="R581" i="1"/>
  <c r="S581" i="1" s="1"/>
  <c r="Q581" i="1"/>
  <c r="R383" i="1"/>
  <c r="S383" i="1" s="1"/>
  <c r="Q383" i="1"/>
  <c r="T690" i="1"/>
  <c r="T589" i="1"/>
  <c r="T573" i="1"/>
  <c r="T279" i="1"/>
  <c r="T42" i="1"/>
  <c r="T688" i="1"/>
  <c r="U397" i="1"/>
  <c r="R590" i="1"/>
  <c r="S590" i="1" s="1"/>
  <c r="U585" i="1"/>
  <c r="T398" i="1"/>
  <c r="U274" i="1"/>
  <c r="R574" i="1"/>
  <c r="S574" i="1" s="1"/>
  <c r="U275" i="1"/>
  <c r="U16" i="1"/>
  <c r="T689" i="1"/>
  <c r="U680" i="1"/>
  <c r="U17" i="1"/>
  <c r="U620" i="1"/>
  <c r="U344" i="1"/>
  <c r="T17" i="1"/>
  <c r="U584" i="1"/>
  <c r="R280" i="1"/>
  <c r="S280" i="1" s="1"/>
  <c r="R43" i="1"/>
  <c r="S43" i="1" s="1"/>
  <c r="Q680" i="1"/>
  <c r="R575" i="1"/>
  <c r="S575" i="1" s="1"/>
  <c r="R281" i="1"/>
  <c r="S281" i="1" s="1"/>
  <c r="R44" i="1"/>
  <c r="S44" i="1" s="1"/>
  <c r="R592" i="1"/>
  <c r="S592" i="1" s="1"/>
  <c r="Q592" i="1"/>
  <c r="T683" i="1"/>
  <c r="U592" i="1"/>
  <c r="U670" i="1"/>
  <c r="R620" i="1"/>
  <c r="S620" i="1" s="1"/>
  <c r="T592" i="1"/>
  <c r="U591" i="1"/>
  <c r="T584" i="1"/>
  <c r="U583" i="1"/>
  <c r="R578" i="1"/>
  <c r="S578" i="1" s="1"/>
  <c r="T576" i="1"/>
  <c r="U575" i="1"/>
  <c r="T397" i="1"/>
  <c r="U396" i="1"/>
  <c r="R344" i="1"/>
  <c r="S344" i="1" s="1"/>
  <c r="T282" i="1"/>
  <c r="U281" i="1"/>
  <c r="T274" i="1"/>
  <c r="U273" i="1"/>
  <c r="T45" i="1"/>
  <c r="U44" i="1"/>
  <c r="R18" i="1"/>
  <c r="S18" i="1" s="1"/>
  <c r="T16" i="1"/>
  <c r="T670" i="1"/>
  <c r="U669" i="1"/>
  <c r="T591" i="1"/>
  <c r="U590" i="1"/>
  <c r="T583" i="1"/>
  <c r="U582" i="1"/>
  <c r="T575" i="1"/>
  <c r="U574" i="1"/>
  <c r="T396" i="1"/>
  <c r="U395" i="1"/>
  <c r="T281" i="1"/>
  <c r="U280" i="1"/>
  <c r="T273" i="1"/>
  <c r="U272" i="1"/>
  <c r="T44" i="1"/>
  <c r="U43" i="1"/>
  <c r="R17" i="1"/>
  <c r="S17" i="1" s="1"/>
  <c r="U661" i="1"/>
  <c r="R591" i="1"/>
  <c r="S591" i="1" s="1"/>
  <c r="U588" i="1"/>
  <c r="U580" i="1"/>
  <c r="U572" i="1"/>
  <c r="U367" i="1"/>
  <c r="U278" i="1"/>
  <c r="U270" i="1"/>
  <c r="R670" i="1"/>
  <c r="S670" i="1" s="1"/>
  <c r="U687" i="1"/>
  <c r="U682" i="1"/>
  <c r="U621" i="1"/>
  <c r="U587" i="1"/>
  <c r="U579" i="1"/>
  <c r="U571" i="1"/>
  <c r="U366" i="1"/>
  <c r="U277" i="1"/>
  <c r="U269" i="1"/>
  <c r="U19" i="1"/>
  <c r="T687" i="1"/>
  <c r="U586" i="1"/>
  <c r="U578" i="1"/>
  <c r="U276" i="1"/>
  <c r="U268" i="1"/>
  <c r="U18" i="1"/>
  <c r="R685" i="1"/>
  <c r="S685" i="1" s="1"/>
  <c r="Q687" i="1"/>
  <c r="R687" i="1"/>
  <c r="S687" i="1" s="1"/>
  <c r="R693" i="1"/>
  <c r="S693" i="1" s="1"/>
  <c r="U686" i="1"/>
  <c r="T686" i="1"/>
  <c r="U693" i="1"/>
  <c r="U685" i="1"/>
  <c r="T693" i="1"/>
  <c r="U692" i="1"/>
  <c r="T685" i="1"/>
  <c r="U684" i="1"/>
  <c r="U691" i="1"/>
  <c r="U683" i="1"/>
  <c r="U690" i="1"/>
  <c r="R1028" i="1" l="1"/>
  <c r="S1028" i="1" s="1"/>
  <c r="R1004" i="1"/>
  <c r="S1004" i="1" s="1"/>
  <c r="R1029" i="1"/>
  <c r="S1029" i="1" s="1"/>
  <c r="R1024" i="1"/>
  <c r="S1024" i="1" s="1"/>
  <c r="R1003" i="1"/>
  <c r="S1003" i="1" s="1"/>
  <c r="R1002" i="1"/>
  <c r="S1002" i="1" s="1"/>
  <c r="Q619" i="1"/>
  <c r="Q573" i="1"/>
  <c r="R276" i="1"/>
  <c r="S276" i="1" s="1"/>
  <c r="R267" i="1"/>
  <c r="S267" i="1" s="1"/>
  <c r="R272" i="1"/>
  <c r="S272" i="1" s="1"/>
  <c r="Q279" i="1"/>
  <c r="R570" i="1"/>
  <c r="S570" i="1" s="1"/>
  <c r="Q589" i="1"/>
  <c r="R268" i="1"/>
  <c r="S268" i="1" s="1"/>
  <c r="Q42" i="1"/>
  <c r="R669" i="1"/>
  <c r="S669" i="1" s="1"/>
  <c r="R586" i="1"/>
  <c r="S586" i="1" s="1"/>
  <c r="Q1026" i="1"/>
  <c r="R1026" i="1"/>
  <c r="S1026" i="1" s="1"/>
  <c r="R1030" i="1"/>
  <c r="S1030" i="1" s="1"/>
  <c r="Q1001" i="1"/>
  <c r="R1001" i="1"/>
  <c r="S1001" i="1" s="1"/>
  <c r="R1005" i="1"/>
  <c r="S1005" i="1" s="1"/>
  <c r="Q1035" i="1"/>
  <c r="R1035" i="1"/>
  <c r="S1035" i="1" s="1"/>
  <c r="R682" i="1"/>
  <c r="S682" i="1" s="1"/>
  <c r="Q691" i="1"/>
  <c r="R683" i="1"/>
  <c r="S683" i="1" s="1"/>
  <c r="R684" i="1"/>
  <c r="S684" i="1" s="1"/>
  <c r="R269" i="1"/>
  <c r="S269" i="1" s="1"/>
  <c r="R582" i="1"/>
  <c r="S582" i="1" s="1"/>
  <c r="R277" i="1"/>
  <c r="S277" i="1" s="1"/>
  <c r="R398" i="1"/>
  <c r="S398" i="1" s="1"/>
  <c r="Q398" i="1"/>
  <c r="R585" i="1"/>
  <c r="S585" i="1" s="1"/>
  <c r="Q585" i="1"/>
  <c r="R395" i="1"/>
  <c r="S395" i="1" s="1"/>
  <c r="R275" i="1"/>
  <c r="S275" i="1" s="1"/>
  <c r="Q275" i="1"/>
  <c r="R680" i="1"/>
  <c r="S680" i="1" s="1"/>
  <c r="R571" i="1"/>
  <c r="S571" i="1" s="1"/>
  <c r="Q45" i="1"/>
  <c r="R45" i="1"/>
  <c r="S45" i="1" s="1"/>
  <c r="Q576" i="1"/>
  <c r="R576" i="1"/>
  <c r="S576" i="1" s="1"/>
  <c r="R366" i="1"/>
  <c r="S366" i="1" s="1"/>
  <c r="Q274" i="1"/>
  <c r="R274" i="1"/>
  <c r="S274" i="1" s="1"/>
  <c r="Q584" i="1"/>
  <c r="R584" i="1"/>
  <c r="S584" i="1" s="1"/>
  <c r="R692" i="1"/>
  <c r="S692" i="1" s="1"/>
  <c r="Q41" i="1"/>
  <c r="R41" i="1"/>
  <c r="S41" i="1" s="1"/>
  <c r="Q278" i="1"/>
  <c r="R278" i="1"/>
  <c r="S278" i="1" s="1"/>
  <c r="R572" i="1"/>
  <c r="S572" i="1" s="1"/>
  <c r="Q572" i="1"/>
  <c r="Q588" i="1"/>
  <c r="R588" i="1"/>
  <c r="S588" i="1" s="1"/>
  <c r="R579" i="1"/>
  <c r="S579" i="1" s="1"/>
  <c r="R587" i="1"/>
  <c r="S587" i="1" s="1"/>
  <c r="R19" i="1"/>
  <c r="S19" i="1" s="1"/>
  <c r="Q282" i="1"/>
  <c r="R282" i="1"/>
  <c r="S282" i="1" s="1"/>
  <c r="R621" i="1"/>
  <c r="S621" i="1" s="1"/>
  <c r="Q16" i="1"/>
  <c r="R16" i="1"/>
  <c r="S16" i="1" s="1"/>
  <c r="Q397" i="1"/>
  <c r="R397" i="1"/>
  <c r="S397" i="1" s="1"/>
  <c r="Q270" i="1"/>
  <c r="R270" i="1"/>
  <c r="S270" i="1" s="1"/>
  <c r="Q367" i="1"/>
  <c r="R367" i="1"/>
  <c r="S367" i="1" s="1"/>
  <c r="Q580" i="1"/>
  <c r="R580" i="1"/>
  <c r="S580" i="1" s="1"/>
  <c r="R661" i="1"/>
  <c r="S661" i="1" s="1"/>
  <c r="Q661" i="1"/>
  <c r="R688" i="1"/>
  <c r="S688" i="1" s="1"/>
  <c r="R689" i="1"/>
  <c r="S689" i="1" s="1"/>
  <c r="Q689" i="1"/>
  <c r="Q681" i="1"/>
  <c r="R681" i="1"/>
  <c r="S681" i="1" s="1"/>
  <c r="Q686" i="1"/>
  <c r="R686" i="1"/>
  <c r="S686" i="1" s="1"/>
  <c r="N15" i="1" l="1"/>
  <c r="M1059" i="1" s="1"/>
  <c r="N987" i="1"/>
  <c r="O1009" i="1"/>
  <c r="J1063" i="1"/>
  <c r="J1070" i="1"/>
  <c r="J1075" i="1"/>
  <c r="N964" i="1"/>
  <c r="O976" i="1"/>
  <c r="N976" i="1"/>
  <c r="O977" i="1"/>
  <c r="N977" i="1"/>
  <c r="N978" i="1"/>
  <c r="N983" i="1"/>
  <c r="N816" i="1"/>
  <c r="O846" i="1"/>
  <c r="N846" i="1"/>
  <c r="N847" i="1"/>
  <c r="N848" i="1"/>
  <c r="N879" i="1"/>
  <c r="O753" i="1"/>
  <c r="N753" i="1"/>
  <c r="N779" i="1"/>
  <c r="O796" i="1"/>
  <c r="N796" i="1"/>
  <c r="O698" i="1"/>
  <c r="N698" i="1"/>
  <c r="N699" i="1"/>
  <c r="N700" i="1"/>
  <c r="N710" i="1"/>
  <c r="N711" i="1"/>
  <c r="N729" i="1"/>
  <c r="O734" i="1"/>
  <c r="N734" i="1"/>
  <c r="N12" i="1"/>
  <c r="O13" i="1"/>
  <c r="N13" i="1"/>
  <c r="N14" i="1"/>
  <c r="N39" i="1"/>
  <c r="N40" i="1"/>
  <c r="O227" i="1"/>
  <c r="N227" i="1"/>
  <c r="O228" i="1"/>
  <c r="N228" i="1"/>
  <c r="N229" i="1"/>
  <c r="N230" i="1"/>
  <c r="N231" i="1"/>
  <c r="N232" i="1"/>
  <c r="O233" i="1"/>
  <c r="N233" i="1"/>
  <c r="O234" i="1"/>
  <c r="N234" i="1"/>
  <c r="N235" i="1"/>
  <c r="N236" i="1"/>
  <c r="N237" i="1"/>
  <c r="O238" i="1"/>
  <c r="N238" i="1"/>
  <c r="N239" i="1"/>
  <c r="N240" i="1"/>
  <c r="N241" i="1"/>
  <c r="N242" i="1"/>
  <c r="O243" i="1"/>
  <c r="N243" i="1"/>
  <c r="N244" i="1"/>
  <c r="N245" i="1"/>
  <c r="N246" i="1"/>
  <c r="N247" i="1"/>
  <c r="N248" i="1"/>
  <c r="O249" i="1"/>
  <c r="N249" i="1"/>
  <c r="N250" i="1"/>
  <c r="O251" i="1"/>
  <c r="N251" i="1"/>
  <c r="O252" i="1"/>
  <c r="N252" i="1"/>
  <c r="O253" i="1"/>
  <c r="N253" i="1"/>
  <c r="O254" i="1"/>
  <c r="N254" i="1"/>
  <c r="N255" i="1"/>
  <c r="N256" i="1"/>
  <c r="N257" i="1"/>
  <c r="N258" i="1"/>
  <c r="O259" i="1"/>
  <c r="N259" i="1"/>
  <c r="N260" i="1"/>
  <c r="N261" i="1"/>
  <c r="N262" i="1"/>
  <c r="N263" i="1"/>
  <c r="O264" i="1"/>
  <c r="N264" i="1"/>
  <c r="O265" i="1"/>
  <c r="N265" i="1"/>
  <c r="O266" i="1"/>
  <c r="N266" i="1"/>
  <c r="N342" i="1"/>
  <c r="N382" i="1"/>
  <c r="N523" i="1"/>
  <c r="N524" i="1"/>
  <c r="N525" i="1"/>
  <c r="O526" i="1"/>
  <c r="N526" i="1"/>
  <c r="N527" i="1"/>
  <c r="N528" i="1"/>
  <c r="N529" i="1"/>
  <c r="N530" i="1"/>
  <c r="N531" i="1"/>
  <c r="O532" i="1"/>
  <c r="N532" i="1"/>
  <c r="O533" i="1"/>
  <c r="N533" i="1"/>
  <c r="O534" i="1"/>
  <c r="N534" i="1"/>
  <c r="N535" i="1"/>
  <c r="N536" i="1"/>
  <c r="N537" i="1"/>
  <c r="N538" i="1"/>
  <c r="N539" i="1"/>
  <c r="N540" i="1"/>
  <c r="N541" i="1"/>
  <c r="N542" i="1"/>
  <c r="O543" i="1"/>
  <c r="N543" i="1"/>
  <c r="O544" i="1"/>
  <c r="N544" i="1"/>
  <c r="O545" i="1"/>
  <c r="N545" i="1"/>
  <c r="O546" i="1"/>
  <c r="N546" i="1"/>
  <c r="N547" i="1"/>
  <c r="N548" i="1"/>
  <c r="N549" i="1"/>
  <c r="N550" i="1"/>
  <c r="O551" i="1"/>
  <c r="N551" i="1"/>
  <c r="N552" i="1"/>
  <c r="O553" i="1"/>
  <c r="N553" i="1"/>
  <c r="N554" i="1"/>
  <c r="O555" i="1"/>
  <c r="N555" i="1"/>
  <c r="N556" i="1"/>
  <c r="N557" i="1"/>
  <c r="N558" i="1"/>
  <c r="O559" i="1"/>
  <c r="N559" i="1"/>
  <c r="N560" i="1"/>
  <c r="N561" i="1"/>
  <c r="N562" i="1"/>
  <c r="N563" i="1"/>
  <c r="O564" i="1"/>
  <c r="N564" i="1"/>
  <c r="N565" i="1"/>
  <c r="O667" i="1"/>
  <c r="O1061" i="1" l="1"/>
  <c r="N1059" i="1"/>
  <c r="K1079" i="1"/>
  <c r="N1079" i="1"/>
  <c r="O1068" i="1"/>
  <c r="L1078" i="1"/>
  <c r="M1078" i="1"/>
  <c r="N1058" i="1"/>
  <c r="I1059" i="1"/>
  <c r="T1037" i="1"/>
  <c r="O1037" i="1"/>
  <c r="Q1037" i="1" s="1"/>
  <c r="O1034" i="1"/>
  <c r="Q1034" i="1" s="1"/>
  <c r="O987" i="1"/>
  <c r="R987" i="1" s="1"/>
  <c r="S987" i="1" s="1"/>
  <c r="T978" i="1"/>
  <c r="O978" i="1"/>
  <c r="Q978" i="1" s="1"/>
  <c r="T983" i="1"/>
  <c r="O983" i="1"/>
  <c r="Q983" i="1" s="1"/>
  <c r="T964" i="1"/>
  <c r="O964" i="1"/>
  <c r="O879" i="1"/>
  <c r="Q879" i="1" s="1"/>
  <c r="T816" i="1"/>
  <c r="O816" i="1"/>
  <c r="Q816" i="1" s="1"/>
  <c r="T848" i="1"/>
  <c r="O848" i="1"/>
  <c r="T847" i="1"/>
  <c r="O847" i="1"/>
  <c r="Q847" i="1" s="1"/>
  <c r="O779" i="1"/>
  <c r="Q779" i="1" s="1"/>
  <c r="O562" i="1"/>
  <c r="Q562" i="1" s="1"/>
  <c r="T547" i="1"/>
  <c r="O547" i="1"/>
  <c r="R547" i="1" s="1"/>
  <c r="S547" i="1" s="1"/>
  <c r="O527" i="1"/>
  <c r="Q527" i="1" s="1"/>
  <c r="O561" i="1"/>
  <c r="Q561" i="1" s="1"/>
  <c r="T549" i="1"/>
  <c r="O549" i="1"/>
  <c r="Q549" i="1" s="1"/>
  <c r="O538" i="1"/>
  <c r="R538" i="1" s="1"/>
  <c r="S538" i="1" s="1"/>
  <c r="O530" i="1"/>
  <c r="Q530" i="1" s="1"/>
  <c r="T382" i="1"/>
  <c r="O382" i="1"/>
  <c r="O261" i="1"/>
  <c r="Q261" i="1" s="1"/>
  <c r="O257" i="1"/>
  <c r="Q257" i="1" s="1"/>
  <c r="T250" i="1"/>
  <c r="O250" i="1"/>
  <c r="Q250" i="1" s="1"/>
  <c r="O246" i="1"/>
  <c r="Q246" i="1" s="1"/>
  <c r="O242" i="1"/>
  <c r="R242" i="1" s="1"/>
  <c r="S242" i="1" s="1"/>
  <c r="T230" i="1"/>
  <c r="O230" i="1"/>
  <c r="Q230" i="1" s="1"/>
  <c r="T40" i="1"/>
  <c r="O40" i="1"/>
  <c r="Q40" i="1" s="1"/>
  <c r="O12" i="1"/>
  <c r="Q12" i="1" s="1"/>
  <c r="T710" i="1"/>
  <c r="O710" i="1"/>
  <c r="Q710" i="1" s="1"/>
  <c r="T15" i="1"/>
  <c r="O15" i="1"/>
  <c r="Q15" i="1" s="1"/>
  <c r="T523" i="1"/>
  <c r="O523" i="1"/>
  <c r="Q523" i="1" s="1"/>
  <c r="T235" i="1"/>
  <c r="O235" i="1"/>
  <c r="R235" i="1" s="1"/>
  <c r="S235" i="1" s="1"/>
  <c r="T711" i="1"/>
  <c r="O711" i="1"/>
  <c r="Q711" i="1" s="1"/>
  <c r="T565" i="1"/>
  <c r="O565" i="1"/>
  <c r="Q565" i="1" s="1"/>
  <c r="O557" i="1"/>
  <c r="Q557" i="1" s="1"/>
  <c r="T542" i="1"/>
  <c r="O542" i="1"/>
  <c r="T550" i="1"/>
  <c r="O550" i="1"/>
  <c r="Q550" i="1" s="1"/>
  <c r="T539" i="1"/>
  <c r="O539" i="1"/>
  <c r="Q539" i="1" s="1"/>
  <c r="O239" i="1"/>
  <c r="Q239" i="1" s="1"/>
  <c r="O556" i="1"/>
  <c r="Q556" i="1" s="1"/>
  <c r="T537" i="1"/>
  <c r="O537" i="1"/>
  <c r="Q537" i="1" s="1"/>
  <c r="O237" i="1"/>
  <c r="Q237" i="1" s="1"/>
  <c r="O558" i="1"/>
  <c r="Q558" i="1" s="1"/>
  <c r="O535" i="1"/>
  <c r="Q535" i="1" s="1"/>
  <c r="T258" i="1"/>
  <c r="O258" i="1"/>
  <c r="Q258" i="1" s="1"/>
  <c r="O560" i="1"/>
  <c r="R560" i="1" s="1"/>
  <c r="S560" i="1" s="1"/>
  <c r="T525" i="1"/>
  <c r="O525" i="1"/>
  <c r="Q525" i="1" s="1"/>
  <c r="O260" i="1"/>
  <c r="Q260" i="1" s="1"/>
  <c r="T245" i="1"/>
  <c r="O245" i="1"/>
  <c r="R245" i="1" s="1"/>
  <c r="S245" i="1" s="1"/>
  <c r="O241" i="1"/>
  <c r="R241" i="1" s="1"/>
  <c r="S241" i="1" s="1"/>
  <c r="O229" i="1"/>
  <c r="Q229" i="1" s="1"/>
  <c r="O700" i="1"/>
  <c r="R700" i="1" s="1"/>
  <c r="S700" i="1" s="1"/>
  <c r="O554" i="1"/>
  <c r="Q554" i="1" s="1"/>
  <c r="O531" i="1"/>
  <c r="Q531" i="1" s="1"/>
  <c r="O262" i="1"/>
  <c r="Q262" i="1" s="1"/>
  <c r="O247" i="1"/>
  <c r="Q247" i="1" s="1"/>
  <c r="T231" i="1"/>
  <c r="O231" i="1"/>
  <c r="Q231" i="1" s="1"/>
  <c r="O552" i="1"/>
  <c r="R552" i="1" s="1"/>
  <c r="S552" i="1" s="1"/>
  <c r="T541" i="1"/>
  <c r="O541" i="1"/>
  <c r="T529" i="1"/>
  <c r="O529" i="1"/>
  <c r="Q529" i="1" s="1"/>
  <c r="T342" i="1"/>
  <c r="O342" i="1"/>
  <c r="O256" i="1"/>
  <c r="R256" i="1" s="1"/>
  <c r="S256" i="1" s="1"/>
  <c r="O39" i="1"/>
  <c r="Q39" i="1" s="1"/>
  <c r="O563" i="1"/>
  <c r="Q563" i="1" s="1"/>
  <c r="T548" i="1"/>
  <c r="O548" i="1"/>
  <c r="Q548" i="1" s="1"/>
  <c r="O540" i="1"/>
  <c r="Q540" i="1" s="1"/>
  <c r="O536" i="1"/>
  <c r="Q536" i="1" s="1"/>
  <c r="T528" i="1"/>
  <c r="O528" i="1"/>
  <c r="Q528" i="1" s="1"/>
  <c r="T524" i="1"/>
  <c r="O524" i="1"/>
  <c r="Q524" i="1" s="1"/>
  <c r="T263" i="1"/>
  <c r="O263" i="1"/>
  <c r="Q263" i="1" s="1"/>
  <c r="T255" i="1"/>
  <c r="O255" i="1"/>
  <c r="Q255" i="1" s="1"/>
  <c r="O248" i="1"/>
  <c r="Q248" i="1" s="1"/>
  <c r="T244" i="1"/>
  <c r="O244" i="1"/>
  <c r="Q244" i="1" s="1"/>
  <c r="O240" i="1"/>
  <c r="Q240" i="1" s="1"/>
  <c r="T236" i="1"/>
  <c r="O236" i="1"/>
  <c r="Q236" i="1" s="1"/>
  <c r="O232" i="1"/>
  <c r="R232" i="1" s="1"/>
  <c r="S232" i="1" s="1"/>
  <c r="T14" i="1"/>
  <c r="O14" i="1"/>
  <c r="Q14" i="1" s="1"/>
  <c r="T729" i="1"/>
  <c r="O729" i="1"/>
  <c r="Q729" i="1" s="1"/>
  <c r="T699" i="1"/>
  <c r="O699" i="1"/>
  <c r="Q699" i="1" s="1"/>
  <c r="P1070" i="1"/>
  <c r="R1070" i="1" s="1"/>
  <c r="U240" i="1"/>
  <c r="U753" i="1"/>
  <c r="U846" i="1"/>
  <c r="U542" i="1"/>
  <c r="U976" i="1"/>
  <c r="R564" i="1"/>
  <c r="S564" i="1" s="1"/>
  <c r="R796" i="1"/>
  <c r="S796" i="1" s="1"/>
  <c r="U987" i="1"/>
  <c r="T1009" i="1"/>
  <c r="U532" i="1"/>
  <c r="U550" i="1"/>
  <c r="T753" i="1"/>
  <c r="U551" i="1"/>
  <c r="T540" i="1"/>
  <c r="T987" i="1"/>
  <c r="U15" i="1"/>
  <c r="T264" i="1"/>
  <c r="T239" i="1"/>
  <c r="U264" i="1"/>
  <c r="T976" i="1"/>
  <c r="T1034" i="1"/>
  <c r="T535" i="1"/>
  <c r="T532" i="1"/>
  <c r="T260" i="1"/>
  <c r="T879" i="1"/>
  <c r="Q532" i="1"/>
  <c r="U779" i="1"/>
  <c r="U879" i="1"/>
  <c r="U816" i="1"/>
  <c r="U977" i="1"/>
  <c r="U252" i="1"/>
  <c r="T564" i="1"/>
  <c r="T796" i="1"/>
  <c r="U561" i="1"/>
  <c r="T561" i="1"/>
  <c r="U540" i="1"/>
  <c r="U964" i="1"/>
  <c r="U559" i="1"/>
  <c r="U554" i="1"/>
  <c r="T256" i="1"/>
  <c r="U40" i="1"/>
  <c r="T779" i="1"/>
  <c r="Q753" i="1"/>
  <c r="T554" i="1"/>
  <c r="U530" i="1"/>
  <c r="T527" i="1"/>
  <c r="T700" i="1"/>
  <c r="T977" i="1"/>
  <c r="R243" i="1"/>
  <c r="S243" i="1" s="1"/>
  <c r="T240" i="1"/>
  <c r="T228" i="1"/>
  <c r="T12" i="1"/>
  <c r="Q846" i="1"/>
  <c r="Q977" i="1"/>
  <c r="U1034" i="1"/>
  <c r="U796" i="1"/>
  <c r="R1009" i="1"/>
  <c r="S1009" i="1" s="1"/>
  <c r="Q1009" i="1"/>
  <c r="Q796" i="1"/>
  <c r="U1009" i="1"/>
  <c r="U1037" i="1"/>
  <c r="U983" i="1"/>
  <c r="U978" i="1"/>
  <c r="T846" i="1"/>
  <c r="U847" i="1"/>
  <c r="U848" i="1"/>
  <c r="T560" i="1"/>
  <c r="T556" i="1"/>
  <c r="U235" i="1"/>
  <c r="T232" i="1"/>
  <c r="U263" i="1"/>
  <c r="U555" i="1"/>
  <c r="U13" i="1"/>
  <c r="U734" i="1"/>
  <c r="U700" i="1"/>
  <c r="T698" i="1"/>
  <c r="U242" i="1"/>
  <c r="U529" i="1"/>
  <c r="T261" i="1"/>
  <c r="U239" i="1"/>
  <c r="U699" i="1"/>
  <c r="U531" i="1"/>
  <c r="R251" i="1"/>
  <c r="S251" i="1" s="1"/>
  <c r="U261" i="1"/>
  <c r="T243" i="1"/>
  <c r="U232" i="1"/>
  <c r="Q734" i="1"/>
  <c r="R734" i="1"/>
  <c r="S734" i="1" s="1"/>
  <c r="Q698" i="1"/>
  <c r="R698" i="1"/>
  <c r="S698" i="1" s="1"/>
  <c r="U698" i="1"/>
  <c r="T734" i="1"/>
  <c r="U711" i="1"/>
  <c r="U710" i="1"/>
  <c r="U729" i="1"/>
  <c r="Q564" i="1"/>
  <c r="Q251" i="1"/>
  <c r="Q264" i="1"/>
  <c r="R264" i="1"/>
  <c r="S264" i="1" s="1"/>
  <c r="Q543" i="1"/>
  <c r="R543" i="1"/>
  <c r="S543" i="1" s="1"/>
  <c r="Q233" i="1"/>
  <c r="R233" i="1"/>
  <c r="S233" i="1" s="1"/>
  <c r="Q253" i="1"/>
  <c r="R253" i="1"/>
  <c r="S253" i="1" s="1"/>
  <c r="U563" i="1"/>
  <c r="Q555" i="1"/>
  <c r="T531" i="1"/>
  <c r="U255" i="1"/>
  <c r="T251" i="1"/>
  <c r="T242" i="1"/>
  <c r="T234" i="1"/>
  <c r="U543" i="1"/>
  <c r="T233" i="1"/>
  <c r="T562" i="1"/>
  <c r="U557" i="1"/>
  <c r="T555" i="1"/>
  <c r="Q551" i="1"/>
  <c r="T543" i="1"/>
  <c r="U539" i="1"/>
  <c r="T530" i="1"/>
  <c r="U523" i="1"/>
  <c r="T253" i="1"/>
  <c r="U250" i="1"/>
  <c r="U241" i="1"/>
  <c r="T538" i="1"/>
  <c r="U525" i="1"/>
  <c r="T262" i="1"/>
  <c r="U258" i="1"/>
  <c r="U248" i="1"/>
  <c r="U244" i="1"/>
  <c r="U233" i="1"/>
  <c r="T248" i="1"/>
  <c r="U533" i="1"/>
  <c r="T533" i="1"/>
  <c r="T667" i="1"/>
  <c r="U667" i="1"/>
  <c r="U558" i="1"/>
  <c r="T558" i="1"/>
  <c r="U526" i="1"/>
  <c r="T526" i="1"/>
  <c r="Q667" i="1"/>
  <c r="U560" i="1"/>
  <c r="Q553" i="1"/>
  <c r="T553" i="1"/>
  <c r="T545" i="1"/>
  <c r="U545" i="1"/>
  <c r="Q545" i="1"/>
  <c r="Q243" i="1"/>
  <c r="U527" i="1"/>
  <c r="T257" i="1"/>
  <c r="U257" i="1"/>
  <c r="Q266" i="1"/>
  <c r="T266" i="1"/>
  <c r="U266" i="1"/>
  <c r="T238" i="1"/>
  <c r="Q238" i="1"/>
  <c r="U238" i="1"/>
  <c r="U231" i="1"/>
  <c r="U544" i="1"/>
  <c r="T544" i="1"/>
  <c r="Q544" i="1"/>
  <c r="U552" i="1"/>
  <c r="T552" i="1"/>
  <c r="U553" i="1"/>
  <c r="U548" i="1"/>
  <c r="Q546" i="1"/>
  <c r="U546" i="1"/>
  <c r="T546" i="1"/>
  <c r="U536" i="1"/>
  <c r="T536" i="1"/>
  <c r="T534" i="1"/>
  <c r="U534" i="1"/>
  <c r="T254" i="1"/>
  <c r="U254" i="1"/>
  <c r="Q254" i="1"/>
  <c r="U236" i="1"/>
  <c r="Q234" i="1"/>
  <c r="R234" i="1"/>
  <c r="S234" i="1" s="1"/>
  <c r="U535" i="1"/>
  <c r="U265" i="1"/>
  <c r="Q265" i="1"/>
  <c r="T265" i="1"/>
  <c r="Q259" i="1"/>
  <c r="T259" i="1"/>
  <c r="U259" i="1"/>
  <c r="T559" i="1"/>
  <c r="Q559" i="1"/>
  <c r="Q249" i="1"/>
  <c r="T249" i="1"/>
  <c r="U249" i="1"/>
  <c r="T247" i="1"/>
  <c r="U247" i="1"/>
  <c r="Q227" i="1"/>
  <c r="T227" i="1"/>
  <c r="U227" i="1"/>
  <c r="T39" i="1"/>
  <c r="U39" i="1"/>
  <c r="U564" i="1"/>
  <c r="T557" i="1"/>
  <c r="T551" i="1"/>
  <c r="U549" i="1"/>
  <c r="U541" i="1"/>
  <c r="U537" i="1"/>
  <c r="U524" i="1"/>
  <c r="T563" i="1"/>
  <c r="U562" i="1"/>
  <c r="U556" i="1"/>
  <c r="U538" i="1"/>
  <c r="U382" i="1"/>
  <c r="U260" i="1"/>
  <c r="U256" i="1"/>
  <c r="T246" i="1"/>
  <c r="U246" i="1"/>
  <c r="U228" i="1"/>
  <c r="U14" i="1"/>
  <c r="Q228" i="1"/>
  <c r="R228" i="1"/>
  <c r="S228" i="1" s="1"/>
  <c r="U565" i="1"/>
  <c r="U528" i="1"/>
  <c r="U1050" i="1" s="1"/>
  <c r="U342" i="1"/>
  <c r="U245" i="1"/>
  <c r="T241" i="1"/>
  <c r="U230" i="1"/>
  <c r="T229" i="1"/>
  <c r="U229" i="1"/>
  <c r="U547" i="1"/>
  <c r="T237" i="1"/>
  <c r="U237" i="1"/>
  <c r="U253" i="1"/>
  <c r="U262" i="1"/>
  <c r="T252" i="1"/>
  <c r="U251" i="1"/>
  <c r="U243" i="1"/>
  <c r="U234" i="1"/>
  <c r="T13" i="1"/>
  <c r="U12" i="1"/>
  <c r="P1059" i="1" l="1"/>
  <c r="R1059" i="1" s="1"/>
  <c r="R1034" i="1"/>
  <c r="S1034" i="1" s="1"/>
  <c r="Q987" i="1"/>
  <c r="R246" i="1"/>
  <c r="S246" i="1" s="1"/>
  <c r="R879" i="1"/>
  <c r="S879" i="1" s="1"/>
  <c r="R563" i="1"/>
  <c r="S563" i="1" s="1"/>
  <c r="R248" i="1"/>
  <c r="S248" i="1" s="1"/>
  <c r="R527" i="1"/>
  <c r="S527" i="1" s="1"/>
  <c r="R536" i="1"/>
  <c r="S536" i="1" s="1"/>
  <c r="R237" i="1"/>
  <c r="S237" i="1" s="1"/>
  <c r="R558" i="1"/>
  <c r="S558" i="1" s="1"/>
  <c r="R530" i="1"/>
  <c r="S530" i="1" s="1"/>
  <c r="R554" i="1"/>
  <c r="S554" i="1" s="1"/>
  <c r="R779" i="1"/>
  <c r="S779" i="1" s="1"/>
  <c r="Q232" i="1"/>
  <c r="Q256" i="1"/>
  <c r="Q552" i="1"/>
  <c r="R229" i="1"/>
  <c r="S229" i="1" s="1"/>
  <c r="R535" i="1"/>
  <c r="S535" i="1" s="1"/>
  <c r="R262" i="1"/>
  <c r="S262" i="1" s="1"/>
  <c r="R540" i="1"/>
  <c r="S540" i="1" s="1"/>
  <c r="R260" i="1"/>
  <c r="S260" i="1" s="1"/>
  <c r="R247" i="1"/>
  <c r="S247" i="1" s="1"/>
  <c r="R562" i="1"/>
  <c r="S562" i="1" s="1"/>
  <c r="R261" i="1"/>
  <c r="S261" i="1" s="1"/>
  <c r="R561" i="1"/>
  <c r="S561" i="1" s="1"/>
  <c r="R12" i="1"/>
  <c r="S12" i="1" s="1"/>
  <c r="R239" i="1"/>
  <c r="S239" i="1" s="1"/>
  <c r="R557" i="1"/>
  <c r="S557" i="1" s="1"/>
  <c r="Q700" i="1"/>
  <c r="Q242" i="1"/>
  <c r="Q241" i="1"/>
  <c r="Q560" i="1"/>
  <c r="R531" i="1"/>
  <c r="S531" i="1" s="1"/>
  <c r="R556" i="1"/>
  <c r="S556" i="1" s="1"/>
  <c r="R39" i="1"/>
  <c r="S39" i="1" s="1"/>
  <c r="R257" i="1"/>
  <c r="S257" i="1" s="1"/>
  <c r="R240" i="1"/>
  <c r="S240" i="1" s="1"/>
  <c r="Q538" i="1"/>
  <c r="R1037" i="1"/>
  <c r="S1037" i="1" s="1"/>
  <c r="R528" i="1"/>
  <c r="R244" i="1"/>
  <c r="S244" i="1" s="1"/>
  <c r="R250" i="1"/>
  <c r="S250" i="1" s="1"/>
  <c r="R230" i="1"/>
  <c r="S230" i="1" s="1"/>
  <c r="R978" i="1"/>
  <c r="S978" i="1" s="1"/>
  <c r="Q245" i="1"/>
  <c r="R255" i="1"/>
  <c r="S255" i="1" s="1"/>
  <c r="R753" i="1"/>
  <c r="S753" i="1" s="1"/>
  <c r="R40" i="1"/>
  <c r="S40" i="1" s="1"/>
  <c r="R816" i="1"/>
  <c r="S816" i="1" s="1"/>
  <c r="Q547" i="1"/>
  <c r="R846" i="1"/>
  <c r="S846" i="1" s="1"/>
  <c r="R236" i="1"/>
  <c r="S236" i="1" s="1"/>
  <c r="R983" i="1"/>
  <c r="S983" i="1" s="1"/>
  <c r="R711" i="1"/>
  <c r="S711" i="1" s="1"/>
  <c r="R532" i="1"/>
  <c r="S532" i="1" s="1"/>
  <c r="R976" i="1"/>
  <c r="S976" i="1" s="1"/>
  <c r="Q976" i="1"/>
  <c r="R964" i="1"/>
  <c r="S964" i="1" s="1"/>
  <c r="Q964" i="1"/>
  <c r="R15" i="1"/>
  <c r="S15" i="1" s="1"/>
  <c r="R537" i="1"/>
  <c r="S537" i="1" s="1"/>
  <c r="R977" i="1"/>
  <c r="S977" i="1" s="1"/>
  <c r="Q848" i="1"/>
  <c r="R848" i="1"/>
  <c r="S848" i="1" s="1"/>
  <c r="R847" i="1"/>
  <c r="S847" i="1" s="1"/>
  <c r="R550" i="1"/>
  <c r="S550" i="1" s="1"/>
  <c r="R529" i="1"/>
  <c r="S529" i="1" s="1"/>
  <c r="R263" i="1"/>
  <c r="S263" i="1" s="1"/>
  <c r="R710" i="1"/>
  <c r="S710" i="1" s="1"/>
  <c r="R539" i="1"/>
  <c r="S539" i="1" s="1"/>
  <c r="R14" i="1"/>
  <c r="S14" i="1" s="1"/>
  <c r="R523" i="1"/>
  <c r="S523" i="1" s="1"/>
  <c r="R699" i="1"/>
  <c r="S699" i="1" s="1"/>
  <c r="R729" i="1"/>
  <c r="S729" i="1" s="1"/>
  <c r="R545" i="1"/>
  <c r="S545" i="1" s="1"/>
  <c r="R551" i="1"/>
  <c r="S551" i="1" s="1"/>
  <c r="Q235" i="1"/>
  <c r="R265" i="1"/>
  <c r="S265" i="1" s="1"/>
  <c r="R258" i="1"/>
  <c r="S258" i="1" s="1"/>
  <c r="R266" i="1"/>
  <c r="S266" i="1" s="1"/>
  <c r="R667" i="1"/>
  <c r="S667" i="1" s="1"/>
  <c r="R555" i="1"/>
  <c r="S555" i="1" s="1"/>
  <c r="R549" i="1"/>
  <c r="S549" i="1" s="1"/>
  <c r="R249" i="1"/>
  <c r="S249" i="1" s="1"/>
  <c r="R565" i="1"/>
  <c r="S565" i="1" s="1"/>
  <c r="R259" i="1"/>
  <c r="S259" i="1" s="1"/>
  <c r="R525" i="1"/>
  <c r="S525" i="1" s="1"/>
  <c r="Q542" i="1"/>
  <c r="R542" i="1"/>
  <c r="S542" i="1" s="1"/>
  <c r="Q13" i="1"/>
  <c r="R13" i="1"/>
  <c r="S13" i="1" s="1"/>
  <c r="R382" i="1"/>
  <c r="S382" i="1" s="1"/>
  <c r="Q382" i="1"/>
  <c r="R548" i="1"/>
  <c r="S548" i="1" s="1"/>
  <c r="R238" i="1"/>
  <c r="S238" i="1" s="1"/>
  <c r="Q252" i="1"/>
  <c r="R252" i="1"/>
  <c r="S252" i="1" s="1"/>
  <c r="Q342" i="1"/>
  <c r="R342" i="1"/>
  <c r="S342" i="1" s="1"/>
  <c r="R254" i="1"/>
  <c r="S254" i="1" s="1"/>
  <c r="Q526" i="1"/>
  <c r="R526" i="1"/>
  <c r="S526" i="1" s="1"/>
  <c r="R559" i="1"/>
  <c r="S559" i="1" s="1"/>
  <c r="R227" i="1"/>
  <c r="S227" i="1" s="1"/>
  <c r="R544" i="1"/>
  <c r="S544" i="1" s="1"/>
  <c r="R546" i="1"/>
  <c r="S546" i="1" s="1"/>
  <c r="R231" i="1"/>
  <c r="S231" i="1" s="1"/>
  <c r="R524" i="1"/>
  <c r="S524" i="1" s="1"/>
  <c r="R541" i="1"/>
  <c r="S541" i="1" s="1"/>
  <c r="Q541" i="1"/>
  <c r="R553" i="1"/>
  <c r="S553" i="1" s="1"/>
  <c r="Q534" i="1"/>
  <c r="R534" i="1"/>
  <c r="S534" i="1" s="1"/>
  <c r="Q533" i="1"/>
  <c r="R533" i="1"/>
  <c r="S533" i="1" s="1"/>
  <c r="S528" i="1" l="1"/>
  <c r="R1050" i="1"/>
  <c r="M111" i="19"/>
  <c r="M158" i="19" s="1"/>
  <c r="E65" i="19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40" i="19"/>
  <c r="E41" i="19" s="1"/>
  <c r="E42" i="19" s="1"/>
  <c r="E43" i="19" s="1"/>
  <c r="E44" i="19" s="1"/>
  <c r="E45" i="19" s="1"/>
  <c r="E46" i="19" s="1"/>
  <c r="E47" i="19" s="1"/>
  <c r="E48" i="19" s="1"/>
  <c r="E49" i="19" s="1"/>
  <c r="L36" i="19"/>
  <c r="F13" i="9"/>
  <c r="V258" i="17"/>
  <c r="S258" i="17"/>
  <c r="O258" i="17"/>
  <c r="Q258" i="17" s="1"/>
  <c r="R258" i="17" s="1"/>
  <c r="K258" i="17"/>
  <c r="V257" i="17"/>
  <c r="S257" i="17"/>
  <c r="O257" i="17"/>
  <c r="Q257" i="17" s="1"/>
  <c r="R257" i="17" s="1"/>
  <c r="K257" i="17"/>
  <c r="V256" i="17"/>
  <c r="S256" i="17"/>
  <c r="O256" i="17"/>
  <c r="Q256" i="17" s="1"/>
  <c r="R256" i="17" s="1"/>
  <c r="K256" i="17"/>
  <c r="V255" i="17"/>
  <c r="S255" i="17"/>
  <c r="O255" i="17"/>
  <c r="Q255" i="17" s="1"/>
  <c r="R255" i="17" s="1"/>
  <c r="K255" i="17"/>
  <c r="V254" i="17"/>
  <c r="S254" i="17"/>
  <c r="O254" i="17"/>
  <c r="Q254" i="17" s="1"/>
  <c r="R254" i="17" s="1"/>
  <c r="K254" i="17"/>
  <c r="V253" i="17"/>
  <c r="S253" i="17"/>
  <c r="O253" i="17"/>
  <c r="Q253" i="17" s="1"/>
  <c r="R253" i="17" s="1"/>
  <c r="K253" i="17"/>
  <c r="V252" i="17"/>
  <c r="S252" i="17"/>
  <c r="O252" i="17"/>
  <c r="Q252" i="17" s="1"/>
  <c r="R252" i="17" s="1"/>
  <c r="K252" i="17"/>
  <c r="V251" i="17"/>
  <c r="S251" i="17"/>
  <c r="O251" i="17"/>
  <c r="Q251" i="17" s="1"/>
  <c r="R251" i="17" s="1"/>
  <c r="K251" i="17"/>
  <c r="V250" i="17"/>
  <c r="S250" i="17"/>
  <c r="O250" i="17"/>
  <c r="Q250" i="17" s="1"/>
  <c r="R250" i="17" s="1"/>
  <c r="K250" i="17"/>
  <c r="V249" i="17"/>
  <c r="S249" i="17"/>
  <c r="O249" i="17"/>
  <c r="Q249" i="17" s="1"/>
  <c r="R249" i="17" s="1"/>
  <c r="K249" i="17"/>
  <c r="V248" i="17"/>
  <c r="S248" i="17"/>
  <c r="O248" i="17"/>
  <c r="Q248" i="17" s="1"/>
  <c r="R248" i="17" s="1"/>
  <c r="K248" i="17"/>
  <c r="V247" i="17"/>
  <c r="S247" i="17"/>
  <c r="O247" i="17"/>
  <c r="Q247" i="17" s="1"/>
  <c r="R247" i="17" s="1"/>
  <c r="K247" i="17"/>
  <c r="V246" i="17"/>
  <c r="S246" i="17"/>
  <c r="O246" i="17"/>
  <c r="Q246" i="17" s="1"/>
  <c r="R246" i="17" s="1"/>
  <c r="K246" i="17"/>
  <c r="V245" i="17"/>
  <c r="S245" i="17"/>
  <c r="O245" i="17"/>
  <c r="Q245" i="17" s="1"/>
  <c r="R245" i="17" s="1"/>
  <c r="K245" i="17"/>
  <c r="V244" i="17"/>
  <c r="S244" i="17"/>
  <c r="O244" i="17"/>
  <c r="Q244" i="17" s="1"/>
  <c r="R244" i="17" s="1"/>
  <c r="K244" i="17"/>
  <c r="V243" i="17"/>
  <c r="S243" i="17"/>
  <c r="O243" i="17"/>
  <c r="Q243" i="17" s="1"/>
  <c r="R243" i="17" s="1"/>
  <c r="K243" i="17"/>
  <c r="V242" i="17"/>
  <c r="S242" i="17"/>
  <c r="O242" i="17"/>
  <c r="Q242" i="17" s="1"/>
  <c r="R242" i="17" s="1"/>
  <c r="K242" i="17"/>
  <c r="V241" i="17"/>
  <c r="S241" i="17"/>
  <c r="O241" i="17"/>
  <c r="Q241" i="17" s="1"/>
  <c r="R241" i="17" s="1"/>
  <c r="K241" i="17"/>
  <c r="V240" i="17"/>
  <c r="S240" i="17"/>
  <c r="O240" i="17"/>
  <c r="Q240" i="17" s="1"/>
  <c r="R240" i="17" s="1"/>
  <c r="K240" i="17"/>
  <c r="V239" i="17"/>
  <c r="S239" i="17"/>
  <c r="O239" i="17"/>
  <c r="Q239" i="17" s="1"/>
  <c r="R239" i="17" s="1"/>
  <c r="K239" i="17"/>
  <c r="V238" i="17"/>
  <c r="S238" i="17"/>
  <c r="O238" i="17"/>
  <c r="Q238" i="17" s="1"/>
  <c r="R238" i="17" s="1"/>
  <c r="K238" i="17"/>
  <c r="V237" i="17"/>
  <c r="S237" i="17"/>
  <c r="O237" i="17"/>
  <c r="Q237" i="17" s="1"/>
  <c r="R237" i="17" s="1"/>
  <c r="K237" i="17"/>
  <c r="S236" i="17"/>
  <c r="O236" i="17"/>
  <c r="Q236" i="17" s="1"/>
  <c r="R236" i="17" s="1"/>
  <c r="H236" i="17"/>
  <c r="K236" i="17" s="1"/>
  <c r="V235" i="17"/>
  <c r="S235" i="17"/>
  <c r="O235" i="17"/>
  <c r="Q235" i="17" s="1"/>
  <c r="R235" i="17" s="1"/>
  <c r="K235" i="17"/>
  <c r="V234" i="17"/>
  <c r="S234" i="17"/>
  <c r="O234" i="17"/>
  <c r="Q234" i="17" s="1"/>
  <c r="R234" i="17" s="1"/>
  <c r="K234" i="17"/>
  <c r="V233" i="17"/>
  <c r="S233" i="17"/>
  <c r="O233" i="17"/>
  <c r="Q233" i="17" s="1"/>
  <c r="R233" i="17" s="1"/>
  <c r="K233" i="17"/>
  <c r="V232" i="17"/>
  <c r="S232" i="17"/>
  <c r="O232" i="17"/>
  <c r="Q232" i="17" s="1"/>
  <c r="R232" i="17" s="1"/>
  <c r="K232" i="17"/>
  <c r="V231" i="17"/>
  <c r="S231" i="17"/>
  <c r="O231" i="17"/>
  <c r="Q231" i="17" s="1"/>
  <c r="R231" i="17" s="1"/>
  <c r="K231" i="17"/>
  <c r="V230" i="17"/>
  <c r="S230" i="17"/>
  <c r="O230" i="17"/>
  <c r="Q230" i="17" s="1"/>
  <c r="R230" i="17" s="1"/>
  <c r="K230" i="17"/>
  <c r="V229" i="17"/>
  <c r="S229" i="17"/>
  <c r="O229" i="17"/>
  <c r="Q229" i="17" s="1"/>
  <c r="R229" i="17" s="1"/>
  <c r="K229" i="17"/>
  <c r="V228" i="17"/>
  <c r="S228" i="17"/>
  <c r="O228" i="17"/>
  <c r="Q228" i="17" s="1"/>
  <c r="R228" i="17" s="1"/>
  <c r="K228" i="17"/>
  <c r="V227" i="17"/>
  <c r="S227" i="17"/>
  <c r="O227" i="17"/>
  <c r="Q227" i="17" s="1"/>
  <c r="R227" i="17" s="1"/>
  <c r="K227" i="17"/>
  <c r="V226" i="17"/>
  <c r="S226" i="17"/>
  <c r="O226" i="17"/>
  <c r="Q226" i="17" s="1"/>
  <c r="R226" i="17" s="1"/>
  <c r="K226" i="17"/>
  <c r="V225" i="17"/>
  <c r="S225" i="17"/>
  <c r="O225" i="17"/>
  <c r="Q225" i="17" s="1"/>
  <c r="R225" i="17" s="1"/>
  <c r="K225" i="17"/>
  <c r="V224" i="17"/>
  <c r="S224" i="17"/>
  <c r="O224" i="17"/>
  <c r="Q224" i="17" s="1"/>
  <c r="R224" i="17" s="1"/>
  <c r="K224" i="17"/>
  <c r="V223" i="17"/>
  <c r="S223" i="17"/>
  <c r="O223" i="17"/>
  <c r="Q223" i="17" s="1"/>
  <c r="R223" i="17" s="1"/>
  <c r="K223" i="17"/>
  <c r="V222" i="17"/>
  <c r="S222" i="17"/>
  <c r="O222" i="17"/>
  <c r="Q222" i="17" s="1"/>
  <c r="R222" i="17" s="1"/>
  <c r="K222" i="17"/>
  <c r="V221" i="17"/>
  <c r="S221" i="17"/>
  <c r="O221" i="17"/>
  <c r="Q221" i="17" s="1"/>
  <c r="R221" i="17" s="1"/>
  <c r="K221" i="17"/>
  <c r="V220" i="17"/>
  <c r="S220" i="17"/>
  <c r="O220" i="17"/>
  <c r="Q220" i="17" s="1"/>
  <c r="R220" i="17" s="1"/>
  <c r="K220" i="17"/>
  <c r="V219" i="17"/>
  <c r="S219" i="17"/>
  <c r="O219" i="17"/>
  <c r="Q219" i="17" s="1"/>
  <c r="R219" i="17" s="1"/>
  <c r="K219" i="17"/>
  <c r="U219" i="17" s="1"/>
  <c r="W219" i="17" s="1"/>
  <c r="V218" i="17"/>
  <c r="S218" i="17"/>
  <c r="O218" i="17"/>
  <c r="Q218" i="17" s="1"/>
  <c r="R218" i="17" s="1"/>
  <c r="K218" i="17"/>
  <c r="V217" i="17"/>
  <c r="S217" i="17"/>
  <c r="O217" i="17"/>
  <c r="Q217" i="17" s="1"/>
  <c r="R217" i="17" s="1"/>
  <c r="K217" i="17"/>
  <c r="U217" i="17" s="1"/>
  <c r="W217" i="17" s="1"/>
  <c r="V216" i="17"/>
  <c r="S216" i="17"/>
  <c r="O216" i="17"/>
  <c r="Q216" i="17" s="1"/>
  <c r="R216" i="17" s="1"/>
  <c r="K216" i="17"/>
  <c r="U216" i="17" s="1"/>
  <c r="W216" i="17" s="1"/>
  <c r="V215" i="17"/>
  <c r="S215" i="17"/>
  <c r="O215" i="17"/>
  <c r="Q215" i="17" s="1"/>
  <c r="R215" i="17" s="1"/>
  <c r="K215" i="17"/>
  <c r="U215" i="17" s="1"/>
  <c r="W215" i="17" s="1"/>
  <c r="V214" i="17"/>
  <c r="S214" i="17"/>
  <c r="O214" i="17"/>
  <c r="Q214" i="17" s="1"/>
  <c r="R214" i="17" s="1"/>
  <c r="K214" i="17"/>
  <c r="U214" i="17" s="1"/>
  <c r="W214" i="17" s="1"/>
  <c r="V213" i="17"/>
  <c r="S213" i="17"/>
  <c r="O213" i="17"/>
  <c r="Q213" i="17" s="1"/>
  <c r="R213" i="17" s="1"/>
  <c r="K213" i="17"/>
  <c r="U213" i="17" s="1"/>
  <c r="W213" i="17" s="1"/>
  <c r="V212" i="17"/>
  <c r="S212" i="17"/>
  <c r="O212" i="17"/>
  <c r="Q212" i="17" s="1"/>
  <c r="R212" i="17" s="1"/>
  <c r="K212" i="17"/>
  <c r="U212" i="17" s="1"/>
  <c r="W212" i="17" s="1"/>
  <c r="V211" i="17"/>
  <c r="S211" i="17"/>
  <c r="O211" i="17"/>
  <c r="Q211" i="17" s="1"/>
  <c r="R211" i="17" s="1"/>
  <c r="K211" i="17"/>
  <c r="U211" i="17" s="1"/>
  <c r="W211" i="17" s="1"/>
  <c r="V210" i="17"/>
  <c r="S210" i="17"/>
  <c r="O210" i="17"/>
  <c r="Q210" i="17" s="1"/>
  <c r="R210" i="17" s="1"/>
  <c r="K210" i="17"/>
  <c r="U210" i="17" s="1"/>
  <c r="V209" i="17"/>
  <c r="S209" i="17"/>
  <c r="O209" i="17"/>
  <c r="Q209" i="17" s="1"/>
  <c r="R209" i="17" s="1"/>
  <c r="K209" i="17"/>
  <c r="U209" i="17" s="1"/>
  <c r="V208" i="17"/>
  <c r="S208" i="17"/>
  <c r="O208" i="17"/>
  <c r="Q208" i="17" s="1"/>
  <c r="R208" i="17" s="1"/>
  <c r="K208" i="17"/>
  <c r="U208" i="17" s="1"/>
  <c r="V207" i="17"/>
  <c r="S207" i="17"/>
  <c r="O207" i="17"/>
  <c r="Q207" i="17" s="1"/>
  <c r="R207" i="17" s="1"/>
  <c r="K207" i="17"/>
  <c r="U207" i="17" s="1"/>
  <c r="V206" i="17"/>
  <c r="S206" i="17"/>
  <c r="O206" i="17"/>
  <c r="Q206" i="17" s="1"/>
  <c r="R206" i="17" s="1"/>
  <c r="K206" i="17"/>
  <c r="U206" i="17" s="1"/>
  <c r="V205" i="17"/>
  <c r="S205" i="17"/>
  <c r="O205" i="17"/>
  <c r="Q205" i="17" s="1"/>
  <c r="R205" i="17" s="1"/>
  <c r="K205" i="17"/>
  <c r="U205" i="17" s="1"/>
  <c r="V204" i="17"/>
  <c r="S204" i="17"/>
  <c r="O204" i="17"/>
  <c r="Q204" i="17" s="1"/>
  <c r="R204" i="17" s="1"/>
  <c r="K204" i="17"/>
  <c r="U204" i="17" s="1"/>
  <c r="V203" i="17"/>
  <c r="S203" i="17"/>
  <c r="O203" i="17"/>
  <c r="Q203" i="17" s="1"/>
  <c r="R203" i="17" s="1"/>
  <c r="K203" i="17"/>
  <c r="U203" i="17" s="1"/>
  <c r="V202" i="17"/>
  <c r="S202" i="17"/>
  <c r="O202" i="17"/>
  <c r="Q202" i="17" s="1"/>
  <c r="R202" i="17" s="1"/>
  <c r="K202" i="17"/>
  <c r="U202" i="17" s="1"/>
  <c r="V201" i="17"/>
  <c r="S201" i="17"/>
  <c r="O201" i="17"/>
  <c r="Q201" i="17" s="1"/>
  <c r="R201" i="17" s="1"/>
  <c r="K201" i="17"/>
  <c r="U201" i="17" s="1"/>
  <c r="V200" i="17"/>
  <c r="S200" i="17"/>
  <c r="O200" i="17"/>
  <c r="Q200" i="17" s="1"/>
  <c r="R200" i="17" s="1"/>
  <c r="K200" i="17"/>
  <c r="U200" i="17" s="1"/>
  <c r="V199" i="17"/>
  <c r="S199" i="17"/>
  <c r="O199" i="17"/>
  <c r="Q199" i="17" s="1"/>
  <c r="R199" i="17" s="1"/>
  <c r="K199" i="17"/>
  <c r="U199" i="17" s="1"/>
  <c r="V198" i="17"/>
  <c r="S198" i="17"/>
  <c r="O198" i="17"/>
  <c r="Q198" i="17" s="1"/>
  <c r="R198" i="17" s="1"/>
  <c r="K198" i="17"/>
  <c r="U198" i="17" s="1"/>
  <c r="V197" i="17"/>
  <c r="S197" i="17"/>
  <c r="O197" i="17"/>
  <c r="Q197" i="17" s="1"/>
  <c r="R197" i="17" s="1"/>
  <c r="K197" i="17"/>
  <c r="U197" i="17" s="1"/>
  <c r="V196" i="17"/>
  <c r="S196" i="17"/>
  <c r="O196" i="17"/>
  <c r="Q196" i="17" s="1"/>
  <c r="R196" i="17" s="1"/>
  <c r="K196" i="17"/>
  <c r="U196" i="17" s="1"/>
  <c r="V195" i="17"/>
  <c r="S195" i="17"/>
  <c r="O195" i="17"/>
  <c r="Q195" i="17" s="1"/>
  <c r="R195" i="17" s="1"/>
  <c r="K195" i="17"/>
  <c r="U195" i="17" s="1"/>
  <c r="V194" i="17"/>
  <c r="S194" i="17"/>
  <c r="O194" i="17"/>
  <c r="Q194" i="17" s="1"/>
  <c r="R194" i="17" s="1"/>
  <c r="K194" i="17"/>
  <c r="U194" i="17" s="1"/>
  <c r="V193" i="17"/>
  <c r="S193" i="17"/>
  <c r="O193" i="17"/>
  <c r="Q193" i="17" s="1"/>
  <c r="R193" i="17" s="1"/>
  <c r="K193" i="17"/>
  <c r="U193" i="17" s="1"/>
  <c r="V192" i="17"/>
  <c r="S192" i="17"/>
  <c r="O192" i="17"/>
  <c r="Q192" i="17" s="1"/>
  <c r="R192" i="17" s="1"/>
  <c r="K192" i="17"/>
  <c r="U192" i="17" s="1"/>
  <c r="V191" i="17"/>
  <c r="S191" i="17"/>
  <c r="O191" i="17"/>
  <c r="Q191" i="17" s="1"/>
  <c r="R191" i="17" s="1"/>
  <c r="K191" i="17"/>
  <c r="U191" i="17" s="1"/>
  <c r="V190" i="17"/>
  <c r="S190" i="17"/>
  <c r="O190" i="17"/>
  <c r="Q190" i="17" s="1"/>
  <c r="R190" i="17" s="1"/>
  <c r="K190" i="17"/>
  <c r="U190" i="17" s="1"/>
  <c r="V189" i="17"/>
  <c r="S189" i="17"/>
  <c r="O189" i="17"/>
  <c r="Q189" i="17" s="1"/>
  <c r="R189" i="17" s="1"/>
  <c r="K189" i="17"/>
  <c r="U189" i="17" s="1"/>
  <c r="V188" i="17"/>
  <c r="S188" i="17"/>
  <c r="O188" i="17"/>
  <c r="Q188" i="17" s="1"/>
  <c r="R188" i="17" s="1"/>
  <c r="K188" i="17"/>
  <c r="U188" i="17" s="1"/>
  <c r="V187" i="17"/>
  <c r="S187" i="17"/>
  <c r="O187" i="17"/>
  <c r="Q187" i="17" s="1"/>
  <c r="R187" i="17" s="1"/>
  <c r="K187" i="17"/>
  <c r="U187" i="17" s="1"/>
  <c r="V186" i="17"/>
  <c r="S186" i="17"/>
  <c r="O186" i="17"/>
  <c r="Q186" i="17" s="1"/>
  <c r="R186" i="17" s="1"/>
  <c r="K186" i="17"/>
  <c r="U186" i="17" s="1"/>
  <c r="V185" i="17"/>
  <c r="S185" i="17"/>
  <c r="O185" i="17"/>
  <c r="Q185" i="17" s="1"/>
  <c r="R185" i="17" s="1"/>
  <c r="K185" i="17"/>
  <c r="U185" i="17" s="1"/>
  <c r="V184" i="17"/>
  <c r="S184" i="17"/>
  <c r="O184" i="17"/>
  <c r="Q184" i="17" s="1"/>
  <c r="R184" i="17" s="1"/>
  <c r="K184" i="17"/>
  <c r="U184" i="17" s="1"/>
  <c r="V183" i="17"/>
  <c r="S183" i="17"/>
  <c r="O183" i="17"/>
  <c r="Q183" i="17" s="1"/>
  <c r="R183" i="17" s="1"/>
  <c r="K183" i="17"/>
  <c r="U183" i="17" s="1"/>
  <c r="V182" i="17"/>
  <c r="S182" i="17"/>
  <c r="O182" i="17"/>
  <c r="Q182" i="17" s="1"/>
  <c r="R182" i="17" s="1"/>
  <c r="K182" i="17"/>
  <c r="U182" i="17" s="1"/>
  <c r="S181" i="17"/>
  <c r="O181" i="17"/>
  <c r="Q181" i="17" s="1"/>
  <c r="R181" i="17" s="1"/>
  <c r="H181" i="17"/>
  <c r="H315" i="17" s="1"/>
  <c r="D13" i="9" s="1"/>
  <c r="V180" i="17"/>
  <c r="S180" i="17"/>
  <c r="O180" i="17"/>
  <c r="Q180" i="17" s="1"/>
  <c r="R180" i="17" s="1"/>
  <c r="K180" i="17"/>
  <c r="U180" i="17" s="1"/>
  <c r="V179" i="17"/>
  <c r="S179" i="17"/>
  <c r="O179" i="17"/>
  <c r="Q179" i="17" s="1"/>
  <c r="R179" i="17" s="1"/>
  <c r="K179" i="17"/>
  <c r="U179" i="17" s="1"/>
  <c r="V178" i="17"/>
  <c r="S178" i="17"/>
  <c r="O178" i="17"/>
  <c r="Q178" i="17" s="1"/>
  <c r="R178" i="17" s="1"/>
  <c r="K178" i="17"/>
  <c r="U178" i="17" s="1"/>
  <c r="V177" i="17"/>
  <c r="S177" i="17"/>
  <c r="O177" i="17"/>
  <c r="Q177" i="17" s="1"/>
  <c r="R177" i="17" s="1"/>
  <c r="K177" i="17"/>
  <c r="U177" i="17" s="1"/>
  <c r="V176" i="17"/>
  <c r="S176" i="17"/>
  <c r="O176" i="17"/>
  <c r="Q176" i="17" s="1"/>
  <c r="R176" i="17" s="1"/>
  <c r="K176" i="17"/>
  <c r="U176" i="17" s="1"/>
  <c r="V175" i="17"/>
  <c r="S175" i="17"/>
  <c r="O175" i="17"/>
  <c r="Q175" i="17" s="1"/>
  <c r="R175" i="17" s="1"/>
  <c r="K175" i="17"/>
  <c r="U175" i="17" s="1"/>
  <c r="V174" i="17"/>
  <c r="S174" i="17"/>
  <c r="O174" i="17"/>
  <c r="Q174" i="17" s="1"/>
  <c r="R174" i="17" s="1"/>
  <c r="K174" i="17"/>
  <c r="U174" i="17" s="1"/>
  <c r="V173" i="17"/>
  <c r="S173" i="17"/>
  <c r="O173" i="17"/>
  <c r="Q173" i="17" s="1"/>
  <c r="R173" i="17" s="1"/>
  <c r="K173" i="17"/>
  <c r="U173" i="17" s="1"/>
  <c r="V172" i="17"/>
  <c r="S172" i="17"/>
  <c r="O172" i="17"/>
  <c r="Q172" i="17" s="1"/>
  <c r="R172" i="17" s="1"/>
  <c r="K172" i="17"/>
  <c r="U172" i="17" s="1"/>
  <c r="V171" i="17"/>
  <c r="S171" i="17"/>
  <c r="O171" i="17"/>
  <c r="Q171" i="17" s="1"/>
  <c r="R171" i="17" s="1"/>
  <c r="K171" i="17"/>
  <c r="U171" i="17" s="1"/>
  <c r="V170" i="17"/>
  <c r="S170" i="17"/>
  <c r="O170" i="17"/>
  <c r="Q170" i="17" s="1"/>
  <c r="R170" i="17" s="1"/>
  <c r="K170" i="17"/>
  <c r="U170" i="17" s="1"/>
  <c r="V169" i="17"/>
  <c r="S169" i="17"/>
  <c r="O169" i="17"/>
  <c r="Q169" i="17" s="1"/>
  <c r="R169" i="17" s="1"/>
  <c r="K169" i="17"/>
  <c r="U169" i="17" s="1"/>
  <c r="V168" i="17"/>
  <c r="S168" i="17"/>
  <c r="O168" i="17"/>
  <c r="Q168" i="17" s="1"/>
  <c r="R168" i="17" s="1"/>
  <c r="K168" i="17"/>
  <c r="U168" i="17" s="1"/>
  <c r="V167" i="17"/>
  <c r="S167" i="17"/>
  <c r="O167" i="17"/>
  <c r="Q167" i="17" s="1"/>
  <c r="R167" i="17" s="1"/>
  <c r="K167" i="17"/>
  <c r="U167" i="17" s="1"/>
  <c r="V166" i="17"/>
  <c r="S166" i="17"/>
  <c r="O166" i="17"/>
  <c r="Q166" i="17" s="1"/>
  <c r="R166" i="17" s="1"/>
  <c r="K166" i="17"/>
  <c r="U166" i="17" s="1"/>
  <c r="V165" i="17"/>
  <c r="S165" i="17"/>
  <c r="O165" i="17"/>
  <c r="Q165" i="17" s="1"/>
  <c r="R165" i="17" s="1"/>
  <c r="K165" i="17"/>
  <c r="U165" i="17" s="1"/>
  <c r="V164" i="17"/>
  <c r="S164" i="17"/>
  <c r="O164" i="17"/>
  <c r="Q164" i="17" s="1"/>
  <c r="R164" i="17" s="1"/>
  <c r="K164" i="17"/>
  <c r="U164" i="17" s="1"/>
  <c r="V163" i="17"/>
  <c r="S163" i="17"/>
  <c r="O163" i="17"/>
  <c r="Q163" i="17" s="1"/>
  <c r="R163" i="17" s="1"/>
  <c r="K163" i="17"/>
  <c r="U163" i="17" s="1"/>
  <c r="V162" i="17"/>
  <c r="S162" i="17"/>
  <c r="O162" i="17"/>
  <c r="Q162" i="17" s="1"/>
  <c r="R162" i="17" s="1"/>
  <c r="K162" i="17"/>
  <c r="U162" i="17" s="1"/>
  <c r="V161" i="17"/>
  <c r="S161" i="17"/>
  <c r="O161" i="17"/>
  <c r="Q161" i="17" s="1"/>
  <c r="R161" i="17" s="1"/>
  <c r="K161" i="17"/>
  <c r="U161" i="17" s="1"/>
  <c r="V160" i="17"/>
  <c r="S160" i="17"/>
  <c r="O160" i="17"/>
  <c r="Q160" i="17" s="1"/>
  <c r="R160" i="17" s="1"/>
  <c r="K160" i="17"/>
  <c r="U160" i="17" s="1"/>
  <c r="V159" i="17"/>
  <c r="S159" i="17"/>
  <c r="O159" i="17"/>
  <c r="Q159" i="17" s="1"/>
  <c r="R159" i="17" s="1"/>
  <c r="K159" i="17"/>
  <c r="U159" i="17" s="1"/>
  <c r="V158" i="17"/>
  <c r="S158" i="17"/>
  <c r="O158" i="17"/>
  <c r="Q158" i="17" s="1"/>
  <c r="R158" i="17" s="1"/>
  <c r="K158" i="17"/>
  <c r="U158" i="17" s="1"/>
  <c r="V157" i="17"/>
  <c r="S157" i="17"/>
  <c r="O157" i="17"/>
  <c r="Q157" i="17" s="1"/>
  <c r="R157" i="17" s="1"/>
  <c r="K157" i="17"/>
  <c r="U157" i="17" s="1"/>
  <c r="V156" i="17"/>
  <c r="S156" i="17"/>
  <c r="O156" i="17"/>
  <c r="Q156" i="17" s="1"/>
  <c r="R156" i="17" s="1"/>
  <c r="K156" i="17"/>
  <c r="U156" i="17" s="1"/>
  <c r="V155" i="17"/>
  <c r="S155" i="17"/>
  <c r="O155" i="17"/>
  <c r="Q155" i="17" s="1"/>
  <c r="R155" i="17" s="1"/>
  <c r="K155" i="17"/>
  <c r="U155" i="17" s="1"/>
  <c r="V154" i="17"/>
  <c r="S154" i="17"/>
  <c r="O154" i="17"/>
  <c r="Q154" i="17" s="1"/>
  <c r="R154" i="17" s="1"/>
  <c r="K154" i="17"/>
  <c r="U154" i="17" s="1"/>
  <c r="V153" i="17"/>
  <c r="S153" i="17"/>
  <c r="O153" i="17"/>
  <c r="Q153" i="17" s="1"/>
  <c r="R153" i="17" s="1"/>
  <c r="K153" i="17"/>
  <c r="U153" i="17" s="1"/>
  <c r="V152" i="17"/>
  <c r="S152" i="17"/>
  <c r="O152" i="17"/>
  <c r="Q152" i="17" s="1"/>
  <c r="R152" i="17" s="1"/>
  <c r="K152" i="17"/>
  <c r="U152" i="17" s="1"/>
  <c r="V151" i="17"/>
  <c r="S151" i="17"/>
  <c r="O151" i="17"/>
  <c r="Q151" i="17" s="1"/>
  <c r="R151" i="17" s="1"/>
  <c r="K151" i="17"/>
  <c r="U151" i="17" s="1"/>
  <c r="V150" i="17"/>
  <c r="S150" i="17"/>
  <c r="O150" i="17"/>
  <c r="Q150" i="17" s="1"/>
  <c r="R150" i="17" s="1"/>
  <c r="K150" i="17"/>
  <c r="U150" i="17" s="1"/>
  <c r="V149" i="17"/>
  <c r="S149" i="17"/>
  <c r="O149" i="17"/>
  <c r="Q149" i="17" s="1"/>
  <c r="R149" i="17" s="1"/>
  <c r="K149" i="17"/>
  <c r="U149" i="17" s="1"/>
  <c r="V148" i="17"/>
  <c r="S148" i="17"/>
  <c r="O148" i="17"/>
  <c r="Q148" i="17" s="1"/>
  <c r="R148" i="17" s="1"/>
  <c r="K148" i="17"/>
  <c r="U148" i="17" s="1"/>
  <c r="V147" i="17"/>
  <c r="S147" i="17"/>
  <c r="O147" i="17"/>
  <c r="Q147" i="17" s="1"/>
  <c r="R147" i="17" s="1"/>
  <c r="K147" i="17"/>
  <c r="U147" i="17" s="1"/>
  <c r="V146" i="17"/>
  <c r="S146" i="17"/>
  <c r="O146" i="17"/>
  <c r="Q146" i="17" s="1"/>
  <c r="R146" i="17" s="1"/>
  <c r="K146" i="17"/>
  <c r="U146" i="17" s="1"/>
  <c r="V145" i="17"/>
  <c r="S145" i="17"/>
  <c r="O145" i="17"/>
  <c r="Q145" i="17" s="1"/>
  <c r="R145" i="17" s="1"/>
  <c r="K145" i="17"/>
  <c r="U145" i="17" s="1"/>
  <c r="V144" i="17"/>
  <c r="S144" i="17"/>
  <c r="O144" i="17"/>
  <c r="Q144" i="17" s="1"/>
  <c r="R144" i="17" s="1"/>
  <c r="K144" i="17"/>
  <c r="U144" i="17" s="1"/>
  <c r="V143" i="17"/>
  <c r="S143" i="17"/>
  <c r="O143" i="17"/>
  <c r="Q143" i="17" s="1"/>
  <c r="R143" i="17" s="1"/>
  <c r="K143" i="17"/>
  <c r="U143" i="17" s="1"/>
  <c r="V142" i="17"/>
  <c r="S142" i="17"/>
  <c r="O142" i="17"/>
  <c r="Q142" i="17" s="1"/>
  <c r="R142" i="17" s="1"/>
  <c r="K142" i="17"/>
  <c r="U142" i="17" s="1"/>
  <c r="V141" i="17"/>
  <c r="S141" i="17"/>
  <c r="O141" i="17"/>
  <c r="Q141" i="17" s="1"/>
  <c r="R141" i="17" s="1"/>
  <c r="K141" i="17"/>
  <c r="U141" i="17" s="1"/>
  <c r="V140" i="17"/>
  <c r="S140" i="17"/>
  <c r="O140" i="17"/>
  <c r="Q140" i="17" s="1"/>
  <c r="R140" i="17" s="1"/>
  <c r="K140" i="17"/>
  <c r="U140" i="17" s="1"/>
  <c r="V139" i="17"/>
  <c r="S139" i="17"/>
  <c r="O139" i="17"/>
  <c r="Q139" i="17" s="1"/>
  <c r="R139" i="17" s="1"/>
  <c r="K139" i="17"/>
  <c r="U139" i="17" s="1"/>
  <c r="V138" i="17"/>
  <c r="S138" i="17"/>
  <c r="O138" i="17"/>
  <c r="Q138" i="17" s="1"/>
  <c r="R138" i="17" s="1"/>
  <c r="K138" i="17"/>
  <c r="U138" i="17" s="1"/>
  <c r="V137" i="17"/>
  <c r="S137" i="17"/>
  <c r="O137" i="17"/>
  <c r="Q137" i="17" s="1"/>
  <c r="R137" i="17" s="1"/>
  <c r="K137" i="17"/>
  <c r="U137" i="17" s="1"/>
  <c r="V136" i="17"/>
  <c r="S136" i="17"/>
  <c r="O136" i="17"/>
  <c r="Q136" i="17" s="1"/>
  <c r="R136" i="17" s="1"/>
  <c r="K136" i="17"/>
  <c r="U136" i="17" s="1"/>
  <c r="V135" i="17"/>
  <c r="S135" i="17"/>
  <c r="O135" i="17"/>
  <c r="Q135" i="17" s="1"/>
  <c r="R135" i="17" s="1"/>
  <c r="K135" i="17"/>
  <c r="U135" i="17" s="1"/>
  <c r="V134" i="17"/>
  <c r="S134" i="17"/>
  <c r="O134" i="17"/>
  <c r="Q134" i="17" s="1"/>
  <c r="R134" i="17" s="1"/>
  <c r="K134" i="17"/>
  <c r="U134" i="17" s="1"/>
  <c r="V133" i="17"/>
  <c r="S133" i="17"/>
  <c r="O133" i="17"/>
  <c r="Q133" i="17" s="1"/>
  <c r="R133" i="17" s="1"/>
  <c r="K133" i="17"/>
  <c r="U133" i="17" s="1"/>
  <c r="V132" i="17"/>
  <c r="S132" i="17"/>
  <c r="O132" i="17"/>
  <c r="Q132" i="17" s="1"/>
  <c r="R132" i="17" s="1"/>
  <c r="K132" i="17"/>
  <c r="U132" i="17" s="1"/>
  <c r="V131" i="17"/>
  <c r="S131" i="17"/>
  <c r="O131" i="17"/>
  <c r="Q131" i="17" s="1"/>
  <c r="R131" i="17" s="1"/>
  <c r="K131" i="17"/>
  <c r="U131" i="17" s="1"/>
  <c r="V130" i="17"/>
  <c r="S130" i="17"/>
  <c r="O130" i="17"/>
  <c r="Q130" i="17" s="1"/>
  <c r="R130" i="17" s="1"/>
  <c r="K130" i="17"/>
  <c r="U130" i="17" s="1"/>
  <c r="V129" i="17"/>
  <c r="S129" i="17"/>
  <c r="O129" i="17"/>
  <c r="Q129" i="17" s="1"/>
  <c r="R129" i="17" s="1"/>
  <c r="K129" i="17"/>
  <c r="U129" i="17" s="1"/>
  <c r="V128" i="17"/>
  <c r="S128" i="17"/>
  <c r="O128" i="17"/>
  <c r="Q128" i="17" s="1"/>
  <c r="R128" i="17" s="1"/>
  <c r="K128" i="17"/>
  <c r="U128" i="17" s="1"/>
  <c r="V127" i="17"/>
  <c r="S127" i="17"/>
  <c r="O127" i="17"/>
  <c r="Q127" i="17" s="1"/>
  <c r="R127" i="17" s="1"/>
  <c r="K127" i="17"/>
  <c r="U127" i="17" s="1"/>
  <c r="V126" i="17"/>
  <c r="S126" i="17"/>
  <c r="O126" i="17"/>
  <c r="Q126" i="17" s="1"/>
  <c r="R126" i="17" s="1"/>
  <c r="K126" i="17"/>
  <c r="U126" i="17" s="1"/>
  <c r="V125" i="17"/>
  <c r="S125" i="17"/>
  <c r="O125" i="17"/>
  <c r="Q125" i="17" s="1"/>
  <c r="R125" i="17" s="1"/>
  <c r="K125" i="17"/>
  <c r="U125" i="17" s="1"/>
  <c r="V124" i="17"/>
  <c r="S124" i="17"/>
  <c r="O124" i="17"/>
  <c r="Q124" i="17" s="1"/>
  <c r="R124" i="17" s="1"/>
  <c r="K124" i="17"/>
  <c r="U124" i="17" s="1"/>
  <c r="V123" i="17"/>
  <c r="S123" i="17"/>
  <c r="O123" i="17"/>
  <c r="Q123" i="17" s="1"/>
  <c r="R123" i="17" s="1"/>
  <c r="K123" i="17"/>
  <c r="U123" i="17" s="1"/>
  <c r="V122" i="17"/>
  <c r="S122" i="17"/>
  <c r="O122" i="17"/>
  <c r="Q122" i="17" s="1"/>
  <c r="R122" i="17" s="1"/>
  <c r="K122" i="17"/>
  <c r="U122" i="17" s="1"/>
  <c r="V121" i="17"/>
  <c r="S121" i="17"/>
  <c r="O121" i="17"/>
  <c r="Q121" i="17" s="1"/>
  <c r="R121" i="17" s="1"/>
  <c r="K121" i="17"/>
  <c r="U121" i="17" s="1"/>
  <c r="V120" i="17"/>
  <c r="S120" i="17"/>
  <c r="O120" i="17"/>
  <c r="Q120" i="17" s="1"/>
  <c r="R120" i="17" s="1"/>
  <c r="K120" i="17"/>
  <c r="U120" i="17" s="1"/>
  <c r="V119" i="17"/>
  <c r="S119" i="17"/>
  <c r="O119" i="17"/>
  <c r="Q119" i="17" s="1"/>
  <c r="R119" i="17" s="1"/>
  <c r="K119" i="17"/>
  <c r="U119" i="17" s="1"/>
  <c r="V118" i="17"/>
  <c r="S118" i="17"/>
  <c r="O118" i="17"/>
  <c r="Q118" i="17" s="1"/>
  <c r="R118" i="17" s="1"/>
  <c r="K118" i="17"/>
  <c r="U118" i="17" s="1"/>
  <c r="V117" i="17"/>
  <c r="S117" i="17"/>
  <c r="O117" i="17"/>
  <c r="Q117" i="17" s="1"/>
  <c r="R117" i="17" s="1"/>
  <c r="K117" i="17"/>
  <c r="U117" i="17" s="1"/>
  <c r="V116" i="17"/>
  <c r="S116" i="17"/>
  <c r="O116" i="17"/>
  <c r="Q116" i="17" s="1"/>
  <c r="R116" i="17" s="1"/>
  <c r="K116" i="17"/>
  <c r="U116" i="17" s="1"/>
  <c r="V115" i="17"/>
  <c r="S115" i="17"/>
  <c r="O115" i="17"/>
  <c r="Q115" i="17" s="1"/>
  <c r="R115" i="17" s="1"/>
  <c r="K115" i="17"/>
  <c r="U115" i="17" s="1"/>
  <c r="V114" i="17"/>
  <c r="S114" i="17"/>
  <c r="O114" i="17"/>
  <c r="Q114" i="17" s="1"/>
  <c r="R114" i="17" s="1"/>
  <c r="K114" i="17"/>
  <c r="U114" i="17" s="1"/>
  <c r="V113" i="17"/>
  <c r="S113" i="17"/>
  <c r="O113" i="17"/>
  <c r="Q113" i="17" s="1"/>
  <c r="R113" i="17" s="1"/>
  <c r="K113" i="17"/>
  <c r="U113" i="17" s="1"/>
  <c r="V112" i="17"/>
  <c r="S112" i="17"/>
  <c r="O112" i="17"/>
  <c r="Q112" i="17" s="1"/>
  <c r="R112" i="17" s="1"/>
  <c r="K112" i="17"/>
  <c r="U112" i="17" s="1"/>
  <c r="V111" i="17"/>
  <c r="S111" i="17"/>
  <c r="O111" i="17"/>
  <c r="Q111" i="17" s="1"/>
  <c r="R111" i="17" s="1"/>
  <c r="K111" i="17"/>
  <c r="U111" i="17" s="1"/>
  <c r="V110" i="17"/>
  <c r="S110" i="17"/>
  <c r="O110" i="17"/>
  <c r="Q110" i="17" s="1"/>
  <c r="R110" i="17" s="1"/>
  <c r="K110" i="17"/>
  <c r="U110" i="17" s="1"/>
  <c r="V109" i="17"/>
  <c r="S109" i="17"/>
  <c r="O109" i="17"/>
  <c r="Q109" i="17" s="1"/>
  <c r="R109" i="17" s="1"/>
  <c r="K109" i="17"/>
  <c r="U109" i="17" s="1"/>
  <c r="V108" i="17"/>
  <c r="S108" i="17"/>
  <c r="O108" i="17"/>
  <c r="Q108" i="17" s="1"/>
  <c r="R108" i="17" s="1"/>
  <c r="K108" i="17"/>
  <c r="U108" i="17" s="1"/>
  <c r="V107" i="17"/>
  <c r="S107" i="17"/>
  <c r="O107" i="17"/>
  <c r="Q107" i="17" s="1"/>
  <c r="R107" i="17" s="1"/>
  <c r="K107" i="17"/>
  <c r="U107" i="17" s="1"/>
  <c r="V106" i="17"/>
  <c r="S106" i="17"/>
  <c r="O106" i="17"/>
  <c r="Q106" i="17" s="1"/>
  <c r="R106" i="17" s="1"/>
  <c r="K106" i="17"/>
  <c r="U106" i="17" s="1"/>
  <c r="V105" i="17"/>
  <c r="S105" i="17"/>
  <c r="O105" i="17"/>
  <c r="Q105" i="17" s="1"/>
  <c r="R105" i="17" s="1"/>
  <c r="K105" i="17"/>
  <c r="U105" i="17" s="1"/>
  <c r="V104" i="17"/>
  <c r="S104" i="17"/>
  <c r="O104" i="17"/>
  <c r="Q104" i="17" s="1"/>
  <c r="R104" i="17" s="1"/>
  <c r="K104" i="17"/>
  <c r="U104" i="17" s="1"/>
  <c r="V103" i="17"/>
  <c r="S103" i="17"/>
  <c r="O103" i="17"/>
  <c r="Q103" i="17" s="1"/>
  <c r="R103" i="17" s="1"/>
  <c r="K103" i="17"/>
  <c r="U103" i="17" s="1"/>
  <c r="V102" i="17"/>
  <c r="S102" i="17"/>
  <c r="O102" i="17"/>
  <c r="Q102" i="17" s="1"/>
  <c r="R102" i="17" s="1"/>
  <c r="K102" i="17"/>
  <c r="U102" i="17" s="1"/>
  <c r="V101" i="17"/>
  <c r="S101" i="17"/>
  <c r="O101" i="17"/>
  <c r="Q101" i="17" s="1"/>
  <c r="R101" i="17" s="1"/>
  <c r="K101" i="17"/>
  <c r="U101" i="17" s="1"/>
  <c r="V100" i="17"/>
  <c r="S100" i="17"/>
  <c r="O100" i="17"/>
  <c r="Q100" i="17" s="1"/>
  <c r="R100" i="17" s="1"/>
  <c r="K100" i="17"/>
  <c r="U100" i="17" s="1"/>
  <c r="V99" i="17"/>
  <c r="S99" i="17"/>
  <c r="O99" i="17"/>
  <c r="Q99" i="17" s="1"/>
  <c r="R99" i="17" s="1"/>
  <c r="K99" i="17"/>
  <c r="U99" i="17" s="1"/>
  <c r="V98" i="17"/>
  <c r="S98" i="17"/>
  <c r="O98" i="17"/>
  <c r="Q98" i="17" s="1"/>
  <c r="R98" i="17" s="1"/>
  <c r="K98" i="17"/>
  <c r="U98" i="17" s="1"/>
  <c r="V97" i="17"/>
  <c r="S97" i="17"/>
  <c r="O97" i="17"/>
  <c r="Q97" i="17" s="1"/>
  <c r="R97" i="17" s="1"/>
  <c r="K97" i="17"/>
  <c r="U97" i="17" s="1"/>
  <c r="V96" i="17"/>
  <c r="S96" i="17"/>
  <c r="O96" i="17"/>
  <c r="Q96" i="17" s="1"/>
  <c r="R96" i="17" s="1"/>
  <c r="K96" i="17"/>
  <c r="U96" i="17" s="1"/>
  <c r="V95" i="17"/>
  <c r="S95" i="17"/>
  <c r="O95" i="17"/>
  <c r="Q95" i="17" s="1"/>
  <c r="R95" i="17" s="1"/>
  <c r="K95" i="17"/>
  <c r="U95" i="17" s="1"/>
  <c r="V94" i="17"/>
  <c r="S94" i="17"/>
  <c r="O94" i="17"/>
  <c r="Q94" i="17" s="1"/>
  <c r="R94" i="17" s="1"/>
  <c r="K94" i="17"/>
  <c r="U94" i="17" s="1"/>
  <c r="V93" i="17"/>
  <c r="S93" i="17"/>
  <c r="O93" i="17"/>
  <c r="Q93" i="17" s="1"/>
  <c r="R93" i="17" s="1"/>
  <c r="K93" i="17"/>
  <c r="U93" i="17" s="1"/>
  <c r="V92" i="17"/>
  <c r="S92" i="17"/>
  <c r="O92" i="17"/>
  <c r="Q92" i="17" s="1"/>
  <c r="R92" i="17" s="1"/>
  <c r="K92" i="17"/>
  <c r="U92" i="17" s="1"/>
  <c r="V91" i="17"/>
  <c r="S91" i="17"/>
  <c r="O91" i="17"/>
  <c r="Q91" i="17" s="1"/>
  <c r="R91" i="17" s="1"/>
  <c r="K91" i="17"/>
  <c r="U91" i="17" s="1"/>
  <c r="V90" i="17"/>
  <c r="S90" i="17"/>
  <c r="O90" i="17"/>
  <c r="Q90" i="17" s="1"/>
  <c r="R90" i="17" s="1"/>
  <c r="K90" i="17"/>
  <c r="U90" i="17" s="1"/>
  <c r="V89" i="17"/>
  <c r="S89" i="17"/>
  <c r="O89" i="17"/>
  <c r="Q89" i="17" s="1"/>
  <c r="R89" i="17" s="1"/>
  <c r="K89" i="17"/>
  <c r="U89" i="17" s="1"/>
  <c r="V88" i="17"/>
  <c r="S88" i="17"/>
  <c r="O88" i="17"/>
  <c r="Q88" i="17" s="1"/>
  <c r="R88" i="17" s="1"/>
  <c r="K88" i="17"/>
  <c r="U88" i="17" s="1"/>
  <c r="V87" i="17"/>
  <c r="S87" i="17"/>
  <c r="O87" i="17"/>
  <c r="Q87" i="17" s="1"/>
  <c r="R87" i="17" s="1"/>
  <c r="K87" i="17"/>
  <c r="U87" i="17" s="1"/>
  <c r="V86" i="17"/>
  <c r="S86" i="17"/>
  <c r="O86" i="17"/>
  <c r="Q86" i="17" s="1"/>
  <c r="R86" i="17" s="1"/>
  <c r="K86" i="17"/>
  <c r="U86" i="17" s="1"/>
  <c r="V85" i="17"/>
  <c r="S85" i="17"/>
  <c r="O85" i="17"/>
  <c r="Q85" i="17" s="1"/>
  <c r="R85" i="17" s="1"/>
  <c r="K85" i="17"/>
  <c r="U85" i="17" s="1"/>
  <c r="V84" i="17"/>
  <c r="S84" i="17"/>
  <c r="O84" i="17"/>
  <c r="Q84" i="17" s="1"/>
  <c r="R84" i="17" s="1"/>
  <c r="K84" i="17"/>
  <c r="U84" i="17" s="1"/>
  <c r="V83" i="17"/>
  <c r="S83" i="17"/>
  <c r="O83" i="17"/>
  <c r="Q83" i="17" s="1"/>
  <c r="R83" i="17" s="1"/>
  <c r="K83" i="17"/>
  <c r="U83" i="17" s="1"/>
  <c r="V82" i="17"/>
  <c r="S82" i="17"/>
  <c r="O82" i="17"/>
  <c r="Q82" i="17" s="1"/>
  <c r="R82" i="17" s="1"/>
  <c r="K82" i="17"/>
  <c r="U82" i="17" s="1"/>
  <c r="V81" i="17"/>
  <c r="S81" i="17"/>
  <c r="O81" i="17"/>
  <c r="Q81" i="17" s="1"/>
  <c r="R81" i="17" s="1"/>
  <c r="K81" i="17"/>
  <c r="U81" i="17" s="1"/>
  <c r="V80" i="17"/>
  <c r="S80" i="17"/>
  <c r="O80" i="17"/>
  <c r="Q80" i="17" s="1"/>
  <c r="R80" i="17" s="1"/>
  <c r="K80" i="17"/>
  <c r="U80" i="17" s="1"/>
  <c r="V79" i="17"/>
  <c r="S79" i="17"/>
  <c r="O79" i="17"/>
  <c r="Q79" i="17" s="1"/>
  <c r="R79" i="17" s="1"/>
  <c r="K79" i="17"/>
  <c r="U79" i="17" s="1"/>
  <c r="V78" i="17"/>
  <c r="S78" i="17"/>
  <c r="O78" i="17"/>
  <c r="Q78" i="17" s="1"/>
  <c r="R78" i="17" s="1"/>
  <c r="K78" i="17"/>
  <c r="U78" i="17" s="1"/>
  <c r="V77" i="17"/>
  <c r="S77" i="17"/>
  <c r="O77" i="17"/>
  <c r="Q77" i="17" s="1"/>
  <c r="R77" i="17" s="1"/>
  <c r="K77" i="17"/>
  <c r="U77" i="17" s="1"/>
  <c r="V76" i="17"/>
  <c r="S76" i="17"/>
  <c r="O76" i="17"/>
  <c r="Q76" i="17" s="1"/>
  <c r="R76" i="17" s="1"/>
  <c r="K76" i="17"/>
  <c r="U76" i="17" s="1"/>
  <c r="V75" i="17"/>
  <c r="S75" i="17"/>
  <c r="O75" i="17"/>
  <c r="Q75" i="17" s="1"/>
  <c r="R75" i="17" s="1"/>
  <c r="K75" i="17"/>
  <c r="U75" i="17" s="1"/>
  <c r="V74" i="17"/>
  <c r="S74" i="17"/>
  <c r="O74" i="17"/>
  <c r="Q74" i="17" s="1"/>
  <c r="R74" i="17" s="1"/>
  <c r="K74" i="17"/>
  <c r="U74" i="17" s="1"/>
  <c r="V73" i="17"/>
  <c r="S73" i="17"/>
  <c r="O73" i="17"/>
  <c r="Q73" i="17" s="1"/>
  <c r="R73" i="17" s="1"/>
  <c r="K73" i="17"/>
  <c r="U73" i="17" s="1"/>
  <c r="V72" i="17"/>
  <c r="S72" i="17"/>
  <c r="O72" i="17"/>
  <c r="Q72" i="17" s="1"/>
  <c r="R72" i="17" s="1"/>
  <c r="K72" i="17"/>
  <c r="U72" i="17" s="1"/>
  <c r="V71" i="17"/>
  <c r="S71" i="17"/>
  <c r="O71" i="17"/>
  <c r="Q71" i="17" s="1"/>
  <c r="R71" i="17" s="1"/>
  <c r="K71" i="17"/>
  <c r="U71" i="17" s="1"/>
  <c r="V70" i="17"/>
  <c r="S70" i="17"/>
  <c r="O70" i="17"/>
  <c r="Q70" i="17" s="1"/>
  <c r="R70" i="17" s="1"/>
  <c r="K70" i="17"/>
  <c r="U70" i="17" s="1"/>
  <c r="V69" i="17"/>
  <c r="S69" i="17"/>
  <c r="O69" i="17"/>
  <c r="Q69" i="17" s="1"/>
  <c r="R69" i="17" s="1"/>
  <c r="K69" i="17"/>
  <c r="U69" i="17" s="1"/>
  <c r="V68" i="17"/>
  <c r="S68" i="17"/>
  <c r="O68" i="17"/>
  <c r="Q68" i="17" s="1"/>
  <c r="R68" i="17" s="1"/>
  <c r="K68" i="17"/>
  <c r="U68" i="17" s="1"/>
  <c r="V67" i="17"/>
  <c r="S67" i="17"/>
  <c r="O67" i="17"/>
  <c r="Q67" i="17" s="1"/>
  <c r="R67" i="17" s="1"/>
  <c r="K67" i="17"/>
  <c r="U67" i="17" s="1"/>
  <c r="V66" i="17"/>
  <c r="S66" i="17"/>
  <c r="O66" i="17"/>
  <c r="Q66" i="17" s="1"/>
  <c r="R66" i="17" s="1"/>
  <c r="K66" i="17"/>
  <c r="U66" i="17" s="1"/>
  <c r="V65" i="17"/>
  <c r="S65" i="17"/>
  <c r="O65" i="17"/>
  <c r="Q65" i="17" s="1"/>
  <c r="R65" i="17" s="1"/>
  <c r="K65" i="17"/>
  <c r="U65" i="17" s="1"/>
  <c r="V64" i="17"/>
  <c r="S64" i="17"/>
  <c r="O64" i="17"/>
  <c r="Q64" i="17" s="1"/>
  <c r="R64" i="17" s="1"/>
  <c r="K64" i="17"/>
  <c r="U64" i="17" s="1"/>
  <c r="V63" i="17"/>
  <c r="S63" i="17"/>
  <c r="O63" i="17"/>
  <c r="Q63" i="17" s="1"/>
  <c r="R63" i="17" s="1"/>
  <c r="K63" i="17"/>
  <c r="U63" i="17" s="1"/>
  <c r="V62" i="17"/>
  <c r="S62" i="17"/>
  <c r="O62" i="17"/>
  <c r="Q62" i="17" s="1"/>
  <c r="R62" i="17" s="1"/>
  <c r="K62" i="17"/>
  <c r="U62" i="17" s="1"/>
  <c r="V61" i="17"/>
  <c r="S61" i="17"/>
  <c r="O61" i="17"/>
  <c r="Q61" i="17" s="1"/>
  <c r="R61" i="17" s="1"/>
  <c r="K61" i="17"/>
  <c r="U61" i="17" s="1"/>
  <c r="V60" i="17"/>
  <c r="S60" i="17"/>
  <c r="O60" i="17"/>
  <c r="Q60" i="17" s="1"/>
  <c r="R60" i="17" s="1"/>
  <c r="K60" i="17"/>
  <c r="U60" i="17" s="1"/>
  <c r="V59" i="17"/>
  <c r="S59" i="17"/>
  <c r="O59" i="17"/>
  <c r="Q59" i="17" s="1"/>
  <c r="R59" i="17" s="1"/>
  <c r="K59" i="17"/>
  <c r="U59" i="17" s="1"/>
  <c r="V58" i="17"/>
  <c r="S58" i="17"/>
  <c r="O58" i="17"/>
  <c r="Q58" i="17" s="1"/>
  <c r="R58" i="17" s="1"/>
  <c r="K58" i="17"/>
  <c r="U58" i="17" s="1"/>
  <c r="V57" i="17"/>
  <c r="S57" i="17"/>
  <c r="O57" i="17"/>
  <c r="Q57" i="17" s="1"/>
  <c r="R57" i="17" s="1"/>
  <c r="K57" i="17"/>
  <c r="U57" i="17" s="1"/>
  <c r="V56" i="17"/>
  <c r="S56" i="17"/>
  <c r="O56" i="17"/>
  <c r="Q56" i="17" s="1"/>
  <c r="R56" i="17" s="1"/>
  <c r="K56" i="17"/>
  <c r="U56" i="17" s="1"/>
  <c r="V55" i="17"/>
  <c r="S55" i="17"/>
  <c r="O55" i="17"/>
  <c r="Q55" i="17" s="1"/>
  <c r="R55" i="17" s="1"/>
  <c r="K55" i="17"/>
  <c r="U55" i="17" s="1"/>
  <c r="V54" i="17"/>
  <c r="S54" i="17"/>
  <c r="O54" i="17"/>
  <c r="Q54" i="17" s="1"/>
  <c r="R54" i="17" s="1"/>
  <c r="K54" i="17"/>
  <c r="U54" i="17" s="1"/>
  <c r="V53" i="17"/>
  <c r="S53" i="17"/>
  <c r="O53" i="17"/>
  <c r="Q53" i="17" s="1"/>
  <c r="R53" i="17" s="1"/>
  <c r="K53" i="17"/>
  <c r="U53" i="17" s="1"/>
  <c r="V52" i="17"/>
  <c r="S52" i="17"/>
  <c r="O52" i="17"/>
  <c r="Q52" i="17" s="1"/>
  <c r="R52" i="17" s="1"/>
  <c r="K52" i="17"/>
  <c r="U52" i="17" s="1"/>
  <c r="V51" i="17"/>
  <c r="S51" i="17"/>
  <c r="O51" i="17"/>
  <c r="Q51" i="17" s="1"/>
  <c r="R51" i="17" s="1"/>
  <c r="K51" i="17"/>
  <c r="U51" i="17" s="1"/>
  <c r="V50" i="17"/>
  <c r="S50" i="17"/>
  <c r="O50" i="17"/>
  <c r="Q50" i="17" s="1"/>
  <c r="R50" i="17" s="1"/>
  <c r="K50" i="17"/>
  <c r="U50" i="17" s="1"/>
  <c r="V49" i="17"/>
  <c r="S49" i="17"/>
  <c r="O49" i="17"/>
  <c r="Q49" i="17" s="1"/>
  <c r="R49" i="17" s="1"/>
  <c r="K49" i="17"/>
  <c r="U49" i="17" s="1"/>
  <c r="V48" i="17"/>
  <c r="S48" i="17"/>
  <c r="O48" i="17"/>
  <c r="Q48" i="17" s="1"/>
  <c r="R48" i="17" s="1"/>
  <c r="K48" i="17"/>
  <c r="U48" i="17" s="1"/>
  <c r="V47" i="17"/>
  <c r="S47" i="17"/>
  <c r="O47" i="17"/>
  <c r="Q47" i="17" s="1"/>
  <c r="R47" i="17" s="1"/>
  <c r="K47" i="17"/>
  <c r="U47" i="17" s="1"/>
  <c r="V46" i="17"/>
  <c r="S46" i="17"/>
  <c r="O46" i="17"/>
  <c r="Q46" i="17" s="1"/>
  <c r="R46" i="17" s="1"/>
  <c r="K46" i="17"/>
  <c r="U46" i="17" s="1"/>
  <c r="V45" i="17"/>
  <c r="S45" i="17"/>
  <c r="O45" i="17"/>
  <c r="Q45" i="17" s="1"/>
  <c r="R45" i="17" s="1"/>
  <c r="K45" i="17"/>
  <c r="U45" i="17" s="1"/>
  <c r="V44" i="17"/>
  <c r="S44" i="17"/>
  <c r="O44" i="17"/>
  <c r="Q44" i="17" s="1"/>
  <c r="R44" i="17" s="1"/>
  <c r="K44" i="17"/>
  <c r="U44" i="17" s="1"/>
  <c r="V43" i="17"/>
  <c r="S43" i="17"/>
  <c r="O43" i="17"/>
  <c r="Q43" i="17" s="1"/>
  <c r="R43" i="17" s="1"/>
  <c r="K43" i="17"/>
  <c r="U43" i="17" s="1"/>
  <c r="V42" i="17"/>
  <c r="U42" i="17"/>
  <c r="S42" i="17"/>
  <c r="O42" i="17"/>
  <c r="Q42" i="17" s="1"/>
  <c r="R42" i="17" s="1"/>
  <c r="K42" i="17"/>
  <c r="V41" i="17"/>
  <c r="S41" i="17"/>
  <c r="O41" i="17"/>
  <c r="Q41" i="17" s="1"/>
  <c r="R41" i="17" s="1"/>
  <c r="K41" i="17"/>
  <c r="U41" i="17" s="1"/>
  <c r="V40" i="17"/>
  <c r="S40" i="17"/>
  <c r="O40" i="17"/>
  <c r="Q40" i="17" s="1"/>
  <c r="R40" i="17" s="1"/>
  <c r="K40" i="17"/>
  <c r="U40" i="17" s="1"/>
  <c r="V39" i="17"/>
  <c r="S39" i="17"/>
  <c r="O39" i="17"/>
  <c r="Q39" i="17" s="1"/>
  <c r="R39" i="17" s="1"/>
  <c r="K39" i="17"/>
  <c r="U39" i="17" s="1"/>
  <c r="V38" i="17"/>
  <c r="S38" i="17"/>
  <c r="O38" i="17"/>
  <c r="Q38" i="17" s="1"/>
  <c r="R38" i="17" s="1"/>
  <c r="K38" i="17"/>
  <c r="U38" i="17" s="1"/>
  <c r="V37" i="17"/>
  <c r="S37" i="17"/>
  <c r="O37" i="17"/>
  <c r="Q37" i="17" s="1"/>
  <c r="R37" i="17" s="1"/>
  <c r="K37" i="17"/>
  <c r="U37" i="17" s="1"/>
  <c r="V36" i="17"/>
  <c r="S36" i="17"/>
  <c r="O36" i="17"/>
  <c r="Q36" i="17" s="1"/>
  <c r="R36" i="17" s="1"/>
  <c r="K36" i="17"/>
  <c r="U36" i="17" s="1"/>
  <c r="V35" i="17"/>
  <c r="S35" i="17"/>
  <c r="O35" i="17"/>
  <c r="Q35" i="17" s="1"/>
  <c r="R35" i="17" s="1"/>
  <c r="K35" i="17"/>
  <c r="U35" i="17" s="1"/>
  <c r="V34" i="17"/>
  <c r="S34" i="17"/>
  <c r="O34" i="17"/>
  <c r="Q34" i="17" s="1"/>
  <c r="R34" i="17" s="1"/>
  <c r="K34" i="17"/>
  <c r="U34" i="17" s="1"/>
  <c r="V33" i="17"/>
  <c r="S33" i="17"/>
  <c r="O33" i="17"/>
  <c r="Q33" i="17" s="1"/>
  <c r="R33" i="17" s="1"/>
  <c r="K33" i="17"/>
  <c r="U33" i="17" s="1"/>
  <c r="V32" i="17"/>
  <c r="S32" i="17"/>
  <c r="O32" i="17"/>
  <c r="Q32" i="17" s="1"/>
  <c r="R32" i="17" s="1"/>
  <c r="K32" i="17"/>
  <c r="U32" i="17" s="1"/>
  <c r="V31" i="17"/>
  <c r="S31" i="17"/>
  <c r="O31" i="17"/>
  <c r="Q31" i="17" s="1"/>
  <c r="R31" i="17" s="1"/>
  <c r="K31" i="17"/>
  <c r="U31" i="17" s="1"/>
  <c r="V30" i="17"/>
  <c r="S30" i="17"/>
  <c r="O30" i="17"/>
  <c r="Q30" i="17" s="1"/>
  <c r="R30" i="17" s="1"/>
  <c r="K30" i="17"/>
  <c r="U30" i="17" s="1"/>
  <c r="V29" i="17"/>
  <c r="S29" i="17"/>
  <c r="O29" i="17"/>
  <c r="Q29" i="17" s="1"/>
  <c r="R29" i="17" s="1"/>
  <c r="K29" i="17"/>
  <c r="U29" i="17" s="1"/>
  <c r="V28" i="17"/>
  <c r="S28" i="17"/>
  <c r="O28" i="17"/>
  <c r="Q28" i="17" s="1"/>
  <c r="R28" i="17" s="1"/>
  <c r="K28" i="17"/>
  <c r="U28" i="17" s="1"/>
  <c r="V27" i="17"/>
  <c r="S27" i="17"/>
  <c r="O27" i="17"/>
  <c r="Q27" i="17" s="1"/>
  <c r="R27" i="17" s="1"/>
  <c r="K27" i="17"/>
  <c r="U27" i="17" s="1"/>
  <c r="V26" i="17"/>
  <c r="S26" i="17"/>
  <c r="O26" i="17"/>
  <c r="Q26" i="17" s="1"/>
  <c r="R26" i="17" s="1"/>
  <c r="K26" i="17"/>
  <c r="U26" i="17" s="1"/>
  <c r="V25" i="17"/>
  <c r="S25" i="17"/>
  <c r="O25" i="17"/>
  <c r="Q25" i="17" s="1"/>
  <c r="R25" i="17" s="1"/>
  <c r="K25" i="17"/>
  <c r="U25" i="17" s="1"/>
  <c r="V24" i="17"/>
  <c r="S24" i="17"/>
  <c r="O24" i="17"/>
  <c r="Q24" i="17" s="1"/>
  <c r="R24" i="17" s="1"/>
  <c r="K24" i="17"/>
  <c r="U24" i="17" s="1"/>
  <c r="V23" i="17"/>
  <c r="S23" i="17"/>
  <c r="O23" i="17"/>
  <c r="Q23" i="17" s="1"/>
  <c r="R23" i="17" s="1"/>
  <c r="K23" i="17"/>
  <c r="U23" i="17" s="1"/>
  <c r="V22" i="17"/>
  <c r="S22" i="17"/>
  <c r="O22" i="17"/>
  <c r="Q22" i="17" s="1"/>
  <c r="R22" i="17" s="1"/>
  <c r="K22" i="17"/>
  <c r="U22" i="17" s="1"/>
  <c r="V21" i="17"/>
  <c r="S21" i="17"/>
  <c r="O21" i="17"/>
  <c r="Q21" i="17" s="1"/>
  <c r="R21" i="17" s="1"/>
  <c r="K21" i="17"/>
  <c r="U21" i="17" s="1"/>
  <c r="V20" i="17"/>
  <c r="S20" i="17"/>
  <c r="O20" i="17"/>
  <c r="Q20" i="17" s="1"/>
  <c r="R20" i="17" s="1"/>
  <c r="K20" i="17"/>
  <c r="U20" i="17" s="1"/>
  <c r="V19" i="17"/>
  <c r="S19" i="17"/>
  <c r="O19" i="17"/>
  <c r="Q19" i="17" s="1"/>
  <c r="R19" i="17" s="1"/>
  <c r="K19" i="17"/>
  <c r="U19" i="17" s="1"/>
  <c r="V18" i="17"/>
  <c r="S18" i="17"/>
  <c r="O18" i="17"/>
  <c r="Q18" i="17" s="1"/>
  <c r="R18" i="17" s="1"/>
  <c r="K18" i="17"/>
  <c r="U18" i="17" s="1"/>
  <c r="V17" i="17"/>
  <c r="S17" i="17"/>
  <c r="O17" i="17"/>
  <c r="Q17" i="17" s="1"/>
  <c r="R17" i="17" s="1"/>
  <c r="K17" i="17"/>
  <c r="U17" i="17" s="1"/>
  <c r="V16" i="17"/>
  <c r="S16" i="17"/>
  <c r="O16" i="17"/>
  <c r="Q16" i="17" s="1"/>
  <c r="R16" i="17" s="1"/>
  <c r="K16" i="17"/>
  <c r="U16" i="17" s="1"/>
  <c r="V15" i="17"/>
  <c r="S15" i="17"/>
  <c r="O15" i="17"/>
  <c r="Q15" i="17" s="1"/>
  <c r="R15" i="17" s="1"/>
  <c r="K15" i="17"/>
  <c r="U15" i="17" s="1"/>
  <c r="V14" i="17"/>
  <c r="S14" i="17"/>
  <c r="O14" i="17"/>
  <c r="Q14" i="17" s="1"/>
  <c r="R14" i="17" s="1"/>
  <c r="K14" i="17"/>
  <c r="U14" i="17" s="1"/>
  <c r="V13" i="17"/>
  <c r="S13" i="17"/>
  <c r="O13" i="17"/>
  <c r="Q13" i="17" s="1"/>
  <c r="R13" i="17" s="1"/>
  <c r="K13" i="17"/>
  <c r="U13" i="17" s="1"/>
  <c r="V12" i="17"/>
  <c r="S12" i="17"/>
  <c r="O12" i="17"/>
  <c r="Q12" i="17" s="1"/>
  <c r="R12" i="17" s="1"/>
  <c r="K12" i="17"/>
  <c r="U12" i="17" s="1"/>
  <c r="V11" i="17"/>
  <c r="S11" i="17"/>
  <c r="O11" i="17"/>
  <c r="Q11" i="17" s="1"/>
  <c r="R11" i="17" s="1"/>
  <c r="K11" i="17"/>
  <c r="U11" i="17" s="1"/>
  <c r="V10" i="17"/>
  <c r="S10" i="17"/>
  <c r="O10" i="17"/>
  <c r="Q10" i="17" s="1"/>
  <c r="R10" i="17" s="1"/>
  <c r="K10" i="17"/>
  <c r="U10" i="17" s="1"/>
  <c r="V9" i="17"/>
  <c r="S9" i="17"/>
  <c r="O9" i="17"/>
  <c r="Q9" i="17" s="1"/>
  <c r="R9" i="17" s="1"/>
  <c r="K9" i="17"/>
  <c r="U9" i="17" s="1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V8" i="17"/>
  <c r="S8" i="17"/>
  <c r="O8" i="17"/>
  <c r="Q8" i="17" s="1"/>
  <c r="R8" i="17" s="1"/>
  <c r="K8" i="17"/>
  <c r="A3" i="17"/>
  <c r="V307" i="16"/>
  <c r="O307" i="16"/>
  <c r="Q307" i="16" s="1"/>
  <c r="R307" i="16" s="1"/>
  <c r="K307" i="16"/>
  <c r="V306" i="16"/>
  <c r="O306" i="16"/>
  <c r="Q306" i="16" s="1"/>
  <c r="R306" i="16" s="1"/>
  <c r="K306" i="16"/>
  <c r="V305" i="16"/>
  <c r="O305" i="16"/>
  <c r="Q305" i="16" s="1"/>
  <c r="R305" i="16" s="1"/>
  <c r="K305" i="16"/>
  <c r="V304" i="16"/>
  <c r="O304" i="16"/>
  <c r="Q304" i="16" s="1"/>
  <c r="R304" i="16" s="1"/>
  <c r="K304" i="16"/>
  <c r="V303" i="16"/>
  <c r="O303" i="16"/>
  <c r="Q303" i="16" s="1"/>
  <c r="R303" i="16" s="1"/>
  <c r="K303" i="16"/>
  <c r="V302" i="16"/>
  <c r="O302" i="16"/>
  <c r="Q302" i="16" s="1"/>
  <c r="R302" i="16" s="1"/>
  <c r="K302" i="16"/>
  <c r="V301" i="16"/>
  <c r="O301" i="16"/>
  <c r="Q301" i="16" s="1"/>
  <c r="R301" i="16" s="1"/>
  <c r="K301" i="16"/>
  <c r="V300" i="16"/>
  <c r="O300" i="16"/>
  <c r="Q300" i="16" s="1"/>
  <c r="R300" i="16" s="1"/>
  <c r="K300" i="16"/>
  <c r="V299" i="16"/>
  <c r="O299" i="16"/>
  <c r="Q299" i="16" s="1"/>
  <c r="R299" i="16" s="1"/>
  <c r="K299" i="16"/>
  <c r="V298" i="16"/>
  <c r="O298" i="16"/>
  <c r="Q298" i="16" s="1"/>
  <c r="R298" i="16" s="1"/>
  <c r="K298" i="16"/>
  <c r="V297" i="16"/>
  <c r="O297" i="16"/>
  <c r="Q297" i="16" s="1"/>
  <c r="R297" i="16" s="1"/>
  <c r="K297" i="16"/>
  <c r="V296" i="16"/>
  <c r="O296" i="16"/>
  <c r="Q296" i="16" s="1"/>
  <c r="R296" i="16" s="1"/>
  <c r="K296" i="16"/>
  <c r="V295" i="16"/>
  <c r="O295" i="16"/>
  <c r="Q295" i="16" s="1"/>
  <c r="R295" i="16" s="1"/>
  <c r="K295" i="16"/>
  <c r="N295" i="16" s="1"/>
  <c r="V294" i="16"/>
  <c r="O294" i="16"/>
  <c r="Q294" i="16" s="1"/>
  <c r="R294" i="16" s="1"/>
  <c r="K294" i="16"/>
  <c r="N294" i="16" s="1"/>
  <c r="V293" i="16"/>
  <c r="O293" i="16"/>
  <c r="Q293" i="16" s="1"/>
  <c r="R293" i="16" s="1"/>
  <c r="K293" i="16"/>
  <c r="V292" i="16"/>
  <c r="O292" i="16"/>
  <c r="Q292" i="16" s="1"/>
  <c r="R292" i="16" s="1"/>
  <c r="K292" i="16"/>
  <c r="N292" i="16" s="1"/>
  <c r="V291" i="16"/>
  <c r="O291" i="16"/>
  <c r="Q291" i="16" s="1"/>
  <c r="R291" i="16" s="1"/>
  <c r="K291" i="16"/>
  <c r="V290" i="16"/>
  <c r="O290" i="16"/>
  <c r="Q290" i="16" s="1"/>
  <c r="R290" i="16" s="1"/>
  <c r="K290" i="16"/>
  <c r="N290" i="16" s="1"/>
  <c r="V289" i="16"/>
  <c r="O289" i="16"/>
  <c r="Q289" i="16" s="1"/>
  <c r="R289" i="16" s="1"/>
  <c r="K289" i="16"/>
  <c r="N289" i="16" s="1"/>
  <c r="V288" i="16"/>
  <c r="O288" i="16"/>
  <c r="Q288" i="16" s="1"/>
  <c r="R288" i="16" s="1"/>
  <c r="K288" i="16"/>
  <c r="V287" i="16"/>
  <c r="O287" i="16"/>
  <c r="Q287" i="16" s="1"/>
  <c r="R287" i="16" s="1"/>
  <c r="K287" i="16"/>
  <c r="V286" i="16"/>
  <c r="O286" i="16"/>
  <c r="Q286" i="16" s="1"/>
  <c r="R286" i="16" s="1"/>
  <c r="K286" i="16"/>
  <c r="N286" i="16" s="1"/>
  <c r="O285" i="16"/>
  <c r="Q285" i="16" s="1"/>
  <c r="R285" i="16" s="1"/>
  <c r="J12" i="9"/>
  <c r="H285" i="16"/>
  <c r="K285" i="16" s="1"/>
  <c r="V284" i="16"/>
  <c r="O284" i="16"/>
  <c r="Q284" i="16" s="1"/>
  <c r="R284" i="16" s="1"/>
  <c r="K284" i="16"/>
  <c r="V283" i="16"/>
  <c r="O283" i="16"/>
  <c r="Q283" i="16" s="1"/>
  <c r="R283" i="16" s="1"/>
  <c r="K283" i="16"/>
  <c r="N283" i="16" s="1"/>
  <c r="V282" i="16"/>
  <c r="O282" i="16"/>
  <c r="Q282" i="16" s="1"/>
  <c r="R282" i="16" s="1"/>
  <c r="K282" i="16"/>
  <c r="N282" i="16" s="1"/>
  <c r="V281" i="16"/>
  <c r="O281" i="16"/>
  <c r="Q281" i="16" s="1"/>
  <c r="R281" i="16" s="1"/>
  <c r="K281" i="16"/>
  <c r="N281" i="16" s="1"/>
  <c r="V280" i="16"/>
  <c r="O280" i="16"/>
  <c r="Q280" i="16" s="1"/>
  <c r="R280" i="16" s="1"/>
  <c r="K280" i="16"/>
  <c r="V279" i="16"/>
  <c r="O279" i="16"/>
  <c r="Q279" i="16" s="1"/>
  <c r="R279" i="16" s="1"/>
  <c r="K279" i="16"/>
  <c r="N279" i="16" s="1"/>
  <c r="V278" i="16"/>
  <c r="O278" i="16"/>
  <c r="Q278" i="16" s="1"/>
  <c r="R278" i="16" s="1"/>
  <c r="K278" i="16"/>
  <c r="V277" i="16"/>
  <c r="O277" i="16"/>
  <c r="Q277" i="16" s="1"/>
  <c r="R277" i="16" s="1"/>
  <c r="K277" i="16"/>
  <c r="N277" i="16" s="1"/>
  <c r="U277" i="16" s="1"/>
  <c r="V276" i="16"/>
  <c r="O276" i="16"/>
  <c r="Q276" i="16" s="1"/>
  <c r="R276" i="16" s="1"/>
  <c r="K276" i="16"/>
  <c r="N276" i="16" s="1"/>
  <c r="U276" i="16" s="1"/>
  <c r="V275" i="16"/>
  <c r="O275" i="16"/>
  <c r="Q275" i="16" s="1"/>
  <c r="R275" i="16" s="1"/>
  <c r="K275" i="16"/>
  <c r="N275" i="16" s="1"/>
  <c r="U275" i="16" s="1"/>
  <c r="V274" i="16"/>
  <c r="O274" i="16"/>
  <c r="Q274" i="16" s="1"/>
  <c r="R274" i="16" s="1"/>
  <c r="K274" i="16"/>
  <c r="N274" i="16" s="1"/>
  <c r="U274" i="16" s="1"/>
  <c r="V273" i="16"/>
  <c r="O273" i="16"/>
  <c r="Q273" i="16" s="1"/>
  <c r="R273" i="16" s="1"/>
  <c r="K273" i="16"/>
  <c r="N273" i="16" s="1"/>
  <c r="U273" i="16" s="1"/>
  <c r="V272" i="16"/>
  <c r="O272" i="16"/>
  <c r="Q272" i="16" s="1"/>
  <c r="R272" i="16" s="1"/>
  <c r="K272" i="16"/>
  <c r="N272" i="16" s="1"/>
  <c r="U272" i="16" s="1"/>
  <c r="V271" i="16"/>
  <c r="O271" i="16"/>
  <c r="Q271" i="16" s="1"/>
  <c r="R271" i="16" s="1"/>
  <c r="K271" i="16"/>
  <c r="V270" i="16"/>
  <c r="O270" i="16"/>
  <c r="Q270" i="16" s="1"/>
  <c r="R270" i="16" s="1"/>
  <c r="K270" i="16"/>
  <c r="V269" i="16"/>
  <c r="O269" i="16"/>
  <c r="Q269" i="16" s="1"/>
  <c r="R269" i="16" s="1"/>
  <c r="K269" i="16"/>
  <c r="V268" i="16"/>
  <c r="O268" i="16"/>
  <c r="Q268" i="16" s="1"/>
  <c r="R268" i="16" s="1"/>
  <c r="K268" i="16"/>
  <c r="N268" i="16" s="1"/>
  <c r="U268" i="16" s="1"/>
  <c r="V267" i="16"/>
  <c r="O267" i="16"/>
  <c r="Q267" i="16" s="1"/>
  <c r="R267" i="16" s="1"/>
  <c r="K267" i="16"/>
  <c r="N267" i="16" s="1"/>
  <c r="U267" i="16" s="1"/>
  <c r="V266" i="16"/>
  <c r="O266" i="16"/>
  <c r="Q266" i="16" s="1"/>
  <c r="R266" i="16" s="1"/>
  <c r="K266" i="16"/>
  <c r="V265" i="16"/>
  <c r="O265" i="16"/>
  <c r="Q265" i="16" s="1"/>
  <c r="R265" i="16" s="1"/>
  <c r="K265" i="16"/>
  <c r="N265" i="16" s="1"/>
  <c r="U265" i="16" s="1"/>
  <c r="V264" i="16"/>
  <c r="O264" i="16"/>
  <c r="Q264" i="16" s="1"/>
  <c r="R264" i="16" s="1"/>
  <c r="K264" i="16"/>
  <c r="N264" i="16" s="1"/>
  <c r="V263" i="16"/>
  <c r="O263" i="16"/>
  <c r="Q263" i="16" s="1"/>
  <c r="R263" i="16" s="1"/>
  <c r="K263" i="16"/>
  <c r="N263" i="16" s="1"/>
  <c r="U263" i="16" s="1"/>
  <c r="V262" i="16"/>
  <c r="O262" i="16"/>
  <c r="Q262" i="16" s="1"/>
  <c r="R262" i="16" s="1"/>
  <c r="K262" i="16"/>
  <c r="N262" i="16" s="1"/>
  <c r="U262" i="16" s="1"/>
  <c r="V261" i="16"/>
  <c r="O261" i="16"/>
  <c r="Q261" i="16" s="1"/>
  <c r="R261" i="16" s="1"/>
  <c r="K261" i="16"/>
  <c r="N261" i="16" s="1"/>
  <c r="U261" i="16" s="1"/>
  <c r="V260" i="16"/>
  <c r="O260" i="16"/>
  <c r="Q260" i="16" s="1"/>
  <c r="R260" i="16" s="1"/>
  <c r="K260" i="16"/>
  <c r="N260" i="16" s="1"/>
  <c r="U260" i="16" s="1"/>
  <c r="V259" i="16"/>
  <c r="O259" i="16"/>
  <c r="Q259" i="16" s="1"/>
  <c r="R259" i="16" s="1"/>
  <c r="K259" i="16"/>
  <c r="N259" i="16" s="1"/>
  <c r="U259" i="16" s="1"/>
  <c r="V258" i="16"/>
  <c r="O258" i="16"/>
  <c r="Q258" i="16" s="1"/>
  <c r="R258" i="16" s="1"/>
  <c r="K258" i="16"/>
  <c r="V257" i="16"/>
  <c r="O257" i="16"/>
  <c r="Q257" i="16" s="1"/>
  <c r="R257" i="16" s="1"/>
  <c r="K257" i="16"/>
  <c r="N257" i="16" s="1"/>
  <c r="U257" i="16" s="1"/>
  <c r="V256" i="16"/>
  <c r="O256" i="16"/>
  <c r="Q256" i="16" s="1"/>
  <c r="R256" i="16" s="1"/>
  <c r="K256" i="16"/>
  <c r="V255" i="16"/>
  <c r="O255" i="16"/>
  <c r="Q255" i="16" s="1"/>
  <c r="R255" i="16" s="1"/>
  <c r="K255" i="16"/>
  <c r="V254" i="16"/>
  <c r="O254" i="16"/>
  <c r="Q254" i="16" s="1"/>
  <c r="R254" i="16" s="1"/>
  <c r="K254" i="16"/>
  <c r="N254" i="16" s="1"/>
  <c r="U254" i="16" s="1"/>
  <c r="V253" i="16"/>
  <c r="O253" i="16"/>
  <c r="Q253" i="16" s="1"/>
  <c r="R253" i="16" s="1"/>
  <c r="K253" i="16"/>
  <c r="N253" i="16" s="1"/>
  <c r="U253" i="16" s="1"/>
  <c r="V252" i="16"/>
  <c r="O252" i="16"/>
  <c r="Q252" i="16" s="1"/>
  <c r="R252" i="16" s="1"/>
  <c r="K252" i="16"/>
  <c r="N252" i="16" s="1"/>
  <c r="V251" i="16"/>
  <c r="O251" i="16"/>
  <c r="Q251" i="16" s="1"/>
  <c r="R251" i="16" s="1"/>
  <c r="K251" i="16"/>
  <c r="N251" i="16" s="1"/>
  <c r="U251" i="16" s="1"/>
  <c r="V250" i="16"/>
  <c r="O250" i="16"/>
  <c r="Q250" i="16" s="1"/>
  <c r="R250" i="16" s="1"/>
  <c r="K250" i="16"/>
  <c r="N250" i="16" s="1"/>
  <c r="U250" i="16" s="1"/>
  <c r="V249" i="16"/>
  <c r="O249" i="16"/>
  <c r="Q249" i="16" s="1"/>
  <c r="R249" i="16" s="1"/>
  <c r="K249" i="16"/>
  <c r="V248" i="16"/>
  <c r="O248" i="16"/>
  <c r="Q248" i="16" s="1"/>
  <c r="R248" i="16" s="1"/>
  <c r="K248" i="16"/>
  <c r="N248" i="16" s="1"/>
  <c r="U248" i="16" s="1"/>
  <c r="V247" i="16"/>
  <c r="O247" i="16"/>
  <c r="Q247" i="16" s="1"/>
  <c r="R247" i="16" s="1"/>
  <c r="K247" i="16"/>
  <c r="N247" i="16" s="1"/>
  <c r="U247" i="16" s="1"/>
  <c r="V246" i="16"/>
  <c r="O246" i="16"/>
  <c r="Q246" i="16" s="1"/>
  <c r="R246" i="16" s="1"/>
  <c r="K246" i="16"/>
  <c r="N246" i="16" s="1"/>
  <c r="U246" i="16" s="1"/>
  <c r="V245" i="16"/>
  <c r="O245" i="16"/>
  <c r="Q245" i="16" s="1"/>
  <c r="R245" i="16" s="1"/>
  <c r="K245" i="16"/>
  <c r="N245" i="16" s="1"/>
  <c r="U245" i="16" s="1"/>
  <c r="V244" i="16"/>
  <c r="O244" i="16"/>
  <c r="Q244" i="16" s="1"/>
  <c r="R244" i="16" s="1"/>
  <c r="K244" i="16"/>
  <c r="N244" i="16" s="1"/>
  <c r="U244" i="16" s="1"/>
  <c r="V243" i="16"/>
  <c r="O243" i="16"/>
  <c r="Q243" i="16" s="1"/>
  <c r="R243" i="16" s="1"/>
  <c r="K243" i="16"/>
  <c r="V242" i="16"/>
  <c r="O242" i="16"/>
  <c r="Q242" i="16" s="1"/>
  <c r="R242" i="16" s="1"/>
  <c r="K242" i="16"/>
  <c r="N242" i="16" s="1"/>
  <c r="U242" i="16" s="1"/>
  <c r="V241" i="16"/>
  <c r="O241" i="16"/>
  <c r="Q241" i="16" s="1"/>
  <c r="R241" i="16" s="1"/>
  <c r="K241" i="16"/>
  <c r="V240" i="16"/>
  <c r="O240" i="16"/>
  <c r="Q240" i="16" s="1"/>
  <c r="R240" i="16" s="1"/>
  <c r="K240" i="16"/>
  <c r="V239" i="16"/>
  <c r="O239" i="16"/>
  <c r="Q239" i="16" s="1"/>
  <c r="R239" i="16" s="1"/>
  <c r="K239" i="16"/>
  <c r="V238" i="16"/>
  <c r="O238" i="16"/>
  <c r="Q238" i="16" s="1"/>
  <c r="R238" i="16" s="1"/>
  <c r="K238" i="16"/>
  <c r="N238" i="16" s="1"/>
  <c r="U238" i="16" s="1"/>
  <c r="V237" i="16"/>
  <c r="O237" i="16"/>
  <c r="Q237" i="16" s="1"/>
  <c r="R237" i="16" s="1"/>
  <c r="K237" i="16"/>
  <c r="N237" i="16" s="1"/>
  <c r="U237" i="16" s="1"/>
  <c r="V236" i="16"/>
  <c r="O236" i="16"/>
  <c r="Q236" i="16" s="1"/>
  <c r="R236" i="16" s="1"/>
  <c r="K236" i="16"/>
  <c r="N236" i="16" s="1"/>
  <c r="V235" i="16"/>
  <c r="O235" i="16"/>
  <c r="Q235" i="16" s="1"/>
  <c r="R235" i="16" s="1"/>
  <c r="K235" i="16"/>
  <c r="N235" i="16" s="1"/>
  <c r="V234" i="16"/>
  <c r="O234" i="16"/>
  <c r="Q234" i="16" s="1"/>
  <c r="R234" i="16" s="1"/>
  <c r="K234" i="16"/>
  <c r="N234" i="16" s="1"/>
  <c r="U234" i="16" s="1"/>
  <c r="V233" i="16"/>
  <c r="O233" i="16"/>
  <c r="Q233" i="16" s="1"/>
  <c r="R233" i="16" s="1"/>
  <c r="K233" i="16"/>
  <c r="V232" i="16"/>
  <c r="O232" i="16"/>
  <c r="Q232" i="16" s="1"/>
  <c r="R232" i="16" s="1"/>
  <c r="K232" i="16"/>
  <c r="N232" i="16" s="1"/>
  <c r="U232" i="16" s="1"/>
  <c r="V231" i="16"/>
  <c r="O231" i="16"/>
  <c r="Q231" i="16" s="1"/>
  <c r="R231" i="16" s="1"/>
  <c r="K231" i="16"/>
  <c r="N231" i="16" s="1"/>
  <c r="U231" i="16" s="1"/>
  <c r="V230" i="16"/>
  <c r="S230" i="16"/>
  <c r="O230" i="16"/>
  <c r="Q230" i="16" s="1"/>
  <c r="R230" i="16" s="1"/>
  <c r="K230" i="16"/>
  <c r="N230" i="16" s="1"/>
  <c r="U230" i="16" s="1"/>
  <c r="V229" i="16"/>
  <c r="S229" i="16"/>
  <c r="O229" i="16"/>
  <c r="Q229" i="16" s="1"/>
  <c r="R229" i="16" s="1"/>
  <c r="K229" i="16"/>
  <c r="N229" i="16" s="1"/>
  <c r="U229" i="16" s="1"/>
  <c r="V228" i="16"/>
  <c r="S228" i="16"/>
  <c r="O228" i="16"/>
  <c r="Q228" i="16" s="1"/>
  <c r="R228" i="16" s="1"/>
  <c r="K228" i="16"/>
  <c r="N228" i="16" s="1"/>
  <c r="U228" i="16" s="1"/>
  <c r="V227" i="16"/>
  <c r="S227" i="16"/>
  <c r="O227" i="16"/>
  <c r="Q227" i="16" s="1"/>
  <c r="R227" i="16" s="1"/>
  <c r="K227" i="16"/>
  <c r="N227" i="16" s="1"/>
  <c r="U227" i="16" s="1"/>
  <c r="V226" i="16"/>
  <c r="S226" i="16"/>
  <c r="O226" i="16"/>
  <c r="Q226" i="16" s="1"/>
  <c r="R226" i="16" s="1"/>
  <c r="K226" i="16"/>
  <c r="N226" i="16" s="1"/>
  <c r="U226" i="16" s="1"/>
  <c r="V225" i="16"/>
  <c r="S225" i="16"/>
  <c r="O225" i="16"/>
  <c r="Q225" i="16" s="1"/>
  <c r="R225" i="16" s="1"/>
  <c r="K225" i="16"/>
  <c r="N225" i="16" s="1"/>
  <c r="U225" i="16" s="1"/>
  <c r="V224" i="16"/>
  <c r="S224" i="16"/>
  <c r="O224" i="16"/>
  <c r="Q224" i="16" s="1"/>
  <c r="R224" i="16" s="1"/>
  <c r="K224" i="16"/>
  <c r="N224" i="16" s="1"/>
  <c r="U224" i="16" s="1"/>
  <c r="V223" i="16"/>
  <c r="S223" i="16"/>
  <c r="O223" i="16"/>
  <c r="Q223" i="16" s="1"/>
  <c r="R223" i="16" s="1"/>
  <c r="K223" i="16"/>
  <c r="N223" i="16" s="1"/>
  <c r="U223" i="16" s="1"/>
  <c r="V222" i="16"/>
  <c r="S222" i="16"/>
  <c r="O222" i="16"/>
  <c r="Q222" i="16" s="1"/>
  <c r="R222" i="16" s="1"/>
  <c r="K222" i="16"/>
  <c r="N222" i="16" s="1"/>
  <c r="U222" i="16" s="1"/>
  <c r="V221" i="16"/>
  <c r="S221" i="16"/>
  <c r="O221" i="16"/>
  <c r="Q221" i="16" s="1"/>
  <c r="R221" i="16" s="1"/>
  <c r="K221" i="16"/>
  <c r="N221" i="16" s="1"/>
  <c r="U221" i="16" s="1"/>
  <c r="V220" i="16"/>
  <c r="S220" i="16"/>
  <c r="O220" i="16"/>
  <c r="Q220" i="16" s="1"/>
  <c r="R220" i="16" s="1"/>
  <c r="K220" i="16"/>
  <c r="N220" i="16" s="1"/>
  <c r="U220" i="16" s="1"/>
  <c r="V219" i="16"/>
  <c r="S219" i="16"/>
  <c r="O219" i="16"/>
  <c r="Q219" i="16" s="1"/>
  <c r="R219" i="16" s="1"/>
  <c r="K219" i="16"/>
  <c r="N219" i="16" s="1"/>
  <c r="U219" i="16" s="1"/>
  <c r="V218" i="16"/>
  <c r="S218" i="16"/>
  <c r="O218" i="16"/>
  <c r="Q218" i="16" s="1"/>
  <c r="R218" i="16" s="1"/>
  <c r="K218" i="16"/>
  <c r="N218" i="16" s="1"/>
  <c r="U218" i="16" s="1"/>
  <c r="V217" i="16"/>
  <c r="S217" i="16"/>
  <c r="O217" i="16"/>
  <c r="Q217" i="16" s="1"/>
  <c r="R217" i="16" s="1"/>
  <c r="K217" i="16"/>
  <c r="N217" i="16" s="1"/>
  <c r="U217" i="16" s="1"/>
  <c r="V216" i="16"/>
  <c r="S216" i="16"/>
  <c r="O216" i="16"/>
  <c r="Q216" i="16" s="1"/>
  <c r="R216" i="16" s="1"/>
  <c r="K216" i="16"/>
  <c r="N216" i="16" s="1"/>
  <c r="U216" i="16" s="1"/>
  <c r="V215" i="16"/>
  <c r="S215" i="16"/>
  <c r="O215" i="16"/>
  <c r="Q215" i="16" s="1"/>
  <c r="R215" i="16" s="1"/>
  <c r="K215" i="16"/>
  <c r="N215" i="16" s="1"/>
  <c r="U215" i="16" s="1"/>
  <c r="V214" i="16"/>
  <c r="S214" i="16"/>
  <c r="O214" i="16"/>
  <c r="Q214" i="16" s="1"/>
  <c r="R214" i="16" s="1"/>
  <c r="K214" i="16"/>
  <c r="N214" i="16" s="1"/>
  <c r="U214" i="16" s="1"/>
  <c r="V213" i="16"/>
  <c r="S213" i="16"/>
  <c r="O213" i="16"/>
  <c r="Q213" i="16" s="1"/>
  <c r="R213" i="16" s="1"/>
  <c r="K213" i="16"/>
  <c r="N213" i="16" s="1"/>
  <c r="U213" i="16" s="1"/>
  <c r="S212" i="16"/>
  <c r="O212" i="16"/>
  <c r="Q212" i="16" s="1"/>
  <c r="R212" i="16" s="1"/>
  <c r="H212" i="16"/>
  <c r="V211" i="16"/>
  <c r="S211" i="16"/>
  <c r="O211" i="16"/>
  <c r="Q211" i="16" s="1"/>
  <c r="R211" i="16" s="1"/>
  <c r="K211" i="16"/>
  <c r="N211" i="16" s="1"/>
  <c r="U211" i="16" s="1"/>
  <c r="V210" i="16"/>
  <c r="S210" i="16"/>
  <c r="O210" i="16"/>
  <c r="Q210" i="16" s="1"/>
  <c r="R210" i="16" s="1"/>
  <c r="K210" i="16"/>
  <c r="N210" i="16" s="1"/>
  <c r="U210" i="16" s="1"/>
  <c r="V209" i="16"/>
  <c r="S209" i="16"/>
  <c r="O209" i="16"/>
  <c r="Q209" i="16" s="1"/>
  <c r="R209" i="16" s="1"/>
  <c r="K209" i="16"/>
  <c r="N209" i="16" s="1"/>
  <c r="U209" i="16" s="1"/>
  <c r="V208" i="16"/>
  <c r="S208" i="16"/>
  <c r="O208" i="16"/>
  <c r="Q208" i="16" s="1"/>
  <c r="R208" i="16" s="1"/>
  <c r="K208" i="16"/>
  <c r="N208" i="16" s="1"/>
  <c r="U208" i="16" s="1"/>
  <c r="V207" i="16"/>
  <c r="S207" i="16"/>
  <c r="O207" i="16"/>
  <c r="Q207" i="16" s="1"/>
  <c r="R207" i="16" s="1"/>
  <c r="K207" i="16"/>
  <c r="N207" i="16" s="1"/>
  <c r="U207" i="16" s="1"/>
  <c r="V206" i="16"/>
  <c r="S206" i="16"/>
  <c r="O206" i="16"/>
  <c r="Q206" i="16" s="1"/>
  <c r="R206" i="16" s="1"/>
  <c r="K206" i="16"/>
  <c r="N206" i="16" s="1"/>
  <c r="U206" i="16" s="1"/>
  <c r="V205" i="16"/>
  <c r="S205" i="16"/>
  <c r="O205" i="16"/>
  <c r="Q205" i="16" s="1"/>
  <c r="R205" i="16" s="1"/>
  <c r="K205" i="16"/>
  <c r="N205" i="16" s="1"/>
  <c r="U205" i="16" s="1"/>
  <c r="V204" i="16"/>
  <c r="S204" i="16"/>
  <c r="O204" i="16"/>
  <c r="Q204" i="16" s="1"/>
  <c r="R204" i="16" s="1"/>
  <c r="K204" i="16"/>
  <c r="N204" i="16" s="1"/>
  <c r="U204" i="16" s="1"/>
  <c r="V203" i="16"/>
  <c r="S203" i="16"/>
  <c r="O203" i="16"/>
  <c r="Q203" i="16" s="1"/>
  <c r="R203" i="16" s="1"/>
  <c r="K203" i="16"/>
  <c r="N203" i="16" s="1"/>
  <c r="U203" i="16" s="1"/>
  <c r="V202" i="16"/>
  <c r="S202" i="16"/>
  <c r="O202" i="16"/>
  <c r="Q202" i="16" s="1"/>
  <c r="R202" i="16" s="1"/>
  <c r="K202" i="16"/>
  <c r="N202" i="16" s="1"/>
  <c r="U202" i="16" s="1"/>
  <c r="V201" i="16"/>
  <c r="S201" i="16"/>
  <c r="O201" i="16"/>
  <c r="Q201" i="16" s="1"/>
  <c r="R201" i="16" s="1"/>
  <c r="K201" i="16"/>
  <c r="N201" i="16" s="1"/>
  <c r="U201" i="16" s="1"/>
  <c r="V200" i="16"/>
  <c r="S200" i="16"/>
  <c r="O200" i="16"/>
  <c r="Q200" i="16" s="1"/>
  <c r="R200" i="16" s="1"/>
  <c r="K200" i="16"/>
  <c r="N200" i="16" s="1"/>
  <c r="U200" i="16" s="1"/>
  <c r="V199" i="16"/>
  <c r="S199" i="16"/>
  <c r="O199" i="16"/>
  <c r="Q199" i="16" s="1"/>
  <c r="R199" i="16" s="1"/>
  <c r="K199" i="16"/>
  <c r="N199" i="16" s="1"/>
  <c r="U199" i="16" s="1"/>
  <c r="V198" i="16"/>
  <c r="S198" i="16"/>
  <c r="O198" i="16"/>
  <c r="Q198" i="16" s="1"/>
  <c r="R198" i="16" s="1"/>
  <c r="K198" i="16"/>
  <c r="N198" i="16" s="1"/>
  <c r="U198" i="16" s="1"/>
  <c r="V197" i="16"/>
  <c r="S197" i="16"/>
  <c r="O197" i="16"/>
  <c r="Q197" i="16" s="1"/>
  <c r="R197" i="16" s="1"/>
  <c r="K197" i="16"/>
  <c r="N197" i="16" s="1"/>
  <c r="U197" i="16" s="1"/>
  <c r="V196" i="16"/>
  <c r="S196" i="16"/>
  <c r="O196" i="16"/>
  <c r="Q196" i="16" s="1"/>
  <c r="R196" i="16" s="1"/>
  <c r="K196" i="16"/>
  <c r="N196" i="16" s="1"/>
  <c r="U196" i="16" s="1"/>
  <c r="V195" i="16"/>
  <c r="S195" i="16"/>
  <c r="O195" i="16"/>
  <c r="Q195" i="16" s="1"/>
  <c r="R195" i="16" s="1"/>
  <c r="K195" i="16"/>
  <c r="N195" i="16" s="1"/>
  <c r="U195" i="16" s="1"/>
  <c r="V194" i="16"/>
  <c r="S194" i="16"/>
  <c r="O194" i="16"/>
  <c r="Q194" i="16" s="1"/>
  <c r="R194" i="16" s="1"/>
  <c r="K194" i="16"/>
  <c r="N194" i="16" s="1"/>
  <c r="U194" i="16" s="1"/>
  <c r="V193" i="16"/>
  <c r="S193" i="16"/>
  <c r="O193" i="16"/>
  <c r="Q193" i="16" s="1"/>
  <c r="R193" i="16" s="1"/>
  <c r="K193" i="16"/>
  <c r="N193" i="16" s="1"/>
  <c r="U193" i="16" s="1"/>
  <c r="V192" i="16"/>
  <c r="S192" i="16"/>
  <c r="O192" i="16"/>
  <c r="Q192" i="16" s="1"/>
  <c r="R192" i="16" s="1"/>
  <c r="K192" i="16"/>
  <c r="N192" i="16" s="1"/>
  <c r="U192" i="16" s="1"/>
  <c r="V191" i="16"/>
  <c r="S191" i="16"/>
  <c r="O191" i="16"/>
  <c r="Q191" i="16" s="1"/>
  <c r="R191" i="16" s="1"/>
  <c r="K191" i="16"/>
  <c r="N191" i="16" s="1"/>
  <c r="U191" i="16" s="1"/>
  <c r="V190" i="16"/>
  <c r="S190" i="16"/>
  <c r="O190" i="16"/>
  <c r="Q190" i="16" s="1"/>
  <c r="R190" i="16" s="1"/>
  <c r="K190" i="16"/>
  <c r="N190" i="16" s="1"/>
  <c r="U190" i="16" s="1"/>
  <c r="V189" i="16"/>
  <c r="S189" i="16"/>
  <c r="O189" i="16"/>
  <c r="Q189" i="16" s="1"/>
  <c r="R189" i="16" s="1"/>
  <c r="K189" i="16"/>
  <c r="N189" i="16" s="1"/>
  <c r="U189" i="16" s="1"/>
  <c r="V188" i="16"/>
  <c r="S188" i="16"/>
  <c r="O188" i="16"/>
  <c r="Q188" i="16" s="1"/>
  <c r="R188" i="16" s="1"/>
  <c r="K188" i="16"/>
  <c r="N188" i="16" s="1"/>
  <c r="U188" i="16" s="1"/>
  <c r="V187" i="16"/>
  <c r="S187" i="16"/>
  <c r="O187" i="16"/>
  <c r="Q187" i="16" s="1"/>
  <c r="R187" i="16" s="1"/>
  <c r="K187" i="16"/>
  <c r="N187" i="16" s="1"/>
  <c r="U187" i="16" s="1"/>
  <c r="V186" i="16"/>
  <c r="S186" i="16"/>
  <c r="O186" i="16"/>
  <c r="Q186" i="16" s="1"/>
  <c r="R186" i="16" s="1"/>
  <c r="K186" i="16"/>
  <c r="N186" i="16" s="1"/>
  <c r="U186" i="16" s="1"/>
  <c r="V185" i="16"/>
  <c r="S185" i="16"/>
  <c r="O185" i="16"/>
  <c r="Q185" i="16" s="1"/>
  <c r="R185" i="16" s="1"/>
  <c r="K185" i="16"/>
  <c r="N185" i="16" s="1"/>
  <c r="U185" i="16" s="1"/>
  <c r="V184" i="16"/>
  <c r="S184" i="16"/>
  <c r="O184" i="16"/>
  <c r="Q184" i="16" s="1"/>
  <c r="R184" i="16" s="1"/>
  <c r="K184" i="16"/>
  <c r="N184" i="16" s="1"/>
  <c r="U184" i="16" s="1"/>
  <c r="V183" i="16"/>
  <c r="S183" i="16"/>
  <c r="O183" i="16"/>
  <c r="Q183" i="16" s="1"/>
  <c r="R183" i="16" s="1"/>
  <c r="K183" i="16"/>
  <c r="N183" i="16" s="1"/>
  <c r="U183" i="16" s="1"/>
  <c r="V182" i="16"/>
  <c r="S182" i="16"/>
  <c r="O182" i="16"/>
  <c r="Q182" i="16" s="1"/>
  <c r="R182" i="16" s="1"/>
  <c r="K182" i="16"/>
  <c r="N182" i="16" s="1"/>
  <c r="U182" i="16" s="1"/>
  <c r="V181" i="16"/>
  <c r="S181" i="16"/>
  <c r="O181" i="16"/>
  <c r="Q181" i="16" s="1"/>
  <c r="R181" i="16" s="1"/>
  <c r="K181" i="16"/>
  <c r="N181" i="16" s="1"/>
  <c r="U181" i="16" s="1"/>
  <c r="V180" i="16"/>
  <c r="S180" i="16"/>
  <c r="O180" i="16"/>
  <c r="Q180" i="16" s="1"/>
  <c r="R180" i="16" s="1"/>
  <c r="K180" i="16"/>
  <c r="N180" i="16" s="1"/>
  <c r="U180" i="16" s="1"/>
  <c r="V179" i="16"/>
  <c r="S179" i="16"/>
  <c r="O179" i="16"/>
  <c r="Q179" i="16" s="1"/>
  <c r="R179" i="16" s="1"/>
  <c r="K179" i="16"/>
  <c r="N179" i="16" s="1"/>
  <c r="U179" i="16" s="1"/>
  <c r="V178" i="16"/>
  <c r="S178" i="16"/>
  <c r="O178" i="16"/>
  <c r="Q178" i="16" s="1"/>
  <c r="R178" i="16" s="1"/>
  <c r="K178" i="16"/>
  <c r="N178" i="16" s="1"/>
  <c r="U178" i="16" s="1"/>
  <c r="V177" i="16"/>
  <c r="S177" i="16"/>
  <c r="O177" i="16"/>
  <c r="Q177" i="16" s="1"/>
  <c r="R177" i="16" s="1"/>
  <c r="K177" i="16"/>
  <c r="N177" i="16" s="1"/>
  <c r="U177" i="16" s="1"/>
  <c r="V176" i="16"/>
  <c r="S176" i="16"/>
  <c r="O176" i="16"/>
  <c r="Q176" i="16" s="1"/>
  <c r="R176" i="16" s="1"/>
  <c r="K176" i="16"/>
  <c r="N176" i="16" s="1"/>
  <c r="U176" i="16" s="1"/>
  <c r="V175" i="16"/>
  <c r="S175" i="16"/>
  <c r="O175" i="16"/>
  <c r="Q175" i="16" s="1"/>
  <c r="R175" i="16" s="1"/>
  <c r="K175" i="16"/>
  <c r="N175" i="16" s="1"/>
  <c r="U175" i="16" s="1"/>
  <c r="V174" i="16"/>
  <c r="S174" i="16"/>
  <c r="O174" i="16"/>
  <c r="Q174" i="16" s="1"/>
  <c r="R174" i="16" s="1"/>
  <c r="K174" i="16"/>
  <c r="N174" i="16" s="1"/>
  <c r="U174" i="16" s="1"/>
  <c r="V173" i="16"/>
  <c r="S173" i="16"/>
  <c r="O173" i="16"/>
  <c r="Q173" i="16" s="1"/>
  <c r="R173" i="16" s="1"/>
  <c r="K173" i="16"/>
  <c r="N173" i="16" s="1"/>
  <c r="U173" i="16" s="1"/>
  <c r="V172" i="16"/>
  <c r="S172" i="16"/>
  <c r="O172" i="16"/>
  <c r="Q172" i="16" s="1"/>
  <c r="R172" i="16" s="1"/>
  <c r="K172" i="16"/>
  <c r="N172" i="16" s="1"/>
  <c r="U172" i="16" s="1"/>
  <c r="V171" i="16"/>
  <c r="S171" i="16"/>
  <c r="O171" i="16"/>
  <c r="Q171" i="16" s="1"/>
  <c r="R171" i="16" s="1"/>
  <c r="K171" i="16"/>
  <c r="N171" i="16" s="1"/>
  <c r="U171" i="16" s="1"/>
  <c r="V170" i="16"/>
  <c r="S170" i="16"/>
  <c r="O170" i="16"/>
  <c r="Q170" i="16" s="1"/>
  <c r="R170" i="16" s="1"/>
  <c r="K170" i="16"/>
  <c r="N170" i="16" s="1"/>
  <c r="U170" i="16" s="1"/>
  <c r="V169" i="16"/>
  <c r="S169" i="16"/>
  <c r="O169" i="16"/>
  <c r="Q169" i="16" s="1"/>
  <c r="R169" i="16" s="1"/>
  <c r="K169" i="16"/>
  <c r="N169" i="16" s="1"/>
  <c r="U169" i="16" s="1"/>
  <c r="V168" i="16"/>
  <c r="S168" i="16"/>
  <c r="O168" i="16"/>
  <c r="Q168" i="16" s="1"/>
  <c r="R168" i="16" s="1"/>
  <c r="K168" i="16"/>
  <c r="N168" i="16" s="1"/>
  <c r="U168" i="16" s="1"/>
  <c r="V167" i="16"/>
  <c r="S167" i="16"/>
  <c r="O167" i="16"/>
  <c r="Q167" i="16" s="1"/>
  <c r="R167" i="16" s="1"/>
  <c r="K167" i="16"/>
  <c r="N167" i="16" s="1"/>
  <c r="U167" i="16" s="1"/>
  <c r="V166" i="16"/>
  <c r="S166" i="16"/>
  <c r="O166" i="16"/>
  <c r="Q166" i="16" s="1"/>
  <c r="R166" i="16" s="1"/>
  <c r="K166" i="16"/>
  <c r="N166" i="16" s="1"/>
  <c r="U166" i="16" s="1"/>
  <c r="V165" i="16"/>
  <c r="S165" i="16"/>
  <c r="O165" i="16"/>
  <c r="Q165" i="16" s="1"/>
  <c r="R165" i="16" s="1"/>
  <c r="K165" i="16"/>
  <c r="N165" i="16" s="1"/>
  <c r="U165" i="16" s="1"/>
  <c r="V164" i="16"/>
  <c r="S164" i="16"/>
  <c r="O164" i="16"/>
  <c r="Q164" i="16" s="1"/>
  <c r="R164" i="16" s="1"/>
  <c r="K164" i="16"/>
  <c r="N164" i="16" s="1"/>
  <c r="U164" i="16" s="1"/>
  <c r="V163" i="16"/>
  <c r="S163" i="16"/>
  <c r="O163" i="16"/>
  <c r="Q163" i="16" s="1"/>
  <c r="R163" i="16" s="1"/>
  <c r="K163" i="16"/>
  <c r="N163" i="16" s="1"/>
  <c r="U163" i="16" s="1"/>
  <c r="V162" i="16"/>
  <c r="S162" i="16"/>
  <c r="O162" i="16"/>
  <c r="Q162" i="16" s="1"/>
  <c r="R162" i="16" s="1"/>
  <c r="K162" i="16"/>
  <c r="N162" i="16" s="1"/>
  <c r="U162" i="16" s="1"/>
  <c r="V161" i="16"/>
  <c r="S161" i="16"/>
  <c r="O161" i="16"/>
  <c r="Q161" i="16" s="1"/>
  <c r="R161" i="16" s="1"/>
  <c r="K161" i="16"/>
  <c r="N161" i="16" s="1"/>
  <c r="U161" i="16" s="1"/>
  <c r="V160" i="16"/>
  <c r="S160" i="16"/>
  <c r="O160" i="16"/>
  <c r="Q160" i="16" s="1"/>
  <c r="R160" i="16" s="1"/>
  <c r="K160" i="16"/>
  <c r="N160" i="16" s="1"/>
  <c r="U160" i="16" s="1"/>
  <c r="V159" i="16"/>
  <c r="S159" i="16"/>
  <c r="O159" i="16"/>
  <c r="Q159" i="16" s="1"/>
  <c r="R159" i="16" s="1"/>
  <c r="K159" i="16"/>
  <c r="N159" i="16" s="1"/>
  <c r="U159" i="16" s="1"/>
  <c r="V158" i="16"/>
  <c r="S158" i="16"/>
  <c r="O158" i="16"/>
  <c r="Q158" i="16" s="1"/>
  <c r="R158" i="16" s="1"/>
  <c r="K158" i="16"/>
  <c r="N158" i="16" s="1"/>
  <c r="U158" i="16" s="1"/>
  <c r="V157" i="16"/>
  <c r="S157" i="16"/>
  <c r="O157" i="16"/>
  <c r="Q157" i="16" s="1"/>
  <c r="R157" i="16" s="1"/>
  <c r="K157" i="16"/>
  <c r="N157" i="16" s="1"/>
  <c r="U157" i="16" s="1"/>
  <c r="V156" i="16"/>
  <c r="S156" i="16"/>
  <c r="O156" i="16"/>
  <c r="Q156" i="16" s="1"/>
  <c r="R156" i="16" s="1"/>
  <c r="K156" i="16"/>
  <c r="N156" i="16" s="1"/>
  <c r="U156" i="16" s="1"/>
  <c r="V155" i="16"/>
  <c r="S155" i="16"/>
  <c r="O155" i="16"/>
  <c r="Q155" i="16" s="1"/>
  <c r="R155" i="16" s="1"/>
  <c r="K155" i="16"/>
  <c r="N155" i="16" s="1"/>
  <c r="U155" i="16" s="1"/>
  <c r="V154" i="16"/>
  <c r="S154" i="16"/>
  <c r="O154" i="16"/>
  <c r="Q154" i="16" s="1"/>
  <c r="R154" i="16" s="1"/>
  <c r="K154" i="16"/>
  <c r="N154" i="16" s="1"/>
  <c r="U154" i="16" s="1"/>
  <c r="V153" i="16"/>
  <c r="S153" i="16"/>
  <c r="O153" i="16"/>
  <c r="Q153" i="16" s="1"/>
  <c r="R153" i="16" s="1"/>
  <c r="K153" i="16"/>
  <c r="N153" i="16" s="1"/>
  <c r="U153" i="16" s="1"/>
  <c r="V152" i="16"/>
  <c r="S152" i="16"/>
  <c r="O152" i="16"/>
  <c r="Q152" i="16" s="1"/>
  <c r="R152" i="16" s="1"/>
  <c r="K152" i="16"/>
  <c r="N152" i="16" s="1"/>
  <c r="U152" i="16" s="1"/>
  <c r="V151" i="16"/>
  <c r="S151" i="16"/>
  <c r="O151" i="16"/>
  <c r="Q151" i="16" s="1"/>
  <c r="R151" i="16" s="1"/>
  <c r="K151" i="16"/>
  <c r="N151" i="16" s="1"/>
  <c r="U151" i="16" s="1"/>
  <c r="V150" i="16"/>
  <c r="S150" i="16"/>
  <c r="O150" i="16"/>
  <c r="Q150" i="16" s="1"/>
  <c r="R150" i="16" s="1"/>
  <c r="K150" i="16"/>
  <c r="N150" i="16" s="1"/>
  <c r="U150" i="16" s="1"/>
  <c r="V149" i="16"/>
  <c r="S149" i="16"/>
  <c r="O149" i="16"/>
  <c r="Q149" i="16" s="1"/>
  <c r="R149" i="16" s="1"/>
  <c r="K149" i="16"/>
  <c r="N149" i="16" s="1"/>
  <c r="U149" i="16" s="1"/>
  <c r="V148" i="16"/>
  <c r="S148" i="16"/>
  <c r="O148" i="16"/>
  <c r="Q148" i="16" s="1"/>
  <c r="R148" i="16" s="1"/>
  <c r="K148" i="16"/>
  <c r="N148" i="16" s="1"/>
  <c r="U148" i="16" s="1"/>
  <c r="V147" i="16"/>
  <c r="S147" i="16"/>
  <c r="O147" i="16"/>
  <c r="Q147" i="16" s="1"/>
  <c r="R147" i="16" s="1"/>
  <c r="K147" i="16"/>
  <c r="N147" i="16" s="1"/>
  <c r="U147" i="16" s="1"/>
  <c r="V146" i="16"/>
  <c r="S146" i="16"/>
  <c r="O146" i="16"/>
  <c r="Q146" i="16" s="1"/>
  <c r="R146" i="16" s="1"/>
  <c r="K146" i="16"/>
  <c r="N146" i="16" s="1"/>
  <c r="U146" i="16" s="1"/>
  <c r="V145" i="16"/>
  <c r="S145" i="16"/>
  <c r="O145" i="16"/>
  <c r="Q145" i="16" s="1"/>
  <c r="R145" i="16" s="1"/>
  <c r="K145" i="16"/>
  <c r="N145" i="16" s="1"/>
  <c r="U145" i="16" s="1"/>
  <c r="V144" i="16"/>
  <c r="S144" i="16"/>
  <c r="O144" i="16"/>
  <c r="Q144" i="16" s="1"/>
  <c r="R144" i="16" s="1"/>
  <c r="K144" i="16"/>
  <c r="N144" i="16" s="1"/>
  <c r="U144" i="16" s="1"/>
  <c r="V143" i="16"/>
  <c r="S143" i="16"/>
  <c r="O143" i="16"/>
  <c r="Q143" i="16" s="1"/>
  <c r="R143" i="16" s="1"/>
  <c r="K143" i="16"/>
  <c r="N143" i="16" s="1"/>
  <c r="U143" i="16" s="1"/>
  <c r="V142" i="16"/>
  <c r="S142" i="16"/>
  <c r="O142" i="16"/>
  <c r="Q142" i="16" s="1"/>
  <c r="R142" i="16" s="1"/>
  <c r="K142" i="16"/>
  <c r="N142" i="16" s="1"/>
  <c r="U142" i="16" s="1"/>
  <c r="V141" i="16"/>
  <c r="S141" i="16"/>
  <c r="O141" i="16"/>
  <c r="Q141" i="16" s="1"/>
  <c r="R141" i="16" s="1"/>
  <c r="K141" i="16"/>
  <c r="N141" i="16" s="1"/>
  <c r="U141" i="16" s="1"/>
  <c r="V140" i="16"/>
  <c r="S140" i="16"/>
  <c r="O140" i="16"/>
  <c r="Q140" i="16" s="1"/>
  <c r="R140" i="16" s="1"/>
  <c r="K140" i="16"/>
  <c r="N140" i="16" s="1"/>
  <c r="U140" i="16" s="1"/>
  <c r="V139" i="16"/>
  <c r="S139" i="16"/>
  <c r="O139" i="16"/>
  <c r="Q139" i="16" s="1"/>
  <c r="R139" i="16" s="1"/>
  <c r="K139" i="16"/>
  <c r="N139" i="16" s="1"/>
  <c r="U139" i="16" s="1"/>
  <c r="V138" i="16"/>
  <c r="S138" i="16"/>
  <c r="O138" i="16"/>
  <c r="Q138" i="16" s="1"/>
  <c r="R138" i="16" s="1"/>
  <c r="K138" i="16"/>
  <c r="N138" i="16" s="1"/>
  <c r="U138" i="16" s="1"/>
  <c r="V137" i="16"/>
  <c r="S137" i="16"/>
  <c r="O137" i="16"/>
  <c r="Q137" i="16" s="1"/>
  <c r="R137" i="16" s="1"/>
  <c r="K137" i="16"/>
  <c r="N137" i="16" s="1"/>
  <c r="U137" i="16" s="1"/>
  <c r="V136" i="16"/>
  <c r="S136" i="16"/>
  <c r="O136" i="16"/>
  <c r="Q136" i="16" s="1"/>
  <c r="R136" i="16" s="1"/>
  <c r="K136" i="16"/>
  <c r="N136" i="16" s="1"/>
  <c r="U136" i="16" s="1"/>
  <c r="V135" i="16"/>
  <c r="S135" i="16"/>
  <c r="O135" i="16"/>
  <c r="Q135" i="16" s="1"/>
  <c r="R135" i="16" s="1"/>
  <c r="K135" i="16"/>
  <c r="N135" i="16" s="1"/>
  <c r="U135" i="16" s="1"/>
  <c r="V134" i="16"/>
  <c r="S134" i="16"/>
  <c r="O134" i="16"/>
  <c r="Q134" i="16" s="1"/>
  <c r="R134" i="16" s="1"/>
  <c r="K134" i="16"/>
  <c r="N134" i="16" s="1"/>
  <c r="U134" i="16" s="1"/>
  <c r="V133" i="16"/>
  <c r="S133" i="16"/>
  <c r="O133" i="16"/>
  <c r="Q133" i="16" s="1"/>
  <c r="R133" i="16" s="1"/>
  <c r="K133" i="16"/>
  <c r="N133" i="16" s="1"/>
  <c r="U133" i="16" s="1"/>
  <c r="V132" i="16"/>
  <c r="S132" i="16"/>
  <c r="O132" i="16"/>
  <c r="Q132" i="16" s="1"/>
  <c r="R132" i="16" s="1"/>
  <c r="K132" i="16"/>
  <c r="N132" i="16" s="1"/>
  <c r="U132" i="16" s="1"/>
  <c r="V131" i="16"/>
  <c r="S131" i="16"/>
  <c r="O131" i="16"/>
  <c r="Q131" i="16" s="1"/>
  <c r="R131" i="16" s="1"/>
  <c r="K131" i="16"/>
  <c r="N131" i="16" s="1"/>
  <c r="U131" i="16" s="1"/>
  <c r="V130" i="16"/>
  <c r="S130" i="16"/>
  <c r="O130" i="16"/>
  <c r="Q130" i="16" s="1"/>
  <c r="R130" i="16" s="1"/>
  <c r="K130" i="16"/>
  <c r="N130" i="16" s="1"/>
  <c r="U130" i="16" s="1"/>
  <c r="V129" i="16"/>
  <c r="S129" i="16"/>
  <c r="O129" i="16"/>
  <c r="Q129" i="16" s="1"/>
  <c r="R129" i="16" s="1"/>
  <c r="K129" i="16"/>
  <c r="N129" i="16" s="1"/>
  <c r="U129" i="16" s="1"/>
  <c r="V128" i="16"/>
  <c r="S128" i="16"/>
  <c r="O128" i="16"/>
  <c r="Q128" i="16" s="1"/>
  <c r="R128" i="16" s="1"/>
  <c r="K128" i="16"/>
  <c r="N128" i="16" s="1"/>
  <c r="U128" i="16" s="1"/>
  <c r="V127" i="16"/>
  <c r="S127" i="16"/>
  <c r="O127" i="16"/>
  <c r="Q127" i="16" s="1"/>
  <c r="R127" i="16" s="1"/>
  <c r="K127" i="16"/>
  <c r="N127" i="16" s="1"/>
  <c r="U127" i="16" s="1"/>
  <c r="V126" i="16"/>
  <c r="S126" i="16"/>
  <c r="O126" i="16"/>
  <c r="Q126" i="16" s="1"/>
  <c r="R126" i="16" s="1"/>
  <c r="K126" i="16"/>
  <c r="N126" i="16" s="1"/>
  <c r="U126" i="16" s="1"/>
  <c r="V125" i="16"/>
  <c r="S125" i="16"/>
  <c r="O125" i="16"/>
  <c r="Q125" i="16" s="1"/>
  <c r="R125" i="16" s="1"/>
  <c r="K125" i="16"/>
  <c r="N125" i="16" s="1"/>
  <c r="U125" i="16" s="1"/>
  <c r="V124" i="16"/>
  <c r="S124" i="16"/>
  <c r="O124" i="16"/>
  <c r="Q124" i="16" s="1"/>
  <c r="R124" i="16" s="1"/>
  <c r="K124" i="16"/>
  <c r="N124" i="16" s="1"/>
  <c r="U124" i="16" s="1"/>
  <c r="V123" i="16"/>
  <c r="S123" i="16"/>
  <c r="O123" i="16"/>
  <c r="Q123" i="16" s="1"/>
  <c r="R123" i="16" s="1"/>
  <c r="K123" i="16"/>
  <c r="N123" i="16" s="1"/>
  <c r="U123" i="16" s="1"/>
  <c r="V122" i="16"/>
  <c r="S122" i="16"/>
  <c r="O122" i="16"/>
  <c r="Q122" i="16" s="1"/>
  <c r="R122" i="16" s="1"/>
  <c r="K122" i="16"/>
  <c r="N122" i="16" s="1"/>
  <c r="U122" i="16" s="1"/>
  <c r="V121" i="16"/>
  <c r="S121" i="16"/>
  <c r="O121" i="16"/>
  <c r="Q121" i="16" s="1"/>
  <c r="R121" i="16" s="1"/>
  <c r="K121" i="16"/>
  <c r="N121" i="16" s="1"/>
  <c r="U121" i="16" s="1"/>
  <c r="V120" i="16"/>
  <c r="S120" i="16"/>
  <c r="O120" i="16"/>
  <c r="Q120" i="16" s="1"/>
  <c r="R120" i="16" s="1"/>
  <c r="K120" i="16"/>
  <c r="N120" i="16" s="1"/>
  <c r="U120" i="16" s="1"/>
  <c r="V119" i="16"/>
  <c r="S119" i="16"/>
  <c r="O119" i="16"/>
  <c r="Q119" i="16" s="1"/>
  <c r="R119" i="16" s="1"/>
  <c r="K119" i="16"/>
  <c r="N119" i="16" s="1"/>
  <c r="U119" i="16" s="1"/>
  <c r="V118" i="16"/>
  <c r="S118" i="16"/>
  <c r="O118" i="16"/>
  <c r="Q118" i="16" s="1"/>
  <c r="R118" i="16" s="1"/>
  <c r="K118" i="16"/>
  <c r="N118" i="16" s="1"/>
  <c r="U118" i="16" s="1"/>
  <c r="V117" i="16"/>
  <c r="S117" i="16"/>
  <c r="O117" i="16"/>
  <c r="Q117" i="16" s="1"/>
  <c r="R117" i="16" s="1"/>
  <c r="K117" i="16"/>
  <c r="N117" i="16" s="1"/>
  <c r="U117" i="16" s="1"/>
  <c r="V116" i="16"/>
  <c r="S116" i="16"/>
  <c r="O116" i="16"/>
  <c r="Q116" i="16" s="1"/>
  <c r="R116" i="16" s="1"/>
  <c r="K116" i="16"/>
  <c r="N116" i="16" s="1"/>
  <c r="U116" i="16" s="1"/>
  <c r="V115" i="16"/>
  <c r="S115" i="16"/>
  <c r="O115" i="16"/>
  <c r="Q115" i="16" s="1"/>
  <c r="R115" i="16" s="1"/>
  <c r="K115" i="16"/>
  <c r="N115" i="16" s="1"/>
  <c r="U115" i="16" s="1"/>
  <c r="V114" i="16"/>
  <c r="S114" i="16"/>
  <c r="O114" i="16"/>
  <c r="Q114" i="16" s="1"/>
  <c r="R114" i="16" s="1"/>
  <c r="K114" i="16"/>
  <c r="N114" i="16" s="1"/>
  <c r="U114" i="16" s="1"/>
  <c r="V113" i="16"/>
  <c r="S113" i="16"/>
  <c r="O113" i="16"/>
  <c r="Q113" i="16" s="1"/>
  <c r="R113" i="16" s="1"/>
  <c r="K113" i="16"/>
  <c r="N113" i="16" s="1"/>
  <c r="U113" i="16" s="1"/>
  <c r="V112" i="16"/>
  <c r="S112" i="16"/>
  <c r="O112" i="16"/>
  <c r="Q112" i="16" s="1"/>
  <c r="R112" i="16" s="1"/>
  <c r="K112" i="16"/>
  <c r="N112" i="16" s="1"/>
  <c r="U112" i="16" s="1"/>
  <c r="V111" i="16"/>
  <c r="S111" i="16"/>
  <c r="O111" i="16"/>
  <c r="Q111" i="16" s="1"/>
  <c r="R111" i="16" s="1"/>
  <c r="K111" i="16"/>
  <c r="N111" i="16" s="1"/>
  <c r="U111" i="16" s="1"/>
  <c r="V110" i="16"/>
  <c r="S110" i="16"/>
  <c r="O110" i="16"/>
  <c r="Q110" i="16" s="1"/>
  <c r="R110" i="16" s="1"/>
  <c r="K110" i="16"/>
  <c r="N110" i="16" s="1"/>
  <c r="U110" i="16" s="1"/>
  <c r="V109" i="16"/>
  <c r="S109" i="16"/>
  <c r="O109" i="16"/>
  <c r="Q109" i="16" s="1"/>
  <c r="R109" i="16" s="1"/>
  <c r="K109" i="16"/>
  <c r="N109" i="16" s="1"/>
  <c r="U109" i="16" s="1"/>
  <c r="V108" i="16"/>
  <c r="S108" i="16"/>
  <c r="O108" i="16"/>
  <c r="Q108" i="16" s="1"/>
  <c r="R108" i="16" s="1"/>
  <c r="K108" i="16"/>
  <c r="N108" i="16" s="1"/>
  <c r="U108" i="16" s="1"/>
  <c r="V107" i="16"/>
  <c r="S107" i="16"/>
  <c r="O107" i="16"/>
  <c r="Q107" i="16" s="1"/>
  <c r="R107" i="16" s="1"/>
  <c r="K107" i="16"/>
  <c r="N107" i="16" s="1"/>
  <c r="U107" i="16" s="1"/>
  <c r="V106" i="16"/>
  <c r="S106" i="16"/>
  <c r="O106" i="16"/>
  <c r="Q106" i="16" s="1"/>
  <c r="R106" i="16" s="1"/>
  <c r="K106" i="16"/>
  <c r="N106" i="16" s="1"/>
  <c r="U106" i="16" s="1"/>
  <c r="V105" i="16"/>
  <c r="S105" i="16"/>
  <c r="O105" i="16"/>
  <c r="Q105" i="16" s="1"/>
  <c r="R105" i="16" s="1"/>
  <c r="K105" i="16"/>
  <c r="N105" i="16" s="1"/>
  <c r="U105" i="16" s="1"/>
  <c r="V104" i="16"/>
  <c r="S104" i="16"/>
  <c r="O104" i="16"/>
  <c r="Q104" i="16" s="1"/>
  <c r="R104" i="16" s="1"/>
  <c r="K104" i="16"/>
  <c r="N104" i="16" s="1"/>
  <c r="U104" i="16" s="1"/>
  <c r="V103" i="16"/>
  <c r="S103" i="16"/>
  <c r="O103" i="16"/>
  <c r="Q103" i="16" s="1"/>
  <c r="R103" i="16" s="1"/>
  <c r="K103" i="16"/>
  <c r="N103" i="16" s="1"/>
  <c r="U103" i="16" s="1"/>
  <c r="V102" i="16"/>
  <c r="S102" i="16"/>
  <c r="O102" i="16"/>
  <c r="Q102" i="16" s="1"/>
  <c r="R102" i="16" s="1"/>
  <c r="K102" i="16"/>
  <c r="N102" i="16" s="1"/>
  <c r="U102" i="16" s="1"/>
  <c r="V101" i="16"/>
  <c r="S101" i="16"/>
  <c r="O101" i="16"/>
  <c r="Q101" i="16" s="1"/>
  <c r="R101" i="16" s="1"/>
  <c r="K101" i="16"/>
  <c r="N101" i="16" s="1"/>
  <c r="U101" i="16" s="1"/>
  <c r="V100" i="16"/>
  <c r="S100" i="16"/>
  <c r="O100" i="16"/>
  <c r="Q100" i="16" s="1"/>
  <c r="R100" i="16" s="1"/>
  <c r="K100" i="16"/>
  <c r="N100" i="16" s="1"/>
  <c r="U100" i="16" s="1"/>
  <c r="V99" i="16"/>
  <c r="S99" i="16"/>
  <c r="O99" i="16"/>
  <c r="Q99" i="16" s="1"/>
  <c r="R99" i="16" s="1"/>
  <c r="K99" i="16"/>
  <c r="N99" i="16" s="1"/>
  <c r="U99" i="16" s="1"/>
  <c r="V98" i="16"/>
  <c r="S98" i="16"/>
  <c r="O98" i="16"/>
  <c r="Q98" i="16" s="1"/>
  <c r="R98" i="16" s="1"/>
  <c r="K98" i="16"/>
  <c r="N98" i="16" s="1"/>
  <c r="U98" i="16" s="1"/>
  <c r="V97" i="16"/>
  <c r="U97" i="16"/>
  <c r="S97" i="16"/>
  <c r="O97" i="16"/>
  <c r="Q97" i="16" s="1"/>
  <c r="R97" i="16" s="1"/>
  <c r="K97" i="16"/>
  <c r="V96" i="16"/>
  <c r="U96" i="16"/>
  <c r="S96" i="16"/>
  <c r="O96" i="16"/>
  <c r="Q96" i="16" s="1"/>
  <c r="R96" i="16" s="1"/>
  <c r="K96" i="16"/>
  <c r="V95" i="16"/>
  <c r="S95" i="16"/>
  <c r="O95" i="16"/>
  <c r="Q95" i="16" s="1"/>
  <c r="R95" i="16" s="1"/>
  <c r="K95" i="16"/>
  <c r="N95" i="16" s="1"/>
  <c r="U95" i="16" s="1"/>
  <c r="V94" i="16"/>
  <c r="S94" i="16"/>
  <c r="O94" i="16"/>
  <c r="Q94" i="16" s="1"/>
  <c r="R94" i="16" s="1"/>
  <c r="K94" i="16"/>
  <c r="N94" i="16" s="1"/>
  <c r="U94" i="16" s="1"/>
  <c r="V93" i="16"/>
  <c r="S93" i="16"/>
  <c r="O93" i="16"/>
  <c r="Q93" i="16" s="1"/>
  <c r="R93" i="16" s="1"/>
  <c r="K93" i="16"/>
  <c r="N93" i="16" s="1"/>
  <c r="U93" i="16" s="1"/>
  <c r="V92" i="16"/>
  <c r="S92" i="16"/>
  <c r="O92" i="16"/>
  <c r="Q92" i="16" s="1"/>
  <c r="R92" i="16" s="1"/>
  <c r="K92" i="16"/>
  <c r="N92" i="16" s="1"/>
  <c r="U92" i="16" s="1"/>
  <c r="V91" i="16"/>
  <c r="S91" i="16"/>
  <c r="O91" i="16"/>
  <c r="Q91" i="16" s="1"/>
  <c r="R91" i="16" s="1"/>
  <c r="K91" i="16"/>
  <c r="N91" i="16" s="1"/>
  <c r="U91" i="16" s="1"/>
  <c r="V90" i="16"/>
  <c r="S90" i="16"/>
  <c r="O90" i="16"/>
  <c r="Q90" i="16" s="1"/>
  <c r="R90" i="16" s="1"/>
  <c r="K90" i="16"/>
  <c r="N90" i="16" s="1"/>
  <c r="U90" i="16" s="1"/>
  <c r="V89" i="16"/>
  <c r="S89" i="16"/>
  <c r="O89" i="16"/>
  <c r="Q89" i="16" s="1"/>
  <c r="R89" i="16" s="1"/>
  <c r="K89" i="16"/>
  <c r="N89" i="16" s="1"/>
  <c r="U89" i="16" s="1"/>
  <c r="V88" i="16"/>
  <c r="S88" i="16"/>
  <c r="O88" i="16"/>
  <c r="Q88" i="16" s="1"/>
  <c r="R88" i="16" s="1"/>
  <c r="K88" i="16"/>
  <c r="N88" i="16" s="1"/>
  <c r="U88" i="16" s="1"/>
  <c r="V87" i="16"/>
  <c r="S87" i="16"/>
  <c r="O87" i="16"/>
  <c r="Q87" i="16" s="1"/>
  <c r="R87" i="16" s="1"/>
  <c r="K87" i="16"/>
  <c r="N87" i="16" s="1"/>
  <c r="U87" i="16" s="1"/>
  <c r="V86" i="16"/>
  <c r="S86" i="16"/>
  <c r="O86" i="16"/>
  <c r="Q86" i="16" s="1"/>
  <c r="R86" i="16" s="1"/>
  <c r="K86" i="16"/>
  <c r="N86" i="16" s="1"/>
  <c r="U86" i="16" s="1"/>
  <c r="V85" i="16"/>
  <c r="S85" i="16"/>
  <c r="O85" i="16"/>
  <c r="Q85" i="16" s="1"/>
  <c r="R85" i="16" s="1"/>
  <c r="K85" i="16"/>
  <c r="N85" i="16" s="1"/>
  <c r="U85" i="16" s="1"/>
  <c r="V84" i="16"/>
  <c r="S84" i="16"/>
  <c r="O84" i="16"/>
  <c r="Q84" i="16" s="1"/>
  <c r="R84" i="16" s="1"/>
  <c r="K84" i="16"/>
  <c r="N84" i="16" s="1"/>
  <c r="U84" i="16" s="1"/>
  <c r="V83" i="16"/>
  <c r="S83" i="16"/>
  <c r="O83" i="16"/>
  <c r="Q83" i="16" s="1"/>
  <c r="R83" i="16" s="1"/>
  <c r="K83" i="16"/>
  <c r="N83" i="16" s="1"/>
  <c r="U83" i="16" s="1"/>
  <c r="V82" i="16"/>
  <c r="S82" i="16"/>
  <c r="O82" i="16"/>
  <c r="Q82" i="16" s="1"/>
  <c r="R82" i="16" s="1"/>
  <c r="K82" i="16"/>
  <c r="N82" i="16" s="1"/>
  <c r="U82" i="16" s="1"/>
  <c r="V81" i="16"/>
  <c r="S81" i="16"/>
  <c r="O81" i="16"/>
  <c r="Q81" i="16" s="1"/>
  <c r="R81" i="16" s="1"/>
  <c r="K81" i="16"/>
  <c r="N81" i="16" s="1"/>
  <c r="U81" i="16" s="1"/>
  <c r="V80" i="16"/>
  <c r="S80" i="16"/>
  <c r="O80" i="16"/>
  <c r="Q80" i="16" s="1"/>
  <c r="R80" i="16" s="1"/>
  <c r="K80" i="16"/>
  <c r="N80" i="16" s="1"/>
  <c r="U80" i="16" s="1"/>
  <c r="V79" i="16"/>
  <c r="S79" i="16"/>
  <c r="O79" i="16"/>
  <c r="Q79" i="16" s="1"/>
  <c r="R79" i="16" s="1"/>
  <c r="K79" i="16"/>
  <c r="N79" i="16" s="1"/>
  <c r="U79" i="16" s="1"/>
  <c r="V78" i="16"/>
  <c r="S78" i="16"/>
  <c r="O78" i="16"/>
  <c r="Q78" i="16" s="1"/>
  <c r="R78" i="16" s="1"/>
  <c r="K78" i="16"/>
  <c r="N78" i="16" s="1"/>
  <c r="U78" i="16" s="1"/>
  <c r="V77" i="16"/>
  <c r="S77" i="16"/>
  <c r="O77" i="16"/>
  <c r="Q77" i="16" s="1"/>
  <c r="R77" i="16" s="1"/>
  <c r="K77" i="16"/>
  <c r="N77" i="16" s="1"/>
  <c r="U77" i="16" s="1"/>
  <c r="V76" i="16"/>
  <c r="S76" i="16"/>
  <c r="O76" i="16"/>
  <c r="Q76" i="16" s="1"/>
  <c r="R76" i="16" s="1"/>
  <c r="K76" i="16"/>
  <c r="N76" i="16" s="1"/>
  <c r="U76" i="16" s="1"/>
  <c r="V75" i="16"/>
  <c r="S75" i="16"/>
  <c r="O75" i="16"/>
  <c r="Q75" i="16" s="1"/>
  <c r="R75" i="16" s="1"/>
  <c r="K75" i="16"/>
  <c r="N75" i="16" s="1"/>
  <c r="U75" i="16" s="1"/>
  <c r="V74" i="16"/>
  <c r="S74" i="16"/>
  <c r="O74" i="16"/>
  <c r="Q74" i="16" s="1"/>
  <c r="R74" i="16" s="1"/>
  <c r="K74" i="16"/>
  <c r="N74" i="16" s="1"/>
  <c r="U74" i="16" s="1"/>
  <c r="V73" i="16"/>
  <c r="S73" i="16"/>
  <c r="O73" i="16"/>
  <c r="Q73" i="16" s="1"/>
  <c r="R73" i="16" s="1"/>
  <c r="K73" i="16"/>
  <c r="N73" i="16" s="1"/>
  <c r="U73" i="16" s="1"/>
  <c r="V72" i="16"/>
  <c r="S72" i="16"/>
  <c r="O72" i="16"/>
  <c r="Q72" i="16" s="1"/>
  <c r="R72" i="16" s="1"/>
  <c r="K72" i="16"/>
  <c r="N72" i="16" s="1"/>
  <c r="U72" i="16" s="1"/>
  <c r="V71" i="16"/>
  <c r="S71" i="16"/>
  <c r="O71" i="16"/>
  <c r="Q71" i="16" s="1"/>
  <c r="R71" i="16" s="1"/>
  <c r="K71" i="16"/>
  <c r="N71" i="16" s="1"/>
  <c r="U71" i="16" s="1"/>
  <c r="V70" i="16"/>
  <c r="S70" i="16"/>
  <c r="O70" i="16"/>
  <c r="Q70" i="16" s="1"/>
  <c r="R70" i="16" s="1"/>
  <c r="K70" i="16"/>
  <c r="N70" i="16" s="1"/>
  <c r="U70" i="16" s="1"/>
  <c r="V69" i="16"/>
  <c r="S69" i="16"/>
  <c r="O69" i="16"/>
  <c r="Q69" i="16" s="1"/>
  <c r="R69" i="16" s="1"/>
  <c r="K69" i="16"/>
  <c r="N69" i="16" s="1"/>
  <c r="U69" i="16" s="1"/>
  <c r="V68" i="16"/>
  <c r="S68" i="16"/>
  <c r="O68" i="16"/>
  <c r="Q68" i="16" s="1"/>
  <c r="R68" i="16" s="1"/>
  <c r="K68" i="16"/>
  <c r="N68" i="16" s="1"/>
  <c r="U68" i="16" s="1"/>
  <c r="V67" i="16"/>
  <c r="S67" i="16"/>
  <c r="O67" i="16"/>
  <c r="Q67" i="16" s="1"/>
  <c r="R67" i="16" s="1"/>
  <c r="K67" i="16"/>
  <c r="N67" i="16" s="1"/>
  <c r="U67" i="16" s="1"/>
  <c r="V66" i="16"/>
  <c r="S66" i="16"/>
  <c r="O66" i="16"/>
  <c r="Q66" i="16" s="1"/>
  <c r="R66" i="16" s="1"/>
  <c r="K66" i="16"/>
  <c r="N66" i="16" s="1"/>
  <c r="U66" i="16" s="1"/>
  <c r="V65" i="16"/>
  <c r="S65" i="16"/>
  <c r="O65" i="16"/>
  <c r="Q65" i="16" s="1"/>
  <c r="R65" i="16" s="1"/>
  <c r="K65" i="16"/>
  <c r="N65" i="16" s="1"/>
  <c r="U65" i="16" s="1"/>
  <c r="V64" i="16"/>
  <c r="S64" i="16"/>
  <c r="O64" i="16"/>
  <c r="Q64" i="16" s="1"/>
  <c r="R64" i="16" s="1"/>
  <c r="K64" i="16"/>
  <c r="N64" i="16" s="1"/>
  <c r="U64" i="16" s="1"/>
  <c r="V63" i="16"/>
  <c r="S63" i="16"/>
  <c r="O63" i="16"/>
  <c r="Q63" i="16" s="1"/>
  <c r="R63" i="16" s="1"/>
  <c r="K63" i="16"/>
  <c r="N63" i="16" s="1"/>
  <c r="U63" i="16" s="1"/>
  <c r="V62" i="16"/>
  <c r="S62" i="16"/>
  <c r="O62" i="16"/>
  <c r="Q62" i="16" s="1"/>
  <c r="R62" i="16" s="1"/>
  <c r="K62" i="16"/>
  <c r="N62" i="16" s="1"/>
  <c r="U62" i="16" s="1"/>
  <c r="V61" i="16"/>
  <c r="S61" i="16"/>
  <c r="O61" i="16"/>
  <c r="Q61" i="16" s="1"/>
  <c r="R61" i="16" s="1"/>
  <c r="K61" i="16"/>
  <c r="N61" i="16" s="1"/>
  <c r="U61" i="16" s="1"/>
  <c r="V60" i="16"/>
  <c r="S60" i="16"/>
  <c r="O60" i="16"/>
  <c r="Q60" i="16" s="1"/>
  <c r="R60" i="16" s="1"/>
  <c r="K60" i="16"/>
  <c r="N60" i="16" s="1"/>
  <c r="U60" i="16" s="1"/>
  <c r="V59" i="16"/>
  <c r="S59" i="16"/>
  <c r="O59" i="16"/>
  <c r="Q59" i="16" s="1"/>
  <c r="R59" i="16" s="1"/>
  <c r="K59" i="16"/>
  <c r="N59" i="16" s="1"/>
  <c r="U59" i="16" s="1"/>
  <c r="V58" i="16"/>
  <c r="S58" i="16"/>
  <c r="O58" i="16"/>
  <c r="Q58" i="16" s="1"/>
  <c r="R58" i="16" s="1"/>
  <c r="K58" i="16"/>
  <c r="N58" i="16" s="1"/>
  <c r="U58" i="16" s="1"/>
  <c r="V57" i="16"/>
  <c r="S57" i="16"/>
  <c r="O57" i="16"/>
  <c r="Q57" i="16" s="1"/>
  <c r="R57" i="16" s="1"/>
  <c r="K57" i="16"/>
  <c r="N57" i="16" s="1"/>
  <c r="U57" i="16" s="1"/>
  <c r="V56" i="16"/>
  <c r="S56" i="16"/>
  <c r="O56" i="16"/>
  <c r="Q56" i="16" s="1"/>
  <c r="R56" i="16" s="1"/>
  <c r="K56" i="16"/>
  <c r="N56" i="16" s="1"/>
  <c r="U56" i="16" s="1"/>
  <c r="V55" i="16"/>
  <c r="S55" i="16"/>
  <c r="O55" i="16"/>
  <c r="Q55" i="16" s="1"/>
  <c r="R55" i="16" s="1"/>
  <c r="K55" i="16"/>
  <c r="N55" i="16" s="1"/>
  <c r="U55" i="16" s="1"/>
  <c r="V54" i="16"/>
  <c r="S54" i="16"/>
  <c r="O54" i="16"/>
  <c r="Q54" i="16" s="1"/>
  <c r="R54" i="16" s="1"/>
  <c r="K54" i="16"/>
  <c r="N54" i="16" s="1"/>
  <c r="U54" i="16" s="1"/>
  <c r="V53" i="16"/>
  <c r="S53" i="16"/>
  <c r="O53" i="16"/>
  <c r="Q53" i="16" s="1"/>
  <c r="R53" i="16" s="1"/>
  <c r="K53" i="16"/>
  <c r="N53" i="16" s="1"/>
  <c r="U53" i="16" s="1"/>
  <c r="V52" i="16"/>
  <c r="S52" i="16"/>
  <c r="O52" i="16"/>
  <c r="Q52" i="16" s="1"/>
  <c r="R52" i="16" s="1"/>
  <c r="K52" i="16"/>
  <c r="N52" i="16" s="1"/>
  <c r="U52" i="16" s="1"/>
  <c r="V51" i="16"/>
  <c r="S51" i="16"/>
  <c r="O51" i="16"/>
  <c r="Q51" i="16" s="1"/>
  <c r="R51" i="16" s="1"/>
  <c r="K51" i="16"/>
  <c r="N51" i="16" s="1"/>
  <c r="U51" i="16" s="1"/>
  <c r="V50" i="16"/>
  <c r="S50" i="16"/>
  <c r="O50" i="16"/>
  <c r="Q50" i="16" s="1"/>
  <c r="R50" i="16" s="1"/>
  <c r="K50" i="16"/>
  <c r="N50" i="16" s="1"/>
  <c r="U50" i="16" s="1"/>
  <c r="V49" i="16"/>
  <c r="S49" i="16"/>
  <c r="O49" i="16"/>
  <c r="Q49" i="16" s="1"/>
  <c r="R49" i="16" s="1"/>
  <c r="K49" i="16"/>
  <c r="N49" i="16" s="1"/>
  <c r="U49" i="16" s="1"/>
  <c r="V48" i="16"/>
  <c r="S48" i="16"/>
  <c r="O48" i="16"/>
  <c r="Q48" i="16" s="1"/>
  <c r="R48" i="16" s="1"/>
  <c r="K48" i="16"/>
  <c r="N48" i="16" s="1"/>
  <c r="U48" i="16" s="1"/>
  <c r="V47" i="16"/>
  <c r="S47" i="16"/>
  <c r="O47" i="16"/>
  <c r="Q47" i="16" s="1"/>
  <c r="R47" i="16" s="1"/>
  <c r="K47" i="16"/>
  <c r="N47" i="16" s="1"/>
  <c r="U47" i="16" s="1"/>
  <c r="V46" i="16"/>
  <c r="S46" i="16"/>
  <c r="O46" i="16"/>
  <c r="Q46" i="16" s="1"/>
  <c r="R46" i="16" s="1"/>
  <c r="K46" i="16"/>
  <c r="N46" i="16" s="1"/>
  <c r="U46" i="16" s="1"/>
  <c r="V45" i="16"/>
  <c r="S45" i="16"/>
  <c r="O45" i="16"/>
  <c r="Q45" i="16" s="1"/>
  <c r="R45" i="16" s="1"/>
  <c r="K45" i="16"/>
  <c r="N45" i="16" s="1"/>
  <c r="U45" i="16" s="1"/>
  <c r="V44" i="16"/>
  <c r="S44" i="16"/>
  <c r="O44" i="16"/>
  <c r="Q44" i="16" s="1"/>
  <c r="R44" i="16" s="1"/>
  <c r="K44" i="16"/>
  <c r="N44" i="16" s="1"/>
  <c r="U44" i="16" s="1"/>
  <c r="V43" i="16"/>
  <c r="S43" i="16"/>
  <c r="O43" i="16"/>
  <c r="Q43" i="16" s="1"/>
  <c r="R43" i="16" s="1"/>
  <c r="K43" i="16"/>
  <c r="N43" i="16" s="1"/>
  <c r="U43" i="16" s="1"/>
  <c r="V42" i="16"/>
  <c r="S42" i="16"/>
  <c r="O42" i="16"/>
  <c r="Q42" i="16" s="1"/>
  <c r="R42" i="16" s="1"/>
  <c r="K42" i="16"/>
  <c r="N42" i="16" s="1"/>
  <c r="U42" i="16" s="1"/>
  <c r="V41" i="16"/>
  <c r="S41" i="16"/>
  <c r="O41" i="16"/>
  <c r="Q41" i="16" s="1"/>
  <c r="R41" i="16" s="1"/>
  <c r="K41" i="16"/>
  <c r="N41" i="16" s="1"/>
  <c r="U41" i="16" s="1"/>
  <c r="V40" i="16"/>
  <c r="S40" i="16"/>
  <c r="O40" i="16"/>
  <c r="Q40" i="16" s="1"/>
  <c r="R40" i="16" s="1"/>
  <c r="K40" i="16"/>
  <c r="N40" i="16" s="1"/>
  <c r="U40" i="16" s="1"/>
  <c r="V39" i="16"/>
  <c r="S39" i="16"/>
  <c r="O39" i="16"/>
  <c r="Q39" i="16" s="1"/>
  <c r="R39" i="16" s="1"/>
  <c r="K39" i="16"/>
  <c r="N39" i="16" s="1"/>
  <c r="U39" i="16" s="1"/>
  <c r="V38" i="16"/>
  <c r="S38" i="16"/>
  <c r="O38" i="16"/>
  <c r="Q38" i="16" s="1"/>
  <c r="R38" i="16" s="1"/>
  <c r="K38" i="16"/>
  <c r="N38" i="16" s="1"/>
  <c r="U38" i="16" s="1"/>
  <c r="V37" i="16"/>
  <c r="S37" i="16"/>
  <c r="O37" i="16"/>
  <c r="Q37" i="16" s="1"/>
  <c r="R37" i="16" s="1"/>
  <c r="K37" i="16"/>
  <c r="N37" i="16" s="1"/>
  <c r="U37" i="16" s="1"/>
  <c r="V36" i="16"/>
  <c r="S36" i="16"/>
  <c r="O36" i="16"/>
  <c r="Q36" i="16" s="1"/>
  <c r="R36" i="16" s="1"/>
  <c r="K36" i="16"/>
  <c r="N36" i="16" s="1"/>
  <c r="U36" i="16" s="1"/>
  <c r="V35" i="16"/>
  <c r="S35" i="16"/>
  <c r="O35" i="16"/>
  <c r="Q35" i="16" s="1"/>
  <c r="R35" i="16" s="1"/>
  <c r="K35" i="16"/>
  <c r="N35" i="16" s="1"/>
  <c r="U35" i="16" s="1"/>
  <c r="V34" i="16"/>
  <c r="S34" i="16"/>
  <c r="O34" i="16"/>
  <c r="Q34" i="16" s="1"/>
  <c r="R34" i="16" s="1"/>
  <c r="K34" i="16"/>
  <c r="N34" i="16" s="1"/>
  <c r="U34" i="16" s="1"/>
  <c r="V33" i="16"/>
  <c r="S33" i="16"/>
  <c r="O33" i="16"/>
  <c r="Q33" i="16" s="1"/>
  <c r="R33" i="16" s="1"/>
  <c r="K33" i="16"/>
  <c r="N33" i="16" s="1"/>
  <c r="U33" i="16" s="1"/>
  <c r="V32" i="16"/>
  <c r="S32" i="16"/>
  <c r="O32" i="16"/>
  <c r="Q32" i="16" s="1"/>
  <c r="R32" i="16" s="1"/>
  <c r="K32" i="16"/>
  <c r="N32" i="16" s="1"/>
  <c r="U32" i="16" s="1"/>
  <c r="V31" i="16"/>
  <c r="S31" i="16"/>
  <c r="O31" i="16"/>
  <c r="Q31" i="16" s="1"/>
  <c r="R31" i="16" s="1"/>
  <c r="K31" i="16"/>
  <c r="N31" i="16" s="1"/>
  <c r="U31" i="16" s="1"/>
  <c r="V30" i="16"/>
  <c r="S30" i="16"/>
  <c r="O30" i="16"/>
  <c r="Q30" i="16" s="1"/>
  <c r="R30" i="16" s="1"/>
  <c r="K30" i="16"/>
  <c r="N30" i="16" s="1"/>
  <c r="U30" i="16" s="1"/>
  <c r="V29" i="16"/>
  <c r="S29" i="16"/>
  <c r="O29" i="16"/>
  <c r="Q29" i="16" s="1"/>
  <c r="R29" i="16" s="1"/>
  <c r="K29" i="16"/>
  <c r="N29" i="16" s="1"/>
  <c r="U29" i="16" s="1"/>
  <c r="V28" i="16"/>
  <c r="S28" i="16"/>
  <c r="O28" i="16"/>
  <c r="Q28" i="16" s="1"/>
  <c r="R28" i="16" s="1"/>
  <c r="K28" i="16"/>
  <c r="N28" i="16" s="1"/>
  <c r="U28" i="16" s="1"/>
  <c r="V27" i="16"/>
  <c r="S27" i="16"/>
  <c r="O27" i="16"/>
  <c r="Q27" i="16" s="1"/>
  <c r="R27" i="16" s="1"/>
  <c r="K27" i="16"/>
  <c r="N27" i="16" s="1"/>
  <c r="U27" i="16" s="1"/>
  <c r="V26" i="16"/>
  <c r="S26" i="16"/>
  <c r="O26" i="16"/>
  <c r="Q26" i="16" s="1"/>
  <c r="R26" i="16" s="1"/>
  <c r="K26" i="16"/>
  <c r="N26" i="16" s="1"/>
  <c r="U26" i="16" s="1"/>
  <c r="V25" i="16"/>
  <c r="S25" i="16"/>
  <c r="O25" i="16"/>
  <c r="Q25" i="16" s="1"/>
  <c r="R25" i="16" s="1"/>
  <c r="K25" i="16"/>
  <c r="N25" i="16" s="1"/>
  <c r="U25" i="16" s="1"/>
  <c r="V24" i="16"/>
  <c r="S24" i="16"/>
  <c r="O24" i="16"/>
  <c r="Q24" i="16" s="1"/>
  <c r="R24" i="16" s="1"/>
  <c r="K24" i="16"/>
  <c r="N24" i="16" s="1"/>
  <c r="U24" i="16" s="1"/>
  <c r="V23" i="16"/>
  <c r="S23" i="16"/>
  <c r="O23" i="16"/>
  <c r="Q23" i="16" s="1"/>
  <c r="R23" i="16" s="1"/>
  <c r="K23" i="16"/>
  <c r="N23" i="16" s="1"/>
  <c r="U23" i="16" s="1"/>
  <c r="V22" i="16"/>
  <c r="S22" i="16"/>
  <c r="O22" i="16"/>
  <c r="Q22" i="16" s="1"/>
  <c r="R22" i="16" s="1"/>
  <c r="K22" i="16"/>
  <c r="N22" i="16" s="1"/>
  <c r="U22" i="16" s="1"/>
  <c r="V21" i="16"/>
  <c r="S21" i="16"/>
  <c r="O21" i="16"/>
  <c r="Q21" i="16" s="1"/>
  <c r="R21" i="16" s="1"/>
  <c r="K21" i="16"/>
  <c r="N21" i="16" s="1"/>
  <c r="U21" i="16" s="1"/>
  <c r="V20" i="16"/>
  <c r="S20" i="16"/>
  <c r="O20" i="16"/>
  <c r="Q20" i="16" s="1"/>
  <c r="R20" i="16" s="1"/>
  <c r="K20" i="16"/>
  <c r="N20" i="16" s="1"/>
  <c r="U20" i="16" s="1"/>
  <c r="V19" i="16"/>
  <c r="S19" i="16"/>
  <c r="O19" i="16"/>
  <c r="Q19" i="16" s="1"/>
  <c r="R19" i="16" s="1"/>
  <c r="K19" i="16"/>
  <c r="N19" i="16" s="1"/>
  <c r="U19" i="16" s="1"/>
  <c r="V18" i="16"/>
  <c r="S18" i="16"/>
  <c r="O18" i="16"/>
  <c r="Q18" i="16" s="1"/>
  <c r="R18" i="16" s="1"/>
  <c r="K18" i="16"/>
  <c r="N18" i="16" s="1"/>
  <c r="U18" i="16" s="1"/>
  <c r="V17" i="16"/>
  <c r="S17" i="16"/>
  <c r="O17" i="16"/>
  <c r="Q17" i="16" s="1"/>
  <c r="R17" i="16" s="1"/>
  <c r="K17" i="16"/>
  <c r="N17" i="16" s="1"/>
  <c r="U17" i="16" s="1"/>
  <c r="V16" i="16"/>
  <c r="S16" i="16"/>
  <c r="O16" i="16"/>
  <c r="Q16" i="16" s="1"/>
  <c r="R16" i="16" s="1"/>
  <c r="K16" i="16"/>
  <c r="N16" i="16" s="1"/>
  <c r="U16" i="16" s="1"/>
  <c r="V15" i="16"/>
  <c r="S15" i="16"/>
  <c r="O15" i="16"/>
  <c r="Q15" i="16" s="1"/>
  <c r="R15" i="16" s="1"/>
  <c r="K15" i="16"/>
  <c r="N15" i="16" s="1"/>
  <c r="U15" i="16" s="1"/>
  <c r="V14" i="16"/>
  <c r="S14" i="16"/>
  <c r="O14" i="16"/>
  <c r="Q14" i="16" s="1"/>
  <c r="R14" i="16" s="1"/>
  <c r="K14" i="16"/>
  <c r="N14" i="16" s="1"/>
  <c r="U14" i="16" s="1"/>
  <c r="V13" i="16"/>
  <c r="S13" i="16"/>
  <c r="O13" i="16"/>
  <c r="Q13" i="16" s="1"/>
  <c r="R13" i="16" s="1"/>
  <c r="K13" i="16"/>
  <c r="N13" i="16" s="1"/>
  <c r="U13" i="16" s="1"/>
  <c r="V12" i="16"/>
  <c r="S12" i="16"/>
  <c r="O12" i="16"/>
  <c r="Q12" i="16" s="1"/>
  <c r="R12" i="16" s="1"/>
  <c r="K12" i="16"/>
  <c r="N12" i="16" s="1"/>
  <c r="U12" i="16" s="1"/>
  <c r="V11" i="16"/>
  <c r="S11" i="16"/>
  <c r="O11" i="16"/>
  <c r="Q11" i="16" s="1"/>
  <c r="R11" i="16" s="1"/>
  <c r="K11" i="16"/>
  <c r="N11" i="16" s="1"/>
  <c r="U11" i="16" s="1"/>
  <c r="V10" i="16"/>
  <c r="S10" i="16"/>
  <c r="O10" i="16"/>
  <c r="Q10" i="16" s="1"/>
  <c r="R10" i="16" s="1"/>
  <c r="K10" i="16"/>
  <c r="N10" i="16" s="1"/>
  <c r="U10" i="16" s="1"/>
  <c r="V9" i="16"/>
  <c r="S9" i="16"/>
  <c r="O9" i="16"/>
  <c r="Q9" i="16" s="1"/>
  <c r="R9" i="16" s="1"/>
  <c r="K9" i="16"/>
  <c r="N9" i="16" s="1"/>
  <c r="U9" i="16" s="1"/>
  <c r="A9" i="16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V8" i="16"/>
  <c r="S8" i="16"/>
  <c r="O8" i="16"/>
  <c r="Q8" i="16" s="1"/>
  <c r="R8" i="16" s="1"/>
  <c r="K8" i="16"/>
  <c r="A3" i="16"/>
  <c r="F11" i="9"/>
  <c r="S173" i="15"/>
  <c r="L173" i="15"/>
  <c r="O173" i="15" s="1"/>
  <c r="Q173" i="15" s="1"/>
  <c r="R173" i="15" s="1"/>
  <c r="K173" i="15"/>
  <c r="S172" i="15"/>
  <c r="L172" i="15"/>
  <c r="O172" i="15" s="1"/>
  <c r="Q172" i="15" s="1"/>
  <c r="R172" i="15" s="1"/>
  <c r="K172" i="15"/>
  <c r="S171" i="15"/>
  <c r="L171" i="15"/>
  <c r="O171" i="15" s="1"/>
  <c r="Q171" i="15" s="1"/>
  <c r="R171" i="15" s="1"/>
  <c r="K171" i="15"/>
  <c r="S170" i="15"/>
  <c r="L170" i="15"/>
  <c r="O170" i="15" s="1"/>
  <c r="Q170" i="15" s="1"/>
  <c r="R170" i="15" s="1"/>
  <c r="K170" i="15"/>
  <c r="S169" i="15"/>
  <c r="L169" i="15"/>
  <c r="O169" i="15" s="1"/>
  <c r="Q169" i="15" s="1"/>
  <c r="R169" i="15" s="1"/>
  <c r="K169" i="15"/>
  <c r="S168" i="15"/>
  <c r="L168" i="15"/>
  <c r="O168" i="15" s="1"/>
  <c r="Q168" i="15" s="1"/>
  <c r="R168" i="15" s="1"/>
  <c r="K168" i="15"/>
  <c r="S167" i="15"/>
  <c r="L167" i="15"/>
  <c r="O167" i="15" s="1"/>
  <c r="Q167" i="15" s="1"/>
  <c r="R167" i="15" s="1"/>
  <c r="K167" i="15"/>
  <c r="S166" i="15"/>
  <c r="L166" i="15"/>
  <c r="O166" i="15" s="1"/>
  <c r="Q166" i="15" s="1"/>
  <c r="R166" i="15" s="1"/>
  <c r="K166" i="15"/>
  <c r="S165" i="15"/>
  <c r="L165" i="15"/>
  <c r="O165" i="15" s="1"/>
  <c r="Q165" i="15" s="1"/>
  <c r="R165" i="15" s="1"/>
  <c r="K165" i="15"/>
  <c r="S164" i="15"/>
  <c r="L164" i="15"/>
  <c r="O164" i="15" s="1"/>
  <c r="Q164" i="15" s="1"/>
  <c r="R164" i="15" s="1"/>
  <c r="K164" i="15"/>
  <c r="S163" i="15"/>
  <c r="L163" i="15"/>
  <c r="O163" i="15" s="1"/>
  <c r="Q163" i="15" s="1"/>
  <c r="R163" i="15" s="1"/>
  <c r="K163" i="15"/>
  <c r="S162" i="15"/>
  <c r="L162" i="15"/>
  <c r="O162" i="15" s="1"/>
  <c r="Q162" i="15" s="1"/>
  <c r="R162" i="15" s="1"/>
  <c r="K162" i="15"/>
  <c r="S161" i="15"/>
  <c r="L161" i="15"/>
  <c r="O161" i="15" s="1"/>
  <c r="Q161" i="15" s="1"/>
  <c r="R161" i="15" s="1"/>
  <c r="K161" i="15"/>
  <c r="S160" i="15"/>
  <c r="L160" i="15"/>
  <c r="O160" i="15" s="1"/>
  <c r="Q160" i="15" s="1"/>
  <c r="R160" i="15" s="1"/>
  <c r="K160" i="15"/>
  <c r="S159" i="15"/>
  <c r="L159" i="15"/>
  <c r="O159" i="15" s="1"/>
  <c r="Q159" i="15" s="1"/>
  <c r="R159" i="15" s="1"/>
  <c r="K159" i="15"/>
  <c r="S158" i="15"/>
  <c r="L158" i="15"/>
  <c r="O158" i="15" s="1"/>
  <c r="Q158" i="15" s="1"/>
  <c r="R158" i="15" s="1"/>
  <c r="K158" i="15"/>
  <c r="S157" i="15"/>
  <c r="L157" i="15"/>
  <c r="O157" i="15" s="1"/>
  <c r="Q157" i="15" s="1"/>
  <c r="R157" i="15" s="1"/>
  <c r="K157" i="15"/>
  <c r="S156" i="15"/>
  <c r="L156" i="15"/>
  <c r="O156" i="15" s="1"/>
  <c r="Q156" i="15" s="1"/>
  <c r="R156" i="15" s="1"/>
  <c r="K156" i="15"/>
  <c r="S155" i="15"/>
  <c r="L155" i="15"/>
  <c r="O155" i="15" s="1"/>
  <c r="Q155" i="15" s="1"/>
  <c r="R155" i="15" s="1"/>
  <c r="K155" i="15"/>
  <c r="S154" i="15"/>
  <c r="L154" i="15"/>
  <c r="O154" i="15" s="1"/>
  <c r="Q154" i="15" s="1"/>
  <c r="R154" i="15" s="1"/>
  <c r="K154" i="15"/>
  <c r="S153" i="15"/>
  <c r="L153" i="15"/>
  <c r="O153" i="15" s="1"/>
  <c r="Q153" i="15" s="1"/>
  <c r="R153" i="15" s="1"/>
  <c r="K153" i="15"/>
  <c r="S152" i="15"/>
  <c r="L152" i="15"/>
  <c r="O152" i="15" s="1"/>
  <c r="Q152" i="15" s="1"/>
  <c r="R152" i="15" s="1"/>
  <c r="K152" i="15"/>
  <c r="S151" i="15"/>
  <c r="L151" i="15"/>
  <c r="O151" i="15" s="1"/>
  <c r="Q151" i="15" s="1"/>
  <c r="R151" i="15" s="1"/>
  <c r="K151" i="15"/>
  <c r="S150" i="15"/>
  <c r="L150" i="15"/>
  <c r="O150" i="15" s="1"/>
  <c r="Q150" i="15" s="1"/>
  <c r="R150" i="15" s="1"/>
  <c r="K150" i="15"/>
  <c r="S149" i="15"/>
  <c r="L149" i="15"/>
  <c r="O149" i="15" s="1"/>
  <c r="Q149" i="15" s="1"/>
  <c r="R149" i="15" s="1"/>
  <c r="K149" i="15"/>
  <c r="S148" i="15"/>
  <c r="L148" i="15"/>
  <c r="O148" i="15" s="1"/>
  <c r="Q148" i="15" s="1"/>
  <c r="R148" i="15" s="1"/>
  <c r="K148" i="15"/>
  <c r="S147" i="15"/>
  <c r="L147" i="15"/>
  <c r="O147" i="15" s="1"/>
  <c r="Q147" i="15" s="1"/>
  <c r="R147" i="15" s="1"/>
  <c r="K147" i="15"/>
  <c r="S146" i="15"/>
  <c r="L146" i="15"/>
  <c r="O146" i="15" s="1"/>
  <c r="Q146" i="15" s="1"/>
  <c r="R146" i="15" s="1"/>
  <c r="K146" i="15"/>
  <c r="S145" i="15"/>
  <c r="L145" i="15"/>
  <c r="O145" i="15" s="1"/>
  <c r="Q145" i="15" s="1"/>
  <c r="R145" i="15" s="1"/>
  <c r="K145" i="15"/>
  <c r="S144" i="15"/>
  <c r="L144" i="15"/>
  <c r="O144" i="15" s="1"/>
  <c r="Q144" i="15" s="1"/>
  <c r="R144" i="15" s="1"/>
  <c r="K144" i="15"/>
  <c r="S143" i="15"/>
  <c r="L143" i="15"/>
  <c r="O143" i="15" s="1"/>
  <c r="Q143" i="15" s="1"/>
  <c r="R143" i="15" s="1"/>
  <c r="K143" i="15"/>
  <c r="S142" i="15"/>
  <c r="L142" i="15"/>
  <c r="O142" i="15" s="1"/>
  <c r="Q142" i="15" s="1"/>
  <c r="R142" i="15" s="1"/>
  <c r="K142" i="15"/>
  <c r="S141" i="15"/>
  <c r="L141" i="15"/>
  <c r="O141" i="15" s="1"/>
  <c r="Q141" i="15" s="1"/>
  <c r="R141" i="15" s="1"/>
  <c r="K141" i="15"/>
  <c r="S140" i="15"/>
  <c r="L140" i="15"/>
  <c r="O140" i="15" s="1"/>
  <c r="Q140" i="15" s="1"/>
  <c r="R140" i="15" s="1"/>
  <c r="K140" i="15"/>
  <c r="S139" i="15"/>
  <c r="L139" i="15"/>
  <c r="K139" i="15"/>
  <c r="S138" i="15"/>
  <c r="O138" i="15"/>
  <c r="Q138" i="15" s="1"/>
  <c r="R138" i="15" s="1"/>
  <c r="K138" i="15"/>
  <c r="S137" i="15"/>
  <c r="O137" i="15"/>
  <c r="Q137" i="15" s="1"/>
  <c r="R137" i="15" s="1"/>
  <c r="K137" i="15"/>
  <c r="S136" i="15"/>
  <c r="O136" i="15"/>
  <c r="Q136" i="15" s="1"/>
  <c r="R136" i="15" s="1"/>
  <c r="K136" i="15"/>
  <c r="S135" i="15"/>
  <c r="O135" i="15"/>
  <c r="Q135" i="15" s="1"/>
  <c r="R135" i="15" s="1"/>
  <c r="K135" i="15"/>
  <c r="S134" i="15"/>
  <c r="O134" i="15"/>
  <c r="Q134" i="15" s="1"/>
  <c r="R134" i="15" s="1"/>
  <c r="K134" i="15"/>
  <c r="S133" i="15"/>
  <c r="O133" i="15"/>
  <c r="Q133" i="15" s="1"/>
  <c r="R133" i="15" s="1"/>
  <c r="K133" i="15"/>
  <c r="S132" i="15"/>
  <c r="O132" i="15"/>
  <c r="Q132" i="15" s="1"/>
  <c r="R132" i="15" s="1"/>
  <c r="K132" i="15"/>
  <c r="S131" i="15"/>
  <c r="O131" i="15"/>
  <c r="Q131" i="15" s="1"/>
  <c r="R131" i="15" s="1"/>
  <c r="K131" i="15"/>
  <c r="S130" i="15"/>
  <c r="O130" i="15"/>
  <c r="Q130" i="15" s="1"/>
  <c r="R130" i="15" s="1"/>
  <c r="K130" i="15"/>
  <c r="S129" i="15"/>
  <c r="O129" i="15"/>
  <c r="Q129" i="15" s="1"/>
  <c r="R129" i="15" s="1"/>
  <c r="K129" i="15"/>
  <c r="S128" i="15"/>
  <c r="O128" i="15"/>
  <c r="Q128" i="15" s="1"/>
  <c r="R128" i="15" s="1"/>
  <c r="K128" i="15"/>
  <c r="S127" i="15"/>
  <c r="O127" i="15"/>
  <c r="Q127" i="15" s="1"/>
  <c r="R127" i="15" s="1"/>
  <c r="K127" i="15"/>
  <c r="S126" i="15"/>
  <c r="O126" i="15"/>
  <c r="Q126" i="15" s="1"/>
  <c r="R126" i="15" s="1"/>
  <c r="K126" i="15"/>
  <c r="S125" i="15"/>
  <c r="O125" i="15"/>
  <c r="Q125" i="15" s="1"/>
  <c r="R125" i="15" s="1"/>
  <c r="K125" i="15"/>
  <c r="S124" i="15"/>
  <c r="O124" i="15"/>
  <c r="Q124" i="15" s="1"/>
  <c r="R124" i="15" s="1"/>
  <c r="K124" i="15"/>
  <c r="S123" i="15"/>
  <c r="O123" i="15"/>
  <c r="Q123" i="15" s="1"/>
  <c r="R123" i="15" s="1"/>
  <c r="K123" i="15"/>
  <c r="S122" i="15"/>
  <c r="O122" i="15"/>
  <c r="Q122" i="15" s="1"/>
  <c r="R122" i="15" s="1"/>
  <c r="K122" i="15"/>
  <c r="S121" i="15"/>
  <c r="O121" i="15"/>
  <c r="Q121" i="15" s="1"/>
  <c r="R121" i="15" s="1"/>
  <c r="K121" i="15"/>
  <c r="S120" i="15"/>
  <c r="O120" i="15"/>
  <c r="Q120" i="15" s="1"/>
  <c r="R120" i="15" s="1"/>
  <c r="K120" i="15"/>
  <c r="S119" i="15"/>
  <c r="O119" i="15"/>
  <c r="Q119" i="15" s="1"/>
  <c r="R119" i="15" s="1"/>
  <c r="K119" i="15"/>
  <c r="S118" i="15"/>
  <c r="O118" i="15"/>
  <c r="Q118" i="15" s="1"/>
  <c r="R118" i="15" s="1"/>
  <c r="K118" i="15"/>
  <c r="S117" i="15"/>
  <c r="O117" i="15"/>
  <c r="Q117" i="15" s="1"/>
  <c r="R117" i="15" s="1"/>
  <c r="K117" i="15"/>
  <c r="S116" i="15"/>
  <c r="O116" i="15"/>
  <c r="Q116" i="15" s="1"/>
  <c r="R116" i="15" s="1"/>
  <c r="K116" i="15"/>
  <c r="S115" i="15"/>
  <c r="O115" i="15"/>
  <c r="Q115" i="15" s="1"/>
  <c r="R115" i="15" s="1"/>
  <c r="K115" i="15"/>
  <c r="S114" i="15"/>
  <c r="O114" i="15"/>
  <c r="Q114" i="15" s="1"/>
  <c r="R114" i="15" s="1"/>
  <c r="K114" i="15"/>
  <c r="S113" i="15"/>
  <c r="O113" i="15"/>
  <c r="Q113" i="15" s="1"/>
  <c r="R113" i="15" s="1"/>
  <c r="K113" i="15"/>
  <c r="S112" i="15"/>
  <c r="O112" i="15"/>
  <c r="Q112" i="15" s="1"/>
  <c r="R112" i="15" s="1"/>
  <c r="K112" i="15"/>
  <c r="S111" i="15"/>
  <c r="O111" i="15"/>
  <c r="Q111" i="15" s="1"/>
  <c r="R111" i="15" s="1"/>
  <c r="K111" i="15"/>
  <c r="S110" i="15"/>
  <c r="O110" i="15"/>
  <c r="Q110" i="15" s="1"/>
  <c r="R110" i="15" s="1"/>
  <c r="K110" i="15"/>
  <c r="S109" i="15"/>
  <c r="O109" i="15"/>
  <c r="Q109" i="15" s="1"/>
  <c r="R109" i="15" s="1"/>
  <c r="K109" i="15"/>
  <c r="S108" i="15"/>
  <c r="O108" i="15"/>
  <c r="Q108" i="15" s="1"/>
  <c r="R108" i="15" s="1"/>
  <c r="K108" i="15"/>
  <c r="S107" i="15"/>
  <c r="O107" i="15"/>
  <c r="Q107" i="15" s="1"/>
  <c r="R107" i="15" s="1"/>
  <c r="K107" i="15"/>
  <c r="S106" i="15"/>
  <c r="O106" i="15"/>
  <c r="Q106" i="15" s="1"/>
  <c r="R106" i="15" s="1"/>
  <c r="K106" i="15"/>
  <c r="S105" i="15"/>
  <c r="O105" i="15"/>
  <c r="Q105" i="15" s="1"/>
  <c r="R105" i="15" s="1"/>
  <c r="K105" i="15"/>
  <c r="S104" i="15"/>
  <c r="O104" i="15"/>
  <c r="Q104" i="15" s="1"/>
  <c r="R104" i="15" s="1"/>
  <c r="K104" i="15"/>
  <c r="S103" i="15"/>
  <c r="O103" i="15"/>
  <c r="Q103" i="15" s="1"/>
  <c r="R103" i="15" s="1"/>
  <c r="K103" i="15"/>
  <c r="S102" i="15"/>
  <c r="O102" i="15"/>
  <c r="Q102" i="15" s="1"/>
  <c r="R102" i="15" s="1"/>
  <c r="K102" i="15"/>
  <c r="S101" i="15"/>
  <c r="O101" i="15"/>
  <c r="Q101" i="15" s="1"/>
  <c r="R101" i="15" s="1"/>
  <c r="K101" i="15"/>
  <c r="S100" i="15"/>
  <c r="O100" i="15"/>
  <c r="Q100" i="15" s="1"/>
  <c r="R100" i="15" s="1"/>
  <c r="K100" i="15"/>
  <c r="S99" i="15"/>
  <c r="O99" i="15"/>
  <c r="Q99" i="15" s="1"/>
  <c r="R99" i="15" s="1"/>
  <c r="K99" i="15"/>
  <c r="T99" i="15" s="1"/>
  <c r="S98" i="15"/>
  <c r="O98" i="15"/>
  <c r="Q98" i="15" s="1"/>
  <c r="R98" i="15" s="1"/>
  <c r="K98" i="15"/>
  <c r="S97" i="15"/>
  <c r="O97" i="15"/>
  <c r="Q97" i="15" s="1"/>
  <c r="R97" i="15" s="1"/>
  <c r="K97" i="15"/>
  <c r="S96" i="15"/>
  <c r="O96" i="15"/>
  <c r="Q96" i="15" s="1"/>
  <c r="R96" i="15" s="1"/>
  <c r="K96" i="15"/>
  <c r="S95" i="15"/>
  <c r="O95" i="15"/>
  <c r="Q95" i="15" s="1"/>
  <c r="R95" i="15" s="1"/>
  <c r="K95" i="15"/>
  <c r="S94" i="15"/>
  <c r="O94" i="15"/>
  <c r="Q94" i="15" s="1"/>
  <c r="R94" i="15" s="1"/>
  <c r="K94" i="15"/>
  <c r="S93" i="15"/>
  <c r="O93" i="15"/>
  <c r="Q93" i="15" s="1"/>
  <c r="R93" i="15" s="1"/>
  <c r="K93" i="15"/>
  <c r="S92" i="15"/>
  <c r="O92" i="15"/>
  <c r="Q92" i="15" s="1"/>
  <c r="R92" i="15" s="1"/>
  <c r="K92" i="15"/>
  <c r="S91" i="15"/>
  <c r="O91" i="15"/>
  <c r="Q91" i="15" s="1"/>
  <c r="R91" i="15" s="1"/>
  <c r="K91" i="15"/>
  <c r="S90" i="15"/>
  <c r="O90" i="15"/>
  <c r="Q90" i="15" s="1"/>
  <c r="R90" i="15" s="1"/>
  <c r="K90" i="15"/>
  <c r="S89" i="15"/>
  <c r="O89" i="15"/>
  <c r="Q89" i="15" s="1"/>
  <c r="R89" i="15" s="1"/>
  <c r="K89" i="15"/>
  <c r="S88" i="15"/>
  <c r="O88" i="15"/>
  <c r="Q88" i="15" s="1"/>
  <c r="R88" i="15" s="1"/>
  <c r="K88" i="15"/>
  <c r="S87" i="15"/>
  <c r="O87" i="15"/>
  <c r="Q87" i="15" s="1"/>
  <c r="R87" i="15" s="1"/>
  <c r="K87" i="15"/>
  <c r="S86" i="15"/>
  <c r="O86" i="15"/>
  <c r="Q86" i="15" s="1"/>
  <c r="R86" i="15" s="1"/>
  <c r="K86" i="15"/>
  <c r="S85" i="15"/>
  <c r="O85" i="15"/>
  <c r="Q85" i="15" s="1"/>
  <c r="R85" i="15" s="1"/>
  <c r="K85" i="15"/>
  <c r="S84" i="15"/>
  <c r="O84" i="15"/>
  <c r="Q84" i="15" s="1"/>
  <c r="R84" i="15" s="1"/>
  <c r="K84" i="15"/>
  <c r="S83" i="15"/>
  <c r="O83" i="15"/>
  <c r="Q83" i="15" s="1"/>
  <c r="R83" i="15" s="1"/>
  <c r="K83" i="15"/>
  <c r="S82" i="15"/>
  <c r="O82" i="15"/>
  <c r="Q82" i="15" s="1"/>
  <c r="R82" i="15" s="1"/>
  <c r="K82" i="15"/>
  <c r="S81" i="15"/>
  <c r="O81" i="15"/>
  <c r="Q81" i="15" s="1"/>
  <c r="R81" i="15" s="1"/>
  <c r="K81" i="15"/>
  <c r="S80" i="15"/>
  <c r="O80" i="15"/>
  <c r="Q80" i="15" s="1"/>
  <c r="R80" i="15" s="1"/>
  <c r="K80" i="15"/>
  <c r="S79" i="15"/>
  <c r="O79" i="15"/>
  <c r="Q79" i="15" s="1"/>
  <c r="R79" i="15" s="1"/>
  <c r="K79" i="15"/>
  <c r="S78" i="15"/>
  <c r="O78" i="15"/>
  <c r="Q78" i="15" s="1"/>
  <c r="R78" i="15" s="1"/>
  <c r="K78" i="15"/>
  <c r="S77" i="15"/>
  <c r="O77" i="15"/>
  <c r="Q77" i="15" s="1"/>
  <c r="R77" i="15" s="1"/>
  <c r="K77" i="15"/>
  <c r="S76" i="15"/>
  <c r="O76" i="15"/>
  <c r="Q76" i="15" s="1"/>
  <c r="R76" i="15" s="1"/>
  <c r="K76" i="15"/>
  <c r="S75" i="15"/>
  <c r="O75" i="15"/>
  <c r="Q75" i="15" s="1"/>
  <c r="R75" i="15" s="1"/>
  <c r="K75" i="15"/>
  <c r="S74" i="15"/>
  <c r="O74" i="15"/>
  <c r="Q74" i="15" s="1"/>
  <c r="R74" i="15" s="1"/>
  <c r="K74" i="15"/>
  <c r="S73" i="15"/>
  <c r="O73" i="15"/>
  <c r="Q73" i="15" s="1"/>
  <c r="R73" i="15" s="1"/>
  <c r="K73" i="15"/>
  <c r="S72" i="15"/>
  <c r="O72" i="15"/>
  <c r="Q72" i="15" s="1"/>
  <c r="R72" i="15" s="1"/>
  <c r="U72" i="15"/>
  <c r="K72" i="15"/>
  <c r="S71" i="15"/>
  <c r="O71" i="15"/>
  <c r="Q71" i="15" s="1"/>
  <c r="R71" i="15" s="1"/>
  <c r="K71" i="15"/>
  <c r="S70" i="15"/>
  <c r="O70" i="15"/>
  <c r="Q70" i="15" s="1"/>
  <c r="R70" i="15" s="1"/>
  <c r="K70" i="15"/>
  <c r="S69" i="15"/>
  <c r="O69" i="15"/>
  <c r="Q69" i="15" s="1"/>
  <c r="R69" i="15" s="1"/>
  <c r="K69" i="15"/>
  <c r="S68" i="15"/>
  <c r="O68" i="15"/>
  <c r="Q68" i="15" s="1"/>
  <c r="R68" i="15" s="1"/>
  <c r="K68" i="15"/>
  <c r="S67" i="15"/>
  <c r="O67" i="15"/>
  <c r="Q67" i="15" s="1"/>
  <c r="R67" i="15" s="1"/>
  <c r="K67" i="15"/>
  <c r="S66" i="15"/>
  <c r="O66" i="15"/>
  <c r="Q66" i="15" s="1"/>
  <c r="R66" i="15" s="1"/>
  <c r="K66" i="15"/>
  <c r="S65" i="15"/>
  <c r="O65" i="15"/>
  <c r="Q65" i="15" s="1"/>
  <c r="R65" i="15" s="1"/>
  <c r="K65" i="15"/>
  <c r="S64" i="15"/>
  <c r="O64" i="15"/>
  <c r="Q64" i="15" s="1"/>
  <c r="R64" i="15" s="1"/>
  <c r="K64" i="15"/>
  <c r="S63" i="15"/>
  <c r="O63" i="15"/>
  <c r="Q63" i="15" s="1"/>
  <c r="R63" i="15" s="1"/>
  <c r="K63" i="15"/>
  <c r="S62" i="15"/>
  <c r="O62" i="15"/>
  <c r="Q62" i="15" s="1"/>
  <c r="R62" i="15" s="1"/>
  <c r="K62" i="15"/>
  <c r="S61" i="15"/>
  <c r="O61" i="15"/>
  <c r="Q61" i="15" s="1"/>
  <c r="R61" i="15" s="1"/>
  <c r="K61" i="15"/>
  <c r="S60" i="15"/>
  <c r="O60" i="15"/>
  <c r="Q60" i="15" s="1"/>
  <c r="R60" i="15" s="1"/>
  <c r="K60" i="15"/>
  <c r="S59" i="15"/>
  <c r="O59" i="15"/>
  <c r="Q59" i="15" s="1"/>
  <c r="R59" i="15" s="1"/>
  <c r="K59" i="15"/>
  <c r="S58" i="15"/>
  <c r="O58" i="15"/>
  <c r="Q58" i="15" s="1"/>
  <c r="R58" i="15" s="1"/>
  <c r="K58" i="15"/>
  <c r="S57" i="15"/>
  <c r="O57" i="15"/>
  <c r="Q57" i="15" s="1"/>
  <c r="R57" i="15" s="1"/>
  <c r="K57" i="15"/>
  <c r="S56" i="15"/>
  <c r="O56" i="15"/>
  <c r="Q56" i="15" s="1"/>
  <c r="R56" i="15" s="1"/>
  <c r="K56" i="15"/>
  <c r="S55" i="15"/>
  <c r="O55" i="15"/>
  <c r="Q55" i="15" s="1"/>
  <c r="R55" i="15" s="1"/>
  <c r="K55" i="15"/>
  <c r="S54" i="15"/>
  <c r="O54" i="15"/>
  <c r="Q54" i="15" s="1"/>
  <c r="R54" i="15" s="1"/>
  <c r="K54" i="15"/>
  <c r="S53" i="15"/>
  <c r="O53" i="15"/>
  <c r="Q53" i="15" s="1"/>
  <c r="R53" i="15" s="1"/>
  <c r="K53" i="15"/>
  <c r="S52" i="15"/>
  <c r="O52" i="15"/>
  <c r="Q52" i="15" s="1"/>
  <c r="R52" i="15" s="1"/>
  <c r="K52" i="15"/>
  <c r="S51" i="15"/>
  <c r="O51" i="15"/>
  <c r="Q51" i="15" s="1"/>
  <c r="R51" i="15" s="1"/>
  <c r="K51" i="15"/>
  <c r="S50" i="15"/>
  <c r="O50" i="15"/>
  <c r="Q50" i="15" s="1"/>
  <c r="R50" i="15" s="1"/>
  <c r="K50" i="15"/>
  <c r="S49" i="15"/>
  <c r="O49" i="15"/>
  <c r="Q49" i="15" s="1"/>
  <c r="R49" i="15" s="1"/>
  <c r="H49" i="15"/>
  <c r="S48" i="15"/>
  <c r="O48" i="15"/>
  <c r="Q48" i="15" s="1"/>
  <c r="R48" i="15" s="1"/>
  <c r="H48" i="15"/>
  <c r="N48" i="15" s="1"/>
  <c r="S47" i="15"/>
  <c r="O47" i="15"/>
  <c r="Q47" i="15" s="1"/>
  <c r="R47" i="15" s="1"/>
  <c r="H47" i="15"/>
  <c r="N47" i="15" s="1"/>
  <c r="S46" i="15"/>
  <c r="O46" i="15"/>
  <c r="Q46" i="15" s="1"/>
  <c r="R46" i="15" s="1"/>
  <c r="K46" i="15"/>
  <c r="S45" i="15"/>
  <c r="O45" i="15"/>
  <c r="Q45" i="15" s="1"/>
  <c r="R45" i="15" s="1"/>
  <c r="U45" i="15"/>
  <c r="K45" i="15"/>
  <c r="S44" i="15"/>
  <c r="O44" i="15"/>
  <c r="Q44" i="15" s="1"/>
  <c r="R44" i="15" s="1"/>
  <c r="U44" i="15"/>
  <c r="K44" i="15"/>
  <c r="S43" i="15"/>
  <c r="O43" i="15"/>
  <c r="Q43" i="15" s="1"/>
  <c r="R43" i="15" s="1"/>
  <c r="U43" i="15"/>
  <c r="K43" i="15"/>
  <c r="S42" i="15"/>
  <c r="O42" i="15"/>
  <c r="Q42" i="15" s="1"/>
  <c r="R42" i="15" s="1"/>
  <c r="U42" i="15"/>
  <c r="K42" i="15"/>
  <c r="S41" i="15"/>
  <c r="O41" i="15"/>
  <c r="Q41" i="15" s="1"/>
  <c r="R41" i="15" s="1"/>
  <c r="U41" i="15"/>
  <c r="K41" i="15"/>
  <c r="S40" i="15"/>
  <c r="O40" i="15"/>
  <c r="Q40" i="15" s="1"/>
  <c r="R40" i="15" s="1"/>
  <c r="U40" i="15"/>
  <c r="K40" i="15"/>
  <c r="S39" i="15"/>
  <c r="O39" i="15"/>
  <c r="Q39" i="15" s="1"/>
  <c r="R39" i="15" s="1"/>
  <c r="U39" i="15"/>
  <c r="K39" i="15"/>
  <c r="S38" i="15"/>
  <c r="O38" i="15"/>
  <c r="Q38" i="15" s="1"/>
  <c r="R38" i="15" s="1"/>
  <c r="U38" i="15"/>
  <c r="K38" i="15"/>
  <c r="S37" i="15"/>
  <c r="O37" i="15"/>
  <c r="Q37" i="15" s="1"/>
  <c r="R37" i="15" s="1"/>
  <c r="U37" i="15"/>
  <c r="K37" i="15"/>
  <c r="S36" i="15"/>
  <c r="O36" i="15"/>
  <c r="Q36" i="15" s="1"/>
  <c r="R36" i="15" s="1"/>
  <c r="U36" i="15"/>
  <c r="K36" i="15"/>
  <c r="S35" i="15"/>
  <c r="O35" i="15"/>
  <c r="Q35" i="15" s="1"/>
  <c r="R35" i="15" s="1"/>
  <c r="U35" i="15"/>
  <c r="K35" i="15"/>
  <c r="T35" i="15" s="1"/>
  <c r="S34" i="15"/>
  <c r="O34" i="15"/>
  <c r="Q34" i="15" s="1"/>
  <c r="R34" i="15" s="1"/>
  <c r="U34" i="15"/>
  <c r="K34" i="15"/>
  <c r="S33" i="15"/>
  <c r="O33" i="15"/>
  <c r="Q33" i="15" s="1"/>
  <c r="R33" i="15" s="1"/>
  <c r="U33" i="15"/>
  <c r="K33" i="15"/>
  <c r="S32" i="15"/>
  <c r="O32" i="15"/>
  <c r="Q32" i="15" s="1"/>
  <c r="R32" i="15" s="1"/>
  <c r="K32" i="15"/>
  <c r="S31" i="15"/>
  <c r="O31" i="15"/>
  <c r="Q31" i="15" s="1"/>
  <c r="R31" i="15" s="1"/>
  <c r="U31" i="15"/>
  <c r="K31" i="15"/>
  <c r="S30" i="15"/>
  <c r="O30" i="15"/>
  <c r="Q30" i="15" s="1"/>
  <c r="R30" i="15" s="1"/>
  <c r="U30" i="15"/>
  <c r="K30" i="15"/>
  <c r="S29" i="15"/>
  <c r="O29" i="15"/>
  <c r="Q29" i="15" s="1"/>
  <c r="R29" i="15" s="1"/>
  <c r="U29" i="15"/>
  <c r="K29" i="15"/>
  <c r="S28" i="15"/>
  <c r="O28" i="15"/>
  <c r="Q28" i="15" s="1"/>
  <c r="R28" i="15" s="1"/>
  <c r="U28" i="15"/>
  <c r="K28" i="15"/>
  <c r="S27" i="15"/>
  <c r="O27" i="15"/>
  <c r="Q27" i="15" s="1"/>
  <c r="R27" i="15" s="1"/>
  <c r="U27" i="15"/>
  <c r="K27" i="15"/>
  <c r="S26" i="15"/>
  <c r="O26" i="15"/>
  <c r="Q26" i="15" s="1"/>
  <c r="R26" i="15" s="1"/>
  <c r="U26" i="15"/>
  <c r="K26" i="15"/>
  <c r="S25" i="15"/>
  <c r="O25" i="15"/>
  <c r="Q25" i="15" s="1"/>
  <c r="R25" i="15" s="1"/>
  <c r="U25" i="15"/>
  <c r="K25" i="15"/>
  <c r="S24" i="15"/>
  <c r="O24" i="15"/>
  <c r="Q24" i="15" s="1"/>
  <c r="R24" i="15" s="1"/>
  <c r="U24" i="15"/>
  <c r="K24" i="15"/>
  <c r="S23" i="15"/>
  <c r="O23" i="15"/>
  <c r="Q23" i="15" s="1"/>
  <c r="R23" i="15" s="1"/>
  <c r="U23" i="15"/>
  <c r="K23" i="15"/>
  <c r="S22" i="15"/>
  <c r="O22" i="15"/>
  <c r="Q22" i="15" s="1"/>
  <c r="R22" i="15" s="1"/>
  <c r="U22" i="15"/>
  <c r="K22" i="15"/>
  <c r="S21" i="15"/>
  <c r="O21" i="15"/>
  <c r="Q21" i="15" s="1"/>
  <c r="R21" i="15" s="1"/>
  <c r="U21" i="15"/>
  <c r="K21" i="15"/>
  <c r="S20" i="15"/>
  <c r="O20" i="15"/>
  <c r="Q20" i="15" s="1"/>
  <c r="R20" i="15" s="1"/>
  <c r="U20" i="15"/>
  <c r="K20" i="15"/>
  <c r="S19" i="15"/>
  <c r="O19" i="15"/>
  <c r="Q19" i="15" s="1"/>
  <c r="R19" i="15" s="1"/>
  <c r="U19" i="15"/>
  <c r="K19" i="15"/>
  <c r="S18" i="15"/>
  <c r="O18" i="15"/>
  <c r="Q18" i="15" s="1"/>
  <c r="R18" i="15" s="1"/>
  <c r="U18" i="15"/>
  <c r="K18" i="15"/>
  <c r="S17" i="15"/>
  <c r="O17" i="15"/>
  <c r="Q17" i="15" s="1"/>
  <c r="R17" i="15" s="1"/>
  <c r="U17" i="15"/>
  <c r="K17" i="15"/>
  <c r="S16" i="15"/>
  <c r="O16" i="15"/>
  <c r="Q16" i="15" s="1"/>
  <c r="R16" i="15" s="1"/>
  <c r="U16" i="15"/>
  <c r="K16" i="15"/>
  <c r="S15" i="15"/>
  <c r="O15" i="15"/>
  <c r="Q15" i="15" s="1"/>
  <c r="R15" i="15" s="1"/>
  <c r="U15" i="15"/>
  <c r="K15" i="15"/>
  <c r="S14" i="15"/>
  <c r="O14" i="15"/>
  <c r="Q14" i="15" s="1"/>
  <c r="R14" i="15" s="1"/>
  <c r="U14" i="15"/>
  <c r="K14" i="15"/>
  <c r="S13" i="15"/>
  <c r="O13" i="15"/>
  <c r="Q13" i="15" s="1"/>
  <c r="R13" i="15" s="1"/>
  <c r="U13" i="15"/>
  <c r="K13" i="15"/>
  <c r="S12" i="15"/>
  <c r="O12" i="15"/>
  <c r="Q12" i="15" s="1"/>
  <c r="R12" i="15" s="1"/>
  <c r="U12" i="15"/>
  <c r="K12" i="15"/>
  <c r="S11" i="15"/>
  <c r="O11" i="15"/>
  <c r="Q11" i="15" s="1"/>
  <c r="R11" i="15" s="1"/>
  <c r="U11" i="15"/>
  <c r="K11" i="15"/>
  <c r="S10" i="15"/>
  <c r="O10" i="15"/>
  <c r="Q10" i="15" s="1"/>
  <c r="R10" i="15" s="1"/>
  <c r="N10" i="15"/>
  <c r="U10" i="15" s="1"/>
  <c r="K10" i="15"/>
  <c r="S9" i="15"/>
  <c r="O9" i="15"/>
  <c r="Q9" i="15" s="1"/>
  <c r="R9" i="15" s="1"/>
  <c r="N9" i="15"/>
  <c r="U9" i="15" s="1"/>
  <c r="K9" i="15"/>
  <c r="A9" i="15"/>
  <c r="S8" i="15"/>
  <c r="O8" i="15"/>
  <c r="N8" i="15"/>
  <c r="K8" i="15"/>
  <c r="A3" i="15"/>
  <c r="W319" i="14"/>
  <c r="W318" i="14"/>
  <c r="W317" i="14"/>
  <c r="W316" i="14"/>
  <c r="W315" i="14"/>
  <c r="W314" i="14"/>
  <c r="J10" i="9"/>
  <c r="V247" i="14"/>
  <c r="S247" i="14"/>
  <c r="Q247" i="14"/>
  <c r="R247" i="14" s="1"/>
  <c r="K247" i="14"/>
  <c r="N247" i="14" s="1"/>
  <c r="V246" i="14"/>
  <c r="S246" i="14"/>
  <c r="Q246" i="14"/>
  <c r="R246" i="14" s="1"/>
  <c r="K246" i="14"/>
  <c r="N246" i="14" s="1"/>
  <c r="V245" i="14"/>
  <c r="S245" i="14"/>
  <c r="Q245" i="14"/>
  <c r="R245" i="14" s="1"/>
  <c r="K245" i="14"/>
  <c r="N245" i="14" s="1"/>
  <c r="V244" i="14"/>
  <c r="S244" i="14"/>
  <c r="Q244" i="14"/>
  <c r="R244" i="14" s="1"/>
  <c r="K244" i="14"/>
  <c r="V243" i="14"/>
  <c r="S243" i="14"/>
  <c r="Q243" i="14"/>
  <c r="R243" i="14" s="1"/>
  <c r="K243" i="14"/>
  <c r="N243" i="14" s="1"/>
  <c r="V242" i="14"/>
  <c r="S242" i="14"/>
  <c r="Q242" i="14"/>
  <c r="R242" i="14" s="1"/>
  <c r="K242" i="14"/>
  <c r="N242" i="14" s="1"/>
  <c r="V241" i="14"/>
  <c r="S241" i="14"/>
  <c r="Q241" i="14"/>
  <c r="R241" i="14" s="1"/>
  <c r="K241" i="14"/>
  <c r="V240" i="14"/>
  <c r="S240" i="14"/>
  <c r="Q240" i="14"/>
  <c r="R240" i="14" s="1"/>
  <c r="K240" i="14"/>
  <c r="V239" i="14"/>
  <c r="S239" i="14"/>
  <c r="Q239" i="14"/>
  <c r="R239" i="14" s="1"/>
  <c r="K239" i="14"/>
  <c r="N239" i="14" s="1"/>
  <c r="V238" i="14"/>
  <c r="S238" i="14"/>
  <c r="Q238" i="14"/>
  <c r="R238" i="14" s="1"/>
  <c r="K238" i="14"/>
  <c r="V237" i="14"/>
  <c r="S237" i="14"/>
  <c r="Q237" i="14"/>
  <c r="R237" i="14" s="1"/>
  <c r="K237" i="14"/>
  <c r="N237" i="14" s="1"/>
  <c r="U237" i="14" s="1"/>
  <c r="V236" i="14"/>
  <c r="S236" i="14"/>
  <c r="Q236" i="14"/>
  <c r="R236" i="14" s="1"/>
  <c r="K236" i="14"/>
  <c r="N236" i="14" s="1"/>
  <c r="U236" i="14" s="1"/>
  <c r="V235" i="14"/>
  <c r="S235" i="14"/>
  <c r="Q235" i="14"/>
  <c r="R235" i="14" s="1"/>
  <c r="K235" i="14"/>
  <c r="N235" i="14" s="1"/>
  <c r="U235" i="14" s="1"/>
  <c r="V234" i="14"/>
  <c r="S234" i="14"/>
  <c r="Q234" i="14"/>
  <c r="R234" i="14" s="1"/>
  <c r="K234" i="14"/>
  <c r="N234" i="14" s="1"/>
  <c r="U234" i="14" s="1"/>
  <c r="V233" i="14"/>
  <c r="S233" i="14"/>
  <c r="Q233" i="14"/>
  <c r="R233" i="14" s="1"/>
  <c r="K233" i="14"/>
  <c r="N233" i="14" s="1"/>
  <c r="U233" i="14" s="1"/>
  <c r="V232" i="14"/>
  <c r="S232" i="14"/>
  <c r="Q232" i="14"/>
  <c r="R232" i="14" s="1"/>
  <c r="K232" i="14"/>
  <c r="N232" i="14" s="1"/>
  <c r="U232" i="14" s="1"/>
  <c r="V231" i="14"/>
  <c r="S231" i="14"/>
  <c r="Q231" i="14"/>
  <c r="R231" i="14" s="1"/>
  <c r="K231" i="14"/>
  <c r="N231" i="14" s="1"/>
  <c r="U231" i="14" s="1"/>
  <c r="V230" i="14"/>
  <c r="S230" i="14"/>
  <c r="Q230" i="14"/>
  <c r="R230" i="14" s="1"/>
  <c r="K230" i="14"/>
  <c r="N230" i="14" s="1"/>
  <c r="U230" i="14" s="1"/>
  <c r="V229" i="14"/>
  <c r="S229" i="14"/>
  <c r="Q229" i="14"/>
  <c r="R229" i="14" s="1"/>
  <c r="K229" i="14"/>
  <c r="N229" i="14" s="1"/>
  <c r="U229" i="14" s="1"/>
  <c r="V228" i="14"/>
  <c r="S228" i="14"/>
  <c r="Q228" i="14"/>
  <c r="R228" i="14" s="1"/>
  <c r="K228" i="14"/>
  <c r="N228" i="14" s="1"/>
  <c r="U228" i="14" s="1"/>
  <c r="V227" i="14"/>
  <c r="S227" i="14"/>
  <c r="Q227" i="14"/>
  <c r="R227" i="14" s="1"/>
  <c r="K227" i="14"/>
  <c r="N227" i="14" s="1"/>
  <c r="U227" i="14" s="1"/>
  <c r="V226" i="14"/>
  <c r="S226" i="14"/>
  <c r="Q226" i="14"/>
  <c r="R226" i="14" s="1"/>
  <c r="K226" i="14"/>
  <c r="N226" i="14" s="1"/>
  <c r="U226" i="14" s="1"/>
  <c r="V225" i="14"/>
  <c r="S225" i="14"/>
  <c r="Q225" i="14"/>
  <c r="R225" i="14" s="1"/>
  <c r="K225" i="14"/>
  <c r="N225" i="14" s="1"/>
  <c r="U225" i="14" s="1"/>
  <c r="V224" i="14"/>
  <c r="S224" i="14"/>
  <c r="Q224" i="14"/>
  <c r="R224" i="14" s="1"/>
  <c r="K224" i="14"/>
  <c r="N224" i="14" s="1"/>
  <c r="U224" i="14" s="1"/>
  <c r="V223" i="14"/>
  <c r="S223" i="14"/>
  <c r="Q223" i="14"/>
  <c r="R223" i="14" s="1"/>
  <c r="K223" i="14"/>
  <c r="N223" i="14" s="1"/>
  <c r="U223" i="14" s="1"/>
  <c r="V222" i="14"/>
  <c r="S222" i="14"/>
  <c r="Q222" i="14"/>
  <c r="R222" i="14" s="1"/>
  <c r="K222" i="14"/>
  <c r="N222" i="14" s="1"/>
  <c r="U222" i="14" s="1"/>
  <c r="V221" i="14"/>
  <c r="S221" i="14"/>
  <c r="Q221" i="14"/>
  <c r="R221" i="14" s="1"/>
  <c r="K221" i="14"/>
  <c r="N221" i="14" s="1"/>
  <c r="U221" i="14" s="1"/>
  <c r="V220" i="14"/>
  <c r="S220" i="14"/>
  <c r="Q220" i="14"/>
  <c r="R220" i="14" s="1"/>
  <c r="K220" i="14"/>
  <c r="N220" i="14" s="1"/>
  <c r="U220" i="14" s="1"/>
  <c r="V219" i="14"/>
  <c r="S219" i="14"/>
  <c r="Q219" i="14"/>
  <c r="R219" i="14" s="1"/>
  <c r="K219" i="14"/>
  <c r="N219" i="14" s="1"/>
  <c r="U219" i="14" s="1"/>
  <c r="V218" i="14"/>
  <c r="S218" i="14"/>
  <c r="Q218" i="14"/>
  <c r="R218" i="14" s="1"/>
  <c r="K218" i="14"/>
  <c r="N218" i="14" s="1"/>
  <c r="U218" i="14" s="1"/>
  <c r="V217" i="14"/>
  <c r="S217" i="14"/>
  <c r="Q217" i="14"/>
  <c r="R217" i="14" s="1"/>
  <c r="K217" i="14"/>
  <c r="N217" i="14" s="1"/>
  <c r="U217" i="14" s="1"/>
  <c r="V216" i="14"/>
  <c r="S216" i="14"/>
  <c r="Q216" i="14"/>
  <c r="R216" i="14" s="1"/>
  <c r="K216" i="14"/>
  <c r="N216" i="14" s="1"/>
  <c r="U216" i="14" s="1"/>
  <c r="V215" i="14"/>
  <c r="S215" i="14"/>
  <c r="Q215" i="14"/>
  <c r="R215" i="14" s="1"/>
  <c r="K215" i="14"/>
  <c r="N215" i="14" s="1"/>
  <c r="U215" i="14" s="1"/>
  <c r="V214" i="14"/>
  <c r="S214" i="14"/>
  <c r="Q214" i="14"/>
  <c r="R214" i="14" s="1"/>
  <c r="K214" i="14"/>
  <c r="N214" i="14" s="1"/>
  <c r="U214" i="14" s="1"/>
  <c r="V213" i="14"/>
  <c r="S213" i="14"/>
  <c r="O213" i="14"/>
  <c r="Q213" i="14" s="1"/>
  <c r="R213" i="14" s="1"/>
  <c r="K213" i="14"/>
  <c r="N213" i="14" s="1"/>
  <c r="U213" i="14" s="1"/>
  <c r="V212" i="14"/>
  <c r="S212" i="14"/>
  <c r="O212" i="14"/>
  <c r="Q212" i="14" s="1"/>
  <c r="R212" i="14" s="1"/>
  <c r="K212" i="14"/>
  <c r="N212" i="14" s="1"/>
  <c r="U212" i="14" s="1"/>
  <c r="V211" i="14"/>
  <c r="S211" i="14"/>
  <c r="O211" i="14"/>
  <c r="Q211" i="14" s="1"/>
  <c r="R211" i="14" s="1"/>
  <c r="K211" i="14"/>
  <c r="N211" i="14" s="1"/>
  <c r="U211" i="14" s="1"/>
  <c r="V210" i="14"/>
  <c r="S210" i="14"/>
  <c r="O210" i="14"/>
  <c r="Q210" i="14" s="1"/>
  <c r="R210" i="14" s="1"/>
  <c r="K210" i="14"/>
  <c r="N210" i="14" s="1"/>
  <c r="U210" i="14" s="1"/>
  <c r="V209" i="14"/>
  <c r="S209" i="14"/>
  <c r="O209" i="14"/>
  <c r="Q209" i="14" s="1"/>
  <c r="R209" i="14" s="1"/>
  <c r="K209" i="14"/>
  <c r="N209" i="14" s="1"/>
  <c r="V208" i="14"/>
  <c r="S208" i="14"/>
  <c r="O208" i="14"/>
  <c r="Q208" i="14" s="1"/>
  <c r="R208" i="14" s="1"/>
  <c r="K208" i="14"/>
  <c r="V207" i="14"/>
  <c r="S207" i="14"/>
  <c r="O207" i="14"/>
  <c r="Q207" i="14" s="1"/>
  <c r="R207" i="14" s="1"/>
  <c r="K207" i="14"/>
  <c r="N207" i="14" s="1"/>
  <c r="V206" i="14"/>
  <c r="S206" i="14"/>
  <c r="O206" i="14"/>
  <c r="Q206" i="14" s="1"/>
  <c r="R206" i="14" s="1"/>
  <c r="K206" i="14"/>
  <c r="N206" i="14" s="1"/>
  <c r="V205" i="14"/>
  <c r="S205" i="14"/>
  <c r="O205" i="14"/>
  <c r="Q205" i="14" s="1"/>
  <c r="R205" i="14" s="1"/>
  <c r="K205" i="14"/>
  <c r="V204" i="14"/>
  <c r="S204" i="14"/>
  <c r="O204" i="14"/>
  <c r="Q204" i="14" s="1"/>
  <c r="R204" i="14" s="1"/>
  <c r="K204" i="14"/>
  <c r="N204" i="14" s="1"/>
  <c r="V203" i="14"/>
  <c r="S203" i="14"/>
  <c r="O203" i="14"/>
  <c r="Q203" i="14" s="1"/>
  <c r="R203" i="14" s="1"/>
  <c r="K203" i="14"/>
  <c r="N203" i="14" s="1"/>
  <c r="V202" i="14"/>
  <c r="S202" i="14"/>
  <c r="O202" i="14"/>
  <c r="Q202" i="14" s="1"/>
  <c r="R202" i="14" s="1"/>
  <c r="K202" i="14"/>
  <c r="V201" i="14"/>
  <c r="S201" i="14"/>
  <c r="O201" i="14"/>
  <c r="Q201" i="14" s="1"/>
  <c r="R201" i="14" s="1"/>
  <c r="K201" i="14"/>
  <c r="N201" i="14" s="1"/>
  <c r="V200" i="14"/>
  <c r="S200" i="14"/>
  <c r="O200" i="14"/>
  <c r="Q200" i="14" s="1"/>
  <c r="R200" i="14" s="1"/>
  <c r="K200" i="14"/>
  <c r="N200" i="14" s="1"/>
  <c r="V199" i="14"/>
  <c r="S199" i="14"/>
  <c r="O199" i="14"/>
  <c r="Q199" i="14" s="1"/>
  <c r="R199" i="14" s="1"/>
  <c r="K199" i="14"/>
  <c r="V198" i="14"/>
  <c r="S198" i="14"/>
  <c r="O198" i="14"/>
  <c r="Q198" i="14" s="1"/>
  <c r="R198" i="14" s="1"/>
  <c r="K198" i="14"/>
  <c r="V197" i="14"/>
  <c r="S197" i="14"/>
  <c r="O197" i="14"/>
  <c r="Q197" i="14" s="1"/>
  <c r="R197" i="14" s="1"/>
  <c r="K197" i="14"/>
  <c r="N197" i="14" s="1"/>
  <c r="V196" i="14"/>
  <c r="S196" i="14"/>
  <c r="O196" i="14"/>
  <c r="Q196" i="14" s="1"/>
  <c r="R196" i="14" s="1"/>
  <c r="K196" i="14"/>
  <c r="N196" i="14" s="1"/>
  <c r="V195" i="14"/>
  <c r="S195" i="14"/>
  <c r="O195" i="14"/>
  <c r="Q195" i="14" s="1"/>
  <c r="R195" i="14" s="1"/>
  <c r="K195" i="14"/>
  <c r="V194" i="14"/>
  <c r="S194" i="14"/>
  <c r="O194" i="14"/>
  <c r="Q194" i="14" s="1"/>
  <c r="R194" i="14" s="1"/>
  <c r="K194" i="14"/>
  <c r="V193" i="14"/>
  <c r="S193" i="14"/>
  <c r="O193" i="14"/>
  <c r="Q193" i="14" s="1"/>
  <c r="R193" i="14" s="1"/>
  <c r="K193" i="14"/>
  <c r="V192" i="14"/>
  <c r="S192" i="14"/>
  <c r="O192" i="14"/>
  <c r="Q192" i="14" s="1"/>
  <c r="R192" i="14" s="1"/>
  <c r="K192" i="14"/>
  <c r="N192" i="14" s="1"/>
  <c r="U192" i="14" s="1"/>
  <c r="V191" i="14"/>
  <c r="S191" i="14"/>
  <c r="O191" i="14"/>
  <c r="Q191" i="14" s="1"/>
  <c r="R191" i="14" s="1"/>
  <c r="K191" i="14"/>
  <c r="V190" i="14"/>
  <c r="S190" i="14"/>
  <c r="O190" i="14"/>
  <c r="Q190" i="14" s="1"/>
  <c r="R190" i="14" s="1"/>
  <c r="K190" i="14"/>
  <c r="V189" i="14"/>
  <c r="S189" i="14"/>
  <c r="O189" i="14"/>
  <c r="Q189" i="14" s="1"/>
  <c r="R189" i="14" s="1"/>
  <c r="K189" i="14"/>
  <c r="V188" i="14"/>
  <c r="S188" i="14"/>
  <c r="O188" i="14"/>
  <c r="Q188" i="14" s="1"/>
  <c r="R188" i="14" s="1"/>
  <c r="K188" i="14"/>
  <c r="V187" i="14"/>
  <c r="S187" i="14"/>
  <c r="O187" i="14"/>
  <c r="Q187" i="14" s="1"/>
  <c r="R187" i="14" s="1"/>
  <c r="K187" i="14"/>
  <c r="V186" i="14"/>
  <c r="S186" i="14"/>
  <c r="O186" i="14"/>
  <c r="Q186" i="14" s="1"/>
  <c r="R186" i="14" s="1"/>
  <c r="K186" i="14"/>
  <c r="V185" i="14"/>
  <c r="S185" i="14"/>
  <c r="O185" i="14"/>
  <c r="Q185" i="14" s="1"/>
  <c r="R185" i="14" s="1"/>
  <c r="K185" i="14"/>
  <c r="V184" i="14"/>
  <c r="S184" i="14"/>
  <c r="O184" i="14"/>
  <c r="Q184" i="14" s="1"/>
  <c r="R184" i="14" s="1"/>
  <c r="K184" i="14"/>
  <c r="V183" i="14"/>
  <c r="S183" i="14"/>
  <c r="O183" i="14"/>
  <c r="Q183" i="14" s="1"/>
  <c r="R183" i="14" s="1"/>
  <c r="K183" i="14"/>
  <c r="V182" i="14"/>
  <c r="S182" i="14"/>
  <c r="O182" i="14"/>
  <c r="Q182" i="14" s="1"/>
  <c r="R182" i="14" s="1"/>
  <c r="K182" i="14"/>
  <c r="N182" i="14" s="1"/>
  <c r="V181" i="14"/>
  <c r="S181" i="14"/>
  <c r="O181" i="14"/>
  <c r="Q181" i="14" s="1"/>
  <c r="R181" i="14" s="1"/>
  <c r="K181" i="14"/>
  <c r="V180" i="14"/>
  <c r="S180" i="14"/>
  <c r="O180" i="14"/>
  <c r="Q180" i="14" s="1"/>
  <c r="R180" i="14" s="1"/>
  <c r="K180" i="14"/>
  <c r="N180" i="14" s="1"/>
  <c r="V179" i="14"/>
  <c r="S179" i="14"/>
  <c r="O179" i="14"/>
  <c r="Q179" i="14" s="1"/>
  <c r="R179" i="14" s="1"/>
  <c r="K179" i="14"/>
  <c r="N179" i="14" s="1"/>
  <c r="V178" i="14"/>
  <c r="S178" i="14"/>
  <c r="O178" i="14"/>
  <c r="Q178" i="14" s="1"/>
  <c r="R178" i="14" s="1"/>
  <c r="K178" i="14"/>
  <c r="V177" i="14"/>
  <c r="S177" i="14"/>
  <c r="O177" i="14"/>
  <c r="Q177" i="14" s="1"/>
  <c r="R177" i="14" s="1"/>
  <c r="K177" i="14"/>
  <c r="N177" i="14" s="1"/>
  <c r="V176" i="14"/>
  <c r="S176" i="14"/>
  <c r="O176" i="14"/>
  <c r="Q176" i="14" s="1"/>
  <c r="R176" i="14" s="1"/>
  <c r="K176" i="14"/>
  <c r="N176" i="14" s="1"/>
  <c r="V175" i="14"/>
  <c r="S175" i="14"/>
  <c r="O175" i="14"/>
  <c r="Q175" i="14" s="1"/>
  <c r="R175" i="14" s="1"/>
  <c r="K175" i="14"/>
  <c r="N175" i="14" s="1"/>
  <c r="V174" i="14"/>
  <c r="S174" i="14"/>
  <c r="O174" i="14"/>
  <c r="Q174" i="14" s="1"/>
  <c r="R174" i="14" s="1"/>
  <c r="K174" i="14"/>
  <c r="N174" i="14" s="1"/>
  <c r="V173" i="14"/>
  <c r="S173" i="14"/>
  <c r="O173" i="14"/>
  <c r="Q173" i="14" s="1"/>
  <c r="R173" i="14" s="1"/>
  <c r="K173" i="14"/>
  <c r="N173" i="14" s="1"/>
  <c r="V172" i="14"/>
  <c r="S172" i="14"/>
  <c r="O172" i="14"/>
  <c r="Q172" i="14" s="1"/>
  <c r="R172" i="14" s="1"/>
  <c r="K172" i="14"/>
  <c r="N172" i="14" s="1"/>
  <c r="V171" i="14"/>
  <c r="S171" i="14"/>
  <c r="O171" i="14"/>
  <c r="Q171" i="14" s="1"/>
  <c r="R171" i="14" s="1"/>
  <c r="K171" i="14"/>
  <c r="N171" i="14" s="1"/>
  <c r="V170" i="14"/>
  <c r="S170" i="14"/>
  <c r="O170" i="14"/>
  <c r="Q170" i="14" s="1"/>
  <c r="R170" i="14" s="1"/>
  <c r="K170" i="14"/>
  <c r="V169" i="14"/>
  <c r="S169" i="14"/>
  <c r="O169" i="14"/>
  <c r="Q169" i="14" s="1"/>
  <c r="R169" i="14" s="1"/>
  <c r="K169" i="14"/>
  <c r="N169" i="14" s="1"/>
  <c r="V168" i="14"/>
  <c r="S168" i="14"/>
  <c r="O168" i="14"/>
  <c r="Q168" i="14" s="1"/>
  <c r="R168" i="14" s="1"/>
  <c r="K168" i="14"/>
  <c r="N168" i="14" s="1"/>
  <c r="V167" i="14"/>
  <c r="S167" i="14"/>
  <c r="O167" i="14"/>
  <c r="Q167" i="14" s="1"/>
  <c r="R167" i="14" s="1"/>
  <c r="K167" i="14"/>
  <c r="N167" i="14" s="1"/>
  <c r="V166" i="14"/>
  <c r="S166" i="14"/>
  <c r="O166" i="14"/>
  <c r="Q166" i="14" s="1"/>
  <c r="R166" i="14" s="1"/>
  <c r="K166" i="14"/>
  <c r="V165" i="14"/>
  <c r="S165" i="14"/>
  <c r="O165" i="14"/>
  <c r="Q165" i="14" s="1"/>
  <c r="R165" i="14" s="1"/>
  <c r="K165" i="14"/>
  <c r="V164" i="14"/>
  <c r="S164" i="14"/>
  <c r="O164" i="14"/>
  <c r="Q164" i="14" s="1"/>
  <c r="R164" i="14" s="1"/>
  <c r="K164" i="14"/>
  <c r="N164" i="14" s="1"/>
  <c r="V163" i="14"/>
  <c r="S163" i="14"/>
  <c r="O163" i="14"/>
  <c r="Q163" i="14" s="1"/>
  <c r="R163" i="14" s="1"/>
  <c r="K163" i="14"/>
  <c r="V162" i="14"/>
  <c r="S162" i="14"/>
  <c r="O162" i="14"/>
  <c r="Q162" i="14" s="1"/>
  <c r="R162" i="14" s="1"/>
  <c r="K162" i="14"/>
  <c r="V161" i="14"/>
  <c r="S161" i="14"/>
  <c r="O161" i="14"/>
  <c r="Q161" i="14" s="1"/>
  <c r="R161" i="14" s="1"/>
  <c r="K161" i="14"/>
  <c r="V160" i="14"/>
  <c r="S160" i="14"/>
  <c r="O160" i="14"/>
  <c r="Q160" i="14" s="1"/>
  <c r="R160" i="14" s="1"/>
  <c r="K160" i="14"/>
  <c r="V159" i="14"/>
  <c r="S159" i="14"/>
  <c r="O159" i="14"/>
  <c r="Q159" i="14" s="1"/>
  <c r="R159" i="14" s="1"/>
  <c r="K159" i="14"/>
  <c r="V158" i="14"/>
  <c r="S158" i="14"/>
  <c r="O158" i="14"/>
  <c r="Q158" i="14" s="1"/>
  <c r="R158" i="14" s="1"/>
  <c r="K158" i="14"/>
  <c r="V157" i="14"/>
  <c r="S157" i="14"/>
  <c r="O157" i="14"/>
  <c r="Q157" i="14" s="1"/>
  <c r="R157" i="14" s="1"/>
  <c r="K157" i="14"/>
  <c r="N157" i="14" s="1"/>
  <c r="V156" i="14"/>
  <c r="S156" i="14"/>
  <c r="O156" i="14"/>
  <c r="Q156" i="14" s="1"/>
  <c r="R156" i="14" s="1"/>
  <c r="K156" i="14"/>
  <c r="N156" i="14" s="1"/>
  <c r="V155" i="14"/>
  <c r="S155" i="14"/>
  <c r="O155" i="14"/>
  <c r="Q155" i="14" s="1"/>
  <c r="R155" i="14" s="1"/>
  <c r="K155" i="14"/>
  <c r="V154" i="14"/>
  <c r="S154" i="14"/>
  <c r="O154" i="14"/>
  <c r="Q154" i="14" s="1"/>
  <c r="R154" i="14" s="1"/>
  <c r="K154" i="14"/>
  <c r="V153" i="14"/>
  <c r="S153" i="14"/>
  <c r="O153" i="14"/>
  <c r="Q153" i="14" s="1"/>
  <c r="R153" i="14" s="1"/>
  <c r="K153" i="14"/>
  <c r="V152" i="14"/>
  <c r="S152" i="14"/>
  <c r="O152" i="14"/>
  <c r="Q152" i="14" s="1"/>
  <c r="R152" i="14" s="1"/>
  <c r="K152" i="14"/>
  <c r="N152" i="14" s="1"/>
  <c r="V151" i="14"/>
  <c r="S151" i="14"/>
  <c r="O151" i="14"/>
  <c r="Q151" i="14" s="1"/>
  <c r="R151" i="14" s="1"/>
  <c r="K151" i="14"/>
  <c r="N151" i="14" s="1"/>
  <c r="U151" i="14" s="1"/>
  <c r="V150" i="14"/>
  <c r="S150" i="14"/>
  <c r="O150" i="14"/>
  <c r="Q150" i="14" s="1"/>
  <c r="R150" i="14" s="1"/>
  <c r="K150" i="14"/>
  <c r="N150" i="14" s="1"/>
  <c r="U150" i="14" s="1"/>
  <c r="V149" i="14"/>
  <c r="S149" i="14"/>
  <c r="O149" i="14"/>
  <c r="Q149" i="14" s="1"/>
  <c r="R149" i="14" s="1"/>
  <c r="K149" i="14"/>
  <c r="N149" i="14" s="1"/>
  <c r="U149" i="14" s="1"/>
  <c r="V148" i="14"/>
  <c r="S148" i="14"/>
  <c r="O148" i="14"/>
  <c r="Q148" i="14" s="1"/>
  <c r="R148" i="14" s="1"/>
  <c r="K148" i="14"/>
  <c r="N148" i="14" s="1"/>
  <c r="U148" i="14" s="1"/>
  <c r="V147" i="14"/>
  <c r="S147" i="14"/>
  <c r="O147" i="14"/>
  <c r="Q147" i="14" s="1"/>
  <c r="R147" i="14" s="1"/>
  <c r="K147" i="14"/>
  <c r="N147" i="14" s="1"/>
  <c r="U147" i="14" s="1"/>
  <c r="V146" i="14"/>
  <c r="S146" i="14"/>
  <c r="O146" i="14"/>
  <c r="Q146" i="14" s="1"/>
  <c r="R146" i="14" s="1"/>
  <c r="K146" i="14"/>
  <c r="N146" i="14" s="1"/>
  <c r="U146" i="14" s="1"/>
  <c r="V145" i="14"/>
  <c r="S145" i="14"/>
  <c r="O145" i="14"/>
  <c r="Q145" i="14" s="1"/>
  <c r="R145" i="14" s="1"/>
  <c r="K145" i="14"/>
  <c r="N145" i="14" s="1"/>
  <c r="U145" i="14" s="1"/>
  <c r="V144" i="14"/>
  <c r="S144" i="14"/>
  <c r="O144" i="14"/>
  <c r="Q144" i="14" s="1"/>
  <c r="R144" i="14" s="1"/>
  <c r="K144" i="14"/>
  <c r="N144" i="14" s="1"/>
  <c r="U144" i="14" s="1"/>
  <c r="V143" i="14"/>
  <c r="S143" i="14"/>
  <c r="O143" i="14"/>
  <c r="Q143" i="14" s="1"/>
  <c r="R143" i="14" s="1"/>
  <c r="K143" i="14"/>
  <c r="N143" i="14" s="1"/>
  <c r="U143" i="14" s="1"/>
  <c r="V142" i="14"/>
  <c r="S142" i="14"/>
  <c r="O142" i="14"/>
  <c r="Q142" i="14" s="1"/>
  <c r="R142" i="14" s="1"/>
  <c r="K142" i="14"/>
  <c r="N142" i="14" s="1"/>
  <c r="U142" i="14" s="1"/>
  <c r="V141" i="14"/>
  <c r="S141" i="14"/>
  <c r="O141" i="14"/>
  <c r="Q141" i="14" s="1"/>
  <c r="R141" i="14" s="1"/>
  <c r="K141" i="14"/>
  <c r="N141" i="14" s="1"/>
  <c r="U141" i="14" s="1"/>
  <c r="V140" i="14"/>
  <c r="S140" i="14"/>
  <c r="O140" i="14"/>
  <c r="Q140" i="14" s="1"/>
  <c r="R140" i="14" s="1"/>
  <c r="K140" i="14"/>
  <c r="N140" i="14" s="1"/>
  <c r="U140" i="14" s="1"/>
  <c r="V139" i="14"/>
  <c r="S139" i="14"/>
  <c r="O139" i="14"/>
  <c r="Q139" i="14" s="1"/>
  <c r="R139" i="14" s="1"/>
  <c r="K139" i="14"/>
  <c r="N139" i="14" s="1"/>
  <c r="U139" i="14" s="1"/>
  <c r="V138" i="14"/>
  <c r="S138" i="14"/>
  <c r="O138" i="14"/>
  <c r="Q138" i="14" s="1"/>
  <c r="R138" i="14" s="1"/>
  <c r="K138" i="14"/>
  <c r="N138" i="14" s="1"/>
  <c r="U138" i="14" s="1"/>
  <c r="V137" i="14"/>
  <c r="S137" i="14"/>
  <c r="O137" i="14"/>
  <c r="Q137" i="14" s="1"/>
  <c r="R137" i="14" s="1"/>
  <c r="K137" i="14"/>
  <c r="N137" i="14" s="1"/>
  <c r="U137" i="14" s="1"/>
  <c r="S136" i="14"/>
  <c r="O136" i="14"/>
  <c r="Q136" i="14" s="1"/>
  <c r="R136" i="14" s="1"/>
  <c r="K136" i="14"/>
  <c r="N136" i="14" s="1"/>
  <c r="U136" i="14" s="1"/>
  <c r="V135" i="14"/>
  <c r="S135" i="14"/>
  <c r="O135" i="14"/>
  <c r="Q135" i="14" s="1"/>
  <c r="R135" i="14" s="1"/>
  <c r="K135" i="14"/>
  <c r="N135" i="14" s="1"/>
  <c r="U135" i="14" s="1"/>
  <c r="V134" i="14"/>
  <c r="S134" i="14"/>
  <c r="O134" i="14"/>
  <c r="Q134" i="14" s="1"/>
  <c r="R134" i="14" s="1"/>
  <c r="K134" i="14"/>
  <c r="N134" i="14" s="1"/>
  <c r="U134" i="14" s="1"/>
  <c r="V133" i="14"/>
  <c r="S133" i="14"/>
  <c r="O133" i="14"/>
  <c r="Q133" i="14" s="1"/>
  <c r="R133" i="14" s="1"/>
  <c r="K133" i="14"/>
  <c r="N133" i="14" s="1"/>
  <c r="U133" i="14" s="1"/>
  <c r="V132" i="14"/>
  <c r="S132" i="14"/>
  <c r="O132" i="14"/>
  <c r="Q132" i="14" s="1"/>
  <c r="R132" i="14" s="1"/>
  <c r="K132" i="14"/>
  <c r="N132" i="14" s="1"/>
  <c r="U132" i="14" s="1"/>
  <c r="V131" i="14"/>
  <c r="S131" i="14"/>
  <c r="O131" i="14"/>
  <c r="Q131" i="14" s="1"/>
  <c r="R131" i="14" s="1"/>
  <c r="K131" i="14"/>
  <c r="N131" i="14" s="1"/>
  <c r="U131" i="14" s="1"/>
  <c r="V130" i="14"/>
  <c r="S130" i="14"/>
  <c r="O130" i="14"/>
  <c r="Q130" i="14" s="1"/>
  <c r="R130" i="14" s="1"/>
  <c r="K130" i="14"/>
  <c r="N130" i="14" s="1"/>
  <c r="U130" i="14" s="1"/>
  <c r="V129" i="14"/>
  <c r="S129" i="14"/>
  <c r="O129" i="14"/>
  <c r="Q129" i="14" s="1"/>
  <c r="R129" i="14" s="1"/>
  <c r="K129" i="14"/>
  <c r="N129" i="14" s="1"/>
  <c r="U129" i="14" s="1"/>
  <c r="V128" i="14"/>
  <c r="S128" i="14"/>
  <c r="O128" i="14"/>
  <c r="Q128" i="14" s="1"/>
  <c r="R128" i="14" s="1"/>
  <c r="K128" i="14"/>
  <c r="N128" i="14" s="1"/>
  <c r="U128" i="14" s="1"/>
  <c r="V127" i="14"/>
  <c r="S127" i="14"/>
  <c r="O127" i="14"/>
  <c r="Q127" i="14" s="1"/>
  <c r="R127" i="14" s="1"/>
  <c r="K127" i="14"/>
  <c r="N127" i="14" s="1"/>
  <c r="S126" i="14"/>
  <c r="O126" i="14"/>
  <c r="Q126" i="14" s="1"/>
  <c r="R126" i="14" s="1"/>
  <c r="K126" i="14"/>
  <c r="N126" i="14" s="1"/>
  <c r="U126" i="14" s="1"/>
  <c r="S125" i="14"/>
  <c r="O125" i="14"/>
  <c r="Q125" i="14" s="1"/>
  <c r="R125" i="14" s="1"/>
  <c r="K125" i="14"/>
  <c r="N125" i="14" s="1"/>
  <c r="U125" i="14" s="1"/>
  <c r="W125" i="14" s="1"/>
  <c r="S124" i="14"/>
  <c r="O124" i="14"/>
  <c r="Q124" i="14" s="1"/>
  <c r="R124" i="14" s="1"/>
  <c r="K124" i="14"/>
  <c r="N124" i="14" s="1"/>
  <c r="U124" i="14" s="1"/>
  <c r="S123" i="14"/>
  <c r="O123" i="14"/>
  <c r="Q123" i="14" s="1"/>
  <c r="R123" i="14" s="1"/>
  <c r="K123" i="14"/>
  <c r="N123" i="14" s="1"/>
  <c r="U123" i="14" s="1"/>
  <c r="S122" i="14"/>
  <c r="O122" i="14"/>
  <c r="Q122" i="14" s="1"/>
  <c r="R122" i="14" s="1"/>
  <c r="K122" i="14"/>
  <c r="N122" i="14" s="1"/>
  <c r="U122" i="14" s="1"/>
  <c r="W122" i="14" s="1"/>
  <c r="S121" i="14"/>
  <c r="O121" i="14"/>
  <c r="Q121" i="14" s="1"/>
  <c r="R121" i="14" s="1"/>
  <c r="K121" i="14"/>
  <c r="N121" i="14" s="1"/>
  <c r="U121" i="14" s="1"/>
  <c r="W121" i="14" s="1"/>
  <c r="S120" i="14"/>
  <c r="O120" i="14"/>
  <c r="Q120" i="14" s="1"/>
  <c r="R120" i="14" s="1"/>
  <c r="K120" i="14"/>
  <c r="N120" i="14" s="1"/>
  <c r="U120" i="14" s="1"/>
  <c r="W120" i="14" s="1"/>
  <c r="S119" i="14"/>
  <c r="O119" i="14"/>
  <c r="Q119" i="14" s="1"/>
  <c r="R119" i="14" s="1"/>
  <c r="K119" i="14"/>
  <c r="N119" i="14" s="1"/>
  <c r="U119" i="14" s="1"/>
  <c r="S118" i="14"/>
  <c r="O118" i="14"/>
  <c r="Q118" i="14" s="1"/>
  <c r="R118" i="14" s="1"/>
  <c r="K118" i="14"/>
  <c r="N118" i="14" s="1"/>
  <c r="U118" i="14" s="1"/>
  <c r="W118" i="14" s="1"/>
  <c r="S117" i="14"/>
  <c r="O117" i="14"/>
  <c r="Q117" i="14" s="1"/>
  <c r="R117" i="14" s="1"/>
  <c r="K117" i="14"/>
  <c r="N117" i="14" s="1"/>
  <c r="U117" i="14" s="1"/>
  <c r="S116" i="14"/>
  <c r="O116" i="14"/>
  <c r="Q116" i="14" s="1"/>
  <c r="R116" i="14" s="1"/>
  <c r="K116" i="14"/>
  <c r="N116" i="14" s="1"/>
  <c r="U116" i="14" s="1"/>
  <c r="S115" i="14"/>
  <c r="O115" i="14"/>
  <c r="Q115" i="14" s="1"/>
  <c r="R115" i="14" s="1"/>
  <c r="K115" i="14"/>
  <c r="N115" i="14" s="1"/>
  <c r="U115" i="14" s="1"/>
  <c r="S114" i="14"/>
  <c r="O114" i="14"/>
  <c r="Q114" i="14" s="1"/>
  <c r="R114" i="14" s="1"/>
  <c r="K114" i="14"/>
  <c r="N114" i="14" s="1"/>
  <c r="U114" i="14" s="1"/>
  <c r="S113" i="14"/>
  <c r="O113" i="14"/>
  <c r="Q113" i="14" s="1"/>
  <c r="R113" i="14" s="1"/>
  <c r="K113" i="14"/>
  <c r="N113" i="14" s="1"/>
  <c r="U113" i="14" s="1"/>
  <c r="S112" i="14"/>
  <c r="O112" i="14"/>
  <c r="Q112" i="14" s="1"/>
  <c r="R112" i="14" s="1"/>
  <c r="K112" i="14"/>
  <c r="N112" i="14" s="1"/>
  <c r="U112" i="14" s="1"/>
  <c r="S111" i="14"/>
  <c r="O111" i="14"/>
  <c r="Q111" i="14" s="1"/>
  <c r="R111" i="14" s="1"/>
  <c r="K111" i="14"/>
  <c r="N111" i="14" s="1"/>
  <c r="U111" i="14" s="1"/>
  <c r="W111" i="14" s="1"/>
  <c r="S110" i="14"/>
  <c r="O110" i="14"/>
  <c r="Q110" i="14" s="1"/>
  <c r="R110" i="14" s="1"/>
  <c r="K110" i="14"/>
  <c r="N110" i="14" s="1"/>
  <c r="U110" i="14" s="1"/>
  <c r="S109" i="14"/>
  <c r="O109" i="14"/>
  <c r="Q109" i="14" s="1"/>
  <c r="R109" i="14" s="1"/>
  <c r="K109" i="14"/>
  <c r="N109" i="14" s="1"/>
  <c r="U109" i="14" s="1"/>
  <c r="W109" i="14" s="1"/>
  <c r="S108" i="14"/>
  <c r="O108" i="14"/>
  <c r="Q108" i="14" s="1"/>
  <c r="R108" i="14" s="1"/>
  <c r="K108" i="14"/>
  <c r="N108" i="14" s="1"/>
  <c r="U108" i="14" s="1"/>
  <c r="S107" i="14"/>
  <c r="O107" i="14"/>
  <c r="Q107" i="14" s="1"/>
  <c r="R107" i="14" s="1"/>
  <c r="K107" i="14"/>
  <c r="N107" i="14" s="1"/>
  <c r="U107" i="14" s="1"/>
  <c r="S106" i="14"/>
  <c r="O106" i="14"/>
  <c r="Q106" i="14" s="1"/>
  <c r="R106" i="14" s="1"/>
  <c r="K106" i="14"/>
  <c r="N106" i="14" s="1"/>
  <c r="U106" i="14" s="1"/>
  <c r="W106" i="14" s="1"/>
  <c r="S105" i="14"/>
  <c r="O105" i="14"/>
  <c r="Q105" i="14" s="1"/>
  <c r="R105" i="14" s="1"/>
  <c r="K105" i="14"/>
  <c r="N105" i="14" s="1"/>
  <c r="U105" i="14" s="1"/>
  <c r="S104" i="14"/>
  <c r="O104" i="14"/>
  <c r="Q104" i="14" s="1"/>
  <c r="R104" i="14" s="1"/>
  <c r="K104" i="14"/>
  <c r="N104" i="14" s="1"/>
  <c r="U104" i="14" s="1"/>
  <c r="W104" i="14" s="1"/>
  <c r="S103" i="14"/>
  <c r="O103" i="14"/>
  <c r="Q103" i="14" s="1"/>
  <c r="R103" i="14" s="1"/>
  <c r="K103" i="14"/>
  <c r="N103" i="14" s="1"/>
  <c r="U103" i="14" s="1"/>
  <c r="S102" i="14"/>
  <c r="O102" i="14"/>
  <c r="Q102" i="14" s="1"/>
  <c r="R102" i="14" s="1"/>
  <c r="K102" i="14"/>
  <c r="N102" i="14" s="1"/>
  <c r="U102" i="14" s="1"/>
  <c r="S101" i="14"/>
  <c r="O101" i="14"/>
  <c r="Q101" i="14" s="1"/>
  <c r="R101" i="14" s="1"/>
  <c r="K101" i="14"/>
  <c r="N101" i="14" s="1"/>
  <c r="U101" i="14" s="1"/>
  <c r="W101" i="14" s="1"/>
  <c r="S100" i="14"/>
  <c r="O100" i="14"/>
  <c r="Q100" i="14" s="1"/>
  <c r="R100" i="14" s="1"/>
  <c r="K100" i="14"/>
  <c r="N100" i="14" s="1"/>
  <c r="U100" i="14" s="1"/>
  <c r="W100" i="14" s="1"/>
  <c r="S99" i="14"/>
  <c r="O99" i="14"/>
  <c r="Q99" i="14" s="1"/>
  <c r="R99" i="14" s="1"/>
  <c r="K99" i="14"/>
  <c r="N99" i="14" s="1"/>
  <c r="U99" i="14" s="1"/>
  <c r="W99" i="14" s="1"/>
  <c r="S98" i="14"/>
  <c r="O98" i="14"/>
  <c r="Q98" i="14" s="1"/>
  <c r="R98" i="14" s="1"/>
  <c r="K98" i="14"/>
  <c r="N98" i="14" s="1"/>
  <c r="U98" i="14" s="1"/>
  <c r="W98" i="14" s="1"/>
  <c r="S97" i="14"/>
  <c r="O97" i="14"/>
  <c r="Q97" i="14" s="1"/>
  <c r="R97" i="14" s="1"/>
  <c r="K97" i="14"/>
  <c r="N97" i="14" s="1"/>
  <c r="U97" i="14" s="1"/>
  <c r="S96" i="14"/>
  <c r="O96" i="14"/>
  <c r="Q96" i="14" s="1"/>
  <c r="R96" i="14" s="1"/>
  <c r="K96" i="14"/>
  <c r="N96" i="14" s="1"/>
  <c r="U96" i="14" s="1"/>
  <c r="W96" i="14" s="1"/>
  <c r="S95" i="14"/>
  <c r="O95" i="14"/>
  <c r="Q95" i="14" s="1"/>
  <c r="R95" i="14" s="1"/>
  <c r="K95" i="14"/>
  <c r="N95" i="14" s="1"/>
  <c r="U95" i="14" s="1"/>
  <c r="S94" i="14"/>
  <c r="O94" i="14"/>
  <c r="Q94" i="14" s="1"/>
  <c r="R94" i="14" s="1"/>
  <c r="K94" i="14"/>
  <c r="N94" i="14" s="1"/>
  <c r="U94" i="14" s="1"/>
  <c r="W94" i="14" s="1"/>
  <c r="S93" i="14"/>
  <c r="O93" i="14"/>
  <c r="Q93" i="14" s="1"/>
  <c r="R93" i="14" s="1"/>
  <c r="K93" i="14"/>
  <c r="N93" i="14" s="1"/>
  <c r="U93" i="14" s="1"/>
  <c r="S92" i="14"/>
  <c r="O92" i="14"/>
  <c r="Q92" i="14" s="1"/>
  <c r="R92" i="14" s="1"/>
  <c r="K92" i="14"/>
  <c r="N92" i="14" s="1"/>
  <c r="U92" i="14" s="1"/>
  <c r="W92" i="14" s="1"/>
  <c r="S91" i="14"/>
  <c r="O91" i="14"/>
  <c r="Q91" i="14" s="1"/>
  <c r="R91" i="14" s="1"/>
  <c r="K91" i="14"/>
  <c r="N91" i="14" s="1"/>
  <c r="U91" i="14" s="1"/>
  <c r="W91" i="14" s="1"/>
  <c r="S90" i="14"/>
  <c r="O90" i="14"/>
  <c r="Q90" i="14" s="1"/>
  <c r="R90" i="14" s="1"/>
  <c r="K90" i="14"/>
  <c r="N90" i="14" s="1"/>
  <c r="U90" i="14" s="1"/>
  <c r="S89" i="14"/>
  <c r="O89" i="14"/>
  <c r="Q89" i="14" s="1"/>
  <c r="R89" i="14" s="1"/>
  <c r="K89" i="14"/>
  <c r="N89" i="14" s="1"/>
  <c r="U89" i="14" s="1"/>
  <c r="W89" i="14" s="1"/>
  <c r="S88" i="14"/>
  <c r="O88" i="14"/>
  <c r="Q88" i="14" s="1"/>
  <c r="R88" i="14" s="1"/>
  <c r="K88" i="14"/>
  <c r="N88" i="14" s="1"/>
  <c r="U88" i="14" s="1"/>
  <c r="S87" i="14"/>
  <c r="O87" i="14"/>
  <c r="Q87" i="14" s="1"/>
  <c r="R87" i="14" s="1"/>
  <c r="K87" i="14"/>
  <c r="N87" i="14" s="1"/>
  <c r="U87" i="14" s="1"/>
  <c r="S86" i="14"/>
  <c r="O86" i="14"/>
  <c r="Q86" i="14" s="1"/>
  <c r="R86" i="14" s="1"/>
  <c r="K86" i="14"/>
  <c r="N86" i="14" s="1"/>
  <c r="U86" i="14" s="1"/>
  <c r="S85" i="14"/>
  <c r="O85" i="14"/>
  <c r="Q85" i="14" s="1"/>
  <c r="R85" i="14" s="1"/>
  <c r="K85" i="14"/>
  <c r="N85" i="14" s="1"/>
  <c r="U85" i="14" s="1"/>
  <c r="S84" i="14"/>
  <c r="O84" i="14"/>
  <c r="Q84" i="14" s="1"/>
  <c r="R84" i="14" s="1"/>
  <c r="K84" i="14"/>
  <c r="N84" i="14" s="1"/>
  <c r="U84" i="14" s="1"/>
  <c r="S83" i="14"/>
  <c r="O83" i="14"/>
  <c r="Q83" i="14" s="1"/>
  <c r="R83" i="14" s="1"/>
  <c r="K83" i="14"/>
  <c r="N83" i="14" s="1"/>
  <c r="U83" i="14" s="1"/>
  <c r="S82" i="14"/>
  <c r="O82" i="14"/>
  <c r="Q82" i="14" s="1"/>
  <c r="R82" i="14" s="1"/>
  <c r="K82" i="14"/>
  <c r="N82" i="14" s="1"/>
  <c r="U82" i="14" s="1"/>
  <c r="S81" i="14"/>
  <c r="O81" i="14"/>
  <c r="Q81" i="14" s="1"/>
  <c r="R81" i="14" s="1"/>
  <c r="K81" i="14"/>
  <c r="N81" i="14" s="1"/>
  <c r="U81" i="14" s="1"/>
  <c r="S80" i="14"/>
  <c r="O80" i="14"/>
  <c r="Q80" i="14" s="1"/>
  <c r="R80" i="14" s="1"/>
  <c r="K80" i="14"/>
  <c r="N80" i="14" s="1"/>
  <c r="U80" i="14" s="1"/>
  <c r="S79" i="14"/>
  <c r="O79" i="14"/>
  <c r="Q79" i="14" s="1"/>
  <c r="R79" i="14" s="1"/>
  <c r="K79" i="14"/>
  <c r="N79" i="14" s="1"/>
  <c r="U79" i="14" s="1"/>
  <c r="S78" i="14"/>
  <c r="O78" i="14"/>
  <c r="Q78" i="14" s="1"/>
  <c r="R78" i="14" s="1"/>
  <c r="K78" i="14"/>
  <c r="N78" i="14" s="1"/>
  <c r="U78" i="14" s="1"/>
  <c r="S77" i="14"/>
  <c r="O77" i="14"/>
  <c r="Q77" i="14" s="1"/>
  <c r="R77" i="14" s="1"/>
  <c r="K77" i="14"/>
  <c r="N77" i="14" s="1"/>
  <c r="U77" i="14" s="1"/>
  <c r="W77" i="14" s="1"/>
  <c r="S76" i="14"/>
  <c r="O76" i="14"/>
  <c r="Q76" i="14" s="1"/>
  <c r="R76" i="14" s="1"/>
  <c r="K76" i="14"/>
  <c r="N76" i="14" s="1"/>
  <c r="U76" i="14" s="1"/>
  <c r="S75" i="14"/>
  <c r="O75" i="14"/>
  <c r="Q75" i="14" s="1"/>
  <c r="R75" i="14" s="1"/>
  <c r="K75" i="14"/>
  <c r="N75" i="14" s="1"/>
  <c r="U75" i="14" s="1"/>
  <c r="W75" i="14" s="1"/>
  <c r="S74" i="14"/>
  <c r="O74" i="14"/>
  <c r="Q74" i="14" s="1"/>
  <c r="R74" i="14" s="1"/>
  <c r="K74" i="14"/>
  <c r="N74" i="14" s="1"/>
  <c r="U74" i="14" s="1"/>
  <c r="W74" i="14" s="1"/>
  <c r="S73" i="14"/>
  <c r="O73" i="14"/>
  <c r="Q73" i="14" s="1"/>
  <c r="R73" i="14" s="1"/>
  <c r="K73" i="14"/>
  <c r="N73" i="14" s="1"/>
  <c r="U73" i="14" s="1"/>
  <c r="W73" i="14" s="1"/>
  <c r="S72" i="14"/>
  <c r="O72" i="14"/>
  <c r="Q72" i="14" s="1"/>
  <c r="R72" i="14" s="1"/>
  <c r="K72" i="14"/>
  <c r="N72" i="14" s="1"/>
  <c r="U72" i="14" s="1"/>
  <c r="W72" i="14" s="1"/>
  <c r="S71" i="14"/>
  <c r="O71" i="14"/>
  <c r="Q71" i="14" s="1"/>
  <c r="R71" i="14" s="1"/>
  <c r="K71" i="14"/>
  <c r="N71" i="14" s="1"/>
  <c r="U71" i="14" s="1"/>
  <c r="S70" i="14"/>
  <c r="O70" i="14"/>
  <c r="Q70" i="14" s="1"/>
  <c r="R70" i="14" s="1"/>
  <c r="K70" i="14"/>
  <c r="N70" i="14" s="1"/>
  <c r="U70" i="14" s="1"/>
  <c r="S69" i="14"/>
  <c r="O69" i="14"/>
  <c r="Q69" i="14" s="1"/>
  <c r="R69" i="14" s="1"/>
  <c r="K69" i="14"/>
  <c r="N69" i="14" s="1"/>
  <c r="U69" i="14" s="1"/>
  <c r="W69" i="14" s="1"/>
  <c r="S68" i="14"/>
  <c r="O68" i="14"/>
  <c r="Q68" i="14" s="1"/>
  <c r="R68" i="14" s="1"/>
  <c r="K68" i="14"/>
  <c r="N68" i="14" s="1"/>
  <c r="U68" i="14" s="1"/>
  <c r="S67" i="14"/>
  <c r="O67" i="14"/>
  <c r="Q67" i="14" s="1"/>
  <c r="R67" i="14" s="1"/>
  <c r="K67" i="14"/>
  <c r="N67" i="14" s="1"/>
  <c r="U67" i="14" s="1"/>
  <c r="S66" i="14"/>
  <c r="O66" i="14"/>
  <c r="Q66" i="14" s="1"/>
  <c r="R66" i="14" s="1"/>
  <c r="K66" i="14"/>
  <c r="N66" i="14" s="1"/>
  <c r="U66" i="14" s="1"/>
  <c r="W66" i="14" s="1"/>
  <c r="S65" i="14"/>
  <c r="O65" i="14"/>
  <c r="Q65" i="14" s="1"/>
  <c r="R65" i="14" s="1"/>
  <c r="K65" i="14"/>
  <c r="N65" i="14" s="1"/>
  <c r="U65" i="14" s="1"/>
  <c r="W65" i="14" s="1"/>
  <c r="S64" i="14"/>
  <c r="O64" i="14"/>
  <c r="Q64" i="14" s="1"/>
  <c r="R64" i="14" s="1"/>
  <c r="K64" i="14"/>
  <c r="N64" i="14" s="1"/>
  <c r="U64" i="14" s="1"/>
  <c r="W64" i="14" s="1"/>
  <c r="S63" i="14"/>
  <c r="O63" i="14"/>
  <c r="Q63" i="14" s="1"/>
  <c r="R63" i="14" s="1"/>
  <c r="K63" i="14"/>
  <c r="N63" i="14" s="1"/>
  <c r="U63" i="14" s="1"/>
  <c r="S62" i="14"/>
  <c r="O62" i="14"/>
  <c r="Q62" i="14" s="1"/>
  <c r="R62" i="14" s="1"/>
  <c r="K62" i="14"/>
  <c r="N62" i="14" s="1"/>
  <c r="U62" i="14" s="1"/>
  <c r="S61" i="14"/>
  <c r="O61" i="14"/>
  <c r="Q61" i="14" s="1"/>
  <c r="R61" i="14" s="1"/>
  <c r="K61" i="14"/>
  <c r="N61" i="14" s="1"/>
  <c r="U61" i="14" s="1"/>
  <c r="S60" i="14"/>
  <c r="O60" i="14"/>
  <c r="Q60" i="14" s="1"/>
  <c r="R60" i="14" s="1"/>
  <c r="K60" i="14"/>
  <c r="N60" i="14" s="1"/>
  <c r="U60" i="14" s="1"/>
  <c r="S59" i="14"/>
  <c r="O59" i="14"/>
  <c r="Q59" i="14" s="1"/>
  <c r="R59" i="14" s="1"/>
  <c r="K59" i="14"/>
  <c r="N59" i="14" s="1"/>
  <c r="U59" i="14" s="1"/>
  <c r="W59" i="14" s="1"/>
  <c r="S58" i="14"/>
  <c r="O58" i="14"/>
  <c r="Q58" i="14" s="1"/>
  <c r="R58" i="14" s="1"/>
  <c r="K58" i="14"/>
  <c r="N58" i="14" s="1"/>
  <c r="U58" i="14" s="1"/>
  <c r="W58" i="14" s="1"/>
  <c r="S57" i="14"/>
  <c r="O57" i="14"/>
  <c r="Q57" i="14" s="1"/>
  <c r="R57" i="14" s="1"/>
  <c r="K57" i="14"/>
  <c r="N57" i="14" s="1"/>
  <c r="U57" i="14" s="1"/>
  <c r="W57" i="14" s="1"/>
  <c r="S56" i="14"/>
  <c r="O56" i="14"/>
  <c r="Q56" i="14" s="1"/>
  <c r="R56" i="14" s="1"/>
  <c r="K56" i="14"/>
  <c r="N56" i="14" s="1"/>
  <c r="U56" i="14" s="1"/>
  <c r="W56" i="14" s="1"/>
  <c r="S55" i="14"/>
  <c r="O55" i="14"/>
  <c r="Q55" i="14" s="1"/>
  <c r="R55" i="14" s="1"/>
  <c r="K55" i="14"/>
  <c r="N55" i="14" s="1"/>
  <c r="U55" i="14" s="1"/>
  <c r="S54" i="14"/>
  <c r="O54" i="14"/>
  <c r="Q54" i="14" s="1"/>
  <c r="R54" i="14" s="1"/>
  <c r="K54" i="14"/>
  <c r="N54" i="14" s="1"/>
  <c r="U54" i="14" s="1"/>
  <c r="S53" i="14"/>
  <c r="O53" i="14"/>
  <c r="Q53" i="14" s="1"/>
  <c r="R53" i="14" s="1"/>
  <c r="K53" i="14"/>
  <c r="N53" i="14" s="1"/>
  <c r="U53" i="14" s="1"/>
  <c r="W53" i="14" s="1"/>
  <c r="S52" i="14"/>
  <c r="O52" i="14"/>
  <c r="Q52" i="14" s="1"/>
  <c r="R52" i="14" s="1"/>
  <c r="K52" i="14"/>
  <c r="N52" i="14" s="1"/>
  <c r="U52" i="14" s="1"/>
  <c r="S51" i="14"/>
  <c r="O51" i="14"/>
  <c r="Q51" i="14" s="1"/>
  <c r="R51" i="14" s="1"/>
  <c r="K51" i="14"/>
  <c r="N51" i="14" s="1"/>
  <c r="U51" i="14" s="1"/>
  <c r="W51" i="14" s="1"/>
  <c r="S50" i="14"/>
  <c r="O50" i="14"/>
  <c r="Q50" i="14" s="1"/>
  <c r="R50" i="14" s="1"/>
  <c r="K50" i="14"/>
  <c r="N50" i="14" s="1"/>
  <c r="U50" i="14" s="1"/>
  <c r="W50" i="14" s="1"/>
  <c r="S49" i="14"/>
  <c r="O49" i="14"/>
  <c r="Q49" i="14" s="1"/>
  <c r="R49" i="14" s="1"/>
  <c r="K49" i="14"/>
  <c r="N49" i="14" s="1"/>
  <c r="U49" i="14" s="1"/>
  <c r="S48" i="14"/>
  <c r="O48" i="14"/>
  <c r="Q48" i="14" s="1"/>
  <c r="R48" i="14" s="1"/>
  <c r="K48" i="14"/>
  <c r="N48" i="14" s="1"/>
  <c r="U48" i="14" s="1"/>
  <c r="W48" i="14" s="1"/>
  <c r="S47" i="14"/>
  <c r="O47" i="14"/>
  <c r="Q47" i="14" s="1"/>
  <c r="R47" i="14" s="1"/>
  <c r="K47" i="14"/>
  <c r="N47" i="14" s="1"/>
  <c r="U47" i="14" s="1"/>
  <c r="S46" i="14"/>
  <c r="O46" i="14"/>
  <c r="Q46" i="14" s="1"/>
  <c r="R46" i="14" s="1"/>
  <c r="K46" i="14"/>
  <c r="N46" i="14" s="1"/>
  <c r="U46" i="14" s="1"/>
  <c r="S45" i="14"/>
  <c r="O45" i="14"/>
  <c r="Q45" i="14" s="1"/>
  <c r="R45" i="14" s="1"/>
  <c r="K45" i="14"/>
  <c r="N45" i="14" s="1"/>
  <c r="U45" i="14" s="1"/>
  <c r="W45" i="14" s="1"/>
  <c r="S44" i="14"/>
  <c r="O44" i="14"/>
  <c r="Q44" i="14" s="1"/>
  <c r="R44" i="14" s="1"/>
  <c r="K44" i="14"/>
  <c r="N44" i="14" s="1"/>
  <c r="U44" i="14" s="1"/>
  <c r="W44" i="14" s="1"/>
  <c r="S43" i="14"/>
  <c r="O43" i="14"/>
  <c r="Q43" i="14" s="1"/>
  <c r="R43" i="14" s="1"/>
  <c r="K43" i="14"/>
  <c r="N43" i="14" s="1"/>
  <c r="U43" i="14" s="1"/>
  <c r="W43" i="14" s="1"/>
  <c r="S42" i="14"/>
  <c r="O42" i="14"/>
  <c r="Q42" i="14" s="1"/>
  <c r="R42" i="14" s="1"/>
  <c r="K42" i="14"/>
  <c r="N42" i="14" s="1"/>
  <c r="U42" i="14" s="1"/>
  <c r="S41" i="14"/>
  <c r="O41" i="14"/>
  <c r="Q41" i="14" s="1"/>
  <c r="R41" i="14" s="1"/>
  <c r="K41" i="14"/>
  <c r="N41" i="14" s="1"/>
  <c r="U41" i="14" s="1"/>
  <c r="W41" i="14" s="1"/>
  <c r="S40" i="14"/>
  <c r="O40" i="14"/>
  <c r="Q40" i="14" s="1"/>
  <c r="R40" i="14" s="1"/>
  <c r="K40" i="14"/>
  <c r="N40" i="14" s="1"/>
  <c r="U40" i="14" s="1"/>
  <c r="S39" i="14"/>
  <c r="O39" i="14"/>
  <c r="Q39" i="14" s="1"/>
  <c r="R39" i="14" s="1"/>
  <c r="K39" i="14"/>
  <c r="N39" i="14" s="1"/>
  <c r="U39" i="14" s="1"/>
  <c r="W39" i="14" s="1"/>
  <c r="S38" i="14"/>
  <c r="O38" i="14"/>
  <c r="Q38" i="14" s="1"/>
  <c r="R38" i="14" s="1"/>
  <c r="K38" i="14"/>
  <c r="N38" i="14" s="1"/>
  <c r="U38" i="14" s="1"/>
  <c r="W38" i="14" s="1"/>
  <c r="S37" i="14"/>
  <c r="O37" i="14"/>
  <c r="Q37" i="14" s="1"/>
  <c r="R37" i="14" s="1"/>
  <c r="K37" i="14"/>
  <c r="N37" i="14" s="1"/>
  <c r="U37" i="14" s="1"/>
  <c r="S36" i="14"/>
  <c r="O36" i="14"/>
  <c r="Q36" i="14" s="1"/>
  <c r="R36" i="14" s="1"/>
  <c r="K36" i="14"/>
  <c r="N36" i="14" s="1"/>
  <c r="U36" i="14" s="1"/>
  <c r="S35" i="14"/>
  <c r="O35" i="14"/>
  <c r="Q35" i="14" s="1"/>
  <c r="R35" i="14" s="1"/>
  <c r="K35" i="14"/>
  <c r="N35" i="14" s="1"/>
  <c r="U35" i="14" s="1"/>
  <c r="W35" i="14" s="1"/>
  <c r="S34" i="14"/>
  <c r="O34" i="14"/>
  <c r="Q34" i="14" s="1"/>
  <c r="R34" i="14" s="1"/>
  <c r="K34" i="14"/>
  <c r="N34" i="14" s="1"/>
  <c r="U34" i="14" s="1"/>
  <c r="S33" i="14"/>
  <c r="O33" i="14"/>
  <c r="Q33" i="14" s="1"/>
  <c r="R33" i="14" s="1"/>
  <c r="K33" i="14"/>
  <c r="N33" i="14" s="1"/>
  <c r="U33" i="14" s="1"/>
  <c r="S32" i="14"/>
  <c r="O32" i="14"/>
  <c r="Q32" i="14" s="1"/>
  <c r="R32" i="14" s="1"/>
  <c r="K32" i="14"/>
  <c r="N32" i="14" s="1"/>
  <c r="U32" i="14" s="1"/>
  <c r="S31" i="14"/>
  <c r="O31" i="14"/>
  <c r="Q31" i="14" s="1"/>
  <c r="R31" i="14" s="1"/>
  <c r="K31" i="14"/>
  <c r="N31" i="14" s="1"/>
  <c r="U31" i="14" s="1"/>
  <c r="S30" i="14"/>
  <c r="O30" i="14"/>
  <c r="Q30" i="14" s="1"/>
  <c r="R30" i="14" s="1"/>
  <c r="K30" i="14"/>
  <c r="N30" i="14" s="1"/>
  <c r="U30" i="14" s="1"/>
  <c r="W30" i="14" s="1"/>
  <c r="S29" i="14"/>
  <c r="O29" i="14"/>
  <c r="Q29" i="14" s="1"/>
  <c r="R29" i="14" s="1"/>
  <c r="K29" i="14"/>
  <c r="N29" i="14" s="1"/>
  <c r="U29" i="14" s="1"/>
  <c r="S28" i="14"/>
  <c r="O28" i="14"/>
  <c r="Q28" i="14" s="1"/>
  <c r="R28" i="14" s="1"/>
  <c r="K28" i="14"/>
  <c r="N28" i="14" s="1"/>
  <c r="U28" i="14" s="1"/>
  <c r="S27" i="14"/>
  <c r="O27" i="14"/>
  <c r="Q27" i="14" s="1"/>
  <c r="R27" i="14" s="1"/>
  <c r="K27" i="14"/>
  <c r="N27" i="14" s="1"/>
  <c r="U27" i="14" s="1"/>
  <c r="W27" i="14" s="1"/>
  <c r="S26" i="14"/>
  <c r="O26" i="14"/>
  <c r="Q26" i="14" s="1"/>
  <c r="R26" i="14" s="1"/>
  <c r="K26" i="14"/>
  <c r="N26" i="14" s="1"/>
  <c r="U26" i="14" s="1"/>
  <c r="S25" i="14"/>
  <c r="O25" i="14"/>
  <c r="Q25" i="14" s="1"/>
  <c r="R25" i="14" s="1"/>
  <c r="K25" i="14"/>
  <c r="N25" i="14" s="1"/>
  <c r="U25" i="14" s="1"/>
  <c r="S24" i="14"/>
  <c r="O24" i="14"/>
  <c r="Q24" i="14" s="1"/>
  <c r="R24" i="14" s="1"/>
  <c r="K24" i="14"/>
  <c r="N24" i="14" s="1"/>
  <c r="U24" i="14" s="1"/>
  <c r="W24" i="14" s="1"/>
  <c r="S23" i="14"/>
  <c r="O23" i="14"/>
  <c r="Q23" i="14" s="1"/>
  <c r="R23" i="14" s="1"/>
  <c r="K23" i="14"/>
  <c r="N23" i="14" s="1"/>
  <c r="U23" i="14" s="1"/>
  <c r="S22" i="14"/>
  <c r="O22" i="14"/>
  <c r="Q22" i="14" s="1"/>
  <c r="R22" i="14" s="1"/>
  <c r="K22" i="14"/>
  <c r="N22" i="14" s="1"/>
  <c r="U22" i="14" s="1"/>
  <c r="W22" i="14" s="1"/>
  <c r="S21" i="14"/>
  <c r="O21" i="14"/>
  <c r="Q21" i="14" s="1"/>
  <c r="R21" i="14" s="1"/>
  <c r="K21" i="14"/>
  <c r="N21" i="14" s="1"/>
  <c r="U21" i="14" s="1"/>
  <c r="S20" i="14"/>
  <c r="O20" i="14"/>
  <c r="Q20" i="14" s="1"/>
  <c r="R20" i="14" s="1"/>
  <c r="K20" i="14"/>
  <c r="N20" i="14" s="1"/>
  <c r="U20" i="14" s="1"/>
  <c r="S19" i="14"/>
  <c r="O19" i="14"/>
  <c r="Q19" i="14" s="1"/>
  <c r="R19" i="14" s="1"/>
  <c r="K19" i="14"/>
  <c r="N19" i="14" s="1"/>
  <c r="U19" i="14" s="1"/>
  <c r="W19" i="14" s="1"/>
  <c r="S18" i="14"/>
  <c r="O18" i="14"/>
  <c r="Q18" i="14" s="1"/>
  <c r="R18" i="14" s="1"/>
  <c r="K18" i="14"/>
  <c r="N18" i="14" s="1"/>
  <c r="U18" i="14" s="1"/>
  <c r="W18" i="14" s="1"/>
  <c r="S17" i="14"/>
  <c r="O17" i="14"/>
  <c r="Q17" i="14" s="1"/>
  <c r="R17" i="14" s="1"/>
  <c r="K17" i="14"/>
  <c r="N17" i="14" s="1"/>
  <c r="U17" i="14" s="1"/>
  <c r="S16" i="14"/>
  <c r="O16" i="14"/>
  <c r="Q16" i="14" s="1"/>
  <c r="R16" i="14" s="1"/>
  <c r="K16" i="14"/>
  <c r="N16" i="14" s="1"/>
  <c r="U16" i="14" s="1"/>
  <c r="S15" i="14"/>
  <c r="O15" i="14"/>
  <c r="Q15" i="14" s="1"/>
  <c r="R15" i="14" s="1"/>
  <c r="K15" i="14"/>
  <c r="N15" i="14" s="1"/>
  <c r="U15" i="14" s="1"/>
  <c r="S14" i="14"/>
  <c r="O14" i="14"/>
  <c r="Q14" i="14" s="1"/>
  <c r="R14" i="14" s="1"/>
  <c r="K14" i="14"/>
  <c r="N14" i="14" s="1"/>
  <c r="U14" i="14" s="1"/>
  <c r="W14" i="14" s="1"/>
  <c r="S13" i="14"/>
  <c r="O13" i="14"/>
  <c r="Q13" i="14" s="1"/>
  <c r="R13" i="14" s="1"/>
  <c r="K13" i="14"/>
  <c r="N13" i="14" s="1"/>
  <c r="U13" i="14" s="1"/>
  <c r="S12" i="14"/>
  <c r="O12" i="14"/>
  <c r="Q12" i="14" s="1"/>
  <c r="R12" i="14" s="1"/>
  <c r="K12" i="14"/>
  <c r="N12" i="14" s="1"/>
  <c r="U12" i="14" s="1"/>
  <c r="S11" i="14"/>
  <c r="O11" i="14"/>
  <c r="Q11" i="14" s="1"/>
  <c r="R11" i="14" s="1"/>
  <c r="K11" i="14"/>
  <c r="N11" i="14" s="1"/>
  <c r="U11" i="14" s="1"/>
  <c r="W11" i="14" s="1"/>
  <c r="S10" i="14"/>
  <c r="O10" i="14"/>
  <c r="Q10" i="14" s="1"/>
  <c r="R10" i="14" s="1"/>
  <c r="K10" i="14"/>
  <c r="N10" i="14" s="1"/>
  <c r="U10" i="14" s="1"/>
  <c r="S9" i="14"/>
  <c r="O9" i="14"/>
  <c r="Q9" i="14" s="1"/>
  <c r="R9" i="14" s="1"/>
  <c r="K9" i="14"/>
  <c r="N9" i="14" s="1"/>
  <c r="U9" i="14" s="1"/>
  <c r="A9" i="14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S8" i="14"/>
  <c r="O8" i="14"/>
  <c r="Q8" i="14" s="1"/>
  <c r="R8" i="14" s="1"/>
  <c r="K8" i="14"/>
  <c r="A3" i="14"/>
  <c r="T24" i="13"/>
  <c r="K9" i="9" s="1"/>
  <c r="H14" i="3" s="1"/>
  <c r="J24" i="13"/>
  <c r="I24" i="13"/>
  <c r="H24" i="13"/>
  <c r="V23" i="13"/>
  <c r="S23" i="13"/>
  <c r="O23" i="13"/>
  <c r="Q23" i="13" s="1"/>
  <c r="R23" i="13" s="1"/>
  <c r="N23" i="13"/>
  <c r="U23" i="13" s="1"/>
  <c r="K23" i="13"/>
  <c r="V22" i="13"/>
  <c r="S22" i="13"/>
  <c r="O22" i="13"/>
  <c r="Q22" i="13" s="1"/>
  <c r="R22" i="13" s="1"/>
  <c r="N22" i="13"/>
  <c r="U22" i="13" s="1"/>
  <c r="K22" i="13"/>
  <c r="V21" i="13"/>
  <c r="U21" i="13"/>
  <c r="S21" i="13"/>
  <c r="O21" i="13"/>
  <c r="Q21" i="13" s="1"/>
  <c r="R21" i="13" s="1"/>
  <c r="N21" i="13"/>
  <c r="K21" i="13"/>
  <c r="V20" i="13"/>
  <c r="S20" i="13"/>
  <c r="O20" i="13"/>
  <c r="Q20" i="13" s="1"/>
  <c r="R20" i="13" s="1"/>
  <c r="N20" i="13"/>
  <c r="U20" i="13" s="1"/>
  <c r="K20" i="13"/>
  <c r="V19" i="13"/>
  <c r="S19" i="13"/>
  <c r="O19" i="13"/>
  <c r="Q19" i="13" s="1"/>
  <c r="R19" i="13" s="1"/>
  <c r="N19" i="13"/>
  <c r="U19" i="13" s="1"/>
  <c r="K19" i="13"/>
  <c r="V18" i="13"/>
  <c r="S18" i="13"/>
  <c r="O18" i="13"/>
  <c r="Q18" i="13" s="1"/>
  <c r="R18" i="13" s="1"/>
  <c r="N18" i="13"/>
  <c r="U18" i="13" s="1"/>
  <c r="W18" i="13" s="1"/>
  <c r="K18" i="13"/>
  <c r="V17" i="13"/>
  <c r="S17" i="13"/>
  <c r="O17" i="13"/>
  <c r="Q17" i="13" s="1"/>
  <c r="R17" i="13" s="1"/>
  <c r="N17" i="13"/>
  <c r="U17" i="13" s="1"/>
  <c r="K17" i="13"/>
  <c r="V16" i="13"/>
  <c r="S16" i="13"/>
  <c r="O16" i="13"/>
  <c r="Q16" i="13" s="1"/>
  <c r="R16" i="13" s="1"/>
  <c r="N16" i="13"/>
  <c r="U16" i="13" s="1"/>
  <c r="K16" i="13"/>
  <c r="V15" i="13"/>
  <c r="S15" i="13"/>
  <c r="O15" i="13"/>
  <c r="Q15" i="13" s="1"/>
  <c r="R15" i="13" s="1"/>
  <c r="N15" i="13"/>
  <c r="U15" i="13" s="1"/>
  <c r="K15" i="13"/>
  <c r="V14" i="13"/>
  <c r="S14" i="13"/>
  <c r="O14" i="13"/>
  <c r="Q14" i="13" s="1"/>
  <c r="R14" i="13" s="1"/>
  <c r="N14" i="13"/>
  <c r="U14" i="13" s="1"/>
  <c r="K14" i="13"/>
  <c r="V13" i="13"/>
  <c r="S13" i="13"/>
  <c r="O13" i="13"/>
  <c r="Q13" i="13" s="1"/>
  <c r="R13" i="13" s="1"/>
  <c r="N13" i="13"/>
  <c r="U13" i="13" s="1"/>
  <c r="K13" i="13"/>
  <c r="V12" i="13"/>
  <c r="S12" i="13"/>
  <c r="O12" i="13"/>
  <c r="Q12" i="13" s="1"/>
  <c r="R12" i="13" s="1"/>
  <c r="N12" i="13"/>
  <c r="U12" i="13" s="1"/>
  <c r="K12" i="13"/>
  <c r="V11" i="13"/>
  <c r="S11" i="13"/>
  <c r="O11" i="13"/>
  <c r="Q11" i="13" s="1"/>
  <c r="R11" i="13" s="1"/>
  <c r="N11" i="13"/>
  <c r="U11" i="13" s="1"/>
  <c r="W11" i="13" s="1"/>
  <c r="K11" i="13"/>
  <c r="V10" i="13"/>
  <c r="S10" i="13"/>
  <c r="O10" i="13"/>
  <c r="Q10" i="13" s="1"/>
  <c r="R10" i="13" s="1"/>
  <c r="N10" i="13"/>
  <c r="U10" i="13" s="1"/>
  <c r="K10" i="13"/>
  <c r="V9" i="13"/>
  <c r="S9" i="13"/>
  <c r="O9" i="13"/>
  <c r="Q9" i="13" s="1"/>
  <c r="R9" i="13" s="1"/>
  <c r="N9" i="13"/>
  <c r="U9" i="13" s="1"/>
  <c r="W9" i="13" s="1"/>
  <c r="K9" i="13"/>
  <c r="A9" i="13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V8" i="13"/>
  <c r="S8" i="13"/>
  <c r="O8" i="13"/>
  <c r="Q8" i="13" s="1"/>
  <c r="R8" i="13" s="1"/>
  <c r="N8" i="13"/>
  <c r="U8" i="13" s="1"/>
  <c r="W8" i="13" s="1"/>
  <c r="M24" i="13"/>
  <c r="J9" i="9" s="1"/>
  <c r="K8" i="13"/>
  <c r="A3" i="13"/>
  <c r="P1840" i="12"/>
  <c r="I1840" i="12"/>
  <c r="W1165" i="12"/>
  <c r="T1165" i="12"/>
  <c r="L1165" i="12"/>
  <c r="K1165" i="12"/>
  <c r="N1165" i="12" s="1"/>
  <c r="W1164" i="12"/>
  <c r="T1164" i="12"/>
  <c r="L1164" i="12"/>
  <c r="K1164" i="12"/>
  <c r="W1163" i="12"/>
  <c r="T1163" i="12"/>
  <c r="L1163" i="12"/>
  <c r="K1163" i="12"/>
  <c r="N1163" i="12" s="1"/>
  <c r="W1162" i="12"/>
  <c r="T1162" i="12"/>
  <c r="L1162" i="12"/>
  <c r="K1162" i="12"/>
  <c r="W1161" i="12"/>
  <c r="T1161" i="12"/>
  <c r="L1161" i="12"/>
  <c r="K1161" i="12"/>
  <c r="W1160" i="12"/>
  <c r="T1160" i="12"/>
  <c r="L1160" i="12"/>
  <c r="K1160" i="12"/>
  <c r="W1159" i="12"/>
  <c r="T1159" i="12"/>
  <c r="L1159" i="12"/>
  <c r="K1159" i="12"/>
  <c r="N1159" i="12" s="1"/>
  <c r="W1158" i="12"/>
  <c r="T1158" i="12"/>
  <c r="L1158" i="12"/>
  <c r="K1158" i="12"/>
  <c r="N1158" i="12" s="1"/>
  <c r="W1157" i="12"/>
  <c r="T1157" i="12"/>
  <c r="L1157" i="12"/>
  <c r="K1157" i="12"/>
  <c r="N1157" i="12" s="1"/>
  <c r="W1156" i="12"/>
  <c r="T1156" i="12"/>
  <c r="L1156" i="12"/>
  <c r="K1156" i="12"/>
  <c r="W1155" i="12"/>
  <c r="T1155" i="12"/>
  <c r="L1155" i="12"/>
  <c r="K1155" i="12"/>
  <c r="N1155" i="12" s="1"/>
  <c r="W1154" i="12"/>
  <c r="T1154" i="12"/>
  <c r="L1154" i="12"/>
  <c r="K1154" i="12"/>
  <c r="N1154" i="12" s="1"/>
  <c r="W1153" i="12"/>
  <c r="T1153" i="12"/>
  <c r="L1153" i="12"/>
  <c r="K1153" i="12"/>
  <c r="N1153" i="12" s="1"/>
  <c r="W1152" i="12"/>
  <c r="T1152" i="12"/>
  <c r="L1152" i="12"/>
  <c r="K1152" i="12"/>
  <c r="W1151" i="12"/>
  <c r="T1151" i="12"/>
  <c r="L1151" i="12"/>
  <c r="K1151" i="12"/>
  <c r="N1151" i="12" s="1"/>
  <c r="W1150" i="12"/>
  <c r="T1150" i="12"/>
  <c r="L1150" i="12"/>
  <c r="K1150" i="12"/>
  <c r="W1149" i="12"/>
  <c r="T1149" i="12"/>
  <c r="L1149" i="12"/>
  <c r="K1149" i="12"/>
  <c r="N1149" i="12" s="1"/>
  <c r="W1148" i="12"/>
  <c r="T1148" i="12"/>
  <c r="L1148" i="12"/>
  <c r="K1148" i="12"/>
  <c r="W1147" i="12"/>
  <c r="T1147" i="12"/>
  <c r="L1147" i="12"/>
  <c r="K1147" i="12"/>
  <c r="N1147" i="12" s="1"/>
  <c r="W1146" i="12"/>
  <c r="T1146" i="12"/>
  <c r="L1146" i="12"/>
  <c r="K1146" i="12"/>
  <c r="N1146" i="12" s="1"/>
  <c r="W1145" i="12"/>
  <c r="T1145" i="12"/>
  <c r="L1145" i="12"/>
  <c r="K1145" i="12"/>
  <c r="N1145" i="12" s="1"/>
  <c r="W1144" i="12"/>
  <c r="T1144" i="12"/>
  <c r="L1144" i="12"/>
  <c r="K1144" i="12"/>
  <c r="W1143" i="12"/>
  <c r="T1143" i="12"/>
  <c r="L1143" i="12"/>
  <c r="K1143" i="12"/>
  <c r="N1143" i="12" s="1"/>
  <c r="W1142" i="12"/>
  <c r="T1142" i="12"/>
  <c r="L1142" i="12"/>
  <c r="K1142" i="12"/>
  <c r="N1142" i="12" s="1"/>
  <c r="W1141" i="12"/>
  <c r="T1141" i="12"/>
  <c r="L1141" i="12"/>
  <c r="K1141" i="12"/>
  <c r="N1141" i="12" s="1"/>
  <c r="W1140" i="12"/>
  <c r="T1140" i="12"/>
  <c r="L1140" i="12"/>
  <c r="K1140" i="12"/>
  <c r="W1139" i="12"/>
  <c r="T1139" i="12"/>
  <c r="L1139" i="12"/>
  <c r="K1139" i="12"/>
  <c r="N1139" i="12" s="1"/>
  <c r="W1138" i="12"/>
  <c r="T1138" i="12"/>
  <c r="L1138" i="12"/>
  <c r="K1138" i="12"/>
  <c r="N1138" i="12" s="1"/>
  <c r="W1137" i="12"/>
  <c r="T1137" i="12"/>
  <c r="L1137" i="12"/>
  <c r="K1137" i="12"/>
  <c r="N1137" i="12" s="1"/>
  <c r="W1136" i="12"/>
  <c r="T1136" i="12"/>
  <c r="L1136" i="12"/>
  <c r="K1136" i="12"/>
  <c r="W1135" i="12"/>
  <c r="T1135" i="12"/>
  <c r="L1135" i="12"/>
  <c r="K1135" i="12"/>
  <c r="N1135" i="12" s="1"/>
  <c r="W1134" i="12"/>
  <c r="T1134" i="12"/>
  <c r="L1134" i="12"/>
  <c r="K1134" i="12"/>
  <c r="N1134" i="12" s="1"/>
  <c r="W1133" i="12"/>
  <c r="T1133" i="12"/>
  <c r="L1133" i="12"/>
  <c r="K1133" i="12"/>
  <c r="W1132" i="12"/>
  <c r="T1132" i="12"/>
  <c r="L1132" i="12"/>
  <c r="K1132" i="12"/>
  <c r="W1131" i="12"/>
  <c r="T1131" i="12"/>
  <c r="L1131" i="12"/>
  <c r="K1131" i="12"/>
  <c r="W1130" i="12"/>
  <c r="T1130" i="12"/>
  <c r="L1130" i="12"/>
  <c r="K1130" i="12"/>
  <c r="N1130" i="12" s="1"/>
  <c r="W1129" i="12"/>
  <c r="T1129" i="12"/>
  <c r="L1129" i="12"/>
  <c r="K1129" i="12"/>
  <c r="N1129" i="12" s="1"/>
  <c r="W1128" i="12"/>
  <c r="T1128" i="12"/>
  <c r="L1128" i="12"/>
  <c r="K1128" i="12"/>
  <c r="W1127" i="12"/>
  <c r="T1127" i="12"/>
  <c r="L1127" i="12"/>
  <c r="K1127" i="12"/>
  <c r="W1126" i="12"/>
  <c r="T1126" i="12"/>
  <c r="L1126" i="12"/>
  <c r="K1126" i="12"/>
  <c r="N1126" i="12" s="1"/>
  <c r="W1125" i="12"/>
  <c r="T1125" i="12"/>
  <c r="L1125" i="12"/>
  <c r="K1125" i="12"/>
  <c r="W1124" i="12"/>
  <c r="T1124" i="12"/>
  <c r="L1124" i="12"/>
  <c r="K1124" i="12"/>
  <c r="W1123" i="12"/>
  <c r="T1123" i="12"/>
  <c r="L1123" i="12"/>
  <c r="K1123" i="12"/>
  <c r="W1122" i="12"/>
  <c r="T1122" i="12"/>
  <c r="L1122" i="12"/>
  <c r="K1122" i="12"/>
  <c r="N1122" i="12" s="1"/>
  <c r="W1121" i="12"/>
  <c r="T1121" i="12"/>
  <c r="L1121" i="12"/>
  <c r="K1121" i="12"/>
  <c r="N1121" i="12" s="1"/>
  <c r="W1120" i="12"/>
  <c r="T1120" i="12"/>
  <c r="L1120" i="12"/>
  <c r="K1120" i="12"/>
  <c r="W1119" i="12"/>
  <c r="T1119" i="12"/>
  <c r="L1119" i="12"/>
  <c r="K1119" i="12"/>
  <c r="W1118" i="12"/>
  <c r="T1118" i="12"/>
  <c r="L1118" i="12"/>
  <c r="K1118" i="12"/>
  <c r="N1118" i="12" s="1"/>
  <c r="W1117" i="12"/>
  <c r="T1117" i="12"/>
  <c r="L1117" i="12"/>
  <c r="K1117" i="12"/>
  <c r="W1116" i="12"/>
  <c r="T1116" i="12"/>
  <c r="L1116" i="12"/>
  <c r="K1116" i="12"/>
  <c r="W1115" i="12"/>
  <c r="T1115" i="12"/>
  <c r="L1115" i="12"/>
  <c r="K1115" i="12"/>
  <c r="W1114" i="12"/>
  <c r="T1114" i="12"/>
  <c r="L1114" i="12"/>
  <c r="K1114" i="12"/>
  <c r="N1114" i="12" s="1"/>
  <c r="W1113" i="12"/>
  <c r="T1113" i="12"/>
  <c r="L1113" i="12"/>
  <c r="K1113" i="12"/>
  <c r="N1113" i="12" s="1"/>
  <c r="W1112" i="12"/>
  <c r="T1112" i="12"/>
  <c r="L1112" i="12"/>
  <c r="K1112" i="12"/>
  <c r="W1111" i="12"/>
  <c r="T1111" i="12"/>
  <c r="L1111" i="12"/>
  <c r="K1111" i="12"/>
  <c r="N1111" i="12" s="1"/>
  <c r="W1110" i="12"/>
  <c r="T1110" i="12"/>
  <c r="L1110" i="12"/>
  <c r="K1110" i="12"/>
  <c r="W1109" i="12"/>
  <c r="T1109" i="12"/>
  <c r="L1109" i="12"/>
  <c r="K1109" i="12"/>
  <c r="N1109" i="12" s="1"/>
  <c r="W1108" i="12"/>
  <c r="T1108" i="12"/>
  <c r="L1108" i="12"/>
  <c r="K1108" i="12"/>
  <c r="W1107" i="12"/>
  <c r="T1107" i="12"/>
  <c r="L1107" i="12"/>
  <c r="K1107" i="12"/>
  <c r="W1106" i="12"/>
  <c r="T1106" i="12"/>
  <c r="L1106" i="12"/>
  <c r="K1106" i="12"/>
  <c r="N1106" i="12" s="1"/>
  <c r="W1105" i="12"/>
  <c r="T1105" i="12"/>
  <c r="L1105" i="12"/>
  <c r="K1105" i="12"/>
  <c r="N1105" i="12" s="1"/>
  <c r="W1104" i="12"/>
  <c r="T1104" i="12"/>
  <c r="L1104" i="12"/>
  <c r="K1104" i="12"/>
  <c r="N1104" i="12" s="1"/>
  <c r="W1103" i="12"/>
  <c r="T1103" i="12"/>
  <c r="L1103" i="12"/>
  <c r="K1103" i="12"/>
  <c r="N1103" i="12" s="1"/>
  <c r="W1102" i="12"/>
  <c r="T1102" i="12"/>
  <c r="L1102" i="12"/>
  <c r="K1102" i="12"/>
  <c r="N1102" i="12" s="1"/>
  <c r="W1101" i="12"/>
  <c r="T1101" i="12"/>
  <c r="L1101" i="12"/>
  <c r="K1101" i="12"/>
  <c r="N1101" i="12" s="1"/>
  <c r="W1100" i="12"/>
  <c r="T1100" i="12"/>
  <c r="L1100" i="12"/>
  <c r="K1100" i="12"/>
  <c r="W1099" i="12"/>
  <c r="T1099" i="12"/>
  <c r="L1099" i="12"/>
  <c r="K1099" i="12"/>
  <c r="N1099" i="12" s="1"/>
  <c r="W1098" i="12"/>
  <c r="T1098" i="12"/>
  <c r="L1098" i="12"/>
  <c r="K1098" i="12"/>
  <c r="N1098" i="12" s="1"/>
  <c r="W1097" i="12"/>
  <c r="T1097" i="12"/>
  <c r="L1097" i="12"/>
  <c r="K1097" i="12"/>
  <c r="N1097" i="12" s="1"/>
  <c r="W1096" i="12"/>
  <c r="T1096" i="12"/>
  <c r="L1096" i="12"/>
  <c r="K1096" i="12"/>
  <c r="W1095" i="12"/>
  <c r="T1095" i="12"/>
  <c r="L1095" i="12"/>
  <c r="K1095" i="12"/>
  <c r="N1095" i="12" s="1"/>
  <c r="W1094" i="12"/>
  <c r="T1094" i="12"/>
  <c r="L1094" i="12"/>
  <c r="K1094" i="12"/>
  <c r="W1093" i="12"/>
  <c r="T1093" i="12"/>
  <c r="L1093" i="12"/>
  <c r="K1093" i="12"/>
  <c r="N1093" i="12" s="1"/>
  <c r="W1092" i="12"/>
  <c r="T1092" i="12"/>
  <c r="L1092" i="12"/>
  <c r="K1092" i="12"/>
  <c r="W1091" i="12"/>
  <c r="T1091" i="12"/>
  <c r="L1091" i="12"/>
  <c r="K1091" i="12"/>
  <c r="N1091" i="12" s="1"/>
  <c r="W1090" i="12"/>
  <c r="T1090" i="12"/>
  <c r="L1090" i="12"/>
  <c r="K1090" i="12"/>
  <c r="N1090" i="12" s="1"/>
  <c r="W1089" i="12"/>
  <c r="T1089" i="12"/>
  <c r="L1089" i="12"/>
  <c r="K1089" i="12"/>
  <c r="N1089" i="12" s="1"/>
  <c r="W1088" i="12"/>
  <c r="T1088" i="12"/>
  <c r="L1088" i="12"/>
  <c r="K1088" i="12"/>
  <c r="W1087" i="12"/>
  <c r="T1087" i="12"/>
  <c r="L1087" i="12"/>
  <c r="K1087" i="12"/>
  <c r="N1087" i="12" s="1"/>
  <c r="W1086" i="12"/>
  <c r="T1086" i="12"/>
  <c r="L1086" i="12"/>
  <c r="K1086" i="12"/>
  <c r="W1085" i="12"/>
  <c r="T1085" i="12"/>
  <c r="L1085" i="12"/>
  <c r="K1085" i="12"/>
  <c r="N1085" i="12" s="1"/>
  <c r="W1084" i="12"/>
  <c r="T1084" i="12"/>
  <c r="L1084" i="12"/>
  <c r="K1084" i="12"/>
  <c r="N1084" i="12" s="1"/>
  <c r="W1083" i="12"/>
  <c r="T1083" i="12"/>
  <c r="L1083" i="12"/>
  <c r="K1083" i="12"/>
  <c r="W1082" i="12"/>
  <c r="T1082" i="12"/>
  <c r="L1082" i="12"/>
  <c r="K1082" i="12"/>
  <c r="W1081" i="12"/>
  <c r="T1081" i="12"/>
  <c r="L1081" i="12"/>
  <c r="K1081" i="12"/>
  <c r="N1081" i="12" s="1"/>
  <c r="W1080" i="12"/>
  <c r="T1080" i="12"/>
  <c r="L1080" i="12"/>
  <c r="K1080" i="12"/>
  <c r="N1080" i="12" s="1"/>
  <c r="W1079" i="12"/>
  <c r="T1079" i="12"/>
  <c r="L1079" i="12"/>
  <c r="K1079" i="12"/>
  <c r="W1078" i="12"/>
  <c r="T1078" i="12"/>
  <c r="L1078" i="12"/>
  <c r="K1078" i="12"/>
  <c r="W1077" i="12"/>
  <c r="T1077" i="12"/>
  <c r="L1077" i="12"/>
  <c r="K1077" i="12"/>
  <c r="N1077" i="12" s="1"/>
  <c r="W1076" i="12"/>
  <c r="T1076" i="12"/>
  <c r="L1076" i="12"/>
  <c r="K1076" i="12"/>
  <c r="W1075" i="12"/>
  <c r="T1075" i="12"/>
  <c r="L1075" i="12"/>
  <c r="K1075" i="12"/>
  <c r="N1075" i="12" s="1"/>
  <c r="W1074" i="12"/>
  <c r="T1074" i="12"/>
  <c r="L1074" i="12"/>
  <c r="K1074" i="12"/>
  <c r="W1073" i="12"/>
  <c r="T1073" i="12"/>
  <c r="L1073" i="12"/>
  <c r="K1073" i="12"/>
  <c r="N1073" i="12" s="1"/>
  <c r="W1072" i="12"/>
  <c r="T1072" i="12"/>
  <c r="L1072" i="12"/>
  <c r="K1072" i="12"/>
  <c r="N1072" i="12" s="1"/>
  <c r="W1071" i="12"/>
  <c r="T1071" i="12"/>
  <c r="L1071" i="12"/>
  <c r="K1071" i="12"/>
  <c r="W1070" i="12"/>
  <c r="T1070" i="12"/>
  <c r="L1070" i="12"/>
  <c r="K1070" i="12"/>
  <c r="W1069" i="12"/>
  <c r="T1069" i="12"/>
  <c r="L1069" i="12"/>
  <c r="K1069" i="12"/>
  <c r="N1069" i="12" s="1"/>
  <c r="W1068" i="12"/>
  <c r="T1068" i="12"/>
  <c r="L1068" i="12"/>
  <c r="K1068" i="12"/>
  <c r="W1067" i="12"/>
  <c r="T1067" i="12"/>
  <c r="L1067" i="12"/>
  <c r="K1067" i="12"/>
  <c r="W1066" i="12"/>
  <c r="T1066" i="12"/>
  <c r="L1066" i="12"/>
  <c r="K1066" i="12"/>
  <c r="N1066" i="12" s="1"/>
  <c r="W1065" i="12"/>
  <c r="T1065" i="12"/>
  <c r="L1065" i="12"/>
  <c r="K1065" i="12"/>
  <c r="N1065" i="12" s="1"/>
  <c r="W1064" i="12"/>
  <c r="T1064" i="12"/>
  <c r="L1064" i="12"/>
  <c r="K1064" i="12"/>
  <c r="W1063" i="12"/>
  <c r="T1063" i="12"/>
  <c r="L1063" i="12"/>
  <c r="K1063" i="12"/>
  <c r="W1062" i="12"/>
  <c r="T1062" i="12"/>
  <c r="L1062" i="12"/>
  <c r="K1062" i="12"/>
  <c r="W1061" i="12"/>
  <c r="T1061" i="12"/>
  <c r="L1061" i="12"/>
  <c r="K1061" i="12"/>
  <c r="N1061" i="12" s="1"/>
  <c r="W1060" i="12"/>
  <c r="T1060" i="12"/>
  <c r="L1060" i="12"/>
  <c r="K1060" i="12"/>
  <c r="W1059" i="12"/>
  <c r="T1059" i="12"/>
  <c r="L1059" i="12"/>
  <c r="K1059" i="12"/>
  <c r="W1058" i="12"/>
  <c r="T1058" i="12"/>
  <c r="L1058" i="12"/>
  <c r="K1058" i="12"/>
  <c r="N1058" i="12" s="1"/>
  <c r="W1057" i="12"/>
  <c r="T1057" i="12"/>
  <c r="L1057" i="12"/>
  <c r="K1057" i="12"/>
  <c r="N1057" i="12" s="1"/>
  <c r="W1056" i="12"/>
  <c r="T1056" i="12"/>
  <c r="L1056" i="12"/>
  <c r="K1056" i="12"/>
  <c r="N1056" i="12" s="1"/>
  <c r="W1055" i="12"/>
  <c r="T1055" i="12"/>
  <c r="L1055" i="12"/>
  <c r="K1055" i="12"/>
  <c r="N1055" i="12" s="1"/>
  <c r="W1054" i="12"/>
  <c r="T1054" i="12"/>
  <c r="L1054" i="12"/>
  <c r="K1054" i="12"/>
  <c r="W1053" i="12"/>
  <c r="T1053" i="12"/>
  <c r="L1053" i="12"/>
  <c r="K1053" i="12"/>
  <c r="N1053" i="12" s="1"/>
  <c r="W1052" i="12"/>
  <c r="T1052" i="12"/>
  <c r="L1052" i="12"/>
  <c r="K1052" i="12"/>
  <c r="W1051" i="12"/>
  <c r="T1051" i="12"/>
  <c r="L1051" i="12"/>
  <c r="K1051" i="12"/>
  <c r="W1050" i="12"/>
  <c r="T1050" i="12"/>
  <c r="L1050" i="12"/>
  <c r="K1050" i="12"/>
  <c r="N1050" i="12" s="1"/>
  <c r="W1049" i="12"/>
  <c r="T1049" i="12"/>
  <c r="L1049" i="12"/>
  <c r="K1049" i="12"/>
  <c r="W1048" i="12"/>
  <c r="T1048" i="12"/>
  <c r="L1048" i="12"/>
  <c r="K1048" i="12"/>
  <c r="N1048" i="12" s="1"/>
  <c r="W1047" i="12"/>
  <c r="T1047" i="12"/>
  <c r="L1047" i="12"/>
  <c r="K1047" i="12"/>
  <c r="N1047" i="12" s="1"/>
  <c r="W1046" i="12"/>
  <c r="T1046" i="12"/>
  <c r="L1046" i="12"/>
  <c r="K1046" i="12"/>
  <c r="W1045" i="12"/>
  <c r="T1045" i="12"/>
  <c r="L1045" i="12"/>
  <c r="K1045" i="12"/>
  <c r="N1045" i="12" s="1"/>
  <c r="W1044" i="12"/>
  <c r="T1044" i="12"/>
  <c r="L1044" i="12"/>
  <c r="K1044" i="12"/>
  <c r="N1044" i="12" s="1"/>
  <c r="W1043" i="12"/>
  <c r="T1043" i="12"/>
  <c r="L1043" i="12"/>
  <c r="K1043" i="12"/>
  <c r="W1042" i="12"/>
  <c r="T1042" i="12"/>
  <c r="L1042" i="12"/>
  <c r="K1042" i="12"/>
  <c r="W1041" i="12"/>
  <c r="T1041" i="12"/>
  <c r="L1041" i="12"/>
  <c r="K1041" i="12"/>
  <c r="N1041" i="12" s="1"/>
  <c r="W1040" i="12"/>
  <c r="T1040" i="12"/>
  <c r="L1040" i="12"/>
  <c r="K1040" i="12"/>
  <c r="N1040" i="12" s="1"/>
  <c r="W1039" i="12"/>
  <c r="T1039" i="12"/>
  <c r="L1039" i="12"/>
  <c r="K1039" i="12"/>
  <c r="N1039" i="12" s="1"/>
  <c r="W1038" i="12"/>
  <c r="T1038" i="12"/>
  <c r="L1038" i="12"/>
  <c r="K1038" i="12"/>
  <c r="N1038" i="12" s="1"/>
  <c r="W1037" i="12"/>
  <c r="T1037" i="12"/>
  <c r="L1037" i="12"/>
  <c r="K1037" i="12"/>
  <c r="W1036" i="12"/>
  <c r="T1036" i="12"/>
  <c r="L1036" i="12"/>
  <c r="K1036" i="12"/>
  <c r="W1035" i="12"/>
  <c r="T1035" i="12"/>
  <c r="L1035" i="12"/>
  <c r="O1035" i="12" s="1"/>
  <c r="Q1035" i="12" s="1"/>
  <c r="R1035" i="12" s="1"/>
  <c r="S1035" i="12" s="1"/>
  <c r="K1035" i="12"/>
  <c r="N1035" i="12" s="1"/>
  <c r="W1034" i="12"/>
  <c r="T1034" i="12"/>
  <c r="L1034" i="12"/>
  <c r="K1034" i="12"/>
  <c r="W1033" i="12"/>
  <c r="T1033" i="12"/>
  <c r="L1033" i="12"/>
  <c r="K1033" i="12"/>
  <c r="N1033" i="12" s="1"/>
  <c r="W1032" i="12"/>
  <c r="T1032" i="12"/>
  <c r="L1032" i="12"/>
  <c r="K1032" i="12"/>
  <c r="N1032" i="12" s="1"/>
  <c r="W1031" i="12"/>
  <c r="T1031" i="12"/>
  <c r="L1031" i="12"/>
  <c r="K1031" i="12"/>
  <c r="W1030" i="12"/>
  <c r="T1030" i="12"/>
  <c r="L1030" i="12"/>
  <c r="K1030" i="12"/>
  <c r="W1029" i="12"/>
  <c r="T1029" i="12"/>
  <c r="L1029" i="12"/>
  <c r="K1029" i="12"/>
  <c r="N1029" i="12" s="1"/>
  <c r="W1028" i="12"/>
  <c r="T1028" i="12"/>
  <c r="L1028" i="12"/>
  <c r="K1028" i="12"/>
  <c r="W1027" i="12"/>
  <c r="T1027" i="12"/>
  <c r="L1027" i="12"/>
  <c r="K1027" i="12"/>
  <c r="W1026" i="12"/>
  <c r="T1026" i="12"/>
  <c r="L1026" i="12"/>
  <c r="K1026" i="12"/>
  <c r="W1025" i="12"/>
  <c r="T1025" i="12"/>
  <c r="L1025" i="12"/>
  <c r="K1025" i="12"/>
  <c r="W1024" i="12"/>
  <c r="T1024" i="12"/>
  <c r="L1024" i="12"/>
  <c r="K1024" i="12"/>
  <c r="N1024" i="12" s="1"/>
  <c r="W1023" i="12"/>
  <c r="T1023" i="12"/>
  <c r="L1023" i="12"/>
  <c r="K1023" i="12"/>
  <c r="W1022" i="12"/>
  <c r="T1022" i="12"/>
  <c r="L1022" i="12"/>
  <c r="K1022" i="12"/>
  <c r="N1022" i="12" s="1"/>
  <c r="W1021" i="12"/>
  <c r="T1021" i="12"/>
  <c r="L1021" i="12"/>
  <c r="K1021" i="12"/>
  <c r="N1021" i="12" s="1"/>
  <c r="W1020" i="12"/>
  <c r="T1020" i="12"/>
  <c r="L1020" i="12"/>
  <c r="K1020" i="12"/>
  <c r="W1019" i="12"/>
  <c r="T1019" i="12"/>
  <c r="L1019" i="12"/>
  <c r="K1019" i="12"/>
  <c r="W1018" i="12"/>
  <c r="T1018" i="12"/>
  <c r="L1018" i="12"/>
  <c r="K1018" i="12"/>
  <c r="W1017" i="12"/>
  <c r="T1017" i="12"/>
  <c r="L1017" i="12"/>
  <c r="K1017" i="12"/>
  <c r="W1016" i="12"/>
  <c r="T1016" i="12"/>
  <c r="L1016" i="12"/>
  <c r="K1016" i="12"/>
  <c r="W1015" i="12"/>
  <c r="T1015" i="12"/>
  <c r="Q1015" i="12"/>
  <c r="R1015" i="12" s="1"/>
  <c r="S1015" i="12" s="1"/>
  <c r="K1015" i="12"/>
  <c r="W1014" i="12"/>
  <c r="T1014" i="12"/>
  <c r="Q1014" i="12"/>
  <c r="R1014" i="12" s="1"/>
  <c r="S1014" i="12" s="1"/>
  <c r="K1014" i="12"/>
  <c r="N1014" i="12" s="1"/>
  <c r="W1013" i="12"/>
  <c r="T1013" i="12"/>
  <c r="Q1013" i="12"/>
  <c r="R1013" i="12" s="1"/>
  <c r="S1013" i="12" s="1"/>
  <c r="K1013" i="12"/>
  <c r="N1013" i="12" s="1"/>
  <c r="W1012" i="12"/>
  <c r="T1012" i="12"/>
  <c r="Q1012" i="12"/>
  <c r="R1012" i="12" s="1"/>
  <c r="S1012" i="12" s="1"/>
  <c r="K1012" i="12"/>
  <c r="W1011" i="12"/>
  <c r="T1011" i="12"/>
  <c r="Q1011" i="12"/>
  <c r="R1011" i="12" s="1"/>
  <c r="S1011" i="12" s="1"/>
  <c r="K1011" i="12"/>
  <c r="W1010" i="12"/>
  <c r="T1010" i="12"/>
  <c r="Q1010" i="12"/>
  <c r="R1010" i="12" s="1"/>
  <c r="S1010" i="12" s="1"/>
  <c r="K1010" i="12"/>
  <c r="W1009" i="12"/>
  <c r="T1009" i="12"/>
  <c r="Q1009" i="12"/>
  <c r="R1009" i="12" s="1"/>
  <c r="S1009" i="12" s="1"/>
  <c r="K1009" i="12"/>
  <c r="W1008" i="12"/>
  <c r="T1008" i="12"/>
  <c r="Q1008" i="12"/>
  <c r="R1008" i="12" s="1"/>
  <c r="S1008" i="12" s="1"/>
  <c r="K1008" i="12"/>
  <c r="N1008" i="12" s="1"/>
  <c r="W1007" i="12"/>
  <c r="T1007" i="12"/>
  <c r="Q1007" i="12"/>
  <c r="R1007" i="12" s="1"/>
  <c r="S1007" i="12" s="1"/>
  <c r="K1007" i="12"/>
  <c r="W1006" i="12"/>
  <c r="T1006" i="12"/>
  <c r="Q1006" i="12"/>
  <c r="R1006" i="12" s="1"/>
  <c r="S1006" i="12" s="1"/>
  <c r="K1006" i="12"/>
  <c r="W1005" i="12"/>
  <c r="T1005" i="12"/>
  <c r="Q1005" i="12"/>
  <c r="R1005" i="12" s="1"/>
  <c r="S1005" i="12" s="1"/>
  <c r="K1005" i="12"/>
  <c r="N1005" i="12" s="1"/>
  <c r="W1004" i="12"/>
  <c r="T1004" i="12"/>
  <c r="Q1004" i="12"/>
  <c r="R1004" i="12" s="1"/>
  <c r="S1004" i="12" s="1"/>
  <c r="K1004" i="12"/>
  <c r="N1004" i="12" s="1"/>
  <c r="W1003" i="12"/>
  <c r="T1003" i="12"/>
  <c r="Q1003" i="12"/>
  <c r="R1003" i="12" s="1"/>
  <c r="S1003" i="12" s="1"/>
  <c r="K1003" i="12"/>
  <c r="W1002" i="12"/>
  <c r="T1002" i="12"/>
  <c r="Q1002" i="12"/>
  <c r="R1002" i="12" s="1"/>
  <c r="S1002" i="12" s="1"/>
  <c r="K1002" i="12"/>
  <c r="W1001" i="12"/>
  <c r="T1001" i="12"/>
  <c r="Q1001" i="12"/>
  <c r="R1001" i="12" s="1"/>
  <c r="S1001" i="12" s="1"/>
  <c r="K1001" i="12"/>
  <c r="N1001" i="12" s="1"/>
  <c r="W1000" i="12"/>
  <c r="T1000" i="12"/>
  <c r="Q1000" i="12"/>
  <c r="R1000" i="12" s="1"/>
  <c r="S1000" i="12" s="1"/>
  <c r="K1000" i="12"/>
  <c r="N1000" i="12" s="1"/>
  <c r="W999" i="12"/>
  <c r="T999" i="12"/>
  <c r="Q999" i="12"/>
  <c r="R999" i="12" s="1"/>
  <c r="S999" i="12" s="1"/>
  <c r="K999" i="12"/>
  <c r="N999" i="12" s="1"/>
  <c r="W998" i="12"/>
  <c r="T998" i="12"/>
  <c r="Q998" i="12"/>
  <c r="R998" i="12" s="1"/>
  <c r="S998" i="12" s="1"/>
  <c r="K998" i="12"/>
  <c r="N998" i="12" s="1"/>
  <c r="W997" i="12"/>
  <c r="T997" i="12"/>
  <c r="Q997" i="12"/>
  <c r="R997" i="12" s="1"/>
  <c r="S997" i="12" s="1"/>
  <c r="K997" i="12"/>
  <c r="N997" i="12" s="1"/>
  <c r="W996" i="12"/>
  <c r="T996" i="12"/>
  <c r="Q996" i="12"/>
  <c r="R996" i="12" s="1"/>
  <c r="S996" i="12" s="1"/>
  <c r="K996" i="12"/>
  <c r="W995" i="12"/>
  <c r="T995" i="12"/>
  <c r="Q995" i="12"/>
  <c r="R995" i="12" s="1"/>
  <c r="S995" i="12" s="1"/>
  <c r="K995" i="12"/>
  <c r="N995" i="12" s="1"/>
  <c r="W994" i="12"/>
  <c r="T994" i="12"/>
  <c r="Q994" i="12"/>
  <c r="R994" i="12" s="1"/>
  <c r="S994" i="12" s="1"/>
  <c r="K994" i="12"/>
  <c r="W993" i="12"/>
  <c r="T993" i="12"/>
  <c r="Q993" i="12"/>
  <c r="R993" i="12" s="1"/>
  <c r="S993" i="12" s="1"/>
  <c r="K993" i="12"/>
  <c r="N993" i="12" s="1"/>
  <c r="W992" i="12"/>
  <c r="T992" i="12"/>
  <c r="Q992" i="12"/>
  <c r="R992" i="12" s="1"/>
  <c r="S992" i="12" s="1"/>
  <c r="K992" i="12"/>
  <c r="W991" i="12"/>
  <c r="T991" i="12"/>
  <c r="Q991" i="12"/>
  <c r="R991" i="12" s="1"/>
  <c r="S991" i="12" s="1"/>
  <c r="K991" i="12"/>
  <c r="N991" i="12" s="1"/>
  <c r="W990" i="12"/>
  <c r="T990" i="12"/>
  <c r="Q990" i="12"/>
  <c r="R990" i="12" s="1"/>
  <c r="S990" i="12" s="1"/>
  <c r="K990" i="12"/>
  <c r="W989" i="12"/>
  <c r="T989" i="12"/>
  <c r="Q989" i="12"/>
  <c r="R989" i="12" s="1"/>
  <c r="S989" i="12" s="1"/>
  <c r="K989" i="12"/>
  <c r="W988" i="12"/>
  <c r="T988" i="12"/>
  <c r="Q988" i="12"/>
  <c r="R988" i="12" s="1"/>
  <c r="S988" i="12" s="1"/>
  <c r="K988" i="12"/>
  <c r="W987" i="12"/>
  <c r="T987" i="12"/>
  <c r="Q987" i="12"/>
  <c r="R987" i="12" s="1"/>
  <c r="S987" i="12" s="1"/>
  <c r="K987" i="12"/>
  <c r="W986" i="12"/>
  <c r="T986" i="12"/>
  <c r="Q986" i="12"/>
  <c r="R986" i="12" s="1"/>
  <c r="S986" i="12" s="1"/>
  <c r="K986" i="12"/>
  <c r="N986" i="12" s="1"/>
  <c r="W985" i="12"/>
  <c r="T985" i="12"/>
  <c r="Q985" i="12"/>
  <c r="R985" i="12" s="1"/>
  <c r="S985" i="12" s="1"/>
  <c r="K985" i="12"/>
  <c r="W984" i="12"/>
  <c r="T984" i="12"/>
  <c r="Q984" i="12"/>
  <c r="R984" i="12" s="1"/>
  <c r="S984" i="12" s="1"/>
  <c r="K984" i="12"/>
  <c r="N984" i="12" s="1"/>
  <c r="W983" i="12"/>
  <c r="T983" i="12"/>
  <c r="Q983" i="12"/>
  <c r="R983" i="12" s="1"/>
  <c r="S983" i="12" s="1"/>
  <c r="K983" i="12"/>
  <c r="N983" i="12" s="1"/>
  <c r="W982" i="12"/>
  <c r="T982" i="12"/>
  <c r="Q982" i="12"/>
  <c r="R982" i="12" s="1"/>
  <c r="S982" i="12" s="1"/>
  <c r="K982" i="12"/>
  <c r="W981" i="12"/>
  <c r="T981" i="12"/>
  <c r="Q981" i="12"/>
  <c r="R981" i="12" s="1"/>
  <c r="S981" i="12" s="1"/>
  <c r="K981" i="12"/>
  <c r="N981" i="12" s="1"/>
  <c r="W980" i="12"/>
  <c r="T980" i="12"/>
  <c r="Q980" i="12"/>
  <c r="R980" i="12" s="1"/>
  <c r="S980" i="12" s="1"/>
  <c r="K980" i="12"/>
  <c r="N980" i="12" s="1"/>
  <c r="W979" i="12"/>
  <c r="T979" i="12"/>
  <c r="Q979" i="12"/>
  <c r="R979" i="12" s="1"/>
  <c r="S979" i="12" s="1"/>
  <c r="K979" i="12"/>
  <c r="W978" i="12"/>
  <c r="T978" i="12"/>
  <c r="Q978" i="12"/>
  <c r="R978" i="12" s="1"/>
  <c r="S978" i="12" s="1"/>
  <c r="K978" i="12"/>
  <c r="W977" i="12"/>
  <c r="T977" i="12"/>
  <c r="Q977" i="12"/>
  <c r="R977" i="12" s="1"/>
  <c r="S977" i="12" s="1"/>
  <c r="K977" i="12"/>
  <c r="W976" i="12"/>
  <c r="T976" i="12"/>
  <c r="Q976" i="12"/>
  <c r="R976" i="12" s="1"/>
  <c r="S976" i="12" s="1"/>
  <c r="K976" i="12"/>
  <c r="N976" i="12" s="1"/>
  <c r="W975" i="12"/>
  <c r="T975" i="12"/>
  <c r="Q975" i="12"/>
  <c r="R975" i="12" s="1"/>
  <c r="S975" i="12" s="1"/>
  <c r="K975" i="12"/>
  <c r="W974" i="12"/>
  <c r="T974" i="12"/>
  <c r="Q974" i="12"/>
  <c r="R974" i="12" s="1"/>
  <c r="S974" i="12" s="1"/>
  <c r="K974" i="12"/>
  <c r="N974" i="12" s="1"/>
  <c r="W973" i="12"/>
  <c r="T973" i="12"/>
  <c r="Q973" i="12"/>
  <c r="R973" i="12" s="1"/>
  <c r="S973" i="12" s="1"/>
  <c r="K973" i="12"/>
  <c r="N973" i="12" s="1"/>
  <c r="W972" i="12"/>
  <c r="T972" i="12"/>
  <c r="Q972" i="12"/>
  <c r="R972" i="12" s="1"/>
  <c r="S972" i="12" s="1"/>
  <c r="K972" i="12"/>
  <c r="N972" i="12" s="1"/>
  <c r="W971" i="12"/>
  <c r="T971" i="12"/>
  <c r="Q971" i="12"/>
  <c r="R971" i="12" s="1"/>
  <c r="S971" i="12" s="1"/>
  <c r="K971" i="12"/>
  <c r="W970" i="12"/>
  <c r="T970" i="12"/>
  <c r="Q970" i="12"/>
  <c r="R970" i="12" s="1"/>
  <c r="S970" i="12" s="1"/>
  <c r="K970" i="12"/>
  <c r="W969" i="12"/>
  <c r="T969" i="12"/>
  <c r="Q969" i="12"/>
  <c r="R969" i="12" s="1"/>
  <c r="S969" i="12" s="1"/>
  <c r="K969" i="12"/>
  <c r="W968" i="12"/>
  <c r="T968" i="12"/>
  <c r="Q968" i="12"/>
  <c r="R968" i="12" s="1"/>
  <c r="S968" i="12" s="1"/>
  <c r="K968" i="12"/>
  <c r="N968" i="12" s="1"/>
  <c r="W967" i="12"/>
  <c r="T967" i="12"/>
  <c r="Q967" i="12"/>
  <c r="R967" i="12" s="1"/>
  <c r="S967" i="12" s="1"/>
  <c r="K967" i="12"/>
  <c r="N967" i="12" s="1"/>
  <c r="W966" i="12"/>
  <c r="T966" i="12"/>
  <c r="Q966" i="12"/>
  <c r="R966" i="12" s="1"/>
  <c r="S966" i="12" s="1"/>
  <c r="K966" i="12"/>
  <c r="N966" i="12" s="1"/>
  <c r="W965" i="12"/>
  <c r="T965" i="12"/>
  <c r="Q965" i="12"/>
  <c r="R965" i="12" s="1"/>
  <c r="S965" i="12" s="1"/>
  <c r="K965" i="12"/>
  <c r="N965" i="12" s="1"/>
  <c r="W964" i="12"/>
  <c r="T964" i="12"/>
  <c r="Q964" i="12"/>
  <c r="R964" i="12" s="1"/>
  <c r="S964" i="12" s="1"/>
  <c r="K964" i="12"/>
  <c r="N964" i="12" s="1"/>
  <c r="W963" i="12"/>
  <c r="T963" i="12"/>
  <c r="Q963" i="12"/>
  <c r="R963" i="12" s="1"/>
  <c r="S963" i="12" s="1"/>
  <c r="K963" i="12"/>
  <c r="W962" i="12"/>
  <c r="T962" i="12"/>
  <c r="Q962" i="12"/>
  <c r="R962" i="12" s="1"/>
  <c r="S962" i="12" s="1"/>
  <c r="K962" i="12"/>
  <c r="N962" i="12" s="1"/>
  <c r="W961" i="12"/>
  <c r="T961" i="12"/>
  <c r="Q961" i="12"/>
  <c r="R961" i="12" s="1"/>
  <c r="S961" i="12" s="1"/>
  <c r="K961" i="12"/>
  <c r="N961" i="12" s="1"/>
  <c r="W960" i="12"/>
  <c r="T960" i="12"/>
  <c r="Q960" i="12"/>
  <c r="R960" i="12" s="1"/>
  <c r="S960" i="12" s="1"/>
  <c r="K960" i="12"/>
  <c r="N960" i="12" s="1"/>
  <c r="W959" i="12"/>
  <c r="T959" i="12"/>
  <c r="Q959" i="12"/>
  <c r="R959" i="12" s="1"/>
  <c r="S959" i="12" s="1"/>
  <c r="K959" i="12"/>
  <c r="N959" i="12" s="1"/>
  <c r="W958" i="12"/>
  <c r="T958" i="12"/>
  <c r="Q958" i="12"/>
  <c r="R958" i="12" s="1"/>
  <c r="S958" i="12" s="1"/>
  <c r="K958" i="12"/>
  <c r="W957" i="12"/>
  <c r="T957" i="12"/>
  <c r="Q957" i="12"/>
  <c r="R957" i="12" s="1"/>
  <c r="S957" i="12" s="1"/>
  <c r="K957" i="12"/>
  <c r="N957" i="12" s="1"/>
  <c r="W956" i="12"/>
  <c r="T956" i="12"/>
  <c r="Q956" i="12"/>
  <c r="R956" i="12" s="1"/>
  <c r="S956" i="12" s="1"/>
  <c r="K956" i="12"/>
  <c r="W955" i="12"/>
  <c r="T955" i="12"/>
  <c r="Q955" i="12"/>
  <c r="R955" i="12" s="1"/>
  <c r="S955" i="12" s="1"/>
  <c r="K955" i="12"/>
  <c r="N955" i="12" s="1"/>
  <c r="W954" i="12"/>
  <c r="T954" i="12"/>
  <c r="Q954" i="12"/>
  <c r="R954" i="12" s="1"/>
  <c r="S954" i="12" s="1"/>
  <c r="K954" i="12"/>
  <c r="W953" i="12"/>
  <c r="T953" i="12"/>
  <c r="Q953" i="12"/>
  <c r="R953" i="12" s="1"/>
  <c r="S953" i="12" s="1"/>
  <c r="K953" i="12"/>
  <c r="N953" i="12" s="1"/>
  <c r="W952" i="12"/>
  <c r="T952" i="12"/>
  <c r="Q952" i="12"/>
  <c r="R952" i="12" s="1"/>
  <c r="S952" i="12" s="1"/>
  <c r="K952" i="12"/>
  <c r="W951" i="12"/>
  <c r="T951" i="12"/>
  <c r="Q951" i="12"/>
  <c r="R951" i="12" s="1"/>
  <c r="S951" i="12" s="1"/>
  <c r="K951" i="12"/>
  <c r="W950" i="12"/>
  <c r="T950" i="12"/>
  <c r="Q950" i="12"/>
  <c r="R950" i="12" s="1"/>
  <c r="S950" i="12" s="1"/>
  <c r="K950" i="12"/>
  <c r="W949" i="12"/>
  <c r="T949" i="12"/>
  <c r="Q949" i="12"/>
  <c r="R949" i="12" s="1"/>
  <c r="S949" i="12" s="1"/>
  <c r="K949" i="12"/>
  <c r="N949" i="12" s="1"/>
  <c r="W948" i="12"/>
  <c r="T948" i="12"/>
  <c r="Q948" i="12"/>
  <c r="R948" i="12" s="1"/>
  <c r="S948" i="12" s="1"/>
  <c r="K948" i="12"/>
  <c r="W947" i="12"/>
  <c r="T947" i="12"/>
  <c r="Q947" i="12"/>
  <c r="R947" i="12" s="1"/>
  <c r="S947" i="12" s="1"/>
  <c r="K947" i="12"/>
  <c r="W946" i="12"/>
  <c r="T946" i="12"/>
  <c r="Q946" i="12"/>
  <c r="R946" i="12" s="1"/>
  <c r="S946" i="12" s="1"/>
  <c r="K946" i="12"/>
  <c r="N946" i="12" s="1"/>
  <c r="W945" i="12"/>
  <c r="T945" i="12"/>
  <c r="Q945" i="12"/>
  <c r="R945" i="12" s="1"/>
  <c r="S945" i="12" s="1"/>
  <c r="K945" i="12"/>
  <c r="N945" i="12" s="1"/>
  <c r="W944" i="12"/>
  <c r="T944" i="12"/>
  <c r="Q944" i="12"/>
  <c r="R944" i="12" s="1"/>
  <c r="S944" i="12" s="1"/>
  <c r="K944" i="12"/>
  <c r="N944" i="12" s="1"/>
  <c r="W943" i="12"/>
  <c r="T943" i="12"/>
  <c r="Q943" i="12"/>
  <c r="R943" i="12" s="1"/>
  <c r="S943" i="12" s="1"/>
  <c r="K943" i="12"/>
  <c r="W942" i="12"/>
  <c r="T942" i="12"/>
  <c r="Q942" i="12"/>
  <c r="R942" i="12" s="1"/>
  <c r="S942" i="12" s="1"/>
  <c r="K942" i="12"/>
  <c r="N942" i="12" s="1"/>
  <c r="W941" i="12"/>
  <c r="T941" i="12"/>
  <c r="Q941" i="12"/>
  <c r="R941" i="12" s="1"/>
  <c r="S941" i="12" s="1"/>
  <c r="K941" i="12"/>
  <c r="W940" i="12"/>
  <c r="T940" i="12"/>
  <c r="Q940" i="12"/>
  <c r="R940" i="12" s="1"/>
  <c r="S940" i="12" s="1"/>
  <c r="K940" i="12"/>
  <c r="W939" i="12"/>
  <c r="T939" i="12"/>
  <c r="Q939" i="12"/>
  <c r="R939" i="12" s="1"/>
  <c r="S939" i="12" s="1"/>
  <c r="K939" i="12"/>
  <c r="W938" i="12"/>
  <c r="T938" i="12"/>
  <c r="Q938" i="12"/>
  <c r="R938" i="12" s="1"/>
  <c r="S938" i="12" s="1"/>
  <c r="K938" i="12"/>
  <c r="N938" i="12" s="1"/>
  <c r="W937" i="12"/>
  <c r="T937" i="12"/>
  <c r="Q937" i="12"/>
  <c r="R937" i="12" s="1"/>
  <c r="S937" i="12" s="1"/>
  <c r="K937" i="12"/>
  <c r="W936" i="12"/>
  <c r="T936" i="12"/>
  <c r="Q936" i="12"/>
  <c r="R936" i="12" s="1"/>
  <c r="S936" i="12" s="1"/>
  <c r="K936" i="12"/>
  <c r="N936" i="12" s="1"/>
  <c r="W935" i="12"/>
  <c r="T935" i="12"/>
  <c r="Q935" i="12"/>
  <c r="R935" i="12" s="1"/>
  <c r="S935" i="12" s="1"/>
  <c r="K935" i="12"/>
  <c r="N935" i="12" s="1"/>
  <c r="W934" i="12"/>
  <c r="T934" i="12"/>
  <c r="Q934" i="12"/>
  <c r="R934" i="12" s="1"/>
  <c r="S934" i="12" s="1"/>
  <c r="K934" i="12"/>
  <c r="W933" i="12"/>
  <c r="T933" i="12"/>
  <c r="Q933" i="12"/>
  <c r="R933" i="12" s="1"/>
  <c r="S933" i="12" s="1"/>
  <c r="K933" i="12"/>
  <c r="W932" i="12"/>
  <c r="T932" i="12"/>
  <c r="Q932" i="12"/>
  <c r="R932" i="12" s="1"/>
  <c r="S932" i="12" s="1"/>
  <c r="K932" i="12"/>
  <c r="W931" i="12"/>
  <c r="T931" i="12"/>
  <c r="Q931" i="12"/>
  <c r="R931" i="12" s="1"/>
  <c r="S931" i="12" s="1"/>
  <c r="K931" i="12"/>
  <c r="N931" i="12" s="1"/>
  <c r="W930" i="12"/>
  <c r="T930" i="12"/>
  <c r="Q930" i="12"/>
  <c r="R930" i="12" s="1"/>
  <c r="S930" i="12" s="1"/>
  <c r="K930" i="12"/>
  <c r="N930" i="12" s="1"/>
  <c r="W929" i="12"/>
  <c r="T929" i="12"/>
  <c r="Q929" i="12"/>
  <c r="R929" i="12" s="1"/>
  <c r="S929" i="12" s="1"/>
  <c r="K929" i="12"/>
  <c r="N929" i="12" s="1"/>
  <c r="W928" i="12"/>
  <c r="T928" i="12"/>
  <c r="Q928" i="12"/>
  <c r="R928" i="12" s="1"/>
  <c r="S928" i="12" s="1"/>
  <c r="K928" i="12"/>
  <c r="N928" i="12" s="1"/>
  <c r="W927" i="12"/>
  <c r="T927" i="12"/>
  <c r="Q927" i="12"/>
  <c r="R927" i="12" s="1"/>
  <c r="S927" i="12" s="1"/>
  <c r="K927" i="12"/>
  <c r="N927" i="12" s="1"/>
  <c r="W926" i="12"/>
  <c r="T926" i="12"/>
  <c r="Q926" i="12"/>
  <c r="R926" i="12" s="1"/>
  <c r="S926" i="12" s="1"/>
  <c r="K926" i="12"/>
  <c r="N926" i="12" s="1"/>
  <c r="W925" i="12"/>
  <c r="T925" i="12"/>
  <c r="Q925" i="12"/>
  <c r="R925" i="12" s="1"/>
  <c r="S925" i="12" s="1"/>
  <c r="K925" i="12"/>
  <c r="W924" i="12"/>
  <c r="T924" i="12"/>
  <c r="Q924" i="12"/>
  <c r="R924" i="12" s="1"/>
  <c r="S924" i="12" s="1"/>
  <c r="K924" i="12"/>
  <c r="W923" i="12"/>
  <c r="T923" i="12"/>
  <c r="Q923" i="12"/>
  <c r="R923" i="12" s="1"/>
  <c r="S923" i="12" s="1"/>
  <c r="K923" i="12"/>
  <c r="W922" i="12"/>
  <c r="T922" i="12"/>
  <c r="Q922" i="12"/>
  <c r="R922" i="12" s="1"/>
  <c r="S922" i="12" s="1"/>
  <c r="K922" i="12"/>
  <c r="N922" i="12" s="1"/>
  <c r="W921" i="12"/>
  <c r="T921" i="12"/>
  <c r="Q921" i="12"/>
  <c r="R921" i="12" s="1"/>
  <c r="S921" i="12" s="1"/>
  <c r="K921" i="12"/>
  <c r="N921" i="12" s="1"/>
  <c r="W920" i="12"/>
  <c r="T920" i="12"/>
  <c r="Q920" i="12"/>
  <c r="R920" i="12" s="1"/>
  <c r="S920" i="12" s="1"/>
  <c r="K920" i="12"/>
  <c r="N920" i="12" s="1"/>
  <c r="W919" i="12"/>
  <c r="T919" i="12"/>
  <c r="Q919" i="12"/>
  <c r="R919" i="12" s="1"/>
  <c r="S919" i="12" s="1"/>
  <c r="K919" i="12"/>
  <c r="N919" i="12" s="1"/>
  <c r="W918" i="12"/>
  <c r="T918" i="12"/>
  <c r="Q918" i="12"/>
  <c r="R918" i="12" s="1"/>
  <c r="S918" i="12" s="1"/>
  <c r="K918" i="12"/>
  <c r="W917" i="12"/>
  <c r="T917" i="12"/>
  <c r="Q917" i="12"/>
  <c r="R917" i="12" s="1"/>
  <c r="S917" i="12" s="1"/>
  <c r="K917" i="12"/>
  <c r="W916" i="12"/>
  <c r="T916" i="12"/>
  <c r="Q916" i="12"/>
  <c r="R916" i="12" s="1"/>
  <c r="S916" i="12" s="1"/>
  <c r="K916" i="12"/>
  <c r="N916" i="12" s="1"/>
  <c r="W915" i="12"/>
  <c r="T915" i="12"/>
  <c r="Q915" i="12"/>
  <c r="R915" i="12" s="1"/>
  <c r="S915" i="12" s="1"/>
  <c r="K915" i="12"/>
  <c r="W914" i="12"/>
  <c r="T914" i="12"/>
  <c r="Q914" i="12"/>
  <c r="R914" i="12" s="1"/>
  <c r="S914" i="12" s="1"/>
  <c r="K914" i="12"/>
  <c r="W913" i="12"/>
  <c r="T913" i="12"/>
  <c r="Q913" i="12"/>
  <c r="R913" i="12" s="1"/>
  <c r="S913" i="12" s="1"/>
  <c r="K913" i="12"/>
  <c r="W912" i="12"/>
  <c r="T912" i="12"/>
  <c r="Q912" i="12"/>
  <c r="R912" i="12" s="1"/>
  <c r="S912" i="12" s="1"/>
  <c r="K912" i="12"/>
  <c r="N912" i="12" s="1"/>
  <c r="W911" i="12"/>
  <c r="T911" i="12"/>
  <c r="Q911" i="12"/>
  <c r="R911" i="12" s="1"/>
  <c r="S911" i="12" s="1"/>
  <c r="K911" i="12"/>
  <c r="W910" i="12"/>
  <c r="T910" i="12"/>
  <c r="Q910" i="12"/>
  <c r="R910" i="12" s="1"/>
  <c r="S910" i="12" s="1"/>
  <c r="K910" i="12"/>
  <c r="N910" i="12" s="1"/>
  <c r="W909" i="12"/>
  <c r="T909" i="12"/>
  <c r="Q909" i="12"/>
  <c r="R909" i="12" s="1"/>
  <c r="S909" i="12" s="1"/>
  <c r="K909" i="12"/>
  <c r="N909" i="12" s="1"/>
  <c r="W908" i="12"/>
  <c r="T908" i="12"/>
  <c r="Q908" i="12"/>
  <c r="R908" i="12" s="1"/>
  <c r="S908" i="12" s="1"/>
  <c r="K908" i="12"/>
  <c r="N908" i="12" s="1"/>
  <c r="W907" i="12"/>
  <c r="T907" i="12"/>
  <c r="Q907" i="12"/>
  <c r="R907" i="12" s="1"/>
  <c r="S907" i="12" s="1"/>
  <c r="K907" i="12"/>
  <c r="W906" i="12"/>
  <c r="T906" i="12"/>
  <c r="Q906" i="12"/>
  <c r="R906" i="12" s="1"/>
  <c r="S906" i="12" s="1"/>
  <c r="K906" i="12"/>
  <c r="N906" i="12" s="1"/>
  <c r="W905" i="12"/>
  <c r="T905" i="12"/>
  <c r="Q905" i="12"/>
  <c r="R905" i="12" s="1"/>
  <c r="S905" i="12" s="1"/>
  <c r="K905" i="12"/>
  <c r="N905" i="12" s="1"/>
  <c r="W904" i="12"/>
  <c r="T904" i="12"/>
  <c r="Q904" i="12"/>
  <c r="R904" i="12" s="1"/>
  <c r="S904" i="12" s="1"/>
  <c r="K904" i="12"/>
  <c r="N904" i="12" s="1"/>
  <c r="W903" i="12"/>
  <c r="T903" i="12"/>
  <c r="Q903" i="12"/>
  <c r="R903" i="12" s="1"/>
  <c r="S903" i="12" s="1"/>
  <c r="K903" i="12"/>
  <c r="N903" i="12" s="1"/>
  <c r="W902" i="12"/>
  <c r="T902" i="12"/>
  <c r="Q902" i="12"/>
  <c r="R902" i="12" s="1"/>
  <c r="S902" i="12" s="1"/>
  <c r="K902" i="12"/>
  <c r="N902" i="12" s="1"/>
  <c r="W901" i="12"/>
  <c r="T901" i="12"/>
  <c r="Q901" i="12"/>
  <c r="R901" i="12" s="1"/>
  <c r="S901" i="12" s="1"/>
  <c r="K901" i="12"/>
  <c r="N901" i="12" s="1"/>
  <c r="W900" i="12"/>
  <c r="T900" i="12"/>
  <c r="Q900" i="12"/>
  <c r="R900" i="12" s="1"/>
  <c r="S900" i="12" s="1"/>
  <c r="K900" i="12"/>
  <c r="W899" i="12"/>
  <c r="T899" i="12"/>
  <c r="Q899" i="12"/>
  <c r="R899" i="12" s="1"/>
  <c r="S899" i="12" s="1"/>
  <c r="K899" i="12"/>
  <c r="W898" i="12"/>
  <c r="T898" i="12"/>
  <c r="Q898" i="12"/>
  <c r="R898" i="12" s="1"/>
  <c r="S898" i="12" s="1"/>
  <c r="K898" i="12"/>
  <c r="N898" i="12" s="1"/>
  <c r="W897" i="12"/>
  <c r="T897" i="12"/>
  <c r="Q897" i="12"/>
  <c r="R897" i="12" s="1"/>
  <c r="S897" i="12" s="1"/>
  <c r="K897" i="12"/>
  <c r="N897" i="12" s="1"/>
  <c r="W896" i="12"/>
  <c r="T896" i="12"/>
  <c r="Q896" i="12"/>
  <c r="R896" i="12" s="1"/>
  <c r="S896" i="12" s="1"/>
  <c r="K896" i="12"/>
  <c r="N896" i="12" s="1"/>
  <c r="W895" i="12"/>
  <c r="T895" i="12"/>
  <c r="Q895" i="12"/>
  <c r="R895" i="12" s="1"/>
  <c r="S895" i="12" s="1"/>
  <c r="K895" i="12"/>
  <c r="W894" i="12"/>
  <c r="T894" i="12"/>
  <c r="Q894" i="12"/>
  <c r="R894" i="12" s="1"/>
  <c r="S894" i="12" s="1"/>
  <c r="K894" i="12"/>
  <c r="W893" i="12"/>
  <c r="T893" i="12"/>
  <c r="Q893" i="12"/>
  <c r="R893" i="12" s="1"/>
  <c r="S893" i="12" s="1"/>
  <c r="K893" i="12"/>
  <c r="N893" i="12" s="1"/>
  <c r="W892" i="12"/>
  <c r="T892" i="12"/>
  <c r="Q892" i="12"/>
  <c r="R892" i="12" s="1"/>
  <c r="S892" i="12" s="1"/>
  <c r="K892" i="12"/>
  <c r="W891" i="12"/>
  <c r="T891" i="12"/>
  <c r="Q891" i="12"/>
  <c r="R891" i="12" s="1"/>
  <c r="S891" i="12" s="1"/>
  <c r="K891" i="12"/>
  <c r="N891" i="12" s="1"/>
  <c r="W890" i="12"/>
  <c r="T890" i="12"/>
  <c r="Q890" i="12"/>
  <c r="R890" i="12" s="1"/>
  <c r="S890" i="12" s="1"/>
  <c r="K890" i="12"/>
  <c r="W889" i="12"/>
  <c r="T889" i="12"/>
  <c r="Q889" i="12"/>
  <c r="R889" i="12" s="1"/>
  <c r="S889" i="12" s="1"/>
  <c r="K889" i="12"/>
  <c r="N889" i="12" s="1"/>
  <c r="W888" i="12"/>
  <c r="T888" i="12"/>
  <c r="Q888" i="12"/>
  <c r="R888" i="12" s="1"/>
  <c r="S888" i="12" s="1"/>
  <c r="K888" i="12"/>
  <c r="N888" i="12" s="1"/>
  <c r="W887" i="12"/>
  <c r="T887" i="12"/>
  <c r="Q887" i="12"/>
  <c r="R887" i="12" s="1"/>
  <c r="S887" i="12" s="1"/>
  <c r="K887" i="12"/>
  <c r="N887" i="12" s="1"/>
  <c r="W886" i="12"/>
  <c r="T886" i="12"/>
  <c r="Q886" i="12"/>
  <c r="R886" i="12" s="1"/>
  <c r="S886" i="12" s="1"/>
  <c r="K886" i="12"/>
  <c r="N886" i="12" s="1"/>
  <c r="W885" i="12"/>
  <c r="T885" i="12"/>
  <c r="Q885" i="12"/>
  <c r="R885" i="12" s="1"/>
  <c r="S885" i="12" s="1"/>
  <c r="K885" i="12"/>
  <c r="W884" i="12"/>
  <c r="T884" i="12"/>
  <c r="Q884" i="12"/>
  <c r="R884" i="12" s="1"/>
  <c r="S884" i="12" s="1"/>
  <c r="K884" i="12"/>
  <c r="N884" i="12" s="1"/>
  <c r="W883" i="12"/>
  <c r="T883" i="12"/>
  <c r="Q883" i="12"/>
  <c r="R883" i="12" s="1"/>
  <c r="S883" i="12" s="1"/>
  <c r="K883" i="12"/>
  <c r="N883" i="12" s="1"/>
  <c r="W882" i="12"/>
  <c r="T882" i="12"/>
  <c r="Q882" i="12"/>
  <c r="R882" i="12" s="1"/>
  <c r="S882" i="12" s="1"/>
  <c r="K882" i="12"/>
  <c r="N882" i="12" s="1"/>
  <c r="W881" i="12"/>
  <c r="T881" i="12"/>
  <c r="Q881" i="12"/>
  <c r="R881" i="12" s="1"/>
  <c r="S881" i="12" s="1"/>
  <c r="K881" i="12"/>
  <c r="N881" i="12" s="1"/>
  <c r="W880" i="12"/>
  <c r="T880" i="12"/>
  <c r="Q880" i="12"/>
  <c r="R880" i="12" s="1"/>
  <c r="S880" i="12" s="1"/>
  <c r="K880" i="12"/>
  <c r="W879" i="12"/>
  <c r="T879" i="12"/>
  <c r="Q879" i="12"/>
  <c r="R879" i="12" s="1"/>
  <c r="S879" i="12" s="1"/>
  <c r="K879" i="12"/>
  <c r="N879" i="12" s="1"/>
  <c r="W878" i="12"/>
  <c r="T878" i="12"/>
  <c r="Q878" i="12"/>
  <c r="R878" i="12" s="1"/>
  <c r="S878" i="12" s="1"/>
  <c r="K878" i="12"/>
  <c r="N878" i="12" s="1"/>
  <c r="V878" i="12" s="1"/>
  <c r="W877" i="12"/>
  <c r="T877" i="12"/>
  <c r="Q877" i="12"/>
  <c r="R877" i="12" s="1"/>
  <c r="S877" i="12" s="1"/>
  <c r="K877" i="12"/>
  <c r="N877" i="12" s="1"/>
  <c r="V877" i="12" s="1"/>
  <c r="W876" i="12"/>
  <c r="T876" i="12"/>
  <c r="Q876" i="12"/>
  <c r="R876" i="12" s="1"/>
  <c r="S876" i="12" s="1"/>
  <c r="K876" i="12"/>
  <c r="N876" i="12" s="1"/>
  <c r="V876" i="12" s="1"/>
  <c r="W875" i="12"/>
  <c r="T875" i="12"/>
  <c r="Q875" i="12"/>
  <c r="R875" i="12" s="1"/>
  <c r="S875" i="12" s="1"/>
  <c r="K875" i="12"/>
  <c r="N875" i="12" s="1"/>
  <c r="V875" i="12" s="1"/>
  <c r="W874" i="12"/>
  <c r="T874" i="12"/>
  <c r="Q874" i="12"/>
  <c r="R874" i="12" s="1"/>
  <c r="S874" i="12" s="1"/>
  <c r="K874" i="12"/>
  <c r="N874" i="12" s="1"/>
  <c r="W873" i="12"/>
  <c r="T873" i="12"/>
  <c r="Q873" i="12"/>
  <c r="R873" i="12" s="1"/>
  <c r="S873" i="12" s="1"/>
  <c r="K873" i="12"/>
  <c r="W872" i="12"/>
  <c r="T872" i="12"/>
  <c r="Q872" i="12"/>
  <c r="R872" i="12" s="1"/>
  <c r="S872" i="12" s="1"/>
  <c r="K872" i="12"/>
  <c r="W871" i="12"/>
  <c r="T871" i="12"/>
  <c r="Q871" i="12"/>
  <c r="R871" i="12" s="1"/>
  <c r="S871" i="12" s="1"/>
  <c r="K871" i="12"/>
  <c r="N871" i="12" s="1"/>
  <c r="W870" i="12"/>
  <c r="T870" i="12"/>
  <c r="Q870" i="12"/>
  <c r="R870" i="12" s="1"/>
  <c r="S870" i="12" s="1"/>
  <c r="K870" i="12"/>
  <c r="N870" i="12" s="1"/>
  <c r="W869" i="12"/>
  <c r="T869" i="12"/>
  <c r="Q869" i="12"/>
  <c r="R869" i="12" s="1"/>
  <c r="S869" i="12" s="1"/>
  <c r="K869" i="12"/>
  <c r="W868" i="12"/>
  <c r="T868" i="12"/>
  <c r="Q868" i="12"/>
  <c r="R868" i="12" s="1"/>
  <c r="S868" i="12" s="1"/>
  <c r="K868" i="12"/>
  <c r="N868" i="12" s="1"/>
  <c r="W867" i="12"/>
  <c r="T867" i="12"/>
  <c r="Q867" i="12"/>
  <c r="R867" i="12" s="1"/>
  <c r="S867" i="12" s="1"/>
  <c r="K867" i="12"/>
  <c r="N867" i="12" s="1"/>
  <c r="W866" i="12"/>
  <c r="T866" i="12"/>
  <c r="Q866" i="12"/>
  <c r="R866" i="12" s="1"/>
  <c r="S866" i="12" s="1"/>
  <c r="K866" i="12"/>
  <c r="N866" i="12" s="1"/>
  <c r="W865" i="12"/>
  <c r="T865" i="12"/>
  <c r="Q865" i="12"/>
  <c r="R865" i="12" s="1"/>
  <c r="S865" i="12" s="1"/>
  <c r="K865" i="12"/>
  <c r="N865" i="12" s="1"/>
  <c r="W864" i="12"/>
  <c r="T864" i="12"/>
  <c r="Q864" i="12"/>
  <c r="R864" i="12" s="1"/>
  <c r="S864" i="12" s="1"/>
  <c r="K864" i="12"/>
  <c r="W863" i="12"/>
  <c r="T863" i="12"/>
  <c r="Q863" i="12"/>
  <c r="R863" i="12" s="1"/>
  <c r="S863" i="12" s="1"/>
  <c r="K863" i="12"/>
  <c r="N863" i="12" s="1"/>
  <c r="W862" i="12"/>
  <c r="T862" i="12"/>
  <c r="Q862" i="12"/>
  <c r="R862" i="12" s="1"/>
  <c r="S862" i="12" s="1"/>
  <c r="K862" i="12"/>
  <c r="N862" i="12" s="1"/>
  <c r="W861" i="12"/>
  <c r="T861" i="12"/>
  <c r="Q861" i="12"/>
  <c r="R861" i="12" s="1"/>
  <c r="S861" i="12" s="1"/>
  <c r="K861" i="12"/>
  <c r="N861" i="12" s="1"/>
  <c r="W860" i="12"/>
  <c r="T860" i="12"/>
  <c r="Q860" i="12"/>
  <c r="R860" i="12" s="1"/>
  <c r="S860" i="12" s="1"/>
  <c r="K860" i="12"/>
  <c r="N860" i="12" s="1"/>
  <c r="W859" i="12"/>
  <c r="T859" i="12"/>
  <c r="Q859" i="12"/>
  <c r="R859" i="12" s="1"/>
  <c r="S859" i="12" s="1"/>
  <c r="K859" i="12"/>
  <c r="N859" i="12" s="1"/>
  <c r="W858" i="12"/>
  <c r="T858" i="12"/>
  <c r="Q858" i="12"/>
  <c r="R858" i="12" s="1"/>
  <c r="S858" i="12" s="1"/>
  <c r="K858" i="12"/>
  <c r="N858" i="12" s="1"/>
  <c r="W857" i="12"/>
  <c r="T857" i="12"/>
  <c r="Q857" i="12"/>
  <c r="R857" i="12" s="1"/>
  <c r="S857" i="12" s="1"/>
  <c r="K857" i="12"/>
  <c r="W856" i="12"/>
  <c r="T856" i="12"/>
  <c r="Q856" i="12"/>
  <c r="R856" i="12" s="1"/>
  <c r="S856" i="12" s="1"/>
  <c r="K856" i="12"/>
  <c r="N856" i="12" s="1"/>
  <c r="W855" i="12"/>
  <c r="T855" i="12"/>
  <c r="Q855" i="12"/>
  <c r="R855" i="12" s="1"/>
  <c r="S855" i="12" s="1"/>
  <c r="K855" i="12"/>
  <c r="N855" i="12" s="1"/>
  <c r="W854" i="12"/>
  <c r="T854" i="12"/>
  <c r="Q854" i="12"/>
  <c r="R854" i="12" s="1"/>
  <c r="S854" i="12" s="1"/>
  <c r="K854" i="12"/>
  <c r="W853" i="12"/>
  <c r="T853" i="12"/>
  <c r="Q853" i="12"/>
  <c r="R853" i="12" s="1"/>
  <c r="S853" i="12" s="1"/>
  <c r="K853" i="12"/>
  <c r="N853" i="12" s="1"/>
  <c r="V853" i="12" s="1"/>
  <c r="W852" i="12"/>
  <c r="T852" i="12"/>
  <c r="Q852" i="12"/>
  <c r="R852" i="12" s="1"/>
  <c r="S852" i="12" s="1"/>
  <c r="K852" i="12"/>
  <c r="W851" i="12"/>
  <c r="T851" i="12"/>
  <c r="O851" i="12"/>
  <c r="Q851" i="12" s="1"/>
  <c r="R851" i="12" s="1"/>
  <c r="S851" i="12" s="1"/>
  <c r="K851" i="12"/>
  <c r="N851" i="12" s="1"/>
  <c r="V851" i="12" s="1"/>
  <c r="W850" i="12"/>
  <c r="T850" i="12"/>
  <c r="O850" i="12"/>
  <c r="Q850" i="12" s="1"/>
  <c r="R850" i="12" s="1"/>
  <c r="S850" i="12" s="1"/>
  <c r="K850" i="12"/>
  <c r="N850" i="12" s="1"/>
  <c r="V850" i="12" s="1"/>
  <c r="W849" i="12"/>
  <c r="T849" i="12"/>
  <c r="O849" i="12"/>
  <c r="Q849" i="12" s="1"/>
  <c r="R849" i="12" s="1"/>
  <c r="S849" i="12" s="1"/>
  <c r="K849" i="12"/>
  <c r="N849" i="12" s="1"/>
  <c r="V849" i="12" s="1"/>
  <c r="W848" i="12"/>
  <c r="T848" i="12"/>
  <c r="O848" i="12"/>
  <c r="Q848" i="12" s="1"/>
  <c r="R848" i="12" s="1"/>
  <c r="S848" i="12" s="1"/>
  <c r="K848" i="12"/>
  <c r="N848" i="12" s="1"/>
  <c r="V848" i="12" s="1"/>
  <c r="W847" i="12"/>
  <c r="T847" i="12"/>
  <c r="O847" i="12"/>
  <c r="Q847" i="12" s="1"/>
  <c r="R847" i="12" s="1"/>
  <c r="S847" i="12" s="1"/>
  <c r="K847" i="12"/>
  <c r="W846" i="12"/>
  <c r="T846" i="12"/>
  <c r="O846" i="12"/>
  <c r="Q846" i="12" s="1"/>
  <c r="R846" i="12" s="1"/>
  <c r="S846" i="12" s="1"/>
  <c r="K846" i="12"/>
  <c r="N846" i="12" s="1"/>
  <c r="W845" i="12"/>
  <c r="T845" i="12"/>
  <c r="O845" i="12"/>
  <c r="Q845" i="12" s="1"/>
  <c r="R845" i="12" s="1"/>
  <c r="S845" i="12" s="1"/>
  <c r="K845" i="12"/>
  <c r="N845" i="12" s="1"/>
  <c r="W844" i="12"/>
  <c r="T844" i="12"/>
  <c r="O844" i="12"/>
  <c r="Q844" i="12" s="1"/>
  <c r="R844" i="12" s="1"/>
  <c r="S844" i="12" s="1"/>
  <c r="K844" i="12"/>
  <c r="N844" i="12" s="1"/>
  <c r="W843" i="12"/>
  <c r="T843" i="12"/>
  <c r="O843" i="12"/>
  <c r="Q843" i="12" s="1"/>
  <c r="R843" i="12" s="1"/>
  <c r="S843" i="12" s="1"/>
  <c r="K843" i="12"/>
  <c r="N843" i="12" s="1"/>
  <c r="W842" i="12"/>
  <c r="T842" i="12"/>
  <c r="O842" i="12"/>
  <c r="Q842" i="12" s="1"/>
  <c r="R842" i="12" s="1"/>
  <c r="S842" i="12" s="1"/>
  <c r="K842" i="12"/>
  <c r="N842" i="12" s="1"/>
  <c r="W841" i="12"/>
  <c r="T841" i="12"/>
  <c r="O841" i="12"/>
  <c r="Q841" i="12" s="1"/>
  <c r="R841" i="12" s="1"/>
  <c r="S841" i="12" s="1"/>
  <c r="K841" i="12"/>
  <c r="W840" i="12"/>
  <c r="T840" i="12"/>
  <c r="O840" i="12"/>
  <c r="Q840" i="12" s="1"/>
  <c r="R840" i="12" s="1"/>
  <c r="S840" i="12" s="1"/>
  <c r="K840" i="12"/>
  <c r="N840" i="12" s="1"/>
  <c r="W839" i="12"/>
  <c r="T839" i="12"/>
  <c r="O839" i="12"/>
  <c r="Q839" i="12" s="1"/>
  <c r="R839" i="12" s="1"/>
  <c r="S839" i="12" s="1"/>
  <c r="K839" i="12"/>
  <c r="N839" i="12" s="1"/>
  <c r="W838" i="12"/>
  <c r="T838" i="12"/>
  <c r="O838" i="12"/>
  <c r="Q838" i="12" s="1"/>
  <c r="R838" i="12" s="1"/>
  <c r="S838" i="12" s="1"/>
  <c r="K838" i="12"/>
  <c r="N838" i="12" s="1"/>
  <c r="W837" i="12"/>
  <c r="T837" i="12"/>
  <c r="O837" i="12"/>
  <c r="Q837" i="12" s="1"/>
  <c r="R837" i="12" s="1"/>
  <c r="S837" i="12" s="1"/>
  <c r="K837" i="12"/>
  <c r="W836" i="12"/>
  <c r="T836" i="12"/>
  <c r="O836" i="12"/>
  <c r="Q836" i="12" s="1"/>
  <c r="R836" i="12" s="1"/>
  <c r="S836" i="12" s="1"/>
  <c r="K836" i="12"/>
  <c r="N836" i="12" s="1"/>
  <c r="W835" i="12"/>
  <c r="T835" i="12"/>
  <c r="O835" i="12"/>
  <c r="Q835" i="12" s="1"/>
  <c r="R835" i="12" s="1"/>
  <c r="S835" i="12" s="1"/>
  <c r="K835" i="12"/>
  <c r="N835" i="12" s="1"/>
  <c r="W834" i="12"/>
  <c r="T834" i="12"/>
  <c r="O834" i="12"/>
  <c r="Q834" i="12" s="1"/>
  <c r="R834" i="12" s="1"/>
  <c r="S834" i="12" s="1"/>
  <c r="K834" i="12"/>
  <c r="N834" i="12" s="1"/>
  <c r="W833" i="12"/>
  <c r="T833" i="12"/>
  <c r="O833" i="12"/>
  <c r="Q833" i="12" s="1"/>
  <c r="R833" i="12" s="1"/>
  <c r="S833" i="12" s="1"/>
  <c r="K833" i="12"/>
  <c r="W832" i="12"/>
  <c r="T832" i="12"/>
  <c r="O832" i="12"/>
  <c r="Q832" i="12" s="1"/>
  <c r="R832" i="12" s="1"/>
  <c r="S832" i="12" s="1"/>
  <c r="K832" i="12"/>
  <c r="N832" i="12" s="1"/>
  <c r="W831" i="12"/>
  <c r="T831" i="12"/>
  <c r="O831" i="12"/>
  <c r="Q831" i="12" s="1"/>
  <c r="R831" i="12" s="1"/>
  <c r="S831" i="12" s="1"/>
  <c r="K831" i="12"/>
  <c r="N831" i="12" s="1"/>
  <c r="W830" i="12"/>
  <c r="T830" i="12"/>
  <c r="O830" i="12"/>
  <c r="Q830" i="12" s="1"/>
  <c r="R830" i="12" s="1"/>
  <c r="S830" i="12" s="1"/>
  <c r="K830" i="12"/>
  <c r="N830" i="12" s="1"/>
  <c r="W829" i="12"/>
  <c r="T829" i="12"/>
  <c r="O829" i="12"/>
  <c r="Q829" i="12" s="1"/>
  <c r="R829" i="12" s="1"/>
  <c r="S829" i="12" s="1"/>
  <c r="K829" i="12"/>
  <c r="N829" i="12" s="1"/>
  <c r="V829" i="12" s="1"/>
  <c r="W828" i="12"/>
  <c r="T828" i="12"/>
  <c r="O828" i="12"/>
  <c r="Q828" i="12" s="1"/>
  <c r="R828" i="12" s="1"/>
  <c r="S828" i="12" s="1"/>
  <c r="K828" i="12"/>
  <c r="N828" i="12" s="1"/>
  <c r="V828" i="12" s="1"/>
  <c r="W827" i="12"/>
  <c r="T827" i="12"/>
  <c r="O827" i="12"/>
  <c r="Q827" i="12" s="1"/>
  <c r="R827" i="12" s="1"/>
  <c r="S827" i="12" s="1"/>
  <c r="K827" i="12"/>
  <c r="N827" i="12" s="1"/>
  <c r="V827" i="12" s="1"/>
  <c r="W826" i="12"/>
  <c r="T826" i="12"/>
  <c r="O826" i="12"/>
  <c r="Q826" i="12" s="1"/>
  <c r="R826" i="12" s="1"/>
  <c r="S826" i="12" s="1"/>
  <c r="K826" i="12"/>
  <c r="N826" i="12" s="1"/>
  <c r="V826" i="12" s="1"/>
  <c r="W825" i="12"/>
  <c r="T825" i="12"/>
  <c r="O825" i="12"/>
  <c r="Q825" i="12" s="1"/>
  <c r="R825" i="12" s="1"/>
  <c r="S825" i="12" s="1"/>
  <c r="K825" i="12"/>
  <c r="N825" i="12" s="1"/>
  <c r="V825" i="12" s="1"/>
  <c r="W824" i="12"/>
  <c r="T824" i="12"/>
  <c r="O824" i="12"/>
  <c r="Q824" i="12" s="1"/>
  <c r="R824" i="12" s="1"/>
  <c r="S824" i="12" s="1"/>
  <c r="K824" i="12"/>
  <c r="N824" i="12" s="1"/>
  <c r="V824" i="12" s="1"/>
  <c r="W823" i="12"/>
  <c r="T823" i="12"/>
  <c r="O823" i="12"/>
  <c r="Q823" i="12" s="1"/>
  <c r="R823" i="12" s="1"/>
  <c r="S823" i="12" s="1"/>
  <c r="K823" i="12"/>
  <c r="N823" i="12" s="1"/>
  <c r="W822" i="12"/>
  <c r="T822" i="12"/>
  <c r="O822" i="12"/>
  <c r="Q822" i="12" s="1"/>
  <c r="R822" i="12" s="1"/>
  <c r="S822" i="12" s="1"/>
  <c r="K822" i="12"/>
  <c r="N822" i="12" s="1"/>
  <c r="W821" i="12"/>
  <c r="T821" i="12"/>
  <c r="O821" i="12"/>
  <c r="Q821" i="12" s="1"/>
  <c r="R821" i="12" s="1"/>
  <c r="S821" i="12" s="1"/>
  <c r="K821" i="12"/>
  <c r="W820" i="12"/>
  <c r="T820" i="12"/>
  <c r="O820" i="12"/>
  <c r="Q820" i="12" s="1"/>
  <c r="R820" i="12" s="1"/>
  <c r="S820" i="12" s="1"/>
  <c r="K820" i="12"/>
  <c r="N820" i="12" s="1"/>
  <c r="W819" i="12"/>
  <c r="T819" i="12"/>
  <c r="O819" i="12"/>
  <c r="Q819" i="12" s="1"/>
  <c r="R819" i="12" s="1"/>
  <c r="S819" i="12" s="1"/>
  <c r="K819" i="12"/>
  <c r="N819" i="12" s="1"/>
  <c r="W818" i="12"/>
  <c r="T818" i="12"/>
  <c r="O818" i="12"/>
  <c r="Q818" i="12" s="1"/>
  <c r="R818" i="12" s="1"/>
  <c r="S818" i="12" s="1"/>
  <c r="K818" i="12"/>
  <c r="N818" i="12" s="1"/>
  <c r="V818" i="12" s="1"/>
  <c r="W817" i="12"/>
  <c r="T817" i="12"/>
  <c r="O817" i="12"/>
  <c r="Q817" i="12" s="1"/>
  <c r="R817" i="12" s="1"/>
  <c r="S817" i="12" s="1"/>
  <c r="K817" i="12"/>
  <c r="N817" i="12" s="1"/>
  <c r="V817" i="12" s="1"/>
  <c r="W816" i="12"/>
  <c r="T816" i="12"/>
  <c r="O816" i="12"/>
  <c r="Q816" i="12" s="1"/>
  <c r="R816" i="12" s="1"/>
  <c r="S816" i="12" s="1"/>
  <c r="K816" i="12"/>
  <c r="N816" i="12" s="1"/>
  <c r="V816" i="12" s="1"/>
  <c r="W815" i="12"/>
  <c r="T815" i="12"/>
  <c r="O815" i="12"/>
  <c r="Q815" i="12" s="1"/>
  <c r="R815" i="12" s="1"/>
  <c r="S815" i="12" s="1"/>
  <c r="K815" i="12"/>
  <c r="N815" i="12" s="1"/>
  <c r="V815" i="12" s="1"/>
  <c r="W814" i="12"/>
  <c r="T814" i="12"/>
  <c r="O814" i="12"/>
  <c r="Q814" i="12" s="1"/>
  <c r="R814" i="12" s="1"/>
  <c r="S814" i="12" s="1"/>
  <c r="K814" i="12"/>
  <c r="N814" i="12" s="1"/>
  <c r="V814" i="12" s="1"/>
  <c r="W813" i="12"/>
  <c r="T813" i="12"/>
  <c r="O813" i="12"/>
  <c r="Q813" i="12" s="1"/>
  <c r="R813" i="12" s="1"/>
  <c r="S813" i="12" s="1"/>
  <c r="K813" i="12"/>
  <c r="N813" i="12" s="1"/>
  <c r="V813" i="12" s="1"/>
  <c r="W812" i="12"/>
  <c r="T812" i="12"/>
  <c r="O812" i="12"/>
  <c r="Q812" i="12" s="1"/>
  <c r="R812" i="12" s="1"/>
  <c r="S812" i="12" s="1"/>
  <c r="K812" i="12"/>
  <c r="N812" i="12" s="1"/>
  <c r="W811" i="12"/>
  <c r="T811" i="12"/>
  <c r="O811" i="12"/>
  <c r="Q811" i="12" s="1"/>
  <c r="R811" i="12" s="1"/>
  <c r="S811" i="12" s="1"/>
  <c r="K811" i="12"/>
  <c r="N811" i="12" s="1"/>
  <c r="W810" i="12"/>
  <c r="T810" i="12"/>
  <c r="O810" i="12"/>
  <c r="Q810" i="12" s="1"/>
  <c r="R810" i="12" s="1"/>
  <c r="S810" i="12" s="1"/>
  <c r="K810" i="12"/>
  <c r="N810" i="12" s="1"/>
  <c r="W809" i="12"/>
  <c r="T809" i="12"/>
  <c r="O809" i="12"/>
  <c r="Q809" i="12" s="1"/>
  <c r="R809" i="12" s="1"/>
  <c r="S809" i="12" s="1"/>
  <c r="K809" i="12"/>
  <c r="W808" i="12"/>
  <c r="T808" i="12"/>
  <c r="O808" i="12"/>
  <c r="Q808" i="12" s="1"/>
  <c r="R808" i="12" s="1"/>
  <c r="S808" i="12" s="1"/>
  <c r="K808" i="12"/>
  <c r="N808" i="12" s="1"/>
  <c r="W807" i="12"/>
  <c r="T807" i="12"/>
  <c r="O807" i="12"/>
  <c r="Q807" i="12" s="1"/>
  <c r="R807" i="12" s="1"/>
  <c r="S807" i="12" s="1"/>
  <c r="K807" i="12"/>
  <c r="N807" i="12" s="1"/>
  <c r="W806" i="12"/>
  <c r="T806" i="12"/>
  <c r="O806" i="12"/>
  <c r="Q806" i="12" s="1"/>
  <c r="R806" i="12" s="1"/>
  <c r="S806" i="12" s="1"/>
  <c r="K806" i="12"/>
  <c r="W805" i="12"/>
  <c r="T805" i="12"/>
  <c r="O805" i="12"/>
  <c r="Q805" i="12" s="1"/>
  <c r="R805" i="12" s="1"/>
  <c r="S805" i="12" s="1"/>
  <c r="K805" i="12"/>
  <c r="W804" i="12"/>
  <c r="T804" i="12"/>
  <c r="O804" i="12"/>
  <c r="Q804" i="12" s="1"/>
  <c r="R804" i="12" s="1"/>
  <c r="S804" i="12" s="1"/>
  <c r="K804" i="12"/>
  <c r="W803" i="12"/>
  <c r="T803" i="12"/>
  <c r="O803" i="12"/>
  <c r="Q803" i="12" s="1"/>
  <c r="R803" i="12" s="1"/>
  <c r="S803" i="12" s="1"/>
  <c r="K803" i="12"/>
  <c r="W802" i="12"/>
  <c r="T802" i="12"/>
  <c r="O802" i="12"/>
  <c r="Q802" i="12" s="1"/>
  <c r="R802" i="12" s="1"/>
  <c r="S802" i="12" s="1"/>
  <c r="K802" i="12"/>
  <c r="N802" i="12" s="1"/>
  <c r="W801" i="12"/>
  <c r="T801" i="12"/>
  <c r="O801" i="12"/>
  <c r="Q801" i="12" s="1"/>
  <c r="R801" i="12" s="1"/>
  <c r="S801" i="12" s="1"/>
  <c r="K801" i="12"/>
  <c r="W800" i="12"/>
  <c r="T800" i="12"/>
  <c r="O800" i="12"/>
  <c r="Q800" i="12" s="1"/>
  <c r="R800" i="12" s="1"/>
  <c r="S800" i="12" s="1"/>
  <c r="K800" i="12"/>
  <c r="N800" i="12" s="1"/>
  <c r="W799" i="12"/>
  <c r="T799" i="12"/>
  <c r="O799" i="12"/>
  <c r="Q799" i="12" s="1"/>
  <c r="R799" i="12" s="1"/>
  <c r="S799" i="12" s="1"/>
  <c r="K799" i="12"/>
  <c r="W798" i="12"/>
  <c r="T798" i="12"/>
  <c r="O798" i="12"/>
  <c r="Q798" i="12" s="1"/>
  <c r="R798" i="12" s="1"/>
  <c r="S798" i="12" s="1"/>
  <c r="K798" i="12"/>
  <c r="W797" i="12"/>
  <c r="T797" i="12"/>
  <c r="O797" i="12"/>
  <c r="Q797" i="12" s="1"/>
  <c r="R797" i="12" s="1"/>
  <c r="S797" i="12" s="1"/>
  <c r="K797" i="12"/>
  <c r="N797" i="12" s="1"/>
  <c r="W796" i="12"/>
  <c r="T796" i="12"/>
  <c r="O796" i="12"/>
  <c r="Q796" i="12" s="1"/>
  <c r="R796" i="12" s="1"/>
  <c r="S796" i="12" s="1"/>
  <c r="K796" i="12"/>
  <c r="W795" i="12"/>
  <c r="T795" i="12"/>
  <c r="O795" i="12"/>
  <c r="Q795" i="12" s="1"/>
  <c r="R795" i="12" s="1"/>
  <c r="S795" i="12" s="1"/>
  <c r="K795" i="12"/>
  <c r="W794" i="12"/>
  <c r="T794" i="12"/>
  <c r="O794" i="12"/>
  <c r="Q794" i="12" s="1"/>
  <c r="R794" i="12" s="1"/>
  <c r="S794" i="12" s="1"/>
  <c r="K794" i="12"/>
  <c r="N794" i="12" s="1"/>
  <c r="W793" i="12"/>
  <c r="T793" i="12"/>
  <c r="O793" i="12"/>
  <c r="Q793" i="12" s="1"/>
  <c r="R793" i="12" s="1"/>
  <c r="S793" i="12" s="1"/>
  <c r="K793" i="12"/>
  <c r="W792" i="12"/>
  <c r="T792" i="12"/>
  <c r="O792" i="12"/>
  <c r="Q792" i="12" s="1"/>
  <c r="R792" i="12" s="1"/>
  <c r="S792" i="12" s="1"/>
  <c r="K792" i="12"/>
  <c r="W791" i="12"/>
  <c r="T791" i="12"/>
  <c r="O791" i="12"/>
  <c r="Q791" i="12" s="1"/>
  <c r="R791" i="12" s="1"/>
  <c r="S791" i="12" s="1"/>
  <c r="K791" i="12"/>
  <c r="N791" i="12" s="1"/>
  <c r="W790" i="12"/>
  <c r="T790" i="12"/>
  <c r="O790" i="12"/>
  <c r="Q790" i="12" s="1"/>
  <c r="R790" i="12" s="1"/>
  <c r="S790" i="12" s="1"/>
  <c r="K790" i="12"/>
  <c r="N790" i="12" s="1"/>
  <c r="W789" i="12"/>
  <c r="T789" i="12"/>
  <c r="O789" i="12"/>
  <c r="Q789" i="12" s="1"/>
  <c r="R789" i="12" s="1"/>
  <c r="S789" i="12" s="1"/>
  <c r="K789" i="12"/>
  <c r="W788" i="12"/>
  <c r="T788" i="12"/>
  <c r="O788" i="12"/>
  <c r="Q788" i="12" s="1"/>
  <c r="R788" i="12" s="1"/>
  <c r="S788" i="12" s="1"/>
  <c r="K788" i="12"/>
  <c r="N788" i="12" s="1"/>
  <c r="W787" i="12"/>
  <c r="T787" i="12"/>
  <c r="O787" i="12"/>
  <c r="Q787" i="12" s="1"/>
  <c r="R787" i="12" s="1"/>
  <c r="S787" i="12" s="1"/>
  <c r="K787" i="12"/>
  <c r="N787" i="12" s="1"/>
  <c r="W786" i="12"/>
  <c r="T786" i="12"/>
  <c r="O786" i="12"/>
  <c r="Q786" i="12" s="1"/>
  <c r="R786" i="12" s="1"/>
  <c r="S786" i="12" s="1"/>
  <c r="K786" i="12"/>
  <c r="N786" i="12" s="1"/>
  <c r="W785" i="12"/>
  <c r="T785" i="12"/>
  <c r="O785" i="12"/>
  <c r="Q785" i="12" s="1"/>
  <c r="R785" i="12" s="1"/>
  <c r="S785" i="12" s="1"/>
  <c r="K785" i="12"/>
  <c r="W784" i="12"/>
  <c r="T784" i="12"/>
  <c r="O784" i="12"/>
  <c r="Q784" i="12" s="1"/>
  <c r="R784" i="12" s="1"/>
  <c r="S784" i="12" s="1"/>
  <c r="K784" i="12"/>
  <c r="N784" i="12" s="1"/>
  <c r="W783" i="12"/>
  <c r="T783" i="12"/>
  <c r="O783" i="12"/>
  <c r="Q783" i="12" s="1"/>
  <c r="R783" i="12" s="1"/>
  <c r="S783" i="12" s="1"/>
  <c r="K783" i="12"/>
  <c r="N783" i="12" s="1"/>
  <c r="W782" i="12"/>
  <c r="T782" i="12"/>
  <c r="O782" i="12"/>
  <c r="Q782" i="12" s="1"/>
  <c r="R782" i="12" s="1"/>
  <c r="S782" i="12" s="1"/>
  <c r="K782" i="12"/>
  <c r="N782" i="12" s="1"/>
  <c r="W781" i="12"/>
  <c r="T781" i="12"/>
  <c r="O781" i="12"/>
  <c r="Q781" i="12" s="1"/>
  <c r="R781" i="12" s="1"/>
  <c r="S781" i="12" s="1"/>
  <c r="K781" i="12"/>
  <c r="W780" i="12"/>
  <c r="T780" i="12"/>
  <c r="O780" i="12"/>
  <c r="Q780" i="12" s="1"/>
  <c r="R780" i="12" s="1"/>
  <c r="S780" i="12" s="1"/>
  <c r="K780" i="12"/>
  <c r="W779" i="12"/>
  <c r="T779" i="12"/>
  <c r="O779" i="12"/>
  <c r="Q779" i="12" s="1"/>
  <c r="R779" i="12" s="1"/>
  <c r="S779" i="12" s="1"/>
  <c r="K779" i="12"/>
  <c r="N779" i="12" s="1"/>
  <c r="W778" i="12"/>
  <c r="T778" i="12"/>
  <c r="O778" i="12"/>
  <c r="Q778" i="12" s="1"/>
  <c r="R778" i="12" s="1"/>
  <c r="S778" i="12" s="1"/>
  <c r="K778" i="12"/>
  <c r="N778" i="12" s="1"/>
  <c r="W777" i="12"/>
  <c r="T777" i="12"/>
  <c r="O777" i="12"/>
  <c r="Q777" i="12" s="1"/>
  <c r="R777" i="12" s="1"/>
  <c r="S777" i="12" s="1"/>
  <c r="K777" i="12"/>
  <c r="W776" i="12"/>
  <c r="T776" i="12"/>
  <c r="O776" i="12"/>
  <c r="Q776" i="12" s="1"/>
  <c r="R776" i="12" s="1"/>
  <c r="S776" i="12" s="1"/>
  <c r="K776" i="12"/>
  <c r="N776" i="12" s="1"/>
  <c r="W775" i="12"/>
  <c r="T775" i="12"/>
  <c r="O775" i="12"/>
  <c r="Q775" i="12" s="1"/>
  <c r="R775" i="12" s="1"/>
  <c r="S775" i="12" s="1"/>
  <c r="K775" i="12"/>
  <c r="N775" i="12" s="1"/>
  <c r="W774" i="12"/>
  <c r="T774" i="12"/>
  <c r="O774" i="12"/>
  <c r="Q774" i="12" s="1"/>
  <c r="R774" i="12" s="1"/>
  <c r="S774" i="12" s="1"/>
  <c r="K774" i="12"/>
  <c r="W773" i="12"/>
  <c r="T773" i="12"/>
  <c r="O773" i="12"/>
  <c r="Q773" i="12" s="1"/>
  <c r="R773" i="12" s="1"/>
  <c r="S773" i="12" s="1"/>
  <c r="K773" i="12"/>
  <c r="W772" i="12"/>
  <c r="T772" i="12"/>
  <c r="O772" i="12"/>
  <c r="Q772" i="12" s="1"/>
  <c r="R772" i="12" s="1"/>
  <c r="S772" i="12" s="1"/>
  <c r="K772" i="12"/>
  <c r="N772" i="12" s="1"/>
  <c r="W771" i="12"/>
  <c r="T771" i="12"/>
  <c r="O771" i="12"/>
  <c r="Q771" i="12" s="1"/>
  <c r="R771" i="12" s="1"/>
  <c r="S771" i="12" s="1"/>
  <c r="K771" i="12"/>
  <c r="N771" i="12" s="1"/>
  <c r="W770" i="12"/>
  <c r="T770" i="12"/>
  <c r="O770" i="12"/>
  <c r="Q770" i="12" s="1"/>
  <c r="R770" i="12" s="1"/>
  <c r="S770" i="12" s="1"/>
  <c r="K770" i="12"/>
  <c r="N770" i="12" s="1"/>
  <c r="W769" i="12"/>
  <c r="T769" i="12"/>
  <c r="O769" i="12"/>
  <c r="Q769" i="12" s="1"/>
  <c r="R769" i="12" s="1"/>
  <c r="S769" i="12" s="1"/>
  <c r="K769" i="12"/>
  <c r="W768" i="12"/>
  <c r="T768" i="12"/>
  <c r="O768" i="12"/>
  <c r="Q768" i="12" s="1"/>
  <c r="R768" i="12" s="1"/>
  <c r="S768" i="12" s="1"/>
  <c r="K768" i="12"/>
  <c r="N768" i="12" s="1"/>
  <c r="W767" i="12"/>
  <c r="T767" i="12"/>
  <c r="O767" i="12"/>
  <c r="Q767" i="12" s="1"/>
  <c r="R767" i="12" s="1"/>
  <c r="S767" i="12" s="1"/>
  <c r="K767" i="12"/>
  <c r="W766" i="12"/>
  <c r="T766" i="12"/>
  <c r="O766" i="12"/>
  <c r="Q766" i="12" s="1"/>
  <c r="R766" i="12" s="1"/>
  <c r="S766" i="12" s="1"/>
  <c r="K766" i="12"/>
  <c r="W765" i="12"/>
  <c r="T765" i="12"/>
  <c r="O765" i="12"/>
  <c r="Q765" i="12" s="1"/>
  <c r="R765" i="12" s="1"/>
  <c r="S765" i="12" s="1"/>
  <c r="K765" i="12"/>
  <c r="N765" i="12" s="1"/>
  <c r="W764" i="12"/>
  <c r="T764" i="12"/>
  <c r="O764" i="12"/>
  <c r="Q764" i="12" s="1"/>
  <c r="R764" i="12" s="1"/>
  <c r="S764" i="12" s="1"/>
  <c r="K764" i="12"/>
  <c r="W763" i="12"/>
  <c r="T763" i="12"/>
  <c r="O763" i="12"/>
  <c r="Q763" i="12" s="1"/>
  <c r="R763" i="12" s="1"/>
  <c r="S763" i="12" s="1"/>
  <c r="K763" i="12"/>
  <c r="W762" i="12"/>
  <c r="T762" i="12"/>
  <c r="O762" i="12"/>
  <c r="Q762" i="12" s="1"/>
  <c r="R762" i="12" s="1"/>
  <c r="S762" i="12" s="1"/>
  <c r="K762" i="12"/>
  <c r="N762" i="12" s="1"/>
  <c r="W761" i="12"/>
  <c r="T761" i="12"/>
  <c r="O761" i="12"/>
  <c r="Q761" i="12" s="1"/>
  <c r="R761" i="12" s="1"/>
  <c r="S761" i="12" s="1"/>
  <c r="K761" i="12"/>
  <c r="N761" i="12" s="1"/>
  <c r="W760" i="12"/>
  <c r="T760" i="12"/>
  <c r="O760" i="12"/>
  <c r="Q760" i="12" s="1"/>
  <c r="R760" i="12" s="1"/>
  <c r="S760" i="12" s="1"/>
  <c r="K760" i="12"/>
  <c r="N760" i="12" s="1"/>
  <c r="W759" i="12"/>
  <c r="T759" i="12"/>
  <c r="O759" i="12"/>
  <c r="Q759" i="12" s="1"/>
  <c r="R759" i="12" s="1"/>
  <c r="S759" i="12" s="1"/>
  <c r="K759" i="12"/>
  <c r="N759" i="12" s="1"/>
  <c r="W758" i="12"/>
  <c r="T758" i="12"/>
  <c r="O758" i="12"/>
  <c r="Q758" i="12" s="1"/>
  <c r="R758" i="12" s="1"/>
  <c r="S758" i="12" s="1"/>
  <c r="K758" i="12"/>
  <c r="W757" i="12"/>
  <c r="T757" i="12"/>
  <c r="O757" i="12"/>
  <c r="Q757" i="12" s="1"/>
  <c r="R757" i="12" s="1"/>
  <c r="S757" i="12" s="1"/>
  <c r="K757" i="12"/>
  <c r="W756" i="12"/>
  <c r="T756" i="12"/>
  <c r="O756" i="12"/>
  <c r="Q756" i="12" s="1"/>
  <c r="R756" i="12" s="1"/>
  <c r="S756" i="12" s="1"/>
  <c r="K756" i="12"/>
  <c r="N756" i="12" s="1"/>
  <c r="W755" i="12"/>
  <c r="T755" i="12"/>
  <c r="O755" i="12"/>
  <c r="Q755" i="12" s="1"/>
  <c r="R755" i="12" s="1"/>
  <c r="S755" i="12" s="1"/>
  <c r="K755" i="12"/>
  <c r="N755" i="12" s="1"/>
  <c r="W754" i="12"/>
  <c r="T754" i="12"/>
  <c r="O754" i="12"/>
  <c r="Q754" i="12" s="1"/>
  <c r="R754" i="12" s="1"/>
  <c r="S754" i="12" s="1"/>
  <c r="K754" i="12"/>
  <c r="N754" i="12" s="1"/>
  <c r="W753" i="12"/>
  <c r="T753" i="12"/>
  <c r="O753" i="12"/>
  <c r="Q753" i="12" s="1"/>
  <c r="R753" i="12" s="1"/>
  <c r="S753" i="12" s="1"/>
  <c r="K753" i="12"/>
  <c r="W752" i="12"/>
  <c r="T752" i="12"/>
  <c r="O752" i="12"/>
  <c r="Q752" i="12" s="1"/>
  <c r="R752" i="12" s="1"/>
  <c r="S752" i="12" s="1"/>
  <c r="K752" i="12"/>
  <c r="W751" i="12"/>
  <c r="T751" i="12"/>
  <c r="O751" i="12"/>
  <c r="Q751" i="12" s="1"/>
  <c r="R751" i="12" s="1"/>
  <c r="S751" i="12" s="1"/>
  <c r="K751" i="12"/>
  <c r="N751" i="12" s="1"/>
  <c r="W750" i="12"/>
  <c r="T750" i="12"/>
  <c r="O750" i="12"/>
  <c r="Q750" i="12" s="1"/>
  <c r="R750" i="12" s="1"/>
  <c r="S750" i="12" s="1"/>
  <c r="K750" i="12"/>
  <c r="N750" i="12" s="1"/>
  <c r="W749" i="12"/>
  <c r="T749" i="12"/>
  <c r="O749" i="12"/>
  <c r="Q749" i="12" s="1"/>
  <c r="R749" i="12" s="1"/>
  <c r="S749" i="12" s="1"/>
  <c r="K749" i="12"/>
  <c r="W748" i="12"/>
  <c r="T748" i="12"/>
  <c r="O748" i="12"/>
  <c r="Q748" i="12" s="1"/>
  <c r="R748" i="12" s="1"/>
  <c r="S748" i="12" s="1"/>
  <c r="K748" i="12"/>
  <c r="N748" i="12" s="1"/>
  <c r="W747" i="12"/>
  <c r="T747" i="12"/>
  <c r="O747" i="12"/>
  <c r="Q747" i="12" s="1"/>
  <c r="R747" i="12" s="1"/>
  <c r="S747" i="12" s="1"/>
  <c r="K747" i="12"/>
  <c r="N747" i="12" s="1"/>
  <c r="W746" i="12"/>
  <c r="T746" i="12"/>
  <c r="O746" i="12"/>
  <c r="Q746" i="12" s="1"/>
  <c r="R746" i="12" s="1"/>
  <c r="S746" i="12" s="1"/>
  <c r="K746" i="12"/>
  <c r="N746" i="12" s="1"/>
  <c r="W745" i="12"/>
  <c r="T745" i="12"/>
  <c r="O745" i="12"/>
  <c r="Q745" i="12" s="1"/>
  <c r="R745" i="12" s="1"/>
  <c r="S745" i="12" s="1"/>
  <c r="K745" i="12"/>
  <c r="W744" i="12"/>
  <c r="T744" i="12"/>
  <c r="O744" i="12"/>
  <c r="Q744" i="12" s="1"/>
  <c r="R744" i="12" s="1"/>
  <c r="S744" i="12" s="1"/>
  <c r="K744" i="12"/>
  <c r="N744" i="12" s="1"/>
  <c r="W743" i="12"/>
  <c r="T743" i="12"/>
  <c r="O743" i="12"/>
  <c r="Q743" i="12" s="1"/>
  <c r="R743" i="12" s="1"/>
  <c r="S743" i="12" s="1"/>
  <c r="K743" i="12"/>
  <c r="N743" i="12" s="1"/>
  <c r="W742" i="12"/>
  <c r="T742" i="12"/>
  <c r="O742" i="12"/>
  <c r="Q742" i="12" s="1"/>
  <c r="R742" i="12" s="1"/>
  <c r="S742" i="12" s="1"/>
  <c r="K742" i="12"/>
  <c r="W741" i="12"/>
  <c r="T741" i="12"/>
  <c r="O741" i="12"/>
  <c r="Q741" i="12" s="1"/>
  <c r="R741" i="12" s="1"/>
  <c r="S741" i="12" s="1"/>
  <c r="K741" i="12"/>
  <c r="W740" i="12"/>
  <c r="T740" i="12"/>
  <c r="O740" i="12"/>
  <c r="Q740" i="12" s="1"/>
  <c r="R740" i="12" s="1"/>
  <c r="S740" i="12" s="1"/>
  <c r="K740" i="12"/>
  <c r="W739" i="12"/>
  <c r="T739" i="12"/>
  <c r="O739" i="12"/>
  <c r="Q739" i="12" s="1"/>
  <c r="R739" i="12" s="1"/>
  <c r="S739" i="12" s="1"/>
  <c r="K739" i="12"/>
  <c r="W738" i="12"/>
  <c r="T738" i="12"/>
  <c r="O738" i="12"/>
  <c r="Q738" i="12" s="1"/>
  <c r="R738" i="12" s="1"/>
  <c r="S738" i="12" s="1"/>
  <c r="K738" i="12"/>
  <c r="N738" i="12" s="1"/>
  <c r="W737" i="12"/>
  <c r="T737" i="12"/>
  <c r="O737" i="12"/>
  <c r="Q737" i="12" s="1"/>
  <c r="R737" i="12" s="1"/>
  <c r="S737" i="12" s="1"/>
  <c r="K737" i="12"/>
  <c r="W736" i="12"/>
  <c r="T736" i="12"/>
  <c r="O736" i="12"/>
  <c r="Q736" i="12" s="1"/>
  <c r="R736" i="12" s="1"/>
  <c r="S736" i="12" s="1"/>
  <c r="K736" i="12"/>
  <c r="N736" i="12" s="1"/>
  <c r="W735" i="12"/>
  <c r="T735" i="12"/>
  <c r="O735" i="12"/>
  <c r="Q735" i="12" s="1"/>
  <c r="R735" i="12" s="1"/>
  <c r="S735" i="12" s="1"/>
  <c r="K735" i="12"/>
  <c r="N735" i="12" s="1"/>
  <c r="W734" i="12"/>
  <c r="T734" i="12"/>
  <c r="O734" i="12"/>
  <c r="Q734" i="12" s="1"/>
  <c r="R734" i="12" s="1"/>
  <c r="S734" i="12" s="1"/>
  <c r="K734" i="12"/>
  <c r="W733" i="12"/>
  <c r="T733" i="12"/>
  <c r="O733" i="12"/>
  <c r="Q733" i="12" s="1"/>
  <c r="R733" i="12" s="1"/>
  <c r="S733" i="12" s="1"/>
  <c r="K733" i="12"/>
  <c r="N733" i="12" s="1"/>
  <c r="W732" i="12"/>
  <c r="T732" i="12"/>
  <c r="O732" i="12"/>
  <c r="Q732" i="12" s="1"/>
  <c r="R732" i="12" s="1"/>
  <c r="S732" i="12" s="1"/>
  <c r="K732" i="12"/>
  <c r="W731" i="12"/>
  <c r="T731" i="12"/>
  <c r="O731" i="12"/>
  <c r="Q731" i="12" s="1"/>
  <c r="R731" i="12" s="1"/>
  <c r="S731" i="12" s="1"/>
  <c r="K731" i="12"/>
  <c r="N731" i="12" s="1"/>
  <c r="W730" i="12"/>
  <c r="T730" i="12"/>
  <c r="O730" i="12"/>
  <c r="Q730" i="12" s="1"/>
  <c r="R730" i="12" s="1"/>
  <c r="S730" i="12" s="1"/>
  <c r="K730" i="12"/>
  <c r="N730" i="12" s="1"/>
  <c r="W729" i="12"/>
  <c r="T729" i="12"/>
  <c r="O729" i="12"/>
  <c r="Q729" i="12" s="1"/>
  <c r="R729" i="12" s="1"/>
  <c r="S729" i="12" s="1"/>
  <c r="K729" i="12"/>
  <c r="N729" i="12" s="1"/>
  <c r="W728" i="12"/>
  <c r="T728" i="12"/>
  <c r="O728" i="12"/>
  <c r="Q728" i="12" s="1"/>
  <c r="R728" i="12" s="1"/>
  <c r="S728" i="12" s="1"/>
  <c r="K728" i="12"/>
  <c r="N728" i="12" s="1"/>
  <c r="W727" i="12"/>
  <c r="T727" i="12"/>
  <c r="O727" i="12"/>
  <c r="Q727" i="12" s="1"/>
  <c r="R727" i="12" s="1"/>
  <c r="S727" i="12" s="1"/>
  <c r="K727" i="12"/>
  <c r="N727" i="12" s="1"/>
  <c r="W726" i="12"/>
  <c r="T726" i="12"/>
  <c r="O726" i="12"/>
  <c r="Q726" i="12" s="1"/>
  <c r="R726" i="12" s="1"/>
  <c r="S726" i="12" s="1"/>
  <c r="K726" i="12"/>
  <c r="W725" i="12"/>
  <c r="T725" i="12"/>
  <c r="O725" i="12"/>
  <c r="Q725" i="12" s="1"/>
  <c r="R725" i="12" s="1"/>
  <c r="S725" i="12" s="1"/>
  <c r="K725" i="12"/>
  <c r="W724" i="12"/>
  <c r="T724" i="12"/>
  <c r="O724" i="12"/>
  <c r="Q724" i="12" s="1"/>
  <c r="R724" i="12" s="1"/>
  <c r="S724" i="12" s="1"/>
  <c r="K724" i="12"/>
  <c r="N724" i="12" s="1"/>
  <c r="W723" i="12"/>
  <c r="T723" i="12"/>
  <c r="O723" i="12"/>
  <c r="Q723" i="12" s="1"/>
  <c r="R723" i="12" s="1"/>
  <c r="S723" i="12" s="1"/>
  <c r="K723" i="12"/>
  <c r="W722" i="12"/>
  <c r="T722" i="12"/>
  <c r="O722" i="12"/>
  <c r="Q722" i="12" s="1"/>
  <c r="R722" i="12" s="1"/>
  <c r="S722" i="12" s="1"/>
  <c r="K722" i="12"/>
  <c r="W721" i="12"/>
  <c r="T721" i="12"/>
  <c r="O721" i="12"/>
  <c r="Q721" i="12" s="1"/>
  <c r="R721" i="12" s="1"/>
  <c r="S721" i="12" s="1"/>
  <c r="K721" i="12"/>
  <c r="N721" i="12" s="1"/>
  <c r="W720" i="12"/>
  <c r="T720" i="12"/>
  <c r="O720" i="12"/>
  <c r="Q720" i="12" s="1"/>
  <c r="R720" i="12" s="1"/>
  <c r="S720" i="12" s="1"/>
  <c r="K720" i="12"/>
  <c r="W719" i="12"/>
  <c r="T719" i="12"/>
  <c r="O719" i="12"/>
  <c r="Q719" i="12" s="1"/>
  <c r="R719" i="12" s="1"/>
  <c r="S719" i="12" s="1"/>
  <c r="K719" i="12"/>
  <c r="N719" i="12" s="1"/>
  <c r="W718" i="12"/>
  <c r="T718" i="12"/>
  <c r="O718" i="12"/>
  <c r="Q718" i="12" s="1"/>
  <c r="R718" i="12" s="1"/>
  <c r="S718" i="12" s="1"/>
  <c r="K718" i="12"/>
  <c r="N718" i="12" s="1"/>
  <c r="W717" i="12"/>
  <c r="T717" i="12"/>
  <c r="O717" i="12"/>
  <c r="Q717" i="12" s="1"/>
  <c r="R717" i="12" s="1"/>
  <c r="S717" i="12" s="1"/>
  <c r="K717" i="12"/>
  <c r="W716" i="12"/>
  <c r="T716" i="12"/>
  <c r="O716" i="12"/>
  <c r="Q716" i="12" s="1"/>
  <c r="R716" i="12" s="1"/>
  <c r="S716" i="12" s="1"/>
  <c r="K716" i="12"/>
  <c r="N716" i="12" s="1"/>
  <c r="W715" i="12"/>
  <c r="T715" i="12"/>
  <c r="O715" i="12"/>
  <c r="Q715" i="12" s="1"/>
  <c r="R715" i="12" s="1"/>
  <c r="S715" i="12" s="1"/>
  <c r="K715" i="12"/>
  <c r="N715" i="12" s="1"/>
  <c r="W714" i="12"/>
  <c r="T714" i="12"/>
  <c r="O714" i="12"/>
  <c r="Q714" i="12" s="1"/>
  <c r="R714" i="12" s="1"/>
  <c r="S714" i="12" s="1"/>
  <c r="K714" i="12"/>
  <c r="N714" i="12" s="1"/>
  <c r="W713" i="12"/>
  <c r="T713" i="12"/>
  <c r="O713" i="12"/>
  <c r="Q713" i="12" s="1"/>
  <c r="R713" i="12" s="1"/>
  <c r="S713" i="12" s="1"/>
  <c r="K713" i="12"/>
  <c r="W712" i="12"/>
  <c r="T712" i="12"/>
  <c r="O712" i="12"/>
  <c r="Q712" i="12" s="1"/>
  <c r="R712" i="12" s="1"/>
  <c r="S712" i="12" s="1"/>
  <c r="K712" i="12"/>
  <c r="W711" i="12"/>
  <c r="T711" i="12"/>
  <c r="O711" i="12"/>
  <c r="Q711" i="12" s="1"/>
  <c r="R711" i="12" s="1"/>
  <c r="S711" i="12" s="1"/>
  <c r="K711" i="12"/>
  <c r="N711" i="12" s="1"/>
  <c r="W710" i="12"/>
  <c r="T710" i="12"/>
  <c r="O710" i="12"/>
  <c r="Q710" i="12" s="1"/>
  <c r="R710" i="12" s="1"/>
  <c r="S710" i="12" s="1"/>
  <c r="K710" i="12"/>
  <c r="W709" i="12"/>
  <c r="T709" i="12"/>
  <c r="O709" i="12"/>
  <c r="Q709" i="12" s="1"/>
  <c r="R709" i="12" s="1"/>
  <c r="S709" i="12" s="1"/>
  <c r="K709" i="12"/>
  <c r="W708" i="12"/>
  <c r="T708" i="12"/>
  <c r="O708" i="12"/>
  <c r="Q708" i="12" s="1"/>
  <c r="R708" i="12" s="1"/>
  <c r="S708" i="12" s="1"/>
  <c r="K708" i="12"/>
  <c r="N708" i="12" s="1"/>
  <c r="W707" i="12"/>
  <c r="T707" i="12"/>
  <c r="O707" i="12"/>
  <c r="Q707" i="12" s="1"/>
  <c r="R707" i="12" s="1"/>
  <c r="S707" i="12" s="1"/>
  <c r="K707" i="12"/>
  <c r="N707" i="12" s="1"/>
  <c r="W706" i="12"/>
  <c r="T706" i="12"/>
  <c r="O706" i="12"/>
  <c r="Q706" i="12" s="1"/>
  <c r="R706" i="12" s="1"/>
  <c r="S706" i="12" s="1"/>
  <c r="K706" i="12"/>
  <c r="W705" i="12"/>
  <c r="T705" i="12"/>
  <c r="O705" i="12"/>
  <c r="Q705" i="12" s="1"/>
  <c r="R705" i="12" s="1"/>
  <c r="S705" i="12" s="1"/>
  <c r="K705" i="12"/>
  <c r="N705" i="12" s="1"/>
  <c r="W704" i="12"/>
  <c r="T704" i="12"/>
  <c r="O704" i="12"/>
  <c r="Q704" i="12" s="1"/>
  <c r="R704" i="12" s="1"/>
  <c r="S704" i="12" s="1"/>
  <c r="K704" i="12"/>
  <c r="N704" i="12" s="1"/>
  <c r="W703" i="12"/>
  <c r="T703" i="12"/>
  <c r="O703" i="12"/>
  <c r="Q703" i="12" s="1"/>
  <c r="R703" i="12" s="1"/>
  <c r="S703" i="12" s="1"/>
  <c r="K703" i="12"/>
  <c r="N703" i="12" s="1"/>
  <c r="W702" i="12"/>
  <c r="T702" i="12"/>
  <c r="O702" i="12"/>
  <c r="Q702" i="12" s="1"/>
  <c r="R702" i="12" s="1"/>
  <c r="S702" i="12" s="1"/>
  <c r="K702" i="12"/>
  <c r="W701" i="12"/>
  <c r="T701" i="12"/>
  <c r="O701" i="12"/>
  <c r="Q701" i="12" s="1"/>
  <c r="R701" i="12" s="1"/>
  <c r="S701" i="12" s="1"/>
  <c r="K701" i="12"/>
  <c r="N701" i="12" s="1"/>
  <c r="W700" i="12"/>
  <c r="T700" i="12"/>
  <c r="O700" i="12"/>
  <c r="Q700" i="12" s="1"/>
  <c r="R700" i="12" s="1"/>
  <c r="S700" i="12" s="1"/>
  <c r="K700" i="12"/>
  <c r="W699" i="12"/>
  <c r="T699" i="12"/>
  <c r="O699" i="12"/>
  <c r="Q699" i="12" s="1"/>
  <c r="R699" i="12" s="1"/>
  <c r="S699" i="12" s="1"/>
  <c r="K699" i="12"/>
  <c r="N699" i="12" s="1"/>
  <c r="W698" i="12"/>
  <c r="T698" i="12"/>
  <c r="O698" i="12"/>
  <c r="Q698" i="12" s="1"/>
  <c r="R698" i="12" s="1"/>
  <c r="S698" i="12" s="1"/>
  <c r="K698" i="12"/>
  <c r="N698" i="12" s="1"/>
  <c r="W697" i="12"/>
  <c r="T697" i="12"/>
  <c r="O697" i="12"/>
  <c r="Q697" i="12" s="1"/>
  <c r="R697" i="12" s="1"/>
  <c r="S697" i="12" s="1"/>
  <c r="K697" i="12"/>
  <c r="W696" i="12"/>
  <c r="T696" i="12"/>
  <c r="O696" i="12"/>
  <c r="Q696" i="12" s="1"/>
  <c r="R696" i="12" s="1"/>
  <c r="S696" i="12" s="1"/>
  <c r="K696" i="12"/>
  <c r="N696" i="12" s="1"/>
  <c r="W695" i="12"/>
  <c r="T695" i="12"/>
  <c r="O695" i="12"/>
  <c r="Q695" i="12" s="1"/>
  <c r="R695" i="12" s="1"/>
  <c r="S695" i="12" s="1"/>
  <c r="K695" i="12"/>
  <c r="W694" i="12"/>
  <c r="T694" i="12"/>
  <c r="O694" i="12"/>
  <c r="Q694" i="12" s="1"/>
  <c r="R694" i="12" s="1"/>
  <c r="S694" i="12" s="1"/>
  <c r="K694" i="12"/>
  <c r="W693" i="12"/>
  <c r="T693" i="12"/>
  <c r="O693" i="12"/>
  <c r="Q693" i="12" s="1"/>
  <c r="R693" i="12" s="1"/>
  <c r="S693" i="12" s="1"/>
  <c r="K693" i="12"/>
  <c r="W692" i="12"/>
  <c r="T692" i="12"/>
  <c r="O692" i="12"/>
  <c r="Q692" i="12" s="1"/>
  <c r="R692" i="12" s="1"/>
  <c r="S692" i="12" s="1"/>
  <c r="K692" i="12"/>
  <c r="N692" i="12" s="1"/>
  <c r="W691" i="12"/>
  <c r="T691" i="12"/>
  <c r="O691" i="12"/>
  <c r="Q691" i="12" s="1"/>
  <c r="R691" i="12" s="1"/>
  <c r="S691" i="12" s="1"/>
  <c r="K691" i="12"/>
  <c r="N691" i="12" s="1"/>
  <c r="W690" i="12"/>
  <c r="T690" i="12"/>
  <c r="O690" i="12"/>
  <c r="Q690" i="12" s="1"/>
  <c r="R690" i="12" s="1"/>
  <c r="S690" i="12" s="1"/>
  <c r="K690" i="12"/>
  <c r="N690" i="12" s="1"/>
  <c r="W689" i="12"/>
  <c r="T689" i="12"/>
  <c r="O689" i="12"/>
  <c r="Q689" i="12" s="1"/>
  <c r="R689" i="12" s="1"/>
  <c r="S689" i="12" s="1"/>
  <c r="K689" i="12"/>
  <c r="N689" i="12" s="1"/>
  <c r="W688" i="12"/>
  <c r="T688" i="12"/>
  <c r="O688" i="12"/>
  <c r="Q688" i="12" s="1"/>
  <c r="R688" i="12" s="1"/>
  <c r="S688" i="12" s="1"/>
  <c r="K688" i="12"/>
  <c r="N688" i="12" s="1"/>
  <c r="W687" i="12"/>
  <c r="T687" i="12"/>
  <c r="O687" i="12"/>
  <c r="Q687" i="12" s="1"/>
  <c r="R687" i="12" s="1"/>
  <c r="S687" i="12" s="1"/>
  <c r="K687" i="12"/>
  <c r="N687" i="12" s="1"/>
  <c r="W686" i="12"/>
  <c r="T686" i="12"/>
  <c r="O686" i="12"/>
  <c r="Q686" i="12" s="1"/>
  <c r="R686" i="12" s="1"/>
  <c r="S686" i="12" s="1"/>
  <c r="K686" i="12"/>
  <c r="W685" i="12"/>
  <c r="T685" i="12"/>
  <c r="O685" i="12"/>
  <c r="Q685" i="12" s="1"/>
  <c r="R685" i="12" s="1"/>
  <c r="S685" i="12" s="1"/>
  <c r="K685" i="12"/>
  <c r="W684" i="12"/>
  <c r="T684" i="12"/>
  <c r="O684" i="12"/>
  <c r="Q684" i="12" s="1"/>
  <c r="R684" i="12" s="1"/>
  <c r="S684" i="12" s="1"/>
  <c r="K684" i="12"/>
  <c r="N684" i="12" s="1"/>
  <c r="W683" i="12"/>
  <c r="T683" i="12"/>
  <c r="O683" i="12"/>
  <c r="Q683" i="12" s="1"/>
  <c r="R683" i="12" s="1"/>
  <c r="S683" i="12" s="1"/>
  <c r="K683" i="12"/>
  <c r="N683" i="12" s="1"/>
  <c r="W682" i="12"/>
  <c r="T682" i="12"/>
  <c r="O682" i="12"/>
  <c r="Q682" i="12" s="1"/>
  <c r="R682" i="12" s="1"/>
  <c r="S682" i="12" s="1"/>
  <c r="K682" i="12"/>
  <c r="N682" i="12" s="1"/>
  <c r="W681" i="12"/>
  <c r="T681" i="12"/>
  <c r="O681" i="12"/>
  <c r="Q681" i="12" s="1"/>
  <c r="R681" i="12" s="1"/>
  <c r="S681" i="12" s="1"/>
  <c r="K681" i="12"/>
  <c r="N681" i="12" s="1"/>
  <c r="W680" i="12"/>
  <c r="T680" i="12"/>
  <c r="O680" i="12"/>
  <c r="Q680" i="12" s="1"/>
  <c r="R680" i="12" s="1"/>
  <c r="S680" i="12" s="1"/>
  <c r="K680" i="12"/>
  <c r="N680" i="12" s="1"/>
  <c r="W679" i="12"/>
  <c r="T679" i="12"/>
  <c r="O679" i="12"/>
  <c r="Q679" i="12" s="1"/>
  <c r="R679" i="12" s="1"/>
  <c r="S679" i="12" s="1"/>
  <c r="K679" i="12"/>
  <c r="N679" i="12" s="1"/>
  <c r="W678" i="12"/>
  <c r="T678" i="12"/>
  <c r="O678" i="12"/>
  <c r="Q678" i="12" s="1"/>
  <c r="R678" i="12" s="1"/>
  <c r="S678" i="12" s="1"/>
  <c r="K678" i="12"/>
  <c r="N678" i="12" s="1"/>
  <c r="W677" i="12"/>
  <c r="T677" i="12"/>
  <c r="O677" i="12"/>
  <c r="Q677" i="12" s="1"/>
  <c r="R677" i="12" s="1"/>
  <c r="S677" i="12" s="1"/>
  <c r="K677" i="12"/>
  <c r="W676" i="12"/>
  <c r="T676" i="12"/>
  <c r="O676" i="12"/>
  <c r="Q676" i="12" s="1"/>
  <c r="R676" i="12" s="1"/>
  <c r="S676" i="12" s="1"/>
  <c r="K676" i="12"/>
  <c r="N676" i="12" s="1"/>
  <c r="W675" i="12"/>
  <c r="T675" i="12"/>
  <c r="O675" i="12"/>
  <c r="Q675" i="12" s="1"/>
  <c r="R675" i="12" s="1"/>
  <c r="S675" i="12" s="1"/>
  <c r="K675" i="12"/>
  <c r="N675" i="12" s="1"/>
  <c r="W674" i="12"/>
  <c r="T674" i="12"/>
  <c r="O674" i="12"/>
  <c r="Q674" i="12" s="1"/>
  <c r="R674" i="12" s="1"/>
  <c r="S674" i="12" s="1"/>
  <c r="K674" i="12"/>
  <c r="W673" i="12"/>
  <c r="T673" i="12"/>
  <c r="O673" i="12"/>
  <c r="Q673" i="12" s="1"/>
  <c r="R673" i="12" s="1"/>
  <c r="S673" i="12" s="1"/>
  <c r="K673" i="12"/>
  <c r="N673" i="12" s="1"/>
  <c r="W672" i="12"/>
  <c r="T672" i="12"/>
  <c r="O672" i="12"/>
  <c r="Q672" i="12" s="1"/>
  <c r="R672" i="12" s="1"/>
  <c r="S672" i="12" s="1"/>
  <c r="K672" i="12"/>
  <c r="N672" i="12" s="1"/>
  <c r="W671" i="12"/>
  <c r="T671" i="12"/>
  <c r="O671" i="12"/>
  <c r="Q671" i="12" s="1"/>
  <c r="R671" i="12" s="1"/>
  <c r="S671" i="12" s="1"/>
  <c r="K671" i="12"/>
  <c r="N671" i="12" s="1"/>
  <c r="W670" i="12"/>
  <c r="T670" i="12"/>
  <c r="O670" i="12"/>
  <c r="Q670" i="12" s="1"/>
  <c r="R670" i="12" s="1"/>
  <c r="S670" i="12" s="1"/>
  <c r="K670" i="12"/>
  <c r="W669" i="12"/>
  <c r="T669" i="12"/>
  <c r="O669" i="12"/>
  <c r="Q669" i="12" s="1"/>
  <c r="R669" i="12" s="1"/>
  <c r="S669" i="12" s="1"/>
  <c r="K669" i="12"/>
  <c r="N669" i="12" s="1"/>
  <c r="W668" i="12"/>
  <c r="T668" i="12"/>
  <c r="O668" i="12"/>
  <c r="Q668" i="12" s="1"/>
  <c r="R668" i="12" s="1"/>
  <c r="S668" i="12" s="1"/>
  <c r="K668" i="12"/>
  <c r="N668" i="12" s="1"/>
  <c r="W667" i="12"/>
  <c r="T667" i="12"/>
  <c r="O667" i="12"/>
  <c r="Q667" i="12" s="1"/>
  <c r="R667" i="12" s="1"/>
  <c r="S667" i="12" s="1"/>
  <c r="K667" i="12"/>
  <c r="N667" i="12" s="1"/>
  <c r="W666" i="12"/>
  <c r="T666" i="12"/>
  <c r="O666" i="12"/>
  <c r="Q666" i="12" s="1"/>
  <c r="R666" i="12" s="1"/>
  <c r="S666" i="12" s="1"/>
  <c r="K666" i="12"/>
  <c r="N666" i="12" s="1"/>
  <c r="W665" i="12"/>
  <c r="T665" i="12"/>
  <c r="O665" i="12"/>
  <c r="Q665" i="12" s="1"/>
  <c r="R665" i="12" s="1"/>
  <c r="S665" i="12" s="1"/>
  <c r="K665" i="12"/>
  <c r="W664" i="12"/>
  <c r="T664" i="12"/>
  <c r="O664" i="12"/>
  <c r="Q664" i="12" s="1"/>
  <c r="R664" i="12" s="1"/>
  <c r="S664" i="12" s="1"/>
  <c r="K664" i="12"/>
  <c r="N664" i="12" s="1"/>
  <c r="W663" i="12"/>
  <c r="T663" i="12"/>
  <c r="O663" i="12"/>
  <c r="Q663" i="12" s="1"/>
  <c r="R663" i="12" s="1"/>
  <c r="S663" i="12" s="1"/>
  <c r="K663" i="12"/>
  <c r="N663" i="12" s="1"/>
  <c r="W662" i="12"/>
  <c r="T662" i="12"/>
  <c r="O662" i="12"/>
  <c r="Q662" i="12" s="1"/>
  <c r="R662" i="12" s="1"/>
  <c r="S662" i="12" s="1"/>
  <c r="K662" i="12"/>
  <c r="W661" i="12"/>
  <c r="T661" i="12"/>
  <c r="O661" i="12"/>
  <c r="Q661" i="12" s="1"/>
  <c r="R661" i="12" s="1"/>
  <c r="S661" i="12" s="1"/>
  <c r="K661" i="12"/>
  <c r="W660" i="12"/>
  <c r="T660" i="12"/>
  <c r="O660" i="12"/>
  <c r="Q660" i="12" s="1"/>
  <c r="R660" i="12" s="1"/>
  <c r="S660" i="12" s="1"/>
  <c r="K660" i="12"/>
  <c r="N660" i="12" s="1"/>
  <c r="W659" i="12"/>
  <c r="T659" i="12"/>
  <c r="O659" i="12"/>
  <c r="Q659" i="12" s="1"/>
  <c r="R659" i="12" s="1"/>
  <c r="S659" i="12" s="1"/>
  <c r="K659" i="12"/>
  <c r="N659" i="12" s="1"/>
  <c r="W658" i="12"/>
  <c r="T658" i="12"/>
  <c r="O658" i="12"/>
  <c r="Q658" i="12" s="1"/>
  <c r="R658" i="12" s="1"/>
  <c r="S658" i="12" s="1"/>
  <c r="K658" i="12"/>
  <c r="N658" i="12" s="1"/>
  <c r="W657" i="12"/>
  <c r="T657" i="12"/>
  <c r="O657" i="12"/>
  <c r="Q657" i="12" s="1"/>
  <c r="R657" i="12" s="1"/>
  <c r="S657" i="12" s="1"/>
  <c r="K657" i="12"/>
  <c r="N657" i="12" s="1"/>
  <c r="W656" i="12"/>
  <c r="T656" i="12"/>
  <c r="O656" i="12"/>
  <c r="Q656" i="12" s="1"/>
  <c r="R656" i="12" s="1"/>
  <c r="S656" i="12" s="1"/>
  <c r="K656" i="12"/>
  <c r="W655" i="12"/>
  <c r="T655" i="12"/>
  <c r="O655" i="12"/>
  <c r="Q655" i="12" s="1"/>
  <c r="R655" i="12" s="1"/>
  <c r="S655" i="12" s="1"/>
  <c r="K655" i="12"/>
  <c r="N655" i="12" s="1"/>
  <c r="W654" i="12"/>
  <c r="T654" i="12"/>
  <c r="O654" i="12"/>
  <c r="Q654" i="12" s="1"/>
  <c r="R654" i="12" s="1"/>
  <c r="S654" i="12" s="1"/>
  <c r="K654" i="12"/>
  <c r="W653" i="12"/>
  <c r="T653" i="12"/>
  <c r="O653" i="12"/>
  <c r="Q653" i="12" s="1"/>
  <c r="R653" i="12" s="1"/>
  <c r="S653" i="12" s="1"/>
  <c r="K653" i="12"/>
  <c r="W652" i="12"/>
  <c r="T652" i="12"/>
  <c r="O652" i="12"/>
  <c r="Q652" i="12" s="1"/>
  <c r="R652" i="12" s="1"/>
  <c r="S652" i="12" s="1"/>
  <c r="K652" i="12"/>
  <c r="N652" i="12" s="1"/>
  <c r="W651" i="12"/>
  <c r="T651" i="12"/>
  <c r="O651" i="12"/>
  <c r="Q651" i="12" s="1"/>
  <c r="R651" i="12" s="1"/>
  <c r="S651" i="12" s="1"/>
  <c r="K651" i="12"/>
  <c r="N651" i="12" s="1"/>
  <c r="W650" i="12"/>
  <c r="T650" i="12"/>
  <c r="O650" i="12"/>
  <c r="Q650" i="12" s="1"/>
  <c r="R650" i="12" s="1"/>
  <c r="S650" i="12" s="1"/>
  <c r="K650" i="12"/>
  <c r="N650" i="12" s="1"/>
  <c r="W649" i="12"/>
  <c r="T649" i="12"/>
  <c r="O649" i="12"/>
  <c r="Q649" i="12" s="1"/>
  <c r="R649" i="12" s="1"/>
  <c r="S649" i="12" s="1"/>
  <c r="K649" i="12"/>
  <c r="N649" i="12" s="1"/>
  <c r="W648" i="12"/>
  <c r="T648" i="12"/>
  <c r="O648" i="12"/>
  <c r="Q648" i="12" s="1"/>
  <c r="R648" i="12" s="1"/>
  <c r="S648" i="12" s="1"/>
  <c r="K648" i="12"/>
  <c r="N648" i="12" s="1"/>
  <c r="W647" i="12"/>
  <c r="T647" i="12"/>
  <c r="O647" i="12"/>
  <c r="Q647" i="12" s="1"/>
  <c r="R647" i="12" s="1"/>
  <c r="S647" i="12" s="1"/>
  <c r="K647" i="12"/>
  <c r="N647" i="12" s="1"/>
  <c r="W646" i="12"/>
  <c r="T646" i="12"/>
  <c r="O646" i="12"/>
  <c r="Q646" i="12" s="1"/>
  <c r="R646" i="12" s="1"/>
  <c r="S646" i="12" s="1"/>
  <c r="K646" i="12"/>
  <c r="W645" i="12"/>
  <c r="T645" i="12"/>
  <c r="O645" i="12"/>
  <c r="Q645" i="12" s="1"/>
  <c r="R645" i="12" s="1"/>
  <c r="S645" i="12" s="1"/>
  <c r="K645" i="12"/>
  <c r="W644" i="12"/>
  <c r="T644" i="12"/>
  <c r="O644" i="12"/>
  <c r="Q644" i="12" s="1"/>
  <c r="R644" i="12" s="1"/>
  <c r="S644" i="12" s="1"/>
  <c r="K644" i="12"/>
  <c r="N644" i="12" s="1"/>
  <c r="W643" i="12"/>
  <c r="T643" i="12"/>
  <c r="O643" i="12"/>
  <c r="Q643" i="12" s="1"/>
  <c r="R643" i="12" s="1"/>
  <c r="S643" i="12" s="1"/>
  <c r="K643" i="12"/>
  <c r="N643" i="12" s="1"/>
  <c r="W642" i="12"/>
  <c r="T642" i="12"/>
  <c r="O642" i="12"/>
  <c r="Q642" i="12" s="1"/>
  <c r="R642" i="12" s="1"/>
  <c r="S642" i="12" s="1"/>
  <c r="K642" i="12"/>
  <c r="N642" i="12" s="1"/>
  <c r="W641" i="12"/>
  <c r="T641" i="12"/>
  <c r="O641" i="12"/>
  <c r="Q641" i="12" s="1"/>
  <c r="R641" i="12" s="1"/>
  <c r="S641" i="12" s="1"/>
  <c r="K641" i="12"/>
  <c r="N641" i="12" s="1"/>
  <c r="W640" i="12"/>
  <c r="T640" i="12"/>
  <c r="O640" i="12"/>
  <c r="Q640" i="12" s="1"/>
  <c r="R640" i="12" s="1"/>
  <c r="S640" i="12" s="1"/>
  <c r="K640" i="12"/>
  <c r="N640" i="12" s="1"/>
  <c r="W639" i="12"/>
  <c r="T639" i="12"/>
  <c r="O639" i="12"/>
  <c r="Q639" i="12" s="1"/>
  <c r="R639" i="12" s="1"/>
  <c r="S639" i="12" s="1"/>
  <c r="K639" i="12"/>
  <c r="N639" i="12" s="1"/>
  <c r="W638" i="12"/>
  <c r="T638" i="12"/>
  <c r="O638" i="12"/>
  <c r="Q638" i="12" s="1"/>
  <c r="R638" i="12" s="1"/>
  <c r="S638" i="12" s="1"/>
  <c r="K638" i="12"/>
  <c r="W637" i="12"/>
  <c r="T637" i="12"/>
  <c r="O637" i="12"/>
  <c r="Q637" i="12" s="1"/>
  <c r="R637" i="12" s="1"/>
  <c r="S637" i="12" s="1"/>
  <c r="K637" i="12"/>
  <c r="N637" i="12" s="1"/>
  <c r="W636" i="12"/>
  <c r="T636" i="12"/>
  <c r="O636" i="12"/>
  <c r="Q636" i="12" s="1"/>
  <c r="R636" i="12" s="1"/>
  <c r="S636" i="12" s="1"/>
  <c r="K636" i="12"/>
  <c r="W635" i="12"/>
  <c r="T635" i="12"/>
  <c r="O635" i="12"/>
  <c r="Q635" i="12" s="1"/>
  <c r="R635" i="12" s="1"/>
  <c r="S635" i="12" s="1"/>
  <c r="K635" i="12"/>
  <c r="W634" i="12"/>
  <c r="T634" i="12"/>
  <c r="O634" i="12"/>
  <c r="Q634" i="12" s="1"/>
  <c r="R634" i="12" s="1"/>
  <c r="S634" i="12" s="1"/>
  <c r="K634" i="12"/>
  <c r="N634" i="12" s="1"/>
  <c r="W633" i="12"/>
  <c r="T633" i="12"/>
  <c r="O633" i="12"/>
  <c r="Q633" i="12" s="1"/>
  <c r="R633" i="12" s="1"/>
  <c r="S633" i="12" s="1"/>
  <c r="K633" i="12"/>
  <c r="W632" i="12"/>
  <c r="T632" i="12"/>
  <c r="O632" i="12"/>
  <c r="Q632" i="12" s="1"/>
  <c r="R632" i="12" s="1"/>
  <c r="S632" i="12" s="1"/>
  <c r="K632" i="12"/>
  <c r="N632" i="12" s="1"/>
  <c r="W631" i="12"/>
  <c r="T631" i="12"/>
  <c r="O631" i="12"/>
  <c r="Q631" i="12" s="1"/>
  <c r="R631" i="12" s="1"/>
  <c r="S631" i="12" s="1"/>
  <c r="K631" i="12"/>
  <c r="N631" i="12" s="1"/>
  <c r="W630" i="12"/>
  <c r="T630" i="12"/>
  <c r="O630" i="12"/>
  <c r="Q630" i="12" s="1"/>
  <c r="R630" i="12" s="1"/>
  <c r="S630" i="12" s="1"/>
  <c r="K630" i="12"/>
  <c r="W629" i="12"/>
  <c r="T629" i="12"/>
  <c r="O629" i="12"/>
  <c r="Q629" i="12" s="1"/>
  <c r="R629" i="12" s="1"/>
  <c r="S629" i="12" s="1"/>
  <c r="K629" i="12"/>
  <c r="W628" i="12"/>
  <c r="T628" i="12"/>
  <c r="O628" i="12"/>
  <c r="Q628" i="12" s="1"/>
  <c r="R628" i="12" s="1"/>
  <c r="S628" i="12" s="1"/>
  <c r="K628" i="12"/>
  <c r="N628" i="12" s="1"/>
  <c r="W627" i="12"/>
  <c r="T627" i="12"/>
  <c r="O627" i="12"/>
  <c r="Q627" i="12" s="1"/>
  <c r="R627" i="12" s="1"/>
  <c r="S627" i="12" s="1"/>
  <c r="K627" i="12"/>
  <c r="N627" i="12" s="1"/>
  <c r="W626" i="12"/>
  <c r="T626" i="12"/>
  <c r="O626" i="12"/>
  <c r="Q626" i="12" s="1"/>
  <c r="R626" i="12" s="1"/>
  <c r="S626" i="12" s="1"/>
  <c r="K626" i="12"/>
  <c r="N626" i="12" s="1"/>
  <c r="T625" i="12"/>
  <c r="O625" i="12"/>
  <c r="Q625" i="12" s="1"/>
  <c r="R625" i="12" s="1"/>
  <c r="S625" i="12" s="1"/>
  <c r="H625" i="12"/>
  <c r="W625" i="12" s="1"/>
  <c r="W624" i="12"/>
  <c r="T624" i="12"/>
  <c r="O624" i="12"/>
  <c r="Q624" i="12" s="1"/>
  <c r="R624" i="12" s="1"/>
  <c r="S624" i="12" s="1"/>
  <c r="K624" i="12"/>
  <c r="W623" i="12"/>
  <c r="T623" i="12"/>
  <c r="O623" i="12"/>
  <c r="Q623" i="12" s="1"/>
  <c r="R623" i="12" s="1"/>
  <c r="S623" i="12" s="1"/>
  <c r="K623" i="12"/>
  <c r="N623" i="12" s="1"/>
  <c r="W622" i="12"/>
  <c r="T622" i="12"/>
  <c r="O622" i="12"/>
  <c r="Q622" i="12" s="1"/>
  <c r="R622" i="12" s="1"/>
  <c r="S622" i="12" s="1"/>
  <c r="K622" i="12"/>
  <c r="N622" i="12" s="1"/>
  <c r="W621" i="12"/>
  <c r="T621" i="12"/>
  <c r="O621" i="12"/>
  <c r="Q621" i="12" s="1"/>
  <c r="R621" i="12" s="1"/>
  <c r="S621" i="12" s="1"/>
  <c r="K621" i="12"/>
  <c r="N621" i="12" s="1"/>
  <c r="W620" i="12"/>
  <c r="T620" i="12"/>
  <c r="O620" i="12"/>
  <c r="Q620" i="12" s="1"/>
  <c r="R620" i="12" s="1"/>
  <c r="S620" i="12" s="1"/>
  <c r="K620" i="12"/>
  <c r="W619" i="12"/>
  <c r="T619" i="12"/>
  <c r="O619" i="12"/>
  <c r="Q619" i="12" s="1"/>
  <c r="R619" i="12" s="1"/>
  <c r="S619" i="12" s="1"/>
  <c r="K619" i="12"/>
  <c r="N619" i="12" s="1"/>
  <c r="W618" i="12"/>
  <c r="T618" i="12"/>
  <c r="O618" i="12"/>
  <c r="Q618" i="12" s="1"/>
  <c r="R618" i="12" s="1"/>
  <c r="S618" i="12" s="1"/>
  <c r="K618" i="12"/>
  <c r="N618" i="12" s="1"/>
  <c r="W617" i="12"/>
  <c r="T617" i="12"/>
  <c r="O617" i="12"/>
  <c r="Q617" i="12" s="1"/>
  <c r="R617" i="12" s="1"/>
  <c r="S617" i="12" s="1"/>
  <c r="K617" i="12"/>
  <c r="W616" i="12"/>
  <c r="T616" i="12"/>
  <c r="O616" i="12"/>
  <c r="Q616" i="12" s="1"/>
  <c r="R616" i="12" s="1"/>
  <c r="S616" i="12" s="1"/>
  <c r="K616" i="12"/>
  <c r="W615" i="12"/>
  <c r="T615" i="12"/>
  <c r="O615" i="12"/>
  <c r="Q615" i="12" s="1"/>
  <c r="R615" i="12" s="1"/>
  <c r="S615" i="12" s="1"/>
  <c r="K615" i="12"/>
  <c r="W614" i="12"/>
  <c r="T614" i="12"/>
  <c r="O614" i="12"/>
  <c r="Q614" i="12" s="1"/>
  <c r="R614" i="12" s="1"/>
  <c r="S614" i="12" s="1"/>
  <c r="K614" i="12"/>
  <c r="N614" i="12" s="1"/>
  <c r="W613" i="12"/>
  <c r="T613" i="12"/>
  <c r="O613" i="12"/>
  <c r="Q613" i="12" s="1"/>
  <c r="R613" i="12" s="1"/>
  <c r="S613" i="12" s="1"/>
  <c r="K613" i="12"/>
  <c r="N613" i="12" s="1"/>
  <c r="W612" i="12"/>
  <c r="T612" i="12"/>
  <c r="O612" i="12"/>
  <c r="Q612" i="12" s="1"/>
  <c r="R612" i="12" s="1"/>
  <c r="S612" i="12" s="1"/>
  <c r="K612" i="12"/>
  <c r="W611" i="12"/>
  <c r="T611" i="12"/>
  <c r="O611" i="12"/>
  <c r="Q611" i="12" s="1"/>
  <c r="R611" i="12" s="1"/>
  <c r="S611" i="12" s="1"/>
  <c r="K611" i="12"/>
  <c r="N611" i="12" s="1"/>
  <c r="W610" i="12"/>
  <c r="T610" i="12"/>
  <c r="O610" i="12"/>
  <c r="Q610" i="12" s="1"/>
  <c r="R610" i="12" s="1"/>
  <c r="S610" i="12" s="1"/>
  <c r="K610" i="12"/>
  <c r="N610" i="12" s="1"/>
  <c r="W609" i="12"/>
  <c r="T609" i="12"/>
  <c r="O609" i="12"/>
  <c r="Q609" i="12" s="1"/>
  <c r="R609" i="12" s="1"/>
  <c r="S609" i="12" s="1"/>
  <c r="K609" i="12"/>
  <c r="N609" i="12" s="1"/>
  <c r="W608" i="12"/>
  <c r="T608" i="12"/>
  <c r="O608" i="12"/>
  <c r="Q608" i="12" s="1"/>
  <c r="R608" i="12" s="1"/>
  <c r="S608" i="12" s="1"/>
  <c r="K608" i="12"/>
  <c r="N608" i="12" s="1"/>
  <c r="W607" i="12"/>
  <c r="T607" i="12"/>
  <c r="O607" i="12"/>
  <c r="Q607" i="12" s="1"/>
  <c r="R607" i="12" s="1"/>
  <c r="S607" i="12" s="1"/>
  <c r="K607" i="12"/>
  <c r="W606" i="12"/>
  <c r="T606" i="12"/>
  <c r="O606" i="12"/>
  <c r="Q606" i="12" s="1"/>
  <c r="R606" i="12" s="1"/>
  <c r="S606" i="12" s="1"/>
  <c r="K606" i="12"/>
  <c r="N606" i="12" s="1"/>
  <c r="W605" i="12"/>
  <c r="T605" i="12"/>
  <c r="O605" i="12"/>
  <c r="Q605" i="12" s="1"/>
  <c r="R605" i="12" s="1"/>
  <c r="S605" i="12" s="1"/>
  <c r="K605" i="12"/>
  <c r="N605" i="12" s="1"/>
  <c r="W604" i="12"/>
  <c r="T604" i="12"/>
  <c r="O604" i="12"/>
  <c r="Q604" i="12" s="1"/>
  <c r="R604" i="12" s="1"/>
  <c r="S604" i="12" s="1"/>
  <c r="K604" i="12"/>
  <c r="N604" i="12" s="1"/>
  <c r="W603" i="12"/>
  <c r="T603" i="12"/>
  <c r="O603" i="12"/>
  <c r="Q603" i="12" s="1"/>
  <c r="R603" i="12" s="1"/>
  <c r="S603" i="12" s="1"/>
  <c r="K603" i="12"/>
  <c r="N603" i="12" s="1"/>
  <c r="W602" i="12"/>
  <c r="T602" i="12"/>
  <c r="O602" i="12"/>
  <c r="Q602" i="12" s="1"/>
  <c r="R602" i="12" s="1"/>
  <c r="S602" i="12" s="1"/>
  <c r="K602" i="12"/>
  <c r="N602" i="12" s="1"/>
  <c r="W601" i="12"/>
  <c r="T601" i="12"/>
  <c r="O601" i="12"/>
  <c r="Q601" i="12" s="1"/>
  <c r="R601" i="12" s="1"/>
  <c r="S601" i="12" s="1"/>
  <c r="K601" i="12"/>
  <c r="N601" i="12" s="1"/>
  <c r="W600" i="12"/>
  <c r="T600" i="12"/>
  <c r="O600" i="12"/>
  <c r="Q600" i="12" s="1"/>
  <c r="R600" i="12" s="1"/>
  <c r="S600" i="12" s="1"/>
  <c r="K600" i="12"/>
  <c r="N600" i="12" s="1"/>
  <c r="W599" i="12"/>
  <c r="T599" i="12"/>
  <c r="O599" i="12"/>
  <c r="Q599" i="12" s="1"/>
  <c r="R599" i="12" s="1"/>
  <c r="S599" i="12" s="1"/>
  <c r="K599" i="12"/>
  <c r="W598" i="12"/>
  <c r="T598" i="12"/>
  <c r="O598" i="12"/>
  <c r="Q598" i="12" s="1"/>
  <c r="R598" i="12" s="1"/>
  <c r="S598" i="12" s="1"/>
  <c r="K598" i="12"/>
  <c r="N598" i="12" s="1"/>
  <c r="W597" i="12"/>
  <c r="T597" i="12"/>
  <c r="O597" i="12"/>
  <c r="Q597" i="12" s="1"/>
  <c r="R597" i="12" s="1"/>
  <c r="S597" i="12" s="1"/>
  <c r="K597" i="12"/>
  <c r="W596" i="12"/>
  <c r="T596" i="12"/>
  <c r="O596" i="12"/>
  <c r="Q596" i="12" s="1"/>
  <c r="R596" i="12" s="1"/>
  <c r="S596" i="12" s="1"/>
  <c r="K596" i="12"/>
  <c r="W595" i="12"/>
  <c r="T595" i="12"/>
  <c r="O595" i="12"/>
  <c r="Q595" i="12" s="1"/>
  <c r="R595" i="12" s="1"/>
  <c r="S595" i="12" s="1"/>
  <c r="K595" i="12"/>
  <c r="N595" i="12" s="1"/>
  <c r="W594" i="12"/>
  <c r="T594" i="12"/>
  <c r="O594" i="12"/>
  <c r="Q594" i="12" s="1"/>
  <c r="R594" i="12" s="1"/>
  <c r="S594" i="12" s="1"/>
  <c r="K594" i="12"/>
  <c r="N594" i="12" s="1"/>
  <c r="W593" i="12"/>
  <c r="T593" i="12"/>
  <c r="O593" i="12"/>
  <c r="Q593" i="12" s="1"/>
  <c r="R593" i="12" s="1"/>
  <c r="S593" i="12" s="1"/>
  <c r="K593" i="12"/>
  <c r="N593" i="12" s="1"/>
  <c r="W592" i="12"/>
  <c r="T592" i="12"/>
  <c r="O592" i="12"/>
  <c r="Q592" i="12" s="1"/>
  <c r="R592" i="12" s="1"/>
  <c r="S592" i="12" s="1"/>
  <c r="K592" i="12"/>
  <c r="W591" i="12"/>
  <c r="T591" i="12"/>
  <c r="O591" i="12"/>
  <c r="Q591" i="12" s="1"/>
  <c r="R591" i="12" s="1"/>
  <c r="S591" i="12" s="1"/>
  <c r="K591" i="12"/>
  <c r="W590" i="12"/>
  <c r="T590" i="12"/>
  <c r="O590" i="12"/>
  <c r="Q590" i="12" s="1"/>
  <c r="R590" i="12" s="1"/>
  <c r="S590" i="12" s="1"/>
  <c r="K590" i="12"/>
  <c r="N590" i="12" s="1"/>
  <c r="W589" i="12"/>
  <c r="T589" i="12"/>
  <c r="O589" i="12"/>
  <c r="Q589" i="12" s="1"/>
  <c r="R589" i="12" s="1"/>
  <c r="S589" i="12" s="1"/>
  <c r="K589" i="12"/>
  <c r="N589" i="12" s="1"/>
  <c r="W588" i="12"/>
  <c r="T588" i="12"/>
  <c r="O588" i="12"/>
  <c r="Q588" i="12" s="1"/>
  <c r="R588" i="12" s="1"/>
  <c r="S588" i="12" s="1"/>
  <c r="K588" i="12"/>
  <c r="W587" i="12"/>
  <c r="T587" i="12"/>
  <c r="O587" i="12"/>
  <c r="Q587" i="12" s="1"/>
  <c r="R587" i="12" s="1"/>
  <c r="S587" i="12" s="1"/>
  <c r="K587" i="12"/>
  <c r="N587" i="12" s="1"/>
  <c r="W586" i="12"/>
  <c r="T586" i="12"/>
  <c r="O586" i="12"/>
  <c r="Q586" i="12" s="1"/>
  <c r="R586" i="12" s="1"/>
  <c r="S586" i="12" s="1"/>
  <c r="K586" i="12"/>
  <c r="N586" i="12" s="1"/>
  <c r="W585" i="12"/>
  <c r="T585" i="12"/>
  <c r="O585" i="12"/>
  <c r="Q585" i="12" s="1"/>
  <c r="R585" i="12" s="1"/>
  <c r="S585" i="12" s="1"/>
  <c r="K585" i="12"/>
  <c r="W584" i="12"/>
  <c r="T584" i="12"/>
  <c r="O584" i="12"/>
  <c r="Q584" i="12" s="1"/>
  <c r="R584" i="12" s="1"/>
  <c r="S584" i="12" s="1"/>
  <c r="K584" i="12"/>
  <c r="W583" i="12"/>
  <c r="T583" i="12"/>
  <c r="O583" i="12"/>
  <c r="Q583" i="12" s="1"/>
  <c r="R583" i="12" s="1"/>
  <c r="S583" i="12" s="1"/>
  <c r="K583" i="12"/>
  <c r="W582" i="12"/>
  <c r="T582" i="12"/>
  <c r="O582" i="12"/>
  <c r="Q582" i="12" s="1"/>
  <c r="R582" i="12" s="1"/>
  <c r="S582" i="12" s="1"/>
  <c r="K582" i="12"/>
  <c r="N582" i="12" s="1"/>
  <c r="W581" i="12"/>
  <c r="T581" i="12"/>
  <c r="O581" i="12"/>
  <c r="Q581" i="12" s="1"/>
  <c r="R581" i="12" s="1"/>
  <c r="S581" i="12" s="1"/>
  <c r="K581" i="12"/>
  <c r="N581" i="12" s="1"/>
  <c r="W580" i="12"/>
  <c r="T580" i="12"/>
  <c r="O580" i="12"/>
  <c r="Q580" i="12" s="1"/>
  <c r="R580" i="12" s="1"/>
  <c r="S580" i="12" s="1"/>
  <c r="K580" i="12"/>
  <c r="N580" i="12" s="1"/>
  <c r="W579" i="12"/>
  <c r="T579" i="12"/>
  <c r="O579" i="12"/>
  <c r="Q579" i="12" s="1"/>
  <c r="R579" i="12" s="1"/>
  <c r="S579" i="12" s="1"/>
  <c r="K579" i="12"/>
  <c r="N579" i="12" s="1"/>
  <c r="W578" i="12"/>
  <c r="T578" i="12"/>
  <c r="O578" i="12"/>
  <c r="Q578" i="12" s="1"/>
  <c r="R578" i="12" s="1"/>
  <c r="S578" i="12" s="1"/>
  <c r="K578" i="12"/>
  <c r="W577" i="12"/>
  <c r="T577" i="12"/>
  <c r="O577" i="12"/>
  <c r="Q577" i="12" s="1"/>
  <c r="R577" i="12" s="1"/>
  <c r="S577" i="12" s="1"/>
  <c r="K577" i="12"/>
  <c r="W576" i="12"/>
  <c r="T576" i="12"/>
  <c r="O576" i="12"/>
  <c r="Q576" i="12" s="1"/>
  <c r="R576" i="12" s="1"/>
  <c r="S576" i="12" s="1"/>
  <c r="K576" i="12"/>
  <c r="N576" i="12" s="1"/>
  <c r="W575" i="12"/>
  <c r="T575" i="12"/>
  <c r="O575" i="12"/>
  <c r="Q575" i="12" s="1"/>
  <c r="R575" i="12" s="1"/>
  <c r="S575" i="12" s="1"/>
  <c r="K575" i="12"/>
  <c r="W574" i="12"/>
  <c r="T574" i="12"/>
  <c r="O574" i="12"/>
  <c r="Q574" i="12" s="1"/>
  <c r="R574" i="12" s="1"/>
  <c r="S574" i="12" s="1"/>
  <c r="K574" i="12"/>
  <c r="N574" i="12" s="1"/>
  <c r="W573" i="12"/>
  <c r="T573" i="12"/>
  <c r="O573" i="12"/>
  <c r="Q573" i="12" s="1"/>
  <c r="R573" i="12" s="1"/>
  <c r="S573" i="12" s="1"/>
  <c r="K573" i="12"/>
  <c r="N573" i="12" s="1"/>
  <c r="W572" i="12"/>
  <c r="T572" i="12"/>
  <c r="O572" i="12"/>
  <c r="Q572" i="12" s="1"/>
  <c r="R572" i="12" s="1"/>
  <c r="S572" i="12" s="1"/>
  <c r="K572" i="12"/>
  <c r="W571" i="12"/>
  <c r="T571" i="12"/>
  <c r="O571" i="12"/>
  <c r="Q571" i="12" s="1"/>
  <c r="R571" i="12" s="1"/>
  <c r="S571" i="12" s="1"/>
  <c r="K571" i="12"/>
  <c r="W570" i="12"/>
  <c r="T570" i="12"/>
  <c r="O570" i="12"/>
  <c r="Q570" i="12" s="1"/>
  <c r="R570" i="12" s="1"/>
  <c r="S570" i="12" s="1"/>
  <c r="K570" i="12"/>
  <c r="N570" i="12" s="1"/>
  <c r="W569" i="12"/>
  <c r="T569" i="12"/>
  <c r="O569" i="12"/>
  <c r="Q569" i="12" s="1"/>
  <c r="R569" i="12" s="1"/>
  <c r="S569" i="12" s="1"/>
  <c r="K569" i="12"/>
  <c r="N569" i="12" s="1"/>
  <c r="W568" i="12"/>
  <c r="T568" i="12"/>
  <c r="O568" i="12"/>
  <c r="Q568" i="12" s="1"/>
  <c r="R568" i="12" s="1"/>
  <c r="S568" i="12" s="1"/>
  <c r="K568" i="12"/>
  <c r="N568" i="12" s="1"/>
  <c r="W567" i="12"/>
  <c r="T567" i="12"/>
  <c r="O567" i="12"/>
  <c r="Q567" i="12" s="1"/>
  <c r="R567" i="12" s="1"/>
  <c r="S567" i="12" s="1"/>
  <c r="K567" i="12"/>
  <c r="N567" i="12" s="1"/>
  <c r="W566" i="12"/>
  <c r="T566" i="12"/>
  <c r="O566" i="12"/>
  <c r="Q566" i="12" s="1"/>
  <c r="R566" i="12" s="1"/>
  <c r="S566" i="12" s="1"/>
  <c r="K566" i="12"/>
  <c r="N566" i="12" s="1"/>
  <c r="W565" i="12"/>
  <c r="T565" i="12"/>
  <c r="O565" i="12"/>
  <c r="Q565" i="12" s="1"/>
  <c r="R565" i="12" s="1"/>
  <c r="S565" i="12" s="1"/>
  <c r="K565" i="12"/>
  <c r="N565" i="12" s="1"/>
  <c r="W564" i="12"/>
  <c r="T564" i="12"/>
  <c r="O564" i="12"/>
  <c r="Q564" i="12" s="1"/>
  <c r="R564" i="12" s="1"/>
  <c r="S564" i="12" s="1"/>
  <c r="K564" i="12"/>
  <c r="W563" i="12"/>
  <c r="T563" i="12"/>
  <c r="O563" i="12"/>
  <c r="Q563" i="12" s="1"/>
  <c r="R563" i="12" s="1"/>
  <c r="S563" i="12" s="1"/>
  <c r="K563" i="12"/>
  <c r="N563" i="12" s="1"/>
  <c r="W562" i="12"/>
  <c r="T562" i="12"/>
  <c r="O562" i="12"/>
  <c r="Q562" i="12" s="1"/>
  <c r="R562" i="12" s="1"/>
  <c r="S562" i="12" s="1"/>
  <c r="K562" i="12"/>
  <c r="N562" i="12" s="1"/>
  <c r="W561" i="12"/>
  <c r="T561" i="12"/>
  <c r="O561" i="12"/>
  <c r="Q561" i="12" s="1"/>
  <c r="R561" i="12" s="1"/>
  <c r="S561" i="12" s="1"/>
  <c r="K561" i="12"/>
  <c r="W560" i="12"/>
  <c r="T560" i="12"/>
  <c r="O560" i="12"/>
  <c r="Q560" i="12" s="1"/>
  <c r="R560" i="12" s="1"/>
  <c r="S560" i="12" s="1"/>
  <c r="K560" i="12"/>
  <c r="W559" i="12"/>
  <c r="T559" i="12"/>
  <c r="O559" i="12"/>
  <c r="Q559" i="12" s="1"/>
  <c r="R559" i="12" s="1"/>
  <c r="S559" i="12" s="1"/>
  <c r="K559" i="12"/>
  <c r="N559" i="12" s="1"/>
  <c r="W558" i="12"/>
  <c r="T558" i="12"/>
  <c r="O558" i="12"/>
  <c r="Q558" i="12" s="1"/>
  <c r="R558" i="12" s="1"/>
  <c r="S558" i="12" s="1"/>
  <c r="K558" i="12"/>
  <c r="W557" i="12"/>
  <c r="T557" i="12"/>
  <c r="O557" i="12"/>
  <c r="Q557" i="12" s="1"/>
  <c r="R557" i="12" s="1"/>
  <c r="S557" i="12" s="1"/>
  <c r="K557" i="12"/>
  <c r="N557" i="12" s="1"/>
  <c r="W556" i="12"/>
  <c r="T556" i="12"/>
  <c r="O556" i="12"/>
  <c r="Q556" i="12" s="1"/>
  <c r="R556" i="12" s="1"/>
  <c r="S556" i="12" s="1"/>
  <c r="K556" i="12"/>
  <c r="N556" i="12" s="1"/>
  <c r="W555" i="12"/>
  <c r="T555" i="12"/>
  <c r="O555" i="12"/>
  <c r="Q555" i="12" s="1"/>
  <c r="R555" i="12" s="1"/>
  <c r="S555" i="12" s="1"/>
  <c r="K555" i="12"/>
  <c r="N555" i="12" s="1"/>
  <c r="W554" i="12"/>
  <c r="T554" i="12"/>
  <c r="O554" i="12"/>
  <c r="Q554" i="12" s="1"/>
  <c r="R554" i="12" s="1"/>
  <c r="S554" i="12" s="1"/>
  <c r="K554" i="12"/>
  <c r="N554" i="12" s="1"/>
  <c r="W553" i="12"/>
  <c r="T553" i="12"/>
  <c r="O553" i="12"/>
  <c r="Q553" i="12" s="1"/>
  <c r="R553" i="12" s="1"/>
  <c r="S553" i="12" s="1"/>
  <c r="K553" i="12"/>
  <c r="N553" i="12" s="1"/>
  <c r="W552" i="12"/>
  <c r="T552" i="12"/>
  <c r="O552" i="12"/>
  <c r="Q552" i="12" s="1"/>
  <c r="R552" i="12" s="1"/>
  <c r="S552" i="12" s="1"/>
  <c r="K552" i="12"/>
  <c r="W551" i="12"/>
  <c r="T551" i="12"/>
  <c r="O551" i="12"/>
  <c r="Q551" i="12" s="1"/>
  <c r="R551" i="12" s="1"/>
  <c r="S551" i="12" s="1"/>
  <c r="K551" i="12"/>
  <c r="N551" i="12" s="1"/>
  <c r="W550" i="12"/>
  <c r="T550" i="12"/>
  <c r="O550" i="12"/>
  <c r="Q550" i="12" s="1"/>
  <c r="R550" i="12" s="1"/>
  <c r="S550" i="12" s="1"/>
  <c r="K550" i="12"/>
  <c r="W549" i="12"/>
  <c r="T549" i="12"/>
  <c r="O549" i="12"/>
  <c r="Q549" i="12" s="1"/>
  <c r="R549" i="12" s="1"/>
  <c r="S549" i="12" s="1"/>
  <c r="K549" i="12"/>
  <c r="W548" i="12"/>
  <c r="T548" i="12"/>
  <c r="O548" i="12"/>
  <c r="Q548" i="12" s="1"/>
  <c r="R548" i="12" s="1"/>
  <c r="S548" i="12" s="1"/>
  <c r="K548" i="12"/>
  <c r="W547" i="12"/>
  <c r="T547" i="12"/>
  <c r="O547" i="12"/>
  <c r="Q547" i="12" s="1"/>
  <c r="R547" i="12" s="1"/>
  <c r="S547" i="12" s="1"/>
  <c r="K547" i="12"/>
  <c r="W546" i="12"/>
  <c r="T546" i="12"/>
  <c r="O546" i="12"/>
  <c r="Q546" i="12" s="1"/>
  <c r="R546" i="12" s="1"/>
  <c r="S546" i="12" s="1"/>
  <c r="K546" i="12"/>
  <c r="W545" i="12"/>
  <c r="T545" i="12"/>
  <c r="O545" i="12"/>
  <c r="Q545" i="12" s="1"/>
  <c r="R545" i="12" s="1"/>
  <c r="S545" i="12" s="1"/>
  <c r="K545" i="12"/>
  <c r="N545" i="12" s="1"/>
  <c r="W544" i="12"/>
  <c r="T544" i="12"/>
  <c r="O544" i="12"/>
  <c r="Q544" i="12" s="1"/>
  <c r="R544" i="12" s="1"/>
  <c r="S544" i="12" s="1"/>
  <c r="K544" i="12"/>
  <c r="N544" i="12" s="1"/>
  <c r="W543" i="12"/>
  <c r="T543" i="12"/>
  <c r="O543" i="12"/>
  <c r="Q543" i="12" s="1"/>
  <c r="R543" i="12" s="1"/>
  <c r="S543" i="12" s="1"/>
  <c r="K543" i="12"/>
  <c r="W542" i="12"/>
  <c r="T542" i="12"/>
  <c r="O542" i="12"/>
  <c r="Q542" i="12" s="1"/>
  <c r="R542" i="12" s="1"/>
  <c r="S542" i="12" s="1"/>
  <c r="K542" i="12"/>
  <c r="W541" i="12"/>
  <c r="T541" i="12"/>
  <c r="O541" i="12"/>
  <c r="Q541" i="12" s="1"/>
  <c r="R541" i="12" s="1"/>
  <c r="S541" i="12" s="1"/>
  <c r="K541" i="12"/>
  <c r="N541" i="12" s="1"/>
  <c r="W540" i="12"/>
  <c r="T540" i="12"/>
  <c r="O540" i="12"/>
  <c r="Q540" i="12" s="1"/>
  <c r="R540" i="12" s="1"/>
  <c r="S540" i="12" s="1"/>
  <c r="K540" i="12"/>
  <c r="W539" i="12"/>
  <c r="T539" i="12"/>
  <c r="O539" i="12"/>
  <c r="Q539" i="12" s="1"/>
  <c r="R539" i="12" s="1"/>
  <c r="S539" i="12" s="1"/>
  <c r="K539" i="12"/>
  <c r="W538" i="12"/>
  <c r="T538" i="12"/>
  <c r="O538" i="12"/>
  <c r="Q538" i="12" s="1"/>
  <c r="R538" i="12" s="1"/>
  <c r="S538" i="12" s="1"/>
  <c r="K538" i="12"/>
  <c r="N538" i="12" s="1"/>
  <c r="W537" i="12"/>
  <c r="T537" i="12"/>
  <c r="O537" i="12"/>
  <c r="Q537" i="12" s="1"/>
  <c r="R537" i="12" s="1"/>
  <c r="S537" i="12" s="1"/>
  <c r="K537" i="12"/>
  <c r="N537" i="12" s="1"/>
  <c r="W536" i="12"/>
  <c r="T536" i="12"/>
  <c r="O536" i="12"/>
  <c r="Q536" i="12" s="1"/>
  <c r="R536" i="12" s="1"/>
  <c r="S536" i="12" s="1"/>
  <c r="K536" i="12"/>
  <c r="W535" i="12"/>
  <c r="T535" i="12"/>
  <c r="O535" i="12"/>
  <c r="Q535" i="12" s="1"/>
  <c r="R535" i="12" s="1"/>
  <c r="S535" i="12" s="1"/>
  <c r="K535" i="12"/>
  <c r="W534" i="12"/>
  <c r="T534" i="12"/>
  <c r="O534" i="12"/>
  <c r="Q534" i="12" s="1"/>
  <c r="R534" i="12" s="1"/>
  <c r="S534" i="12" s="1"/>
  <c r="K534" i="12"/>
  <c r="W533" i="12"/>
  <c r="T533" i="12"/>
  <c r="O533" i="12"/>
  <c r="Q533" i="12" s="1"/>
  <c r="R533" i="12" s="1"/>
  <c r="S533" i="12" s="1"/>
  <c r="K533" i="12"/>
  <c r="N533" i="12" s="1"/>
  <c r="W532" i="12"/>
  <c r="T532" i="12"/>
  <c r="O532" i="12"/>
  <c r="Q532" i="12" s="1"/>
  <c r="R532" i="12" s="1"/>
  <c r="S532" i="12" s="1"/>
  <c r="K532" i="12"/>
  <c r="N532" i="12" s="1"/>
  <c r="W531" i="12"/>
  <c r="T531" i="12"/>
  <c r="O531" i="12"/>
  <c r="Q531" i="12" s="1"/>
  <c r="R531" i="12" s="1"/>
  <c r="S531" i="12" s="1"/>
  <c r="K531" i="12"/>
  <c r="N531" i="12" s="1"/>
  <c r="W530" i="12"/>
  <c r="T530" i="12"/>
  <c r="O530" i="12"/>
  <c r="Q530" i="12" s="1"/>
  <c r="R530" i="12" s="1"/>
  <c r="S530" i="12" s="1"/>
  <c r="K530" i="12"/>
  <c r="W529" i="12"/>
  <c r="T529" i="12"/>
  <c r="O529" i="12"/>
  <c r="Q529" i="12" s="1"/>
  <c r="R529" i="12" s="1"/>
  <c r="S529" i="12" s="1"/>
  <c r="K529" i="12"/>
  <c r="N529" i="12" s="1"/>
  <c r="W528" i="12"/>
  <c r="T528" i="12"/>
  <c r="O528" i="12"/>
  <c r="Q528" i="12" s="1"/>
  <c r="R528" i="12" s="1"/>
  <c r="S528" i="12" s="1"/>
  <c r="K528" i="12"/>
  <c r="N528" i="12" s="1"/>
  <c r="W527" i="12"/>
  <c r="T527" i="12"/>
  <c r="O527" i="12"/>
  <c r="Q527" i="12" s="1"/>
  <c r="R527" i="12" s="1"/>
  <c r="S527" i="12" s="1"/>
  <c r="K527" i="12"/>
  <c r="N527" i="12" s="1"/>
  <c r="W526" i="12"/>
  <c r="T526" i="12"/>
  <c r="O526" i="12"/>
  <c r="Q526" i="12" s="1"/>
  <c r="R526" i="12" s="1"/>
  <c r="S526" i="12" s="1"/>
  <c r="K526" i="12"/>
  <c r="W525" i="12"/>
  <c r="T525" i="12"/>
  <c r="O525" i="12"/>
  <c r="Q525" i="12" s="1"/>
  <c r="R525" i="12" s="1"/>
  <c r="S525" i="12" s="1"/>
  <c r="K525" i="12"/>
  <c r="N525" i="12" s="1"/>
  <c r="W524" i="12"/>
  <c r="T524" i="12"/>
  <c r="O524" i="12"/>
  <c r="Q524" i="12" s="1"/>
  <c r="R524" i="12" s="1"/>
  <c r="S524" i="12" s="1"/>
  <c r="K524" i="12"/>
  <c r="W523" i="12"/>
  <c r="T523" i="12"/>
  <c r="O523" i="12"/>
  <c r="Q523" i="12" s="1"/>
  <c r="R523" i="12" s="1"/>
  <c r="S523" i="12" s="1"/>
  <c r="K523" i="12"/>
  <c r="N523" i="12" s="1"/>
  <c r="W522" i="12"/>
  <c r="T522" i="12"/>
  <c r="O522" i="12"/>
  <c r="Q522" i="12" s="1"/>
  <c r="R522" i="12" s="1"/>
  <c r="S522" i="12" s="1"/>
  <c r="K522" i="12"/>
  <c r="N522" i="12" s="1"/>
  <c r="W521" i="12"/>
  <c r="T521" i="12"/>
  <c r="O521" i="12"/>
  <c r="Q521" i="12" s="1"/>
  <c r="R521" i="12" s="1"/>
  <c r="S521" i="12" s="1"/>
  <c r="K521" i="12"/>
  <c r="N521" i="12" s="1"/>
  <c r="W520" i="12"/>
  <c r="T520" i="12"/>
  <c r="O520" i="12"/>
  <c r="Q520" i="12" s="1"/>
  <c r="R520" i="12" s="1"/>
  <c r="S520" i="12" s="1"/>
  <c r="K520" i="12"/>
  <c r="N520" i="12" s="1"/>
  <c r="W519" i="12"/>
  <c r="T519" i="12"/>
  <c r="O519" i="12"/>
  <c r="Q519" i="12" s="1"/>
  <c r="R519" i="12" s="1"/>
  <c r="S519" i="12" s="1"/>
  <c r="K519" i="12"/>
  <c r="N519" i="12" s="1"/>
  <c r="W518" i="12"/>
  <c r="T518" i="12"/>
  <c r="O518" i="12"/>
  <c r="Q518" i="12" s="1"/>
  <c r="R518" i="12" s="1"/>
  <c r="S518" i="12" s="1"/>
  <c r="K518" i="12"/>
  <c r="N518" i="12" s="1"/>
  <c r="W517" i="12"/>
  <c r="T517" i="12"/>
  <c r="O517" i="12"/>
  <c r="Q517" i="12" s="1"/>
  <c r="R517" i="12" s="1"/>
  <c r="S517" i="12" s="1"/>
  <c r="K517" i="12"/>
  <c r="W516" i="12"/>
  <c r="T516" i="12"/>
  <c r="O516" i="12"/>
  <c r="Q516" i="12" s="1"/>
  <c r="R516" i="12" s="1"/>
  <c r="S516" i="12" s="1"/>
  <c r="K516" i="12"/>
  <c r="W515" i="12"/>
  <c r="T515" i="12"/>
  <c r="O515" i="12"/>
  <c r="Q515" i="12" s="1"/>
  <c r="R515" i="12" s="1"/>
  <c r="S515" i="12" s="1"/>
  <c r="K515" i="12"/>
  <c r="N515" i="12" s="1"/>
  <c r="W514" i="12"/>
  <c r="T514" i="12"/>
  <c r="O514" i="12"/>
  <c r="Q514" i="12" s="1"/>
  <c r="R514" i="12" s="1"/>
  <c r="S514" i="12" s="1"/>
  <c r="K514" i="12"/>
  <c r="W513" i="12"/>
  <c r="T513" i="12"/>
  <c r="O513" i="12"/>
  <c r="Q513" i="12" s="1"/>
  <c r="R513" i="12" s="1"/>
  <c r="S513" i="12" s="1"/>
  <c r="K513" i="12"/>
  <c r="W512" i="12"/>
  <c r="T512" i="12"/>
  <c r="O512" i="12"/>
  <c r="Q512" i="12" s="1"/>
  <c r="R512" i="12" s="1"/>
  <c r="S512" i="12" s="1"/>
  <c r="K512" i="12"/>
  <c r="N512" i="12" s="1"/>
  <c r="W511" i="12"/>
  <c r="T511" i="12"/>
  <c r="O511" i="12"/>
  <c r="Q511" i="12" s="1"/>
  <c r="R511" i="12" s="1"/>
  <c r="S511" i="12" s="1"/>
  <c r="K511" i="12"/>
  <c r="N511" i="12" s="1"/>
  <c r="W510" i="12"/>
  <c r="T510" i="12"/>
  <c r="O510" i="12"/>
  <c r="Q510" i="12" s="1"/>
  <c r="R510" i="12" s="1"/>
  <c r="S510" i="12" s="1"/>
  <c r="K510" i="12"/>
  <c r="W509" i="12"/>
  <c r="T509" i="12"/>
  <c r="O509" i="12"/>
  <c r="Q509" i="12" s="1"/>
  <c r="R509" i="12" s="1"/>
  <c r="S509" i="12" s="1"/>
  <c r="K509" i="12"/>
  <c r="W508" i="12"/>
  <c r="T508" i="12"/>
  <c r="O508" i="12"/>
  <c r="Q508" i="12" s="1"/>
  <c r="R508" i="12" s="1"/>
  <c r="S508" i="12" s="1"/>
  <c r="K508" i="12"/>
  <c r="W507" i="12"/>
  <c r="T507" i="12"/>
  <c r="O507" i="12"/>
  <c r="Q507" i="12" s="1"/>
  <c r="R507" i="12" s="1"/>
  <c r="S507" i="12" s="1"/>
  <c r="K507" i="12"/>
  <c r="W506" i="12"/>
  <c r="T506" i="12"/>
  <c r="O506" i="12"/>
  <c r="Q506" i="12" s="1"/>
  <c r="R506" i="12" s="1"/>
  <c r="S506" i="12" s="1"/>
  <c r="K506" i="12"/>
  <c r="N506" i="12" s="1"/>
  <c r="W505" i="12"/>
  <c r="T505" i="12"/>
  <c r="O505" i="12"/>
  <c r="Q505" i="12" s="1"/>
  <c r="R505" i="12" s="1"/>
  <c r="S505" i="12" s="1"/>
  <c r="K505" i="12"/>
  <c r="N505" i="12" s="1"/>
  <c r="W504" i="12"/>
  <c r="T504" i="12"/>
  <c r="O504" i="12"/>
  <c r="Q504" i="12" s="1"/>
  <c r="R504" i="12" s="1"/>
  <c r="S504" i="12" s="1"/>
  <c r="K504" i="12"/>
  <c r="N504" i="12" s="1"/>
  <c r="W503" i="12"/>
  <c r="T503" i="12"/>
  <c r="O503" i="12"/>
  <c r="Q503" i="12" s="1"/>
  <c r="R503" i="12" s="1"/>
  <c r="S503" i="12" s="1"/>
  <c r="K503" i="12"/>
  <c r="N503" i="12" s="1"/>
  <c r="W502" i="12"/>
  <c r="T502" i="12"/>
  <c r="O502" i="12"/>
  <c r="Q502" i="12" s="1"/>
  <c r="R502" i="12" s="1"/>
  <c r="S502" i="12" s="1"/>
  <c r="K502" i="12"/>
  <c r="W501" i="12"/>
  <c r="T501" i="12"/>
  <c r="O501" i="12"/>
  <c r="Q501" i="12" s="1"/>
  <c r="R501" i="12" s="1"/>
  <c r="S501" i="12" s="1"/>
  <c r="K501" i="12"/>
  <c r="N501" i="12" s="1"/>
  <c r="W500" i="12"/>
  <c r="T500" i="12"/>
  <c r="O500" i="12"/>
  <c r="Q500" i="12" s="1"/>
  <c r="R500" i="12" s="1"/>
  <c r="S500" i="12" s="1"/>
  <c r="K500" i="12"/>
  <c r="W499" i="12"/>
  <c r="T499" i="12"/>
  <c r="O499" i="12"/>
  <c r="Q499" i="12" s="1"/>
  <c r="R499" i="12" s="1"/>
  <c r="S499" i="12" s="1"/>
  <c r="K499" i="12"/>
  <c r="W498" i="12"/>
  <c r="T498" i="12"/>
  <c r="O498" i="12"/>
  <c r="Q498" i="12" s="1"/>
  <c r="R498" i="12" s="1"/>
  <c r="S498" i="12" s="1"/>
  <c r="K498" i="12"/>
  <c r="N498" i="12" s="1"/>
  <c r="W497" i="12"/>
  <c r="T497" i="12"/>
  <c r="O497" i="12"/>
  <c r="Q497" i="12" s="1"/>
  <c r="R497" i="12" s="1"/>
  <c r="S497" i="12" s="1"/>
  <c r="K497" i="12"/>
  <c r="N497" i="12" s="1"/>
  <c r="W496" i="12"/>
  <c r="T496" i="12"/>
  <c r="O496" i="12"/>
  <c r="Q496" i="12" s="1"/>
  <c r="R496" i="12" s="1"/>
  <c r="S496" i="12" s="1"/>
  <c r="K496" i="12"/>
  <c r="N496" i="12" s="1"/>
  <c r="W495" i="12"/>
  <c r="T495" i="12"/>
  <c r="O495" i="12"/>
  <c r="Q495" i="12" s="1"/>
  <c r="R495" i="12" s="1"/>
  <c r="S495" i="12" s="1"/>
  <c r="K495" i="12"/>
  <c r="N495" i="12" s="1"/>
  <c r="W494" i="12"/>
  <c r="T494" i="12"/>
  <c r="O494" i="12"/>
  <c r="Q494" i="12" s="1"/>
  <c r="R494" i="12" s="1"/>
  <c r="S494" i="12" s="1"/>
  <c r="K494" i="12"/>
  <c r="W493" i="12"/>
  <c r="T493" i="12"/>
  <c r="O493" i="12"/>
  <c r="Q493" i="12" s="1"/>
  <c r="R493" i="12" s="1"/>
  <c r="S493" i="12" s="1"/>
  <c r="K493" i="12"/>
  <c r="N493" i="12" s="1"/>
  <c r="W492" i="12"/>
  <c r="T492" i="12"/>
  <c r="O492" i="12"/>
  <c r="Q492" i="12" s="1"/>
  <c r="R492" i="12" s="1"/>
  <c r="S492" i="12" s="1"/>
  <c r="K492" i="12"/>
  <c r="W491" i="12"/>
  <c r="T491" i="12"/>
  <c r="O491" i="12"/>
  <c r="Q491" i="12" s="1"/>
  <c r="R491" i="12" s="1"/>
  <c r="S491" i="12" s="1"/>
  <c r="K491" i="12"/>
  <c r="N491" i="12" s="1"/>
  <c r="W490" i="12"/>
  <c r="T490" i="12"/>
  <c r="O490" i="12"/>
  <c r="Q490" i="12" s="1"/>
  <c r="R490" i="12" s="1"/>
  <c r="S490" i="12" s="1"/>
  <c r="K490" i="12"/>
  <c r="W489" i="12"/>
  <c r="T489" i="12"/>
  <c r="O489" i="12"/>
  <c r="Q489" i="12" s="1"/>
  <c r="R489" i="12" s="1"/>
  <c r="S489" i="12" s="1"/>
  <c r="K489" i="12"/>
  <c r="N489" i="12" s="1"/>
  <c r="W488" i="12"/>
  <c r="T488" i="12"/>
  <c r="O488" i="12"/>
  <c r="Q488" i="12" s="1"/>
  <c r="R488" i="12" s="1"/>
  <c r="S488" i="12" s="1"/>
  <c r="K488" i="12"/>
  <c r="N488" i="12" s="1"/>
  <c r="W487" i="12"/>
  <c r="T487" i="12"/>
  <c r="O487" i="12"/>
  <c r="Q487" i="12" s="1"/>
  <c r="R487" i="12" s="1"/>
  <c r="S487" i="12" s="1"/>
  <c r="K487" i="12"/>
  <c r="N487" i="12" s="1"/>
  <c r="W486" i="12"/>
  <c r="T486" i="12"/>
  <c r="O486" i="12"/>
  <c r="Q486" i="12" s="1"/>
  <c r="R486" i="12" s="1"/>
  <c r="S486" i="12" s="1"/>
  <c r="K486" i="12"/>
  <c r="N486" i="12" s="1"/>
  <c r="W485" i="12"/>
  <c r="T485" i="12"/>
  <c r="O485" i="12"/>
  <c r="Q485" i="12" s="1"/>
  <c r="R485" i="12" s="1"/>
  <c r="S485" i="12" s="1"/>
  <c r="K485" i="12"/>
  <c r="W484" i="12"/>
  <c r="T484" i="12"/>
  <c r="O484" i="12"/>
  <c r="Q484" i="12" s="1"/>
  <c r="R484" i="12" s="1"/>
  <c r="S484" i="12" s="1"/>
  <c r="K484" i="12"/>
  <c r="W483" i="12"/>
  <c r="T483" i="12"/>
  <c r="O483" i="12"/>
  <c r="Q483" i="12" s="1"/>
  <c r="R483" i="12" s="1"/>
  <c r="S483" i="12" s="1"/>
  <c r="K483" i="12"/>
  <c r="N483" i="12" s="1"/>
  <c r="W482" i="12"/>
  <c r="T482" i="12"/>
  <c r="O482" i="12"/>
  <c r="Q482" i="12" s="1"/>
  <c r="R482" i="12" s="1"/>
  <c r="S482" i="12" s="1"/>
  <c r="K482" i="12"/>
  <c r="N482" i="12" s="1"/>
  <c r="W481" i="12"/>
  <c r="T481" i="12"/>
  <c r="O481" i="12"/>
  <c r="Q481" i="12" s="1"/>
  <c r="R481" i="12" s="1"/>
  <c r="S481" i="12" s="1"/>
  <c r="K481" i="12"/>
  <c r="W480" i="12"/>
  <c r="T480" i="12"/>
  <c r="O480" i="12"/>
  <c r="Q480" i="12" s="1"/>
  <c r="R480" i="12" s="1"/>
  <c r="S480" i="12" s="1"/>
  <c r="K480" i="12"/>
  <c r="N480" i="12" s="1"/>
  <c r="W479" i="12"/>
  <c r="T479" i="12"/>
  <c r="O479" i="12"/>
  <c r="Q479" i="12" s="1"/>
  <c r="R479" i="12" s="1"/>
  <c r="S479" i="12" s="1"/>
  <c r="K479" i="12"/>
  <c r="N479" i="12" s="1"/>
  <c r="W478" i="12"/>
  <c r="T478" i="12"/>
  <c r="O478" i="12"/>
  <c r="Q478" i="12" s="1"/>
  <c r="R478" i="12" s="1"/>
  <c r="S478" i="12" s="1"/>
  <c r="K478" i="12"/>
  <c r="W477" i="12"/>
  <c r="T477" i="12"/>
  <c r="O477" i="12"/>
  <c r="Q477" i="12" s="1"/>
  <c r="R477" i="12" s="1"/>
  <c r="S477" i="12" s="1"/>
  <c r="K477" i="12"/>
  <c r="W476" i="12"/>
  <c r="T476" i="12"/>
  <c r="O476" i="12"/>
  <c r="Q476" i="12" s="1"/>
  <c r="R476" i="12" s="1"/>
  <c r="S476" i="12" s="1"/>
  <c r="K476" i="12"/>
  <c r="N476" i="12" s="1"/>
  <c r="W475" i="12"/>
  <c r="T475" i="12"/>
  <c r="O475" i="12"/>
  <c r="Q475" i="12" s="1"/>
  <c r="R475" i="12" s="1"/>
  <c r="S475" i="12" s="1"/>
  <c r="K475" i="12"/>
  <c r="N475" i="12" s="1"/>
  <c r="W474" i="12"/>
  <c r="T474" i="12"/>
  <c r="O474" i="12"/>
  <c r="Q474" i="12" s="1"/>
  <c r="R474" i="12" s="1"/>
  <c r="S474" i="12" s="1"/>
  <c r="K474" i="12"/>
  <c r="N474" i="12" s="1"/>
  <c r="W473" i="12"/>
  <c r="T473" i="12"/>
  <c r="O473" i="12"/>
  <c r="Q473" i="12" s="1"/>
  <c r="R473" i="12" s="1"/>
  <c r="S473" i="12" s="1"/>
  <c r="K473" i="12"/>
  <c r="W472" i="12"/>
  <c r="T472" i="12"/>
  <c r="O472" i="12"/>
  <c r="Q472" i="12" s="1"/>
  <c r="R472" i="12" s="1"/>
  <c r="S472" i="12" s="1"/>
  <c r="K472" i="12"/>
  <c r="W471" i="12"/>
  <c r="T471" i="12"/>
  <c r="O471" i="12"/>
  <c r="Q471" i="12" s="1"/>
  <c r="R471" i="12" s="1"/>
  <c r="S471" i="12" s="1"/>
  <c r="K471" i="12"/>
  <c r="N471" i="12" s="1"/>
  <c r="V471" i="12" s="1"/>
  <c r="W470" i="12"/>
  <c r="T470" i="12"/>
  <c r="O470" i="12"/>
  <c r="Q470" i="12" s="1"/>
  <c r="R470" i="12" s="1"/>
  <c r="S470" i="12" s="1"/>
  <c r="K470" i="12"/>
  <c r="N470" i="12" s="1"/>
  <c r="V470" i="12" s="1"/>
  <c r="X470" i="12" s="1"/>
  <c r="W469" i="12"/>
  <c r="T469" i="12"/>
  <c r="O469" i="12"/>
  <c r="Q469" i="12" s="1"/>
  <c r="R469" i="12" s="1"/>
  <c r="S469" i="12" s="1"/>
  <c r="K469" i="12"/>
  <c r="W468" i="12"/>
  <c r="T468" i="12"/>
  <c r="O468" i="12"/>
  <c r="Q468" i="12" s="1"/>
  <c r="R468" i="12" s="1"/>
  <c r="S468" i="12" s="1"/>
  <c r="K468" i="12"/>
  <c r="N468" i="12" s="1"/>
  <c r="W467" i="12"/>
  <c r="T467" i="12"/>
  <c r="O467" i="12"/>
  <c r="Q467" i="12" s="1"/>
  <c r="R467" i="12" s="1"/>
  <c r="S467" i="12" s="1"/>
  <c r="K467" i="12"/>
  <c r="N467" i="12" s="1"/>
  <c r="W466" i="12"/>
  <c r="T466" i="12"/>
  <c r="O466" i="12"/>
  <c r="Q466" i="12" s="1"/>
  <c r="R466" i="12" s="1"/>
  <c r="S466" i="12" s="1"/>
  <c r="K466" i="12"/>
  <c r="N466" i="12" s="1"/>
  <c r="V466" i="12" s="1"/>
  <c r="X466" i="12" s="1"/>
  <c r="W465" i="12"/>
  <c r="T465" i="12"/>
  <c r="O465" i="12"/>
  <c r="Q465" i="12" s="1"/>
  <c r="R465" i="12" s="1"/>
  <c r="S465" i="12" s="1"/>
  <c r="K465" i="12"/>
  <c r="N465" i="12" s="1"/>
  <c r="W464" i="12"/>
  <c r="T464" i="12"/>
  <c r="O464" i="12"/>
  <c r="Q464" i="12" s="1"/>
  <c r="R464" i="12" s="1"/>
  <c r="S464" i="12" s="1"/>
  <c r="K464" i="12"/>
  <c r="N464" i="12" s="1"/>
  <c r="V464" i="12" s="1"/>
  <c r="X464" i="12" s="1"/>
  <c r="W463" i="12"/>
  <c r="T463" i="12"/>
  <c r="O463" i="12"/>
  <c r="Q463" i="12" s="1"/>
  <c r="R463" i="12" s="1"/>
  <c r="S463" i="12" s="1"/>
  <c r="K463" i="12"/>
  <c r="W462" i="12"/>
  <c r="T462" i="12"/>
  <c r="O462" i="12"/>
  <c r="Q462" i="12" s="1"/>
  <c r="R462" i="12" s="1"/>
  <c r="S462" i="12" s="1"/>
  <c r="K462" i="12"/>
  <c r="W461" i="12"/>
  <c r="T461" i="12"/>
  <c r="O461" i="12"/>
  <c r="Q461" i="12" s="1"/>
  <c r="R461" i="12" s="1"/>
  <c r="S461" i="12" s="1"/>
  <c r="K461" i="12"/>
  <c r="N461" i="12" s="1"/>
  <c r="W460" i="12"/>
  <c r="T460" i="12"/>
  <c r="O460" i="12"/>
  <c r="Q460" i="12" s="1"/>
  <c r="R460" i="12" s="1"/>
  <c r="S460" i="12" s="1"/>
  <c r="K460" i="12"/>
  <c r="N460" i="12" s="1"/>
  <c r="W459" i="12"/>
  <c r="T459" i="12"/>
  <c r="O459" i="12"/>
  <c r="Q459" i="12" s="1"/>
  <c r="R459" i="12" s="1"/>
  <c r="S459" i="12" s="1"/>
  <c r="K459" i="12"/>
  <c r="N459" i="12" s="1"/>
  <c r="W458" i="12"/>
  <c r="T458" i="12"/>
  <c r="O458" i="12"/>
  <c r="Q458" i="12" s="1"/>
  <c r="R458" i="12" s="1"/>
  <c r="S458" i="12" s="1"/>
  <c r="K458" i="12"/>
  <c r="N458" i="12" s="1"/>
  <c r="W457" i="12"/>
  <c r="T457" i="12"/>
  <c r="O457" i="12"/>
  <c r="Q457" i="12" s="1"/>
  <c r="R457" i="12" s="1"/>
  <c r="S457" i="12" s="1"/>
  <c r="K457" i="12"/>
  <c r="W456" i="12"/>
  <c r="T456" i="12"/>
  <c r="O456" i="12"/>
  <c r="Q456" i="12" s="1"/>
  <c r="R456" i="12" s="1"/>
  <c r="S456" i="12" s="1"/>
  <c r="K456" i="12"/>
  <c r="N456" i="12" s="1"/>
  <c r="W455" i="12"/>
  <c r="T455" i="12"/>
  <c r="O455" i="12"/>
  <c r="Q455" i="12" s="1"/>
  <c r="R455" i="12" s="1"/>
  <c r="S455" i="12" s="1"/>
  <c r="K455" i="12"/>
  <c r="N455" i="12" s="1"/>
  <c r="W454" i="12"/>
  <c r="T454" i="12"/>
  <c r="O454" i="12"/>
  <c r="Q454" i="12" s="1"/>
  <c r="R454" i="12" s="1"/>
  <c r="S454" i="12" s="1"/>
  <c r="K454" i="12"/>
  <c r="W453" i="12"/>
  <c r="T453" i="12"/>
  <c r="O453" i="12"/>
  <c r="Q453" i="12" s="1"/>
  <c r="R453" i="12" s="1"/>
  <c r="S453" i="12" s="1"/>
  <c r="K453" i="12"/>
  <c r="N453" i="12" s="1"/>
  <c r="W452" i="12"/>
  <c r="T452" i="12"/>
  <c r="O452" i="12"/>
  <c r="Q452" i="12" s="1"/>
  <c r="R452" i="12" s="1"/>
  <c r="S452" i="12" s="1"/>
  <c r="K452" i="12"/>
  <c r="N452" i="12" s="1"/>
  <c r="W451" i="12"/>
  <c r="T451" i="12"/>
  <c r="O451" i="12"/>
  <c r="Q451" i="12" s="1"/>
  <c r="R451" i="12" s="1"/>
  <c r="S451" i="12" s="1"/>
  <c r="K451" i="12"/>
  <c r="N451" i="12" s="1"/>
  <c r="W450" i="12"/>
  <c r="T450" i="12"/>
  <c r="O450" i="12"/>
  <c r="Q450" i="12" s="1"/>
  <c r="R450" i="12" s="1"/>
  <c r="S450" i="12" s="1"/>
  <c r="K450" i="12"/>
  <c r="N450" i="12" s="1"/>
  <c r="W449" i="12"/>
  <c r="T449" i="12"/>
  <c r="O449" i="12"/>
  <c r="Q449" i="12" s="1"/>
  <c r="R449" i="12" s="1"/>
  <c r="S449" i="12" s="1"/>
  <c r="K449" i="12"/>
  <c r="W448" i="12"/>
  <c r="T448" i="12"/>
  <c r="O448" i="12"/>
  <c r="Q448" i="12" s="1"/>
  <c r="R448" i="12" s="1"/>
  <c r="S448" i="12" s="1"/>
  <c r="K448" i="12"/>
  <c r="W447" i="12"/>
  <c r="T447" i="12"/>
  <c r="O447" i="12"/>
  <c r="Q447" i="12" s="1"/>
  <c r="R447" i="12" s="1"/>
  <c r="S447" i="12" s="1"/>
  <c r="K447" i="12"/>
  <c r="W446" i="12"/>
  <c r="T446" i="12"/>
  <c r="O446" i="12"/>
  <c r="Q446" i="12" s="1"/>
  <c r="R446" i="12" s="1"/>
  <c r="S446" i="12" s="1"/>
  <c r="K446" i="12"/>
  <c r="N446" i="12" s="1"/>
  <c r="W445" i="12"/>
  <c r="T445" i="12"/>
  <c r="O445" i="12"/>
  <c r="Q445" i="12" s="1"/>
  <c r="R445" i="12" s="1"/>
  <c r="S445" i="12" s="1"/>
  <c r="K445" i="12"/>
  <c r="W444" i="12"/>
  <c r="T444" i="12"/>
  <c r="O444" i="12"/>
  <c r="Q444" i="12" s="1"/>
  <c r="R444" i="12" s="1"/>
  <c r="S444" i="12" s="1"/>
  <c r="K444" i="12"/>
  <c r="N444" i="12" s="1"/>
  <c r="W443" i="12"/>
  <c r="T443" i="12"/>
  <c r="O443" i="12"/>
  <c r="Q443" i="12" s="1"/>
  <c r="R443" i="12" s="1"/>
  <c r="S443" i="12" s="1"/>
  <c r="K443" i="12"/>
  <c r="W442" i="12"/>
  <c r="T442" i="12"/>
  <c r="O442" i="12"/>
  <c r="Q442" i="12" s="1"/>
  <c r="R442" i="12" s="1"/>
  <c r="S442" i="12" s="1"/>
  <c r="K442" i="12"/>
  <c r="W441" i="12"/>
  <c r="T441" i="12"/>
  <c r="O441" i="12"/>
  <c r="Q441" i="12" s="1"/>
  <c r="R441" i="12" s="1"/>
  <c r="S441" i="12" s="1"/>
  <c r="K441" i="12"/>
  <c r="N441" i="12" s="1"/>
  <c r="W440" i="12"/>
  <c r="T440" i="12"/>
  <c r="O440" i="12"/>
  <c r="Q440" i="12" s="1"/>
  <c r="R440" i="12" s="1"/>
  <c r="S440" i="12" s="1"/>
  <c r="K440" i="12"/>
  <c r="N440" i="12" s="1"/>
  <c r="W439" i="12"/>
  <c r="T439" i="12"/>
  <c r="O439" i="12"/>
  <c r="Q439" i="12" s="1"/>
  <c r="R439" i="12" s="1"/>
  <c r="S439" i="12" s="1"/>
  <c r="K439" i="12"/>
  <c r="W438" i="12"/>
  <c r="T438" i="12"/>
  <c r="O438" i="12"/>
  <c r="Q438" i="12" s="1"/>
  <c r="R438" i="12" s="1"/>
  <c r="S438" i="12" s="1"/>
  <c r="K438" i="12"/>
  <c r="N438" i="12" s="1"/>
  <c r="W437" i="12"/>
  <c r="T437" i="12"/>
  <c r="O437" i="12"/>
  <c r="Q437" i="12" s="1"/>
  <c r="R437" i="12" s="1"/>
  <c r="S437" i="12" s="1"/>
  <c r="K437" i="12"/>
  <c r="N437" i="12" s="1"/>
  <c r="W436" i="12"/>
  <c r="T436" i="12"/>
  <c r="O436" i="12"/>
  <c r="Q436" i="12" s="1"/>
  <c r="R436" i="12" s="1"/>
  <c r="S436" i="12" s="1"/>
  <c r="K436" i="12"/>
  <c r="W435" i="12"/>
  <c r="T435" i="12"/>
  <c r="O435" i="12"/>
  <c r="Q435" i="12" s="1"/>
  <c r="R435" i="12" s="1"/>
  <c r="S435" i="12" s="1"/>
  <c r="K435" i="12"/>
  <c r="N435" i="12" s="1"/>
  <c r="W434" i="12"/>
  <c r="T434" i="12"/>
  <c r="O434" i="12"/>
  <c r="Q434" i="12" s="1"/>
  <c r="R434" i="12" s="1"/>
  <c r="S434" i="12" s="1"/>
  <c r="K434" i="12"/>
  <c r="N434" i="12" s="1"/>
  <c r="V434" i="12" s="1"/>
  <c r="X434" i="12" s="1"/>
  <c r="W433" i="12"/>
  <c r="T433" i="12"/>
  <c r="O433" i="12"/>
  <c r="Q433" i="12" s="1"/>
  <c r="R433" i="12" s="1"/>
  <c r="S433" i="12" s="1"/>
  <c r="K433" i="12"/>
  <c r="N433" i="12" s="1"/>
  <c r="V433" i="12" s="1"/>
  <c r="W432" i="12"/>
  <c r="T432" i="12"/>
  <c r="O432" i="12"/>
  <c r="Q432" i="12" s="1"/>
  <c r="R432" i="12" s="1"/>
  <c r="S432" i="12" s="1"/>
  <c r="K432" i="12"/>
  <c r="N432" i="12" s="1"/>
  <c r="V432" i="12" s="1"/>
  <c r="X432" i="12" s="1"/>
  <c r="W431" i="12"/>
  <c r="T431" i="12"/>
  <c r="O431" i="12"/>
  <c r="Q431" i="12" s="1"/>
  <c r="R431" i="12" s="1"/>
  <c r="S431" i="12" s="1"/>
  <c r="K431" i="12"/>
  <c r="N431" i="12" s="1"/>
  <c r="V431" i="12" s="1"/>
  <c r="W430" i="12"/>
  <c r="T430" i="12"/>
  <c r="O430" i="12"/>
  <c r="Q430" i="12" s="1"/>
  <c r="R430" i="12" s="1"/>
  <c r="S430" i="12" s="1"/>
  <c r="K430" i="12"/>
  <c r="N430" i="12" s="1"/>
  <c r="W429" i="12"/>
  <c r="T429" i="12"/>
  <c r="O429" i="12"/>
  <c r="Q429" i="12" s="1"/>
  <c r="R429" i="12" s="1"/>
  <c r="S429" i="12" s="1"/>
  <c r="K429" i="12"/>
  <c r="W428" i="12"/>
  <c r="T428" i="12"/>
  <c r="O428" i="12"/>
  <c r="Q428" i="12" s="1"/>
  <c r="R428" i="12" s="1"/>
  <c r="S428" i="12" s="1"/>
  <c r="K428" i="12"/>
  <c r="N428" i="12" s="1"/>
  <c r="W427" i="12"/>
  <c r="T427" i="12"/>
  <c r="O427" i="12"/>
  <c r="Q427" i="12" s="1"/>
  <c r="R427" i="12" s="1"/>
  <c r="S427" i="12" s="1"/>
  <c r="K427" i="12"/>
  <c r="N427" i="12" s="1"/>
  <c r="W426" i="12"/>
  <c r="T426" i="12"/>
  <c r="O426" i="12"/>
  <c r="Q426" i="12" s="1"/>
  <c r="R426" i="12" s="1"/>
  <c r="S426" i="12" s="1"/>
  <c r="K426" i="12"/>
  <c r="N426" i="12" s="1"/>
  <c r="W425" i="12"/>
  <c r="T425" i="12"/>
  <c r="O425" i="12"/>
  <c r="Q425" i="12" s="1"/>
  <c r="R425" i="12" s="1"/>
  <c r="S425" i="12" s="1"/>
  <c r="K425" i="12"/>
  <c r="N425" i="12" s="1"/>
  <c r="W424" i="12"/>
  <c r="T424" i="12"/>
  <c r="O424" i="12"/>
  <c r="Q424" i="12" s="1"/>
  <c r="R424" i="12" s="1"/>
  <c r="S424" i="12" s="1"/>
  <c r="K424" i="12"/>
  <c r="N424" i="12" s="1"/>
  <c r="W423" i="12"/>
  <c r="T423" i="12"/>
  <c r="O423" i="12"/>
  <c r="Q423" i="12" s="1"/>
  <c r="R423" i="12" s="1"/>
  <c r="S423" i="12" s="1"/>
  <c r="K423" i="12"/>
  <c r="N423" i="12" s="1"/>
  <c r="W422" i="12"/>
  <c r="T422" i="12"/>
  <c r="O422" i="12"/>
  <c r="Q422" i="12" s="1"/>
  <c r="R422" i="12" s="1"/>
  <c r="S422" i="12" s="1"/>
  <c r="K422" i="12"/>
  <c r="N422" i="12" s="1"/>
  <c r="W421" i="12"/>
  <c r="T421" i="12"/>
  <c r="O421" i="12"/>
  <c r="Q421" i="12" s="1"/>
  <c r="R421" i="12" s="1"/>
  <c r="S421" i="12" s="1"/>
  <c r="K421" i="12"/>
  <c r="W420" i="12"/>
  <c r="T420" i="12"/>
  <c r="O420" i="12"/>
  <c r="Q420" i="12" s="1"/>
  <c r="R420" i="12" s="1"/>
  <c r="S420" i="12" s="1"/>
  <c r="K420" i="12"/>
  <c r="N420" i="12" s="1"/>
  <c r="W419" i="12"/>
  <c r="T419" i="12"/>
  <c r="O419" i="12"/>
  <c r="Q419" i="12" s="1"/>
  <c r="R419" i="12" s="1"/>
  <c r="S419" i="12" s="1"/>
  <c r="K419" i="12"/>
  <c r="N419" i="12" s="1"/>
  <c r="W418" i="12"/>
  <c r="T418" i="12"/>
  <c r="O418" i="12"/>
  <c r="Q418" i="12" s="1"/>
  <c r="R418" i="12" s="1"/>
  <c r="S418" i="12" s="1"/>
  <c r="K418" i="12"/>
  <c r="N418" i="12" s="1"/>
  <c r="W417" i="12"/>
  <c r="T417" i="12"/>
  <c r="O417" i="12"/>
  <c r="Q417" i="12" s="1"/>
  <c r="R417" i="12" s="1"/>
  <c r="S417" i="12" s="1"/>
  <c r="K417" i="12"/>
  <c r="W416" i="12"/>
  <c r="T416" i="12"/>
  <c r="O416" i="12"/>
  <c r="Q416" i="12" s="1"/>
  <c r="R416" i="12" s="1"/>
  <c r="S416" i="12" s="1"/>
  <c r="K416" i="12"/>
  <c r="N416" i="12" s="1"/>
  <c r="W415" i="12"/>
  <c r="T415" i="12"/>
  <c r="O415" i="12"/>
  <c r="Q415" i="12" s="1"/>
  <c r="R415" i="12" s="1"/>
  <c r="S415" i="12" s="1"/>
  <c r="K415" i="12"/>
  <c r="W414" i="12"/>
  <c r="T414" i="12"/>
  <c r="O414" i="12"/>
  <c r="Q414" i="12" s="1"/>
  <c r="R414" i="12" s="1"/>
  <c r="S414" i="12" s="1"/>
  <c r="K414" i="12"/>
  <c r="W413" i="12"/>
  <c r="T413" i="12"/>
  <c r="O413" i="12"/>
  <c r="Q413" i="12" s="1"/>
  <c r="R413" i="12" s="1"/>
  <c r="S413" i="12" s="1"/>
  <c r="K413" i="12"/>
  <c r="N413" i="12" s="1"/>
  <c r="W412" i="12"/>
  <c r="T412" i="12"/>
  <c r="O412" i="12"/>
  <c r="Q412" i="12" s="1"/>
  <c r="R412" i="12" s="1"/>
  <c r="S412" i="12" s="1"/>
  <c r="K412" i="12"/>
  <c r="N412" i="12" s="1"/>
  <c r="W411" i="12"/>
  <c r="T411" i="12"/>
  <c r="O411" i="12"/>
  <c r="Q411" i="12" s="1"/>
  <c r="R411" i="12" s="1"/>
  <c r="S411" i="12" s="1"/>
  <c r="K411" i="12"/>
  <c r="N411" i="12" s="1"/>
  <c r="W410" i="12"/>
  <c r="T410" i="12"/>
  <c r="O410" i="12"/>
  <c r="Q410" i="12" s="1"/>
  <c r="R410" i="12" s="1"/>
  <c r="S410" i="12" s="1"/>
  <c r="K410" i="12"/>
  <c r="N410" i="12" s="1"/>
  <c r="W409" i="12"/>
  <c r="T409" i="12"/>
  <c r="O409" i="12"/>
  <c r="Q409" i="12" s="1"/>
  <c r="R409" i="12" s="1"/>
  <c r="S409" i="12" s="1"/>
  <c r="K409" i="12"/>
  <c r="W408" i="12"/>
  <c r="T408" i="12"/>
  <c r="O408" i="12"/>
  <c r="Q408" i="12" s="1"/>
  <c r="R408" i="12" s="1"/>
  <c r="S408" i="12" s="1"/>
  <c r="K408" i="12"/>
  <c r="W407" i="12"/>
  <c r="T407" i="12"/>
  <c r="O407" i="12"/>
  <c r="Q407" i="12" s="1"/>
  <c r="R407" i="12" s="1"/>
  <c r="S407" i="12" s="1"/>
  <c r="K407" i="12"/>
  <c r="N407" i="12" s="1"/>
  <c r="W406" i="12"/>
  <c r="T406" i="12"/>
  <c r="O406" i="12"/>
  <c r="Q406" i="12" s="1"/>
  <c r="R406" i="12" s="1"/>
  <c r="S406" i="12" s="1"/>
  <c r="K406" i="12"/>
  <c r="W405" i="12"/>
  <c r="T405" i="12"/>
  <c r="O405" i="12"/>
  <c r="Q405" i="12" s="1"/>
  <c r="R405" i="12" s="1"/>
  <c r="S405" i="12" s="1"/>
  <c r="K405" i="12"/>
  <c r="N405" i="12" s="1"/>
  <c r="W404" i="12"/>
  <c r="T404" i="12"/>
  <c r="O404" i="12"/>
  <c r="Q404" i="12" s="1"/>
  <c r="R404" i="12" s="1"/>
  <c r="S404" i="12" s="1"/>
  <c r="K404" i="12"/>
  <c r="N404" i="12" s="1"/>
  <c r="W403" i="12"/>
  <c r="T403" i="12"/>
  <c r="O403" i="12"/>
  <c r="Q403" i="12" s="1"/>
  <c r="R403" i="12" s="1"/>
  <c r="S403" i="12" s="1"/>
  <c r="K403" i="12"/>
  <c r="N403" i="12" s="1"/>
  <c r="W402" i="12"/>
  <c r="T402" i="12"/>
  <c r="O402" i="12"/>
  <c r="Q402" i="12" s="1"/>
  <c r="R402" i="12" s="1"/>
  <c r="S402" i="12" s="1"/>
  <c r="K402" i="12"/>
  <c r="W401" i="12"/>
  <c r="T401" i="12"/>
  <c r="O401" i="12"/>
  <c r="Q401" i="12" s="1"/>
  <c r="R401" i="12" s="1"/>
  <c r="S401" i="12" s="1"/>
  <c r="K401" i="12"/>
  <c r="W400" i="12"/>
  <c r="T400" i="12"/>
  <c r="O400" i="12"/>
  <c r="Q400" i="12" s="1"/>
  <c r="R400" i="12" s="1"/>
  <c r="S400" i="12" s="1"/>
  <c r="K400" i="12"/>
  <c r="N400" i="12" s="1"/>
  <c r="W399" i="12"/>
  <c r="T399" i="12"/>
  <c r="O399" i="12"/>
  <c r="Q399" i="12" s="1"/>
  <c r="R399" i="12" s="1"/>
  <c r="S399" i="12" s="1"/>
  <c r="K399" i="12"/>
  <c r="N399" i="12" s="1"/>
  <c r="W398" i="12"/>
  <c r="T398" i="12"/>
  <c r="O398" i="12"/>
  <c r="Q398" i="12" s="1"/>
  <c r="R398" i="12" s="1"/>
  <c r="S398" i="12" s="1"/>
  <c r="K398" i="12"/>
  <c r="N398" i="12" s="1"/>
  <c r="W397" i="12"/>
  <c r="T397" i="12"/>
  <c r="O397" i="12"/>
  <c r="Q397" i="12" s="1"/>
  <c r="R397" i="12" s="1"/>
  <c r="S397" i="12" s="1"/>
  <c r="K397" i="12"/>
  <c r="W396" i="12"/>
  <c r="T396" i="12"/>
  <c r="O396" i="12"/>
  <c r="Q396" i="12" s="1"/>
  <c r="R396" i="12" s="1"/>
  <c r="S396" i="12" s="1"/>
  <c r="K396" i="12"/>
  <c r="N396" i="12" s="1"/>
  <c r="W395" i="12"/>
  <c r="T395" i="12"/>
  <c r="O395" i="12"/>
  <c r="Q395" i="12" s="1"/>
  <c r="R395" i="12" s="1"/>
  <c r="S395" i="12" s="1"/>
  <c r="K395" i="12"/>
  <c r="N395" i="12" s="1"/>
  <c r="W394" i="12"/>
  <c r="T394" i="12"/>
  <c r="O394" i="12"/>
  <c r="Q394" i="12" s="1"/>
  <c r="R394" i="12" s="1"/>
  <c r="S394" i="12" s="1"/>
  <c r="K394" i="12"/>
  <c r="N394" i="12" s="1"/>
  <c r="W393" i="12"/>
  <c r="T393" i="12"/>
  <c r="O393" i="12"/>
  <c r="Q393" i="12" s="1"/>
  <c r="R393" i="12" s="1"/>
  <c r="S393" i="12" s="1"/>
  <c r="K393" i="12"/>
  <c r="N393" i="12" s="1"/>
  <c r="W392" i="12"/>
  <c r="T392" i="12"/>
  <c r="O392" i="12"/>
  <c r="Q392" i="12" s="1"/>
  <c r="R392" i="12" s="1"/>
  <c r="S392" i="12" s="1"/>
  <c r="K392" i="12"/>
  <c r="N392" i="12" s="1"/>
  <c r="W391" i="12"/>
  <c r="T391" i="12"/>
  <c r="O391" i="12"/>
  <c r="Q391" i="12" s="1"/>
  <c r="R391" i="12" s="1"/>
  <c r="S391" i="12" s="1"/>
  <c r="K391" i="12"/>
  <c r="N391" i="12" s="1"/>
  <c r="W390" i="12"/>
  <c r="T390" i="12"/>
  <c r="O390" i="12"/>
  <c r="Q390" i="12" s="1"/>
  <c r="R390" i="12" s="1"/>
  <c r="S390" i="12" s="1"/>
  <c r="K390" i="12"/>
  <c r="W389" i="12"/>
  <c r="T389" i="12"/>
  <c r="O389" i="12"/>
  <c r="Q389" i="12" s="1"/>
  <c r="R389" i="12" s="1"/>
  <c r="S389" i="12" s="1"/>
  <c r="K389" i="12"/>
  <c r="W388" i="12"/>
  <c r="T388" i="12"/>
  <c r="O388" i="12"/>
  <c r="Q388" i="12" s="1"/>
  <c r="R388" i="12" s="1"/>
  <c r="S388" i="12" s="1"/>
  <c r="K388" i="12"/>
  <c r="W387" i="12"/>
  <c r="T387" i="12"/>
  <c r="O387" i="12"/>
  <c r="Q387" i="12" s="1"/>
  <c r="R387" i="12" s="1"/>
  <c r="S387" i="12" s="1"/>
  <c r="K387" i="12"/>
  <c r="N387" i="12" s="1"/>
  <c r="W386" i="12"/>
  <c r="T386" i="12"/>
  <c r="O386" i="12"/>
  <c r="Q386" i="12" s="1"/>
  <c r="R386" i="12" s="1"/>
  <c r="S386" i="12" s="1"/>
  <c r="K386" i="12"/>
  <c r="N386" i="12" s="1"/>
  <c r="W385" i="12"/>
  <c r="T385" i="12"/>
  <c r="O385" i="12"/>
  <c r="Q385" i="12" s="1"/>
  <c r="R385" i="12" s="1"/>
  <c r="S385" i="12" s="1"/>
  <c r="K385" i="12"/>
  <c r="N385" i="12" s="1"/>
  <c r="W384" i="12"/>
  <c r="T384" i="12"/>
  <c r="O384" i="12"/>
  <c r="Q384" i="12" s="1"/>
  <c r="R384" i="12" s="1"/>
  <c r="S384" i="12" s="1"/>
  <c r="K384" i="12"/>
  <c r="N384" i="12" s="1"/>
  <c r="W383" i="12"/>
  <c r="T383" i="12"/>
  <c r="O383" i="12"/>
  <c r="Q383" i="12" s="1"/>
  <c r="R383" i="12" s="1"/>
  <c r="S383" i="12" s="1"/>
  <c r="K383" i="12"/>
  <c r="W382" i="12"/>
  <c r="T382" i="12"/>
  <c r="O382" i="12"/>
  <c r="Q382" i="12" s="1"/>
  <c r="R382" i="12" s="1"/>
  <c r="S382" i="12" s="1"/>
  <c r="K382" i="12"/>
  <c r="N382" i="12" s="1"/>
  <c r="W381" i="12"/>
  <c r="T381" i="12"/>
  <c r="O381" i="12"/>
  <c r="Q381" i="12" s="1"/>
  <c r="R381" i="12" s="1"/>
  <c r="S381" i="12" s="1"/>
  <c r="K381" i="12"/>
  <c r="N381" i="12" s="1"/>
  <c r="W380" i="12"/>
  <c r="T380" i="12"/>
  <c r="O380" i="12"/>
  <c r="Q380" i="12" s="1"/>
  <c r="R380" i="12" s="1"/>
  <c r="S380" i="12" s="1"/>
  <c r="K380" i="12"/>
  <c r="N380" i="12" s="1"/>
  <c r="W379" i="12"/>
  <c r="T379" i="12"/>
  <c r="O379" i="12"/>
  <c r="Q379" i="12" s="1"/>
  <c r="R379" i="12" s="1"/>
  <c r="S379" i="12" s="1"/>
  <c r="K379" i="12"/>
  <c r="N379" i="12" s="1"/>
  <c r="W378" i="12"/>
  <c r="T378" i="12"/>
  <c r="O378" i="12"/>
  <c r="Q378" i="12" s="1"/>
  <c r="R378" i="12" s="1"/>
  <c r="S378" i="12" s="1"/>
  <c r="K378" i="12"/>
  <c r="N378" i="12" s="1"/>
  <c r="W377" i="12"/>
  <c r="T377" i="12"/>
  <c r="O377" i="12"/>
  <c r="Q377" i="12" s="1"/>
  <c r="R377" i="12" s="1"/>
  <c r="S377" i="12" s="1"/>
  <c r="K377" i="12"/>
  <c r="W376" i="12"/>
  <c r="T376" i="12"/>
  <c r="O376" i="12"/>
  <c r="Q376" i="12" s="1"/>
  <c r="R376" i="12" s="1"/>
  <c r="S376" i="12" s="1"/>
  <c r="K376" i="12"/>
  <c r="W375" i="12"/>
  <c r="T375" i="12"/>
  <c r="O375" i="12"/>
  <c r="Q375" i="12" s="1"/>
  <c r="R375" i="12" s="1"/>
  <c r="S375" i="12" s="1"/>
  <c r="K375" i="12"/>
  <c r="N375" i="12" s="1"/>
  <c r="W374" i="12"/>
  <c r="T374" i="12"/>
  <c r="O374" i="12"/>
  <c r="Q374" i="12" s="1"/>
  <c r="R374" i="12" s="1"/>
  <c r="S374" i="12" s="1"/>
  <c r="K374" i="12"/>
  <c r="W373" i="12"/>
  <c r="T373" i="12"/>
  <c r="O373" i="12"/>
  <c r="Q373" i="12" s="1"/>
  <c r="R373" i="12" s="1"/>
  <c r="S373" i="12" s="1"/>
  <c r="K373" i="12"/>
  <c r="N373" i="12" s="1"/>
  <c r="V373" i="12" s="1"/>
  <c r="W372" i="12"/>
  <c r="T372" i="12"/>
  <c r="O372" i="12"/>
  <c r="Q372" i="12" s="1"/>
  <c r="R372" i="12" s="1"/>
  <c r="S372" i="12" s="1"/>
  <c r="K372" i="12"/>
  <c r="N372" i="12" s="1"/>
  <c r="V372" i="12" s="1"/>
  <c r="X372" i="12" s="1"/>
  <c r="W371" i="12"/>
  <c r="T371" i="12"/>
  <c r="O371" i="12"/>
  <c r="Q371" i="12" s="1"/>
  <c r="R371" i="12" s="1"/>
  <c r="S371" i="12" s="1"/>
  <c r="K371" i="12"/>
  <c r="N371" i="12" s="1"/>
  <c r="V371" i="12" s="1"/>
  <c r="W370" i="12"/>
  <c r="T370" i="12"/>
  <c r="O370" i="12"/>
  <c r="Q370" i="12" s="1"/>
  <c r="R370" i="12" s="1"/>
  <c r="S370" i="12" s="1"/>
  <c r="K370" i="12"/>
  <c r="N370" i="12" s="1"/>
  <c r="W369" i="12"/>
  <c r="T369" i="12"/>
  <c r="O369" i="12"/>
  <c r="Q369" i="12" s="1"/>
  <c r="R369" i="12" s="1"/>
  <c r="S369" i="12" s="1"/>
  <c r="K369" i="12"/>
  <c r="N369" i="12" s="1"/>
  <c r="W368" i="12"/>
  <c r="T368" i="12"/>
  <c r="O368" i="12"/>
  <c r="Q368" i="12" s="1"/>
  <c r="R368" i="12" s="1"/>
  <c r="S368" i="12" s="1"/>
  <c r="K368" i="12"/>
  <c r="W367" i="12"/>
  <c r="T367" i="12"/>
  <c r="O367" i="12"/>
  <c r="Q367" i="12" s="1"/>
  <c r="R367" i="12" s="1"/>
  <c r="S367" i="12" s="1"/>
  <c r="K367" i="12"/>
  <c r="N367" i="12" s="1"/>
  <c r="W366" i="12"/>
  <c r="T366" i="12"/>
  <c r="O366" i="12"/>
  <c r="Q366" i="12" s="1"/>
  <c r="R366" i="12" s="1"/>
  <c r="S366" i="12" s="1"/>
  <c r="K366" i="12"/>
  <c r="N366" i="12" s="1"/>
  <c r="W365" i="12"/>
  <c r="T365" i="12"/>
  <c r="O365" i="12"/>
  <c r="Q365" i="12" s="1"/>
  <c r="R365" i="12" s="1"/>
  <c r="S365" i="12" s="1"/>
  <c r="K365" i="12"/>
  <c r="N365" i="12" s="1"/>
  <c r="W364" i="12"/>
  <c r="T364" i="12"/>
  <c r="O364" i="12"/>
  <c r="Q364" i="12" s="1"/>
  <c r="R364" i="12" s="1"/>
  <c r="S364" i="12" s="1"/>
  <c r="K364" i="12"/>
  <c r="N364" i="12" s="1"/>
  <c r="V364" i="12" s="1"/>
  <c r="X364" i="12" s="1"/>
  <c r="W363" i="12"/>
  <c r="T363" i="12"/>
  <c r="O363" i="12"/>
  <c r="Q363" i="12" s="1"/>
  <c r="R363" i="12" s="1"/>
  <c r="S363" i="12" s="1"/>
  <c r="K363" i="12"/>
  <c r="N363" i="12" s="1"/>
  <c r="V363" i="12" s="1"/>
  <c r="W362" i="12"/>
  <c r="T362" i="12"/>
  <c r="O362" i="12"/>
  <c r="Q362" i="12" s="1"/>
  <c r="R362" i="12" s="1"/>
  <c r="S362" i="12" s="1"/>
  <c r="K362" i="12"/>
  <c r="N362" i="12" s="1"/>
  <c r="V362" i="12" s="1"/>
  <c r="X362" i="12" s="1"/>
  <c r="W361" i="12"/>
  <c r="T361" i="12"/>
  <c r="O361" i="12"/>
  <c r="Q361" i="12" s="1"/>
  <c r="R361" i="12" s="1"/>
  <c r="S361" i="12" s="1"/>
  <c r="K361" i="12"/>
  <c r="N361" i="12" s="1"/>
  <c r="V361" i="12" s="1"/>
  <c r="W360" i="12"/>
  <c r="T360" i="12"/>
  <c r="O360" i="12"/>
  <c r="Q360" i="12" s="1"/>
  <c r="R360" i="12" s="1"/>
  <c r="S360" i="12" s="1"/>
  <c r="K360" i="12"/>
  <c r="N360" i="12" s="1"/>
  <c r="V360" i="12" s="1"/>
  <c r="X360" i="12" s="1"/>
  <c r="W359" i="12"/>
  <c r="T359" i="12"/>
  <c r="O359" i="12"/>
  <c r="Q359" i="12" s="1"/>
  <c r="R359" i="12" s="1"/>
  <c r="S359" i="12" s="1"/>
  <c r="K359" i="12"/>
  <c r="N359" i="12" s="1"/>
  <c r="V359" i="12" s="1"/>
  <c r="W358" i="12"/>
  <c r="T358" i="12"/>
  <c r="O358" i="12"/>
  <c r="Q358" i="12" s="1"/>
  <c r="R358" i="12" s="1"/>
  <c r="S358" i="12" s="1"/>
  <c r="K358" i="12"/>
  <c r="N358" i="12" s="1"/>
  <c r="V358" i="12" s="1"/>
  <c r="X358" i="12" s="1"/>
  <c r="W357" i="12"/>
  <c r="T357" i="12"/>
  <c r="O357" i="12"/>
  <c r="Q357" i="12" s="1"/>
  <c r="R357" i="12" s="1"/>
  <c r="S357" i="12" s="1"/>
  <c r="K357" i="12"/>
  <c r="W356" i="12"/>
  <c r="T356" i="12"/>
  <c r="O356" i="12"/>
  <c r="Q356" i="12" s="1"/>
  <c r="R356" i="12" s="1"/>
  <c r="S356" i="12" s="1"/>
  <c r="K356" i="12"/>
  <c r="N356" i="12" s="1"/>
  <c r="V356" i="12" s="1"/>
  <c r="X356" i="12" s="1"/>
  <c r="W355" i="12"/>
  <c r="T355" i="12"/>
  <c r="O355" i="12"/>
  <c r="Q355" i="12" s="1"/>
  <c r="R355" i="12" s="1"/>
  <c r="S355" i="12" s="1"/>
  <c r="K355" i="12"/>
  <c r="N355" i="12" s="1"/>
  <c r="W354" i="12"/>
  <c r="T354" i="12"/>
  <c r="O354" i="12"/>
  <c r="Q354" i="12" s="1"/>
  <c r="R354" i="12" s="1"/>
  <c r="S354" i="12" s="1"/>
  <c r="K354" i="12"/>
  <c r="N354" i="12" s="1"/>
  <c r="W353" i="12"/>
  <c r="T353" i="12"/>
  <c r="O353" i="12"/>
  <c r="Q353" i="12" s="1"/>
  <c r="R353" i="12" s="1"/>
  <c r="S353" i="12" s="1"/>
  <c r="K353" i="12"/>
  <c r="W352" i="12"/>
  <c r="T352" i="12"/>
  <c r="O352" i="12"/>
  <c r="Q352" i="12" s="1"/>
  <c r="R352" i="12" s="1"/>
  <c r="S352" i="12" s="1"/>
  <c r="K352" i="12"/>
  <c r="W351" i="12"/>
  <c r="T351" i="12"/>
  <c r="O351" i="12"/>
  <c r="Q351" i="12" s="1"/>
  <c r="R351" i="12" s="1"/>
  <c r="S351" i="12" s="1"/>
  <c r="K351" i="12"/>
  <c r="N351" i="12" s="1"/>
  <c r="W350" i="12"/>
  <c r="T350" i="12"/>
  <c r="O350" i="12"/>
  <c r="Q350" i="12" s="1"/>
  <c r="R350" i="12" s="1"/>
  <c r="S350" i="12" s="1"/>
  <c r="K350" i="12"/>
  <c r="N350" i="12" s="1"/>
  <c r="W349" i="12"/>
  <c r="T349" i="12"/>
  <c r="O349" i="12"/>
  <c r="Q349" i="12" s="1"/>
  <c r="R349" i="12" s="1"/>
  <c r="S349" i="12" s="1"/>
  <c r="K349" i="12"/>
  <c r="W348" i="12"/>
  <c r="T348" i="12"/>
  <c r="O348" i="12"/>
  <c r="Q348" i="12" s="1"/>
  <c r="R348" i="12" s="1"/>
  <c r="S348" i="12" s="1"/>
  <c r="K348" i="12"/>
  <c r="W347" i="12"/>
  <c r="T347" i="12"/>
  <c r="O347" i="12"/>
  <c r="Q347" i="12" s="1"/>
  <c r="R347" i="12" s="1"/>
  <c r="S347" i="12" s="1"/>
  <c r="K347" i="12"/>
  <c r="N347" i="12" s="1"/>
  <c r="W346" i="12"/>
  <c r="T346" i="12"/>
  <c r="O346" i="12"/>
  <c r="Q346" i="12" s="1"/>
  <c r="R346" i="12" s="1"/>
  <c r="S346" i="12" s="1"/>
  <c r="K346" i="12"/>
  <c r="N346" i="12" s="1"/>
  <c r="W345" i="12"/>
  <c r="T345" i="12"/>
  <c r="O345" i="12"/>
  <c r="Q345" i="12" s="1"/>
  <c r="R345" i="12" s="1"/>
  <c r="S345" i="12" s="1"/>
  <c r="K345" i="12"/>
  <c r="N345" i="12" s="1"/>
  <c r="W344" i="12"/>
  <c r="T344" i="12"/>
  <c r="O344" i="12"/>
  <c r="Q344" i="12" s="1"/>
  <c r="R344" i="12" s="1"/>
  <c r="S344" i="12" s="1"/>
  <c r="K344" i="12"/>
  <c r="W343" i="12"/>
  <c r="T343" i="12"/>
  <c r="O343" i="12"/>
  <c r="Q343" i="12" s="1"/>
  <c r="R343" i="12" s="1"/>
  <c r="S343" i="12" s="1"/>
  <c r="K343" i="12"/>
  <c r="N343" i="12" s="1"/>
  <c r="W342" i="12"/>
  <c r="T342" i="12"/>
  <c r="O342" i="12"/>
  <c r="Q342" i="12" s="1"/>
  <c r="R342" i="12" s="1"/>
  <c r="S342" i="12" s="1"/>
  <c r="K342" i="12"/>
  <c r="N342" i="12" s="1"/>
  <c r="W341" i="12"/>
  <c r="T341" i="12"/>
  <c r="O341" i="12"/>
  <c r="Q341" i="12" s="1"/>
  <c r="R341" i="12" s="1"/>
  <c r="S341" i="12" s="1"/>
  <c r="K341" i="12"/>
  <c r="W340" i="12"/>
  <c r="T340" i="12"/>
  <c r="O340" i="12"/>
  <c r="Q340" i="12" s="1"/>
  <c r="R340" i="12" s="1"/>
  <c r="S340" i="12" s="1"/>
  <c r="K340" i="12"/>
  <c r="N340" i="12" s="1"/>
  <c r="W339" i="12"/>
  <c r="T339" i="12"/>
  <c r="O339" i="12"/>
  <c r="Q339" i="12" s="1"/>
  <c r="R339" i="12" s="1"/>
  <c r="S339" i="12" s="1"/>
  <c r="K339" i="12"/>
  <c r="N339" i="12" s="1"/>
  <c r="V339" i="12" s="1"/>
  <c r="W338" i="12"/>
  <c r="T338" i="12"/>
  <c r="O338" i="12"/>
  <c r="Q338" i="12" s="1"/>
  <c r="R338" i="12" s="1"/>
  <c r="S338" i="12" s="1"/>
  <c r="K338" i="12"/>
  <c r="W337" i="12"/>
  <c r="T337" i="12"/>
  <c r="O337" i="12"/>
  <c r="Q337" i="12" s="1"/>
  <c r="R337" i="12" s="1"/>
  <c r="S337" i="12" s="1"/>
  <c r="K337" i="12"/>
  <c r="W336" i="12"/>
  <c r="T336" i="12"/>
  <c r="O336" i="12"/>
  <c r="Q336" i="12" s="1"/>
  <c r="R336" i="12" s="1"/>
  <c r="S336" i="12" s="1"/>
  <c r="K336" i="12"/>
  <c r="N336" i="12" s="1"/>
  <c r="W335" i="12"/>
  <c r="T335" i="12"/>
  <c r="O335" i="12"/>
  <c r="Q335" i="12" s="1"/>
  <c r="R335" i="12" s="1"/>
  <c r="S335" i="12" s="1"/>
  <c r="K335" i="12"/>
  <c r="N335" i="12" s="1"/>
  <c r="W334" i="12"/>
  <c r="T334" i="12"/>
  <c r="O334" i="12"/>
  <c r="Q334" i="12" s="1"/>
  <c r="R334" i="12" s="1"/>
  <c r="S334" i="12" s="1"/>
  <c r="K334" i="12"/>
  <c r="N334" i="12" s="1"/>
  <c r="W333" i="12"/>
  <c r="T333" i="12"/>
  <c r="O333" i="12"/>
  <c r="Q333" i="12" s="1"/>
  <c r="R333" i="12" s="1"/>
  <c r="S333" i="12" s="1"/>
  <c r="K333" i="12"/>
  <c r="N333" i="12" s="1"/>
  <c r="W332" i="12"/>
  <c r="T332" i="12"/>
  <c r="O332" i="12"/>
  <c r="Q332" i="12" s="1"/>
  <c r="R332" i="12" s="1"/>
  <c r="S332" i="12" s="1"/>
  <c r="K332" i="12"/>
  <c r="N332" i="12" s="1"/>
  <c r="W331" i="12"/>
  <c r="T331" i="12"/>
  <c r="O331" i="12"/>
  <c r="Q331" i="12" s="1"/>
  <c r="R331" i="12" s="1"/>
  <c r="S331" i="12" s="1"/>
  <c r="K331" i="12"/>
  <c r="N331" i="12" s="1"/>
  <c r="V331" i="12" s="1"/>
  <c r="W330" i="12"/>
  <c r="T330" i="12"/>
  <c r="O330" i="12"/>
  <c r="Q330" i="12" s="1"/>
  <c r="R330" i="12" s="1"/>
  <c r="S330" i="12" s="1"/>
  <c r="K330" i="12"/>
  <c r="N330" i="12" s="1"/>
  <c r="V330" i="12" s="1"/>
  <c r="X330" i="12" s="1"/>
  <c r="W329" i="12"/>
  <c r="T329" i="12"/>
  <c r="O329" i="12"/>
  <c r="Q329" i="12" s="1"/>
  <c r="R329" i="12" s="1"/>
  <c r="S329" i="12" s="1"/>
  <c r="K329" i="12"/>
  <c r="N329" i="12" s="1"/>
  <c r="V329" i="12" s="1"/>
  <c r="W328" i="12"/>
  <c r="T328" i="12"/>
  <c r="O328" i="12"/>
  <c r="Q328" i="12" s="1"/>
  <c r="R328" i="12" s="1"/>
  <c r="S328" i="12" s="1"/>
  <c r="K328" i="12"/>
  <c r="N328" i="12" s="1"/>
  <c r="V328" i="12" s="1"/>
  <c r="X328" i="12" s="1"/>
  <c r="W327" i="12"/>
  <c r="T327" i="12"/>
  <c r="O327" i="12"/>
  <c r="Q327" i="12" s="1"/>
  <c r="R327" i="12" s="1"/>
  <c r="S327" i="12" s="1"/>
  <c r="K327" i="12"/>
  <c r="N327" i="12" s="1"/>
  <c r="V327" i="12" s="1"/>
  <c r="W326" i="12"/>
  <c r="T326" i="12"/>
  <c r="O326" i="12"/>
  <c r="Q326" i="12" s="1"/>
  <c r="R326" i="12" s="1"/>
  <c r="S326" i="12" s="1"/>
  <c r="K326" i="12"/>
  <c r="N326" i="12" s="1"/>
  <c r="V326" i="12" s="1"/>
  <c r="X326" i="12" s="1"/>
  <c r="W325" i="12"/>
  <c r="T325" i="12"/>
  <c r="O325" i="12"/>
  <c r="Q325" i="12" s="1"/>
  <c r="R325" i="12" s="1"/>
  <c r="S325" i="12" s="1"/>
  <c r="K325" i="12"/>
  <c r="N325" i="12" s="1"/>
  <c r="V325" i="12" s="1"/>
  <c r="W324" i="12"/>
  <c r="T324" i="12"/>
  <c r="O324" i="12"/>
  <c r="Q324" i="12" s="1"/>
  <c r="R324" i="12" s="1"/>
  <c r="S324" i="12" s="1"/>
  <c r="K324" i="12"/>
  <c r="N324" i="12" s="1"/>
  <c r="V324" i="12" s="1"/>
  <c r="X324" i="12" s="1"/>
  <c r="W323" i="12"/>
  <c r="T323" i="12"/>
  <c r="O323" i="12"/>
  <c r="Q323" i="12" s="1"/>
  <c r="R323" i="12" s="1"/>
  <c r="S323" i="12" s="1"/>
  <c r="K323" i="12"/>
  <c r="N323" i="12" s="1"/>
  <c r="V323" i="12" s="1"/>
  <c r="W322" i="12"/>
  <c r="T322" i="12"/>
  <c r="O322" i="12"/>
  <c r="Q322" i="12" s="1"/>
  <c r="R322" i="12" s="1"/>
  <c r="S322" i="12" s="1"/>
  <c r="K322" i="12"/>
  <c r="N322" i="12" s="1"/>
  <c r="W321" i="12"/>
  <c r="T321" i="12"/>
  <c r="O321" i="12"/>
  <c r="Q321" i="12" s="1"/>
  <c r="R321" i="12" s="1"/>
  <c r="S321" i="12" s="1"/>
  <c r="K321" i="12"/>
  <c r="N321" i="12" s="1"/>
  <c r="V321" i="12" s="1"/>
  <c r="W320" i="12"/>
  <c r="T320" i="12"/>
  <c r="O320" i="12"/>
  <c r="Q320" i="12" s="1"/>
  <c r="R320" i="12" s="1"/>
  <c r="S320" i="12" s="1"/>
  <c r="K320" i="12"/>
  <c r="N320" i="12" s="1"/>
  <c r="W319" i="12"/>
  <c r="T319" i="12"/>
  <c r="O319" i="12"/>
  <c r="Q319" i="12" s="1"/>
  <c r="R319" i="12" s="1"/>
  <c r="S319" i="12" s="1"/>
  <c r="K319" i="12"/>
  <c r="N319" i="12" s="1"/>
  <c r="W318" i="12"/>
  <c r="T318" i="12"/>
  <c r="O318" i="12"/>
  <c r="Q318" i="12" s="1"/>
  <c r="R318" i="12" s="1"/>
  <c r="S318" i="12" s="1"/>
  <c r="K318" i="12"/>
  <c r="W317" i="12"/>
  <c r="T317" i="12"/>
  <c r="O317" i="12"/>
  <c r="Q317" i="12" s="1"/>
  <c r="R317" i="12" s="1"/>
  <c r="S317" i="12" s="1"/>
  <c r="K317" i="12"/>
  <c r="W316" i="12"/>
  <c r="T316" i="12"/>
  <c r="O316" i="12"/>
  <c r="Q316" i="12" s="1"/>
  <c r="R316" i="12" s="1"/>
  <c r="S316" i="12" s="1"/>
  <c r="K316" i="12"/>
  <c r="N316" i="12" s="1"/>
  <c r="W315" i="12"/>
  <c r="T315" i="12"/>
  <c r="O315" i="12"/>
  <c r="Q315" i="12" s="1"/>
  <c r="R315" i="12" s="1"/>
  <c r="S315" i="12" s="1"/>
  <c r="K315" i="12"/>
  <c r="N315" i="12" s="1"/>
  <c r="W314" i="12"/>
  <c r="T314" i="12"/>
  <c r="O314" i="12"/>
  <c r="Q314" i="12" s="1"/>
  <c r="R314" i="12" s="1"/>
  <c r="S314" i="12" s="1"/>
  <c r="K314" i="12"/>
  <c r="W313" i="12"/>
  <c r="T313" i="12"/>
  <c r="O313" i="12"/>
  <c r="Q313" i="12" s="1"/>
  <c r="R313" i="12" s="1"/>
  <c r="S313" i="12" s="1"/>
  <c r="K313" i="12"/>
  <c r="W312" i="12"/>
  <c r="T312" i="12"/>
  <c r="O312" i="12"/>
  <c r="Q312" i="12" s="1"/>
  <c r="R312" i="12" s="1"/>
  <c r="S312" i="12" s="1"/>
  <c r="K312" i="12"/>
  <c r="W311" i="12"/>
  <c r="T311" i="12"/>
  <c r="O311" i="12"/>
  <c r="Q311" i="12" s="1"/>
  <c r="R311" i="12" s="1"/>
  <c r="S311" i="12" s="1"/>
  <c r="K311" i="12"/>
  <c r="N311" i="12" s="1"/>
  <c r="V311" i="12" s="1"/>
  <c r="W310" i="12"/>
  <c r="T310" i="12"/>
  <c r="O310" i="12"/>
  <c r="Q310" i="12" s="1"/>
  <c r="R310" i="12" s="1"/>
  <c r="S310" i="12" s="1"/>
  <c r="K310" i="12"/>
  <c r="N310" i="12" s="1"/>
  <c r="V310" i="12" s="1"/>
  <c r="X310" i="12" s="1"/>
  <c r="W309" i="12"/>
  <c r="T309" i="12"/>
  <c r="O309" i="12"/>
  <c r="Q309" i="12" s="1"/>
  <c r="R309" i="12" s="1"/>
  <c r="S309" i="12" s="1"/>
  <c r="K309" i="12"/>
  <c r="N309" i="12" s="1"/>
  <c r="V309" i="12" s="1"/>
  <c r="W308" i="12"/>
  <c r="T308" i="12"/>
  <c r="O308" i="12"/>
  <c r="Q308" i="12" s="1"/>
  <c r="R308" i="12" s="1"/>
  <c r="S308" i="12" s="1"/>
  <c r="K308" i="12"/>
  <c r="N308" i="12" s="1"/>
  <c r="V308" i="12" s="1"/>
  <c r="X308" i="12" s="1"/>
  <c r="W307" i="12"/>
  <c r="T307" i="12"/>
  <c r="O307" i="12"/>
  <c r="Q307" i="12" s="1"/>
  <c r="R307" i="12" s="1"/>
  <c r="S307" i="12" s="1"/>
  <c r="K307" i="12"/>
  <c r="N307" i="12" s="1"/>
  <c r="V307" i="12" s="1"/>
  <c r="W306" i="12"/>
  <c r="T306" i="12"/>
  <c r="O306" i="12"/>
  <c r="Q306" i="12" s="1"/>
  <c r="R306" i="12" s="1"/>
  <c r="S306" i="12" s="1"/>
  <c r="K306" i="12"/>
  <c r="N306" i="12" s="1"/>
  <c r="V306" i="12" s="1"/>
  <c r="X306" i="12" s="1"/>
  <c r="W305" i="12"/>
  <c r="T305" i="12"/>
  <c r="O305" i="12"/>
  <c r="Q305" i="12" s="1"/>
  <c r="R305" i="12" s="1"/>
  <c r="S305" i="12" s="1"/>
  <c r="K305" i="12"/>
  <c r="N305" i="12" s="1"/>
  <c r="V305" i="12" s="1"/>
  <c r="W304" i="12"/>
  <c r="T304" i="12"/>
  <c r="O304" i="12"/>
  <c r="Q304" i="12" s="1"/>
  <c r="R304" i="12" s="1"/>
  <c r="S304" i="12" s="1"/>
  <c r="K304" i="12"/>
  <c r="N304" i="12" s="1"/>
  <c r="V304" i="12" s="1"/>
  <c r="X304" i="12" s="1"/>
  <c r="W303" i="12"/>
  <c r="T303" i="12"/>
  <c r="O303" i="12"/>
  <c r="Q303" i="12" s="1"/>
  <c r="R303" i="12" s="1"/>
  <c r="S303" i="12" s="1"/>
  <c r="K303" i="12"/>
  <c r="N303" i="12" s="1"/>
  <c r="V303" i="12" s="1"/>
  <c r="W302" i="12"/>
  <c r="T302" i="12"/>
  <c r="O302" i="12"/>
  <c r="Q302" i="12" s="1"/>
  <c r="R302" i="12" s="1"/>
  <c r="S302" i="12" s="1"/>
  <c r="K302" i="12"/>
  <c r="N302" i="12" s="1"/>
  <c r="V302" i="12" s="1"/>
  <c r="X302" i="12" s="1"/>
  <c r="W301" i="12"/>
  <c r="T301" i="12"/>
  <c r="O301" i="12"/>
  <c r="Q301" i="12" s="1"/>
  <c r="R301" i="12" s="1"/>
  <c r="S301" i="12" s="1"/>
  <c r="K301" i="12"/>
  <c r="N301" i="12" s="1"/>
  <c r="V301" i="12" s="1"/>
  <c r="W300" i="12"/>
  <c r="T300" i="12"/>
  <c r="O300" i="12"/>
  <c r="Q300" i="12" s="1"/>
  <c r="R300" i="12" s="1"/>
  <c r="S300" i="12" s="1"/>
  <c r="K300" i="12"/>
  <c r="N300" i="12" s="1"/>
  <c r="V300" i="12" s="1"/>
  <c r="X300" i="12" s="1"/>
  <c r="W299" i="12"/>
  <c r="T299" i="12"/>
  <c r="O299" i="12"/>
  <c r="Q299" i="12" s="1"/>
  <c r="R299" i="12" s="1"/>
  <c r="S299" i="12" s="1"/>
  <c r="K299" i="12"/>
  <c r="N299" i="12" s="1"/>
  <c r="V299" i="12" s="1"/>
  <c r="W298" i="12"/>
  <c r="T298" i="12"/>
  <c r="O298" i="12"/>
  <c r="Q298" i="12" s="1"/>
  <c r="R298" i="12" s="1"/>
  <c r="S298" i="12" s="1"/>
  <c r="K298" i="12"/>
  <c r="N298" i="12" s="1"/>
  <c r="V298" i="12" s="1"/>
  <c r="X298" i="12" s="1"/>
  <c r="W297" i="12"/>
  <c r="T297" i="12"/>
  <c r="O297" i="12"/>
  <c r="Q297" i="12" s="1"/>
  <c r="R297" i="12" s="1"/>
  <c r="S297" i="12" s="1"/>
  <c r="K297" i="12"/>
  <c r="N297" i="12" s="1"/>
  <c r="V297" i="12" s="1"/>
  <c r="W296" i="12"/>
  <c r="T296" i="12"/>
  <c r="O296" i="12"/>
  <c r="Q296" i="12" s="1"/>
  <c r="R296" i="12" s="1"/>
  <c r="S296" i="12" s="1"/>
  <c r="K296" i="12"/>
  <c r="N296" i="12" s="1"/>
  <c r="V296" i="12" s="1"/>
  <c r="X296" i="12" s="1"/>
  <c r="W295" i="12"/>
  <c r="T295" i="12"/>
  <c r="O295" i="12"/>
  <c r="Q295" i="12" s="1"/>
  <c r="R295" i="12" s="1"/>
  <c r="S295" i="12" s="1"/>
  <c r="K295" i="12"/>
  <c r="N295" i="12" s="1"/>
  <c r="V295" i="12" s="1"/>
  <c r="W294" i="12"/>
  <c r="T294" i="12"/>
  <c r="O294" i="12"/>
  <c r="Q294" i="12" s="1"/>
  <c r="R294" i="12" s="1"/>
  <c r="S294" i="12" s="1"/>
  <c r="K294" i="12"/>
  <c r="N294" i="12" s="1"/>
  <c r="W293" i="12"/>
  <c r="T293" i="12"/>
  <c r="O293" i="12"/>
  <c r="Q293" i="12" s="1"/>
  <c r="R293" i="12" s="1"/>
  <c r="S293" i="12" s="1"/>
  <c r="K293" i="12"/>
  <c r="N293" i="12" s="1"/>
  <c r="W292" i="12"/>
  <c r="T292" i="12"/>
  <c r="O292" i="12"/>
  <c r="Q292" i="12" s="1"/>
  <c r="R292" i="12" s="1"/>
  <c r="S292" i="12" s="1"/>
  <c r="K292" i="12"/>
  <c r="N292" i="12" s="1"/>
  <c r="T291" i="12"/>
  <c r="O291" i="12"/>
  <c r="Q291" i="12" s="1"/>
  <c r="R291" i="12" s="1"/>
  <c r="S291" i="12" s="1"/>
  <c r="H291" i="12"/>
  <c r="W291" i="12" s="1"/>
  <c r="T290" i="12"/>
  <c r="O290" i="12"/>
  <c r="Q290" i="12" s="1"/>
  <c r="R290" i="12" s="1"/>
  <c r="S290" i="12" s="1"/>
  <c r="H290" i="12"/>
  <c r="W290" i="12" s="1"/>
  <c r="W289" i="12"/>
  <c r="T289" i="12"/>
  <c r="O289" i="12"/>
  <c r="Q289" i="12" s="1"/>
  <c r="R289" i="12" s="1"/>
  <c r="S289" i="12" s="1"/>
  <c r="K289" i="12"/>
  <c r="N289" i="12" s="1"/>
  <c r="V289" i="12" s="1"/>
  <c r="W288" i="12"/>
  <c r="T288" i="12"/>
  <c r="O288" i="12"/>
  <c r="Q288" i="12" s="1"/>
  <c r="R288" i="12" s="1"/>
  <c r="S288" i="12" s="1"/>
  <c r="K288" i="12"/>
  <c r="N288" i="12" s="1"/>
  <c r="W287" i="12"/>
  <c r="T287" i="12"/>
  <c r="O287" i="12"/>
  <c r="Q287" i="12" s="1"/>
  <c r="R287" i="12" s="1"/>
  <c r="S287" i="12" s="1"/>
  <c r="K287" i="12"/>
  <c r="N287" i="12" s="1"/>
  <c r="V287" i="12" s="1"/>
  <c r="W286" i="12"/>
  <c r="T286" i="12"/>
  <c r="O286" i="12"/>
  <c r="Q286" i="12" s="1"/>
  <c r="R286" i="12" s="1"/>
  <c r="S286" i="12" s="1"/>
  <c r="K286" i="12"/>
  <c r="N286" i="12" s="1"/>
  <c r="W285" i="12"/>
  <c r="T285" i="12"/>
  <c r="O285" i="12"/>
  <c r="Q285" i="12" s="1"/>
  <c r="R285" i="12" s="1"/>
  <c r="S285" i="12" s="1"/>
  <c r="K285" i="12"/>
  <c r="N285" i="12" s="1"/>
  <c r="W284" i="12"/>
  <c r="T284" i="12"/>
  <c r="O284" i="12"/>
  <c r="Q284" i="12" s="1"/>
  <c r="R284" i="12" s="1"/>
  <c r="S284" i="12" s="1"/>
  <c r="K284" i="12"/>
  <c r="W283" i="12"/>
  <c r="T283" i="12"/>
  <c r="O283" i="12"/>
  <c r="Q283" i="12" s="1"/>
  <c r="R283" i="12" s="1"/>
  <c r="S283" i="12" s="1"/>
  <c r="K283" i="12"/>
  <c r="N283" i="12" s="1"/>
  <c r="V283" i="12" s="1"/>
  <c r="W282" i="12"/>
  <c r="T282" i="12"/>
  <c r="O282" i="12"/>
  <c r="Q282" i="12" s="1"/>
  <c r="R282" i="12" s="1"/>
  <c r="S282" i="12" s="1"/>
  <c r="K282" i="12"/>
  <c r="N282" i="12" s="1"/>
  <c r="V282" i="12" s="1"/>
  <c r="W281" i="12"/>
  <c r="T281" i="12"/>
  <c r="O281" i="12"/>
  <c r="Q281" i="12" s="1"/>
  <c r="R281" i="12" s="1"/>
  <c r="S281" i="12" s="1"/>
  <c r="K281" i="12"/>
  <c r="N281" i="12" s="1"/>
  <c r="V281" i="12" s="1"/>
  <c r="W280" i="12"/>
  <c r="T280" i="12"/>
  <c r="O280" i="12"/>
  <c r="Q280" i="12" s="1"/>
  <c r="R280" i="12" s="1"/>
  <c r="S280" i="12" s="1"/>
  <c r="K280" i="12"/>
  <c r="N280" i="12" s="1"/>
  <c r="V280" i="12" s="1"/>
  <c r="W279" i="12"/>
  <c r="T279" i="12"/>
  <c r="O279" i="12"/>
  <c r="Q279" i="12" s="1"/>
  <c r="R279" i="12" s="1"/>
  <c r="S279" i="12" s="1"/>
  <c r="K279" i="12"/>
  <c r="N279" i="12" s="1"/>
  <c r="V279" i="12" s="1"/>
  <c r="W278" i="12"/>
  <c r="T278" i="12"/>
  <c r="O278" i="12"/>
  <c r="Q278" i="12" s="1"/>
  <c r="R278" i="12" s="1"/>
  <c r="S278" i="12" s="1"/>
  <c r="K278" i="12"/>
  <c r="N278" i="12" s="1"/>
  <c r="V278" i="12" s="1"/>
  <c r="W277" i="12"/>
  <c r="T277" i="12"/>
  <c r="O277" i="12"/>
  <c r="Q277" i="12" s="1"/>
  <c r="R277" i="12" s="1"/>
  <c r="S277" i="12" s="1"/>
  <c r="K277" i="12"/>
  <c r="N277" i="12" s="1"/>
  <c r="V277" i="12" s="1"/>
  <c r="W276" i="12"/>
  <c r="T276" i="12"/>
  <c r="O276" i="12"/>
  <c r="Q276" i="12" s="1"/>
  <c r="R276" i="12" s="1"/>
  <c r="S276" i="12" s="1"/>
  <c r="K276" i="12"/>
  <c r="N276" i="12" s="1"/>
  <c r="V276" i="12" s="1"/>
  <c r="W275" i="12"/>
  <c r="T275" i="12"/>
  <c r="O275" i="12"/>
  <c r="Q275" i="12" s="1"/>
  <c r="R275" i="12" s="1"/>
  <c r="S275" i="12" s="1"/>
  <c r="K275" i="12"/>
  <c r="N275" i="12" s="1"/>
  <c r="V275" i="12" s="1"/>
  <c r="W274" i="12"/>
  <c r="T274" i="12"/>
  <c r="O274" i="12"/>
  <c r="Q274" i="12" s="1"/>
  <c r="R274" i="12" s="1"/>
  <c r="S274" i="12" s="1"/>
  <c r="K274" i="12"/>
  <c r="N274" i="12" s="1"/>
  <c r="V274" i="12" s="1"/>
  <c r="W273" i="12"/>
  <c r="T273" i="12"/>
  <c r="O273" i="12"/>
  <c r="Q273" i="12" s="1"/>
  <c r="R273" i="12" s="1"/>
  <c r="S273" i="12" s="1"/>
  <c r="K273" i="12"/>
  <c r="N273" i="12" s="1"/>
  <c r="V273" i="12" s="1"/>
  <c r="W272" i="12"/>
  <c r="T272" i="12"/>
  <c r="O272" i="12"/>
  <c r="Q272" i="12" s="1"/>
  <c r="R272" i="12" s="1"/>
  <c r="S272" i="12" s="1"/>
  <c r="K272" i="12"/>
  <c r="N272" i="12" s="1"/>
  <c r="V272" i="12" s="1"/>
  <c r="W271" i="12"/>
  <c r="T271" i="12"/>
  <c r="O271" i="12"/>
  <c r="Q271" i="12" s="1"/>
  <c r="R271" i="12" s="1"/>
  <c r="S271" i="12" s="1"/>
  <c r="K271" i="12"/>
  <c r="W270" i="12"/>
  <c r="T270" i="12"/>
  <c r="O270" i="12"/>
  <c r="Q270" i="12" s="1"/>
  <c r="R270" i="12" s="1"/>
  <c r="S270" i="12" s="1"/>
  <c r="K270" i="12"/>
  <c r="W269" i="12"/>
  <c r="T269" i="12"/>
  <c r="O269" i="12"/>
  <c r="Q269" i="12" s="1"/>
  <c r="R269" i="12" s="1"/>
  <c r="S269" i="12" s="1"/>
  <c r="K269" i="12"/>
  <c r="N269" i="12" s="1"/>
  <c r="W268" i="12"/>
  <c r="T268" i="12"/>
  <c r="O268" i="12"/>
  <c r="Q268" i="12" s="1"/>
  <c r="R268" i="12" s="1"/>
  <c r="S268" i="12" s="1"/>
  <c r="K268" i="12"/>
  <c r="N268" i="12" s="1"/>
  <c r="W267" i="12"/>
  <c r="T267" i="12"/>
  <c r="O267" i="12"/>
  <c r="Q267" i="12" s="1"/>
  <c r="R267" i="12" s="1"/>
  <c r="S267" i="12" s="1"/>
  <c r="K267" i="12"/>
  <c r="N267" i="12" s="1"/>
  <c r="W266" i="12"/>
  <c r="T266" i="12"/>
  <c r="O266" i="12"/>
  <c r="Q266" i="12" s="1"/>
  <c r="R266" i="12" s="1"/>
  <c r="S266" i="12" s="1"/>
  <c r="K266" i="12"/>
  <c r="N266" i="12" s="1"/>
  <c r="W265" i="12"/>
  <c r="T265" i="12"/>
  <c r="O265" i="12"/>
  <c r="Q265" i="12" s="1"/>
  <c r="R265" i="12" s="1"/>
  <c r="S265" i="12" s="1"/>
  <c r="K265" i="12"/>
  <c r="N265" i="12" s="1"/>
  <c r="V265" i="12" s="1"/>
  <c r="W264" i="12"/>
  <c r="T264" i="12"/>
  <c r="O264" i="12"/>
  <c r="Q264" i="12" s="1"/>
  <c r="R264" i="12" s="1"/>
  <c r="S264" i="12" s="1"/>
  <c r="K264" i="12"/>
  <c r="N264" i="12" s="1"/>
  <c r="V264" i="12" s="1"/>
  <c r="W263" i="12"/>
  <c r="T263" i="12"/>
  <c r="O263" i="12"/>
  <c r="Q263" i="12" s="1"/>
  <c r="R263" i="12" s="1"/>
  <c r="S263" i="12" s="1"/>
  <c r="K263" i="12"/>
  <c r="N263" i="12" s="1"/>
  <c r="V263" i="12" s="1"/>
  <c r="W262" i="12"/>
  <c r="T262" i="12"/>
  <c r="O262" i="12"/>
  <c r="Q262" i="12" s="1"/>
  <c r="R262" i="12" s="1"/>
  <c r="S262" i="12" s="1"/>
  <c r="K262" i="12"/>
  <c r="N262" i="12" s="1"/>
  <c r="V262" i="12" s="1"/>
  <c r="W261" i="12"/>
  <c r="T261" i="12"/>
  <c r="O261" i="12"/>
  <c r="Q261" i="12" s="1"/>
  <c r="R261" i="12" s="1"/>
  <c r="S261" i="12" s="1"/>
  <c r="K261" i="12"/>
  <c r="N261" i="12" s="1"/>
  <c r="W260" i="12"/>
  <c r="T260" i="12"/>
  <c r="O260" i="12"/>
  <c r="Q260" i="12" s="1"/>
  <c r="R260" i="12" s="1"/>
  <c r="S260" i="12" s="1"/>
  <c r="K260" i="12"/>
  <c r="W259" i="12"/>
  <c r="T259" i="12"/>
  <c r="R259" i="12"/>
  <c r="S259" i="12" s="1"/>
  <c r="O259" i="12"/>
  <c r="K259" i="12"/>
  <c r="N259" i="12" s="1"/>
  <c r="V259" i="12" s="1"/>
  <c r="W258" i="12"/>
  <c r="T258" i="12"/>
  <c r="R258" i="12"/>
  <c r="S258" i="12" s="1"/>
  <c r="O258" i="12"/>
  <c r="K258" i="12"/>
  <c r="N258" i="12" s="1"/>
  <c r="V258" i="12" s="1"/>
  <c r="W257" i="12"/>
  <c r="T257" i="12"/>
  <c r="R257" i="12"/>
  <c r="S257" i="12" s="1"/>
  <c r="O257" i="12"/>
  <c r="K257" i="12"/>
  <c r="N257" i="12" s="1"/>
  <c r="V257" i="12" s="1"/>
  <c r="W256" i="12"/>
  <c r="T256" i="12"/>
  <c r="R256" i="12"/>
  <c r="S256" i="12" s="1"/>
  <c r="O256" i="12"/>
  <c r="K256" i="12"/>
  <c r="N256" i="12" s="1"/>
  <c r="V256" i="12" s="1"/>
  <c r="W255" i="12"/>
  <c r="T255" i="12"/>
  <c r="R255" i="12"/>
  <c r="S255" i="12" s="1"/>
  <c r="O255" i="12"/>
  <c r="K255" i="12"/>
  <c r="N255" i="12" s="1"/>
  <c r="V255" i="12" s="1"/>
  <c r="W254" i="12"/>
  <c r="T254" i="12"/>
  <c r="R254" i="12"/>
  <c r="S254" i="12" s="1"/>
  <c r="O254" i="12"/>
  <c r="K254" i="12"/>
  <c r="N254" i="12" s="1"/>
  <c r="V254" i="12" s="1"/>
  <c r="W253" i="12"/>
  <c r="T253" i="12"/>
  <c r="R253" i="12"/>
  <c r="S253" i="12" s="1"/>
  <c r="O253" i="12"/>
  <c r="K253" i="12"/>
  <c r="N253" i="12" s="1"/>
  <c r="V253" i="12" s="1"/>
  <c r="W252" i="12"/>
  <c r="T252" i="12"/>
  <c r="R252" i="12"/>
  <c r="S252" i="12" s="1"/>
  <c r="O252" i="12"/>
  <c r="K252" i="12"/>
  <c r="N252" i="12" s="1"/>
  <c r="V252" i="12" s="1"/>
  <c r="W251" i="12"/>
  <c r="T251" i="12"/>
  <c r="R251" i="12"/>
  <c r="S251" i="12" s="1"/>
  <c r="O251" i="12"/>
  <c r="K251" i="12"/>
  <c r="N251" i="12" s="1"/>
  <c r="V251" i="12" s="1"/>
  <c r="W250" i="12"/>
  <c r="T250" i="12"/>
  <c r="R250" i="12"/>
  <c r="S250" i="12" s="1"/>
  <c r="O250" i="12"/>
  <c r="K250" i="12"/>
  <c r="N250" i="12" s="1"/>
  <c r="V250" i="12" s="1"/>
  <c r="W249" i="12"/>
  <c r="T249" i="12"/>
  <c r="R249" i="12"/>
  <c r="S249" i="12" s="1"/>
  <c r="O249" i="12"/>
  <c r="K249" i="12"/>
  <c r="N249" i="12" s="1"/>
  <c r="V249" i="12" s="1"/>
  <c r="W248" i="12"/>
  <c r="T248" i="12"/>
  <c r="R248" i="12"/>
  <c r="S248" i="12" s="1"/>
  <c r="O248" i="12"/>
  <c r="K248" i="12"/>
  <c r="N248" i="12" s="1"/>
  <c r="V248" i="12" s="1"/>
  <c r="X248" i="12" s="1"/>
  <c r="W247" i="12"/>
  <c r="T247" i="12"/>
  <c r="R247" i="12"/>
  <c r="S247" i="12" s="1"/>
  <c r="O247" i="12"/>
  <c r="K247" i="12"/>
  <c r="N247" i="12" s="1"/>
  <c r="V247" i="12" s="1"/>
  <c r="W246" i="12"/>
  <c r="T246" i="12"/>
  <c r="R246" i="12"/>
  <c r="S246" i="12" s="1"/>
  <c r="O246" i="12"/>
  <c r="K246" i="12"/>
  <c r="N246" i="12" s="1"/>
  <c r="V246" i="12" s="1"/>
  <c r="W245" i="12"/>
  <c r="T245" i="12"/>
  <c r="R245" i="12"/>
  <c r="S245" i="12" s="1"/>
  <c r="O245" i="12"/>
  <c r="K245" i="12"/>
  <c r="N245" i="12" s="1"/>
  <c r="V245" i="12" s="1"/>
  <c r="W244" i="12"/>
  <c r="T244" i="12"/>
  <c r="R244" i="12"/>
  <c r="S244" i="12" s="1"/>
  <c r="O244" i="12"/>
  <c r="K244" i="12"/>
  <c r="N244" i="12" s="1"/>
  <c r="V244" i="12" s="1"/>
  <c r="W243" i="12"/>
  <c r="T243" i="12"/>
  <c r="R243" i="12"/>
  <c r="S243" i="12" s="1"/>
  <c r="O243" i="12"/>
  <c r="K243" i="12"/>
  <c r="N243" i="12" s="1"/>
  <c r="V243" i="12" s="1"/>
  <c r="W242" i="12"/>
  <c r="T242" i="12"/>
  <c r="R242" i="12"/>
  <c r="S242" i="12" s="1"/>
  <c r="O242" i="12"/>
  <c r="K242" i="12"/>
  <c r="N242" i="12" s="1"/>
  <c r="V242" i="12" s="1"/>
  <c r="W241" i="12"/>
  <c r="T241" i="12"/>
  <c r="R241" i="12"/>
  <c r="S241" i="12" s="1"/>
  <c r="O241" i="12"/>
  <c r="K241" i="12"/>
  <c r="N241" i="12" s="1"/>
  <c r="V241" i="12" s="1"/>
  <c r="W240" i="12"/>
  <c r="T240" i="12"/>
  <c r="R240" i="12"/>
  <c r="S240" i="12" s="1"/>
  <c r="O240" i="12"/>
  <c r="K240" i="12"/>
  <c r="N240" i="12" s="1"/>
  <c r="V240" i="12" s="1"/>
  <c r="X240" i="12" s="1"/>
  <c r="W239" i="12"/>
  <c r="T239" i="12"/>
  <c r="R239" i="12"/>
  <c r="S239" i="12" s="1"/>
  <c r="O239" i="12"/>
  <c r="K239" i="12"/>
  <c r="N239" i="12" s="1"/>
  <c r="V239" i="12" s="1"/>
  <c r="W238" i="12"/>
  <c r="T238" i="12"/>
  <c r="R238" i="12"/>
  <c r="S238" i="12" s="1"/>
  <c r="O238" i="12"/>
  <c r="K238" i="12"/>
  <c r="N238" i="12" s="1"/>
  <c r="V238" i="12" s="1"/>
  <c r="W237" i="12"/>
  <c r="T237" i="12"/>
  <c r="R237" i="12"/>
  <c r="S237" i="12" s="1"/>
  <c r="O237" i="12"/>
  <c r="K237" i="12"/>
  <c r="N237" i="12" s="1"/>
  <c r="V237" i="12" s="1"/>
  <c r="W236" i="12"/>
  <c r="T236" i="12"/>
  <c r="R236" i="12"/>
  <c r="S236" i="12" s="1"/>
  <c r="O236" i="12"/>
  <c r="K236" i="12"/>
  <c r="N236" i="12" s="1"/>
  <c r="V236" i="12" s="1"/>
  <c r="W235" i="12"/>
  <c r="T235" i="12"/>
  <c r="R235" i="12"/>
  <c r="S235" i="12" s="1"/>
  <c r="O235" i="12"/>
  <c r="K235" i="12"/>
  <c r="N235" i="12" s="1"/>
  <c r="V235" i="12" s="1"/>
  <c r="W234" i="12"/>
  <c r="T234" i="12"/>
  <c r="R234" i="12"/>
  <c r="S234" i="12" s="1"/>
  <c r="O234" i="12"/>
  <c r="K234" i="12"/>
  <c r="N234" i="12" s="1"/>
  <c r="V234" i="12" s="1"/>
  <c r="W233" i="12"/>
  <c r="T233" i="12"/>
  <c r="R233" i="12"/>
  <c r="S233" i="12" s="1"/>
  <c r="O233" i="12"/>
  <c r="K233" i="12"/>
  <c r="N233" i="12" s="1"/>
  <c r="V233" i="12" s="1"/>
  <c r="T232" i="12"/>
  <c r="R232" i="12"/>
  <c r="S232" i="12" s="1"/>
  <c r="O232" i="12"/>
  <c r="H232" i="12"/>
  <c r="K232" i="12" s="1"/>
  <c r="N232" i="12" s="1"/>
  <c r="V232" i="12" s="1"/>
  <c r="T231" i="12"/>
  <c r="R231" i="12"/>
  <c r="S231" i="12" s="1"/>
  <c r="O231" i="12"/>
  <c r="H231" i="12"/>
  <c r="K231" i="12" s="1"/>
  <c r="N231" i="12" s="1"/>
  <c r="V231" i="12" s="1"/>
  <c r="W230" i="12"/>
  <c r="T230" i="12"/>
  <c r="R230" i="12"/>
  <c r="S230" i="12" s="1"/>
  <c r="O230" i="12"/>
  <c r="K230" i="12"/>
  <c r="N230" i="12" s="1"/>
  <c r="V230" i="12" s="1"/>
  <c r="X230" i="12" s="1"/>
  <c r="W229" i="12"/>
  <c r="T229" i="12"/>
  <c r="R229" i="12"/>
  <c r="S229" i="12" s="1"/>
  <c r="O229" i="12"/>
  <c r="K229" i="12"/>
  <c r="N229" i="12" s="1"/>
  <c r="V229" i="12" s="1"/>
  <c r="W228" i="12"/>
  <c r="T228" i="12"/>
  <c r="R228" i="12"/>
  <c r="S228" i="12" s="1"/>
  <c r="O228" i="12"/>
  <c r="K228" i="12"/>
  <c r="N228" i="12" s="1"/>
  <c r="V228" i="12" s="1"/>
  <c r="W227" i="12"/>
  <c r="T227" i="12"/>
  <c r="R227" i="12"/>
  <c r="S227" i="12" s="1"/>
  <c r="O227" i="12"/>
  <c r="K227" i="12"/>
  <c r="N227" i="12" s="1"/>
  <c r="V227" i="12" s="1"/>
  <c r="W226" i="12"/>
  <c r="T226" i="12"/>
  <c r="R226" i="12"/>
  <c r="S226" i="12" s="1"/>
  <c r="O226" i="12"/>
  <c r="K226" i="12"/>
  <c r="N226" i="12" s="1"/>
  <c r="V226" i="12" s="1"/>
  <c r="W225" i="12"/>
  <c r="T225" i="12"/>
  <c r="R225" i="12"/>
  <c r="S225" i="12" s="1"/>
  <c r="O225" i="12"/>
  <c r="K225" i="12"/>
  <c r="N225" i="12" s="1"/>
  <c r="V225" i="12" s="1"/>
  <c r="W224" i="12"/>
  <c r="T224" i="12"/>
  <c r="R224" i="12"/>
  <c r="S224" i="12" s="1"/>
  <c r="O224" i="12"/>
  <c r="K224" i="12"/>
  <c r="N224" i="12" s="1"/>
  <c r="V224" i="12" s="1"/>
  <c r="W223" i="12"/>
  <c r="T223" i="12"/>
  <c r="R223" i="12"/>
  <c r="S223" i="12" s="1"/>
  <c r="O223" i="12"/>
  <c r="K223" i="12"/>
  <c r="N223" i="12" s="1"/>
  <c r="V223" i="12" s="1"/>
  <c r="W222" i="12"/>
  <c r="T222" i="12"/>
  <c r="R222" i="12"/>
  <c r="S222" i="12" s="1"/>
  <c r="O222" i="12"/>
  <c r="K222" i="12"/>
  <c r="N222" i="12" s="1"/>
  <c r="V222" i="12" s="1"/>
  <c r="W221" i="12"/>
  <c r="T221" i="12"/>
  <c r="R221" i="12"/>
  <c r="S221" i="12" s="1"/>
  <c r="O221" i="12"/>
  <c r="K221" i="12"/>
  <c r="N221" i="12" s="1"/>
  <c r="V221" i="12" s="1"/>
  <c r="W220" i="12"/>
  <c r="T220" i="12"/>
  <c r="R220" i="12"/>
  <c r="S220" i="12" s="1"/>
  <c r="O220" i="12"/>
  <c r="K220" i="12"/>
  <c r="N220" i="12" s="1"/>
  <c r="V220" i="12" s="1"/>
  <c r="W219" i="12"/>
  <c r="T219" i="12"/>
  <c r="R219" i="12"/>
  <c r="S219" i="12" s="1"/>
  <c r="O219" i="12"/>
  <c r="K219" i="12"/>
  <c r="N219" i="12" s="1"/>
  <c r="V219" i="12" s="1"/>
  <c r="W218" i="12"/>
  <c r="T218" i="12"/>
  <c r="R218" i="12"/>
  <c r="S218" i="12" s="1"/>
  <c r="O218" i="12"/>
  <c r="K218" i="12"/>
  <c r="N218" i="12" s="1"/>
  <c r="V218" i="12" s="1"/>
  <c r="W217" i="12"/>
  <c r="T217" i="12"/>
  <c r="R217" i="12"/>
  <c r="S217" i="12" s="1"/>
  <c r="O217" i="12"/>
  <c r="K217" i="12"/>
  <c r="N217" i="12" s="1"/>
  <c r="V217" i="12" s="1"/>
  <c r="W216" i="12"/>
  <c r="T216" i="12"/>
  <c r="R216" i="12"/>
  <c r="S216" i="12" s="1"/>
  <c r="O216" i="12"/>
  <c r="K216" i="12"/>
  <c r="N216" i="12" s="1"/>
  <c r="V216" i="12" s="1"/>
  <c r="W215" i="12"/>
  <c r="T215" i="12"/>
  <c r="R215" i="12"/>
  <c r="S215" i="12" s="1"/>
  <c r="O215" i="12"/>
  <c r="K215" i="12"/>
  <c r="N215" i="12" s="1"/>
  <c r="V215" i="12" s="1"/>
  <c r="W214" i="12"/>
  <c r="T214" i="12"/>
  <c r="R214" i="12"/>
  <c r="S214" i="12" s="1"/>
  <c r="O214" i="12"/>
  <c r="K214" i="12"/>
  <c r="N214" i="12" s="1"/>
  <c r="V214" i="12" s="1"/>
  <c r="X214" i="12" s="1"/>
  <c r="W213" i="12"/>
  <c r="T213" i="12"/>
  <c r="R213" i="12"/>
  <c r="S213" i="12" s="1"/>
  <c r="O213" i="12"/>
  <c r="K213" i="12"/>
  <c r="N213" i="12" s="1"/>
  <c r="V213" i="12" s="1"/>
  <c r="W212" i="12"/>
  <c r="T212" i="12"/>
  <c r="R212" i="12"/>
  <c r="S212" i="12" s="1"/>
  <c r="O212" i="12"/>
  <c r="K212" i="12"/>
  <c r="N212" i="12" s="1"/>
  <c r="V212" i="12" s="1"/>
  <c r="W211" i="12"/>
  <c r="T211" i="12"/>
  <c r="R211" i="12"/>
  <c r="S211" i="12" s="1"/>
  <c r="O211" i="12"/>
  <c r="K211" i="12"/>
  <c r="N211" i="12" s="1"/>
  <c r="V211" i="12" s="1"/>
  <c r="W210" i="12"/>
  <c r="T210" i="12"/>
  <c r="R210" i="12"/>
  <c r="S210" i="12" s="1"/>
  <c r="O210" i="12"/>
  <c r="K210" i="12"/>
  <c r="N210" i="12" s="1"/>
  <c r="V210" i="12" s="1"/>
  <c r="W209" i="12"/>
  <c r="T209" i="12"/>
  <c r="R209" i="12"/>
  <c r="S209" i="12" s="1"/>
  <c r="O209" i="12"/>
  <c r="K209" i="12"/>
  <c r="N209" i="12" s="1"/>
  <c r="V209" i="12" s="1"/>
  <c r="W208" i="12"/>
  <c r="T208" i="12"/>
  <c r="R208" i="12"/>
  <c r="S208" i="12" s="1"/>
  <c r="O208" i="12"/>
  <c r="K208" i="12"/>
  <c r="N208" i="12" s="1"/>
  <c r="V208" i="12" s="1"/>
  <c r="W207" i="12"/>
  <c r="T207" i="12"/>
  <c r="R207" i="12"/>
  <c r="S207" i="12" s="1"/>
  <c r="O207" i="12"/>
  <c r="K207" i="12"/>
  <c r="N207" i="12" s="1"/>
  <c r="V207" i="12" s="1"/>
  <c r="W206" i="12"/>
  <c r="T206" i="12"/>
  <c r="R206" i="12"/>
  <c r="S206" i="12" s="1"/>
  <c r="O206" i="12"/>
  <c r="K206" i="12"/>
  <c r="N206" i="12" s="1"/>
  <c r="V206" i="12" s="1"/>
  <c r="X206" i="12" s="1"/>
  <c r="W205" i="12"/>
  <c r="T205" i="12"/>
  <c r="R205" i="12"/>
  <c r="S205" i="12" s="1"/>
  <c r="O205" i="12"/>
  <c r="K205" i="12"/>
  <c r="N205" i="12" s="1"/>
  <c r="V205" i="12" s="1"/>
  <c r="W204" i="12"/>
  <c r="T204" i="12"/>
  <c r="R204" i="12"/>
  <c r="S204" i="12" s="1"/>
  <c r="O204" i="12"/>
  <c r="K204" i="12"/>
  <c r="N204" i="12" s="1"/>
  <c r="V204" i="12" s="1"/>
  <c r="W203" i="12"/>
  <c r="T203" i="12"/>
  <c r="R203" i="12"/>
  <c r="S203" i="12" s="1"/>
  <c r="O203" i="12"/>
  <c r="K203" i="12"/>
  <c r="N203" i="12" s="1"/>
  <c r="V203" i="12" s="1"/>
  <c r="W202" i="12"/>
  <c r="T202" i="12"/>
  <c r="R202" i="12"/>
  <c r="S202" i="12" s="1"/>
  <c r="O202" i="12"/>
  <c r="K202" i="12"/>
  <c r="N202" i="12" s="1"/>
  <c r="V202" i="12" s="1"/>
  <c r="W201" i="12"/>
  <c r="T201" i="12"/>
  <c r="R201" i="12"/>
  <c r="S201" i="12" s="1"/>
  <c r="O201" i="12"/>
  <c r="K201" i="12"/>
  <c r="N201" i="12" s="1"/>
  <c r="V201" i="12" s="1"/>
  <c r="W200" i="12"/>
  <c r="T200" i="12"/>
  <c r="R200" i="12"/>
  <c r="S200" i="12" s="1"/>
  <c r="O200" i="12"/>
  <c r="K200" i="12"/>
  <c r="N200" i="12" s="1"/>
  <c r="V200" i="12" s="1"/>
  <c r="W199" i="12"/>
  <c r="T199" i="12"/>
  <c r="R199" i="12"/>
  <c r="S199" i="12" s="1"/>
  <c r="O199" i="12"/>
  <c r="K199" i="12"/>
  <c r="N199" i="12" s="1"/>
  <c r="V199" i="12" s="1"/>
  <c r="W198" i="12"/>
  <c r="T198" i="12"/>
  <c r="R198" i="12"/>
  <c r="S198" i="12" s="1"/>
  <c r="O198" i="12"/>
  <c r="K198" i="12"/>
  <c r="N198" i="12" s="1"/>
  <c r="V198" i="12" s="1"/>
  <c r="X198" i="12" s="1"/>
  <c r="W197" i="12"/>
  <c r="T197" i="12"/>
  <c r="R197" i="12"/>
  <c r="S197" i="12" s="1"/>
  <c r="O197" i="12"/>
  <c r="K197" i="12"/>
  <c r="N197" i="12" s="1"/>
  <c r="V197" i="12" s="1"/>
  <c r="W196" i="12"/>
  <c r="T196" i="12"/>
  <c r="R196" i="12"/>
  <c r="S196" i="12" s="1"/>
  <c r="O196" i="12"/>
  <c r="K196" i="12"/>
  <c r="N196" i="12" s="1"/>
  <c r="V196" i="12" s="1"/>
  <c r="W195" i="12"/>
  <c r="T195" i="12"/>
  <c r="R195" i="12"/>
  <c r="S195" i="12" s="1"/>
  <c r="O195" i="12"/>
  <c r="K195" i="12"/>
  <c r="N195" i="12" s="1"/>
  <c r="V195" i="12" s="1"/>
  <c r="W194" i="12"/>
  <c r="T194" i="12"/>
  <c r="R194" i="12"/>
  <c r="S194" i="12" s="1"/>
  <c r="O194" i="12"/>
  <c r="K194" i="12"/>
  <c r="N194" i="12" s="1"/>
  <c r="V194" i="12" s="1"/>
  <c r="W193" i="12"/>
  <c r="T193" i="12"/>
  <c r="R193" i="12"/>
  <c r="S193" i="12" s="1"/>
  <c r="O193" i="12"/>
  <c r="K193" i="12"/>
  <c r="N193" i="12" s="1"/>
  <c r="V193" i="12" s="1"/>
  <c r="W192" i="12"/>
  <c r="T192" i="12"/>
  <c r="R192" i="12"/>
  <c r="S192" i="12" s="1"/>
  <c r="O192" i="12"/>
  <c r="K192" i="12"/>
  <c r="N192" i="12" s="1"/>
  <c r="V192" i="12" s="1"/>
  <c r="W191" i="12"/>
  <c r="T191" i="12"/>
  <c r="R191" i="12"/>
  <c r="S191" i="12" s="1"/>
  <c r="O191" i="12"/>
  <c r="K191" i="12"/>
  <c r="N191" i="12" s="1"/>
  <c r="V191" i="12" s="1"/>
  <c r="W190" i="12"/>
  <c r="T190" i="12"/>
  <c r="R190" i="12"/>
  <c r="S190" i="12" s="1"/>
  <c r="O190" i="12"/>
  <c r="K190" i="12"/>
  <c r="N190" i="12" s="1"/>
  <c r="V190" i="12" s="1"/>
  <c r="X190" i="12" s="1"/>
  <c r="W189" i="12"/>
  <c r="T189" i="12"/>
  <c r="R189" i="12"/>
  <c r="S189" i="12" s="1"/>
  <c r="O189" i="12"/>
  <c r="K189" i="12"/>
  <c r="N189" i="12" s="1"/>
  <c r="V189" i="12" s="1"/>
  <c r="W188" i="12"/>
  <c r="T188" i="12"/>
  <c r="R188" i="12"/>
  <c r="S188" i="12" s="1"/>
  <c r="O188" i="12"/>
  <c r="K188" i="12"/>
  <c r="N188" i="12" s="1"/>
  <c r="V188" i="12" s="1"/>
  <c r="W187" i="12"/>
  <c r="T187" i="12"/>
  <c r="R187" i="12"/>
  <c r="S187" i="12" s="1"/>
  <c r="O187" i="12"/>
  <c r="K187" i="12"/>
  <c r="N187" i="12" s="1"/>
  <c r="V187" i="12" s="1"/>
  <c r="W186" i="12"/>
  <c r="T186" i="12"/>
  <c r="R186" i="12"/>
  <c r="S186" i="12" s="1"/>
  <c r="O186" i="12"/>
  <c r="K186" i="12"/>
  <c r="N186" i="12" s="1"/>
  <c r="V186" i="12" s="1"/>
  <c r="W185" i="12"/>
  <c r="T185" i="12"/>
  <c r="R185" i="12"/>
  <c r="S185" i="12" s="1"/>
  <c r="O185" i="12"/>
  <c r="K185" i="12"/>
  <c r="N185" i="12" s="1"/>
  <c r="V185" i="12" s="1"/>
  <c r="W184" i="12"/>
  <c r="T184" i="12"/>
  <c r="R184" i="12"/>
  <c r="S184" i="12" s="1"/>
  <c r="O184" i="12"/>
  <c r="K184" i="12"/>
  <c r="N184" i="12" s="1"/>
  <c r="V184" i="12" s="1"/>
  <c r="W183" i="12"/>
  <c r="T183" i="12"/>
  <c r="R183" i="12"/>
  <c r="S183" i="12" s="1"/>
  <c r="O183" i="12"/>
  <c r="K183" i="12"/>
  <c r="N183" i="12" s="1"/>
  <c r="V183" i="12" s="1"/>
  <c r="W182" i="12"/>
  <c r="T182" i="12"/>
  <c r="R182" i="12"/>
  <c r="S182" i="12" s="1"/>
  <c r="O182" i="12"/>
  <c r="K182" i="12"/>
  <c r="N182" i="12" s="1"/>
  <c r="V182" i="12" s="1"/>
  <c r="W181" i="12"/>
  <c r="T181" i="12"/>
  <c r="R181" i="12"/>
  <c r="S181" i="12" s="1"/>
  <c r="O181" i="12"/>
  <c r="K181" i="12"/>
  <c r="N181" i="12" s="1"/>
  <c r="V181" i="12" s="1"/>
  <c r="W180" i="12"/>
  <c r="T180" i="12"/>
  <c r="R180" i="12"/>
  <c r="S180" i="12" s="1"/>
  <c r="O180" i="12"/>
  <c r="K180" i="12"/>
  <c r="N180" i="12" s="1"/>
  <c r="V180" i="12" s="1"/>
  <c r="W179" i="12"/>
  <c r="T179" i="12"/>
  <c r="R179" i="12"/>
  <c r="S179" i="12" s="1"/>
  <c r="O179" i="12"/>
  <c r="K179" i="12"/>
  <c r="N179" i="12" s="1"/>
  <c r="V179" i="12" s="1"/>
  <c r="W178" i="12"/>
  <c r="T178" i="12"/>
  <c r="R178" i="12"/>
  <c r="S178" i="12" s="1"/>
  <c r="O178" i="12"/>
  <c r="K178" i="12"/>
  <c r="N178" i="12" s="1"/>
  <c r="V178" i="12" s="1"/>
  <c r="W177" i="12"/>
  <c r="T177" i="12"/>
  <c r="R177" i="12"/>
  <c r="S177" i="12" s="1"/>
  <c r="O177" i="12"/>
  <c r="K177" i="12"/>
  <c r="N177" i="12" s="1"/>
  <c r="V177" i="12" s="1"/>
  <c r="W176" i="12"/>
  <c r="T176" i="12"/>
  <c r="R176" i="12"/>
  <c r="S176" i="12" s="1"/>
  <c r="O176" i="12"/>
  <c r="K176" i="12"/>
  <c r="N176" i="12" s="1"/>
  <c r="V176" i="12" s="1"/>
  <c r="W175" i="12"/>
  <c r="T175" i="12"/>
  <c r="R175" i="12"/>
  <c r="S175" i="12" s="1"/>
  <c r="O175" i="12"/>
  <c r="K175" i="12"/>
  <c r="N175" i="12" s="1"/>
  <c r="V175" i="12" s="1"/>
  <c r="W174" i="12"/>
  <c r="T174" i="12"/>
  <c r="R174" i="12"/>
  <c r="S174" i="12" s="1"/>
  <c r="O174" i="12"/>
  <c r="K174" i="12"/>
  <c r="N174" i="12" s="1"/>
  <c r="V174" i="12" s="1"/>
  <c r="W173" i="12"/>
  <c r="T173" i="12"/>
  <c r="R173" i="12"/>
  <c r="S173" i="12" s="1"/>
  <c r="O173" i="12"/>
  <c r="K173" i="12"/>
  <c r="N173" i="12" s="1"/>
  <c r="V173" i="12" s="1"/>
  <c r="W172" i="12"/>
  <c r="T172" i="12"/>
  <c r="R172" i="12"/>
  <c r="S172" i="12" s="1"/>
  <c r="O172" i="12"/>
  <c r="K172" i="12"/>
  <c r="N172" i="12" s="1"/>
  <c r="V172" i="12" s="1"/>
  <c r="W171" i="12"/>
  <c r="T171" i="12"/>
  <c r="R171" i="12"/>
  <c r="S171" i="12" s="1"/>
  <c r="O171" i="12"/>
  <c r="K171" i="12"/>
  <c r="N171" i="12" s="1"/>
  <c r="V171" i="12" s="1"/>
  <c r="W170" i="12"/>
  <c r="T170" i="12"/>
  <c r="R170" i="12"/>
  <c r="S170" i="12" s="1"/>
  <c r="O170" i="12"/>
  <c r="K170" i="12"/>
  <c r="N170" i="12" s="1"/>
  <c r="V170" i="12" s="1"/>
  <c r="W169" i="12"/>
  <c r="T169" i="12"/>
  <c r="R169" i="12"/>
  <c r="S169" i="12" s="1"/>
  <c r="O169" i="12"/>
  <c r="K169" i="12"/>
  <c r="N169" i="12" s="1"/>
  <c r="V169" i="12" s="1"/>
  <c r="W168" i="12"/>
  <c r="T168" i="12"/>
  <c r="R168" i="12"/>
  <c r="S168" i="12" s="1"/>
  <c r="O168" i="12"/>
  <c r="K168" i="12"/>
  <c r="N168" i="12" s="1"/>
  <c r="V168" i="12" s="1"/>
  <c r="W167" i="12"/>
  <c r="T167" i="12"/>
  <c r="R167" i="12"/>
  <c r="S167" i="12" s="1"/>
  <c r="O167" i="12"/>
  <c r="K167" i="12"/>
  <c r="N167" i="12" s="1"/>
  <c r="V167" i="12" s="1"/>
  <c r="W166" i="12"/>
  <c r="T166" i="12"/>
  <c r="R166" i="12"/>
  <c r="S166" i="12" s="1"/>
  <c r="O166" i="12"/>
  <c r="K166" i="12"/>
  <c r="N166" i="12" s="1"/>
  <c r="V166" i="12" s="1"/>
  <c r="W165" i="12"/>
  <c r="T165" i="12"/>
  <c r="R165" i="12"/>
  <c r="S165" i="12" s="1"/>
  <c r="O165" i="12"/>
  <c r="K165" i="12"/>
  <c r="N165" i="12" s="1"/>
  <c r="V165" i="12" s="1"/>
  <c r="W164" i="12"/>
  <c r="T164" i="12"/>
  <c r="R164" i="12"/>
  <c r="S164" i="12" s="1"/>
  <c r="O164" i="12"/>
  <c r="K164" i="12"/>
  <c r="N164" i="12" s="1"/>
  <c r="V164" i="12" s="1"/>
  <c r="W163" i="12"/>
  <c r="T163" i="12"/>
  <c r="R163" i="12"/>
  <c r="S163" i="12" s="1"/>
  <c r="O163" i="12"/>
  <c r="K163" i="12"/>
  <c r="N163" i="12" s="1"/>
  <c r="V163" i="12" s="1"/>
  <c r="W162" i="12"/>
  <c r="T162" i="12"/>
  <c r="R162" i="12"/>
  <c r="S162" i="12" s="1"/>
  <c r="O162" i="12"/>
  <c r="K162" i="12"/>
  <c r="N162" i="12" s="1"/>
  <c r="V162" i="12" s="1"/>
  <c r="W161" i="12"/>
  <c r="T161" i="12"/>
  <c r="R161" i="12"/>
  <c r="S161" i="12" s="1"/>
  <c r="O161" i="12"/>
  <c r="K161" i="12"/>
  <c r="N161" i="12" s="1"/>
  <c r="V161" i="12" s="1"/>
  <c r="W160" i="12"/>
  <c r="T160" i="12"/>
  <c r="R160" i="12"/>
  <c r="S160" i="12" s="1"/>
  <c r="O160" i="12"/>
  <c r="K160" i="12"/>
  <c r="N160" i="12" s="1"/>
  <c r="V160" i="12" s="1"/>
  <c r="W159" i="12"/>
  <c r="T159" i="12"/>
  <c r="R159" i="12"/>
  <c r="S159" i="12" s="1"/>
  <c r="O159" i="12"/>
  <c r="K159" i="12"/>
  <c r="N159" i="12" s="1"/>
  <c r="V159" i="12" s="1"/>
  <c r="W158" i="12"/>
  <c r="T158" i="12"/>
  <c r="R158" i="12"/>
  <c r="S158" i="12" s="1"/>
  <c r="O158" i="12"/>
  <c r="K158" i="12"/>
  <c r="N158" i="12" s="1"/>
  <c r="V158" i="12" s="1"/>
  <c r="W157" i="12"/>
  <c r="T157" i="12"/>
  <c r="R157" i="12"/>
  <c r="S157" i="12" s="1"/>
  <c r="O157" i="12"/>
  <c r="K157" i="12"/>
  <c r="N157" i="12" s="1"/>
  <c r="V157" i="12" s="1"/>
  <c r="W156" i="12"/>
  <c r="T156" i="12"/>
  <c r="R156" i="12"/>
  <c r="S156" i="12" s="1"/>
  <c r="O156" i="12"/>
  <c r="K156" i="12"/>
  <c r="N156" i="12" s="1"/>
  <c r="V156" i="12" s="1"/>
  <c r="W155" i="12"/>
  <c r="T155" i="12"/>
  <c r="R155" i="12"/>
  <c r="S155" i="12" s="1"/>
  <c r="O155" i="12"/>
  <c r="K155" i="12"/>
  <c r="N155" i="12" s="1"/>
  <c r="V155" i="12" s="1"/>
  <c r="W154" i="12"/>
  <c r="T154" i="12"/>
  <c r="R154" i="12"/>
  <c r="S154" i="12" s="1"/>
  <c r="O154" i="12"/>
  <c r="K154" i="12"/>
  <c r="N154" i="12" s="1"/>
  <c r="V154" i="12" s="1"/>
  <c r="W153" i="12"/>
  <c r="T153" i="12"/>
  <c r="R153" i="12"/>
  <c r="S153" i="12" s="1"/>
  <c r="O153" i="12"/>
  <c r="K153" i="12"/>
  <c r="N153" i="12" s="1"/>
  <c r="V153" i="12" s="1"/>
  <c r="W152" i="12"/>
  <c r="T152" i="12"/>
  <c r="R152" i="12"/>
  <c r="S152" i="12" s="1"/>
  <c r="O152" i="12"/>
  <c r="K152" i="12"/>
  <c r="N152" i="12" s="1"/>
  <c r="V152" i="12" s="1"/>
  <c r="W151" i="12"/>
  <c r="T151" i="12"/>
  <c r="R151" i="12"/>
  <c r="S151" i="12" s="1"/>
  <c r="O151" i="12"/>
  <c r="K151" i="12"/>
  <c r="N151" i="12" s="1"/>
  <c r="V151" i="12" s="1"/>
  <c r="W150" i="12"/>
  <c r="T150" i="12"/>
  <c r="R150" i="12"/>
  <c r="S150" i="12" s="1"/>
  <c r="O150" i="12"/>
  <c r="K150" i="12"/>
  <c r="N150" i="12" s="1"/>
  <c r="V150" i="12" s="1"/>
  <c r="W149" i="12"/>
  <c r="T149" i="12"/>
  <c r="R149" i="12"/>
  <c r="S149" i="12" s="1"/>
  <c r="O149" i="12"/>
  <c r="K149" i="12"/>
  <c r="N149" i="12" s="1"/>
  <c r="V149" i="12" s="1"/>
  <c r="W148" i="12"/>
  <c r="T148" i="12"/>
  <c r="R148" i="12"/>
  <c r="S148" i="12" s="1"/>
  <c r="O148" i="12"/>
  <c r="K148" i="12"/>
  <c r="N148" i="12" s="1"/>
  <c r="V148" i="12" s="1"/>
  <c r="W147" i="12"/>
  <c r="T147" i="12"/>
  <c r="R147" i="12"/>
  <c r="S147" i="12" s="1"/>
  <c r="O147" i="12"/>
  <c r="K147" i="12"/>
  <c r="N147" i="12" s="1"/>
  <c r="V147" i="12" s="1"/>
  <c r="W146" i="12"/>
  <c r="T146" i="12"/>
  <c r="R146" i="12"/>
  <c r="S146" i="12" s="1"/>
  <c r="O146" i="12"/>
  <c r="K146" i="12"/>
  <c r="N146" i="12" s="1"/>
  <c r="V146" i="12" s="1"/>
  <c r="W145" i="12"/>
  <c r="T145" i="12"/>
  <c r="R145" i="12"/>
  <c r="S145" i="12" s="1"/>
  <c r="O145" i="12"/>
  <c r="K145" i="12"/>
  <c r="N145" i="12" s="1"/>
  <c r="V145" i="12" s="1"/>
  <c r="W144" i="12"/>
  <c r="T144" i="12"/>
  <c r="R144" i="12"/>
  <c r="S144" i="12" s="1"/>
  <c r="O144" i="12"/>
  <c r="K144" i="12"/>
  <c r="N144" i="12" s="1"/>
  <c r="V144" i="12" s="1"/>
  <c r="W143" i="12"/>
  <c r="T143" i="12"/>
  <c r="R143" i="12"/>
  <c r="S143" i="12" s="1"/>
  <c r="O143" i="12"/>
  <c r="K143" i="12"/>
  <c r="N143" i="12" s="1"/>
  <c r="V143" i="12" s="1"/>
  <c r="W142" i="12"/>
  <c r="T142" i="12"/>
  <c r="R142" i="12"/>
  <c r="S142" i="12" s="1"/>
  <c r="O142" i="12"/>
  <c r="K142" i="12"/>
  <c r="N142" i="12" s="1"/>
  <c r="V142" i="12" s="1"/>
  <c r="X142" i="12" s="1"/>
  <c r="W141" i="12"/>
  <c r="T141" i="12"/>
  <c r="R141" i="12"/>
  <c r="S141" i="12" s="1"/>
  <c r="O141" i="12"/>
  <c r="K141" i="12"/>
  <c r="N141" i="12" s="1"/>
  <c r="V141" i="12" s="1"/>
  <c r="W140" i="12"/>
  <c r="T140" i="12"/>
  <c r="R140" i="12"/>
  <c r="S140" i="12" s="1"/>
  <c r="O140" i="12"/>
  <c r="K140" i="12"/>
  <c r="N140" i="12" s="1"/>
  <c r="V140" i="12" s="1"/>
  <c r="W139" i="12"/>
  <c r="T139" i="12"/>
  <c r="R139" i="12"/>
  <c r="S139" i="12" s="1"/>
  <c r="O139" i="12"/>
  <c r="K139" i="12"/>
  <c r="N139" i="12" s="1"/>
  <c r="V139" i="12" s="1"/>
  <c r="W138" i="12"/>
  <c r="T138" i="12"/>
  <c r="R138" i="12"/>
  <c r="S138" i="12" s="1"/>
  <c r="O138" i="12"/>
  <c r="K138" i="12"/>
  <c r="N138" i="12" s="1"/>
  <c r="V138" i="12" s="1"/>
  <c r="W137" i="12"/>
  <c r="T137" i="12"/>
  <c r="R137" i="12"/>
  <c r="S137" i="12" s="1"/>
  <c r="O137" i="12"/>
  <c r="K137" i="12"/>
  <c r="N137" i="12" s="1"/>
  <c r="V137" i="12" s="1"/>
  <c r="W136" i="12"/>
  <c r="T136" i="12"/>
  <c r="R136" i="12"/>
  <c r="S136" i="12" s="1"/>
  <c r="O136" i="12"/>
  <c r="K136" i="12"/>
  <c r="N136" i="12" s="1"/>
  <c r="V136" i="12" s="1"/>
  <c r="W135" i="12"/>
  <c r="T135" i="12"/>
  <c r="R135" i="12"/>
  <c r="S135" i="12" s="1"/>
  <c r="O135" i="12"/>
  <c r="K135" i="12"/>
  <c r="N135" i="12" s="1"/>
  <c r="V135" i="12" s="1"/>
  <c r="W134" i="12"/>
  <c r="T134" i="12"/>
  <c r="R134" i="12"/>
  <c r="S134" i="12" s="1"/>
  <c r="O134" i="12"/>
  <c r="K134" i="12"/>
  <c r="N134" i="12" s="1"/>
  <c r="V134" i="12" s="1"/>
  <c r="W133" i="12"/>
  <c r="T133" i="12"/>
  <c r="R133" i="12"/>
  <c r="S133" i="12" s="1"/>
  <c r="O133" i="12"/>
  <c r="K133" i="12"/>
  <c r="N133" i="12" s="1"/>
  <c r="V133" i="12" s="1"/>
  <c r="W132" i="12"/>
  <c r="T132" i="12"/>
  <c r="R132" i="12"/>
  <c r="S132" i="12" s="1"/>
  <c r="O132" i="12"/>
  <c r="K132" i="12"/>
  <c r="N132" i="12" s="1"/>
  <c r="V132" i="12" s="1"/>
  <c r="W131" i="12"/>
  <c r="T131" i="12"/>
  <c r="R131" i="12"/>
  <c r="S131" i="12" s="1"/>
  <c r="O131" i="12"/>
  <c r="K131" i="12"/>
  <c r="N131" i="12" s="1"/>
  <c r="V131" i="12" s="1"/>
  <c r="W130" i="12"/>
  <c r="T130" i="12"/>
  <c r="R130" i="12"/>
  <c r="S130" i="12" s="1"/>
  <c r="O130" i="12"/>
  <c r="K130" i="12"/>
  <c r="N130" i="12" s="1"/>
  <c r="V130" i="12" s="1"/>
  <c r="W129" i="12"/>
  <c r="T129" i="12"/>
  <c r="R129" i="12"/>
  <c r="S129" i="12" s="1"/>
  <c r="O129" i="12"/>
  <c r="K129" i="12"/>
  <c r="N129" i="12" s="1"/>
  <c r="V129" i="12" s="1"/>
  <c r="W128" i="12"/>
  <c r="T128" i="12"/>
  <c r="R128" i="12"/>
  <c r="S128" i="12" s="1"/>
  <c r="O128" i="12"/>
  <c r="K128" i="12"/>
  <c r="N128" i="12" s="1"/>
  <c r="V128" i="12" s="1"/>
  <c r="W127" i="12"/>
  <c r="T127" i="12"/>
  <c r="R127" i="12"/>
  <c r="S127" i="12" s="1"/>
  <c r="O127" i="12"/>
  <c r="K127" i="12"/>
  <c r="N127" i="12" s="1"/>
  <c r="V127" i="12" s="1"/>
  <c r="W126" i="12"/>
  <c r="T126" i="12"/>
  <c r="R126" i="12"/>
  <c r="S126" i="12" s="1"/>
  <c r="O126" i="12"/>
  <c r="K126" i="12"/>
  <c r="N126" i="12" s="1"/>
  <c r="V126" i="12" s="1"/>
  <c r="X126" i="12" s="1"/>
  <c r="W125" i="12"/>
  <c r="T125" i="12"/>
  <c r="R125" i="12"/>
  <c r="S125" i="12" s="1"/>
  <c r="O125" i="12"/>
  <c r="K125" i="12"/>
  <c r="N125" i="12" s="1"/>
  <c r="V125" i="12" s="1"/>
  <c r="W124" i="12"/>
  <c r="T124" i="12"/>
  <c r="R124" i="12"/>
  <c r="S124" i="12" s="1"/>
  <c r="O124" i="12"/>
  <c r="K124" i="12"/>
  <c r="N124" i="12" s="1"/>
  <c r="V124" i="12" s="1"/>
  <c r="W123" i="12"/>
  <c r="T123" i="12"/>
  <c r="R123" i="12"/>
  <c r="S123" i="12" s="1"/>
  <c r="O123" i="12"/>
  <c r="K123" i="12"/>
  <c r="N123" i="12" s="1"/>
  <c r="V123" i="12" s="1"/>
  <c r="W122" i="12"/>
  <c r="T122" i="12"/>
  <c r="R122" i="12"/>
  <c r="S122" i="12" s="1"/>
  <c r="O122" i="12"/>
  <c r="K122" i="12"/>
  <c r="N122" i="12" s="1"/>
  <c r="V122" i="12" s="1"/>
  <c r="W121" i="12"/>
  <c r="T121" i="12"/>
  <c r="R121" i="12"/>
  <c r="S121" i="12" s="1"/>
  <c r="O121" i="12"/>
  <c r="K121" i="12"/>
  <c r="N121" i="12" s="1"/>
  <c r="V121" i="12" s="1"/>
  <c r="W120" i="12"/>
  <c r="T120" i="12"/>
  <c r="R120" i="12"/>
  <c r="S120" i="12" s="1"/>
  <c r="O120" i="12"/>
  <c r="K120" i="12"/>
  <c r="N120" i="12" s="1"/>
  <c r="V120" i="12" s="1"/>
  <c r="W119" i="12"/>
  <c r="T119" i="12"/>
  <c r="R119" i="12"/>
  <c r="S119" i="12" s="1"/>
  <c r="O119" i="12"/>
  <c r="K119" i="12"/>
  <c r="N119" i="12" s="1"/>
  <c r="V119" i="12" s="1"/>
  <c r="W118" i="12"/>
  <c r="T118" i="12"/>
  <c r="R118" i="12"/>
  <c r="S118" i="12" s="1"/>
  <c r="O118" i="12"/>
  <c r="K118" i="12"/>
  <c r="N118" i="12" s="1"/>
  <c r="V118" i="12" s="1"/>
  <c r="W117" i="12"/>
  <c r="T117" i="12"/>
  <c r="R117" i="12"/>
  <c r="S117" i="12" s="1"/>
  <c r="O117" i="12"/>
  <c r="K117" i="12"/>
  <c r="N117" i="12" s="1"/>
  <c r="V117" i="12" s="1"/>
  <c r="W116" i="12"/>
  <c r="T116" i="12"/>
  <c r="R116" i="12"/>
  <c r="S116" i="12" s="1"/>
  <c r="O116" i="12"/>
  <c r="K116" i="12"/>
  <c r="N116" i="12" s="1"/>
  <c r="V116" i="12" s="1"/>
  <c r="W115" i="12"/>
  <c r="T115" i="12"/>
  <c r="R115" i="12"/>
  <c r="S115" i="12" s="1"/>
  <c r="O115" i="12"/>
  <c r="K115" i="12"/>
  <c r="N115" i="12" s="1"/>
  <c r="V115" i="12" s="1"/>
  <c r="W114" i="12"/>
  <c r="T114" i="12"/>
  <c r="R114" i="12"/>
  <c r="S114" i="12" s="1"/>
  <c r="O114" i="12"/>
  <c r="K114" i="12"/>
  <c r="N114" i="12" s="1"/>
  <c r="V114" i="12" s="1"/>
  <c r="W113" i="12"/>
  <c r="T113" i="12"/>
  <c r="R113" i="12"/>
  <c r="S113" i="12" s="1"/>
  <c r="O113" i="12"/>
  <c r="K113" i="12"/>
  <c r="N113" i="12" s="1"/>
  <c r="V113" i="12" s="1"/>
  <c r="W112" i="12"/>
  <c r="T112" i="12"/>
  <c r="R112" i="12"/>
  <c r="S112" i="12" s="1"/>
  <c r="O112" i="12"/>
  <c r="K112" i="12"/>
  <c r="N112" i="12" s="1"/>
  <c r="V112" i="12" s="1"/>
  <c r="W111" i="12"/>
  <c r="T111" i="12"/>
  <c r="R111" i="12"/>
  <c r="S111" i="12" s="1"/>
  <c r="O111" i="12"/>
  <c r="K111" i="12"/>
  <c r="N111" i="12" s="1"/>
  <c r="V111" i="12" s="1"/>
  <c r="W110" i="12"/>
  <c r="T110" i="12"/>
  <c r="R110" i="12"/>
  <c r="S110" i="12" s="1"/>
  <c r="O110" i="12"/>
  <c r="K110" i="12"/>
  <c r="N110" i="12" s="1"/>
  <c r="V110" i="12" s="1"/>
  <c r="W109" i="12"/>
  <c r="T109" i="12"/>
  <c r="R109" i="12"/>
  <c r="S109" i="12" s="1"/>
  <c r="O109" i="12"/>
  <c r="K109" i="12"/>
  <c r="N109" i="12" s="1"/>
  <c r="V109" i="12" s="1"/>
  <c r="W108" i="12"/>
  <c r="T108" i="12"/>
  <c r="R108" i="12"/>
  <c r="S108" i="12" s="1"/>
  <c r="O108" i="12"/>
  <c r="K108" i="12"/>
  <c r="N108" i="12" s="1"/>
  <c r="V108" i="12" s="1"/>
  <c r="W107" i="12"/>
  <c r="T107" i="12"/>
  <c r="R107" i="12"/>
  <c r="S107" i="12" s="1"/>
  <c r="O107" i="12"/>
  <c r="K107" i="12"/>
  <c r="N107" i="12" s="1"/>
  <c r="V107" i="12" s="1"/>
  <c r="W106" i="12"/>
  <c r="T106" i="12"/>
  <c r="R106" i="12"/>
  <c r="S106" i="12" s="1"/>
  <c r="O106" i="12"/>
  <c r="K106" i="12"/>
  <c r="N106" i="12" s="1"/>
  <c r="V106" i="12" s="1"/>
  <c r="W105" i="12"/>
  <c r="T105" i="12"/>
  <c r="R105" i="12"/>
  <c r="S105" i="12" s="1"/>
  <c r="O105" i="12"/>
  <c r="K105" i="12"/>
  <c r="N105" i="12" s="1"/>
  <c r="V105" i="12" s="1"/>
  <c r="W104" i="12"/>
  <c r="T104" i="12"/>
  <c r="R104" i="12"/>
  <c r="S104" i="12" s="1"/>
  <c r="O104" i="12"/>
  <c r="K104" i="12"/>
  <c r="N104" i="12" s="1"/>
  <c r="V104" i="12" s="1"/>
  <c r="W103" i="12"/>
  <c r="T103" i="12"/>
  <c r="R103" i="12"/>
  <c r="S103" i="12" s="1"/>
  <c r="O103" i="12"/>
  <c r="K103" i="12"/>
  <c r="N103" i="12" s="1"/>
  <c r="V103" i="12" s="1"/>
  <c r="W102" i="12"/>
  <c r="T102" i="12"/>
  <c r="R102" i="12"/>
  <c r="S102" i="12" s="1"/>
  <c r="O102" i="12"/>
  <c r="K102" i="12"/>
  <c r="N102" i="12" s="1"/>
  <c r="V102" i="12" s="1"/>
  <c r="X102" i="12" s="1"/>
  <c r="W101" i="12"/>
  <c r="T101" i="12"/>
  <c r="R101" i="12"/>
  <c r="S101" i="12" s="1"/>
  <c r="O101" i="12"/>
  <c r="K101" i="12"/>
  <c r="N101" i="12" s="1"/>
  <c r="V101" i="12" s="1"/>
  <c r="W100" i="12"/>
  <c r="T100" i="12"/>
  <c r="R100" i="12"/>
  <c r="S100" i="12" s="1"/>
  <c r="O100" i="12"/>
  <c r="K100" i="12"/>
  <c r="N100" i="12" s="1"/>
  <c r="V100" i="12" s="1"/>
  <c r="W99" i="12"/>
  <c r="T99" i="12"/>
  <c r="R99" i="12"/>
  <c r="S99" i="12" s="1"/>
  <c r="O99" i="12"/>
  <c r="K99" i="12"/>
  <c r="N99" i="12" s="1"/>
  <c r="V99" i="12" s="1"/>
  <c r="W98" i="12"/>
  <c r="T98" i="12"/>
  <c r="R98" i="12"/>
  <c r="S98" i="12" s="1"/>
  <c r="O98" i="12"/>
  <c r="K98" i="12"/>
  <c r="N98" i="12" s="1"/>
  <c r="V98" i="12" s="1"/>
  <c r="W97" i="12"/>
  <c r="T97" i="12"/>
  <c r="R97" i="12"/>
  <c r="S97" i="12" s="1"/>
  <c r="O97" i="12"/>
  <c r="K97" i="12"/>
  <c r="N97" i="12" s="1"/>
  <c r="V97" i="12" s="1"/>
  <c r="W96" i="12"/>
  <c r="T96" i="12"/>
  <c r="R96" i="12"/>
  <c r="S96" i="12" s="1"/>
  <c r="O96" i="12"/>
  <c r="K96" i="12"/>
  <c r="N96" i="12" s="1"/>
  <c r="V96" i="12" s="1"/>
  <c r="W95" i="12"/>
  <c r="T95" i="12"/>
  <c r="R95" i="12"/>
  <c r="S95" i="12" s="1"/>
  <c r="O95" i="12"/>
  <c r="K95" i="12"/>
  <c r="N95" i="12" s="1"/>
  <c r="V95" i="12" s="1"/>
  <c r="W94" i="12"/>
  <c r="T94" i="12"/>
  <c r="R94" i="12"/>
  <c r="S94" i="12" s="1"/>
  <c r="O94" i="12"/>
  <c r="K94" i="12"/>
  <c r="N94" i="12" s="1"/>
  <c r="V94" i="12" s="1"/>
  <c r="X94" i="12" s="1"/>
  <c r="W93" i="12"/>
  <c r="T93" i="12"/>
  <c r="R93" i="12"/>
  <c r="S93" i="12" s="1"/>
  <c r="O93" i="12"/>
  <c r="K93" i="12"/>
  <c r="N93" i="12" s="1"/>
  <c r="V93" i="12" s="1"/>
  <c r="W92" i="12"/>
  <c r="T92" i="12"/>
  <c r="R92" i="12"/>
  <c r="S92" i="12" s="1"/>
  <c r="O92" i="12"/>
  <c r="K92" i="12"/>
  <c r="N92" i="12" s="1"/>
  <c r="V92" i="12" s="1"/>
  <c r="W91" i="12"/>
  <c r="T91" i="12"/>
  <c r="R91" i="12"/>
  <c r="S91" i="12" s="1"/>
  <c r="O91" i="12"/>
  <c r="K91" i="12"/>
  <c r="N91" i="12" s="1"/>
  <c r="V91" i="12" s="1"/>
  <c r="W90" i="12"/>
  <c r="T90" i="12"/>
  <c r="R90" i="12"/>
  <c r="S90" i="12" s="1"/>
  <c r="O90" i="12"/>
  <c r="K90" i="12"/>
  <c r="N90" i="12" s="1"/>
  <c r="V90" i="12" s="1"/>
  <c r="W89" i="12"/>
  <c r="T89" i="12"/>
  <c r="R89" i="12"/>
  <c r="S89" i="12" s="1"/>
  <c r="O89" i="12"/>
  <c r="K89" i="12"/>
  <c r="N89" i="12" s="1"/>
  <c r="V89" i="12" s="1"/>
  <c r="W88" i="12"/>
  <c r="T88" i="12"/>
  <c r="R88" i="12"/>
  <c r="S88" i="12" s="1"/>
  <c r="O88" i="12"/>
  <c r="K88" i="12"/>
  <c r="N88" i="12" s="1"/>
  <c r="V88" i="12" s="1"/>
  <c r="W87" i="12"/>
  <c r="T87" i="12"/>
  <c r="R87" i="12"/>
  <c r="S87" i="12" s="1"/>
  <c r="O87" i="12"/>
  <c r="K87" i="12"/>
  <c r="N87" i="12" s="1"/>
  <c r="V87" i="12" s="1"/>
  <c r="W86" i="12"/>
  <c r="T86" i="12"/>
  <c r="R86" i="12"/>
  <c r="S86" i="12" s="1"/>
  <c r="O86" i="12"/>
  <c r="K86" i="12"/>
  <c r="N86" i="12" s="1"/>
  <c r="V86" i="12" s="1"/>
  <c r="X86" i="12" s="1"/>
  <c r="W85" i="12"/>
  <c r="T85" i="12"/>
  <c r="R85" i="12"/>
  <c r="S85" i="12" s="1"/>
  <c r="O85" i="12"/>
  <c r="K85" i="12"/>
  <c r="N85" i="12" s="1"/>
  <c r="V85" i="12" s="1"/>
  <c r="W84" i="12"/>
  <c r="T84" i="12"/>
  <c r="R84" i="12"/>
  <c r="S84" i="12" s="1"/>
  <c r="O84" i="12"/>
  <c r="K84" i="12"/>
  <c r="N84" i="12" s="1"/>
  <c r="V84" i="12" s="1"/>
  <c r="W83" i="12"/>
  <c r="T83" i="12"/>
  <c r="R83" i="12"/>
  <c r="S83" i="12" s="1"/>
  <c r="O83" i="12"/>
  <c r="K83" i="12"/>
  <c r="N83" i="12" s="1"/>
  <c r="V83" i="12" s="1"/>
  <c r="W82" i="12"/>
  <c r="T82" i="12"/>
  <c r="R82" i="12"/>
  <c r="S82" i="12" s="1"/>
  <c r="O82" i="12"/>
  <c r="K82" i="12"/>
  <c r="N82" i="12" s="1"/>
  <c r="V82" i="12" s="1"/>
  <c r="W81" i="12"/>
  <c r="T81" i="12"/>
  <c r="R81" i="12"/>
  <c r="S81" i="12" s="1"/>
  <c r="O81" i="12"/>
  <c r="K81" i="12"/>
  <c r="N81" i="12" s="1"/>
  <c r="V81" i="12" s="1"/>
  <c r="W80" i="12"/>
  <c r="T80" i="12"/>
  <c r="R80" i="12"/>
  <c r="S80" i="12" s="1"/>
  <c r="O80" i="12"/>
  <c r="K80" i="12"/>
  <c r="N80" i="12" s="1"/>
  <c r="V80" i="12" s="1"/>
  <c r="W79" i="12"/>
  <c r="T79" i="12"/>
  <c r="R79" i="12"/>
  <c r="S79" i="12" s="1"/>
  <c r="O79" i="12"/>
  <c r="K79" i="12"/>
  <c r="N79" i="12" s="1"/>
  <c r="V79" i="12" s="1"/>
  <c r="W78" i="12"/>
  <c r="T78" i="12"/>
  <c r="R78" i="12"/>
  <c r="S78" i="12" s="1"/>
  <c r="O78" i="12"/>
  <c r="K78" i="12"/>
  <c r="N78" i="12" s="1"/>
  <c r="V78" i="12" s="1"/>
  <c r="X78" i="12" s="1"/>
  <c r="W77" i="12"/>
  <c r="T77" i="12"/>
  <c r="R77" i="12"/>
  <c r="S77" i="12" s="1"/>
  <c r="O77" i="12"/>
  <c r="K77" i="12"/>
  <c r="N77" i="12" s="1"/>
  <c r="V77" i="12" s="1"/>
  <c r="W76" i="12"/>
  <c r="T76" i="12"/>
  <c r="R76" i="12"/>
  <c r="S76" i="12" s="1"/>
  <c r="O76" i="12"/>
  <c r="K76" i="12"/>
  <c r="N76" i="12" s="1"/>
  <c r="V76" i="12" s="1"/>
  <c r="W75" i="12"/>
  <c r="T75" i="12"/>
  <c r="R75" i="12"/>
  <c r="S75" i="12" s="1"/>
  <c r="O75" i="12"/>
  <c r="K75" i="12"/>
  <c r="N75" i="12" s="1"/>
  <c r="V75" i="12" s="1"/>
  <c r="W74" i="12"/>
  <c r="T74" i="12"/>
  <c r="R74" i="12"/>
  <c r="S74" i="12" s="1"/>
  <c r="O74" i="12"/>
  <c r="K74" i="12"/>
  <c r="N74" i="12" s="1"/>
  <c r="V74" i="12" s="1"/>
  <c r="W73" i="12"/>
  <c r="T73" i="12"/>
  <c r="R73" i="12"/>
  <c r="S73" i="12" s="1"/>
  <c r="O73" i="12"/>
  <c r="K73" i="12"/>
  <c r="N73" i="12" s="1"/>
  <c r="V73" i="12" s="1"/>
  <c r="W72" i="12"/>
  <c r="T72" i="12"/>
  <c r="R72" i="12"/>
  <c r="S72" i="12" s="1"/>
  <c r="O72" i="12"/>
  <c r="K72" i="12"/>
  <c r="N72" i="12" s="1"/>
  <c r="V72" i="12" s="1"/>
  <c r="W71" i="12"/>
  <c r="T71" i="12"/>
  <c r="R71" i="12"/>
  <c r="S71" i="12" s="1"/>
  <c r="O71" i="12"/>
  <c r="K71" i="12"/>
  <c r="N71" i="12" s="1"/>
  <c r="V71" i="12" s="1"/>
  <c r="W70" i="12"/>
  <c r="T70" i="12"/>
  <c r="R70" i="12"/>
  <c r="S70" i="12" s="1"/>
  <c r="O70" i="12"/>
  <c r="K70" i="12"/>
  <c r="N70" i="12" s="1"/>
  <c r="V70" i="12" s="1"/>
  <c r="W69" i="12"/>
  <c r="T69" i="12"/>
  <c r="R69" i="12"/>
  <c r="S69" i="12" s="1"/>
  <c r="O69" i="12"/>
  <c r="K69" i="12"/>
  <c r="N69" i="12" s="1"/>
  <c r="V69" i="12" s="1"/>
  <c r="W68" i="12"/>
  <c r="T68" i="12"/>
  <c r="R68" i="12"/>
  <c r="S68" i="12" s="1"/>
  <c r="O68" i="12"/>
  <c r="K68" i="12"/>
  <c r="N68" i="12" s="1"/>
  <c r="V68" i="12" s="1"/>
  <c r="W67" i="12"/>
  <c r="T67" i="12"/>
  <c r="R67" i="12"/>
  <c r="S67" i="12" s="1"/>
  <c r="O67" i="12"/>
  <c r="K67" i="12"/>
  <c r="N67" i="12" s="1"/>
  <c r="V67" i="12" s="1"/>
  <c r="W66" i="12"/>
  <c r="T66" i="12"/>
  <c r="R66" i="12"/>
  <c r="S66" i="12" s="1"/>
  <c r="O66" i="12"/>
  <c r="K66" i="12"/>
  <c r="N66" i="12" s="1"/>
  <c r="V66" i="12" s="1"/>
  <c r="W65" i="12"/>
  <c r="T65" i="12"/>
  <c r="R65" i="12"/>
  <c r="S65" i="12" s="1"/>
  <c r="O65" i="12"/>
  <c r="K65" i="12"/>
  <c r="N65" i="12" s="1"/>
  <c r="V65" i="12" s="1"/>
  <c r="W64" i="12"/>
  <c r="T64" i="12"/>
  <c r="R64" i="12"/>
  <c r="S64" i="12" s="1"/>
  <c r="O64" i="12"/>
  <c r="K64" i="12"/>
  <c r="N64" i="12" s="1"/>
  <c r="V64" i="12" s="1"/>
  <c r="W63" i="12"/>
  <c r="T63" i="12"/>
  <c r="R63" i="12"/>
  <c r="S63" i="12" s="1"/>
  <c r="O63" i="12"/>
  <c r="K63" i="12"/>
  <c r="W62" i="12"/>
  <c r="T62" i="12"/>
  <c r="R62" i="12"/>
  <c r="S62" i="12" s="1"/>
  <c r="O62" i="12"/>
  <c r="K62" i="12"/>
  <c r="N62" i="12" s="1"/>
  <c r="V62" i="12" s="1"/>
  <c r="X62" i="12" s="1"/>
  <c r="W61" i="12"/>
  <c r="T61" i="12"/>
  <c r="R61" i="12"/>
  <c r="S61" i="12" s="1"/>
  <c r="O61" i="12"/>
  <c r="K61" i="12"/>
  <c r="N61" i="12" s="1"/>
  <c r="V61" i="12" s="1"/>
  <c r="W60" i="12"/>
  <c r="T60" i="12"/>
  <c r="R60" i="12"/>
  <c r="S60" i="12" s="1"/>
  <c r="O60" i="12"/>
  <c r="K60" i="12"/>
  <c r="N60" i="12" s="1"/>
  <c r="V60" i="12" s="1"/>
  <c r="W59" i="12"/>
  <c r="T59" i="12"/>
  <c r="R59" i="12"/>
  <c r="S59" i="12" s="1"/>
  <c r="O59" i="12"/>
  <c r="K59" i="12"/>
  <c r="N59" i="12" s="1"/>
  <c r="V59" i="12" s="1"/>
  <c r="W58" i="12"/>
  <c r="T58" i="12"/>
  <c r="R58" i="12"/>
  <c r="S58" i="12" s="1"/>
  <c r="O58" i="12"/>
  <c r="K58" i="12"/>
  <c r="N58" i="12" s="1"/>
  <c r="V58" i="12" s="1"/>
  <c r="W57" i="12"/>
  <c r="T57" i="12"/>
  <c r="R57" i="12"/>
  <c r="S57" i="12" s="1"/>
  <c r="O57" i="12"/>
  <c r="K57" i="12"/>
  <c r="N57" i="12" s="1"/>
  <c r="V57" i="12" s="1"/>
  <c r="W56" i="12"/>
  <c r="T56" i="12"/>
  <c r="R56" i="12"/>
  <c r="S56" i="12" s="1"/>
  <c r="O56" i="12"/>
  <c r="K56" i="12"/>
  <c r="N56" i="12" s="1"/>
  <c r="V56" i="12" s="1"/>
  <c r="W55" i="12"/>
  <c r="T55" i="12"/>
  <c r="R55" i="12"/>
  <c r="S55" i="12" s="1"/>
  <c r="O55" i="12"/>
  <c r="K55" i="12"/>
  <c r="N55" i="12" s="1"/>
  <c r="V55" i="12" s="1"/>
  <c r="W54" i="12"/>
  <c r="T54" i="12"/>
  <c r="R54" i="12"/>
  <c r="S54" i="12" s="1"/>
  <c r="O54" i="12"/>
  <c r="K54" i="12"/>
  <c r="N54" i="12" s="1"/>
  <c r="V54" i="12" s="1"/>
  <c r="X54" i="12" s="1"/>
  <c r="W53" i="12"/>
  <c r="T53" i="12"/>
  <c r="R53" i="12"/>
  <c r="S53" i="12" s="1"/>
  <c r="O53" i="12"/>
  <c r="K53" i="12"/>
  <c r="N53" i="12" s="1"/>
  <c r="V53" i="12" s="1"/>
  <c r="W52" i="12"/>
  <c r="T52" i="12"/>
  <c r="R52" i="12"/>
  <c r="S52" i="12" s="1"/>
  <c r="O52" i="12"/>
  <c r="K52" i="12"/>
  <c r="N52" i="12" s="1"/>
  <c r="V52" i="12" s="1"/>
  <c r="W51" i="12"/>
  <c r="T51" i="12"/>
  <c r="R51" i="12"/>
  <c r="S51" i="12" s="1"/>
  <c r="O51" i="12"/>
  <c r="K51" i="12"/>
  <c r="N51" i="12" s="1"/>
  <c r="V51" i="12" s="1"/>
  <c r="W50" i="12"/>
  <c r="T50" i="12"/>
  <c r="R50" i="12"/>
  <c r="S50" i="12" s="1"/>
  <c r="O50" i="12"/>
  <c r="K50" i="12"/>
  <c r="N50" i="12" s="1"/>
  <c r="V50" i="12" s="1"/>
  <c r="W49" i="12"/>
  <c r="T49" i="12"/>
  <c r="R49" i="12"/>
  <c r="S49" i="12" s="1"/>
  <c r="O49" i="12"/>
  <c r="K49" i="12"/>
  <c r="N49" i="12" s="1"/>
  <c r="V49" i="12" s="1"/>
  <c r="W48" i="12"/>
  <c r="T48" i="12"/>
  <c r="R48" i="12"/>
  <c r="S48" i="12" s="1"/>
  <c r="O48" i="12"/>
  <c r="K48" i="12"/>
  <c r="N48" i="12" s="1"/>
  <c r="V48" i="12" s="1"/>
  <c r="W47" i="12"/>
  <c r="T47" i="12"/>
  <c r="R47" i="12"/>
  <c r="S47" i="12" s="1"/>
  <c r="O47" i="12"/>
  <c r="K47" i="12"/>
  <c r="N47" i="12" s="1"/>
  <c r="V47" i="12" s="1"/>
  <c r="W46" i="12"/>
  <c r="T46" i="12"/>
  <c r="R46" i="12"/>
  <c r="S46" i="12" s="1"/>
  <c r="O46" i="12"/>
  <c r="K46" i="12"/>
  <c r="N46" i="12" s="1"/>
  <c r="V46" i="12" s="1"/>
  <c r="X46" i="12" s="1"/>
  <c r="W45" i="12"/>
  <c r="T45" i="12"/>
  <c r="R45" i="12"/>
  <c r="S45" i="12" s="1"/>
  <c r="O45" i="12"/>
  <c r="K45" i="12"/>
  <c r="N45" i="12" s="1"/>
  <c r="V45" i="12" s="1"/>
  <c r="W44" i="12"/>
  <c r="T44" i="12"/>
  <c r="R44" i="12"/>
  <c r="S44" i="12" s="1"/>
  <c r="O44" i="12"/>
  <c r="K44" i="12"/>
  <c r="N44" i="12" s="1"/>
  <c r="V44" i="12" s="1"/>
  <c r="W43" i="12"/>
  <c r="T43" i="12"/>
  <c r="R43" i="12"/>
  <c r="S43" i="12" s="1"/>
  <c r="O43" i="12"/>
  <c r="K43" i="12"/>
  <c r="N43" i="12" s="1"/>
  <c r="V43" i="12" s="1"/>
  <c r="W42" i="12"/>
  <c r="T42" i="12"/>
  <c r="R42" i="12"/>
  <c r="S42" i="12" s="1"/>
  <c r="O42" i="12"/>
  <c r="K42" i="12"/>
  <c r="N42" i="12" s="1"/>
  <c r="V42" i="12" s="1"/>
  <c r="W41" i="12"/>
  <c r="T41" i="12"/>
  <c r="R41" i="12"/>
  <c r="S41" i="12" s="1"/>
  <c r="O41" i="12"/>
  <c r="K41" i="12"/>
  <c r="N41" i="12" s="1"/>
  <c r="V41" i="12" s="1"/>
  <c r="W40" i="12"/>
  <c r="T40" i="12"/>
  <c r="R40" i="12"/>
  <c r="S40" i="12" s="1"/>
  <c r="O40" i="12"/>
  <c r="K40" i="12"/>
  <c r="N40" i="12" s="1"/>
  <c r="V40" i="12" s="1"/>
  <c r="W39" i="12"/>
  <c r="T39" i="12"/>
  <c r="R39" i="12"/>
  <c r="S39" i="12" s="1"/>
  <c r="O39" i="12"/>
  <c r="K39" i="12"/>
  <c r="N39" i="12" s="1"/>
  <c r="V39" i="12" s="1"/>
  <c r="W38" i="12"/>
  <c r="T38" i="12"/>
  <c r="R38" i="12"/>
  <c r="S38" i="12" s="1"/>
  <c r="O38" i="12"/>
  <c r="K38" i="12"/>
  <c r="N38" i="12" s="1"/>
  <c r="V38" i="12" s="1"/>
  <c r="X38" i="12" s="1"/>
  <c r="W37" i="12"/>
  <c r="T37" i="12"/>
  <c r="R37" i="12"/>
  <c r="S37" i="12" s="1"/>
  <c r="O37" i="12"/>
  <c r="K37" i="12"/>
  <c r="N37" i="12" s="1"/>
  <c r="V37" i="12" s="1"/>
  <c r="W36" i="12"/>
  <c r="T36" i="12"/>
  <c r="R36" i="12"/>
  <c r="S36" i="12" s="1"/>
  <c r="O36" i="12"/>
  <c r="K36" i="12"/>
  <c r="N36" i="12" s="1"/>
  <c r="V36" i="12" s="1"/>
  <c r="W35" i="12"/>
  <c r="T35" i="12"/>
  <c r="R35" i="12"/>
  <c r="S35" i="12" s="1"/>
  <c r="O35" i="12"/>
  <c r="K35" i="12"/>
  <c r="N35" i="12" s="1"/>
  <c r="V35" i="12" s="1"/>
  <c r="W34" i="12"/>
  <c r="T34" i="12"/>
  <c r="R34" i="12"/>
  <c r="S34" i="12" s="1"/>
  <c r="O34" i="12"/>
  <c r="K34" i="12"/>
  <c r="N34" i="12" s="1"/>
  <c r="V34" i="12" s="1"/>
  <c r="W33" i="12"/>
  <c r="T33" i="12"/>
  <c r="R33" i="12"/>
  <c r="S33" i="12" s="1"/>
  <c r="O33" i="12"/>
  <c r="K33" i="12"/>
  <c r="N33" i="12" s="1"/>
  <c r="V33" i="12" s="1"/>
  <c r="W32" i="12"/>
  <c r="T32" i="12"/>
  <c r="R32" i="12"/>
  <c r="S32" i="12" s="1"/>
  <c r="O32" i="12"/>
  <c r="K32" i="12"/>
  <c r="N32" i="12" s="1"/>
  <c r="V32" i="12" s="1"/>
  <c r="W31" i="12"/>
  <c r="T31" i="12"/>
  <c r="R31" i="12"/>
  <c r="S31" i="12" s="1"/>
  <c r="O31" i="12"/>
  <c r="K31" i="12"/>
  <c r="N31" i="12" s="1"/>
  <c r="V31" i="12" s="1"/>
  <c r="T30" i="12"/>
  <c r="R30" i="12"/>
  <c r="S30" i="12" s="1"/>
  <c r="O30" i="12"/>
  <c r="H30" i="12"/>
  <c r="W30" i="12" s="1"/>
  <c r="W29" i="12"/>
  <c r="T29" i="12"/>
  <c r="R29" i="12"/>
  <c r="S29" i="12" s="1"/>
  <c r="O29" i="12"/>
  <c r="K29" i="12"/>
  <c r="N29" i="12" s="1"/>
  <c r="V29" i="12" s="1"/>
  <c r="W28" i="12"/>
  <c r="T28" i="12"/>
  <c r="R28" i="12"/>
  <c r="S28" i="12" s="1"/>
  <c r="O28" i="12"/>
  <c r="K28" i="12"/>
  <c r="N28" i="12" s="1"/>
  <c r="V28" i="12" s="1"/>
  <c r="W27" i="12"/>
  <c r="T27" i="12"/>
  <c r="R27" i="12"/>
  <c r="S27" i="12" s="1"/>
  <c r="O27" i="12"/>
  <c r="K27" i="12"/>
  <c r="N27" i="12" s="1"/>
  <c r="V27" i="12" s="1"/>
  <c r="W26" i="12"/>
  <c r="T26" i="12"/>
  <c r="R26" i="12"/>
  <c r="S26" i="12" s="1"/>
  <c r="O26" i="12"/>
  <c r="K26" i="12"/>
  <c r="N26" i="12" s="1"/>
  <c r="V26" i="12" s="1"/>
  <c r="W25" i="12"/>
  <c r="T25" i="12"/>
  <c r="R25" i="12"/>
  <c r="S25" i="12" s="1"/>
  <c r="O25" i="12"/>
  <c r="K25" i="12"/>
  <c r="N25" i="12" s="1"/>
  <c r="V25" i="12" s="1"/>
  <c r="X25" i="12" s="1"/>
  <c r="W24" i="12"/>
  <c r="T24" i="12"/>
  <c r="R24" i="12"/>
  <c r="S24" i="12" s="1"/>
  <c r="O24" i="12"/>
  <c r="K24" i="12"/>
  <c r="N24" i="12" s="1"/>
  <c r="V24" i="12" s="1"/>
  <c r="W23" i="12"/>
  <c r="T23" i="12"/>
  <c r="R23" i="12"/>
  <c r="S23" i="12" s="1"/>
  <c r="O23" i="12"/>
  <c r="K23" i="12"/>
  <c r="N23" i="12" s="1"/>
  <c r="V23" i="12" s="1"/>
  <c r="W22" i="12"/>
  <c r="T22" i="12"/>
  <c r="R22" i="12"/>
  <c r="S22" i="12" s="1"/>
  <c r="O22" i="12"/>
  <c r="K22" i="12"/>
  <c r="N22" i="12" s="1"/>
  <c r="V22" i="12" s="1"/>
  <c r="W21" i="12"/>
  <c r="T21" i="12"/>
  <c r="R21" i="12"/>
  <c r="S21" i="12" s="1"/>
  <c r="O21" i="12"/>
  <c r="K21" i="12"/>
  <c r="N21" i="12" s="1"/>
  <c r="V21" i="12" s="1"/>
  <c r="T20" i="12"/>
  <c r="R20" i="12"/>
  <c r="S20" i="12" s="1"/>
  <c r="O20" i="12"/>
  <c r="H20" i="12"/>
  <c r="W19" i="12"/>
  <c r="T19" i="12"/>
  <c r="R19" i="12"/>
  <c r="S19" i="12" s="1"/>
  <c r="O19" i="12"/>
  <c r="K19" i="12"/>
  <c r="N19" i="12" s="1"/>
  <c r="V19" i="12" s="1"/>
  <c r="W18" i="12"/>
  <c r="T18" i="12"/>
  <c r="R18" i="12"/>
  <c r="S18" i="12" s="1"/>
  <c r="O18" i="12"/>
  <c r="K18" i="12"/>
  <c r="N18" i="12" s="1"/>
  <c r="V18" i="12" s="1"/>
  <c r="W17" i="12"/>
  <c r="T17" i="12"/>
  <c r="R17" i="12"/>
  <c r="S17" i="12" s="1"/>
  <c r="O17" i="12"/>
  <c r="K17" i="12"/>
  <c r="N17" i="12" s="1"/>
  <c r="V17" i="12" s="1"/>
  <c r="W16" i="12"/>
  <c r="T16" i="12"/>
  <c r="R16" i="12"/>
  <c r="S16" i="12" s="1"/>
  <c r="O16" i="12"/>
  <c r="K16" i="12"/>
  <c r="N16" i="12" s="1"/>
  <c r="V16" i="12" s="1"/>
  <c r="W15" i="12"/>
  <c r="T15" i="12"/>
  <c r="R15" i="12"/>
  <c r="S15" i="12" s="1"/>
  <c r="O15" i="12"/>
  <c r="K15" i="12"/>
  <c r="N15" i="12" s="1"/>
  <c r="V15" i="12" s="1"/>
  <c r="W14" i="12"/>
  <c r="T14" i="12"/>
  <c r="R14" i="12"/>
  <c r="S14" i="12" s="1"/>
  <c r="O14" i="12"/>
  <c r="K14" i="12"/>
  <c r="N14" i="12" s="1"/>
  <c r="V14" i="12" s="1"/>
  <c r="W13" i="12"/>
  <c r="T13" i="12"/>
  <c r="R13" i="12"/>
  <c r="S13" i="12" s="1"/>
  <c r="O13" i="12"/>
  <c r="K13" i="12"/>
  <c r="N13" i="12" s="1"/>
  <c r="V13" i="12" s="1"/>
  <c r="W12" i="12"/>
  <c r="T12" i="12"/>
  <c r="R12" i="12"/>
  <c r="S12" i="12" s="1"/>
  <c r="O12" i="12"/>
  <c r="K12" i="12"/>
  <c r="N12" i="12" s="1"/>
  <c r="V12" i="12" s="1"/>
  <c r="X12" i="12" s="1"/>
  <c r="W11" i="12"/>
  <c r="T11" i="12"/>
  <c r="R11" i="12"/>
  <c r="S11" i="12" s="1"/>
  <c r="O11" i="12"/>
  <c r="K11" i="12"/>
  <c r="N11" i="12" s="1"/>
  <c r="V11" i="12" s="1"/>
  <c r="W10" i="12"/>
  <c r="T10" i="12"/>
  <c r="R10" i="12"/>
  <c r="S10" i="12" s="1"/>
  <c r="O10" i="12"/>
  <c r="K10" i="12"/>
  <c r="N10" i="12" s="1"/>
  <c r="V10" i="12" s="1"/>
  <c r="A10" i="12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W9" i="12"/>
  <c r="T9" i="12"/>
  <c r="R9" i="12"/>
  <c r="S9" i="12" s="1"/>
  <c r="O9" i="12"/>
  <c r="K9" i="12"/>
  <c r="F7" i="9"/>
  <c r="E7" i="9"/>
  <c r="I79" i="11"/>
  <c r="L79" i="11" s="1"/>
  <c r="N79" i="11" s="1"/>
  <c r="O79" i="11" s="1"/>
  <c r="E79" i="11"/>
  <c r="D79" i="11"/>
  <c r="C79" i="11"/>
  <c r="I78" i="11"/>
  <c r="L78" i="11" s="1"/>
  <c r="N78" i="11" s="1"/>
  <c r="O78" i="11" s="1"/>
  <c r="E78" i="11"/>
  <c r="D78" i="11"/>
  <c r="C78" i="11"/>
  <c r="I77" i="11"/>
  <c r="L77" i="11" s="1"/>
  <c r="N77" i="11" s="1"/>
  <c r="O77" i="11" s="1"/>
  <c r="E77" i="11"/>
  <c r="H77" i="11" s="1"/>
  <c r="D77" i="11"/>
  <c r="C77" i="11"/>
  <c r="I76" i="11"/>
  <c r="L76" i="11" s="1"/>
  <c r="N76" i="11" s="1"/>
  <c r="O76" i="11" s="1"/>
  <c r="E76" i="11"/>
  <c r="H76" i="11" s="1"/>
  <c r="D76" i="11"/>
  <c r="C76" i="11"/>
  <c r="I75" i="11"/>
  <c r="L75" i="11" s="1"/>
  <c r="N75" i="11" s="1"/>
  <c r="O75" i="11" s="1"/>
  <c r="E75" i="11"/>
  <c r="S75" i="11" s="1"/>
  <c r="D75" i="11"/>
  <c r="C75" i="11"/>
  <c r="I74" i="11"/>
  <c r="L74" i="11" s="1"/>
  <c r="N74" i="11" s="1"/>
  <c r="O74" i="11" s="1"/>
  <c r="E74" i="11"/>
  <c r="D74" i="11"/>
  <c r="C74" i="11"/>
  <c r="I73" i="11"/>
  <c r="L73" i="11" s="1"/>
  <c r="N73" i="11" s="1"/>
  <c r="O73" i="11" s="1"/>
  <c r="E73" i="11"/>
  <c r="S73" i="11" s="1"/>
  <c r="D73" i="11"/>
  <c r="C73" i="11"/>
  <c r="I72" i="11"/>
  <c r="L72" i="11" s="1"/>
  <c r="N72" i="11" s="1"/>
  <c r="O72" i="11" s="1"/>
  <c r="E72" i="11"/>
  <c r="D72" i="11"/>
  <c r="C72" i="11"/>
  <c r="I71" i="11"/>
  <c r="L71" i="11" s="1"/>
  <c r="N71" i="11" s="1"/>
  <c r="O71" i="11" s="1"/>
  <c r="E71" i="11"/>
  <c r="D71" i="11"/>
  <c r="C71" i="11"/>
  <c r="I70" i="11"/>
  <c r="L70" i="11" s="1"/>
  <c r="N70" i="11" s="1"/>
  <c r="O70" i="11" s="1"/>
  <c r="E70" i="11"/>
  <c r="D70" i="11"/>
  <c r="C70" i="11"/>
  <c r="I69" i="11"/>
  <c r="L69" i="11" s="1"/>
  <c r="N69" i="11" s="1"/>
  <c r="O69" i="11" s="1"/>
  <c r="E69" i="11"/>
  <c r="H69" i="11" s="1"/>
  <c r="D69" i="11"/>
  <c r="C69" i="11"/>
  <c r="I68" i="11"/>
  <c r="L68" i="11" s="1"/>
  <c r="N68" i="11" s="1"/>
  <c r="O68" i="11" s="1"/>
  <c r="E68" i="11"/>
  <c r="H68" i="11" s="1"/>
  <c r="D68" i="11"/>
  <c r="C68" i="11"/>
  <c r="I67" i="11"/>
  <c r="L67" i="11" s="1"/>
  <c r="N67" i="11" s="1"/>
  <c r="O67" i="11" s="1"/>
  <c r="E67" i="11"/>
  <c r="S67" i="11" s="1"/>
  <c r="D67" i="11"/>
  <c r="C67" i="11"/>
  <c r="I66" i="11"/>
  <c r="L66" i="11" s="1"/>
  <c r="N66" i="11" s="1"/>
  <c r="O66" i="11" s="1"/>
  <c r="E66" i="11"/>
  <c r="H66" i="11" s="1"/>
  <c r="D66" i="11"/>
  <c r="C66" i="11"/>
  <c r="I65" i="11"/>
  <c r="L65" i="11" s="1"/>
  <c r="N65" i="11" s="1"/>
  <c r="O65" i="11" s="1"/>
  <c r="E65" i="11"/>
  <c r="S65" i="11" s="1"/>
  <c r="D65" i="11"/>
  <c r="C65" i="11"/>
  <c r="I64" i="11"/>
  <c r="L64" i="11" s="1"/>
  <c r="N64" i="11" s="1"/>
  <c r="O64" i="11" s="1"/>
  <c r="E64" i="11"/>
  <c r="S64" i="11" s="1"/>
  <c r="D64" i="11"/>
  <c r="C64" i="11"/>
  <c r="I63" i="11"/>
  <c r="L63" i="11" s="1"/>
  <c r="N63" i="11" s="1"/>
  <c r="O63" i="11" s="1"/>
  <c r="E63" i="11"/>
  <c r="D63" i="11"/>
  <c r="C63" i="11"/>
  <c r="I62" i="11"/>
  <c r="L62" i="11" s="1"/>
  <c r="N62" i="11" s="1"/>
  <c r="O62" i="11" s="1"/>
  <c r="E62" i="11"/>
  <c r="H62" i="11" s="1"/>
  <c r="D62" i="11"/>
  <c r="C62" i="11"/>
  <c r="I61" i="11"/>
  <c r="L61" i="11" s="1"/>
  <c r="N61" i="11" s="1"/>
  <c r="O61" i="11" s="1"/>
  <c r="E61" i="11"/>
  <c r="S61" i="11" s="1"/>
  <c r="D61" i="11"/>
  <c r="C61" i="11"/>
  <c r="I60" i="11"/>
  <c r="L60" i="11" s="1"/>
  <c r="N60" i="11" s="1"/>
  <c r="O60" i="11" s="1"/>
  <c r="E60" i="11"/>
  <c r="H60" i="11" s="1"/>
  <c r="D60" i="11"/>
  <c r="C60" i="11"/>
  <c r="I59" i="11"/>
  <c r="L59" i="11" s="1"/>
  <c r="N59" i="11" s="1"/>
  <c r="O59" i="11" s="1"/>
  <c r="E59" i="11"/>
  <c r="S59" i="11" s="1"/>
  <c r="D59" i="11"/>
  <c r="C59" i="11"/>
  <c r="I58" i="11"/>
  <c r="L58" i="11" s="1"/>
  <c r="N58" i="11" s="1"/>
  <c r="O58" i="11" s="1"/>
  <c r="E58" i="11"/>
  <c r="H58" i="11" s="1"/>
  <c r="D58" i="11"/>
  <c r="C58" i="11"/>
  <c r="I57" i="11"/>
  <c r="L57" i="11" s="1"/>
  <c r="N57" i="11" s="1"/>
  <c r="O57" i="11" s="1"/>
  <c r="E57" i="11"/>
  <c r="S57" i="11" s="1"/>
  <c r="D57" i="11"/>
  <c r="C57" i="11"/>
  <c r="I56" i="11"/>
  <c r="L56" i="11" s="1"/>
  <c r="N56" i="11" s="1"/>
  <c r="O56" i="11" s="1"/>
  <c r="E56" i="11"/>
  <c r="S56" i="11" s="1"/>
  <c r="D56" i="11"/>
  <c r="C56" i="11"/>
  <c r="I55" i="11"/>
  <c r="L55" i="11" s="1"/>
  <c r="N55" i="11" s="1"/>
  <c r="O55" i="11" s="1"/>
  <c r="E55" i="11"/>
  <c r="D55" i="11"/>
  <c r="C55" i="11"/>
  <c r="I54" i="11"/>
  <c r="L54" i="11" s="1"/>
  <c r="N54" i="11" s="1"/>
  <c r="O54" i="11" s="1"/>
  <c r="E54" i="11"/>
  <c r="S54" i="11" s="1"/>
  <c r="D54" i="11"/>
  <c r="C54" i="11"/>
  <c r="I53" i="11"/>
  <c r="L53" i="11" s="1"/>
  <c r="N53" i="11" s="1"/>
  <c r="O53" i="11" s="1"/>
  <c r="E53" i="11"/>
  <c r="S53" i="11" s="1"/>
  <c r="D53" i="11"/>
  <c r="C53" i="11"/>
  <c r="I52" i="11"/>
  <c r="L52" i="11" s="1"/>
  <c r="N52" i="11" s="1"/>
  <c r="O52" i="11" s="1"/>
  <c r="E52" i="11"/>
  <c r="H52" i="11" s="1"/>
  <c r="D52" i="11"/>
  <c r="C52" i="11"/>
  <c r="I51" i="11"/>
  <c r="L51" i="11" s="1"/>
  <c r="N51" i="11" s="1"/>
  <c r="O51" i="11" s="1"/>
  <c r="E51" i="11"/>
  <c r="H51" i="11" s="1"/>
  <c r="D51" i="11"/>
  <c r="C51" i="11"/>
  <c r="I50" i="11"/>
  <c r="L50" i="11" s="1"/>
  <c r="N50" i="11" s="1"/>
  <c r="O50" i="11" s="1"/>
  <c r="E50" i="11"/>
  <c r="S50" i="11" s="1"/>
  <c r="D50" i="11"/>
  <c r="C50" i="11"/>
  <c r="I49" i="11"/>
  <c r="L49" i="11" s="1"/>
  <c r="N49" i="11" s="1"/>
  <c r="O49" i="11" s="1"/>
  <c r="E49" i="11"/>
  <c r="S49" i="11" s="1"/>
  <c r="D49" i="11"/>
  <c r="C49" i="11"/>
  <c r="I48" i="11"/>
  <c r="L48" i="11" s="1"/>
  <c r="N48" i="11" s="1"/>
  <c r="O48" i="11" s="1"/>
  <c r="E48" i="11"/>
  <c r="D48" i="11"/>
  <c r="C48" i="11"/>
  <c r="I47" i="11"/>
  <c r="L47" i="11" s="1"/>
  <c r="N47" i="11" s="1"/>
  <c r="O47" i="11" s="1"/>
  <c r="E47" i="11"/>
  <c r="S47" i="11" s="1"/>
  <c r="D47" i="11"/>
  <c r="C47" i="11"/>
  <c r="I46" i="11"/>
  <c r="L46" i="11" s="1"/>
  <c r="N46" i="11" s="1"/>
  <c r="O46" i="11" s="1"/>
  <c r="E46" i="11"/>
  <c r="S46" i="11" s="1"/>
  <c r="D46" i="11"/>
  <c r="C46" i="11"/>
  <c r="I45" i="11"/>
  <c r="L45" i="11" s="1"/>
  <c r="N45" i="11" s="1"/>
  <c r="O45" i="11" s="1"/>
  <c r="E45" i="11"/>
  <c r="D45" i="11"/>
  <c r="C45" i="11"/>
  <c r="I44" i="11"/>
  <c r="L44" i="11" s="1"/>
  <c r="N44" i="11" s="1"/>
  <c r="O44" i="11" s="1"/>
  <c r="E44" i="11"/>
  <c r="H44" i="11" s="1"/>
  <c r="D44" i="11"/>
  <c r="C44" i="11"/>
  <c r="I43" i="11"/>
  <c r="L43" i="11" s="1"/>
  <c r="N43" i="11" s="1"/>
  <c r="O43" i="11" s="1"/>
  <c r="E43" i="11"/>
  <c r="D43" i="11"/>
  <c r="C43" i="11"/>
  <c r="I42" i="11"/>
  <c r="L42" i="11" s="1"/>
  <c r="N42" i="11" s="1"/>
  <c r="O42" i="11" s="1"/>
  <c r="E42" i="11"/>
  <c r="D42" i="11"/>
  <c r="C42" i="11"/>
  <c r="I41" i="11"/>
  <c r="L41" i="11" s="1"/>
  <c r="N41" i="11" s="1"/>
  <c r="O41" i="11" s="1"/>
  <c r="E41" i="11"/>
  <c r="S41" i="11" s="1"/>
  <c r="D41" i="11"/>
  <c r="C41" i="11"/>
  <c r="I40" i="11"/>
  <c r="L40" i="11" s="1"/>
  <c r="N40" i="11" s="1"/>
  <c r="O40" i="11" s="1"/>
  <c r="E40" i="11"/>
  <c r="D40" i="11"/>
  <c r="C40" i="11"/>
  <c r="I39" i="11"/>
  <c r="L39" i="11" s="1"/>
  <c r="N39" i="11" s="1"/>
  <c r="O39" i="11" s="1"/>
  <c r="E39" i="11"/>
  <c r="D39" i="11"/>
  <c r="C39" i="11"/>
  <c r="I38" i="11"/>
  <c r="L38" i="11" s="1"/>
  <c r="N38" i="11" s="1"/>
  <c r="O38" i="11" s="1"/>
  <c r="E38" i="11"/>
  <c r="S38" i="11" s="1"/>
  <c r="D38" i="11"/>
  <c r="C38" i="11"/>
  <c r="I37" i="11"/>
  <c r="L37" i="11" s="1"/>
  <c r="N37" i="11" s="1"/>
  <c r="O37" i="11" s="1"/>
  <c r="E37" i="11"/>
  <c r="D37" i="11"/>
  <c r="C37" i="11"/>
  <c r="I36" i="11"/>
  <c r="L36" i="11" s="1"/>
  <c r="N36" i="11" s="1"/>
  <c r="O36" i="11" s="1"/>
  <c r="E36" i="11"/>
  <c r="H36" i="11" s="1"/>
  <c r="D36" i="11"/>
  <c r="C36" i="11"/>
  <c r="I35" i="11"/>
  <c r="L35" i="11" s="1"/>
  <c r="N35" i="11" s="1"/>
  <c r="O35" i="11" s="1"/>
  <c r="E35" i="11"/>
  <c r="S35" i="11" s="1"/>
  <c r="D35" i="11"/>
  <c r="C35" i="11"/>
  <c r="I34" i="11"/>
  <c r="L34" i="11" s="1"/>
  <c r="N34" i="11" s="1"/>
  <c r="O34" i="11" s="1"/>
  <c r="E34" i="11"/>
  <c r="D34" i="11"/>
  <c r="C34" i="11"/>
  <c r="I33" i="11"/>
  <c r="L33" i="11" s="1"/>
  <c r="N33" i="11" s="1"/>
  <c r="O33" i="11" s="1"/>
  <c r="E33" i="11"/>
  <c r="S33" i="11" s="1"/>
  <c r="D33" i="11"/>
  <c r="C33" i="11"/>
  <c r="I32" i="11"/>
  <c r="L32" i="11" s="1"/>
  <c r="N32" i="11" s="1"/>
  <c r="O32" i="11" s="1"/>
  <c r="E32" i="11"/>
  <c r="K32" i="11" s="1"/>
  <c r="D32" i="11"/>
  <c r="C32" i="11"/>
  <c r="I31" i="11"/>
  <c r="L31" i="11" s="1"/>
  <c r="N31" i="11" s="1"/>
  <c r="O31" i="11" s="1"/>
  <c r="E31" i="11"/>
  <c r="D31" i="11"/>
  <c r="C31" i="11"/>
  <c r="I30" i="11"/>
  <c r="L30" i="11" s="1"/>
  <c r="N30" i="11" s="1"/>
  <c r="O30" i="11" s="1"/>
  <c r="E30" i="11"/>
  <c r="S30" i="11" s="1"/>
  <c r="D30" i="11"/>
  <c r="C30" i="11"/>
  <c r="I29" i="11"/>
  <c r="L29" i="11" s="1"/>
  <c r="N29" i="11" s="1"/>
  <c r="O29" i="11" s="1"/>
  <c r="E29" i="11"/>
  <c r="S29" i="11" s="1"/>
  <c r="D29" i="11"/>
  <c r="C29" i="11"/>
  <c r="I28" i="11"/>
  <c r="L28" i="11" s="1"/>
  <c r="N28" i="11" s="1"/>
  <c r="O28" i="11" s="1"/>
  <c r="E28" i="11"/>
  <c r="H28" i="11" s="1"/>
  <c r="D28" i="11"/>
  <c r="C28" i="11"/>
  <c r="I27" i="11"/>
  <c r="L27" i="11" s="1"/>
  <c r="N27" i="11" s="1"/>
  <c r="O27" i="11" s="1"/>
  <c r="E27" i="11"/>
  <c r="S27" i="11" s="1"/>
  <c r="D27" i="11"/>
  <c r="C27" i="11"/>
  <c r="I26" i="11"/>
  <c r="L26" i="11" s="1"/>
  <c r="N26" i="11" s="1"/>
  <c r="O26" i="11" s="1"/>
  <c r="E26" i="11"/>
  <c r="D26" i="11"/>
  <c r="C26" i="11"/>
  <c r="I25" i="11"/>
  <c r="L25" i="11" s="1"/>
  <c r="N25" i="11" s="1"/>
  <c r="O25" i="11" s="1"/>
  <c r="E25" i="11"/>
  <c r="S25" i="11" s="1"/>
  <c r="D25" i="11"/>
  <c r="C25" i="11"/>
  <c r="I24" i="11"/>
  <c r="L24" i="11" s="1"/>
  <c r="N24" i="11" s="1"/>
  <c r="O24" i="11" s="1"/>
  <c r="E24" i="11"/>
  <c r="D24" i="11"/>
  <c r="C24" i="11"/>
  <c r="I23" i="11"/>
  <c r="L23" i="11" s="1"/>
  <c r="N23" i="11" s="1"/>
  <c r="O23" i="11" s="1"/>
  <c r="E23" i="11"/>
  <c r="D23" i="11"/>
  <c r="C23" i="11"/>
  <c r="I22" i="11"/>
  <c r="L22" i="11" s="1"/>
  <c r="N22" i="11" s="1"/>
  <c r="O22" i="11" s="1"/>
  <c r="E22" i="11"/>
  <c r="S22" i="11" s="1"/>
  <c r="D22" i="11"/>
  <c r="C22" i="11"/>
  <c r="I21" i="11"/>
  <c r="L21" i="11" s="1"/>
  <c r="N21" i="11" s="1"/>
  <c r="O21" i="11" s="1"/>
  <c r="E21" i="11"/>
  <c r="S21" i="11" s="1"/>
  <c r="D21" i="11"/>
  <c r="C21" i="11"/>
  <c r="I20" i="11"/>
  <c r="L20" i="11" s="1"/>
  <c r="N20" i="11" s="1"/>
  <c r="O20" i="11" s="1"/>
  <c r="E20" i="11"/>
  <c r="H20" i="11" s="1"/>
  <c r="D20" i="11"/>
  <c r="C20" i="11"/>
  <c r="I19" i="11"/>
  <c r="L19" i="11" s="1"/>
  <c r="N19" i="11" s="1"/>
  <c r="O19" i="11" s="1"/>
  <c r="E19" i="11"/>
  <c r="D19" i="11"/>
  <c r="C19" i="11"/>
  <c r="I18" i="11"/>
  <c r="L18" i="11" s="1"/>
  <c r="N18" i="11" s="1"/>
  <c r="O18" i="11" s="1"/>
  <c r="E18" i="11"/>
  <c r="S18" i="11" s="1"/>
  <c r="D18" i="11"/>
  <c r="C18" i="11"/>
  <c r="L17" i="11"/>
  <c r="N17" i="11" s="1"/>
  <c r="O17" i="11" s="1"/>
  <c r="E17" i="11"/>
  <c r="S16" i="11"/>
  <c r="L16" i="11"/>
  <c r="N16" i="11" s="1"/>
  <c r="O16" i="11" s="1"/>
  <c r="K16" i="11"/>
  <c r="R16" i="11" s="1"/>
  <c r="H16" i="11"/>
  <c r="S15" i="11"/>
  <c r="L15" i="11"/>
  <c r="N15" i="11" s="1"/>
  <c r="O15" i="11" s="1"/>
  <c r="K15" i="11"/>
  <c r="R15" i="11" s="1"/>
  <c r="H15" i="11"/>
  <c r="S14" i="11"/>
  <c r="L14" i="11"/>
  <c r="N14" i="11" s="1"/>
  <c r="O14" i="11" s="1"/>
  <c r="K14" i="11"/>
  <c r="R14" i="11" s="1"/>
  <c r="H14" i="11"/>
  <c r="S13" i="11"/>
  <c r="L13" i="11"/>
  <c r="N13" i="11" s="1"/>
  <c r="O13" i="11" s="1"/>
  <c r="K13" i="11"/>
  <c r="R13" i="11" s="1"/>
  <c r="H13" i="11"/>
  <c r="S12" i="11"/>
  <c r="L12" i="11"/>
  <c r="N12" i="11" s="1"/>
  <c r="O12" i="11" s="1"/>
  <c r="K12" i="11"/>
  <c r="R12" i="11" s="1"/>
  <c r="H12" i="11"/>
  <c r="S11" i="11"/>
  <c r="P11" i="11"/>
  <c r="L11" i="11"/>
  <c r="N11" i="11" s="1"/>
  <c r="O11" i="11" s="1"/>
  <c r="K11" i="11"/>
  <c r="R11" i="11" s="1"/>
  <c r="H11" i="11"/>
  <c r="S10" i="11"/>
  <c r="P10" i="11"/>
  <c r="L10" i="11"/>
  <c r="N10" i="11" s="1"/>
  <c r="O10" i="11" s="1"/>
  <c r="K10" i="11"/>
  <c r="R10" i="11" s="1"/>
  <c r="H10" i="11"/>
  <c r="S9" i="11"/>
  <c r="P9" i="11"/>
  <c r="L9" i="11"/>
  <c r="N9" i="11" s="1"/>
  <c r="O9" i="11" s="1"/>
  <c r="K9" i="11"/>
  <c r="R9" i="11" s="1"/>
  <c r="H9" i="11"/>
  <c r="B9" i="1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S8" i="11"/>
  <c r="P8" i="11"/>
  <c r="L8" i="11"/>
  <c r="N8" i="11" s="1"/>
  <c r="O8" i="11" s="1"/>
  <c r="K8" i="11"/>
  <c r="R8" i="11" s="1"/>
  <c r="H8" i="11"/>
  <c r="S10" i="10"/>
  <c r="R10" i="10"/>
  <c r="Q10" i="10"/>
  <c r="K10" i="10"/>
  <c r="J10" i="10"/>
  <c r="H10" i="10"/>
  <c r="G6" i="9" s="1"/>
  <c r="G10" i="10"/>
  <c r="F10" i="10"/>
  <c r="E10" i="10"/>
  <c r="D6" i="9" s="1"/>
  <c r="I14" i="9"/>
  <c r="H14" i="9"/>
  <c r="E13" i="9"/>
  <c r="J11" i="9"/>
  <c r="D10" i="9"/>
  <c r="F9" i="9"/>
  <c r="E9" i="9"/>
  <c r="D9" i="9"/>
  <c r="L14" i="9"/>
  <c r="S17" i="11" l="1"/>
  <c r="E226" i="11"/>
  <c r="A1020" i="12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A1802" i="12" s="1"/>
  <c r="A1803" i="12" s="1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3" i="12" s="1"/>
  <c r="A1834" i="12" s="1"/>
  <c r="A1835" i="12" s="1"/>
  <c r="A1836" i="12" s="1"/>
  <c r="A1837" i="12" s="1"/>
  <c r="A1838" i="12" s="1"/>
  <c r="A1839" i="12" s="1"/>
  <c r="X150" i="12"/>
  <c r="X158" i="12"/>
  <c r="X166" i="12"/>
  <c r="X174" i="12"/>
  <c r="X256" i="12"/>
  <c r="X59" i="12"/>
  <c r="X67" i="12"/>
  <c r="X139" i="12"/>
  <c r="X147" i="12"/>
  <c r="X155" i="12"/>
  <c r="X163" i="12"/>
  <c r="X203" i="12"/>
  <c r="X219" i="12"/>
  <c r="X227" i="12"/>
  <c r="X237" i="12"/>
  <c r="X75" i="12"/>
  <c r="X83" i="12"/>
  <c r="X99" i="12"/>
  <c r="X107" i="12"/>
  <c r="X115" i="12"/>
  <c r="X123" i="12"/>
  <c r="X179" i="12"/>
  <c r="X11" i="12"/>
  <c r="X19" i="12"/>
  <c r="X24" i="12"/>
  <c r="X37" i="12"/>
  <c r="X45" i="12"/>
  <c r="X53" i="12"/>
  <c r="X61" i="12"/>
  <c r="X69" i="12"/>
  <c r="X85" i="12"/>
  <c r="X93" i="12"/>
  <c r="X101" i="12"/>
  <c r="X109" i="12"/>
  <c r="X117" i="12"/>
  <c r="X125" i="12"/>
  <c r="X133" i="12"/>
  <c r="X141" i="12"/>
  <c r="X149" i="12"/>
  <c r="X157" i="12"/>
  <c r="X165" i="12"/>
  <c r="X173" i="12"/>
  <c r="X181" i="12"/>
  <c r="X189" i="12"/>
  <c r="X197" i="12"/>
  <c r="X205" i="12"/>
  <c r="X213" i="12"/>
  <c r="X221" i="12"/>
  <c r="X229" i="12"/>
  <c r="X239" i="12"/>
  <c r="X66" i="12"/>
  <c r="X98" i="12"/>
  <c r="X106" i="12"/>
  <c r="X130" i="12"/>
  <c r="X186" i="12"/>
  <c r="X114" i="12"/>
  <c r="X122" i="12"/>
  <c r="X295" i="12"/>
  <c r="X297" i="12"/>
  <c r="X299" i="12"/>
  <c r="X301" i="12"/>
  <c r="X303" i="12"/>
  <c r="X305" i="12"/>
  <c r="X307" i="12"/>
  <c r="X309" i="12"/>
  <c r="X311" i="12"/>
  <c r="X321" i="12"/>
  <c r="X323" i="12"/>
  <c r="X325" i="12"/>
  <c r="X327" i="12"/>
  <c r="X329" i="12"/>
  <c r="X331" i="12"/>
  <c r="X339" i="12"/>
  <c r="X359" i="12"/>
  <c r="X361" i="12"/>
  <c r="X363" i="12"/>
  <c r="X371" i="12"/>
  <c r="X373" i="12"/>
  <c r="X431" i="12"/>
  <c r="X433" i="12"/>
  <c r="X471" i="12"/>
  <c r="T246" i="17"/>
  <c r="T258" i="17"/>
  <c r="U232" i="17"/>
  <c r="W232" i="17" s="1"/>
  <c r="T248" i="17"/>
  <c r="U248" i="17" s="1"/>
  <c r="T249" i="17"/>
  <c r="T242" i="17"/>
  <c r="U242" i="17" s="1"/>
  <c r="U237" i="17"/>
  <c r="W237" i="17" s="1"/>
  <c r="U239" i="17"/>
  <c r="W239" i="17" s="1"/>
  <c r="T251" i="17"/>
  <c r="U251" i="17" s="1"/>
  <c r="T257" i="17"/>
  <c r="N307" i="16"/>
  <c r="T307" i="16"/>
  <c r="V212" i="16"/>
  <c r="H334" i="16"/>
  <c r="D12" i="9" s="1"/>
  <c r="T302" i="16"/>
  <c r="N297" i="16"/>
  <c r="S297" i="16" s="1"/>
  <c r="N303" i="16"/>
  <c r="T303" i="16"/>
  <c r="T306" i="16"/>
  <c r="T305" i="16"/>
  <c r="N300" i="16"/>
  <c r="S300" i="16" s="1"/>
  <c r="N8" i="16"/>
  <c r="N301" i="16"/>
  <c r="S301" i="16"/>
  <c r="S273" i="16"/>
  <c r="S274" i="16"/>
  <c r="S292" i="16"/>
  <c r="U292" i="16" s="1"/>
  <c r="S234" i="16"/>
  <c r="S281" i="16"/>
  <c r="U281" i="16" s="1"/>
  <c r="N243" i="16"/>
  <c r="U243" i="16" s="1"/>
  <c r="S242" i="16"/>
  <c r="V313" i="14"/>
  <c r="K313" i="14"/>
  <c r="W213" i="14"/>
  <c r="W229" i="14"/>
  <c r="W231" i="14"/>
  <c r="W233" i="14"/>
  <c r="W237" i="14"/>
  <c r="W148" i="14"/>
  <c r="W137" i="14"/>
  <c r="W141" i="14"/>
  <c r="W143" i="14"/>
  <c r="W222" i="14"/>
  <c r="W224" i="14"/>
  <c r="W226" i="14"/>
  <c r="W230" i="14"/>
  <c r="W234" i="14"/>
  <c r="W236" i="14"/>
  <c r="W219" i="14"/>
  <c r="T243" i="14"/>
  <c r="U243" i="14" s="1"/>
  <c r="W138" i="14"/>
  <c r="T242" i="14"/>
  <c r="U242" i="14" s="1"/>
  <c r="U127" i="14"/>
  <c r="W127" i="14" s="1"/>
  <c r="W134" i="14"/>
  <c r="W136" i="14"/>
  <c r="W212" i="14"/>
  <c r="W227" i="14"/>
  <c r="W16" i="14"/>
  <c r="O10" i="9"/>
  <c r="K49" i="15"/>
  <c r="N49" i="15"/>
  <c r="U32" i="15"/>
  <c r="N229" i="15"/>
  <c r="O139" i="15"/>
  <c r="Q139" i="15" s="1"/>
  <c r="R139" i="15" s="1"/>
  <c r="U8" i="15"/>
  <c r="H229" i="15"/>
  <c r="D11" i="9" s="1"/>
  <c r="O11" i="9" s="1"/>
  <c r="Q8" i="15"/>
  <c r="T133" i="15"/>
  <c r="U133" i="15" s="1"/>
  <c r="T129" i="15"/>
  <c r="U129" i="15" s="1"/>
  <c r="T53" i="15"/>
  <c r="U53" i="15" s="1"/>
  <c r="U61" i="15"/>
  <c r="T118" i="15"/>
  <c r="U118" i="15" s="1"/>
  <c r="T120" i="15"/>
  <c r="U120" i="15" s="1"/>
  <c r="U52" i="15"/>
  <c r="T54" i="15"/>
  <c r="U54" i="15" s="1"/>
  <c r="T144" i="15"/>
  <c r="U144" i="15" s="1"/>
  <c r="T65" i="15"/>
  <c r="U65" i="15" s="1"/>
  <c r="T66" i="15"/>
  <c r="U66" i="15" s="1"/>
  <c r="U46" i="15"/>
  <c r="U50" i="15"/>
  <c r="T73" i="15"/>
  <c r="U73" i="15" s="1"/>
  <c r="T77" i="15"/>
  <c r="U77" i="15" s="1"/>
  <c r="T105" i="15"/>
  <c r="U105" i="15" s="1"/>
  <c r="T109" i="15"/>
  <c r="U109" i="15" s="1"/>
  <c r="T113" i="15"/>
  <c r="U113" i="15" s="1"/>
  <c r="U62" i="15"/>
  <c r="T137" i="15"/>
  <c r="U137" i="15" s="1"/>
  <c r="T160" i="15"/>
  <c r="U160" i="15" s="1"/>
  <c r="T141" i="15"/>
  <c r="U141" i="15" s="1"/>
  <c r="T145" i="15"/>
  <c r="U145" i="15" s="1"/>
  <c r="T147" i="15"/>
  <c r="U147" i="15" s="1"/>
  <c r="T151" i="15"/>
  <c r="U151" i="15" s="1"/>
  <c r="T153" i="15"/>
  <c r="U153" i="15" s="1"/>
  <c r="W22" i="13"/>
  <c r="E14" i="9"/>
  <c r="W10" i="13"/>
  <c r="W12" i="13"/>
  <c r="W23" i="13"/>
  <c r="M9" i="9"/>
  <c r="X247" i="12"/>
  <c r="X26" i="12"/>
  <c r="X31" i="12"/>
  <c r="X39" i="12"/>
  <c r="X47" i="12"/>
  <c r="X87" i="12"/>
  <c r="X95" i="12"/>
  <c r="X103" i="12"/>
  <c r="X111" i="12"/>
  <c r="X119" i="12"/>
  <c r="X127" i="12"/>
  <c r="X257" i="12"/>
  <c r="X182" i="12"/>
  <c r="X90" i="12"/>
  <c r="X194" i="12"/>
  <c r="X135" i="12"/>
  <c r="X175" i="12"/>
  <c r="X18" i="12"/>
  <c r="X36" i="12"/>
  <c r="X44" i="12"/>
  <c r="X76" i="12"/>
  <c r="X100" i="12"/>
  <c r="X108" i="12"/>
  <c r="X116" i="12"/>
  <c r="X124" i="12"/>
  <c r="X132" i="12"/>
  <c r="X140" i="12"/>
  <c r="X148" i="12"/>
  <c r="X156" i="12"/>
  <c r="X164" i="12"/>
  <c r="X172" i="12"/>
  <c r="X180" i="12"/>
  <c r="X188" i="12"/>
  <c r="X196" i="12"/>
  <c r="X204" i="12"/>
  <c r="X212" i="12"/>
  <c r="X220" i="12"/>
  <c r="X228" i="12"/>
  <c r="X238" i="12"/>
  <c r="X23" i="12"/>
  <c r="X84" i="12"/>
  <c r="X10" i="12"/>
  <c r="X52" i="12"/>
  <c r="X92" i="12"/>
  <c r="X222" i="12"/>
  <c r="X60" i="12"/>
  <c r="X68" i="12"/>
  <c r="X17" i="12"/>
  <c r="X22" i="12"/>
  <c r="X171" i="12"/>
  <c r="X253" i="12"/>
  <c r="X74" i="12"/>
  <c r="X82" i="12"/>
  <c r="X138" i="12"/>
  <c r="X154" i="12"/>
  <c r="X170" i="12"/>
  <c r="X202" i="12"/>
  <c r="X210" i="12"/>
  <c r="X218" i="12"/>
  <c r="X226" i="12"/>
  <c r="X236" i="12"/>
  <c r="X244" i="12"/>
  <c r="X252" i="12"/>
  <c r="X55" i="12"/>
  <c r="X71" i="12"/>
  <c r="X79" i="12"/>
  <c r="X143" i="12"/>
  <c r="X151" i="12"/>
  <c r="X183" i="12"/>
  <c r="X191" i="12"/>
  <c r="X199" i="12"/>
  <c r="X207" i="12"/>
  <c r="X215" i="12"/>
  <c r="X223" i="12"/>
  <c r="X233" i="12"/>
  <c r="X241" i="12"/>
  <c r="X249" i="12"/>
  <c r="X246" i="12"/>
  <c r="X254" i="12"/>
  <c r="X813" i="12"/>
  <c r="X815" i="12"/>
  <c r="X817" i="12"/>
  <c r="X825" i="12"/>
  <c r="X827" i="12"/>
  <c r="X829" i="12"/>
  <c r="X849" i="12"/>
  <c r="X851" i="12"/>
  <c r="X853" i="12"/>
  <c r="X875" i="12"/>
  <c r="X877" i="12"/>
  <c r="X259" i="12"/>
  <c r="X113" i="12"/>
  <c r="X169" i="12"/>
  <c r="X193" i="12"/>
  <c r="X235" i="12"/>
  <c r="X243" i="12"/>
  <c r="X110" i="12"/>
  <c r="X121" i="12"/>
  <c r="X137" i="12"/>
  <c r="X153" i="12"/>
  <c r="X201" i="12"/>
  <c r="X217" i="12"/>
  <c r="X35" i="12"/>
  <c r="X43" i="12"/>
  <c r="X91" i="12"/>
  <c r="X131" i="12"/>
  <c r="X245" i="12"/>
  <c r="X81" i="12"/>
  <c r="X129" i="12"/>
  <c r="X814" i="12"/>
  <c r="X816" i="12"/>
  <c r="X818" i="12"/>
  <c r="X824" i="12"/>
  <c r="X826" i="12"/>
  <c r="X828" i="12"/>
  <c r="X848" i="12"/>
  <c r="X850" i="12"/>
  <c r="X876" i="12"/>
  <c r="X878" i="12"/>
  <c r="X57" i="12"/>
  <c r="X65" i="12"/>
  <c r="X73" i="12"/>
  <c r="X89" i="12"/>
  <c r="X97" i="12"/>
  <c r="X105" i="12"/>
  <c r="X145" i="12"/>
  <c r="X161" i="12"/>
  <c r="X177" i="12"/>
  <c r="X185" i="12"/>
  <c r="X209" i="12"/>
  <c r="X225" i="12"/>
  <c r="X251" i="12"/>
  <c r="X33" i="12"/>
  <c r="K20" i="12"/>
  <c r="N20" i="12" s="1"/>
  <c r="V20" i="12" s="1"/>
  <c r="H1840" i="12"/>
  <c r="X70" i="12"/>
  <c r="X118" i="12"/>
  <c r="X134" i="12"/>
  <c r="X263" i="12"/>
  <c r="X265" i="12"/>
  <c r="X273" i="12"/>
  <c r="X275" i="12"/>
  <c r="X277" i="12"/>
  <c r="X279" i="12"/>
  <c r="X281" i="12"/>
  <c r="X283" i="12"/>
  <c r="X287" i="12"/>
  <c r="X289" i="12"/>
  <c r="X15" i="12"/>
  <c r="X28" i="12"/>
  <c r="X41" i="12"/>
  <c r="X51" i="12"/>
  <c r="X187" i="12"/>
  <c r="X195" i="12"/>
  <c r="X211" i="12"/>
  <c r="X49" i="12"/>
  <c r="X14" i="12"/>
  <c r="X27" i="12"/>
  <c r="X32" i="12"/>
  <c r="X40" i="12"/>
  <c r="X48" i="12"/>
  <c r="X56" i="12"/>
  <c r="X64" i="12"/>
  <c r="X72" i="12"/>
  <c r="X80" i="12"/>
  <c r="X88" i="12"/>
  <c r="X96" i="12"/>
  <c r="X104" i="12"/>
  <c r="X112" i="12"/>
  <c r="X120" i="12"/>
  <c r="X128" i="12"/>
  <c r="X136" i="12"/>
  <c r="X144" i="12"/>
  <c r="X152" i="12"/>
  <c r="X160" i="12"/>
  <c r="X168" i="12"/>
  <c r="X176" i="12"/>
  <c r="X184" i="12"/>
  <c r="X192" i="12"/>
  <c r="X200" i="12"/>
  <c r="X208" i="12"/>
  <c r="X216" i="12"/>
  <c r="X224" i="12"/>
  <c r="X234" i="12"/>
  <c r="X242" i="12"/>
  <c r="X250" i="12"/>
  <c r="X258" i="12"/>
  <c r="X77" i="12"/>
  <c r="X255" i="12"/>
  <c r="X16" i="12"/>
  <c r="X21" i="12"/>
  <c r="X29" i="12"/>
  <c r="X34" i="12"/>
  <c r="X42" i="12"/>
  <c r="X50" i="12"/>
  <c r="X58" i="12"/>
  <c r="X146" i="12"/>
  <c r="X162" i="12"/>
  <c r="X178" i="12"/>
  <c r="X262" i="12"/>
  <c r="X264" i="12"/>
  <c r="X272" i="12"/>
  <c r="X274" i="12"/>
  <c r="X276" i="12"/>
  <c r="X278" i="12"/>
  <c r="X280" i="12"/>
  <c r="X282" i="12"/>
  <c r="X13" i="12"/>
  <c r="X159" i="12"/>
  <c r="X167" i="12"/>
  <c r="O1050" i="12"/>
  <c r="Q1050" i="12" s="1"/>
  <c r="R1050" i="12" s="1"/>
  <c r="S1050" i="12" s="1"/>
  <c r="O1078" i="12"/>
  <c r="Q1078" i="12" s="1"/>
  <c r="R1078" i="12" s="1"/>
  <c r="S1078" i="12" s="1"/>
  <c r="O1122" i="12"/>
  <c r="Q1122" i="12" s="1"/>
  <c r="R1122" i="12" s="1"/>
  <c r="S1122" i="12" s="1"/>
  <c r="O1017" i="12"/>
  <c r="Q1017" i="12" s="1"/>
  <c r="R1017" i="12" s="1"/>
  <c r="S1017" i="12" s="1"/>
  <c r="O1019" i="12"/>
  <c r="Q1019" i="12" s="1"/>
  <c r="R1019" i="12" s="1"/>
  <c r="S1019" i="12" s="1"/>
  <c r="O1020" i="12"/>
  <c r="Q1020" i="12" s="1"/>
  <c r="R1020" i="12" s="1"/>
  <c r="S1020" i="12" s="1"/>
  <c r="O1037" i="12"/>
  <c r="Q1037" i="12" s="1"/>
  <c r="R1037" i="12" s="1"/>
  <c r="S1037" i="12" s="1"/>
  <c r="O1039" i="12"/>
  <c r="Q1039" i="12" s="1"/>
  <c r="R1039" i="12" s="1"/>
  <c r="S1039" i="12" s="1"/>
  <c r="O1041" i="12"/>
  <c r="Q1041" i="12" s="1"/>
  <c r="R1041" i="12" s="1"/>
  <c r="S1041" i="12" s="1"/>
  <c r="O1043" i="12"/>
  <c r="Q1043" i="12" s="1"/>
  <c r="R1043" i="12" s="1"/>
  <c r="S1043" i="12" s="1"/>
  <c r="O1045" i="12"/>
  <c r="Q1045" i="12" s="1"/>
  <c r="R1045" i="12" s="1"/>
  <c r="S1045" i="12" s="1"/>
  <c r="O1047" i="12"/>
  <c r="Q1047" i="12" s="1"/>
  <c r="R1047" i="12" s="1"/>
  <c r="S1047" i="12" s="1"/>
  <c r="O1049" i="12"/>
  <c r="Q1049" i="12" s="1"/>
  <c r="R1049" i="12" s="1"/>
  <c r="S1049" i="12" s="1"/>
  <c r="O1051" i="12"/>
  <c r="Q1051" i="12" s="1"/>
  <c r="R1051" i="12" s="1"/>
  <c r="S1051" i="12" s="1"/>
  <c r="O1053" i="12"/>
  <c r="Q1053" i="12" s="1"/>
  <c r="R1053" i="12" s="1"/>
  <c r="S1053" i="12" s="1"/>
  <c r="O1055" i="12"/>
  <c r="Q1055" i="12" s="1"/>
  <c r="R1055" i="12" s="1"/>
  <c r="S1055" i="12" s="1"/>
  <c r="O1057" i="12"/>
  <c r="Q1057" i="12" s="1"/>
  <c r="R1057" i="12" s="1"/>
  <c r="S1057" i="12" s="1"/>
  <c r="O1059" i="12"/>
  <c r="Q1059" i="12" s="1"/>
  <c r="R1059" i="12" s="1"/>
  <c r="S1059" i="12" s="1"/>
  <c r="O1061" i="12"/>
  <c r="Q1061" i="12" s="1"/>
  <c r="R1061" i="12" s="1"/>
  <c r="S1061" i="12" s="1"/>
  <c r="O1063" i="12"/>
  <c r="Q1063" i="12" s="1"/>
  <c r="R1063" i="12" s="1"/>
  <c r="S1063" i="12" s="1"/>
  <c r="O1065" i="12"/>
  <c r="Q1065" i="12" s="1"/>
  <c r="R1065" i="12" s="1"/>
  <c r="S1065" i="12" s="1"/>
  <c r="O1067" i="12"/>
  <c r="Q1067" i="12" s="1"/>
  <c r="R1067" i="12" s="1"/>
  <c r="S1067" i="12" s="1"/>
  <c r="O1069" i="12"/>
  <c r="Q1069" i="12" s="1"/>
  <c r="R1069" i="12" s="1"/>
  <c r="S1069" i="12" s="1"/>
  <c r="O1071" i="12"/>
  <c r="Q1071" i="12" s="1"/>
  <c r="R1071" i="12" s="1"/>
  <c r="S1071" i="12" s="1"/>
  <c r="O1073" i="12"/>
  <c r="Q1073" i="12" s="1"/>
  <c r="R1073" i="12" s="1"/>
  <c r="S1073" i="12" s="1"/>
  <c r="O1075" i="12"/>
  <c r="Q1075" i="12" s="1"/>
  <c r="R1075" i="12" s="1"/>
  <c r="S1075" i="12" s="1"/>
  <c r="O1077" i="12"/>
  <c r="Q1077" i="12" s="1"/>
  <c r="R1077" i="12" s="1"/>
  <c r="S1077" i="12" s="1"/>
  <c r="O1079" i="12"/>
  <c r="Q1079" i="12" s="1"/>
  <c r="R1079" i="12" s="1"/>
  <c r="S1079" i="12" s="1"/>
  <c r="O1081" i="12"/>
  <c r="Q1081" i="12" s="1"/>
  <c r="R1081" i="12" s="1"/>
  <c r="S1081" i="12" s="1"/>
  <c r="O1083" i="12"/>
  <c r="Q1083" i="12" s="1"/>
  <c r="R1083" i="12" s="1"/>
  <c r="S1083" i="12" s="1"/>
  <c r="O1085" i="12"/>
  <c r="Q1085" i="12" s="1"/>
  <c r="R1085" i="12" s="1"/>
  <c r="S1085" i="12" s="1"/>
  <c r="O1087" i="12"/>
  <c r="Q1087" i="12" s="1"/>
  <c r="R1087" i="12" s="1"/>
  <c r="S1087" i="12" s="1"/>
  <c r="O1089" i="12"/>
  <c r="Q1089" i="12" s="1"/>
  <c r="R1089" i="12" s="1"/>
  <c r="S1089" i="12" s="1"/>
  <c r="O1091" i="12"/>
  <c r="Q1091" i="12" s="1"/>
  <c r="R1091" i="12" s="1"/>
  <c r="S1091" i="12" s="1"/>
  <c r="O1093" i="12"/>
  <c r="Q1093" i="12" s="1"/>
  <c r="R1093" i="12" s="1"/>
  <c r="S1093" i="12" s="1"/>
  <c r="O1095" i="12"/>
  <c r="Q1095" i="12" s="1"/>
  <c r="R1095" i="12" s="1"/>
  <c r="S1095" i="12" s="1"/>
  <c r="O1097" i="12"/>
  <c r="Q1097" i="12" s="1"/>
  <c r="R1097" i="12" s="1"/>
  <c r="S1097" i="12" s="1"/>
  <c r="O1099" i="12"/>
  <c r="Q1099" i="12" s="1"/>
  <c r="R1099" i="12" s="1"/>
  <c r="S1099" i="12" s="1"/>
  <c r="O1101" i="12"/>
  <c r="Q1101" i="12" s="1"/>
  <c r="R1101" i="12" s="1"/>
  <c r="S1101" i="12" s="1"/>
  <c r="O1103" i="12"/>
  <c r="Q1103" i="12" s="1"/>
  <c r="R1103" i="12" s="1"/>
  <c r="S1103" i="12" s="1"/>
  <c r="O1105" i="12"/>
  <c r="Q1105" i="12" s="1"/>
  <c r="R1105" i="12" s="1"/>
  <c r="S1105" i="12" s="1"/>
  <c r="O1107" i="12"/>
  <c r="Q1107" i="12" s="1"/>
  <c r="R1107" i="12" s="1"/>
  <c r="S1107" i="12" s="1"/>
  <c r="O1109" i="12"/>
  <c r="Q1109" i="12" s="1"/>
  <c r="R1109" i="12" s="1"/>
  <c r="S1109" i="12" s="1"/>
  <c r="O1111" i="12"/>
  <c r="Q1111" i="12" s="1"/>
  <c r="R1111" i="12" s="1"/>
  <c r="S1111" i="12" s="1"/>
  <c r="O1113" i="12"/>
  <c r="Q1113" i="12" s="1"/>
  <c r="R1113" i="12" s="1"/>
  <c r="S1113" i="12" s="1"/>
  <c r="O1115" i="12"/>
  <c r="Q1115" i="12" s="1"/>
  <c r="R1115" i="12" s="1"/>
  <c r="S1115" i="12" s="1"/>
  <c r="O1117" i="12"/>
  <c r="Q1117" i="12" s="1"/>
  <c r="R1117" i="12" s="1"/>
  <c r="S1117" i="12" s="1"/>
  <c r="O1119" i="12"/>
  <c r="Q1119" i="12" s="1"/>
  <c r="R1119" i="12" s="1"/>
  <c r="S1119" i="12" s="1"/>
  <c r="O1121" i="12"/>
  <c r="Q1121" i="12" s="1"/>
  <c r="R1121" i="12" s="1"/>
  <c r="S1121" i="12" s="1"/>
  <c r="O1123" i="12"/>
  <c r="Q1123" i="12" s="1"/>
  <c r="R1123" i="12" s="1"/>
  <c r="S1123" i="12" s="1"/>
  <c r="O1125" i="12"/>
  <c r="Q1125" i="12" s="1"/>
  <c r="R1125" i="12" s="1"/>
  <c r="S1125" i="12" s="1"/>
  <c r="O1127" i="12"/>
  <c r="Q1127" i="12" s="1"/>
  <c r="R1127" i="12" s="1"/>
  <c r="S1127" i="12" s="1"/>
  <c r="O1129" i="12"/>
  <c r="Q1129" i="12" s="1"/>
  <c r="R1129" i="12" s="1"/>
  <c r="S1129" i="12" s="1"/>
  <c r="O1131" i="12"/>
  <c r="Q1131" i="12" s="1"/>
  <c r="R1131" i="12" s="1"/>
  <c r="S1131" i="12" s="1"/>
  <c r="O1133" i="12"/>
  <c r="Q1133" i="12" s="1"/>
  <c r="R1133" i="12" s="1"/>
  <c r="S1133" i="12" s="1"/>
  <c r="O1135" i="12"/>
  <c r="Q1135" i="12" s="1"/>
  <c r="R1135" i="12" s="1"/>
  <c r="S1135" i="12" s="1"/>
  <c r="O1137" i="12"/>
  <c r="Q1137" i="12" s="1"/>
  <c r="R1137" i="12" s="1"/>
  <c r="S1137" i="12" s="1"/>
  <c r="O1139" i="12"/>
  <c r="Q1139" i="12" s="1"/>
  <c r="R1139" i="12" s="1"/>
  <c r="S1139" i="12" s="1"/>
  <c r="O1141" i="12"/>
  <c r="Q1141" i="12" s="1"/>
  <c r="R1141" i="12" s="1"/>
  <c r="S1141" i="12" s="1"/>
  <c r="O1143" i="12"/>
  <c r="Q1143" i="12" s="1"/>
  <c r="R1143" i="12" s="1"/>
  <c r="S1143" i="12" s="1"/>
  <c r="O1145" i="12"/>
  <c r="Q1145" i="12" s="1"/>
  <c r="R1145" i="12" s="1"/>
  <c r="S1145" i="12" s="1"/>
  <c r="O1147" i="12"/>
  <c r="Q1147" i="12" s="1"/>
  <c r="R1147" i="12" s="1"/>
  <c r="S1147" i="12" s="1"/>
  <c r="O1149" i="12"/>
  <c r="Q1149" i="12" s="1"/>
  <c r="R1149" i="12" s="1"/>
  <c r="S1149" i="12" s="1"/>
  <c r="O1151" i="12"/>
  <c r="Q1151" i="12" s="1"/>
  <c r="R1151" i="12" s="1"/>
  <c r="S1151" i="12" s="1"/>
  <c r="O1153" i="12"/>
  <c r="Q1153" i="12" s="1"/>
  <c r="R1153" i="12" s="1"/>
  <c r="S1153" i="12" s="1"/>
  <c r="O1155" i="12"/>
  <c r="Q1155" i="12" s="1"/>
  <c r="R1155" i="12" s="1"/>
  <c r="S1155" i="12" s="1"/>
  <c r="O1157" i="12"/>
  <c r="Q1157" i="12" s="1"/>
  <c r="R1157" i="12" s="1"/>
  <c r="S1157" i="12" s="1"/>
  <c r="O1159" i="12"/>
  <c r="Q1159" i="12" s="1"/>
  <c r="R1159" i="12" s="1"/>
  <c r="S1159" i="12" s="1"/>
  <c r="O1161" i="12"/>
  <c r="Q1161" i="12" s="1"/>
  <c r="R1161" i="12" s="1"/>
  <c r="S1161" i="12" s="1"/>
  <c r="O1163" i="12"/>
  <c r="Q1163" i="12" s="1"/>
  <c r="R1163" i="12" s="1"/>
  <c r="S1163" i="12" s="1"/>
  <c r="O1165" i="12"/>
  <c r="Q1165" i="12" s="1"/>
  <c r="R1165" i="12" s="1"/>
  <c r="S1165" i="12" s="1"/>
  <c r="O1016" i="12"/>
  <c r="Q1016" i="12" s="1"/>
  <c r="R1016" i="12" s="1"/>
  <c r="S1016" i="12" s="1"/>
  <c r="O1042" i="12"/>
  <c r="Q1042" i="12" s="1"/>
  <c r="R1042" i="12" s="1"/>
  <c r="S1042" i="12" s="1"/>
  <c r="O1058" i="12"/>
  <c r="Q1058" i="12" s="1"/>
  <c r="R1058" i="12" s="1"/>
  <c r="S1058" i="12" s="1"/>
  <c r="O1070" i="12"/>
  <c r="Q1070" i="12" s="1"/>
  <c r="R1070" i="12" s="1"/>
  <c r="S1070" i="12" s="1"/>
  <c r="O1084" i="12"/>
  <c r="Q1084" i="12" s="1"/>
  <c r="R1084" i="12" s="1"/>
  <c r="S1084" i="12" s="1"/>
  <c r="O1092" i="12"/>
  <c r="Q1092" i="12" s="1"/>
  <c r="R1092" i="12" s="1"/>
  <c r="S1092" i="12" s="1"/>
  <c r="O1104" i="12"/>
  <c r="Q1104" i="12" s="1"/>
  <c r="R1104" i="12" s="1"/>
  <c r="S1104" i="12" s="1"/>
  <c r="O1118" i="12"/>
  <c r="Q1118" i="12" s="1"/>
  <c r="R1118" i="12" s="1"/>
  <c r="S1118" i="12" s="1"/>
  <c r="O1136" i="12"/>
  <c r="Q1136" i="12" s="1"/>
  <c r="R1136" i="12" s="1"/>
  <c r="S1136" i="12" s="1"/>
  <c r="O1158" i="12"/>
  <c r="Q1158" i="12" s="1"/>
  <c r="R1158" i="12" s="1"/>
  <c r="S1158" i="12" s="1"/>
  <c r="O1018" i="12"/>
  <c r="Q1018" i="12" s="1"/>
  <c r="R1018" i="12" s="1"/>
  <c r="S1018" i="12" s="1"/>
  <c r="O1036" i="12"/>
  <c r="Q1036" i="12" s="1"/>
  <c r="R1036" i="12" s="1"/>
  <c r="S1036" i="12" s="1"/>
  <c r="O1040" i="12"/>
  <c r="Q1040" i="12" s="1"/>
  <c r="R1040" i="12" s="1"/>
  <c r="S1040" i="12" s="1"/>
  <c r="O1048" i="12"/>
  <c r="Q1048" i="12" s="1"/>
  <c r="R1048" i="12" s="1"/>
  <c r="S1048" i="12" s="1"/>
  <c r="O1054" i="12"/>
  <c r="Q1054" i="12" s="1"/>
  <c r="R1054" i="12" s="1"/>
  <c r="S1054" i="12" s="1"/>
  <c r="O1062" i="12"/>
  <c r="Q1062" i="12" s="1"/>
  <c r="R1062" i="12" s="1"/>
  <c r="S1062" i="12" s="1"/>
  <c r="O1066" i="12"/>
  <c r="Q1066" i="12" s="1"/>
  <c r="R1066" i="12" s="1"/>
  <c r="S1066" i="12" s="1"/>
  <c r="O1072" i="12"/>
  <c r="Q1072" i="12" s="1"/>
  <c r="R1072" i="12" s="1"/>
  <c r="S1072" i="12" s="1"/>
  <c r="O1080" i="12"/>
  <c r="Q1080" i="12" s="1"/>
  <c r="R1080" i="12" s="1"/>
  <c r="S1080" i="12" s="1"/>
  <c r="O1088" i="12"/>
  <c r="Q1088" i="12" s="1"/>
  <c r="R1088" i="12" s="1"/>
  <c r="S1088" i="12" s="1"/>
  <c r="O1094" i="12"/>
  <c r="Q1094" i="12" s="1"/>
  <c r="R1094" i="12" s="1"/>
  <c r="S1094" i="12" s="1"/>
  <c r="O1100" i="12"/>
  <c r="Q1100" i="12" s="1"/>
  <c r="R1100" i="12" s="1"/>
  <c r="S1100" i="12" s="1"/>
  <c r="O1108" i="12"/>
  <c r="Q1108" i="12" s="1"/>
  <c r="R1108" i="12" s="1"/>
  <c r="S1108" i="12" s="1"/>
  <c r="O1112" i="12"/>
  <c r="Q1112" i="12" s="1"/>
  <c r="R1112" i="12" s="1"/>
  <c r="S1112" i="12" s="1"/>
  <c r="O1116" i="12"/>
  <c r="Q1116" i="12" s="1"/>
  <c r="R1116" i="12" s="1"/>
  <c r="S1116" i="12" s="1"/>
  <c r="O1124" i="12"/>
  <c r="Q1124" i="12" s="1"/>
  <c r="R1124" i="12" s="1"/>
  <c r="S1124" i="12" s="1"/>
  <c r="O1128" i="12"/>
  <c r="Q1128" i="12" s="1"/>
  <c r="R1128" i="12" s="1"/>
  <c r="S1128" i="12" s="1"/>
  <c r="O1134" i="12"/>
  <c r="Q1134" i="12" s="1"/>
  <c r="R1134" i="12" s="1"/>
  <c r="S1134" i="12" s="1"/>
  <c r="O1142" i="12"/>
  <c r="Q1142" i="12" s="1"/>
  <c r="R1142" i="12" s="1"/>
  <c r="S1142" i="12" s="1"/>
  <c r="O1144" i="12"/>
  <c r="Q1144" i="12" s="1"/>
  <c r="R1144" i="12" s="1"/>
  <c r="S1144" i="12" s="1"/>
  <c r="O1156" i="12"/>
  <c r="Q1156" i="12" s="1"/>
  <c r="R1156" i="12" s="1"/>
  <c r="S1156" i="12" s="1"/>
  <c r="O1164" i="12"/>
  <c r="Q1164" i="12" s="1"/>
  <c r="R1164" i="12" s="1"/>
  <c r="S1164" i="12" s="1"/>
  <c r="O1022" i="12"/>
  <c r="Q1022" i="12" s="1"/>
  <c r="R1022" i="12" s="1"/>
  <c r="S1022" i="12" s="1"/>
  <c r="O1024" i="12"/>
  <c r="Q1024" i="12" s="1"/>
  <c r="R1024" i="12" s="1"/>
  <c r="S1024" i="12" s="1"/>
  <c r="O1026" i="12"/>
  <c r="Q1026" i="12" s="1"/>
  <c r="R1026" i="12" s="1"/>
  <c r="S1026" i="12" s="1"/>
  <c r="O1028" i="12"/>
  <c r="Q1028" i="12" s="1"/>
  <c r="R1028" i="12" s="1"/>
  <c r="S1028" i="12" s="1"/>
  <c r="O1030" i="12"/>
  <c r="Q1030" i="12" s="1"/>
  <c r="R1030" i="12" s="1"/>
  <c r="S1030" i="12" s="1"/>
  <c r="O1032" i="12"/>
  <c r="Q1032" i="12" s="1"/>
  <c r="R1032" i="12" s="1"/>
  <c r="S1032" i="12" s="1"/>
  <c r="O1034" i="12"/>
  <c r="Q1034" i="12" s="1"/>
  <c r="R1034" i="12" s="1"/>
  <c r="S1034" i="12" s="1"/>
  <c r="O1044" i="12"/>
  <c r="Q1044" i="12" s="1"/>
  <c r="R1044" i="12" s="1"/>
  <c r="S1044" i="12" s="1"/>
  <c r="O1056" i="12"/>
  <c r="Q1056" i="12" s="1"/>
  <c r="R1056" i="12" s="1"/>
  <c r="S1056" i="12" s="1"/>
  <c r="O1064" i="12"/>
  <c r="Q1064" i="12" s="1"/>
  <c r="R1064" i="12" s="1"/>
  <c r="S1064" i="12" s="1"/>
  <c r="O1074" i="12"/>
  <c r="Q1074" i="12" s="1"/>
  <c r="R1074" i="12" s="1"/>
  <c r="S1074" i="12" s="1"/>
  <c r="O1086" i="12"/>
  <c r="Q1086" i="12" s="1"/>
  <c r="R1086" i="12" s="1"/>
  <c r="S1086" i="12" s="1"/>
  <c r="O1096" i="12"/>
  <c r="Q1096" i="12" s="1"/>
  <c r="R1096" i="12" s="1"/>
  <c r="S1096" i="12" s="1"/>
  <c r="O1106" i="12"/>
  <c r="Q1106" i="12" s="1"/>
  <c r="R1106" i="12" s="1"/>
  <c r="S1106" i="12" s="1"/>
  <c r="O1120" i="12"/>
  <c r="Q1120" i="12" s="1"/>
  <c r="R1120" i="12" s="1"/>
  <c r="S1120" i="12" s="1"/>
  <c r="O1130" i="12"/>
  <c r="Q1130" i="12" s="1"/>
  <c r="R1130" i="12" s="1"/>
  <c r="S1130" i="12" s="1"/>
  <c r="O1140" i="12"/>
  <c r="Q1140" i="12" s="1"/>
  <c r="R1140" i="12" s="1"/>
  <c r="S1140" i="12" s="1"/>
  <c r="O1146" i="12"/>
  <c r="Q1146" i="12" s="1"/>
  <c r="R1146" i="12" s="1"/>
  <c r="S1146" i="12" s="1"/>
  <c r="O1152" i="12"/>
  <c r="Q1152" i="12" s="1"/>
  <c r="R1152" i="12" s="1"/>
  <c r="S1152" i="12" s="1"/>
  <c r="O1160" i="12"/>
  <c r="Q1160" i="12" s="1"/>
  <c r="R1160" i="12" s="1"/>
  <c r="S1160" i="12" s="1"/>
  <c r="O1150" i="12"/>
  <c r="Q1150" i="12" s="1"/>
  <c r="R1150" i="12" s="1"/>
  <c r="S1150" i="12" s="1"/>
  <c r="O1038" i="12"/>
  <c r="Q1038" i="12" s="1"/>
  <c r="R1038" i="12" s="1"/>
  <c r="S1038" i="12" s="1"/>
  <c r="O1046" i="12"/>
  <c r="Q1046" i="12" s="1"/>
  <c r="R1046" i="12" s="1"/>
  <c r="S1046" i="12" s="1"/>
  <c r="O1052" i="12"/>
  <c r="Q1052" i="12" s="1"/>
  <c r="R1052" i="12" s="1"/>
  <c r="S1052" i="12" s="1"/>
  <c r="O1060" i="12"/>
  <c r="Q1060" i="12" s="1"/>
  <c r="R1060" i="12" s="1"/>
  <c r="S1060" i="12" s="1"/>
  <c r="O1068" i="12"/>
  <c r="Q1068" i="12" s="1"/>
  <c r="R1068" i="12" s="1"/>
  <c r="S1068" i="12" s="1"/>
  <c r="O1076" i="12"/>
  <c r="Q1076" i="12" s="1"/>
  <c r="R1076" i="12" s="1"/>
  <c r="S1076" i="12" s="1"/>
  <c r="O1082" i="12"/>
  <c r="Q1082" i="12" s="1"/>
  <c r="R1082" i="12" s="1"/>
  <c r="S1082" i="12" s="1"/>
  <c r="O1090" i="12"/>
  <c r="Q1090" i="12" s="1"/>
  <c r="R1090" i="12" s="1"/>
  <c r="S1090" i="12" s="1"/>
  <c r="O1098" i="12"/>
  <c r="Q1098" i="12" s="1"/>
  <c r="R1098" i="12" s="1"/>
  <c r="S1098" i="12" s="1"/>
  <c r="O1102" i="12"/>
  <c r="Q1102" i="12" s="1"/>
  <c r="R1102" i="12" s="1"/>
  <c r="S1102" i="12" s="1"/>
  <c r="O1110" i="12"/>
  <c r="Q1110" i="12" s="1"/>
  <c r="R1110" i="12" s="1"/>
  <c r="S1110" i="12" s="1"/>
  <c r="O1114" i="12"/>
  <c r="Q1114" i="12" s="1"/>
  <c r="R1114" i="12" s="1"/>
  <c r="S1114" i="12" s="1"/>
  <c r="O1126" i="12"/>
  <c r="Q1126" i="12" s="1"/>
  <c r="R1126" i="12" s="1"/>
  <c r="S1126" i="12" s="1"/>
  <c r="O1132" i="12"/>
  <c r="Q1132" i="12" s="1"/>
  <c r="R1132" i="12" s="1"/>
  <c r="S1132" i="12" s="1"/>
  <c r="O1138" i="12"/>
  <c r="Q1138" i="12" s="1"/>
  <c r="R1138" i="12" s="1"/>
  <c r="S1138" i="12" s="1"/>
  <c r="O1148" i="12"/>
  <c r="Q1148" i="12" s="1"/>
  <c r="R1148" i="12" s="1"/>
  <c r="S1148" i="12" s="1"/>
  <c r="O1154" i="12"/>
  <c r="Q1154" i="12" s="1"/>
  <c r="R1154" i="12" s="1"/>
  <c r="S1154" i="12" s="1"/>
  <c r="O1162" i="12"/>
  <c r="Q1162" i="12" s="1"/>
  <c r="R1162" i="12" s="1"/>
  <c r="S1162" i="12" s="1"/>
  <c r="O1021" i="12"/>
  <c r="Q1021" i="12" s="1"/>
  <c r="R1021" i="12" s="1"/>
  <c r="S1021" i="12" s="1"/>
  <c r="O1023" i="12"/>
  <c r="Q1023" i="12" s="1"/>
  <c r="R1023" i="12" s="1"/>
  <c r="S1023" i="12" s="1"/>
  <c r="O1025" i="12"/>
  <c r="Q1025" i="12" s="1"/>
  <c r="R1025" i="12" s="1"/>
  <c r="S1025" i="12" s="1"/>
  <c r="O1027" i="12"/>
  <c r="Q1027" i="12" s="1"/>
  <c r="R1027" i="12" s="1"/>
  <c r="S1027" i="12" s="1"/>
  <c r="O1029" i="12"/>
  <c r="Q1029" i="12" s="1"/>
  <c r="R1029" i="12" s="1"/>
  <c r="S1029" i="12" s="1"/>
  <c r="O1031" i="12"/>
  <c r="Q1031" i="12" s="1"/>
  <c r="R1031" i="12" s="1"/>
  <c r="S1031" i="12" s="1"/>
  <c r="O1033" i="12"/>
  <c r="Q1033" i="12" s="1"/>
  <c r="R1033" i="12" s="1"/>
  <c r="S1033" i="12" s="1"/>
  <c r="U1121" i="12"/>
  <c r="V1121" i="12" s="1"/>
  <c r="X1121" i="12" s="1"/>
  <c r="U353" i="12"/>
  <c r="U414" i="12"/>
  <c r="U478" i="12"/>
  <c r="U335" i="12"/>
  <c r="V335" i="12" s="1"/>
  <c r="X335" i="12" s="1"/>
  <c r="U345" i="12"/>
  <c r="V345" i="12" s="1"/>
  <c r="X345" i="12" s="1"/>
  <c r="U763" i="12"/>
  <c r="U525" i="12"/>
  <c r="V525" i="12" s="1"/>
  <c r="X525" i="12" s="1"/>
  <c r="U651" i="12"/>
  <c r="V651" i="12" s="1"/>
  <c r="X651" i="12" s="1"/>
  <c r="U689" i="12"/>
  <c r="V689" i="12" s="1"/>
  <c r="X689" i="12" s="1"/>
  <c r="U940" i="12"/>
  <c r="U852" i="12"/>
  <c r="U1092" i="12"/>
  <c r="U1096" i="12"/>
  <c r="U1129" i="12"/>
  <c r="V1129" i="12" s="1"/>
  <c r="X1129" i="12" s="1"/>
  <c r="U1165" i="12"/>
  <c r="V1165" i="12" s="1"/>
  <c r="X1165" i="12" s="1"/>
  <c r="U800" i="12"/>
  <c r="V800" i="12" s="1"/>
  <c r="X800" i="12" s="1"/>
  <c r="U586" i="12"/>
  <c r="V586" i="12" s="1"/>
  <c r="X586" i="12" s="1"/>
  <c r="U594" i="12"/>
  <c r="V594" i="12" s="1"/>
  <c r="X594" i="12" s="1"/>
  <c r="U473" i="12"/>
  <c r="U766" i="12"/>
  <c r="U774" i="12"/>
  <c r="U780" i="12"/>
  <c r="U793" i="12"/>
  <c r="N1092" i="12"/>
  <c r="U1157" i="12"/>
  <c r="V1157" i="12" s="1"/>
  <c r="X1157" i="12" s="1"/>
  <c r="U410" i="12"/>
  <c r="V410" i="12" s="1"/>
  <c r="X410" i="12" s="1"/>
  <c r="U640" i="12"/>
  <c r="V640" i="12" s="1"/>
  <c r="X640" i="12" s="1"/>
  <c r="U801" i="12"/>
  <c r="U837" i="12"/>
  <c r="U1015" i="12"/>
  <c r="U566" i="12"/>
  <c r="V566" i="12" s="1"/>
  <c r="X566" i="12" s="1"/>
  <c r="U547" i="12"/>
  <c r="U549" i="12"/>
  <c r="U677" i="12"/>
  <c r="U685" i="12"/>
  <c r="U1021" i="12"/>
  <c r="V1021" i="12" s="1"/>
  <c r="X1021" i="12" s="1"/>
  <c r="U514" i="12"/>
  <c r="U516" i="12"/>
  <c r="U806" i="12"/>
  <c r="U992" i="12"/>
  <c r="U1043" i="12"/>
  <c r="U1051" i="12"/>
  <c r="U442" i="12"/>
  <c r="U762" i="12"/>
  <c r="V762" i="12" s="1"/>
  <c r="X762" i="12" s="1"/>
  <c r="U921" i="12"/>
  <c r="V921" i="12" s="1"/>
  <c r="X921" i="12" s="1"/>
  <c r="U1054" i="12"/>
  <c r="U1115" i="12"/>
  <c r="U409" i="12"/>
  <c r="U490" i="12"/>
  <c r="U503" i="12"/>
  <c r="V503" i="12" s="1"/>
  <c r="X503" i="12" s="1"/>
  <c r="U597" i="12"/>
  <c r="U886" i="12"/>
  <c r="V886" i="12" s="1"/>
  <c r="X886" i="12" s="1"/>
  <c r="U935" i="12"/>
  <c r="V935" i="12" s="1"/>
  <c r="X935" i="12" s="1"/>
  <c r="U984" i="12"/>
  <c r="V984" i="12" s="1"/>
  <c r="X984" i="12" s="1"/>
  <c r="U1008" i="12"/>
  <c r="V1008" i="12" s="1"/>
  <c r="X1008" i="12" s="1"/>
  <c r="U1069" i="12"/>
  <c r="V1069" i="12" s="1"/>
  <c r="X1069" i="12" s="1"/>
  <c r="U1079" i="12"/>
  <c r="U1146" i="12"/>
  <c r="V1146" i="12" s="1"/>
  <c r="X1146" i="12" s="1"/>
  <c r="U788" i="12"/>
  <c r="V788" i="12" s="1"/>
  <c r="X788" i="12" s="1"/>
  <c r="U1154" i="12"/>
  <c r="V1154" i="12" s="1"/>
  <c r="X1154" i="12" s="1"/>
  <c r="N317" i="12"/>
  <c r="N1015" i="12"/>
  <c r="U1017" i="12"/>
  <c r="U1085" i="12"/>
  <c r="V1085" i="12" s="1"/>
  <c r="X1085" i="12" s="1"/>
  <c r="U1141" i="12"/>
  <c r="V1141" i="12" s="1"/>
  <c r="X1141" i="12" s="1"/>
  <c r="U384" i="12"/>
  <c r="V384" i="12" s="1"/>
  <c r="X384" i="12" s="1"/>
  <c r="U423" i="12"/>
  <c r="V423" i="12" s="1"/>
  <c r="X423" i="12" s="1"/>
  <c r="U575" i="12"/>
  <c r="U605" i="12"/>
  <c r="V605" i="12" s="1"/>
  <c r="X605" i="12" s="1"/>
  <c r="U653" i="12"/>
  <c r="U872" i="12"/>
  <c r="U946" i="12"/>
  <c r="V946" i="12" s="1"/>
  <c r="X946" i="12" s="1"/>
  <c r="U970" i="12"/>
  <c r="U1047" i="12"/>
  <c r="V1047" i="12" s="1"/>
  <c r="X1047" i="12" s="1"/>
  <c r="U1059" i="12"/>
  <c r="U437" i="12"/>
  <c r="V437" i="12" s="1"/>
  <c r="X437" i="12" s="1"/>
  <c r="U696" i="12"/>
  <c r="V696" i="12" s="1"/>
  <c r="X696" i="12" s="1"/>
  <c r="U839" i="12"/>
  <c r="V839" i="12" s="1"/>
  <c r="X839" i="12" s="1"/>
  <c r="U893" i="12"/>
  <c r="V893" i="12" s="1"/>
  <c r="X893" i="12" s="1"/>
  <c r="U1053" i="12"/>
  <c r="V1053" i="12" s="1"/>
  <c r="X1053" i="12" s="1"/>
  <c r="U1086" i="12"/>
  <c r="H30" i="11"/>
  <c r="H50" i="11"/>
  <c r="W20" i="12"/>
  <c r="V394" i="12"/>
  <c r="X394" i="12" s="1"/>
  <c r="U428" i="12"/>
  <c r="V428" i="12" s="1"/>
  <c r="X428" i="12" s="1"/>
  <c r="N473" i="12"/>
  <c r="U531" i="12"/>
  <c r="V531" i="12" s="1"/>
  <c r="X531" i="12" s="1"/>
  <c r="U563" i="12"/>
  <c r="V563" i="12" s="1"/>
  <c r="X563" i="12" s="1"/>
  <c r="U598" i="12"/>
  <c r="V598" i="12" s="1"/>
  <c r="X598" i="12" s="1"/>
  <c r="U618" i="12"/>
  <c r="V618" i="12" s="1"/>
  <c r="X618" i="12" s="1"/>
  <c r="U652" i="12"/>
  <c r="V652" i="12" s="1"/>
  <c r="X652" i="12" s="1"/>
  <c r="U682" i="12"/>
  <c r="V682" i="12" s="1"/>
  <c r="X682" i="12" s="1"/>
  <c r="U736" i="12"/>
  <c r="V736" i="12" s="1"/>
  <c r="X736" i="12" s="1"/>
  <c r="U742" i="12"/>
  <c r="U746" i="12"/>
  <c r="V746" i="12" s="1"/>
  <c r="X746" i="12" s="1"/>
  <c r="U982" i="12"/>
  <c r="U1030" i="12"/>
  <c r="U1055" i="12"/>
  <c r="V1055" i="12" s="1"/>
  <c r="X1055" i="12" s="1"/>
  <c r="U1067" i="12"/>
  <c r="U1076" i="12"/>
  <c r="U1145" i="12"/>
  <c r="V1145" i="12" s="1"/>
  <c r="X1145" i="12" s="1"/>
  <c r="U1160" i="12"/>
  <c r="U1164" i="12"/>
  <c r="W13" i="14"/>
  <c r="W21" i="14"/>
  <c r="W26" i="14"/>
  <c r="W88" i="14"/>
  <c r="W93" i="14"/>
  <c r="N205" i="14"/>
  <c r="U205" i="14" s="1"/>
  <c r="W235" i="14"/>
  <c r="K69" i="11"/>
  <c r="V286" i="12"/>
  <c r="X286" i="12" s="1"/>
  <c r="U731" i="12"/>
  <c r="V731" i="12" s="1"/>
  <c r="X731" i="12" s="1"/>
  <c r="U1061" i="12"/>
  <c r="V1061" i="12" s="1"/>
  <c r="X1061" i="12" s="1"/>
  <c r="U1126" i="12"/>
  <c r="V1126" i="12" s="1"/>
  <c r="X1126" i="12" s="1"/>
  <c r="W23" i="14"/>
  <c r="W76" i="14"/>
  <c r="W78" i="14"/>
  <c r="W90" i="14"/>
  <c r="O9" i="9"/>
  <c r="P9" i="9" s="1"/>
  <c r="H22" i="11"/>
  <c r="K26" i="11"/>
  <c r="R26" i="11" s="1"/>
  <c r="K43" i="11"/>
  <c r="U463" i="12"/>
  <c r="U477" i="12"/>
  <c r="U626" i="12"/>
  <c r="V626" i="12" s="1"/>
  <c r="X626" i="12" s="1"/>
  <c r="U649" i="12"/>
  <c r="V649" i="12" s="1"/>
  <c r="X649" i="12" s="1"/>
  <c r="U675" i="12"/>
  <c r="V675" i="12" s="1"/>
  <c r="X675" i="12" s="1"/>
  <c r="U854" i="12"/>
  <c r="U953" i="12"/>
  <c r="V953" i="12" s="1"/>
  <c r="X953" i="12" s="1"/>
  <c r="U969" i="12"/>
  <c r="U1098" i="12"/>
  <c r="V1098" i="12" s="1"/>
  <c r="X1098" i="12" s="1"/>
  <c r="U1134" i="12"/>
  <c r="V1134" i="12" s="1"/>
  <c r="X1134" i="12" s="1"/>
  <c r="U1153" i="12"/>
  <c r="V1153" i="12" s="1"/>
  <c r="X1153" i="12" s="1"/>
  <c r="U1158" i="12"/>
  <c r="V1158" i="12" s="1"/>
  <c r="X1158" i="12" s="1"/>
  <c r="W19" i="13"/>
  <c r="W28" i="14"/>
  <c r="W54" i="14"/>
  <c r="W60" i="14"/>
  <c r="W70" i="14"/>
  <c r="W149" i="14"/>
  <c r="W151" i="14"/>
  <c r="K291" i="12"/>
  <c r="N291" i="12" s="1"/>
  <c r="V291" i="12" s="1"/>
  <c r="X291" i="12" s="1"/>
  <c r="U390" i="12"/>
  <c r="N402" i="12"/>
  <c r="U534" i="12"/>
  <c r="U542" i="12"/>
  <c r="N597" i="12"/>
  <c r="U646" i="12"/>
  <c r="N685" i="12"/>
  <c r="U739" i="12"/>
  <c r="U785" i="12"/>
  <c r="U798" i="12"/>
  <c r="U846" i="12"/>
  <c r="V846" i="12" s="1"/>
  <c r="X846" i="12" s="1"/>
  <c r="N854" i="12"/>
  <c r="U902" i="12"/>
  <c r="V902" i="12" s="1"/>
  <c r="X902" i="12" s="1"/>
  <c r="U906" i="12"/>
  <c r="V906" i="12" s="1"/>
  <c r="X906" i="12" s="1"/>
  <c r="U928" i="12"/>
  <c r="V928" i="12" s="1"/>
  <c r="X928" i="12" s="1"/>
  <c r="U950" i="12"/>
  <c r="U1013" i="12"/>
  <c r="V1013" i="12" s="1"/>
  <c r="X1013" i="12" s="1"/>
  <c r="U1027" i="12"/>
  <c r="U1036" i="12"/>
  <c r="U1039" i="12"/>
  <c r="V1039" i="12" s="1"/>
  <c r="X1039" i="12" s="1"/>
  <c r="U1041" i="12"/>
  <c r="V1041" i="12" s="1"/>
  <c r="X1041" i="12" s="1"/>
  <c r="U1062" i="12"/>
  <c r="U1150" i="12"/>
  <c r="W16" i="13"/>
  <c r="W20" i="14"/>
  <c r="W25" i="14"/>
  <c r="W62" i="14"/>
  <c r="V268" i="12"/>
  <c r="X268" i="12" s="1"/>
  <c r="U377" i="12"/>
  <c r="U411" i="12"/>
  <c r="V411" i="12" s="1"/>
  <c r="X411" i="12" s="1"/>
  <c r="U419" i="12"/>
  <c r="V419" i="12" s="1"/>
  <c r="X419" i="12" s="1"/>
  <c r="U461" i="12"/>
  <c r="V461" i="12" s="1"/>
  <c r="X461" i="12" s="1"/>
  <c r="U475" i="12"/>
  <c r="V475" i="12" s="1"/>
  <c r="X475" i="12" s="1"/>
  <c r="U502" i="12"/>
  <c r="U505" i="12"/>
  <c r="V505" i="12" s="1"/>
  <c r="X505" i="12" s="1"/>
  <c r="U515" i="12"/>
  <c r="V515" i="12" s="1"/>
  <c r="X515" i="12" s="1"/>
  <c r="U573" i="12"/>
  <c r="V573" i="12" s="1"/>
  <c r="X573" i="12" s="1"/>
  <c r="U602" i="12"/>
  <c r="V602" i="12" s="1"/>
  <c r="X602" i="12" s="1"/>
  <c r="U693" i="12"/>
  <c r="U710" i="12"/>
  <c r="U741" i="12"/>
  <c r="U775" i="12"/>
  <c r="V775" i="12" s="1"/>
  <c r="X775" i="12" s="1"/>
  <c r="U779" i="12"/>
  <c r="V779" i="12" s="1"/>
  <c r="X779" i="12" s="1"/>
  <c r="U1110" i="12"/>
  <c r="U1113" i="12"/>
  <c r="V1113" i="12" s="1"/>
  <c r="X1113" i="12" s="1"/>
  <c r="W20" i="13"/>
  <c r="W12" i="14"/>
  <c r="W32" i="14"/>
  <c r="W46" i="14"/>
  <c r="W67" i="14"/>
  <c r="W80" i="14"/>
  <c r="W82" i="14"/>
  <c r="W87" i="14"/>
  <c r="N208" i="14"/>
  <c r="U208" i="14" s="1"/>
  <c r="W215" i="14"/>
  <c r="K70" i="11"/>
  <c r="U445" i="12"/>
  <c r="U469" i="12"/>
  <c r="U485" i="12"/>
  <c r="U599" i="12"/>
  <c r="U697" i="12"/>
  <c r="U847" i="12"/>
  <c r="U915" i="12"/>
  <c r="U958" i="12"/>
  <c r="U1012" i="12"/>
  <c r="U1042" i="12"/>
  <c r="N165" i="14"/>
  <c r="U165" i="14" s="1"/>
  <c r="W165" i="14" s="1"/>
  <c r="K59" i="11"/>
  <c r="R59" i="11" s="1"/>
  <c r="K67" i="11"/>
  <c r="R67" i="11" s="1"/>
  <c r="K74" i="11"/>
  <c r="K38" i="11"/>
  <c r="N793" i="12"/>
  <c r="U864" i="12"/>
  <c r="U873" i="12"/>
  <c r="U892" i="12"/>
  <c r="U985" i="12"/>
  <c r="U1004" i="12"/>
  <c r="V1004" i="12" s="1"/>
  <c r="X1004" i="12" s="1"/>
  <c r="U1029" i="12"/>
  <c r="V1029" i="12" s="1"/>
  <c r="X1029" i="12" s="1"/>
  <c r="U1070" i="12"/>
  <c r="N1110" i="12"/>
  <c r="W15" i="13"/>
  <c r="W9" i="14"/>
  <c r="W29" i="14"/>
  <c r="W61" i="14"/>
  <c r="W105" i="14"/>
  <c r="N240" i="14"/>
  <c r="T240" i="14"/>
  <c r="T313" i="14" s="1"/>
  <c r="T101" i="15"/>
  <c r="U101" i="15" s="1"/>
  <c r="T117" i="15"/>
  <c r="U117" i="15" s="1"/>
  <c r="S235" i="16"/>
  <c r="T96" i="15"/>
  <c r="U96" i="15" s="1"/>
  <c r="W117" i="14"/>
  <c r="W133" i="14"/>
  <c r="W220" i="14"/>
  <c r="T95" i="15"/>
  <c r="U95" i="15" s="1"/>
  <c r="T250" i="17"/>
  <c r="U250" i="17" s="1"/>
  <c r="T128" i="15"/>
  <c r="U128" i="15" s="1"/>
  <c r="T156" i="15"/>
  <c r="U156" i="15" s="1"/>
  <c r="T158" i="15"/>
  <c r="U158" i="15" s="1"/>
  <c r="T165" i="15"/>
  <c r="U165" i="15" s="1"/>
  <c r="O13" i="9"/>
  <c r="U231" i="17"/>
  <c r="W231" i="17" s="1"/>
  <c r="T245" i="17"/>
  <c r="T254" i="17"/>
  <c r="W103" i="14"/>
  <c r="W110" i="14"/>
  <c r="W112" i="14"/>
  <c r="W126" i="14"/>
  <c r="W128" i="14"/>
  <c r="W142" i="14"/>
  <c r="W144" i="14"/>
  <c r="W218" i="14"/>
  <c r="W223" i="14"/>
  <c r="W228" i="14"/>
  <c r="T76" i="15"/>
  <c r="U76" i="15" s="1"/>
  <c r="T85" i="15"/>
  <c r="U85" i="15" s="1"/>
  <c r="T127" i="15"/>
  <c r="U127" i="15" s="1"/>
  <c r="T162" i="15"/>
  <c r="U162" i="15" s="1"/>
  <c r="T164" i="15"/>
  <c r="U164" i="15" s="1"/>
  <c r="T166" i="15"/>
  <c r="U166" i="15" s="1"/>
  <c r="K181" i="17"/>
  <c r="U181" i="17" s="1"/>
  <c r="U222" i="17"/>
  <c r="W222" i="17" s="1"/>
  <c r="U240" i="17"/>
  <c r="T243" i="17"/>
  <c r="U243" i="17" s="1"/>
  <c r="W114" i="14"/>
  <c r="W116" i="14"/>
  <c r="W130" i="14"/>
  <c r="W132" i="14"/>
  <c r="W146" i="14"/>
  <c r="U164" i="14"/>
  <c r="W164" i="14" s="1"/>
  <c r="U173" i="14"/>
  <c r="W173" i="14" s="1"/>
  <c r="U182" i="14"/>
  <c r="W182" i="14" s="1"/>
  <c r="U209" i="14"/>
  <c r="W209" i="14" s="1"/>
  <c r="T84" i="15"/>
  <c r="U84" i="15" s="1"/>
  <c r="T86" i="15"/>
  <c r="U86" i="15" s="1"/>
  <c r="T90" i="15"/>
  <c r="U90" i="15" s="1"/>
  <c r="N285" i="16"/>
  <c r="S285" i="16" s="1"/>
  <c r="U285" i="16" s="1"/>
  <c r="U227" i="17"/>
  <c r="W227" i="17" s="1"/>
  <c r="N409" i="12"/>
  <c r="N414" i="12"/>
  <c r="N469" i="12"/>
  <c r="U492" i="12"/>
  <c r="N492" i="12"/>
  <c r="U524" i="12"/>
  <c r="N524" i="12"/>
  <c r="N880" i="12"/>
  <c r="U880" i="12"/>
  <c r="U1023" i="12"/>
  <c r="N1023" i="12"/>
  <c r="U1082" i="12"/>
  <c r="N1082" i="12"/>
  <c r="N181" i="14"/>
  <c r="H27" i="11"/>
  <c r="H25" i="11"/>
  <c r="K40" i="11"/>
  <c r="K48" i="11"/>
  <c r="N63" i="12"/>
  <c r="V63" i="12" s="1"/>
  <c r="X63" i="12" s="1"/>
  <c r="V322" i="12"/>
  <c r="X322" i="12" s="1"/>
  <c r="U344" i="12"/>
  <c r="N353" i="12"/>
  <c r="U378" i="12"/>
  <c r="V378" i="12" s="1"/>
  <c r="X378" i="12" s="1"/>
  <c r="U386" i="12"/>
  <c r="V386" i="12" s="1"/>
  <c r="X386" i="12" s="1"/>
  <c r="U407" i="12"/>
  <c r="V407" i="12" s="1"/>
  <c r="X407" i="12" s="1"/>
  <c r="N445" i="12"/>
  <c r="U447" i="12"/>
  <c r="N447" i="12"/>
  <c r="N636" i="12"/>
  <c r="U636" i="12"/>
  <c r="U722" i="12"/>
  <c r="N722" i="12"/>
  <c r="U1031" i="12"/>
  <c r="N1031" i="12"/>
  <c r="N1049" i="12"/>
  <c r="U1049" i="12"/>
  <c r="U1060" i="12"/>
  <c r="N1060" i="12"/>
  <c r="U1071" i="12"/>
  <c r="N1071" i="12"/>
  <c r="N159" i="14"/>
  <c r="U159" i="14" s="1"/>
  <c r="W159" i="14" s="1"/>
  <c r="N472" i="12"/>
  <c r="U472" i="12"/>
  <c r="V319" i="12"/>
  <c r="X319" i="12" s="1"/>
  <c r="U348" i="12"/>
  <c r="U382" i="12"/>
  <c r="V382" i="12" s="1"/>
  <c r="X382" i="12" s="1"/>
  <c r="U426" i="12"/>
  <c r="V426" i="12" s="1"/>
  <c r="X426" i="12" s="1"/>
  <c r="U427" i="12"/>
  <c r="V427" i="12" s="1"/>
  <c r="X427" i="12" s="1"/>
  <c r="N530" i="12"/>
  <c r="U530" i="12"/>
  <c r="N1010" i="12"/>
  <c r="U1010" i="12"/>
  <c r="N1125" i="12"/>
  <c r="U1125" i="12"/>
  <c r="U369" i="12"/>
  <c r="V369" i="12" s="1"/>
  <c r="X369" i="12" s="1"/>
  <c r="U420" i="12"/>
  <c r="V420" i="12" s="1"/>
  <c r="X420" i="12" s="1"/>
  <c r="U1068" i="12"/>
  <c r="N1068" i="12"/>
  <c r="H26" i="11"/>
  <c r="S26" i="11"/>
  <c r="U338" i="12"/>
  <c r="U456" i="12"/>
  <c r="V456" i="12" s="1"/>
  <c r="X456" i="12" s="1"/>
  <c r="U635" i="12"/>
  <c r="N635" i="12"/>
  <c r="N700" i="12"/>
  <c r="U700" i="12"/>
  <c r="U952" i="12"/>
  <c r="N952" i="12"/>
  <c r="N988" i="12"/>
  <c r="U988" i="12"/>
  <c r="U1028" i="12"/>
  <c r="N1028" i="12"/>
  <c r="U1037" i="12"/>
  <c r="N1037" i="12"/>
  <c r="U1046" i="12"/>
  <c r="N1046" i="12"/>
  <c r="N1112" i="12"/>
  <c r="U1112" i="12"/>
  <c r="K42" i="11"/>
  <c r="H59" i="11"/>
  <c r="U375" i="12"/>
  <c r="V375" i="12" s="1"/>
  <c r="X375" i="12" s="1"/>
  <c r="U387" i="12"/>
  <c r="V387" i="12" s="1"/>
  <c r="X387" i="12" s="1"/>
  <c r="U417" i="12"/>
  <c r="U435" i="12"/>
  <c r="V435" i="12" s="1"/>
  <c r="X435" i="12" s="1"/>
  <c r="N540" i="12"/>
  <c r="U540" i="12"/>
  <c r="U674" i="12"/>
  <c r="N674" i="12"/>
  <c r="N801" i="12"/>
  <c r="N925" i="12"/>
  <c r="U925" i="12"/>
  <c r="U1094" i="12"/>
  <c r="N1094" i="12"/>
  <c r="U1107" i="12"/>
  <c r="N1107" i="12"/>
  <c r="K37" i="11"/>
  <c r="K51" i="11"/>
  <c r="R51" i="11" s="1"/>
  <c r="V266" i="12"/>
  <c r="X266" i="12" s="1"/>
  <c r="U379" i="12"/>
  <c r="V379" i="12" s="1"/>
  <c r="X379" i="12" s="1"/>
  <c r="V396" i="12"/>
  <c r="X396" i="12" s="1"/>
  <c r="N417" i="12"/>
  <c r="U444" i="12"/>
  <c r="V444" i="12" s="1"/>
  <c r="X444" i="12" s="1"/>
  <c r="N514" i="12"/>
  <c r="U1034" i="12"/>
  <c r="N1034" i="12"/>
  <c r="U1052" i="12"/>
  <c r="N1052" i="12"/>
  <c r="U1063" i="12"/>
  <c r="N1063" i="12"/>
  <c r="U1074" i="12"/>
  <c r="N1074" i="12"/>
  <c r="W34" i="14"/>
  <c r="U454" i="12"/>
  <c r="N516" i="12"/>
  <c r="N542" i="12"/>
  <c r="N547" i="12"/>
  <c r="U553" i="12"/>
  <c r="V553" i="12" s="1"/>
  <c r="X553" i="12" s="1"/>
  <c r="U614" i="12"/>
  <c r="V614" i="12" s="1"/>
  <c r="X614" i="12" s="1"/>
  <c r="N653" i="12"/>
  <c r="U672" i="12"/>
  <c r="V672" i="12" s="1"/>
  <c r="X672" i="12" s="1"/>
  <c r="N697" i="12"/>
  <c r="U754" i="12"/>
  <c r="V754" i="12" s="1"/>
  <c r="X754" i="12" s="1"/>
  <c r="U808" i="12"/>
  <c r="V808" i="12" s="1"/>
  <c r="X808" i="12" s="1"/>
  <c r="N847" i="12"/>
  <c r="U959" i="12"/>
  <c r="V959" i="12" s="1"/>
  <c r="X959" i="12" s="1"/>
  <c r="N992" i="12"/>
  <c r="U1000" i="12"/>
  <c r="V1000" i="12" s="1"/>
  <c r="X1000" i="12" s="1"/>
  <c r="N1012" i="12"/>
  <c r="U1077" i="12"/>
  <c r="V1077" i="12" s="1"/>
  <c r="X1077" i="12" s="1"/>
  <c r="U1089" i="12"/>
  <c r="V1089" i="12" s="1"/>
  <c r="X1089" i="12" s="1"/>
  <c r="N1133" i="12"/>
  <c r="U1133" i="12"/>
  <c r="U1162" i="12"/>
  <c r="N1162" i="12"/>
  <c r="U838" i="12"/>
  <c r="V838" i="12" s="1"/>
  <c r="X838" i="12" s="1"/>
  <c r="U927" i="12"/>
  <c r="V927" i="12" s="1"/>
  <c r="X927" i="12" s="1"/>
  <c r="U936" i="12"/>
  <c r="V936" i="12" s="1"/>
  <c r="X936" i="12" s="1"/>
  <c r="U1009" i="12"/>
  <c r="N1017" i="12"/>
  <c r="N1043" i="12"/>
  <c r="N1054" i="12"/>
  <c r="N1079" i="12"/>
  <c r="U1142" i="12"/>
  <c r="V1142" i="12" s="1"/>
  <c r="X1142" i="12" s="1"/>
  <c r="U462" i="12"/>
  <c r="U465" i="12"/>
  <c r="V465" i="12" s="1"/>
  <c r="X465" i="12" s="1"/>
  <c r="U474" i="12"/>
  <c r="V474" i="12" s="1"/>
  <c r="X474" i="12" s="1"/>
  <c r="U532" i="12"/>
  <c r="V532" i="12" s="1"/>
  <c r="X532" i="12" s="1"/>
  <c r="U565" i="12"/>
  <c r="V565" i="12" s="1"/>
  <c r="X565" i="12" s="1"/>
  <c r="U581" i="12"/>
  <c r="V581" i="12" s="1"/>
  <c r="X581" i="12" s="1"/>
  <c r="U606" i="12"/>
  <c r="V606" i="12" s="1"/>
  <c r="X606" i="12" s="1"/>
  <c r="U619" i="12"/>
  <c r="V619" i="12" s="1"/>
  <c r="X619" i="12" s="1"/>
  <c r="U650" i="12"/>
  <c r="V650" i="12" s="1"/>
  <c r="X650" i="12" s="1"/>
  <c r="U716" i="12"/>
  <c r="V716" i="12" s="1"/>
  <c r="X716" i="12" s="1"/>
  <c r="U724" i="12"/>
  <c r="V724" i="12" s="1"/>
  <c r="X724" i="12" s="1"/>
  <c r="U744" i="12"/>
  <c r="V744" i="12" s="1"/>
  <c r="X744" i="12" s="1"/>
  <c r="N763" i="12"/>
  <c r="U770" i="12"/>
  <c r="V770" i="12" s="1"/>
  <c r="X770" i="12" s="1"/>
  <c r="U786" i="12"/>
  <c r="V786" i="12" s="1"/>
  <c r="X786" i="12" s="1"/>
  <c r="U791" i="12"/>
  <c r="V791" i="12" s="1"/>
  <c r="X791" i="12" s="1"/>
  <c r="U882" i="12"/>
  <c r="V882" i="12" s="1"/>
  <c r="X882" i="12" s="1"/>
  <c r="U900" i="12"/>
  <c r="U905" i="12"/>
  <c r="V905" i="12" s="1"/>
  <c r="X905" i="12" s="1"/>
  <c r="U945" i="12"/>
  <c r="V945" i="12" s="1"/>
  <c r="X945" i="12" s="1"/>
  <c r="U976" i="12"/>
  <c r="V976" i="12" s="1"/>
  <c r="X976" i="12" s="1"/>
  <c r="V1025" i="12"/>
  <c r="X1025" i="12" s="1"/>
  <c r="N1027" i="12"/>
  <c r="N1051" i="12"/>
  <c r="U1057" i="12"/>
  <c r="V1057" i="12" s="1"/>
  <c r="X1057" i="12" s="1"/>
  <c r="N1062" i="12"/>
  <c r="U1064" i="12"/>
  <c r="U1065" i="12"/>
  <c r="V1065" i="12" s="1"/>
  <c r="X1065" i="12" s="1"/>
  <c r="N1076" i="12"/>
  <c r="U1078" i="12"/>
  <c r="U1083" i="12"/>
  <c r="N1086" i="12"/>
  <c r="U1088" i="12"/>
  <c r="N1088" i="12"/>
  <c r="W55" i="14"/>
  <c r="W83" i="14"/>
  <c r="N155" i="14"/>
  <c r="U468" i="12"/>
  <c r="V468" i="12" s="1"/>
  <c r="X468" i="12" s="1"/>
  <c r="U487" i="12"/>
  <c r="V487" i="12" s="1"/>
  <c r="X487" i="12" s="1"/>
  <c r="U574" i="12"/>
  <c r="V574" i="12" s="1"/>
  <c r="X574" i="12" s="1"/>
  <c r="U612" i="12"/>
  <c r="U661" i="12"/>
  <c r="U671" i="12"/>
  <c r="V671" i="12" s="1"/>
  <c r="X671" i="12" s="1"/>
  <c r="U729" i="12"/>
  <c r="V729" i="12" s="1"/>
  <c r="X729" i="12" s="1"/>
  <c r="U812" i="12"/>
  <c r="V812" i="12" s="1"/>
  <c r="X812" i="12" s="1"/>
  <c r="U859" i="12"/>
  <c r="V859" i="12" s="1"/>
  <c r="X859" i="12" s="1"/>
  <c r="U937" i="12"/>
  <c r="U965" i="12"/>
  <c r="V965" i="12" s="1"/>
  <c r="X965" i="12" s="1"/>
  <c r="U1014" i="12"/>
  <c r="V1014" i="12" s="1"/>
  <c r="X1014" i="12" s="1"/>
  <c r="U1020" i="12"/>
  <c r="N1030" i="12"/>
  <c r="U1035" i="12"/>
  <c r="V1035" i="12" s="1"/>
  <c r="X1035" i="12" s="1"/>
  <c r="N1036" i="12"/>
  <c r="N1042" i="12"/>
  <c r="U1050" i="12"/>
  <c r="V1050" i="12" s="1"/>
  <c r="X1050" i="12" s="1"/>
  <c r="N1059" i="12"/>
  <c r="N1067" i="12"/>
  <c r="N1070" i="12"/>
  <c r="U1075" i="12"/>
  <c r="V1075" i="12" s="1"/>
  <c r="X1075" i="12" s="1"/>
  <c r="U1093" i="12"/>
  <c r="V1093" i="12" s="1"/>
  <c r="X1093" i="12" s="1"/>
  <c r="U1104" i="12"/>
  <c r="V1104" i="12" s="1"/>
  <c r="X1104" i="12" s="1"/>
  <c r="N1150" i="12"/>
  <c r="U157" i="14"/>
  <c r="W157" i="14" s="1"/>
  <c r="U172" i="14"/>
  <c r="W172" i="14" s="1"/>
  <c r="U467" i="12"/>
  <c r="V467" i="12" s="1"/>
  <c r="X467" i="12" s="1"/>
  <c r="U481" i="12"/>
  <c r="U498" i="12"/>
  <c r="V498" i="12" s="1"/>
  <c r="X498" i="12" s="1"/>
  <c r="U523" i="12"/>
  <c r="V523" i="12" s="1"/>
  <c r="X523" i="12" s="1"/>
  <c r="U533" i="12"/>
  <c r="V533" i="12" s="1"/>
  <c r="X533" i="12" s="1"/>
  <c r="U548" i="12"/>
  <c r="U582" i="12"/>
  <c r="V582" i="12" s="1"/>
  <c r="X582" i="12" s="1"/>
  <c r="U607" i="12"/>
  <c r="N612" i="12"/>
  <c r="U617" i="12"/>
  <c r="U654" i="12"/>
  <c r="U657" i="12"/>
  <c r="V657" i="12" s="1"/>
  <c r="X657" i="12" s="1"/>
  <c r="U665" i="12"/>
  <c r="U676" i="12"/>
  <c r="V676" i="12" s="1"/>
  <c r="X676" i="12" s="1"/>
  <c r="U714" i="12"/>
  <c r="V714" i="12" s="1"/>
  <c r="X714" i="12" s="1"/>
  <c r="U725" i="12"/>
  <c r="U769" i="12"/>
  <c r="U777" i="12"/>
  <c r="U804" i="12"/>
  <c r="U807" i="12"/>
  <c r="V807" i="12" s="1"/>
  <c r="X807" i="12" s="1"/>
  <c r="U819" i="12"/>
  <c r="V819" i="12" s="1"/>
  <c r="X819" i="12" s="1"/>
  <c r="U895" i="12"/>
  <c r="U910" i="12"/>
  <c r="V910" i="12" s="1"/>
  <c r="X910" i="12" s="1"/>
  <c r="U939" i="12"/>
  <c r="U942" i="12"/>
  <c r="V942" i="12" s="1"/>
  <c r="X942" i="12" s="1"/>
  <c r="U944" i="12"/>
  <c r="V944" i="12" s="1"/>
  <c r="X944" i="12" s="1"/>
  <c r="U977" i="12"/>
  <c r="V1019" i="12"/>
  <c r="X1019" i="12" s="1"/>
  <c r="U1026" i="12"/>
  <c r="U1033" i="12"/>
  <c r="V1033" i="12" s="1"/>
  <c r="X1033" i="12" s="1"/>
  <c r="U1038" i="12"/>
  <c r="V1038" i="12" s="1"/>
  <c r="X1038" i="12" s="1"/>
  <c r="U1044" i="12"/>
  <c r="V1044" i="12" s="1"/>
  <c r="X1044" i="12" s="1"/>
  <c r="U1045" i="12"/>
  <c r="V1045" i="12" s="1"/>
  <c r="X1045" i="12" s="1"/>
  <c r="U1058" i="12"/>
  <c r="V1058" i="12" s="1"/>
  <c r="X1058" i="12" s="1"/>
  <c r="N1064" i="12"/>
  <c r="U1066" i="12"/>
  <c r="V1066" i="12" s="1"/>
  <c r="X1066" i="12" s="1"/>
  <c r="U1072" i="12"/>
  <c r="V1072" i="12" s="1"/>
  <c r="X1072" i="12" s="1"/>
  <c r="U1073" i="12"/>
  <c r="V1073" i="12" s="1"/>
  <c r="X1073" i="12" s="1"/>
  <c r="N1078" i="12"/>
  <c r="U1080" i="12"/>
  <c r="V1080" i="12" s="1"/>
  <c r="X1080" i="12" s="1"/>
  <c r="U1081" i="12"/>
  <c r="V1081" i="12" s="1"/>
  <c r="X1081" i="12" s="1"/>
  <c r="N1083" i="12"/>
  <c r="U1111" i="12"/>
  <c r="V1111" i="12" s="1"/>
  <c r="X1111" i="12" s="1"/>
  <c r="U1117" i="12"/>
  <c r="N1117" i="12"/>
  <c r="N1161" i="12"/>
  <c r="U1161" i="12"/>
  <c r="U1090" i="12"/>
  <c r="V1090" i="12" s="1"/>
  <c r="X1090" i="12" s="1"/>
  <c r="N1096" i="12"/>
  <c r="U1118" i="12"/>
  <c r="V1118" i="12" s="1"/>
  <c r="X1118" i="12" s="1"/>
  <c r="U1137" i="12"/>
  <c r="V1137" i="12" s="1"/>
  <c r="X1137" i="12" s="1"/>
  <c r="U1149" i="12"/>
  <c r="V1149" i="12" s="1"/>
  <c r="X1149" i="12" s="1"/>
  <c r="W52" i="14"/>
  <c r="W84" i="14"/>
  <c r="W97" i="14"/>
  <c r="U174" i="14"/>
  <c r="W174" i="14" s="1"/>
  <c r="U201" i="14"/>
  <c r="W201" i="14" s="1"/>
  <c r="T245" i="14"/>
  <c r="U245" i="14" s="1"/>
  <c r="U1084" i="12"/>
  <c r="V1084" i="12" s="1"/>
  <c r="X1084" i="12" s="1"/>
  <c r="U1087" i="12"/>
  <c r="V1087" i="12" s="1"/>
  <c r="X1087" i="12" s="1"/>
  <c r="U1095" i="12"/>
  <c r="V1095" i="12" s="1"/>
  <c r="X1095" i="12" s="1"/>
  <c r="U1105" i="12"/>
  <c r="V1105" i="12" s="1"/>
  <c r="X1105" i="12" s="1"/>
  <c r="U1106" i="12"/>
  <c r="V1106" i="12" s="1"/>
  <c r="X1106" i="12" s="1"/>
  <c r="U1114" i="12"/>
  <c r="V1114" i="12" s="1"/>
  <c r="X1114" i="12" s="1"/>
  <c r="U1130" i="12"/>
  <c r="V1130" i="12" s="1"/>
  <c r="X1130" i="12" s="1"/>
  <c r="U1148" i="12"/>
  <c r="U1156" i="12"/>
  <c r="W108" i="14"/>
  <c r="W124" i="14"/>
  <c r="W140" i="14"/>
  <c r="U156" i="14"/>
  <c r="W156" i="14" s="1"/>
  <c r="N189" i="14"/>
  <c r="U189" i="14" s="1"/>
  <c r="W189" i="14" s="1"/>
  <c r="U197" i="14"/>
  <c r="W197" i="14" s="1"/>
  <c r="U204" i="14"/>
  <c r="W204" i="14" s="1"/>
  <c r="T148" i="15"/>
  <c r="U148" i="15" s="1"/>
  <c r="W86" i="14"/>
  <c r="U196" i="14"/>
  <c r="W196" i="14" s="1"/>
  <c r="W14" i="13"/>
  <c r="W37" i="14"/>
  <c r="W40" i="14"/>
  <c r="W107" i="14"/>
  <c r="W119" i="14"/>
  <c r="W123" i="14"/>
  <c r="W135" i="14"/>
  <c r="W139" i="14"/>
  <c r="N163" i="14"/>
  <c r="U163" i="14" s="1"/>
  <c r="W163" i="14" s="1"/>
  <c r="N188" i="14"/>
  <c r="U188" i="14" s="1"/>
  <c r="W188" i="14" s="1"/>
  <c r="W214" i="14"/>
  <c r="W225" i="14"/>
  <c r="N241" i="14"/>
  <c r="T241" i="14"/>
  <c r="W33" i="14"/>
  <c r="W192" i="14"/>
  <c r="W211" i="14"/>
  <c r="W232" i="14"/>
  <c r="T110" i="15"/>
  <c r="U110" i="15" s="1"/>
  <c r="T116" i="15"/>
  <c r="U116" i="15" s="1"/>
  <c r="U1091" i="12"/>
  <c r="V1091" i="12" s="1"/>
  <c r="X1091" i="12" s="1"/>
  <c r="U1101" i="12"/>
  <c r="V1101" i="12" s="1"/>
  <c r="X1101" i="12" s="1"/>
  <c r="U1109" i="12"/>
  <c r="V1109" i="12" s="1"/>
  <c r="X1109" i="12" s="1"/>
  <c r="U1122" i="12"/>
  <c r="V1122" i="12" s="1"/>
  <c r="X1122" i="12" s="1"/>
  <c r="U1138" i="12"/>
  <c r="V1138" i="12" s="1"/>
  <c r="X1138" i="12" s="1"/>
  <c r="U1152" i="12"/>
  <c r="W17" i="14"/>
  <c r="W49" i="14"/>
  <c r="W68" i="14"/>
  <c r="W85" i="14"/>
  <c r="U177" i="14"/>
  <c r="W177" i="14" s="1"/>
  <c r="N184" i="14"/>
  <c r="U184" i="14" s="1"/>
  <c r="W184" i="14" s="1"/>
  <c r="T246" i="14"/>
  <c r="U246" i="14" s="1"/>
  <c r="U1097" i="12"/>
  <c r="V1097" i="12" s="1"/>
  <c r="X1097" i="12" s="1"/>
  <c r="U1102" i="12"/>
  <c r="V1102" i="12" s="1"/>
  <c r="X1102" i="12" s="1"/>
  <c r="V24" i="13"/>
  <c r="W13" i="13"/>
  <c r="W10" i="14"/>
  <c r="W36" i="14"/>
  <c r="W42" i="14"/>
  <c r="W71" i="14"/>
  <c r="W81" i="14"/>
  <c r="U169" i="14"/>
  <c r="W210" i="14"/>
  <c r="S264" i="16"/>
  <c r="U264" i="16"/>
  <c r="T103" i="15"/>
  <c r="U103" i="15" s="1"/>
  <c r="T130" i="15"/>
  <c r="U130" i="15" s="1"/>
  <c r="T132" i="15"/>
  <c r="U132" i="15" s="1"/>
  <c r="S252" i="16"/>
  <c r="U252" i="16"/>
  <c r="K212" i="16"/>
  <c r="N212" i="16" s="1"/>
  <c r="U212" i="16" s="1"/>
  <c r="W216" i="14"/>
  <c r="U58" i="15"/>
  <c r="U60" i="15"/>
  <c r="T93" i="15"/>
  <c r="U93" i="15" s="1"/>
  <c r="T97" i="15"/>
  <c r="U97" i="15" s="1"/>
  <c r="F14" i="9"/>
  <c r="F17" i="9" s="1"/>
  <c r="U81" i="15"/>
  <c r="T92" i="15"/>
  <c r="U92" i="15" s="1"/>
  <c r="T124" i="15"/>
  <c r="U124" i="15" s="1"/>
  <c r="T157" i="15"/>
  <c r="U157" i="15" s="1"/>
  <c r="T70" i="15"/>
  <c r="U70" i="15" s="1"/>
  <c r="T102" i="15"/>
  <c r="U102" i="15" s="1"/>
  <c r="T104" i="15"/>
  <c r="U104" i="15" s="1"/>
  <c r="T131" i="15"/>
  <c r="U131" i="15" s="1"/>
  <c r="T140" i="15"/>
  <c r="U140" i="15" s="1"/>
  <c r="T161" i="15"/>
  <c r="U161" i="15" s="1"/>
  <c r="T168" i="15"/>
  <c r="U168" i="15" s="1"/>
  <c r="T170" i="15"/>
  <c r="U170" i="15" s="1"/>
  <c r="U230" i="17"/>
  <c r="W230" i="17" s="1"/>
  <c r="T75" i="15"/>
  <c r="U75" i="15" s="1"/>
  <c r="T87" i="15"/>
  <c r="U87" i="15" s="1"/>
  <c r="T88" i="15"/>
  <c r="U88" i="15" s="1"/>
  <c r="T108" i="15"/>
  <c r="U108" i="15" s="1"/>
  <c r="T121" i="15"/>
  <c r="U121" i="15" s="1"/>
  <c r="T135" i="15"/>
  <c r="U135" i="15" s="1"/>
  <c r="T142" i="15"/>
  <c r="U142" i="15" s="1"/>
  <c r="T167" i="15"/>
  <c r="U167" i="15" s="1"/>
  <c r="T173" i="15"/>
  <c r="U173" i="15" s="1"/>
  <c r="S232" i="16"/>
  <c r="S236" i="16"/>
  <c r="T256" i="17"/>
  <c r="U256" i="17" s="1"/>
  <c r="S263" i="16"/>
  <c r="S272" i="16"/>
  <c r="V181" i="17"/>
  <c r="U218" i="17"/>
  <c r="W218" i="17" s="1"/>
  <c r="U220" i="17"/>
  <c r="W220" i="17" s="1"/>
  <c r="U235" i="17"/>
  <c r="W235" i="17" s="1"/>
  <c r="V236" i="17"/>
  <c r="U238" i="17"/>
  <c r="W238" i="17" s="1"/>
  <c r="T247" i="17"/>
  <c r="U247" i="17" s="1"/>
  <c r="T255" i="17"/>
  <c r="U255" i="17" s="1"/>
  <c r="S307" i="16"/>
  <c r="U234" i="17"/>
  <c r="W234" i="17" s="1"/>
  <c r="T253" i="17"/>
  <c r="U253" i="17" s="1"/>
  <c r="U233" i="17"/>
  <c r="W233" i="17" s="1"/>
  <c r="S247" i="16"/>
  <c r="S259" i="16"/>
  <c r="U224" i="17"/>
  <c r="W224" i="17" s="1"/>
  <c r="K62" i="11"/>
  <c r="S70" i="11"/>
  <c r="H57" i="11"/>
  <c r="K60" i="11"/>
  <c r="R60" i="11" s="1"/>
  <c r="K72" i="11"/>
  <c r="S62" i="11"/>
  <c r="H67" i="11"/>
  <c r="S37" i="11"/>
  <c r="S43" i="11"/>
  <c r="S58" i="11"/>
  <c r="K19" i="11"/>
  <c r="H65" i="11"/>
  <c r="H75" i="11"/>
  <c r="K64" i="11"/>
  <c r="K75" i="11"/>
  <c r="R75" i="11" s="1"/>
  <c r="K78" i="11"/>
  <c r="K48" i="15"/>
  <c r="U48" i="15" s="1"/>
  <c r="T56" i="15"/>
  <c r="U56" i="15" s="1"/>
  <c r="T68" i="15"/>
  <c r="U68" i="15" s="1"/>
  <c r="T79" i="15"/>
  <c r="U79" i="15" s="1"/>
  <c r="T98" i="15"/>
  <c r="U98" i="15" s="1"/>
  <c r="T100" i="15"/>
  <c r="U100" i="15" s="1"/>
  <c r="T150" i="15"/>
  <c r="U150" i="15" s="1"/>
  <c r="T112" i="15"/>
  <c r="U112" i="15" s="1"/>
  <c r="T125" i="15"/>
  <c r="U125" i="15" s="1"/>
  <c r="U64" i="15"/>
  <c r="T67" i="15"/>
  <c r="U67" i="15" s="1"/>
  <c r="T134" i="15"/>
  <c r="U134" i="15" s="1"/>
  <c r="T143" i="15"/>
  <c r="U143" i="15" s="1"/>
  <c r="T149" i="15"/>
  <c r="U149" i="15" s="1"/>
  <c r="U55" i="15"/>
  <c r="U57" i="15"/>
  <c r="T78" i="15"/>
  <c r="U78" i="15" s="1"/>
  <c r="T80" i="15"/>
  <c r="U80" i="15" s="1"/>
  <c r="T91" i="15"/>
  <c r="U91" i="15" s="1"/>
  <c r="U99" i="15"/>
  <c r="T115" i="15"/>
  <c r="U115" i="15" s="1"/>
  <c r="T123" i="15"/>
  <c r="U123" i="15" s="1"/>
  <c r="T152" i="15"/>
  <c r="U152" i="15" s="1"/>
  <c r="T169" i="15"/>
  <c r="U169" i="15" s="1"/>
  <c r="T69" i="15"/>
  <c r="U69" i="15" s="1"/>
  <c r="T136" i="15"/>
  <c r="U136" i="15" s="1"/>
  <c r="T159" i="15"/>
  <c r="U159" i="15" s="1"/>
  <c r="T163" i="15"/>
  <c r="U163" i="15" s="1"/>
  <c r="T83" i="15"/>
  <c r="U83" i="15" s="1"/>
  <c r="T89" i="15"/>
  <c r="U89" i="15" s="1"/>
  <c r="T107" i="15"/>
  <c r="U107" i="15" s="1"/>
  <c r="T111" i="15"/>
  <c r="U111" i="15" s="1"/>
  <c r="T119" i="15"/>
  <c r="U119" i="15" s="1"/>
  <c r="T122" i="15"/>
  <c r="U122" i="15" s="1"/>
  <c r="T146" i="15"/>
  <c r="U146" i="15" s="1"/>
  <c r="U334" i="12"/>
  <c r="V334" i="12" s="1"/>
  <c r="X334" i="12" s="1"/>
  <c r="U343" i="12"/>
  <c r="V343" i="12" s="1"/>
  <c r="X343" i="12" s="1"/>
  <c r="U347" i="12"/>
  <c r="V347" i="12" s="1"/>
  <c r="X347" i="12" s="1"/>
  <c r="U507" i="12"/>
  <c r="N507" i="12"/>
  <c r="U1016" i="12"/>
  <c r="N1016" i="12"/>
  <c r="V269" i="12"/>
  <c r="X269" i="12" s="1"/>
  <c r="U368" i="12"/>
  <c r="N656" i="12"/>
  <c r="U656" i="12"/>
  <c r="V261" i="12"/>
  <c r="X261" i="12" s="1"/>
  <c r="N318" i="12"/>
  <c r="U332" i="12"/>
  <c r="V332" i="12" s="1"/>
  <c r="X332" i="12" s="1"/>
  <c r="U333" i="12"/>
  <c r="V333" i="12" s="1"/>
  <c r="X333" i="12" s="1"/>
  <c r="U342" i="12"/>
  <c r="V342" i="12" s="1"/>
  <c r="X342" i="12" s="1"/>
  <c r="U346" i="12"/>
  <c r="V346" i="12" s="1"/>
  <c r="X346" i="12" s="1"/>
  <c r="U351" i="12"/>
  <c r="V351" i="12" s="1"/>
  <c r="X351" i="12" s="1"/>
  <c r="V355" i="12"/>
  <c r="X355" i="12" s="1"/>
  <c r="N357" i="12"/>
  <c r="U370" i="12"/>
  <c r="V370" i="12" s="1"/>
  <c r="X370" i="12" s="1"/>
  <c r="U550" i="12"/>
  <c r="N550" i="12"/>
  <c r="V292" i="12"/>
  <c r="X292" i="12" s="1"/>
  <c r="N344" i="12"/>
  <c r="N348" i="12"/>
  <c r="N349" i="12"/>
  <c r="V354" i="12"/>
  <c r="X354" i="12" s="1"/>
  <c r="N377" i="12"/>
  <c r="U418" i="12"/>
  <c r="V418" i="12" s="1"/>
  <c r="X418" i="12" s="1"/>
  <c r="U439" i="12"/>
  <c r="N439" i="12"/>
  <c r="U499" i="12"/>
  <c r="N499" i="12"/>
  <c r="U560" i="12"/>
  <c r="N560" i="12"/>
  <c r="U633" i="12"/>
  <c r="N633" i="12"/>
  <c r="N695" i="12"/>
  <c r="U695" i="12"/>
  <c r="U484" i="12"/>
  <c r="N484" i="12"/>
  <c r="N572" i="12"/>
  <c r="U572" i="12"/>
  <c r="N390" i="12"/>
  <c r="U391" i="12"/>
  <c r="V391" i="12" s="1"/>
  <c r="X391" i="12" s="1"/>
  <c r="V395" i="12"/>
  <c r="X395" i="12" s="1"/>
  <c r="U706" i="12"/>
  <c r="N706" i="12"/>
  <c r="N338" i="12"/>
  <c r="U374" i="12"/>
  <c r="N448" i="12"/>
  <c r="U448" i="12"/>
  <c r="N508" i="12"/>
  <c r="U508" i="12"/>
  <c r="U583" i="12"/>
  <c r="N583" i="12"/>
  <c r="N712" i="12"/>
  <c r="U712" i="12"/>
  <c r="V285" i="12"/>
  <c r="X285" i="12" s="1"/>
  <c r="V403" i="12"/>
  <c r="X403" i="12" s="1"/>
  <c r="U416" i="12"/>
  <c r="V416" i="12" s="1"/>
  <c r="X416" i="12" s="1"/>
  <c r="U446" i="12"/>
  <c r="V446" i="12" s="1"/>
  <c r="X446" i="12" s="1"/>
  <c r="U482" i="12"/>
  <c r="V482" i="12" s="1"/>
  <c r="X482" i="12" s="1"/>
  <c r="U541" i="12"/>
  <c r="V541" i="12" s="1"/>
  <c r="X541" i="12" s="1"/>
  <c r="U564" i="12"/>
  <c r="U577" i="12"/>
  <c r="U588" i="12"/>
  <c r="U631" i="12"/>
  <c r="V631" i="12" s="1"/>
  <c r="X631" i="12" s="1"/>
  <c r="U634" i="12"/>
  <c r="V634" i="12" s="1"/>
  <c r="X634" i="12" s="1"/>
  <c r="U658" i="12"/>
  <c r="V658" i="12" s="1"/>
  <c r="X658" i="12" s="1"/>
  <c r="U667" i="12"/>
  <c r="V667" i="12" s="1"/>
  <c r="X667" i="12" s="1"/>
  <c r="U684" i="12"/>
  <c r="V684" i="12" s="1"/>
  <c r="X684" i="12" s="1"/>
  <c r="U686" i="12"/>
  <c r="U707" i="12"/>
  <c r="V707" i="12" s="1"/>
  <c r="X707" i="12" s="1"/>
  <c r="U709" i="12"/>
  <c r="U715" i="12"/>
  <c r="V715" i="12" s="1"/>
  <c r="X715" i="12" s="1"/>
  <c r="N454" i="12"/>
  <c r="N462" i="12"/>
  <c r="N463" i="12"/>
  <c r="U476" i="12"/>
  <c r="V476" i="12" s="1"/>
  <c r="X476" i="12" s="1"/>
  <c r="N490" i="12"/>
  <c r="U496" i="12"/>
  <c r="V496" i="12" s="1"/>
  <c r="X496" i="12" s="1"/>
  <c r="U504" i="12"/>
  <c r="V504" i="12" s="1"/>
  <c r="X504" i="12" s="1"/>
  <c r="U513" i="12"/>
  <c r="U517" i="12"/>
  <c r="U521" i="12"/>
  <c r="V521" i="12" s="1"/>
  <c r="X521" i="12" s="1"/>
  <c r="U522" i="12"/>
  <c r="V522" i="12" s="1"/>
  <c r="X522" i="12" s="1"/>
  <c r="N548" i="12"/>
  <c r="N549" i="12"/>
  <c r="U556" i="12"/>
  <c r="V556" i="12" s="1"/>
  <c r="X556" i="12" s="1"/>
  <c r="U557" i="12"/>
  <c r="V557" i="12" s="1"/>
  <c r="X557" i="12" s="1"/>
  <c r="U567" i="12"/>
  <c r="V567" i="12" s="1"/>
  <c r="X567" i="12" s="1"/>
  <c r="U570" i="12"/>
  <c r="V570" i="12" s="1"/>
  <c r="X570" i="12" s="1"/>
  <c r="N577" i="12"/>
  <c r="U580" i="12"/>
  <c r="V580" i="12" s="1"/>
  <c r="X580" i="12" s="1"/>
  <c r="U589" i="12"/>
  <c r="V589" i="12" s="1"/>
  <c r="X589" i="12" s="1"/>
  <c r="N599" i="12"/>
  <c r="U616" i="12"/>
  <c r="U622" i="12"/>
  <c r="V622" i="12" s="1"/>
  <c r="X622" i="12" s="1"/>
  <c r="U639" i="12"/>
  <c r="V639" i="12" s="1"/>
  <c r="X639" i="12" s="1"/>
  <c r="U642" i="12"/>
  <c r="V642" i="12" s="1"/>
  <c r="X642" i="12" s="1"/>
  <c r="U663" i="12"/>
  <c r="V663" i="12" s="1"/>
  <c r="X663" i="12" s="1"/>
  <c r="N665" i="12"/>
  <c r="U666" i="12"/>
  <c r="V666" i="12" s="1"/>
  <c r="X666" i="12" s="1"/>
  <c r="U683" i="12"/>
  <c r="V683" i="12" s="1"/>
  <c r="X683" i="12" s="1"/>
  <c r="U690" i="12"/>
  <c r="V690" i="12" s="1"/>
  <c r="X690" i="12" s="1"/>
  <c r="U699" i="12"/>
  <c r="V699" i="12" s="1"/>
  <c r="X699" i="12" s="1"/>
  <c r="U704" i="12"/>
  <c r="V704" i="12" s="1"/>
  <c r="X704" i="12" s="1"/>
  <c r="U737" i="12"/>
  <c r="N737" i="12"/>
  <c r="U803" i="12"/>
  <c r="N803" i="12"/>
  <c r="U948" i="12"/>
  <c r="N948" i="12"/>
  <c r="U455" i="12"/>
  <c r="V455" i="12" s="1"/>
  <c r="X455" i="12" s="1"/>
  <c r="U698" i="12"/>
  <c r="V698" i="12" s="1"/>
  <c r="X698" i="12" s="1"/>
  <c r="U734" i="12"/>
  <c r="N734" i="12"/>
  <c r="U795" i="12"/>
  <c r="N795" i="12"/>
  <c r="U613" i="12"/>
  <c r="V613" i="12" s="1"/>
  <c r="X613" i="12" s="1"/>
  <c r="U615" i="12"/>
  <c r="U703" i="12"/>
  <c r="V703" i="12" s="1"/>
  <c r="X703" i="12" s="1"/>
  <c r="U821" i="12"/>
  <c r="N821" i="12"/>
  <c r="N477" i="12"/>
  <c r="N478" i="12"/>
  <c r="U480" i="12"/>
  <c r="V480" i="12" s="1"/>
  <c r="X480" i="12" s="1"/>
  <c r="U491" i="12"/>
  <c r="V491" i="12" s="1"/>
  <c r="X491" i="12" s="1"/>
  <c r="U529" i="12"/>
  <c r="V529" i="12" s="1"/>
  <c r="X529" i="12" s="1"/>
  <c r="U535" i="12"/>
  <c r="U536" i="12"/>
  <c r="U596" i="12"/>
  <c r="U609" i="12"/>
  <c r="V609" i="12" s="1"/>
  <c r="X609" i="12" s="1"/>
  <c r="N615" i="12"/>
  <c r="U620" i="12"/>
  <c r="U621" i="12"/>
  <c r="V621" i="12" s="1"/>
  <c r="X621" i="12" s="1"/>
  <c r="U627" i="12"/>
  <c r="V627" i="12" s="1"/>
  <c r="X627" i="12" s="1"/>
  <c r="U629" i="12"/>
  <c r="U644" i="12"/>
  <c r="V644" i="12" s="1"/>
  <c r="X644" i="12" s="1"/>
  <c r="N646" i="12"/>
  <c r="U678" i="12"/>
  <c r="V678" i="12" s="1"/>
  <c r="X678" i="12" s="1"/>
  <c r="U681" i="12"/>
  <c r="V681" i="12" s="1"/>
  <c r="X681" i="12" s="1"/>
  <c r="U688" i="12"/>
  <c r="V688" i="12" s="1"/>
  <c r="X688" i="12" s="1"/>
  <c r="U719" i="12"/>
  <c r="V719" i="12" s="1"/>
  <c r="X719" i="12" s="1"/>
  <c r="U723" i="12"/>
  <c r="N723" i="12"/>
  <c r="U438" i="12"/>
  <c r="V438" i="12" s="1"/>
  <c r="X438" i="12" s="1"/>
  <c r="U483" i="12"/>
  <c r="V483" i="12" s="1"/>
  <c r="X483" i="12" s="1"/>
  <c r="U494" i="12"/>
  <c r="U506" i="12"/>
  <c r="V506" i="12" s="1"/>
  <c r="X506" i="12" s="1"/>
  <c r="U509" i="12"/>
  <c r="U510" i="12"/>
  <c r="N535" i="12"/>
  <c r="U538" i="12"/>
  <c r="V538" i="12" s="1"/>
  <c r="X538" i="12" s="1"/>
  <c r="U584" i="12"/>
  <c r="N596" i="12"/>
  <c r="U632" i="12"/>
  <c r="V632" i="12" s="1"/>
  <c r="X632" i="12" s="1"/>
  <c r="U659" i="12"/>
  <c r="V659" i="12" s="1"/>
  <c r="X659" i="12" s="1"/>
  <c r="N933" i="12"/>
  <c r="U933" i="12"/>
  <c r="U951" i="12"/>
  <c r="N951" i="12"/>
  <c r="U489" i="12"/>
  <c r="V489" i="12" s="1"/>
  <c r="X489" i="12" s="1"/>
  <c r="U500" i="12"/>
  <c r="N509" i="12"/>
  <c r="N510" i="12"/>
  <c r="U512" i="12"/>
  <c r="V512" i="12" s="1"/>
  <c r="X512" i="12" s="1"/>
  <c r="U519" i="12"/>
  <c r="V519" i="12" s="1"/>
  <c r="X519" i="12" s="1"/>
  <c r="U587" i="12"/>
  <c r="V587" i="12" s="1"/>
  <c r="X587" i="12" s="1"/>
  <c r="U590" i="12"/>
  <c r="V590" i="12" s="1"/>
  <c r="X590" i="12" s="1"/>
  <c r="K625" i="12"/>
  <c r="N625" i="12" s="1"/>
  <c r="U643" i="12"/>
  <c r="V643" i="12" s="1"/>
  <c r="X643" i="12" s="1"/>
  <c r="U645" i="12"/>
  <c r="U664" i="12"/>
  <c r="V664" i="12" s="1"/>
  <c r="X664" i="12" s="1"/>
  <c r="U668" i="12"/>
  <c r="V668" i="12" s="1"/>
  <c r="X668" i="12" s="1"/>
  <c r="U691" i="12"/>
  <c r="V691" i="12" s="1"/>
  <c r="X691" i="12" s="1"/>
  <c r="U708" i="12"/>
  <c r="V708" i="12" s="1"/>
  <c r="X708" i="12" s="1"/>
  <c r="N710" i="12"/>
  <c r="U869" i="12"/>
  <c r="N869" i="12"/>
  <c r="U971" i="12"/>
  <c r="N971" i="12"/>
  <c r="N989" i="12"/>
  <c r="U989" i="12"/>
  <c r="U994" i="12"/>
  <c r="N994" i="12"/>
  <c r="U738" i="12"/>
  <c r="V738" i="12" s="1"/>
  <c r="X738" i="12" s="1"/>
  <c r="U740" i="12"/>
  <c r="U753" i="12"/>
  <c r="U755" i="12"/>
  <c r="V755" i="12" s="1"/>
  <c r="X755" i="12" s="1"/>
  <c r="U756" i="12"/>
  <c r="V756" i="12" s="1"/>
  <c r="X756" i="12" s="1"/>
  <c r="U768" i="12"/>
  <c r="V768" i="12" s="1"/>
  <c r="X768" i="12" s="1"/>
  <c r="U783" i="12"/>
  <c r="V783" i="12" s="1"/>
  <c r="X783" i="12" s="1"/>
  <c r="U787" i="12"/>
  <c r="V787" i="12" s="1"/>
  <c r="X787" i="12" s="1"/>
  <c r="U811" i="12"/>
  <c r="V811" i="12" s="1"/>
  <c r="X811" i="12" s="1"/>
  <c r="U771" i="12"/>
  <c r="V771" i="12" s="1"/>
  <c r="X771" i="12" s="1"/>
  <c r="U773" i="12"/>
  <c r="N806" i="12"/>
  <c r="U822" i="12"/>
  <c r="V822" i="12" s="1"/>
  <c r="X822" i="12" s="1"/>
  <c r="U845" i="12"/>
  <c r="V845" i="12" s="1"/>
  <c r="X845" i="12" s="1"/>
  <c r="U858" i="12"/>
  <c r="V858" i="12" s="1"/>
  <c r="X858" i="12" s="1"/>
  <c r="U861" i="12"/>
  <c r="V861" i="12" s="1"/>
  <c r="X861" i="12" s="1"/>
  <c r="U883" i="12"/>
  <c r="V883" i="12" s="1"/>
  <c r="X883" i="12" s="1"/>
  <c r="N900" i="12"/>
  <c r="N940" i="12"/>
  <c r="U968" i="12"/>
  <c r="V968" i="12" s="1"/>
  <c r="X968" i="12" s="1"/>
  <c r="N970" i="12"/>
  <c r="U974" i="12"/>
  <c r="V974" i="12" s="1"/>
  <c r="X974" i="12" s="1"/>
  <c r="N985" i="12"/>
  <c r="U1011" i="12"/>
  <c r="N785" i="12"/>
  <c r="U832" i="12"/>
  <c r="V832" i="12" s="1"/>
  <c r="X832" i="12" s="1"/>
  <c r="N915" i="12"/>
  <c r="U916" i="12"/>
  <c r="V916" i="12" s="1"/>
  <c r="X916" i="12" s="1"/>
  <c r="U918" i="12"/>
  <c r="U920" i="12"/>
  <c r="V920" i="12" s="1"/>
  <c r="X920" i="12" s="1"/>
  <c r="N950" i="12"/>
  <c r="U963" i="12"/>
  <c r="U979" i="12"/>
  <c r="U998" i="12"/>
  <c r="V998" i="12" s="1"/>
  <c r="X998" i="12" s="1"/>
  <c r="N739" i="12"/>
  <c r="N769" i="12"/>
  <c r="U809" i="12"/>
  <c r="U810" i="12"/>
  <c r="V810" i="12" s="1"/>
  <c r="X810" i="12" s="1"/>
  <c r="U831" i="12"/>
  <c r="V831" i="12" s="1"/>
  <c r="X831" i="12" s="1"/>
  <c r="U870" i="12"/>
  <c r="V870" i="12" s="1"/>
  <c r="X870" i="12" s="1"/>
  <c r="U871" i="12"/>
  <c r="V871" i="12" s="1"/>
  <c r="X871" i="12" s="1"/>
  <c r="U885" i="12"/>
  <c r="N895" i="12"/>
  <c r="U897" i="12"/>
  <c r="V897" i="12" s="1"/>
  <c r="X897" i="12" s="1"/>
  <c r="U899" i="12"/>
  <c r="U901" i="12"/>
  <c r="V901" i="12" s="1"/>
  <c r="X901" i="12" s="1"/>
  <c r="U904" i="12"/>
  <c r="V904" i="12" s="1"/>
  <c r="X904" i="12" s="1"/>
  <c r="U911" i="12"/>
  <c r="U914" i="12"/>
  <c r="N918" i="12"/>
  <c r="U961" i="12"/>
  <c r="V961" i="12" s="1"/>
  <c r="X961" i="12" s="1"/>
  <c r="U973" i="12"/>
  <c r="V973" i="12" s="1"/>
  <c r="X973" i="12" s="1"/>
  <c r="U975" i="12"/>
  <c r="U980" i="12"/>
  <c r="V980" i="12" s="1"/>
  <c r="X980" i="12" s="1"/>
  <c r="N1009" i="12"/>
  <c r="N1026" i="12"/>
  <c r="U730" i="12"/>
  <c r="V730" i="12" s="1"/>
  <c r="X730" i="12" s="1"/>
  <c r="U855" i="12"/>
  <c r="V855" i="12" s="1"/>
  <c r="X855" i="12" s="1"/>
  <c r="U865" i="12"/>
  <c r="V865" i="12" s="1"/>
  <c r="X865" i="12" s="1"/>
  <c r="U881" i="12"/>
  <c r="V881" i="12" s="1"/>
  <c r="X881" i="12" s="1"/>
  <c r="U887" i="12"/>
  <c r="V887" i="12" s="1"/>
  <c r="X887" i="12" s="1"/>
  <c r="N899" i="12"/>
  <c r="U907" i="12"/>
  <c r="U912" i="12"/>
  <c r="V912" i="12" s="1"/>
  <c r="X912" i="12" s="1"/>
  <c r="N914" i="12"/>
  <c r="N975" i="12"/>
  <c r="N1020" i="12"/>
  <c r="U1022" i="12"/>
  <c r="V1022" i="12" s="1"/>
  <c r="X1022" i="12" s="1"/>
  <c r="U747" i="12"/>
  <c r="V747" i="12" s="1"/>
  <c r="X747" i="12" s="1"/>
  <c r="U776" i="12"/>
  <c r="V776" i="12" s="1"/>
  <c r="X776" i="12" s="1"/>
  <c r="U794" i="12"/>
  <c r="V794" i="12" s="1"/>
  <c r="X794" i="12" s="1"/>
  <c r="U802" i="12"/>
  <c r="V802" i="12" s="1"/>
  <c r="X802" i="12" s="1"/>
  <c r="U820" i="12"/>
  <c r="V820" i="12" s="1"/>
  <c r="X820" i="12" s="1"/>
  <c r="U863" i="12"/>
  <c r="V863" i="12" s="1"/>
  <c r="X863" i="12" s="1"/>
  <c r="U868" i="12"/>
  <c r="V868" i="12" s="1"/>
  <c r="X868" i="12" s="1"/>
  <c r="U894" i="12"/>
  <c r="U896" i="12"/>
  <c r="V896" i="12" s="1"/>
  <c r="X896" i="12" s="1"/>
  <c r="U924" i="12"/>
  <c r="U978" i="12"/>
  <c r="U721" i="12"/>
  <c r="V721" i="12" s="1"/>
  <c r="X721" i="12" s="1"/>
  <c r="N741" i="12"/>
  <c r="U778" i="12"/>
  <c r="V778" i="12" s="1"/>
  <c r="X778" i="12" s="1"/>
  <c r="N780" i="12"/>
  <c r="U830" i="12"/>
  <c r="V830" i="12" s="1"/>
  <c r="X830" i="12" s="1"/>
  <c r="U840" i="12"/>
  <c r="V840" i="12" s="1"/>
  <c r="X840" i="12" s="1"/>
  <c r="N852" i="12"/>
  <c r="U857" i="12"/>
  <c r="U862" i="12"/>
  <c r="V862" i="12" s="1"/>
  <c r="X862" i="12" s="1"/>
  <c r="N872" i="12"/>
  <c r="U890" i="12"/>
  <c r="U934" i="12"/>
  <c r="U960" i="12"/>
  <c r="V960" i="12" s="1"/>
  <c r="X960" i="12" s="1"/>
  <c r="U966" i="12"/>
  <c r="V966" i="12" s="1"/>
  <c r="X966" i="12" s="1"/>
  <c r="U991" i="12"/>
  <c r="V991" i="12" s="1"/>
  <c r="X991" i="12" s="1"/>
  <c r="S78" i="11"/>
  <c r="H53" i="11"/>
  <c r="S19" i="11"/>
  <c r="K24" i="11"/>
  <c r="H32" i="11"/>
  <c r="R32" i="11" s="1"/>
  <c r="K34" i="11"/>
  <c r="H35" i="11"/>
  <c r="K45" i="11"/>
  <c r="H46" i="11"/>
  <c r="H48" i="11"/>
  <c r="H70" i="11"/>
  <c r="K17" i="11"/>
  <c r="H18" i="11"/>
  <c r="H33" i="11"/>
  <c r="H19" i="11"/>
  <c r="H37" i="11"/>
  <c r="H42" i="11"/>
  <c r="H43" i="11"/>
  <c r="H54" i="11"/>
  <c r="S66" i="11"/>
  <c r="K68" i="11"/>
  <c r="R68" i="11" s="1"/>
  <c r="H78" i="11"/>
  <c r="K53" i="11"/>
  <c r="K73" i="11"/>
  <c r="K76" i="11"/>
  <c r="R76" i="11" s="1"/>
  <c r="H17" i="11"/>
  <c r="S48" i="11"/>
  <c r="K35" i="11"/>
  <c r="J7" i="9"/>
  <c r="K29" i="11"/>
  <c r="K33" i="11"/>
  <c r="H38" i="11"/>
  <c r="K46" i="11"/>
  <c r="S52" i="11"/>
  <c r="K27" i="11"/>
  <c r="S32" i="11"/>
  <c r="S51" i="11"/>
  <c r="K54" i="11"/>
  <c r="S69" i="11"/>
  <c r="K20" i="11"/>
  <c r="K22" i="11"/>
  <c r="R22" i="11" s="1"/>
  <c r="K25" i="11"/>
  <c r="R25" i="11" s="1"/>
  <c r="K30" i="11"/>
  <c r="R30" i="11" s="1"/>
  <c r="S42" i="11"/>
  <c r="K49" i="11"/>
  <c r="S76" i="11"/>
  <c r="S77" i="11"/>
  <c r="S28" i="11"/>
  <c r="S74" i="11"/>
  <c r="S20" i="11"/>
  <c r="K21" i="11"/>
  <c r="K36" i="11"/>
  <c r="H40" i="11"/>
  <c r="S40" i="11"/>
  <c r="K41" i="11"/>
  <c r="H45" i="11"/>
  <c r="S45" i="11"/>
  <c r="K50" i="11"/>
  <c r="R50" i="11" s="1"/>
  <c r="K56" i="11"/>
  <c r="S60" i="11"/>
  <c r="K61" i="11"/>
  <c r="H63" i="11"/>
  <c r="K63" i="11"/>
  <c r="S63" i="11"/>
  <c r="S68" i="11"/>
  <c r="H72" i="11"/>
  <c r="S72" i="11"/>
  <c r="H74" i="11"/>
  <c r="H55" i="11"/>
  <c r="K55" i="11"/>
  <c r="S55" i="11"/>
  <c r="N284" i="12"/>
  <c r="S44" i="11"/>
  <c r="N9" i="12"/>
  <c r="U449" i="12"/>
  <c r="N449" i="12"/>
  <c r="H23" i="11"/>
  <c r="K23" i="11"/>
  <c r="H24" i="11"/>
  <c r="S34" i="11"/>
  <c r="H39" i="11"/>
  <c r="K39" i="11"/>
  <c r="H79" i="11"/>
  <c r="K79" i="11"/>
  <c r="S79" i="11"/>
  <c r="H47" i="11"/>
  <c r="K47" i="11"/>
  <c r="S24" i="11"/>
  <c r="H29" i="11"/>
  <c r="H34" i="11"/>
  <c r="H49" i="11"/>
  <c r="H64" i="11"/>
  <c r="H73" i="11"/>
  <c r="H21" i="11"/>
  <c r="S36" i="11"/>
  <c r="H41" i="11"/>
  <c r="K52" i="11"/>
  <c r="R52" i="11" s="1"/>
  <c r="H56" i="11"/>
  <c r="K57" i="11"/>
  <c r="R57" i="11" s="1"/>
  <c r="H61" i="11"/>
  <c r="K65" i="11"/>
  <c r="R65" i="11" s="1"/>
  <c r="H71" i="11"/>
  <c r="K71" i="11"/>
  <c r="S71" i="11"/>
  <c r="S23" i="11"/>
  <c r="K28" i="11"/>
  <c r="R28" i="11" s="1"/>
  <c r="S39" i="11"/>
  <c r="K18" i="11"/>
  <c r="R18" i="11" s="1"/>
  <c r="H31" i="11"/>
  <c r="K31" i="11"/>
  <c r="R31" i="11" s="1"/>
  <c r="S31" i="11"/>
  <c r="K44" i="11"/>
  <c r="R44" i="11" s="1"/>
  <c r="K58" i="11"/>
  <c r="R58" i="11" s="1"/>
  <c r="K66" i="11"/>
  <c r="R66" i="11" s="1"/>
  <c r="K77" i="11"/>
  <c r="R77" i="11" s="1"/>
  <c r="N270" i="12"/>
  <c r="U388" i="12"/>
  <c r="N388" i="12"/>
  <c r="U421" i="12"/>
  <c r="N421" i="12"/>
  <c r="V315" i="12"/>
  <c r="X315" i="12" s="1"/>
  <c r="U336" i="12"/>
  <c r="V336" i="12" s="1"/>
  <c r="X336" i="12" s="1"/>
  <c r="D7" i="9"/>
  <c r="K30" i="12"/>
  <c r="N30" i="12" s="1"/>
  <c r="V30" i="12" s="1"/>
  <c r="X30" i="12" s="1"/>
  <c r="V267" i="12"/>
  <c r="X267" i="12" s="1"/>
  <c r="N271" i="12"/>
  <c r="V288" i="12"/>
  <c r="X288" i="12" s="1"/>
  <c r="V293" i="12"/>
  <c r="X293" i="12" s="1"/>
  <c r="V316" i="12"/>
  <c r="X316" i="12" s="1"/>
  <c r="N401" i="12"/>
  <c r="U337" i="12"/>
  <c r="N337" i="12"/>
  <c r="N443" i="12"/>
  <c r="U443" i="12"/>
  <c r="W231" i="12"/>
  <c r="X231" i="12" s="1"/>
  <c r="N314" i="12"/>
  <c r="N368" i="12"/>
  <c r="N383" i="12"/>
  <c r="U383" i="12"/>
  <c r="N415" i="12"/>
  <c r="U415" i="12"/>
  <c r="N436" i="12"/>
  <c r="U436" i="12"/>
  <c r="W232" i="12"/>
  <c r="X232" i="12" s="1"/>
  <c r="V294" i="12"/>
  <c r="X294" i="12" s="1"/>
  <c r="N312" i="12"/>
  <c r="N313" i="12"/>
  <c r="N442" i="12"/>
  <c r="U352" i="12"/>
  <c r="N352" i="12"/>
  <c r="U389" i="12"/>
  <c r="N389" i="12"/>
  <c r="N260" i="12"/>
  <c r="K290" i="12"/>
  <c r="U290" i="12" s="1"/>
  <c r="V320" i="12"/>
  <c r="X320" i="12" s="1"/>
  <c r="N376" i="12"/>
  <c r="U376" i="12"/>
  <c r="V404" i="12"/>
  <c r="X404" i="12" s="1"/>
  <c r="N408" i="12"/>
  <c r="U408" i="12"/>
  <c r="J8" i="9"/>
  <c r="U340" i="12"/>
  <c r="V340" i="12" s="1"/>
  <c r="X340" i="12" s="1"/>
  <c r="U366" i="12"/>
  <c r="V366" i="12" s="1"/>
  <c r="X366" i="12" s="1"/>
  <c r="U385" i="12"/>
  <c r="V385" i="12" s="1"/>
  <c r="X385" i="12" s="1"/>
  <c r="V392" i="12"/>
  <c r="X392" i="12" s="1"/>
  <c r="V399" i="12"/>
  <c r="X399" i="12" s="1"/>
  <c r="U422" i="12"/>
  <c r="V422" i="12" s="1"/>
  <c r="X422" i="12" s="1"/>
  <c r="U424" i="12"/>
  <c r="V424" i="12" s="1"/>
  <c r="X424" i="12" s="1"/>
  <c r="U450" i="12"/>
  <c r="V450" i="12" s="1"/>
  <c r="X450" i="12" s="1"/>
  <c r="U452" i="12"/>
  <c r="V452" i="12" s="1"/>
  <c r="X452" i="12" s="1"/>
  <c r="U459" i="12"/>
  <c r="V459" i="12" s="1"/>
  <c r="X459" i="12" s="1"/>
  <c r="N481" i="12"/>
  <c r="N494" i="12"/>
  <c r="N500" i="12"/>
  <c r="U501" i="12"/>
  <c r="V501" i="12" s="1"/>
  <c r="X501" i="12" s="1"/>
  <c r="N513" i="12"/>
  <c r="N534" i="12"/>
  <c r="N536" i="12"/>
  <c r="N571" i="12"/>
  <c r="U571" i="12"/>
  <c r="U341" i="12"/>
  <c r="U350" i="12"/>
  <c r="V350" i="12" s="1"/>
  <c r="X350" i="12" s="1"/>
  <c r="U429" i="12"/>
  <c r="U457" i="12"/>
  <c r="U479" i="12"/>
  <c r="V479" i="12" s="1"/>
  <c r="X479" i="12" s="1"/>
  <c r="U497" i="12"/>
  <c r="V497" i="12" s="1"/>
  <c r="X497" i="12" s="1"/>
  <c r="U511" i="12"/>
  <c r="V511" i="12" s="1"/>
  <c r="X511" i="12" s="1"/>
  <c r="U543" i="12"/>
  <c r="N543" i="12"/>
  <c r="U554" i="12"/>
  <c r="V554" i="12" s="1"/>
  <c r="X554" i="12" s="1"/>
  <c r="N561" i="12"/>
  <c r="U561" i="12"/>
  <c r="N341" i="12"/>
  <c r="U365" i="12"/>
  <c r="V365" i="12" s="1"/>
  <c r="X365" i="12" s="1"/>
  <c r="U367" i="12"/>
  <c r="V367" i="12" s="1"/>
  <c r="X367" i="12" s="1"/>
  <c r="U380" i="12"/>
  <c r="V380" i="12" s="1"/>
  <c r="X380" i="12" s="1"/>
  <c r="V393" i="12"/>
  <c r="X393" i="12" s="1"/>
  <c r="N397" i="12"/>
  <c r="V398" i="12"/>
  <c r="X398" i="12" s="1"/>
  <c r="V400" i="12"/>
  <c r="X400" i="12" s="1"/>
  <c r="U412" i="12"/>
  <c r="V412" i="12" s="1"/>
  <c r="X412" i="12" s="1"/>
  <c r="U425" i="12"/>
  <c r="V425" i="12" s="1"/>
  <c r="X425" i="12" s="1"/>
  <c r="N429" i="12"/>
  <c r="U430" i="12"/>
  <c r="V430" i="12" s="1"/>
  <c r="X430" i="12" s="1"/>
  <c r="U440" i="12"/>
  <c r="V440" i="12" s="1"/>
  <c r="X440" i="12" s="1"/>
  <c r="U453" i="12"/>
  <c r="V453" i="12" s="1"/>
  <c r="X453" i="12" s="1"/>
  <c r="N457" i="12"/>
  <c r="U458" i="12"/>
  <c r="V458" i="12" s="1"/>
  <c r="X458" i="12" s="1"/>
  <c r="U460" i="12"/>
  <c r="V460" i="12" s="1"/>
  <c r="X460" i="12" s="1"/>
  <c r="N502" i="12"/>
  <c r="U539" i="12"/>
  <c r="N539" i="12"/>
  <c r="U555" i="12"/>
  <c r="V555" i="12" s="1"/>
  <c r="X555" i="12" s="1"/>
  <c r="U562" i="12"/>
  <c r="V562" i="12" s="1"/>
  <c r="X562" i="12" s="1"/>
  <c r="V405" i="12"/>
  <c r="X405" i="12" s="1"/>
  <c r="U545" i="12"/>
  <c r="V545" i="12" s="1"/>
  <c r="X545" i="12" s="1"/>
  <c r="N591" i="12"/>
  <c r="U591" i="12"/>
  <c r="U585" i="12"/>
  <c r="N585" i="12"/>
  <c r="N374" i="12"/>
  <c r="U381" i="12"/>
  <c r="V381" i="12" s="1"/>
  <c r="X381" i="12" s="1"/>
  <c r="N406" i="12"/>
  <c r="U413" i="12"/>
  <c r="V413" i="12" s="1"/>
  <c r="X413" i="12" s="1"/>
  <c r="U441" i="12"/>
  <c r="V441" i="12" s="1"/>
  <c r="X441" i="12" s="1"/>
  <c r="N485" i="12"/>
  <c r="U486" i="12"/>
  <c r="V486" i="12" s="1"/>
  <c r="X486" i="12" s="1"/>
  <c r="U488" i="12"/>
  <c r="V488" i="12" s="1"/>
  <c r="X488" i="12" s="1"/>
  <c r="U495" i="12"/>
  <c r="V495" i="12" s="1"/>
  <c r="X495" i="12" s="1"/>
  <c r="N517" i="12"/>
  <c r="U518" i="12"/>
  <c r="V518" i="12" s="1"/>
  <c r="X518" i="12" s="1"/>
  <c r="U520" i="12"/>
  <c r="V520" i="12" s="1"/>
  <c r="X520" i="12" s="1"/>
  <c r="U537" i="12"/>
  <c r="V537" i="12" s="1"/>
  <c r="X537" i="12" s="1"/>
  <c r="U558" i="12"/>
  <c r="N564" i="12"/>
  <c r="N584" i="12"/>
  <c r="U451" i="12"/>
  <c r="V451" i="12" s="1"/>
  <c r="X451" i="12" s="1"/>
  <c r="U493" i="12"/>
  <c r="V493" i="12" s="1"/>
  <c r="X493" i="12" s="1"/>
  <c r="U528" i="12"/>
  <c r="V528" i="12" s="1"/>
  <c r="X528" i="12" s="1"/>
  <c r="N546" i="12"/>
  <c r="U546" i="12"/>
  <c r="N578" i="12"/>
  <c r="U578" i="12"/>
  <c r="U579" i="12"/>
  <c r="V579" i="12" s="1"/>
  <c r="X579" i="12" s="1"/>
  <c r="U526" i="12"/>
  <c r="N526" i="12"/>
  <c r="U552" i="12"/>
  <c r="N552" i="12"/>
  <c r="U527" i="12"/>
  <c r="V527" i="12" s="1"/>
  <c r="X527" i="12" s="1"/>
  <c r="N558" i="12"/>
  <c r="U559" i="12"/>
  <c r="V559" i="12" s="1"/>
  <c r="X559" i="12" s="1"/>
  <c r="N575" i="12"/>
  <c r="U576" i="12"/>
  <c r="V576" i="12" s="1"/>
  <c r="X576" i="12" s="1"/>
  <c r="N588" i="12"/>
  <c r="N607" i="12"/>
  <c r="U608" i="12"/>
  <c r="V608" i="12" s="1"/>
  <c r="X608" i="12" s="1"/>
  <c r="N620" i="12"/>
  <c r="U628" i="12"/>
  <c r="V628" i="12" s="1"/>
  <c r="X628" i="12" s="1"/>
  <c r="U641" i="12"/>
  <c r="V641" i="12" s="1"/>
  <c r="X641" i="12" s="1"/>
  <c r="N645" i="12"/>
  <c r="U648" i="12"/>
  <c r="V648" i="12" s="1"/>
  <c r="X648" i="12" s="1"/>
  <c r="U655" i="12"/>
  <c r="V655" i="12" s="1"/>
  <c r="X655" i="12" s="1"/>
  <c r="U660" i="12"/>
  <c r="V660" i="12" s="1"/>
  <c r="X660" i="12" s="1"/>
  <c r="U673" i="12"/>
  <c r="V673" i="12" s="1"/>
  <c r="X673" i="12" s="1"/>
  <c r="N677" i="12"/>
  <c r="U680" i="12"/>
  <c r="V680" i="12" s="1"/>
  <c r="X680" i="12" s="1"/>
  <c r="U687" i="12"/>
  <c r="V687" i="12" s="1"/>
  <c r="X687" i="12" s="1"/>
  <c r="U692" i="12"/>
  <c r="V692" i="12" s="1"/>
  <c r="X692" i="12" s="1"/>
  <c r="U705" i="12"/>
  <c r="V705" i="12" s="1"/>
  <c r="X705" i="12" s="1"/>
  <c r="N709" i="12"/>
  <c r="N720" i="12"/>
  <c r="U720" i="12"/>
  <c r="U743" i="12"/>
  <c r="V743" i="12" s="1"/>
  <c r="X743" i="12" s="1"/>
  <c r="U761" i="12"/>
  <c r="V761" i="12" s="1"/>
  <c r="X761" i="12" s="1"/>
  <c r="U772" i="12"/>
  <c r="V772" i="12" s="1"/>
  <c r="X772" i="12" s="1"/>
  <c r="U604" i="12"/>
  <c r="V604" i="12" s="1"/>
  <c r="X604" i="12" s="1"/>
  <c r="U611" i="12"/>
  <c r="V611" i="12" s="1"/>
  <c r="X611" i="12" s="1"/>
  <c r="U623" i="12"/>
  <c r="V623" i="12" s="1"/>
  <c r="X623" i="12" s="1"/>
  <c r="U748" i="12"/>
  <c r="V748" i="12" s="1"/>
  <c r="X748" i="12" s="1"/>
  <c r="U781" i="12"/>
  <c r="N781" i="12"/>
  <c r="U717" i="12"/>
  <c r="N717" i="12"/>
  <c r="U726" i="12"/>
  <c r="N726" i="12"/>
  <c r="U732" i="12"/>
  <c r="N732" i="12"/>
  <c r="N752" i="12"/>
  <c r="U752" i="12"/>
  <c r="N767" i="12"/>
  <c r="U767" i="12"/>
  <c r="N792" i="12"/>
  <c r="U792" i="12"/>
  <c r="N799" i="12"/>
  <c r="U799" i="12"/>
  <c r="U805" i="12"/>
  <c r="N805" i="12"/>
  <c r="N616" i="12"/>
  <c r="N654" i="12"/>
  <c r="N686" i="12"/>
  <c r="U713" i="12"/>
  <c r="N713" i="12"/>
  <c r="N725" i="12"/>
  <c r="N740" i="12"/>
  <c r="N742" i="12"/>
  <c r="N753" i="12"/>
  <c r="U592" i="12"/>
  <c r="N617" i="12"/>
  <c r="U624" i="12"/>
  <c r="N629" i="12"/>
  <c r="U630" i="12"/>
  <c r="N661" i="12"/>
  <c r="U662" i="12"/>
  <c r="N693" i="12"/>
  <c r="U694" i="12"/>
  <c r="U749" i="12"/>
  <c r="N749" i="12"/>
  <c r="U757" i="12"/>
  <c r="U758" i="12"/>
  <c r="N758" i="12"/>
  <c r="U764" i="12"/>
  <c r="N764" i="12"/>
  <c r="N766" i="12"/>
  <c r="N798" i="12"/>
  <c r="U544" i="12"/>
  <c r="V544" i="12" s="1"/>
  <c r="X544" i="12" s="1"/>
  <c r="N592" i="12"/>
  <c r="U593" i="12"/>
  <c r="V593" i="12" s="1"/>
  <c r="X593" i="12" s="1"/>
  <c r="U595" i="12"/>
  <c r="V595" i="12" s="1"/>
  <c r="X595" i="12" s="1"/>
  <c r="N624" i="12"/>
  <c r="N630" i="12"/>
  <c r="U637" i="12"/>
  <c r="V637" i="12" s="1"/>
  <c r="X637" i="12" s="1"/>
  <c r="N662" i="12"/>
  <c r="U669" i="12"/>
  <c r="V669" i="12" s="1"/>
  <c r="X669" i="12" s="1"/>
  <c r="N694" i="12"/>
  <c r="U701" i="12"/>
  <c r="V701" i="12" s="1"/>
  <c r="X701" i="12" s="1"/>
  <c r="U728" i="12"/>
  <c r="V728" i="12" s="1"/>
  <c r="X728" i="12" s="1"/>
  <c r="U735" i="12"/>
  <c r="V735" i="12" s="1"/>
  <c r="X735" i="12" s="1"/>
  <c r="U745" i="12"/>
  <c r="N745" i="12"/>
  <c r="N757" i="12"/>
  <c r="N804" i="12"/>
  <c r="U551" i="12"/>
  <c r="V551" i="12" s="1"/>
  <c r="X551" i="12" s="1"/>
  <c r="U568" i="12"/>
  <c r="V568" i="12" s="1"/>
  <c r="X568" i="12" s="1"/>
  <c r="U600" i="12"/>
  <c r="V600" i="12" s="1"/>
  <c r="X600" i="12" s="1"/>
  <c r="U638" i="12"/>
  <c r="U647" i="12"/>
  <c r="V647" i="12" s="1"/>
  <c r="X647" i="12" s="1"/>
  <c r="U670" i="12"/>
  <c r="U679" i="12"/>
  <c r="V679" i="12" s="1"/>
  <c r="X679" i="12" s="1"/>
  <c r="U702" i="12"/>
  <c r="U711" i="12"/>
  <c r="V711" i="12" s="1"/>
  <c r="X711" i="12" s="1"/>
  <c r="U751" i="12"/>
  <c r="V751" i="12" s="1"/>
  <c r="X751" i="12" s="1"/>
  <c r="U569" i="12"/>
  <c r="V569" i="12" s="1"/>
  <c r="X569" i="12" s="1"/>
  <c r="U601" i="12"/>
  <c r="V601" i="12" s="1"/>
  <c r="X601" i="12" s="1"/>
  <c r="U603" i="12"/>
  <c r="V603" i="12" s="1"/>
  <c r="X603" i="12" s="1"/>
  <c r="U610" i="12"/>
  <c r="V610" i="12" s="1"/>
  <c r="X610" i="12" s="1"/>
  <c r="N638" i="12"/>
  <c r="N670" i="12"/>
  <c r="N702" i="12"/>
  <c r="U760" i="12"/>
  <c r="V760" i="12" s="1"/>
  <c r="X760" i="12" s="1"/>
  <c r="N773" i="12"/>
  <c r="N774" i="12"/>
  <c r="U796" i="12"/>
  <c r="U733" i="12"/>
  <c r="V733" i="12" s="1"/>
  <c r="X733" i="12" s="1"/>
  <c r="U765" i="12"/>
  <c r="V765" i="12" s="1"/>
  <c r="X765" i="12" s="1"/>
  <c r="N777" i="12"/>
  <c r="N796" i="12"/>
  <c r="U797" i="12"/>
  <c r="V797" i="12" s="1"/>
  <c r="X797" i="12" s="1"/>
  <c r="N809" i="12"/>
  <c r="U860" i="12"/>
  <c r="V860" i="12" s="1"/>
  <c r="X860" i="12" s="1"/>
  <c r="N864" i="12"/>
  <c r="U867" i="12"/>
  <c r="V867" i="12" s="1"/>
  <c r="X867" i="12" s="1"/>
  <c r="U874" i="12"/>
  <c r="V874" i="12" s="1"/>
  <c r="X874" i="12" s="1"/>
  <c r="U888" i="12"/>
  <c r="V888" i="12" s="1"/>
  <c r="X888" i="12" s="1"/>
  <c r="N911" i="12"/>
  <c r="U919" i="12"/>
  <c r="V919" i="12" s="1"/>
  <c r="X919" i="12" s="1"/>
  <c r="U923" i="12"/>
  <c r="N923" i="12"/>
  <c r="N924" i="12"/>
  <c r="U926" i="12"/>
  <c r="V926" i="12" s="1"/>
  <c r="X926" i="12" s="1"/>
  <c r="U932" i="12"/>
  <c r="N932" i="12"/>
  <c r="N934" i="12"/>
  <c r="U947" i="12"/>
  <c r="N947" i="12"/>
  <c r="U964" i="12"/>
  <c r="V964" i="12" s="1"/>
  <c r="X964" i="12" s="1"/>
  <c r="N969" i="12"/>
  <c r="U983" i="12"/>
  <c r="V983" i="12" s="1"/>
  <c r="X983" i="12" s="1"/>
  <c r="U986" i="12"/>
  <c r="V986" i="12" s="1"/>
  <c r="X986" i="12" s="1"/>
  <c r="N1002" i="12"/>
  <c r="U1002" i="12"/>
  <c r="N1006" i="12"/>
  <c r="U1006" i="12"/>
  <c r="N837" i="12"/>
  <c r="U913" i="12"/>
  <c r="N913" i="12"/>
  <c r="U835" i="12"/>
  <c r="V835" i="12" s="1"/>
  <c r="X835" i="12" s="1"/>
  <c r="N873" i="12"/>
  <c r="N890" i="12"/>
  <c r="U908" i="12"/>
  <c r="V908" i="12" s="1"/>
  <c r="X908" i="12" s="1"/>
  <c r="U909" i="12"/>
  <c r="V909" i="12" s="1"/>
  <c r="X909" i="12" s="1"/>
  <c r="N917" i="12"/>
  <c r="U917" i="12"/>
  <c r="U929" i="12"/>
  <c r="V929" i="12" s="1"/>
  <c r="X929" i="12" s="1"/>
  <c r="N937" i="12"/>
  <c r="N939" i="12"/>
  <c r="U957" i="12"/>
  <c r="V957" i="12" s="1"/>
  <c r="X957" i="12" s="1"/>
  <c r="N963" i="12"/>
  <c r="U987" i="12"/>
  <c r="N987" i="12"/>
  <c r="U996" i="12"/>
  <c r="U999" i="12"/>
  <c r="V999" i="12" s="1"/>
  <c r="X999" i="12" s="1"/>
  <c r="U833" i="12"/>
  <c r="U879" i="12"/>
  <c r="V879" i="12" s="1"/>
  <c r="X879" i="12" s="1"/>
  <c r="U930" i="12"/>
  <c r="V930" i="12" s="1"/>
  <c r="X930" i="12" s="1"/>
  <c r="U954" i="12"/>
  <c r="N978" i="12"/>
  <c r="N979" i="12"/>
  <c r="U718" i="12"/>
  <c r="V718" i="12" s="1"/>
  <c r="X718" i="12" s="1"/>
  <c r="U727" i="12"/>
  <c r="V727" i="12" s="1"/>
  <c r="X727" i="12" s="1"/>
  <c r="U750" i="12"/>
  <c r="V750" i="12" s="1"/>
  <c r="X750" i="12" s="1"/>
  <c r="U759" i="12"/>
  <c r="V759" i="12" s="1"/>
  <c r="X759" i="12" s="1"/>
  <c r="U782" i="12"/>
  <c r="V782" i="12" s="1"/>
  <c r="X782" i="12" s="1"/>
  <c r="U784" i="12"/>
  <c r="V784" i="12" s="1"/>
  <c r="X784" i="12" s="1"/>
  <c r="U823" i="12"/>
  <c r="V823" i="12" s="1"/>
  <c r="X823" i="12" s="1"/>
  <c r="N833" i="12"/>
  <c r="U834" i="12"/>
  <c r="V834" i="12" s="1"/>
  <c r="X834" i="12" s="1"/>
  <c r="U836" i="12"/>
  <c r="V836" i="12" s="1"/>
  <c r="X836" i="12" s="1"/>
  <c r="U843" i="12"/>
  <c r="V843" i="12" s="1"/>
  <c r="X843" i="12" s="1"/>
  <c r="U856" i="12"/>
  <c r="V856" i="12" s="1"/>
  <c r="X856" i="12" s="1"/>
  <c r="U884" i="12"/>
  <c r="V884" i="12" s="1"/>
  <c r="X884" i="12" s="1"/>
  <c r="N892" i="12"/>
  <c r="N894" i="12"/>
  <c r="U898" i="12"/>
  <c r="V898" i="12" s="1"/>
  <c r="X898" i="12" s="1"/>
  <c r="U903" i="12"/>
  <c r="V903" i="12" s="1"/>
  <c r="X903" i="12" s="1"/>
  <c r="U922" i="12"/>
  <c r="V922" i="12" s="1"/>
  <c r="X922" i="12" s="1"/>
  <c r="N941" i="12"/>
  <c r="U941" i="12"/>
  <c r="U949" i="12"/>
  <c r="V949" i="12" s="1"/>
  <c r="X949" i="12" s="1"/>
  <c r="N954" i="12"/>
  <c r="U972" i="12"/>
  <c r="V972" i="12" s="1"/>
  <c r="X972" i="12" s="1"/>
  <c r="N982" i="12"/>
  <c r="U993" i="12"/>
  <c r="V993" i="12" s="1"/>
  <c r="X993" i="12" s="1"/>
  <c r="U789" i="12"/>
  <c r="U841" i="12"/>
  <c r="U866" i="12"/>
  <c r="V866" i="12" s="1"/>
  <c r="X866" i="12" s="1"/>
  <c r="U943" i="12"/>
  <c r="N943" i="12"/>
  <c r="U956" i="12"/>
  <c r="U1003" i="12"/>
  <c r="N1003" i="12"/>
  <c r="N789" i="12"/>
  <c r="U790" i="12"/>
  <c r="V790" i="12" s="1"/>
  <c r="X790" i="12" s="1"/>
  <c r="N841" i="12"/>
  <c r="U842" i="12"/>
  <c r="V842" i="12" s="1"/>
  <c r="X842" i="12" s="1"/>
  <c r="U844" i="12"/>
  <c r="V844" i="12" s="1"/>
  <c r="X844" i="12" s="1"/>
  <c r="N857" i="12"/>
  <c r="N885" i="12"/>
  <c r="U889" i="12"/>
  <c r="V889" i="12" s="1"/>
  <c r="X889" i="12" s="1"/>
  <c r="N907" i="12"/>
  <c r="U938" i="12"/>
  <c r="V938" i="12" s="1"/>
  <c r="X938" i="12" s="1"/>
  <c r="N956" i="12"/>
  <c r="N958" i="12"/>
  <c r="U962" i="12"/>
  <c r="V962" i="12" s="1"/>
  <c r="X962" i="12" s="1"/>
  <c r="U967" i="12"/>
  <c r="V967" i="12" s="1"/>
  <c r="X967" i="12" s="1"/>
  <c r="N990" i="12"/>
  <c r="U990" i="12"/>
  <c r="U1007" i="12"/>
  <c r="U891" i="12"/>
  <c r="V891" i="12" s="1"/>
  <c r="X891" i="12" s="1"/>
  <c r="U955" i="12"/>
  <c r="V955" i="12" s="1"/>
  <c r="X955" i="12" s="1"/>
  <c r="N977" i="12"/>
  <c r="N996" i="12"/>
  <c r="U1001" i="12"/>
  <c r="V1001" i="12" s="1"/>
  <c r="X1001" i="12" s="1"/>
  <c r="U1005" i="12"/>
  <c r="V1005" i="12" s="1"/>
  <c r="X1005" i="12" s="1"/>
  <c r="N1007" i="12"/>
  <c r="N1011" i="12"/>
  <c r="V1018" i="12"/>
  <c r="X1018" i="12" s="1"/>
  <c r="U1024" i="12"/>
  <c r="V1024" i="12" s="1"/>
  <c r="X1024" i="12" s="1"/>
  <c r="U1032" i="12"/>
  <c r="V1032" i="12" s="1"/>
  <c r="X1032" i="12" s="1"/>
  <c r="U1040" i="12"/>
  <c r="V1040" i="12" s="1"/>
  <c r="X1040" i="12" s="1"/>
  <c r="U1048" i="12"/>
  <c r="V1048" i="12" s="1"/>
  <c r="X1048" i="12" s="1"/>
  <c r="U1056" i="12"/>
  <c r="V1056" i="12" s="1"/>
  <c r="X1056" i="12" s="1"/>
  <c r="U1099" i="12"/>
  <c r="V1099" i="12" s="1"/>
  <c r="X1099" i="12" s="1"/>
  <c r="N1115" i="12"/>
  <c r="U1136" i="12"/>
  <c r="N1136" i="12"/>
  <c r="U1108" i="12"/>
  <c r="N1108" i="12"/>
  <c r="U1120" i="12"/>
  <c r="N1120" i="12"/>
  <c r="U1124" i="12"/>
  <c r="N1124" i="12"/>
  <c r="U1128" i="12"/>
  <c r="N1128" i="12"/>
  <c r="U1132" i="12"/>
  <c r="N1132" i="12"/>
  <c r="U1100" i="12"/>
  <c r="N1100" i="12"/>
  <c r="N1119" i="12"/>
  <c r="U1119" i="12"/>
  <c r="N1123" i="12"/>
  <c r="U1123" i="12"/>
  <c r="N1127" i="12"/>
  <c r="U1127" i="12"/>
  <c r="N1131" i="12"/>
  <c r="U1131" i="12"/>
  <c r="U931" i="12"/>
  <c r="V931" i="12" s="1"/>
  <c r="X931" i="12" s="1"/>
  <c r="U981" i="12"/>
  <c r="V981" i="12" s="1"/>
  <c r="X981" i="12" s="1"/>
  <c r="U995" i="12"/>
  <c r="V995" i="12" s="1"/>
  <c r="X995" i="12" s="1"/>
  <c r="U1103" i="12"/>
  <c r="V1103" i="12" s="1"/>
  <c r="X1103" i="12" s="1"/>
  <c r="U1116" i="12"/>
  <c r="N1116" i="12"/>
  <c r="U1144" i="12"/>
  <c r="N1144" i="12"/>
  <c r="U997" i="12"/>
  <c r="V997" i="12" s="1"/>
  <c r="X997" i="12" s="1"/>
  <c r="U1140" i="12"/>
  <c r="N1140" i="12"/>
  <c r="G10" i="9"/>
  <c r="N8" i="14"/>
  <c r="W115" i="14"/>
  <c r="W131" i="14"/>
  <c r="W147" i="14"/>
  <c r="N153" i="14"/>
  <c r="N160" i="14"/>
  <c r="U180" i="14"/>
  <c r="W180" i="14" s="1"/>
  <c r="U167" i="14"/>
  <c r="W167" i="14" s="1"/>
  <c r="N186" i="14"/>
  <c r="W17" i="13"/>
  <c r="W15" i="14"/>
  <c r="W31" i="14"/>
  <c r="W47" i="14"/>
  <c r="W63" i="14"/>
  <c r="W79" i="14"/>
  <c r="W95" i="14"/>
  <c r="W102" i="14"/>
  <c r="U152" i="14"/>
  <c r="W152" i="14" s="1"/>
  <c r="N166" i="14"/>
  <c r="U166" i="14" s="1"/>
  <c r="W166" i="14" s="1"/>
  <c r="N191" i="14"/>
  <c r="U191" i="14" s="1"/>
  <c r="W191" i="14" s="1"/>
  <c r="N194" i="14"/>
  <c r="N199" i="14"/>
  <c r="U199" i="14" s="1"/>
  <c r="W199" i="14" s="1"/>
  <c r="U200" i="14"/>
  <c r="W200" i="14" s="1"/>
  <c r="N1148" i="12"/>
  <c r="N1152" i="12"/>
  <c r="N1156" i="12"/>
  <c r="N1160" i="12"/>
  <c r="N1164" i="12"/>
  <c r="N162" i="14"/>
  <c r="N24" i="13"/>
  <c r="N185" i="14"/>
  <c r="U185" i="14" s="1"/>
  <c r="W185" i="14" s="1"/>
  <c r="N198" i="14"/>
  <c r="U198" i="14" s="1"/>
  <c r="W198" i="14" s="1"/>
  <c r="U206" i="14"/>
  <c r="W206" i="14" s="1"/>
  <c r="U1135" i="12"/>
  <c r="V1135" i="12" s="1"/>
  <c r="X1135" i="12" s="1"/>
  <c r="U1139" i="12"/>
  <c r="V1139" i="12" s="1"/>
  <c r="X1139" i="12" s="1"/>
  <c r="U1143" i="12"/>
  <c r="V1143" i="12" s="1"/>
  <c r="X1143" i="12" s="1"/>
  <c r="U1147" i="12"/>
  <c r="V1147" i="12" s="1"/>
  <c r="X1147" i="12" s="1"/>
  <c r="U1151" i="12"/>
  <c r="V1151" i="12" s="1"/>
  <c r="X1151" i="12" s="1"/>
  <c r="U1155" i="12"/>
  <c r="V1155" i="12" s="1"/>
  <c r="X1155" i="12" s="1"/>
  <c r="U1159" i="12"/>
  <c r="V1159" i="12" s="1"/>
  <c r="X1159" i="12" s="1"/>
  <c r="U1163" i="12"/>
  <c r="V1163" i="12" s="1"/>
  <c r="X1163" i="12" s="1"/>
  <c r="K24" i="13"/>
  <c r="G9" i="9" s="1"/>
  <c r="W21" i="13"/>
  <c r="W113" i="14"/>
  <c r="W129" i="14"/>
  <c r="W145" i="14"/>
  <c r="W150" i="14"/>
  <c r="N154" i="14"/>
  <c r="U168" i="14"/>
  <c r="W168" i="14" s="1"/>
  <c r="W217" i="14"/>
  <c r="U24" i="13"/>
  <c r="N161" i="14"/>
  <c r="N193" i="14"/>
  <c r="N187" i="14"/>
  <c r="N195" i="14"/>
  <c r="N158" i="14"/>
  <c r="U158" i="14" s="1"/>
  <c r="W158" i="14" s="1"/>
  <c r="N183" i="14"/>
  <c r="N190" i="14"/>
  <c r="U63" i="15"/>
  <c r="W221" i="14"/>
  <c r="U8" i="16"/>
  <c r="N170" i="14"/>
  <c r="U171" i="14"/>
  <c r="W171" i="14" s="1"/>
  <c r="N202" i="14"/>
  <c r="U203" i="14"/>
  <c r="W203" i="14" s="1"/>
  <c r="T247" i="14"/>
  <c r="U247" i="14" s="1"/>
  <c r="U59" i="15"/>
  <c r="T82" i="15"/>
  <c r="U82" i="15" s="1"/>
  <c r="T114" i="15"/>
  <c r="U114" i="15" s="1"/>
  <c r="U175" i="14"/>
  <c r="W175" i="14" s="1"/>
  <c r="U207" i="14"/>
  <c r="W207" i="14" s="1"/>
  <c r="T244" i="14"/>
  <c r="N244" i="14"/>
  <c r="T71" i="15"/>
  <c r="U71" i="15" s="1"/>
  <c r="T94" i="15"/>
  <c r="U94" i="15" s="1"/>
  <c r="T126" i="15"/>
  <c r="U126" i="15" s="1"/>
  <c r="T154" i="15"/>
  <c r="U154" i="15" s="1"/>
  <c r="U176" i="14"/>
  <c r="W176" i="14" s="1"/>
  <c r="N178" i="14"/>
  <c r="U179" i="14"/>
  <c r="W179" i="14" s="1"/>
  <c r="N238" i="14"/>
  <c r="U239" i="14"/>
  <c r="W239" i="14" s="1"/>
  <c r="K47" i="15"/>
  <c r="U51" i="15"/>
  <c r="T74" i="15"/>
  <c r="U74" i="15" s="1"/>
  <c r="T106" i="15"/>
  <c r="U106" i="15" s="1"/>
  <c r="T138" i="15"/>
  <c r="U138" i="15" s="1"/>
  <c r="T139" i="15"/>
  <c r="U139" i="15" s="1"/>
  <c r="T155" i="15"/>
  <c r="U155" i="15" s="1"/>
  <c r="U235" i="16"/>
  <c r="U236" i="16"/>
  <c r="S244" i="16"/>
  <c r="S257" i="16"/>
  <c r="S268" i="16"/>
  <c r="N299" i="16"/>
  <c r="S299" i="16" s="1"/>
  <c r="T299" i="16" s="1"/>
  <c r="S246" i="16"/>
  <c r="N298" i="16"/>
  <c r="N306" i="16"/>
  <c r="S306" i="16" s="1"/>
  <c r="N241" i="16"/>
  <c r="U241" i="16" s="1"/>
  <c r="S248" i="16"/>
  <c r="N266" i="16"/>
  <c r="U266" i="16" s="1"/>
  <c r="N271" i="16"/>
  <c r="U271" i="16" s="1"/>
  <c r="N278" i="16"/>
  <c r="S278" i="16" s="1"/>
  <c r="N288" i="16"/>
  <c r="S288" i="16" s="1"/>
  <c r="N293" i="16"/>
  <c r="S293" i="16" s="1"/>
  <c r="N302" i="16"/>
  <c r="S302" i="16" s="1"/>
  <c r="N256" i="16"/>
  <c r="U256" i="16" s="1"/>
  <c r="S282" i="16"/>
  <c r="U282" i="16" s="1"/>
  <c r="N287" i="16"/>
  <c r="S289" i="16"/>
  <c r="U289" i="16" s="1"/>
  <c r="S231" i="16"/>
  <c r="N240" i="16"/>
  <c r="U240" i="16" s="1"/>
  <c r="S253" i="16"/>
  <c r="N305" i="16"/>
  <c r="S305" i="16" s="1"/>
  <c r="N8" i="17"/>
  <c r="S237" i="16"/>
  <c r="N249" i="16"/>
  <c r="U249" i="16" s="1"/>
  <c r="N255" i="16"/>
  <c r="U255" i="16" s="1"/>
  <c r="N270" i="16"/>
  <c r="U270" i="16" s="1"/>
  <c r="S276" i="16"/>
  <c r="N291" i="16"/>
  <c r="S291" i="16" s="1"/>
  <c r="N296" i="16"/>
  <c r="S296" i="16" s="1"/>
  <c r="T171" i="15"/>
  <c r="U171" i="15" s="1"/>
  <c r="N233" i="16"/>
  <c r="U233" i="16" s="1"/>
  <c r="N239" i="16"/>
  <c r="U239" i="16" s="1"/>
  <c r="S251" i="16"/>
  <c r="S261" i="16"/>
  <c r="N280" i="16"/>
  <c r="S280" i="16" s="1"/>
  <c r="S295" i="16"/>
  <c r="U295" i="16" s="1"/>
  <c r="T172" i="15"/>
  <c r="U172" i="15" s="1"/>
  <c r="S245" i="16"/>
  <c r="S250" i="16"/>
  <c r="N258" i="16"/>
  <c r="U258" i="16" s="1"/>
  <c r="S260" i="16"/>
  <c r="S265" i="16"/>
  <c r="N269" i="16"/>
  <c r="U269" i="16" s="1"/>
  <c r="S279" i="16"/>
  <c r="U279" i="16" s="1"/>
  <c r="N284" i="16"/>
  <c r="S284" i="16" s="1"/>
  <c r="S277" i="16"/>
  <c r="S283" i="16"/>
  <c r="U283" i="16" s="1"/>
  <c r="S286" i="16"/>
  <c r="U286" i="16" s="1"/>
  <c r="S303" i="16"/>
  <c r="S238" i="16"/>
  <c r="S254" i="16"/>
  <c r="S267" i="16"/>
  <c r="S275" i="16"/>
  <c r="V285" i="16"/>
  <c r="V334" i="16" s="1"/>
  <c r="S294" i="16"/>
  <c r="U294" i="16" s="1"/>
  <c r="N304" i="16"/>
  <c r="S262" i="16"/>
  <c r="S290" i="16"/>
  <c r="U290" i="16" s="1"/>
  <c r="T252" i="17"/>
  <c r="T244" i="17"/>
  <c r="R17" i="11" l="1"/>
  <c r="K226" i="11"/>
  <c r="H226" i="11"/>
  <c r="S226" i="11"/>
  <c r="K315" i="17"/>
  <c r="G13" i="9" s="1"/>
  <c r="U249" i="17"/>
  <c r="U245" i="17"/>
  <c r="U246" i="17"/>
  <c r="U241" i="17"/>
  <c r="W241" i="17" s="1"/>
  <c r="U258" i="17"/>
  <c r="U223" i="17"/>
  <c r="W223" i="17" s="1"/>
  <c r="U257" i="17"/>
  <c r="U254" i="17"/>
  <c r="T297" i="16"/>
  <c r="T300" i="16"/>
  <c r="U300" i="16" s="1"/>
  <c r="U307" i="16"/>
  <c r="N334" i="16"/>
  <c r="T301" i="16"/>
  <c r="U301" i="16" s="1"/>
  <c r="K334" i="16"/>
  <c r="U303" i="16"/>
  <c r="G12" i="9"/>
  <c r="S243" i="16"/>
  <c r="N313" i="14"/>
  <c r="U240" i="14"/>
  <c r="W169" i="14"/>
  <c r="W208" i="14"/>
  <c r="W205" i="14"/>
  <c r="U241" i="14"/>
  <c r="K11" i="9"/>
  <c r="R8" i="15"/>
  <c r="K229" i="15"/>
  <c r="G11" i="9" s="1"/>
  <c r="U49" i="15"/>
  <c r="W1840" i="12"/>
  <c r="X20" i="12"/>
  <c r="K1840" i="12"/>
  <c r="G8" i="9" s="1"/>
  <c r="D8" i="9"/>
  <c r="O8" i="9" s="1"/>
  <c r="V940" i="12"/>
  <c r="X940" i="12" s="1"/>
  <c r="V353" i="12"/>
  <c r="X353" i="12" s="1"/>
  <c r="V873" i="12"/>
  <c r="X873" i="12" s="1"/>
  <c r="V442" i="12"/>
  <c r="X442" i="12" s="1"/>
  <c r="V950" i="12"/>
  <c r="X950" i="12" s="1"/>
  <c r="V318" i="12"/>
  <c r="X318" i="12" s="1"/>
  <c r="V1156" i="12"/>
  <c r="X1156" i="12" s="1"/>
  <c r="V1164" i="12"/>
  <c r="X1164" i="12" s="1"/>
  <c r="V472" i="12"/>
  <c r="X472" i="12" s="1"/>
  <c r="V1015" i="12"/>
  <c r="X1015" i="12" s="1"/>
  <c r="V481" i="12"/>
  <c r="X481" i="12" s="1"/>
  <c r="V939" i="12"/>
  <c r="X939" i="12" s="1"/>
  <c r="V777" i="12"/>
  <c r="X777" i="12" s="1"/>
  <c r="V725" i="12"/>
  <c r="X725" i="12" s="1"/>
  <c r="V970" i="12"/>
  <c r="X970" i="12" s="1"/>
  <c r="V549" i="12"/>
  <c r="X549" i="12" s="1"/>
  <c r="V490" i="12"/>
  <c r="X490" i="12" s="1"/>
  <c r="V740" i="12"/>
  <c r="X740" i="12" s="1"/>
  <c r="V617" i="12"/>
  <c r="X617" i="12" s="1"/>
  <c r="V1020" i="12"/>
  <c r="X1020" i="12" s="1"/>
  <c r="V892" i="12"/>
  <c r="X892" i="12" s="1"/>
  <c r="V864" i="12"/>
  <c r="X864" i="12" s="1"/>
  <c r="V1063" i="12"/>
  <c r="X1063" i="12" s="1"/>
  <c r="V317" i="12"/>
  <c r="X317" i="12" s="1"/>
  <c r="V260" i="12"/>
  <c r="X260" i="12" s="1"/>
  <c r="V911" i="12"/>
  <c r="X911" i="12" s="1"/>
  <c r="V616" i="12"/>
  <c r="X616" i="12" s="1"/>
  <c r="V697" i="12"/>
  <c r="X697" i="12" s="1"/>
  <c r="V661" i="12"/>
  <c r="X661" i="12" s="1"/>
  <c r="V801" i="12"/>
  <c r="X801" i="12" s="1"/>
  <c r="V985" i="12"/>
  <c r="X985" i="12" s="1"/>
  <c r="V469" i="12"/>
  <c r="X469" i="12" s="1"/>
  <c r="V473" i="12"/>
  <c r="X473" i="12" s="1"/>
  <c r="V907" i="12"/>
  <c r="X907" i="12" s="1"/>
  <c r="V1076" i="12"/>
  <c r="X1076" i="12" s="1"/>
  <c r="V763" i="12"/>
  <c r="X763" i="12" s="1"/>
  <c r="V1011" i="12"/>
  <c r="X1011" i="12" s="1"/>
  <c r="V502" i="12"/>
  <c r="X502" i="12" s="1"/>
  <c r="V1036" i="12"/>
  <c r="X1036" i="12" s="1"/>
  <c r="V741" i="12"/>
  <c r="X741" i="12" s="1"/>
  <c r="V534" i="12"/>
  <c r="X534" i="12" s="1"/>
  <c r="V357" i="12"/>
  <c r="X357" i="12" s="1"/>
  <c r="V958" i="12"/>
  <c r="X958" i="12" s="1"/>
  <c r="V937" i="12"/>
  <c r="X937" i="12" s="1"/>
  <c r="V478" i="12"/>
  <c r="X478" i="12" s="1"/>
  <c r="V653" i="12"/>
  <c r="X653" i="12" s="1"/>
  <c r="V1028" i="12"/>
  <c r="X1028" i="12" s="1"/>
  <c r="V635" i="12"/>
  <c r="X635" i="12" s="1"/>
  <c r="V872" i="12"/>
  <c r="X872" i="12" s="1"/>
  <c r="V769" i="12"/>
  <c r="X769" i="12" s="1"/>
  <c r="V934" i="12"/>
  <c r="X934" i="12" s="1"/>
  <c r="V894" i="12"/>
  <c r="X894" i="12" s="1"/>
  <c r="V1115" i="12"/>
  <c r="X1115" i="12" s="1"/>
  <c r="V1160" i="12"/>
  <c r="X1160" i="12" s="1"/>
  <c r="V516" i="12"/>
  <c r="X516" i="12" s="1"/>
  <c r="V742" i="12"/>
  <c r="X742" i="12" s="1"/>
  <c r="V869" i="12"/>
  <c r="X869" i="12" s="1"/>
  <c r="V463" i="12"/>
  <c r="X463" i="12" s="1"/>
  <c r="V414" i="12"/>
  <c r="X414" i="12" s="1"/>
  <c r="V793" i="12"/>
  <c r="X793" i="12" s="1"/>
  <c r="V547" i="12"/>
  <c r="X547" i="12" s="1"/>
  <c r="V992" i="12"/>
  <c r="X992" i="12" s="1"/>
  <c r="V477" i="12"/>
  <c r="X477" i="12" s="1"/>
  <c r="V1023" i="12"/>
  <c r="X1023" i="12" s="1"/>
  <c r="V271" i="12"/>
  <c r="X271" i="12" s="1"/>
  <c r="V706" i="12"/>
  <c r="X706" i="12" s="1"/>
  <c r="V1068" i="12"/>
  <c r="X1068" i="12" s="1"/>
  <c r="V1010" i="12"/>
  <c r="X1010" i="12" s="1"/>
  <c r="V677" i="12"/>
  <c r="X677" i="12" s="1"/>
  <c r="V852" i="12"/>
  <c r="X852" i="12" s="1"/>
  <c r="V447" i="12"/>
  <c r="X447" i="12" s="1"/>
  <c r="V857" i="12"/>
  <c r="X857" i="12" s="1"/>
  <c r="V766" i="12"/>
  <c r="X766" i="12" s="1"/>
  <c r="V1059" i="12"/>
  <c r="X1059" i="12" s="1"/>
  <c r="V982" i="12"/>
  <c r="X982" i="12" s="1"/>
  <c r="V821" i="12"/>
  <c r="X821" i="12" s="1"/>
  <c r="V1078" i="12"/>
  <c r="X1078" i="12" s="1"/>
  <c r="V629" i="12"/>
  <c r="X629" i="12" s="1"/>
  <c r="V575" i="12"/>
  <c r="X575" i="12" s="1"/>
  <c r="V510" i="12"/>
  <c r="X510" i="12" s="1"/>
  <c r="V780" i="12"/>
  <c r="X780" i="12" s="1"/>
  <c r="V377" i="12"/>
  <c r="X377" i="12" s="1"/>
  <c r="V599" i="12"/>
  <c r="X599" i="12" s="1"/>
  <c r="V1079" i="12"/>
  <c r="X1079" i="12" s="1"/>
  <c r="V1043" i="12"/>
  <c r="X1043" i="12" s="1"/>
  <c r="V774" i="12"/>
  <c r="X774" i="12" s="1"/>
  <c r="V1096" i="12"/>
  <c r="X1096" i="12" s="1"/>
  <c r="V1092" i="12"/>
  <c r="X1092" i="12" s="1"/>
  <c r="V885" i="12"/>
  <c r="X885" i="12" s="1"/>
  <c r="V646" i="12"/>
  <c r="X646" i="12" s="1"/>
  <c r="V847" i="12"/>
  <c r="X847" i="12" s="1"/>
  <c r="V1067" i="12"/>
  <c r="X1067" i="12" s="1"/>
  <c r="V588" i="12"/>
  <c r="X588" i="12" s="1"/>
  <c r="V1086" i="12"/>
  <c r="X1086" i="12" s="1"/>
  <c r="V1037" i="12"/>
  <c r="X1037" i="12" s="1"/>
  <c r="V798" i="12"/>
  <c r="X798" i="12" s="1"/>
  <c r="V895" i="12"/>
  <c r="X895" i="12" s="1"/>
  <c r="V739" i="12"/>
  <c r="X739" i="12" s="1"/>
  <c r="V548" i="12"/>
  <c r="X548" i="12" s="1"/>
  <c r="V1152" i="12"/>
  <c r="X1152" i="12" s="1"/>
  <c r="V806" i="12"/>
  <c r="X806" i="12" s="1"/>
  <c r="V1060" i="12"/>
  <c r="X1060" i="12" s="1"/>
  <c r="V313" i="12"/>
  <c r="X313" i="12" s="1"/>
  <c r="V693" i="12"/>
  <c r="X693" i="12" s="1"/>
  <c r="V1017" i="12"/>
  <c r="X1017" i="12" s="1"/>
  <c r="V1131" i="12"/>
  <c r="X1131" i="12" s="1"/>
  <c r="V758" i="12"/>
  <c r="X758" i="12" s="1"/>
  <c r="V376" i="12"/>
  <c r="X376" i="12" s="1"/>
  <c r="V914" i="12"/>
  <c r="X914" i="12" s="1"/>
  <c r="V596" i="12"/>
  <c r="X596" i="12" s="1"/>
  <c r="V1051" i="12"/>
  <c r="X1051" i="12" s="1"/>
  <c r="V1052" i="12"/>
  <c r="X1052" i="12" s="1"/>
  <c r="V530" i="12"/>
  <c r="X530" i="12" s="1"/>
  <c r="V284" i="12"/>
  <c r="X284" i="12" s="1"/>
  <c r="V1027" i="12"/>
  <c r="X1027" i="12" s="1"/>
  <c r="V445" i="12"/>
  <c r="X445" i="12" s="1"/>
  <c r="V1009" i="12"/>
  <c r="X1009" i="12" s="1"/>
  <c r="V402" i="12"/>
  <c r="X402" i="12" s="1"/>
  <c r="V344" i="12"/>
  <c r="X344" i="12" s="1"/>
  <c r="V514" i="12"/>
  <c r="X514" i="12" s="1"/>
  <c r="V674" i="12"/>
  <c r="X674" i="12" s="1"/>
  <c r="V1054" i="12"/>
  <c r="X1054" i="12" s="1"/>
  <c r="V789" i="12"/>
  <c r="X789" i="12" s="1"/>
  <c r="V837" i="12"/>
  <c r="X837" i="12" s="1"/>
  <c r="V685" i="12"/>
  <c r="X685" i="12" s="1"/>
  <c r="V994" i="12"/>
  <c r="X994" i="12" s="1"/>
  <c r="V1094" i="12"/>
  <c r="X1094" i="12" s="1"/>
  <c r="V988" i="12"/>
  <c r="X988" i="12" s="1"/>
  <c r="V607" i="12"/>
  <c r="X607" i="12" s="1"/>
  <c r="V900" i="12"/>
  <c r="X900" i="12" s="1"/>
  <c r="V615" i="12"/>
  <c r="X615" i="12" s="1"/>
  <c r="V1083" i="12"/>
  <c r="X1083" i="12" s="1"/>
  <c r="V1070" i="12"/>
  <c r="X1070" i="12" s="1"/>
  <c r="V417" i="12"/>
  <c r="X417" i="12" s="1"/>
  <c r="V636" i="12"/>
  <c r="X636" i="12" s="1"/>
  <c r="V409" i="12"/>
  <c r="X409" i="12" s="1"/>
  <c r="V462" i="12"/>
  <c r="X462" i="12" s="1"/>
  <c r="V390" i="12"/>
  <c r="X390" i="12" s="1"/>
  <c r="V454" i="12"/>
  <c r="X454" i="12" s="1"/>
  <c r="V700" i="12"/>
  <c r="X700" i="12" s="1"/>
  <c r="V1049" i="12"/>
  <c r="X1049" i="12" s="1"/>
  <c r="V686" i="12"/>
  <c r="X686" i="12" s="1"/>
  <c r="V1026" i="12"/>
  <c r="X1026" i="12" s="1"/>
  <c r="V338" i="12"/>
  <c r="X338" i="12" s="1"/>
  <c r="V349" i="12"/>
  <c r="X349" i="12" s="1"/>
  <c r="V597" i="12"/>
  <c r="X597" i="12" s="1"/>
  <c r="V1030" i="12"/>
  <c r="X1030" i="12" s="1"/>
  <c r="V969" i="12"/>
  <c r="X969" i="12" s="1"/>
  <c r="V654" i="12"/>
  <c r="X654" i="12" s="1"/>
  <c r="V485" i="12"/>
  <c r="X485" i="12" s="1"/>
  <c r="V915" i="12"/>
  <c r="X915" i="12" s="1"/>
  <c r="V710" i="12"/>
  <c r="X710" i="12" s="1"/>
  <c r="V948" i="12"/>
  <c r="X948" i="12" s="1"/>
  <c r="V348" i="12"/>
  <c r="X348" i="12" s="1"/>
  <c r="V656" i="12"/>
  <c r="X656" i="12" s="1"/>
  <c r="V1150" i="12"/>
  <c r="X1150" i="12" s="1"/>
  <c r="V1042" i="12"/>
  <c r="X1042" i="12" s="1"/>
  <c r="V1062" i="12"/>
  <c r="X1062" i="12" s="1"/>
  <c r="V854" i="12"/>
  <c r="X854" i="12" s="1"/>
  <c r="V1003" i="12"/>
  <c r="X1003" i="12" s="1"/>
  <c r="V368" i="12"/>
  <c r="X368" i="12" s="1"/>
  <c r="V785" i="12"/>
  <c r="X785" i="12" s="1"/>
  <c r="V803" i="12"/>
  <c r="X803" i="12" s="1"/>
  <c r="V1034" i="12"/>
  <c r="X1034" i="12" s="1"/>
  <c r="V1012" i="12"/>
  <c r="X1012" i="12" s="1"/>
  <c r="V1110" i="12"/>
  <c r="X1110" i="12" s="1"/>
  <c r="R40" i="11"/>
  <c r="R19" i="11"/>
  <c r="R70" i="11"/>
  <c r="R43" i="11"/>
  <c r="R42" i="11"/>
  <c r="R37" i="11"/>
  <c r="R38" i="11"/>
  <c r="R64" i="11"/>
  <c r="R48" i="11"/>
  <c r="R74" i="11"/>
  <c r="V933" i="12"/>
  <c r="X933" i="12" s="1"/>
  <c r="V1064" i="12"/>
  <c r="X1064" i="12" s="1"/>
  <c r="V513" i="12"/>
  <c r="X513" i="12" s="1"/>
  <c r="U229" i="17"/>
  <c r="W229" i="17" s="1"/>
  <c r="V1144" i="12"/>
  <c r="X1144" i="12" s="1"/>
  <c r="V1108" i="12"/>
  <c r="X1108" i="12" s="1"/>
  <c r="V809" i="12"/>
  <c r="X809" i="12" s="1"/>
  <c r="V638" i="12"/>
  <c r="X638" i="12" s="1"/>
  <c r="V804" i="12"/>
  <c r="X804" i="12" s="1"/>
  <c r="R24" i="11"/>
  <c r="V1133" i="12"/>
  <c r="X1133" i="12" s="1"/>
  <c r="V542" i="12"/>
  <c r="X542" i="12" s="1"/>
  <c r="V1071" i="12"/>
  <c r="X1071" i="12" s="1"/>
  <c r="V722" i="12"/>
  <c r="X722" i="12" s="1"/>
  <c r="R62" i="11"/>
  <c r="U226" i="17"/>
  <c r="W226" i="17" s="1"/>
  <c r="V1148" i="12"/>
  <c r="X1148" i="12" s="1"/>
  <c r="V624" i="12"/>
  <c r="X624" i="12" s="1"/>
  <c r="R78" i="11"/>
  <c r="V971" i="12"/>
  <c r="X971" i="12" s="1"/>
  <c r="V723" i="12"/>
  <c r="X723" i="12" s="1"/>
  <c r="V560" i="12"/>
  <c r="X560" i="12" s="1"/>
  <c r="V550" i="12"/>
  <c r="X550" i="12" s="1"/>
  <c r="R72" i="11"/>
  <c r="V975" i="12"/>
  <c r="X975" i="12" s="1"/>
  <c r="U186" i="14"/>
  <c r="U160" i="14"/>
  <c r="V833" i="12"/>
  <c r="X833" i="12" s="1"/>
  <c r="V517" i="12"/>
  <c r="X517" i="12" s="1"/>
  <c r="R69" i="11"/>
  <c r="R27" i="11"/>
  <c r="V665" i="12"/>
  <c r="X665" i="12" s="1"/>
  <c r="V1161" i="12"/>
  <c r="X1161" i="12" s="1"/>
  <c r="V612" i="12"/>
  <c r="X612" i="12" s="1"/>
  <c r="V952" i="12"/>
  <c r="X952" i="12" s="1"/>
  <c r="V1125" i="12"/>
  <c r="X1125" i="12" s="1"/>
  <c r="V880" i="12"/>
  <c r="X880" i="12" s="1"/>
  <c r="H18" i="3"/>
  <c r="U190" i="14"/>
  <c r="V1136" i="12"/>
  <c r="X1136" i="12" s="1"/>
  <c r="V977" i="12"/>
  <c r="X977" i="12" s="1"/>
  <c r="V694" i="12"/>
  <c r="X694" i="12" s="1"/>
  <c r="V526" i="12"/>
  <c r="X526" i="12" s="1"/>
  <c r="V764" i="12"/>
  <c r="X764" i="12" s="1"/>
  <c r="V507" i="12"/>
  <c r="X507" i="12" s="1"/>
  <c r="V1117" i="12"/>
  <c r="X1117" i="12" s="1"/>
  <c r="U225" i="17"/>
  <c r="W225" i="17" s="1"/>
  <c r="U221" i="17"/>
  <c r="U238" i="14"/>
  <c r="U162" i="14"/>
  <c r="V1127" i="12"/>
  <c r="X1127" i="12" s="1"/>
  <c r="V1100" i="12"/>
  <c r="X1100" i="12" s="1"/>
  <c r="V1120" i="12"/>
  <c r="X1120" i="12" s="1"/>
  <c r="V890" i="12"/>
  <c r="X890" i="12" s="1"/>
  <c r="V932" i="12"/>
  <c r="X932" i="12" s="1"/>
  <c r="V645" i="12"/>
  <c r="X645" i="12" s="1"/>
  <c r="V561" i="12"/>
  <c r="X561" i="12" s="1"/>
  <c r="V312" i="12"/>
  <c r="X312" i="12" s="1"/>
  <c r="R49" i="11"/>
  <c r="V918" i="12"/>
  <c r="X918" i="12" s="1"/>
  <c r="V572" i="12"/>
  <c r="X572" i="12" s="1"/>
  <c r="U228" i="17"/>
  <c r="W228" i="17" s="1"/>
  <c r="V1082" i="12"/>
  <c r="X1082" i="12" s="1"/>
  <c r="V492" i="12"/>
  <c r="X492" i="12" s="1"/>
  <c r="U183" i="14"/>
  <c r="R34" i="11"/>
  <c r="V767" i="12"/>
  <c r="X767" i="12" s="1"/>
  <c r="R39" i="11"/>
  <c r="V540" i="12"/>
  <c r="X540" i="12" s="1"/>
  <c r="U193" i="14"/>
  <c r="K10" i="9"/>
  <c r="V620" i="12"/>
  <c r="X620" i="12" s="1"/>
  <c r="V401" i="12"/>
  <c r="X401" i="12" s="1"/>
  <c r="V1119" i="12"/>
  <c r="X1119" i="12" s="1"/>
  <c r="V1007" i="12"/>
  <c r="X1007" i="12" s="1"/>
  <c r="V956" i="12"/>
  <c r="X956" i="12" s="1"/>
  <c r="V1006" i="12"/>
  <c r="X1006" i="12" s="1"/>
  <c r="V947" i="12"/>
  <c r="X947" i="12" s="1"/>
  <c r="V923" i="12"/>
  <c r="X923" i="12" s="1"/>
  <c r="V709" i="12"/>
  <c r="X709" i="12" s="1"/>
  <c r="V436" i="12"/>
  <c r="X436" i="12" s="1"/>
  <c r="V314" i="12"/>
  <c r="X314" i="12" s="1"/>
  <c r="V270" i="12"/>
  <c r="X270" i="12" s="1"/>
  <c r="R47" i="11"/>
  <c r="R33" i="11"/>
  <c r="V795" i="12"/>
  <c r="X795" i="12" s="1"/>
  <c r="V448" i="12"/>
  <c r="X448" i="12" s="1"/>
  <c r="V1074" i="12"/>
  <c r="X1074" i="12" s="1"/>
  <c r="V925" i="12"/>
  <c r="X925" i="12" s="1"/>
  <c r="V1112" i="12"/>
  <c r="X1112" i="12" s="1"/>
  <c r="V1031" i="12"/>
  <c r="X1031" i="12" s="1"/>
  <c r="U195" i="14"/>
  <c r="V737" i="12"/>
  <c r="X737" i="12" s="1"/>
  <c r="V695" i="12"/>
  <c r="X695" i="12" s="1"/>
  <c r="V499" i="12"/>
  <c r="X499" i="12" s="1"/>
  <c r="V1016" i="12"/>
  <c r="X1016" i="12" s="1"/>
  <c r="V1088" i="12"/>
  <c r="X1088" i="12" s="1"/>
  <c r="U181" i="14"/>
  <c r="U252" i="17"/>
  <c r="S258" i="16"/>
  <c r="U244" i="14"/>
  <c r="U170" i="14"/>
  <c r="V799" i="12"/>
  <c r="X799" i="12" s="1"/>
  <c r="V734" i="12"/>
  <c r="X734" i="12" s="1"/>
  <c r="U155" i="14"/>
  <c r="V1162" i="12"/>
  <c r="X1162" i="12" s="1"/>
  <c r="V1107" i="12"/>
  <c r="X1107" i="12" s="1"/>
  <c r="V1046" i="12"/>
  <c r="X1046" i="12" s="1"/>
  <c r="V524" i="12"/>
  <c r="X524" i="12" s="1"/>
  <c r="R79" i="11"/>
  <c r="R46" i="11"/>
  <c r="R53" i="11"/>
  <c r="U47" i="15"/>
  <c r="U625" i="12"/>
  <c r="V625" i="12" s="1"/>
  <c r="X625" i="12" s="1"/>
  <c r="V752" i="12"/>
  <c r="X752" i="12" s="1"/>
  <c r="V374" i="12"/>
  <c r="X374" i="12" s="1"/>
  <c r="V536" i="12"/>
  <c r="X536" i="12" s="1"/>
  <c r="V388" i="12"/>
  <c r="X388" i="12" s="1"/>
  <c r="J14" i="9"/>
  <c r="V989" i="12"/>
  <c r="X989" i="12" s="1"/>
  <c r="V509" i="12"/>
  <c r="X509" i="12" s="1"/>
  <c r="V577" i="12"/>
  <c r="X577" i="12" s="1"/>
  <c r="V583" i="12"/>
  <c r="X583" i="12" s="1"/>
  <c r="V979" i="12"/>
  <c r="X979" i="12" s="1"/>
  <c r="V773" i="12"/>
  <c r="X773" i="12" s="1"/>
  <c r="V584" i="12"/>
  <c r="X584" i="12" s="1"/>
  <c r="V539" i="12"/>
  <c r="X539" i="12" s="1"/>
  <c r="V535" i="12"/>
  <c r="X535" i="12" s="1"/>
  <c r="V720" i="12"/>
  <c r="X720" i="12" s="1"/>
  <c r="V546" i="12"/>
  <c r="X546" i="12" s="1"/>
  <c r="V415" i="12"/>
  <c r="X415" i="12" s="1"/>
  <c r="V564" i="12"/>
  <c r="X564" i="12" s="1"/>
  <c r="V406" i="12"/>
  <c r="X406" i="12" s="1"/>
  <c r="V500" i="12"/>
  <c r="X500" i="12" s="1"/>
  <c r="V899" i="12"/>
  <c r="X899" i="12" s="1"/>
  <c r="V508" i="12"/>
  <c r="X508" i="12" s="1"/>
  <c r="V408" i="12"/>
  <c r="X408" i="12" s="1"/>
  <c r="V978" i="12"/>
  <c r="X978" i="12" s="1"/>
  <c r="V990" i="12"/>
  <c r="X990" i="12" s="1"/>
  <c r="V963" i="12"/>
  <c r="X963" i="12" s="1"/>
  <c r="V1002" i="12"/>
  <c r="X1002" i="12" s="1"/>
  <c r="V924" i="12"/>
  <c r="X924" i="12" s="1"/>
  <c r="V702" i="12"/>
  <c r="X702" i="12" s="1"/>
  <c r="V662" i="12"/>
  <c r="X662" i="12" s="1"/>
  <c r="V592" i="12"/>
  <c r="X592" i="12" s="1"/>
  <c r="V753" i="12"/>
  <c r="X753" i="12" s="1"/>
  <c r="V805" i="12"/>
  <c r="X805" i="12" s="1"/>
  <c r="V717" i="12"/>
  <c r="X717" i="12" s="1"/>
  <c r="V397" i="12"/>
  <c r="X397" i="12" s="1"/>
  <c r="V571" i="12"/>
  <c r="X571" i="12" s="1"/>
  <c r="V494" i="12"/>
  <c r="X494" i="12" s="1"/>
  <c r="V443" i="12"/>
  <c r="X443" i="12" s="1"/>
  <c r="V421" i="12"/>
  <c r="X421" i="12" s="1"/>
  <c r="V951" i="12"/>
  <c r="X951" i="12" s="1"/>
  <c r="V712" i="12"/>
  <c r="X712" i="12" s="1"/>
  <c r="V484" i="12"/>
  <c r="X484" i="12" s="1"/>
  <c r="V633" i="12"/>
  <c r="X633" i="12" s="1"/>
  <c r="V439" i="12"/>
  <c r="X439" i="12" s="1"/>
  <c r="R23" i="11"/>
  <c r="R36" i="11"/>
  <c r="R71" i="11"/>
  <c r="R29" i="11"/>
  <c r="R35" i="11"/>
  <c r="R73" i="11"/>
  <c r="R63" i="11"/>
  <c r="R45" i="11"/>
  <c r="R54" i="11"/>
  <c r="S269" i="16"/>
  <c r="S255" i="16"/>
  <c r="U302" i="16"/>
  <c r="U278" i="16"/>
  <c r="U306" i="16"/>
  <c r="S241" i="16"/>
  <c r="U187" i="14"/>
  <c r="U161" i="14"/>
  <c r="U194" i="14"/>
  <c r="V1128" i="12"/>
  <c r="X1128" i="12" s="1"/>
  <c r="V841" i="12"/>
  <c r="X841" i="12" s="1"/>
  <c r="V954" i="12"/>
  <c r="X954" i="12" s="1"/>
  <c r="V987" i="12"/>
  <c r="X987" i="12" s="1"/>
  <c r="V917" i="12"/>
  <c r="X917" i="12" s="1"/>
  <c r="V670" i="12"/>
  <c r="X670" i="12" s="1"/>
  <c r="V745" i="12"/>
  <c r="X745" i="12" s="1"/>
  <c r="V429" i="12"/>
  <c r="X429" i="12" s="1"/>
  <c r="V389" i="12"/>
  <c r="X389" i="12" s="1"/>
  <c r="V449" i="12"/>
  <c r="X449" i="12" s="1"/>
  <c r="R55" i="11"/>
  <c r="R56" i="11"/>
  <c r="R21" i="11"/>
  <c r="O12" i="9"/>
  <c r="P12" i="9" s="1"/>
  <c r="S239" i="16"/>
  <c r="U305" i="16"/>
  <c r="U202" i="14"/>
  <c r="U8" i="14"/>
  <c r="V781" i="12"/>
  <c r="X781" i="12" s="1"/>
  <c r="O7" i="9"/>
  <c r="P7" i="9" s="1"/>
  <c r="S304" i="16"/>
  <c r="U296" i="16"/>
  <c r="V1124" i="12"/>
  <c r="X1124" i="12" s="1"/>
  <c r="V943" i="12"/>
  <c r="X943" i="12" s="1"/>
  <c r="V749" i="12"/>
  <c r="X749" i="12" s="1"/>
  <c r="V713" i="12"/>
  <c r="X713" i="12" s="1"/>
  <c r="V732" i="12"/>
  <c r="X732" i="12" s="1"/>
  <c r="V552" i="12"/>
  <c r="X552" i="12" s="1"/>
  <c r="V352" i="12"/>
  <c r="X352" i="12" s="1"/>
  <c r="V337" i="12"/>
  <c r="X337" i="12" s="1"/>
  <c r="V9" i="12"/>
  <c r="G7" i="9"/>
  <c r="N7" i="9" s="1"/>
  <c r="S249" i="16"/>
  <c r="S270" i="16"/>
  <c r="U293" i="16"/>
  <c r="S271" i="16"/>
  <c r="S266" i="16"/>
  <c r="V558" i="12"/>
  <c r="X558" i="12" s="1"/>
  <c r="N290" i="12"/>
  <c r="N1840" i="12" s="1"/>
  <c r="S287" i="16"/>
  <c r="U287" i="16" s="1"/>
  <c r="S233" i="16"/>
  <c r="U291" i="16"/>
  <c r="S298" i="16"/>
  <c r="U299" i="16"/>
  <c r="V941" i="12"/>
  <c r="X941" i="12" s="1"/>
  <c r="V796" i="12"/>
  <c r="X796" i="12" s="1"/>
  <c r="V630" i="12"/>
  <c r="X630" i="12" s="1"/>
  <c r="V792" i="12"/>
  <c r="X792" i="12" s="1"/>
  <c r="V457" i="12"/>
  <c r="X457" i="12" s="1"/>
  <c r="V383" i="12"/>
  <c r="X383" i="12" s="1"/>
  <c r="R41" i="11"/>
  <c r="U236" i="17"/>
  <c r="W236" i="17" s="1"/>
  <c r="U244" i="17"/>
  <c r="U284" i="16"/>
  <c r="S240" i="16"/>
  <c r="Q9" i="9"/>
  <c r="U153" i="14"/>
  <c r="V1140" i="12"/>
  <c r="X1140" i="12" s="1"/>
  <c r="V1123" i="12"/>
  <c r="X1123" i="12" s="1"/>
  <c r="V913" i="12"/>
  <c r="X913" i="12" s="1"/>
  <c r="V726" i="12"/>
  <c r="X726" i="12" s="1"/>
  <c r="V578" i="12"/>
  <c r="X578" i="12" s="1"/>
  <c r="V585" i="12"/>
  <c r="X585" i="12" s="1"/>
  <c r="V591" i="12"/>
  <c r="X591" i="12" s="1"/>
  <c r="V341" i="12"/>
  <c r="X341" i="12" s="1"/>
  <c r="V543" i="12"/>
  <c r="X543" i="12" s="1"/>
  <c r="R61" i="11"/>
  <c r="U280" i="16"/>
  <c r="U8" i="17"/>
  <c r="S256" i="16"/>
  <c r="U288" i="16"/>
  <c r="U178" i="14"/>
  <c r="U154" i="14"/>
  <c r="V1116" i="12"/>
  <c r="X1116" i="12" s="1"/>
  <c r="V1132" i="12"/>
  <c r="X1132" i="12" s="1"/>
  <c r="V996" i="12"/>
  <c r="X996" i="12" s="1"/>
  <c r="V757" i="12"/>
  <c r="X757" i="12" s="1"/>
  <c r="D14" i="9" l="1"/>
  <c r="U315" i="17"/>
  <c r="W221" i="17"/>
  <c r="M13" i="9"/>
  <c r="T298" i="16"/>
  <c r="U298" i="16" s="1"/>
  <c r="T304" i="16"/>
  <c r="T334" i="16" s="1"/>
  <c r="K12" i="9" s="1"/>
  <c r="U297" i="16"/>
  <c r="U313" i="14"/>
  <c r="W178" i="14"/>
  <c r="W194" i="14"/>
  <c r="W186" i="14"/>
  <c r="W195" i="14"/>
  <c r="W181" i="14"/>
  <c r="W154" i="14"/>
  <c r="W155" i="14"/>
  <c r="W238" i="14"/>
  <c r="W153" i="14"/>
  <c r="W161" i="14"/>
  <c r="W162" i="14"/>
  <c r="W202" i="14"/>
  <c r="W183" i="14"/>
  <c r="W160" i="14"/>
  <c r="W187" i="14"/>
  <c r="W170" i="14"/>
  <c r="W193" i="14"/>
  <c r="W190" i="14"/>
  <c r="X9" i="12"/>
  <c r="U1840" i="12"/>
  <c r="K8" i="9" s="1"/>
  <c r="M10" i="9"/>
  <c r="Q10" i="9" s="1"/>
  <c r="H15" i="3"/>
  <c r="M11" i="9"/>
  <c r="H16" i="3"/>
  <c r="O14" i="9"/>
  <c r="V290" i="12"/>
  <c r="V1840" i="12" s="1"/>
  <c r="G14" i="9"/>
  <c r="W8" i="14"/>
  <c r="N13" i="9" l="1"/>
  <c r="Q13" i="9" s="1"/>
  <c r="N11" i="9"/>
  <c r="Q11" i="9" s="1"/>
  <c r="M8" i="9"/>
  <c r="H13" i="3"/>
  <c r="U334" i="16"/>
  <c r="U304" i="16"/>
  <c r="W313" i="14"/>
  <c r="X1840" i="12"/>
  <c r="X290" i="12"/>
  <c r="M12" i="9"/>
  <c r="Q12" i="9" s="1"/>
  <c r="H17" i="3"/>
  <c r="N8" i="9" l="1"/>
  <c r="N14" i="9" s="1"/>
  <c r="F13" i="7"/>
  <c r="H13" i="7" s="1"/>
  <c r="J13" i="7" s="1"/>
  <c r="E12" i="7"/>
  <c r="F12" i="7" s="1"/>
  <c r="H12" i="7" s="1"/>
  <c r="J12" i="7" s="1"/>
  <c r="I8" i="7"/>
  <c r="H7" i="7"/>
  <c r="J7" i="7" s="1"/>
  <c r="Q8" i="9" l="1"/>
  <c r="G32" i="7"/>
  <c r="F30" i="7"/>
  <c r="H30" i="7" s="1"/>
  <c r="J30" i="7" s="1"/>
  <c r="E29" i="7"/>
  <c r="F29" i="7" s="1"/>
  <c r="E27" i="7"/>
  <c r="I25" i="7"/>
  <c r="G25" i="7"/>
  <c r="H24" i="7"/>
  <c r="J24" i="7" s="1"/>
  <c r="D27" i="5"/>
  <c r="I26" i="5"/>
  <c r="H26" i="5"/>
  <c r="J26" i="5" s="1"/>
  <c r="I24" i="5"/>
  <c r="H24" i="5"/>
  <c r="I23" i="5"/>
  <c r="I11" i="5" s="1"/>
  <c r="H23" i="5"/>
  <c r="G12" i="5"/>
  <c r="D12" i="5"/>
  <c r="G11" i="5"/>
  <c r="F11" i="5"/>
  <c r="E11" i="5"/>
  <c r="D11" i="5"/>
  <c r="G10" i="5"/>
  <c r="D10" i="5"/>
  <c r="G9" i="5"/>
  <c r="D9" i="5"/>
  <c r="D8" i="5"/>
  <c r="K342" i="4"/>
  <c r="J342" i="4"/>
  <c r="I342" i="4"/>
  <c r="H342" i="4"/>
  <c r="O342" i="4" s="1"/>
  <c r="P341" i="4"/>
  <c r="M340" i="4"/>
  <c r="K340" i="4"/>
  <c r="N339" i="4"/>
  <c r="L339" i="4"/>
  <c r="K339" i="4"/>
  <c r="J339" i="4"/>
  <c r="I339" i="4"/>
  <c r="H339" i="4"/>
  <c r="N338" i="4"/>
  <c r="M338" i="4"/>
  <c r="L338" i="4"/>
  <c r="J338" i="4"/>
  <c r="I338" i="4"/>
  <c r="H338" i="4"/>
  <c r="N337" i="4"/>
  <c r="M337" i="4"/>
  <c r="K337" i="4"/>
  <c r="J337" i="4"/>
  <c r="I337" i="4"/>
  <c r="N336" i="4"/>
  <c r="L336" i="4"/>
  <c r="K336" i="4"/>
  <c r="J336" i="4"/>
  <c r="N335" i="4"/>
  <c r="M335" i="4"/>
  <c r="L335" i="4"/>
  <c r="K335" i="4"/>
  <c r="J335" i="4"/>
  <c r="I335" i="4"/>
  <c r="N333" i="4"/>
  <c r="L333" i="4"/>
  <c r="K333" i="4"/>
  <c r="J333" i="4"/>
  <c r="N332" i="4"/>
  <c r="M332" i="4"/>
  <c r="L332" i="4"/>
  <c r="K332" i="4"/>
  <c r="J332" i="4"/>
  <c r="I332" i="4"/>
  <c r="N331" i="4"/>
  <c r="L331" i="4"/>
  <c r="K331" i="4"/>
  <c r="J331" i="4"/>
  <c r="I331" i="4"/>
  <c r="N330" i="4"/>
  <c r="N329" i="4"/>
  <c r="M329" i="4"/>
  <c r="L329" i="4"/>
  <c r="I329" i="4"/>
  <c r="N328" i="4"/>
  <c r="K328" i="4"/>
  <c r="J328" i="4"/>
  <c r="I328" i="4"/>
  <c r="N327" i="4"/>
  <c r="M327" i="4"/>
  <c r="L327" i="4"/>
  <c r="K327" i="4"/>
  <c r="N326" i="4"/>
  <c r="M326" i="4"/>
  <c r="L326" i="4"/>
  <c r="K326" i="4"/>
  <c r="J326" i="4"/>
  <c r="N325" i="4"/>
  <c r="M325" i="4"/>
  <c r="L325" i="4"/>
  <c r="J325" i="4"/>
  <c r="N324" i="4"/>
  <c r="M324" i="4"/>
  <c r="L324" i="4"/>
  <c r="K324" i="4"/>
  <c r="J324" i="4"/>
  <c r="I324" i="4"/>
  <c r="F324" i="4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N323" i="4"/>
  <c r="M323" i="4"/>
  <c r="L323" i="4"/>
  <c r="K323" i="4"/>
  <c r="J323" i="4"/>
  <c r="I323" i="4"/>
  <c r="F323" i="4"/>
  <c r="M322" i="4"/>
  <c r="K322" i="4"/>
  <c r="N318" i="4"/>
  <c r="L308" i="4"/>
  <c r="L312" i="4" s="1"/>
  <c r="K308" i="4"/>
  <c r="K312" i="4" s="1"/>
  <c r="J308" i="4"/>
  <c r="J312" i="4" s="1"/>
  <c r="I308" i="4"/>
  <c r="I312" i="4" s="1"/>
  <c r="S307" i="4"/>
  <c r="N307" i="4"/>
  <c r="P307" i="4" s="1"/>
  <c r="M307" i="4"/>
  <c r="T307" i="4" s="1"/>
  <c r="T306" i="4"/>
  <c r="S306" i="4"/>
  <c r="Q306" i="4"/>
  <c r="R306" i="4" s="1"/>
  <c r="N306" i="4"/>
  <c r="P306" i="4" s="1"/>
  <c r="M306" i="4"/>
  <c r="S305" i="4"/>
  <c r="N305" i="4"/>
  <c r="M305" i="4"/>
  <c r="T305" i="4" s="1"/>
  <c r="T304" i="4"/>
  <c r="S304" i="4"/>
  <c r="N304" i="4"/>
  <c r="Q304" i="4" s="1"/>
  <c r="R304" i="4" s="1"/>
  <c r="M304" i="4"/>
  <c r="S303" i="4"/>
  <c r="N303" i="4"/>
  <c r="P303" i="4" s="1"/>
  <c r="M303" i="4"/>
  <c r="I322" i="4" s="1"/>
  <c r="N322" i="4" s="1"/>
  <c r="T302" i="4"/>
  <c r="S302" i="4"/>
  <c r="N302" i="4"/>
  <c r="P302" i="4" s="1"/>
  <c r="M302" i="4"/>
  <c r="S301" i="4"/>
  <c r="N301" i="4"/>
  <c r="P301" i="4" s="1"/>
  <c r="M301" i="4"/>
  <c r="T301" i="4" s="1"/>
  <c r="S300" i="4"/>
  <c r="N300" i="4"/>
  <c r="M300" i="4"/>
  <c r="S299" i="4"/>
  <c r="N299" i="4"/>
  <c r="P299" i="4" s="1"/>
  <c r="M299" i="4"/>
  <c r="I333" i="4" s="1"/>
  <c r="S298" i="4"/>
  <c r="P298" i="4"/>
  <c r="N298" i="4"/>
  <c r="M298" i="4"/>
  <c r="T298" i="4" s="1"/>
  <c r="S297" i="4"/>
  <c r="N297" i="4"/>
  <c r="P297" i="4" s="1"/>
  <c r="M297" i="4"/>
  <c r="I326" i="4" s="1"/>
  <c r="S296" i="4"/>
  <c r="N296" i="4"/>
  <c r="P296" i="4" s="1"/>
  <c r="M296" i="4"/>
  <c r="I340" i="4" s="1"/>
  <c r="T295" i="4"/>
  <c r="N295" i="4"/>
  <c r="M295" i="4"/>
  <c r="S295" i="4" s="1"/>
  <c r="P294" i="4"/>
  <c r="N294" i="4"/>
  <c r="M294" i="4"/>
  <c r="T293" i="4"/>
  <c r="S293" i="4"/>
  <c r="N293" i="4"/>
  <c r="P293" i="4" s="1"/>
  <c r="M293" i="4"/>
  <c r="S292" i="4"/>
  <c r="N292" i="4"/>
  <c r="P292" i="4" s="1"/>
  <c r="M292" i="4"/>
  <c r="T292" i="4" s="1"/>
  <c r="S291" i="4"/>
  <c r="N291" i="4"/>
  <c r="P291" i="4" s="1"/>
  <c r="M291" i="4"/>
  <c r="T291" i="4" s="1"/>
  <c r="S290" i="4"/>
  <c r="N290" i="4"/>
  <c r="P290" i="4" s="1"/>
  <c r="M290" i="4"/>
  <c r="T290" i="4" s="1"/>
  <c r="T289" i="4"/>
  <c r="S289" i="4"/>
  <c r="Q289" i="4"/>
  <c r="R289" i="4" s="1"/>
  <c r="P289" i="4"/>
  <c r="N289" i="4"/>
  <c r="M289" i="4"/>
  <c r="S288" i="4"/>
  <c r="P288" i="4"/>
  <c r="N288" i="4"/>
  <c r="M288" i="4"/>
  <c r="T288" i="4" s="1"/>
  <c r="S287" i="4"/>
  <c r="P287" i="4"/>
  <c r="N287" i="4"/>
  <c r="M287" i="4"/>
  <c r="T287" i="4" s="1"/>
  <c r="S286" i="4"/>
  <c r="P286" i="4"/>
  <c r="N286" i="4"/>
  <c r="M286" i="4"/>
  <c r="T286" i="4" s="1"/>
  <c r="S285" i="4"/>
  <c r="Q285" i="4"/>
  <c r="R285" i="4" s="1"/>
  <c r="N285" i="4"/>
  <c r="P285" i="4" s="1"/>
  <c r="M285" i="4"/>
  <c r="T285" i="4" s="1"/>
  <c r="S284" i="4"/>
  <c r="N284" i="4"/>
  <c r="P284" i="4" s="1"/>
  <c r="M284" i="4"/>
  <c r="T284" i="4" s="1"/>
  <c r="S283" i="4"/>
  <c r="N283" i="4"/>
  <c r="P283" i="4" s="1"/>
  <c r="M283" i="4"/>
  <c r="T283" i="4" s="1"/>
  <c r="P282" i="4"/>
  <c r="N282" i="4"/>
  <c r="M282" i="4"/>
  <c r="T282" i="4" s="1"/>
  <c r="R281" i="4"/>
  <c r="Q281" i="4"/>
  <c r="N281" i="4"/>
  <c r="P281" i="4" s="1"/>
  <c r="M281" i="4"/>
  <c r="T281" i="4" s="1"/>
  <c r="N280" i="4"/>
  <c r="Q280" i="4" s="1"/>
  <c r="R280" i="4" s="1"/>
  <c r="M280" i="4"/>
  <c r="T280" i="4" s="1"/>
  <c r="T279" i="4"/>
  <c r="N279" i="4"/>
  <c r="P279" i="4" s="1"/>
  <c r="M279" i="4"/>
  <c r="N278" i="4"/>
  <c r="P278" i="4" s="1"/>
  <c r="M278" i="4"/>
  <c r="S277" i="4"/>
  <c r="N277" i="4"/>
  <c r="P277" i="4" s="1"/>
  <c r="M277" i="4"/>
  <c r="T277" i="4" s="1"/>
  <c r="T276" i="4"/>
  <c r="S276" i="4"/>
  <c r="N276" i="4"/>
  <c r="P276" i="4" s="1"/>
  <c r="M276" i="4"/>
  <c r="S275" i="4"/>
  <c r="N275" i="4"/>
  <c r="P275" i="4" s="1"/>
  <c r="M275" i="4"/>
  <c r="T274" i="4"/>
  <c r="S274" i="4"/>
  <c r="N274" i="4"/>
  <c r="P274" i="4" s="1"/>
  <c r="M274" i="4"/>
  <c r="S273" i="4"/>
  <c r="N273" i="4"/>
  <c r="P273" i="4" s="1"/>
  <c r="M273" i="4"/>
  <c r="T273" i="4" s="1"/>
  <c r="K271" i="4"/>
  <c r="K313" i="4" s="1"/>
  <c r="J271" i="4"/>
  <c r="J313" i="4" s="1"/>
  <c r="T270" i="4"/>
  <c r="S270" i="4"/>
  <c r="N270" i="4"/>
  <c r="P270" i="4" s="1"/>
  <c r="M270" i="4"/>
  <c r="J330" i="4" s="1"/>
  <c r="S269" i="4"/>
  <c r="N269" i="4"/>
  <c r="P269" i="4" s="1"/>
  <c r="M269" i="4"/>
  <c r="Q269" i="4" s="1"/>
  <c r="R269" i="4" s="1"/>
  <c r="T268" i="4"/>
  <c r="N268" i="4"/>
  <c r="P268" i="4" s="1"/>
  <c r="M268" i="4"/>
  <c r="S268" i="4" s="1"/>
  <c r="T267" i="4"/>
  <c r="N267" i="4"/>
  <c r="P267" i="4" s="1"/>
  <c r="I267" i="4"/>
  <c r="M267" i="4" s="1"/>
  <c r="Q267" i="4" s="1"/>
  <c r="R267" i="4" s="1"/>
  <c r="T266" i="4"/>
  <c r="N266" i="4"/>
  <c r="P266" i="4" s="1"/>
  <c r="I266" i="4"/>
  <c r="M266" i="4" s="1"/>
  <c r="S266" i="4" s="1"/>
  <c r="T265" i="4"/>
  <c r="N265" i="4"/>
  <c r="P265" i="4" s="1"/>
  <c r="L265" i="4"/>
  <c r="M265" i="4" s="1"/>
  <c r="S264" i="4"/>
  <c r="N264" i="4"/>
  <c r="L264" i="4"/>
  <c r="S263" i="4"/>
  <c r="N263" i="4"/>
  <c r="P263" i="4" s="1"/>
  <c r="I263" i="4"/>
  <c r="T262" i="4"/>
  <c r="S262" i="4"/>
  <c r="N262" i="4"/>
  <c r="P262" i="4" s="1"/>
  <c r="M262" i="4"/>
  <c r="T261" i="4"/>
  <c r="N261" i="4"/>
  <c r="P261" i="4" s="1"/>
  <c r="M261" i="4"/>
  <c r="S261" i="4" s="1"/>
  <c r="T260" i="4"/>
  <c r="S260" i="4"/>
  <c r="P260" i="4"/>
  <c r="N260" i="4"/>
  <c r="M260" i="4"/>
  <c r="Q260" i="4" s="1"/>
  <c r="R260" i="4" s="1"/>
  <c r="L258" i="4"/>
  <c r="L317" i="4" s="1"/>
  <c r="K258" i="4"/>
  <c r="K317" i="4" s="1"/>
  <c r="J258" i="4"/>
  <c r="J317" i="4" s="1"/>
  <c r="S257" i="4"/>
  <c r="P257" i="4"/>
  <c r="N257" i="4"/>
  <c r="M257" i="4"/>
  <c r="S256" i="4"/>
  <c r="P256" i="4"/>
  <c r="N256" i="4"/>
  <c r="M256" i="4"/>
  <c r="T256" i="4" s="1"/>
  <c r="S255" i="4"/>
  <c r="P255" i="4"/>
  <c r="N255" i="4"/>
  <c r="M255" i="4"/>
  <c r="T255" i="4" s="1"/>
  <c r="S254" i="4"/>
  <c r="N254" i="4"/>
  <c r="P254" i="4" s="1"/>
  <c r="M254" i="4"/>
  <c r="T254" i="4" s="1"/>
  <c r="S253" i="4"/>
  <c r="N253" i="4"/>
  <c r="P253" i="4" s="1"/>
  <c r="M253" i="4"/>
  <c r="T253" i="4" s="1"/>
  <c r="S252" i="4"/>
  <c r="N252" i="4"/>
  <c r="P252" i="4" s="1"/>
  <c r="M252" i="4"/>
  <c r="Q252" i="4" s="1"/>
  <c r="S251" i="4"/>
  <c r="N251" i="4"/>
  <c r="P251" i="4" s="1"/>
  <c r="M251" i="4"/>
  <c r="S250" i="4"/>
  <c r="N250" i="4"/>
  <c r="P250" i="4" s="1"/>
  <c r="M250" i="4"/>
  <c r="S249" i="4"/>
  <c r="N249" i="4"/>
  <c r="M249" i="4"/>
  <c r="S248" i="4"/>
  <c r="P248" i="4"/>
  <c r="N248" i="4"/>
  <c r="M248" i="4"/>
  <c r="T247" i="4"/>
  <c r="S247" i="4"/>
  <c r="N247" i="4"/>
  <c r="P247" i="4" s="1"/>
  <c r="M247" i="4"/>
  <c r="Q247" i="4" s="1"/>
  <c r="S246" i="4"/>
  <c r="N246" i="4"/>
  <c r="P246" i="4" s="1"/>
  <c r="M246" i="4"/>
  <c r="T245" i="4"/>
  <c r="S245" i="4"/>
  <c r="N245" i="4"/>
  <c r="P245" i="4" s="1"/>
  <c r="M245" i="4"/>
  <c r="Q245" i="4" s="1"/>
  <c r="S244" i="4"/>
  <c r="N244" i="4"/>
  <c r="P244" i="4" s="1"/>
  <c r="M244" i="4"/>
  <c r="T244" i="4" s="1"/>
  <c r="S243" i="4"/>
  <c r="N243" i="4"/>
  <c r="P243" i="4" s="1"/>
  <c r="M243" i="4"/>
  <c r="Q243" i="4" s="1"/>
  <c r="S242" i="4"/>
  <c r="N242" i="4"/>
  <c r="P242" i="4" s="1"/>
  <c r="M242" i="4"/>
  <c r="S241" i="4"/>
  <c r="N241" i="4"/>
  <c r="Q241" i="4" s="1"/>
  <c r="M241" i="4"/>
  <c r="T241" i="4" s="1"/>
  <c r="S240" i="4"/>
  <c r="N240" i="4"/>
  <c r="P240" i="4" s="1"/>
  <c r="M240" i="4"/>
  <c r="T239" i="4"/>
  <c r="S239" i="4"/>
  <c r="Q239" i="4"/>
  <c r="N239" i="4"/>
  <c r="P239" i="4" s="1"/>
  <c r="M239" i="4"/>
  <c r="S238" i="4"/>
  <c r="N238" i="4"/>
  <c r="P238" i="4" s="1"/>
  <c r="M238" i="4"/>
  <c r="T237" i="4"/>
  <c r="S237" i="4"/>
  <c r="N237" i="4"/>
  <c r="P237" i="4" s="1"/>
  <c r="M237" i="4"/>
  <c r="Q237" i="4" s="1"/>
  <c r="S236" i="4"/>
  <c r="N236" i="4"/>
  <c r="P236" i="4" s="1"/>
  <c r="M236" i="4"/>
  <c r="T236" i="4" s="1"/>
  <c r="T235" i="4"/>
  <c r="S235" i="4"/>
  <c r="N235" i="4"/>
  <c r="P235" i="4" s="1"/>
  <c r="M235" i="4"/>
  <c r="Q235" i="4" s="1"/>
  <c r="S234" i="4"/>
  <c r="N234" i="4"/>
  <c r="P234" i="4" s="1"/>
  <c r="M234" i="4"/>
  <c r="S233" i="4"/>
  <c r="N233" i="4"/>
  <c r="P233" i="4" s="1"/>
  <c r="I233" i="4"/>
  <c r="M233" i="4" s="1"/>
  <c r="S232" i="4"/>
  <c r="N232" i="4"/>
  <c r="P232" i="4" s="1"/>
  <c r="M232" i="4"/>
  <c r="Q232" i="4" s="1"/>
  <c r="S231" i="4"/>
  <c r="N231" i="4"/>
  <c r="P231" i="4" s="1"/>
  <c r="M231" i="4"/>
  <c r="S230" i="4"/>
  <c r="N230" i="4"/>
  <c r="P230" i="4" s="1"/>
  <c r="I230" i="4"/>
  <c r="M230" i="4" s="1"/>
  <c r="S229" i="4"/>
  <c r="N229" i="4"/>
  <c r="P229" i="4" s="1"/>
  <c r="M229" i="4"/>
  <c r="T229" i="4" s="1"/>
  <c r="S228" i="4"/>
  <c r="N228" i="4"/>
  <c r="P228" i="4" s="1"/>
  <c r="M228" i="4"/>
  <c r="S227" i="4"/>
  <c r="P227" i="4"/>
  <c r="N227" i="4"/>
  <c r="M227" i="4"/>
  <c r="T227" i="4" s="1"/>
  <c r="S226" i="4"/>
  <c r="N226" i="4"/>
  <c r="P226" i="4" s="1"/>
  <c r="M226" i="4"/>
  <c r="S225" i="4"/>
  <c r="N225" i="4"/>
  <c r="P225" i="4" s="1"/>
  <c r="M225" i="4"/>
  <c r="T225" i="4" s="1"/>
  <c r="S224" i="4"/>
  <c r="N224" i="4"/>
  <c r="P224" i="4" s="1"/>
  <c r="M224" i="4"/>
  <c r="S223" i="4"/>
  <c r="N223" i="4"/>
  <c r="P223" i="4" s="1"/>
  <c r="M223" i="4"/>
  <c r="S222" i="4"/>
  <c r="N222" i="4"/>
  <c r="P222" i="4" s="1"/>
  <c r="M222" i="4"/>
  <c r="T222" i="4" s="1"/>
  <c r="S221" i="4"/>
  <c r="N221" i="4"/>
  <c r="P221" i="4" s="1"/>
  <c r="M221" i="4"/>
  <c r="T221" i="4" s="1"/>
  <c r="S220" i="4"/>
  <c r="N220" i="4"/>
  <c r="P220" i="4" s="1"/>
  <c r="M220" i="4"/>
  <c r="Q220" i="4" s="1"/>
  <c r="T219" i="4"/>
  <c r="S219" i="4"/>
  <c r="N219" i="4"/>
  <c r="P219" i="4" s="1"/>
  <c r="M219" i="4"/>
  <c r="S218" i="4"/>
  <c r="N218" i="4"/>
  <c r="P218" i="4" s="1"/>
  <c r="M218" i="4"/>
  <c r="S217" i="4"/>
  <c r="N217" i="4"/>
  <c r="P217" i="4" s="1"/>
  <c r="M217" i="4"/>
  <c r="T217" i="4" s="1"/>
  <c r="S216" i="4"/>
  <c r="N216" i="4"/>
  <c r="P216" i="4" s="1"/>
  <c r="M216" i="4"/>
  <c r="S215" i="4"/>
  <c r="N215" i="4"/>
  <c r="P215" i="4" s="1"/>
  <c r="M215" i="4"/>
  <c r="T214" i="4"/>
  <c r="S214" i="4"/>
  <c r="N214" i="4"/>
  <c r="P214" i="4" s="1"/>
  <c r="M214" i="4"/>
  <c r="S213" i="4"/>
  <c r="N213" i="4"/>
  <c r="P213" i="4" s="1"/>
  <c r="M213" i="4"/>
  <c r="T213" i="4" s="1"/>
  <c r="S212" i="4"/>
  <c r="N212" i="4"/>
  <c r="P212" i="4" s="1"/>
  <c r="M212" i="4"/>
  <c r="S211" i="4"/>
  <c r="P211" i="4"/>
  <c r="N211" i="4"/>
  <c r="M211" i="4"/>
  <c r="T211" i="4" s="1"/>
  <c r="S210" i="4"/>
  <c r="N210" i="4"/>
  <c r="P210" i="4" s="1"/>
  <c r="M210" i="4"/>
  <c r="S209" i="4"/>
  <c r="N209" i="4"/>
  <c r="P209" i="4" s="1"/>
  <c r="M209" i="4"/>
  <c r="T209" i="4" s="1"/>
  <c r="S208" i="4"/>
  <c r="N208" i="4"/>
  <c r="P208" i="4" s="1"/>
  <c r="M208" i="4"/>
  <c r="S207" i="4"/>
  <c r="N207" i="4"/>
  <c r="P207" i="4" s="1"/>
  <c r="M207" i="4"/>
  <c r="T207" i="4" s="1"/>
  <c r="S206" i="4"/>
  <c r="N206" i="4"/>
  <c r="P206" i="4" s="1"/>
  <c r="M206" i="4"/>
  <c r="T206" i="4" s="1"/>
  <c r="S205" i="4"/>
  <c r="N205" i="4"/>
  <c r="P205" i="4" s="1"/>
  <c r="M205" i="4"/>
  <c r="T205" i="4" s="1"/>
  <c r="S204" i="4"/>
  <c r="N204" i="4"/>
  <c r="P204" i="4" s="1"/>
  <c r="M204" i="4"/>
  <c r="T204" i="4" s="1"/>
  <c r="S203" i="4"/>
  <c r="N203" i="4"/>
  <c r="P203" i="4" s="1"/>
  <c r="M203" i="4"/>
  <c r="T203" i="4" s="1"/>
  <c r="S202" i="4"/>
  <c r="N202" i="4"/>
  <c r="P202" i="4" s="1"/>
  <c r="M202" i="4"/>
  <c r="T202" i="4" s="1"/>
  <c r="S201" i="4"/>
  <c r="N201" i="4"/>
  <c r="P201" i="4" s="1"/>
  <c r="M201" i="4"/>
  <c r="T201" i="4" s="1"/>
  <c r="S200" i="4"/>
  <c r="N200" i="4"/>
  <c r="P200" i="4" s="1"/>
  <c r="M200" i="4"/>
  <c r="T200" i="4" s="1"/>
  <c r="S199" i="4"/>
  <c r="N199" i="4"/>
  <c r="P199" i="4" s="1"/>
  <c r="M199" i="4"/>
  <c r="T199" i="4" s="1"/>
  <c r="S198" i="4"/>
  <c r="N198" i="4"/>
  <c r="P198" i="4" s="1"/>
  <c r="I198" i="4"/>
  <c r="S197" i="4"/>
  <c r="N197" i="4"/>
  <c r="P197" i="4" s="1"/>
  <c r="M197" i="4"/>
  <c r="A197" i="4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S196" i="4"/>
  <c r="N196" i="4"/>
  <c r="P196" i="4" s="1"/>
  <c r="I196" i="4"/>
  <c r="M196" i="4" s="1"/>
  <c r="Q194" i="4"/>
  <c r="L194" i="4"/>
  <c r="L316" i="4" s="1"/>
  <c r="K194" i="4"/>
  <c r="K316" i="4" s="1"/>
  <c r="J194" i="4"/>
  <c r="J316" i="4" s="1"/>
  <c r="N193" i="4"/>
  <c r="M193" i="4"/>
  <c r="T193" i="4" s="1"/>
  <c r="N192" i="4"/>
  <c r="M192" i="4"/>
  <c r="R192" i="4" s="1"/>
  <c r="N191" i="4"/>
  <c r="M191" i="4"/>
  <c r="T191" i="4" s="1"/>
  <c r="S190" i="4"/>
  <c r="R190" i="4"/>
  <c r="N190" i="4"/>
  <c r="M190" i="4"/>
  <c r="T190" i="4" s="1"/>
  <c r="S189" i="4"/>
  <c r="N189" i="4"/>
  <c r="M189" i="4"/>
  <c r="R189" i="4" s="1"/>
  <c r="S188" i="4"/>
  <c r="N188" i="4"/>
  <c r="I188" i="4"/>
  <c r="M188" i="4" s="1"/>
  <c r="S187" i="4"/>
  <c r="N187" i="4"/>
  <c r="M187" i="4"/>
  <c r="T187" i="4" s="1"/>
  <c r="L185" i="4"/>
  <c r="L315" i="4" s="1"/>
  <c r="K185" i="4"/>
  <c r="K315" i="4" s="1"/>
  <c r="J185" i="4"/>
  <c r="J315" i="4" s="1"/>
  <c r="I185" i="4"/>
  <c r="I315" i="4" s="1"/>
  <c r="S184" i="4"/>
  <c r="N184" i="4"/>
  <c r="P184" i="4" s="1"/>
  <c r="M184" i="4"/>
  <c r="L337" i="4" s="1"/>
  <c r="S183" i="4"/>
  <c r="N183" i="4"/>
  <c r="P183" i="4" s="1"/>
  <c r="M183" i="4"/>
  <c r="T183" i="4" s="1"/>
  <c r="S182" i="4"/>
  <c r="N182" i="4"/>
  <c r="M182" i="4"/>
  <c r="T182" i="4" s="1"/>
  <c r="T181" i="4"/>
  <c r="S181" i="4"/>
  <c r="N181" i="4"/>
  <c r="P181" i="4" s="1"/>
  <c r="M181" i="4"/>
  <c r="T180" i="4"/>
  <c r="S180" i="4"/>
  <c r="N180" i="4"/>
  <c r="P180" i="4" s="1"/>
  <c r="M180" i="4"/>
  <c r="S179" i="4"/>
  <c r="N179" i="4"/>
  <c r="P179" i="4" s="1"/>
  <c r="M179" i="4"/>
  <c r="L330" i="4" s="1"/>
  <c r="S178" i="4"/>
  <c r="N178" i="4"/>
  <c r="Q178" i="4" s="1"/>
  <c r="M178" i="4"/>
  <c r="L322" i="4" s="1"/>
  <c r="T177" i="4"/>
  <c r="N177" i="4"/>
  <c r="P177" i="4" s="1"/>
  <c r="M177" i="4"/>
  <c r="L334" i="4" s="1"/>
  <c r="L175" i="4"/>
  <c r="L314" i="4" s="1"/>
  <c r="K175" i="4"/>
  <c r="K314" i="4" s="1"/>
  <c r="J175" i="4"/>
  <c r="J314" i="4" s="1"/>
  <c r="I175" i="4"/>
  <c r="I314" i="4" s="1"/>
  <c r="S174" i="4"/>
  <c r="N174" i="4"/>
  <c r="P174" i="4" s="1"/>
  <c r="M174" i="4"/>
  <c r="K325" i="4" s="1"/>
  <c r="T173" i="4"/>
  <c r="S173" i="4"/>
  <c r="N173" i="4"/>
  <c r="P173" i="4" s="1"/>
  <c r="M173" i="4"/>
  <c r="S172" i="4"/>
  <c r="N172" i="4"/>
  <c r="P172" i="4" s="1"/>
  <c r="M172" i="4"/>
  <c r="T172" i="4" s="1"/>
  <c r="S171" i="4"/>
  <c r="N171" i="4"/>
  <c r="P171" i="4" s="1"/>
  <c r="M171" i="4"/>
  <c r="T171" i="4" s="1"/>
  <c r="S170" i="4"/>
  <c r="N170" i="4"/>
  <c r="P170" i="4" s="1"/>
  <c r="M170" i="4"/>
  <c r="T170" i="4" s="1"/>
  <c r="S169" i="4"/>
  <c r="N169" i="4"/>
  <c r="P169" i="4" s="1"/>
  <c r="M169" i="4"/>
  <c r="S168" i="4"/>
  <c r="N168" i="4"/>
  <c r="M168" i="4"/>
  <c r="T168" i="4" s="1"/>
  <c r="S167" i="4"/>
  <c r="N167" i="4"/>
  <c r="P167" i="4" s="1"/>
  <c r="M167" i="4"/>
  <c r="S166" i="4"/>
  <c r="N166" i="4"/>
  <c r="P166" i="4" s="1"/>
  <c r="M166" i="4"/>
  <c r="T166" i="4" s="1"/>
  <c r="T165" i="4"/>
  <c r="S165" i="4"/>
  <c r="Q165" i="4"/>
  <c r="N165" i="4"/>
  <c r="P165" i="4" s="1"/>
  <c r="M165" i="4"/>
  <c r="S164" i="4"/>
  <c r="N164" i="4"/>
  <c r="P164" i="4" s="1"/>
  <c r="M164" i="4"/>
  <c r="T164" i="4" s="1"/>
  <c r="T163" i="4"/>
  <c r="N163" i="4"/>
  <c r="P163" i="4" s="1"/>
  <c r="M163" i="4"/>
  <c r="S163" i="4" s="1"/>
  <c r="T162" i="4"/>
  <c r="N162" i="4"/>
  <c r="P162" i="4" s="1"/>
  <c r="M162" i="4"/>
  <c r="S162" i="4" s="1"/>
  <c r="T161" i="4"/>
  <c r="N161" i="4"/>
  <c r="P161" i="4" s="1"/>
  <c r="M161" i="4"/>
  <c r="S161" i="4" s="1"/>
  <c r="T160" i="4"/>
  <c r="N160" i="4"/>
  <c r="M160" i="4"/>
  <c r="T159" i="4"/>
  <c r="N159" i="4"/>
  <c r="P159" i="4" s="1"/>
  <c r="M159" i="4"/>
  <c r="T158" i="4"/>
  <c r="N158" i="4"/>
  <c r="P158" i="4" s="1"/>
  <c r="M158" i="4"/>
  <c r="K156" i="4"/>
  <c r="K311" i="4" s="1"/>
  <c r="J156" i="4"/>
  <c r="J311" i="4" s="1"/>
  <c r="S155" i="4"/>
  <c r="N155" i="4"/>
  <c r="P155" i="4" s="1"/>
  <c r="M155" i="4"/>
  <c r="S154" i="4"/>
  <c r="N154" i="4"/>
  <c r="P154" i="4" s="1"/>
  <c r="M154" i="4"/>
  <c r="T154" i="4" s="1"/>
  <c r="S153" i="4"/>
  <c r="N153" i="4"/>
  <c r="P153" i="4" s="1"/>
  <c r="M153" i="4"/>
  <c r="T153" i="4" s="1"/>
  <c r="S152" i="4"/>
  <c r="N152" i="4"/>
  <c r="P152" i="4" s="1"/>
  <c r="M152" i="4"/>
  <c r="T152" i="4" s="1"/>
  <c r="S151" i="4"/>
  <c r="N151" i="4"/>
  <c r="P151" i="4" s="1"/>
  <c r="M151" i="4"/>
  <c r="Q151" i="4" s="1"/>
  <c r="I151" i="4"/>
  <c r="S150" i="4"/>
  <c r="N150" i="4"/>
  <c r="P150" i="4" s="1"/>
  <c r="M150" i="4"/>
  <c r="T150" i="4" s="1"/>
  <c r="S149" i="4"/>
  <c r="N149" i="4"/>
  <c r="P149" i="4" s="1"/>
  <c r="M149" i="4"/>
  <c r="T149" i="4" s="1"/>
  <c r="S148" i="4"/>
  <c r="N148" i="4"/>
  <c r="P148" i="4" s="1"/>
  <c r="M148" i="4"/>
  <c r="T148" i="4" s="1"/>
  <c r="S147" i="4"/>
  <c r="P147" i="4"/>
  <c r="N147" i="4"/>
  <c r="M147" i="4"/>
  <c r="S146" i="4"/>
  <c r="N146" i="4"/>
  <c r="P146" i="4" s="1"/>
  <c r="M146" i="4"/>
  <c r="T146" i="4" s="1"/>
  <c r="S145" i="4"/>
  <c r="N145" i="4"/>
  <c r="P145" i="4" s="1"/>
  <c r="M145" i="4"/>
  <c r="S144" i="4"/>
  <c r="N144" i="4"/>
  <c r="P144" i="4" s="1"/>
  <c r="M144" i="4"/>
  <c r="Q144" i="4" s="1"/>
  <c r="T143" i="4"/>
  <c r="S143" i="4"/>
  <c r="N143" i="4"/>
  <c r="P143" i="4" s="1"/>
  <c r="M143" i="4"/>
  <c r="S142" i="4"/>
  <c r="N142" i="4"/>
  <c r="M142" i="4"/>
  <c r="T142" i="4" s="1"/>
  <c r="S141" i="4"/>
  <c r="N141" i="4"/>
  <c r="P141" i="4" s="1"/>
  <c r="M141" i="4"/>
  <c r="T141" i="4" s="1"/>
  <c r="T140" i="4"/>
  <c r="N140" i="4"/>
  <c r="P140" i="4" s="1"/>
  <c r="M140" i="4"/>
  <c r="S140" i="4" s="1"/>
  <c r="T139" i="4"/>
  <c r="N139" i="4"/>
  <c r="P139" i="4" s="1"/>
  <c r="M139" i="4"/>
  <c r="S139" i="4" s="1"/>
  <c r="T138" i="4"/>
  <c r="N138" i="4"/>
  <c r="P138" i="4" s="1"/>
  <c r="M138" i="4"/>
  <c r="H334" i="4" s="1"/>
  <c r="S137" i="4"/>
  <c r="N137" i="4"/>
  <c r="P137" i="4" s="1"/>
  <c r="M137" i="4"/>
  <c r="S136" i="4"/>
  <c r="N136" i="4"/>
  <c r="P136" i="4" s="1"/>
  <c r="M136" i="4"/>
  <c r="T136" i="4" s="1"/>
  <c r="S135" i="4"/>
  <c r="Q135" i="4"/>
  <c r="P135" i="4"/>
  <c r="N135" i="4"/>
  <c r="M135" i="4"/>
  <c r="S134" i="4"/>
  <c r="N134" i="4"/>
  <c r="P134" i="4" s="1"/>
  <c r="I134" i="4"/>
  <c r="M134" i="4" s="1"/>
  <c r="S133" i="4"/>
  <c r="P133" i="4"/>
  <c r="N133" i="4"/>
  <c r="M133" i="4"/>
  <c r="T133" i="4" s="1"/>
  <c r="S132" i="4"/>
  <c r="N132" i="4"/>
  <c r="M132" i="4"/>
  <c r="T132" i="4" s="1"/>
  <c r="S131" i="4"/>
  <c r="P131" i="4"/>
  <c r="N131" i="4"/>
  <c r="M131" i="4"/>
  <c r="S130" i="4"/>
  <c r="N130" i="4"/>
  <c r="P130" i="4" s="1"/>
  <c r="M130" i="4"/>
  <c r="T130" i="4" s="1"/>
  <c r="S129" i="4"/>
  <c r="N129" i="4"/>
  <c r="P129" i="4" s="1"/>
  <c r="M129" i="4"/>
  <c r="T129" i="4" s="1"/>
  <c r="S128" i="4"/>
  <c r="N128" i="4"/>
  <c r="P128" i="4" s="1"/>
  <c r="M128" i="4"/>
  <c r="S127" i="4"/>
  <c r="N127" i="4"/>
  <c r="P127" i="4" s="1"/>
  <c r="M127" i="4"/>
  <c r="T127" i="4" s="1"/>
  <c r="S126" i="4"/>
  <c r="N126" i="4"/>
  <c r="P126" i="4" s="1"/>
  <c r="M126" i="4"/>
  <c r="S125" i="4"/>
  <c r="P125" i="4"/>
  <c r="N125" i="4"/>
  <c r="M125" i="4"/>
  <c r="T125" i="4" s="1"/>
  <c r="S124" i="4"/>
  <c r="P124" i="4"/>
  <c r="N124" i="4"/>
  <c r="M124" i="4"/>
  <c r="T124" i="4" s="1"/>
  <c r="S123" i="4"/>
  <c r="N123" i="4"/>
  <c r="P123" i="4" s="1"/>
  <c r="M123" i="4"/>
  <c r="T123" i="4" s="1"/>
  <c r="T122" i="4"/>
  <c r="S122" i="4"/>
  <c r="P122" i="4"/>
  <c r="N122" i="4"/>
  <c r="M122" i="4"/>
  <c r="S121" i="4"/>
  <c r="P121" i="4"/>
  <c r="N121" i="4"/>
  <c r="M121" i="4"/>
  <c r="T121" i="4" s="1"/>
  <c r="S120" i="4"/>
  <c r="P120" i="4"/>
  <c r="N120" i="4"/>
  <c r="M120" i="4"/>
  <c r="T120" i="4" s="1"/>
  <c r="S119" i="4"/>
  <c r="N119" i="4"/>
  <c r="P119" i="4" s="1"/>
  <c r="M119" i="4"/>
  <c r="T119" i="4" s="1"/>
  <c r="S118" i="4"/>
  <c r="N118" i="4"/>
  <c r="P118" i="4" s="1"/>
  <c r="M118" i="4"/>
  <c r="Q118" i="4" s="1"/>
  <c r="S117" i="4"/>
  <c r="N117" i="4"/>
  <c r="P117" i="4" s="1"/>
  <c r="M117" i="4"/>
  <c r="T117" i="4" s="1"/>
  <c r="S116" i="4"/>
  <c r="N116" i="4"/>
  <c r="P116" i="4" s="1"/>
  <c r="M116" i="4"/>
  <c r="T116" i="4" s="1"/>
  <c r="S115" i="4"/>
  <c r="N115" i="4"/>
  <c r="P115" i="4" s="1"/>
  <c r="M115" i="4"/>
  <c r="T115" i="4" s="1"/>
  <c r="S114" i="4"/>
  <c r="N114" i="4"/>
  <c r="P114" i="4" s="1"/>
  <c r="M114" i="4"/>
  <c r="Q114" i="4" s="1"/>
  <c r="S113" i="4"/>
  <c r="N113" i="4"/>
  <c r="P113" i="4" s="1"/>
  <c r="M113" i="4"/>
  <c r="T113" i="4" s="1"/>
  <c r="T112" i="4"/>
  <c r="S112" i="4"/>
  <c r="N112" i="4"/>
  <c r="P112" i="4" s="1"/>
  <c r="M112" i="4"/>
  <c r="Q112" i="4" s="1"/>
  <c r="S111" i="4"/>
  <c r="N111" i="4"/>
  <c r="M111" i="4"/>
  <c r="T111" i="4" s="1"/>
  <c r="S110" i="4"/>
  <c r="N110" i="4"/>
  <c r="P110" i="4" s="1"/>
  <c r="M110" i="4"/>
  <c r="Q110" i="4" s="1"/>
  <c r="S109" i="4"/>
  <c r="N109" i="4"/>
  <c r="P109" i="4" s="1"/>
  <c r="M109" i="4"/>
  <c r="T109" i="4" s="1"/>
  <c r="S108" i="4"/>
  <c r="N108" i="4"/>
  <c r="P108" i="4" s="1"/>
  <c r="M108" i="4"/>
  <c r="T108" i="4" s="1"/>
  <c r="S107" i="4"/>
  <c r="N107" i="4"/>
  <c r="P107" i="4" s="1"/>
  <c r="M107" i="4"/>
  <c r="T107" i="4" s="1"/>
  <c r="S106" i="4"/>
  <c r="N106" i="4"/>
  <c r="P106" i="4" s="1"/>
  <c r="M106" i="4"/>
  <c r="T106" i="4" s="1"/>
  <c r="S105" i="4"/>
  <c r="N105" i="4"/>
  <c r="P105" i="4" s="1"/>
  <c r="M105" i="4"/>
  <c r="T105" i="4" s="1"/>
  <c r="S104" i="4"/>
  <c r="N104" i="4"/>
  <c r="P104" i="4" s="1"/>
  <c r="M104" i="4"/>
  <c r="T104" i="4" s="1"/>
  <c r="S103" i="4"/>
  <c r="Q103" i="4"/>
  <c r="P103" i="4"/>
  <c r="N103" i="4"/>
  <c r="M103" i="4"/>
  <c r="T103" i="4" s="1"/>
  <c r="S102" i="4"/>
  <c r="P102" i="4"/>
  <c r="N102" i="4"/>
  <c r="L102" i="4"/>
  <c r="L156" i="4" s="1"/>
  <c r="L311" i="4" s="1"/>
  <c r="I102" i="4"/>
  <c r="S101" i="4"/>
  <c r="N101" i="4"/>
  <c r="P101" i="4" s="1"/>
  <c r="M101" i="4"/>
  <c r="S100" i="4"/>
  <c r="N100" i="4"/>
  <c r="P100" i="4" s="1"/>
  <c r="M100" i="4"/>
  <c r="S99" i="4"/>
  <c r="N99" i="4"/>
  <c r="P99" i="4" s="1"/>
  <c r="M99" i="4"/>
  <c r="S98" i="4"/>
  <c r="N98" i="4"/>
  <c r="P98" i="4" s="1"/>
  <c r="M98" i="4"/>
  <c r="S97" i="4"/>
  <c r="N97" i="4"/>
  <c r="P97" i="4" s="1"/>
  <c r="M97" i="4"/>
  <c r="S96" i="4"/>
  <c r="N96" i="4"/>
  <c r="P96" i="4" s="1"/>
  <c r="M96" i="4"/>
  <c r="S95" i="4"/>
  <c r="N95" i="4"/>
  <c r="P95" i="4" s="1"/>
  <c r="M95" i="4"/>
  <c r="S94" i="4"/>
  <c r="N94" i="4"/>
  <c r="P94" i="4" s="1"/>
  <c r="M94" i="4"/>
  <c r="S93" i="4"/>
  <c r="N93" i="4"/>
  <c r="P93" i="4" s="1"/>
  <c r="M93" i="4"/>
  <c r="S92" i="4"/>
  <c r="N92" i="4"/>
  <c r="P92" i="4" s="1"/>
  <c r="M92" i="4"/>
  <c r="S91" i="4"/>
  <c r="N91" i="4"/>
  <c r="P91" i="4" s="1"/>
  <c r="M91" i="4"/>
  <c r="S90" i="4"/>
  <c r="N90" i="4"/>
  <c r="P90" i="4" s="1"/>
  <c r="M90" i="4"/>
  <c r="S89" i="4"/>
  <c r="N89" i="4"/>
  <c r="P89" i="4" s="1"/>
  <c r="M89" i="4"/>
  <c r="S88" i="4"/>
  <c r="N88" i="4"/>
  <c r="P88" i="4" s="1"/>
  <c r="M88" i="4"/>
  <c r="S87" i="4"/>
  <c r="N87" i="4"/>
  <c r="P87" i="4" s="1"/>
  <c r="M87" i="4"/>
  <c r="S86" i="4"/>
  <c r="N86" i="4"/>
  <c r="P86" i="4" s="1"/>
  <c r="M86" i="4"/>
  <c r="S85" i="4"/>
  <c r="N85" i="4"/>
  <c r="P85" i="4" s="1"/>
  <c r="M85" i="4"/>
  <c r="S84" i="4"/>
  <c r="N84" i="4"/>
  <c r="P84" i="4" s="1"/>
  <c r="M84" i="4"/>
  <c r="S83" i="4"/>
  <c r="N83" i="4"/>
  <c r="P83" i="4" s="1"/>
  <c r="M83" i="4"/>
  <c r="S82" i="4"/>
  <c r="N82" i="4"/>
  <c r="P82" i="4" s="1"/>
  <c r="M82" i="4"/>
  <c r="T81" i="4"/>
  <c r="N81" i="4"/>
  <c r="P81" i="4" s="1"/>
  <c r="M81" i="4"/>
  <c r="T80" i="4"/>
  <c r="S80" i="4"/>
  <c r="P80" i="4"/>
  <c r="N80" i="4"/>
  <c r="M80" i="4"/>
  <c r="T79" i="4"/>
  <c r="N79" i="4"/>
  <c r="P79" i="4" s="1"/>
  <c r="M79" i="4"/>
  <c r="S79" i="4" s="1"/>
  <c r="T78" i="4"/>
  <c r="N78" i="4"/>
  <c r="P78" i="4" s="1"/>
  <c r="M78" i="4"/>
  <c r="S78" i="4" s="1"/>
  <c r="T77" i="4"/>
  <c r="P77" i="4"/>
  <c r="N77" i="4"/>
  <c r="M77" i="4"/>
  <c r="T76" i="4"/>
  <c r="N76" i="4"/>
  <c r="P76" i="4" s="1"/>
  <c r="M76" i="4"/>
  <c r="S76" i="4" s="1"/>
  <c r="S75" i="4"/>
  <c r="P75" i="4"/>
  <c r="N75" i="4"/>
  <c r="M75" i="4"/>
  <c r="S74" i="4"/>
  <c r="N74" i="4"/>
  <c r="P74" i="4" s="1"/>
  <c r="M74" i="4"/>
  <c r="S73" i="4"/>
  <c r="P73" i="4"/>
  <c r="N73" i="4"/>
  <c r="M73" i="4"/>
  <c r="I73" i="4"/>
  <c r="I156" i="4" s="1"/>
  <c r="I311" i="4" s="1"/>
  <c r="S72" i="4"/>
  <c r="N72" i="4"/>
  <c r="P72" i="4" s="1"/>
  <c r="M72" i="4"/>
  <c r="T72" i="4" s="1"/>
  <c r="T71" i="4"/>
  <c r="S71" i="4"/>
  <c r="N71" i="4"/>
  <c r="P71" i="4" s="1"/>
  <c r="M71" i="4"/>
  <c r="S70" i="4"/>
  <c r="N70" i="4"/>
  <c r="P70" i="4" s="1"/>
  <c r="M70" i="4"/>
  <c r="Q70" i="4" s="1"/>
  <c r="S69" i="4"/>
  <c r="N69" i="4"/>
  <c r="P69" i="4" s="1"/>
  <c r="M69" i="4"/>
  <c r="T69" i="4" s="1"/>
  <c r="S68" i="4"/>
  <c r="N68" i="4"/>
  <c r="P68" i="4" s="1"/>
  <c r="M68" i="4"/>
  <c r="T68" i="4" s="1"/>
  <c r="S67" i="4"/>
  <c r="N67" i="4"/>
  <c r="P67" i="4" s="1"/>
  <c r="M67" i="4"/>
  <c r="T67" i="4" s="1"/>
  <c r="S66" i="4"/>
  <c r="N66" i="4"/>
  <c r="P66" i="4" s="1"/>
  <c r="M66" i="4"/>
  <c r="T65" i="4"/>
  <c r="N65" i="4"/>
  <c r="P65" i="4" s="1"/>
  <c r="M65" i="4"/>
  <c r="S64" i="4"/>
  <c r="N64" i="4"/>
  <c r="P64" i="4" s="1"/>
  <c r="M64" i="4"/>
  <c r="T64" i="4" s="1"/>
  <c r="S63" i="4"/>
  <c r="N63" i="4"/>
  <c r="P63" i="4" s="1"/>
  <c r="M63" i="4"/>
  <c r="T63" i="4" s="1"/>
  <c r="S62" i="4"/>
  <c r="N62" i="4"/>
  <c r="P62" i="4" s="1"/>
  <c r="M62" i="4"/>
  <c r="T62" i="4" s="1"/>
  <c r="S61" i="4"/>
  <c r="N61" i="4"/>
  <c r="P61" i="4" s="1"/>
  <c r="M61" i="4"/>
  <c r="T61" i="4" s="1"/>
  <c r="S60" i="4"/>
  <c r="N60" i="4"/>
  <c r="P60" i="4" s="1"/>
  <c r="M60" i="4"/>
  <c r="T60" i="4" s="1"/>
  <c r="S59" i="4"/>
  <c r="N59" i="4"/>
  <c r="P59" i="4" s="1"/>
  <c r="M59" i="4"/>
  <c r="T59" i="4" s="1"/>
  <c r="T58" i="4"/>
  <c r="S58" i="4"/>
  <c r="N58" i="4"/>
  <c r="P58" i="4" s="1"/>
  <c r="M58" i="4"/>
  <c r="S57" i="4"/>
  <c r="P57" i="4"/>
  <c r="N57" i="4"/>
  <c r="M57" i="4"/>
  <c r="T57" i="4" s="1"/>
  <c r="S56" i="4"/>
  <c r="Q56" i="4"/>
  <c r="N56" i="4"/>
  <c r="P56" i="4" s="1"/>
  <c r="M56" i="4"/>
  <c r="T56" i="4" s="1"/>
  <c r="S55" i="4"/>
  <c r="P55" i="4"/>
  <c r="N55" i="4"/>
  <c r="M55" i="4"/>
  <c r="T55" i="4" s="1"/>
  <c r="T54" i="4"/>
  <c r="S54" i="4"/>
  <c r="N54" i="4"/>
  <c r="P54" i="4" s="1"/>
  <c r="M54" i="4"/>
  <c r="S53" i="4"/>
  <c r="N53" i="4"/>
  <c r="P53" i="4" s="1"/>
  <c r="M53" i="4"/>
  <c r="T52" i="4"/>
  <c r="S52" i="4"/>
  <c r="Q52" i="4"/>
  <c r="N52" i="4"/>
  <c r="P52" i="4" s="1"/>
  <c r="M52" i="4"/>
  <c r="S51" i="4"/>
  <c r="P51" i="4"/>
  <c r="N51" i="4"/>
  <c r="M51" i="4"/>
  <c r="T51" i="4" s="1"/>
  <c r="S50" i="4"/>
  <c r="N50" i="4"/>
  <c r="M50" i="4"/>
  <c r="T50" i="4" s="1"/>
  <c r="S49" i="4"/>
  <c r="N49" i="4"/>
  <c r="P49" i="4" s="1"/>
  <c r="M49" i="4"/>
  <c r="T49" i="4" s="1"/>
  <c r="S48" i="4"/>
  <c r="N48" i="4"/>
  <c r="P48" i="4" s="1"/>
  <c r="M48" i="4"/>
  <c r="T48" i="4" s="1"/>
  <c r="S47" i="4"/>
  <c r="N47" i="4"/>
  <c r="P47" i="4" s="1"/>
  <c r="M47" i="4"/>
  <c r="T47" i="4" s="1"/>
  <c r="T46" i="4"/>
  <c r="N46" i="4"/>
  <c r="P46" i="4" s="1"/>
  <c r="M46" i="4"/>
  <c r="S46" i="4" s="1"/>
  <c r="S45" i="4"/>
  <c r="N45" i="4"/>
  <c r="P45" i="4" s="1"/>
  <c r="M45" i="4"/>
  <c r="T44" i="4"/>
  <c r="N44" i="4"/>
  <c r="P44" i="4" s="1"/>
  <c r="M44" i="4"/>
  <c r="Q44" i="4" s="1"/>
  <c r="T43" i="4"/>
  <c r="S43" i="4"/>
  <c r="P43" i="4"/>
  <c r="N43" i="4"/>
  <c r="M43" i="4"/>
  <c r="Q43" i="4" s="1"/>
  <c r="S42" i="4"/>
  <c r="N42" i="4"/>
  <c r="M42" i="4"/>
  <c r="T42" i="4" s="1"/>
  <c r="S41" i="4"/>
  <c r="P41" i="4"/>
  <c r="N41" i="4"/>
  <c r="M41" i="4"/>
  <c r="T41" i="4" s="1"/>
  <c r="S40" i="4"/>
  <c r="N40" i="4"/>
  <c r="P40" i="4" s="1"/>
  <c r="M40" i="4"/>
  <c r="T40" i="4" s="1"/>
  <c r="T39" i="4"/>
  <c r="N39" i="4"/>
  <c r="P39" i="4" s="1"/>
  <c r="M39" i="4"/>
  <c r="S39" i="4" s="1"/>
  <c r="S38" i="4"/>
  <c r="N38" i="4"/>
  <c r="P38" i="4" s="1"/>
  <c r="M38" i="4"/>
  <c r="Q38" i="4" s="1"/>
  <c r="S37" i="4"/>
  <c r="N37" i="4"/>
  <c r="P37" i="4" s="1"/>
  <c r="M37" i="4"/>
  <c r="T36" i="4"/>
  <c r="N36" i="4"/>
  <c r="P36" i="4" s="1"/>
  <c r="M36" i="4"/>
  <c r="Q36" i="4" s="1"/>
  <c r="T35" i="4"/>
  <c r="N35" i="4"/>
  <c r="P35" i="4" s="1"/>
  <c r="M35" i="4"/>
  <c r="S35" i="4" s="1"/>
  <c r="T34" i="4"/>
  <c r="N34" i="4"/>
  <c r="M34" i="4"/>
  <c r="S34" i="4" s="1"/>
  <c r="T33" i="4"/>
  <c r="N33" i="4"/>
  <c r="P33" i="4" s="1"/>
  <c r="M33" i="4"/>
  <c r="S33" i="4" s="1"/>
  <c r="S32" i="4"/>
  <c r="N32" i="4"/>
  <c r="P32" i="4" s="1"/>
  <c r="M32" i="4"/>
  <c r="T32" i="4" s="1"/>
  <c r="S31" i="4"/>
  <c r="N31" i="4"/>
  <c r="P31" i="4" s="1"/>
  <c r="M31" i="4"/>
  <c r="T31" i="4" s="1"/>
  <c r="S30" i="4"/>
  <c r="N30" i="4"/>
  <c r="P30" i="4" s="1"/>
  <c r="M30" i="4"/>
  <c r="S29" i="4"/>
  <c r="N29" i="4"/>
  <c r="P29" i="4" s="1"/>
  <c r="M29" i="4"/>
  <c r="S28" i="4"/>
  <c r="N28" i="4"/>
  <c r="P28" i="4" s="1"/>
  <c r="M28" i="4"/>
  <c r="T28" i="4" s="1"/>
  <c r="S27" i="4"/>
  <c r="Q27" i="4"/>
  <c r="P27" i="4"/>
  <c r="N27" i="4"/>
  <c r="M27" i="4"/>
  <c r="T27" i="4" s="1"/>
  <c r="S26" i="4"/>
  <c r="N26" i="4"/>
  <c r="M26" i="4"/>
  <c r="T26" i="4" s="1"/>
  <c r="S25" i="4"/>
  <c r="P25" i="4"/>
  <c r="N25" i="4"/>
  <c r="M25" i="4"/>
  <c r="T25" i="4" s="1"/>
  <c r="S24" i="4"/>
  <c r="N24" i="4"/>
  <c r="P24" i="4" s="1"/>
  <c r="M24" i="4"/>
  <c r="T24" i="4" s="1"/>
  <c r="S23" i="4"/>
  <c r="N23" i="4"/>
  <c r="P23" i="4" s="1"/>
  <c r="M23" i="4"/>
  <c r="T23" i="4" s="1"/>
  <c r="S22" i="4"/>
  <c r="N22" i="4"/>
  <c r="P22" i="4" s="1"/>
  <c r="M22" i="4"/>
  <c r="T22" i="4" s="1"/>
  <c r="S21" i="4"/>
  <c r="N21" i="4"/>
  <c r="P21" i="4" s="1"/>
  <c r="M21" i="4"/>
  <c r="S20" i="4"/>
  <c r="N20" i="4"/>
  <c r="P20" i="4" s="1"/>
  <c r="M20" i="4"/>
  <c r="T20" i="4" s="1"/>
  <c r="S19" i="4"/>
  <c r="N19" i="4"/>
  <c r="P19" i="4" s="1"/>
  <c r="M19" i="4"/>
  <c r="T19" i="4" s="1"/>
  <c r="T18" i="4"/>
  <c r="S18" i="4"/>
  <c r="N18" i="4"/>
  <c r="P18" i="4" s="1"/>
  <c r="M18" i="4"/>
  <c r="S17" i="4"/>
  <c r="N17" i="4"/>
  <c r="P17" i="4" s="1"/>
  <c r="M17" i="4"/>
  <c r="T17" i="4" s="1"/>
  <c r="S16" i="4"/>
  <c r="N16" i="4"/>
  <c r="P16" i="4" s="1"/>
  <c r="M16" i="4"/>
  <c r="T16" i="4" s="1"/>
  <c r="S15" i="4"/>
  <c r="N15" i="4"/>
  <c r="P15" i="4" s="1"/>
  <c r="M15" i="4"/>
  <c r="S14" i="4"/>
  <c r="N14" i="4"/>
  <c r="P14" i="4" s="1"/>
  <c r="M14" i="4"/>
  <c r="S13" i="4"/>
  <c r="N13" i="4"/>
  <c r="P13" i="4" s="1"/>
  <c r="M13" i="4"/>
  <c r="S12" i="4"/>
  <c r="N12" i="4"/>
  <c r="P12" i="4" s="1"/>
  <c r="M12" i="4"/>
  <c r="T12" i="4" s="1"/>
  <c r="S11" i="4"/>
  <c r="N11" i="4"/>
  <c r="P11" i="4" s="1"/>
  <c r="M11" i="4"/>
  <c r="T11" i="4" s="1"/>
  <c r="S10" i="4"/>
  <c r="N10" i="4"/>
  <c r="P10" i="4" s="1"/>
  <c r="M10" i="4"/>
  <c r="T10" i="4" s="1"/>
  <c r="S9" i="4"/>
  <c r="N9" i="4"/>
  <c r="P9" i="4" s="1"/>
  <c r="M9" i="4"/>
  <c r="S8" i="4"/>
  <c r="N8" i="4"/>
  <c r="P8" i="4" s="1"/>
  <c r="M8" i="4"/>
  <c r="T8" i="4" s="1"/>
  <c r="S7" i="4"/>
  <c r="N7" i="4"/>
  <c r="P7" i="4" s="1"/>
  <c r="M7" i="4"/>
  <c r="T6" i="4"/>
  <c r="S6" i="4"/>
  <c r="N6" i="4"/>
  <c r="P6" i="4" s="1"/>
  <c r="M6" i="4"/>
  <c r="S5" i="4"/>
  <c r="N5" i="4"/>
  <c r="P5" i="4" s="1"/>
  <c r="M5" i="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7" i="4" s="1"/>
  <c r="A178" i="4" s="1"/>
  <c r="A179" i="4" s="1"/>
  <c r="A180" i="4" s="1"/>
  <c r="A181" i="4" s="1"/>
  <c r="A182" i="4" s="1"/>
  <c r="A183" i="4" s="1"/>
  <c r="A184" i="4" s="1"/>
  <c r="A187" i="4" s="1"/>
  <c r="A188" i="4" s="1"/>
  <c r="A189" i="4" s="1"/>
  <c r="A190" i="4" s="1"/>
  <c r="A191" i="4" s="1"/>
  <c r="A192" i="4" s="1"/>
  <c r="A193" i="4" s="1"/>
  <c r="A196" i="4" s="1"/>
  <c r="T4" i="4"/>
  <c r="S4" i="4"/>
  <c r="N4" i="4"/>
  <c r="P4" i="4" s="1"/>
  <c r="M4" i="4"/>
  <c r="M20" i="3"/>
  <c r="K20" i="3"/>
  <c r="F20" i="3"/>
  <c r="G19" i="3"/>
  <c r="C19" i="3"/>
  <c r="M18" i="3"/>
  <c r="M17" i="3"/>
  <c r="M16" i="3"/>
  <c r="I15" i="2"/>
  <c r="E15" i="2"/>
  <c r="M15" i="3"/>
  <c r="M14" i="3"/>
  <c r="K14" i="3"/>
  <c r="M13" i="3"/>
  <c r="M12" i="3"/>
  <c r="M11" i="3"/>
  <c r="K11" i="3"/>
  <c r="G17" i="2"/>
  <c r="C17" i="2"/>
  <c r="I16" i="2"/>
  <c r="G16" i="2"/>
  <c r="E16" i="2"/>
  <c r="C16" i="2"/>
  <c r="G15" i="2"/>
  <c r="C15" i="2"/>
  <c r="I14" i="2"/>
  <c r="G14" i="2"/>
  <c r="E14" i="2"/>
  <c r="C14" i="2"/>
  <c r="I13" i="2"/>
  <c r="H13" i="2"/>
  <c r="G13" i="2"/>
  <c r="L13" i="2" s="1"/>
  <c r="E13" i="2"/>
  <c r="D13" i="2"/>
  <c r="C13" i="2"/>
  <c r="G12" i="2"/>
  <c r="C12" i="2"/>
  <c r="I11" i="2"/>
  <c r="G11" i="2"/>
  <c r="E11" i="2"/>
  <c r="C11" i="2"/>
  <c r="I10" i="2"/>
  <c r="H10" i="2"/>
  <c r="G10" i="2"/>
  <c r="F1" i="2"/>
  <c r="H11" i="5" l="1"/>
  <c r="G34" i="7"/>
  <c r="Q19" i="4"/>
  <c r="Q35" i="4"/>
  <c r="Q109" i="4"/>
  <c r="Q115" i="4"/>
  <c r="Q215" i="4"/>
  <c r="R215" i="4" s="1"/>
  <c r="Q293" i="4"/>
  <c r="R293" i="4" s="1"/>
  <c r="Q297" i="4"/>
  <c r="R297" i="4" s="1"/>
  <c r="Q180" i="4"/>
  <c r="Q295" i="4"/>
  <c r="R295" i="4" s="1"/>
  <c r="Q184" i="4"/>
  <c r="L11" i="2"/>
  <c r="L20" i="3"/>
  <c r="S44" i="4"/>
  <c r="Q125" i="4"/>
  <c r="Q179" i="4"/>
  <c r="R187" i="4"/>
  <c r="L271" i="4"/>
  <c r="L313" i="4" s="1"/>
  <c r="I336" i="4"/>
  <c r="Q303" i="4"/>
  <c r="R303" i="4" s="1"/>
  <c r="Q305" i="4"/>
  <c r="R305" i="4" s="1"/>
  <c r="Q111" i="4"/>
  <c r="Q173" i="4"/>
  <c r="Q34" i="4"/>
  <c r="R34" i="4" s="1"/>
  <c r="Q54" i="4"/>
  <c r="Q142" i="4"/>
  <c r="Q162" i="4"/>
  <c r="R162" i="4" s="1"/>
  <c r="S177" i="4"/>
  <c r="Q183" i="4"/>
  <c r="T184" i="4"/>
  <c r="R220" i="4"/>
  <c r="M264" i="4"/>
  <c r="T264" i="4" s="1"/>
  <c r="I325" i="4"/>
  <c r="Q296" i="4"/>
  <c r="R296" i="4" s="1"/>
  <c r="Q300" i="4"/>
  <c r="Q119" i="4"/>
  <c r="S36" i="4"/>
  <c r="T38" i="4"/>
  <c r="Q66" i="4"/>
  <c r="T179" i="4"/>
  <c r="Q249" i="4"/>
  <c r="Q302" i="4"/>
  <c r="R302" i="4" s="1"/>
  <c r="T303" i="4"/>
  <c r="Q307" i="4"/>
  <c r="R307" i="4" s="1"/>
  <c r="M102" i="4"/>
  <c r="Q182" i="4"/>
  <c r="R182" i="4" s="1"/>
  <c r="I271" i="4"/>
  <c r="I313" i="4" s="1"/>
  <c r="Q14" i="4"/>
  <c r="Q30" i="4"/>
  <c r="T118" i="4"/>
  <c r="Q126" i="4"/>
  <c r="T220" i="4"/>
  <c r="Q223" i="4"/>
  <c r="T243" i="4"/>
  <c r="Q255" i="4"/>
  <c r="R255" i="4" s="1"/>
  <c r="Q279" i="4"/>
  <c r="R279" i="4" s="1"/>
  <c r="T296" i="4"/>
  <c r="I327" i="4"/>
  <c r="S308" i="4"/>
  <c r="S312" i="4" s="1"/>
  <c r="Q22" i="4"/>
  <c r="Q26" i="4"/>
  <c r="Q51" i="4"/>
  <c r="R51" i="4" s="1"/>
  <c r="Q105" i="4"/>
  <c r="Q108" i="4"/>
  <c r="R108" i="4" s="1"/>
  <c r="P111" i="4"/>
  <c r="Q121" i="4"/>
  <c r="R121" i="4" s="1"/>
  <c r="Q124" i="4"/>
  <c r="S138" i="4"/>
  <c r="P142" i="4"/>
  <c r="Q170" i="4"/>
  <c r="R170" i="4" s="1"/>
  <c r="P178" i="4"/>
  <c r="R181" i="4"/>
  <c r="P182" i="4"/>
  <c r="P241" i="4"/>
  <c r="P249" i="4"/>
  <c r="Q254" i="4"/>
  <c r="M263" i="4"/>
  <c r="P280" i="4"/>
  <c r="Q284" i="4"/>
  <c r="R284" i="4" s="1"/>
  <c r="Q288" i="4"/>
  <c r="R288" i="4" s="1"/>
  <c r="Q292" i="4"/>
  <c r="R292" i="4" s="1"/>
  <c r="P295" i="4"/>
  <c r="T297" i="4"/>
  <c r="P300" i="4"/>
  <c r="Q301" i="4"/>
  <c r="R301" i="4" s="1"/>
  <c r="P305" i="4"/>
  <c r="L16" i="2"/>
  <c r="Q12" i="4"/>
  <c r="R12" i="4" s="1"/>
  <c r="S267" i="4"/>
  <c r="T14" i="4"/>
  <c r="Q20" i="4"/>
  <c r="Q42" i="4"/>
  <c r="Q50" i="4"/>
  <c r="R50" i="4" s="1"/>
  <c r="Q68" i="4"/>
  <c r="R68" i="4" s="1"/>
  <c r="Q104" i="4"/>
  <c r="Q117" i="4"/>
  <c r="R117" i="4" s="1"/>
  <c r="Q120" i="4"/>
  <c r="Q133" i="4"/>
  <c r="R142" i="4"/>
  <c r="R151" i="4"/>
  <c r="L328" i="4"/>
  <c r="L341" i="4" s="1"/>
  <c r="L343" i="4" s="1"/>
  <c r="Q231" i="4"/>
  <c r="R231" i="4" s="1"/>
  <c r="J322" i="4"/>
  <c r="Q283" i="4"/>
  <c r="R283" i="4" s="1"/>
  <c r="Q287" i="4"/>
  <c r="R287" i="4" s="1"/>
  <c r="Q291" i="4"/>
  <c r="R291" i="4" s="1"/>
  <c r="Q299" i="4"/>
  <c r="R299" i="4" s="1"/>
  <c r="R300" i="4"/>
  <c r="P304" i="4"/>
  <c r="J11" i="5"/>
  <c r="F13" i="2"/>
  <c r="Q28" i="4"/>
  <c r="R28" i="4" s="1"/>
  <c r="T66" i="4"/>
  <c r="T70" i="4"/>
  <c r="Q106" i="4"/>
  <c r="Q107" i="4"/>
  <c r="T114" i="4"/>
  <c r="Q122" i="4"/>
  <c r="R122" i="4" s="1"/>
  <c r="Q123" i="4"/>
  <c r="R133" i="4"/>
  <c r="Q146" i="4"/>
  <c r="T174" i="4"/>
  <c r="Q177" i="4"/>
  <c r="T178" i="4"/>
  <c r="Q181" i="4"/>
  <c r="Q253" i="4"/>
  <c r="R253" i="4" s="1"/>
  <c r="Q262" i="4"/>
  <c r="R262" i="4" s="1"/>
  <c r="T269" i="4"/>
  <c r="T192" i="4"/>
  <c r="J327" i="4"/>
  <c r="J10" i="2"/>
  <c r="Q11" i="4"/>
  <c r="R11" i="4" s="1"/>
  <c r="T30" i="4"/>
  <c r="Q67" i="4"/>
  <c r="R67" i="4" s="1"/>
  <c r="L318" i="4"/>
  <c r="Q113" i="4"/>
  <c r="R113" i="4" s="1"/>
  <c r="Q116" i="4"/>
  <c r="Q130" i="4"/>
  <c r="R130" i="4" s="1"/>
  <c r="Q141" i="4"/>
  <c r="R141" i="4" s="1"/>
  <c r="Q150" i="4"/>
  <c r="R150" i="4" s="1"/>
  <c r="M185" i="4"/>
  <c r="M315" i="4" s="1"/>
  <c r="Q214" i="4"/>
  <c r="R214" i="4" s="1"/>
  <c r="Q222" i="4"/>
  <c r="Q230" i="4"/>
  <c r="R230" i="4" s="1"/>
  <c r="T231" i="4"/>
  <c r="Q261" i="4"/>
  <c r="R261" i="4" s="1"/>
  <c r="I334" i="4"/>
  <c r="Q282" i="4"/>
  <c r="R282" i="4" s="1"/>
  <c r="Q286" i="4"/>
  <c r="R286" i="4" s="1"/>
  <c r="Q290" i="4"/>
  <c r="R290" i="4" s="1"/>
  <c r="Q294" i="4"/>
  <c r="R294" i="4" s="1"/>
  <c r="Q298" i="4"/>
  <c r="R298" i="4" s="1"/>
  <c r="T300" i="4"/>
  <c r="D13" i="5"/>
  <c r="T110" i="4"/>
  <c r="T126" i="4"/>
  <c r="T294" i="4"/>
  <c r="T299" i="4"/>
  <c r="Q4" i="4"/>
  <c r="R4" i="4" s="1"/>
  <c r="Q6" i="4"/>
  <c r="R6" i="4" s="1"/>
  <c r="Q143" i="4"/>
  <c r="Q164" i="4"/>
  <c r="R164" i="4" s="1"/>
  <c r="Q172" i="4"/>
  <c r="R172" i="4" s="1"/>
  <c r="Q275" i="4"/>
  <c r="R275" i="4" s="1"/>
  <c r="I1085" i="1"/>
  <c r="I5" i="6"/>
  <c r="I13" i="6" s="1"/>
  <c r="I19" i="6" s="1"/>
  <c r="J23" i="5"/>
  <c r="J24" i="5"/>
  <c r="L17" i="2"/>
  <c r="L15" i="2"/>
  <c r="L14" i="2"/>
  <c r="L14" i="3"/>
  <c r="J13" i="2"/>
  <c r="G18" i="2"/>
  <c r="I32" i="7"/>
  <c r="I34" i="7" s="1"/>
  <c r="J28" i="7"/>
  <c r="C18" i="2"/>
  <c r="M19" i="3"/>
  <c r="L12" i="2"/>
  <c r="A226" i="4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3" i="4" s="1"/>
  <c r="A274" i="4" s="1"/>
  <c r="A275" i="4" s="1"/>
  <c r="A276" i="4" s="1"/>
  <c r="A277" i="4" s="1"/>
  <c r="A278" i="4" s="1"/>
  <c r="A279" i="4" s="1"/>
  <c r="A280" i="4" s="1"/>
  <c r="A225" i="4"/>
  <c r="Q8" i="4"/>
  <c r="Q32" i="4"/>
  <c r="R32" i="4" s="1"/>
  <c r="Q48" i="4"/>
  <c r="Q81" i="4"/>
  <c r="R81" i="4" s="1"/>
  <c r="T131" i="4"/>
  <c r="Q155" i="4"/>
  <c r="R155" i="4"/>
  <c r="T155" i="4"/>
  <c r="Q16" i="4"/>
  <c r="R16" i="4" s="1"/>
  <c r="Q39" i="4"/>
  <c r="R52" i="4"/>
  <c r="Q55" i="4"/>
  <c r="R55" i="4" s="1"/>
  <c r="R59" i="4"/>
  <c r="Q60" i="4"/>
  <c r="Q64" i="4"/>
  <c r="R64" i="4" s="1"/>
  <c r="Q78" i="4"/>
  <c r="R78" i="4" s="1"/>
  <c r="T83" i="4"/>
  <c r="Q83" i="4"/>
  <c r="R83" i="4" s="1"/>
  <c r="T85" i="4"/>
  <c r="Q85" i="4"/>
  <c r="R85" i="4" s="1"/>
  <c r="T87" i="4"/>
  <c r="Q87" i="4"/>
  <c r="R87" i="4" s="1"/>
  <c r="T89" i="4"/>
  <c r="Q89" i="4"/>
  <c r="R89" i="4" s="1"/>
  <c r="T91" i="4"/>
  <c r="R91" i="4"/>
  <c r="Q91" i="4"/>
  <c r="T93" i="4"/>
  <c r="Q93" i="4"/>
  <c r="R93" i="4" s="1"/>
  <c r="T95" i="4"/>
  <c r="Q95" i="4"/>
  <c r="R95" i="4" s="1"/>
  <c r="T97" i="4"/>
  <c r="Q97" i="4"/>
  <c r="R97" i="4" s="1"/>
  <c r="T99" i="4"/>
  <c r="Q99" i="4"/>
  <c r="R99" i="4" s="1"/>
  <c r="T101" i="4"/>
  <c r="Q101" i="4"/>
  <c r="R101" i="4" s="1"/>
  <c r="R105" i="4"/>
  <c r="R109" i="4"/>
  <c r="R125" i="4"/>
  <c r="T128" i="4"/>
  <c r="Q128" i="4"/>
  <c r="R128" i="4" s="1"/>
  <c r="T134" i="4"/>
  <c r="Q134" i="4"/>
  <c r="R134" i="4" s="1"/>
  <c r="P160" i="4"/>
  <c r="Q160" i="4"/>
  <c r="R160" i="4" s="1"/>
  <c r="T167" i="4"/>
  <c r="Q167" i="4"/>
  <c r="R167" i="4" s="1"/>
  <c r="K329" i="4"/>
  <c r="T169" i="4"/>
  <c r="Q169" i="4"/>
  <c r="R169" i="4" s="1"/>
  <c r="Q10" i="4"/>
  <c r="R10" i="4" s="1"/>
  <c r="Q24" i="4"/>
  <c r="H337" i="4"/>
  <c r="O337" i="4" s="1"/>
  <c r="Q337" i="4" s="1"/>
  <c r="Q7" i="4"/>
  <c r="R7" i="4" s="1"/>
  <c r="Q31" i="4"/>
  <c r="R31" i="4" s="1"/>
  <c r="R36" i="4"/>
  <c r="R44" i="4"/>
  <c r="L10" i="2"/>
  <c r="R19" i="4"/>
  <c r="R27" i="4"/>
  <c r="R35" i="4"/>
  <c r="R43" i="4"/>
  <c r="Q46" i="4"/>
  <c r="H327" i="4"/>
  <c r="R66" i="4"/>
  <c r="R70" i="4"/>
  <c r="Q71" i="4"/>
  <c r="R71" i="4" s="1"/>
  <c r="Q139" i="4"/>
  <c r="R139" i="4" s="1"/>
  <c r="T144" i="4"/>
  <c r="R144" i="4"/>
  <c r="R149" i="4"/>
  <c r="Q149" i="4"/>
  <c r="Q18" i="4"/>
  <c r="R18" i="4" s="1"/>
  <c r="Q40" i="4"/>
  <c r="R40" i="4" s="1"/>
  <c r="T147" i="4"/>
  <c r="H322" i="4"/>
  <c r="M156" i="4"/>
  <c r="M311" i="4" s="1"/>
  <c r="T9" i="4"/>
  <c r="Q15" i="4"/>
  <c r="R15" i="4" s="1"/>
  <c r="R20" i="4"/>
  <c r="Q23" i="4"/>
  <c r="Q47" i="4"/>
  <c r="R47" i="4" s="1"/>
  <c r="Q5" i="4"/>
  <c r="R5" i="4" s="1"/>
  <c r="T7" i="4"/>
  <c r="Q13" i="4"/>
  <c r="R13" i="4" s="1"/>
  <c r="T15" i="4"/>
  <c r="Q21" i="4"/>
  <c r="R21" i="4" s="1"/>
  <c r="R26" i="4"/>
  <c r="Q29" i="4"/>
  <c r="R29" i="4" s="1"/>
  <c r="Q37" i="4"/>
  <c r="R37" i="4" s="1"/>
  <c r="H325" i="4"/>
  <c r="O325" i="4" s="1"/>
  <c r="Q325" i="4" s="1"/>
  <c r="R42" i="4"/>
  <c r="Q45" i="4"/>
  <c r="R45" i="4" s="1"/>
  <c r="Q53" i="4"/>
  <c r="R53" i="4" s="1"/>
  <c r="Q59" i="4"/>
  <c r="Q63" i="4"/>
  <c r="R63" i="4" s="1"/>
  <c r="T73" i="4"/>
  <c r="Q73" i="4"/>
  <c r="R73" i="4" s="1"/>
  <c r="T75" i="4"/>
  <c r="Q75" i="4"/>
  <c r="R75" i="4" s="1"/>
  <c r="Q80" i="4"/>
  <c r="R80" i="4" s="1"/>
  <c r="S81" i="4"/>
  <c r="R104" i="4"/>
  <c r="R112" i="4"/>
  <c r="R116" i="4"/>
  <c r="R120" i="4"/>
  <c r="R124" i="4"/>
  <c r="Q131" i="4"/>
  <c r="R131" i="4" s="1"/>
  <c r="Q147" i="4"/>
  <c r="R147" i="4" s="1"/>
  <c r="H323" i="4"/>
  <c r="O323" i="4" s="1"/>
  <c r="Q323" i="4" s="1"/>
  <c r="H324" i="4"/>
  <c r="O324" i="4" s="1"/>
  <c r="Q324" i="4" s="1"/>
  <c r="Q77" i="4"/>
  <c r="R77" i="4" s="1"/>
  <c r="H328" i="4"/>
  <c r="T5" i="4"/>
  <c r="R8" i="4"/>
  <c r="T13" i="4"/>
  <c r="T21" i="4"/>
  <c r="R24" i="4"/>
  <c r="P26" i="4"/>
  <c r="T29" i="4"/>
  <c r="P34" i="4"/>
  <c r="T37" i="4"/>
  <c r="P42" i="4"/>
  <c r="T45" i="4"/>
  <c r="R48" i="4"/>
  <c r="P50" i="4"/>
  <c r="T53" i="4"/>
  <c r="R56" i="4"/>
  <c r="Q58" i="4"/>
  <c r="R58" i="4" s="1"/>
  <c r="Q62" i="4"/>
  <c r="R62" i="4" s="1"/>
  <c r="S65" i="4"/>
  <c r="T82" i="4"/>
  <c r="Q82" i="4"/>
  <c r="R82" i="4" s="1"/>
  <c r="T84" i="4"/>
  <c r="Q84" i="4"/>
  <c r="R84" i="4" s="1"/>
  <c r="T86" i="4"/>
  <c r="R86" i="4"/>
  <c r="Q86" i="4"/>
  <c r="T88" i="4"/>
  <c r="Q88" i="4"/>
  <c r="R88" i="4" s="1"/>
  <c r="T90" i="4"/>
  <c r="Q90" i="4"/>
  <c r="R90" i="4" s="1"/>
  <c r="T92" i="4"/>
  <c r="Q92" i="4"/>
  <c r="R92" i="4" s="1"/>
  <c r="T94" i="4"/>
  <c r="Q94" i="4"/>
  <c r="R94" i="4" s="1"/>
  <c r="T96" i="4"/>
  <c r="Q96" i="4"/>
  <c r="R96" i="4" s="1"/>
  <c r="T98" i="4"/>
  <c r="Q98" i="4"/>
  <c r="R98" i="4" s="1"/>
  <c r="T100" i="4"/>
  <c r="Q100" i="4"/>
  <c r="R100" i="4" s="1"/>
  <c r="R103" i="4"/>
  <c r="R107" i="4"/>
  <c r="R111" i="4"/>
  <c r="R115" i="4"/>
  <c r="R119" i="4"/>
  <c r="R123" i="4"/>
  <c r="T135" i="4"/>
  <c r="R135" i="4"/>
  <c r="Q138" i="4"/>
  <c r="R138" i="4" s="1"/>
  <c r="H333" i="4"/>
  <c r="R143" i="4"/>
  <c r="P168" i="4"/>
  <c r="Q168" i="4"/>
  <c r="R168" i="4" s="1"/>
  <c r="R23" i="4"/>
  <c r="R39" i="4"/>
  <c r="H326" i="4"/>
  <c r="O326" i="4" s="1"/>
  <c r="Q326" i="4" s="1"/>
  <c r="Q69" i="4"/>
  <c r="R69" i="4" s="1"/>
  <c r="Q79" i="4"/>
  <c r="R79" i="4" s="1"/>
  <c r="Q132" i="4"/>
  <c r="R132" i="4" s="1"/>
  <c r="P132" i="4"/>
  <c r="Q216" i="4"/>
  <c r="R216" i="4" s="1"/>
  <c r="T216" i="4"/>
  <c r="Q278" i="4"/>
  <c r="R278" i="4" s="1"/>
  <c r="T278" i="4"/>
  <c r="Q9" i="4"/>
  <c r="R9" i="4" s="1"/>
  <c r="R14" i="4"/>
  <c r="Q17" i="4"/>
  <c r="R17" i="4" s="1"/>
  <c r="R22" i="4"/>
  <c r="Q25" i="4"/>
  <c r="R25" i="4" s="1"/>
  <c r="R30" i="4"/>
  <c r="Q33" i="4"/>
  <c r="R33" i="4" s="1"/>
  <c r="R38" i="4"/>
  <c r="Q41" i="4"/>
  <c r="R41" i="4" s="1"/>
  <c r="H329" i="4"/>
  <c r="R46" i="4"/>
  <c r="Q49" i="4"/>
  <c r="R49" i="4" s="1"/>
  <c r="R54" i="4"/>
  <c r="Q57" i="4"/>
  <c r="R57" i="4" s="1"/>
  <c r="R60" i="4"/>
  <c r="Q61" i="4"/>
  <c r="R61" i="4" s="1"/>
  <c r="Q65" i="4"/>
  <c r="R65" i="4" s="1"/>
  <c r="Q72" i="4"/>
  <c r="R72" i="4" s="1"/>
  <c r="T74" i="4"/>
  <c r="Q74" i="4"/>
  <c r="R74" i="4" s="1"/>
  <c r="H330" i="4"/>
  <c r="Q76" i="4"/>
  <c r="R76" i="4" s="1"/>
  <c r="S77" i="4"/>
  <c r="R106" i="4"/>
  <c r="R110" i="4"/>
  <c r="R114" i="4"/>
  <c r="R118" i="4"/>
  <c r="R126" i="4"/>
  <c r="Q129" i="4"/>
  <c r="R129" i="4" s="1"/>
  <c r="H331" i="4"/>
  <c r="T137" i="4"/>
  <c r="Q137" i="4"/>
  <c r="R137" i="4" s="1"/>
  <c r="Q140" i="4"/>
  <c r="R140" i="4" s="1"/>
  <c r="S185" i="4"/>
  <c r="S315" i="4" s="1"/>
  <c r="T215" i="4"/>
  <c r="Q226" i="4"/>
  <c r="R226" i="4" s="1"/>
  <c r="T226" i="4"/>
  <c r="M330" i="4"/>
  <c r="T232" i="4"/>
  <c r="S265" i="4"/>
  <c r="S271" i="4" s="1"/>
  <c r="S313" i="4" s="1"/>
  <c r="Q265" i="4"/>
  <c r="J329" i="4"/>
  <c r="R265" i="4"/>
  <c r="Q228" i="4"/>
  <c r="R228" i="4" s="1"/>
  <c r="T228" i="4"/>
  <c r="T233" i="4"/>
  <c r="T242" i="4"/>
  <c r="Q242" i="4"/>
  <c r="R242" i="4" s="1"/>
  <c r="T248" i="4"/>
  <c r="Q248" i="4"/>
  <c r="R248" i="4" s="1"/>
  <c r="T151" i="4"/>
  <c r="H332" i="4"/>
  <c r="O332" i="4" s="1"/>
  <c r="Q332" i="4" s="1"/>
  <c r="Q153" i="4"/>
  <c r="R153" i="4" s="1"/>
  <c r="Q159" i="4"/>
  <c r="R159" i="4" s="1"/>
  <c r="Q163" i="4"/>
  <c r="R163" i="4" s="1"/>
  <c r="Q171" i="4"/>
  <c r="R171" i="4" s="1"/>
  <c r="R183" i="4"/>
  <c r="R191" i="4"/>
  <c r="I194" i="4"/>
  <c r="I316" i="4" s="1"/>
  <c r="M258" i="4"/>
  <c r="M317" i="4" s="1"/>
  <c r="Q196" i="4"/>
  <c r="T196" i="4"/>
  <c r="M198" i="4"/>
  <c r="M339" i="4" s="1"/>
  <c r="O339" i="4" s="1"/>
  <c r="Q339" i="4" s="1"/>
  <c r="I258" i="4"/>
  <c r="I317" i="4" s="1"/>
  <c r="M308" i="4"/>
  <c r="M312" i="4" s="1"/>
  <c r="T275" i="4"/>
  <c r="Q127" i="4"/>
  <c r="R127" i="4" s="1"/>
  <c r="Q136" i="4"/>
  <c r="R136" i="4" s="1"/>
  <c r="H336" i="4"/>
  <c r="T145" i="4"/>
  <c r="Q148" i="4"/>
  <c r="R148" i="4" s="1"/>
  <c r="K338" i="4"/>
  <c r="O338" i="4" s="1"/>
  <c r="Q338" i="4" s="1"/>
  <c r="S158" i="4"/>
  <c r="M175" i="4"/>
  <c r="M314" i="4" s="1"/>
  <c r="Q158" i="4"/>
  <c r="S159" i="4"/>
  <c r="Q166" i="4"/>
  <c r="R166" i="4" s="1"/>
  <c r="N334" i="4"/>
  <c r="N341" i="4" s="1"/>
  <c r="N343" i="4" s="1"/>
  <c r="T188" i="4"/>
  <c r="R188" i="4"/>
  <c r="Q238" i="4"/>
  <c r="R238" i="4" s="1"/>
  <c r="T238" i="4"/>
  <c r="Q217" i="4"/>
  <c r="R217" i="4" s="1"/>
  <c r="Q233" i="4"/>
  <c r="R233" i="4" s="1"/>
  <c r="J318" i="4"/>
  <c r="Q161" i="4"/>
  <c r="R161" i="4" s="1"/>
  <c r="R165" i="4"/>
  <c r="K330" i="4"/>
  <c r="R173" i="4"/>
  <c r="Q210" i="4"/>
  <c r="R210" i="4" s="1"/>
  <c r="T210" i="4"/>
  <c r="T257" i="4"/>
  <c r="M336" i="4"/>
  <c r="Q257" i="4"/>
  <c r="R257" i="4" s="1"/>
  <c r="H335" i="4"/>
  <c r="O335" i="4" s="1"/>
  <c r="Q335" i="4" s="1"/>
  <c r="Q145" i="4"/>
  <c r="R145" i="4" s="1"/>
  <c r="R146" i="4"/>
  <c r="K318" i="4"/>
  <c r="K334" i="4"/>
  <c r="S160" i="4"/>
  <c r="M194" i="4"/>
  <c r="M316" i="4" s="1"/>
  <c r="Q212" i="4"/>
  <c r="R212" i="4" s="1"/>
  <c r="T212" i="4"/>
  <c r="T230" i="4"/>
  <c r="R232" i="4"/>
  <c r="T234" i="4"/>
  <c r="Q234" i="4"/>
  <c r="R234" i="4" s="1"/>
  <c r="R240" i="4"/>
  <c r="T240" i="4"/>
  <c r="Q240" i="4"/>
  <c r="Q246" i="4"/>
  <c r="R246" i="4" s="1"/>
  <c r="T246" i="4"/>
  <c r="Q154" i="4"/>
  <c r="R154" i="4" s="1"/>
  <c r="Q174" i="4"/>
  <c r="R174" i="4" s="1"/>
  <c r="T189" i="4"/>
  <c r="R197" i="4"/>
  <c r="Q197" i="4"/>
  <c r="T197" i="4"/>
  <c r="Q201" i="4"/>
  <c r="R201" i="4" s="1"/>
  <c r="Q205" i="4"/>
  <c r="R205" i="4" s="1"/>
  <c r="Q218" i="4"/>
  <c r="R218" i="4" s="1"/>
  <c r="T218" i="4"/>
  <c r="R223" i="4"/>
  <c r="Q225" i="4"/>
  <c r="R225" i="4" s="1"/>
  <c r="Q236" i="4"/>
  <c r="R236" i="4" s="1"/>
  <c r="R241" i="4"/>
  <c r="Q244" i="4"/>
  <c r="R244" i="4" s="1"/>
  <c r="T249" i="4"/>
  <c r="R249" i="4"/>
  <c r="T252" i="4"/>
  <c r="M328" i="4"/>
  <c r="R252" i="4"/>
  <c r="R254" i="4"/>
  <c r="Q266" i="4"/>
  <c r="R266" i="4" s="1"/>
  <c r="H340" i="4"/>
  <c r="O340" i="4" s="1"/>
  <c r="Q340" i="4" s="1"/>
  <c r="Q152" i="4"/>
  <c r="R152" i="4" s="1"/>
  <c r="R177" i="4"/>
  <c r="R178" i="4"/>
  <c r="R179" i="4"/>
  <c r="R180" i="4"/>
  <c r="R184" i="4"/>
  <c r="S194" i="4"/>
  <c r="R193" i="4"/>
  <c r="Q200" i="4"/>
  <c r="R200" i="4" s="1"/>
  <c r="Q204" i="4"/>
  <c r="R204" i="4" s="1"/>
  <c r="Q208" i="4"/>
  <c r="R208" i="4"/>
  <c r="T208" i="4"/>
  <c r="T223" i="4"/>
  <c r="R239" i="4"/>
  <c r="R247" i="4"/>
  <c r="I330" i="4"/>
  <c r="I341" i="4" s="1"/>
  <c r="I343" i="4" s="1"/>
  <c r="Q274" i="4"/>
  <c r="R274" i="4" s="1"/>
  <c r="Q277" i="4"/>
  <c r="R277" i="4" s="1"/>
  <c r="Q199" i="4"/>
  <c r="R199" i="4" s="1"/>
  <c r="Q203" i="4"/>
  <c r="Q207" i="4"/>
  <c r="Q224" i="4"/>
  <c r="R224" i="4"/>
  <c r="T224" i="4"/>
  <c r="R237" i="4"/>
  <c r="M331" i="4"/>
  <c r="R245" i="4"/>
  <c r="T251" i="4"/>
  <c r="Q251" i="4"/>
  <c r="R251" i="4" s="1"/>
  <c r="P264" i="4"/>
  <c r="Q268" i="4"/>
  <c r="R268" i="4" s="1"/>
  <c r="S258" i="4"/>
  <c r="S317" i="4" s="1"/>
  <c r="Q202" i="4"/>
  <c r="R202" i="4" s="1"/>
  <c r="R203" i="4"/>
  <c r="Q206" i="4"/>
  <c r="R206" i="4" s="1"/>
  <c r="R207" i="4"/>
  <c r="Q209" i="4"/>
  <c r="R209" i="4" s="1"/>
  <c r="M333" i="4"/>
  <c r="R235" i="4"/>
  <c r="R243" i="4"/>
  <c r="T250" i="4"/>
  <c r="Q250" i="4"/>
  <c r="R250" i="4" s="1"/>
  <c r="Q276" i="4"/>
  <c r="R276" i="4" s="1"/>
  <c r="Q211" i="4"/>
  <c r="R211" i="4" s="1"/>
  <c r="Q219" i="4"/>
  <c r="R219" i="4" s="1"/>
  <c r="R222" i="4"/>
  <c r="Q227" i="4"/>
  <c r="R227" i="4" s="1"/>
  <c r="Q256" i="4"/>
  <c r="R256" i="4" s="1"/>
  <c r="Q273" i="4"/>
  <c r="Q213" i="4"/>
  <c r="R213" i="4" s="1"/>
  <c r="Q221" i="4"/>
  <c r="R221" i="4" s="1"/>
  <c r="Q229" i="4"/>
  <c r="R229" i="4" s="1"/>
  <c r="H27" i="7"/>
  <c r="F32" i="7"/>
  <c r="Q270" i="4"/>
  <c r="R270" i="4" s="1"/>
  <c r="Q185" i="4" l="1"/>
  <c r="Q315" i="4" s="1"/>
  <c r="Q102" i="4"/>
  <c r="R102" i="4" s="1"/>
  <c r="T102" i="4"/>
  <c r="T156" i="4" s="1"/>
  <c r="T311" i="4" s="1"/>
  <c r="T318" i="4" s="1"/>
  <c r="T185" i="4"/>
  <c r="T315" i="4" s="1"/>
  <c r="Q264" i="4"/>
  <c r="R264" i="4" s="1"/>
  <c r="T308" i="4"/>
  <c r="T312" i="4" s="1"/>
  <c r="I318" i="4"/>
  <c r="R194" i="4"/>
  <c r="K13" i="2"/>
  <c r="O327" i="4"/>
  <c r="Q327" i="4" s="1"/>
  <c r="T263" i="4"/>
  <c r="T271" i="4" s="1"/>
  <c r="T313" i="4" s="1"/>
  <c r="Q263" i="4"/>
  <c r="R263" i="4" s="1"/>
  <c r="J334" i="4"/>
  <c r="O334" i="4" s="1"/>
  <c r="Q334" i="4" s="1"/>
  <c r="T194" i="4"/>
  <c r="M271" i="4"/>
  <c r="M313" i="4" s="1"/>
  <c r="M318" i="4" s="1"/>
  <c r="T175" i="4"/>
  <c r="T314" i="4" s="1"/>
  <c r="Q156" i="4"/>
  <c r="Q311" i="4" s="1"/>
  <c r="S156" i="4"/>
  <c r="S311" i="4" s="1"/>
  <c r="G21" i="6"/>
  <c r="H346" i="4"/>
  <c r="H347" i="4" s="1"/>
  <c r="E12" i="2"/>
  <c r="I12" i="2"/>
  <c r="G20" i="6"/>
  <c r="L18" i="2"/>
  <c r="L19" i="2" s="1"/>
  <c r="O328" i="4"/>
  <c r="Q328" i="4" s="1"/>
  <c r="K341" i="4"/>
  <c r="K343" i="4" s="1"/>
  <c r="M341" i="4"/>
  <c r="M343" i="4" s="1"/>
  <c r="Q175" i="4"/>
  <c r="Q314" i="4" s="1"/>
  <c r="H32" i="7"/>
  <c r="J32" i="7" s="1"/>
  <c r="J27" i="7"/>
  <c r="G10" i="7" s="1"/>
  <c r="G15" i="7" s="1"/>
  <c r="Q198" i="4"/>
  <c r="R198" i="4" s="1"/>
  <c r="T198" i="4"/>
  <c r="Q308" i="4"/>
  <c r="Q312" i="4" s="1"/>
  <c r="R273" i="4"/>
  <c r="R308" i="4" s="1"/>
  <c r="R312" i="4" s="1"/>
  <c r="R158" i="4"/>
  <c r="R175" i="4" s="1"/>
  <c r="R314" i="4" s="1"/>
  <c r="O336" i="4"/>
  <c r="Q336" i="4" s="1"/>
  <c r="T258" i="4"/>
  <c r="T317" i="4" s="1"/>
  <c r="O330" i="4"/>
  <c r="Q330" i="4" s="1"/>
  <c r="O333" i="4"/>
  <c r="Q333" i="4" s="1"/>
  <c r="S316" i="4"/>
  <c r="A293" i="4"/>
  <c r="A281" i="4"/>
  <c r="R185" i="4"/>
  <c r="R315" i="4" s="1"/>
  <c r="O329" i="4"/>
  <c r="Q329" i="4" s="1"/>
  <c r="R196" i="4"/>
  <c r="S175" i="4"/>
  <c r="S314" i="4" s="1"/>
  <c r="S318" i="4" s="1"/>
  <c r="O331" i="4"/>
  <c r="Q331" i="4" s="1"/>
  <c r="R156" i="4"/>
  <c r="R311" i="4" s="1"/>
  <c r="O322" i="4"/>
  <c r="H341" i="4"/>
  <c r="H343" i="4" s="1"/>
  <c r="G23" i="6" l="1"/>
  <c r="M5" i="6"/>
  <c r="M13" i="6" s="1"/>
  <c r="M19" i="6" s="1"/>
  <c r="R271" i="4"/>
  <c r="R313" i="4" s="1"/>
  <c r="Q271" i="4"/>
  <c r="Q313" i="4" s="1"/>
  <c r="J341" i="4"/>
  <c r="J343" i="4" s="1"/>
  <c r="Q258" i="4"/>
  <c r="Q317" i="4" s="1"/>
  <c r="R258" i="4"/>
  <c r="R317" i="4" s="1"/>
  <c r="R318" i="4" s="1"/>
  <c r="E18" i="2"/>
  <c r="G22" i="6"/>
  <c r="I18" i="2"/>
  <c r="E19" i="3"/>
  <c r="J19" i="3"/>
  <c r="Q322" i="4"/>
  <c r="O341" i="4"/>
  <c r="Q318" i="4"/>
  <c r="A294" i="4"/>
  <c r="A282" i="4"/>
  <c r="O1023" i="1"/>
  <c r="O1022" i="1"/>
  <c r="O1020" i="1"/>
  <c r="O566" i="1"/>
  <c r="O999" i="1"/>
  <c r="O998" i="1"/>
  <c r="O997" i="1"/>
  <c r="O996" i="1"/>
  <c r="O995" i="1"/>
  <c r="O994" i="1"/>
  <c r="O993" i="1"/>
  <c r="O1019" i="1"/>
  <c r="O1018" i="1"/>
  <c r="O1017" i="1"/>
  <c r="O1016" i="1"/>
  <c r="O567" i="1"/>
  <c r="O1015" i="1"/>
  <c r="O991" i="1"/>
  <c r="O990" i="1"/>
  <c r="O989" i="1"/>
  <c r="O1014" i="1"/>
  <c r="O1013" i="1"/>
  <c r="O1012" i="1"/>
  <c r="O1011" i="1"/>
  <c r="O569" i="1"/>
  <c r="O568" i="1"/>
  <c r="O1010" i="1"/>
  <c r="O988" i="1"/>
  <c r="O986" i="1"/>
  <c r="O975" i="1"/>
  <c r="O974" i="1"/>
  <c r="O959" i="1"/>
  <c r="O962" i="1"/>
  <c r="O961" i="1"/>
  <c r="O982" i="1"/>
  <c r="O981" i="1"/>
  <c r="O973" i="1"/>
  <c r="O972" i="1"/>
  <c r="O971" i="1"/>
  <c r="O970" i="1"/>
  <c r="O967" i="1"/>
  <c r="O966" i="1"/>
  <c r="O965" i="1"/>
  <c r="O958" i="1"/>
  <c r="O960" i="1"/>
  <c r="O946" i="1"/>
  <c r="O945" i="1"/>
  <c r="O944" i="1"/>
  <c r="O943" i="1"/>
  <c r="O942" i="1"/>
  <c r="O941" i="1"/>
  <c r="O940" i="1"/>
  <c r="O938" i="1"/>
  <c r="O935" i="1"/>
  <c r="O934" i="1"/>
  <c r="O933" i="1"/>
  <c r="O932" i="1"/>
  <c r="O931" i="1"/>
  <c r="O930" i="1"/>
  <c r="O928" i="1"/>
  <c r="O927" i="1"/>
  <c r="O926" i="1"/>
  <c r="O925" i="1"/>
  <c r="O924" i="1"/>
  <c r="O923" i="1"/>
  <c r="O922" i="1"/>
  <c r="O920" i="1"/>
  <c r="O919" i="1"/>
  <c r="O892" i="1"/>
  <c r="O891" i="1"/>
  <c r="O878" i="1"/>
  <c r="O877" i="1"/>
  <c r="O876" i="1"/>
  <c r="O875" i="1"/>
  <c r="O874" i="1"/>
  <c r="O873" i="1"/>
  <c r="O872" i="1"/>
  <c r="O845" i="1"/>
  <c r="O844" i="1"/>
  <c r="O843" i="1"/>
  <c r="O842" i="1"/>
  <c r="O841" i="1"/>
  <c r="O833" i="1"/>
  <c r="O831" i="1"/>
  <c r="O830" i="1"/>
  <c r="O829" i="1"/>
  <c r="O828" i="1"/>
  <c r="O827" i="1"/>
  <c r="O826" i="1"/>
  <c r="O825" i="1"/>
  <c r="O815" i="1"/>
  <c r="O947" i="1"/>
  <c r="O937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6" i="1"/>
  <c r="O887" i="1"/>
  <c r="O886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39" i="1"/>
  <c r="O837" i="1"/>
  <c r="O824" i="1"/>
  <c r="O822" i="1"/>
  <c r="O953" i="1"/>
  <c r="O951" i="1"/>
  <c r="O949" i="1"/>
  <c r="O885" i="1"/>
  <c r="O855" i="1"/>
  <c r="O853" i="1"/>
  <c r="O851" i="1"/>
  <c r="O849" i="1"/>
  <c r="O834" i="1"/>
  <c r="O820" i="1"/>
  <c r="O818" i="1"/>
  <c r="O814" i="1"/>
  <c r="O812" i="1"/>
  <c r="O810" i="1"/>
  <c r="O894" i="1"/>
  <c r="O793" i="1"/>
  <c r="O742" i="1"/>
  <c r="O750" i="1"/>
  <c r="O788" i="1"/>
  <c r="O784" i="1"/>
  <c r="O769" i="1"/>
  <c r="O765" i="1"/>
  <c r="O747" i="1"/>
  <c r="O783" i="1"/>
  <c r="O760" i="1"/>
  <c r="O739" i="1"/>
  <c r="O731" i="1"/>
  <c r="O725" i="1"/>
  <c r="O721" i="1"/>
  <c r="O708" i="1"/>
  <c r="O696" i="1"/>
  <c r="O714" i="1"/>
  <c r="O703" i="1"/>
  <c r="O716" i="1"/>
  <c r="O701" i="1"/>
  <c r="O666" i="1"/>
  <c r="O665" i="1"/>
  <c r="O660" i="1"/>
  <c r="O631" i="1"/>
  <c r="O630" i="1"/>
  <c r="O521" i="1"/>
  <c r="O520" i="1"/>
  <c r="O519" i="1"/>
  <c r="O518" i="1"/>
  <c r="O517" i="1"/>
  <c r="O516" i="1"/>
  <c r="O515" i="1"/>
  <c r="O514" i="1"/>
  <c r="O513" i="1"/>
  <c r="O511" i="1"/>
  <c r="O510" i="1"/>
  <c r="O509" i="1"/>
  <c r="O508" i="1"/>
  <c r="O507" i="1"/>
  <c r="O506" i="1"/>
  <c r="O505" i="1"/>
  <c r="O504" i="1"/>
  <c r="O503" i="1"/>
  <c r="O501" i="1"/>
  <c r="O500" i="1"/>
  <c r="O499" i="1"/>
  <c r="O498" i="1"/>
  <c r="O497" i="1"/>
  <c r="O496" i="1"/>
  <c r="O495" i="1"/>
  <c r="O494" i="1"/>
  <c r="O493" i="1"/>
  <c r="O491" i="1"/>
  <c r="O490" i="1"/>
  <c r="O489" i="1"/>
  <c r="O488" i="1"/>
  <c r="O487" i="1"/>
  <c r="O486" i="1"/>
  <c r="O485" i="1"/>
  <c r="O484" i="1"/>
  <c r="O483" i="1"/>
  <c r="O481" i="1"/>
  <c r="O480" i="1"/>
  <c r="O479" i="1"/>
  <c r="O478" i="1"/>
  <c r="O477" i="1"/>
  <c r="O476" i="1"/>
  <c r="O475" i="1"/>
  <c r="O474" i="1"/>
  <c r="O473" i="1"/>
  <c r="O472" i="1"/>
  <c r="O471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49" i="1"/>
  <c r="O448" i="1"/>
  <c r="O447" i="1"/>
  <c r="O446" i="1"/>
  <c r="O445" i="1"/>
  <c r="O444" i="1"/>
  <c r="O443" i="1"/>
  <c r="O442" i="1"/>
  <c r="O394" i="1"/>
  <c r="O393" i="1"/>
  <c r="O392" i="1"/>
  <c r="O390" i="1"/>
  <c r="O389" i="1"/>
  <c r="O388" i="1"/>
  <c r="O387" i="1"/>
  <c r="O386" i="1"/>
  <c r="O385" i="1"/>
  <c r="O381" i="1"/>
  <c r="O365" i="1"/>
  <c r="O364" i="1"/>
  <c r="O363" i="1"/>
  <c r="O362" i="1"/>
  <c r="O361" i="1"/>
  <c r="O360" i="1"/>
  <c r="O359" i="1"/>
  <c r="O358" i="1"/>
  <c r="O357" i="1"/>
  <c r="O356" i="1"/>
  <c r="O355" i="1"/>
  <c r="O353" i="1"/>
  <c r="O352" i="1"/>
  <c r="O351" i="1"/>
  <c r="O350" i="1"/>
  <c r="O341" i="1"/>
  <c r="O340" i="1"/>
  <c r="O339" i="1"/>
  <c r="O338" i="1"/>
  <c r="O337" i="1"/>
  <c r="O336" i="1"/>
  <c r="O335" i="1"/>
  <c r="O333" i="1"/>
  <c r="O332" i="1"/>
  <c r="O331" i="1"/>
  <c r="O330" i="1"/>
  <c r="O329" i="1"/>
  <c r="O328" i="1"/>
  <c r="O327" i="1"/>
  <c r="O326" i="1"/>
  <c r="O325" i="1"/>
  <c r="O324" i="1"/>
  <c r="O323" i="1"/>
  <c r="O226" i="1"/>
  <c r="O225" i="1"/>
  <c r="O224" i="1"/>
  <c r="O223" i="1"/>
  <c r="O222" i="1"/>
  <c r="O221" i="1"/>
  <c r="O220" i="1"/>
  <c r="O218" i="1"/>
  <c r="O217" i="1"/>
  <c r="O216" i="1"/>
  <c r="O215" i="1"/>
  <c r="O214" i="1"/>
  <c r="O213" i="1"/>
  <c r="O212" i="1"/>
  <c r="O211" i="1"/>
  <c r="O210" i="1"/>
  <c r="O209" i="1"/>
  <c r="O208" i="1"/>
  <c r="O206" i="1"/>
  <c r="O205" i="1"/>
  <c r="O204" i="1"/>
  <c r="O203" i="1"/>
  <c r="O202" i="1"/>
  <c r="O201" i="1"/>
  <c r="O200" i="1"/>
  <c r="O199" i="1"/>
  <c r="O198" i="1"/>
  <c r="O196" i="1"/>
  <c r="O195" i="1"/>
  <c r="O194" i="1"/>
  <c r="O193" i="1"/>
  <c r="O191" i="1"/>
  <c r="O190" i="1"/>
  <c r="O189" i="1"/>
  <c r="O188" i="1"/>
  <c r="O186" i="1"/>
  <c r="O185" i="1"/>
  <c r="O183" i="1"/>
  <c r="O182" i="1"/>
  <c r="O180" i="1"/>
  <c r="O179" i="1"/>
  <c r="O178" i="1"/>
  <c r="O177" i="1"/>
  <c r="O176" i="1"/>
  <c r="O175" i="1"/>
  <c r="O174" i="1"/>
  <c r="O172" i="1"/>
  <c r="O170" i="1"/>
  <c r="O169" i="1"/>
  <c r="O168" i="1"/>
  <c r="O167" i="1"/>
  <c r="O166" i="1"/>
  <c r="O165" i="1"/>
  <c r="O164" i="1"/>
  <c r="O162" i="1"/>
  <c r="O161" i="1"/>
  <c r="O159" i="1"/>
  <c r="O158" i="1"/>
  <c r="O157" i="1"/>
  <c r="O156" i="1"/>
  <c r="O154" i="1"/>
  <c r="O153" i="1"/>
  <c r="O151" i="1"/>
  <c r="O150" i="1"/>
  <c r="O148" i="1"/>
  <c r="O147" i="1"/>
  <c r="O146" i="1"/>
  <c r="O145" i="1"/>
  <c r="O144" i="1"/>
  <c r="O143" i="1"/>
  <c r="O142" i="1"/>
  <c r="O140" i="1"/>
  <c r="O138" i="1"/>
  <c r="O137" i="1"/>
  <c r="O71" i="1"/>
  <c r="O70" i="1"/>
  <c r="T6" i="1"/>
  <c r="O659" i="1"/>
  <c r="O629" i="1"/>
  <c r="O628" i="1"/>
  <c r="O625" i="1"/>
  <c r="O441" i="1"/>
  <c r="O440" i="1"/>
  <c r="O439" i="1"/>
  <c r="O438" i="1"/>
  <c r="O437" i="1"/>
  <c r="O436" i="1"/>
  <c r="O435" i="1"/>
  <c r="O434" i="1"/>
  <c r="O432" i="1"/>
  <c r="O431" i="1"/>
  <c r="O430" i="1"/>
  <c r="O429" i="1"/>
  <c r="O428" i="1"/>
  <c r="O427" i="1"/>
  <c r="O426" i="1"/>
  <c r="O425" i="1"/>
  <c r="O424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380" i="1"/>
  <c r="O379" i="1"/>
  <c r="O378" i="1"/>
  <c r="O349" i="1"/>
  <c r="O348" i="1"/>
  <c r="O347" i="1"/>
  <c r="O346" i="1"/>
  <c r="O322" i="1"/>
  <c r="O320" i="1"/>
  <c r="O319" i="1"/>
  <c r="O318" i="1"/>
  <c r="O317" i="1"/>
  <c r="O316" i="1"/>
  <c r="O315" i="1"/>
  <c r="O314" i="1"/>
  <c r="O312" i="1"/>
  <c r="O310" i="1"/>
  <c r="O309" i="1"/>
  <c r="O308" i="1"/>
  <c r="O307" i="1"/>
  <c r="O136" i="1"/>
  <c r="O134" i="1"/>
  <c r="O132" i="1"/>
  <c r="O131" i="1"/>
  <c r="O130" i="1"/>
  <c r="O129" i="1"/>
  <c r="O128" i="1"/>
  <c r="O126" i="1"/>
  <c r="O124" i="1"/>
  <c r="O123" i="1"/>
  <c r="O122" i="1"/>
  <c r="O121" i="1"/>
  <c r="O120" i="1"/>
  <c r="O118" i="1"/>
  <c r="O116" i="1"/>
  <c r="O38" i="1"/>
  <c r="O36" i="1"/>
  <c r="O34" i="1"/>
  <c r="O33" i="1"/>
  <c r="O32" i="1"/>
  <c r="O31" i="1"/>
  <c r="O30" i="1"/>
  <c r="O28" i="1"/>
  <c r="O408" i="1"/>
  <c r="O658" i="1"/>
  <c r="O656" i="1"/>
  <c r="O655" i="1"/>
  <c r="O653" i="1"/>
  <c r="O650" i="1"/>
  <c r="O648" i="1"/>
  <c r="O647" i="1"/>
  <c r="O645" i="1"/>
  <c r="O642" i="1"/>
  <c r="O639" i="1"/>
  <c r="O376" i="1"/>
  <c r="O113" i="1"/>
  <c r="O110" i="1"/>
  <c r="O108" i="1"/>
  <c r="O105" i="1"/>
  <c r="O102" i="1"/>
  <c r="O100" i="1"/>
  <c r="O97" i="1"/>
  <c r="O69" i="1"/>
  <c r="O68" i="1"/>
  <c r="O66" i="1"/>
  <c r="O63" i="1"/>
  <c r="O61" i="1"/>
  <c r="O60" i="1"/>
  <c r="O637" i="1"/>
  <c r="O305" i="1"/>
  <c r="O407" i="1"/>
  <c r="O94" i="1"/>
  <c r="O406" i="1"/>
  <c r="O403" i="1"/>
  <c r="O401" i="1"/>
  <c r="O400" i="1"/>
  <c r="O92" i="1"/>
  <c r="O59" i="1"/>
  <c r="O11" i="1"/>
  <c r="O9" i="1"/>
  <c r="O55" i="1"/>
  <c r="O53" i="1"/>
  <c r="O52" i="1"/>
  <c r="O626" i="1"/>
  <c r="O26" i="1"/>
  <c r="O303" i="1"/>
  <c r="O89" i="1"/>
  <c r="O88" i="1"/>
  <c r="O85" i="1"/>
  <c r="G24" i="6" l="1"/>
  <c r="G27" i="5"/>
  <c r="G8" i="5"/>
  <c r="G13" i="5" s="1"/>
  <c r="U675" i="1"/>
  <c r="O675" i="1"/>
  <c r="Q675" i="1" s="1"/>
  <c r="O676" i="1"/>
  <c r="Q676" i="1" s="1"/>
  <c r="U676" i="1"/>
  <c r="G26" i="6"/>
  <c r="G27" i="6"/>
  <c r="U890" i="1"/>
  <c r="T890" i="1"/>
  <c r="O890" i="1"/>
  <c r="T1021" i="1"/>
  <c r="O1021" i="1"/>
  <c r="Q1021" i="1" s="1"/>
  <c r="T992" i="1"/>
  <c r="O992" i="1"/>
  <c r="Q992" i="1" s="1"/>
  <c r="T963" i="1"/>
  <c r="O963" i="1"/>
  <c r="Q963" i="1" s="1"/>
  <c r="T832" i="1"/>
  <c r="O832" i="1"/>
  <c r="T871" i="1"/>
  <c r="O871" i="1"/>
  <c r="Q871" i="1" s="1"/>
  <c r="T921" i="1"/>
  <c r="O921" i="1"/>
  <c r="Q921" i="1" s="1"/>
  <c r="T929" i="1"/>
  <c r="O929" i="1"/>
  <c r="T939" i="1"/>
  <c r="O939" i="1"/>
  <c r="T955" i="1"/>
  <c r="O955" i="1"/>
  <c r="U813" i="1"/>
  <c r="O813" i="1"/>
  <c r="U835" i="1"/>
  <c r="O835" i="1"/>
  <c r="U884" i="1"/>
  <c r="O884" i="1"/>
  <c r="U954" i="1"/>
  <c r="O954" i="1"/>
  <c r="U840" i="1"/>
  <c r="O840" i="1"/>
  <c r="U893" i="1"/>
  <c r="O893" i="1"/>
  <c r="U817" i="1"/>
  <c r="O817" i="1"/>
  <c r="U850" i="1"/>
  <c r="O850" i="1"/>
  <c r="U948" i="1"/>
  <c r="O948" i="1"/>
  <c r="U823" i="1"/>
  <c r="O823" i="1"/>
  <c r="U895" i="1"/>
  <c r="O895" i="1"/>
  <c r="U819" i="1"/>
  <c r="O819" i="1"/>
  <c r="U852" i="1"/>
  <c r="O852" i="1"/>
  <c r="U950" i="1"/>
  <c r="O950" i="1"/>
  <c r="U836" i="1"/>
  <c r="O836" i="1"/>
  <c r="U897" i="1"/>
  <c r="O897" i="1"/>
  <c r="Q897" i="1" s="1"/>
  <c r="U811" i="1"/>
  <c r="O811" i="1"/>
  <c r="U821" i="1"/>
  <c r="O821" i="1"/>
  <c r="U854" i="1"/>
  <c r="O854" i="1"/>
  <c r="U952" i="1"/>
  <c r="O952" i="1"/>
  <c r="U838" i="1"/>
  <c r="O838" i="1"/>
  <c r="U754" i="1"/>
  <c r="O754" i="1"/>
  <c r="U762" i="1"/>
  <c r="O762" i="1"/>
  <c r="U745" i="1"/>
  <c r="O745" i="1"/>
  <c r="U767" i="1"/>
  <c r="O767" i="1"/>
  <c r="U775" i="1"/>
  <c r="O775" i="1"/>
  <c r="U790" i="1"/>
  <c r="O790" i="1"/>
  <c r="T743" i="1"/>
  <c r="O743" i="1"/>
  <c r="Q743" i="1" s="1"/>
  <c r="T794" i="1"/>
  <c r="O794" i="1"/>
  <c r="Q794" i="1" s="1"/>
  <c r="U755" i="1"/>
  <c r="O755" i="1"/>
  <c r="U763" i="1"/>
  <c r="O763" i="1"/>
  <c r="U746" i="1"/>
  <c r="O746" i="1"/>
  <c r="U768" i="1"/>
  <c r="O768" i="1"/>
  <c r="U776" i="1"/>
  <c r="O776" i="1"/>
  <c r="U802" i="1"/>
  <c r="O802" i="1"/>
  <c r="T777" i="1"/>
  <c r="O777" i="1"/>
  <c r="T795" i="1"/>
  <c r="O795" i="1"/>
  <c r="U756" i="1"/>
  <c r="O756" i="1"/>
  <c r="T749" i="1"/>
  <c r="O749" i="1"/>
  <c r="T778" i="1"/>
  <c r="O778" i="1"/>
  <c r="Q778" i="1" s="1"/>
  <c r="U757" i="1"/>
  <c r="O757" i="1"/>
  <c r="U797" i="1"/>
  <c r="O797" i="1"/>
  <c r="U748" i="1"/>
  <c r="O748" i="1"/>
  <c r="U770" i="1"/>
  <c r="O770" i="1"/>
  <c r="U785" i="1"/>
  <c r="O785" i="1"/>
  <c r="U758" i="1"/>
  <c r="O758" i="1"/>
  <c r="U798" i="1"/>
  <c r="O798" i="1"/>
  <c r="U741" i="1"/>
  <c r="O741" i="1"/>
  <c r="U771" i="1"/>
  <c r="O771" i="1"/>
  <c r="U786" i="1"/>
  <c r="O786" i="1"/>
  <c r="T751" i="1"/>
  <c r="O751" i="1"/>
  <c r="Q751" i="1" s="1"/>
  <c r="T782" i="1"/>
  <c r="O782" i="1"/>
  <c r="Q782" i="1" s="1"/>
  <c r="U744" i="1"/>
  <c r="O744" i="1"/>
  <c r="U759" i="1"/>
  <c r="O759" i="1"/>
  <c r="U799" i="1"/>
  <c r="O799" i="1"/>
  <c r="U764" i="1"/>
  <c r="O764" i="1"/>
  <c r="U772" i="1"/>
  <c r="O772" i="1"/>
  <c r="U787" i="1"/>
  <c r="O787" i="1"/>
  <c r="T752" i="1"/>
  <c r="O752" i="1"/>
  <c r="T791" i="1"/>
  <c r="O791" i="1"/>
  <c r="U800" i="1"/>
  <c r="O800" i="1"/>
  <c r="U773" i="1"/>
  <c r="O773" i="1"/>
  <c r="T738" i="1"/>
  <c r="O738" i="1"/>
  <c r="T792" i="1"/>
  <c r="O792" i="1"/>
  <c r="Q792" i="1" s="1"/>
  <c r="U740" i="1"/>
  <c r="O740" i="1"/>
  <c r="U761" i="1"/>
  <c r="O761" i="1"/>
  <c r="U801" i="1"/>
  <c r="O801" i="1"/>
  <c r="U766" i="1"/>
  <c r="O766" i="1"/>
  <c r="U774" i="1"/>
  <c r="O774" i="1"/>
  <c r="U789" i="1"/>
  <c r="O789" i="1"/>
  <c r="U117" i="1"/>
  <c r="O117" i="1"/>
  <c r="T152" i="1"/>
  <c r="O152" i="1"/>
  <c r="U54" i="1"/>
  <c r="O54" i="1"/>
  <c r="U58" i="1"/>
  <c r="O58" i="1"/>
  <c r="U402" i="1"/>
  <c r="O402" i="1"/>
  <c r="U95" i="1"/>
  <c r="O95" i="1"/>
  <c r="U62" i="1"/>
  <c r="O62" i="1"/>
  <c r="U96" i="1"/>
  <c r="O96" i="1"/>
  <c r="U104" i="1"/>
  <c r="O104" i="1"/>
  <c r="U112" i="1"/>
  <c r="O112" i="1"/>
  <c r="U641" i="1"/>
  <c r="O641" i="1"/>
  <c r="U649" i="1"/>
  <c r="O649" i="1"/>
  <c r="U657" i="1"/>
  <c r="O657" i="1"/>
  <c r="T694" i="1"/>
  <c r="O694" i="1"/>
  <c r="Q694" i="1" s="1"/>
  <c r="T709" i="1"/>
  <c r="O709" i="1"/>
  <c r="Q709" i="1" s="1"/>
  <c r="T726" i="1"/>
  <c r="O726" i="1"/>
  <c r="Q726" i="1" s="1"/>
  <c r="U125" i="1"/>
  <c r="O125" i="1"/>
  <c r="T149" i="1"/>
  <c r="O149" i="1"/>
  <c r="T181" i="1"/>
  <c r="O181" i="1"/>
  <c r="T391" i="1"/>
  <c r="O391" i="1"/>
  <c r="T470" i="1"/>
  <c r="O470" i="1"/>
  <c r="T502" i="1"/>
  <c r="O502" i="1"/>
  <c r="U717" i="1"/>
  <c r="O717" i="1"/>
  <c r="T695" i="1"/>
  <c r="O695" i="1"/>
  <c r="T715" i="1"/>
  <c r="O715" i="1"/>
  <c r="Q715" i="1" s="1"/>
  <c r="T727" i="1"/>
  <c r="O727" i="1"/>
  <c r="Q727" i="1" s="1"/>
  <c r="U133" i="1"/>
  <c r="O133" i="1"/>
  <c r="U423" i="1"/>
  <c r="O423" i="1"/>
  <c r="T141" i="1"/>
  <c r="O141" i="1"/>
  <c r="U304" i="1"/>
  <c r="O304" i="1"/>
  <c r="U56" i="1"/>
  <c r="O56" i="1"/>
  <c r="U90" i="1"/>
  <c r="O90" i="1"/>
  <c r="U404" i="1"/>
  <c r="O404" i="1"/>
  <c r="U306" i="1"/>
  <c r="O306" i="1"/>
  <c r="U64" i="1"/>
  <c r="O64" i="1"/>
  <c r="U98" i="1"/>
  <c r="O98" i="1"/>
  <c r="U106" i="1"/>
  <c r="O106" i="1"/>
  <c r="U114" i="1"/>
  <c r="O114" i="1"/>
  <c r="U643" i="1"/>
  <c r="O643" i="1"/>
  <c r="U651" i="1"/>
  <c r="O651" i="1"/>
  <c r="T334" i="1"/>
  <c r="O334" i="1"/>
  <c r="U718" i="1"/>
  <c r="O718" i="1"/>
  <c r="T720" i="1"/>
  <c r="O720" i="1"/>
  <c r="Q720" i="1" s="1"/>
  <c r="T728" i="1"/>
  <c r="O728" i="1"/>
  <c r="Q728" i="1" s="1"/>
  <c r="T173" i="1"/>
  <c r="O173" i="1"/>
  <c r="T197" i="1"/>
  <c r="O197" i="1"/>
  <c r="U86" i="1"/>
  <c r="O86" i="1"/>
  <c r="U345" i="1"/>
  <c r="O345" i="1"/>
  <c r="U57" i="1"/>
  <c r="O57" i="1"/>
  <c r="U91" i="1"/>
  <c r="O91" i="1"/>
  <c r="U405" i="1"/>
  <c r="O405" i="1"/>
  <c r="U375" i="1"/>
  <c r="O375" i="1"/>
  <c r="U65" i="1"/>
  <c r="O65" i="1"/>
  <c r="U99" i="1"/>
  <c r="O99" i="1"/>
  <c r="U107" i="1"/>
  <c r="O107" i="1"/>
  <c r="U115" i="1"/>
  <c r="O115" i="1"/>
  <c r="U644" i="1"/>
  <c r="O644" i="1"/>
  <c r="U652" i="1"/>
  <c r="O652" i="1"/>
  <c r="U119" i="1"/>
  <c r="O119" i="1"/>
  <c r="U127" i="1"/>
  <c r="O127" i="1"/>
  <c r="U135" i="1"/>
  <c r="O135" i="1"/>
  <c r="U313" i="1"/>
  <c r="O313" i="1"/>
  <c r="U321" i="1"/>
  <c r="O321" i="1"/>
  <c r="U433" i="1"/>
  <c r="O433" i="1"/>
  <c r="T207" i="1"/>
  <c r="O207" i="1"/>
  <c r="U702" i="1"/>
  <c r="O702" i="1"/>
  <c r="T697" i="1"/>
  <c r="O697" i="1"/>
  <c r="Q697" i="1" s="1"/>
  <c r="U35" i="1"/>
  <c r="O35" i="1"/>
  <c r="T184" i="1"/>
  <c r="O184" i="1"/>
  <c r="T705" i="1"/>
  <c r="O705" i="1"/>
  <c r="Q705" i="1" s="1"/>
  <c r="T722" i="1"/>
  <c r="O722" i="1"/>
  <c r="Q722" i="1" s="1"/>
  <c r="T733" i="1"/>
  <c r="O733" i="1"/>
  <c r="Q733" i="1" s="1"/>
  <c r="U27" i="1"/>
  <c r="O27" i="1"/>
  <c r="U627" i="1"/>
  <c r="O627" i="1"/>
  <c r="U10" i="1"/>
  <c r="O10" i="1"/>
  <c r="U399" i="1"/>
  <c r="O399" i="1"/>
  <c r="U93" i="1"/>
  <c r="O93" i="1"/>
  <c r="U638" i="1"/>
  <c r="O638" i="1"/>
  <c r="U67" i="1"/>
  <c r="O67" i="1"/>
  <c r="U101" i="1"/>
  <c r="O101" i="1"/>
  <c r="U109" i="1"/>
  <c r="O109" i="1"/>
  <c r="U377" i="1"/>
  <c r="O377" i="1"/>
  <c r="U646" i="1"/>
  <c r="O646" i="1"/>
  <c r="U654" i="1"/>
  <c r="O654" i="1"/>
  <c r="T450" i="1"/>
  <c r="O450" i="1"/>
  <c r="T482" i="1"/>
  <c r="O482" i="1"/>
  <c r="T512" i="1"/>
  <c r="O512" i="1"/>
  <c r="U704" i="1"/>
  <c r="O704" i="1"/>
  <c r="T706" i="1"/>
  <c r="O706" i="1"/>
  <c r="Q706" i="1" s="1"/>
  <c r="T723" i="1"/>
  <c r="O723" i="1"/>
  <c r="Q723" i="1" s="1"/>
  <c r="U87" i="1"/>
  <c r="O87" i="1"/>
  <c r="T192" i="1"/>
  <c r="O192" i="1"/>
  <c r="Q192" i="1" s="1"/>
  <c r="U618" i="1"/>
  <c r="O618" i="1"/>
  <c r="U29" i="1"/>
  <c r="O29" i="1"/>
  <c r="U37" i="1"/>
  <c r="O37" i="1"/>
  <c r="T354" i="1"/>
  <c r="O354" i="1"/>
  <c r="U712" i="1"/>
  <c r="O712" i="1"/>
  <c r="T707" i="1"/>
  <c r="O707" i="1"/>
  <c r="Q707" i="1" s="1"/>
  <c r="T724" i="1"/>
  <c r="O724" i="1"/>
  <c r="Q724" i="1" s="1"/>
  <c r="U311" i="1"/>
  <c r="O311" i="1"/>
  <c r="U384" i="1"/>
  <c r="O384" i="1"/>
  <c r="T160" i="1"/>
  <c r="O160" i="1"/>
  <c r="U103" i="1"/>
  <c r="O103" i="1"/>
  <c r="U111" i="1"/>
  <c r="O111" i="1"/>
  <c r="U640" i="1"/>
  <c r="O640" i="1"/>
  <c r="T139" i="1"/>
  <c r="O139" i="1"/>
  <c r="Q139" i="1" s="1"/>
  <c r="T155" i="1"/>
  <c r="O155" i="1"/>
  <c r="T163" i="1"/>
  <c r="O163" i="1"/>
  <c r="T171" i="1"/>
  <c r="O171" i="1"/>
  <c r="T187" i="1"/>
  <c r="O187" i="1"/>
  <c r="T219" i="1"/>
  <c r="O219" i="1"/>
  <c r="T492" i="1"/>
  <c r="O492" i="1"/>
  <c r="T522" i="1"/>
  <c r="O522" i="1"/>
  <c r="U713" i="1"/>
  <c r="O713" i="1"/>
  <c r="U719" i="1"/>
  <c r="O719" i="1"/>
  <c r="A283" i="4"/>
  <c r="A295" i="4"/>
  <c r="O343" i="4"/>
  <c r="Q341" i="4"/>
  <c r="U820" i="1"/>
  <c r="U885" i="1"/>
  <c r="U864" i="1"/>
  <c r="T828" i="1"/>
  <c r="T843" i="1"/>
  <c r="U990" i="1"/>
  <c r="U1016" i="1"/>
  <c r="T996" i="1"/>
  <c r="U703" i="1"/>
  <c r="U857" i="1"/>
  <c r="U861" i="1"/>
  <c r="U865" i="1"/>
  <c r="U868" i="1"/>
  <c r="U887" i="1"/>
  <c r="U898" i="1"/>
  <c r="U901" i="1"/>
  <c r="U905" i="1"/>
  <c r="U909" i="1"/>
  <c r="U913" i="1"/>
  <c r="U917" i="1"/>
  <c r="U947" i="1"/>
  <c r="T825" i="1"/>
  <c r="T829" i="1"/>
  <c r="T833" i="1"/>
  <c r="T844" i="1"/>
  <c r="T872" i="1"/>
  <c r="T877" i="1"/>
  <c r="T919" i="1"/>
  <c r="T922" i="1"/>
  <c r="T926" i="1"/>
  <c r="U930" i="1"/>
  <c r="T934" i="1"/>
  <c r="T940" i="1"/>
  <c r="T944" i="1"/>
  <c r="U960" i="1"/>
  <c r="U967" i="1"/>
  <c r="U973" i="1"/>
  <c r="U962" i="1"/>
  <c r="T975" i="1"/>
  <c r="U568" i="1"/>
  <c r="U1013" i="1"/>
  <c r="U991" i="1"/>
  <c r="U1017" i="1"/>
  <c r="T993" i="1"/>
  <c r="T997" i="1"/>
  <c r="T1022" i="1"/>
  <c r="U904" i="1"/>
  <c r="U814" i="1"/>
  <c r="U853" i="1"/>
  <c r="U822" i="1"/>
  <c r="U856" i="1"/>
  <c r="T874" i="1"/>
  <c r="T892" i="1"/>
  <c r="T925" i="1"/>
  <c r="T933" i="1"/>
  <c r="T943" i="1"/>
  <c r="U972" i="1"/>
  <c r="U894" i="1"/>
  <c r="U812" i="1"/>
  <c r="U818" i="1"/>
  <c r="U834" i="1"/>
  <c r="U851" i="1"/>
  <c r="U855" i="1"/>
  <c r="U949" i="1"/>
  <c r="U953" i="1"/>
  <c r="U824" i="1"/>
  <c r="U839" i="1"/>
  <c r="U858" i="1"/>
  <c r="U862" i="1"/>
  <c r="U866" i="1"/>
  <c r="U869" i="1"/>
  <c r="U899" i="1"/>
  <c r="U902" i="1"/>
  <c r="U906" i="1"/>
  <c r="U910" i="1"/>
  <c r="U914" i="1"/>
  <c r="T815" i="1"/>
  <c r="T826" i="1"/>
  <c r="T830" i="1"/>
  <c r="T841" i="1"/>
  <c r="T845" i="1"/>
  <c r="T873" i="1"/>
  <c r="T875" i="1"/>
  <c r="T878" i="1"/>
  <c r="T920" i="1"/>
  <c r="T923" i="1"/>
  <c r="T927" i="1"/>
  <c r="T931" i="1"/>
  <c r="T935" i="1"/>
  <c r="T941" i="1"/>
  <c r="T945" i="1"/>
  <c r="U958" i="1"/>
  <c r="U970" i="1"/>
  <c r="U981" i="1"/>
  <c r="U959" i="1"/>
  <c r="U986" i="1"/>
  <c r="U569" i="1"/>
  <c r="U1014" i="1"/>
  <c r="U1015" i="1"/>
  <c r="U1018" i="1"/>
  <c r="T994" i="1"/>
  <c r="T998" i="1"/>
  <c r="T566" i="1"/>
  <c r="T1023" i="1"/>
  <c r="U739" i="1"/>
  <c r="U760" i="1"/>
  <c r="U783" i="1"/>
  <c r="U747" i="1"/>
  <c r="U765" i="1"/>
  <c r="U769" i="1"/>
  <c r="U784" i="1"/>
  <c r="U788" i="1"/>
  <c r="U860" i="1"/>
  <c r="U912" i="1"/>
  <c r="U1012" i="1"/>
  <c r="U810" i="1"/>
  <c r="U849" i="1"/>
  <c r="U951" i="1"/>
  <c r="U837" i="1"/>
  <c r="U886" i="1"/>
  <c r="U900" i="1"/>
  <c r="U908" i="1"/>
  <c r="U916" i="1"/>
  <c r="U966" i="1"/>
  <c r="U961" i="1"/>
  <c r="U1010" i="1"/>
  <c r="U701" i="1"/>
  <c r="U716" i="1"/>
  <c r="U859" i="1"/>
  <c r="U863" i="1"/>
  <c r="U867" i="1"/>
  <c r="U870" i="1"/>
  <c r="U896" i="1"/>
  <c r="U903" i="1"/>
  <c r="U907" i="1"/>
  <c r="U911" i="1"/>
  <c r="U915" i="1"/>
  <c r="U918" i="1"/>
  <c r="T827" i="1"/>
  <c r="T831" i="1"/>
  <c r="T842" i="1"/>
  <c r="T876" i="1"/>
  <c r="T891" i="1"/>
  <c r="T924" i="1"/>
  <c r="T928" i="1"/>
  <c r="T932" i="1"/>
  <c r="T938" i="1"/>
  <c r="T942" i="1"/>
  <c r="T946" i="1"/>
  <c r="U965" i="1"/>
  <c r="U971" i="1"/>
  <c r="U982" i="1"/>
  <c r="U974" i="1"/>
  <c r="U988" i="1"/>
  <c r="U1011" i="1"/>
  <c r="U989" i="1"/>
  <c r="U567" i="1"/>
  <c r="U1019" i="1"/>
  <c r="T995" i="1"/>
  <c r="T999" i="1"/>
  <c r="T1020" i="1"/>
  <c r="U714" i="1"/>
  <c r="T696" i="1"/>
  <c r="T708" i="1"/>
  <c r="T721" i="1"/>
  <c r="T725" i="1"/>
  <c r="T731" i="1"/>
  <c r="T750" i="1"/>
  <c r="T742" i="1"/>
  <c r="T793" i="1"/>
  <c r="U937" i="1"/>
  <c r="U34" i="1"/>
  <c r="U116" i="1"/>
  <c r="U124" i="1"/>
  <c r="U136" i="1"/>
  <c r="U310" i="1"/>
  <c r="U318" i="1"/>
  <c r="U349" i="1"/>
  <c r="U380" i="1"/>
  <c r="U424" i="1"/>
  <c r="U440" i="1"/>
  <c r="T7" i="1"/>
  <c r="T140" i="1"/>
  <c r="T144" i="1"/>
  <c r="T148" i="1"/>
  <c r="T168" i="1"/>
  <c r="T176" i="1"/>
  <c r="T180" i="1"/>
  <c r="T200" i="1"/>
  <c r="T208" i="1"/>
  <c r="T216" i="1"/>
  <c r="T224" i="1"/>
  <c r="T327" i="1"/>
  <c r="T335" i="1"/>
  <c r="T351" i="1"/>
  <c r="T355" i="1"/>
  <c r="T363" i="1"/>
  <c r="T388" i="1"/>
  <c r="T443" i="1"/>
  <c r="T455" i="1"/>
  <c r="T463" i="1"/>
  <c r="T471" i="1"/>
  <c r="T479" i="1"/>
  <c r="T487" i="1"/>
  <c r="T495" i="1"/>
  <c r="T499" i="1"/>
  <c r="T513" i="1"/>
  <c r="T521" i="1"/>
  <c r="U61" i="1"/>
  <c r="U656" i="1"/>
  <c r="U626" i="1"/>
  <c r="U92" i="1"/>
  <c r="U637" i="1"/>
  <c r="U100" i="1"/>
  <c r="U376" i="1"/>
  <c r="U653" i="1"/>
  <c r="U31" i="1"/>
  <c r="U121" i="1"/>
  <c r="U307" i="1"/>
  <c r="U315" i="1"/>
  <c r="U319" i="1"/>
  <c r="U414" i="1"/>
  <c r="U429" i="1"/>
  <c r="U437" i="1"/>
  <c r="U659" i="1"/>
  <c r="T70" i="1"/>
  <c r="T137" i="1"/>
  <c r="T161" i="1"/>
  <c r="T177" i="1"/>
  <c r="T185" i="1"/>
  <c r="T189" i="1"/>
  <c r="T193" i="1"/>
  <c r="T205" i="1"/>
  <c r="T213" i="1"/>
  <c r="T332" i="1"/>
  <c r="T340" i="1"/>
  <c r="T352" i="1"/>
  <c r="T360" i="1"/>
  <c r="T385" i="1"/>
  <c r="T393" i="1"/>
  <c r="T448" i="1"/>
  <c r="T456" i="1"/>
  <c r="T468" i="1"/>
  <c r="T476" i="1"/>
  <c r="T484" i="1"/>
  <c r="T496" i="1"/>
  <c r="T504" i="1"/>
  <c r="T510" i="1"/>
  <c r="T514" i="1"/>
  <c r="T518" i="1"/>
  <c r="U425" i="1"/>
  <c r="U85" i="1"/>
  <c r="U26" i="1"/>
  <c r="U55" i="1"/>
  <c r="U59" i="1"/>
  <c r="U403" i="1"/>
  <c r="U305" i="1"/>
  <c r="U63" i="1"/>
  <c r="U97" i="1"/>
  <c r="U105" i="1"/>
  <c r="U113" i="1"/>
  <c r="U642" i="1"/>
  <c r="U650" i="1"/>
  <c r="U658" i="1"/>
  <c r="U28" i="1"/>
  <c r="U32" i="1"/>
  <c r="U36" i="1"/>
  <c r="U118" i="1"/>
  <c r="U303" i="1"/>
  <c r="U407" i="1"/>
  <c r="U69" i="1"/>
  <c r="U648" i="1"/>
  <c r="U413" i="1"/>
  <c r="U30" i="1"/>
  <c r="U38" i="1"/>
  <c r="U120" i="1"/>
  <c r="U128" i="1"/>
  <c r="U132" i="1"/>
  <c r="U314" i="1"/>
  <c r="U322" i="1"/>
  <c r="U416" i="1"/>
  <c r="U420" i="1"/>
  <c r="U428" i="1"/>
  <c r="U432" i="1"/>
  <c r="T156" i="1"/>
  <c r="T164" i="1"/>
  <c r="T172" i="1"/>
  <c r="T188" i="1"/>
  <c r="T196" i="1"/>
  <c r="T204" i="1"/>
  <c r="T212" i="1"/>
  <c r="T220" i="1"/>
  <c r="T324" i="1"/>
  <c r="T331" i="1"/>
  <c r="T339" i="1"/>
  <c r="T359" i="1"/>
  <c r="T381" i="1"/>
  <c r="T392" i="1"/>
  <c r="T447" i="1"/>
  <c r="T451" i="1"/>
  <c r="T459" i="1"/>
  <c r="T467" i="1"/>
  <c r="T475" i="1"/>
  <c r="T483" i="1"/>
  <c r="T491" i="1"/>
  <c r="T503" i="1"/>
  <c r="T509" i="1"/>
  <c r="T517" i="1"/>
  <c r="T660" i="1"/>
  <c r="U53" i="1"/>
  <c r="U401" i="1"/>
  <c r="U629" i="1"/>
  <c r="U88" i="1"/>
  <c r="U9" i="1"/>
  <c r="U406" i="1"/>
  <c r="U66" i="1"/>
  <c r="U108" i="1"/>
  <c r="U645" i="1"/>
  <c r="U129" i="1"/>
  <c r="U378" i="1"/>
  <c r="U417" i="1"/>
  <c r="U421" i="1"/>
  <c r="U441" i="1"/>
  <c r="T145" i="1"/>
  <c r="T153" i="1"/>
  <c r="T157" i="1"/>
  <c r="T165" i="1"/>
  <c r="T169" i="1"/>
  <c r="T201" i="1"/>
  <c r="T209" i="1"/>
  <c r="T217" i="1"/>
  <c r="T221" i="1"/>
  <c r="T225" i="1"/>
  <c r="T328" i="1"/>
  <c r="T336" i="1"/>
  <c r="T356" i="1"/>
  <c r="T364" i="1"/>
  <c r="T389" i="1"/>
  <c r="T444" i="1"/>
  <c r="T452" i="1"/>
  <c r="T460" i="1"/>
  <c r="T464" i="1"/>
  <c r="T472" i="1"/>
  <c r="T480" i="1"/>
  <c r="T488" i="1"/>
  <c r="T500" i="1"/>
  <c r="U89" i="1"/>
  <c r="U52" i="1"/>
  <c r="U11" i="1"/>
  <c r="U400" i="1"/>
  <c r="U94" i="1"/>
  <c r="U60" i="1"/>
  <c r="U68" i="1"/>
  <c r="U102" i="1"/>
  <c r="U110" i="1"/>
  <c r="U639" i="1"/>
  <c r="U647" i="1"/>
  <c r="U655" i="1"/>
  <c r="U408" i="1"/>
  <c r="U33" i="1"/>
  <c r="U123" i="1"/>
  <c r="U131" i="1"/>
  <c r="U309" i="1"/>
  <c r="U317" i="1"/>
  <c r="U348" i="1"/>
  <c r="U379" i="1"/>
  <c r="U410" i="1"/>
  <c r="U412" i="1"/>
  <c r="U419" i="1"/>
  <c r="U427" i="1"/>
  <c r="U431" i="1"/>
  <c r="U435" i="1"/>
  <c r="U439" i="1"/>
  <c r="U628" i="1"/>
  <c r="U346" i="1"/>
  <c r="U436" i="1"/>
  <c r="U122" i="1"/>
  <c r="U126" i="1"/>
  <c r="U130" i="1"/>
  <c r="U134" i="1"/>
  <c r="U308" i="1"/>
  <c r="U312" i="1"/>
  <c r="U316" i="1"/>
  <c r="U320" i="1"/>
  <c r="U347" i="1"/>
  <c r="U409" i="1"/>
  <c r="U411" i="1"/>
  <c r="U415" i="1"/>
  <c r="U418" i="1"/>
  <c r="U422" i="1"/>
  <c r="U426" i="1"/>
  <c r="U430" i="1"/>
  <c r="U434" i="1"/>
  <c r="U438" i="1"/>
  <c r="U625" i="1"/>
  <c r="T5" i="1"/>
  <c r="T71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325" i="1"/>
  <c r="T329" i="1"/>
  <c r="T333" i="1"/>
  <c r="T337" i="1"/>
  <c r="T341" i="1"/>
  <c r="T353" i="1"/>
  <c r="T357" i="1"/>
  <c r="T361" i="1"/>
  <c r="T365" i="1"/>
  <c r="T386" i="1"/>
  <c r="T390" i="1"/>
  <c r="T394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7" i="1"/>
  <c r="T511" i="1"/>
  <c r="T515" i="1"/>
  <c r="T519" i="1"/>
  <c r="T630" i="1"/>
  <c r="T666" i="1"/>
  <c r="T143" i="1"/>
  <c r="T151" i="1"/>
  <c r="T159" i="1"/>
  <c r="T167" i="1"/>
  <c r="T175" i="1"/>
  <c r="T183" i="1"/>
  <c r="T191" i="1"/>
  <c r="T195" i="1"/>
  <c r="T199" i="1"/>
  <c r="T203" i="1"/>
  <c r="T211" i="1"/>
  <c r="T215" i="1"/>
  <c r="T223" i="1"/>
  <c r="T323" i="1"/>
  <c r="T326" i="1"/>
  <c r="T330" i="1"/>
  <c r="T338" i="1"/>
  <c r="T350" i="1"/>
  <c r="T358" i="1"/>
  <c r="T362" i="1"/>
  <c r="T387" i="1"/>
  <c r="T442" i="1"/>
  <c r="T446" i="1"/>
  <c r="T454" i="1"/>
  <c r="T458" i="1"/>
  <c r="T462" i="1"/>
  <c r="T466" i="1"/>
  <c r="T474" i="1"/>
  <c r="T478" i="1"/>
  <c r="T486" i="1"/>
  <c r="T490" i="1"/>
  <c r="T494" i="1"/>
  <c r="T498" i="1"/>
  <c r="T506" i="1"/>
  <c r="T508" i="1"/>
  <c r="T516" i="1"/>
  <c r="T520" i="1"/>
  <c r="T631" i="1"/>
  <c r="T147" i="1"/>
  <c r="T179" i="1"/>
  <c r="T665" i="1"/>
  <c r="U1023" i="1"/>
  <c r="U1022" i="1"/>
  <c r="U1021" i="1"/>
  <c r="U1020" i="1"/>
  <c r="N566" i="1"/>
  <c r="U566" i="1" s="1"/>
  <c r="U999" i="1"/>
  <c r="U998" i="1"/>
  <c r="U997" i="1"/>
  <c r="U995" i="1"/>
  <c r="U994" i="1"/>
  <c r="U993" i="1"/>
  <c r="U992" i="1"/>
  <c r="T1019" i="1"/>
  <c r="T1018" i="1"/>
  <c r="T1017" i="1"/>
  <c r="T1016" i="1"/>
  <c r="N567" i="1"/>
  <c r="T567" i="1" s="1"/>
  <c r="T1015" i="1"/>
  <c r="T991" i="1"/>
  <c r="T990" i="1"/>
  <c r="T989" i="1"/>
  <c r="T1014" i="1"/>
  <c r="T1013" i="1"/>
  <c r="T1012" i="1"/>
  <c r="N569" i="1"/>
  <c r="T569" i="1" s="1"/>
  <c r="N568" i="1"/>
  <c r="J1064" i="1"/>
  <c r="N986" i="1"/>
  <c r="J1058" i="1" s="1"/>
  <c r="N975" i="1"/>
  <c r="U975" i="1" s="1"/>
  <c r="N963" i="1"/>
  <c r="U963" i="1" s="1"/>
  <c r="N974" i="1"/>
  <c r="N959" i="1"/>
  <c r="T959" i="1" s="1"/>
  <c r="N962" i="1"/>
  <c r="T962" i="1" s="1"/>
  <c r="N961" i="1"/>
  <c r="T961" i="1" s="1"/>
  <c r="N982" i="1"/>
  <c r="K1075" i="1" s="1"/>
  <c r="N981" i="1"/>
  <c r="N973" i="1"/>
  <c r="N972" i="1"/>
  <c r="K1064" i="1" s="1"/>
  <c r="T971" i="1"/>
  <c r="T970" i="1"/>
  <c r="T967" i="1"/>
  <c r="N966" i="1"/>
  <c r="T966" i="1" s="1"/>
  <c r="N965" i="1"/>
  <c r="N958" i="1"/>
  <c r="N960" i="1"/>
  <c r="Q934" i="1"/>
  <c r="Q933" i="1"/>
  <c r="Q930" i="1"/>
  <c r="Q928" i="1"/>
  <c r="Q927" i="1"/>
  <c r="Q926" i="1"/>
  <c r="Q924" i="1"/>
  <c r="Q922" i="1"/>
  <c r="Q920" i="1"/>
  <c r="Q919" i="1"/>
  <c r="Q891" i="1"/>
  <c r="Q877" i="1"/>
  <c r="Q876" i="1"/>
  <c r="Q872" i="1"/>
  <c r="Q844" i="1"/>
  <c r="Q842" i="1"/>
  <c r="Q833" i="1"/>
  <c r="Q831" i="1"/>
  <c r="Q829" i="1"/>
  <c r="Q827" i="1"/>
  <c r="Q825" i="1"/>
  <c r="Q947" i="1"/>
  <c r="Q937" i="1"/>
  <c r="Q918" i="1"/>
  <c r="Q917" i="1"/>
  <c r="Q915" i="1"/>
  <c r="Q913" i="1"/>
  <c r="Q911" i="1"/>
  <c r="Q909" i="1"/>
  <c r="Q908" i="1"/>
  <c r="Q907" i="1"/>
  <c r="Q905" i="1"/>
  <c r="Q903" i="1"/>
  <c r="Q901" i="1"/>
  <c r="Q900" i="1"/>
  <c r="Q898" i="1"/>
  <c r="Q896" i="1"/>
  <c r="Q887" i="1"/>
  <c r="Q886" i="1"/>
  <c r="Q869" i="1"/>
  <c r="Q866" i="1"/>
  <c r="Q864" i="1"/>
  <c r="Q862" i="1"/>
  <c r="Q860" i="1"/>
  <c r="Q858" i="1"/>
  <c r="Q856" i="1"/>
  <c r="Q839" i="1"/>
  <c r="Q837" i="1"/>
  <c r="Q824" i="1"/>
  <c r="Q822" i="1"/>
  <c r="Q953" i="1"/>
  <c r="Q951" i="1"/>
  <c r="Q949" i="1"/>
  <c r="Q885" i="1"/>
  <c r="Q855" i="1"/>
  <c r="Q853" i="1"/>
  <c r="Q851" i="1"/>
  <c r="Q849" i="1"/>
  <c r="Q834" i="1"/>
  <c r="Q820" i="1"/>
  <c r="Q818" i="1"/>
  <c r="Q814" i="1"/>
  <c r="Q812" i="1"/>
  <c r="Q810" i="1"/>
  <c r="Q894" i="1"/>
  <c r="N955" i="1"/>
  <c r="U955" i="1" s="1"/>
  <c r="N946" i="1"/>
  <c r="N945" i="1"/>
  <c r="U945" i="1" s="1"/>
  <c r="N944" i="1"/>
  <c r="U944" i="1" s="1"/>
  <c r="N943" i="1"/>
  <c r="U943" i="1" s="1"/>
  <c r="N942" i="1"/>
  <c r="U942" i="1" s="1"/>
  <c r="N941" i="1"/>
  <c r="U941" i="1" s="1"/>
  <c r="N940" i="1"/>
  <c r="U940" i="1" s="1"/>
  <c r="N939" i="1"/>
  <c r="U939" i="1" s="1"/>
  <c r="N938" i="1"/>
  <c r="U938" i="1" s="1"/>
  <c r="N935" i="1"/>
  <c r="U935" i="1" s="1"/>
  <c r="N934" i="1"/>
  <c r="N933" i="1"/>
  <c r="U933" i="1" s="1"/>
  <c r="N932" i="1"/>
  <c r="U932" i="1" s="1"/>
  <c r="N931" i="1"/>
  <c r="U931" i="1" s="1"/>
  <c r="N930" i="1"/>
  <c r="T930" i="1" s="1"/>
  <c r="N929" i="1"/>
  <c r="U929" i="1" s="1"/>
  <c r="N928" i="1"/>
  <c r="N927" i="1"/>
  <c r="U927" i="1" s="1"/>
  <c r="N926" i="1"/>
  <c r="U926" i="1" s="1"/>
  <c r="N925" i="1"/>
  <c r="U925" i="1" s="1"/>
  <c r="N924" i="1"/>
  <c r="U924" i="1" s="1"/>
  <c r="N923" i="1"/>
  <c r="U923" i="1" s="1"/>
  <c r="N922" i="1"/>
  <c r="N921" i="1"/>
  <c r="U921" i="1" s="1"/>
  <c r="N920" i="1"/>
  <c r="U920" i="1" s="1"/>
  <c r="N919" i="1"/>
  <c r="U919" i="1" s="1"/>
  <c r="N892" i="1"/>
  <c r="U892" i="1" s="1"/>
  <c r="N891" i="1"/>
  <c r="N878" i="1"/>
  <c r="U878" i="1" s="1"/>
  <c r="N877" i="1"/>
  <c r="U877" i="1" s="1"/>
  <c r="N876" i="1"/>
  <c r="U876" i="1" s="1"/>
  <c r="N875" i="1"/>
  <c r="U875" i="1" s="1"/>
  <c r="N874" i="1"/>
  <c r="U874" i="1" s="1"/>
  <c r="N873" i="1"/>
  <c r="U873" i="1" s="1"/>
  <c r="N872" i="1"/>
  <c r="U872" i="1" s="1"/>
  <c r="N871" i="1"/>
  <c r="U871" i="1" s="1"/>
  <c r="N845" i="1"/>
  <c r="U845" i="1" s="1"/>
  <c r="N844" i="1"/>
  <c r="U844" i="1" s="1"/>
  <c r="N843" i="1"/>
  <c r="U843" i="1" s="1"/>
  <c r="N842" i="1"/>
  <c r="U842" i="1" s="1"/>
  <c r="N841" i="1"/>
  <c r="U841" i="1" s="1"/>
  <c r="N833" i="1"/>
  <c r="U833" i="1" s="1"/>
  <c r="N832" i="1"/>
  <c r="U832" i="1" s="1"/>
  <c r="N831" i="1"/>
  <c r="U831" i="1" s="1"/>
  <c r="N830" i="1"/>
  <c r="U830" i="1" s="1"/>
  <c r="N829" i="1"/>
  <c r="U829" i="1" s="1"/>
  <c r="N828" i="1"/>
  <c r="U828" i="1" s="1"/>
  <c r="N827" i="1"/>
  <c r="U827" i="1" s="1"/>
  <c r="N826" i="1"/>
  <c r="U826" i="1" s="1"/>
  <c r="N825" i="1"/>
  <c r="U825" i="1" s="1"/>
  <c r="N815" i="1"/>
  <c r="U815" i="1" s="1"/>
  <c r="N947" i="1"/>
  <c r="N937" i="1"/>
  <c r="N918" i="1"/>
  <c r="T918" i="1" s="1"/>
  <c r="N917" i="1"/>
  <c r="T917" i="1" s="1"/>
  <c r="N916" i="1"/>
  <c r="T916" i="1" s="1"/>
  <c r="N915" i="1"/>
  <c r="T915" i="1" s="1"/>
  <c r="N914" i="1"/>
  <c r="T914" i="1" s="1"/>
  <c r="N913" i="1"/>
  <c r="T913" i="1" s="1"/>
  <c r="N912" i="1"/>
  <c r="T912" i="1" s="1"/>
  <c r="N911" i="1"/>
  <c r="T911" i="1" s="1"/>
  <c r="N910" i="1"/>
  <c r="T910" i="1" s="1"/>
  <c r="N909" i="1"/>
  <c r="T909" i="1" s="1"/>
  <c r="N908" i="1"/>
  <c r="T908" i="1" s="1"/>
  <c r="N907" i="1"/>
  <c r="T907" i="1" s="1"/>
  <c r="N906" i="1"/>
  <c r="T906" i="1" s="1"/>
  <c r="N905" i="1"/>
  <c r="T905" i="1" s="1"/>
  <c r="N904" i="1"/>
  <c r="T904" i="1" s="1"/>
  <c r="N903" i="1"/>
  <c r="T903" i="1" s="1"/>
  <c r="N902" i="1"/>
  <c r="T902" i="1" s="1"/>
  <c r="N901" i="1"/>
  <c r="T901" i="1" s="1"/>
  <c r="N900" i="1"/>
  <c r="T900" i="1" s="1"/>
  <c r="N899" i="1"/>
  <c r="T899" i="1" s="1"/>
  <c r="N898" i="1"/>
  <c r="T898" i="1" s="1"/>
  <c r="N897" i="1"/>
  <c r="T897" i="1" s="1"/>
  <c r="N896" i="1"/>
  <c r="N1065" i="1"/>
  <c r="N887" i="1"/>
  <c r="T887" i="1" s="1"/>
  <c r="N886" i="1"/>
  <c r="T886" i="1" s="1"/>
  <c r="N870" i="1"/>
  <c r="T870" i="1" s="1"/>
  <c r="N869" i="1"/>
  <c r="T869" i="1" s="1"/>
  <c r="N868" i="1"/>
  <c r="T868" i="1" s="1"/>
  <c r="N867" i="1"/>
  <c r="T867" i="1" s="1"/>
  <c r="N866" i="1"/>
  <c r="T866" i="1" s="1"/>
  <c r="N865" i="1"/>
  <c r="T865" i="1" s="1"/>
  <c r="N864" i="1"/>
  <c r="T864" i="1" s="1"/>
  <c r="N863" i="1"/>
  <c r="T863" i="1" s="1"/>
  <c r="N862" i="1"/>
  <c r="T862" i="1" s="1"/>
  <c r="N861" i="1"/>
  <c r="T861" i="1" s="1"/>
  <c r="N860" i="1"/>
  <c r="T860" i="1" s="1"/>
  <c r="N859" i="1"/>
  <c r="T859" i="1" s="1"/>
  <c r="N858" i="1"/>
  <c r="T858" i="1" s="1"/>
  <c r="N857" i="1"/>
  <c r="T857" i="1" s="1"/>
  <c r="N856" i="1"/>
  <c r="T856" i="1" s="1"/>
  <c r="N840" i="1"/>
  <c r="T840" i="1" s="1"/>
  <c r="N839" i="1"/>
  <c r="T839" i="1" s="1"/>
  <c r="N838" i="1"/>
  <c r="T838" i="1" s="1"/>
  <c r="N837" i="1"/>
  <c r="T837" i="1" s="1"/>
  <c r="N836" i="1"/>
  <c r="T836" i="1" s="1"/>
  <c r="N824" i="1"/>
  <c r="T824" i="1" s="1"/>
  <c r="N823" i="1"/>
  <c r="T823" i="1" s="1"/>
  <c r="N822" i="1"/>
  <c r="T822" i="1" s="1"/>
  <c r="N954" i="1"/>
  <c r="T954" i="1" s="1"/>
  <c r="N953" i="1"/>
  <c r="T953" i="1" s="1"/>
  <c r="N952" i="1"/>
  <c r="T952" i="1" s="1"/>
  <c r="N951" i="1"/>
  <c r="N950" i="1"/>
  <c r="T950" i="1" s="1"/>
  <c r="N949" i="1"/>
  <c r="T949" i="1" s="1"/>
  <c r="N948" i="1"/>
  <c r="T948" i="1" s="1"/>
  <c r="N885" i="1"/>
  <c r="T885" i="1" s="1"/>
  <c r="N884" i="1"/>
  <c r="N855" i="1"/>
  <c r="T855" i="1" s="1"/>
  <c r="N854" i="1"/>
  <c r="T854" i="1" s="1"/>
  <c r="N853" i="1"/>
  <c r="T853" i="1" s="1"/>
  <c r="N852" i="1"/>
  <c r="T852" i="1" s="1"/>
  <c r="N851" i="1"/>
  <c r="T851" i="1" s="1"/>
  <c r="N850" i="1"/>
  <c r="T850" i="1" s="1"/>
  <c r="N849" i="1"/>
  <c r="N835" i="1"/>
  <c r="T835" i="1" s="1"/>
  <c r="N834" i="1"/>
  <c r="N821" i="1"/>
  <c r="T821" i="1" s="1"/>
  <c r="N820" i="1"/>
  <c r="N819" i="1"/>
  <c r="T819" i="1" s="1"/>
  <c r="N818" i="1"/>
  <c r="T818" i="1" s="1"/>
  <c r="N817" i="1"/>
  <c r="N814" i="1"/>
  <c r="T814" i="1" s="1"/>
  <c r="N813" i="1"/>
  <c r="T813" i="1" s="1"/>
  <c r="N812" i="1"/>
  <c r="T812" i="1" s="1"/>
  <c r="N811" i="1"/>
  <c r="T811" i="1" s="1"/>
  <c r="N810" i="1"/>
  <c r="N895" i="1"/>
  <c r="T895" i="1" s="1"/>
  <c r="N894" i="1"/>
  <c r="T894" i="1" s="1"/>
  <c r="N893" i="1"/>
  <c r="O1066" i="1"/>
  <c r="N795" i="1"/>
  <c r="U795" i="1" s="1"/>
  <c r="N794" i="1"/>
  <c r="U794" i="1" s="1"/>
  <c r="N793" i="1"/>
  <c r="U793" i="1" s="1"/>
  <c r="N792" i="1"/>
  <c r="U792" i="1" s="1"/>
  <c r="N791" i="1"/>
  <c r="U791" i="1" s="1"/>
  <c r="N782" i="1"/>
  <c r="M1063" i="1" s="1"/>
  <c r="M1062" i="1"/>
  <c r="N778" i="1"/>
  <c r="U778" i="1" s="1"/>
  <c r="N777" i="1"/>
  <c r="U777" i="1" s="1"/>
  <c r="N743" i="1"/>
  <c r="U743" i="1" s="1"/>
  <c r="N742" i="1"/>
  <c r="U742" i="1" s="1"/>
  <c r="N738" i="1"/>
  <c r="M1057" i="1" s="1"/>
  <c r="N752" i="1"/>
  <c r="U752" i="1" s="1"/>
  <c r="N751" i="1"/>
  <c r="U751" i="1" s="1"/>
  <c r="N750" i="1"/>
  <c r="U750" i="1" s="1"/>
  <c r="N749" i="1"/>
  <c r="U749" i="1" s="1"/>
  <c r="N802" i="1"/>
  <c r="M1079" i="1" s="1"/>
  <c r="N790" i="1"/>
  <c r="T790" i="1" s="1"/>
  <c r="N789" i="1"/>
  <c r="T789" i="1" s="1"/>
  <c r="N788" i="1"/>
  <c r="T788" i="1" s="1"/>
  <c r="N787" i="1"/>
  <c r="T787" i="1" s="1"/>
  <c r="N786" i="1"/>
  <c r="T786" i="1" s="1"/>
  <c r="N785" i="1"/>
  <c r="T785" i="1" s="1"/>
  <c r="N784" i="1"/>
  <c r="N776" i="1"/>
  <c r="T776" i="1" s="1"/>
  <c r="N775" i="1"/>
  <c r="T775" i="1" s="1"/>
  <c r="N774" i="1"/>
  <c r="T774" i="1" s="1"/>
  <c r="N773" i="1"/>
  <c r="T773" i="1" s="1"/>
  <c r="N772" i="1"/>
  <c r="T772" i="1" s="1"/>
  <c r="N771" i="1"/>
  <c r="T771" i="1" s="1"/>
  <c r="N770" i="1"/>
  <c r="T770" i="1" s="1"/>
  <c r="N769" i="1"/>
  <c r="T769" i="1" s="1"/>
  <c r="N768" i="1"/>
  <c r="T768" i="1" s="1"/>
  <c r="N767" i="1"/>
  <c r="T767" i="1" s="1"/>
  <c r="N766" i="1"/>
  <c r="T766" i="1" s="1"/>
  <c r="N765" i="1"/>
  <c r="T765" i="1" s="1"/>
  <c r="N764" i="1"/>
  <c r="T764" i="1" s="1"/>
  <c r="N741" i="1"/>
  <c r="T741" i="1" s="1"/>
  <c r="N748" i="1"/>
  <c r="T748" i="1" s="1"/>
  <c r="N747" i="1"/>
  <c r="T747" i="1" s="1"/>
  <c r="N746" i="1"/>
  <c r="T746" i="1" s="1"/>
  <c r="N745" i="1"/>
  <c r="T745" i="1" s="1"/>
  <c r="N801" i="1"/>
  <c r="T801" i="1" s="1"/>
  <c r="N800" i="1"/>
  <c r="T800" i="1" s="1"/>
  <c r="N799" i="1"/>
  <c r="T799" i="1" s="1"/>
  <c r="N798" i="1"/>
  <c r="T798" i="1" s="1"/>
  <c r="N797" i="1"/>
  <c r="N783" i="1"/>
  <c r="N763" i="1"/>
  <c r="T763" i="1" s="1"/>
  <c r="N762" i="1"/>
  <c r="T762" i="1" s="1"/>
  <c r="N761" i="1"/>
  <c r="T761" i="1" s="1"/>
  <c r="N760" i="1"/>
  <c r="T760" i="1" s="1"/>
  <c r="N759" i="1"/>
  <c r="T759" i="1" s="1"/>
  <c r="N758" i="1"/>
  <c r="T758" i="1" s="1"/>
  <c r="N757" i="1"/>
  <c r="T757" i="1" s="1"/>
  <c r="N756" i="1"/>
  <c r="T756" i="1" s="1"/>
  <c r="N755" i="1"/>
  <c r="T755" i="1" s="1"/>
  <c r="N754" i="1"/>
  <c r="N740" i="1"/>
  <c r="T740" i="1" s="1"/>
  <c r="N739" i="1"/>
  <c r="N744" i="1"/>
  <c r="N733" i="1"/>
  <c r="Q731" i="1"/>
  <c r="N731" i="1"/>
  <c r="L1069" i="1" s="1"/>
  <c r="N728" i="1"/>
  <c r="N727" i="1"/>
  <c r="U727" i="1" s="1"/>
  <c r="N726" i="1"/>
  <c r="U726" i="1" s="1"/>
  <c r="Q725" i="1"/>
  <c r="N725" i="1"/>
  <c r="U725" i="1" s="1"/>
  <c r="N724" i="1"/>
  <c r="N723" i="1"/>
  <c r="U723" i="1" s="1"/>
  <c r="N722" i="1"/>
  <c r="U722" i="1" s="1"/>
  <c r="Q721" i="1"/>
  <c r="N721" i="1"/>
  <c r="U721" i="1" s="1"/>
  <c r="N720" i="1"/>
  <c r="Q708" i="1"/>
  <c r="Q696" i="1"/>
  <c r="N715" i="1"/>
  <c r="U715" i="1" s="1"/>
  <c r="N709" i="1"/>
  <c r="U709" i="1" s="1"/>
  <c r="N708" i="1"/>
  <c r="U708" i="1" s="1"/>
  <c r="N707" i="1"/>
  <c r="U707" i="1" s="1"/>
  <c r="N706" i="1"/>
  <c r="U706" i="1" s="1"/>
  <c r="N705" i="1"/>
  <c r="U705" i="1" s="1"/>
  <c r="N697" i="1"/>
  <c r="U697" i="1" s="1"/>
  <c r="N696" i="1"/>
  <c r="U696" i="1" s="1"/>
  <c r="N695" i="1"/>
  <c r="U695" i="1" s="1"/>
  <c r="N694" i="1"/>
  <c r="N719" i="1"/>
  <c r="N714" i="1"/>
  <c r="T714" i="1" s="1"/>
  <c r="N704" i="1"/>
  <c r="T704" i="1" s="1"/>
  <c r="N703" i="1"/>
  <c r="T703" i="1" s="1"/>
  <c r="N702" i="1"/>
  <c r="T702" i="1" s="1"/>
  <c r="N718" i="1"/>
  <c r="T718" i="1" s="1"/>
  <c r="N717" i="1"/>
  <c r="N716" i="1"/>
  <c r="L1066" i="1" s="1"/>
  <c r="N713" i="1"/>
  <c r="T713" i="1" s="1"/>
  <c r="N712" i="1"/>
  <c r="N701" i="1"/>
  <c r="Q478" i="1"/>
  <c r="Q222" i="1"/>
  <c r="Q205" i="1"/>
  <c r="Q196" i="1"/>
  <c r="Q175" i="1"/>
  <c r="Q166" i="1"/>
  <c r="Q153" i="1"/>
  <c r="Q144" i="1"/>
  <c r="Q140" i="1"/>
  <c r="Q138" i="1"/>
  <c r="Q137" i="1"/>
  <c r="O7" i="1"/>
  <c r="O6" i="1"/>
  <c r="O5" i="1"/>
  <c r="U666" i="1"/>
  <c r="U660" i="1"/>
  <c r="U630" i="1"/>
  <c r="N522" i="1"/>
  <c r="U522" i="1" s="1"/>
  <c r="N521" i="1"/>
  <c r="U521" i="1" s="1"/>
  <c r="N520" i="1"/>
  <c r="U520" i="1" s="1"/>
  <c r="N519" i="1"/>
  <c r="U519" i="1" s="1"/>
  <c r="N518" i="1"/>
  <c r="U518" i="1" s="1"/>
  <c r="N517" i="1"/>
  <c r="U517" i="1" s="1"/>
  <c r="N516" i="1"/>
  <c r="U516" i="1" s="1"/>
  <c r="N515" i="1"/>
  <c r="U515" i="1" s="1"/>
  <c r="N514" i="1"/>
  <c r="U514" i="1" s="1"/>
  <c r="N513" i="1"/>
  <c r="U513" i="1" s="1"/>
  <c r="N512" i="1"/>
  <c r="U512" i="1" s="1"/>
  <c r="N511" i="1"/>
  <c r="U511" i="1" s="1"/>
  <c r="N510" i="1"/>
  <c r="U510" i="1" s="1"/>
  <c r="N509" i="1"/>
  <c r="U509" i="1" s="1"/>
  <c r="N508" i="1"/>
  <c r="U508" i="1" s="1"/>
  <c r="N507" i="1"/>
  <c r="U507" i="1" s="1"/>
  <c r="N506" i="1"/>
  <c r="U506" i="1" s="1"/>
  <c r="N505" i="1"/>
  <c r="U505" i="1" s="1"/>
  <c r="N504" i="1"/>
  <c r="U504" i="1" s="1"/>
  <c r="N503" i="1"/>
  <c r="U503" i="1" s="1"/>
  <c r="N502" i="1"/>
  <c r="U502" i="1" s="1"/>
  <c r="N501" i="1"/>
  <c r="U501" i="1" s="1"/>
  <c r="N500" i="1"/>
  <c r="U500" i="1" s="1"/>
  <c r="N499" i="1"/>
  <c r="U499" i="1" s="1"/>
  <c r="N498" i="1"/>
  <c r="U498" i="1" s="1"/>
  <c r="N497" i="1"/>
  <c r="U497" i="1" s="1"/>
  <c r="N496" i="1"/>
  <c r="U496" i="1" s="1"/>
  <c r="N495" i="1"/>
  <c r="U495" i="1" s="1"/>
  <c r="N494" i="1"/>
  <c r="U494" i="1" s="1"/>
  <c r="N493" i="1"/>
  <c r="U493" i="1" s="1"/>
  <c r="N492" i="1"/>
  <c r="U492" i="1" s="1"/>
  <c r="N491" i="1"/>
  <c r="U491" i="1" s="1"/>
  <c r="N490" i="1"/>
  <c r="U490" i="1" s="1"/>
  <c r="N489" i="1"/>
  <c r="U489" i="1" s="1"/>
  <c r="N488" i="1"/>
  <c r="U488" i="1" s="1"/>
  <c r="N487" i="1"/>
  <c r="U487" i="1" s="1"/>
  <c r="N486" i="1"/>
  <c r="U486" i="1" s="1"/>
  <c r="N485" i="1"/>
  <c r="U485" i="1" s="1"/>
  <c r="N484" i="1"/>
  <c r="U484" i="1" s="1"/>
  <c r="N483" i="1"/>
  <c r="U483" i="1" s="1"/>
  <c r="N482" i="1"/>
  <c r="U482" i="1" s="1"/>
  <c r="N481" i="1"/>
  <c r="U481" i="1" s="1"/>
  <c r="N480" i="1"/>
  <c r="U480" i="1" s="1"/>
  <c r="N479" i="1"/>
  <c r="U479" i="1" s="1"/>
  <c r="N478" i="1"/>
  <c r="U478" i="1" s="1"/>
  <c r="N477" i="1"/>
  <c r="U477" i="1" s="1"/>
  <c r="N476" i="1"/>
  <c r="U476" i="1" s="1"/>
  <c r="N475" i="1"/>
  <c r="U475" i="1" s="1"/>
  <c r="N474" i="1"/>
  <c r="U474" i="1" s="1"/>
  <c r="N473" i="1"/>
  <c r="U473" i="1" s="1"/>
  <c r="N472" i="1"/>
  <c r="U472" i="1" s="1"/>
  <c r="N471" i="1"/>
  <c r="U471" i="1" s="1"/>
  <c r="N470" i="1"/>
  <c r="U470" i="1" s="1"/>
  <c r="N469" i="1"/>
  <c r="U469" i="1" s="1"/>
  <c r="N468" i="1"/>
  <c r="U468" i="1" s="1"/>
  <c r="N467" i="1"/>
  <c r="U467" i="1" s="1"/>
  <c r="N466" i="1"/>
  <c r="U466" i="1" s="1"/>
  <c r="N465" i="1"/>
  <c r="U465" i="1" s="1"/>
  <c r="N464" i="1"/>
  <c r="U464" i="1" s="1"/>
  <c r="N463" i="1"/>
  <c r="U463" i="1" s="1"/>
  <c r="N462" i="1"/>
  <c r="U462" i="1" s="1"/>
  <c r="N461" i="1"/>
  <c r="U461" i="1" s="1"/>
  <c r="N460" i="1"/>
  <c r="U460" i="1" s="1"/>
  <c r="N459" i="1"/>
  <c r="U459" i="1" s="1"/>
  <c r="N458" i="1"/>
  <c r="U458" i="1" s="1"/>
  <c r="N457" i="1"/>
  <c r="U457" i="1" s="1"/>
  <c r="N456" i="1"/>
  <c r="U456" i="1" s="1"/>
  <c r="N455" i="1"/>
  <c r="U455" i="1" s="1"/>
  <c r="N454" i="1"/>
  <c r="U454" i="1" s="1"/>
  <c r="N453" i="1"/>
  <c r="U453" i="1" s="1"/>
  <c r="N452" i="1"/>
  <c r="U452" i="1" s="1"/>
  <c r="N451" i="1"/>
  <c r="U451" i="1" s="1"/>
  <c r="N450" i="1"/>
  <c r="U450" i="1" s="1"/>
  <c r="N449" i="1"/>
  <c r="U449" i="1" s="1"/>
  <c r="N448" i="1"/>
  <c r="U448" i="1" s="1"/>
  <c r="N447" i="1"/>
  <c r="U447" i="1" s="1"/>
  <c r="N446" i="1"/>
  <c r="U446" i="1" s="1"/>
  <c r="N445" i="1"/>
  <c r="U445" i="1" s="1"/>
  <c r="N444" i="1"/>
  <c r="U444" i="1" s="1"/>
  <c r="N394" i="1"/>
  <c r="U394" i="1" s="1"/>
  <c r="N393" i="1"/>
  <c r="U393" i="1" s="1"/>
  <c r="N392" i="1"/>
  <c r="U392" i="1" s="1"/>
  <c r="N391" i="1"/>
  <c r="U391" i="1" s="1"/>
  <c r="N390" i="1"/>
  <c r="N389" i="1"/>
  <c r="U389" i="1" s="1"/>
  <c r="N388" i="1"/>
  <c r="U388" i="1" s="1"/>
  <c r="N387" i="1"/>
  <c r="U387" i="1" s="1"/>
  <c r="N386" i="1"/>
  <c r="U386" i="1" s="1"/>
  <c r="N385" i="1"/>
  <c r="U385" i="1" s="1"/>
  <c r="N381" i="1"/>
  <c r="I1065" i="1" s="1"/>
  <c r="N365" i="1"/>
  <c r="U365" i="1" s="1"/>
  <c r="N364" i="1"/>
  <c r="U364" i="1" s="1"/>
  <c r="N363" i="1"/>
  <c r="U363" i="1" s="1"/>
  <c r="N362" i="1"/>
  <c r="U362" i="1" s="1"/>
  <c r="N361" i="1"/>
  <c r="U361" i="1" s="1"/>
  <c r="N360" i="1"/>
  <c r="U360" i="1" s="1"/>
  <c r="N359" i="1"/>
  <c r="U359" i="1" s="1"/>
  <c r="N358" i="1"/>
  <c r="U358" i="1" s="1"/>
  <c r="N357" i="1"/>
  <c r="U357" i="1" s="1"/>
  <c r="N356" i="1"/>
  <c r="N355" i="1"/>
  <c r="U355" i="1" s="1"/>
  <c r="N354" i="1"/>
  <c r="U354" i="1" s="1"/>
  <c r="N353" i="1"/>
  <c r="U353" i="1" s="1"/>
  <c r="N352" i="1"/>
  <c r="U352" i="1" s="1"/>
  <c r="N351" i="1"/>
  <c r="U351" i="1" s="1"/>
  <c r="N350" i="1"/>
  <c r="U350" i="1" s="1"/>
  <c r="N341" i="1"/>
  <c r="U341" i="1" s="1"/>
  <c r="N340" i="1"/>
  <c r="U340" i="1" s="1"/>
  <c r="N339" i="1"/>
  <c r="U339" i="1" s="1"/>
  <c r="N338" i="1"/>
  <c r="U338" i="1" s="1"/>
  <c r="N337" i="1"/>
  <c r="U337" i="1" s="1"/>
  <c r="N336" i="1"/>
  <c r="U336" i="1" s="1"/>
  <c r="N335" i="1"/>
  <c r="U335" i="1" s="1"/>
  <c r="N334" i="1"/>
  <c r="U334" i="1" s="1"/>
  <c r="N333" i="1"/>
  <c r="U333" i="1" s="1"/>
  <c r="N332" i="1"/>
  <c r="U332" i="1" s="1"/>
  <c r="N331" i="1"/>
  <c r="U331" i="1" s="1"/>
  <c r="N330" i="1"/>
  <c r="U330" i="1" s="1"/>
  <c r="N329" i="1"/>
  <c r="U329" i="1" s="1"/>
  <c r="N328" i="1"/>
  <c r="U328" i="1" s="1"/>
  <c r="N327" i="1"/>
  <c r="N326" i="1"/>
  <c r="U326" i="1" s="1"/>
  <c r="N325" i="1"/>
  <c r="U325" i="1" s="1"/>
  <c r="N324" i="1"/>
  <c r="U324" i="1" s="1"/>
  <c r="N323" i="1"/>
  <c r="U323" i="1" s="1"/>
  <c r="N226" i="1"/>
  <c r="U226" i="1" s="1"/>
  <c r="N225" i="1"/>
  <c r="U225" i="1" s="1"/>
  <c r="N224" i="1"/>
  <c r="U224" i="1" s="1"/>
  <c r="N223" i="1"/>
  <c r="U223" i="1" s="1"/>
  <c r="N222" i="1"/>
  <c r="U222" i="1" s="1"/>
  <c r="N221" i="1"/>
  <c r="U221" i="1" s="1"/>
  <c r="N220" i="1"/>
  <c r="U220" i="1" s="1"/>
  <c r="N219" i="1"/>
  <c r="U219" i="1" s="1"/>
  <c r="N218" i="1"/>
  <c r="U218" i="1" s="1"/>
  <c r="N217" i="1"/>
  <c r="U217" i="1" s="1"/>
  <c r="N216" i="1"/>
  <c r="U216" i="1" s="1"/>
  <c r="N215" i="1"/>
  <c r="U215" i="1" s="1"/>
  <c r="N214" i="1"/>
  <c r="U214" i="1" s="1"/>
  <c r="N213" i="1"/>
  <c r="U213" i="1" s="1"/>
  <c r="N212" i="1"/>
  <c r="U212" i="1" s="1"/>
  <c r="N211" i="1"/>
  <c r="U211" i="1" s="1"/>
  <c r="N210" i="1"/>
  <c r="U210" i="1" s="1"/>
  <c r="N209" i="1"/>
  <c r="U209" i="1" s="1"/>
  <c r="N208" i="1"/>
  <c r="U208" i="1" s="1"/>
  <c r="N207" i="1"/>
  <c r="U207" i="1" s="1"/>
  <c r="N206" i="1"/>
  <c r="U206" i="1" s="1"/>
  <c r="N205" i="1"/>
  <c r="U205" i="1" s="1"/>
  <c r="N204" i="1"/>
  <c r="U204" i="1" s="1"/>
  <c r="N203" i="1"/>
  <c r="U203" i="1" s="1"/>
  <c r="N202" i="1"/>
  <c r="U202" i="1" s="1"/>
  <c r="N201" i="1"/>
  <c r="U201" i="1" s="1"/>
  <c r="N200" i="1"/>
  <c r="U200" i="1" s="1"/>
  <c r="N199" i="1"/>
  <c r="U199" i="1" s="1"/>
  <c r="N198" i="1"/>
  <c r="U198" i="1" s="1"/>
  <c r="N197" i="1"/>
  <c r="U197" i="1" s="1"/>
  <c r="N196" i="1"/>
  <c r="U196" i="1" s="1"/>
  <c r="N195" i="1"/>
  <c r="U195" i="1" s="1"/>
  <c r="N194" i="1"/>
  <c r="U194" i="1" s="1"/>
  <c r="N193" i="1"/>
  <c r="U193" i="1" s="1"/>
  <c r="N192" i="1"/>
  <c r="U192" i="1" s="1"/>
  <c r="N191" i="1"/>
  <c r="U191" i="1" s="1"/>
  <c r="N190" i="1"/>
  <c r="U190" i="1" s="1"/>
  <c r="N189" i="1"/>
  <c r="U189" i="1" s="1"/>
  <c r="N188" i="1"/>
  <c r="U188" i="1" s="1"/>
  <c r="N187" i="1"/>
  <c r="U187" i="1" s="1"/>
  <c r="N186" i="1"/>
  <c r="U186" i="1" s="1"/>
  <c r="N185" i="1"/>
  <c r="U185" i="1" s="1"/>
  <c r="N184" i="1"/>
  <c r="U184" i="1" s="1"/>
  <c r="N183" i="1"/>
  <c r="U183" i="1" s="1"/>
  <c r="N182" i="1"/>
  <c r="U182" i="1" s="1"/>
  <c r="N181" i="1"/>
  <c r="U181" i="1" s="1"/>
  <c r="N180" i="1"/>
  <c r="U180" i="1" s="1"/>
  <c r="N179" i="1"/>
  <c r="U179" i="1" s="1"/>
  <c r="N178" i="1"/>
  <c r="U178" i="1" s="1"/>
  <c r="N177" i="1"/>
  <c r="U177" i="1" s="1"/>
  <c r="N176" i="1"/>
  <c r="U176" i="1" s="1"/>
  <c r="N175" i="1"/>
  <c r="U175" i="1" s="1"/>
  <c r="N174" i="1"/>
  <c r="U174" i="1" s="1"/>
  <c r="N173" i="1"/>
  <c r="U173" i="1" s="1"/>
  <c r="N172" i="1"/>
  <c r="U172" i="1" s="1"/>
  <c r="N171" i="1"/>
  <c r="U171" i="1" s="1"/>
  <c r="N170" i="1"/>
  <c r="U170" i="1" s="1"/>
  <c r="N169" i="1"/>
  <c r="U169" i="1" s="1"/>
  <c r="N168" i="1"/>
  <c r="U168" i="1" s="1"/>
  <c r="N167" i="1"/>
  <c r="U167" i="1" s="1"/>
  <c r="N166" i="1"/>
  <c r="U166" i="1" s="1"/>
  <c r="N165" i="1"/>
  <c r="U165" i="1" s="1"/>
  <c r="N164" i="1"/>
  <c r="U164" i="1" s="1"/>
  <c r="N163" i="1"/>
  <c r="U163" i="1" s="1"/>
  <c r="N162" i="1"/>
  <c r="U162" i="1" s="1"/>
  <c r="N161" i="1"/>
  <c r="U161" i="1" s="1"/>
  <c r="N160" i="1"/>
  <c r="U160" i="1" s="1"/>
  <c r="N159" i="1"/>
  <c r="U159" i="1" s="1"/>
  <c r="N158" i="1"/>
  <c r="U158" i="1" s="1"/>
  <c r="N157" i="1"/>
  <c r="U157" i="1" s="1"/>
  <c r="N156" i="1"/>
  <c r="U156" i="1" s="1"/>
  <c r="N155" i="1"/>
  <c r="U155" i="1" s="1"/>
  <c r="N154" i="1"/>
  <c r="U154" i="1" s="1"/>
  <c r="N153" i="1"/>
  <c r="U153" i="1" s="1"/>
  <c r="N152" i="1"/>
  <c r="U152" i="1" s="1"/>
  <c r="N151" i="1"/>
  <c r="U151" i="1" s="1"/>
  <c r="N150" i="1"/>
  <c r="U150" i="1" s="1"/>
  <c r="N149" i="1"/>
  <c r="U149" i="1" s="1"/>
  <c r="N148" i="1"/>
  <c r="U148" i="1" s="1"/>
  <c r="N147" i="1"/>
  <c r="U147" i="1" s="1"/>
  <c r="N146" i="1"/>
  <c r="U146" i="1" s="1"/>
  <c r="N145" i="1"/>
  <c r="U145" i="1" s="1"/>
  <c r="N144" i="1"/>
  <c r="U144" i="1" s="1"/>
  <c r="N143" i="1"/>
  <c r="U143" i="1" s="1"/>
  <c r="N138" i="1"/>
  <c r="U138" i="1" s="1"/>
  <c r="N137" i="1"/>
  <c r="U137" i="1" s="1"/>
  <c r="N71" i="1"/>
  <c r="U71" i="1" s="1"/>
  <c r="N70" i="1"/>
  <c r="U70" i="1" s="1"/>
  <c r="N7" i="1"/>
  <c r="U7" i="1" s="1"/>
  <c r="N6" i="1"/>
  <c r="U6" i="1" s="1"/>
  <c r="N5" i="1"/>
  <c r="L1057" i="1" s="1"/>
  <c r="T659" i="1"/>
  <c r="T629" i="1"/>
  <c r="T628" i="1"/>
  <c r="I1073" i="1"/>
  <c r="N441" i="1"/>
  <c r="T441" i="1" s="1"/>
  <c r="N440" i="1"/>
  <c r="T440" i="1" s="1"/>
  <c r="N439" i="1"/>
  <c r="T439" i="1" s="1"/>
  <c r="N438" i="1"/>
  <c r="T438" i="1" s="1"/>
  <c r="N437" i="1"/>
  <c r="T437" i="1" s="1"/>
  <c r="N436" i="1"/>
  <c r="T436" i="1" s="1"/>
  <c r="N435" i="1"/>
  <c r="T435" i="1" s="1"/>
  <c r="N434" i="1"/>
  <c r="T434" i="1" s="1"/>
  <c r="N433" i="1"/>
  <c r="T433" i="1" s="1"/>
  <c r="N432" i="1"/>
  <c r="T432" i="1" s="1"/>
  <c r="N431" i="1"/>
  <c r="T431" i="1" s="1"/>
  <c r="N430" i="1"/>
  <c r="T430" i="1" s="1"/>
  <c r="N429" i="1"/>
  <c r="T429" i="1" s="1"/>
  <c r="N428" i="1"/>
  <c r="T428" i="1" s="1"/>
  <c r="N427" i="1"/>
  <c r="T427" i="1" s="1"/>
  <c r="N426" i="1"/>
  <c r="T426" i="1" s="1"/>
  <c r="N425" i="1"/>
  <c r="T425" i="1" s="1"/>
  <c r="N424" i="1"/>
  <c r="T424" i="1" s="1"/>
  <c r="N423" i="1"/>
  <c r="T423" i="1" s="1"/>
  <c r="N422" i="1"/>
  <c r="T422" i="1" s="1"/>
  <c r="N421" i="1"/>
  <c r="T421" i="1" s="1"/>
  <c r="N420" i="1"/>
  <c r="T420" i="1" s="1"/>
  <c r="N419" i="1"/>
  <c r="T419" i="1" s="1"/>
  <c r="N418" i="1"/>
  <c r="T418" i="1" s="1"/>
  <c r="N417" i="1"/>
  <c r="T417" i="1" s="1"/>
  <c r="N416" i="1"/>
  <c r="T416" i="1" s="1"/>
  <c r="N415" i="1"/>
  <c r="T415" i="1" s="1"/>
  <c r="N414" i="1"/>
  <c r="T414" i="1" s="1"/>
  <c r="N413" i="1"/>
  <c r="T413" i="1" s="1"/>
  <c r="N412" i="1"/>
  <c r="T412" i="1" s="1"/>
  <c r="N411" i="1"/>
  <c r="T411" i="1" s="1"/>
  <c r="N410" i="1"/>
  <c r="T410" i="1" s="1"/>
  <c r="N409" i="1"/>
  <c r="N384" i="1"/>
  <c r="N380" i="1"/>
  <c r="T380" i="1" s="1"/>
  <c r="N379" i="1"/>
  <c r="T379" i="1" s="1"/>
  <c r="N378" i="1"/>
  <c r="T378" i="1" s="1"/>
  <c r="N349" i="1"/>
  <c r="T349" i="1" s="1"/>
  <c r="N348" i="1"/>
  <c r="T348" i="1" s="1"/>
  <c r="N347" i="1"/>
  <c r="T347" i="1" s="1"/>
  <c r="N346" i="1"/>
  <c r="T346" i="1" s="1"/>
  <c r="N322" i="1"/>
  <c r="T322" i="1" s="1"/>
  <c r="N321" i="1"/>
  <c r="T321" i="1" s="1"/>
  <c r="N320" i="1"/>
  <c r="T320" i="1" s="1"/>
  <c r="N319" i="1"/>
  <c r="T319" i="1" s="1"/>
  <c r="N318" i="1"/>
  <c r="T318" i="1" s="1"/>
  <c r="N317" i="1"/>
  <c r="T317" i="1" s="1"/>
  <c r="N316" i="1"/>
  <c r="T316" i="1" s="1"/>
  <c r="N315" i="1"/>
  <c r="T315" i="1" s="1"/>
  <c r="N314" i="1"/>
  <c r="T314" i="1" s="1"/>
  <c r="N313" i="1"/>
  <c r="T313" i="1" s="1"/>
  <c r="N312" i="1"/>
  <c r="T312" i="1" s="1"/>
  <c r="N311" i="1"/>
  <c r="T311" i="1" s="1"/>
  <c r="N310" i="1"/>
  <c r="T310" i="1" s="1"/>
  <c r="N309" i="1"/>
  <c r="T309" i="1" s="1"/>
  <c r="N308" i="1"/>
  <c r="T308" i="1" s="1"/>
  <c r="N307" i="1"/>
  <c r="T307" i="1" s="1"/>
  <c r="N136" i="1"/>
  <c r="T136" i="1" s="1"/>
  <c r="N135" i="1"/>
  <c r="T135" i="1" s="1"/>
  <c r="N134" i="1"/>
  <c r="T134" i="1" s="1"/>
  <c r="N133" i="1"/>
  <c r="T133" i="1" s="1"/>
  <c r="N132" i="1"/>
  <c r="T132" i="1" s="1"/>
  <c r="N131" i="1"/>
  <c r="T131" i="1" s="1"/>
  <c r="N130" i="1"/>
  <c r="T130" i="1" s="1"/>
  <c r="N129" i="1"/>
  <c r="T129" i="1" s="1"/>
  <c r="N128" i="1"/>
  <c r="T128" i="1" s="1"/>
  <c r="N127" i="1"/>
  <c r="T127" i="1" s="1"/>
  <c r="N126" i="1"/>
  <c r="T126" i="1" s="1"/>
  <c r="N125" i="1"/>
  <c r="T125" i="1" s="1"/>
  <c r="N124" i="1"/>
  <c r="T124" i="1" s="1"/>
  <c r="N123" i="1"/>
  <c r="T123" i="1" s="1"/>
  <c r="N122" i="1"/>
  <c r="T122" i="1" s="1"/>
  <c r="N121" i="1"/>
  <c r="T121" i="1" s="1"/>
  <c r="N120" i="1"/>
  <c r="T120" i="1" s="1"/>
  <c r="N119" i="1"/>
  <c r="T119" i="1" s="1"/>
  <c r="N118" i="1"/>
  <c r="T118" i="1" s="1"/>
  <c r="N117" i="1"/>
  <c r="T117" i="1" s="1"/>
  <c r="N116" i="1"/>
  <c r="T116" i="1" s="1"/>
  <c r="N38" i="1"/>
  <c r="T38" i="1" s="1"/>
  <c r="N37" i="1"/>
  <c r="T37" i="1" s="1"/>
  <c r="N36" i="1"/>
  <c r="T36" i="1" s="1"/>
  <c r="N35" i="1"/>
  <c r="T35" i="1" s="1"/>
  <c r="N34" i="1"/>
  <c r="T34" i="1" s="1"/>
  <c r="N33" i="1"/>
  <c r="T33" i="1" s="1"/>
  <c r="N32" i="1"/>
  <c r="T32" i="1" s="1"/>
  <c r="N31" i="1"/>
  <c r="T31" i="1" s="1"/>
  <c r="N30" i="1"/>
  <c r="T30" i="1" s="1"/>
  <c r="N29" i="1"/>
  <c r="T29" i="1" s="1"/>
  <c r="N28" i="1"/>
  <c r="T28" i="1" s="1"/>
  <c r="N27" i="1"/>
  <c r="T27" i="1" s="1"/>
  <c r="R676" i="1"/>
  <c r="S676" i="1" s="1"/>
  <c r="N408" i="1"/>
  <c r="T408" i="1" s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N377" i="1"/>
  <c r="T377" i="1" s="1"/>
  <c r="N376" i="1"/>
  <c r="T376" i="1" s="1"/>
  <c r="N115" i="1"/>
  <c r="T115" i="1" s="1"/>
  <c r="N114" i="1"/>
  <c r="T114" i="1" s="1"/>
  <c r="N113" i="1"/>
  <c r="T113" i="1" s="1"/>
  <c r="N112" i="1"/>
  <c r="T112" i="1" s="1"/>
  <c r="N111" i="1"/>
  <c r="T111" i="1" s="1"/>
  <c r="N110" i="1"/>
  <c r="T110" i="1" s="1"/>
  <c r="N109" i="1"/>
  <c r="T109" i="1" s="1"/>
  <c r="N108" i="1"/>
  <c r="T108" i="1" s="1"/>
  <c r="N107" i="1"/>
  <c r="T107" i="1" s="1"/>
  <c r="N106" i="1"/>
  <c r="T106" i="1" s="1"/>
  <c r="N105" i="1"/>
  <c r="T105" i="1" s="1"/>
  <c r="N104" i="1"/>
  <c r="T104" i="1" s="1"/>
  <c r="N103" i="1"/>
  <c r="T103" i="1" s="1"/>
  <c r="N102" i="1"/>
  <c r="T102" i="1" s="1"/>
  <c r="N101" i="1"/>
  <c r="T101" i="1" s="1"/>
  <c r="N100" i="1"/>
  <c r="T100" i="1" s="1"/>
  <c r="N99" i="1"/>
  <c r="T99" i="1" s="1"/>
  <c r="N98" i="1"/>
  <c r="T98" i="1" s="1"/>
  <c r="N97" i="1"/>
  <c r="T97" i="1" s="1"/>
  <c r="N96" i="1"/>
  <c r="T96" i="1" s="1"/>
  <c r="N69" i="1"/>
  <c r="T69" i="1" s="1"/>
  <c r="N68" i="1"/>
  <c r="T68" i="1" s="1"/>
  <c r="N67" i="1"/>
  <c r="T67" i="1" s="1"/>
  <c r="N66" i="1"/>
  <c r="T66" i="1" s="1"/>
  <c r="N65" i="1"/>
  <c r="T65" i="1" s="1"/>
  <c r="N64" i="1"/>
  <c r="T64" i="1" s="1"/>
  <c r="N63" i="1"/>
  <c r="T63" i="1" s="1"/>
  <c r="N62" i="1"/>
  <c r="T62" i="1" s="1"/>
  <c r="N61" i="1"/>
  <c r="T61" i="1" s="1"/>
  <c r="N60" i="1"/>
  <c r="T60" i="1" s="1"/>
  <c r="T638" i="1"/>
  <c r="N375" i="1"/>
  <c r="N306" i="1"/>
  <c r="T306" i="1" s="1"/>
  <c r="N305" i="1"/>
  <c r="T305" i="1" s="1"/>
  <c r="N95" i="1"/>
  <c r="T95" i="1" s="1"/>
  <c r="N407" i="1"/>
  <c r="T407" i="1" s="1"/>
  <c r="N94" i="1"/>
  <c r="T94" i="1" s="1"/>
  <c r="N93" i="1"/>
  <c r="T93" i="1" s="1"/>
  <c r="N406" i="1"/>
  <c r="T406" i="1" s="1"/>
  <c r="N405" i="1"/>
  <c r="T405" i="1" s="1"/>
  <c r="N404" i="1"/>
  <c r="T404" i="1" s="1"/>
  <c r="N403" i="1"/>
  <c r="T403" i="1" s="1"/>
  <c r="N402" i="1"/>
  <c r="T402" i="1" s="1"/>
  <c r="N401" i="1"/>
  <c r="T401" i="1" s="1"/>
  <c r="N400" i="1"/>
  <c r="T400" i="1" s="1"/>
  <c r="N399" i="1"/>
  <c r="N92" i="1"/>
  <c r="T92" i="1" s="1"/>
  <c r="N91" i="1"/>
  <c r="T91" i="1" s="1"/>
  <c r="N90" i="1"/>
  <c r="T90" i="1" s="1"/>
  <c r="N59" i="1"/>
  <c r="T59" i="1" s="1"/>
  <c r="N58" i="1"/>
  <c r="T58" i="1" s="1"/>
  <c r="R675" i="1"/>
  <c r="S675" i="1" s="1"/>
  <c r="N11" i="1"/>
  <c r="T11" i="1" s="1"/>
  <c r="N10" i="1"/>
  <c r="T10" i="1" s="1"/>
  <c r="N9" i="1"/>
  <c r="N57" i="1"/>
  <c r="T57" i="1" s="1"/>
  <c r="N56" i="1"/>
  <c r="T56" i="1" s="1"/>
  <c r="N55" i="1"/>
  <c r="T55" i="1" s="1"/>
  <c r="N54" i="1"/>
  <c r="T54" i="1" s="1"/>
  <c r="N53" i="1"/>
  <c r="T53" i="1" s="1"/>
  <c r="N52" i="1"/>
  <c r="T627" i="1"/>
  <c r="N345" i="1"/>
  <c r="N304" i="1"/>
  <c r="T304" i="1" s="1"/>
  <c r="N26" i="1"/>
  <c r="N303" i="1"/>
  <c r="N89" i="1"/>
  <c r="T89" i="1" s="1"/>
  <c r="I1071" i="1"/>
  <c r="N88" i="1"/>
  <c r="T88" i="1" s="1"/>
  <c r="N87" i="1"/>
  <c r="T87" i="1" s="1"/>
  <c r="N86" i="1"/>
  <c r="T86" i="1" s="1"/>
  <c r="N85" i="1"/>
  <c r="Q996" i="1"/>
  <c r="Q975" i="1"/>
  <c r="Q793" i="1"/>
  <c r="Q742" i="1"/>
  <c r="Q750" i="1"/>
  <c r="T676" i="1" l="1"/>
  <c r="T675" i="1"/>
  <c r="G28" i="6"/>
  <c r="N1064" i="1"/>
  <c r="L1064" i="1"/>
  <c r="R890" i="1"/>
  <c r="S890" i="1" s="1"/>
  <c r="Q890" i="1"/>
  <c r="L1067" i="1"/>
  <c r="L1076" i="1"/>
  <c r="U631" i="1"/>
  <c r="L1075" i="1"/>
  <c r="U356" i="1"/>
  <c r="L1063" i="1"/>
  <c r="U946" i="1"/>
  <c r="L1071" i="1"/>
  <c r="K1069" i="1"/>
  <c r="I1069" i="1"/>
  <c r="I1079" i="1"/>
  <c r="U327" i="1"/>
  <c r="L1062" i="1"/>
  <c r="K1072" i="1"/>
  <c r="I1075" i="1"/>
  <c r="I1072" i="1"/>
  <c r="I1063" i="1"/>
  <c r="M1072" i="1"/>
  <c r="N1057" i="1"/>
  <c r="K1068" i="1"/>
  <c r="I1067" i="1"/>
  <c r="I1076" i="1"/>
  <c r="I1066" i="1"/>
  <c r="I1060" i="1"/>
  <c r="I1062" i="1"/>
  <c r="I1057" i="1"/>
  <c r="U694" i="1"/>
  <c r="L1058" i="1"/>
  <c r="M1068" i="1"/>
  <c r="N1063" i="1"/>
  <c r="K1061" i="1"/>
  <c r="T26" i="1"/>
  <c r="I1058" i="1"/>
  <c r="M1075" i="1"/>
  <c r="N1068" i="1"/>
  <c r="N1066" i="1"/>
  <c r="I1064" i="1"/>
  <c r="M1058" i="1"/>
  <c r="T1011" i="1"/>
  <c r="J1068" i="1"/>
  <c r="T820" i="1"/>
  <c r="N1061" i="1"/>
  <c r="N1076" i="1"/>
  <c r="N1071" i="1"/>
  <c r="U996" i="1"/>
  <c r="J1061" i="1"/>
  <c r="I1078" i="1"/>
  <c r="L1061" i="1"/>
  <c r="N1075" i="1"/>
  <c r="M1061" i="1"/>
  <c r="N1062" i="1"/>
  <c r="K1058" i="1"/>
  <c r="T717" i="1"/>
  <c r="T973" i="1"/>
  <c r="T399" i="1"/>
  <c r="T783" i="1"/>
  <c r="T893" i="1"/>
  <c r="A284" i="4"/>
  <c r="A296" i="4"/>
  <c r="R995" i="1"/>
  <c r="S995" i="1" s="1"/>
  <c r="T345" i="1"/>
  <c r="T719" i="1"/>
  <c r="T849" i="1"/>
  <c r="T951" i="1"/>
  <c r="T960" i="1"/>
  <c r="T568" i="1"/>
  <c r="T626" i="1"/>
  <c r="T9" i="1"/>
  <c r="T637" i="1"/>
  <c r="T384" i="1"/>
  <c r="T716" i="1"/>
  <c r="U733" i="1"/>
  <c r="T797" i="1"/>
  <c r="T817" i="1"/>
  <c r="T947" i="1"/>
  <c r="T958" i="1"/>
  <c r="T981" i="1"/>
  <c r="T986" i="1"/>
  <c r="T375" i="1"/>
  <c r="U381" i="1"/>
  <c r="T739" i="1"/>
  <c r="T784" i="1"/>
  <c r="U738" i="1"/>
  <c r="T810" i="1"/>
  <c r="T937" i="1"/>
  <c r="T85" i="1"/>
  <c r="T618" i="1"/>
  <c r="T409" i="1"/>
  <c r="U5" i="1"/>
  <c r="U390" i="1"/>
  <c r="T701" i="1"/>
  <c r="T754" i="1"/>
  <c r="U782" i="1"/>
  <c r="T834" i="1"/>
  <c r="T965" i="1"/>
  <c r="T982" i="1"/>
  <c r="T974" i="1"/>
  <c r="T988" i="1"/>
  <c r="T303" i="1"/>
  <c r="T52" i="1"/>
  <c r="U665" i="1"/>
  <c r="T712" i="1"/>
  <c r="U731" i="1"/>
  <c r="T744" i="1"/>
  <c r="T802" i="1"/>
  <c r="T884" i="1"/>
  <c r="T896" i="1"/>
  <c r="U891" i="1"/>
  <c r="T972" i="1"/>
  <c r="T1010" i="1"/>
  <c r="T625" i="1"/>
  <c r="R993" i="1"/>
  <c r="S993" i="1" s="1"/>
  <c r="R997" i="1"/>
  <c r="S997" i="1" s="1"/>
  <c r="R749" i="1"/>
  <c r="S749" i="1" s="1"/>
  <c r="R738" i="1"/>
  <c r="S738" i="1" s="1"/>
  <c r="R860" i="1"/>
  <c r="S860" i="1" s="1"/>
  <c r="R752" i="1"/>
  <c r="S752" i="1" s="1"/>
  <c r="R777" i="1"/>
  <c r="S777" i="1" s="1"/>
  <c r="R791" i="1"/>
  <c r="S791" i="1" s="1"/>
  <c r="R795" i="1"/>
  <c r="S795" i="1" s="1"/>
  <c r="R994" i="1"/>
  <c r="S994" i="1" s="1"/>
  <c r="R998" i="1"/>
  <c r="S998" i="1" s="1"/>
  <c r="R566" i="1"/>
  <c r="S566" i="1" s="1"/>
  <c r="R820" i="1"/>
  <c r="S820" i="1" s="1"/>
  <c r="R696" i="1"/>
  <c r="S696" i="1" s="1"/>
  <c r="R708" i="1"/>
  <c r="S708" i="1" s="1"/>
  <c r="R917" i="1"/>
  <c r="S917" i="1" s="1"/>
  <c r="R895" i="1"/>
  <c r="S895" i="1" s="1"/>
  <c r="R885" i="1"/>
  <c r="S885" i="1" s="1"/>
  <c r="R954" i="1"/>
  <c r="S954" i="1" s="1"/>
  <c r="R836" i="1"/>
  <c r="S836" i="1" s="1"/>
  <c r="R886" i="1"/>
  <c r="S886" i="1" s="1"/>
  <c r="R896" i="1"/>
  <c r="S896" i="1" s="1"/>
  <c r="R904" i="1"/>
  <c r="S904" i="1" s="1"/>
  <c r="R817" i="1"/>
  <c r="S817" i="1" s="1"/>
  <c r="R720" i="1"/>
  <c r="S720" i="1" s="1"/>
  <c r="Q791" i="1"/>
  <c r="R948" i="1"/>
  <c r="S948" i="1" s="1"/>
  <c r="R951" i="1"/>
  <c r="S951" i="1" s="1"/>
  <c r="R912" i="1"/>
  <c r="S912" i="1" s="1"/>
  <c r="R828" i="1"/>
  <c r="S828" i="1" s="1"/>
  <c r="R832" i="1"/>
  <c r="S832" i="1" s="1"/>
  <c r="R874" i="1"/>
  <c r="S874" i="1" s="1"/>
  <c r="R876" i="1"/>
  <c r="S876" i="1" s="1"/>
  <c r="R892" i="1"/>
  <c r="S892" i="1" s="1"/>
  <c r="R857" i="1"/>
  <c r="S857" i="1" s="1"/>
  <c r="R814" i="1"/>
  <c r="S814" i="1" s="1"/>
  <c r="R835" i="1"/>
  <c r="S835" i="1" s="1"/>
  <c r="R852" i="1"/>
  <c r="S852" i="1" s="1"/>
  <c r="R856" i="1"/>
  <c r="S856" i="1" s="1"/>
  <c r="R863" i="1"/>
  <c r="S863" i="1" s="1"/>
  <c r="R867" i="1"/>
  <c r="S867" i="1" s="1"/>
  <c r="R937" i="1"/>
  <c r="S937" i="1" s="1"/>
  <c r="R825" i="1"/>
  <c r="S825" i="1" s="1"/>
  <c r="R872" i="1"/>
  <c r="S872" i="1" s="1"/>
  <c r="R877" i="1"/>
  <c r="S877" i="1" s="1"/>
  <c r="R709" i="1"/>
  <c r="S709" i="1" s="1"/>
  <c r="R697" i="1"/>
  <c r="S697" i="1" s="1"/>
  <c r="R906" i="1"/>
  <c r="S906" i="1" s="1"/>
  <c r="R914" i="1"/>
  <c r="S914" i="1" s="1"/>
  <c r="R841" i="1"/>
  <c r="S841" i="1" s="1"/>
  <c r="R845" i="1"/>
  <c r="S845" i="1" s="1"/>
  <c r="R929" i="1"/>
  <c r="S929" i="1" s="1"/>
  <c r="Q929" i="1"/>
  <c r="R940" i="1"/>
  <c r="S940" i="1" s="1"/>
  <c r="Q940" i="1"/>
  <c r="R724" i="1"/>
  <c r="S724" i="1" s="1"/>
  <c r="U724" i="1"/>
  <c r="R728" i="1"/>
  <c r="S728" i="1" s="1"/>
  <c r="U728" i="1"/>
  <c r="Q795" i="1"/>
  <c r="R928" i="1"/>
  <c r="S928" i="1" s="1"/>
  <c r="U928" i="1"/>
  <c r="R813" i="1"/>
  <c r="S813" i="1" s="1"/>
  <c r="R821" i="1"/>
  <c r="S821" i="1" s="1"/>
  <c r="R849" i="1"/>
  <c r="S849" i="1" s="1"/>
  <c r="R884" i="1"/>
  <c r="S884" i="1" s="1"/>
  <c r="R952" i="1"/>
  <c r="S952" i="1" s="1"/>
  <c r="R822" i="1"/>
  <c r="S822" i="1" s="1"/>
  <c r="R840" i="1"/>
  <c r="S840" i="1" s="1"/>
  <c r="R861" i="1"/>
  <c r="S861" i="1" s="1"/>
  <c r="R864" i="1"/>
  <c r="S864" i="1" s="1"/>
  <c r="R870" i="1"/>
  <c r="S870" i="1" s="1"/>
  <c r="R887" i="1"/>
  <c r="S887" i="1" s="1"/>
  <c r="R898" i="1"/>
  <c r="S898" i="1" s="1"/>
  <c r="R901" i="1"/>
  <c r="S901" i="1" s="1"/>
  <c r="Q904" i="1"/>
  <c r="R909" i="1"/>
  <c r="S909" i="1" s="1"/>
  <c r="Q912" i="1"/>
  <c r="R826" i="1"/>
  <c r="S826" i="1" s="1"/>
  <c r="R829" i="1"/>
  <c r="S829" i="1" s="1"/>
  <c r="Q832" i="1"/>
  <c r="Q845" i="1"/>
  <c r="R871" i="1"/>
  <c r="S871" i="1" s="1"/>
  <c r="R873" i="1"/>
  <c r="S873" i="1" s="1"/>
  <c r="R875" i="1"/>
  <c r="S875" i="1" s="1"/>
  <c r="R878" i="1"/>
  <c r="S878" i="1" s="1"/>
  <c r="R920" i="1"/>
  <c r="S920" i="1" s="1"/>
  <c r="R935" i="1"/>
  <c r="S935" i="1" s="1"/>
  <c r="R945" i="1"/>
  <c r="S945" i="1" s="1"/>
  <c r="Q945" i="1"/>
  <c r="R695" i="1"/>
  <c r="S695" i="1" s="1"/>
  <c r="R999" i="1"/>
  <c r="S999" i="1" s="1"/>
  <c r="Q999" i="1"/>
  <c r="R1020" i="1"/>
  <c r="S1020" i="1" s="1"/>
  <c r="Q1020" i="1"/>
  <c r="R705" i="1"/>
  <c r="S705" i="1" s="1"/>
  <c r="Q752" i="1"/>
  <c r="R810" i="1"/>
  <c r="S810" i="1" s="1"/>
  <c r="R819" i="1"/>
  <c r="S819" i="1" s="1"/>
  <c r="R850" i="1"/>
  <c r="S850" i="1" s="1"/>
  <c r="R853" i="1"/>
  <c r="S853" i="1" s="1"/>
  <c r="R950" i="1"/>
  <c r="S950" i="1" s="1"/>
  <c r="R823" i="1"/>
  <c r="S823" i="1" s="1"/>
  <c r="R837" i="1"/>
  <c r="S837" i="1" s="1"/>
  <c r="R859" i="1"/>
  <c r="S859" i="1" s="1"/>
  <c r="R865" i="1"/>
  <c r="S865" i="1" s="1"/>
  <c r="R897" i="1"/>
  <c r="S897" i="1" s="1"/>
  <c r="R899" i="1"/>
  <c r="S899" i="1" s="1"/>
  <c r="R900" i="1"/>
  <c r="S900" i="1" s="1"/>
  <c r="R902" i="1"/>
  <c r="S902" i="1" s="1"/>
  <c r="R908" i="1"/>
  <c r="S908" i="1" s="1"/>
  <c r="R910" i="1"/>
  <c r="S910" i="1" s="1"/>
  <c r="R916" i="1"/>
  <c r="S916" i="1" s="1"/>
  <c r="R947" i="1"/>
  <c r="S947" i="1" s="1"/>
  <c r="R830" i="1"/>
  <c r="S830" i="1" s="1"/>
  <c r="R843" i="1"/>
  <c r="S843" i="1" s="1"/>
  <c r="R930" i="1"/>
  <c r="S930" i="1" s="1"/>
  <c r="Q995" i="1"/>
  <c r="R707" i="1"/>
  <c r="S707" i="1" s="1"/>
  <c r="Q777" i="1"/>
  <c r="U922" i="1"/>
  <c r="R922" i="1"/>
  <c r="S922" i="1" s="1"/>
  <c r="R934" i="1"/>
  <c r="S934" i="1" s="1"/>
  <c r="U934" i="1"/>
  <c r="R811" i="1"/>
  <c r="S811" i="1" s="1"/>
  <c r="R854" i="1"/>
  <c r="S854" i="1" s="1"/>
  <c r="R838" i="1"/>
  <c r="S838" i="1" s="1"/>
  <c r="R868" i="1"/>
  <c r="S868" i="1" s="1"/>
  <c r="R905" i="1"/>
  <c r="S905" i="1" s="1"/>
  <c r="R913" i="1"/>
  <c r="S913" i="1" s="1"/>
  <c r="R815" i="1"/>
  <c r="S815" i="1" s="1"/>
  <c r="R833" i="1"/>
  <c r="S833" i="1" s="1"/>
  <c r="R943" i="1"/>
  <c r="S943" i="1" s="1"/>
  <c r="Q943" i="1"/>
  <c r="R955" i="1"/>
  <c r="S955" i="1" s="1"/>
  <c r="Q955" i="1"/>
  <c r="U720" i="1"/>
  <c r="R925" i="1"/>
  <c r="S925" i="1" s="1"/>
  <c r="R931" i="1"/>
  <c r="S931" i="1" s="1"/>
  <c r="R938" i="1"/>
  <c r="S938" i="1" s="1"/>
  <c r="R932" i="1"/>
  <c r="S932" i="1" s="1"/>
  <c r="R939" i="1"/>
  <c r="S939" i="1" s="1"/>
  <c r="R941" i="1"/>
  <c r="S941" i="1" s="1"/>
  <c r="R944" i="1"/>
  <c r="S944" i="1" s="1"/>
  <c r="R946" i="1"/>
  <c r="S946" i="1" s="1"/>
  <c r="R921" i="1"/>
  <c r="S921" i="1" s="1"/>
  <c r="R923" i="1"/>
  <c r="S923" i="1" s="1"/>
  <c r="R927" i="1"/>
  <c r="S927" i="1" s="1"/>
  <c r="R933" i="1"/>
  <c r="S933" i="1" s="1"/>
  <c r="Q939" i="1"/>
  <c r="R942" i="1"/>
  <c r="S942" i="1" s="1"/>
  <c r="Q944" i="1"/>
  <c r="Q946" i="1"/>
  <c r="R157" i="1"/>
  <c r="S157" i="1" s="1"/>
  <c r="R209" i="1"/>
  <c r="S209" i="1" s="1"/>
  <c r="R226" i="1"/>
  <c r="S226" i="1" s="1"/>
  <c r="R179" i="1"/>
  <c r="S179" i="1" s="1"/>
  <c r="R458" i="1"/>
  <c r="S458" i="1" s="1"/>
  <c r="R502" i="1"/>
  <c r="S502" i="1" s="1"/>
  <c r="Q226" i="1"/>
  <c r="R144" i="1"/>
  <c r="S144" i="1" s="1"/>
  <c r="R196" i="1"/>
  <c r="S196" i="1" s="1"/>
  <c r="R467" i="1"/>
  <c r="S467" i="1" s="1"/>
  <c r="R992" i="1"/>
  <c r="S992" i="1" s="1"/>
  <c r="R996" i="1"/>
  <c r="S996" i="1" s="1"/>
  <c r="Q994" i="1"/>
  <c r="Q998" i="1"/>
  <c r="Q566" i="1"/>
  <c r="Q993" i="1"/>
  <c r="Q997" i="1"/>
  <c r="R1021" i="1"/>
  <c r="S1021" i="1" s="1"/>
  <c r="R963" i="1"/>
  <c r="S963" i="1" s="1"/>
  <c r="R975" i="1"/>
  <c r="S975" i="1" s="1"/>
  <c r="R812" i="1"/>
  <c r="S812" i="1" s="1"/>
  <c r="R834" i="1"/>
  <c r="S834" i="1" s="1"/>
  <c r="R855" i="1"/>
  <c r="S855" i="1" s="1"/>
  <c r="R953" i="1"/>
  <c r="S953" i="1" s="1"/>
  <c r="R839" i="1"/>
  <c r="S839" i="1" s="1"/>
  <c r="R862" i="1"/>
  <c r="S862" i="1" s="1"/>
  <c r="R869" i="1"/>
  <c r="S869" i="1" s="1"/>
  <c r="Q906" i="1"/>
  <c r="R907" i="1"/>
  <c r="S907" i="1" s="1"/>
  <c r="Q914" i="1"/>
  <c r="R915" i="1"/>
  <c r="S915" i="1" s="1"/>
  <c r="Q815" i="1"/>
  <c r="Q826" i="1"/>
  <c r="R827" i="1"/>
  <c r="S827" i="1" s="1"/>
  <c r="Q841" i="1"/>
  <c r="R842" i="1"/>
  <c r="S842" i="1" s="1"/>
  <c r="Q873" i="1"/>
  <c r="Q878" i="1"/>
  <c r="R891" i="1"/>
  <c r="S891" i="1" s="1"/>
  <c r="Q923" i="1"/>
  <c r="R924" i="1"/>
  <c r="S924" i="1" s="1"/>
  <c r="Q916" i="1"/>
  <c r="Q828" i="1"/>
  <c r="Q843" i="1"/>
  <c r="R844" i="1"/>
  <c r="S844" i="1" s="1"/>
  <c r="Q874" i="1"/>
  <c r="Q892" i="1"/>
  <c r="R919" i="1"/>
  <c r="S919" i="1" s="1"/>
  <c r="Q925" i="1"/>
  <c r="R926" i="1"/>
  <c r="S926" i="1" s="1"/>
  <c r="Q931" i="1"/>
  <c r="Q932" i="1"/>
  <c r="Q935" i="1"/>
  <c r="Q938" i="1"/>
  <c r="Q941" i="1"/>
  <c r="Q942" i="1"/>
  <c r="R894" i="1"/>
  <c r="S894" i="1" s="1"/>
  <c r="R818" i="1"/>
  <c r="S818" i="1" s="1"/>
  <c r="R851" i="1"/>
  <c r="S851" i="1" s="1"/>
  <c r="R949" i="1"/>
  <c r="S949" i="1" s="1"/>
  <c r="R824" i="1"/>
  <c r="S824" i="1" s="1"/>
  <c r="R858" i="1"/>
  <c r="S858" i="1" s="1"/>
  <c r="R866" i="1"/>
  <c r="S866" i="1" s="1"/>
  <c r="R903" i="1"/>
  <c r="S903" i="1" s="1"/>
  <c r="Q910" i="1"/>
  <c r="R911" i="1"/>
  <c r="S911" i="1" s="1"/>
  <c r="R918" i="1"/>
  <c r="S918" i="1" s="1"/>
  <c r="Q830" i="1"/>
  <c r="R831" i="1"/>
  <c r="S831" i="1" s="1"/>
  <c r="Q875" i="1"/>
  <c r="R778" i="1"/>
  <c r="S778" i="1" s="1"/>
  <c r="R782" i="1"/>
  <c r="S782" i="1" s="1"/>
  <c r="R792" i="1"/>
  <c r="S792" i="1" s="1"/>
  <c r="R793" i="1"/>
  <c r="S793" i="1" s="1"/>
  <c r="R794" i="1"/>
  <c r="S794" i="1" s="1"/>
  <c r="Q749" i="1"/>
  <c r="Q738" i="1"/>
  <c r="R750" i="1"/>
  <c r="S750" i="1" s="1"/>
  <c r="R751" i="1"/>
  <c r="S751" i="1" s="1"/>
  <c r="R742" i="1"/>
  <c r="S742" i="1" s="1"/>
  <c r="R743" i="1"/>
  <c r="S743" i="1" s="1"/>
  <c r="Q695" i="1"/>
  <c r="R723" i="1"/>
  <c r="S723" i="1" s="1"/>
  <c r="R727" i="1"/>
  <c r="S727" i="1" s="1"/>
  <c r="R145" i="1"/>
  <c r="S145" i="1" s="1"/>
  <c r="Q145" i="1"/>
  <c r="R149" i="1"/>
  <c r="S149" i="1" s="1"/>
  <c r="Q149" i="1"/>
  <c r="Q165" i="1"/>
  <c r="R165" i="1"/>
  <c r="S165" i="1" s="1"/>
  <c r="R181" i="1"/>
  <c r="S181" i="1" s="1"/>
  <c r="Q181" i="1"/>
  <c r="R217" i="1"/>
  <c r="S217" i="1" s="1"/>
  <c r="Q217" i="1"/>
  <c r="R336" i="1"/>
  <c r="S336" i="1" s="1"/>
  <c r="Q336" i="1"/>
  <c r="R356" i="1"/>
  <c r="S356" i="1" s="1"/>
  <c r="Q356" i="1"/>
  <c r="R385" i="1"/>
  <c r="S385" i="1" s="1"/>
  <c r="Q385" i="1"/>
  <c r="R444" i="1"/>
  <c r="S444" i="1" s="1"/>
  <c r="Q444" i="1"/>
  <c r="Q456" i="1"/>
  <c r="R456" i="1"/>
  <c r="S456" i="1" s="1"/>
  <c r="R468" i="1"/>
  <c r="S468" i="1" s="1"/>
  <c r="Q468" i="1"/>
  <c r="R480" i="1"/>
  <c r="S480" i="1" s="1"/>
  <c r="Q480" i="1"/>
  <c r="R492" i="1"/>
  <c r="S492" i="1" s="1"/>
  <c r="Q492" i="1"/>
  <c r="R504" i="1"/>
  <c r="S504" i="1" s="1"/>
  <c r="Q504" i="1"/>
  <c r="Q514" i="1"/>
  <c r="R514" i="1"/>
  <c r="S514" i="1" s="1"/>
  <c r="R665" i="1"/>
  <c r="S665" i="1" s="1"/>
  <c r="Q665" i="1"/>
  <c r="Q157" i="1"/>
  <c r="Q209" i="1"/>
  <c r="R5" i="1"/>
  <c r="Q5" i="1"/>
  <c r="Q71" i="1"/>
  <c r="R71" i="1"/>
  <c r="S71" i="1" s="1"/>
  <c r="Q142" i="1"/>
  <c r="R146" i="1"/>
  <c r="S146" i="1" s="1"/>
  <c r="Q146" i="1"/>
  <c r="R150" i="1"/>
  <c r="S150" i="1" s="1"/>
  <c r="Q150" i="1"/>
  <c r="Q154" i="1"/>
  <c r="R154" i="1"/>
  <c r="S154" i="1" s="1"/>
  <c r="R158" i="1"/>
  <c r="S158" i="1" s="1"/>
  <c r="Q158" i="1"/>
  <c r="R162" i="1"/>
  <c r="S162" i="1" s="1"/>
  <c r="Q162" i="1"/>
  <c r="R170" i="1"/>
  <c r="S170" i="1" s="1"/>
  <c r="Q170" i="1"/>
  <c r="Q174" i="1"/>
  <c r="R174" i="1"/>
  <c r="S174" i="1" s="1"/>
  <c r="R178" i="1"/>
  <c r="S178" i="1" s="1"/>
  <c r="Q178" i="1"/>
  <c r="R182" i="1"/>
  <c r="S182" i="1" s="1"/>
  <c r="Q182" i="1"/>
  <c r="R186" i="1"/>
  <c r="S186" i="1" s="1"/>
  <c r="Q186" i="1"/>
  <c r="Q190" i="1"/>
  <c r="R190" i="1"/>
  <c r="S190" i="1" s="1"/>
  <c r="R194" i="1"/>
  <c r="S194" i="1" s="1"/>
  <c r="Q194" i="1"/>
  <c r="R198" i="1"/>
  <c r="S198" i="1" s="1"/>
  <c r="Q198" i="1"/>
  <c r="R202" i="1"/>
  <c r="S202" i="1" s="1"/>
  <c r="Q202" i="1"/>
  <c r="Q206" i="1"/>
  <c r="R206" i="1"/>
  <c r="S206" i="1" s="1"/>
  <c r="R210" i="1"/>
  <c r="S210" i="1" s="1"/>
  <c r="Q210" i="1"/>
  <c r="R214" i="1"/>
  <c r="S214" i="1" s="1"/>
  <c r="Q214" i="1"/>
  <c r="R218" i="1"/>
  <c r="S218" i="1" s="1"/>
  <c r="Q218" i="1"/>
  <c r="R325" i="1"/>
  <c r="S325" i="1" s="1"/>
  <c r="Q325" i="1"/>
  <c r="R329" i="1"/>
  <c r="S329" i="1" s="1"/>
  <c r="Q329" i="1"/>
  <c r="R333" i="1"/>
  <c r="S333" i="1" s="1"/>
  <c r="Q333" i="1"/>
  <c r="R337" i="1"/>
  <c r="S337" i="1" s="1"/>
  <c r="Q337" i="1"/>
  <c r="R341" i="1"/>
  <c r="S341" i="1" s="1"/>
  <c r="Q341" i="1"/>
  <c r="R353" i="1"/>
  <c r="S353" i="1" s="1"/>
  <c r="Q353" i="1"/>
  <c r="R357" i="1"/>
  <c r="S357" i="1" s="1"/>
  <c r="Q357" i="1"/>
  <c r="Q361" i="1"/>
  <c r="R361" i="1"/>
  <c r="S361" i="1" s="1"/>
  <c r="R365" i="1"/>
  <c r="S365" i="1" s="1"/>
  <c r="Q365" i="1"/>
  <c r="R386" i="1"/>
  <c r="S386" i="1" s="1"/>
  <c r="Q386" i="1"/>
  <c r="R390" i="1"/>
  <c r="S390" i="1" s="1"/>
  <c r="Q390" i="1"/>
  <c r="Q394" i="1"/>
  <c r="R394" i="1"/>
  <c r="S394" i="1" s="1"/>
  <c r="R445" i="1"/>
  <c r="S445" i="1" s="1"/>
  <c r="Q445" i="1"/>
  <c r="Q449" i="1"/>
  <c r="R449" i="1"/>
  <c r="S449" i="1" s="1"/>
  <c r="R453" i="1"/>
  <c r="S453" i="1" s="1"/>
  <c r="Q453" i="1"/>
  <c r="Q457" i="1"/>
  <c r="R457" i="1"/>
  <c r="S457" i="1" s="1"/>
  <c r="R461" i="1"/>
  <c r="S461" i="1" s="1"/>
  <c r="Q461" i="1"/>
  <c r="Q465" i="1"/>
  <c r="R465" i="1"/>
  <c r="S465" i="1" s="1"/>
  <c r="R469" i="1"/>
  <c r="S469" i="1" s="1"/>
  <c r="Q469" i="1"/>
  <c r="Q473" i="1"/>
  <c r="R473" i="1"/>
  <c r="S473" i="1" s="1"/>
  <c r="R477" i="1"/>
  <c r="S477" i="1" s="1"/>
  <c r="Q477" i="1"/>
  <c r="R481" i="1"/>
  <c r="S481" i="1" s="1"/>
  <c r="Q481" i="1"/>
  <c r="R485" i="1"/>
  <c r="S485" i="1" s="1"/>
  <c r="Q485" i="1"/>
  <c r="Q489" i="1"/>
  <c r="R489" i="1"/>
  <c r="S489" i="1" s="1"/>
  <c r="R493" i="1"/>
  <c r="S493" i="1" s="1"/>
  <c r="Q493" i="1"/>
  <c r="R497" i="1"/>
  <c r="S497" i="1" s="1"/>
  <c r="Q497" i="1"/>
  <c r="Q501" i="1"/>
  <c r="R501" i="1"/>
  <c r="S501" i="1" s="1"/>
  <c r="R505" i="1"/>
  <c r="S505" i="1" s="1"/>
  <c r="Q505" i="1"/>
  <c r="R507" i="1"/>
  <c r="S507" i="1" s="1"/>
  <c r="Q507" i="1"/>
  <c r="R511" i="1"/>
  <c r="S511" i="1" s="1"/>
  <c r="Q511" i="1"/>
  <c r="Q515" i="1"/>
  <c r="R515" i="1"/>
  <c r="S515" i="1" s="1"/>
  <c r="R519" i="1"/>
  <c r="S519" i="1" s="1"/>
  <c r="Q519" i="1"/>
  <c r="R630" i="1"/>
  <c r="S630" i="1" s="1"/>
  <c r="Q630" i="1"/>
  <c r="R666" i="1"/>
  <c r="S666" i="1" s="1"/>
  <c r="Q666" i="1"/>
  <c r="R138" i="1"/>
  <c r="S138" i="1" s="1"/>
  <c r="R478" i="1"/>
  <c r="S478" i="1" s="1"/>
  <c r="Q70" i="1"/>
  <c r="R70" i="1"/>
  <c r="S70" i="1" s="1"/>
  <c r="Q141" i="1"/>
  <c r="R161" i="1"/>
  <c r="S161" i="1" s="1"/>
  <c r="Q161" i="1"/>
  <c r="Q173" i="1"/>
  <c r="R173" i="1"/>
  <c r="S173" i="1" s="1"/>
  <c r="Q189" i="1"/>
  <c r="R189" i="1"/>
  <c r="S189" i="1" s="1"/>
  <c r="R197" i="1"/>
  <c r="S197" i="1" s="1"/>
  <c r="Q197" i="1"/>
  <c r="R201" i="1"/>
  <c r="S201" i="1" s="1"/>
  <c r="Q201" i="1"/>
  <c r="R213" i="1"/>
  <c r="S213" i="1" s="1"/>
  <c r="Q213" i="1"/>
  <c r="R225" i="1"/>
  <c r="S225" i="1" s="1"/>
  <c r="Q225" i="1"/>
  <c r="R332" i="1"/>
  <c r="S332" i="1" s="1"/>
  <c r="Q332" i="1"/>
  <c r="R352" i="1"/>
  <c r="S352" i="1" s="1"/>
  <c r="Q352" i="1"/>
  <c r="R364" i="1"/>
  <c r="S364" i="1" s="1"/>
  <c r="Q364" i="1"/>
  <c r="Q393" i="1"/>
  <c r="R393" i="1"/>
  <c r="S393" i="1" s="1"/>
  <c r="R452" i="1"/>
  <c r="S452" i="1" s="1"/>
  <c r="Q452" i="1"/>
  <c r="R460" i="1"/>
  <c r="S460" i="1" s="1"/>
  <c r="Q460" i="1"/>
  <c r="Q472" i="1"/>
  <c r="R472" i="1"/>
  <c r="S472" i="1" s="1"/>
  <c r="R484" i="1"/>
  <c r="S484" i="1" s="1"/>
  <c r="Q484" i="1"/>
  <c r="R496" i="1"/>
  <c r="S496" i="1" s="1"/>
  <c r="Q496" i="1"/>
  <c r="R518" i="1"/>
  <c r="S518" i="1" s="1"/>
  <c r="Q518" i="1"/>
  <c r="R6" i="1"/>
  <c r="S6" i="1" s="1"/>
  <c r="Q6" i="1"/>
  <c r="R143" i="1"/>
  <c r="S143" i="1" s="1"/>
  <c r="Q143" i="1"/>
  <c r="R147" i="1"/>
  <c r="S147" i="1" s="1"/>
  <c r="Q147" i="1"/>
  <c r="R151" i="1"/>
  <c r="S151" i="1" s="1"/>
  <c r="Q151" i="1"/>
  <c r="Q155" i="1"/>
  <c r="R155" i="1"/>
  <c r="S155" i="1" s="1"/>
  <c r="R159" i="1"/>
  <c r="S159" i="1" s="1"/>
  <c r="Q159" i="1"/>
  <c r="R163" i="1"/>
  <c r="S163" i="1" s="1"/>
  <c r="Q163" i="1"/>
  <c r="Q167" i="1"/>
  <c r="R167" i="1"/>
  <c r="S167" i="1" s="1"/>
  <c r="R171" i="1"/>
  <c r="S171" i="1" s="1"/>
  <c r="Q171" i="1"/>
  <c r="R183" i="1"/>
  <c r="S183" i="1" s="1"/>
  <c r="Q183" i="1"/>
  <c r="R187" i="1"/>
  <c r="S187" i="1" s="1"/>
  <c r="Q187" i="1"/>
  <c r="Q191" i="1"/>
  <c r="R191" i="1"/>
  <c r="S191" i="1" s="1"/>
  <c r="R195" i="1"/>
  <c r="S195" i="1" s="1"/>
  <c r="Q195" i="1"/>
  <c r="R199" i="1"/>
  <c r="S199" i="1" s="1"/>
  <c r="Q199" i="1"/>
  <c r="R203" i="1"/>
  <c r="S203" i="1" s="1"/>
  <c r="Q203" i="1"/>
  <c r="Q207" i="1"/>
  <c r="R207" i="1"/>
  <c r="S207" i="1" s="1"/>
  <c r="R211" i="1"/>
  <c r="S211" i="1" s="1"/>
  <c r="Q211" i="1"/>
  <c r="R215" i="1"/>
  <c r="S215" i="1" s="1"/>
  <c r="Q215" i="1"/>
  <c r="R219" i="1"/>
  <c r="S219" i="1" s="1"/>
  <c r="Q219" i="1"/>
  <c r="Q223" i="1"/>
  <c r="R223" i="1"/>
  <c r="S223" i="1" s="1"/>
  <c r="R323" i="1"/>
  <c r="S323" i="1" s="1"/>
  <c r="Q323" i="1"/>
  <c r="R326" i="1"/>
  <c r="S326" i="1" s="1"/>
  <c r="Q326" i="1"/>
  <c r="R330" i="1"/>
  <c r="S330" i="1" s="1"/>
  <c r="Q330" i="1"/>
  <c r="Q334" i="1"/>
  <c r="R334" i="1"/>
  <c r="S334" i="1" s="1"/>
  <c r="R338" i="1"/>
  <c r="S338" i="1" s="1"/>
  <c r="Q338" i="1"/>
  <c r="Q350" i="1"/>
  <c r="R350" i="1"/>
  <c r="S350" i="1" s="1"/>
  <c r="R354" i="1"/>
  <c r="S354" i="1" s="1"/>
  <c r="Q354" i="1"/>
  <c r="R358" i="1"/>
  <c r="S358" i="1" s="1"/>
  <c r="Q358" i="1"/>
  <c r="Q362" i="1"/>
  <c r="R362" i="1"/>
  <c r="S362" i="1" s="1"/>
  <c r="R387" i="1"/>
  <c r="S387" i="1" s="1"/>
  <c r="Q387" i="1"/>
  <c r="R391" i="1"/>
  <c r="S391" i="1" s="1"/>
  <c r="Q391" i="1"/>
  <c r="Q442" i="1"/>
  <c r="R446" i="1"/>
  <c r="S446" i="1" s="1"/>
  <c r="Q446" i="1"/>
  <c r="R450" i="1"/>
  <c r="S450" i="1" s="1"/>
  <c r="Q450" i="1"/>
  <c r="R454" i="1"/>
  <c r="S454" i="1" s="1"/>
  <c r="Q454" i="1"/>
  <c r="R462" i="1"/>
  <c r="S462" i="1" s="1"/>
  <c r="Q462" i="1"/>
  <c r="R466" i="1"/>
  <c r="S466" i="1" s="1"/>
  <c r="Q466" i="1"/>
  <c r="R470" i="1"/>
  <c r="S470" i="1" s="1"/>
  <c r="Q470" i="1"/>
  <c r="R474" i="1"/>
  <c r="S474" i="1" s="1"/>
  <c r="Q474" i="1"/>
  <c r="R482" i="1"/>
  <c r="S482" i="1" s="1"/>
  <c r="Q482" i="1"/>
  <c r="R486" i="1"/>
  <c r="S486" i="1" s="1"/>
  <c r="Q486" i="1"/>
  <c r="R490" i="1"/>
  <c r="S490" i="1" s="1"/>
  <c r="Q490" i="1"/>
  <c r="Q494" i="1"/>
  <c r="R494" i="1"/>
  <c r="S494" i="1" s="1"/>
  <c r="R498" i="1"/>
  <c r="S498" i="1" s="1"/>
  <c r="Q498" i="1"/>
  <c r="R506" i="1"/>
  <c r="S506" i="1" s="1"/>
  <c r="Q506" i="1"/>
  <c r="R508" i="1"/>
  <c r="S508" i="1" s="1"/>
  <c r="Q508" i="1"/>
  <c r="R512" i="1"/>
  <c r="S512" i="1" s="1"/>
  <c r="Q512" i="1"/>
  <c r="R516" i="1"/>
  <c r="S516" i="1" s="1"/>
  <c r="Q516" i="1"/>
  <c r="Q520" i="1"/>
  <c r="R520" i="1"/>
  <c r="S520" i="1" s="1"/>
  <c r="R631" i="1"/>
  <c r="S631" i="1" s="1"/>
  <c r="Q631" i="1"/>
  <c r="R137" i="1"/>
  <c r="S137" i="1" s="1"/>
  <c r="R175" i="1"/>
  <c r="S175" i="1" s="1"/>
  <c r="Q467" i="1"/>
  <c r="R169" i="1"/>
  <c r="S169" i="1" s="1"/>
  <c r="Q169" i="1"/>
  <c r="R177" i="1"/>
  <c r="S177" i="1" s="1"/>
  <c r="Q177" i="1"/>
  <c r="R185" i="1"/>
  <c r="S185" i="1" s="1"/>
  <c r="Q185" i="1"/>
  <c r="R193" i="1"/>
  <c r="S193" i="1" s="1"/>
  <c r="Q193" i="1"/>
  <c r="Q221" i="1"/>
  <c r="R221" i="1"/>
  <c r="S221" i="1" s="1"/>
  <c r="R328" i="1"/>
  <c r="S328" i="1" s="1"/>
  <c r="Q328" i="1"/>
  <c r="R340" i="1"/>
  <c r="S340" i="1" s="1"/>
  <c r="Q340" i="1"/>
  <c r="Q360" i="1"/>
  <c r="R360" i="1"/>
  <c r="S360" i="1" s="1"/>
  <c r="R389" i="1"/>
  <c r="S389" i="1" s="1"/>
  <c r="Q389" i="1"/>
  <c r="Q448" i="1"/>
  <c r="R448" i="1"/>
  <c r="S448" i="1" s="1"/>
  <c r="Q464" i="1"/>
  <c r="R464" i="1"/>
  <c r="S464" i="1" s="1"/>
  <c r="R476" i="1"/>
  <c r="S476" i="1" s="1"/>
  <c r="Q476" i="1"/>
  <c r="Q488" i="1"/>
  <c r="R488" i="1"/>
  <c r="S488" i="1" s="1"/>
  <c r="Q500" i="1"/>
  <c r="R500" i="1"/>
  <c r="S500" i="1" s="1"/>
  <c r="R510" i="1"/>
  <c r="S510" i="1" s="1"/>
  <c r="Q510" i="1"/>
  <c r="R522" i="1"/>
  <c r="S522" i="1" s="1"/>
  <c r="Q522" i="1"/>
  <c r="R7" i="1"/>
  <c r="S7" i="1" s="1"/>
  <c r="Q7" i="1"/>
  <c r="R148" i="1"/>
  <c r="S148" i="1" s="1"/>
  <c r="Q148" i="1"/>
  <c r="R152" i="1"/>
  <c r="S152" i="1" s="1"/>
  <c r="Q152" i="1"/>
  <c r="Q156" i="1"/>
  <c r="R156" i="1"/>
  <c r="S156" i="1" s="1"/>
  <c r="R160" i="1"/>
  <c r="S160" i="1" s="1"/>
  <c r="Q160" i="1"/>
  <c r="R164" i="1"/>
  <c r="S164" i="1" s="1"/>
  <c r="Q164" i="1"/>
  <c r="R168" i="1"/>
  <c r="S168" i="1" s="1"/>
  <c r="Q168" i="1"/>
  <c r="R172" i="1"/>
  <c r="S172" i="1" s="1"/>
  <c r="Q172" i="1"/>
  <c r="Q176" i="1"/>
  <c r="R176" i="1"/>
  <c r="S176" i="1" s="1"/>
  <c r="R180" i="1"/>
  <c r="S180" i="1" s="1"/>
  <c r="Q180" i="1"/>
  <c r="R184" i="1"/>
  <c r="S184" i="1" s="1"/>
  <c r="Q184" i="1"/>
  <c r="R188" i="1"/>
  <c r="S188" i="1" s="1"/>
  <c r="Q188" i="1"/>
  <c r="R200" i="1"/>
  <c r="S200" i="1" s="1"/>
  <c r="Q200" i="1"/>
  <c r="R204" i="1"/>
  <c r="S204" i="1" s="1"/>
  <c r="Q204" i="1"/>
  <c r="Q208" i="1"/>
  <c r="R208" i="1"/>
  <c r="S208" i="1" s="1"/>
  <c r="R212" i="1"/>
  <c r="S212" i="1" s="1"/>
  <c r="Q212" i="1"/>
  <c r="R216" i="1"/>
  <c r="S216" i="1" s="1"/>
  <c r="Q216" i="1"/>
  <c r="R220" i="1"/>
  <c r="S220" i="1" s="1"/>
  <c r="Q220" i="1"/>
  <c r="Q224" i="1"/>
  <c r="R224" i="1"/>
  <c r="S224" i="1" s="1"/>
  <c r="R324" i="1"/>
  <c r="S324" i="1" s="1"/>
  <c r="Q324" i="1"/>
  <c r="R327" i="1"/>
  <c r="S327" i="1" s="1"/>
  <c r="Q327" i="1"/>
  <c r="R331" i="1"/>
  <c r="S331" i="1" s="1"/>
  <c r="Q331" i="1"/>
  <c r="Q335" i="1"/>
  <c r="R335" i="1"/>
  <c r="S335" i="1" s="1"/>
  <c r="R339" i="1"/>
  <c r="S339" i="1" s="1"/>
  <c r="Q339" i="1"/>
  <c r="Q351" i="1"/>
  <c r="R351" i="1"/>
  <c r="S351" i="1" s="1"/>
  <c r="R355" i="1"/>
  <c r="S355" i="1" s="1"/>
  <c r="Q355" i="1"/>
  <c r="R359" i="1"/>
  <c r="S359" i="1" s="1"/>
  <c r="Q359" i="1"/>
  <c r="Q363" i="1"/>
  <c r="R363" i="1"/>
  <c r="S363" i="1" s="1"/>
  <c r="R381" i="1"/>
  <c r="S381" i="1" s="1"/>
  <c r="Q381" i="1"/>
  <c r="R388" i="1"/>
  <c r="S388" i="1" s="1"/>
  <c r="Q388" i="1"/>
  <c r="R392" i="1"/>
  <c r="S392" i="1" s="1"/>
  <c r="Q392" i="1"/>
  <c r="Q443" i="1"/>
  <c r="R447" i="1"/>
  <c r="S447" i="1" s="1"/>
  <c r="Q447" i="1"/>
  <c r="R451" i="1"/>
  <c r="S451" i="1" s="1"/>
  <c r="Q451" i="1"/>
  <c r="R455" i="1"/>
  <c r="S455" i="1" s="1"/>
  <c r="Q455" i="1"/>
  <c r="R459" i="1"/>
  <c r="S459" i="1" s="1"/>
  <c r="Q459" i="1"/>
  <c r="R463" i="1"/>
  <c r="S463" i="1" s="1"/>
  <c r="Q463" i="1"/>
  <c r="R471" i="1"/>
  <c r="S471" i="1" s="1"/>
  <c r="Q471" i="1"/>
  <c r="R475" i="1"/>
  <c r="S475" i="1" s="1"/>
  <c r="Q475" i="1"/>
  <c r="R479" i="1"/>
  <c r="S479" i="1" s="1"/>
  <c r="Q479" i="1"/>
  <c r="Q483" i="1"/>
  <c r="R483" i="1"/>
  <c r="S483" i="1" s="1"/>
  <c r="R487" i="1"/>
  <c r="S487" i="1" s="1"/>
  <c r="Q487" i="1"/>
  <c r="R491" i="1"/>
  <c r="S491" i="1" s="1"/>
  <c r="Q491" i="1"/>
  <c r="R495" i="1"/>
  <c r="S495" i="1" s="1"/>
  <c r="Q495" i="1"/>
  <c r="R499" i="1"/>
  <c r="S499" i="1" s="1"/>
  <c r="Q499" i="1"/>
  <c r="R503" i="1"/>
  <c r="S503" i="1" s="1"/>
  <c r="Q503" i="1"/>
  <c r="Q509" i="1"/>
  <c r="R509" i="1"/>
  <c r="S509" i="1" s="1"/>
  <c r="R513" i="1"/>
  <c r="S513" i="1" s="1"/>
  <c r="Q513" i="1"/>
  <c r="R517" i="1"/>
  <c r="S517" i="1" s="1"/>
  <c r="Q517" i="1"/>
  <c r="R521" i="1"/>
  <c r="S521" i="1" s="1"/>
  <c r="Q521" i="1"/>
  <c r="Q660" i="1"/>
  <c r="R660" i="1"/>
  <c r="S660" i="1" s="1"/>
  <c r="R153" i="1"/>
  <c r="S153" i="1" s="1"/>
  <c r="R166" i="1"/>
  <c r="S166" i="1" s="1"/>
  <c r="Q179" i="1"/>
  <c r="R192" i="1"/>
  <c r="S192" i="1" s="1"/>
  <c r="R205" i="1"/>
  <c r="S205" i="1" s="1"/>
  <c r="R222" i="1"/>
  <c r="S222" i="1" s="1"/>
  <c r="Q458" i="1"/>
  <c r="Q502" i="1"/>
  <c r="Q895" i="1"/>
  <c r="Q811" i="1"/>
  <c r="Q813" i="1"/>
  <c r="Q817" i="1"/>
  <c r="Q819" i="1"/>
  <c r="Q821" i="1"/>
  <c r="Q835" i="1"/>
  <c r="Q850" i="1"/>
  <c r="Q852" i="1"/>
  <c r="Q854" i="1"/>
  <c r="Q884" i="1"/>
  <c r="Q948" i="1"/>
  <c r="Q950" i="1"/>
  <c r="Q952" i="1"/>
  <c r="Q954" i="1"/>
  <c r="Q823" i="1"/>
  <c r="Q836" i="1"/>
  <c r="Q838" i="1"/>
  <c r="Q840" i="1"/>
  <c r="Q857" i="1"/>
  <c r="Q859" i="1"/>
  <c r="Q861" i="1"/>
  <c r="Q863" i="1"/>
  <c r="Q865" i="1"/>
  <c r="Q867" i="1"/>
  <c r="Q868" i="1"/>
  <c r="Q870" i="1"/>
  <c r="Q902" i="1"/>
  <c r="Q899" i="1"/>
  <c r="R722" i="1"/>
  <c r="S722" i="1" s="1"/>
  <c r="R726" i="1"/>
  <c r="S726" i="1" s="1"/>
  <c r="R733" i="1"/>
  <c r="S733" i="1" s="1"/>
  <c r="R721" i="1"/>
  <c r="S721" i="1" s="1"/>
  <c r="R725" i="1"/>
  <c r="S725" i="1" s="1"/>
  <c r="R731" i="1"/>
  <c r="S731" i="1" s="1"/>
  <c r="R706" i="1"/>
  <c r="S706" i="1" s="1"/>
  <c r="R694" i="1"/>
  <c r="S694" i="1" s="1"/>
  <c r="R715" i="1"/>
  <c r="S715" i="1" s="1"/>
  <c r="P1058" i="1" l="1"/>
  <c r="T678" i="1"/>
  <c r="A285" i="4"/>
  <c r="A297" i="4"/>
  <c r="S5" i="1"/>
  <c r="K1080" i="1"/>
  <c r="J443" i="1"/>
  <c r="N443" i="1" s="1"/>
  <c r="J442" i="1"/>
  <c r="J678" i="1" s="1"/>
  <c r="K142" i="1"/>
  <c r="N142" i="1" s="1"/>
  <c r="K141" i="1"/>
  <c r="N141" i="1" s="1"/>
  <c r="K140" i="1"/>
  <c r="N140" i="1" s="1"/>
  <c r="K139" i="1"/>
  <c r="J736" i="1" l="1"/>
  <c r="K678" i="1"/>
  <c r="N442" i="1"/>
  <c r="N139" i="1"/>
  <c r="E23" i="7"/>
  <c r="F25" i="7" s="1"/>
  <c r="F34" i="7" s="1"/>
  <c r="A286" i="4"/>
  <c r="A298" i="4"/>
  <c r="U140" i="1"/>
  <c r="R140" i="1"/>
  <c r="S140" i="1" s="1"/>
  <c r="U141" i="1"/>
  <c r="R141" i="1"/>
  <c r="S141" i="1" s="1"/>
  <c r="U142" i="1"/>
  <c r="R142" i="1"/>
  <c r="S142" i="1" s="1"/>
  <c r="U443" i="1"/>
  <c r="R443" i="1"/>
  <c r="S443" i="1" s="1"/>
  <c r="I1068" i="1" l="1"/>
  <c r="L1068" i="1"/>
  <c r="N678" i="1"/>
  <c r="I1061" i="1"/>
  <c r="U139" i="1"/>
  <c r="R442" i="1"/>
  <c r="S442" i="1" s="1"/>
  <c r="U442" i="1"/>
  <c r="R139" i="1"/>
  <c r="S139" i="1" s="1"/>
  <c r="H23" i="7"/>
  <c r="J23" i="7" s="1"/>
  <c r="G6" i="7" s="1"/>
  <c r="G8" i="7" s="1"/>
  <c r="G17" i="7" s="1"/>
  <c r="A287" i="4"/>
  <c r="A299" i="4"/>
  <c r="Q981" i="1"/>
  <c r="R981" i="1"/>
  <c r="S981" i="1" s="1"/>
  <c r="Q974" i="1"/>
  <c r="R974" i="1"/>
  <c r="S974" i="1" s="1"/>
  <c r="Q972" i="1"/>
  <c r="R972" i="1"/>
  <c r="S972" i="1" s="1"/>
  <c r="Q961" i="1"/>
  <c r="R961" i="1"/>
  <c r="S961" i="1" s="1"/>
  <c r="Q959" i="1"/>
  <c r="R959" i="1"/>
  <c r="S959" i="1" s="1"/>
  <c r="Q971" i="1"/>
  <c r="R971" i="1"/>
  <c r="S971" i="1" s="1"/>
  <c r="Q982" i="1"/>
  <c r="R982" i="1"/>
  <c r="S982" i="1" s="1"/>
  <c r="Q967" i="1"/>
  <c r="R967" i="1"/>
  <c r="S967" i="1" s="1"/>
  <c r="Q973" i="1"/>
  <c r="R973" i="1"/>
  <c r="S973" i="1" s="1"/>
  <c r="Q962" i="1"/>
  <c r="R962" i="1"/>
  <c r="S962" i="1" s="1"/>
  <c r="Q970" i="1"/>
  <c r="R970" i="1"/>
  <c r="S970" i="1" s="1"/>
  <c r="Q758" i="1"/>
  <c r="R758" i="1"/>
  <c r="S758" i="1" s="1"/>
  <c r="Q762" i="1"/>
  <c r="R762" i="1"/>
  <c r="S762" i="1" s="1"/>
  <c r="Q798" i="1"/>
  <c r="R798" i="1"/>
  <c r="S798" i="1" s="1"/>
  <c r="Q745" i="1"/>
  <c r="R745" i="1"/>
  <c r="S745" i="1" s="1"/>
  <c r="Q741" i="1"/>
  <c r="R741" i="1"/>
  <c r="S741" i="1" s="1"/>
  <c r="Q767" i="1"/>
  <c r="R767" i="1"/>
  <c r="S767" i="1" s="1"/>
  <c r="Q771" i="1"/>
  <c r="R771" i="1"/>
  <c r="S771" i="1" s="1"/>
  <c r="Q775" i="1"/>
  <c r="R775" i="1"/>
  <c r="S775" i="1" s="1"/>
  <c r="Q786" i="1"/>
  <c r="R786" i="1"/>
  <c r="S786" i="1" s="1"/>
  <c r="Q790" i="1"/>
  <c r="R790" i="1"/>
  <c r="S790" i="1" s="1"/>
  <c r="Q755" i="1"/>
  <c r="R755" i="1"/>
  <c r="S755" i="1" s="1"/>
  <c r="Q759" i="1"/>
  <c r="R759" i="1"/>
  <c r="S759" i="1" s="1"/>
  <c r="Q763" i="1"/>
  <c r="R763" i="1"/>
  <c r="S763" i="1" s="1"/>
  <c r="Q799" i="1"/>
  <c r="R799" i="1"/>
  <c r="S799" i="1" s="1"/>
  <c r="Q746" i="1"/>
  <c r="R746" i="1"/>
  <c r="S746" i="1" s="1"/>
  <c r="Q764" i="1"/>
  <c r="R764" i="1"/>
  <c r="S764" i="1" s="1"/>
  <c r="Q768" i="1"/>
  <c r="R768" i="1"/>
  <c r="S768" i="1" s="1"/>
  <c r="Q772" i="1"/>
  <c r="R772" i="1"/>
  <c r="S772" i="1" s="1"/>
  <c r="Q776" i="1"/>
  <c r="R776" i="1"/>
  <c r="S776" i="1" s="1"/>
  <c r="Q787" i="1"/>
  <c r="R787" i="1"/>
  <c r="S787" i="1" s="1"/>
  <c r="Q802" i="1"/>
  <c r="R802" i="1"/>
  <c r="S802" i="1" s="1"/>
  <c r="Q773" i="1"/>
  <c r="R773" i="1"/>
  <c r="S773" i="1" s="1"/>
  <c r="Q756" i="1"/>
  <c r="R756" i="1"/>
  <c r="S756" i="1" s="1"/>
  <c r="Q760" i="1"/>
  <c r="R760" i="1"/>
  <c r="S760" i="1" s="1"/>
  <c r="Q783" i="1"/>
  <c r="R783" i="1"/>
  <c r="S783" i="1" s="1"/>
  <c r="Q800" i="1"/>
  <c r="R800" i="1"/>
  <c r="S800" i="1" s="1"/>
  <c r="Q747" i="1"/>
  <c r="R747" i="1"/>
  <c r="S747" i="1" s="1"/>
  <c r="Q765" i="1"/>
  <c r="R765" i="1"/>
  <c r="S765" i="1" s="1"/>
  <c r="Q769" i="1"/>
  <c r="R769" i="1"/>
  <c r="S769" i="1" s="1"/>
  <c r="Q784" i="1"/>
  <c r="R784" i="1"/>
  <c r="S784" i="1" s="1"/>
  <c r="Q788" i="1"/>
  <c r="R788" i="1"/>
  <c r="S788" i="1" s="1"/>
  <c r="Q757" i="1"/>
  <c r="R757" i="1"/>
  <c r="S757" i="1" s="1"/>
  <c r="Q761" i="1"/>
  <c r="R761" i="1"/>
  <c r="S761" i="1" s="1"/>
  <c r="Q797" i="1"/>
  <c r="R797" i="1"/>
  <c r="S797" i="1" s="1"/>
  <c r="Q801" i="1"/>
  <c r="R801" i="1"/>
  <c r="S801" i="1" s="1"/>
  <c r="Q748" i="1"/>
  <c r="R748" i="1"/>
  <c r="S748" i="1" s="1"/>
  <c r="Q766" i="1"/>
  <c r="R766" i="1"/>
  <c r="S766" i="1" s="1"/>
  <c r="Q770" i="1"/>
  <c r="R770" i="1"/>
  <c r="S770" i="1" s="1"/>
  <c r="Q774" i="1"/>
  <c r="R774" i="1"/>
  <c r="S774" i="1" s="1"/>
  <c r="Q785" i="1"/>
  <c r="R785" i="1"/>
  <c r="S785" i="1" s="1"/>
  <c r="Q789" i="1"/>
  <c r="R789" i="1"/>
  <c r="S789" i="1" s="1"/>
  <c r="R31" i="1"/>
  <c r="S31" i="1" s="1"/>
  <c r="Q31" i="1"/>
  <c r="R121" i="1"/>
  <c r="S121" i="1" s="1"/>
  <c r="Q121" i="1"/>
  <c r="Q125" i="1"/>
  <c r="R125" i="1"/>
  <c r="S125" i="1" s="1"/>
  <c r="R129" i="1"/>
  <c r="S129" i="1" s="1"/>
  <c r="Q129" i="1"/>
  <c r="R133" i="1"/>
  <c r="S133" i="1" s="1"/>
  <c r="Q133" i="1"/>
  <c r="R307" i="1"/>
  <c r="S307" i="1" s="1"/>
  <c r="Q307" i="1"/>
  <c r="Q311" i="1"/>
  <c r="R311" i="1"/>
  <c r="S311" i="1" s="1"/>
  <c r="R315" i="1"/>
  <c r="S315" i="1" s="1"/>
  <c r="Q315" i="1"/>
  <c r="R319" i="1"/>
  <c r="S319" i="1" s="1"/>
  <c r="Q319" i="1"/>
  <c r="R346" i="1"/>
  <c r="S346" i="1" s="1"/>
  <c r="Q346" i="1"/>
  <c r="Q378" i="1"/>
  <c r="R378" i="1"/>
  <c r="S378" i="1" s="1"/>
  <c r="R384" i="1"/>
  <c r="S384" i="1" s="1"/>
  <c r="Q384" i="1"/>
  <c r="Q414" i="1"/>
  <c r="R414" i="1"/>
  <c r="S414" i="1" s="1"/>
  <c r="R417" i="1"/>
  <c r="S417" i="1" s="1"/>
  <c r="Q417" i="1"/>
  <c r="R421" i="1"/>
  <c r="S421" i="1" s="1"/>
  <c r="Q421" i="1"/>
  <c r="R425" i="1"/>
  <c r="S425" i="1" s="1"/>
  <c r="Q425" i="1"/>
  <c r="Q429" i="1"/>
  <c r="R429" i="1"/>
  <c r="S429" i="1" s="1"/>
  <c r="R433" i="1"/>
  <c r="S433" i="1" s="1"/>
  <c r="Q433" i="1"/>
  <c r="R437" i="1"/>
  <c r="S437" i="1" s="1"/>
  <c r="Q437" i="1"/>
  <c r="R441" i="1"/>
  <c r="S441" i="1" s="1"/>
  <c r="Q441" i="1"/>
  <c r="R659" i="1"/>
  <c r="S659" i="1" s="1"/>
  <c r="Q659" i="1"/>
  <c r="R28" i="1"/>
  <c r="S28" i="1" s="1"/>
  <c r="Q28" i="1"/>
  <c r="R32" i="1"/>
  <c r="S32" i="1" s="1"/>
  <c r="Q32" i="1"/>
  <c r="Q36" i="1"/>
  <c r="R36" i="1"/>
  <c r="S36" i="1" s="1"/>
  <c r="R118" i="1"/>
  <c r="S118" i="1" s="1"/>
  <c r="Q118" i="1"/>
  <c r="R122" i="1"/>
  <c r="S122" i="1" s="1"/>
  <c r="Q122" i="1"/>
  <c r="Q126" i="1"/>
  <c r="R126" i="1"/>
  <c r="S126" i="1" s="1"/>
  <c r="R130" i="1"/>
  <c r="S130" i="1" s="1"/>
  <c r="Q130" i="1"/>
  <c r="R134" i="1"/>
  <c r="S134" i="1" s="1"/>
  <c r="Q134" i="1"/>
  <c r="R308" i="1"/>
  <c r="S308" i="1" s="1"/>
  <c r="Q308" i="1"/>
  <c r="Q312" i="1"/>
  <c r="R312" i="1"/>
  <c r="S312" i="1" s="1"/>
  <c r="R316" i="1"/>
  <c r="S316" i="1" s="1"/>
  <c r="Q316" i="1"/>
  <c r="R320" i="1"/>
  <c r="S320" i="1" s="1"/>
  <c r="Q320" i="1"/>
  <c r="R347" i="1"/>
  <c r="S347" i="1" s="1"/>
  <c r="Q347" i="1"/>
  <c r="R409" i="1"/>
  <c r="S409" i="1" s="1"/>
  <c r="Q409" i="1"/>
  <c r="R411" i="1"/>
  <c r="S411" i="1" s="1"/>
  <c r="Q411" i="1"/>
  <c r="Q415" i="1"/>
  <c r="R415" i="1"/>
  <c r="S415" i="1" s="1"/>
  <c r="R418" i="1"/>
  <c r="S418" i="1" s="1"/>
  <c r="Q418" i="1"/>
  <c r="R422" i="1"/>
  <c r="S422" i="1" s="1"/>
  <c r="Q422" i="1"/>
  <c r="R426" i="1"/>
  <c r="S426" i="1" s="1"/>
  <c r="Q426" i="1"/>
  <c r="Q430" i="1"/>
  <c r="R430" i="1"/>
  <c r="S430" i="1" s="1"/>
  <c r="R434" i="1"/>
  <c r="S434" i="1" s="1"/>
  <c r="Q434" i="1"/>
  <c r="R438" i="1"/>
  <c r="S438" i="1" s="1"/>
  <c r="Q438" i="1"/>
  <c r="R625" i="1"/>
  <c r="S625" i="1" s="1"/>
  <c r="Q625" i="1"/>
  <c r="Q37" i="1"/>
  <c r="R37" i="1"/>
  <c r="S37" i="1" s="1"/>
  <c r="R27" i="1"/>
  <c r="S27" i="1" s="1"/>
  <c r="Q27" i="1"/>
  <c r="Q35" i="1"/>
  <c r="R35" i="1"/>
  <c r="S35" i="1" s="1"/>
  <c r="R117" i="1"/>
  <c r="S117" i="1" s="1"/>
  <c r="Q117" i="1"/>
  <c r="R29" i="1"/>
  <c r="S29" i="1" s="1"/>
  <c r="Q29" i="1"/>
  <c r="R33" i="1"/>
  <c r="S33" i="1" s="1"/>
  <c r="Q33" i="1"/>
  <c r="R119" i="1"/>
  <c r="S119" i="1" s="1"/>
  <c r="Q119" i="1"/>
  <c r="R123" i="1"/>
  <c r="S123" i="1" s="1"/>
  <c r="Q123" i="1"/>
  <c r="Q127" i="1"/>
  <c r="R127" i="1"/>
  <c r="S127" i="1" s="1"/>
  <c r="R131" i="1"/>
  <c r="S131" i="1" s="1"/>
  <c r="Q131" i="1"/>
  <c r="R135" i="1"/>
  <c r="S135" i="1" s="1"/>
  <c r="Q135" i="1"/>
  <c r="R309" i="1"/>
  <c r="S309" i="1" s="1"/>
  <c r="Q309" i="1"/>
  <c r="Q313" i="1"/>
  <c r="R313" i="1"/>
  <c r="S313" i="1" s="1"/>
  <c r="R317" i="1"/>
  <c r="S317" i="1" s="1"/>
  <c r="Q317" i="1"/>
  <c r="R321" i="1"/>
  <c r="S321" i="1" s="1"/>
  <c r="Q321" i="1"/>
  <c r="R348" i="1"/>
  <c r="S348" i="1" s="1"/>
  <c r="Q348" i="1"/>
  <c r="Q379" i="1"/>
  <c r="R379" i="1"/>
  <c r="S379" i="1" s="1"/>
  <c r="R410" i="1"/>
  <c r="S410" i="1" s="1"/>
  <c r="Q410" i="1"/>
  <c r="R412" i="1"/>
  <c r="S412" i="1" s="1"/>
  <c r="Q412" i="1"/>
  <c r="R419" i="1"/>
  <c r="S419" i="1" s="1"/>
  <c r="Q419" i="1"/>
  <c r="R423" i="1"/>
  <c r="S423" i="1" s="1"/>
  <c r="Q423" i="1"/>
  <c r="R427" i="1"/>
  <c r="S427" i="1" s="1"/>
  <c r="Q427" i="1"/>
  <c r="Q431" i="1"/>
  <c r="R431" i="1"/>
  <c r="S431" i="1" s="1"/>
  <c r="R435" i="1"/>
  <c r="S435" i="1" s="1"/>
  <c r="Q435" i="1"/>
  <c r="R439" i="1"/>
  <c r="S439" i="1" s="1"/>
  <c r="Q439" i="1"/>
  <c r="R628" i="1"/>
  <c r="S628" i="1" s="1"/>
  <c r="Q628" i="1"/>
  <c r="R30" i="1"/>
  <c r="S30" i="1" s="1"/>
  <c r="Q30" i="1"/>
  <c r="R34" i="1"/>
  <c r="S34" i="1" s="1"/>
  <c r="Q34" i="1"/>
  <c r="Q38" i="1"/>
  <c r="R38" i="1"/>
  <c r="S38" i="1" s="1"/>
  <c r="R116" i="1"/>
  <c r="S116" i="1" s="1"/>
  <c r="Q116" i="1"/>
  <c r="R120" i="1"/>
  <c r="S120" i="1" s="1"/>
  <c r="Q120" i="1"/>
  <c r="R124" i="1"/>
  <c r="S124" i="1" s="1"/>
  <c r="Q124" i="1"/>
  <c r="Q128" i="1"/>
  <c r="R128" i="1"/>
  <c r="S128" i="1" s="1"/>
  <c r="R132" i="1"/>
  <c r="S132" i="1" s="1"/>
  <c r="Q132" i="1"/>
  <c r="R136" i="1"/>
  <c r="S136" i="1" s="1"/>
  <c r="Q136" i="1"/>
  <c r="R310" i="1"/>
  <c r="S310" i="1" s="1"/>
  <c r="Q310" i="1"/>
  <c r="Q314" i="1"/>
  <c r="R314" i="1"/>
  <c r="S314" i="1" s="1"/>
  <c r="R318" i="1"/>
  <c r="S318" i="1" s="1"/>
  <c r="Q318" i="1"/>
  <c r="R322" i="1"/>
  <c r="S322" i="1" s="1"/>
  <c r="Q322" i="1"/>
  <c r="R349" i="1"/>
  <c r="S349" i="1" s="1"/>
  <c r="Q349" i="1"/>
  <c r="Q380" i="1"/>
  <c r="R380" i="1"/>
  <c r="S380" i="1" s="1"/>
  <c r="R413" i="1"/>
  <c r="S413" i="1" s="1"/>
  <c r="Q413" i="1"/>
  <c r="Q416" i="1"/>
  <c r="R416" i="1"/>
  <c r="S416" i="1" s="1"/>
  <c r="R420" i="1"/>
  <c r="S420" i="1" s="1"/>
  <c r="Q420" i="1"/>
  <c r="R424" i="1"/>
  <c r="S424" i="1" s="1"/>
  <c r="Q424" i="1"/>
  <c r="R428" i="1"/>
  <c r="S428" i="1" s="1"/>
  <c r="Q428" i="1"/>
  <c r="Q432" i="1"/>
  <c r="R432" i="1"/>
  <c r="S432" i="1" s="1"/>
  <c r="R436" i="1"/>
  <c r="S436" i="1" s="1"/>
  <c r="Q436" i="1"/>
  <c r="R440" i="1"/>
  <c r="S440" i="1" s="1"/>
  <c r="Q440" i="1"/>
  <c r="R629" i="1"/>
  <c r="S629" i="1" s="1"/>
  <c r="Q629" i="1"/>
  <c r="U678" i="1" l="1"/>
  <c r="H25" i="7"/>
  <c r="H34" i="7" s="1"/>
  <c r="A288" i="4"/>
  <c r="A289" i="4" s="1"/>
  <c r="A290" i="4" s="1"/>
  <c r="A291" i="4" s="1"/>
  <c r="A292" i="4" s="1"/>
  <c r="A300" i="4"/>
  <c r="A301" i="4" s="1"/>
  <c r="A302" i="4" s="1"/>
  <c r="A303" i="4" s="1"/>
  <c r="A304" i="4" s="1"/>
  <c r="A305" i="4" s="1"/>
  <c r="A306" i="4" s="1"/>
  <c r="A307" i="4" s="1"/>
  <c r="J25" i="7"/>
  <c r="Q717" i="1"/>
  <c r="R717" i="1"/>
  <c r="S717" i="1" s="1"/>
  <c r="R718" i="1"/>
  <c r="S718" i="1" s="1"/>
  <c r="Q718" i="1"/>
  <c r="R714" i="1"/>
  <c r="S714" i="1" s="1"/>
  <c r="Q714" i="1"/>
  <c r="R704" i="1"/>
  <c r="S704" i="1" s="1"/>
  <c r="Q704" i="1"/>
  <c r="Q713" i="1"/>
  <c r="R713" i="1"/>
  <c r="S713" i="1" s="1"/>
  <c r="R702" i="1"/>
  <c r="S702" i="1" s="1"/>
  <c r="Q702" i="1"/>
  <c r="Q719" i="1"/>
  <c r="R719" i="1"/>
  <c r="S719" i="1" s="1"/>
  <c r="R716" i="1"/>
  <c r="S716" i="1" s="1"/>
  <c r="Q716" i="1"/>
  <c r="Q703" i="1"/>
  <c r="R703" i="1"/>
  <c r="S703" i="1" s="1"/>
  <c r="I1086" i="1"/>
  <c r="Q1080" i="1"/>
  <c r="G1058" i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O1052" i="1"/>
  <c r="Q1019" i="1"/>
  <c r="Q1018" i="1"/>
  <c r="R1017" i="1"/>
  <c r="Q1016" i="1"/>
  <c r="Q567" i="1"/>
  <c r="Q1015" i="1"/>
  <c r="Q991" i="1"/>
  <c r="Q990" i="1"/>
  <c r="Q989" i="1"/>
  <c r="Q1013" i="1"/>
  <c r="Q1012" i="1"/>
  <c r="Q569" i="1"/>
  <c r="Q568" i="1"/>
  <c r="Q988" i="1"/>
  <c r="Q986" i="1"/>
  <c r="Q893" i="1"/>
  <c r="M803" i="1"/>
  <c r="K803" i="1"/>
  <c r="J803" i="1"/>
  <c r="Q740" i="1"/>
  <c r="Q739" i="1"/>
  <c r="Q744" i="1"/>
  <c r="M736" i="1"/>
  <c r="L736" i="1"/>
  <c r="K736" i="1"/>
  <c r="J1048" i="1"/>
  <c r="L1045" i="1"/>
  <c r="K1045" i="1"/>
  <c r="M1045" i="1"/>
  <c r="R85" i="1"/>
  <c r="S85" i="1" s="1"/>
  <c r="J34" i="7" l="1"/>
  <c r="H38" i="7"/>
  <c r="M1049" i="1"/>
  <c r="M808" i="1"/>
  <c r="M1050" i="1" s="1"/>
  <c r="J1049" i="1"/>
  <c r="J808" i="1"/>
  <c r="J1050" i="1" s="1"/>
  <c r="K1049" i="1"/>
  <c r="K808" i="1"/>
  <c r="L1048" i="1"/>
  <c r="M1048" i="1"/>
  <c r="M956" i="1"/>
  <c r="M1051" i="1" s="1"/>
  <c r="K1048" i="1"/>
  <c r="L803" i="1"/>
  <c r="J956" i="1"/>
  <c r="G1079" i="1"/>
  <c r="R1023" i="1"/>
  <c r="S1023" i="1" s="1"/>
  <c r="Q1023" i="1"/>
  <c r="R1022" i="1"/>
  <c r="S1022" i="1" s="1"/>
  <c r="Q1022" i="1"/>
  <c r="Q958" i="1"/>
  <c r="R958" i="1"/>
  <c r="S958" i="1" s="1"/>
  <c r="Q965" i="1"/>
  <c r="R965" i="1"/>
  <c r="S965" i="1" s="1"/>
  <c r="Q966" i="1"/>
  <c r="R966" i="1"/>
  <c r="S966" i="1" s="1"/>
  <c r="Q960" i="1"/>
  <c r="R960" i="1"/>
  <c r="S960" i="1" s="1"/>
  <c r="R712" i="1"/>
  <c r="S712" i="1" s="1"/>
  <c r="Q712" i="1"/>
  <c r="R86" i="1"/>
  <c r="S86" i="1" s="1"/>
  <c r="Q86" i="1"/>
  <c r="R89" i="1"/>
  <c r="S89" i="1" s="1"/>
  <c r="Q89" i="1"/>
  <c r="R304" i="1"/>
  <c r="S304" i="1" s="1"/>
  <c r="Q304" i="1"/>
  <c r="Q52" i="1"/>
  <c r="R52" i="1"/>
  <c r="S52" i="1" s="1"/>
  <c r="R56" i="1"/>
  <c r="S56" i="1" s="1"/>
  <c r="Q56" i="1"/>
  <c r="R11" i="1"/>
  <c r="S11" i="1" s="1"/>
  <c r="Q11" i="1"/>
  <c r="R90" i="1"/>
  <c r="S90" i="1" s="1"/>
  <c r="Q90" i="1"/>
  <c r="Q400" i="1"/>
  <c r="R400" i="1"/>
  <c r="S400" i="1" s="1"/>
  <c r="R404" i="1"/>
  <c r="S404" i="1" s="1"/>
  <c r="Q404" i="1"/>
  <c r="R618" i="1"/>
  <c r="S618" i="1" s="1"/>
  <c r="Q618" i="1"/>
  <c r="Q627" i="1"/>
  <c r="R627" i="1"/>
  <c r="S627" i="1" s="1"/>
  <c r="R10" i="1"/>
  <c r="S10" i="1" s="1"/>
  <c r="Q10" i="1"/>
  <c r="Q399" i="1"/>
  <c r="R399" i="1"/>
  <c r="S399" i="1" s="1"/>
  <c r="R403" i="1"/>
  <c r="S403" i="1" s="1"/>
  <c r="Q403" i="1"/>
  <c r="R93" i="1"/>
  <c r="S93" i="1" s="1"/>
  <c r="Q93" i="1"/>
  <c r="Q95" i="1"/>
  <c r="R95" i="1"/>
  <c r="S95" i="1" s="1"/>
  <c r="R62" i="1"/>
  <c r="S62" i="1" s="1"/>
  <c r="Q62" i="1"/>
  <c r="Q66" i="1"/>
  <c r="R66" i="1"/>
  <c r="S66" i="1" s="1"/>
  <c r="Q96" i="1"/>
  <c r="R96" i="1"/>
  <c r="S96" i="1" s="1"/>
  <c r="R100" i="1"/>
  <c r="S100" i="1" s="1"/>
  <c r="Q100" i="1"/>
  <c r="R104" i="1"/>
  <c r="S104" i="1" s="1"/>
  <c r="Q104" i="1"/>
  <c r="Q108" i="1"/>
  <c r="R108" i="1"/>
  <c r="S108" i="1" s="1"/>
  <c r="R112" i="1"/>
  <c r="S112" i="1" s="1"/>
  <c r="Q112" i="1"/>
  <c r="R376" i="1"/>
  <c r="S376" i="1" s="1"/>
  <c r="Q376" i="1"/>
  <c r="Q641" i="1"/>
  <c r="R641" i="1"/>
  <c r="S641" i="1" s="1"/>
  <c r="R645" i="1"/>
  <c r="S645" i="1" s="1"/>
  <c r="Q645" i="1"/>
  <c r="R649" i="1"/>
  <c r="S649" i="1" s="1"/>
  <c r="Q649" i="1"/>
  <c r="Q653" i="1"/>
  <c r="R653" i="1"/>
  <c r="S653" i="1" s="1"/>
  <c r="R657" i="1"/>
  <c r="S657" i="1" s="1"/>
  <c r="Q657" i="1"/>
  <c r="R305" i="1"/>
  <c r="S305" i="1" s="1"/>
  <c r="Q305" i="1"/>
  <c r="Q638" i="1"/>
  <c r="R638" i="1"/>
  <c r="S638" i="1" s="1"/>
  <c r="R63" i="1"/>
  <c r="S63" i="1" s="1"/>
  <c r="Q63" i="1"/>
  <c r="R67" i="1"/>
  <c r="S67" i="1" s="1"/>
  <c r="Q67" i="1"/>
  <c r="Q97" i="1"/>
  <c r="R97" i="1"/>
  <c r="S97" i="1" s="1"/>
  <c r="Q101" i="1"/>
  <c r="R101" i="1"/>
  <c r="S101" i="1" s="1"/>
  <c r="R105" i="1"/>
  <c r="S105" i="1" s="1"/>
  <c r="Q105" i="1"/>
  <c r="R109" i="1"/>
  <c r="S109" i="1" s="1"/>
  <c r="Q109" i="1"/>
  <c r="R113" i="1"/>
  <c r="S113" i="1" s="1"/>
  <c r="Q113" i="1"/>
  <c r="R377" i="1"/>
  <c r="S377" i="1" s="1"/>
  <c r="Q377" i="1"/>
  <c r="Q642" i="1"/>
  <c r="R642" i="1"/>
  <c r="S642" i="1" s="1"/>
  <c r="Q646" i="1"/>
  <c r="R646" i="1"/>
  <c r="S646" i="1" s="1"/>
  <c r="R650" i="1"/>
  <c r="S650" i="1" s="1"/>
  <c r="Q650" i="1"/>
  <c r="R654" i="1"/>
  <c r="S654" i="1" s="1"/>
  <c r="Q654" i="1"/>
  <c r="Q658" i="1"/>
  <c r="R658" i="1"/>
  <c r="S658" i="1" s="1"/>
  <c r="Q87" i="1"/>
  <c r="R87" i="1"/>
  <c r="S87" i="1" s="1"/>
  <c r="R303" i="1"/>
  <c r="S303" i="1" s="1"/>
  <c r="Q303" i="1"/>
  <c r="R345" i="1"/>
  <c r="S345" i="1" s="1"/>
  <c r="Q345" i="1"/>
  <c r="Q53" i="1"/>
  <c r="R53" i="1"/>
  <c r="S53" i="1" s="1"/>
  <c r="Q57" i="1"/>
  <c r="R57" i="1"/>
  <c r="S57" i="1" s="1"/>
  <c r="R91" i="1"/>
  <c r="S91" i="1" s="1"/>
  <c r="Q91" i="1"/>
  <c r="Q401" i="1"/>
  <c r="R401" i="1"/>
  <c r="S401" i="1" s="1"/>
  <c r="Q405" i="1"/>
  <c r="R405" i="1"/>
  <c r="S405" i="1" s="1"/>
  <c r="R94" i="1"/>
  <c r="S94" i="1" s="1"/>
  <c r="Q94" i="1"/>
  <c r="R306" i="1"/>
  <c r="S306" i="1" s="1"/>
  <c r="Q306" i="1"/>
  <c r="Q60" i="1"/>
  <c r="R60" i="1"/>
  <c r="S60" i="1" s="1"/>
  <c r="R64" i="1"/>
  <c r="S64" i="1" s="1"/>
  <c r="Q64" i="1"/>
  <c r="R68" i="1"/>
  <c r="S68" i="1" s="1"/>
  <c r="Q68" i="1"/>
  <c r="Q98" i="1"/>
  <c r="R98" i="1"/>
  <c r="S98" i="1" s="1"/>
  <c r="Q102" i="1"/>
  <c r="R102" i="1"/>
  <c r="S102" i="1" s="1"/>
  <c r="R106" i="1"/>
  <c r="S106" i="1" s="1"/>
  <c r="Q106" i="1"/>
  <c r="R110" i="1"/>
  <c r="S110" i="1" s="1"/>
  <c r="Q110" i="1"/>
  <c r="R114" i="1"/>
  <c r="S114" i="1" s="1"/>
  <c r="Q114" i="1"/>
  <c r="R639" i="1"/>
  <c r="S639" i="1" s="1"/>
  <c r="Q639" i="1"/>
  <c r="Q643" i="1"/>
  <c r="R643" i="1"/>
  <c r="S643" i="1" s="1"/>
  <c r="Q647" i="1"/>
  <c r="R647" i="1"/>
  <c r="S647" i="1" s="1"/>
  <c r="R651" i="1"/>
  <c r="S651" i="1" s="1"/>
  <c r="Q651" i="1"/>
  <c r="R655" i="1"/>
  <c r="S655" i="1" s="1"/>
  <c r="Q655" i="1"/>
  <c r="Q408" i="1"/>
  <c r="R408" i="1"/>
  <c r="S408" i="1" s="1"/>
  <c r="R26" i="1"/>
  <c r="Q26" i="1"/>
  <c r="R55" i="1"/>
  <c r="S55" i="1" s="1"/>
  <c r="Q55" i="1"/>
  <c r="R59" i="1"/>
  <c r="S59" i="1" s="1"/>
  <c r="Q59" i="1"/>
  <c r="R637" i="1"/>
  <c r="S637" i="1" s="1"/>
  <c r="Q637" i="1"/>
  <c r="R88" i="1"/>
  <c r="S88" i="1" s="1"/>
  <c r="Q88" i="1"/>
  <c r="R626" i="1"/>
  <c r="S626" i="1" s="1"/>
  <c r="Q626" i="1"/>
  <c r="R54" i="1"/>
  <c r="S54" i="1" s="1"/>
  <c r="Q54" i="1"/>
  <c r="R9" i="1"/>
  <c r="S9" i="1" s="1"/>
  <c r="Q9" i="1"/>
  <c r="Q58" i="1"/>
  <c r="R58" i="1"/>
  <c r="S58" i="1" s="1"/>
  <c r="R92" i="1"/>
  <c r="S92" i="1" s="1"/>
  <c r="Q92" i="1"/>
  <c r="R402" i="1"/>
  <c r="S402" i="1" s="1"/>
  <c r="Q402" i="1"/>
  <c r="Q406" i="1"/>
  <c r="R406" i="1"/>
  <c r="S406" i="1" s="1"/>
  <c r="R407" i="1"/>
  <c r="S407" i="1" s="1"/>
  <c r="Q407" i="1"/>
  <c r="R375" i="1"/>
  <c r="S375" i="1" s="1"/>
  <c r="Q375" i="1"/>
  <c r="Q61" i="1"/>
  <c r="R61" i="1"/>
  <c r="S61" i="1" s="1"/>
  <c r="Q65" i="1"/>
  <c r="R65" i="1"/>
  <c r="S65" i="1" s="1"/>
  <c r="R69" i="1"/>
  <c r="S69" i="1" s="1"/>
  <c r="Q69" i="1"/>
  <c r="R99" i="1"/>
  <c r="S99" i="1" s="1"/>
  <c r="Q99" i="1"/>
  <c r="Q103" i="1"/>
  <c r="R103" i="1"/>
  <c r="S103" i="1" s="1"/>
  <c r="Q107" i="1"/>
  <c r="R107" i="1"/>
  <c r="S107" i="1" s="1"/>
  <c r="R111" i="1"/>
  <c r="S111" i="1" s="1"/>
  <c r="Q111" i="1"/>
  <c r="Q115" i="1"/>
  <c r="R115" i="1"/>
  <c r="S115" i="1" s="1"/>
  <c r="R640" i="1"/>
  <c r="S640" i="1" s="1"/>
  <c r="Q640" i="1"/>
  <c r="R644" i="1"/>
  <c r="S644" i="1" s="1"/>
  <c r="Q644" i="1"/>
  <c r="Q648" i="1"/>
  <c r="R648" i="1"/>
  <c r="S648" i="1" s="1"/>
  <c r="R652" i="1"/>
  <c r="S652" i="1" s="1"/>
  <c r="Q652" i="1"/>
  <c r="R656" i="1"/>
  <c r="S656" i="1" s="1"/>
  <c r="Q656" i="1"/>
  <c r="Q1017" i="1"/>
  <c r="R1010" i="1"/>
  <c r="S1010" i="1" s="1"/>
  <c r="R1015" i="1"/>
  <c r="S1015" i="1" s="1"/>
  <c r="R988" i="1"/>
  <c r="S988" i="1" s="1"/>
  <c r="R740" i="1"/>
  <c r="S740" i="1" s="1"/>
  <c r="P1065" i="1"/>
  <c r="R1065" i="1" s="1"/>
  <c r="Q1010" i="1"/>
  <c r="N736" i="1"/>
  <c r="R1012" i="1"/>
  <c r="S1012" i="1" s="1"/>
  <c r="Q85" i="1"/>
  <c r="R754" i="1"/>
  <c r="S754" i="1" s="1"/>
  <c r="R1011" i="1"/>
  <c r="S1011" i="1" s="1"/>
  <c r="P1067" i="1"/>
  <c r="R1067" i="1" s="1"/>
  <c r="R568" i="1"/>
  <c r="S568" i="1" s="1"/>
  <c r="Q1011" i="1"/>
  <c r="P1079" i="1"/>
  <c r="R1079" i="1" s="1"/>
  <c r="Q701" i="1"/>
  <c r="R701" i="1"/>
  <c r="S701" i="1" s="1"/>
  <c r="P1072" i="1"/>
  <c r="R1072" i="1" s="1"/>
  <c r="R739" i="1"/>
  <c r="S739" i="1" s="1"/>
  <c r="R1018" i="1"/>
  <c r="S1018" i="1" s="1"/>
  <c r="R744" i="1"/>
  <c r="Q754" i="1"/>
  <c r="N803" i="1"/>
  <c r="N808" i="1" s="1"/>
  <c r="P1078" i="1"/>
  <c r="R1078" i="1" s="1"/>
  <c r="R986" i="1"/>
  <c r="S986" i="1" s="1"/>
  <c r="Q1014" i="1"/>
  <c r="R1014" i="1"/>
  <c r="S1014" i="1" s="1"/>
  <c r="R991" i="1"/>
  <c r="S991" i="1" s="1"/>
  <c r="R1016" i="1"/>
  <c r="S1016" i="1" s="1"/>
  <c r="P1073" i="1"/>
  <c r="R1073" i="1" s="1"/>
  <c r="J1045" i="1"/>
  <c r="N1045" i="1" s="1"/>
  <c r="P1075" i="1"/>
  <c r="R1075" i="1" s="1"/>
  <c r="R569" i="1"/>
  <c r="S569" i="1" s="1"/>
  <c r="R990" i="1"/>
  <c r="S990" i="1" s="1"/>
  <c r="R1013" i="1"/>
  <c r="S1013" i="1" s="1"/>
  <c r="R1019" i="1"/>
  <c r="S1019" i="1" s="1"/>
  <c r="S1017" i="1"/>
  <c r="R567" i="1"/>
  <c r="S567" i="1" s="1"/>
  <c r="R989" i="1"/>
  <c r="S989" i="1" s="1"/>
  <c r="K956" i="1" l="1"/>
  <c r="K1051" i="1" s="1"/>
  <c r="K1050" i="1"/>
  <c r="N1048" i="1"/>
  <c r="J984" i="1"/>
  <c r="J1047" i="1" s="1"/>
  <c r="M984" i="1"/>
  <c r="J1041" i="1"/>
  <c r="J1046" i="1" s="1"/>
  <c r="L1049" i="1"/>
  <c r="N1049" i="1" s="1"/>
  <c r="L808" i="1"/>
  <c r="L1050" i="1" s="1"/>
  <c r="K984" i="1"/>
  <c r="R678" i="1"/>
  <c r="R1045" i="1" s="1"/>
  <c r="S26" i="1"/>
  <c r="S678" i="1" s="1"/>
  <c r="S736" i="1" s="1"/>
  <c r="S1048" i="1" s="1"/>
  <c r="D12" i="2"/>
  <c r="P1060" i="1"/>
  <c r="R1060" i="1" s="1"/>
  <c r="P1062" i="1"/>
  <c r="R1062" i="1" s="1"/>
  <c r="L1080" i="1"/>
  <c r="T736" i="1"/>
  <c r="P1071" i="1"/>
  <c r="R1071" i="1" s="1"/>
  <c r="P1069" i="1"/>
  <c r="R1069" i="1" s="1"/>
  <c r="P1064" i="1"/>
  <c r="R1064" i="1" s="1"/>
  <c r="S744" i="1"/>
  <c r="M1080" i="1"/>
  <c r="P1063" i="1"/>
  <c r="R1063" i="1" s="1"/>
  <c r="R1058" i="1"/>
  <c r="T1045" i="1"/>
  <c r="U736" i="1"/>
  <c r="U1048" i="1" s="1"/>
  <c r="P1076" i="1"/>
  <c r="R1076" i="1" s="1"/>
  <c r="P1068" i="1"/>
  <c r="R1068" i="1" s="1"/>
  <c r="J1080" i="1"/>
  <c r="O1080" i="1"/>
  <c r="P1061" i="1"/>
  <c r="R1061" i="1" s="1"/>
  <c r="I1080" i="1"/>
  <c r="U1045" i="1"/>
  <c r="P1057" i="1"/>
  <c r="R1057" i="1" s="1"/>
  <c r="N956" i="1"/>
  <c r="N984" i="1" s="1"/>
  <c r="R893" i="1"/>
  <c r="F12" i="2" l="1"/>
  <c r="I18" i="5"/>
  <c r="J1052" i="1"/>
  <c r="S803" i="1"/>
  <c r="S1049" i="1" s="1"/>
  <c r="U803" i="1"/>
  <c r="U1049" i="1" s="1"/>
  <c r="F10" i="5" s="1"/>
  <c r="M1041" i="1"/>
  <c r="M1046" i="1" s="1"/>
  <c r="M1047" i="1"/>
  <c r="K1041" i="1"/>
  <c r="K1046" i="1" s="1"/>
  <c r="K1047" i="1"/>
  <c r="M1082" i="1"/>
  <c r="L956" i="1"/>
  <c r="T1048" i="1"/>
  <c r="T803" i="1"/>
  <c r="S808" i="1"/>
  <c r="R803" i="1"/>
  <c r="U808" i="1"/>
  <c r="N1041" i="1"/>
  <c r="R736" i="1"/>
  <c r="R1048" i="1" s="1"/>
  <c r="H17" i="2" s="1"/>
  <c r="I1082" i="1"/>
  <c r="D17" i="2"/>
  <c r="L1082" i="1"/>
  <c r="F9" i="5"/>
  <c r="H18" i="5"/>
  <c r="K13" i="3"/>
  <c r="H12" i="2"/>
  <c r="S1045" i="1"/>
  <c r="S893" i="1"/>
  <c r="S956" i="1" s="1"/>
  <c r="S1051" i="1" s="1"/>
  <c r="N1080" i="1"/>
  <c r="P1066" i="1"/>
  <c r="F17" i="2" l="1"/>
  <c r="J17" i="2"/>
  <c r="J12" i="2"/>
  <c r="K12" i="2" s="1"/>
  <c r="H20" i="5"/>
  <c r="E9" i="5"/>
  <c r="H9" i="5" s="1"/>
  <c r="K1052" i="1"/>
  <c r="K18" i="3"/>
  <c r="L18" i="3" s="1"/>
  <c r="I20" i="5"/>
  <c r="I9" i="5" s="1"/>
  <c r="U956" i="1"/>
  <c r="U1051" i="1" s="1"/>
  <c r="F12" i="5" s="1"/>
  <c r="D14" i="2"/>
  <c r="O1081" i="1"/>
  <c r="T1050" i="1"/>
  <c r="M1052" i="1"/>
  <c r="R1049" i="1"/>
  <c r="R808" i="1"/>
  <c r="R956" i="1" s="1"/>
  <c r="R1051" i="1" s="1"/>
  <c r="T1049" i="1"/>
  <c r="T808" i="1"/>
  <c r="T956" i="1" s="1"/>
  <c r="T1051" i="1" s="1"/>
  <c r="S984" i="1"/>
  <c r="S1047" i="1" s="1"/>
  <c r="L1051" i="1"/>
  <c r="N1051" i="1" s="1"/>
  <c r="L1041" i="1"/>
  <c r="L1046" i="1" s="1"/>
  <c r="L984" i="1"/>
  <c r="L1047" i="1" s="1"/>
  <c r="N1047" i="1" s="1"/>
  <c r="L13" i="3"/>
  <c r="J18" i="5"/>
  <c r="R1066" i="1"/>
  <c r="P1080" i="1"/>
  <c r="K17" i="2" l="1"/>
  <c r="F14" i="2"/>
  <c r="J9" i="5"/>
  <c r="J20" i="5"/>
  <c r="O1082" i="1"/>
  <c r="P1081" i="1"/>
  <c r="P1082" i="1" s="1"/>
  <c r="S1041" i="1"/>
  <c r="S1046" i="1" s="1"/>
  <c r="S1052" i="1" s="1"/>
  <c r="U984" i="1"/>
  <c r="D10" i="2"/>
  <c r="K1082" i="1"/>
  <c r="E12" i="5"/>
  <c r="H25" i="5"/>
  <c r="I25" i="5"/>
  <c r="I12" i="5" s="1"/>
  <c r="R984" i="1"/>
  <c r="R1047" i="1" s="1"/>
  <c r="E10" i="5"/>
  <c r="I22" i="5"/>
  <c r="I10" i="5" s="1"/>
  <c r="H22" i="5"/>
  <c r="L1052" i="1"/>
  <c r="N1046" i="1"/>
  <c r="N1082" i="1"/>
  <c r="K15" i="3"/>
  <c r="L15" i="3" s="1"/>
  <c r="H14" i="2"/>
  <c r="T984" i="1"/>
  <c r="T1047" i="1" s="1"/>
  <c r="R1080" i="1"/>
  <c r="R1081" i="1" s="1"/>
  <c r="F10" i="2" l="1"/>
  <c r="K10" i="2" s="1"/>
  <c r="J14" i="2"/>
  <c r="K14" i="2" s="1"/>
  <c r="U1047" i="1"/>
  <c r="U1041" i="1"/>
  <c r="U1046" i="1" s="1"/>
  <c r="D16" i="2"/>
  <c r="L11" i="3"/>
  <c r="H10" i="5"/>
  <c r="J10" i="5" s="1"/>
  <c r="J25" i="5"/>
  <c r="T1041" i="1"/>
  <c r="T1046" i="1" s="1"/>
  <c r="H12" i="5"/>
  <c r="J12" i="5" s="1"/>
  <c r="K17" i="3"/>
  <c r="H16" i="2"/>
  <c r="D11" i="2"/>
  <c r="D19" i="3"/>
  <c r="E29" i="5" s="1"/>
  <c r="J1082" i="1"/>
  <c r="N1052" i="1"/>
  <c r="J22" i="5"/>
  <c r="R1041" i="1"/>
  <c r="R1046" i="1" s="1"/>
  <c r="J16" i="2" l="1"/>
  <c r="F16" i="2"/>
  <c r="H19" i="5"/>
  <c r="I19" i="5"/>
  <c r="L17" i="3"/>
  <c r="U1052" i="1"/>
  <c r="F27" i="5"/>
  <c r="D15" i="2"/>
  <c r="F11" i="2"/>
  <c r="R1052" i="1"/>
  <c r="T1052" i="1"/>
  <c r="K16" i="2" l="1"/>
  <c r="F15" i="2"/>
  <c r="F18" i="2" s="1"/>
  <c r="I21" i="5"/>
  <c r="I8" i="5" s="1"/>
  <c r="J19" i="5"/>
  <c r="F19" i="3"/>
  <c r="F8" i="5"/>
  <c r="F13" i="5" s="1"/>
  <c r="D18" i="2"/>
  <c r="H21" i="5"/>
  <c r="E8" i="5"/>
  <c r="E27" i="5"/>
  <c r="E28" i="5" s="1"/>
  <c r="H15" i="2"/>
  <c r="K16" i="3"/>
  <c r="I19" i="3"/>
  <c r="L16" i="3" l="1"/>
  <c r="E13" i="5"/>
  <c r="J15" i="2"/>
  <c r="I13" i="5"/>
  <c r="I27" i="5"/>
  <c r="J21" i="5"/>
  <c r="H8" i="5"/>
  <c r="H13" i="5" s="1"/>
  <c r="H27" i="5"/>
  <c r="E30" i="5" l="1"/>
  <c r="F29" i="5"/>
  <c r="K15" i="2"/>
  <c r="F14" i="5"/>
  <c r="J27" i="5"/>
  <c r="J8" i="5"/>
  <c r="J13" i="5" s="1"/>
  <c r="C6" i="7" l="1"/>
  <c r="B959" i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739" i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681" i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811" i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87" i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593" i="1" l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5" i="1" s="1"/>
  <c r="B676" i="1" s="1"/>
  <c r="B677" i="1" s="1"/>
  <c r="B937" i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I15" i="7" l="1"/>
  <c r="I17" i="7" s="1"/>
  <c r="E10" i="7" l="1"/>
  <c r="F10" i="7" s="1"/>
  <c r="H10" i="7" s="1"/>
  <c r="F15" i="7" l="1"/>
  <c r="H15" i="7" l="1"/>
  <c r="J10" i="7"/>
  <c r="J15" i="7" l="1"/>
  <c r="K7" i="9"/>
  <c r="H12" i="3" s="1"/>
  <c r="R20" i="11"/>
  <c r="R226" i="11" s="1"/>
  <c r="K14" i="9" l="1"/>
  <c r="M7" i="9"/>
  <c r="H19" i="3" l="1"/>
  <c r="K12" i="3"/>
  <c r="H11" i="2"/>
  <c r="M14" i="9"/>
  <c r="Q7" i="9" l="1"/>
  <c r="J11" i="2"/>
  <c r="H18" i="2"/>
  <c r="L12" i="3"/>
  <c r="L19" i="3" s="1"/>
  <c r="K19" i="3"/>
  <c r="K11" i="2" l="1"/>
  <c r="K18" i="2" s="1"/>
  <c r="J18" i="2"/>
  <c r="K19" i="2" l="1"/>
  <c r="D6" i="7" s="1"/>
  <c r="E6" i="7" s="1"/>
  <c r="F6" i="7" s="1"/>
  <c r="H6" i="7" l="1"/>
  <c r="J6" i="7" s="1"/>
  <c r="F8" i="7"/>
  <c r="F17" i="7" s="1"/>
  <c r="H8" i="7" l="1"/>
  <c r="J8" i="7" s="1"/>
  <c r="H17" i="7" l="1"/>
  <c r="J17" i="7" l="1"/>
  <c r="H20" i="7"/>
  <c r="O17" i="3" l="1"/>
  <c r="P17" i="3" s="1"/>
  <c r="Q17" i="3" s="1"/>
  <c r="O15" i="3"/>
  <c r="P15" i="3" s="1"/>
  <c r="Q15" i="3" s="1"/>
  <c r="O12" i="3"/>
  <c r="O18" i="3"/>
  <c r="P18" i="3" s="1"/>
  <c r="Q18" i="3" s="1"/>
  <c r="P12" i="3" l="1"/>
  <c r="Q12" i="3" s="1"/>
  <c r="O14" i="3"/>
  <c r="P14" i="3" s="1"/>
  <c r="Q14" i="3" s="1"/>
  <c r="O13" i="3"/>
  <c r="P13" i="3" s="1"/>
  <c r="Q13" i="3" s="1"/>
  <c r="O16" i="3"/>
  <c r="P16" i="3" s="1"/>
  <c r="Q16" i="3" s="1"/>
  <c r="O11" i="3"/>
  <c r="O19" i="3" l="1"/>
  <c r="P11" i="3"/>
  <c r="Q11" i="3" s="1"/>
  <c r="Q19" i="3" s="1"/>
  <c r="R19" i="3" s="1"/>
  <c r="O21" i="3"/>
  <c r="O22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srinivas rao v</author>
  </authors>
  <commentList>
    <comment ref="J106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srinivas rao v:</t>
        </r>
        <r>
          <rPr>
            <sz val="9"/>
            <color indexed="81"/>
            <rFont val="Tahoma"/>
            <family val="2"/>
          </rPr>
          <t xml:space="preserve">
life tax paid
</t>
        </r>
      </text>
    </comment>
    <comment ref="H342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srinivas rao v:</t>
        </r>
        <r>
          <rPr>
            <sz val="9"/>
            <color indexed="81"/>
            <rFont val="Tahoma"/>
            <family val="2"/>
          </rPr>
          <t xml:space="preserve">
discount=22903984+2100000=25003
984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tc={F35D547B-8047-436B-BB6D-A8BE99460EAA}</author>
    <author>tc={DC711011-FBAF-442C-A2A0-D3F89150D94B}</author>
    <author>tc={407EE363-663D-4E5E-B2DF-12F563F3F82C}</author>
    <author>tc={4CB69569-0B38-4F74-8666-12ABCED482B4}</author>
    <author>tc={3F16A04D-F3B0-4F36-8689-8DC1E53BEC66}</author>
    <author>tc={D06DBA97-AA2C-4B41-AE52-44B0D200D83D}</author>
    <author>tc={70F5FCB0-ADE7-4B9A-BBA3-A3DFFE0BB5FA}</author>
    <author>tc={E121F6B4-4772-4A51-82D3-FBE54057B20A}</author>
    <author>tc={8B788512-EB40-4EB5-9178-4FE0F6AE6E67}</author>
    <author>tc={4645EB50-1071-4A07-AFA3-98091595AE03}</author>
    <author>Satya Krishna</author>
  </authors>
  <commentList>
    <comment ref="K266" authorId="0" shapeId="0" xr:uid="{F35D547B-8047-436B-BB6D-A8BE99460EA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67" authorId="1" shapeId="0" xr:uid="{DC711011-FBAF-442C-A2A0-D3F89150D94B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68" authorId="2" shapeId="0" xr:uid="{407EE363-663D-4E5E-B2DF-12F563F3F82C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69" authorId="3" shapeId="0" xr:uid="{4CB69569-0B38-4F74-8666-12ABCED482B4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70" authorId="4" shapeId="0" xr:uid="{3F16A04D-F3B0-4F36-8689-8DC1E53BEC66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71" authorId="5" shapeId="0" xr:uid="{D06DBA97-AA2C-4B41-AE52-44B0D200D83D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72" authorId="6" shapeId="0" xr:uid="{70F5FCB0-ADE7-4B9A-BBA3-A3DFFE0BB5F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73" authorId="7" shapeId="0" xr:uid="{E121F6B4-4772-4A51-82D3-FBE54057B20A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74" authorId="8" shapeId="0" xr:uid="{8B788512-EB40-4EB5-9178-4FE0F6AE6E67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K275" authorId="9" shapeId="0" xr:uid="{4645EB50-1071-4A07-AFA3-98091595AE03}">
      <text>
        <t>[Threaded comment]
Your version of Excel allows you to read this threaded comment; however, any edits to it will get removed if the file is opened in a newer version of Excel. Learn more: https://go.microsoft.com/fwlink/?linkid=870924
Comment:
    Discount Amount of Rs.75 lacs considered in Sulwade project for 10 tippers</t>
      </text>
    </comment>
    <comment ref="L492" authorId="10" shapeId="0" xr:uid="{ABD79A76-032C-442D-AC57-DCE85D068153}">
      <text>
        <r>
          <rPr>
            <b/>
            <sz val="9"/>
            <color indexed="81"/>
            <rFont val="Tahoma"/>
            <family val="2"/>
          </rPr>
          <t>Satya Krishna:</t>
        </r>
        <r>
          <rPr>
            <sz val="9"/>
            <color indexed="81"/>
            <rFont val="Tahoma"/>
            <family val="2"/>
          </rPr>
          <t xml:space="preserve">
includes GST</t>
        </r>
      </text>
    </comment>
    <comment ref="L493" authorId="10" shapeId="0" xr:uid="{6544EEA3-3511-4765-AC26-674D99C8B6F4}">
      <text>
        <r>
          <rPr>
            <b/>
            <sz val="9"/>
            <color indexed="81"/>
            <rFont val="Tahoma"/>
            <family val="2"/>
          </rPr>
          <t>Satya Krishna:</t>
        </r>
        <r>
          <rPr>
            <sz val="9"/>
            <color indexed="81"/>
            <rFont val="Tahoma"/>
            <family val="2"/>
          </rPr>
          <t xml:space="preserve">
Includes GST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K152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<sst xmlns="http://schemas.openxmlformats.org/spreadsheetml/2006/main" count="21103" uniqueCount="4254">
  <si>
    <t xml:space="preserve">BEKEM PROJECTS PVT LTD </t>
  </si>
  <si>
    <t>Addition During the FY 2021-22</t>
  </si>
  <si>
    <t>Construction Equipment</t>
  </si>
  <si>
    <t>Location of the Asset</t>
  </si>
  <si>
    <t xml:space="preserve"> Invoice No</t>
  </si>
  <si>
    <t>Date of Invoice</t>
  </si>
  <si>
    <t>Tally Date</t>
  </si>
  <si>
    <t>Name of the Supplier</t>
  </si>
  <si>
    <t>Put into use</t>
  </si>
  <si>
    <t>Gross Inv Value</t>
  </si>
  <si>
    <t>Registration charges &amp; Insurance</t>
  </si>
  <si>
    <t>TCS</t>
  </si>
  <si>
    <t>GST</t>
  </si>
  <si>
    <t>Capital Cost</t>
  </si>
  <si>
    <t>No of Days</t>
  </si>
  <si>
    <t>use full life/years</t>
  </si>
  <si>
    <t>Bal years/days</t>
  </si>
  <si>
    <t>Depreciation</t>
  </si>
  <si>
    <t>Pedasankarlapudi</t>
  </si>
  <si>
    <t>RVNL-SEW</t>
  </si>
  <si>
    <t>Shelgaon</t>
  </si>
  <si>
    <t>Sulwade</t>
  </si>
  <si>
    <t>Manufacturing</t>
  </si>
  <si>
    <t>kammam Devarapally-Package IV</t>
  </si>
  <si>
    <t xml:space="preserve"> </t>
  </si>
  <si>
    <t>kammam Devarapally-Package V</t>
  </si>
  <si>
    <t>head office</t>
  </si>
  <si>
    <t>Polavaram</t>
  </si>
  <si>
    <t>Sitammasagar</t>
  </si>
  <si>
    <t>Raipur-Visakapatnam</t>
  </si>
  <si>
    <t>Total Rs.</t>
  </si>
  <si>
    <t>EDP Equipment</t>
  </si>
  <si>
    <t>Furniture &amp; Fittings</t>
  </si>
  <si>
    <t>Land</t>
  </si>
  <si>
    <t>Temp.Buildings</t>
  </si>
  <si>
    <t>Brahmani Bridge</t>
  </si>
  <si>
    <t>Office Equipment</t>
  </si>
  <si>
    <t>Vehicles</t>
  </si>
  <si>
    <t>EDP equipment</t>
  </si>
  <si>
    <t>Temp Buildings</t>
  </si>
  <si>
    <t>Total</t>
  </si>
  <si>
    <t>Name of the Unit</t>
  </si>
  <si>
    <t>Construction Equiptment</t>
  </si>
  <si>
    <t>Vehicals</t>
  </si>
  <si>
    <t xml:space="preserve">Office Equiptment </t>
  </si>
  <si>
    <t>EDP Equiptment</t>
  </si>
  <si>
    <t>As per books</t>
  </si>
  <si>
    <t>Books</t>
  </si>
  <si>
    <t>total deduction</t>
  </si>
  <si>
    <t>sold</t>
  </si>
  <si>
    <t>discount</t>
  </si>
  <si>
    <t>Addition During the FY 2022-23</t>
  </si>
  <si>
    <t>After 30/10/22</t>
  </si>
  <si>
    <t>before 30/09/22</t>
  </si>
  <si>
    <t>NET Block  as at 31.03.2023</t>
  </si>
  <si>
    <t>Summary addition for the FY 2022-23</t>
  </si>
  <si>
    <t>Fuel Tanker 6 KL</t>
  </si>
  <si>
    <t>Batching Plant (KYB Conmat)</t>
  </si>
  <si>
    <t>Batching Plant (CP-45)</t>
  </si>
  <si>
    <t>Crushure plant</t>
  </si>
  <si>
    <t>Cutting Machine</t>
  </si>
  <si>
    <t>Hydrulic Excavator</t>
  </si>
  <si>
    <t>Soil Vibratory Compactor</t>
  </si>
  <si>
    <t>Vibrator (02 Nos)</t>
  </si>
  <si>
    <t>Water Tanker (Chasis)</t>
  </si>
  <si>
    <t xml:space="preserve">Water tanker Trailor </t>
  </si>
  <si>
    <t>Sintex Tank (02 Nos)</t>
  </si>
  <si>
    <t xml:space="preserve">Water Tanker (Chasis) </t>
  </si>
  <si>
    <t>Rock Breakers</t>
  </si>
  <si>
    <t>Rock Breaker</t>
  </si>
  <si>
    <t>Testing Inspection equipment</t>
  </si>
  <si>
    <t>Tipper</t>
  </si>
  <si>
    <t>Generator (62 kva)</t>
  </si>
  <si>
    <t>Generator (Portable)</t>
  </si>
  <si>
    <t>Salandi Barrage</t>
  </si>
  <si>
    <t>Kaiga</t>
  </si>
  <si>
    <t>MS/01</t>
  </si>
  <si>
    <t>82810297</t>
  </si>
  <si>
    <t>82810285</t>
  </si>
  <si>
    <t>1012120440</t>
  </si>
  <si>
    <t>Multiful</t>
  </si>
  <si>
    <t>ACC/0059</t>
  </si>
  <si>
    <t>M/Ex/22-23/6</t>
  </si>
  <si>
    <t>M/Ex/22-23/9</t>
  </si>
  <si>
    <t>M/Ex/22-23/10</t>
  </si>
  <si>
    <t>M/Ex/22-23/52</t>
  </si>
  <si>
    <t>M/Ex/22-23/53</t>
  </si>
  <si>
    <t>M/Ex/22-23/54</t>
  </si>
  <si>
    <t>AMS/13</t>
  </si>
  <si>
    <t>AMS/11</t>
  </si>
  <si>
    <t>AMS/12</t>
  </si>
  <si>
    <t>02</t>
  </si>
  <si>
    <t>MVI11662220000630 &amp; CN 595</t>
  </si>
  <si>
    <t>MVI11662220000631 &amp; CN 594</t>
  </si>
  <si>
    <t>01</t>
  </si>
  <si>
    <t xml:space="preserve">MV11662220000638 &amp; CN </t>
  </si>
  <si>
    <t>MV11662220000639</t>
  </si>
  <si>
    <t>MV11662220000640</t>
  </si>
  <si>
    <t>MV11662220000641</t>
  </si>
  <si>
    <t>MV11662220000642</t>
  </si>
  <si>
    <t>MV11662220000643</t>
  </si>
  <si>
    <t>MV11662220000644</t>
  </si>
  <si>
    <t>MV11662220000645</t>
  </si>
  <si>
    <t>GST/22-33/003</t>
  </si>
  <si>
    <t>GST/22-33/017</t>
  </si>
  <si>
    <t>S0800</t>
  </si>
  <si>
    <t>SKA0104/22-23</t>
  </si>
  <si>
    <t>08</t>
  </si>
  <si>
    <t>SKA007/22-23</t>
  </si>
  <si>
    <t>MV11662220000137</t>
  </si>
  <si>
    <t>MV11662220000138</t>
  </si>
  <si>
    <t>MV11662220000139</t>
  </si>
  <si>
    <t>MV11662220000140</t>
  </si>
  <si>
    <t>MV11662220000141</t>
  </si>
  <si>
    <t>MV11662220000149</t>
  </si>
  <si>
    <t>MV11662220000150</t>
  </si>
  <si>
    <t>MV11662220000153</t>
  </si>
  <si>
    <t>MV11662220000154</t>
  </si>
  <si>
    <t>MV11662220000155</t>
  </si>
  <si>
    <t>IJIPHD2223000018</t>
  </si>
  <si>
    <t>IJIPHD2223000019</t>
  </si>
  <si>
    <t>IJIPHD2223000020</t>
  </si>
  <si>
    <t>IJIPHD2223000021</t>
  </si>
  <si>
    <t>IJIPHD2223000022</t>
  </si>
  <si>
    <t>IJIPHD2223000023</t>
  </si>
  <si>
    <t>IJIPHD2223000024</t>
  </si>
  <si>
    <t>IJIPHD2223000025</t>
  </si>
  <si>
    <t>IJIPHD2223000026</t>
  </si>
  <si>
    <t>IJIPHD2223000027</t>
  </si>
  <si>
    <t>IJIPHD2223000028</t>
  </si>
  <si>
    <t>IJIPHD2223000029</t>
  </si>
  <si>
    <t>IJIPHD2223000030</t>
  </si>
  <si>
    <t>IJIPHD2223000031</t>
  </si>
  <si>
    <t>IJIPHD2223000032</t>
  </si>
  <si>
    <t>IJIPHD2223000448</t>
  </si>
  <si>
    <t>IJIPHD2223000449</t>
  </si>
  <si>
    <t>IJIPHD2223000450</t>
  </si>
  <si>
    <t>IJIPHD2223000451</t>
  </si>
  <si>
    <t>IJIPHD2223000798</t>
  </si>
  <si>
    <t>MV11662220000142</t>
  </si>
  <si>
    <t>MV11662220000143</t>
  </si>
  <si>
    <t>VM/22-23/0007</t>
  </si>
  <si>
    <t>VM/22-23/0008</t>
  </si>
  <si>
    <t>VM/22-23/0009</t>
  </si>
  <si>
    <t>VM/22-23/0010</t>
  </si>
  <si>
    <t>VM/22-23/0011</t>
  </si>
  <si>
    <t>VM/22-23/0012</t>
  </si>
  <si>
    <t>VM/22-23/0013</t>
  </si>
  <si>
    <t>VM/22-23/0014</t>
  </si>
  <si>
    <t>VM/22-23/0015</t>
  </si>
  <si>
    <t>VM/22-23/0016</t>
  </si>
  <si>
    <t>VM/22-23/0017</t>
  </si>
  <si>
    <t>VM/22-23/0018</t>
  </si>
  <si>
    <t>VM/22-23/0019</t>
  </si>
  <si>
    <t>VM/22-23/0020</t>
  </si>
  <si>
    <t>VM/22-23/0021</t>
  </si>
  <si>
    <t>VM/22-23/0022</t>
  </si>
  <si>
    <t>VM/22-23/0023</t>
  </si>
  <si>
    <t>VM/22-23/0024</t>
  </si>
  <si>
    <t>VM/22-23/0025</t>
  </si>
  <si>
    <t>VM/22-23/0026</t>
  </si>
  <si>
    <t>28</t>
  </si>
  <si>
    <t>86</t>
  </si>
  <si>
    <t>Anuradha Body Building Works</t>
  </si>
  <si>
    <t>HAECON Equipments</t>
  </si>
  <si>
    <t>Schwing Stetter India Pvt. Ltd.</t>
  </si>
  <si>
    <t xml:space="preserve">Sany Heavey Industry Inida Pvt. Ltd. </t>
  </si>
  <si>
    <t xml:space="preserve">Propel Industries Pvt. Ltd. </t>
  </si>
  <si>
    <t>Balaji Tools &amp; Equipments</t>
  </si>
  <si>
    <t>Agarwal Commercial Company</t>
  </si>
  <si>
    <t>Madhura Engineering Services Pvt. Ltd.</t>
  </si>
  <si>
    <t>Agarwal Machine tools</t>
  </si>
  <si>
    <t xml:space="preserve">Automotive Manufactureres Pvt. Ltd. </t>
  </si>
  <si>
    <t xml:space="preserve">Surya Industries </t>
  </si>
  <si>
    <t>Lakshmi Electricals &amp; Sanitory</t>
  </si>
  <si>
    <t>Sunray Enterprises</t>
  </si>
  <si>
    <t>Sai Krishna Agency</t>
  </si>
  <si>
    <t>APT Engineering Co.</t>
  </si>
  <si>
    <t>Jasper Industries Pvt. Ltd.</t>
  </si>
  <si>
    <t>VVC Motors</t>
  </si>
  <si>
    <t>Sri Power Systems</t>
  </si>
  <si>
    <t>Dining Tables</t>
  </si>
  <si>
    <t>Tables, rocks &amp; Chairs</t>
  </si>
  <si>
    <t xml:space="preserve">Tables </t>
  </si>
  <si>
    <t>Chairs</t>
  </si>
  <si>
    <t>Matress</t>
  </si>
  <si>
    <t>Wooden Cots</t>
  </si>
  <si>
    <t>Sofaset</t>
  </si>
  <si>
    <t>Iron cots</t>
  </si>
  <si>
    <t>Tables</t>
  </si>
  <si>
    <t>Tables &amp; chairs</t>
  </si>
  <si>
    <t>Cot</t>
  </si>
  <si>
    <t>Cots</t>
  </si>
  <si>
    <t>Costs &amp; sofa</t>
  </si>
  <si>
    <t>22-23/30</t>
  </si>
  <si>
    <t>22-23/38</t>
  </si>
  <si>
    <t>164, 165 &amp; 166</t>
  </si>
  <si>
    <t>Veda Enterprises</t>
  </si>
  <si>
    <t>OMM Enterprise</t>
  </si>
  <si>
    <t>Yamin Furniture &amp; Furnishing</t>
  </si>
  <si>
    <t>Balaji Steel Furniture Works</t>
  </si>
  <si>
    <t>Vivatech</t>
  </si>
  <si>
    <t>Amaravathi flywoods &amp; Furnitures</t>
  </si>
  <si>
    <t>Aditya Enterprises</t>
  </si>
  <si>
    <t>Bal Rajco Furniture &amp; Enterprise</t>
  </si>
  <si>
    <t>Sri Gayatri Furniture</t>
  </si>
  <si>
    <t>Home Needs Furniture</t>
  </si>
  <si>
    <t>Computers  (05 Nos) &amp; UPS (07 Nos)</t>
  </si>
  <si>
    <t>Computers - 02 Nos</t>
  </si>
  <si>
    <t>Printer</t>
  </si>
  <si>
    <t>Inverters &amp; Batteris</t>
  </si>
  <si>
    <t>22-23/44</t>
  </si>
  <si>
    <t>VT-22-23/41</t>
  </si>
  <si>
    <t>TP7319622900029</t>
  </si>
  <si>
    <t>SC201166</t>
  </si>
  <si>
    <t xml:space="preserve">Alfa Technologies Inc. </t>
  </si>
  <si>
    <t>Versha tech</t>
  </si>
  <si>
    <t>Reliance Retail Limited</t>
  </si>
  <si>
    <t>Suresh computers</t>
  </si>
  <si>
    <t>GC Sheets, Steel tubes</t>
  </si>
  <si>
    <t>MS Portable Bunkers</t>
  </si>
  <si>
    <t>MS Portable Bunkers 02 nos)</t>
  </si>
  <si>
    <t>Profile sheet &amp; MS Pipes</t>
  </si>
  <si>
    <t>Bricks</t>
  </si>
  <si>
    <t>Desing Shets</t>
  </si>
  <si>
    <t xml:space="preserve">Tiles </t>
  </si>
  <si>
    <t>Poly corbonate sheets</t>
  </si>
  <si>
    <t>Aerocon Panel</t>
  </si>
  <si>
    <t>Water pump</t>
  </si>
  <si>
    <t>Profile sheet &amp; GI Pipes</t>
  </si>
  <si>
    <t>Profile sheet</t>
  </si>
  <si>
    <t>Colour coated sheets</t>
  </si>
  <si>
    <t>Puring</t>
  </si>
  <si>
    <t xml:space="preserve">Door Shatters </t>
  </si>
  <si>
    <t>GI Channels</t>
  </si>
  <si>
    <t>Air Conditioner</t>
  </si>
  <si>
    <t>Air Cooler</t>
  </si>
  <si>
    <t>Refrigirator</t>
  </si>
  <si>
    <t>Television</t>
  </si>
  <si>
    <t>Washing machine</t>
  </si>
  <si>
    <t>CGSS/CG/022</t>
  </si>
  <si>
    <t>Goyal Global Steel Suppliers</t>
  </si>
  <si>
    <t>HPCVSKP/21/22-23</t>
  </si>
  <si>
    <t>Hindustan Portable Cabins</t>
  </si>
  <si>
    <t>HPCVSKP/32/22-23</t>
  </si>
  <si>
    <t>305</t>
  </si>
  <si>
    <t>Jagannadh Steel</t>
  </si>
  <si>
    <t>17/22-23</t>
  </si>
  <si>
    <t>Bibhuti Fly Ash Bricks</t>
  </si>
  <si>
    <t>18/22-23</t>
  </si>
  <si>
    <t>21/22-23</t>
  </si>
  <si>
    <t>20/22-23</t>
  </si>
  <si>
    <t>89</t>
  </si>
  <si>
    <t>Swathi Traders</t>
  </si>
  <si>
    <t>095</t>
  </si>
  <si>
    <t>Mahadev Enterprises</t>
  </si>
  <si>
    <t>238</t>
  </si>
  <si>
    <t>HIL Limited</t>
  </si>
  <si>
    <t>Gupta Generator spares Co</t>
  </si>
  <si>
    <t>SME/22-23/1155</t>
  </si>
  <si>
    <t xml:space="preserve">SME Steels Ltd. </t>
  </si>
  <si>
    <t>Swathi Buildtech Pvt. Ltd.</t>
  </si>
  <si>
    <t>SME/22-23/04</t>
  </si>
  <si>
    <t>SME/22-23/105</t>
  </si>
  <si>
    <t>SME/22-23/500</t>
  </si>
  <si>
    <t>SME/22-23/1015</t>
  </si>
  <si>
    <t>SME/22-23/1101</t>
  </si>
  <si>
    <t>Roll Form Engineering &amp; Profile</t>
  </si>
  <si>
    <t>0910</t>
  </si>
  <si>
    <t>SME/22-23/268</t>
  </si>
  <si>
    <t>Janapriya Flyash Bricks</t>
  </si>
  <si>
    <t>82/22-23</t>
  </si>
  <si>
    <t>GSAL66</t>
  </si>
  <si>
    <t>GSAL195</t>
  </si>
  <si>
    <t>GSAL252</t>
  </si>
  <si>
    <t>GSAL400</t>
  </si>
  <si>
    <t>ELR12310</t>
  </si>
  <si>
    <t>TP7320000610062022</t>
  </si>
  <si>
    <t>JAJ-S0000230</t>
  </si>
  <si>
    <t>Vijay Sales (India) Pvt. Ltd</t>
  </si>
  <si>
    <t>Laxmi Motors</t>
  </si>
  <si>
    <t>Surya Electonics</t>
  </si>
  <si>
    <t>Patra electonics</t>
  </si>
  <si>
    <t>Sri Sai Metal Stores</t>
  </si>
  <si>
    <t>Kia Seltos</t>
  </si>
  <si>
    <t>Two Wheeler (Hero Glamour)</t>
  </si>
  <si>
    <t>Ambulance (Maruthi suzuki EECo)</t>
  </si>
  <si>
    <t>Bolero Camper</t>
  </si>
  <si>
    <t>Two Wheeler (Passion pro)</t>
  </si>
  <si>
    <t>POCSAL/22-23/01</t>
  </si>
  <si>
    <t>Car Automotive LLP</t>
  </si>
  <si>
    <t>11021BF22S525</t>
  </si>
  <si>
    <t>Sri Lakshmi Motors</t>
  </si>
  <si>
    <t>004 &amp; 044</t>
  </si>
  <si>
    <t xml:space="preserve">Sai Ambulance Sales &amp; Service </t>
  </si>
  <si>
    <t>Paramount Automotives Pvt. Ltd.</t>
  </si>
  <si>
    <t>20945CD22S22</t>
  </si>
  <si>
    <t>KP Enterprises</t>
  </si>
  <si>
    <t>20945CD22S23</t>
  </si>
  <si>
    <t>20945CD22S75</t>
  </si>
  <si>
    <t>20945CD22S221</t>
  </si>
  <si>
    <t>Diesel Tanker</t>
  </si>
  <si>
    <t>Rock Breaker Machine</t>
  </si>
  <si>
    <t>Water Tanker</t>
  </si>
  <si>
    <t>Cement Silo</t>
  </si>
  <si>
    <t>Cement Silo Accessories</t>
  </si>
  <si>
    <t>Brick Plant</t>
  </si>
  <si>
    <t>Crane</t>
  </si>
  <si>
    <t>Hydraulic Excavator</t>
  </si>
  <si>
    <t>Shuttering Plates</t>
  </si>
  <si>
    <t>Dual Discharge Orizontal Conveyor</t>
  </si>
  <si>
    <t>Batching Plant Accessories</t>
  </si>
  <si>
    <t>Crusher Accessories</t>
  </si>
  <si>
    <t>Genset 50KW</t>
  </si>
  <si>
    <t>Genset 45KVA</t>
  </si>
  <si>
    <t>Hot Mix Plant</t>
  </si>
  <si>
    <t>Hot Mix Plant Accessories</t>
  </si>
  <si>
    <t>Punch Press Machine</t>
  </si>
  <si>
    <t>Shearing Machine</t>
  </si>
  <si>
    <t>Mobile Crane</t>
  </si>
  <si>
    <t>Vibrator</t>
  </si>
  <si>
    <t>Generator 62.5KVA</t>
  </si>
  <si>
    <t>Backhoe Loader</t>
  </si>
  <si>
    <t>Excavator</t>
  </si>
  <si>
    <t>Motor Grader</t>
  </si>
  <si>
    <t>Aircompressor</t>
  </si>
  <si>
    <t>Weigh Bridge</t>
  </si>
  <si>
    <t>Soil Compactor</t>
  </si>
  <si>
    <t>Testing Inspection Equipment</t>
  </si>
  <si>
    <t>Diesel Tanker 6KL</t>
  </si>
  <si>
    <t>Tractor Dozer</t>
  </si>
  <si>
    <t>Genset 250KVA</t>
  </si>
  <si>
    <t>Air Compressor</t>
  </si>
  <si>
    <t>M21231409283</t>
  </si>
  <si>
    <t>M21231409282</t>
  </si>
  <si>
    <t>M21231409281</t>
  </si>
  <si>
    <t>M21231409280</t>
  </si>
  <si>
    <t>M21231409275</t>
  </si>
  <si>
    <t>M21231409279</t>
  </si>
  <si>
    <t>M21231409278</t>
  </si>
  <si>
    <t>M21231409277</t>
  </si>
  <si>
    <t>M21231409276</t>
  </si>
  <si>
    <t>M21231409419</t>
  </si>
  <si>
    <t>M21231409285</t>
  </si>
  <si>
    <t>M21231409286</t>
  </si>
  <si>
    <t>VST/128/2022-23</t>
  </si>
  <si>
    <t>VST/129/2022-23</t>
  </si>
  <si>
    <t>VST/130/2022-23</t>
  </si>
  <si>
    <t>VST/134/2022-23</t>
  </si>
  <si>
    <t>VST/168/2022-23</t>
  </si>
  <si>
    <t>010/22-23</t>
  </si>
  <si>
    <t>VST/150/2022-23</t>
  </si>
  <si>
    <t>222900020/R</t>
  </si>
  <si>
    <t>M/EX/22-23/147</t>
  </si>
  <si>
    <t>M/EX/22-23/146</t>
  </si>
  <si>
    <t>M/EX/22-23/145</t>
  </si>
  <si>
    <t>2022-2023/DRL/59</t>
  </si>
  <si>
    <t>AMS/30</t>
  </si>
  <si>
    <t>AMS/29</t>
  </si>
  <si>
    <t>AMS/31</t>
  </si>
  <si>
    <t>AMS/32</t>
  </si>
  <si>
    <t>AMS/28</t>
  </si>
  <si>
    <t>AMS/33</t>
  </si>
  <si>
    <t>AMS/34</t>
  </si>
  <si>
    <t>VCE/036/22-23</t>
  </si>
  <si>
    <t>VST/160/2022-23</t>
  </si>
  <si>
    <t>SM2002200353</t>
  </si>
  <si>
    <t>SM2002200378</t>
  </si>
  <si>
    <t>SM2002200420</t>
  </si>
  <si>
    <t>SM2002200339</t>
  </si>
  <si>
    <t>SM2002200419</t>
  </si>
  <si>
    <t>SM2002200412</t>
  </si>
  <si>
    <t>SM2002200411</t>
  </si>
  <si>
    <t>ZI1022004005</t>
  </si>
  <si>
    <t>ZI1022004925</t>
  </si>
  <si>
    <t>S0990</t>
  </si>
  <si>
    <t>HCPL/22-23/1468</t>
  </si>
  <si>
    <t>HE/ECE/TMS/036</t>
  </si>
  <si>
    <t>HE/ECE/TMS/058</t>
  </si>
  <si>
    <t>GST/22-23/045</t>
  </si>
  <si>
    <t>S1134</t>
  </si>
  <si>
    <t>M/EX/22-23/105</t>
  </si>
  <si>
    <t>M/EX/22-23/106</t>
  </si>
  <si>
    <t>M/EX/22-23/107</t>
  </si>
  <si>
    <t>M/EX/22-23/108</t>
  </si>
  <si>
    <t>SAIPL/MC-32/22</t>
  </si>
  <si>
    <t>M/EX/22-23/121</t>
  </si>
  <si>
    <t>M/EX/22-23/110</t>
  </si>
  <si>
    <t>M/EX/22-23/111</t>
  </si>
  <si>
    <t>M/EX/22-23/112</t>
  </si>
  <si>
    <t>M/EX/22-23/113</t>
  </si>
  <si>
    <t>M/EX/22-23/114</t>
  </si>
  <si>
    <t>M/EX/22-23/115</t>
  </si>
  <si>
    <t>M/EX/22-23/116</t>
  </si>
  <si>
    <t>M/EX/22-23/127</t>
  </si>
  <si>
    <t>M/EX/22-23/148</t>
  </si>
  <si>
    <t>M/EX/22-23/149</t>
  </si>
  <si>
    <t>M/EX/22-23/150</t>
  </si>
  <si>
    <t>KEJD/2223/104</t>
  </si>
  <si>
    <t>KEJD/2223/103</t>
  </si>
  <si>
    <t>ACC/1087/2022-23</t>
  </si>
  <si>
    <t>SI100955</t>
  </si>
  <si>
    <t>VE Commercial Vehicles Limited</t>
  </si>
  <si>
    <t>V S T Industries</t>
  </si>
  <si>
    <t>India Tech Concrete Solution Pvt. Ltd.</t>
  </si>
  <si>
    <t>MGB Motors and Auto Agencies P. Ltd</t>
  </si>
  <si>
    <t>DRL Engineering and Fabrication Works</t>
  </si>
  <si>
    <t>Haecon Equipments</t>
  </si>
  <si>
    <t>Vibrant Construction Equipment Pvt. Ltd.</t>
  </si>
  <si>
    <t>Propel Industries Pvt. Ltd.</t>
  </si>
  <si>
    <t>Ammann India Pvt. Ltd.</t>
  </si>
  <si>
    <t>Syndicate Machines Pvt. Ltd.</t>
  </si>
  <si>
    <t>Hariom Pipe Industries Ltd.</t>
  </si>
  <si>
    <t>Expert Fabrication &amp; Engineering Works</t>
  </si>
  <si>
    <t>Cash</t>
  </si>
  <si>
    <t>A S Constructions</t>
  </si>
  <si>
    <t>Madhura Engineering Services Pvt Ltd - C</t>
  </si>
  <si>
    <t>Shanti Automotives India Pvt Ltd</t>
  </si>
  <si>
    <t>Coastal Pneumatic Agencies</t>
  </si>
  <si>
    <t>Essae Digitronics Private Limited</t>
  </si>
  <si>
    <t>Wirtgen India Pvt. Ltd.</t>
  </si>
  <si>
    <t>APT Survey Solutions Pvt Ltd</t>
  </si>
  <si>
    <t>Komal Enterprises</t>
  </si>
  <si>
    <t>Shree Ram Trading</t>
  </si>
  <si>
    <t>Airospares &amp; Equipments</t>
  </si>
  <si>
    <t>Computers</t>
  </si>
  <si>
    <t>22-23-84</t>
  </si>
  <si>
    <t>Alfa Technologies Inc.</t>
  </si>
  <si>
    <t>22-23-97</t>
  </si>
  <si>
    <t>22-23-117</t>
  </si>
  <si>
    <t>22-23-116</t>
  </si>
  <si>
    <t>22-23-133</t>
  </si>
  <si>
    <t>22-23-147</t>
  </si>
  <si>
    <t>NATI/136/22-23</t>
  </si>
  <si>
    <t>Nigama Comptech &amp; Services Pvt. Ltd.</t>
  </si>
  <si>
    <t>Bhushan Computer</t>
  </si>
  <si>
    <t>UPS</t>
  </si>
  <si>
    <t>22-23-63</t>
  </si>
  <si>
    <t>Swarna Computers &amp; Peripherals</t>
  </si>
  <si>
    <t>Glocal Digital Pvt. Ltd.</t>
  </si>
  <si>
    <t>R-000508</t>
  </si>
  <si>
    <t>Global Technology</t>
  </si>
  <si>
    <t>Modular Work Stations</t>
  </si>
  <si>
    <t>SZ/FG/1762</t>
  </si>
  <si>
    <t>Spacewood Office Solutions Pvt. Ltd.</t>
  </si>
  <si>
    <t>SZ/FG/1761</t>
  </si>
  <si>
    <t>SZ/FG/1760</t>
  </si>
  <si>
    <t>SZ/FG/1830</t>
  </si>
  <si>
    <t>Amit Enterprises</t>
  </si>
  <si>
    <t>Metal Racks</t>
  </si>
  <si>
    <t>K.K Metal Work</t>
  </si>
  <si>
    <t>Almera,Table</t>
  </si>
  <si>
    <t>Dining Table</t>
  </si>
  <si>
    <t>Amaravathi Plywoods &amp; Furnitures</t>
  </si>
  <si>
    <t>Bal Rajco Furniture &amp; Enterprises</t>
  </si>
  <si>
    <t>Revolving Chair &amp; Table</t>
  </si>
  <si>
    <t>Yamin Furniture and Furnishing</t>
  </si>
  <si>
    <t>Buckets,Mug,Revolving chair</t>
  </si>
  <si>
    <t>Office Tables &amp; Chairs</t>
  </si>
  <si>
    <t>Furniture</t>
  </si>
  <si>
    <t>Almera, Dining Table etc.</t>
  </si>
  <si>
    <t>Almera</t>
  </si>
  <si>
    <t>Soft Set &amp; Others</t>
  </si>
  <si>
    <t>Folding cost &amp; Others</t>
  </si>
  <si>
    <t>Pantapu Naresh</t>
  </si>
  <si>
    <t>Executive Chairs</t>
  </si>
  <si>
    <t>Dining Table &amp; Chairs</t>
  </si>
  <si>
    <t>XAS/HYD/2223/687</t>
  </si>
  <si>
    <t>Xpert AC Solutions</t>
  </si>
  <si>
    <t>Mobile-Iphone13</t>
  </si>
  <si>
    <t>SLA028003830640</t>
  </si>
  <si>
    <t>Infiniti Retail Limited</t>
  </si>
  <si>
    <t>GTITAL-0101</t>
  </si>
  <si>
    <t>Raj Electronics</t>
  </si>
  <si>
    <t>Refrigerator</t>
  </si>
  <si>
    <t>MS Portable Cabin</t>
  </si>
  <si>
    <t>2022-23/043</t>
  </si>
  <si>
    <t>Alfa Portable Cabin LLP (GAIL)</t>
  </si>
  <si>
    <t>2022-23/046</t>
  </si>
  <si>
    <t>2022-23/047</t>
  </si>
  <si>
    <t>Colour Coated Sheets &amp; etc.</t>
  </si>
  <si>
    <t>MMB/22-23/499</t>
  </si>
  <si>
    <t>M.M.Brothers</t>
  </si>
  <si>
    <t>Window Glass</t>
  </si>
  <si>
    <t>Colour coated profile Sheets</t>
  </si>
  <si>
    <t>SME/22-23/2213</t>
  </si>
  <si>
    <t>SME Steels Pvt. Ltd.</t>
  </si>
  <si>
    <t>SME/22-23/1838</t>
  </si>
  <si>
    <t>SME/22-23/2085</t>
  </si>
  <si>
    <t>SME/22-23/2159</t>
  </si>
  <si>
    <t>SME/22-23/2163</t>
  </si>
  <si>
    <t>Steel Tube</t>
  </si>
  <si>
    <t>403/PR/22-23/D</t>
  </si>
  <si>
    <t>Shankara Building Products Ltd.</t>
  </si>
  <si>
    <t>GI Channels and etc</t>
  </si>
  <si>
    <t>Rol Form Engineering and Profile</t>
  </si>
  <si>
    <t>Purlins</t>
  </si>
  <si>
    <t>22-23/TS/1138</t>
  </si>
  <si>
    <t>22-23/TS/1059</t>
  </si>
  <si>
    <t>Blue Profile Sheets</t>
  </si>
  <si>
    <t>22-23/TS/1060</t>
  </si>
  <si>
    <t>22-23/TS/1288</t>
  </si>
  <si>
    <t>22-23/TS/1289</t>
  </si>
  <si>
    <t>22-23/TS/1291</t>
  </si>
  <si>
    <t>22-23/TS/1316</t>
  </si>
  <si>
    <t>22-23/TS/1290</t>
  </si>
  <si>
    <t>SME/22-23/2214</t>
  </si>
  <si>
    <t>SME/22-23/2150</t>
  </si>
  <si>
    <t>Angles &amp; Accessories</t>
  </si>
  <si>
    <t>SME/22-23/2154</t>
  </si>
  <si>
    <t>22-23/TS/1864</t>
  </si>
  <si>
    <t>22-23/TS/1865</t>
  </si>
  <si>
    <t>Rack Angles</t>
  </si>
  <si>
    <t>22-23/TS/1891</t>
  </si>
  <si>
    <t>Doors &amp; Fittings</t>
  </si>
  <si>
    <t>Mathaji Glass Plywood &amp; Hardware</t>
  </si>
  <si>
    <t>EV01</t>
  </si>
  <si>
    <t>Erappa V</t>
  </si>
  <si>
    <t>Portable Office Cabin</t>
  </si>
  <si>
    <t>HPCVSKP/43/22-23</t>
  </si>
  <si>
    <t>Window Frames and etc.</t>
  </si>
  <si>
    <t>Hil Limited</t>
  </si>
  <si>
    <t>22-23/TS/1243</t>
  </si>
  <si>
    <t>22-23/TS/1364</t>
  </si>
  <si>
    <t>22-23/TS/1365</t>
  </si>
  <si>
    <t>22-23/TS/1366</t>
  </si>
  <si>
    <t>22-23/TS/1367</t>
  </si>
  <si>
    <t>Harsh Iron LLP</t>
  </si>
  <si>
    <t>Electrical Materials</t>
  </si>
  <si>
    <t>Sangam Electricals</t>
  </si>
  <si>
    <t>Shree Ramdev Electricals</t>
  </si>
  <si>
    <t>Granite</t>
  </si>
  <si>
    <t>Sri Ayyappa Genral Stores</t>
  </si>
  <si>
    <t>Plumbing Material</t>
  </si>
  <si>
    <t>VST/195/2022-23</t>
  </si>
  <si>
    <t>Tiles</t>
  </si>
  <si>
    <t>Sri Rama Engineering Stores</t>
  </si>
  <si>
    <t>Sri Sai Balaji Hardware</t>
  </si>
  <si>
    <t>GI Sheets</t>
  </si>
  <si>
    <t>G/1437/22-23</t>
  </si>
  <si>
    <t>Ruliram Agarwala</t>
  </si>
  <si>
    <t>22-23/TS/1994</t>
  </si>
  <si>
    <t>Passion Xtec Fi DRS Cast</t>
  </si>
  <si>
    <t>11021BG22S830</t>
  </si>
  <si>
    <t>Glamour Xtec Fi Mat</t>
  </si>
  <si>
    <t>11021BI22S1074</t>
  </si>
  <si>
    <t>Glamour Xtec BS6</t>
  </si>
  <si>
    <t>11021BI22S1075</t>
  </si>
  <si>
    <t>Bolero</t>
  </si>
  <si>
    <t>PJPADVSD/421</t>
  </si>
  <si>
    <t>PJPADVSD/420</t>
  </si>
  <si>
    <t>K.P.Enterprises</t>
  </si>
  <si>
    <t>Two Wheeler Chassis(MBLJAW227NGJ01683)</t>
  </si>
  <si>
    <t>2045CI22S478</t>
  </si>
  <si>
    <t>Two Wheeler Chassis(MBLJAW221NGF03217)</t>
  </si>
  <si>
    <t>20945CI22S480</t>
  </si>
  <si>
    <t>Two Wheeler Chassis(MBLJAW227NGF03173)</t>
  </si>
  <si>
    <t>20945CI22S479</t>
  </si>
  <si>
    <t>Two Wheeler Chassis(MBLJAW224NGH03721)</t>
  </si>
  <si>
    <t>2945CI22S481</t>
  </si>
  <si>
    <t>Total Station</t>
  </si>
  <si>
    <t>Laboratory Equipment</t>
  </si>
  <si>
    <t>Boom Pump</t>
  </si>
  <si>
    <t>Crane-Hydra</t>
  </si>
  <si>
    <t>Genset</t>
  </si>
  <si>
    <t>Paver</t>
  </si>
  <si>
    <t>Tandem Roller</t>
  </si>
  <si>
    <t>Pnumatic Roller</t>
  </si>
  <si>
    <t>Scaff Holding Material</t>
  </si>
  <si>
    <t>Shuttering Material</t>
  </si>
  <si>
    <t>Testing Equipment</t>
  </si>
  <si>
    <t>Bitumen Sprayer</t>
  </si>
  <si>
    <t>Concrete Block Making Machine</t>
  </si>
  <si>
    <t>Soil Vibratory Roller</t>
  </si>
  <si>
    <t>Painting Equipments</t>
  </si>
  <si>
    <t>Concrete Mixer Machine</t>
  </si>
  <si>
    <t>Bar Bending Machine</t>
  </si>
  <si>
    <t>Bar Cutting Machine</t>
  </si>
  <si>
    <t>Batching Plant</t>
  </si>
  <si>
    <t>Crane-Service Charges</t>
  </si>
  <si>
    <t>Crane Truck</t>
  </si>
  <si>
    <t>DCM Vehicle</t>
  </si>
  <si>
    <t>Roller</t>
  </si>
  <si>
    <t>Tractor</t>
  </si>
  <si>
    <t>Transit Mixer</t>
  </si>
  <si>
    <t>Wheel Loader</t>
  </si>
  <si>
    <t>Parimipudi Crusher</t>
  </si>
  <si>
    <t>VST/291/2022-23</t>
  </si>
  <si>
    <t>VT/22-23/725</t>
  </si>
  <si>
    <t>M/EX/22-23/AP/48</t>
  </si>
  <si>
    <t>M/EX/22-23/AP/47</t>
  </si>
  <si>
    <t>AMS/42</t>
  </si>
  <si>
    <t>AMS/45</t>
  </si>
  <si>
    <t>AMS/43</t>
  </si>
  <si>
    <t>AMS/44</t>
  </si>
  <si>
    <t>PE/GE/GST/1792</t>
  </si>
  <si>
    <t>PE/GE/GST/1889</t>
  </si>
  <si>
    <t>ED2900000359</t>
  </si>
  <si>
    <t>M/EX/22-23/205</t>
  </si>
  <si>
    <t>M/EX/22-23/206</t>
  </si>
  <si>
    <t>M/EX/22-23/207</t>
  </si>
  <si>
    <t>RPSE/AP/22/42</t>
  </si>
  <si>
    <t>RPSE/AP/22/43</t>
  </si>
  <si>
    <t>MFA-22-23-0039</t>
  </si>
  <si>
    <t>MFA-22-23-0040</t>
  </si>
  <si>
    <t>MFA-22-23-0030</t>
  </si>
  <si>
    <t>MFA-22-23-0045</t>
  </si>
  <si>
    <t>MFA-22-23-0036</t>
  </si>
  <si>
    <t>MFA-22-23-0035</t>
  </si>
  <si>
    <t>MFA-22-23-0034</t>
  </si>
  <si>
    <t>MFA-22-23-0026</t>
  </si>
  <si>
    <t>MFA-22-23-0027</t>
  </si>
  <si>
    <t>MFA-22-23-0047</t>
  </si>
  <si>
    <t>MFA-22-23-0050</t>
  </si>
  <si>
    <t>MFA-22-23-0049</t>
  </si>
  <si>
    <t>MFA-22-23-0055</t>
  </si>
  <si>
    <t>MFA-22-23-0056</t>
  </si>
  <si>
    <t>2022-2023/DRL/61</t>
  </si>
  <si>
    <t>2022-2023/DRL/65</t>
  </si>
  <si>
    <t>2022-2023/DRL/77</t>
  </si>
  <si>
    <t>2022-2023/DRL/83</t>
  </si>
  <si>
    <t>AEPL/324/22-23</t>
  </si>
  <si>
    <t>AEPL/VIJ15/22-23</t>
  </si>
  <si>
    <t>AEPL/VIJ16/22-23</t>
  </si>
  <si>
    <t>MVI1662220001661</t>
  </si>
  <si>
    <t>MVI1662220001660</t>
  </si>
  <si>
    <t>MVI1662220001662</t>
  </si>
  <si>
    <t>MVI1642220000802</t>
  </si>
  <si>
    <t>MVI1642220000803</t>
  </si>
  <si>
    <t>MVI1642220000801</t>
  </si>
  <si>
    <t>MVI1642220000809</t>
  </si>
  <si>
    <t>MVI1642220000810</t>
  </si>
  <si>
    <t>MVI1642220000811</t>
  </si>
  <si>
    <t>MVI1642220000812</t>
  </si>
  <si>
    <t>MVI1642220000813</t>
  </si>
  <si>
    <t>MVI1642220000814</t>
  </si>
  <si>
    <t>MVI1642220000815</t>
  </si>
  <si>
    <t>MVI1642220000816</t>
  </si>
  <si>
    <t>MVI1642220000817</t>
  </si>
  <si>
    <t>MVI1642220000818</t>
  </si>
  <si>
    <t>MVI1642220000830</t>
  </si>
  <si>
    <t>MVI1642220000831</t>
  </si>
  <si>
    <t>MVI1642220000832</t>
  </si>
  <si>
    <t>MVI1642220000833</t>
  </si>
  <si>
    <t>MVI1642220000834</t>
  </si>
  <si>
    <t>MVI1642220000829</t>
  </si>
  <si>
    <t>KA2312001318</t>
  </si>
  <si>
    <t>KA2312001319</t>
  </si>
  <si>
    <t>KA2312001315</t>
  </si>
  <si>
    <t>KA2312001317</t>
  </si>
  <si>
    <t>IJIPHD2223003745</t>
  </si>
  <si>
    <t>IJIPHD2223003750</t>
  </si>
  <si>
    <t>IJIPHD2223003751</t>
  </si>
  <si>
    <t>IJIPHD2223003752</t>
  </si>
  <si>
    <t>IJIPHD2223003746</t>
  </si>
  <si>
    <t>IJIPHD2223003747</t>
  </si>
  <si>
    <t>IJIPHD2223003748</t>
  </si>
  <si>
    <t>IJIPHD2223003749</t>
  </si>
  <si>
    <t>IJIPHD2223003744</t>
  </si>
  <si>
    <t>IJIPHD2223003753</t>
  </si>
  <si>
    <t>KA2312001316</t>
  </si>
  <si>
    <t>KA2312001322</t>
  </si>
  <si>
    <t>KA2312001321</t>
  </si>
  <si>
    <t>KA2312001320</t>
  </si>
  <si>
    <t>KA2312001323</t>
  </si>
  <si>
    <t>ZI1022007149</t>
  </si>
  <si>
    <t>ZI1022007150</t>
  </si>
  <si>
    <t>014/22-23</t>
  </si>
  <si>
    <t>027/22-23</t>
  </si>
  <si>
    <t>M/EX/22-23/214</t>
  </si>
  <si>
    <t>M/EX/22-23/216</t>
  </si>
  <si>
    <t>M/EX/22-23/213</t>
  </si>
  <si>
    <t>M/EX/22-23/215</t>
  </si>
  <si>
    <t>ED2900000351</t>
  </si>
  <si>
    <t>MFA-22-23-0042</t>
  </si>
  <si>
    <t>MFA-22-23-0043</t>
  </si>
  <si>
    <t>MFA-22-23-0046</t>
  </si>
  <si>
    <t>MFA-22-23-0041</t>
  </si>
  <si>
    <t>MFA-22-23-0028</t>
  </si>
  <si>
    <t>AEPL/346/22-23</t>
  </si>
  <si>
    <t>NKW4472</t>
  </si>
  <si>
    <t>NKW4512</t>
  </si>
  <si>
    <t>NKW4511</t>
  </si>
  <si>
    <t>R-458/2022-23</t>
  </si>
  <si>
    <t>ED2900000385</t>
  </si>
  <si>
    <t>M/EX/22-23/AP/49</t>
  </si>
  <si>
    <t>M/EX/22-23/AP/50</t>
  </si>
  <si>
    <t>ED2900000352</t>
  </si>
  <si>
    <t>TI/140/2022-23</t>
  </si>
  <si>
    <t>VST/204/2022-23</t>
  </si>
  <si>
    <t>VST/222/2022-23</t>
  </si>
  <si>
    <t>VST/229/2022-23</t>
  </si>
  <si>
    <t>HE/CONMAT/MS35</t>
  </si>
  <si>
    <t>VST/266/2022-23</t>
  </si>
  <si>
    <t>VST/264/2022-23</t>
  </si>
  <si>
    <t>VST/274/2022-23</t>
  </si>
  <si>
    <t>HE/ECE/S1459</t>
  </si>
  <si>
    <t>HE/ECE/S1458</t>
  </si>
  <si>
    <t>HE/ECE/TMSS/066</t>
  </si>
  <si>
    <t>HE/ECE/TMSS/067</t>
  </si>
  <si>
    <t>HE/HCE/TMS/0101</t>
  </si>
  <si>
    <t>HE/HCE/TMS/0102</t>
  </si>
  <si>
    <t>HE/HCE/TMS/0103</t>
  </si>
  <si>
    <t>HE/HCE/TMS/0104</t>
  </si>
  <si>
    <t>MVI1662220001627</t>
  </si>
  <si>
    <t>MVI1662220001624</t>
  </si>
  <si>
    <t>MVI1662220001625</t>
  </si>
  <si>
    <t>MVI1662220001626</t>
  </si>
  <si>
    <t>M/EX/22-23/193</t>
  </si>
  <si>
    <t>RPSE/HO/22/58</t>
  </si>
  <si>
    <t>FK2227101886</t>
  </si>
  <si>
    <t>AEPL/393/22-23</t>
  </si>
  <si>
    <t>MFA-22-23-0053</t>
  </si>
  <si>
    <t>MFA-22-23-0057</t>
  </si>
  <si>
    <t>MFA-22-23-0058</t>
  </si>
  <si>
    <t>MFA-22-23-0059</t>
  </si>
  <si>
    <t>MFA-22-23-0060</t>
  </si>
  <si>
    <t>MFA-22-23-0061</t>
  </si>
  <si>
    <t>2022-2023/DRL/66</t>
  </si>
  <si>
    <t>MVI1662220001628</t>
  </si>
  <si>
    <t>MVI1662220001630</t>
  </si>
  <si>
    <t>MVI1662220001629</t>
  </si>
  <si>
    <t>MVI1662220002167</t>
  </si>
  <si>
    <t>MVI1662220002166</t>
  </si>
  <si>
    <t>MVI1662220002223</t>
  </si>
  <si>
    <t>MVI1662220002222</t>
  </si>
  <si>
    <t>MVI1662220002221</t>
  </si>
  <si>
    <t>MVI1662220002220</t>
  </si>
  <si>
    <t>MVI1662220002219</t>
  </si>
  <si>
    <t>MVI1662220002218</t>
  </si>
  <si>
    <t>MVI1662220002217</t>
  </si>
  <si>
    <t>MVI1662220002216</t>
  </si>
  <si>
    <t>MVI1662220002215</t>
  </si>
  <si>
    <t>MVI1662220002237</t>
  </si>
  <si>
    <t>MVI1662220002343</t>
  </si>
  <si>
    <t>MVI1662220002344</t>
  </si>
  <si>
    <t>MVI1662220002345</t>
  </si>
  <si>
    <t>MVI1662220001623</t>
  </si>
  <si>
    <t>MVI1662220001619</t>
  </si>
  <si>
    <t>MVI1662220001618</t>
  </si>
  <si>
    <t>MVI1662220001617</t>
  </si>
  <si>
    <t>MVI1662220001622</t>
  </si>
  <si>
    <t>MVI1662220001620</t>
  </si>
  <si>
    <t>MVI1662220001616</t>
  </si>
  <si>
    <t>MVI1662220001621</t>
  </si>
  <si>
    <t>MVI1662220002240</t>
  </si>
  <si>
    <t>MVI1662220002243</t>
  </si>
  <si>
    <t>MVI1662220002242</t>
  </si>
  <si>
    <t>KEJD2223/137</t>
  </si>
  <si>
    <t>KEJD2223/138</t>
  </si>
  <si>
    <t>SAIPL/MC-50/22</t>
  </si>
  <si>
    <t>SAIPL/MC-51/22</t>
  </si>
  <si>
    <t>ACC/2120/2022-23</t>
  </si>
  <si>
    <t>ACC/2413/2022-23</t>
  </si>
  <si>
    <t>ACC/2192/2022-23</t>
  </si>
  <si>
    <t>HE/CONMAT/MS42</t>
  </si>
  <si>
    <t>VST/252/2022-23</t>
  </si>
  <si>
    <t>APT Survey Solutions Pvt. Ltd.</t>
  </si>
  <si>
    <t>Vaishnodevi Traders</t>
  </si>
  <si>
    <t>Schwing Stetter(India) Pvt. Ltd.</t>
  </si>
  <si>
    <t>Perfect Enterprises</t>
  </si>
  <si>
    <t>GMMCo Ltd.</t>
  </si>
  <si>
    <t>Ramanand Power Systems Pvt. Ltd.</t>
  </si>
  <si>
    <t>D.E.C Industries Pvt. Ltd.</t>
  </si>
  <si>
    <t>Avensis Engineering Pvt. Ltd.</t>
  </si>
  <si>
    <t>APT Engineering Company</t>
  </si>
  <si>
    <t>Automotive Manufactures Pvt. Ltd.</t>
  </si>
  <si>
    <t>India Tech Concrete Solutions Pvt. Ltd.</t>
  </si>
  <si>
    <t>AIWA Auto &amp; Industrial Products</t>
  </si>
  <si>
    <t>Murali Techink</t>
  </si>
  <si>
    <t>Vivek Machine Tools</t>
  </si>
  <si>
    <t>NWK Industrial Solutions</t>
  </si>
  <si>
    <t>Bhavya Machine Tools LLp</t>
  </si>
  <si>
    <t>Agarwal Machine Tools</t>
  </si>
  <si>
    <t>Gemini Infra Solutions</t>
  </si>
  <si>
    <t>Sany Heavy Industry India Pvt. Ltd.</t>
  </si>
  <si>
    <t>Dynapac Road Construction Equipment India Pvt. Ltd.</t>
  </si>
  <si>
    <t>Shanti Automobiles India Pvt. Ltd.</t>
  </si>
  <si>
    <t>Dell Server</t>
  </si>
  <si>
    <t>Desktop Systems</t>
  </si>
  <si>
    <t>Printers</t>
  </si>
  <si>
    <t>Walkitakies</t>
  </si>
  <si>
    <t>Mouse, Flash Driver</t>
  </si>
  <si>
    <t>Computer,UPS,Anti virus</t>
  </si>
  <si>
    <t>22-23-171</t>
  </si>
  <si>
    <t>22-23-187</t>
  </si>
  <si>
    <t>22-23-186</t>
  </si>
  <si>
    <t>22-23-202</t>
  </si>
  <si>
    <t>22-23-182</t>
  </si>
  <si>
    <t>22-23-181</t>
  </si>
  <si>
    <t>22-23-220</t>
  </si>
  <si>
    <t>AS/44/22-23</t>
  </si>
  <si>
    <t>AS/48/22-23</t>
  </si>
  <si>
    <t>BC/TI/798</t>
  </si>
  <si>
    <t>R-000901</t>
  </si>
  <si>
    <t>R-000899</t>
  </si>
  <si>
    <t>SB1300</t>
  </si>
  <si>
    <t>76 &amp; 77</t>
  </si>
  <si>
    <t>Aeon Solutions</t>
  </si>
  <si>
    <t>Indu Computers</t>
  </si>
  <si>
    <t>Gurukripa Traders</t>
  </si>
  <si>
    <t>Chairs &amp; Tables</t>
  </si>
  <si>
    <t>Almarah</t>
  </si>
  <si>
    <t>Steel Chairs</t>
  </si>
  <si>
    <t>Table &amp; Chairs</t>
  </si>
  <si>
    <t>Table/Sofa</t>
  </si>
  <si>
    <t>Folding Cots</t>
  </si>
  <si>
    <t>Visitor Chairs</t>
  </si>
  <si>
    <t>SZ/FG/3084</t>
  </si>
  <si>
    <t>HO/339</t>
  </si>
  <si>
    <t>HO/343</t>
  </si>
  <si>
    <t>HO/353</t>
  </si>
  <si>
    <t>Choice Marketing Associates</t>
  </si>
  <si>
    <t>Radiant Agencies</t>
  </si>
  <si>
    <t>Deepak Furnitures</t>
  </si>
  <si>
    <t>Bal Rajco Furniture &amp; Equipments</t>
  </si>
  <si>
    <t>The Decograph Interiors</t>
  </si>
  <si>
    <t>Refregerator-LG</t>
  </si>
  <si>
    <t>XAS/HYD/2223/771</t>
  </si>
  <si>
    <t>Aerocon Panels</t>
  </si>
  <si>
    <t>Sheets</t>
  </si>
  <si>
    <t>Door Frame</t>
  </si>
  <si>
    <t>Profile Sheets</t>
  </si>
  <si>
    <t>GI Purlins</t>
  </si>
  <si>
    <t>MS Angles</t>
  </si>
  <si>
    <t>GP/GI Coil Sheets</t>
  </si>
  <si>
    <t>CPVC Material</t>
  </si>
  <si>
    <t>River Sand</t>
  </si>
  <si>
    <t>GI Channels, MS Window Frames etc.</t>
  </si>
  <si>
    <t>Windoe Shatter Sheet</t>
  </si>
  <si>
    <t>GC Sheet &amp; MS Pipe</t>
  </si>
  <si>
    <t>ISMC</t>
  </si>
  <si>
    <t>MS Pipe</t>
  </si>
  <si>
    <t>Weighbridge Cabins</t>
  </si>
  <si>
    <t>Hire JCB</t>
  </si>
  <si>
    <t>Fly Ash bricks</t>
  </si>
  <si>
    <t>408/PR/22-23/D</t>
  </si>
  <si>
    <t>407/PR/22-23/D</t>
  </si>
  <si>
    <t>SME/22-23/4287</t>
  </si>
  <si>
    <t>22-23/TS/2057</t>
  </si>
  <si>
    <t>22-23/TS/2220</t>
  </si>
  <si>
    <t>22-23/TS/2219</t>
  </si>
  <si>
    <t>22-23/TS/2475</t>
  </si>
  <si>
    <t>22-23/TS/3625</t>
  </si>
  <si>
    <t>22-23/TS/3524</t>
  </si>
  <si>
    <t>SME/22-23/3984</t>
  </si>
  <si>
    <t>SME/22-23/3633</t>
  </si>
  <si>
    <t>SME/22-23/3626</t>
  </si>
  <si>
    <t>HPCVSK/145/2223</t>
  </si>
  <si>
    <t>GGMM/CG/166</t>
  </si>
  <si>
    <t>Sri Sai Durga Steel Enterprises</t>
  </si>
  <si>
    <t>GGMM/CG/203</t>
  </si>
  <si>
    <t>HPCVSK/121/2223</t>
  </si>
  <si>
    <t>HPCVSK/151/2223</t>
  </si>
  <si>
    <t>ROI Form Engineering and Profile</t>
  </si>
  <si>
    <t>S.R.R. Projects</t>
  </si>
  <si>
    <t>Laxmi EPE Foam Sheets</t>
  </si>
  <si>
    <t>New Santosh Star Electrical</t>
  </si>
  <si>
    <t>Surana Ceramic</t>
  </si>
  <si>
    <t>Subash Ganguluboi</t>
  </si>
  <si>
    <t>Goyal Global Metalmart Pvt. Ltd.</t>
  </si>
  <si>
    <t>Jagannath Enterprises</t>
  </si>
  <si>
    <t>Two Wheeler</t>
  </si>
  <si>
    <t>HF Deluxe Bike</t>
  </si>
  <si>
    <t>Suzuki Access Scooty</t>
  </si>
  <si>
    <t>11021BI22S1073</t>
  </si>
  <si>
    <t>11021BI22S1076 &amp; JA07AFN6F00629</t>
  </si>
  <si>
    <t>11021BK22S1781 &amp; HA11EWN6C00040</t>
  </si>
  <si>
    <t>11021BK22S1779</t>
  </si>
  <si>
    <t>11021BK22S1778</t>
  </si>
  <si>
    <t>11021BK22S1780 &amp; HA11EWN6B00198</t>
  </si>
  <si>
    <t>11021BJ22S1628 &amp; JA07AFN9H15275</t>
  </si>
  <si>
    <t>11021BJ22S1627 &amp; JA07AFN9H15361</t>
  </si>
  <si>
    <t>PJPADVSD/687</t>
  </si>
  <si>
    <t>20945CK22S751</t>
  </si>
  <si>
    <t>20945CK22S753</t>
  </si>
  <si>
    <t>20945CK22S752</t>
  </si>
  <si>
    <t>SM-2022-23-RI-206</t>
  </si>
  <si>
    <t>SM Motors</t>
  </si>
  <si>
    <t>Vynateya</t>
  </si>
  <si>
    <t>YTTP Terminal</t>
  </si>
  <si>
    <t>Sl.No.</t>
  </si>
  <si>
    <t>BEKEM INFRA PROJECTS PRIVATE LIMITED</t>
  </si>
  <si>
    <t>NOTES FORMING PART OF THE STANDLONE FINANCIAL STATEMENTS</t>
  </si>
  <si>
    <r>
      <t xml:space="preserve">(All amounts in </t>
    </r>
    <r>
      <rPr>
        <sz val="10"/>
        <color indexed="8"/>
        <rFont val="Rupakara"/>
        <family val="2"/>
      </rPr>
      <t xml:space="preserve">₹ lakhs </t>
    </r>
    <r>
      <rPr>
        <sz val="10"/>
        <color indexed="8"/>
        <rFont val="Times New Roman"/>
        <family val="1"/>
      </rPr>
      <t xml:space="preserve"> except otherwise stated)</t>
    </r>
  </si>
  <si>
    <t>Note 12</t>
  </si>
  <si>
    <t>I. PROPERTY,PLANT AND EQUIPMENT</t>
  </si>
  <si>
    <t>Sr. No</t>
  </si>
  <si>
    <t>Particulars</t>
  </si>
  <si>
    <t xml:space="preserve">Gross Block  (At Cost) </t>
  </si>
  <si>
    <t>Net Block</t>
  </si>
  <si>
    <t>Additions</t>
  </si>
  <si>
    <t>Deductions</t>
  </si>
  <si>
    <t>For the year</t>
  </si>
  <si>
    <t>Tangible Assets</t>
  </si>
  <si>
    <t>Temporary erection</t>
  </si>
  <si>
    <t>Construction equipments</t>
  </si>
  <si>
    <t>Electrical equipment</t>
  </si>
  <si>
    <t>Furniture's &amp; Fixtures</t>
  </si>
  <si>
    <t xml:space="preserve">Vehicles </t>
  </si>
  <si>
    <t>Computer</t>
  </si>
  <si>
    <t>Total   (Current Year)</t>
  </si>
  <si>
    <t xml:space="preserve">      (Previous Year)</t>
  </si>
  <si>
    <t>NOTES FORMING PART OF THE FINANCIAL STATEMENTS</t>
  </si>
  <si>
    <t xml:space="preserve">I. Fixed Assets </t>
  </si>
  <si>
    <t>(Figures in Lakhs)</t>
  </si>
  <si>
    <t xml:space="preserve">Gross Block  </t>
  </si>
  <si>
    <t>on openings</t>
  </si>
  <si>
    <t>on additions</t>
  </si>
  <si>
    <t>I</t>
  </si>
  <si>
    <t>Total  (Current Year)</t>
  </si>
  <si>
    <t>NET Block  as at 31.03.2022</t>
  </si>
  <si>
    <t>before 30/09/21</t>
  </si>
  <si>
    <t>After 30/09/21</t>
  </si>
  <si>
    <t>Atlas Capco Compressor</t>
  </si>
  <si>
    <t>PKR/21-22/02146</t>
  </si>
  <si>
    <t>PKR Projects and Engineers</t>
  </si>
  <si>
    <t>Atlas Capco Crawler</t>
  </si>
  <si>
    <t>PKR/21-22/02147</t>
  </si>
  <si>
    <t>Marsman Crusher</t>
  </si>
  <si>
    <t>PKR/21-22/02148</t>
  </si>
  <si>
    <t>Maxwell Crusher</t>
  </si>
  <si>
    <t>PKR/21-22/02149</t>
  </si>
  <si>
    <t>VSI Cone Crusher</t>
  </si>
  <si>
    <t>PKR/21-22/02150</t>
  </si>
  <si>
    <t>Sany Machine-3</t>
  </si>
  <si>
    <t>PKR/21-22/02161</t>
  </si>
  <si>
    <t>Sany Machine-4</t>
  </si>
  <si>
    <t>PKR/21-22/02162</t>
  </si>
  <si>
    <t>Sany Machine-5</t>
  </si>
  <si>
    <t>PKR/21-22/02163</t>
  </si>
  <si>
    <t>250KVA Genset</t>
  </si>
  <si>
    <t>PKR/21-22/02166</t>
  </si>
  <si>
    <t>500KVA Genset</t>
  </si>
  <si>
    <t>PKR/21-22/02167</t>
  </si>
  <si>
    <t>Generator</t>
  </si>
  <si>
    <t>PKR/21-22/02168</t>
  </si>
  <si>
    <t>Loaders-2No's</t>
  </si>
  <si>
    <t>PKR/21-22/02157</t>
  </si>
  <si>
    <t>XCMG Loader</t>
  </si>
  <si>
    <t>PKR/21-22/02164</t>
  </si>
  <si>
    <t>Rock Breakers - 3 Nos</t>
  </si>
  <si>
    <t>PKR/21-22/02158</t>
  </si>
  <si>
    <t>Tyre Changer &amp; Washer</t>
  </si>
  <si>
    <t>PKR/21-22/02171</t>
  </si>
  <si>
    <t>Lorries</t>
  </si>
  <si>
    <t>PKR/21-22/02173</t>
  </si>
  <si>
    <t>PKR/21-22/02174</t>
  </si>
  <si>
    <t>PKR/21-22/02175</t>
  </si>
  <si>
    <t>PKR/21-22/02176</t>
  </si>
  <si>
    <t>PKR/21-22/02177</t>
  </si>
  <si>
    <t>PKR/21-22/02178</t>
  </si>
  <si>
    <t>1600A ACB 3 Pole (L&amp;T)</t>
  </si>
  <si>
    <t>PKR/21-22/02151</t>
  </si>
  <si>
    <t>Electric Transformer</t>
  </si>
  <si>
    <t>PKR/21-22/02152</t>
  </si>
  <si>
    <t>PKR/21-22/02153</t>
  </si>
  <si>
    <t>Tippers</t>
  </si>
  <si>
    <t>YVSS Madhava Rao</t>
  </si>
  <si>
    <t>Patchava Saritha</t>
  </si>
  <si>
    <t>PKR/21-22/02170</t>
  </si>
  <si>
    <t>PKR/21-22/02179</t>
  </si>
  <si>
    <t>PKR/21-22/02172</t>
  </si>
  <si>
    <t>YTPP</t>
  </si>
  <si>
    <t>T012/21-22</t>
  </si>
  <si>
    <t>Revomac Industries</t>
  </si>
  <si>
    <t>Brick Making Machine</t>
  </si>
  <si>
    <t>T013/21-22</t>
  </si>
  <si>
    <t>SLS Engineers</t>
  </si>
  <si>
    <t>T029/21-22</t>
  </si>
  <si>
    <t>Walk Behind Roller</t>
  </si>
  <si>
    <t>AEPL/403/21-22</t>
  </si>
  <si>
    <t>Sany Excavator</t>
  </si>
  <si>
    <t>M/EX/21-22/130</t>
  </si>
  <si>
    <t>Fork Lift Machine</t>
  </si>
  <si>
    <t>The Mithra Agencies</t>
  </si>
  <si>
    <t>welding machine</t>
  </si>
  <si>
    <t>SR Advantech Systems Pvt. Ltd.</t>
  </si>
  <si>
    <t>Crane XGC55</t>
  </si>
  <si>
    <t>YTPP-Mechanical</t>
  </si>
  <si>
    <t>21.03.2022</t>
  </si>
  <si>
    <t>Schwing stetter (I) Pvt ltd</t>
  </si>
  <si>
    <t>Dozer</t>
  </si>
  <si>
    <t>Welding Machine</t>
  </si>
  <si>
    <t>Sanjeev Agencies</t>
  </si>
  <si>
    <t>Needle assay</t>
  </si>
  <si>
    <t>1900/21-22</t>
  </si>
  <si>
    <t>National Engineering co</t>
  </si>
  <si>
    <t>East Cost Railways</t>
  </si>
  <si>
    <t>Dozco (India) Pvt. Ltd.</t>
  </si>
  <si>
    <t>Bidyca Traders</t>
  </si>
  <si>
    <t>CM/11/02</t>
  </si>
  <si>
    <t>Chinmay Motors</t>
  </si>
  <si>
    <t>CM/11/01</t>
  </si>
  <si>
    <t>RT79</t>
  </si>
  <si>
    <t>Certifugal Pump</t>
  </si>
  <si>
    <t>RT81</t>
  </si>
  <si>
    <t>RT78</t>
  </si>
  <si>
    <t>RT80</t>
  </si>
  <si>
    <t>M/EX/21-22/128</t>
  </si>
  <si>
    <t>M/EX/21-22/126</t>
  </si>
  <si>
    <t>M/EX/21-22/125</t>
  </si>
  <si>
    <t>M/EX/21-22/127</t>
  </si>
  <si>
    <t>82.5KVA Genset</t>
  </si>
  <si>
    <t>Welding Machines</t>
  </si>
  <si>
    <t>Escorts Mini Tandem Roller</t>
  </si>
  <si>
    <t>TMS-94</t>
  </si>
  <si>
    <t>Soil permiability appartus &amp; weighing machine</t>
  </si>
  <si>
    <t>Apt Engineering company</t>
  </si>
  <si>
    <t>Soil permiability mould</t>
  </si>
  <si>
    <t>Crawler Drill JRD Model CD-110</t>
  </si>
  <si>
    <t>JRDPL/21-22/224</t>
  </si>
  <si>
    <t>Jupitor Rock Drills Pvt. Ltd.</t>
  </si>
  <si>
    <t>Hob cutter</t>
  </si>
  <si>
    <t>balaji tools &amp; Equipment</t>
  </si>
  <si>
    <t>Welding machine</t>
  </si>
  <si>
    <t>Sadarmatt barrage</t>
  </si>
  <si>
    <t>Welding machine (Arc &amp; Mig)</t>
  </si>
  <si>
    <t xml:space="preserve">Welding machine </t>
  </si>
  <si>
    <t xml:space="preserve">crane  </t>
  </si>
  <si>
    <t>sany heavy industry india pvt ltd</t>
  </si>
  <si>
    <t>M/EX/21-22/80</t>
  </si>
  <si>
    <t>M/EX/21-22/81</t>
  </si>
  <si>
    <t>M/EX/21-22/82</t>
  </si>
  <si>
    <t>M/EX/21-22/83</t>
  </si>
  <si>
    <t>M/EX/21-22/84</t>
  </si>
  <si>
    <t>M/EX/21-22/85</t>
  </si>
  <si>
    <t>M/EX/21-22/129</t>
  </si>
  <si>
    <t>M/EX/21-22/168</t>
  </si>
  <si>
    <t>M/EX/21-22/169</t>
  </si>
  <si>
    <t>M/EX/21-22/170</t>
  </si>
  <si>
    <t>M/EX/21-22/166</t>
  </si>
  <si>
    <t>M/EX/21-22/167</t>
  </si>
  <si>
    <t>M/EX/21-22/229</t>
  </si>
  <si>
    <t>Rock breaker machine and HP Filter</t>
  </si>
  <si>
    <t>S2223</t>
  </si>
  <si>
    <t>Lorries (Diesel browser)</t>
  </si>
  <si>
    <t>IJIPHD2122003402</t>
  </si>
  <si>
    <t>Jasper Industries pvt ltd</t>
  </si>
  <si>
    <t>IJIPHD2122003401</t>
  </si>
  <si>
    <t>IJIPHD2122003400</t>
  </si>
  <si>
    <t>IJIPHD2122003403</t>
  </si>
  <si>
    <t>Lorries (water tanker)</t>
  </si>
  <si>
    <t>IJIPHD2122003270</t>
  </si>
  <si>
    <t>IJIPHD2122003271</t>
  </si>
  <si>
    <t>IJIPHD2122003272</t>
  </si>
  <si>
    <t>IJIPHD2122003273</t>
  </si>
  <si>
    <t>IJIPHD2122003274</t>
  </si>
  <si>
    <t>IJIPHD2122003275</t>
  </si>
  <si>
    <t>IJIPHD2122003276</t>
  </si>
  <si>
    <t>IJIPHD2122003277</t>
  </si>
  <si>
    <t>Fabrication of tankers 8 nos</t>
  </si>
  <si>
    <t>inv no 162 to 169</t>
  </si>
  <si>
    <t>GPRs techie trucks</t>
  </si>
  <si>
    <t>Concrete Mixer pump</t>
  </si>
  <si>
    <t>Ramesh Engineering</t>
  </si>
  <si>
    <t>JCB 3dxs4</t>
  </si>
  <si>
    <t>MGB Motors and auto agencies pvt ltd</t>
  </si>
  <si>
    <t>Sri Sai Ganesh Agro Industries</t>
  </si>
  <si>
    <t>MVI16422100905</t>
  </si>
  <si>
    <t>Automotive Manufacture pvt ltd</t>
  </si>
  <si>
    <t>MVI16422100906</t>
  </si>
  <si>
    <t>MVI16422100907</t>
  </si>
  <si>
    <t>MVI16422100908</t>
  </si>
  <si>
    <t>MVI16422100909</t>
  </si>
  <si>
    <t>MVI16422100910</t>
  </si>
  <si>
    <t>MVI16422100911</t>
  </si>
  <si>
    <t>MVI16422100912</t>
  </si>
  <si>
    <t>MVI16422100913</t>
  </si>
  <si>
    <t>MVI16422100914</t>
  </si>
  <si>
    <t>MVI16422100915</t>
  </si>
  <si>
    <t>MVI16422100916</t>
  </si>
  <si>
    <t>MVI16422100917</t>
  </si>
  <si>
    <t>MVI16422100918</t>
  </si>
  <si>
    <t>MVI16422100919</t>
  </si>
  <si>
    <t>MVI16422100924</t>
  </si>
  <si>
    <t>MVI16422100925</t>
  </si>
  <si>
    <t>MVI16422100926</t>
  </si>
  <si>
    <t>MVI16422100927</t>
  </si>
  <si>
    <t>MVI16422100928</t>
  </si>
  <si>
    <t>Tippers-5 nos</t>
  </si>
  <si>
    <t>tataCapital Financisal Service Ltd</t>
  </si>
  <si>
    <t>weighing machine</t>
  </si>
  <si>
    <t>Essac Digitronics pvt ltd</t>
  </si>
  <si>
    <t>wetmix Plant</t>
  </si>
  <si>
    <t>Vibrant Construction Ltd</t>
  </si>
  <si>
    <t>62.5 kva koel Green DG Set</t>
  </si>
  <si>
    <t>Fabrication 40' Low Bed Trailor</t>
  </si>
  <si>
    <t>Lakshmi Durga Indistries</t>
  </si>
  <si>
    <t>Invertor Welding Machines</t>
  </si>
  <si>
    <t>12.5KVA Genset</t>
  </si>
  <si>
    <t>Generator House and Trading Company</t>
  </si>
  <si>
    <t>45KVA DG set</t>
  </si>
  <si>
    <t>JCB 3DX</t>
  </si>
  <si>
    <t>MRPL Marketing Termina Project</t>
  </si>
  <si>
    <t>RNS Earthmovers pvt ltd</t>
  </si>
  <si>
    <t>Concrete mixer</t>
  </si>
  <si>
    <t>hydraulic excavator</t>
  </si>
  <si>
    <t>M/ex/21-22/222</t>
  </si>
  <si>
    <t>Double drum Rollers 2 Nos</t>
  </si>
  <si>
    <t>fk2127102519</t>
  </si>
  <si>
    <t>Dynapac road construction equipment india pvt ltd</t>
  </si>
  <si>
    <t>Top con Total station Model</t>
  </si>
  <si>
    <t>Apt Servey Solustions p ltd</t>
  </si>
  <si>
    <t>Double drum Rollers 1 Nos</t>
  </si>
  <si>
    <t>M/ex/21-22/221</t>
  </si>
  <si>
    <t>testing equipment</t>
  </si>
  <si>
    <t>125kva genset</t>
  </si>
  <si>
    <t>Lower Tapi</t>
  </si>
  <si>
    <t>Desktop</t>
  </si>
  <si>
    <t>AMR</t>
  </si>
  <si>
    <t>My Computer</t>
  </si>
  <si>
    <t>Dell Laptop</t>
  </si>
  <si>
    <t>Intel Core I5 10Th Gen Desktop</t>
  </si>
  <si>
    <t>21-22-4</t>
  </si>
  <si>
    <t>21-22-6</t>
  </si>
  <si>
    <t>21-22-59</t>
  </si>
  <si>
    <t>21-22-83</t>
  </si>
  <si>
    <t>21-22-154</t>
  </si>
  <si>
    <t>21-22-185</t>
  </si>
  <si>
    <t>Lenova Laptop</t>
  </si>
  <si>
    <t>Dell  Laptop</t>
  </si>
  <si>
    <t>21-22-211</t>
  </si>
  <si>
    <t>21-22-202</t>
  </si>
  <si>
    <t>BC/TI/21-22/728</t>
  </si>
  <si>
    <t>Printer M1005</t>
  </si>
  <si>
    <t>BC/TI/21-22/800</t>
  </si>
  <si>
    <t>HP LED Monitor</t>
  </si>
  <si>
    <t>Canan Printer</t>
  </si>
  <si>
    <t>2021-22/1537</t>
  </si>
  <si>
    <t>LAN CC</t>
  </si>
  <si>
    <t>Stuti Technologies</t>
  </si>
  <si>
    <t>Modular Furniture</t>
  </si>
  <si>
    <t>NS01226</t>
  </si>
  <si>
    <t>HNI Office India Limited</t>
  </si>
  <si>
    <t>Furniture &amp; Fixtures</t>
  </si>
  <si>
    <t>PKR/21-22/02165</t>
  </si>
  <si>
    <t>almirah</t>
  </si>
  <si>
    <t>manufacturing</t>
  </si>
  <si>
    <t>Sowmya furnitures</t>
  </si>
  <si>
    <t>cots &amp; beds</t>
  </si>
  <si>
    <t>Godavari plywood &amp; doors</t>
  </si>
  <si>
    <t>almirah &amp; Iron cots</t>
  </si>
  <si>
    <t>Quarry Land</t>
  </si>
  <si>
    <t>Nimmagadda Pulla Rao</t>
  </si>
  <si>
    <t>Patchava Vamsi Krishna</t>
  </si>
  <si>
    <t>Patchava Karun Kumar</t>
  </si>
  <si>
    <t>Abbina Srihari</t>
  </si>
  <si>
    <t>Laterite Stone/Bricks</t>
  </si>
  <si>
    <t>05-21-22</t>
  </si>
  <si>
    <t>Pabitra Mohan Ayach</t>
  </si>
  <si>
    <t>Doors &amp; Windows</t>
  </si>
  <si>
    <t>ROL Form Engineering &amp; Profile</t>
  </si>
  <si>
    <t>Bricks &amp; Sand</t>
  </si>
  <si>
    <t>Munendra Ayach</t>
  </si>
  <si>
    <t>Sand</t>
  </si>
  <si>
    <t>50 MM Window Frame &amp; Ventillators</t>
  </si>
  <si>
    <t>Ridges &amp; GC sheets</t>
  </si>
  <si>
    <t>SA/623/21-22</t>
  </si>
  <si>
    <t>Sitaram Agarwala</t>
  </si>
  <si>
    <t xml:space="preserve">Flush Doors &amp; Lam  8mm </t>
  </si>
  <si>
    <t>917/21-22</t>
  </si>
  <si>
    <t>Shree Balaji Enterprises</t>
  </si>
  <si>
    <t>Windows Glass</t>
  </si>
  <si>
    <t>641/22-22</t>
  </si>
  <si>
    <t>Sakuntala Glass &amp; Ply</t>
  </si>
  <si>
    <t>11/21-22</t>
  </si>
  <si>
    <t>Shutters</t>
  </si>
  <si>
    <t>Radha Rolling Shutters &amp; Fabrication Works</t>
  </si>
  <si>
    <t>Consumables</t>
  </si>
  <si>
    <t>Ambica Agency</t>
  </si>
  <si>
    <t>Syamala Agencies</t>
  </si>
  <si>
    <t>Door frame &amp; Bathroom shutter</t>
  </si>
  <si>
    <t>MS door &amp; Cement jali</t>
  </si>
  <si>
    <t>Om trading</t>
  </si>
  <si>
    <t>GC Sheets</t>
  </si>
  <si>
    <t>50 Mm GI Channels</t>
  </si>
  <si>
    <t>ROI form Engineering and profile</t>
  </si>
  <si>
    <t>Main door frames and shutters</t>
  </si>
  <si>
    <t xml:space="preserve">MS door </t>
  </si>
  <si>
    <t>colour coated profile sheets</t>
  </si>
  <si>
    <t>SME/21-22/4168</t>
  </si>
  <si>
    <t>SME steels pvt ltd</t>
  </si>
  <si>
    <t>Main door frames and window frames</t>
  </si>
  <si>
    <t>tiles</t>
  </si>
  <si>
    <t>mahadev enterprises</t>
  </si>
  <si>
    <t>ms pipe square</t>
  </si>
  <si>
    <t>SB21y-05053</t>
  </si>
  <si>
    <t>mahalakshmi profiles pvt ltd</t>
  </si>
  <si>
    <t>SB21y-05054</t>
  </si>
  <si>
    <t xml:space="preserve">shankar Building </t>
  </si>
  <si>
    <t>Gi Channels</t>
  </si>
  <si>
    <t>SME/21-22/4317</t>
  </si>
  <si>
    <t>SME/21-22/4316</t>
  </si>
  <si>
    <t>SME/21-22/4663</t>
  </si>
  <si>
    <t>SME/21-22/4856</t>
  </si>
  <si>
    <t>SME/21-22/3936</t>
  </si>
  <si>
    <t>AC Machines</t>
  </si>
  <si>
    <t>PKR/21-22/02169</t>
  </si>
  <si>
    <t>1.5T AC's 6 Nos</t>
  </si>
  <si>
    <t>CR/138</t>
  </si>
  <si>
    <t>Manomay Overseas</t>
  </si>
  <si>
    <t>Samsung Fold Mobile</t>
  </si>
  <si>
    <t>SI/189</t>
  </si>
  <si>
    <t>First Telecom</t>
  </si>
  <si>
    <t>2021-22/H/872</t>
  </si>
  <si>
    <t>National Aircon india pvt ltd</t>
  </si>
  <si>
    <t>2 ton Split Ac</t>
  </si>
  <si>
    <t>GTITAL-00009</t>
  </si>
  <si>
    <t>PATs-1426</t>
  </si>
  <si>
    <t>Patra Electronics</t>
  </si>
  <si>
    <t>Air conditioner</t>
  </si>
  <si>
    <t>PATs-1445</t>
  </si>
  <si>
    <t>GSAL-2542</t>
  </si>
  <si>
    <t>Surya Electronics</t>
  </si>
  <si>
    <t>KIA Seltos</t>
  </si>
  <si>
    <t>T840121220673</t>
  </si>
  <si>
    <t>Car automotive llp</t>
  </si>
  <si>
    <t>Mahindra Bolero Camper</t>
  </si>
  <si>
    <t>VJW/JP/8/0455</t>
  </si>
  <si>
    <t>Automotive Manufactures pvt ltd</t>
  </si>
  <si>
    <t>VJW/JP/8/0775</t>
  </si>
  <si>
    <t>VJW/JP/8/0971</t>
  </si>
  <si>
    <t>VJW/JP/8/0970</t>
  </si>
  <si>
    <t>VJW/JP/8/0969</t>
  </si>
  <si>
    <t>Mahindra Bolero BS 6</t>
  </si>
  <si>
    <t>VJW/JP/8/0975</t>
  </si>
  <si>
    <t>VJW/JP/8/1090</t>
  </si>
  <si>
    <t>Hero Passion Pro</t>
  </si>
  <si>
    <t>11021BA22S3055</t>
  </si>
  <si>
    <t>11021BA22S3056</t>
  </si>
  <si>
    <t>HF Deluxe bike</t>
  </si>
  <si>
    <t>11021BA22S2784</t>
  </si>
  <si>
    <t>11021BA22S2785</t>
  </si>
  <si>
    <t>11021BA22S2786</t>
  </si>
  <si>
    <t>11021BK21S2483</t>
  </si>
  <si>
    <t>11021BK21S2484</t>
  </si>
  <si>
    <t>11021BK21S2547</t>
  </si>
  <si>
    <t>11021BK21S2463</t>
  </si>
  <si>
    <t>11021BK21S2869</t>
  </si>
  <si>
    <t>11021BK21S2870</t>
  </si>
  <si>
    <t>11021BK21S4789</t>
  </si>
  <si>
    <t>Mahindra Scorpio</t>
  </si>
  <si>
    <t>INV22A000632</t>
  </si>
  <si>
    <t>Aditya Motors</t>
  </si>
  <si>
    <t>Mahindra Bolero pickup</t>
  </si>
  <si>
    <t>INV22B000333</t>
  </si>
  <si>
    <t>Hero - AP39JF7484</t>
  </si>
  <si>
    <t>11021BC21S4789</t>
  </si>
  <si>
    <t>HF Deluxe Hero</t>
  </si>
  <si>
    <t>KP enterprises</t>
  </si>
  <si>
    <t>10305BL21S2789</t>
  </si>
  <si>
    <t>Satpuda Automobiles</t>
  </si>
  <si>
    <t>10305BL21S2790</t>
  </si>
  <si>
    <t>Bolero Pick up</t>
  </si>
  <si>
    <t>wchyd2122-3206</t>
  </si>
  <si>
    <t>VVC Motors Pvt Ltd</t>
  </si>
  <si>
    <t>s359</t>
  </si>
  <si>
    <t>Bhagath motors</t>
  </si>
  <si>
    <t>S358</t>
  </si>
  <si>
    <t>22c000190</t>
  </si>
  <si>
    <t>Anantcars Auto pvt ltd</t>
  </si>
  <si>
    <t>10172bc22s2828</t>
  </si>
  <si>
    <t>jayaram automobiles</t>
  </si>
  <si>
    <t>10926BK21S2170</t>
  </si>
  <si>
    <t>Navkar Wheels</t>
  </si>
  <si>
    <t>10926BK21S2171</t>
  </si>
  <si>
    <t>10926BK21S2172</t>
  </si>
  <si>
    <t>10926BK21S2173</t>
  </si>
  <si>
    <t>Summary addition for the FY 2021-22</t>
  </si>
  <si>
    <t>Bekem infra prorjects   Private Limited - Hyderabad</t>
  </si>
  <si>
    <t>Annexure - I</t>
  </si>
  <si>
    <t>Depreciation as per Income tax Act 1961  for the year ended   31-03-2023- HO</t>
  </si>
  <si>
    <t>Sl.</t>
  </si>
  <si>
    <t>Rate of</t>
  </si>
  <si>
    <t>WDV as</t>
  </si>
  <si>
    <t>ADDITIONS</t>
  </si>
  <si>
    <t>Dep. For</t>
  </si>
  <si>
    <t>No.</t>
  </si>
  <si>
    <t>Dep.</t>
  </si>
  <si>
    <t>on 01-04-2022</t>
  </si>
  <si>
    <t>Deletions</t>
  </si>
  <si>
    <t>the year</t>
  </si>
  <si>
    <t>Plant &amp; Machinery</t>
  </si>
  <si>
    <t>EDP Equipments</t>
  </si>
  <si>
    <t>Building</t>
  </si>
  <si>
    <t>Temporary Sheds</t>
  </si>
  <si>
    <t>building</t>
  </si>
  <si>
    <t>Electrical equipement</t>
  </si>
  <si>
    <t>Sl. No.</t>
  </si>
  <si>
    <t>Description of the asset</t>
  </si>
  <si>
    <t>Date of Sale</t>
  </si>
  <si>
    <t>Name of the Party</t>
  </si>
  <si>
    <t xml:space="preserve">Location of the </t>
  </si>
  <si>
    <t>Grosss Book Value</t>
  </si>
  <si>
    <t>Depriciation</t>
  </si>
  <si>
    <t>Net Book Value</t>
  </si>
  <si>
    <t xml:space="preserve">Sale Consideration </t>
  </si>
  <si>
    <t>Profit or Loss</t>
  </si>
  <si>
    <t>Asset</t>
  </si>
  <si>
    <t xml:space="preserve">Profit </t>
  </si>
  <si>
    <t xml:space="preserve">Loss </t>
  </si>
  <si>
    <t>HO</t>
  </si>
  <si>
    <t>Gross Block Deducted from</t>
  </si>
  <si>
    <t>Lss Depriciation</t>
  </si>
  <si>
    <t>Book Value</t>
  </si>
  <si>
    <t>Sale Value</t>
  </si>
  <si>
    <t>Profit/loss  on Sale of Asset(Net)</t>
  </si>
  <si>
    <t>Profit  on Sale of Asset</t>
  </si>
  <si>
    <t xml:space="preserve">HO </t>
  </si>
  <si>
    <t>Loss on Sale of Asset</t>
  </si>
  <si>
    <t>Bekem infra  Projects Private Limited</t>
  </si>
  <si>
    <t xml:space="preserve"> Income Taxes &amp; Deffered Taxes</t>
  </si>
  <si>
    <t>wdv IT Act</t>
  </si>
  <si>
    <t>Companies Act</t>
  </si>
  <si>
    <t>Deferred amount</t>
  </si>
  <si>
    <t>Deferred tax to be recognised expense/(Benefit)</t>
  </si>
  <si>
    <t>Deferred tax to be recognised as OCI</t>
  </si>
  <si>
    <t xml:space="preserve">unrealised net gain on fair value of equity </t>
  </si>
  <si>
    <t>Less:</t>
  </si>
  <si>
    <t xml:space="preserve">    </t>
  </si>
  <si>
    <t>Gratuity</t>
  </si>
  <si>
    <t>Loss allowance for trade receivables</t>
  </si>
  <si>
    <t>Right of use asset-net of future lease rentals</t>
  </si>
  <si>
    <t>Total Deferred Tax to be recognised during the current year</t>
  </si>
  <si>
    <t>Deferred tax Liability as on 31 March 2022</t>
  </si>
  <si>
    <t>Total net Deferred tax liability( Assets)</t>
  </si>
  <si>
    <t>DTL as per Financials</t>
  </si>
  <si>
    <t>P &amp; L</t>
  </si>
  <si>
    <t>OCI P &amp; L</t>
  </si>
  <si>
    <t>BS</t>
  </si>
  <si>
    <t>As at 31.03.2023</t>
  </si>
  <si>
    <t>Statement showing deferred tax calcultion for year ending 31 March 2023</t>
  </si>
  <si>
    <t>WDV of FA as on 31 March 2023</t>
  </si>
  <si>
    <t>Deferred tax Liability as on 31 March 2023</t>
  </si>
  <si>
    <t>As at 31.03.23</t>
  </si>
  <si>
    <t>DTL already recognised in 31 March 2022</t>
  </si>
  <si>
    <t>tax as at 31.03.2023</t>
  </si>
  <si>
    <t>BEKEM INFRA PROJECTS PVT LIMITED</t>
  </si>
  <si>
    <t>Gross Block</t>
  </si>
  <si>
    <t>Depreciation Block</t>
  </si>
  <si>
    <t>As on</t>
  </si>
  <si>
    <t>No. of</t>
  </si>
  <si>
    <t>Depreciation for the year</t>
  </si>
  <si>
    <t>as at 31.03.2023</t>
  </si>
  <si>
    <t>BUILDINGS</t>
  </si>
  <si>
    <t xml:space="preserve">CONSTRUCTION EQUIPMENT  </t>
  </si>
  <si>
    <t>ELECTRICAL EQIPEMENT</t>
  </si>
  <si>
    <t xml:space="preserve">FURNITURE &amp; FIXTURES </t>
  </si>
  <si>
    <t>VEHICLES</t>
  </si>
  <si>
    <t>OFFICE EQUIPMENT :</t>
  </si>
  <si>
    <t>EDP EQUIPMENT :</t>
  </si>
  <si>
    <t>Location</t>
  </si>
  <si>
    <t>During the Year</t>
  </si>
  <si>
    <t>PUT IN TO USE</t>
  </si>
  <si>
    <t>No of days used</t>
  </si>
  <si>
    <t>Useful Life in Years</t>
  </si>
  <si>
    <t>Used Life in Years</t>
  </si>
  <si>
    <t>Remaining Life in Years</t>
  </si>
  <si>
    <t xml:space="preserve"> RATE OF DEPRECIATION</t>
  </si>
  <si>
    <t>0.5% of Cost</t>
  </si>
  <si>
    <t>LAND</t>
  </si>
  <si>
    <t>temporary construction</t>
  </si>
  <si>
    <t>Temorary Construction</t>
  </si>
  <si>
    <t>Construction Material</t>
  </si>
  <si>
    <t>Camp</t>
  </si>
  <si>
    <t>CONSTRUCTION EQUIPMENT  :</t>
  </si>
  <si>
    <t>Year of Purchase</t>
  </si>
  <si>
    <t>Name of Supplier</t>
  </si>
  <si>
    <t>Bill No</t>
  </si>
  <si>
    <t>Bill Date</t>
  </si>
  <si>
    <t>Date of Capitalisation</t>
  </si>
  <si>
    <t>no of days in20-21</t>
  </si>
  <si>
    <t>RATE OF DEPRECIATION</t>
  </si>
  <si>
    <t>5% of Cost</t>
  </si>
  <si>
    <t>Compressor</t>
  </si>
  <si>
    <t>2007-08</t>
  </si>
  <si>
    <t>Chicago Pneumatic</t>
  </si>
  <si>
    <t>800271</t>
  </si>
  <si>
    <t>0</t>
  </si>
  <si>
    <t>11/08/2007</t>
  </si>
  <si>
    <t>800272</t>
  </si>
  <si>
    <t>800240</t>
  </si>
  <si>
    <t>Escorts Construction Equipment  Ltd</t>
  </si>
  <si>
    <t>DS/71777</t>
  </si>
  <si>
    <t>DS/71785</t>
  </si>
  <si>
    <t>195</t>
  </si>
  <si>
    <t>210</t>
  </si>
  <si>
    <t>211</t>
  </si>
  <si>
    <t>DS/71868</t>
  </si>
  <si>
    <t>155</t>
  </si>
  <si>
    <t>Drilling Machine</t>
  </si>
  <si>
    <t>EIFCO Machine Tools (P) Ltd</t>
  </si>
  <si>
    <t>324</t>
  </si>
  <si>
    <t>24/07/2007</t>
  </si>
  <si>
    <t>2904</t>
  </si>
  <si>
    <t>2006-07</t>
  </si>
  <si>
    <t>Generator Sales &amp; Services</t>
  </si>
  <si>
    <t>Dee-tech Projevcts P Ltd</t>
  </si>
  <si>
    <t>CHN/0607/001</t>
  </si>
  <si>
    <t>CHN/0607/002</t>
  </si>
  <si>
    <t>HYD/0607/16</t>
  </si>
  <si>
    <t>Dominion Power Systems Pvt. Ltd</t>
  </si>
  <si>
    <t>014</t>
  </si>
  <si>
    <t>016</t>
  </si>
  <si>
    <t>169</t>
  </si>
  <si>
    <t>231</t>
  </si>
  <si>
    <t>256</t>
  </si>
  <si>
    <t>Aurangabad</t>
  </si>
  <si>
    <t>2008-09</t>
  </si>
  <si>
    <t>Pothireddy Padu</t>
  </si>
  <si>
    <t>Grinding Machine</t>
  </si>
  <si>
    <t>Maruthi Enterprises</t>
  </si>
  <si>
    <t>37</t>
  </si>
  <si>
    <t>Agrawal Commercial Company</t>
  </si>
  <si>
    <t>165</t>
  </si>
  <si>
    <t>732</t>
  </si>
  <si>
    <t>1007</t>
  </si>
  <si>
    <t>2004</t>
  </si>
  <si>
    <t>3234</t>
  </si>
  <si>
    <t>3852</t>
  </si>
  <si>
    <t>Hydraulic Jack</t>
  </si>
  <si>
    <t>Reliable Engg Products (I) P ltd</t>
  </si>
  <si>
    <t>1452</t>
  </si>
  <si>
    <t>SHMPCL-BKM</t>
  </si>
  <si>
    <t>Bhavani Mechine Tools</t>
  </si>
  <si>
    <t>19</t>
  </si>
  <si>
    <t>Lathe Machine</t>
  </si>
  <si>
    <t>Syndicate Machines</t>
  </si>
  <si>
    <t>SM/009/2008</t>
  </si>
  <si>
    <t>Plano Miller</t>
  </si>
  <si>
    <t>2005-06</t>
  </si>
  <si>
    <t>S.R. Advan Systems P ltd</t>
  </si>
  <si>
    <t>889</t>
  </si>
  <si>
    <t>888</t>
  </si>
  <si>
    <t>887</t>
  </si>
  <si>
    <t>886</t>
  </si>
  <si>
    <t>S.R. Advan Systems Pvt Ltd</t>
  </si>
  <si>
    <t>409</t>
  </si>
  <si>
    <t>Indigo Engineers &amp; Makers</t>
  </si>
  <si>
    <t>09/0607</t>
  </si>
  <si>
    <t>001036</t>
  </si>
  <si>
    <t>001038</t>
  </si>
  <si>
    <t>S.R.Welding Systems</t>
  </si>
  <si>
    <t>001</t>
  </si>
  <si>
    <t>24C</t>
  </si>
  <si>
    <t>S.S. Engineers</t>
  </si>
  <si>
    <t>200</t>
  </si>
  <si>
    <t>88</t>
  </si>
  <si>
    <t>278</t>
  </si>
  <si>
    <t>121</t>
  </si>
  <si>
    <t>124</t>
  </si>
  <si>
    <t>448</t>
  </si>
  <si>
    <t>51</t>
  </si>
  <si>
    <t>Trailer</t>
  </si>
  <si>
    <t>K. Ram Mohan Rao</t>
  </si>
  <si>
    <t>02/04/2007</t>
  </si>
  <si>
    <t>Loader-JCB</t>
  </si>
  <si>
    <t>Shalegoan</t>
  </si>
  <si>
    <t>JCB India  Ltd</t>
  </si>
  <si>
    <t>6810007129</t>
  </si>
  <si>
    <t>30/11/2008</t>
  </si>
  <si>
    <t>1171001561</t>
  </si>
  <si>
    <t>Trailer-01</t>
  </si>
  <si>
    <t>Tata Motors Ltd</t>
  </si>
  <si>
    <t>937906961</t>
  </si>
  <si>
    <t>Trailer-02</t>
  </si>
  <si>
    <t>Smt. Bhagya Lakshmi</t>
  </si>
  <si>
    <t>Proclainer</t>
  </si>
  <si>
    <t>Telco construction Equipment Co Ltd.</t>
  </si>
  <si>
    <t>12004602</t>
  </si>
  <si>
    <t>Transit Mixure-1</t>
  </si>
  <si>
    <t>A/931908323</t>
  </si>
  <si>
    <t>31/12/2008</t>
  </si>
  <si>
    <t>Transit Mixure-2</t>
  </si>
  <si>
    <t>A/931908324</t>
  </si>
  <si>
    <t>Transit Mixure-3</t>
  </si>
  <si>
    <t>A/931908325</t>
  </si>
  <si>
    <t>Aggrawal Machine Tools</t>
  </si>
  <si>
    <t>2305</t>
  </si>
  <si>
    <t>2480</t>
  </si>
  <si>
    <t>SMHPCL</t>
  </si>
  <si>
    <t>Sany Heavy  Indusrty India Pvt Ltd</t>
  </si>
  <si>
    <t>sany/08-09/mac/mum/044</t>
  </si>
  <si>
    <t>16/12/2008</t>
  </si>
  <si>
    <t>Axis Milling Machine</t>
  </si>
  <si>
    <t>Precitic</t>
  </si>
  <si>
    <t>52</t>
  </si>
  <si>
    <t>31/03/2008</t>
  </si>
  <si>
    <t>Tippers-BIPPL-1</t>
  </si>
  <si>
    <t>Tata Motors Limited</t>
  </si>
  <si>
    <t>A/931908296</t>
  </si>
  <si>
    <t>Tippers-BIPPL-2</t>
  </si>
  <si>
    <t>A/931908297</t>
  </si>
  <si>
    <t>Tippers-BIPPL-3</t>
  </si>
  <si>
    <t>A/931908298</t>
  </si>
  <si>
    <t>Tippers-BIPPL-4</t>
  </si>
  <si>
    <t>A/931908299</t>
  </si>
  <si>
    <t>Tippers-BIPPL-5</t>
  </si>
  <si>
    <t>A/931908300</t>
  </si>
  <si>
    <t>Tippers-BIPPL-6</t>
  </si>
  <si>
    <t>A/931908301</t>
  </si>
  <si>
    <t>Tippers-BIPPL-7</t>
  </si>
  <si>
    <t>A/931908302</t>
  </si>
  <si>
    <t>Tippers-BIPPL-8</t>
  </si>
  <si>
    <t>A/931908303</t>
  </si>
  <si>
    <t>Tippers-BIPPL-9</t>
  </si>
  <si>
    <t>A/931908304</t>
  </si>
  <si>
    <t>Tippers-BIPPL-10</t>
  </si>
  <si>
    <t>A/931908305</t>
  </si>
  <si>
    <t>Tippers-BIPPL-11</t>
  </si>
  <si>
    <t>A/931908306</t>
  </si>
  <si>
    <t>Tippers-BIPPL-12</t>
  </si>
  <si>
    <t>A/931908307</t>
  </si>
  <si>
    <t>Tippers-BIPPL-13</t>
  </si>
  <si>
    <t>A/931908308</t>
  </si>
  <si>
    <t>Tippers-BIPPL-14</t>
  </si>
  <si>
    <t>A/931908309</t>
  </si>
  <si>
    <t>Tippers-BIPPL-15</t>
  </si>
  <si>
    <t>A/931908313</t>
  </si>
  <si>
    <t>Crane-01</t>
  </si>
  <si>
    <t>Crane-02</t>
  </si>
  <si>
    <t>Escort construction  Equipment Ltd</t>
  </si>
  <si>
    <t>DS/85082</t>
  </si>
  <si>
    <t>Crane-03</t>
  </si>
  <si>
    <t>DS/85080</t>
  </si>
  <si>
    <t>Crane-04</t>
  </si>
  <si>
    <t>DS/85081</t>
  </si>
  <si>
    <t>Crane-05</t>
  </si>
  <si>
    <t>AP/131</t>
  </si>
  <si>
    <t>Crane-06</t>
  </si>
  <si>
    <t>AP/132</t>
  </si>
  <si>
    <t>Crane-07</t>
  </si>
  <si>
    <t>sany/08-09/mac/91</t>
  </si>
  <si>
    <t>Crane-08</t>
  </si>
  <si>
    <t>Karranala</t>
  </si>
  <si>
    <t>RP/74</t>
  </si>
  <si>
    <t>Excavator-01</t>
  </si>
  <si>
    <t>Sany/08-09/mac/86</t>
  </si>
  <si>
    <t>Generator-01</t>
  </si>
  <si>
    <t>Dominion Power Systems Pvt Ltd</t>
  </si>
  <si>
    <t>Generator-02</t>
  </si>
  <si>
    <t>Generator-03</t>
  </si>
  <si>
    <t>Generator-04</t>
  </si>
  <si>
    <t>Karranalla-CG</t>
  </si>
  <si>
    <t>Generator-05</t>
  </si>
  <si>
    <t>Singutalur</t>
  </si>
  <si>
    <t>249</t>
  </si>
  <si>
    <t>Generator-06</t>
  </si>
  <si>
    <t>261</t>
  </si>
  <si>
    <t>Jb Engineering &amp; Industrial Co</t>
  </si>
  <si>
    <t>J1/42/08-09</t>
  </si>
  <si>
    <t>J1/44/08-09</t>
  </si>
  <si>
    <t>Esquire Machines Pvt Ltd.</t>
  </si>
  <si>
    <t>358</t>
  </si>
  <si>
    <t>359</t>
  </si>
  <si>
    <t>376</t>
  </si>
  <si>
    <t>377</t>
  </si>
  <si>
    <t>542</t>
  </si>
  <si>
    <t>543</t>
  </si>
  <si>
    <t>Compactor</t>
  </si>
  <si>
    <t>DS/81662</t>
  </si>
  <si>
    <t>Rock breaker-01</t>
  </si>
  <si>
    <t>28768827</t>
  </si>
  <si>
    <t>Rock breaker-02</t>
  </si>
  <si>
    <t>287688278</t>
  </si>
  <si>
    <t>CRUSHER-Parts</t>
  </si>
  <si>
    <t>Singh Quarry Equipments Pvt Ltd.</t>
  </si>
  <si>
    <t>171</t>
  </si>
  <si>
    <t>Auto Level Instrument</t>
  </si>
  <si>
    <t>Alpha Engineering Equipments</t>
  </si>
  <si>
    <t>173</t>
  </si>
  <si>
    <t>Blower</t>
  </si>
  <si>
    <t>Ram's Infra Engineers</t>
  </si>
  <si>
    <t>64</t>
  </si>
  <si>
    <t>Pneumatic Cement Conveying Plant</t>
  </si>
  <si>
    <t>05</t>
  </si>
  <si>
    <t>19/2</t>
  </si>
  <si>
    <t>Fogging Machine</t>
  </si>
  <si>
    <t>A. Tayyeb Traders</t>
  </si>
  <si>
    <t>381</t>
  </si>
  <si>
    <t>Surveying Machine</t>
  </si>
  <si>
    <t>189</t>
  </si>
  <si>
    <t>Tool &amp; Tackles</t>
  </si>
  <si>
    <t>2542</t>
  </si>
  <si>
    <t>Chains and Spares  Corporation</t>
  </si>
  <si>
    <t>786/CSC/13066</t>
  </si>
  <si>
    <t>2369</t>
  </si>
  <si>
    <t>1915</t>
  </si>
  <si>
    <t>1929</t>
  </si>
  <si>
    <t>SS Engineers</t>
  </si>
  <si>
    <t>808</t>
  </si>
  <si>
    <t>829</t>
  </si>
  <si>
    <t>karranalla-AP</t>
  </si>
  <si>
    <t>karranalla</t>
  </si>
  <si>
    <t>872</t>
  </si>
  <si>
    <t>Hydrolic Jack</t>
  </si>
  <si>
    <t>Bemco Hytech Pvt. Ltd</t>
  </si>
  <si>
    <t>BH53</t>
  </si>
  <si>
    <t>Chain Blocks</t>
  </si>
  <si>
    <t>Pothireddypadu</t>
  </si>
  <si>
    <t>786/CSC/12449</t>
  </si>
  <si>
    <t>Pedavagu</t>
  </si>
  <si>
    <t>4</t>
  </si>
  <si>
    <t>Harsh Trading  Company</t>
  </si>
  <si>
    <t>2311</t>
  </si>
  <si>
    <t>4859</t>
  </si>
  <si>
    <t>SAL03214</t>
  </si>
  <si>
    <t>SAL03215</t>
  </si>
  <si>
    <t>SAL03217</t>
  </si>
  <si>
    <t>2009-10</t>
  </si>
  <si>
    <t>58</t>
  </si>
  <si>
    <t>Chains and Spares Corporation</t>
  </si>
  <si>
    <t>786/csc/01208</t>
  </si>
  <si>
    <t>Srisailam</t>
  </si>
  <si>
    <t>786/csc/01207</t>
  </si>
  <si>
    <t>786/csc/01206</t>
  </si>
  <si>
    <t>786/csc/01205</t>
  </si>
  <si>
    <t>786/CSC/01285</t>
  </si>
  <si>
    <t>786/CSC/01286</t>
  </si>
  <si>
    <t>Crane Hook</t>
  </si>
  <si>
    <t>1112400113</t>
  </si>
  <si>
    <t>Mordern Cranes</t>
  </si>
  <si>
    <t>Sri Sri Engineering Enterprises</t>
  </si>
  <si>
    <t>45</t>
  </si>
  <si>
    <t>Excavator-03</t>
  </si>
  <si>
    <t>sany/ex/210/Bekem/001</t>
  </si>
  <si>
    <t>18</t>
  </si>
  <si>
    <t>Indian Tools</t>
  </si>
  <si>
    <t>120</t>
  </si>
  <si>
    <t>5039</t>
  </si>
  <si>
    <t>SRT/2016</t>
  </si>
  <si>
    <t>953</t>
  </si>
  <si>
    <t>Hydraulic Power Press</t>
  </si>
  <si>
    <t>Yellampally</t>
  </si>
  <si>
    <t>Bhavani Machine Tools</t>
  </si>
  <si>
    <t>079</t>
  </si>
  <si>
    <t>Karvy  Engineering</t>
  </si>
  <si>
    <t>407/2009/2010</t>
  </si>
  <si>
    <t xml:space="preserve">Brisk Tech Engineers </t>
  </si>
  <si>
    <t>Metro Hardware</t>
  </si>
  <si>
    <t>606</t>
  </si>
  <si>
    <t>43</t>
  </si>
  <si>
    <t>1971</t>
  </si>
  <si>
    <t>577</t>
  </si>
  <si>
    <t>2010-11</t>
  </si>
  <si>
    <t>Airspares &amp; Eqipments</t>
  </si>
  <si>
    <t>CR-3118</t>
  </si>
  <si>
    <t>3159</t>
  </si>
  <si>
    <t>Lower tapi</t>
  </si>
  <si>
    <t>Aggarwal Machine Tools.</t>
  </si>
  <si>
    <t>3937</t>
  </si>
  <si>
    <t>Concrete Mixer</t>
  </si>
  <si>
    <t>Buildcon India</t>
  </si>
  <si>
    <t>7013/2010-11</t>
  </si>
  <si>
    <t>Crane-Ltax-6 Nos</t>
  </si>
  <si>
    <t>Life Tax only</t>
  </si>
  <si>
    <t>Life Tax for 6 Cranes</t>
  </si>
  <si>
    <t>Graves Cotton Limited</t>
  </si>
  <si>
    <t>68300990ZDF2</t>
  </si>
  <si>
    <t>50153542/ZDF2</t>
  </si>
  <si>
    <t>68301737</t>
  </si>
  <si>
    <t>68301740</t>
  </si>
  <si>
    <t>L &amp; T Komatsu Limited</t>
  </si>
  <si>
    <t>911000565</t>
  </si>
  <si>
    <t>261400036</t>
  </si>
  <si>
    <t>261400037</t>
  </si>
  <si>
    <t>10600021</t>
  </si>
  <si>
    <t>443</t>
  </si>
  <si>
    <t>Mfg Unit</t>
  </si>
  <si>
    <t>442</t>
  </si>
  <si>
    <t>3226</t>
  </si>
  <si>
    <t>Crane-Mobile</t>
  </si>
  <si>
    <t>Jorthang</t>
  </si>
  <si>
    <t>Escorts Construction Equipments Ltd</t>
  </si>
  <si>
    <t>D/S/102055</t>
  </si>
  <si>
    <t>13</t>
  </si>
  <si>
    <t>Floor Bring Machine</t>
  </si>
  <si>
    <t>SM/49/2010-11</t>
  </si>
  <si>
    <t>Plate Blending Machine</t>
  </si>
  <si>
    <t>SM/79/2010-11</t>
  </si>
  <si>
    <t>14./08/2010</t>
  </si>
  <si>
    <t>SM/125/2010-11</t>
  </si>
  <si>
    <t>Quality Equiments</t>
  </si>
  <si>
    <t>C. L. Engineering  Equipment  (I) Pvt Ltd</t>
  </si>
  <si>
    <t>Salcre/0817 &amp; 819</t>
  </si>
  <si>
    <t>Rock Drill Machine</t>
  </si>
  <si>
    <t>Jupiter Rock Drills Pvt. Ltd</t>
  </si>
  <si>
    <t>74</t>
  </si>
  <si>
    <t>Thedolite</t>
  </si>
  <si>
    <t>277</t>
  </si>
  <si>
    <t>Weighing Scale</t>
  </si>
  <si>
    <t>Mallikarjun steel traders</t>
  </si>
  <si>
    <t>2</t>
  </si>
  <si>
    <t>3530</t>
  </si>
  <si>
    <t>Godbole</t>
  </si>
  <si>
    <t>S.R.Advan Tech Systems Pvt. Ltd.</t>
  </si>
  <si>
    <t>Indiana Tools</t>
  </si>
  <si>
    <t>224</t>
  </si>
  <si>
    <t>60</t>
  </si>
  <si>
    <t>65</t>
  </si>
  <si>
    <t>67</t>
  </si>
  <si>
    <t>149</t>
  </si>
  <si>
    <t>8146</t>
  </si>
  <si>
    <t>Pulichintala</t>
  </si>
  <si>
    <t>2011-12</t>
  </si>
  <si>
    <t>Escorts Construction Equipment Ltd</t>
  </si>
  <si>
    <t>AP/11069</t>
  </si>
  <si>
    <t>AP/11070</t>
  </si>
  <si>
    <t>AP/11111</t>
  </si>
  <si>
    <t>Shelgoan</t>
  </si>
  <si>
    <t>10600056</t>
  </si>
  <si>
    <t>SHMPCL</t>
  </si>
  <si>
    <t>112402126</t>
  </si>
  <si>
    <t>Pentacle &amp; Readymix</t>
  </si>
  <si>
    <t>3,15,219,16,166, 120626</t>
  </si>
  <si>
    <t>Tata Motor &amp; Schwing Stetter</t>
  </si>
  <si>
    <t>986462370 &amp; 81007696</t>
  </si>
  <si>
    <t>20/10/11 &amp; 18/10/2011</t>
  </si>
  <si>
    <t>986462371 &amp; 81007697</t>
  </si>
  <si>
    <t>986462372 &amp; 81007697</t>
  </si>
  <si>
    <t>JCB</t>
  </si>
  <si>
    <t>JCB India Limited</t>
  </si>
  <si>
    <t>6210009117</t>
  </si>
  <si>
    <t>Esquire Machines Pvt Ltd</t>
  </si>
  <si>
    <t>00081</t>
  </si>
  <si>
    <t>00082</t>
  </si>
  <si>
    <t>C.L. Engineering Eqipments (I) P. Ltd</t>
  </si>
  <si>
    <t>SACredit/435, 435 &amp; 546</t>
  </si>
  <si>
    <t>Pothyreddy padu</t>
  </si>
  <si>
    <t>Greaves Cotton Limited</t>
  </si>
  <si>
    <t>50154802</t>
  </si>
  <si>
    <t>50155503</t>
  </si>
  <si>
    <t>50155515</t>
  </si>
  <si>
    <t>50155516</t>
  </si>
  <si>
    <t>Manufacturing Unit</t>
  </si>
  <si>
    <t>75885004</t>
  </si>
  <si>
    <t>Sahyog Enterprises</t>
  </si>
  <si>
    <t>2011-12/36</t>
  </si>
  <si>
    <t>SM/026/2011</t>
  </si>
  <si>
    <t>S. S. Engineers</t>
  </si>
  <si>
    <t>677</t>
  </si>
  <si>
    <t>15/12/2011</t>
  </si>
  <si>
    <t>1734</t>
  </si>
  <si>
    <t>07/03/2011</t>
  </si>
  <si>
    <t>Yellampally-HM</t>
  </si>
  <si>
    <t>2012-13</t>
  </si>
  <si>
    <t>511100045</t>
  </si>
  <si>
    <t>Basanthpur</t>
  </si>
  <si>
    <t>511100058</t>
  </si>
  <si>
    <t>TIL Limited</t>
  </si>
  <si>
    <t>1719/100</t>
  </si>
  <si>
    <t>511100056</t>
  </si>
  <si>
    <t>DS/121508</t>
  </si>
  <si>
    <t>1943/100</t>
  </si>
  <si>
    <t>SM/001/12-13</t>
  </si>
  <si>
    <t>SM/046/12-13</t>
  </si>
  <si>
    <t>Batching Plant-Mobile</t>
  </si>
  <si>
    <t>Putzmeister Concrete Machine P Ltd</t>
  </si>
  <si>
    <t>90270154</t>
  </si>
  <si>
    <t>75885112/ZDF2</t>
  </si>
  <si>
    <t>74160314/ZDF2</t>
  </si>
  <si>
    <t>74160376/ZDF2</t>
  </si>
  <si>
    <t>Eastwest Eng. &amp; Electronics Pvt Ltd</t>
  </si>
  <si>
    <t>499</t>
  </si>
  <si>
    <t>181</t>
  </si>
  <si>
    <t>251</t>
  </si>
  <si>
    <t>S. R. Weldings Systems</t>
  </si>
  <si>
    <t>1</t>
  </si>
  <si>
    <t>2/4/2012</t>
  </si>
  <si>
    <t>32</t>
  </si>
  <si>
    <t>724</t>
  </si>
  <si>
    <t>GB Internationals</t>
  </si>
  <si>
    <t>727</t>
  </si>
  <si>
    <t>3535</t>
  </si>
  <si>
    <t>Bolt treading Machine</t>
  </si>
  <si>
    <t>Kelo</t>
  </si>
  <si>
    <t>Nibeson Sales Corporation</t>
  </si>
  <si>
    <t>26/10/2012</t>
  </si>
  <si>
    <t>783/CSC/7760</t>
  </si>
  <si>
    <t>30-03-2013</t>
  </si>
  <si>
    <t>Indo hydraulic (Bombay) Pvt. Ltd</t>
  </si>
  <si>
    <t>16</t>
  </si>
  <si>
    <t>11/4/2012</t>
  </si>
  <si>
    <t>Quality Equipments</t>
  </si>
  <si>
    <t>Shri Ram Transmissions</t>
  </si>
  <si>
    <t>110</t>
  </si>
  <si>
    <t>Painting Equipment</t>
  </si>
  <si>
    <t>Ghatne</t>
  </si>
  <si>
    <t>Advance Coating Equipments</t>
  </si>
  <si>
    <t>438</t>
  </si>
  <si>
    <t>25/01/2013</t>
  </si>
  <si>
    <t>Jigirhal</t>
  </si>
  <si>
    <t>501</t>
  </si>
  <si>
    <t>28/02/2013</t>
  </si>
  <si>
    <t>Mancherial Railway Bridge</t>
  </si>
  <si>
    <t>2013-14</t>
  </si>
  <si>
    <t>Pentacle Plant &amp; Machineries Pvt Ltd</t>
  </si>
  <si>
    <t>005</t>
  </si>
  <si>
    <t>2/4/2013</t>
  </si>
  <si>
    <t>2/12/2013</t>
  </si>
  <si>
    <t>Batching Plant-Automation</t>
  </si>
  <si>
    <t>35</t>
  </si>
  <si>
    <t>6/1/2014</t>
  </si>
  <si>
    <t>Rafti Canal</t>
  </si>
  <si>
    <t>68305640/ZDF2</t>
  </si>
  <si>
    <t>10/1/2014</t>
  </si>
  <si>
    <t>74162023/ZDF2</t>
  </si>
  <si>
    <t>21/12/2013</t>
  </si>
  <si>
    <t>74162120</t>
  </si>
  <si>
    <t>Samoda Barrage</t>
  </si>
  <si>
    <t>Shree Nurshingsahay Mudungopal Engg P Ltd</t>
  </si>
  <si>
    <t>2030087</t>
  </si>
  <si>
    <t>25/02/2013</t>
  </si>
  <si>
    <t>Concrete Pump</t>
  </si>
  <si>
    <t>Schwing Shutter (India) Pvt Ltd</t>
  </si>
  <si>
    <t>85006993 &amp; 85153247</t>
  </si>
  <si>
    <t>24/04/2013</t>
  </si>
  <si>
    <t>85007597 &amp; 85159334, 1314-100263</t>
  </si>
  <si>
    <t>31/03/2014</t>
  </si>
  <si>
    <t>81009985</t>
  </si>
  <si>
    <t>08/03/2014</t>
  </si>
  <si>
    <t>Weighing Scale-Digital</t>
  </si>
  <si>
    <t>Hyderabad Tulaman Pvt Ltd</t>
  </si>
  <si>
    <t>0811</t>
  </si>
  <si>
    <t>05/3/2014</t>
  </si>
  <si>
    <t>Crane-Addition</t>
  </si>
  <si>
    <t>Reg Charges</t>
  </si>
  <si>
    <t>2/5/2013</t>
  </si>
  <si>
    <t>Cement- Silo</t>
  </si>
  <si>
    <t>VST Industries</t>
  </si>
  <si>
    <t>398 &amp; 399</t>
  </si>
  <si>
    <t>2/12/2014</t>
  </si>
  <si>
    <t>Testing Inspection-Equipment</t>
  </si>
  <si>
    <t>Suvidha Inspections Methods &amp; Systems</t>
  </si>
  <si>
    <t>91</t>
  </si>
  <si>
    <t>APT Survey Soluations Pvt Ltd</t>
  </si>
  <si>
    <t>7/12/2013</t>
  </si>
  <si>
    <t>954</t>
  </si>
  <si>
    <t>199</t>
  </si>
  <si>
    <t>30/12/2013</t>
  </si>
  <si>
    <t>EleKtro Physik German</t>
  </si>
  <si>
    <t>Bombay Tools Supplying Agency P Ltd</t>
  </si>
  <si>
    <t>440</t>
  </si>
  <si>
    <t>25/06/2013</t>
  </si>
  <si>
    <t>S. R. Welding Systems</t>
  </si>
  <si>
    <t>5</t>
  </si>
  <si>
    <t>19/04/2013</t>
  </si>
  <si>
    <t>128</t>
  </si>
  <si>
    <t>18/05/2013</t>
  </si>
  <si>
    <t>255</t>
  </si>
  <si>
    <t>30/06/2013</t>
  </si>
  <si>
    <t>68</t>
  </si>
  <si>
    <t>29/07/2013</t>
  </si>
  <si>
    <t>39</t>
  </si>
  <si>
    <t>29/8/2013</t>
  </si>
  <si>
    <t>778</t>
  </si>
  <si>
    <t>29/03/2014</t>
  </si>
  <si>
    <t>4348</t>
  </si>
  <si>
    <t>22/02/2014</t>
  </si>
  <si>
    <t>Bright Cutting Machine</t>
  </si>
  <si>
    <t>25290</t>
  </si>
  <si>
    <t>24/07/2013</t>
  </si>
  <si>
    <t>Ramjevan Satyanarayana Renwa</t>
  </si>
  <si>
    <t>Dewatering Pump</t>
  </si>
  <si>
    <t>Clarion Water Systems</t>
  </si>
  <si>
    <t>602</t>
  </si>
  <si>
    <t>11/10/2013</t>
  </si>
  <si>
    <t>Electric Wiches</t>
  </si>
  <si>
    <t>JCB - 3DX</t>
  </si>
  <si>
    <t>Tata diesel Tanker</t>
  </si>
  <si>
    <t>Tractor trolly with water tanker</t>
  </si>
  <si>
    <t>Chain blocks</t>
  </si>
  <si>
    <t>Shuttering plates</t>
  </si>
  <si>
    <t>Testing inspection equipment</t>
  </si>
  <si>
    <t>Concrete pump</t>
  </si>
  <si>
    <t>Plant &amp; machinary</t>
  </si>
  <si>
    <t>Charges</t>
  </si>
  <si>
    <t>Batching plant</t>
  </si>
  <si>
    <t>Pumpsets</t>
  </si>
  <si>
    <t>Bitumen Pressure Distributor</t>
  </si>
  <si>
    <t>Cater Pillar Earth Mover</t>
  </si>
  <si>
    <t>Concrete Pumpe</t>
  </si>
  <si>
    <t>Road meter</t>
  </si>
  <si>
    <t>Cranes</t>
  </si>
  <si>
    <t>jcb 4dx</t>
  </si>
  <si>
    <t>Crusher</t>
  </si>
  <si>
    <t>Electric Winches</t>
  </si>
  <si>
    <t xml:space="preserve">Grinding Machine </t>
  </si>
  <si>
    <t>Hydrastatic Sensor Paver Finisher</t>
  </si>
  <si>
    <t>JCB Wheel Loader</t>
  </si>
  <si>
    <t xml:space="preserve">Painting Equipment </t>
  </si>
  <si>
    <t>TATA Diesel Tanker</t>
  </si>
  <si>
    <t>TATA LPT Vehicles</t>
  </si>
  <si>
    <t xml:space="preserve">Vibrator </t>
  </si>
  <si>
    <t>Blowing Machine</t>
  </si>
  <si>
    <t>Vibratory compactor</t>
  </si>
  <si>
    <t>Waighing Machine</t>
  </si>
  <si>
    <t>Wet Mlxing Plant</t>
  </si>
  <si>
    <t>Concrete pump- Bends</t>
  </si>
  <si>
    <t>Concrete Cutter</t>
  </si>
  <si>
    <t>Cutter Machine</t>
  </si>
  <si>
    <t xml:space="preserve">Construction Equipments </t>
  </si>
  <si>
    <t>Base Plates</t>
  </si>
  <si>
    <t>Clamps</t>
  </si>
  <si>
    <t>300 mm Pipe</t>
  </si>
  <si>
    <t>Ms Pipe Angle and Flats</t>
  </si>
  <si>
    <t>MS Pipes</t>
  </si>
  <si>
    <t>Scolfolding Pipes</t>
  </si>
  <si>
    <t xml:space="preserve">MS Pipe </t>
  </si>
  <si>
    <t>Plain Shutters</t>
  </si>
  <si>
    <t>Compactor Chasis</t>
  </si>
  <si>
    <t>Soil Compactor- Registration</t>
  </si>
  <si>
    <t>Soil Compactor- Registration, Fitness</t>
  </si>
  <si>
    <t>Labouratory Equipment</t>
  </si>
  <si>
    <t>Sand grades</t>
  </si>
  <si>
    <t>Quality Equipment</t>
  </si>
  <si>
    <t>Mube Moulds</t>
  </si>
  <si>
    <t xml:space="preserve">Reflectoriess </t>
  </si>
  <si>
    <t>Digital Balance Sand grades</t>
  </si>
  <si>
    <t>Lab Equipment</t>
  </si>
  <si>
    <t>Ductility testing Machine</t>
  </si>
  <si>
    <t>Auto Level Stand</t>
  </si>
  <si>
    <t>Testing &amp; Equipment</t>
  </si>
  <si>
    <t>Vibrators</t>
  </si>
  <si>
    <t>Weighing Machine</t>
  </si>
  <si>
    <t xml:space="preserve">Concrete Mixer </t>
  </si>
  <si>
    <t>Jaw Crusher</t>
  </si>
  <si>
    <t>Jaw crusher,Cone crusher, Screen</t>
  </si>
  <si>
    <t>Tata 407 &amp; 207 ( Construction EQ 2)</t>
  </si>
  <si>
    <t>Crawler Excavator</t>
  </si>
  <si>
    <t>Generators 20 HP</t>
  </si>
  <si>
    <t>Generators</t>
  </si>
  <si>
    <t>Borewell</t>
  </si>
  <si>
    <t>Dewatering System</t>
  </si>
  <si>
    <t>Tata SFC 407- Diesel Tanker</t>
  </si>
  <si>
    <t>Drilling Machine, Drilling Bits</t>
  </si>
  <si>
    <t>Bitumen Pressure</t>
  </si>
  <si>
    <t>Chasi</t>
  </si>
  <si>
    <t xml:space="preserve">Motor Grader </t>
  </si>
  <si>
    <t>Pneumatic Tyre Roller</t>
  </si>
  <si>
    <t>Batching plant, tractors, DG sets</t>
  </si>
  <si>
    <t>Pug Machine</t>
  </si>
  <si>
    <t>Concrete Cutting Blade</t>
  </si>
  <si>
    <t>JLRP</t>
  </si>
  <si>
    <t>2017-18</t>
  </si>
  <si>
    <t>Dsquare Tech Impex Pvt Ltd</t>
  </si>
  <si>
    <t>COM/17-18/13</t>
  </si>
  <si>
    <t>ReadyMix Construction Machinery</t>
  </si>
  <si>
    <t>17-18/555</t>
  </si>
  <si>
    <t>Hydralic Rock Breaker</t>
  </si>
  <si>
    <t>C.L Engineering Equiptment Works</t>
  </si>
  <si>
    <t>207</t>
  </si>
  <si>
    <t>Geared lathe Machine</t>
  </si>
  <si>
    <t>A.K Metal</t>
  </si>
  <si>
    <t>204</t>
  </si>
  <si>
    <t xml:space="preserve">Vibratory stress relieving </t>
  </si>
  <si>
    <t>Flex Tool Equipt Pvt Ltd</t>
  </si>
  <si>
    <t>076</t>
  </si>
  <si>
    <t>Threading Machine</t>
  </si>
  <si>
    <t>Midmanair</t>
  </si>
  <si>
    <t xml:space="preserve">K N Machine Tools </t>
  </si>
  <si>
    <t>trailer</t>
  </si>
  <si>
    <t>yes bank</t>
  </si>
  <si>
    <t>Barbending Machine</t>
  </si>
  <si>
    <t>NFC</t>
  </si>
  <si>
    <t>New Age Constricution Equiptment Engg .Co</t>
  </si>
  <si>
    <t>RVNL</t>
  </si>
  <si>
    <t>Schwing Setetter(India)Pvt Ltd</t>
  </si>
  <si>
    <t>Accessaries</t>
  </si>
  <si>
    <t>Bemel 65 dozer</t>
  </si>
  <si>
    <t xml:space="preserve">RVNL </t>
  </si>
  <si>
    <t>Keerthana Traders</t>
  </si>
  <si>
    <t>Cutting Machines</t>
  </si>
  <si>
    <t>Spartan Engineering Industries Pvt Ltd</t>
  </si>
  <si>
    <t>11</t>
  </si>
  <si>
    <t>Premier Tools</t>
  </si>
  <si>
    <t>395</t>
  </si>
  <si>
    <t>AK Tools</t>
  </si>
  <si>
    <t>113</t>
  </si>
  <si>
    <t>159</t>
  </si>
  <si>
    <t>Generator 62.5 KV</t>
  </si>
  <si>
    <t>ELMECH ENGINEERS</t>
  </si>
  <si>
    <t>Generator 45 KVA</t>
  </si>
  <si>
    <t>SHREE MAHABIR SERVICE STATION</t>
  </si>
  <si>
    <t>Generator 125 KVA</t>
  </si>
  <si>
    <t>45 KV3 Phase DG Set Enginee</t>
  </si>
  <si>
    <t>ASHOK LEYLAND LTD</t>
  </si>
  <si>
    <t>Patel Machine Tools</t>
  </si>
  <si>
    <t>S.R Advan Tech Systems Pvt Ltd</t>
  </si>
  <si>
    <t>Labaroutary Equiptment</t>
  </si>
  <si>
    <t>VASISHNODEVI TRADERS</t>
  </si>
  <si>
    <t>Sokki Auto level</t>
  </si>
  <si>
    <t>BDR Machine</t>
  </si>
  <si>
    <t>Cylinder cal moulds</t>
  </si>
  <si>
    <t>Cube Molus</t>
  </si>
  <si>
    <t>Labaratary Equiptment</t>
  </si>
  <si>
    <t>Labaratory Material</t>
  </si>
  <si>
    <t>DrillSleeVe</t>
  </si>
  <si>
    <t>CST05</t>
  </si>
  <si>
    <t>Angel Grinder</t>
  </si>
  <si>
    <t>Saw Welding Machine</t>
  </si>
  <si>
    <t>S.S Engineerings</t>
  </si>
  <si>
    <t>S.R. Advan Tech Systems LTD</t>
  </si>
  <si>
    <t>S.R Welding systems</t>
  </si>
  <si>
    <t>Thermostat Oven</t>
  </si>
  <si>
    <t>BK Enterprises</t>
  </si>
  <si>
    <t>227/17</t>
  </si>
  <si>
    <t>Sany Heavy Insudtry India Pvt Ltd</t>
  </si>
  <si>
    <t>Sundilla</t>
  </si>
  <si>
    <t xml:space="preserve">Regal Engineering Corporation </t>
  </si>
  <si>
    <t>Drill Machine</t>
  </si>
  <si>
    <t>welding Machine</t>
  </si>
  <si>
    <t>Invetor Welidng Machine</t>
  </si>
  <si>
    <t>Varkhede</t>
  </si>
  <si>
    <t>Volva India Pvt Ltd</t>
  </si>
  <si>
    <t>IN3117290851</t>
  </si>
  <si>
    <t>IN3117290850</t>
  </si>
  <si>
    <t>Belt Conveyor</t>
  </si>
  <si>
    <t>Gowthami Bridge</t>
  </si>
  <si>
    <t>2018-19</t>
  </si>
  <si>
    <t>Spantech Engineering Industries Pvt Ltd</t>
  </si>
  <si>
    <t>KYB Conmat Pvt Ltd</t>
  </si>
  <si>
    <t>Vibrating Pads</t>
  </si>
  <si>
    <t>Schwing Stetter (India) Pvt Ltd</t>
  </si>
  <si>
    <t>Concrete Mixers</t>
  </si>
  <si>
    <t>Concrete Pump sp 1800 DfGV</t>
  </si>
  <si>
    <t>Concrete Mixer Body</t>
  </si>
  <si>
    <t>Srinivas Engineering Works</t>
  </si>
  <si>
    <t>Industrial Machinery Corporation</t>
  </si>
  <si>
    <t>Forging Machine</t>
  </si>
  <si>
    <t>Dredgers</t>
  </si>
  <si>
    <t>Maavishwant Engineering Pvt Ltd</t>
  </si>
  <si>
    <t>Pipeline Accessories</t>
  </si>
  <si>
    <t>Hydra Cranes</t>
  </si>
  <si>
    <t>Haecon Equiptment</t>
  </si>
  <si>
    <t>Dredger Pump</t>
  </si>
  <si>
    <t>Excavators</t>
  </si>
  <si>
    <t>Volvo India Pvt Ltd</t>
  </si>
  <si>
    <t>Grab Bucket</t>
  </si>
  <si>
    <t>safle Engg &amp; Fabrication</t>
  </si>
  <si>
    <t>Mobile Concrete Placer</t>
  </si>
  <si>
    <t>Dynemmix India</t>
  </si>
  <si>
    <t>Automotive Manufactures Pvt Ltd</t>
  </si>
  <si>
    <t xml:space="preserve">Welding Machine </t>
  </si>
  <si>
    <t>Mahindra Blazo</t>
  </si>
  <si>
    <t>Fortune Commercial Vehicles</t>
  </si>
  <si>
    <t>Sri venkata sai engg workrs</t>
  </si>
  <si>
    <t>vathada engg Fabrication works</t>
  </si>
  <si>
    <t>RVNL-Odisa Sew</t>
  </si>
  <si>
    <t>Ashok Leyland Ltd</t>
  </si>
  <si>
    <t>M/s Mohn</t>
  </si>
  <si>
    <t>Diesel Engine</t>
  </si>
  <si>
    <t>General Machinery Corporation</t>
  </si>
  <si>
    <t>Welding Invorters</t>
  </si>
  <si>
    <t>SR Advan Tech Systems Pvt Ltd</t>
  </si>
  <si>
    <t>Staff Holding Material</t>
  </si>
  <si>
    <t>Jagannath Steel</t>
  </si>
  <si>
    <t>JB Form Work Systems</t>
  </si>
  <si>
    <t xml:space="preserve">Nilachal Hardwar Store </t>
  </si>
  <si>
    <t>Casmas Engineering</t>
  </si>
  <si>
    <t>Vathada Engineering Fabrication Works</t>
  </si>
  <si>
    <t>Sri Venkat Engineering Works</t>
  </si>
  <si>
    <t>Testing eqipment</t>
  </si>
  <si>
    <t>Apt engg company</t>
  </si>
  <si>
    <t>Crawler Crane XGC 85</t>
  </si>
  <si>
    <t>Airospace &amp; Equipments</t>
  </si>
  <si>
    <t xml:space="preserve">Cutting Machine </t>
  </si>
  <si>
    <t>D.S Tools Trading Co.</t>
  </si>
  <si>
    <t>sulwade</t>
  </si>
  <si>
    <t xml:space="preserve">Batching Plant Crew </t>
  </si>
  <si>
    <t>Varkhade</t>
  </si>
  <si>
    <t>Redymix Constructin Machinery</t>
  </si>
  <si>
    <t>Batching Plant Rubber Chute</t>
  </si>
  <si>
    <t>Excatavors</t>
  </si>
  <si>
    <t>Welding Invertor</t>
  </si>
  <si>
    <t>Pumsets</t>
  </si>
  <si>
    <t>kulakarini  pum</t>
  </si>
  <si>
    <t xml:space="preserve">Batching Plant </t>
  </si>
  <si>
    <t>Vynatheya</t>
  </si>
  <si>
    <t>weighing Machine</t>
  </si>
  <si>
    <t>Hyderabad Tulaman</t>
  </si>
  <si>
    <t>Industrial machinine Corp</t>
  </si>
  <si>
    <t>JCB Loder</t>
  </si>
  <si>
    <t>Ho</t>
  </si>
  <si>
    <t>Srta kakinada</t>
  </si>
  <si>
    <t>Thupakulagadam</t>
  </si>
  <si>
    <t>ds tool trading co</t>
  </si>
  <si>
    <t xml:space="preserve">Drilng Machine </t>
  </si>
  <si>
    <t>KN Machine tooles</t>
  </si>
  <si>
    <t>Gare Hobber Machine</t>
  </si>
  <si>
    <t>syndicate Machines</t>
  </si>
  <si>
    <t>Air Compressor 2 Nos (Used)</t>
  </si>
  <si>
    <t>2019-20</t>
  </si>
  <si>
    <t>BEKEM-MLTS-VEGA JV</t>
  </si>
  <si>
    <t>Gowthami</t>
  </si>
  <si>
    <t>Maavishwant Engineering Pvt. Ltd.</t>
  </si>
  <si>
    <t>Vibrator with needles</t>
  </si>
  <si>
    <t>Oli Vibrators India Private Limited</t>
  </si>
  <si>
    <t>Bandsaw cutting machine</t>
  </si>
  <si>
    <t>Hydraulic TMT bar Forging machine</t>
  </si>
  <si>
    <t>Royal Hyderalic Equipment</t>
  </si>
  <si>
    <t>Schmidt Concrete hammer</t>
  </si>
  <si>
    <t>Taisei Trading Pvt. Ltd.</t>
  </si>
  <si>
    <t>Crawler Crane</t>
  </si>
  <si>
    <t>Excellink Infraservices Pvt. Ltd.</t>
  </si>
  <si>
    <t>Tata 955 ALC Crane</t>
  </si>
  <si>
    <t>S.V.Crane Service</t>
  </si>
  <si>
    <t>Crawler Crane &amp; Used Tata 320</t>
  </si>
  <si>
    <t>Bharati Earth Movers</t>
  </si>
  <si>
    <t>Tata 320 crawler crane</t>
  </si>
  <si>
    <t>Satyam Heavy Lifters</t>
  </si>
  <si>
    <t>ITI Techno Agro Pvt. Ltd</t>
  </si>
  <si>
    <t>Sri Venkata Sai Engineering Works</t>
  </si>
  <si>
    <t>Steering Outer Shutter</t>
  </si>
  <si>
    <t>Steering inner &amp; Outer Shutter</t>
  </si>
  <si>
    <t>QC Lab Elgi Make SS03 LB-10 TM16L 415V</t>
  </si>
  <si>
    <t>Schwing Stetter(India) Pvt Ltd.</t>
  </si>
  <si>
    <t>Bar Bender and Cutter Machine</t>
  </si>
  <si>
    <t>Agarwal Machine Tools.</t>
  </si>
  <si>
    <t>Driling Machine</t>
  </si>
  <si>
    <t>KN Machine tools(P)ltd</t>
  </si>
  <si>
    <t>MS Jacks</t>
  </si>
  <si>
    <t>Coupler House</t>
  </si>
  <si>
    <t>swival couplers</t>
  </si>
  <si>
    <t>MS Jacks &amp; Tie Rods</t>
  </si>
  <si>
    <t>sany heavy industries india pvt ltd</t>
  </si>
  <si>
    <t>Ashok Leyland Tippers</t>
  </si>
  <si>
    <t>scaff holding materiales</t>
  </si>
  <si>
    <t>Mahalakshmi profile pvt ltd</t>
  </si>
  <si>
    <t>250KVA GENERATOR</t>
  </si>
  <si>
    <t>Generator 250 KVA</t>
  </si>
  <si>
    <t>Thupakulagudem</t>
  </si>
  <si>
    <t>Telescopic Crawler Crane</t>
  </si>
  <si>
    <t>Hobbing Cutter</t>
  </si>
  <si>
    <t>D.S.Tools Trading Co.</t>
  </si>
  <si>
    <t>Ruffing milling cutter</t>
  </si>
  <si>
    <t>KYB Comat Concrete Batching</t>
  </si>
  <si>
    <t>KYB-Conmat Pvt.Ltd</t>
  </si>
  <si>
    <t>Air Blower Air VAC-22 With 50HP Motor</t>
  </si>
  <si>
    <t>Cement Silo for Batching Plant</t>
  </si>
  <si>
    <t>Hitec Make Sump Pump 25HP Motors</t>
  </si>
  <si>
    <t>Hitec Pump Industries Pvt.  Ltd.</t>
  </si>
  <si>
    <t>Hitec Make Sump Pump 35HP Motors</t>
  </si>
  <si>
    <t>7.5 HP Submercible Pump</t>
  </si>
  <si>
    <t>Sanghvi Pipe Corporation</t>
  </si>
  <si>
    <t>Hitec Make Sub-Mersible dewatering pump</t>
  </si>
  <si>
    <t xml:space="preserve">Openwell &amp; 2hose pipe,2'' </t>
  </si>
  <si>
    <t>Centring Plain Shutters</t>
  </si>
  <si>
    <t>Garidepalli</t>
  </si>
  <si>
    <t>2020-21</t>
  </si>
  <si>
    <t>Hari Belts and Conveyors P Ltd</t>
  </si>
  <si>
    <t>Panchal Perforators &amp; Wiremesh Industries</t>
  </si>
  <si>
    <t>servoshield power solution</t>
  </si>
  <si>
    <t>Automotive Manufacturers pvt. Ltd.</t>
  </si>
  <si>
    <t>S.R. Advan Tech Pvt. Ltd.</t>
  </si>
  <si>
    <t>RVNL RUB</t>
  </si>
  <si>
    <t>Scaffholding Materials</t>
  </si>
  <si>
    <t>Mahalakshmi Profiles Private Limited</t>
  </si>
  <si>
    <t>Dynacorp Engineering Pvt. Ltd.</t>
  </si>
  <si>
    <t>Escorts Limited</t>
  </si>
  <si>
    <t>MVR Engineering Works</t>
  </si>
  <si>
    <t>Murali Technik</t>
  </si>
  <si>
    <t>Sri Kedareswari Mechanical Engg.Works</t>
  </si>
  <si>
    <t>S.R. Trading Co.</t>
  </si>
  <si>
    <t>Yadadri</t>
  </si>
  <si>
    <t>Spantech Engineering Industries Pvt. Ltd.</t>
  </si>
  <si>
    <t>Volvo CE India Pvt. Ltd.</t>
  </si>
  <si>
    <t>MGB Motors and Auto Agencies P.Ltd.</t>
  </si>
  <si>
    <t>UpperTapi</t>
  </si>
  <si>
    <t>Abhinandan Auto Carriers LLP</t>
  </si>
  <si>
    <t>Lakshmi Durga Industries</t>
  </si>
  <si>
    <t>daimeler Finance</t>
  </si>
  <si>
    <t>2021-22</t>
  </si>
  <si>
    <t>ELECTRICAL  EQUIPMENT  :</t>
  </si>
  <si>
    <t>Deprecation up 31.03.23</t>
  </si>
  <si>
    <t>Net Block 31.03.23</t>
  </si>
  <si>
    <t>Batteries</t>
  </si>
  <si>
    <t>Electrical Fittings</t>
  </si>
  <si>
    <t>inverter</t>
  </si>
  <si>
    <t>Sub Total</t>
  </si>
  <si>
    <t>FURNITURE  :</t>
  </si>
  <si>
    <t>Furnitures</t>
  </si>
  <si>
    <t>Laxmi Narayan Traders</t>
  </si>
  <si>
    <t>105</t>
  </si>
  <si>
    <t xml:space="preserve">Sri balaji traders </t>
  </si>
  <si>
    <t>53</t>
  </si>
  <si>
    <t>3475, 94</t>
  </si>
  <si>
    <t>OM Marketing</t>
  </si>
  <si>
    <t>510</t>
  </si>
  <si>
    <t>Gupta Glass &amp; Plywood</t>
  </si>
  <si>
    <t>342</t>
  </si>
  <si>
    <t>Singh Furnitures</t>
  </si>
  <si>
    <t>1271</t>
  </si>
  <si>
    <t xml:space="preserve">Ganapati Plywood &amp; Hardware </t>
  </si>
  <si>
    <t>73</t>
  </si>
  <si>
    <t>Bharat Steel Centre</t>
  </si>
  <si>
    <t>531</t>
  </si>
  <si>
    <t>Lakshmaiah</t>
  </si>
  <si>
    <t>Furniture Market</t>
  </si>
  <si>
    <t>186</t>
  </si>
  <si>
    <t>116</t>
  </si>
  <si>
    <t>Balaji Glass  &amp; Plywood centre</t>
  </si>
  <si>
    <t>3109</t>
  </si>
  <si>
    <t>80,87 and 89</t>
  </si>
  <si>
    <t>191</t>
  </si>
  <si>
    <t>1071</t>
  </si>
  <si>
    <t>Ashwin Enterprises</t>
  </si>
  <si>
    <t>Balraju</t>
  </si>
  <si>
    <t>New Mangalore Furnitures</t>
  </si>
  <si>
    <t>179</t>
  </si>
  <si>
    <t>Sana Agencies</t>
  </si>
  <si>
    <t>1402</t>
  </si>
  <si>
    <t>Office Furnitures</t>
  </si>
  <si>
    <t>Mamta Hardware</t>
  </si>
  <si>
    <t xml:space="preserve">Bhagat Wood Industry </t>
  </si>
  <si>
    <t>183</t>
  </si>
  <si>
    <t>Ganpathi Plywood  &amp; Hardware</t>
  </si>
  <si>
    <t>54</t>
  </si>
  <si>
    <t>500</t>
  </si>
  <si>
    <t>5285</t>
  </si>
  <si>
    <t xml:space="preserve">Sapthagiri Furnitures </t>
  </si>
  <si>
    <t>665</t>
  </si>
  <si>
    <t>79</t>
  </si>
  <si>
    <t>56</t>
  </si>
  <si>
    <t>Office Table &amp; Chair</t>
  </si>
  <si>
    <t>2004-05</t>
  </si>
  <si>
    <t>Hi Design Plylam Pvt  Ltd</t>
  </si>
  <si>
    <t>78 &amp; 79</t>
  </si>
  <si>
    <t>487</t>
  </si>
  <si>
    <t xml:space="preserve">Sri balaji traders  </t>
  </si>
  <si>
    <t>15/12/2007</t>
  </si>
  <si>
    <t>Bakelite Hylam Limited</t>
  </si>
  <si>
    <t>Pushp Trading Company Pvt. Ltd.</t>
  </si>
  <si>
    <t>2239</t>
  </si>
  <si>
    <t>3345</t>
  </si>
  <si>
    <t>Shiva Shivani Furnitures</t>
  </si>
  <si>
    <t>Noble Glass &amp; Aluminium</t>
  </si>
  <si>
    <t>17</t>
  </si>
  <si>
    <t>196</t>
  </si>
  <si>
    <t>Choice Marketing Company</t>
  </si>
  <si>
    <t>963</t>
  </si>
  <si>
    <t>915</t>
  </si>
  <si>
    <t>Shalegoan Project</t>
  </si>
  <si>
    <t>Jirgihal Project</t>
  </si>
  <si>
    <t>1336</t>
  </si>
  <si>
    <t>Pooja Interiors</t>
  </si>
  <si>
    <t>174</t>
  </si>
  <si>
    <t>Shree Agencies</t>
  </si>
  <si>
    <t>cash</t>
  </si>
  <si>
    <t>Style SPA</t>
  </si>
  <si>
    <t>104</t>
  </si>
  <si>
    <t>Savitri Furnitures</t>
  </si>
  <si>
    <t>Lower-Tapi</t>
  </si>
  <si>
    <t>Om Furniture Mall</t>
  </si>
  <si>
    <t>612</t>
  </si>
  <si>
    <t>Om Furnishing</t>
  </si>
  <si>
    <t>718</t>
  </si>
  <si>
    <t>107</t>
  </si>
  <si>
    <t>Vaibhav Paint house &amp; Steel Furniture</t>
  </si>
  <si>
    <t>699</t>
  </si>
  <si>
    <t>698</t>
  </si>
  <si>
    <t>Sri Devi Enterprises</t>
  </si>
  <si>
    <t>28/07/2010</t>
  </si>
  <si>
    <t>Pooja Enterprises</t>
  </si>
  <si>
    <t>06/09/2010</t>
  </si>
  <si>
    <t>Sowmya Furnitures</t>
  </si>
  <si>
    <t>13797</t>
  </si>
  <si>
    <t>17/08/2010</t>
  </si>
  <si>
    <t>771</t>
  </si>
  <si>
    <t>04/10/2011</t>
  </si>
  <si>
    <t>Sarda Sanitary Stores</t>
  </si>
  <si>
    <t>1816</t>
  </si>
  <si>
    <t>08/12/2011</t>
  </si>
  <si>
    <t>2064</t>
  </si>
  <si>
    <t>01/12/2011</t>
  </si>
  <si>
    <t>Pipe &amp; Porcelains</t>
  </si>
  <si>
    <t>1219 &amp; 1220</t>
  </si>
  <si>
    <t>Gaurav Enterprises</t>
  </si>
  <si>
    <t>233</t>
  </si>
  <si>
    <t>Gold Star Lights</t>
  </si>
  <si>
    <t>12</t>
  </si>
  <si>
    <t>01/01/2012</t>
  </si>
  <si>
    <t>Sharma Enterprises</t>
  </si>
  <si>
    <t>616</t>
  </si>
  <si>
    <t>07/01/2012</t>
  </si>
  <si>
    <t>2067</t>
  </si>
  <si>
    <t>13/01/2012</t>
  </si>
  <si>
    <t>Poonam Plywood</t>
  </si>
  <si>
    <t>Confrafurn Systems Pvt Ltd</t>
  </si>
  <si>
    <t>GKN Plaster of Paris</t>
  </si>
  <si>
    <t>Premier Refrigiration Enterprises</t>
  </si>
  <si>
    <t>Overseas Hardware &amp; Tools Centre</t>
  </si>
  <si>
    <t>9</t>
  </si>
  <si>
    <t>06/04/2012</t>
  </si>
  <si>
    <t>27</t>
  </si>
  <si>
    <t>10/07/2012</t>
  </si>
  <si>
    <t>1499</t>
  </si>
  <si>
    <t>Ragi &amp; Ragi Enterprises</t>
  </si>
  <si>
    <t>6809, 6811, 6813</t>
  </si>
  <si>
    <t>CM/9537</t>
  </si>
  <si>
    <t>27/02/2013</t>
  </si>
  <si>
    <t>Swamy Agencies</t>
  </si>
  <si>
    <t>2094</t>
  </si>
  <si>
    <t>Royal Furnitures</t>
  </si>
  <si>
    <t>502</t>
  </si>
  <si>
    <t>Jalaram Furniture</t>
  </si>
  <si>
    <t>008/2013-14</t>
  </si>
  <si>
    <t>Mancheriyal Railway Bridge</t>
  </si>
  <si>
    <t>hansha Agencies Furniture</t>
  </si>
  <si>
    <t>862</t>
  </si>
  <si>
    <t>36</t>
  </si>
  <si>
    <t>Savithri Furniture</t>
  </si>
  <si>
    <t>Rapti canal</t>
  </si>
  <si>
    <t>Kesarwani Marbles</t>
  </si>
  <si>
    <t>Tandon Trading Company</t>
  </si>
  <si>
    <t>24</t>
  </si>
  <si>
    <t>tables</t>
  </si>
  <si>
    <t>chairs</t>
  </si>
  <si>
    <t>File stand almara</t>
  </si>
  <si>
    <t>table</t>
  </si>
  <si>
    <t>File rack</t>
  </si>
  <si>
    <t>sheel construction</t>
  </si>
  <si>
    <t>Lockers</t>
  </si>
  <si>
    <t xml:space="preserve">Furniture </t>
  </si>
  <si>
    <t xml:space="preserve">Fan's </t>
  </si>
  <si>
    <t>Office Furniture</t>
  </si>
  <si>
    <t xml:space="preserve">Iron Cot's </t>
  </si>
  <si>
    <t>Cot's</t>
  </si>
  <si>
    <t>Table</t>
  </si>
  <si>
    <t>Interior Advisory service</t>
  </si>
  <si>
    <t>HNI office India</t>
  </si>
  <si>
    <t>Coffee tables and side tables</t>
  </si>
  <si>
    <t>Seating World</t>
  </si>
  <si>
    <t>Chairs and Tables, Sofas</t>
  </si>
  <si>
    <t>Triangular Shape Table &amp; Mesh Chairs</t>
  </si>
  <si>
    <t>Cabinates</t>
  </si>
  <si>
    <t>Santro Car -No. 1494</t>
  </si>
  <si>
    <t>A200500648</t>
  </si>
  <si>
    <t>Santro Car-6888</t>
  </si>
  <si>
    <t>A200500280</t>
  </si>
  <si>
    <t>Tata  207 DI Ex Flat Bed-9110</t>
  </si>
  <si>
    <t>LCV-0708-01472</t>
  </si>
  <si>
    <t>Tata 207 Crew Cab</t>
  </si>
  <si>
    <t>941066128</t>
  </si>
  <si>
    <t>Two Wheelers</t>
  </si>
  <si>
    <t>TVS Star City</t>
  </si>
  <si>
    <t>Rt No-08</t>
  </si>
  <si>
    <t>SB/JP/56/523</t>
  </si>
  <si>
    <t>Innova</t>
  </si>
  <si>
    <t>A20090000099</t>
  </si>
  <si>
    <t>Bolero Slx</t>
  </si>
  <si>
    <t>AA/3723/09-10</t>
  </si>
  <si>
    <t>Tata Mobile</t>
  </si>
  <si>
    <t>A/9315000552</t>
  </si>
  <si>
    <t>TVS Star city</t>
  </si>
  <si>
    <t>4680</t>
  </si>
  <si>
    <t>Ape Cargo</t>
  </si>
  <si>
    <t>Bolero Pickup</t>
  </si>
  <si>
    <t>SAJ/MI/789</t>
  </si>
  <si>
    <t>4367</t>
  </si>
  <si>
    <t>Tata Indigo</t>
  </si>
  <si>
    <t>tejasM-1112-00648</t>
  </si>
  <si>
    <t>TVS Max 4R LX-Black</t>
  </si>
  <si>
    <t>389</t>
  </si>
  <si>
    <t>Innova-BSB</t>
  </si>
  <si>
    <t>INV120001287</t>
  </si>
  <si>
    <t>Old- AS Rao</t>
  </si>
  <si>
    <t>Tata-207</t>
  </si>
  <si>
    <t xml:space="preserve">Discover-100 </t>
  </si>
  <si>
    <t>1067</t>
  </si>
  <si>
    <t>Discover-125</t>
  </si>
  <si>
    <t>836</t>
  </si>
  <si>
    <t>11056-02-SINV1213-3171</t>
  </si>
  <si>
    <t>XUV</t>
  </si>
  <si>
    <t>Two wheelers</t>
  </si>
  <si>
    <t>Honda dream yuga</t>
  </si>
  <si>
    <t>TVS star city</t>
  </si>
  <si>
    <t>Two Honda dream</t>
  </si>
  <si>
    <t>Super splender</t>
  </si>
  <si>
    <t>Bolero SC XLS BS3</t>
  </si>
  <si>
    <t>Mahindra XUV-OFC</t>
  </si>
  <si>
    <t>Tata 207 RX Pick Up</t>
  </si>
  <si>
    <t>Tata 207 RX</t>
  </si>
  <si>
    <t>HF DELUX</t>
  </si>
  <si>
    <t>Passion Pro BSIV(bike)</t>
  </si>
  <si>
    <t>Balaji Motors</t>
  </si>
  <si>
    <t>sundilla</t>
  </si>
  <si>
    <t>OMM Sai Automobiles</t>
  </si>
  <si>
    <t>Jaya Shree Motors</t>
  </si>
  <si>
    <t>Soumik Automobiles</t>
  </si>
  <si>
    <t>OM Automobiles</t>
  </si>
  <si>
    <t>Fortuner</t>
  </si>
  <si>
    <t>Harsha Automotive Pvt Ltd</t>
  </si>
  <si>
    <t>H.O</t>
  </si>
  <si>
    <t>Innova Crysta 2.82</t>
  </si>
  <si>
    <t>Innova Crysta VX 2.4</t>
  </si>
  <si>
    <t xml:space="preserve">Scorpio </t>
  </si>
  <si>
    <t>Utkal Automobiles Pvt Ltd</t>
  </si>
  <si>
    <t>Scorpio</t>
  </si>
  <si>
    <t>Automotive Manufacturers Pvt Ltd</t>
  </si>
  <si>
    <t>Jagadeeswari Motors</t>
  </si>
  <si>
    <t>Satpuda AutoMobiles</t>
  </si>
  <si>
    <t>Bolero Power Plus</t>
  </si>
  <si>
    <t>Prabhuanjan AutoMobiles Pvt Ltd</t>
  </si>
  <si>
    <t>Sanklesh automobiles</t>
  </si>
  <si>
    <t>Ashokleyland Guru 1111</t>
  </si>
  <si>
    <t>HDFC Bank Ltd</t>
  </si>
  <si>
    <t>VVC Motors Private Limited</t>
  </si>
  <si>
    <t>Bolero Champer</t>
  </si>
  <si>
    <t>suliwade</t>
  </si>
  <si>
    <t>Volvo Car</t>
  </si>
  <si>
    <t>Talwar Cars Pvt Ltd</t>
  </si>
  <si>
    <t>Tata 407</t>
  </si>
  <si>
    <t>Bike</t>
  </si>
  <si>
    <t>Pankaj Auto</t>
  </si>
  <si>
    <t>Innova Car</t>
  </si>
  <si>
    <t>Harsha Automotive Pvt. Ltd.</t>
  </si>
  <si>
    <t>Kia Carnival</t>
  </si>
  <si>
    <t>Utkal Automobiles Pvt. Ltd.</t>
  </si>
  <si>
    <t>P R Patil</t>
  </si>
  <si>
    <t>OFFICE EQUIPEMENT  :</t>
  </si>
  <si>
    <t>Deprecation up to 31.03.2023</t>
  </si>
  <si>
    <t>Sekhani Refrigeration</t>
  </si>
  <si>
    <t>820</t>
  </si>
  <si>
    <t>Hi-Tech Cooling system</t>
  </si>
  <si>
    <t>349</t>
  </si>
  <si>
    <t>392</t>
  </si>
  <si>
    <t>Hi-tech  Cooling Systems</t>
  </si>
  <si>
    <t>326</t>
  </si>
  <si>
    <t>325</t>
  </si>
  <si>
    <t>222/07-08</t>
  </si>
  <si>
    <t>Sai Ram Air Conditioners Co</t>
  </si>
  <si>
    <t>106</t>
  </si>
  <si>
    <t>Cameras</t>
  </si>
  <si>
    <t>Alfa Techno Inc.</t>
  </si>
  <si>
    <t>3911</t>
  </si>
  <si>
    <t>4368</t>
  </si>
  <si>
    <t>4373</t>
  </si>
  <si>
    <t>4772</t>
  </si>
  <si>
    <t>5034</t>
  </si>
  <si>
    <t>5544</t>
  </si>
  <si>
    <t>5617</t>
  </si>
  <si>
    <t>5656</t>
  </si>
  <si>
    <t>Cell Phones</t>
  </si>
  <si>
    <t>Sri Shirid Sai Comm</t>
  </si>
  <si>
    <t>Cell World</t>
  </si>
  <si>
    <t>2091</t>
  </si>
  <si>
    <t>.1988</t>
  </si>
  <si>
    <t>8450</t>
  </si>
  <si>
    <t>2532</t>
  </si>
  <si>
    <t>Sulwade Project-BKM</t>
  </si>
  <si>
    <t>Sharat Babu</t>
  </si>
  <si>
    <t>Bhupal</t>
  </si>
  <si>
    <t>B. Parasuram</t>
  </si>
  <si>
    <t>Sulwada</t>
  </si>
  <si>
    <t>170/07-08</t>
  </si>
  <si>
    <t>Fax Machine</t>
  </si>
  <si>
    <t>SK Services</t>
  </si>
  <si>
    <t>69</t>
  </si>
  <si>
    <t>Sri Siva raghavendra  Electronics</t>
  </si>
  <si>
    <t>Xerox Machine</t>
  </si>
  <si>
    <t>The gester India Ltd</t>
  </si>
  <si>
    <t>HYC18577</t>
  </si>
  <si>
    <t>Ricoh</t>
  </si>
  <si>
    <t>HYY00937</t>
  </si>
  <si>
    <t>Ricoh India Ltd</t>
  </si>
  <si>
    <t>BRC 70589</t>
  </si>
  <si>
    <t>209/08-09</t>
  </si>
  <si>
    <t>Camera</t>
  </si>
  <si>
    <t>Cell Phone</t>
  </si>
  <si>
    <t>KP/0809/CA-3991</t>
  </si>
  <si>
    <t>Swami Agencies</t>
  </si>
  <si>
    <t>Samar Agencies</t>
  </si>
  <si>
    <t>Head Office</t>
  </si>
  <si>
    <t>7049</t>
  </si>
  <si>
    <t>08/02/2010</t>
  </si>
  <si>
    <t>Cell phone</t>
  </si>
  <si>
    <t>1121</t>
  </si>
  <si>
    <t>Nokia Priority Dealer-Banjara Hills</t>
  </si>
  <si>
    <t>SI/1220</t>
  </si>
  <si>
    <t>30/07/2009</t>
  </si>
  <si>
    <t>Big C &amp; Master communication</t>
  </si>
  <si>
    <t>780180</t>
  </si>
  <si>
    <t>19/08/2009</t>
  </si>
  <si>
    <t>SI/3498</t>
  </si>
  <si>
    <t>05/01/2010</t>
  </si>
  <si>
    <t>Yellamapply</t>
  </si>
  <si>
    <t>Sri Jagadamba  Agencies</t>
  </si>
  <si>
    <t>Maxx Business System</t>
  </si>
  <si>
    <t>040/2009-10</t>
  </si>
  <si>
    <t>Attendance Machine</t>
  </si>
  <si>
    <t>Deccan Media Technologies</t>
  </si>
  <si>
    <t>05/12/2009</t>
  </si>
  <si>
    <t>CRPLD003805</t>
  </si>
  <si>
    <t>04/03/2011</t>
  </si>
  <si>
    <t>2842</t>
  </si>
  <si>
    <t>3188</t>
  </si>
  <si>
    <t>B. Sarat Babu</t>
  </si>
  <si>
    <t>Tea Coffee Machine</t>
  </si>
  <si>
    <t>Sri Hara Marketing</t>
  </si>
  <si>
    <t>77</t>
  </si>
  <si>
    <t>01/12/2010</t>
  </si>
  <si>
    <t>Lower Jurala</t>
  </si>
  <si>
    <t>Swapna Enterprises</t>
  </si>
  <si>
    <t>Padavagu</t>
  </si>
  <si>
    <t>HO-BKM</t>
  </si>
  <si>
    <t>Master Commincation</t>
  </si>
  <si>
    <t>Reimbursment</t>
  </si>
  <si>
    <t>05/04/2011</t>
  </si>
  <si>
    <t>HO-BSB</t>
  </si>
  <si>
    <t>First Communication</t>
  </si>
  <si>
    <t>SI/678 &amp; SI/637</t>
  </si>
  <si>
    <t>15/05/2011</t>
  </si>
  <si>
    <t>961</t>
  </si>
  <si>
    <t>23/06/2011</t>
  </si>
  <si>
    <t>SI/1208</t>
  </si>
  <si>
    <t>SI/1317</t>
  </si>
  <si>
    <t>29/06/2011</t>
  </si>
  <si>
    <t>SI/4526</t>
  </si>
  <si>
    <t>27/12/2011</t>
  </si>
  <si>
    <t>Aambey Electonics</t>
  </si>
  <si>
    <t>28/03/2012</t>
  </si>
  <si>
    <t>crpd/11-12/831</t>
  </si>
  <si>
    <t>16/05/2011</t>
  </si>
  <si>
    <t>Yellamaplly</t>
  </si>
  <si>
    <t>Metro Cash &amp; carry</t>
  </si>
  <si>
    <t>12279</t>
  </si>
  <si>
    <t>30/10/2011</t>
  </si>
  <si>
    <t>Yellamaplly-HM</t>
  </si>
  <si>
    <t>Sony centre</t>
  </si>
  <si>
    <t>900394</t>
  </si>
  <si>
    <t>21/4/2011</t>
  </si>
  <si>
    <t>26/11/2011</t>
  </si>
  <si>
    <t>08/10/2011</t>
  </si>
  <si>
    <t>273</t>
  </si>
  <si>
    <t>31/03/2012</t>
  </si>
  <si>
    <t>Water Dispenser</t>
  </si>
  <si>
    <t>Aryan Enterprises</t>
  </si>
  <si>
    <t>115</t>
  </si>
  <si>
    <t>22/04/2011</t>
  </si>
  <si>
    <t>By Cash</t>
  </si>
  <si>
    <t>Coffee Machine</t>
  </si>
  <si>
    <t>Sr Hara Marketings</t>
  </si>
  <si>
    <t>926</t>
  </si>
  <si>
    <t>14/04/2012</t>
  </si>
  <si>
    <t>Industrial X ray Machine</t>
  </si>
  <si>
    <t>Medquip services</t>
  </si>
  <si>
    <t>21/09/2012</t>
  </si>
  <si>
    <t>Mosquito Pull Machine</t>
  </si>
  <si>
    <t>Target pest Control &amp; equipments</t>
  </si>
  <si>
    <t>6554</t>
  </si>
  <si>
    <t>04/10/2012</t>
  </si>
  <si>
    <t>6192</t>
  </si>
  <si>
    <t>05/10/2012</t>
  </si>
  <si>
    <t>varkhade barrage</t>
  </si>
  <si>
    <t>1043</t>
  </si>
  <si>
    <t>Shreeji Enterprises</t>
  </si>
  <si>
    <t>235</t>
  </si>
  <si>
    <t>18/05/2012</t>
  </si>
  <si>
    <t>Ravi Enterprises</t>
  </si>
  <si>
    <t>63</t>
  </si>
  <si>
    <t>24/09/2012</t>
  </si>
  <si>
    <t>pirgal Enterprises</t>
  </si>
  <si>
    <t>13169</t>
  </si>
  <si>
    <t>19/10/2012</t>
  </si>
  <si>
    <t>Thru credit Card</t>
  </si>
  <si>
    <t>SI/1962</t>
  </si>
  <si>
    <t>29/11/2012</t>
  </si>
  <si>
    <t>SI/2207</t>
  </si>
  <si>
    <t>26/12/2012</t>
  </si>
  <si>
    <t>SI/2485</t>
  </si>
  <si>
    <t>04/02/2013</t>
  </si>
  <si>
    <t>11/08/2012</t>
  </si>
  <si>
    <t>05/03/2013</t>
  </si>
  <si>
    <t>Daikin Airconditioning India Pvt Ltd</t>
  </si>
  <si>
    <t>9134150335</t>
  </si>
  <si>
    <t>19/09/2013</t>
  </si>
  <si>
    <t>Ikon Airconditioning Services</t>
  </si>
  <si>
    <t>21/10/2013</t>
  </si>
  <si>
    <t>Ganesh Mobiles</t>
  </si>
  <si>
    <t>17401</t>
  </si>
  <si>
    <t>17/01/2014</t>
  </si>
  <si>
    <t>Rapti Canal</t>
  </si>
  <si>
    <t>SI/1413</t>
  </si>
  <si>
    <t>755</t>
  </si>
  <si>
    <t>17/08/2013</t>
  </si>
  <si>
    <t>1781</t>
  </si>
  <si>
    <t>29/12/2013</t>
  </si>
  <si>
    <t>1795</t>
  </si>
  <si>
    <t>02/01/2014</t>
  </si>
  <si>
    <t>3596</t>
  </si>
  <si>
    <t>Basanthapur</t>
  </si>
  <si>
    <t>897</t>
  </si>
  <si>
    <t>22/12/2013</t>
  </si>
  <si>
    <t>Almara</t>
  </si>
  <si>
    <t>101</t>
  </si>
  <si>
    <t>19/06/2013</t>
  </si>
  <si>
    <t>Leveling Instrument</t>
  </si>
  <si>
    <t>956</t>
  </si>
  <si>
    <t>Ashok Kumar Agarwal</t>
  </si>
  <si>
    <t>465</t>
  </si>
  <si>
    <t>08/08/2013</t>
  </si>
  <si>
    <t xml:space="preserve">Lower Jurala </t>
  </si>
  <si>
    <t>1905</t>
  </si>
  <si>
    <t>Mironi Barrage</t>
  </si>
  <si>
    <t>washing machine</t>
  </si>
  <si>
    <t>Xerox machine</t>
  </si>
  <si>
    <t>Dongle</t>
  </si>
  <si>
    <t>17/11/2014</t>
  </si>
  <si>
    <t>Revolving Chair</t>
  </si>
  <si>
    <t>31/3/2015</t>
  </si>
  <si>
    <t>refrigirator</t>
  </si>
  <si>
    <t>30/4/2014</t>
  </si>
  <si>
    <t>cell phones</t>
  </si>
  <si>
    <t>19/6/2014</t>
  </si>
  <si>
    <t>television</t>
  </si>
  <si>
    <t>24/1/2015</t>
  </si>
  <si>
    <t>1//2014</t>
  </si>
  <si>
    <t>Fire extingusiher</t>
  </si>
  <si>
    <t>26/6/2014</t>
  </si>
  <si>
    <t>Caneras</t>
  </si>
  <si>
    <t xml:space="preserve">Office Equipment </t>
  </si>
  <si>
    <t>Water Dispenser -Refrigeration</t>
  </si>
  <si>
    <t>Ipad</t>
  </si>
  <si>
    <t>Biometric</t>
  </si>
  <si>
    <t>Bag</t>
  </si>
  <si>
    <t>Coolers</t>
  </si>
  <si>
    <t>Water Heater</t>
  </si>
  <si>
    <t>Invertor</t>
  </si>
  <si>
    <t>battery</t>
  </si>
  <si>
    <t>CC TV</t>
  </si>
  <si>
    <t>CC Camera</t>
  </si>
  <si>
    <t>Roti maker Machine</t>
  </si>
  <si>
    <t>TV</t>
  </si>
  <si>
    <t>Cooler</t>
  </si>
  <si>
    <t>Water Tank</t>
  </si>
  <si>
    <t>RO Plant</t>
  </si>
  <si>
    <t>patra Electronics</t>
  </si>
  <si>
    <t>Sahoo Distributors</t>
  </si>
  <si>
    <t>LED TV</t>
  </si>
  <si>
    <t xml:space="preserve">Air Conditioner </t>
  </si>
  <si>
    <t>882710918900007</t>
  </si>
  <si>
    <t>Water Purifier</t>
  </si>
  <si>
    <t>Giri Home Appliances</t>
  </si>
  <si>
    <t>Samdung Led tv</t>
  </si>
  <si>
    <t>Balaji Electronics</t>
  </si>
  <si>
    <t>Fire Exturgisher</t>
  </si>
  <si>
    <t>Glocal Digital Pvt Ltd</t>
  </si>
  <si>
    <t>Arunodaya Fire Safety Services</t>
  </si>
  <si>
    <t>AC Solutions</t>
  </si>
  <si>
    <t>AIr Coolers</t>
  </si>
  <si>
    <t>Mahendra Marketing</t>
  </si>
  <si>
    <t>06,07</t>
  </si>
  <si>
    <t>Himalaya Electronics</t>
  </si>
  <si>
    <t>Air Conditionars</t>
  </si>
  <si>
    <t>Sowndarya Shopee</t>
  </si>
  <si>
    <t>RJY -20</t>
  </si>
  <si>
    <t>RJY- 52</t>
  </si>
  <si>
    <t>Chapathi machine</t>
  </si>
  <si>
    <t>Ganesh Agencies</t>
  </si>
  <si>
    <t>Srinivasa Enterprises</t>
  </si>
  <si>
    <t>AIR Coolers</t>
  </si>
  <si>
    <t>SAI RAM ENTERPRISES</t>
  </si>
  <si>
    <t>Gijar</t>
  </si>
  <si>
    <t>Anita Electricals</t>
  </si>
  <si>
    <t>Exhaust Fan heavy duty</t>
  </si>
  <si>
    <t>Mahalakshmi Electricals</t>
  </si>
  <si>
    <t>Bala Tripura Arcade</t>
  </si>
  <si>
    <t>1605</t>
  </si>
  <si>
    <t xml:space="preserve">Water Dispenser </t>
  </si>
  <si>
    <t>49</t>
  </si>
  <si>
    <t>14</t>
  </si>
  <si>
    <t>052</t>
  </si>
  <si>
    <t>Sono Vision</t>
  </si>
  <si>
    <t>Water Plant RO</t>
  </si>
  <si>
    <t>29</t>
  </si>
  <si>
    <t>Air condistioners</t>
  </si>
  <si>
    <t>National Air con india pvt ltd</t>
  </si>
  <si>
    <t>refigirator</t>
  </si>
  <si>
    <t>mero-Cash &amp; Carry</t>
  </si>
  <si>
    <t>Air condistioners 8 nos</t>
  </si>
  <si>
    <t>shelgaon</t>
  </si>
  <si>
    <t>samar agencies</t>
  </si>
  <si>
    <t>varkhade</t>
  </si>
  <si>
    <t>Vyanathe</t>
  </si>
  <si>
    <t>Air Conditioners</t>
  </si>
  <si>
    <t>Radio Store</t>
  </si>
  <si>
    <t>Tech-Connect Retails Private Limited</t>
  </si>
  <si>
    <t>FAC3B52100123471</t>
  </si>
  <si>
    <t>Ganesh Air Conditoiners</t>
  </si>
  <si>
    <t>Consulting Rooms Private Limited</t>
  </si>
  <si>
    <t>FAD5432100007615</t>
  </si>
  <si>
    <t>FAD5432100007614</t>
  </si>
  <si>
    <t>Adithi Info Solutions</t>
  </si>
  <si>
    <t>VJMG-581</t>
  </si>
  <si>
    <t>Aptronix</t>
  </si>
  <si>
    <t>VMBTI/2021/1229</t>
  </si>
  <si>
    <t>TIATL-0162-20-21</t>
  </si>
  <si>
    <t>GVS Fitness</t>
  </si>
  <si>
    <t>FY20-21/006</t>
  </si>
  <si>
    <t>Express Office Solutions</t>
  </si>
  <si>
    <t>141/2020-21</t>
  </si>
  <si>
    <t>157/2020-21</t>
  </si>
  <si>
    <t>143/2020-21</t>
  </si>
  <si>
    <t>160/2020-21</t>
  </si>
  <si>
    <t>SLA029050008471</t>
  </si>
  <si>
    <t>Lapis Technologies</t>
  </si>
  <si>
    <t>HYD-1034</t>
  </si>
  <si>
    <t>173/2020-21</t>
  </si>
  <si>
    <t>HYD-608</t>
  </si>
  <si>
    <t>HYD-609</t>
  </si>
  <si>
    <t>EDP EQUIPMENT  :</t>
  </si>
  <si>
    <t>01/04/2005</t>
  </si>
  <si>
    <t>4105</t>
  </si>
  <si>
    <t>4103</t>
  </si>
  <si>
    <t>4102</t>
  </si>
  <si>
    <t>4101</t>
  </si>
  <si>
    <t>4104</t>
  </si>
  <si>
    <t>4107</t>
  </si>
  <si>
    <t>4279</t>
  </si>
  <si>
    <t>4294</t>
  </si>
  <si>
    <t>4578</t>
  </si>
  <si>
    <t>5200</t>
  </si>
  <si>
    <t>5311</t>
  </si>
  <si>
    <t>5323</t>
  </si>
  <si>
    <t>5419</t>
  </si>
  <si>
    <t>5421</t>
  </si>
  <si>
    <t>5420</t>
  </si>
  <si>
    <t>5447</t>
  </si>
  <si>
    <t>5448</t>
  </si>
  <si>
    <t>5545</t>
  </si>
  <si>
    <t>5905</t>
  </si>
  <si>
    <t>Plotter</t>
  </si>
  <si>
    <t>3412</t>
  </si>
  <si>
    <t xml:space="preserve">Ricoh </t>
  </si>
  <si>
    <t>HYY1745</t>
  </si>
  <si>
    <t>4207</t>
  </si>
  <si>
    <t>HYY61634</t>
  </si>
  <si>
    <t>5080</t>
  </si>
  <si>
    <t>5220</t>
  </si>
  <si>
    <t>6138</t>
  </si>
  <si>
    <t>6407</t>
  </si>
  <si>
    <t>HYL 81316</t>
  </si>
  <si>
    <t>Navjeevan Computers</t>
  </si>
  <si>
    <t>2931</t>
  </si>
  <si>
    <t>22/02/2010</t>
  </si>
  <si>
    <t>Software</t>
  </si>
  <si>
    <t>Gloabal Weld coat Engineers</t>
  </si>
  <si>
    <t>21/05/2009</t>
  </si>
  <si>
    <t>6609</t>
  </si>
  <si>
    <t>08/06/2009</t>
  </si>
  <si>
    <t>7035</t>
  </si>
  <si>
    <t>01/02/2010</t>
  </si>
  <si>
    <t>6552</t>
  </si>
  <si>
    <t>6559</t>
  </si>
  <si>
    <t>7231</t>
  </si>
  <si>
    <t>05/09/2009</t>
  </si>
  <si>
    <t>7115</t>
  </si>
  <si>
    <t>11/03/2010</t>
  </si>
  <si>
    <t>7410</t>
  </si>
  <si>
    <t>01/06/2010</t>
  </si>
  <si>
    <t>7433</t>
  </si>
  <si>
    <t>23/06/2010</t>
  </si>
  <si>
    <t>Lorven I zone</t>
  </si>
  <si>
    <t>21/08/2010</t>
  </si>
  <si>
    <t>7643</t>
  </si>
  <si>
    <t>27/09/2010</t>
  </si>
  <si>
    <t>7835</t>
  </si>
  <si>
    <t>18/02/2011</t>
  </si>
  <si>
    <t>7842</t>
  </si>
  <si>
    <t>20/12/2010</t>
  </si>
  <si>
    <t>8072</t>
  </si>
  <si>
    <t>10/03/2011</t>
  </si>
  <si>
    <t>Lower Tapi - SCL Infratech</t>
  </si>
  <si>
    <t>Navajeevan Computers</t>
  </si>
  <si>
    <t>3118</t>
  </si>
  <si>
    <t>3185</t>
  </si>
  <si>
    <t>7655</t>
  </si>
  <si>
    <t>05/10/2010</t>
  </si>
  <si>
    <t>Conquer Technologies</t>
  </si>
  <si>
    <t>Ricoh India Ltd.</t>
  </si>
  <si>
    <t>HYL11149</t>
  </si>
  <si>
    <t>26/05/2011</t>
  </si>
  <si>
    <t>8477</t>
  </si>
  <si>
    <t>12/09/2011</t>
  </si>
  <si>
    <t>8501</t>
  </si>
  <si>
    <t>22/09/2011</t>
  </si>
  <si>
    <t>8582</t>
  </si>
  <si>
    <t>07/11/2011</t>
  </si>
  <si>
    <t>8733</t>
  </si>
  <si>
    <t>19/01/2011</t>
  </si>
  <si>
    <t>Moniter-18.5"</t>
  </si>
  <si>
    <t>8991</t>
  </si>
  <si>
    <t>17/05/2012</t>
  </si>
  <si>
    <t>9013</t>
  </si>
  <si>
    <t>31/05/2012</t>
  </si>
  <si>
    <t>9064</t>
  </si>
  <si>
    <t>23/06/2012</t>
  </si>
  <si>
    <t>9147</t>
  </si>
  <si>
    <t>9175</t>
  </si>
  <si>
    <t>28/08/2012</t>
  </si>
  <si>
    <t>9576</t>
  </si>
  <si>
    <t>25/03/2013</t>
  </si>
  <si>
    <t>8948</t>
  </si>
  <si>
    <t>26/04/2012</t>
  </si>
  <si>
    <t>Samoda</t>
  </si>
  <si>
    <t>9758</t>
  </si>
  <si>
    <t>22/06/2013</t>
  </si>
  <si>
    <t>979</t>
  </si>
  <si>
    <t>11-07-2013</t>
  </si>
  <si>
    <t>Navnjani Computer</t>
  </si>
  <si>
    <t>1396</t>
  </si>
  <si>
    <t>Interilastion</t>
  </si>
  <si>
    <t>Int/1473/13-14</t>
  </si>
  <si>
    <t>23/05/2013</t>
  </si>
  <si>
    <t>Genesis computers</t>
  </si>
  <si>
    <t>03</t>
  </si>
  <si>
    <t>11/12/2013</t>
  </si>
  <si>
    <t>Macherial Rail Bridge</t>
  </si>
  <si>
    <t>10116</t>
  </si>
  <si>
    <t>08/01/2014</t>
  </si>
  <si>
    <t>Head Office-Accts</t>
  </si>
  <si>
    <t>10306</t>
  </si>
  <si>
    <t>20/03/2014</t>
  </si>
  <si>
    <t>23/9/2014</t>
  </si>
  <si>
    <t>21/11/2014</t>
  </si>
  <si>
    <t>29/10/2015</t>
  </si>
  <si>
    <t>17/12/2014</t>
  </si>
  <si>
    <t>30/1/2015</t>
  </si>
  <si>
    <t>22/11/2014</t>
  </si>
  <si>
    <t>24/11/2014</t>
  </si>
  <si>
    <t>25/11/2014</t>
  </si>
  <si>
    <t>20/1/2015</t>
  </si>
  <si>
    <t>20/3/2015</t>
  </si>
  <si>
    <t>30/3/2015</t>
  </si>
  <si>
    <t>printer</t>
  </si>
  <si>
    <t>HP1 Printer</t>
  </si>
  <si>
    <t>Monitors</t>
  </si>
  <si>
    <t>Laptop</t>
  </si>
  <si>
    <t>Alfa Technologies</t>
  </si>
  <si>
    <t>Dell Desktops</t>
  </si>
  <si>
    <t>Sai Techno Care</t>
  </si>
  <si>
    <t>Happy Computer Lab</t>
  </si>
  <si>
    <t>TVS Printer</t>
  </si>
  <si>
    <t>Laserjet Printer</t>
  </si>
  <si>
    <t>Hp Laserjet Printer</t>
  </si>
  <si>
    <t>City Computers</t>
  </si>
  <si>
    <t>5339</t>
  </si>
  <si>
    <t>5735</t>
  </si>
  <si>
    <t>6202</t>
  </si>
  <si>
    <t>7144</t>
  </si>
  <si>
    <t>7758</t>
  </si>
  <si>
    <t>0004</t>
  </si>
  <si>
    <t xml:space="preserve">Indu Computers </t>
  </si>
  <si>
    <t>JSB2364</t>
  </si>
  <si>
    <t>JSB1893</t>
  </si>
  <si>
    <t>H.o</t>
  </si>
  <si>
    <t>Alfa Technologies Inc</t>
  </si>
  <si>
    <t>558</t>
  </si>
  <si>
    <t>590</t>
  </si>
  <si>
    <t>625</t>
  </si>
  <si>
    <t>322</t>
  </si>
  <si>
    <t>330</t>
  </si>
  <si>
    <t>339</t>
  </si>
  <si>
    <t>Axis Bank CC A/c.-213 (Bll to be verified)</t>
  </si>
  <si>
    <t>QWXV-347, QSAI-4182</t>
  </si>
  <si>
    <t>Canan IR ADV c3520 Printer</t>
  </si>
  <si>
    <t>JSB2011092</t>
  </si>
  <si>
    <t>Sruti Technologies</t>
  </si>
  <si>
    <t>ST/9959/20-21</t>
  </si>
  <si>
    <t>Rams Computer World</t>
  </si>
  <si>
    <t>RWC/644/20-21</t>
  </si>
  <si>
    <t>Krishna Computers</t>
  </si>
  <si>
    <t>Swetha Computer Park</t>
  </si>
  <si>
    <t>Vitoria Bridge</t>
  </si>
  <si>
    <t>SAN Complex</t>
  </si>
  <si>
    <t>Minosha India Limited</t>
  </si>
  <si>
    <t>SL.No</t>
  </si>
  <si>
    <t>STATE</t>
  </si>
  <si>
    <t>LOCATION</t>
  </si>
  <si>
    <t>DESCRIPTION OF MACHINERY</t>
  </si>
  <si>
    <t>ASSET CODE</t>
  </si>
  <si>
    <t>YOM</t>
  </si>
  <si>
    <t>MAKE</t>
  </si>
  <si>
    <t>MODEL</t>
  </si>
  <si>
    <t>REG. NO.</t>
  </si>
  <si>
    <t>CHASIS NO.</t>
  </si>
  <si>
    <t>ENGINE SL. NO</t>
  </si>
  <si>
    <t>BASIC VALUE</t>
  </si>
  <si>
    <t xml:space="preserve">NET BOOK VALUE  </t>
  </si>
  <si>
    <t>REMARKS</t>
  </si>
  <si>
    <t>OD</t>
  </si>
  <si>
    <t>MEERAMANDAL</t>
  </si>
  <si>
    <t>LMV</t>
  </si>
  <si>
    <t>LMV0000001</t>
  </si>
  <si>
    <t>TOYOTA KIRLOSKAR MOTOR LTD</t>
  </si>
  <si>
    <t>Innova 2.5V (E4)-7S</t>
  </si>
  <si>
    <t>TS07EL6888</t>
  </si>
  <si>
    <t>MBJ11JV4007146344</t>
  </si>
  <si>
    <t>2KD 6178178</t>
  </si>
  <si>
    <t>MH</t>
  </si>
  <si>
    <t>SULWADE-JAMPHAL</t>
  </si>
  <si>
    <t>LMV0000002</t>
  </si>
  <si>
    <t>MAHINDRA &amp; MAHINDRA LTD</t>
  </si>
  <si>
    <t>Bolero LX</t>
  </si>
  <si>
    <t>MP10BA3888</t>
  </si>
  <si>
    <t>82A10862</t>
  </si>
  <si>
    <t>GA74M84634</t>
  </si>
  <si>
    <t>AP</t>
  </si>
  <si>
    <t>POLAVARAM</t>
  </si>
  <si>
    <t>LMV0000003</t>
  </si>
  <si>
    <t>Boero xl 2wd 10strac Bs ll</t>
  </si>
  <si>
    <t>AP28AZ6888</t>
  </si>
  <si>
    <t>MA1WF2GAK82E35026</t>
  </si>
  <si>
    <t>GA84E11908</t>
  </si>
  <si>
    <t>LMV0000004</t>
  </si>
  <si>
    <t>Bolero SLX MDI TC 2WD 7SRT NGT</t>
  </si>
  <si>
    <t>MH19AP6888</t>
  </si>
  <si>
    <t>MA1PS2GAK82K25364</t>
  </si>
  <si>
    <t>GA84K34563</t>
  </si>
  <si>
    <t>TS</t>
  </si>
  <si>
    <t>HEAD OFFICE</t>
  </si>
  <si>
    <t>LMV0000005</t>
  </si>
  <si>
    <t>AP28DC0678</t>
  </si>
  <si>
    <t>MBJ11JV40071692860409</t>
  </si>
  <si>
    <t>2KD6302619</t>
  </si>
  <si>
    <t>SHELGAON</t>
  </si>
  <si>
    <t>LMV0000006</t>
  </si>
  <si>
    <t>Bolero SLX MDI TC 7STR BS3</t>
  </si>
  <si>
    <t>MH18W6888</t>
  </si>
  <si>
    <t>MA1PS2GAKA2B76679</t>
  </si>
  <si>
    <t>GAA4B29448</t>
  </si>
  <si>
    <t>LMV0000007</t>
  </si>
  <si>
    <t>TATA MOTORS LIMITED</t>
  </si>
  <si>
    <t>Indigo CS E LX BS4</t>
  </si>
  <si>
    <t>AP28DL6888</t>
  </si>
  <si>
    <t>MAT601462BWF16217</t>
  </si>
  <si>
    <t>1.4CRAIL08FYYW20266</t>
  </si>
  <si>
    <t>LMV0000008</t>
  </si>
  <si>
    <t>AP28DN6888</t>
  </si>
  <si>
    <t>MBJ11JV4007334284</t>
  </si>
  <si>
    <t>2KDU035478</t>
  </si>
  <si>
    <t>LMV0000009</t>
  </si>
  <si>
    <t>MARUTI SUZUKI</t>
  </si>
  <si>
    <t xml:space="preserve">SWIFT </t>
  </si>
  <si>
    <t>AP07BX3939</t>
  </si>
  <si>
    <t>MA3FHEB1S00400249BD</t>
  </si>
  <si>
    <t>D13A-0362844</t>
  </si>
  <si>
    <t>LMV0000010</t>
  </si>
  <si>
    <t>SWIFT D ZIRE</t>
  </si>
  <si>
    <t>TS07ER6888</t>
  </si>
  <si>
    <t>MA3FJEB1S00757806FF</t>
  </si>
  <si>
    <t>D13A-2613399</t>
  </si>
  <si>
    <t>LMV0000011</t>
  </si>
  <si>
    <t>INNOVA 2.5Z(E4)-7S</t>
  </si>
  <si>
    <t>TS15E9599</t>
  </si>
  <si>
    <t>MBJ11JV4007526661</t>
  </si>
  <si>
    <t>2KDS519163</t>
  </si>
  <si>
    <t>OD-8</t>
  </si>
  <si>
    <t>LMV0000012</t>
  </si>
  <si>
    <t>XUV 500</t>
  </si>
  <si>
    <t>OD02AB2345</t>
  </si>
  <si>
    <t>MA1YU2HHUF6G14019</t>
  </si>
  <si>
    <t>HHF4G15860</t>
  </si>
  <si>
    <t>WORK SHOP</t>
  </si>
  <si>
    <t>LMV0000013</t>
  </si>
  <si>
    <t>VITARA BREZZA ZDI+ Grey</t>
  </si>
  <si>
    <t>TS09EW6888</t>
  </si>
  <si>
    <t>MA3NYFB1SHH273093</t>
  </si>
  <si>
    <t>D13A-5496499</t>
  </si>
  <si>
    <t>LMV0000014</t>
  </si>
  <si>
    <t>VITARA BREZZA ZDI+ White</t>
  </si>
  <si>
    <t>TS07FU6888</t>
  </si>
  <si>
    <t>MA3NYFB1SHH273598</t>
  </si>
  <si>
    <t>D13A-5497210</t>
  </si>
  <si>
    <t>SUKINDA</t>
  </si>
  <si>
    <t>LMV0000015</t>
  </si>
  <si>
    <t>SCORPIO S10-BS IV</t>
  </si>
  <si>
    <t>OD04K2345</t>
  </si>
  <si>
    <t>MA1TA2WGXH2F12138</t>
  </si>
  <si>
    <t>WGH4F18400</t>
  </si>
  <si>
    <t>LMV0000016</t>
  </si>
  <si>
    <t>VOLVO GROUP INDIA PVT LTD</t>
  </si>
  <si>
    <t>XC60</t>
  </si>
  <si>
    <t>TS09FC6888</t>
  </si>
  <si>
    <t>LYVUZ68ACKB238856</t>
  </si>
  <si>
    <t>2658970</t>
  </si>
  <si>
    <t>LMV0000017</t>
  </si>
  <si>
    <t>FORTUNER</t>
  </si>
  <si>
    <t>TS07FX6888</t>
  </si>
  <si>
    <t>MBJBA3FS6008110970118</t>
  </si>
  <si>
    <t>1GDA157477</t>
  </si>
  <si>
    <t>LMV0000018</t>
  </si>
  <si>
    <t>Innova Crysta 2.8Z</t>
  </si>
  <si>
    <t>TS07FZ6888</t>
  </si>
  <si>
    <t>MBJAA3EM5007799670118</t>
  </si>
  <si>
    <t>1GDA159158</t>
  </si>
  <si>
    <t>LMV0000019</t>
  </si>
  <si>
    <t>Innova Crysta 2.4V</t>
  </si>
  <si>
    <t>TS09EY6888</t>
  </si>
  <si>
    <t>MBJGB8EMX020375730218</t>
  </si>
  <si>
    <t>2GDA168431</t>
  </si>
  <si>
    <t>YADADRI TPS</t>
  </si>
  <si>
    <t>LMV0000020</t>
  </si>
  <si>
    <t>Mahindra Scorpio S11</t>
  </si>
  <si>
    <t>AP05ER8055</t>
  </si>
  <si>
    <t>MA1TA4WR2J2G21137</t>
  </si>
  <si>
    <t>WRJ4G13399</t>
  </si>
  <si>
    <t>SITAMMA SAGAR</t>
  </si>
  <si>
    <t>LMV0000021</t>
  </si>
  <si>
    <t>Bolero ZLX</t>
  </si>
  <si>
    <t>TS07GG6888</t>
  </si>
  <si>
    <t>MA1XK2WJXJ6E37995</t>
  </si>
  <si>
    <t>WJJ6E50924</t>
  </si>
  <si>
    <t>LMV0000022</t>
  </si>
  <si>
    <t>Bolero SLE</t>
  </si>
  <si>
    <t>MH19CV3888</t>
  </si>
  <si>
    <t>MA1XM2WJXJ6J45328</t>
  </si>
  <si>
    <t>WJJ6J78962</t>
  </si>
  <si>
    <t>LMV0000023</t>
  </si>
  <si>
    <t>MH19CV3366</t>
  </si>
  <si>
    <t>MA1XM2WJXJ6K41416</t>
  </si>
  <si>
    <t>WJJ6K85485</t>
  </si>
  <si>
    <t>LMV0000024</t>
  </si>
  <si>
    <t>KIA MOTORS INDIA PVT LTD</t>
  </si>
  <si>
    <t>KIA-CARNIVAL</t>
  </si>
  <si>
    <t>TS07HF6888</t>
  </si>
  <si>
    <t>MZBMC81AMLN002028B</t>
  </si>
  <si>
    <t>D4HBKH673812</t>
  </si>
  <si>
    <t>KDRP4&amp;5</t>
  </si>
  <si>
    <t>LMV0000025</t>
  </si>
  <si>
    <t>TS07HM0012</t>
  </si>
  <si>
    <t>MBJGB8EM4020710920</t>
  </si>
  <si>
    <t>2GDA437109</t>
  </si>
  <si>
    <t>LMV0000026</t>
  </si>
  <si>
    <t>SCORPIO S11/BS6</t>
  </si>
  <si>
    <t>OD33AD3456</t>
  </si>
  <si>
    <t>MA1TA2XM2M2G13213</t>
  </si>
  <si>
    <t>XMM4G10064</t>
  </si>
  <si>
    <t>LMV0000027</t>
  </si>
  <si>
    <t>Innova Crysta 2.4Z (AT)7S BSVI</t>
  </si>
  <si>
    <t>TS07EZ2457</t>
  </si>
  <si>
    <t>MBJAB3EM902545168/0221</t>
  </si>
  <si>
    <t>2GDA484507</t>
  </si>
  <si>
    <t>LMV0000028</t>
  </si>
  <si>
    <t>XUV 700</t>
  </si>
  <si>
    <t>AP39QC 6888</t>
  </si>
  <si>
    <t>MA1NE2ZSAN6D15102</t>
  </si>
  <si>
    <t>ZSN4D42611</t>
  </si>
  <si>
    <t>LMV0000029</t>
  </si>
  <si>
    <t>Pick up Van</t>
  </si>
  <si>
    <t>OD04S3456</t>
  </si>
  <si>
    <t>MA1ZU2TNKN1C30528</t>
  </si>
  <si>
    <t>TNN1C48794</t>
  </si>
  <si>
    <t>LMV0000030</t>
  </si>
  <si>
    <t>Mahindra Bolero BS6 7seat</t>
  </si>
  <si>
    <t>AP39MU5547</t>
  </si>
  <si>
    <t>MA1XK2XKXN6A25570</t>
  </si>
  <si>
    <t>XKM6M80379</t>
  </si>
  <si>
    <t>LMV0000031</t>
  </si>
  <si>
    <t>AP39MG6888</t>
  </si>
  <si>
    <t>MA1XK2XKXN6A24789</t>
  </si>
  <si>
    <t>XKM6M78702</t>
  </si>
  <si>
    <t>LMV0000032</t>
  </si>
  <si>
    <t>KIA SELTOS</t>
  </si>
  <si>
    <t>TS 07JB 6888</t>
  </si>
  <si>
    <t>MZBET813MNN322361A</t>
  </si>
  <si>
    <t>D4FAMM443474</t>
  </si>
  <si>
    <t>LMV0000033</t>
  </si>
  <si>
    <t>TS08GT0283</t>
  </si>
  <si>
    <t>LMV0000034</t>
  </si>
  <si>
    <t>OD10V 3456</t>
  </si>
  <si>
    <t>MA1XK2TVXN6E29241</t>
  </si>
  <si>
    <t>TVN6E44184</t>
  </si>
  <si>
    <t>TOTAL VALUE</t>
  </si>
  <si>
    <t>SL.NO</t>
  </si>
  <si>
    <t>SITE LOCATION</t>
  </si>
  <si>
    <t>CAPACITY</t>
  </si>
  <si>
    <t xml:space="preserve"> CHASISS NO</t>
  </si>
  <si>
    <t>REG.NO</t>
  </si>
  <si>
    <t>INVOICE AMOUNT</t>
  </si>
  <si>
    <t>JHAMPAL SITE</t>
  </si>
  <si>
    <t>HERO / PASSION / PRO</t>
  </si>
  <si>
    <t>110 CC</t>
  </si>
  <si>
    <t>JA06EUJHH18522 / MBLJAR141JHH09128</t>
  </si>
  <si>
    <t>MH 19 DG 6514</t>
  </si>
  <si>
    <t>JA06EUJHH17346 / MBLJAR141JHH09128</t>
  </si>
  <si>
    <t>MH 19 DG 6515</t>
  </si>
  <si>
    <t>JA06EUJHJ01500 / MBLJAR147JHJ00946</t>
  </si>
  <si>
    <t>MH 19 DJ 5259</t>
  </si>
  <si>
    <t>JA06EUJHJ06065 / MBLJAR146JHJ03532</t>
  </si>
  <si>
    <t>MH 19 DJ 5260</t>
  </si>
  <si>
    <t>HONDA / SHINE</t>
  </si>
  <si>
    <t>JC65E72237787 / ME4JC65AGJ7153423</t>
  </si>
  <si>
    <t>MH 19 DH 5930</t>
  </si>
  <si>
    <t>TVS / STARCITY / ES MAG</t>
  </si>
  <si>
    <t>AF1AD1692900 / MD625NF18D1A90436</t>
  </si>
  <si>
    <t>MH 19 BR 4755</t>
  </si>
  <si>
    <t>LowerTapi</t>
  </si>
  <si>
    <t>AP 01 AD 1926</t>
  </si>
  <si>
    <t>OF1L81175794 / MD625NF1881L64723</t>
  </si>
  <si>
    <t>MH 19 AS 7527</t>
  </si>
  <si>
    <t>AF1AD1695817 / MD625NF12D1A93414</t>
  </si>
  <si>
    <t>MH 19 BR 4737</t>
  </si>
  <si>
    <t>OF1L91064672 / MD625NF1393L68541</t>
  </si>
  <si>
    <t>MH 11 AV 2982</t>
  </si>
  <si>
    <t>OF1B91008166 / MD625NF1X91B92702</t>
  </si>
  <si>
    <t>MH 19 AT 8832</t>
  </si>
  <si>
    <t>SHLEGAON</t>
  </si>
  <si>
    <t>HERO PASSION PRO</t>
  </si>
  <si>
    <t>JA06EWMHJ14730 / MBJAW141MHJ1407</t>
  </si>
  <si>
    <t>MH19DW  4498</t>
  </si>
  <si>
    <t>TVS JUPITER</t>
  </si>
  <si>
    <t>EG4LK1619574 / MD626EG47K1L39579</t>
  </si>
  <si>
    <t>MH19DN 1644</t>
  </si>
  <si>
    <t>SHLEGAON / NASHIK</t>
  </si>
  <si>
    <t>JA06EUJHE00019 / MBLJAR14XJHE00015</t>
  </si>
  <si>
    <t>MH 19 DG 6010</t>
  </si>
  <si>
    <t>HATNUR</t>
  </si>
  <si>
    <t>110CC</t>
  </si>
  <si>
    <t>JA06EWMHJ0304/MBLJAW142MHJ02347</t>
  </si>
  <si>
    <t>MH19DW 4496</t>
  </si>
  <si>
    <t>100 CC</t>
  </si>
  <si>
    <t>HA10ACHHA64837 / MBLHAR187HHA81216</t>
  </si>
  <si>
    <t>AP 37 CZ 3063</t>
  </si>
  <si>
    <t>MEERAMANDAL-OD</t>
  </si>
  <si>
    <t>CF1LG1285652 / MD625CF10G1L16913</t>
  </si>
  <si>
    <t>OD 04 J 7366</t>
  </si>
  <si>
    <t>SUKINDA SITE-OD</t>
  </si>
  <si>
    <t>TVS / STAR / CITY</t>
  </si>
  <si>
    <t>CF1AG1437727 / MD625CF13G1A00554</t>
  </si>
  <si>
    <t>OD 30 A 0152</t>
  </si>
  <si>
    <t>TVS / STARCITY / 110 MAG ES</t>
  </si>
  <si>
    <t>CF1BG1456781 / MD625CF17G1B16579</t>
  </si>
  <si>
    <t>OD 30 A 0121</t>
  </si>
  <si>
    <t>TVS / JUPITER / LE</t>
  </si>
  <si>
    <t>BG4NF1763870 / MD626BG46F1X16417</t>
  </si>
  <si>
    <t>OD 04 J 2619</t>
  </si>
  <si>
    <t>OR</t>
  </si>
  <si>
    <t>CFICG1482818 / MD625CF19GIC36450</t>
  </si>
  <si>
    <t>OD 04 H8898</t>
  </si>
  <si>
    <t>CF1LG1185936 / MD625CF12G1L17206</t>
  </si>
  <si>
    <t>OD 04 J 6737</t>
  </si>
  <si>
    <t>CF1LG1082814 / MD625CF16G1L14731</t>
  </si>
  <si>
    <t>OD 04 J 6703</t>
  </si>
  <si>
    <t>BRAHMANI-OD</t>
  </si>
  <si>
    <t>CF1FF1287689 / MD625CF16FIF82180</t>
  </si>
  <si>
    <t>OD 04 H7369</t>
  </si>
  <si>
    <t>TVS / STARCITY / PLUS</t>
  </si>
  <si>
    <t>CF1FF1281143 / MD625CF13F1F77650</t>
  </si>
  <si>
    <t>OD 06 C 0574</t>
  </si>
  <si>
    <t>TVS / VICTOR / 110 DRUM</t>
  </si>
  <si>
    <t>CMD600CAKN0139000002</t>
  </si>
  <si>
    <t>LF1NH1X05662 / MD625GF16H1N07017</t>
  </si>
  <si>
    <t>OD 04 L 3183</t>
  </si>
  <si>
    <t>SALANDI BRIDGE-OD</t>
  </si>
  <si>
    <t>BAJAJ AUTO LTD</t>
  </si>
  <si>
    <t>BAJAJ CT100</t>
  </si>
  <si>
    <t>DUZPHL03359 / MD2A18AY8HPL01102</t>
  </si>
  <si>
    <t>OD 04 J 9347</t>
  </si>
  <si>
    <t>DUYPHA4307 / MO2A18AY3HPA40860</t>
  </si>
  <si>
    <t>OD 04 J 9642</t>
  </si>
  <si>
    <t>HERO MOTOCORP / HF DELUXE / DRS CAST</t>
  </si>
  <si>
    <t>HA11ENHGF02980 / MBLHAR206HGF03524</t>
  </si>
  <si>
    <t>OD04L1526</t>
  </si>
  <si>
    <t>TVS / VICTOR / GX ALLOYWHEEL</t>
  </si>
  <si>
    <t>CDM600CAKNO139000002</t>
  </si>
  <si>
    <t>LF1PH1817327 / MD625GF13J1A22133</t>
  </si>
  <si>
    <t>OD04L3184</t>
  </si>
  <si>
    <t>HERO MOTOCORP / HF DELUXE / ALLOY SELF
START</t>
  </si>
  <si>
    <t>ZZJN0008061</t>
  </si>
  <si>
    <t>97 CC</t>
  </si>
  <si>
    <t>HA11ENJ9A07079 / MBLHAR202J9A01233</t>
  </si>
  <si>
    <t>OD34F1544</t>
  </si>
  <si>
    <t>HERO HONDA / CDN-3 / DRUM SELF CAST</t>
  </si>
  <si>
    <t>HA11ENJHA18509 / MBLHAR206JHA07378</t>
  </si>
  <si>
    <t>OD34F1545</t>
  </si>
  <si>
    <t>HERO MOTOCORP / HF DELUXE / I3 S</t>
  </si>
  <si>
    <t>HA11ENJGG14420 / MBLHAR201JGG24438</t>
  </si>
  <si>
    <t>OD34H4765</t>
  </si>
  <si>
    <t>HA11ENJ9G0672 / MBLHAR208J9G12190</t>
  </si>
  <si>
    <t>OD34H4766</t>
  </si>
  <si>
    <t>HERO MOTOCORP / HF DELUXE / CAST DRS</t>
  </si>
  <si>
    <t>HA11ENJ9K19670 / MBLBAR201J9K13019</t>
  </si>
  <si>
    <t>OD34H4767</t>
  </si>
  <si>
    <t>BAJAJ PLATINUM</t>
  </si>
  <si>
    <t>-</t>
  </si>
  <si>
    <t>AP22L4694</t>
  </si>
  <si>
    <t>UP47M7062</t>
  </si>
  <si>
    <t>Khammam-Devarapalli Project</t>
  </si>
  <si>
    <t>PASSION PRO</t>
  </si>
  <si>
    <t>JA06EUJHJ13127 / MBLJAR146JHJ07399</t>
  </si>
  <si>
    <t>AP05ER9635</t>
  </si>
  <si>
    <t>JA06EUJHJ13015 / MBLJAR140JHJ07396</t>
  </si>
  <si>
    <t>AP05ER9145</t>
  </si>
  <si>
    <t>GRBP-VYNATHEYA</t>
  </si>
  <si>
    <t>JA06EUJHK15245 / MBLJAR143JHK09002</t>
  </si>
  <si>
    <t>AP05ER9634</t>
  </si>
  <si>
    <t>UPPUGUNDURU</t>
  </si>
  <si>
    <t>JA06EUJHK15566 / MBLJAR146JHK09317</t>
  </si>
  <si>
    <t>AP39C9419</t>
  </si>
  <si>
    <t>JA06EUJHK15658 / MBLJAR147JHK09391</t>
  </si>
  <si>
    <t>AP05ER9144</t>
  </si>
  <si>
    <t>JA06EUJHK14273 / MBLJAR146JHK08586</t>
  </si>
  <si>
    <t>AP05ER9633</t>
  </si>
  <si>
    <t>JA06EUJHK15329 / MBLJAR416JHK09088</t>
  </si>
  <si>
    <t>AP05ER9191</t>
  </si>
  <si>
    <t>JA06EUJHK15258 / MBLJAR14XJHK09028</t>
  </si>
  <si>
    <t>AP39C9425</t>
  </si>
  <si>
    <t>HERO HF DELUX SELF</t>
  </si>
  <si>
    <t>HA11EJF9E07500 / MBLHA11ATF9E13246</t>
  </si>
  <si>
    <t>CG10Y2070</t>
  </si>
  <si>
    <t xml:space="preserve">HA11EJF9E08344 /MBLHA11ATF9E14057 </t>
  </si>
  <si>
    <t>CG10AA8128</t>
  </si>
  <si>
    <t>GRBP-KOTIPALLI</t>
  </si>
  <si>
    <t xml:space="preserve">HA11EXG9H21450 /MBLHA11AZG9H21488 </t>
  </si>
  <si>
    <t>CG10AE2916</t>
  </si>
  <si>
    <t>HA11EJF9E56840 / MBLHA11ATF9E44096</t>
  </si>
  <si>
    <t>CG10Y3177</t>
  </si>
  <si>
    <t>HA11EJFPE03550 / MBLHA11ATF9E09493</t>
  </si>
  <si>
    <t>CG10Y2052</t>
  </si>
  <si>
    <t>HA11EJF9E07365 / MBLHA11ATF9E13069</t>
  </si>
  <si>
    <t>CG10Y3222</t>
  </si>
  <si>
    <t>CHENNAKAROTA</t>
  </si>
  <si>
    <t>TVS STAR CITY BS2</t>
  </si>
  <si>
    <t xml:space="preserve">100CC </t>
  </si>
  <si>
    <t>AF5H61585133 / MD625KF5071A60062</t>
  </si>
  <si>
    <t>AP35G1010</t>
  </si>
  <si>
    <t>MH13AY4347</t>
  </si>
  <si>
    <t>TS19A6723</t>
  </si>
  <si>
    <t>AP30 1930</t>
  </si>
  <si>
    <t>SHALGEON</t>
  </si>
  <si>
    <t>E.No- OF1N81181695 / Ch.no - MD625NF1481N72825</t>
  </si>
  <si>
    <t>MH19AT1668</t>
  </si>
  <si>
    <t>STAR CITY</t>
  </si>
  <si>
    <t xml:space="preserve">110 CC </t>
  </si>
  <si>
    <t>E.no-AF1CA1251623/ Ch.no- MD625NF13A3C01877</t>
  </si>
  <si>
    <t>MH19AW5664</t>
  </si>
  <si>
    <t>E.No- JA06EUJHH17173/ Ch.no - MBLJAR145JHH08967</t>
  </si>
  <si>
    <t>MH19DG6512</t>
  </si>
  <si>
    <t>TUPAKULAGUDEM</t>
  </si>
  <si>
    <t>TVS</t>
  </si>
  <si>
    <t>110C</t>
  </si>
  <si>
    <t>AP01AD1939</t>
  </si>
  <si>
    <t>SADARMATT</t>
  </si>
  <si>
    <t>AP01AD1924</t>
  </si>
  <si>
    <t>TS19A6721</t>
  </si>
  <si>
    <t>TS19A6724</t>
  </si>
  <si>
    <t>CD-DELUXE BSII</t>
  </si>
  <si>
    <t>CH-05E29F11990 / EN-05E29E23859</t>
  </si>
  <si>
    <t>AP28AN5400</t>
  </si>
  <si>
    <t>TVS STAR CITY BS3</t>
  </si>
  <si>
    <t>CH-MD625CF11E1N79070 / EN-CF1NE1130553</t>
  </si>
  <si>
    <t>TS07EF8688</t>
  </si>
  <si>
    <t>TVS MAX 4R BSIII</t>
  </si>
  <si>
    <t>MD625RF14B1G46830 / BF1GB1045279</t>
  </si>
  <si>
    <t>AP24AQ6454</t>
  </si>
  <si>
    <t>MD625CF10F1A11137 / CF1AF1187857</t>
  </si>
  <si>
    <t>TS07EH6888 RED</t>
  </si>
  <si>
    <t>MD625CF17G1C26497 / CF1CG1467903</t>
  </si>
  <si>
    <t>TS07EX6888 BLUE</t>
  </si>
  <si>
    <t>MD425CF11E1N79078/CFINE1130653</t>
  </si>
  <si>
    <t>TS07EF8688 BLACK</t>
  </si>
  <si>
    <t>100C</t>
  </si>
  <si>
    <t>MD625NF1791L80641 / AF1L91214189</t>
  </si>
  <si>
    <t>AP28DE0587</t>
  </si>
  <si>
    <t>MD625NF1XB1L65475 / AF1LB1487458</t>
  </si>
  <si>
    <t>AP01AD1925</t>
  </si>
  <si>
    <t>MD625NF1481K45776 / OF1K81162262</t>
  </si>
  <si>
    <t>AP03AAG5827</t>
  </si>
  <si>
    <t>MD625NF19C1N6099 / AF1NC1666366</t>
  </si>
  <si>
    <t>AP01AF4988</t>
  </si>
  <si>
    <t>PATANCHERUVU</t>
  </si>
  <si>
    <t>SUPER SPLENDOR</t>
  </si>
  <si>
    <t>125CC</t>
  </si>
  <si>
    <t>JA07ABLGH17340 / MBLJAW178LGHI5266</t>
  </si>
  <si>
    <t>TS08HC4325</t>
  </si>
  <si>
    <t>Yadadri TPS</t>
  </si>
  <si>
    <t>NOT AVAILABLE</t>
  </si>
  <si>
    <t>TS05FH1218              NEW BIKES</t>
  </si>
  <si>
    <t>TS05FH1217                       NEW BIKES</t>
  </si>
  <si>
    <t>TS05FH6974           NEW BIKES</t>
  </si>
  <si>
    <t xml:space="preserve"> TS05FH6975           NEW BIKES</t>
  </si>
  <si>
    <t xml:space="preserve">MBLHAW14XM6A00811/HA11ESM6A00705
</t>
  </si>
  <si>
    <t>AP39JF7484       (New Byke)</t>
  </si>
  <si>
    <t>MBLHAW143M6B00331/HA11ESM6B00294</t>
  </si>
  <si>
    <t>AP39JX7396 (New Byke)</t>
  </si>
  <si>
    <t>KA</t>
  </si>
  <si>
    <t>MRPL</t>
  </si>
  <si>
    <t>KA53HK 4527</t>
  </si>
  <si>
    <t>KA53HK 4524</t>
  </si>
  <si>
    <t>MBLHAW140M9B11298/HA11ESM9B13175</t>
  </si>
  <si>
    <t>OD10T 6729</t>
  </si>
  <si>
    <t>MBLJAW149MHC25081/JA06EWMHC36062</t>
  </si>
  <si>
    <t>OD10T8859</t>
  </si>
  <si>
    <t>MBLJAW149MHC25808/JA06EWMHC37131</t>
  </si>
  <si>
    <t>OD10T8874</t>
  </si>
  <si>
    <t>MBLHAW14OM9B11298</t>
  </si>
  <si>
    <t xml:space="preserve">OD10U 0071 </t>
  </si>
  <si>
    <t>Glamour Xtech</t>
  </si>
  <si>
    <t>MBLJAW214N9B52704</t>
  </si>
  <si>
    <t>OD10U 2549</t>
  </si>
  <si>
    <t>AP 01 AD 4746</t>
  </si>
  <si>
    <t>AP39LR 6238</t>
  </si>
  <si>
    <t>AP39MR  3481</t>
  </si>
  <si>
    <t>AP39MR  3480</t>
  </si>
  <si>
    <t>AP39LS 7876</t>
  </si>
  <si>
    <t>AP39LZ 7351</t>
  </si>
  <si>
    <t>AP39LZ 7352</t>
  </si>
  <si>
    <t>AP39LZ 7350</t>
  </si>
  <si>
    <t>AP39LR 6237</t>
  </si>
  <si>
    <t>AP39ME 6904</t>
  </si>
  <si>
    <t>AP39ME 6903</t>
  </si>
  <si>
    <t xml:space="preserve">GLAMOUR  CANVAS </t>
  </si>
  <si>
    <t>PASSION PRO X TECH</t>
  </si>
  <si>
    <t>113CC</t>
  </si>
  <si>
    <t>MBLJAW268N6F00291</t>
  </si>
  <si>
    <t>MBLJAW268N6H00300</t>
  </si>
  <si>
    <t>GLAMOUR XTEC BS6 DRS CAST FI BLACK</t>
  </si>
  <si>
    <t>MBLJAW214N6F25614</t>
  </si>
  <si>
    <t>MBLJAW215N6H00517</t>
  </si>
  <si>
    <t>MBLJAW210N6F25920</t>
  </si>
  <si>
    <t>Hf Deluxe</t>
  </si>
  <si>
    <t>MBLHAW14XNGJ13912/HA11ESNGJ12720</t>
  </si>
  <si>
    <t>MBLHAW140NGF15330/HA11ESNGF19684</t>
  </si>
  <si>
    <t>MBLHAW144N9J70644/HA11ESN9J13331</t>
  </si>
  <si>
    <t>MBLHAW147N9L10189/HA11ESN9J13331</t>
  </si>
  <si>
    <t>MBLHAW148N9M71658/HA11ESN9M17486</t>
  </si>
  <si>
    <t>MBLHAW148NGF04544/HA11ESNGF15100</t>
  </si>
  <si>
    <t>KDRP4</t>
  </si>
  <si>
    <t>MBLHAW102N6L01200/HA11EXN6L01157</t>
  </si>
  <si>
    <t>MBLHAW108N6L01363/HA11EXN6L01268</t>
  </si>
  <si>
    <t>MBLHAW10XN6M00962/HA11EXN6M00387</t>
  </si>
  <si>
    <t>MBLHAW10XN6L00621/HA11EXN6L00560</t>
  </si>
  <si>
    <t>MBLHAW103N6L00864/HA11EXN6L00812</t>
  </si>
  <si>
    <t>MBLHAW106N6J0092/HA11EXN6J00097</t>
  </si>
  <si>
    <t>Deprecation up  to 31.03.23</t>
  </si>
  <si>
    <t>Vibrator Accessories</t>
  </si>
  <si>
    <t>MFA-22-23-0081</t>
  </si>
  <si>
    <t>Scaff Holding Materials</t>
  </si>
  <si>
    <t>MFA-22-23-0080</t>
  </si>
  <si>
    <t>MFA-22-23-0278</t>
  </si>
  <si>
    <t>MFA-22-23-0082</t>
  </si>
  <si>
    <t>MFA-22-23-0083</t>
  </si>
  <si>
    <t>MFA-22-23-0079</t>
  </si>
  <si>
    <t>MFA-22-23-0078</t>
  </si>
  <si>
    <t>Schwing Stetter (India) Pvt. Ltd.</t>
  </si>
  <si>
    <t>M/EX/22-23/262</t>
  </si>
  <si>
    <t>Shanti Automotives India Pvt. Ltd.</t>
  </si>
  <si>
    <t>MFA-22-23-0077</t>
  </si>
  <si>
    <t>MFA-22-23-0076</t>
  </si>
  <si>
    <t>MFA-22-23-0074</t>
  </si>
  <si>
    <t>ZI10022007147</t>
  </si>
  <si>
    <t>SAIPL/MC-82/22</t>
  </si>
  <si>
    <t>SAIPL/MC-81/22</t>
  </si>
  <si>
    <t>Powertech Transformers &amp; Controls Pvt. Ltd.</t>
  </si>
  <si>
    <t>231/22-23</t>
  </si>
  <si>
    <t>Transformer</t>
  </si>
  <si>
    <t>MVI1662220002457</t>
  </si>
  <si>
    <t>MVI1662220002456</t>
  </si>
  <si>
    <t>MVI1662220002458</t>
  </si>
  <si>
    <t>MVI1662220002461</t>
  </si>
  <si>
    <t>MVI1662220002459</t>
  </si>
  <si>
    <t>MVI1662220002460</t>
  </si>
  <si>
    <t>MVI1662220002462</t>
  </si>
  <si>
    <t>MFA-22-23-0073</t>
  </si>
  <si>
    <t>MFA-22-23-0072</t>
  </si>
  <si>
    <t>MFA-22-23-0070</t>
  </si>
  <si>
    <t>MFA-22-23-0071</t>
  </si>
  <si>
    <t>ZI1022007204</t>
  </si>
  <si>
    <t>Alok Enterprises</t>
  </si>
  <si>
    <t>HE/CONMAT/MS44</t>
  </si>
  <si>
    <t>VST/310/2022-23</t>
  </si>
  <si>
    <t>VST/308/2022-23</t>
  </si>
  <si>
    <t>VST/309/2022-23</t>
  </si>
  <si>
    <t>M/EX/22-23/270</t>
  </si>
  <si>
    <t>VE Commercial Vehicles Ltd.</t>
  </si>
  <si>
    <t>KA2312001324</t>
  </si>
  <si>
    <t>2022-2023/DRI/100</t>
  </si>
  <si>
    <t>Shuttering Materials</t>
  </si>
  <si>
    <t>2022-2023/DRI/99</t>
  </si>
  <si>
    <t>Tarc Enterprise</t>
  </si>
  <si>
    <t>INV/22-23/009</t>
  </si>
  <si>
    <t>INV/22-23/011</t>
  </si>
  <si>
    <t>INV/22-23/008</t>
  </si>
  <si>
    <t>INV/22-23/007</t>
  </si>
  <si>
    <t>M/SMG/22-23/267</t>
  </si>
  <si>
    <t>M/SMG/22-23/263</t>
  </si>
  <si>
    <t>M/EX/22-23/272</t>
  </si>
  <si>
    <t>M/EX/22-23/261</t>
  </si>
  <si>
    <t>ZI1022007162</t>
  </si>
  <si>
    <t>Paver-KLM</t>
  </si>
  <si>
    <t>MVI1642220000887</t>
  </si>
  <si>
    <t>MVI1642220000886</t>
  </si>
  <si>
    <t>MVI1642220000888</t>
  </si>
  <si>
    <t>MVI1642220000885</t>
  </si>
  <si>
    <t>MVI1642220000884</t>
  </si>
  <si>
    <t>MVI1642220000883</t>
  </si>
  <si>
    <t>MVI1642220000875</t>
  </si>
  <si>
    <t>MVI1642220000876</t>
  </si>
  <si>
    <t>MVI1642220000877</t>
  </si>
  <si>
    <t>MVI1642220000878</t>
  </si>
  <si>
    <t>MVI1642220000879</t>
  </si>
  <si>
    <t>MVI1642220000880</t>
  </si>
  <si>
    <t>MVI1642220000881</t>
  </si>
  <si>
    <t>MVI1642220000882</t>
  </si>
  <si>
    <t>2022-2023/DRL/93</t>
  </si>
  <si>
    <t>2022-2023/DRL/95</t>
  </si>
  <si>
    <t>2022-2023/DRL/89</t>
  </si>
  <si>
    <t>2022-2023/DRL/97</t>
  </si>
  <si>
    <t>MFA-22-23-0068</t>
  </si>
  <si>
    <t>MFA-22-23-0067</t>
  </si>
  <si>
    <t>MFA-22-23-0069</t>
  </si>
  <si>
    <t>MFA-22-23-0065</t>
  </si>
  <si>
    <t>MFA-22-23-0066</t>
  </si>
  <si>
    <t>MFA-22-23-0064</t>
  </si>
  <si>
    <t>MFA-22-23-0062</t>
  </si>
  <si>
    <t>MFA-22-23-0063</t>
  </si>
  <si>
    <t>ZI1022006998</t>
  </si>
  <si>
    <t>MGB Motors and Auto Agencies Pvt. Ltd.</t>
  </si>
  <si>
    <t>SEW Infrastructure Limited</t>
  </si>
  <si>
    <t>36/KAN/2223/02</t>
  </si>
  <si>
    <t>Telebelt</t>
  </si>
  <si>
    <t>36/KAN/2223/01</t>
  </si>
  <si>
    <t>M/s.Mohan</t>
  </si>
  <si>
    <t>MOH/0453/22-23</t>
  </si>
  <si>
    <t>Hadua</t>
  </si>
  <si>
    <t>M/EX/22-23/273</t>
  </si>
  <si>
    <t>M/EX/22-23/269</t>
  </si>
  <si>
    <t>22-23-251</t>
  </si>
  <si>
    <t>22-23-250</t>
  </si>
  <si>
    <t>22-23-266</t>
  </si>
  <si>
    <t>22-23-265</t>
  </si>
  <si>
    <t>Sunon Modular India Private Limited</t>
  </si>
  <si>
    <t>Temporary Buildings</t>
  </si>
  <si>
    <t>HPCVSKP/192/22-23</t>
  </si>
  <si>
    <t>Sai Thirumala Electronics &amp; Enterprises</t>
  </si>
  <si>
    <t>LG Shopee</t>
  </si>
  <si>
    <t>FGM45/1456/</t>
  </si>
  <si>
    <t>Electro Vision</t>
  </si>
  <si>
    <t>VZM/22-23/1011</t>
  </si>
  <si>
    <t>Vijaya Agencies</t>
  </si>
  <si>
    <t>Geyser</t>
  </si>
  <si>
    <t>SLRS40632</t>
  </si>
  <si>
    <t>Sharny Tours and Travels</t>
  </si>
  <si>
    <t>SYT/001/BIP</t>
  </si>
  <si>
    <t>Bus</t>
  </si>
  <si>
    <t>INV23C001004</t>
  </si>
  <si>
    <t>RVNL-BBS-SLT</t>
  </si>
  <si>
    <t>VVC Motors Pvt. Ltd.</t>
  </si>
  <si>
    <t>VVCHYD-2223-2015</t>
  </si>
  <si>
    <t>Pickup</t>
  </si>
  <si>
    <t>Susheel Motors Pvt. Ltd.</t>
  </si>
  <si>
    <t>S7456/2020-21</t>
  </si>
  <si>
    <t>Siddhi Laxmi Motors</t>
  </si>
  <si>
    <t>INV23A000849</t>
  </si>
  <si>
    <t>Head office</t>
  </si>
  <si>
    <t xml:space="preserve">Sany crane </t>
  </si>
  <si>
    <t>KDP IV</t>
  </si>
  <si>
    <t>KDP V</t>
  </si>
  <si>
    <t>MRPL Terminal Project</t>
  </si>
  <si>
    <t>Akhilesh Concrete Solutions</t>
  </si>
  <si>
    <t>VST/340/2022-23</t>
  </si>
  <si>
    <t>VST/339/2022-23</t>
  </si>
  <si>
    <t>Testing Machine</t>
  </si>
  <si>
    <t>VST/317/2022-23</t>
  </si>
  <si>
    <t>Cement Storage Silo</t>
  </si>
  <si>
    <t>Hyderabad Tulaman Pvt. Ltd.</t>
  </si>
  <si>
    <t>SAL/22-23/671</t>
  </si>
  <si>
    <t>ZI1023001169</t>
  </si>
  <si>
    <t>2022-23/DRL/112</t>
  </si>
  <si>
    <t>VST/373/2022-23</t>
  </si>
  <si>
    <t>Qaswa Hydraulic Equipment</t>
  </si>
  <si>
    <t>47/2022-23</t>
  </si>
  <si>
    <t>MFA-22-23-0106</t>
  </si>
  <si>
    <t>VST/370/2022-23</t>
  </si>
  <si>
    <t>MFA-22-23-0104</t>
  </si>
  <si>
    <t>MFA-22-23-0102</t>
  </si>
  <si>
    <t>MFA-22-23-0103</t>
  </si>
  <si>
    <t>MFA-22-23-0099</t>
  </si>
  <si>
    <t>Jupiter Rock Drills Pvt. Ltd.</t>
  </si>
  <si>
    <t>JRDPL/22-23/362</t>
  </si>
  <si>
    <t>MFA-22-23-0095</t>
  </si>
  <si>
    <t>MFA-22-23-0096</t>
  </si>
  <si>
    <t>MFA-22-23-0090</t>
  </si>
  <si>
    <t>MFA-22-230087</t>
  </si>
  <si>
    <t>MFA-22-230089</t>
  </si>
  <si>
    <t>MFA-22-230084</t>
  </si>
  <si>
    <t>MFA-22-230085</t>
  </si>
  <si>
    <t>MFA-22-230091</t>
  </si>
  <si>
    <t>MFA-22-230088</t>
  </si>
  <si>
    <t>MFA-22-230086</t>
  </si>
  <si>
    <t>Terex India Private Limited</t>
  </si>
  <si>
    <t>AINTN/2223/3440</t>
  </si>
  <si>
    <t>NKW Industrial Solutions</t>
  </si>
  <si>
    <t>NKW4620</t>
  </si>
  <si>
    <t>MFA-22-23-0098</t>
  </si>
  <si>
    <t>MFA-22-23-0097</t>
  </si>
  <si>
    <t>MFA-22-23-0101</t>
  </si>
  <si>
    <t>MFA-22-23-0100</t>
  </si>
  <si>
    <t>2022-23/DRL/111</t>
  </si>
  <si>
    <t>VCE/0134/22-23</t>
  </si>
  <si>
    <t>WMM Plant</t>
  </si>
  <si>
    <t>ZI1023000807</t>
  </si>
  <si>
    <t>ZI1023000806</t>
  </si>
  <si>
    <t>2022-23/DRL/109</t>
  </si>
  <si>
    <t>2022-23/DRL/107</t>
  </si>
  <si>
    <t>2022-23/DRL/105</t>
  </si>
  <si>
    <t>2022-23/DRL/103</t>
  </si>
  <si>
    <t>MFA-22-23-0093</t>
  </si>
  <si>
    <t>MFA-22-23-0012</t>
  </si>
  <si>
    <t>MFA-22-23-0094</t>
  </si>
  <si>
    <t>MFA-22-23-0092</t>
  </si>
  <si>
    <t>Portable Mobile Lighting Tower</t>
  </si>
  <si>
    <t>John Deere Financial</t>
  </si>
  <si>
    <t>TSTXAR2310080604</t>
  </si>
  <si>
    <t>TSTXAR2310080559</t>
  </si>
  <si>
    <t>TSTXAR2310080602</t>
  </si>
  <si>
    <t>TSTXAR2310080605</t>
  </si>
  <si>
    <t>TSTXAR2310080603</t>
  </si>
  <si>
    <t>HE/ECE/TMS/0123</t>
  </si>
  <si>
    <t>Cranes-Registration Charges</t>
  </si>
  <si>
    <t>HE/CONMAT/MS64</t>
  </si>
  <si>
    <t>Batcing Plant</t>
  </si>
  <si>
    <t>D.D.Motors</t>
  </si>
  <si>
    <t>11494BA23S539</t>
  </si>
  <si>
    <t>Sai Automobile Sales &amp; Service</t>
  </si>
  <si>
    <t>Ambulance</t>
  </si>
  <si>
    <t>20945CB23S984</t>
  </si>
  <si>
    <t>20945CB23S983</t>
  </si>
  <si>
    <t>20945CB23S985</t>
  </si>
  <si>
    <t>20945CB23S986</t>
  </si>
  <si>
    <t>20945CB23S987</t>
  </si>
  <si>
    <t>20945CB23S988</t>
  </si>
  <si>
    <t>11021BB23S2203</t>
  </si>
  <si>
    <t>11021BB23S2202</t>
  </si>
  <si>
    <t>11021BB23S2201</t>
  </si>
  <si>
    <t>11021BB23S2200</t>
  </si>
  <si>
    <t>11021BB23S2199</t>
  </si>
  <si>
    <t>11021BB23S2198</t>
  </si>
  <si>
    <t>Bitumen Tanker</t>
  </si>
  <si>
    <t>ZI1023001091</t>
  </si>
  <si>
    <t>MVI1642220001383</t>
  </si>
  <si>
    <t>Hydraulic Broomer</t>
  </si>
  <si>
    <t>MFA-22-23-0107</t>
  </si>
  <si>
    <t>MFA-22-23-0108</t>
  </si>
  <si>
    <t>SCTS/22-23/137</t>
  </si>
  <si>
    <t>Specialized Construction Technology Services</t>
  </si>
  <si>
    <t>Upper Tapi</t>
  </si>
  <si>
    <t>MVI662220003657</t>
  </si>
  <si>
    <t>MVI662220003654</t>
  </si>
  <si>
    <t>MVI662220003655</t>
  </si>
  <si>
    <t>MVI662220003656</t>
  </si>
  <si>
    <t>MVI662220003658</t>
  </si>
  <si>
    <t>M21231415549</t>
  </si>
  <si>
    <t>M21231415550</t>
  </si>
  <si>
    <t>Sri Jayarama Automotives Pvt. Ltd.</t>
  </si>
  <si>
    <t>KMPL-CORP-VS/77</t>
  </si>
  <si>
    <t>KMPL-IMP-350</t>
  </si>
  <si>
    <t>Dozer Spares</t>
  </si>
  <si>
    <t>KMPL-IMP-351</t>
  </si>
  <si>
    <t>AMS/71</t>
  </si>
  <si>
    <t>Cranes-Escort Hydra 1565AB</t>
  </si>
  <si>
    <t>AMS/66</t>
  </si>
  <si>
    <t>AMS/65</t>
  </si>
  <si>
    <t>AMS/64</t>
  </si>
  <si>
    <t>2022-23/DRL/121</t>
  </si>
  <si>
    <t>2022-23/DRL/118</t>
  </si>
  <si>
    <t>2022-23/DRL/117</t>
  </si>
  <si>
    <t>2022-23/DRL/114</t>
  </si>
  <si>
    <t>M/MG/22-23/304</t>
  </si>
  <si>
    <t>M/MG/22-23/305</t>
  </si>
  <si>
    <t>Sri Sai Infra Equipment Pvt. Ltd.</t>
  </si>
  <si>
    <t>SSI/MS/1261/2022-23</t>
  </si>
  <si>
    <t>Writgen India Pvt. Lyd.</t>
  </si>
  <si>
    <t>MVI662220003649</t>
  </si>
  <si>
    <t>MVI662220003651</t>
  </si>
  <si>
    <t>MVI662220003652</t>
  </si>
  <si>
    <t>MVI662220003650</t>
  </si>
  <si>
    <t>MVI662220003653</t>
  </si>
  <si>
    <t>MP2321155452</t>
  </si>
  <si>
    <t>MP2321155464</t>
  </si>
  <si>
    <t>M/EX/22-23/303</t>
  </si>
  <si>
    <t>JRDPL/22-23/405</t>
  </si>
  <si>
    <t>MFA-22-23-0109</t>
  </si>
  <si>
    <t>MFA-22-23-0114</t>
  </si>
  <si>
    <t>Sigma Machinery Corporation</t>
  </si>
  <si>
    <t>SSI/MS/1265/2022-23</t>
  </si>
  <si>
    <t>Sany Heavy Industry India Pvt. Ltd.-Mumbai</t>
  </si>
  <si>
    <t>Rotary Drilling Rig</t>
  </si>
  <si>
    <t>ACC/3316/2022-23</t>
  </si>
  <si>
    <t>VT/22-23/1154</t>
  </si>
  <si>
    <t>VT/22-23/1153</t>
  </si>
  <si>
    <t>Puzzolana Machinery Fabricators (Hyd) LLP</t>
  </si>
  <si>
    <t>PUZZ/22-23/07478</t>
  </si>
  <si>
    <t>PUZZ/22-23/07547</t>
  </si>
  <si>
    <t>PUZZ/22-23/07519</t>
  </si>
  <si>
    <t>PUZZ/22-23/07502</t>
  </si>
  <si>
    <t>PUZZ/22-23/07458</t>
  </si>
  <si>
    <t>PUZZ/22-23/07457</t>
  </si>
  <si>
    <t>PUZZ/22-23/07452</t>
  </si>
  <si>
    <t>PUZZ/22-23/07451</t>
  </si>
  <si>
    <t>PUZZ/22-23/06783</t>
  </si>
  <si>
    <t>PUZZ/22-23/06702</t>
  </si>
  <si>
    <t>PUZZ/22-23/06682</t>
  </si>
  <si>
    <t>PUZZ/22-23/06651</t>
  </si>
  <si>
    <t>PUZZ/22-23/06570</t>
  </si>
  <si>
    <t>Sree Lakshmi Enterprises</t>
  </si>
  <si>
    <t>Dodda Venkata Ravi Teja</t>
  </si>
  <si>
    <t>Dodda Venkata Krishna</t>
  </si>
  <si>
    <t>Sri Balaji Granites</t>
  </si>
  <si>
    <t>22-23/TS/4024</t>
  </si>
  <si>
    <t>Red Bricks</t>
  </si>
  <si>
    <t>ECR</t>
  </si>
  <si>
    <t>sadarmatta</t>
  </si>
  <si>
    <t>Tractor trolley</t>
  </si>
  <si>
    <t>vijaya agro industries</t>
  </si>
  <si>
    <t>MVI662220003896</t>
  </si>
  <si>
    <t>Air Conditioner 1.5ton</t>
  </si>
  <si>
    <t xml:space="preserve">lakshimi Durga </t>
  </si>
  <si>
    <t>new SL Electriones</t>
  </si>
  <si>
    <t>Vjw/Jp/9/1034</t>
  </si>
  <si>
    <t>Auto motive Maf Ltd</t>
  </si>
  <si>
    <t>Vjw/Jp/9/1035</t>
  </si>
  <si>
    <t>Mahendra XUV700</t>
  </si>
  <si>
    <t>Vjw/Jp/9/0353</t>
  </si>
  <si>
    <t>D E C industries</t>
  </si>
  <si>
    <t>20945CC23S1162</t>
  </si>
  <si>
    <t>20945CC23S1163</t>
  </si>
  <si>
    <t>20945CC23S1164</t>
  </si>
  <si>
    <t>sowdanya Marketing</t>
  </si>
  <si>
    <t>Air Conditioner 7 nos</t>
  </si>
  <si>
    <t>HR Sheets</t>
  </si>
  <si>
    <t>Dell international</t>
  </si>
  <si>
    <t>Computer,Ups</t>
  </si>
  <si>
    <t xml:space="preserve">Dozer </t>
  </si>
  <si>
    <t>sri raja Rajeswari Construction</t>
  </si>
  <si>
    <t>Dozer  fitings</t>
  </si>
  <si>
    <t>Sri Avantika construction ind ltd</t>
  </si>
  <si>
    <t>sri jayaram Morters</t>
  </si>
  <si>
    <t>Vehicle</t>
  </si>
  <si>
    <t>Office equipement</t>
  </si>
  <si>
    <t>land</t>
  </si>
  <si>
    <t>Fire Fighting Equipement</t>
  </si>
  <si>
    <t>472/23.03.2023</t>
  </si>
  <si>
    <t>480/31.03.2023</t>
  </si>
  <si>
    <t>0111/24.03.2023</t>
  </si>
  <si>
    <t>11,12/22.08.2022</t>
  </si>
  <si>
    <t>Fortune technics</t>
  </si>
  <si>
    <t>New age Fire Fighting Com</t>
  </si>
  <si>
    <t>CALCULATION OF DEPRECIATION FOR THE YEAR  ENDED  31-03-2024</t>
  </si>
  <si>
    <t>GB AS AT 01.04.2023</t>
  </si>
  <si>
    <t>Gross block As at 31.03.2024</t>
  </si>
  <si>
    <t>Net Block 31.03.2024</t>
  </si>
  <si>
    <t>Depreciation for the Year 2023-24</t>
  </si>
  <si>
    <t>Closing Net Block 31.03.24</t>
  </si>
  <si>
    <t>AS AT 01.04.2023</t>
  </si>
  <si>
    <t>Statement of calculation of Depreciation as on 31.03.2024</t>
  </si>
  <si>
    <t>Deprecation up to 31.03.2024</t>
  </si>
  <si>
    <t>Deprecation upto 31.03.2023</t>
  </si>
  <si>
    <t>GB  As at 31.03.2024</t>
  </si>
  <si>
    <t>GB  AS at 01.04.2023</t>
  </si>
  <si>
    <t>2022-23</t>
  </si>
  <si>
    <t>as at 31.03.2024</t>
  </si>
  <si>
    <t>Up to 31.03.2024</t>
  </si>
  <si>
    <t>up to 01.04.2023</t>
  </si>
  <si>
    <t>AS AT 31.03.2024</t>
  </si>
  <si>
    <t>GB  As at 31.03.23</t>
  </si>
  <si>
    <t>Deprecation up 31.03.24</t>
  </si>
  <si>
    <t>Net Block 31.03.24</t>
  </si>
  <si>
    <t>Closing Net Block 31.03.2024</t>
  </si>
  <si>
    <t>Statement showing deferred tax calcultion for year ending 31 March 2024</t>
  </si>
  <si>
    <t>Right use asset-net of future lease rentals</t>
  </si>
  <si>
    <t>Depreciation as per Income tax Act 1961  for the year ended   31-03-2024- HO</t>
  </si>
  <si>
    <t>01.04.2023</t>
  </si>
  <si>
    <t>30.09.2023</t>
  </si>
  <si>
    <t>01.10.2023</t>
  </si>
  <si>
    <t>31.03.2024</t>
  </si>
  <si>
    <t>on 31-03-2024</t>
  </si>
  <si>
    <t>As at 01.04.2023</t>
  </si>
  <si>
    <t>AS at 31.03.2024</t>
  </si>
  <si>
    <t>Up to 01.04.2023</t>
  </si>
  <si>
    <t>up to 31.03.2024</t>
  </si>
  <si>
    <t>As at 31.03.2024</t>
  </si>
  <si>
    <t>STATEMENT OF CALCULATION OF DEPRECIATION AS PER COMPANIES ACT  1956  AS ON 31.03.2024</t>
  </si>
  <si>
    <t>DTL already recognised in 31 March 2023</t>
  </si>
  <si>
    <t>tax as at 31.03.2024</t>
  </si>
  <si>
    <t>Addition During the FY 2023-24</t>
  </si>
  <si>
    <t>NET Block  as at 30/09/2023</t>
  </si>
  <si>
    <t>before 30/09/23</t>
  </si>
  <si>
    <t>KSS-4482</t>
  </si>
  <si>
    <t>Kasi Sales &amp; Services Pvt. Ltd.</t>
  </si>
  <si>
    <t>SKM/23-24/3929</t>
  </si>
  <si>
    <t>Shreekrishna Machinery</t>
  </si>
  <si>
    <t>Gantry Crane</t>
  </si>
  <si>
    <t>AP/KH/23-24/0041</t>
  </si>
  <si>
    <t>A.P.Industries</t>
  </si>
  <si>
    <t>AP/KH/23-24/0042</t>
  </si>
  <si>
    <t>Rebar bender</t>
  </si>
  <si>
    <t>Lucky Machinery Stores</t>
  </si>
  <si>
    <t>MC-9/23-24</t>
  </si>
  <si>
    <t>FOB-TS</t>
  </si>
  <si>
    <t>Leveling Machine</t>
  </si>
  <si>
    <t>Apt Engineering Company</t>
  </si>
  <si>
    <t>Foxconn</t>
  </si>
  <si>
    <t>SPS/2324/1211</t>
  </si>
  <si>
    <t>SPS/2324/1212</t>
  </si>
  <si>
    <t>Mini Road Roller</t>
  </si>
  <si>
    <t>AEPL/399/23-24</t>
  </si>
  <si>
    <t>AEW-23-24-0772</t>
  </si>
  <si>
    <t>AEW-23-24-0785</t>
  </si>
  <si>
    <t>AEW-23-24-0794</t>
  </si>
  <si>
    <t>AEW-23-24-0807</t>
  </si>
  <si>
    <t>AEW-23-24-0817</t>
  </si>
  <si>
    <t>AEW-23-24-0853</t>
  </si>
  <si>
    <t>AEW-23-24-0909</t>
  </si>
  <si>
    <t>DAF-23-24-0336</t>
  </si>
  <si>
    <t>Total Equipment</t>
  </si>
  <si>
    <t>Tower Light</t>
  </si>
  <si>
    <t>HE/CONMAT/MS25</t>
  </si>
  <si>
    <t>INV24A000565</t>
  </si>
  <si>
    <t>CSR24A001068</t>
  </si>
  <si>
    <t>INV24A001954</t>
  </si>
  <si>
    <t>Adtiya Motors</t>
  </si>
  <si>
    <t>VST/23-24/235</t>
  </si>
  <si>
    <t>VST/23-24/241</t>
  </si>
  <si>
    <t>VST/23-24/236</t>
  </si>
  <si>
    <t>VST/23-24/242</t>
  </si>
  <si>
    <t>Anuradha Body Building works</t>
  </si>
  <si>
    <t>Gainwell Commonsales Pvt. Ltd.</t>
  </si>
  <si>
    <t>SPS/2324/1197</t>
  </si>
  <si>
    <t>New Diesel Tanker-Registration Charges</t>
  </si>
  <si>
    <t>S0205</t>
  </si>
  <si>
    <t>Sri SCL Infratech Limited</t>
  </si>
  <si>
    <t>Testing Inspection Equipment Accessories</t>
  </si>
  <si>
    <t>Water Chilling Plant</t>
  </si>
  <si>
    <t>IGST-212/23-24</t>
  </si>
  <si>
    <t>MARS Constromat</t>
  </si>
  <si>
    <t>IGST-218/23-24</t>
  </si>
  <si>
    <t>SSI/MS/598/2022-23</t>
  </si>
  <si>
    <t>SSI/MS/599/2022-23</t>
  </si>
  <si>
    <t>Dozer-Tractor Mounted</t>
  </si>
  <si>
    <t>Tirumala Engineering Works</t>
  </si>
  <si>
    <t>Registration Charges</t>
  </si>
  <si>
    <t>Sri Harsha Trucking Pvt. Ltd.</t>
  </si>
  <si>
    <t>INV01010A2300271</t>
  </si>
  <si>
    <t>INV01010A2300270</t>
  </si>
  <si>
    <t>Sri Durga Bhavani Trailer Works</t>
  </si>
  <si>
    <t>PUZZ/23-24/00014</t>
  </si>
  <si>
    <t>PUZZ/23-24/00013</t>
  </si>
  <si>
    <t>PUZZ/23-24/00012</t>
  </si>
  <si>
    <t>ICV Truck</t>
  </si>
  <si>
    <t>KDP-IV</t>
  </si>
  <si>
    <t>Ashok Leyland Limited</t>
  </si>
  <si>
    <t>AP237/APR2023/000682</t>
  </si>
  <si>
    <t>Govt. of Andhra Pradesh</t>
  </si>
  <si>
    <t>AP237/APR2023/000696</t>
  </si>
  <si>
    <t>AEPL/VIJ3/23-24</t>
  </si>
  <si>
    <t>Avenisis Engineering Pvt. Ltd.</t>
  </si>
  <si>
    <t>AEPL/VIJ1/23-24</t>
  </si>
  <si>
    <t>AEPL/VIJ2/23-24</t>
  </si>
  <si>
    <t>AEPL/430/23-24</t>
  </si>
  <si>
    <t>DAF-23-24-0367</t>
  </si>
  <si>
    <t>Somani Ispat Pvt. Ltd.</t>
  </si>
  <si>
    <t>2022-23/DRL/127</t>
  </si>
  <si>
    <t>2022-23/DRL/128</t>
  </si>
  <si>
    <t>2023-24/DRL/010</t>
  </si>
  <si>
    <t>2023-24/DRL/015</t>
  </si>
  <si>
    <t>2023-24/DRL/021</t>
  </si>
  <si>
    <t>2023-24/DRL/023</t>
  </si>
  <si>
    <t>2023-24/DRL/026</t>
  </si>
  <si>
    <t>2023-24/DRL/028</t>
  </si>
  <si>
    <t>2023-24/DRL/029</t>
  </si>
  <si>
    <t>2023-24/DRL/030</t>
  </si>
  <si>
    <t>2023-24/DRL/037</t>
  </si>
  <si>
    <t>2023-24/DRL/039</t>
  </si>
  <si>
    <t>2023-24/DRL/045</t>
  </si>
  <si>
    <t>2023-24/DRL/046</t>
  </si>
  <si>
    <t>AP237/APR2023/000688</t>
  </si>
  <si>
    <t>AP237/APR2023/000699</t>
  </si>
  <si>
    <t>Tandom Roller</t>
  </si>
  <si>
    <t>AEPL/VIJ12/23-24</t>
  </si>
  <si>
    <t>AEPL/VIJ13/23-24</t>
  </si>
  <si>
    <t>MVI642230000027</t>
  </si>
  <si>
    <t>MVI642230000028</t>
  </si>
  <si>
    <t>MVI642230000023</t>
  </si>
  <si>
    <t>MVI642230000024</t>
  </si>
  <si>
    <t>MVI642230000029</t>
  </si>
  <si>
    <t>MVI642230000025</t>
  </si>
  <si>
    <t>MVI642230000022</t>
  </si>
  <si>
    <t>MVI642230000026</t>
  </si>
  <si>
    <t>MVI642230000030</t>
  </si>
  <si>
    <t>MVI642230000021</t>
  </si>
  <si>
    <t>MVI642230000042</t>
  </si>
  <si>
    <t>MVI642230000043</t>
  </si>
  <si>
    <t>MVI1642230000470</t>
  </si>
  <si>
    <t>MVI1642230000467</t>
  </si>
  <si>
    <t>MVI1642230000466</t>
  </si>
  <si>
    <t>MVI1642230000464</t>
  </si>
  <si>
    <t>MVI1642230000463</t>
  </si>
  <si>
    <t>MVI1642230000462</t>
  </si>
  <si>
    <t>MVI1642230000465</t>
  </si>
  <si>
    <t>MVI1642230000468</t>
  </si>
  <si>
    <t>MVI1642230000469</t>
  </si>
  <si>
    <t>MVI1642230000512</t>
  </si>
  <si>
    <t>Trailer-Telescopic</t>
  </si>
  <si>
    <t>NAA/23-24/360</t>
  </si>
  <si>
    <t>Nasik Auto Ancillaries</t>
  </si>
  <si>
    <t>222900107/R</t>
  </si>
  <si>
    <t>222900106/R</t>
  </si>
  <si>
    <t>KDP-V</t>
  </si>
  <si>
    <t>111023311073</t>
  </si>
  <si>
    <t>Pennar Industries Ltd.</t>
  </si>
  <si>
    <t>2023-24DRL/77</t>
  </si>
  <si>
    <t>2023-24DRL/80</t>
  </si>
  <si>
    <t>2023-24/DRL/116</t>
  </si>
  <si>
    <t>2023-24/DRL/117</t>
  </si>
  <si>
    <t>Grout Pump &amp; Mixer</t>
  </si>
  <si>
    <t>IV0124/30006044</t>
  </si>
  <si>
    <t>Dynamic Prestress (I) Pvt. Ltd.</t>
  </si>
  <si>
    <t>NKW5166</t>
  </si>
  <si>
    <t>NKW5209</t>
  </si>
  <si>
    <t>NKW5239</t>
  </si>
  <si>
    <t>NKW5381</t>
  </si>
  <si>
    <t>NKW5441</t>
  </si>
  <si>
    <t>NKW5519</t>
  </si>
  <si>
    <t>NKW5594</t>
  </si>
  <si>
    <t>NKW5624</t>
  </si>
  <si>
    <t>NKW5220</t>
  </si>
  <si>
    <t>NKW5010</t>
  </si>
  <si>
    <t>NKW5011</t>
  </si>
  <si>
    <t>NKW5033</t>
  </si>
  <si>
    <t>NKW5111</t>
  </si>
  <si>
    <t>NKW5112</t>
  </si>
  <si>
    <t>EF/SL/23-24/39</t>
  </si>
  <si>
    <t>2023-24DRL/70</t>
  </si>
  <si>
    <t>2023-24DRL/69</t>
  </si>
  <si>
    <t>2023-24DRL/68</t>
  </si>
  <si>
    <t>2023-24DRL/67</t>
  </si>
  <si>
    <t>2023-24DRL/86</t>
  </si>
  <si>
    <t>2023-24/DRL/121</t>
  </si>
  <si>
    <t>Pressure Guage</t>
  </si>
  <si>
    <t>Famous Paneumatic Valves</t>
  </si>
  <si>
    <t>ATPRO Systems &amp; Controls Pvt. Ltd.</t>
  </si>
  <si>
    <t>H3054/23-24</t>
  </si>
  <si>
    <t>Hindustan Electricals &amp; Hardware</t>
  </si>
  <si>
    <t>1717/2023-24</t>
  </si>
  <si>
    <t>Raipur-Visakhapatnam</t>
  </si>
  <si>
    <t>SI100143</t>
  </si>
  <si>
    <t>SI100144</t>
  </si>
  <si>
    <t>074/2023-24</t>
  </si>
  <si>
    <t>Royal Hydraulic Equipment</t>
  </si>
  <si>
    <t>M1/EX/23-24/56</t>
  </si>
  <si>
    <t>M1/EX/23-24/55</t>
  </si>
  <si>
    <t>SPS/2324/1005</t>
  </si>
  <si>
    <t>INV/23-24/012</t>
  </si>
  <si>
    <t>Rafi Traders</t>
  </si>
  <si>
    <t>M1RB/23-24/176</t>
  </si>
  <si>
    <t>M1RB/23-24/177</t>
  </si>
  <si>
    <t>2023-24/DRL/004</t>
  </si>
  <si>
    <t>IV0124/30003217</t>
  </si>
  <si>
    <t>IV0124/20002685</t>
  </si>
  <si>
    <t>IV0124/30004459</t>
  </si>
  <si>
    <t>IV0124/10002356</t>
  </si>
  <si>
    <t>IV0124/10002355</t>
  </si>
  <si>
    <t>2023-24/DRL/007</t>
  </si>
  <si>
    <t>DAF-23-24-0061</t>
  </si>
  <si>
    <t>2023-24/DRL/056</t>
  </si>
  <si>
    <t>SAS1924/2023-24</t>
  </si>
  <si>
    <t>Sri Ambica Steels &amp; Metals (India) Pvt. Ltd.</t>
  </si>
  <si>
    <t>MKT/460/23-24</t>
  </si>
  <si>
    <t>M.K.T.Engineering</t>
  </si>
  <si>
    <t>OTC/00600/23-24</t>
  </si>
  <si>
    <t>Orissa Trade Centre</t>
  </si>
  <si>
    <t>OTC/00625/23-24</t>
  </si>
  <si>
    <t>Wheel Loader-Accessories</t>
  </si>
  <si>
    <t>WOW Ice Truck</t>
  </si>
  <si>
    <t>TN2372015176</t>
  </si>
  <si>
    <t>Concrete Mixer Machine-Registration Charges</t>
  </si>
  <si>
    <t>M1/EX/23-24/21</t>
  </si>
  <si>
    <t>M1/EX/23-24/22</t>
  </si>
  <si>
    <t>M1/EX/23-24/23</t>
  </si>
  <si>
    <t>M1/EX/23-24/24</t>
  </si>
  <si>
    <t>M1/EX/23-24/57</t>
  </si>
  <si>
    <t>M1/EX/23-24/58</t>
  </si>
  <si>
    <t>M1/MG/23-24/61</t>
  </si>
  <si>
    <t>M1/MG/23-24/77</t>
  </si>
  <si>
    <t>Relative Density Test Apparatus</t>
  </si>
  <si>
    <t>Mise and Sons Constructions</t>
  </si>
  <si>
    <t>KA2412000042</t>
  </si>
  <si>
    <t>KA2412000041</t>
  </si>
  <si>
    <t>KA2412000040</t>
  </si>
  <si>
    <t>KA2412000039</t>
  </si>
  <si>
    <t>KA2412000038</t>
  </si>
  <si>
    <t>KA2412000037</t>
  </si>
  <si>
    <t>KA2412000036</t>
  </si>
  <si>
    <t>KA2412000055</t>
  </si>
  <si>
    <t>KA2412000054</t>
  </si>
  <si>
    <t>KA2412000056</t>
  </si>
  <si>
    <t>KA2412000221</t>
  </si>
  <si>
    <t>KA2412000222</t>
  </si>
  <si>
    <t>KA2412000223</t>
  </si>
  <si>
    <t>KA2412000220</t>
  </si>
  <si>
    <t>KA2412000224</t>
  </si>
  <si>
    <t>KA2412000244</t>
  </si>
  <si>
    <t>KA1333100103</t>
  </si>
  <si>
    <t>VE Commercial Vehicles</t>
  </si>
  <si>
    <t>KA1333100104</t>
  </si>
  <si>
    <t>MP2421002443</t>
  </si>
  <si>
    <t>MP2421002444</t>
  </si>
  <si>
    <t>MP2421002445</t>
  </si>
  <si>
    <t>MP2421002446</t>
  </si>
  <si>
    <t>MP2421002447</t>
  </si>
  <si>
    <t>MP2421002448</t>
  </si>
  <si>
    <t>MP2421002450</t>
  </si>
  <si>
    <t>MP2421002451</t>
  </si>
  <si>
    <t>MP2421002454</t>
  </si>
  <si>
    <t>MP2421002457</t>
  </si>
  <si>
    <t>MP2421002458</t>
  </si>
  <si>
    <t>MP2421002459</t>
  </si>
  <si>
    <t>MP2421002460</t>
  </si>
  <si>
    <t>MP2421002461</t>
  </si>
  <si>
    <t>MP2421002439</t>
  </si>
  <si>
    <t>MP2421004228</t>
  </si>
  <si>
    <t>MP2421006934</t>
  </si>
  <si>
    <t>MP2421006944</t>
  </si>
  <si>
    <t>MP2421006943</t>
  </si>
  <si>
    <t>MP2421006942</t>
  </si>
  <si>
    <t>MP2421006940</t>
  </si>
  <si>
    <t>MP2421006939</t>
  </si>
  <si>
    <t>MP2421006937</t>
  </si>
  <si>
    <t>MP2421006936</t>
  </si>
  <si>
    <t>MP2421009098</t>
  </si>
  <si>
    <t>MP2421009097</t>
  </si>
  <si>
    <t>MP2421009091</t>
  </si>
  <si>
    <t>MP2421009094</t>
  </si>
  <si>
    <t>MP2421010357</t>
  </si>
  <si>
    <t>MP2421010341</t>
  </si>
  <si>
    <t>MP2421010340</t>
  </si>
  <si>
    <t>MP2421010339</t>
  </si>
  <si>
    <t>MP2421010338</t>
  </si>
  <si>
    <t>MP2421010299</t>
  </si>
  <si>
    <t>MP2421017445</t>
  </si>
  <si>
    <t>IJIPHD2324002221</t>
  </si>
  <si>
    <t>IJIPHD2324002222</t>
  </si>
  <si>
    <t>IJIPHD2324002223</t>
  </si>
  <si>
    <t>IJIPHD2324002218</t>
  </si>
  <si>
    <t>IJIPHD2324002217</t>
  </si>
  <si>
    <t>IJIPHD2324002220</t>
  </si>
  <si>
    <t>IJIPHD2324002219</t>
  </si>
  <si>
    <t>IJIPHD2324002224</t>
  </si>
  <si>
    <t>IJIPHD2324002263</t>
  </si>
  <si>
    <t>IJIPHD2324002264</t>
  </si>
  <si>
    <t>Voltage Stabilizer</t>
  </si>
  <si>
    <t>EEE/23-24/91</t>
  </si>
  <si>
    <t>Escon Electronics &amp; Electricals</t>
  </si>
  <si>
    <t>Essae Digitronics Pvt. Ltd.</t>
  </si>
  <si>
    <t>Uppar Tapi</t>
  </si>
  <si>
    <t>M1/RB/23-24/189</t>
  </si>
  <si>
    <t>YTPS</t>
  </si>
  <si>
    <t>NKW5262</t>
  </si>
  <si>
    <t>AS/631/23-24</t>
  </si>
  <si>
    <t>BC/TI/23-24/495</t>
  </si>
  <si>
    <t>BC/TI/23-24/1912</t>
  </si>
  <si>
    <t>Desk top and Printer</t>
  </si>
  <si>
    <t>23-24-229</t>
  </si>
  <si>
    <t>23-24-255</t>
  </si>
  <si>
    <t>23-24-305</t>
  </si>
  <si>
    <t>Desk Top</t>
  </si>
  <si>
    <t>SW/21-22/966</t>
  </si>
  <si>
    <t>System World</t>
  </si>
  <si>
    <t>Desk top with all accessories</t>
  </si>
  <si>
    <t>CYTI-01150-23/24</t>
  </si>
  <si>
    <t>Cyberian Informatics</t>
  </si>
  <si>
    <t>SW/21-22/572</t>
  </si>
  <si>
    <t>SW/21-22/539</t>
  </si>
  <si>
    <t>Bio Metric Machine</t>
  </si>
  <si>
    <t>Shanvi IT Services</t>
  </si>
  <si>
    <t>23-24-122</t>
  </si>
  <si>
    <t>23-24-202</t>
  </si>
  <si>
    <t>23-24-7</t>
  </si>
  <si>
    <t>23-24-24</t>
  </si>
  <si>
    <t>23-24-23</t>
  </si>
  <si>
    <t>1801/23/S-900</t>
  </si>
  <si>
    <t>23-24-92</t>
  </si>
  <si>
    <t>Laptop and Other Accessories</t>
  </si>
  <si>
    <t>23-24-373</t>
  </si>
  <si>
    <t>Mouse</t>
  </si>
  <si>
    <t>23-24-110</t>
  </si>
  <si>
    <t>23-24-262</t>
  </si>
  <si>
    <t>23-24-317</t>
  </si>
  <si>
    <t>Biometric Equipments-3 No's</t>
  </si>
  <si>
    <t>Digital Camera</t>
  </si>
  <si>
    <t>Appario Retail Private Limited</t>
  </si>
  <si>
    <t>Prasad Computers &amp; Peripherals</t>
  </si>
  <si>
    <t>SB1389</t>
  </si>
  <si>
    <t>SB455</t>
  </si>
  <si>
    <t>Cabin Tables &amp; Chairs</t>
  </si>
  <si>
    <t>HO/795</t>
  </si>
  <si>
    <t>Sofa Sets</t>
  </si>
  <si>
    <t>TXBP150223012779</t>
  </si>
  <si>
    <t>FabIndia Limited</t>
  </si>
  <si>
    <t>LCO72</t>
  </si>
  <si>
    <t>BENZC-23</t>
  </si>
  <si>
    <t>Pai International Electronics Ltd.</t>
  </si>
  <si>
    <t>Chair-Revolving</t>
  </si>
  <si>
    <t>Office Tables</t>
  </si>
  <si>
    <t>Yamini Furniture and Furnishing</t>
  </si>
  <si>
    <t>Sri Chaitanya Furniture and Furnishings</t>
  </si>
  <si>
    <t>Wooden Almarahs</t>
  </si>
  <si>
    <t>Almarah-Office</t>
  </si>
  <si>
    <t>Sowmya Furniture</t>
  </si>
  <si>
    <t>Furniture-Office</t>
  </si>
  <si>
    <t>Mattress</t>
  </si>
  <si>
    <t>Wheel Chair</t>
  </si>
  <si>
    <t>Home Concept</t>
  </si>
  <si>
    <t>Land Conversion Charges</t>
  </si>
  <si>
    <t>Siva Raj Kumar R</t>
  </si>
  <si>
    <t>Thumu Raja</t>
  </si>
  <si>
    <t>Thumu Veerabhadreswara Rao</t>
  </si>
  <si>
    <t>G C Sheets</t>
  </si>
  <si>
    <t>LM/23-24/APR/236</t>
  </si>
  <si>
    <t>LM/23-24/OCT/124</t>
  </si>
  <si>
    <t>LM/23-24/DEC/078</t>
  </si>
  <si>
    <t>G I Sheets</t>
  </si>
  <si>
    <t>LM/23-24/OCT/2033</t>
  </si>
  <si>
    <t>TS/23-24/395</t>
  </si>
  <si>
    <t>Trinath Steel</t>
  </si>
  <si>
    <t>TS/23-24/398</t>
  </si>
  <si>
    <t>LM/23-24/MAY/027</t>
  </si>
  <si>
    <t>LM/23-24/MAY/059</t>
  </si>
  <si>
    <t>Cabin-Accommodation</t>
  </si>
  <si>
    <t>495/BLR/23-24</t>
  </si>
  <si>
    <t>AM Office Solutions</t>
  </si>
  <si>
    <t>Cabin-Office</t>
  </si>
  <si>
    <t>494/BLR/23-24</t>
  </si>
  <si>
    <t>Cabins</t>
  </si>
  <si>
    <t>536/BLR/23-24</t>
  </si>
  <si>
    <t>Cabin-Washroom</t>
  </si>
  <si>
    <t>496/BLR/23-24</t>
  </si>
  <si>
    <t>Container</t>
  </si>
  <si>
    <t>INV-000537</t>
  </si>
  <si>
    <t>GSTR Interiors</t>
  </si>
  <si>
    <t>INV-000544</t>
  </si>
  <si>
    <t>G I Channel</t>
  </si>
  <si>
    <t>RoI Form Engineering and Profile</t>
  </si>
  <si>
    <t>RoL Form Engineering and Profile</t>
  </si>
  <si>
    <t>SME/23-24/321</t>
  </si>
  <si>
    <t>SME/23-24/1088</t>
  </si>
  <si>
    <t>SME/23-24/1183</t>
  </si>
  <si>
    <t>Glass Putty</t>
  </si>
  <si>
    <t>GS/114/2023-24</t>
  </si>
  <si>
    <t>Giria Sales Corporation</t>
  </si>
  <si>
    <t>Hanges 4"</t>
  </si>
  <si>
    <t>Sri Gupteswar Glass &amp; Plywoods</t>
  </si>
  <si>
    <t>Misc. Items</t>
  </si>
  <si>
    <t>SE/193/2023-24</t>
  </si>
  <si>
    <t>Shyam Enterprises</t>
  </si>
  <si>
    <t>MI/23-24/209</t>
  </si>
  <si>
    <t>Murthy Industries</t>
  </si>
  <si>
    <t>PVC Pipes</t>
  </si>
  <si>
    <t>MI/23-24/158</t>
  </si>
  <si>
    <t>Screws Dep Spanner</t>
  </si>
  <si>
    <t>RE/55/2023-24</t>
  </si>
  <si>
    <t>Rising Enterprises</t>
  </si>
  <si>
    <t>ME/2023-24/20</t>
  </si>
  <si>
    <t>Mallikarjuna Enterprises</t>
  </si>
  <si>
    <t>GI Sheets &amp; Pipes</t>
  </si>
  <si>
    <t>ATTI/23-24/717</t>
  </si>
  <si>
    <t>Ambika Trader</t>
  </si>
  <si>
    <t>Storage Container</t>
  </si>
  <si>
    <t>INV-000516</t>
  </si>
  <si>
    <t>GI Sheet</t>
  </si>
  <si>
    <t>ATTI/23-24/864</t>
  </si>
  <si>
    <t>G/2084/23-24</t>
  </si>
  <si>
    <t>Plywood</t>
  </si>
  <si>
    <t>Sitamma Sagar</t>
  </si>
  <si>
    <t>HPCVSK/39/2324</t>
  </si>
  <si>
    <t>Accommodation Cabin</t>
  </si>
  <si>
    <t>HPCVSK/14/2324</t>
  </si>
  <si>
    <t>HPCVSK/13/2324</t>
  </si>
  <si>
    <t>MMB/23-24/254</t>
  </si>
  <si>
    <t>MS portable office</t>
  </si>
  <si>
    <t>HPCVSK/58/2324</t>
  </si>
  <si>
    <t>Hindustan Portable cabins</t>
  </si>
  <si>
    <t>SME/23-24/575</t>
  </si>
  <si>
    <t>MMB/23-24/143</t>
  </si>
  <si>
    <t>GICRANG-2508</t>
  </si>
  <si>
    <t>Solar Inverter with Batteries</t>
  </si>
  <si>
    <t>MPSHY/23-24/309</t>
  </si>
  <si>
    <t>Meenakshi Power Solutions</t>
  </si>
  <si>
    <t>Washing Machine</t>
  </si>
  <si>
    <t>KA-RENR-193227635-2324</t>
  </si>
  <si>
    <t>Dawntech Electronics Pvt. Ltd.</t>
  </si>
  <si>
    <t>BLX1-342265</t>
  </si>
  <si>
    <t>Chest Freezer</t>
  </si>
  <si>
    <t>BCR/SA2324/04518</t>
  </si>
  <si>
    <t>Gupta Distributors</t>
  </si>
  <si>
    <t>Stabilizer</t>
  </si>
  <si>
    <t>SIPL/HYD/00864</t>
  </si>
  <si>
    <t>Servomax Industries Pvt. Ltd.</t>
  </si>
  <si>
    <t>DE/421</t>
  </si>
  <si>
    <t>Deccanair Conditioner's Pvt. Ltd.</t>
  </si>
  <si>
    <t>DE/420</t>
  </si>
  <si>
    <t>Airconditioner</t>
  </si>
  <si>
    <t>DE/541</t>
  </si>
  <si>
    <t>202324HYD001131</t>
  </si>
  <si>
    <t>National Aircon India Pvt. Ltd.</t>
  </si>
  <si>
    <t>B18460</t>
  </si>
  <si>
    <t>Plastic World</t>
  </si>
  <si>
    <t>Infiniti Retail Ltd (Croma)</t>
  </si>
  <si>
    <t>T096169358</t>
  </si>
  <si>
    <t>Urbanladder(Online)</t>
  </si>
  <si>
    <t>T476571856</t>
  </si>
  <si>
    <t>New SL Electronics</t>
  </si>
  <si>
    <t>A/MA/DLS-597</t>
  </si>
  <si>
    <t>Mattupalli Associates</t>
  </si>
  <si>
    <t>E/331</t>
  </si>
  <si>
    <t>Lakshmi Durga Electronics</t>
  </si>
  <si>
    <t>SIPL/HYD/00427</t>
  </si>
  <si>
    <t>SIT-526</t>
  </si>
  <si>
    <t>Karthik Agencies</t>
  </si>
  <si>
    <t>SGE/GST/002298</t>
  </si>
  <si>
    <t>Sri Gupteswar Enterprises</t>
  </si>
  <si>
    <t>SGE/GST/002606</t>
  </si>
  <si>
    <t>SGE/GST/001819</t>
  </si>
  <si>
    <t>SHYB-196614</t>
  </si>
  <si>
    <t>Aafreen &amp; Zoya Furntiure &amp; Electronics</t>
  </si>
  <si>
    <t>Sadarmat Barrage</t>
  </si>
  <si>
    <t>Target Pest Controls 'n' Equipments</t>
  </si>
  <si>
    <t>CEC2324-342</t>
  </si>
  <si>
    <t>Cyber Peripherals Pvt. Ltd.</t>
  </si>
  <si>
    <t>AMLP/437</t>
  </si>
  <si>
    <t>Sri Rama Marketing</t>
  </si>
  <si>
    <t>TG9V10324900008</t>
  </si>
  <si>
    <t>Motor Cycle</t>
  </si>
  <si>
    <t>65618BJ23S153</t>
  </si>
  <si>
    <t>Durga Auto</t>
  </si>
  <si>
    <t>65618BJ23S156</t>
  </si>
  <si>
    <t>65618BJ23S155</t>
  </si>
  <si>
    <t>65618BJ23S154</t>
  </si>
  <si>
    <t>12052BL23S6565</t>
  </si>
  <si>
    <t>Tirumala Motors</t>
  </si>
  <si>
    <t>12052BL23S6564</t>
  </si>
  <si>
    <t>63857BK23S407</t>
  </si>
  <si>
    <t>Ambika Motorcop</t>
  </si>
  <si>
    <t>63857BK23S408</t>
  </si>
  <si>
    <t>OR01000123V02843</t>
  </si>
  <si>
    <t>Shivam Automobiles</t>
  </si>
  <si>
    <t>OR01000123V02844</t>
  </si>
  <si>
    <t>VVCHYD-2324-0185</t>
  </si>
  <si>
    <t>V V C Motors Pvt. Ltd.</t>
  </si>
  <si>
    <t>Bolero Pick-up</t>
  </si>
  <si>
    <t>VVCHYD-2324-0186</t>
  </si>
  <si>
    <t>Car</t>
  </si>
  <si>
    <t>SVB/23-24/000052</t>
  </si>
  <si>
    <t>Kun Moteren Pvt. Ltd.</t>
  </si>
  <si>
    <t>Kia-Carens</t>
  </si>
  <si>
    <t>TS40122232605</t>
  </si>
  <si>
    <t>AP01000323V02861</t>
  </si>
  <si>
    <t>Prathul Automobiles Pvt. Ltd.</t>
  </si>
  <si>
    <t>AP01000323V02865</t>
  </si>
  <si>
    <t>AP01000323V02864</t>
  </si>
  <si>
    <t>AP01000323V04208</t>
  </si>
  <si>
    <t>AP01000323V01278</t>
  </si>
  <si>
    <t>11021BK23S1693</t>
  </si>
  <si>
    <t>11021BK23S1694</t>
  </si>
  <si>
    <t>11021BK23S1695</t>
  </si>
  <si>
    <t>11021BL23S1761</t>
  </si>
  <si>
    <t>11021BL23S1760</t>
  </si>
  <si>
    <t>11021BL23S1759</t>
  </si>
  <si>
    <t>11021BI23S933</t>
  </si>
  <si>
    <t>11021BF23S442</t>
  </si>
  <si>
    <t>11021BF23S441</t>
  </si>
  <si>
    <t>11021BH23S817</t>
  </si>
  <si>
    <t>20945CL23S1184</t>
  </si>
  <si>
    <t>Two wheeler</t>
  </si>
  <si>
    <t>20945CF23S288</t>
  </si>
  <si>
    <t>11194BD23S25</t>
  </si>
  <si>
    <t>D D Motors</t>
  </si>
  <si>
    <t>1685/2023-24</t>
  </si>
  <si>
    <t>Three S Automotives Pvt. Ltd.</t>
  </si>
  <si>
    <t>66493BK23S407</t>
  </si>
  <si>
    <t>Aadvik Automobiles</t>
  </si>
  <si>
    <t>66493BH23S243</t>
  </si>
  <si>
    <t>Electrical Equipment</t>
  </si>
  <si>
    <t>3Phase Machine</t>
  </si>
  <si>
    <t>Anika Machines</t>
  </si>
  <si>
    <t>Grand Total Rs.</t>
  </si>
  <si>
    <t>Summary addition for the FY 2023-24</t>
  </si>
  <si>
    <t>Manufacturing unit</t>
  </si>
  <si>
    <t>sadarmat Barrage</t>
  </si>
  <si>
    <t>Sitamma sagar</t>
  </si>
  <si>
    <t>After 01/10/23</t>
  </si>
  <si>
    <t>on 01-04-2023</t>
  </si>
  <si>
    <t>WDV of FA as on 31 March 2024</t>
  </si>
  <si>
    <t>As at 31.03.24</t>
  </si>
  <si>
    <t>Maxwell&amp; VSI  Crusher</t>
  </si>
  <si>
    <t>Sale of Assests sold during the year  2023-24</t>
  </si>
  <si>
    <t>Bala nikith stone crusher</t>
  </si>
  <si>
    <t>Ganapathi Traders</t>
  </si>
  <si>
    <t>Sri Avanthika</t>
  </si>
  <si>
    <t>Sri Raja Rajeswari</t>
  </si>
  <si>
    <t>Rockeira</t>
  </si>
  <si>
    <t>Rockeria</t>
  </si>
  <si>
    <t>Construction equipement</t>
  </si>
  <si>
    <t>Discount</t>
  </si>
  <si>
    <t>Brahmani  HL Bridge</t>
  </si>
  <si>
    <t>River Boat</t>
  </si>
  <si>
    <t xml:space="preserve">Maa ramchinadi Boat </t>
  </si>
  <si>
    <t>SIPL/HYD/00972</t>
  </si>
  <si>
    <t>ICE Plant</t>
  </si>
  <si>
    <t>VIP Various ICE Products FZE</t>
  </si>
  <si>
    <t>STS/BIP/0324/001</t>
  </si>
  <si>
    <t>Sociam Equipment Solutions Pvt. Ltd.</t>
  </si>
  <si>
    <t>Dhanashree Engineers Pvt. Ltd.</t>
  </si>
  <si>
    <t>1932/23-24</t>
  </si>
  <si>
    <t>1933/23-24</t>
  </si>
  <si>
    <t>Transfer to HO</t>
  </si>
  <si>
    <t>AFW-23-24-0886</t>
  </si>
  <si>
    <t>AFW-23-24-0908</t>
  </si>
  <si>
    <t>Credit Note</t>
  </si>
  <si>
    <t>Air Conditoner</t>
  </si>
  <si>
    <t>BCR/SA2324/02770</t>
  </si>
  <si>
    <t>11029BC24S3580</t>
  </si>
  <si>
    <t>Sanjib Automobiles</t>
  </si>
  <si>
    <t>331009/31/24/017303</t>
  </si>
  <si>
    <t>G/2264/23-24</t>
  </si>
  <si>
    <t>Sale Assets</t>
  </si>
  <si>
    <t>Jakku Sri Ramamurthi</t>
  </si>
  <si>
    <t>Sale Assets &amp; Discount</t>
  </si>
  <si>
    <t>Kia-salots</t>
  </si>
  <si>
    <t>Sale of Assets</t>
  </si>
  <si>
    <t>KSS-4483</t>
  </si>
  <si>
    <t>mvi 1913</t>
  </si>
  <si>
    <t>sithammasagar</t>
  </si>
  <si>
    <t>vyanthey</t>
  </si>
  <si>
    <t>BCR/SA2324/02769</t>
  </si>
  <si>
    <t>Discount &amp; Sales</t>
  </si>
  <si>
    <t>AEPL/431/23-24</t>
  </si>
  <si>
    <t>STS/BIP/0325/001</t>
  </si>
  <si>
    <t>NKW5382</t>
  </si>
  <si>
    <t>NKW5237</t>
  </si>
  <si>
    <t>NKW5442</t>
  </si>
  <si>
    <t>NKW5012</t>
  </si>
  <si>
    <t>NKW5013</t>
  </si>
  <si>
    <t>NKW5263</t>
  </si>
  <si>
    <t>ATTI/23-24/865</t>
  </si>
  <si>
    <t>Row Labels</t>
  </si>
  <si>
    <t>(blank)</t>
  </si>
  <si>
    <t>Grand Total</t>
  </si>
  <si>
    <t>Sum of Capital Cost</t>
  </si>
  <si>
    <t>Count of Depreciation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</si>
</sst>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1">
    <numFmt numFmtId="41" formatCode="_ * #,##0_ ;_ * \-#,##0_ ;_ * &quot;-&quot;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??_ ;_ @_ "/>
    <numFmt numFmtId="167" formatCode="[$-409]d\-mmm\-yy;@"/>
    <numFmt numFmtId="168" formatCode="#\ ##\ ##\ ###"/>
    <numFmt numFmtId="169" formatCode="###\ ##\ ##\ ###"/>
    <numFmt numFmtId="170" formatCode="_ [$€-2]\ * #,##0.00_ ;_ [$€-2]\ * \-#,##0.00_ ;_ [$€-2]\ * \-??_ "/>
    <numFmt numFmtId="171" formatCode="#,##0.0\ ;\(#,##0.0\)"/>
    <numFmt numFmtId="172" formatCode="0.0_)\%;\(0.0\)\%;0.0_)\%;@_)_%"/>
    <numFmt numFmtId="173" formatCode="#,##0.0_)_%;\(#,##0.0\)_%;0.0_)_%;@_)_%"/>
    <numFmt numFmtId="174" formatCode="_ [$€-2]\ * #,##0.00_ ;_ [$€-2]\ * \-#,##0.00_ ;_ [$€-2]\ * &quot;-&quot;??_ "/>
    <numFmt numFmtId="175" formatCode="#,##0.0_);\(#,##0.0\)"/>
    <numFmt numFmtId="176" formatCode="&quot;$&quot;_(#,##0.00_);&quot;$&quot;\(#,##0.00\)"/>
    <numFmt numFmtId="177" formatCode="\€_(#,##0.00_);\€\(#,##0.00\);\€_(0.00_);@_)"/>
    <numFmt numFmtId="178" formatCode="#,##0.0_)\x;\(#,##0.0\)\x"/>
    <numFmt numFmtId="179" formatCode="#,##0.0_)_x;\(#,##0.0\)_x"/>
    <numFmt numFmtId="180" formatCode="0.0_)\%;\(0.0\)\%"/>
    <numFmt numFmtId="181" formatCode="#,##0.0_)_%;\(#,##0.0\)_%"/>
    <numFmt numFmtId="182" formatCode="General_)"/>
    <numFmt numFmtId="183" formatCode="_-* #,##0.000\ _K_č_-;\-* #,##0.000\ _K_č_-;_-* &quot;-&quot;??\ _K_č_-;_-@_-"/>
    <numFmt numFmtId="184" formatCode="_(* #,##0.0_);_(* \(#,##0.0\);_(* &quot;-&quot;_);_(@_)"/>
    <numFmt numFmtId="185" formatCode="_(* #,##0.00_);_(* \(#,##0.00\);_(* &quot;-&quot;_);_(@_)"/>
    <numFmt numFmtId="186" formatCode="#,##0;\(#,##0\);&quot; - &quot;"/>
    <numFmt numFmtId="187" formatCode="#,##0.0_);[Red]\(#,##0.0\)"/>
    <numFmt numFmtId="188" formatCode="&quot;$&quot;#,##0_);\(&quot;$&quot;#,##0\)"/>
    <numFmt numFmtId="189" formatCode="#,##0;\-#,##0;&quot;-&quot;"/>
    <numFmt numFmtId="190" formatCode="d/m/yy\ h:mm"/>
    <numFmt numFmtId="191" formatCode="#,##0.00;\-#,##0.00;&quot;-&quot;"/>
    <numFmt numFmtId="192" formatCode="#,##0&quot; F&quot;_);\(#,##0&quot; F&quot;\)"/>
    <numFmt numFmtId="193" formatCode="#,##0%;\-#,##0%;&quot;- &quot;"/>
    <numFmt numFmtId="194" formatCode="#,##0&quot; F&quot;_);[Red]\(#,##0&quot; F&quot;\)"/>
    <numFmt numFmtId="195" formatCode="#,##0.0%;\-#,##0.0%;&quot;- &quot;"/>
    <numFmt numFmtId="196" formatCode="#,##0.00&quot; F&quot;_);\(#,##0.00&quot; F&quot;\)"/>
    <numFmt numFmtId="197" formatCode="#,##0.00%;\-#,##0.00%;&quot;- &quot;"/>
    <numFmt numFmtId="198" formatCode="#,##0.0;\-#,##0.0;&quot;-&quot;"/>
    <numFmt numFmtId="199" formatCode="#,##0;[Red]\(#,##0\)"/>
    <numFmt numFmtId="200" formatCode="0.0\x_);&quot;nm&quot;_);\-??"/>
    <numFmt numFmtId="201" formatCode="0.0%_);\(0.0%\)"/>
    <numFmt numFmtId="202" formatCode="yyyy"/>
    <numFmt numFmtId="203" formatCode="#,##0;\(#,##0_);\-"/>
    <numFmt numFmtId="204" formatCode="0.0%;\(0.0%\);\-__"/>
    <numFmt numFmtId="205" formatCode="#,##0_);[Red]\(#,##0\);"/>
    <numFmt numFmtId="206" formatCode="#,##0.0000_);[Red]\(#,##0.00000\)"/>
    <numFmt numFmtId="207" formatCode="#,##0_%_);\(#,##0\)_%;#,##0_%_);@_%_)"/>
    <numFmt numFmtId="208" formatCode="_(* #,##0_);_(* \(#,##0\);_(* &quot;-&quot;??_);_(@_)"/>
    <numFmt numFmtId="209" formatCode="_-* #,##0.00_-;\-* #,##0.00_-;_-* &quot;-&quot;??_-;_-@_-"/>
    <numFmt numFmtId="210" formatCode="0.0%"/>
    <numFmt numFmtId="211" formatCode="&quot;$&quot;#,##0_);[Red]\(&quot;$&quot;#,##0\)"/>
    <numFmt numFmtId="212" formatCode="&quot;$&quot;#,##0.00_);[Red]\(&quot;$&quot;#,##0.00\)"/>
    <numFmt numFmtId="213" formatCode="&quot;$&quot;#,##0_);[Red]\(&quot;$&quot;#,##0\);"/>
    <numFmt numFmtId="214" formatCode="&quot;$&quot;#,##0_%_);\(&quot;$&quot;#,##0\)_%;&quot;$&quot;#,##0_%_);@_%_)"/>
    <numFmt numFmtId="215" formatCode="_(&quot;$&quot;* #,##0.00_);_(&quot;$&quot;* \(#,##0.00\);_(&quot;$&quot;* &quot;-&quot;??_);_(@_)"/>
    <numFmt numFmtId="216" formatCode="m/d/yy_%_)"/>
    <numFmt numFmtId="217" formatCode="d\-mmm\-yy\ \ \ h:mm"/>
    <numFmt numFmtId="218" formatCode="* #,##0_);* \(#,##0\);&quot;-&quot;??_);@"/>
    <numFmt numFmtId="219" formatCode="#,##0.000_);\(#,##0.000\)"/>
    <numFmt numFmtId="220" formatCode="m"/>
    <numFmt numFmtId="221" formatCode="0_%_);\(0\)_%;0_%_);@_%_)"/>
    <numFmt numFmtId="222" formatCode="_-* #,##0_-;\-* #,##0_-;_-* &quot;-&quot;_-;_-@_-"/>
    <numFmt numFmtId="223" formatCode="#,##0_ ;[Red]\-#,##0\ "/>
    <numFmt numFmtId="224" formatCode="#,"/>
    <numFmt numFmtId="225" formatCode="0.00%;[Red]\(0.00%\)"/>
    <numFmt numFmtId="226" formatCode="_ [$€]* #,##0.00_ ;_ [$€]* \-#,##0.00_ ;_ [$€]* &quot;-&quot;??_ ;_ @_ "/>
    <numFmt numFmtId="227" formatCode="#,#00"/>
    <numFmt numFmtId="228" formatCode="#.##000"/>
    <numFmt numFmtId="229" formatCode="0.0\%_);\(0.0\%\);0.0\%_);@_%_)"/>
    <numFmt numFmtId="230" formatCode="0."/>
    <numFmt numFmtId="231" formatCode="#."/>
    <numFmt numFmtId="232" formatCode="#,##0.00;[Blue]\(#,##0.00\);"/>
    <numFmt numFmtId="233" formatCode=";;;"/>
    <numFmt numFmtId="234" formatCode="0.0"/>
    <numFmt numFmtId="235" formatCode="&quot;N$&quot;#,##0_);\(&quot;N$&quot;#,##0\)"/>
    <numFmt numFmtId="236" formatCode="0.0\x_)"/>
    <numFmt numFmtId="237" formatCode="#,##0_);\(#,##0\);\-??"/>
    <numFmt numFmtId="238" formatCode="0&quot; years&quot;_)"/>
    <numFmt numFmtId="239" formatCode="####\ ##\ ##\ ##0_);\(####\ ##\ ##\ ##0\)"/>
    <numFmt numFmtId="240" formatCode="#,##0;\(#,##0\);\-"/>
    <numFmt numFmtId="241" formatCode="0%;\(0\)%;\-"/>
    <numFmt numFmtId="242" formatCode="#,##0.0000;[Red]\(#,##0.0000\)"/>
    <numFmt numFmtId="243" formatCode="_-* #,##0.00\ _€_-;\-* #,##0.00\ _€_-;_-* &quot;-&quot;??\ _€_-;_-@_-"/>
    <numFmt numFmtId="244" formatCode="_(* #,##0.00_);_(* \(#,##0.00\);_(* \-??_);_(@_)"/>
    <numFmt numFmtId="245" formatCode="_ * #,##0.00_)_P_t_s_ ;_ * \(#,##0.00\)_P_t_s_ ;_ * &quot;-&quot;??_)_P_t_s_ ;_ @_ "/>
    <numFmt numFmtId="246" formatCode="_-* #,##0.00\ _$_-;\-* #,##0.00\ _$_-;_-* &quot;-&quot;??\ _$_-;_-@_-"/>
    <numFmt numFmtId="247" formatCode="_-* #,##0\ _F_-;\-* #,##0\ _F_-;_-* &quot;-&quot;\ _F_-;_-@_-"/>
    <numFmt numFmtId="248" formatCode="_-* #,##0.00\ _F_-;\-* #,##0.00\ _F_-;_-* &quot;-&quot;??\ _F_-;_-@_-"/>
    <numFmt numFmtId="249" formatCode="_(&quot;Cr$&quot;* #,##0_);_(&quot;Cr$&quot;* \(#,##0\);_(&quot;Cr$&quot;* &quot;-&quot;_);_(@_)"/>
    <numFmt numFmtId="250" formatCode="_(&quot;Cr$&quot;* #,##0.00_);_(&quot;Cr$&quot;* \(#,##0.00\);_(&quot;Cr$&quot;* &quot;-&quot;??_);_(@_)"/>
    <numFmt numFmtId="251" formatCode="_ &quot;$&quot;\ * #,##0_ ;_ &quot;$&quot;\ * \-#,##0_ ;_ &quot;$&quot;\ * &quot;-&quot;_ ;_ @_ "/>
    <numFmt numFmtId="252" formatCode="_ &quot;$&quot;\ * #,##0.00_ ;_ &quot;$&quot;\ * \-#,##0.00_ ;_ &quot;$&quot;\ * &quot;-&quot;??_ ;_ @_ "/>
    <numFmt numFmtId="253" formatCode="&quot;$&quot;#,"/>
    <numFmt numFmtId="254" formatCode="&quot;$&quot;#,#00"/>
    <numFmt numFmtId="255" formatCode="&quot;$&quot;#,##0\ ;\(&quot;$&quot;#,##0\)"/>
    <numFmt numFmtId="256" formatCode="mmm\-yy_)"/>
    <numFmt numFmtId="257" formatCode="_-&quot;$&quot;* #,##0.00_-;\-&quot;$&quot;* #,##0.00_-;_-&quot;$&quot;* &quot;-&quot;??_-;_-@_-"/>
    <numFmt numFmtId="258" formatCode="[Red]0%;[Red]\(0%\)"/>
    <numFmt numFmtId="259" formatCode="m/d/yy;@"/>
    <numFmt numFmtId="260" formatCode="0.0%;\(0.0%\)"/>
    <numFmt numFmtId="261" formatCode="0_)%;[Red]\(0\)%"/>
    <numFmt numFmtId="262" formatCode="0%_);\(0%\)"/>
    <numFmt numFmtId="263" formatCode="0.0\ %;[Red]\(0.0\)%"/>
    <numFmt numFmtId="264" formatCode="0.00\ %;[Red]\(0.00\)%"/>
    <numFmt numFmtId="265" formatCode="0.0%_);[Red]\(0.0%\)"/>
    <numFmt numFmtId="266" formatCode="0%;\(0%\)"/>
    <numFmt numFmtId="267" formatCode="_-* #,##0.0_-;\-* #,##0.0_-;_-* &quot;-&quot;??_-;_-@_-"/>
    <numFmt numFmtId="268" formatCode="0.0%;[Red]\-0.0%"/>
    <numFmt numFmtId="269" formatCode="%#,#00"/>
    <numFmt numFmtId="270" formatCode="#.##0,"/>
    <numFmt numFmtId="271" formatCode="#,##0.00_);\(#,##0.00\);\-??"/>
    <numFmt numFmtId="272" formatCode="##\ ##\ ###"/>
    <numFmt numFmtId="273" formatCode="d/mm/yyyy"/>
    <numFmt numFmtId="274" formatCode="\ \ @"/>
    <numFmt numFmtId="275" formatCode="d/m/yy"/>
    <numFmt numFmtId="276" formatCode="\ \ \ \ @"/>
    <numFmt numFmtId="277" formatCode="###,###,_);[Red]\(###,###,\)"/>
    <numFmt numFmtId="278" formatCode="###,###.0,_);[Red]\(###,###.0,\)"/>
    <numFmt numFmtId="279" formatCode="0000"/>
    <numFmt numFmtId="280" formatCode="00"/>
    <numFmt numFmtId="281" formatCode="000"/>
    <numFmt numFmtId="282" formatCode="&quot;See Note &quot;\ #"/>
    <numFmt numFmtId="283" formatCode="#,##0.0_);\(#,##0.0\);&quot;-&quot;_);@_)"/>
    <numFmt numFmtId="284" formatCode="#,##0.0_);\(#,##0.0\);\-_);@_)"/>
    <numFmt numFmtId="285" formatCode="_(&quot;$&quot;* #,##0_);_(&quot;$&quot;* \(#,##0\);_(&quot;$&quot;* &quot;-&quot;_);_(@_)"/>
    <numFmt numFmtId="286" formatCode="#,##0\ &quot;DM&quot;;[Red]\-#,##0\ &quot;DM&quot;"/>
    <numFmt numFmtId="287" formatCode="&quot;DM&quot;#,##0.00;[Red]\-&quot;DM&quot;#,##0.00"/>
    <numFmt numFmtId="288" formatCode="_-&quot;Ł&quot;* #,##0_-;\-&quot;Ł&quot;* #,##0_-;_-&quot;Ł&quot;* &quot;-&quot;_-;_-@_-"/>
    <numFmt numFmtId="289" formatCode="_-&quot;Ł&quot;* #,##0.00_-;\-&quot;Ł&quot;* #,##0.00_-;_-&quot;Ł&quot;* &quot;-&quot;??_-;_-@_-"/>
    <numFmt numFmtId="290" formatCode="0.00_)"/>
    <numFmt numFmtId="291" formatCode="###0_)"/>
    <numFmt numFmtId="292" formatCode="_-&quot;$&quot;* #,##0_-;\-&quot;$&quot;* #,##0_-;_-&quot;$&quot;* &quot;-&quot;_-;_-@_-"/>
    <numFmt numFmtId="293" formatCode="_-* #,##0_-;\-* #,##0_-;_-* &quot;-&quot;??_-;_-@_-"/>
    <numFmt numFmtId="294" formatCode="\ ##\ ##\ ##\ ###\ "/>
    <numFmt numFmtId="295" formatCode="_(* #,##0.0_);_(* \(#,##0.0\);_(* &quot;-&quot;??_);_(@_)"/>
    <numFmt numFmtId="296" formatCode="#.0\ ##\ ##\ ###"/>
    <numFmt numFmtId="297" formatCode="dd\/mm\/yyyy"/>
    <numFmt numFmtId="298" formatCode="_ * #,##0.000_ ;_ * \-#,##0.000_ ;_ * &quot;-&quot;??_ ;_ @_ "/>
    <numFmt numFmtId="299" formatCode="[$-409]d\-mmm\-yyyy;@"/>
    <numFmt numFmtId="300" formatCode="_ * #,##0.0_ ;_ * \-#,##0.0_ ;_ * &quot;-&quot;??_ ;_ @_ "/>
    <numFmt numFmtId="301" formatCode="dd/mm/yyyy;@"/>
    <numFmt numFmtId="302" formatCode="0.000"/>
  </numFmts>
  <fonts count="28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name val="Century Gothic"/>
      <family val="2"/>
    </font>
    <font>
      <b/>
      <sz val="12"/>
      <name val="Berlin Sans FB Demi"/>
      <family val="2"/>
    </font>
    <font>
      <sz val="10"/>
      <name val="Arial"/>
      <family val="2"/>
    </font>
    <font>
      <b/>
      <sz val="10"/>
      <name val="Century Gothic"/>
      <family val="2"/>
    </font>
    <font>
      <b/>
      <sz val="11"/>
      <name val="Century Gothic"/>
      <family val="2"/>
    </font>
    <font>
      <sz val="9"/>
      <name val="Comic Sans MS"/>
      <family val="4"/>
    </font>
    <font>
      <sz val="9"/>
      <color theme="1"/>
      <name val="Comic Sans MS"/>
      <family val="4"/>
    </font>
    <font>
      <sz val="8"/>
      <color theme="1"/>
      <name val="Century Gothic"/>
      <family val="2"/>
    </font>
    <font>
      <b/>
      <sz val="9"/>
      <name val="Comic Sans MS"/>
      <family val="4"/>
    </font>
    <font>
      <b/>
      <sz val="9"/>
      <color theme="1"/>
      <name val="Comic Sans MS"/>
      <family val="4"/>
    </font>
    <font>
      <sz val="9"/>
      <color theme="1"/>
      <name val="Calibri"/>
      <family val="2"/>
      <scheme val="minor"/>
    </font>
    <font>
      <b/>
      <sz val="10"/>
      <color theme="1"/>
      <name val="Century Gothic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Times New Roman"/>
      <family val="1"/>
    </font>
    <font>
      <sz val="9"/>
      <name val="Arial"/>
      <family val="2"/>
    </font>
    <font>
      <sz val="10"/>
      <name val="MS Sans Serif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8"/>
      <name val="Arial"/>
      <family val="2"/>
    </font>
    <font>
      <b/>
      <sz val="22"/>
      <color indexed="18"/>
      <name val="Arial"/>
      <family val="2"/>
    </font>
    <font>
      <sz val="8"/>
      <name val="Times New Roman"/>
      <family val="1"/>
    </font>
    <font>
      <sz val="10"/>
      <name val="Helv"/>
      <charset val="238"/>
    </font>
    <font>
      <sz val="10"/>
      <name val="Helv"/>
    </font>
    <font>
      <sz val="10"/>
      <name val="Helv"/>
      <charset val="204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0"/>
      <name val="Arial CE"/>
      <charset val="238"/>
    </font>
    <font>
      <sz val="8"/>
      <name val="Univers 45 Light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9"/>
      <name val="Arial"/>
      <family val="2"/>
    </font>
    <font>
      <sz val="7"/>
      <name val="Ariel"/>
    </font>
    <font>
      <sz val="10"/>
      <color indexed="9"/>
      <name val="Gill Sans MT"/>
      <family val="2"/>
    </font>
    <font>
      <b/>
      <sz val="10"/>
      <color indexed="9"/>
      <name val="Gill Sans MT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sz val="12"/>
      <name val="Tms Rmn"/>
    </font>
    <font>
      <b/>
      <sz val="7"/>
      <name val="Zurich Cn BT"/>
    </font>
    <font>
      <b/>
      <sz val="11"/>
      <name val="Arial"/>
      <family val="2"/>
    </font>
    <font>
      <sz val="7"/>
      <name val="Swis721 BlkCn BT"/>
      <family val="2"/>
    </font>
    <font>
      <b/>
      <sz val="10"/>
      <name val="MS Sans Serif"/>
      <family val="2"/>
    </font>
    <font>
      <sz val="11"/>
      <color indexed="17"/>
      <name val="Calibri"/>
      <family val="2"/>
    </font>
    <font>
      <sz val="11"/>
      <color indexed="17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52"/>
      <name val="Arial"/>
      <family val="2"/>
    </font>
    <font>
      <b/>
      <sz val="8"/>
      <color indexed="8"/>
      <name val="Arial"/>
      <family val="2"/>
    </font>
    <font>
      <b/>
      <sz val="11"/>
      <color indexed="9"/>
      <name val="Calibri"/>
      <family val="2"/>
    </font>
    <font>
      <b/>
      <sz val="11"/>
      <color indexed="9"/>
      <name val="Arial"/>
      <family val="2"/>
    </font>
    <font>
      <sz val="11"/>
      <color indexed="52"/>
      <name val="Calibri"/>
      <family val="2"/>
    </font>
    <font>
      <sz val="11"/>
      <color indexed="52"/>
      <name val="Arial"/>
      <family val="2"/>
    </font>
    <font>
      <b/>
      <sz val="10"/>
      <color indexed="9"/>
      <name val="Arial"/>
      <family val="2"/>
    </font>
    <font>
      <b/>
      <sz val="8"/>
      <color indexed="59"/>
      <name val="Univers 45 Light"/>
      <family val="2"/>
    </font>
    <font>
      <b/>
      <sz val="8"/>
      <color indexed="9"/>
      <name val="Arial"/>
      <family val="2"/>
    </font>
    <font>
      <b/>
      <sz val="8"/>
      <color indexed="8"/>
      <name val="Courier New"/>
      <family val="3"/>
    </font>
    <font>
      <sz val="10"/>
      <name val="Book Antiqua"/>
      <family val="1"/>
    </font>
    <font>
      <sz val="10"/>
      <name val="Tms Rmn"/>
    </font>
    <font>
      <sz val="12"/>
      <name val="Arial"/>
      <family val="2"/>
    </font>
    <font>
      <sz val="8"/>
      <name val="Palatino"/>
      <family val="1"/>
    </font>
    <font>
      <sz val="9"/>
      <color theme="1"/>
      <name val="Book Antiqua"/>
      <family val="2"/>
    </font>
    <font>
      <sz val="11"/>
      <color indexed="8"/>
      <name val="Book Antiqua"/>
      <family val="2"/>
    </font>
    <font>
      <sz val="9"/>
      <name val="Book Antiqua"/>
      <family val="1"/>
    </font>
    <font>
      <sz val="10"/>
      <color indexed="8"/>
      <name val="Book Antiqua"/>
      <family val="2"/>
    </font>
    <font>
      <sz val="10"/>
      <color theme="1"/>
      <name val="Arial"/>
      <family val="2"/>
    </font>
    <font>
      <sz val="10"/>
      <name val="Helv"/>
      <family val="2"/>
    </font>
    <font>
      <sz val="10"/>
      <name val="MS Serif"/>
      <family val="1"/>
    </font>
    <font>
      <sz val="28"/>
      <color indexed="8"/>
      <name val="BakerSignet"/>
    </font>
    <font>
      <sz val="11"/>
      <color indexed="12"/>
      <name val="Book Antiqua"/>
      <family val="1"/>
    </font>
    <font>
      <sz val="8"/>
      <name val="Helv"/>
    </font>
    <font>
      <sz val="12"/>
      <name val="Helv"/>
    </font>
    <font>
      <b/>
      <sz val="10"/>
      <name val="Arial"/>
      <family val="2"/>
    </font>
    <font>
      <sz val="10"/>
      <color indexed="24"/>
      <name val="Arial"/>
      <family val="2"/>
    </font>
    <font>
      <sz val="8"/>
      <color indexed="8"/>
      <name val="Arial"/>
      <family val="2"/>
    </font>
    <font>
      <sz val="8"/>
      <name val="CG Times (E1)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sz val="10"/>
      <color indexed="12"/>
      <name val="Arial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11"/>
      <color indexed="62"/>
      <name val="Arial"/>
      <family val="2"/>
    </font>
    <font>
      <sz val="9"/>
      <name val="Arial CE"/>
      <family val="2"/>
      <charset val="238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7"/>
      <name val="Palatino"/>
      <family val="1"/>
    </font>
    <font>
      <sz val="10"/>
      <color indexed="17"/>
      <name val="Arial"/>
      <family val="2"/>
    </font>
    <font>
      <sz val="10"/>
      <color indexed="12"/>
      <name val="Arial CE"/>
      <family val="2"/>
      <charset val="238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2"/>
      <name val="Tahom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0"/>
      <color indexed="8"/>
      <name val="Arial"/>
      <family val="2"/>
    </font>
    <font>
      <b/>
      <i/>
      <sz val="14"/>
      <color indexed="8"/>
      <name val="Arial"/>
      <family val="2"/>
    </font>
    <font>
      <b/>
      <sz val="8"/>
      <name val="MS Sans Serif"/>
      <family val="2"/>
    </font>
    <font>
      <sz val="9"/>
      <name val="Helv"/>
    </font>
    <font>
      <b/>
      <u/>
      <sz val="10"/>
      <name val="Arial"/>
      <family val="2"/>
    </font>
    <font>
      <u/>
      <sz val="10"/>
      <color indexed="12"/>
      <name val="Arial"/>
      <family val="2"/>
    </font>
    <font>
      <sz val="11"/>
      <color indexed="20"/>
      <name val="Arial"/>
      <family val="2"/>
    </font>
    <font>
      <sz val="10"/>
      <name val="Tahoma"/>
      <family val="2"/>
    </font>
    <font>
      <shadow/>
      <sz val="8"/>
      <color indexed="12"/>
      <name val="Times New Roman"/>
      <family val="1"/>
    </font>
    <font>
      <sz val="10"/>
      <color indexed="62"/>
      <name val="Arial"/>
      <family val="2"/>
    </font>
    <font>
      <u/>
      <sz val="8"/>
      <color indexed="8"/>
      <name val="Arial"/>
      <family val="2"/>
    </font>
    <font>
      <sz val="11"/>
      <name val="Arial"/>
      <family val="2"/>
    </font>
    <font>
      <b/>
      <sz val="10"/>
      <name val="AA Condensed"/>
    </font>
    <font>
      <i/>
      <sz val="10"/>
      <color indexed="8"/>
      <name val="Gill Sans MT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8"/>
      <color indexed="32"/>
      <name val="Univers 45 Light"/>
      <family val="2"/>
    </font>
    <font>
      <i/>
      <sz val="8"/>
      <name val="Univers 45 Light"/>
      <family val="2"/>
    </font>
    <font>
      <b/>
      <sz val="8"/>
      <color indexed="33"/>
      <name val="Univers 45 Light"/>
      <family val="2"/>
    </font>
    <font>
      <b/>
      <sz val="14"/>
      <name val="Helv"/>
    </font>
    <font>
      <sz val="10"/>
      <color indexed="14"/>
      <name val="Arial"/>
      <family val="2"/>
    </font>
    <font>
      <sz val="10"/>
      <color indexed="52"/>
      <name val="Arial"/>
      <family val="2"/>
    </font>
    <font>
      <b/>
      <sz val="10"/>
      <name val="Times New Roman"/>
      <family val="1"/>
    </font>
    <font>
      <b/>
      <sz val="11"/>
      <name val="Helv"/>
    </font>
    <font>
      <sz val="10"/>
      <name val="Univers (WN)"/>
    </font>
    <font>
      <i/>
      <sz val="7"/>
      <color indexed="10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1"/>
      <color indexed="60"/>
      <name val="Arial"/>
      <family val="2"/>
    </font>
    <font>
      <sz val="8"/>
      <name val="Arial CE"/>
      <family val="2"/>
      <charset val="238"/>
    </font>
    <font>
      <sz val="7"/>
      <name val="Small Fonts"/>
      <family val="2"/>
    </font>
    <font>
      <sz val="10"/>
      <name val="Courier"/>
      <family val="3"/>
    </font>
    <font>
      <sz val="10"/>
      <name val="Arial CE"/>
      <family val="2"/>
      <charset val="238"/>
    </font>
    <font>
      <sz val="8"/>
      <name val="Arial Narrow"/>
      <family val="2"/>
    </font>
    <font>
      <sz val="10"/>
      <color indexed="8"/>
      <name val="Times New Roman"/>
      <family val="2"/>
    </font>
    <font>
      <sz val="10"/>
      <color theme="1"/>
      <name val="Calibri"/>
      <family val="2"/>
      <scheme val="minor"/>
    </font>
    <font>
      <sz val="10"/>
      <name val="Times New Roman CE"/>
      <charset val="238"/>
    </font>
    <font>
      <sz val="10"/>
      <name val="Arial CE"/>
    </font>
    <font>
      <sz val="7"/>
      <color indexed="8"/>
      <name val="Arial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sz val="11"/>
      <color indexed="8"/>
      <name val="Times New Roman"/>
      <family val="1"/>
    </font>
    <font>
      <b/>
      <i/>
      <sz val="10"/>
      <color indexed="8"/>
      <name val="Arial"/>
      <family val="2"/>
    </font>
    <font>
      <b/>
      <sz val="11"/>
      <color indexed="16"/>
      <name val="Times New Roman"/>
      <family val="1"/>
    </font>
    <font>
      <b/>
      <sz val="10"/>
      <color indexed="17"/>
      <name val="Arial"/>
      <family val="2"/>
    </font>
    <font>
      <b/>
      <sz val="16"/>
      <color indexed="13"/>
      <name val="Arial"/>
      <family val="2"/>
    </font>
    <font>
      <sz val="10"/>
      <color indexed="16"/>
      <name val="Helvetica-Black"/>
    </font>
    <font>
      <sz val="12"/>
      <color indexed="8"/>
      <name val="Times New Roman"/>
      <family val="1"/>
    </font>
    <font>
      <sz val="10"/>
      <name val="Univers (E1)"/>
    </font>
    <font>
      <sz val="10"/>
      <color indexed="10"/>
      <name val="Arial"/>
      <family val="2"/>
    </font>
    <font>
      <sz val="8"/>
      <name val="Wingdings"/>
      <charset val="2"/>
    </font>
    <font>
      <b/>
      <sz val="12"/>
      <color indexed="8"/>
      <name val="Arial"/>
      <family val="2"/>
    </font>
    <font>
      <sz val="8"/>
      <name val="Helv"/>
      <family val="2"/>
    </font>
    <font>
      <i/>
      <sz val="8"/>
      <color indexed="8"/>
      <name val="Arial"/>
      <family val="2"/>
    </font>
    <font>
      <b/>
      <sz val="11"/>
      <color indexed="63"/>
      <name val="Arial"/>
      <family val="2"/>
    </font>
    <font>
      <sz val="8"/>
      <color indexed="12"/>
      <name val="Arial"/>
      <family val="2"/>
    </font>
    <font>
      <b/>
      <sz val="10"/>
      <color indexed="39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i/>
      <sz val="11"/>
      <name val="Arial"/>
      <family val="2"/>
    </font>
    <font>
      <b/>
      <sz val="10"/>
      <name val="Arial CE"/>
      <charset val="238"/>
    </font>
    <font>
      <sz val="8"/>
      <name val="MS Sans Serif"/>
      <family val="2"/>
    </font>
    <font>
      <sz val="10"/>
      <name val="Verdana"/>
      <family val="2"/>
    </font>
    <font>
      <b/>
      <i/>
      <sz val="10"/>
      <color indexed="12"/>
      <name val="Arial"/>
      <family val="2"/>
    </font>
    <font>
      <b/>
      <sz val="10"/>
      <name val="Tahoma"/>
      <family val="2"/>
    </font>
    <font>
      <b/>
      <sz val="8"/>
      <color indexed="8"/>
      <name val="Helv"/>
    </font>
    <font>
      <b/>
      <sz val="12"/>
      <name val="Univers (WN)"/>
    </font>
    <font>
      <b/>
      <sz val="10"/>
      <name val="Univers (WN)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sz val="9"/>
      <name val="Tms Rmn"/>
    </font>
    <font>
      <sz val="11"/>
      <color indexed="10"/>
      <name val="Calibri"/>
      <family val="2"/>
    </font>
    <font>
      <sz val="11"/>
      <color indexed="10"/>
      <name val="Arial"/>
      <family val="2"/>
    </font>
    <font>
      <i/>
      <sz val="11"/>
      <color indexed="23"/>
      <name val="Arial"/>
      <family val="2"/>
    </font>
    <font>
      <b/>
      <sz val="10"/>
      <color indexed="10"/>
      <name val="Arial"/>
      <family val="2"/>
    </font>
    <font>
      <sz val="24"/>
      <color indexed="13"/>
      <name val="Helv"/>
    </font>
    <font>
      <b/>
      <sz val="18"/>
      <color indexed="56"/>
      <name val="Cambria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8"/>
      <name val="Calibri"/>
      <family val="2"/>
    </font>
    <font>
      <b/>
      <sz val="11"/>
      <color indexed="8"/>
      <name val="Arial"/>
      <family val="2"/>
    </font>
    <font>
      <sz val="8"/>
      <color indexed="10"/>
      <name val="Arial Narrow"/>
      <family val="2"/>
    </font>
    <font>
      <sz val="8"/>
      <color indexed="8"/>
      <name val="Wingdings"/>
      <charset val="2"/>
    </font>
    <font>
      <b/>
      <sz val="20"/>
      <name val="Arial"/>
      <family val="2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b/>
      <sz val="8"/>
      <color theme="0"/>
      <name val="Century Gothic"/>
      <family val="2"/>
    </font>
    <font>
      <sz val="8"/>
      <name val="Century Gothic"/>
      <family val="2"/>
    </font>
    <font>
      <sz val="9"/>
      <name val="Trebuchet MS"/>
      <family val="2"/>
    </font>
    <font>
      <sz val="9"/>
      <color theme="1"/>
      <name val="Trebuchet MS"/>
      <family val="2"/>
    </font>
    <font>
      <sz val="10"/>
      <color theme="1"/>
      <name val="Century Gothic"/>
      <family val="2"/>
    </font>
    <font>
      <sz val="10"/>
      <name val="Century Gothic"/>
      <family val="2"/>
    </font>
    <font>
      <sz val="10"/>
      <name val="Calibri"/>
      <family val="2"/>
      <scheme val="minor"/>
    </font>
    <font>
      <b/>
      <sz val="12"/>
      <name val="Arial Black"/>
      <family val="2"/>
    </font>
    <font>
      <b/>
      <i/>
      <sz val="12"/>
      <name val="Calibri"/>
      <family val="2"/>
      <scheme val="minor"/>
    </font>
    <font>
      <sz val="10"/>
      <name val="Trebuchet MS"/>
      <family val="2"/>
    </font>
    <font>
      <b/>
      <sz val="10"/>
      <name val="Trebuchet MS"/>
      <family val="2"/>
    </font>
    <font>
      <sz val="10"/>
      <color indexed="8"/>
      <name val="Times New Roman"/>
      <family val="1"/>
    </font>
    <font>
      <sz val="10"/>
      <color indexed="8"/>
      <name val="Rupakara"/>
      <family val="2"/>
    </font>
    <font>
      <sz val="12"/>
      <name val="Rupee Foradian"/>
      <family val="2"/>
    </font>
    <font>
      <b/>
      <sz val="12"/>
      <name val="Calibri"/>
      <family val="2"/>
      <scheme val="minor"/>
    </font>
    <font>
      <b/>
      <i/>
      <sz val="9"/>
      <name val="Calibri"/>
      <family val="2"/>
      <scheme val="minor"/>
    </font>
    <font>
      <b/>
      <sz val="10"/>
      <name val="Calibri"/>
      <family val="2"/>
      <scheme val="minor"/>
    </font>
    <font>
      <b/>
      <u/>
      <sz val="10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Arial Black"/>
      <family val="2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b/>
      <i/>
      <u/>
      <sz val="11"/>
      <name val="Book Antiqua"/>
      <family val="1"/>
    </font>
    <font>
      <sz val="11"/>
      <name val="Book Antiqua"/>
      <family val="1"/>
    </font>
    <font>
      <b/>
      <sz val="11"/>
      <name val="Book Antiqua"/>
      <family val="1"/>
    </font>
    <font>
      <b/>
      <u/>
      <sz val="11"/>
      <name val="Arial Black"/>
      <family val="2"/>
    </font>
    <font>
      <b/>
      <u/>
      <sz val="10"/>
      <name val="Book Antiqua"/>
      <family val="1"/>
    </font>
    <font>
      <sz val="10"/>
      <color indexed="8"/>
      <name val="Book Antiqua"/>
      <family val="1"/>
    </font>
    <font>
      <b/>
      <sz val="10"/>
      <name val="Book Antiqua"/>
      <family val="1"/>
    </font>
    <font>
      <b/>
      <u/>
      <sz val="11"/>
      <name val="Book Antiqua"/>
      <family val="1"/>
    </font>
    <font>
      <b/>
      <sz val="14"/>
      <name val="Arial Black"/>
      <family val="2"/>
    </font>
    <font>
      <b/>
      <sz val="10"/>
      <name val="Garamond"/>
      <family val="1"/>
    </font>
    <font>
      <sz val="10"/>
      <name val="Garamond"/>
      <family val="1"/>
    </font>
    <font>
      <b/>
      <sz val="12"/>
      <color theme="1"/>
      <name val="Calibri"/>
      <family val="2"/>
      <scheme val="minor"/>
    </font>
    <font>
      <b/>
      <sz val="10"/>
      <color rgb="FF006400"/>
      <name val="Standard Tickmarks"/>
      <family val="2"/>
      <charset val="2"/>
    </font>
    <font>
      <b/>
      <sz val="10"/>
      <color rgb="FFFF0000"/>
      <name val="Standard Tickmarks"/>
      <family val="2"/>
      <charset val="2"/>
    </font>
    <font>
      <b/>
      <sz val="10"/>
      <color theme="1"/>
      <name val="Arial Black"/>
      <family val="2"/>
    </font>
    <font>
      <b/>
      <sz val="12"/>
      <name val="Comic Sans MS"/>
      <family val="4"/>
    </font>
    <font>
      <sz val="12"/>
      <color theme="1"/>
      <name val="Comic Sans MS"/>
      <family val="4"/>
    </font>
    <font>
      <sz val="12"/>
      <name val="Comic Sans MS"/>
      <family val="4"/>
    </font>
    <font>
      <b/>
      <sz val="10"/>
      <name val="Comic Sans MS"/>
      <family val="4"/>
    </font>
    <font>
      <sz val="10"/>
      <name val="Comic Sans MS"/>
      <family val="4"/>
    </font>
    <font>
      <sz val="10"/>
      <name val="Cambria"/>
      <family val="2"/>
      <scheme val="major"/>
    </font>
    <font>
      <sz val="10"/>
      <color theme="1"/>
      <name val="Comic Sans MS"/>
      <family val="4"/>
    </font>
    <font>
      <sz val="10"/>
      <color theme="0"/>
      <name val="Comic Sans MS"/>
      <family val="4"/>
    </font>
    <font>
      <b/>
      <sz val="10"/>
      <color theme="1"/>
      <name val="Comic Sans MS"/>
      <family val="4"/>
    </font>
    <font>
      <b/>
      <u/>
      <sz val="9"/>
      <name val="Comic Sans MS"/>
      <family val="4"/>
    </font>
    <font>
      <u/>
      <sz val="9"/>
      <name val="Comic Sans MS"/>
      <family val="4"/>
    </font>
    <font>
      <u/>
      <sz val="9"/>
      <color theme="1"/>
      <name val="Comic Sans MS"/>
      <family val="4"/>
    </font>
    <font>
      <b/>
      <sz val="9"/>
      <color theme="0"/>
      <name val="Comic Sans MS"/>
      <family val="4"/>
    </font>
    <font>
      <b/>
      <sz val="8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Comic Sans MS"/>
      <family val="4"/>
    </font>
    <font>
      <sz val="8"/>
      <name val="Comic Sans MS"/>
      <family val="4"/>
    </font>
    <font>
      <b/>
      <sz val="10"/>
      <name val="Cambria"/>
      <family val="2"/>
      <scheme val="major"/>
    </font>
    <font>
      <sz val="10"/>
      <color rgb="FFFF0000"/>
      <name val="Cambria"/>
      <family val="2"/>
      <scheme val="major"/>
    </font>
    <font>
      <sz val="9"/>
      <name val="Century Gothic"/>
      <family val="2"/>
    </font>
    <font>
      <sz val="9"/>
      <color theme="0"/>
      <name val="Comic Sans MS"/>
      <family val="4"/>
    </font>
    <font>
      <b/>
      <u/>
      <sz val="10"/>
      <name val="Arial Black"/>
      <family val="2"/>
    </font>
    <font>
      <b/>
      <sz val="11"/>
      <name val="Arial Black"/>
      <family val="2"/>
    </font>
    <font>
      <b/>
      <sz val="10"/>
      <name val="Verdana"/>
      <family val="2"/>
    </font>
    <font>
      <b/>
      <sz val="10"/>
      <color theme="1"/>
      <name val="Verdana"/>
      <family val="2"/>
    </font>
    <font>
      <sz val="11"/>
      <name val="Comic Sans MS"/>
      <family val="4"/>
    </font>
    <font>
      <sz val="11"/>
      <color theme="1"/>
      <name val="Comic Sans MS"/>
      <family val="4"/>
    </font>
    <font>
      <sz val="11"/>
      <color rgb="FF00B0F0"/>
      <name val="Comic Sans MS"/>
      <family val="4"/>
    </font>
    <font>
      <sz val="9"/>
      <color rgb="FF7030A0"/>
      <name val="Comic Sans MS"/>
      <family val="4"/>
    </font>
    <font>
      <sz val="12"/>
      <name val="Century Gothic"/>
      <family val="2"/>
    </font>
    <font>
      <b/>
      <sz val="12"/>
      <name val="Cambria"/>
      <family val="1"/>
      <scheme val="major"/>
    </font>
    <font>
      <b/>
      <sz val="12"/>
      <color theme="0"/>
      <name val="Calibri"/>
      <family val="2"/>
      <scheme val="minor"/>
    </font>
    <font>
      <sz val="12"/>
      <name val="Cambria"/>
      <family val="1"/>
      <scheme val="major"/>
    </font>
    <font>
      <u/>
      <sz val="11"/>
      <color theme="10"/>
      <name val="Calibri"/>
      <family val="2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8"/>
      <name val="Century Gothic"/>
      <family val="2"/>
    </font>
    <font>
      <b/>
      <sz val="11"/>
      <name val="Calibri"/>
      <family val="2"/>
      <scheme val="minor"/>
    </font>
    <font>
      <b/>
      <sz val="14"/>
      <name val="Comic Sans MS"/>
      <family val="4"/>
    </font>
    <font>
      <b/>
      <sz val="11"/>
      <name val="Comic Sans MS"/>
      <family val="4"/>
    </font>
    <font>
      <sz val="10"/>
      <color theme="1"/>
      <name val="Trebuchet MS"/>
      <family val="2"/>
    </font>
    <font>
      <b/>
      <sz val="10"/>
      <color theme="1"/>
      <name val="Trebuchet MS"/>
      <family val="2"/>
    </font>
    <font>
      <b/>
      <sz val="12"/>
      <color theme="1"/>
      <name val="Comic Sans MS"/>
      <family val="4"/>
    </font>
    <font>
      <b/>
      <sz val="16"/>
      <name val="Trebuchet MS"/>
      <family val="2"/>
    </font>
    <font>
      <b/>
      <sz val="18"/>
      <name val="Trebuchet MS"/>
      <family val="2"/>
    </font>
    <font>
      <b/>
      <sz val="20"/>
      <name val="Trebuchet MS"/>
      <family val="2"/>
    </font>
  </fonts>
  <fills count="10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3"/>
      </patternFill>
    </fill>
    <fill>
      <patternFill patternType="solid">
        <fgColor indexed="65"/>
        <bgColor indexed="64"/>
      </patternFill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8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</patternFill>
    </fill>
    <fill>
      <patternFill patternType="solid">
        <fgColor indexed="30"/>
        <bgColor indexed="64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17"/>
      </patternFill>
    </fill>
    <fill>
      <patternFill patternType="darkVertical"/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gray06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5117038483843"/>
        <bgColor indexed="64"/>
      </patternFill>
    </fill>
  </fills>
  <borders count="1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 diagonalUp="1" diagonalDown="1"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ck">
        <color indexed="9"/>
      </right>
      <top/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24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 style="thin">
        <color indexed="14"/>
      </left>
      <right/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double">
        <color indexed="64"/>
      </right>
      <top/>
      <bottom/>
      <diagonal/>
    </border>
    <border>
      <left style="double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double">
        <color indexed="64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theme="5" tint="-0.24994659260841701"/>
      </left>
      <right style="double">
        <color theme="5" tint="-0.24994659260841701"/>
      </right>
      <top style="double">
        <color theme="5" tint="-0.24994659260841701"/>
      </top>
      <bottom style="double">
        <color theme="5" tint="-0.24994659260841701"/>
      </bottom>
      <diagonal/>
    </border>
    <border>
      <left style="double">
        <color theme="5" tint="-0.24994659260841701"/>
      </left>
      <right/>
      <top style="double">
        <color theme="5" tint="-0.24994659260841701"/>
      </top>
      <bottom style="double">
        <color theme="5" tint="-0.24994659260841701"/>
      </bottom>
      <diagonal/>
    </border>
    <border>
      <left style="double">
        <color theme="5" tint="-0.24994659260841701"/>
      </left>
      <right style="thin">
        <color indexed="64"/>
      </right>
      <top style="double">
        <color theme="5" tint="-0.24994659260841701"/>
      </top>
      <bottom style="double">
        <color theme="5" tint="-0.24994659260841701"/>
      </bottom>
      <diagonal/>
    </border>
    <border>
      <left style="thin">
        <color indexed="64"/>
      </left>
      <right style="thin">
        <color indexed="64"/>
      </right>
      <top style="double">
        <color theme="5" tint="-0.24994659260841701"/>
      </top>
      <bottom style="double">
        <color theme="5" tint="-0.24994659260841701"/>
      </bottom>
      <diagonal/>
    </border>
    <border>
      <left style="thin">
        <color indexed="64"/>
      </left>
      <right style="double">
        <color theme="5" tint="-0.24994659260841701"/>
      </right>
      <top style="double">
        <color theme="5" tint="-0.24994659260841701"/>
      </top>
      <bottom style="double">
        <color theme="5" tint="-0.24994659260841701"/>
      </bottom>
      <diagonal/>
    </border>
    <border>
      <left/>
      <right style="thin">
        <color indexed="64"/>
      </right>
      <top style="double">
        <color theme="5" tint="-0.24994659260841701"/>
      </top>
      <bottom style="double">
        <color theme="5" tint="-0.24994659260841701"/>
      </bottom>
      <diagonal/>
    </border>
    <border>
      <left style="thin">
        <color indexed="64"/>
      </left>
      <right/>
      <top style="double">
        <color theme="5" tint="-0.24994659260841701"/>
      </top>
      <bottom style="double">
        <color theme="5" tint="-0.24994659260841701"/>
      </bottom>
      <diagonal/>
    </border>
    <border>
      <left style="double">
        <color theme="5" tint="-0.24994659260841701"/>
      </left>
      <right style="double">
        <color theme="5" tint="-0.24994659260841701"/>
      </right>
      <top style="double">
        <color theme="5" tint="-0.24994659260841701"/>
      </top>
      <bottom/>
      <diagonal/>
    </border>
    <border>
      <left style="double">
        <color theme="5" tint="-0.24994659260841701"/>
      </left>
      <right style="thin">
        <color indexed="64"/>
      </right>
      <top style="double">
        <color theme="5" tint="-0.24994659260841701"/>
      </top>
      <bottom/>
      <diagonal/>
    </border>
    <border>
      <left style="thin">
        <color indexed="64"/>
      </left>
      <right style="thin">
        <color indexed="64"/>
      </right>
      <top style="double">
        <color theme="5" tint="-0.24994659260841701"/>
      </top>
      <bottom/>
      <diagonal/>
    </border>
    <border>
      <left style="thin">
        <color indexed="64"/>
      </left>
      <right style="double">
        <color theme="5" tint="-0.24994659260841701"/>
      </right>
      <top style="double">
        <color theme="5" tint="-0.24994659260841701"/>
      </top>
      <bottom/>
      <diagonal/>
    </border>
    <border>
      <left style="double">
        <color theme="5" tint="-0.24994659260841701"/>
      </left>
      <right/>
      <top style="double">
        <color theme="5" tint="-0.24994659260841701"/>
      </top>
      <bottom/>
      <diagonal/>
    </border>
    <border>
      <left/>
      <right style="thin">
        <color indexed="64"/>
      </right>
      <top style="double">
        <color theme="5" tint="-0.24994659260841701"/>
      </top>
      <bottom/>
      <diagonal/>
    </border>
    <border>
      <left style="thin">
        <color indexed="64"/>
      </left>
      <right/>
      <top style="double">
        <color theme="5" tint="-0.24994659260841701"/>
      </top>
      <bottom/>
      <diagonal/>
    </border>
    <border>
      <left/>
      <right style="double">
        <color theme="5" tint="-0.24994659260841701"/>
      </right>
      <top style="double">
        <color theme="5" tint="-0.24994659260841701"/>
      </top>
      <bottom/>
      <diagonal/>
    </border>
    <border>
      <left style="double">
        <color theme="5" tint="-0.24994659260841701"/>
      </left>
      <right style="double">
        <color theme="5" tint="-0.24994659260841701"/>
      </right>
      <top/>
      <bottom style="double">
        <color theme="5" tint="-0.24994659260841701"/>
      </bottom>
      <diagonal/>
    </border>
    <border>
      <left style="double">
        <color theme="5" tint="-0.24994659260841701"/>
      </left>
      <right style="thin">
        <color indexed="64"/>
      </right>
      <top/>
      <bottom style="double">
        <color theme="5" tint="-0.24994659260841701"/>
      </bottom>
      <diagonal/>
    </border>
    <border>
      <left style="thin">
        <color indexed="64"/>
      </left>
      <right style="thin">
        <color indexed="64"/>
      </right>
      <top/>
      <bottom style="double">
        <color theme="5" tint="-0.24994659260841701"/>
      </bottom>
      <diagonal/>
    </border>
    <border>
      <left style="thin">
        <color indexed="64"/>
      </left>
      <right style="double">
        <color theme="5" tint="-0.24994659260841701"/>
      </right>
      <top/>
      <bottom style="double">
        <color theme="5" tint="-0.24994659260841701"/>
      </bottom>
      <diagonal/>
    </border>
    <border>
      <left style="double">
        <color theme="5" tint="-0.24994659260841701"/>
      </left>
      <right/>
      <top/>
      <bottom style="double">
        <color theme="5" tint="-0.24994659260841701"/>
      </bottom>
      <diagonal/>
    </border>
    <border>
      <left/>
      <right style="thin">
        <color indexed="64"/>
      </right>
      <top/>
      <bottom style="double">
        <color theme="5" tint="-0.24994659260841701"/>
      </bottom>
      <diagonal/>
    </border>
    <border>
      <left style="thin">
        <color indexed="64"/>
      </left>
      <right/>
      <top/>
      <bottom style="double">
        <color theme="5" tint="-0.24994659260841701"/>
      </bottom>
      <diagonal/>
    </border>
    <border>
      <left/>
      <right style="double">
        <color theme="5" tint="-0.24994659260841701"/>
      </right>
      <top/>
      <bottom style="double">
        <color theme="5" tint="-0.24994659260841701"/>
      </bottom>
      <diagonal/>
    </border>
    <border>
      <left style="double">
        <color theme="5" tint="-0.24994659260841701"/>
      </left>
      <right style="double">
        <color theme="5" tint="-0.24994659260841701"/>
      </right>
      <top/>
      <bottom/>
      <diagonal/>
    </border>
    <border>
      <left style="double">
        <color theme="5" tint="-0.24994659260841701"/>
      </left>
      <right/>
      <top/>
      <bottom/>
      <diagonal/>
    </border>
    <border>
      <left style="double">
        <color theme="5" tint="-0.24994659260841701"/>
      </left>
      <right/>
      <top style="hair">
        <color theme="4" tint="0.39994506668294322"/>
      </top>
      <bottom style="hair">
        <color theme="4" tint="0.39994506668294322"/>
      </bottom>
      <diagonal/>
    </border>
    <border>
      <left/>
      <right style="double">
        <color theme="5" tint="-0.24994659260841701"/>
      </right>
      <top style="hair">
        <color theme="4" tint="0.39994506668294322"/>
      </top>
      <bottom style="hair">
        <color theme="4" tint="0.39994506668294322"/>
      </bottom>
      <diagonal/>
    </border>
    <border>
      <left/>
      <right/>
      <top style="hair">
        <color theme="4" tint="0.39994506668294322"/>
      </top>
      <bottom style="hair">
        <color theme="4" tint="0.39994506668294322"/>
      </bottom>
      <diagonal/>
    </border>
    <border>
      <left style="thin">
        <color indexed="64"/>
      </left>
      <right style="double">
        <color theme="5" tint="-0.24994659260841701"/>
      </right>
      <top style="hair">
        <color theme="4" tint="0.39994506668294322"/>
      </top>
      <bottom style="hair">
        <color theme="4" tint="0.39994506668294322"/>
      </bottom>
      <diagonal/>
    </border>
    <border>
      <left/>
      <right style="hair">
        <color theme="4" tint="0.39994506668294322"/>
      </right>
      <top style="hair">
        <color theme="4" tint="0.39994506668294322"/>
      </top>
      <bottom style="hair">
        <color theme="4" tint="0.39994506668294322"/>
      </bottom>
      <diagonal/>
    </border>
    <border>
      <left style="hair">
        <color theme="4" tint="0.39994506668294322"/>
      </left>
      <right/>
      <top style="hair">
        <color theme="4" tint="0.39994506668294322"/>
      </top>
      <bottom style="hair">
        <color theme="4" tint="0.39994506668294322"/>
      </bottom>
      <diagonal/>
    </border>
    <border>
      <left style="thin">
        <color indexed="64"/>
      </left>
      <right/>
      <top style="hair">
        <color theme="4" tint="0.39994506668294322"/>
      </top>
      <bottom style="hair">
        <color theme="4" tint="0.39994506668294322"/>
      </bottom>
      <diagonal/>
    </border>
    <border>
      <left style="thin">
        <color indexed="64"/>
      </left>
      <right style="thin">
        <color indexed="64"/>
      </right>
      <top style="hair">
        <color theme="4" tint="0.39994506668294322"/>
      </top>
      <bottom style="hair">
        <color theme="4" tint="0.39994506668294322"/>
      </bottom>
      <diagonal/>
    </border>
    <border>
      <left style="double">
        <color theme="5" tint="-0.24994659260841701"/>
      </left>
      <right style="double">
        <color theme="5" tint="-0.24994659260841701"/>
      </right>
      <top style="hair">
        <color indexed="64"/>
      </top>
      <bottom style="hair">
        <color indexed="64"/>
      </bottom>
      <diagonal/>
    </border>
    <border>
      <left style="double">
        <color theme="5" tint="-0.24994659260841701"/>
      </left>
      <right style="double">
        <color theme="5" tint="-0.24994659260841701"/>
      </right>
      <top style="hair">
        <color indexed="64"/>
      </top>
      <bottom/>
      <diagonal/>
    </border>
    <border>
      <left style="double">
        <color theme="5" tint="-0.24994659260841701"/>
      </left>
      <right/>
      <top style="hair">
        <color theme="4" tint="0.39994506668294322"/>
      </top>
      <bottom style="thin">
        <color indexed="64"/>
      </bottom>
      <diagonal/>
    </border>
    <border>
      <left/>
      <right style="hair">
        <color theme="4" tint="0.39994506668294322"/>
      </right>
      <top style="hair">
        <color theme="4" tint="0.39994506668294322"/>
      </top>
      <bottom style="thin">
        <color indexed="64"/>
      </bottom>
      <diagonal/>
    </border>
    <border>
      <left style="hair">
        <color theme="4" tint="0.39994506668294322"/>
      </left>
      <right/>
      <top style="hair">
        <color theme="4" tint="0.39994506668294322"/>
      </top>
      <bottom style="thin">
        <color indexed="64"/>
      </bottom>
      <diagonal/>
    </border>
    <border>
      <left style="thin">
        <color indexed="64"/>
      </left>
      <right/>
      <top style="hair">
        <color theme="4" tint="0.399945066682943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theme="4" tint="0.39994506668294322"/>
      </top>
      <bottom style="thin">
        <color indexed="64"/>
      </bottom>
      <diagonal/>
    </border>
    <border>
      <left style="double">
        <color theme="5" tint="-0.24994659260841701"/>
      </left>
      <right style="double">
        <color theme="5" tint="-0.24994659260841701"/>
      </right>
      <top style="thin">
        <color indexed="64"/>
      </top>
      <bottom style="double">
        <color theme="5" tint="-0.24994659260841701"/>
      </bottom>
      <diagonal/>
    </border>
    <border>
      <left style="double">
        <color theme="5" tint="-0.24994659260841701"/>
      </left>
      <right/>
      <top style="thin">
        <color indexed="64"/>
      </top>
      <bottom style="double">
        <color theme="5" tint="-0.24994659260841701"/>
      </bottom>
      <diagonal/>
    </border>
    <border>
      <left style="double">
        <color theme="5" tint="-0.24994659260841701"/>
      </left>
      <right style="thin">
        <color indexed="64"/>
      </right>
      <top style="thin">
        <color indexed="64"/>
      </top>
      <bottom style="double">
        <color theme="5" tint="-0.24994659260841701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 style="thin">
        <color indexed="8"/>
      </top>
      <bottom/>
      <diagonal/>
    </border>
    <border>
      <left/>
      <right style="double">
        <color auto="1"/>
      </right>
      <top style="thin">
        <color indexed="64"/>
      </top>
      <bottom style="double">
        <color auto="1"/>
      </bottom>
      <diagonal/>
    </border>
  </borders>
  <cellStyleXfs count="298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17" fillId="0" borderId="0"/>
    <xf numFmtId="17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71" fontId="30" fillId="0" borderId="0"/>
    <xf numFmtId="170" fontId="17" fillId="0" borderId="0"/>
    <xf numFmtId="170" fontId="17" fillId="0" borderId="0"/>
    <xf numFmtId="0" fontId="17" fillId="0" borderId="0"/>
    <xf numFmtId="0" fontId="17" fillId="0" borderId="0"/>
    <xf numFmtId="0" fontId="31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17" fillId="0" borderId="0"/>
    <xf numFmtId="0" fontId="32" fillId="0" borderId="0" applyNumberFormat="0" applyFill="0" applyBorder="0" applyAlignment="0" applyProtection="0"/>
    <xf numFmtId="174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/>
    <xf numFmtId="170" fontId="17" fillId="0" borderId="0"/>
    <xf numFmtId="17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2" fillId="0" borderId="0" applyNumberFormat="0" applyFill="0" applyBorder="0" applyAlignment="0" applyProtection="0"/>
    <xf numFmtId="0" fontId="17" fillId="0" borderId="0"/>
    <xf numFmtId="0" fontId="32" fillId="0" borderId="0"/>
    <xf numFmtId="0" fontId="33" fillId="0" borderId="0">
      <alignment vertical="top"/>
    </xf>
    <xf numFmtId="0" fontId="33" fillId="0" borderId="0">
      <alignment vertical="top"/>
    </xf>
    <xf numFmtId="0" fontId="17" fillId="0" borderId="0"/>
    <xf numFmtId="0" fontId="33" fillId="0" borderId="0">
      <alignment vertical="top"/>
    </xf>
    <xf numFmtId="0" fontId="17" fillId="0" borderId="0" applyNumberFormat="0" applyFill="0" applyBorder="0" applyAlignment="0" applyProtection="0"/>
    <xf numFmtId="0" fontId="17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 applyNumberFormat="0" applyFill="0" applyBorder="0" applyAlignment="0" applyProtection="0"/>
    <xf numFmtId="0" fontId="17" fillId="0" borderId="0"/>
    <xf numFmtId="175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176" fontId="17" fillId="0" borderId="0" applyFont="0" applyFill="0" applyBorder="0" applyAlignment="0" applyProtection="0"/>
    <xf numFmtId="175" fontId="17" fillId="0" borderId="0" applyFont="0" applyFill="0" applyBorder="0" applyAlignment="0" applyProtection="0"/>
    <xf numFmtId="175" fontId="17" fillId="0" borderId="0" applyFont="0" applyFill="0" applyBorder="0" applyAlignment="0" applyProtection="0"/>
    <xf numFmtId="39" fontId="17" fillId="0" borderId="0" applyFont="0" applyFill="0" applyBorder="0" applyAlignment="0" applyProtection="0"/>
    <xf numFmtId="175" fontId="17" fillId="0" borderId="0" applyFont="0" applyFill="0" applyBorder="0" applyAlignment="0" applyProtection="0"/>
    <xf numFmtId="39" fontId="17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Font="0" applyFill="0" applyBorder="0" applyAlignment="0" applyProtection="0"/>
    <xf numFmtId="0" fontId="31" fillId="0" borderId="0" quotePrefix="1" pivotButton="1">
      <alignment horizontal="justify" vertical="justify" textRotation="255" wrapText="1" justifyLastLine="1"/>
      <protection hidden="1"/>
    </xf>
    <xf numFmtId="0" fontId="17" fillId="0" borderId="0"/>
    <xf numFmtId="0" fontId="17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17" fillId="0" borderId="0"/>
    <xf numFmtId="0" fontId="3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77" fontId="30" fillId="0" borderId="0" applyFont="0" applyFill="0" applyBorder="0" applyAlignment="0" applyProtection="0"/>
    <xf numFmtId="0" fontId="3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70" fontId="17" fillId="0" borderId="0"/>
    <xf numFmtId="17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0" fillId="36" borderId="0" applyNumberFormat="0" applyFont="0" applyAlignment="0" applyProtection="0"/>
    <xf numFmtId="0" fontId="29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/>
    <xf numFmtId="0" fontId="17" fillId="0" borderId="0"/>
    <xf numFmtId="0" fontId="33" fillId="0" borderId="0">
      <alignment vertical="top"/>
    </xf>
    <xf numFmtId="0" fontId="32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7" fillId="0" borderId="0"/>
    <xf numFmtId="0" fontId="17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78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0" fontId="17" fillId="0" borderId="0"/>
    <xf numFmtId="0" fontId="3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32" fillId="0" borderId="0"/>
    <xf numFmtId="0" fontId="29" fillId="0" borderId="0" applyNumberFormat="0" applyFill="0" applyBorder="0" applyAlignment="0" applyProtection="0"/>
    <xf numFmtId="180" fontId="17" fillId="0" borderId="0" applyFont="0" applyFill="0" applyBorder="0" applyAlignment="0" applyProtection="0"/>
    <xf numFmtId="181" fontId="17" fillId="0" borderId="0" applyFont="0" applyFill="0" applyBorder="0" applyAlignment="0" applyProtection="0"/>
    <xf numFmtId="0" fontId="37" fillId="0" borderId="0"/>
    <xf numFmtId="0" fontId="38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/>
    <xf numFmtId="0" fontId="39" fillId="0" borderId="0"/>
    <xf numFmtId="0" fontId="17" fillId="0" borderId="0" applyNumberFormat="0" applyFill="0" applyBorder="0" applyAlignment="0" applyProtection="0"/>
    <xf numFmtId="170" fontId="39" fillId="0" borderId="0"/>
    <xf numFmtId="0" fontId="3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6" fillId="0" borderId="0" applyNumberFormat="0" applyFill="0" applyBorder="0" applyAlignment="0" applyProtection="0"/>
    <xf numFmtId="0" fontId="29" fillId="0" borderId="0"/>
    <xf numFmtId="0" fontId="29" fillId="0" borderId="0"/>
    <xf numFmtId="0" fontId="17" fillId="0" borderId="0" applyNumberFormat="0" applyFill="0" applyBorder="0" applyAlignment="0" applyProtection="0"/>
    <xf numFmtId="0" fontId="17" fillId="0" borderId="0"/>
    <xf numFmtId="0" fontId="33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>
      <alignment vertical="top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32" fillId="0" borderId="0" applyNumberFormat="0" applyFill="0" applyBorder="0" applyAlignment="0" applyProtection="0"/>
    <xf numFmtId="0" fontId="33" fillId="0" borderId="0">
      <alignment vertical="top"/>
    </xf>
    <xf numFmtId="0" fontId="37" fillId="0" borderId="0"/>
    <xf numFmtId="0" fontId="17" fillId="0" borderId="0"/>
    <xf numFmtId="0" fontId="17" fillId="0" borderId="0"/>
    <xf numFmtId="0" fontId="40" fillId="0" borderId="0" applyNumberFormat="0" applyFill="0" applyBorder="0" applyProtection="0">
      <alignment vertical="top"/>
    </xf>
    <xf numFmtId="0" fontId="32" fillId="0" borderId="0"/>
    <xf numFmtId="0" fontId="3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9" fillId="0" borderId="0" applyNumberFormat="0" applyFill="0" applyBorder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Protection="0">
      <alignment horizontal="center"/>
    </xf>
    <xf numFmtId="0" fontId="42" fillId="0" borderId="30" applyNumberFormat="0" applyFill="0" applyProtection="0">
      <alignment horizontal="center"/>
    </xf>
    <xf numFmtId="0" fontId="17" fillId="0" borderId="31" applyNumberFormat="0" applyFont="0" applyFill="0" applyAlignment="0" applyProtection="0"/>
    <xf numFmtId="0" fontId="42" fillId="0" borderId="0" applyNumberFormat="0" applyFill="0" applyBorder="0" applyProtection="0">
      <alignment horizontal="left"/>
    </xf>
    <xf numFmtId="0" fontId="42" fillId="0" borderId="0" applyNumberFormat="0" applyFill="0" applyBorder="0" applyProtection="0">
      <alignment horizontal="left"/>
    </xf>
    <xf numFmtId="0" fontId="43" fillId="0" borderId="0" applyNumberFormat="0" applyFill="0" applyBorder="0" applyProtection="0">
      <alignment horizontal="centerContinuous"/>
    </xf>
    <xf numFmtId="0" fontId="43" fillId="0" borderId="0" applyNumberFormat="0" applyFill="0" applyBorder="0" applyProtection="0">
      <alignment horizontal="centerContinuous"/>
    </xf>
    <xf numFmtId="0" fontId="41" fillId="0" borderId="0" applyNumberFormat="0" applyFill="0" applyBorder="0" applyAlignment="0" applyProtection="0"/>
    <xf numFmtId="0" fontId="32" fillId="0" borderId="0"/>
    <xf numFmtId="0" fontId="17" fillId="0" borderId="0"/>
    <xf numFmtId="0" fontId="17" fillId="0" borderId="0"/>
    <xf numFmtId="174" fontId="17" fillId="0" borderId="0"/>
    <xf numFmtId="0" fontId="17" fillId="0" borderId="0"/>
    <xf numFmtId="0" fontId="17" fillId="0" borderId="0"/>
    <xf numFmtId="174" fontId="17" fillId="0" borderId="0"/>
    <xf numFmtId="0" fontId="32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 applyNumberFormat="0" applyFill="0" applyBorder="0" applyAlignment="0" applyProtection="0"/>
    <xf numFmtId="0" fontId="32" fillId="0" borderId="0"/>
    <xf numFmtId="0" fontId="17" fillId="0" borderId="0" applyNumberFormat="0" applyFill="0" applyBorder="0" applyAlignment="0" applyProtection="0"/>
    <xf numFmtId="0" fontId="17" fillId="0" borderId="0"/>
    <xf numFmtId="0" fontId="29" fillId="0" borderId="32" applyNumberFormat="0" applyFont="0" applyBorder="0" applyAlignment="0"/>
    <xf numFmtId="0" fontId="44" fillId="0" borderId="0">
      <protection locked="0"/>
    </xf>
    <xf numFmtId="0" fontId="32" fillId="0" borderId="0"/>
    <xf numFmtId="0" fontId="17" fillId="0" borderId="0"/>
    <xf numFmtId="0" fontId="3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17" fillId="0" borderId="0"/>
    <xf numFmtId="0" fontId="17" fillId="0" borderId="0"/>
    <xf numFmtId="0" fontId="32" fillId="0" borderId="0"/>
    <xf numFmtId="164" fontId="45" fillId="37" borderId="0" applyFill="0" applyBorder="0" applyProtection="0"/>
    <xf numFmtId="182" fontId="44" fillId="0" borderId="0" applyFont="0" applyFill="0" applyBorder="0" applyAlignment="0" applyProtection="0"/>
    <xf numFmtId="183" fontId="44" fillId="0" borderId="0" applyFont="0" applyFill="0" applyBorder="0" applyAlignment="0" applyProtection="0"/>
    <xf numFmtId="0" fontId="17" fillId="0" borderId="0"/>
    <xf numFmtId="0" fontId="17" fillId="0" borderId="0" applyFont="0"/>
    <xf numFmtId="184" fontId="45" fillId="0" borderId="0" applyFill="0" applyBorder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1" fillId="9" borderId="0" applyNumberFormat="0" applyBorder="0" applyAlignment="0" applyProtection="0"/>
    <xf numFmtId="0" fontId="1" fillId="38" borderId="0" applyNumberFormat="0" applyBorder="0" applyAlignment="0" applyProtection="0"/>
    <xf numFmtId="0" fontId="1" fillId="9" borderId="0" applyNumberFormat="0" applyBorder="0" applyAlignment="0" applyProtection="0"/>
    <xf numFmtId="0" fontId="33" fillId="38" borderId="0" applyNumberFormat="0" applyBorder="0" applyAlignment="0" applyProtection="0"/>
    <xf numFmtId="0" fontId="46" fillId="39" borderId="0" applyNumberFormat="0" applyBorder="0" applyAlignment="0" applyProtection="0"/>
    <xf numFmtId="0" fontId="1" fillId="9" borderId="0" applyNumberFormat="0" applyBorder="0" applyAlignment="0" applyProtection="0"/>
    <xf numFmtId="0" fontId="1" fillId="38" borderId="0" applyNumberFormat="0" applyBorder="0" applyAlignment="0" applyProtection="0"/>
    <xf numFmtId="0" fontId="1" fillId="9" borderId="0" applyNumberFormat="0" applyBorder="0" applyAlignment="0" applyProtection="0"/>
    <xf numFmtId="0" fontId="46" fillId="38" borderId="0" applyNumberFormat="0" applyBorder="0" applyAlignment="0" applyProtection="0"/>
    <xf numFmtId="0" fontId="46" fillId="40" borderId="0" applyNumberFormat="0" applyBorder="0" applyAlignment="0" applyProtection="0"/>
    <xf numFmtId="0" fontId="46" fillId="41" borderId="0" applyNumberFormat="0" applyBorder="0" applyAlignment="0" applyProtection="0"/>
    <xf numFmtId="0" fontId="1" fillId="13" borderId="0" applyNumberFormat="0" applyBorder="0" applyAlignment="0" applyProtection="0"/>
    <xf numFmtId="0" fontId="1" fillId="40" borderId="0" applyNumberFormat="0" applyBorder="0" applyAlignment="0" applyProtection="0"/>
    <xf numFmtId="0" fontId="1" fillId="13" borderId="0" applyNumberFormat="0" applyBorder="0" applyAlignment="0" applyProtection="0"/>
    <xf numFmtId="0" fontId="33" fillId="40" borderId="0" applyNumberFormat="0" applyBorder="0" applyAlignment="0" applyProtection="0"/>
    <xf numFmtId="0" fontId="46" fillId="41" borderId="0" applyNumberFormat="0" applyBorder="0" applyAlignment="0" applyProtection="0"/>
    <xf numFmtId="0" fontId="1" fillId="13" borderId="0" applyNumberFormat="0" applyBorder="0" applyAlignment="0" applyProtection="0"/>
    <xf numFmtId="0" fontId="1" fillId="40" borderId="0" applyNumberFormat="0" applyBorder="0" applyAlignment="0" applyProtection="0"/>
    <xf numFmtId="0" fontId="1" fillId="13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1" fillId="17" borderId="0" applyNumberFormat="0" applyBorder="0" applyAlignment="0" applyProtection="0"/>
    <xf numFmtId="0" fontId="1" fillId="42" borderId="0" applyNumberFormat="0" applyBorder="0" applyAlignment="0" applyProtection="0"/>
    <xf numFmtId="0" fontId="1" fillId="17" borderId="0" applyNumberFormat="0" applyBorder="0" applyAlignment="0" applyProtection="0"/>
    <xf numFmtId="0" fontId="33" fillId="42" borderId="0" applyNumberFormat="0" applyBorder="0" applyAlignment="0" applyProtection="0"/>
    <xf numFmtId="0" fontId="46" fillId="43" borderId="0" applyNumberFormat="0" applyBorder="0" applyAlignment="0" applyProtection="0"/>
    <xf numFmtId="0" fontId="1" fillId="17" borderId="0" applyNumberFormat="0" applyBorder="0" applyAlignment="0" applyProtection="0"/>
    <xf numFmtId="0" fontId="1" fillId="42" borderId="0" applyNumberFormat="0" applyBorder="0" applyAlignment="0" applyProtection="0"/>
    <xf numFmtId="0" fontId="1" fillId="17" borderId="0" applyNumberFormat="0" applyBorder="0" applyAlignment="0" applyProtection="0"/>
    <xf numFmtId="0" fontId="46" fillId="42" borderId="0" applyNumberFormat="0" applyBorder="0" applyAlignment="0" applyProtection="0"/>
    <xf numFmtId="0" fontId="46" fillId="44" borderId="0" applyNumberFormat="0" applyBorder="0" applyAlignment="0" applyProtection="0"/>
    <xf numFmtId="0" fontId="46" fillId="45" borderId="0" applyNumberFormat="0" applyBorder="0" applyAlignment="0" applyProtection="0"/>
    <xf numFmtId="0" fontId="1" fillId="21" borderId="0" applyNumberFormat="0" applyBorder="0" applyAlignment="0" applyProtection="0"/>
    <xf numFmtId="0" fontId="1" fillId="44" borderId="0" applyNumberFormat="0" applyBorder="0" applyAlignment="0" applyProtection="0"/>
    <xf numFmtId="0" fontId="1" fillId="21" borderId="0" applyNumberFormat="0" applyBorder="0" applyAlignment="0" applyProtection="0"/>
    <xf numFmtId="0" fontId="33" fillId="44" borderId="0" applyNumberFormat="0" applyBorder="0" applyAlignment="0" applyProtection="0"/>
    <xf numFmtId="0" fontId="46" fillId="45" borderId="0" applyNumberFormat="0" applyBorder="0" applyAlignment="0" applyProtection="0"/>
    <xf numFmtId="0" fontId="1" fillId="21" borderId="0" applyNumberFormat="0" applyBorder="0" applyAlignment="0" applyProtection="0"/>
    <xf numFmtId="0" fontId="1" fillId="44" borderId="0" applyNumberFormat="0" applyBorder="0" applyAlignment="0" applyProtection="0"/>
    <xf numFmtId="0" fontId="1" fillId="21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1" fillId="25" borderId="0" applyNumberFormat="0" applyBorder="0" applyAlignment="0" applyProtection="0"/>
    <xf numFmtId="0" fontId="33" fillId="46" borderId="0" applyNumberFormat="0" applyBorder="0" applyAlignment="0" applyProtection="0"/>
    <xf numFmtId="0" fontId="46" fillId="47" borderId="0" applyNumberFormat="0" applyBorder="0" applyAlignment="0" applyProtection="0"/>
    <xf numFmtId="0" fontId="1" fillId="25" borderId="0" applyNumberFormat="0" applyBorder="0" applyAlignment="0" applyProtection="0"/>
    <xf numFmtId="0" fontId="46" fillId="46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1" fillId="29" borderId="0" applyNumberFormat="0" applyBorder="0" applyAlignment="0" applyProtection="0"/>
    <xf numFmtId="0" fontId="33" fillId="48" borderId="0" applyNumberFormat="0" applyBorder="0" applyAlignment="0" applyProtection="0"/>
    <xf numFmtId="0" fontId="46" fillId="49" borderId="0" applyNumberFormat="0" applyBorder="0" applyAlignment="0" applyProtection="0"/>
    <xf numFmtId="0" fontId="1" fillId="29" borderId="0" applyNumberFormat="0" applyBorder="0" applyAlignment="0" applyProtection="0"/>
    <xf numFmtId="0" fontId="46" fillId="4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7" fillId="38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7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2" borderId="0" applyNumberFormat="0" applyBorder="0" applyAlignment="0" applyProtection="0"/>
    <xf numFmtId="0" fontId="47" fillId="42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7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7" fillId="46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7" fillId="48" borderId="0" applyNumberFormat="0" applyBorder="0" applyAlignment="0" applyProtection="0"/>
    <xf numFmtId="185" fontId="45" fillId="0" borderId="0" applyFill="0" applyBorder="0" applyProtection="0"/>
    <xf numFmtId="0" fontId="46" fillId="50" borderId="0" applyNumberFormat="0" applyBorder="0" applyAlignment="0" applyProtection="0"/>
    <xf numFmtId="0" fontId="46" fillId="51" borderId="0" applyNumberFormat="0" applyBorder="0" applyAlignment="0" applyProtection="0"/>
    <xf numFmtId="0" fontId="1" fillId="10" borderId="0" applyNumberFormat="0" applyBorder="0" applyAlignment="0" applyProtection="0"/>
    <xf numFmtId="0" fontId="33" fillId="50" borderId="0" applyNumberFormat="0" applyBorder="0" applyAlignment="0" applyProtection="0"/>
    <xf numFmtId="0" fontId="46" fillId="51" borderId="0" applyNumberFormat="0" applyBorder="0" applyAlignment="0" applyProtection="0"/>
    <xf numFmtId="0" fontId="1" fillId="10" borderId="0" applyNumberFormat="0" applyBorder="0" applyAlignment="0" applyProtection="0"/>
    <xf numFmtId="0" fontId="46" fillId="50" borderId="0" applyNumberFormat="0" applyBorder="0" applyAlignment="0" applyProtection="0"/>
    <xf numFmtId="0" fontId="46" fillId="52" borderId="0" applyNumberFormat="0" applyBorder="0" applyAlignment="0" applyProtection="0"/>
    <xf numFmtId="0" fontId="46" fillId="53" borderId="0" applyNumberFormat="0" applyBorder="0" applyAlignment="0" applyProtection="0"/>
    <xf numFmtId="0" fontId="1" fillId="14" borderId="0" applyNumberFormat="0" applyBorder="0" applyAlignment="0" applyProtection="0"/>
    <xf numFmtId="0" fontId="33" fillId="52" borderId="0" applyNumberFormat="0" applyBorder="0" applyAlignment="0" applyProtection="0"/>
    <xf numFmtId="0" fontId="46" fillId="53" borderId="0" applyNumberFormat="0" applyBorder="0" applyAlignment="0" applyProtection="0"/>
    <xf numFmtId="0" fontId="1" fillId="14" borderId="0" applyNumberFormat="0" applyBorder="0" applyAlignment="0" applyProtection="0"/>
    <xf numFmtId="0" fontId="46" fillId="52" borderId="0" applyNumberFormat="0" applyBorder="0" applyAlignment="0" applyProtection="0"/>
    <xf numFmtId="0" fontId="46" fillId="54" borderId="0" applyNumberFormat="0" applyBorder="0" applyAlignment="0" applyProtection="0"/>
    <xf numFmtId="0" fontId="46" fillId="55" borderId="0" applyNumberFormat="0" applyBorder="0" applyAlignment="0" applyProtection="0"/>
    <xf numFmtId="0" fontId="1" fillId="18" borderId="0" applyNumberFormat="0" applyBorder="0" applyAlignment="0" applyProtection="0"/>
    <xf numFmtId="0" fontId="1" fillId="54" borderId="0" applyNumberFormat="0" applyBorder="0" applyAlignment="0" applyProtection="0"/>
    <xf numFmtId="0" fontId="1" fillId="18" borderId="0" applyNumberFormat="0" applyBorder="0" applyAlignment="0" applyProtection="0"/>
    <xf numFmtId="0" fontId="33" fillId="54" borderId="0" applyNumberFormat="0" applyBorder="0" applyAlignment="0" applyProtection="0"/>
    <xf numFmtId="0" fontId="46" fillId="55" borderId="0" applyNumberFormat="0" applyBorder="0" applyAlignment="0" applyProtection="0"/>
    <xf numFmtId="0" fontId="1" fillId="18" borderId="0" applyNumberFormat="0" applyBorder="0" applyAlignment="0" applyProtection="0"/>
    <xf numFmtId="0" fontId="1" fillId="54" borderId="0" applyNumberFormat="0" applyBorder="0" applyAlignment="0" applyProtection="0"/>
    <xf numFmtId="0" fontId="1" fillId="18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5" borderId="0" applyNumberFormat="0" applyBorder="0" applyAlignment="0" applyProtection="0"/>
    <xf numFmtId="0" fontId="1" fillId="22" borderId="0" applyNumberFormat="0" applyBorder="0" applyAlignment="0" applyProtection="0"/>
    <xf numFmtId="0" fontId="33" fillId="44" borderId="0" applyNumberFormat="0" applyBorder="0" applyAlignment="0" applyProtection="0"/>
    <xf numFmtId="0" fontId="46" fillId="45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6" fillId="50" borderId="0" applyNumberFormat="0" applyBorder="0" applyAlignment="0" applyProtection="0"/>
    <xf numFmtId="0" fontId="46" fillId="51" borderId="0" applyNumberFormat="0" applyBorder="0" applyAlignment="0" applyProtection="0"/>
    <xf numFmtId="0" fontId="1" fillId="26" borderId="0" applyNumberFormat="0" applyBorder="0" applyAlignment="0" applyProtection="0"/>
    <xf numFmtId="0" fontId="33" fillId="50" borderId="0" applyNumberFormat="0" applyBorder="0" applyAlignment="0" applyProtection="0"/>
    <xf numFmtId="0" fontId="46" fillId="51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6" fillId="56" borderId="0" applyNumberFormat="0" applyBorder="0" applyAlignment="0" applyProtection="0"/>
    <xf numFmtId="0" fontId="46" fillId="57" borderId="0" applyNumberFormat="0" applyBorder="0" applyAlignment="0" applyProtection="0"/>
    <xf numFmtId="0" fontId="1" fillId="30" borderId="0" applyNumberFormat="0" applyBorder="0" applyAlignment="0" applyProtection="0"/>
    <xf numFmtId="0" fontId="33" fillId="56" borderId="0" applyNumberFormat="0" applyBorder="0" applyAlignment="0" applyProtection="0"/>
    <xf numFmtId="0" fontId="46" fillId="57" borderId="0" applyNumberFormat="0" applyBorder="0" applyAlignment="0" applyProtection="0"/>
    <xf numFmtId="0" fontId="1" fillId="30" borderId="0" applyNumberFormat="0" applyBorder="0" applyAlignment="0" applyProtection="0"/>
    <xf numFmtId="0" fontId="46" fillId="56" borderId="0" applyNumberFormat="0" applyBorder="0" applyAlignment="0" applyProtection="0"/>
    <xf numFmtId="0" fontId="46" fillId="50" borderId="0" applyNumberFormat="0" applyBorder="0" applyAlignment="0" applyProtection="0"/>
    <xf numFmtId="0" fontId="46" fillId="50" borderId="0" applyNumberFormat="0" applyBorder="0" applyAlignment="0" applyProtection="0"/>
    <xf numFmtId="0" fontId="47" fillId="50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7" fillId="52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7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7" fillId="44" borderId="0" applyNumberFormat="0" applyBorder="0" applyAlignment="0" applyProtection="0"/>
    <xf numFmtId="0" fontId="46" fillId="50" borderId="0" applyNumberFormat="0" applyBorder="0" applyAlignment="0" applyProtection="0"/>
    <xf numFmtId="0" fontId="46" fillId="50" borderId="0" applyNumberFormat="0" applyBorder="0" applyAlignment="0" applyProtection="0"/>
    <xf numFmtId="0" fontId="47" fillId="50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7" fillId="56" borderId="0" applyNumberFormat="0" applyBorder="0" applyAlignment="0" applyProtection="0"/>
    <xf numFmtId="0" fontId="48" fillId="5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49" fillId="5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48" fillId="58" borderId="0" applyNumberFormat="0" applyBorder="0" applyAlignment="0" applyProtection="0"/>
    <xf numFmtId="0" fontId="48" fillId="52" borderId="0" applyNumberFormat="0" applyBorder="0" applyAlignment="0" applyProtection="0"/>
    <xf numFmtId="0" fontId="14" fillId="15" borderId="0" applyNumberFormat="0" applyBorder="0" applyAlignment="0" applyProtection="0"/>
    <xf numFmtId="0" fontId="14" fillId="15" borderId="0" applyNumberFormat="0" applyBorder="0" applyAlignment="0" applyProtection="0"/>
    <xf numFmtId="0" fontId="49" fillId="52" borderId="0" applyNumberFormat="0" applyBorder="0" applyAlignment="0" applyProtection="0"/>
    <xf numFmtId="0" fontId="14" fillId="15" borderId="0" applyNumberFormat="0" applyBorder="0" applyAlignment="0" applyProtection="0"/>
    <xf numFmtId="0" fontId="14" fillId="15" borderId="0" applyNumberFormat="0" applyBorder="0" applyAlignment="0" applyProtection="0"/>
    <xf numFmtId="0" fontId="48" fillId="52" borderId="0" applyNumberFormat="0" applyBorder="0" applyAlignment="0" applyProtection="0"/>
    <xf numFmtId="0" fontId="48" fillId="54" borderId="0" applyNumberFormat="0" applyBorder="0" applyAlignment="0" applyProtection="0"/>
    <xf numFmtId="0" fontId="14" fillId="54" borderId="0" applyNumberFormat="0" applyBorder="0" applyAlignment="0" applyProtection="0"/>
    <xf numFmtId="0" fontId="14" fillId="19" borderId="0" applyNumberFormat="0" applyBorder="0" applyAlignment="0" applyProtection="0"/>
    <xf numFmtId="0" fontId="14" fillId="54" borderId="0" applyNumberFormat="0" applyBorder="0" applyAlignment="0" applyProtection="0"/>
    <xf numFmtId="0" fontId="14" fillId="19" borderId="0" applyNumberFormat="0" applyBorder="0" applyAlignment="0" applyProtection="0"/>
    <xf numFmtId="0" fontId="49" fillId="54" borderId="0" applyNumberFormat="0" applyBorder="0" applyAlignment="0" applyProtection="0"/>
    <xf numFmtId="0" fontId="14" fillId="54" borderId="0" applyNumberFormat="0" applyBorder="0" applyAlignment="0" applyProtection="0"/>
    <xf numFmtId="0" fontId="14" fillId="19" borderId="0" applyNumberFormat="0" applyBorder="0" applyAlignment="0" applyProtection="0"/>
    <xf numFmtId="0" fontId="14" fillId="54" borderId="0" applyNumberFormat="0" applyBorder="0" applyAlignment="0" applyProtection="0"/>
    <xf numFmtId="0" fontId="14" fillId="19" borderId="0" applyNumberFormat="0" applyBorder="0" applyAlignment="0" applyProtection="0"/>
    <xf numFmtId="0" fontId="48" fillId="54" borderId="0" applyNumberFormat="0" applyBorder="0" applyAlignment="0" applyProtection="0"/>
    <xf numFmtId="0" fontId="48" fillId="59" borderId="0" applyNumberFormat="0" applyBorder="0" applyAlignment="0" applyProtection="0"/>
    <xf numFmtId="0" fontId="14" fillId="59" borderId="0" applyNumberFormat="0" applyBorder="0" applyAlignment="0" applyProtection="0"/>
    <xf numFmtId="0" fontId="14" fillId="23" borderId="0" applyNumberFormat="0" applyBorder="0" applyAlignment="0" applyProtection="0"/>
    <xf numFmtId="0" fontId="14" fillId="59" borderId="0" applyNumberFormat="0" applyBorder="0" applyAlignment="0" applyProtection="0"/>
    <xf numFmtId="0" fontId="14" fillId="23" borderId="0" applyNumberFormat="0" applyBorder="0" applyAlignment="0" applyProtection="0"/>
    <xf numFmtId="0" fontId="49" fillId="59" borderId="0" applyNumberFormat="0" applyBorder="0" applyAlignment="0" applyProtection="0"/>
    <xf numFmtId="0" fontId="14" fillId="59" borderId="0" applyNumberFormat="0" applyBorder="0" applyAlignment="0" applyProtection="0"/>
    <xf numFmtId="0" fontId="14" fillId="23" borderId="0" applyNumberFormat="0" applyBorder="0" applyAlignment="0" applyProtection="0"/>
    <xf numFmtId="0" fontId="14" fillId="59" borderId="0" applyNumberFormat="0" applyBorder="0" applyAlignment="0" applyProtection="0"/>
    <xf numFmtId="0" fontId="14" fillId="23" borderId="0" applyNumberFormat="0" applyBorder="0" applyAlignment="0" applyProtection="0"/>
    <xf numFmtId="0" fontId="48" fillId="59" borderId="0" applyNumberFormat="0" applyBorder="0" applyAlignment="0" applyProtection="0"/>
    <xf numFmtId="0" fontId="48" fillId="60" borderId="0" applyNumberFormat="0" applyBorder="0" applyAlignment="0" applyProtection="0"/>
    <xf numFmtId="0" fontId="14" fillId="27" borderId="0" applyNumberFormat="0" applyBorder="0" applyAlignment="0" applyProtection="0"/>
    <xf numFmtId="0" fontId="14" fillId="27" borderId="0" applyNumberFormat="0" applyBorder="0" applyAlignment="0" applyProtection="0"/>
    <xf numFmtId="0" fontId="49" fillId="60" borderId="0" applyNumberFormat="0" applyBorder="0" applyAlignment="0" applyProtection="0"/>
    <xf numFmtId="0" fontId="14" fillId="27" borderId="0" applyNumberFormat="0" applyBorder="0" applyAlignment="0" applyProtection="0"/>
    <xf numFmtId="0" fontId="14" fillId="27" borderId="0" applyNumberFormat="0" applyBorder="0" applyAlignment="0" applyProtection="0"/>
    <xf numFmtId="0" fontId="48" fillId="60" borderId="0" applyNumberFormat="0" applyBorder="0" applyAlignment="0" applyProtection="0"/>
    <xf numFmtId="0" fontId="48" fillId="61" borderId="0" applyNumberFormat="0" applyBorder="0" applyAlignment="0" applyProtection="0"/>
    <xf numFmtId="0" fontId="14" fillId="61" borderId="0" applyNumberFormat="0" applyBorder="0" applyAlignment="0" applyProtection="0"/>
    <xf numFmtId="0" fontId="14" fillId="31" borderId="0" applyNumberFormat="0" applyBorder="0" applyAlignment="0" applyProtection="0"/>
    <xf numFmtId="0" fontId="14" fillId="61" borderId="0" applyNumberFormat="0" applyBorder="0" applyAlignment="0" applyProtection="0"/>
    <xf numFmtId="0" fontId="14" fillId="31" borderId="0" applyNumberFormat="0" applyBorder="0" applyAlignment="0" applyProtection="0"/>
    <xf numFmtId="0" fontId="49" fillId="61" borderId="0" applyNumberFormat="0" applyBorder="0" applyAlignment="0" applyProtection="0"/>
    <xf numFmtId="0" fontId="14" fillId="61" borderId="0" applyNumberFormat="0" applyBorder="0" applyAlignment="0" applyProtection="0"/>
    <xf numFmtId="0" fontId="14" fillId="31" borderId="0" applyNumberFormat="0" applyBorder="0" applyAlignment="0" applyProtection="0"/>
    <xf numFmtId="0" fontId="14" fillId="61" borderId="0" applyNumberFormat="0" applyBorder="0" applyAlignment="0" applyProtection="0"/>
    <xf numFmtId="0" fontId="14" fillId="31" borderId="0" applyNumberFormat="0" applyBorder="0" applyAlignment="0" applyProtection="0"/>
    <xf numFmtId="0" fontId="48" fillId="61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50" fillId="58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50" fillId="52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50" fillId="54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50" fillId="59" borderId="0" applyNumberFormat="0" applyBorder="0" applyAlignment="0" applyProtection="0"/>
    <xf numFmtId="0" fontId="48" fillId="60" borderId="0" applyNumberFormat="0" applyBorder="0" applyAlignment="0" applyProtection="0"/>
    <xf numFmtId="0" fontId="48" fillId="60" borderId="0" applyNumberFormat="0" applyBorder="0" applyAlignment="0" applyProtection="0"/>
    <xf numFmtId="0" fontId="50" fillId="60" borderId="0" applyNumberFormat="0" applyBorder="0" applyAlignment="0" applyProtection="0"/>
    <xf numFmtId="0" fontId="48" fillId="61" borderId="0" applyNumberFormat="0" applyBorder="0" applyAlignment="0" applyProtection="0"/>
    <xf numFmtId="0" fontId="48" fillId="61" borderId="0" applyNumberFormat="0" applyBorder="0" applyAlignment="0" applyProtection="0"/>
    <xf numFmtId="0" fontId="50" fillId="61" borderId="0" applyNumberFormat="0" applyBorder="0" applyAlignment="0" applyProtection="0"/>
    <xf numFmtId="0" fontId="48" fillId="62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49" fillId="62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48" fillId="62" borderId="0" applyNumberFormat="0" applyBorder="0" applyAlignment="0" applyProtection="0"/>
    <xf numFmtId="0" fontId="48" fillId="63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49" fillId="63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48" fillId="63" borderId="0" applyNumberFormat="0" applyBorder="0" applyAlignment="0" applyProtection="0"/>
    <xf numFmtId="0" fontId="48" fillId="64" borderId="0" applyNumberFormat="0" applyBorder="0" applyAlignment="0" applyProtection="0"/>
    <xf numFmtId="0" fontId="14" fillId="16" borderId="0" applyNumberFormat="0" applyBorder="0" applyAlignment="0" applyProtection="0"/>
    <xf numFmtId="0" fontId="14" fillId="16" borderId="0" applyNumberFormat="0" applyBorder="0" applyAlignment="0" applyProtection="0"/>
    <xf numFmtId="0" fontId="49" fillId="64" borderId="0" applyNumberFormat="0" applyBorder="0" applyAlignment="0" applyProtection="0"/>
    <xf numFmtId="0" fontId="14" fillId="16" borderId="0" applyNumberFormat="0" applyBorder="0" applyAlignment="0" applyProtection="0"/>
    <xf numFmtId="0" fontId="14" fillId="16" borderId="0" applyNumberFormat="0" applyBorder="0" applyAlignment="0" applyProtection="0"/>
    <xf numFmtId="0" fontId="48" fillId="64" borderId="0" applyNumberFormat="0" applyBorder="0" applyAlignment="0" applyProtection="0"/>
    <xf numFmtId="0" fontId="48" fillId="59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49" fillId="59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48" fillId="60" borderId="0" applyNumberFormat="0" applyBorder="0" applyAlignment="0" applyProtection="0"/>
    <xf numFmtId="0" fontId="14" fillId="24" borderId="0" applyNumberFormat="0" applyBorder="0" applyAlignment="0" applyProtection="0"/>
    <xf numFmtId="0" fontId="14" fillId="24" borderId="0" applyNumberFormat="0" applyBorder="0" applyAlignment="0" applyProtection="0"/>
    <xf numFmtId="0" fontId="49" fillId="60" borderId="0" applyNumberFormat="0" applyBorder="0" applyAlignment="0" applyProtection="0"/>
    <xf numFmtId="0" fontId="14" fillId="24" borderId="0" applyNumberFormat="0" applyBorder="0" applyAlignment="0" applyProtection="0"/>
    <xf numFmtId="0" fontId="14" fillId="24" borderId="0" applyNumberFormat="0" applyBorder="0" applyAlignment="0" applyProtection="0"/>
    <xf numFmtId="0" fontId="48" fillId="65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0" fontId="49" fillId="65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0" fontId="48" fillId="65" borderId="0" applyNumberFormat="0" applyBorder="0" applyAlignment="0" applyProtection="0"/>
    <xf numFmtId="0" fontId="36" fillId="0" borderId="0">
      <alignment horizontal="center" wrapText="1"/>
      <protection locked="0"/>
    </xf>
    <xf numFmtId="0" fontId="51" fillId="0" borderId="0" applyNumberFormat="0" applyProtection="0"/>
    <xf numFmtId="2" fontId="52" fillId="66" borderId="0">
      <alignment vertical="center"/>
    </xf>
    <xf numFmtId="2" fontId="53" fillId="66" borderId="0">
      <alignment vertical="center"/>
    </xf>
    <xf numFmtId="0" fontId="54" fillId="40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55" fillId="40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54" fillId="40" borderId="0" applyNumberFormat="0" applyBorder="0" applyAlignment="0" applyProtection="0"/>
    <xf numFmtId="0" fontId="56" fillId="0" borderId="0" applyNumberFormat="0" applyFill="0" applyBorder="0" applyAlignment="0" applyProtection="0"/>
    <xf numFmtId="186" fontId="57" fillId="0" borderId="0" applyAlignment="0"/>
    <xf numFmtId="187" fontId="58" fillId="0" borderId="0" applyNumberFormat="0" applyFill="0" applyBorder="0" applyAlignment="0"/>
    <xf numFmtId="186" fontId="59" fillId="0" borderId="0" applyAlignment="0">
      <alignment horizontal="right"/>
    </xf>
    <xf numFmtId="188" fontId="60" fillId="0" borderId="33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2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170" fontId="17" fillId="0" borderId="34" quotePrefix="1">
      <alignment horizontal="justify" vertical="justify" textRotation="127" wrapText="1" justifyLastLine="1"/>
      <protection hidden="1"/>
    </xf>
    <xf numFmtId="170" fontId="17" fillId="0" borderId="34" quotePrefix="1">
      <alignment horizontal="justify" vertical="justify" textRotation="127" wrapText="1" justifyLastLine="1"/>
      <protection hidden="1"/>
    </xf>
    <xf numFmtId="0" fontId="17" fillId="0" borderId="34" quotePrefix="1">
      <alignment horizontal="justify" vertical="justify" textRotation="127" wrapText="1" justifyLastLine="1"/>
      <protection hidden="1"/>
    </xf>
    <xf numFmtId="17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7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189" fontId="33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1" fontId="33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3" fontId="33" fillId="0" borderId="0" applyFill="0" applyBorder="0" applyAlignment="0"/>
    <xf numFmtId="194" fontId="17" fillId="0" borderId="0" applyFill="0" applyBorder="0" applyAlignment="0"/>
    <xf numFmtId="194" fontId="17" fillId="0" borderId="0" applyFill="0" applyBorder="0" applyAlignment="0"/>
    <xf numFmtId="194" fontId="17" fillId="0" borderId="0" applyFill="0" applyBorder="0" applyAlignment="0"/>
    <xf numFmtId="195" fontId="33" fillId="0" borderId="0" applyFill="0" applyBorder="0" applyAlignment="0"/>
    <xf numFmtId="196" fontId="17" fillId="0" borderId="0" applyFill="0" applyBorder="0" applyAlignment="0"/>
    <xf numFmtId="196" fontId="17" fillId="0" borderId="0" applyFill="0" applyBorder="0" applyAlignment="0"/>
    <xf numFmtId="196" fontId="17" fillId="0" borderId="0" applyFill="0" applyBorder="0" applyAlignment="0"/>
    <xf numFmtId="197" fontId="33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89" fontId="33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8" fontId="33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1" fontId="33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6" fillId="67" borderId="35" applyNumberFormat="0" applyAlignment="0" applyProtection="0"/>
    <xf numFmtId="0" fontId="66" fillId="67" borderId="35" applyNumberFormat="0" applyAlignment="0" applyProtection="0"/>
    <xf numFmtId="0" fontId="66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7" fillId="67" borderId="35" applyNumberFormat="0" applyAlignment="0" applyProtection="0"/>
    <xf numFmtId="0" fontId="67" fillId="67" borderId="35" applyNumberFormat="0" applyAlignment="0" applyProtection="0"/>
    <xf numFmtId="0" fontId="67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0" fontId="65" fillId="67" borderId="35" applyNumberFormat="0" applyAlignment="0" applyProtection="0"/>
    <xf numFmtId="38" fontId="31" fillId="0" borderId="0" applyFont="0" applyFill="0" applyBorder="0" applyAlignment="0" applyProtection="0"/>
    <xf numFmtId="40" fontId="31" fillId="0" borderId="0" applyFont="0" applyFill="0" applyBorder="0" applyAlignment="0" applyProtection="0"/>
    <xf numFmtId="0" fontId="68" fillId="0" borderId="36">
      <alignment horizontal="right" vertical="center"/>
    </xf>
    <xf numFmtId="0" fontId="69" fillId="68" borderId="37" applyNumberFormat="0" applyAlignment="0" applyProtection="0"/>
    <xf numFmtId="0" fontId="69" fillId="68" borderId="37" applyNumberFormat="0" applyAlignment="0" applyProtection="0"/>
    <xf numFmtId="0" fontId="70" fillId="68" borderId="37" applyNumberFormat="0" applyAlignment="0" applyProtection="0"/>
    <xf numFmtId="0" fontId="71" fillId="0" borderId="38" applyNumberFormat="0" applyFill="0" applyAlignment="0" applyProtection="0"/>
    <xf numFmtId="0" fontId="71" fillId="0" borderId="38" applyNumberFormat="0" applyFill="0" applyAlignment="0" applyProtection="0"/>
    <xf numFmtId="0" fontId="72" fillId="0" borderId="38" applyNumberFormat="0" applyFill="0" applyAlignment="0" applyProtection="0"/>
    <xf numFmtId="0" fontId="44" fillId="0" borderId="39">
      <protection locked="0"/>
    </xf>
    <xf numFmtId="0" fontId="69" fillId="68" borderId="37" applyNumberFormat="0" applyAlignment="0" applyProtection="0"/>
    <xf numFmtId="0" fontId="10" fillId="6" borderId="6" applyNumberFormat="0" applyAlignment="0" applyProtection="0"/>
    <xf numFmtId="0" fontId="10" fillId="6" borderId="6" applyNumberFormat="0" applyAlignment="0" applyProtection="0"/>
    <xf numFmtId="0" fontId="73" fillId="68" borderId="37" applyNumberFormat="0" applyAlignment="0" applyProtection="0"/>
    <xf numFmtId="0" fontId="10" fillId="6" borderId="6" applyNumberFormat="0" applyAlignment="0" applyProtection="0"/>
    <xf numFmtId="0" fontId="10" fillId="6" borderId="6" applyNumberFormat="0" applyAlignment="0" applyProtection="0"/>
    <xf numFmtId="0" fontId="69" fillId="68" borderId="37" applyNumberFormat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170" fontId="17" fillId="0" borderId="0"/>
    <xf numFmtId="0" fontId="17" fillId="0" borderId="0"/>
    <xf numFmtId="0" fontId="17" fillId="0" borderId="0"/>
    <xf numFmtId="170" fontId="17" fillId="0" borderId="0"/>
    <xf numFmtId="199" fontId="44" fillId="0" borderId="0" applyFont="0" applyFill="0" applyBorder="0" applyAlignment="0" applyProtection="0"/>
    <xf numFmtId="0" fontId="68" fillId="0" borderId="31">
      <alignment horizontal="right" vertical="center"/>
    </xf>
    <xf numFmtId="17" fontId="68" fillId="0" borderId="31">
      <alignment horizontal="right" vertical="center"/>
    </xf>
    <xf numFmtId="200" fontId="68" fillId="0" borderId="31">
      <alignment horizontal="right" vertical="center"/>
    </xf>
    <xf numFmtId="201" fontId="68" fillId="0" borderId="31">
      <alignment horizontal="right" vertical="center"/>
    </xf>
    <xf numFmtId="202" fontId="68" fillId="0" borderId="31">
      <alignment horizontal="right" vertical="center"/>
    </xf>
    <xf numFmtId="203" fontId="74" fillId="0" borderId="40" applyNumberFormat="0" applyFill="0" applyBorder="0" applyAlignment="0" applyProtection="0">
      <alignment horizontal="right" vertical="center"/>
    </xf>
    <xf numFmtId="199" fontId="44" fillId="69" borderId="0" applyNumberFormat="0" applyFont="0" applyBorder="0" applyAlignment="0" applyProtection="0"/>
    <xf numFmtId="170" fontId="73" fillId="70" borderId="0">
      <alignment horizontal="left"/>
    </xf>
    <xf numFmtId="0" fontId="73" fillId="70" borderId="0">
      <alignment horizontal="left"/>
    </xf>
    <xf numFmtId="170" fontId="75" fillId="70" borderId="0">
      <alignment horizontal="right"/>
    </xf>
    <xf numFmtId="0" fontId="75" fillId="70" borderId="0">
      <alignment horizontal="right"/>
    </xf>
    <xf numFmtId="170" fontId="68" fillId="71" borderId="0">
      <alignment horizontal="center"/>
    </xf>
    <xf numFmtId="0" fontId="68" fillId="71" borderId="0">
      <alignment horizontal="center"/>
    </xf>
    <xf numFmtId="170" fontId="75" fillId="70" borderId="0">
      <alignment horizontal="right"/>
    </xf>
    <xf numFmtId="0" fontId="75" fillId="70" borderId="0">
      <alignment horizontal="right"/>
    </xf>
    <xf numFmtId="170" fontId="76" fillId="71" borderId="0">
      <alignment horizontal="left"/>
    </xf>
    <xf numFmtId="0" fontId="76" fillId="71" borderId="0">
      <alignment horizontal="left"/>
    </xf>
    <xf numFmtId="204" fontId="77" fillId="0" borderId="0"/>
    <xf numFmtId="204" fontId="77" fillId="0" borderId="0"/>
    <xf numFmtId="204" fontId="77" fillId="0" borderId="0"/>
    <xf numFmtId="204" fontId="77" fillId="0" borderId="0"/>
    <xf numFmtId="204" fontId="77" fillId="0" borderId="0"/>
    <xf numFmtId="204" fontId="77" fillId="0" borderId="0"/>
    <xf numFmtId="204" fontId="77" fillId="0" borderId="0"/>
    <xf numFmtId="204" fontId="77" fillId="0" borderId="0"/>
    <xf numFmtId="187" fontId="78" fillId="0" borderId="0" applyFill="0" applyBorder="0" applyAlignment="0" applyProtection="0"/>
    <xf numFmtId="40" fontId="78" fillId="0" borderId="0" applyFill="0" applyBorder="0" applyAlignment="0" applyProtection="0"/>
    <xf numFmtId="205" fontId="78" fillId="71" borderId="0" applyFill="0" applyBorder="0" applyAlignment="0">
      <alignment vertical="top"/>
    </xf>
    <xf numFmtId="206" fontId="78" fillId="0" borderId="0" applyFill="0" applyBorder="0" applyAlignment="0" applyProtection="0"/>
    <xf numFmtId="164" fontId="79" fillId="0" borderId="0" applyFont="0" applyFill="0" applyBorder="0" applyAlignment="0" applyProtection="0"/>
    <xf numFmtId="164" fontId="79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1" fillId="0" borderId="0" applyFont="0" applyFill="0" applyBorder="0" applyAlignment="0" applyProtection="0"/>
    <xf numFmtId="189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89" fontId="17" fillId="0" borderId="0" applyFont="0" applyFill="0" applyBorder="0" applyAlignment="0" applyProtection="0"/>
    <xf numFmtId="207" fontId="80" fillId="0" borderId="0" applyFont="0" applyFill="0" applyBorder="0" applyAlignment="0" applyProtection="0">
      <alignment horizontal="right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81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208" fontId="46" fillId="0" borderId="0" applyFont="0" applyFill="0" applyBorder="0" applyAlignment="0" applyProtection="0"/>
    <xf numFmtId="208" fontId="46" fillId="0" borderId="0" applyFont="0" applyFill="0" applyBorder="0" applyAlignment="0" applyProtection="0"/>
    <xf numFmtId="208" fontId="46" fillId="0" borderId="0" applyFont="0" applyFill="0" applyBorder="0" applyAlignment="0" applyProtection="0"/>
    <xf numFmtId="208" fontId="46" fillId="0" borderId="0" applyFont="0" applyFill="0" applyBorder="0" applyAlignment="0" applyProtection="0"/>
    <xf numFmtId="208" fontId="46" fillId="0" borderId="0" applyFont="0" applyFill="0" applyBorder="0" applyAlignment="0" applyProtection="0"/>
    <xf numFmtId="208" fontId="46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209" fontId="17" fillId="0" borderId="0" applyFill="0" applyBorder="0" applyAlignment="0" applyProtection="0"/>
    <xf numFmtId="165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82" fillId="0" borderId="0" applyFont="0" applyFill="0" applyBorder="0" applyAlignment="0" applyProtection="0"/>
    <xf numFmtId="165" fontId="82" fillId="0" borderId="0" applyFont="0" applyFill="0" applyBorder="0" applyAlignment="0" applyProtection="0"/>
    <xf numFmtId="165" fontId="82" fillId="0" borderId="0" applyFont="0" applyFill="0" applyBorder="0" applyAlignment="0" applyProtection="0"/>
    <xf numFmtId="165" fontId="82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209" fontId="46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7" fillId="0" borderId="0" applyFont="0" applyFill="0" applyBorder="0" applyAlignment="0" applyProtection="0"/>
    <xf numFmtId="165" fontId="7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4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210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8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209" fontId="17" fillId="0" borderId="0" applyFill="0" applyBorder="0" applyAlignment="0" applyProtection="0"/>
    <xf numFmtId="43" fontId="1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81" fillId="0" borderId="0" applyFont="0" applyFill="0" applyBorder="0" applyAlignment="0" applyProtection="0"/>
    <xf numFmtId="165" fontId="17" fillId="0" borderId="0" applyFont="0" applyFill="0" applyBorder="0" applyAlignment="0" applyProtection="0"/>
    <xf numFmtId="3" fontId="17" fillId="0" borderId="0" applyFont="0" applyFill="0" applyBorder="0" applyAlignment="0" applyProtection="0">
      <alignment vertical="top"/>
    </xf>
    <xf numFmtId="170" fontId="38" fillId="0" borderId="0"/>
    <xf numFmtId="0" fontId="38" fillId="0" borderId="0"/>
    <xf numFmtId="170" fontId="86" fillId="0" borderId="0"/>
    <xf numFmtId="0" fontId="86" fillId="0" borderId="0"/>
    <xf numFmtId="3" fontId="79" fillId="0" borderId="0" applyFill="0" applyBorder="0" applyAlignment="0" applyProtection="0"/>
    <xf numFmtId="170" fontId="38" fillId="0" borderId="0"/>
    <xf numFmtId="0" fontId="38" fillId="0" borderId="0"/>
    <xf numFmtId="170" fontId="86" fillId="0" borderId="0"/>
    <xf numFmtId="0" fontId="86" fillId="0" borderId="0"/>
    <xf numFmtId="0" fontId="87" fillId="0" borderId="0" applyNumberFormat="0" applyAlignment="0">
      <alignment horizontal="left"/>
    </xf>
    <xf numFmtId="0" fontId="88" fillId="0" borderId="0">
      <alignment horizontal="left" vertical="center" indent="2"/>
    </xf>
    <xf numFmtId="211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3" fontId="78" fillId="71" borderId="39" applyFill="0" applyBorder="0" applyAlignment="0">
      <alignment horizontal="right"/>
    </xf>
    <xf numFmtId="191" fontId="17" fillId="0" borderId="0" applyFont="0" applyFill="0" applyBorder="0" applyAlignment="0" applyProtection="0"/>
    <xf numFmtId="192" fontId="17" fillId="0" borderId="0" applyFont="0" applyFill="0" applyBorder="0" applyAlignment="0" applyProtection="0"/>
    <xf numFmtId="192" fontId="17" fillId="0" borderId="0" applyFont="0" applyFill="0" applyBorder="0" applyAlignment="0" applyProtection="0"/>
    <xf numFmtId="192" fontId="17" fillId="0" borderId="0" applyFont="0" applyFill="0" applyBorder="0" applyAlignment="0" applyProtection="0"/>
    <xf numFmtId="191" fontId="17" fillId="0" borderId="0" applyFont="0" applyFill="0" applyBorder="0" applyAlignment="0" applyProtection="0"/>
    <xf numFmtId="212" fontId="89" fillId="0" borderId="41">
      <protection locked="0"/>
    </xf>
    <xf numFmtId="214" fontId="80" fillId="0" borderId="0" applyFont="0" applyFill="0" applyBorder="0" applyAlignment="0" applyProtection="0">
      <alignment horizontal="right"/>
    </xf>
    <xf numFmtId="215" fontId="46" fillId="0" borderId="0" applyFont="0" applyFill="0" applyBorder="0" applyAlignment="0" applyProtection="0"/>
    <xf numFmtId="215" fontId="46" fillId="0" borderId="0" applyFont="0" applyFill="0" applyBorder="0" applyAlignment="0" applyProtection="0"/>
    <xf numFmtId="215" fontId="33" fillId="0" borderId="0" applyFont="0" applyFill="0" applyBorder="0" applyAlignment="0" applyProtection="0">
      <alignment vertical="top"/>
    </xf>
    <xf numFmtId="188" fontId="17" fillId="0" borderId="0" applyFont="0" applyFill="0" applyBorder="0" applyAlignment="0" applyProtection="0">
      <alignment vertical="top"/>
    </xf>
    <xf numFmtId="188" fontId="90" fillId="0" borderId="0"/>
    <xf numFmtId="0" fontId="91" fillId="0" borderId="0"/>
    <xf numFmtId="170" fontId="92" fillId="72" borderId="0" applyNumberFormat="0" applyFont="0" applyFill="0" applyBorder="0" applyProtection="0">
      <alignment horizontal="left"/>
    </xf>
    <xf numFmtId="0" fontId="92" fillId="72" borderId="0" applyNumberFormat="0" applyFont="0" applyFill="0" applyBorder="0" applyProtection="0">
      <alignment horizontal="left"/>
    </xf>
    <xf numFmtId="0" fontId="91" fillId="0" borderId="42"/>
    <xf numFmtId="15" fontId="31" fillId="0" borderId="0"/>
    <xf numFmtId="0" fontId="93" fillId="0" borderId="0" applyFont="0" applyFill="0" applyBorder="0" applyAlignment="0" applyProtection="0"/>
    <xf numFmtId="216" fontId="80" fillId="0" borderId="0" applyFont="0" applyFill="0" applyBorder="0" applyAlignment="0" applyProtection="0"/>
    <xf numFmtId="14" fontId="33" fillId="0" borderId="0" applyFill="0" applyBorder="0" applyAlignment="0"/>
    <xf numFmtId="170" fontId="79" fillId="0" borderId="0" applyNumberFormat="0" applyFill="0" applyBorder="0" applyAlignment="0" applyProtection="0"/>
    <xf numFmtId="15" fontId="94" fillId="0" borderId="0">
      <alignment horizontal="right" vertical="center"/>
    </xf>
    <xf numFmtId="217" fontId="31" fillId="0" borderId="0" applyFont="0" applyFill="0" applyBorder="0" applyProtection="0">
      <alignment horizontal="left"/>
    </xf>
    <xf numFmtId="14" fontId="44" fillId="0" borderId="0">
      <protection locked="0"/>
    </xf>
    <xf numFmtId="218" fontId="29" fillId="0" borderId="0" applyFill="0" applyBorder="0" applyProtection="0"/>
    <xf numFmtId="175" fontId="95" fillId="0" borderId="0" applyFont="0" applyFill="0" applyBorder="0" applyAlignment="0" applyProtection="0">
      <protection locked="0"/>
    </xf>
    <xf numFmtId="39" fontId="38" fillId="0" borderId="0" applyFont="0" applyFill="0" applyBorder="0" applyAlignment="0" applyProtection="0"/>
    <xf numFmtId="219" fontId="36" fillId="0" borderId="0" applyFont="0" applyFill="0" applyBorder="0" applyAlignment="0"/>
    <xf numFmtId="38" fontId="31" fillId="0" borderId="43">
      <alignment vertical="center"/>
    </xf>
    <xf numFmtId="220" fontId="17" fillId="0" borderId="43">
      <alignment vertical="center"/>
    </xf>
    <xf numFmtId="38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96" fillId="0" borderId="0">
      <protection locked="0"/>
    </xf>
    <xf numFmtId="0" fontId="96" fillId="0" borderId="0">
      <protection locked="0"/>
    </xf>
    <xf numFmtId="221" fontId="80" fillId="0" borderId="44" applyNumberFormat="0" applyFont="0" applyFill="0" applyAlignment="0" applyProtection="0"/>
    <xf numFmtId="222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0" fontId="78" fillId="0" borderId="0" applyNumberFormat="0" applyFill="0" applyBorder="0" applyAlignment="0" applyProtection="0"/>
    <xf numFmtId="223" fontId="17" fillId="0" borderId="42"/>
    <xf numFmtId="224" fontId="97" fillId="0" borderId="0">
      <protection locked="0"/>
    </xf>
    <xf numFmtId="224" fontId="97" fillId="0" borderId="0">
      <protection locked="0"/>
    </xf>
    <xf numFmtId="170" fontId="97" fillId="0" borderId="0">
      <protection locked="0"/>
    </xf>
    <xf numFmtId="0" fontId="97" fillId="0" borderId="0">
      <protection locked="0"/>
    </xf>
    <xf numFmtId="170" fontId="97" fillId="0" borderId="0">
      <protection locked="0"/>
    </xf>
    <xf numFmtId="0" fontId="97" fillId="0" borderId="0">
      <protection locked="0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50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50" fillId="63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50" fillId="64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50" fillId="59" borderId="0" applyNumberFormat="0" applyBorder="0" applyAlignment="0" applyProtection="0"/>
    <xf numFmtId="0" fontId="48" fillId="60" borderId="0" applyNumberFormat="0" applyBorder="0" applyAlignment="0" applyProtection="0"/>
    <xf numFmtId="0" fontId="48" fillId="60" borderId="0" applyNumberFormat="0" applyBorder="0" applyAlignment="0" applyProtection="0"/>
    <xf numFmtId="0" fontId="50" fillId="60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50" fillId="65" borderId="0" applyNumberFormat="0" applyBorder="0" applyAlignment="0" applyProtection="0"/>
    <xf numFmtId="189" fontId="100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1" fontId="100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89" fontId="100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8" fontId="100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1" fontId="100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0" fontId="101" fillId="0" borderId="0" applyNumberFormat="0" applyAlignment="0">
      <alignment horizontal="left"/>
    </xf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3" fillId="48" borderId="35" applyNumberFormat="0" applyAlignment="0" applyProtection="0"/>
    <xf numFmtId="0" fontId="103" fillId="48" borderId="35" applyNumberFormat="0" applyAlignment="0" applyProtection="0"/>
    <xf numFmtId="0" fontId="103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170" fontId="17" fillId="0" borderId="0"/>
    <xf numFmtId="0" fontId="17" fillId="0" borderId="0"/>
    <xf numFmtId="0" fontId="32" fillId="0" borderId="0" applyNumberFormat="0" applyFill="0" applyBorder="0" applyAlignment="0" applyProtection="0"/>
    <xf numFmtId="0" fontId="17" fillId="0" borderId="0"/>
    <xf numFmtId="0" fontId="17" fillId="0" borderId="0"/>
    <xf numFmtId="170" fontId="17" fillId="0" borderId="0"/>
    <xf numFmtId="0" fontId="17" fillId="0" borderId="0"/>
    <xf numFmtId="0" fontId="17" fillId="0" borderId="0"/>
    <xf numFmtId="199" fontId="104" fillId="0" borderId="0">
      <alignment horizontal="right"/>
    </xf>
    <xf numFmtId="225" fontId="104" fillId="0" borderId="0">
      <alignment horizontal="right"/>
    </xf>
    <xf numFmtId="174" fontId="17" fillId="0" borderId="0" applyFont="0" applyFill="0" applyBorder="0" applyAlignment="0" applyProtection="0"/>
    <xf numFmtId="226" fontId="17" fillId="0" borderId="0" applyFont="0" applyFill="0" applyBorder="0" applyAlignment="0" applyProtection="0">
      <alignment vertical="top"/>
    </xf>
    <xf numFmtId="226" fontId="17" fillId="0" borderId="0" applyFont="0" applyFill="0" applyBorder="0" applyAlignment="0" applyProtection="0">
      <alignment vertical="top"/>
    </xf>
    <xf numFmtId="174" fontId="17" fillId="0" borderId="0" applyFont="0" applyFill="0" applyBorder="0" applyAlignment="0" applyProtection="0"/>
    <xf numFmtId="226" fontId="17" fillId="0" borderId="0" applyFont="0" applyFill="0" applyBorder="0" applyAlignment="0" applyProtection="0">
      <alignment vertical="top"/>
    </xf>
    <xf numFmtId="170" fontId="17" fillId="0" borderId="0" applyFill="0" applyBorder="0" applyAlignment="0" applyProtection="0"/>
    <xf numFmtId="0" fontId="10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1" fontId="96" fillId="0" borderId="0">
      <protection locked="0"/>
    </xf>
    <xf numFmtId="1" fontId="96" fillId="0" borderId="0">
      <protection locked="0"/>
    </xf>
    <xf numFmtId="1" fontId="96" fillId="0" borderId="0">
      <protection locked="0"/>
    </xf>
    <xf numFmtId="1" fontId="96" fillId="0" borderId="0">
      <protection locked="0"/>
    </xf>
    <xf numFmtId="1" fontId="96" fillId="0" borderId="0">
      <protection locked="0"/>
    </xf>
    <xf numFmtId="1" fontId="96" fillId="0" borderId="0">
      <protection locked="0"/>
    </xf>
    <xf numFmtId="1" fontId="96" fillId="0" borderId="0">
      <protection locked="0"/>
    </xf>
    <xf numFmtId="170" fontId="96" fillId="0" borderId="0">
      <protection locked="0"/>
    </xf>
    <xf numFmtId="0" fontId="96" fillId="0" borderId="0">
      <protection locked="0"/>
    </xf>
    <xf numFmtId="227" fontId="96" fillId="0" borderId="0">
      <protection locked="0"/>
    </xf>
    <xf numFmtId="228" fontId="96" fillId="0" borderId="0">
      <protection locked="0"/>
    </xf>
    <xf numFmtId="2" fontId="17" fillId="0" borderId="0" applyFont="0" applyFill="0" applyBorder="0" applyAlignment="0" applyProtection="0">
      <alignment vertical="top"/>
    </xf>
    <xf numFmtId="0" fontId="107" fillId="0" borderId="0" applyFill="0" applyBorder="0" applyProtection="0">
      <alignment horizontal="left"/>
    </xf>
    <xf numFmtId="0" fontId="61" fillId="4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108" fillId="4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61" fillId="42" borderId="0" applyNumberFormat="0" applyBorder="0" applyAlignment="0" applyProtection="0"/>
    <xf numFmtId="38" fontId="34" fillId="72" borderId="0" applyNumberFormat="0" applyBorder="0" applyAlignment="0" applyProtection="0"/>
    <xf numFmtId="38" fontId="34" fillId="72" borderId="0" applyNumberFormat="0" applyBorder="0" applyAlignment="0" applyProtection="0"/>
    <xf numFmtId="199" fontId="109" fillId="73" borderId="0" applyNumberFormat="0" applyFont="0" applyBorder="0" applyAlignment="0" applyProtection="0"/>
    <xf numFmtId="229" fontId="80" fillId="0" borderId="0" applyFont="0" applyFill="0" applyBorder="0" applyAlignment="0" applyProtection="0">
      <alignment horizontal="right"/>
    </xf>
    <xf numFmtId="0" fontId="110" fillId="0" borderId="0" applyProtection="0">
      <alignment horizontal="right"/>
    </xf>
    <xf numFmtId="0" fontId="111" fillId="0" borderId="20" applyNumberFormat="0" applyAlignment="0" applyProtection="0">
      <alignment horizontal="left" vertical="center"/>
    </xf>
    <xf numFmtId="0" fontId="111" fillId="0" borderId="20" applyNumberFormat="0" applyAlignment="0" applyProtection="0">
      <alignment horizontal="left" vertical="center"/>
    </xf>
    <xf numFmtId="170" fontId="111" fillId="0" borderId="20" applyNumberFormat="0" applyAlignment="0" applyProtection="0">
      <alignment horizontal="left" vertical="center"/>
    </xf>
    <xf numFmtId="0" fontId="111" fillId="0" borderId="45">
      <alignment horizontal="left" vertical="center"/>
    </xf>
    <xf numFmtId="0" fontId="111" fillId="0" borderId="45">
      <alignment horizontal="left" vertical="center"/>
    </xf>
    <xf numFmtId="0" fontId="111" fillId="0" borderId="45">
      <alignment horizontal="left" vertical="center"/>
    </xf>
    <xf numFmtId="0" fontId="111" fillId="0" borderId="45">
      <alignment horizontal="left" vertical="center"/>
    </xf>
    <xf numFmtId="170" fontId="111" fillId="0" borderId="45">
      <alignment horizontal="left" vertical="center"/>
    </xf>
    <xf numFmtId="230" fontId="112" fillId="74" borderId="0">
      <alignment horizontal="left" vertical="top"/>
    </xf>
    <xf numFmtId="0" fontId="113" fillId="0" borderId="46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63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113" fillId="0" borderId="46" applyNumberFormat="0" applyFill="0" applyAlignment="0" applyProtection="0"/>
    <xf numFmtId="0" fontId="114" fillId="0" borderId="47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64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114" fillId="0" borderId="47" applyNumberFormat="0" applyFill="0" applyAlignment="0" applyProtection="0"/>
    <xf numFmtId="0" fontId="98" fillId="0" borderId="48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99" fillId="0" borderId="48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98" fillId="0" borderId="48" applyNumberFormat="0" applyFill="0" applyAlignment="0" applyProtection="0"/>
    <xf numFmtId="0" fontId="98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15" fillId="75" borderId="0">
      <alignment vertical="center"/>
    </xf>
    <xf numFmtId="0" fontId="116" fillId="75" borderId="0">
      <alignment horizontal="left" vertical="center"/>
    </xf>
    <xf numFmtId="231" fontId="97" fillId="0" borderId="0">
      <protection locked="0"/>
    </xf>
    <xf numFmtId="231" fontId="97" fillId="0" borderId="0">
      <protection locked="0"/>
    </xf>
    <xf numFmtId="0" fontId="117" fillId="0" borderId="49">
      <alignment horizontal="center"/>
    </xf>
    <xf numFmtId="0" fontId="117" fillId="0" borderId="0">
      <alignment horizontal="center"/>
    </xf>
    <xf numFmtId="0" fontId="118" fillId="0" borderId="50" applyFill="0" applyBorder="0" applyProtection="0">
      <alignment horizontal="center" wrapText="1"/>
    </xf>
    <xf numFmtId="0" fontId="118" fillId="0" borderId="0" applyFill="0" applyBorder="0" applyProtection="0">
      <alignment horizontal="left" vertical="top" wrapText="1"/>
    </xf>
    <xf numFmtId="232" fontId="17" fillId="0" borderId="0" applyFont="0" applyFill="0" applyBorder="0" applyAlignment="0" applyProtection="0"/>
    <xf numFmtId="232" fontId="17" fillId="0" borderId="0" applyFont="0" applyFill="0" applyBorder="0" applyAlignment="0" applyProtection="0"/>
    <xf numFmtId="233" fontId="78" fillId="0" borderId="0" applyFill="0" applyBorder="0" applyAlignment="0" applyProtection="0"/>
    <xf numFmtId="49" fontId="92" fillId="0" borderId="0">
      <alignment horizontal="left"/>
    </xf>
    <xf numFmtId="49" fontId="119" fillId="0" borderId="0">
      <alignment horizontal="left"/>
    </xf>
    <xf numFmtId="1" fontId="17" fillId="0" borderId="0" applyFont="0" applyFill="0" applyBorder="0" applyAlignment="0" applyProtection="0"/>
    <xf numFmtId="1" fontId="17" fillId="0" borderId="0" applyFont="0" applyFill="0" applyBorder="0" applyAlignment="0" applyProtection="0"/>
    <xf numFmtId="49" fontId="92" fillId="0" borderId="0"/>
    <xf numFmtId="234" fontId="17" fillId="0" borderId="0" applyFont="0" applyFill="0" applyBorder="0" applyAlignment="0" applyProtection="0"/>
    <xf numFmtId="49" fontId="92" fillId="0" borderId="0"/>
    <xf numFmtId="49" fontId="92" fillId="0" borderId="0"/>
    <xf numFmtId="49" fontId="92" fillId="0" borderId="0">
      <alignment vertical="top"/>
    </xf>
    <xf numFmtId="0" fontId="120" fillId="0" borderId="0" applyNumberFormat="0" applyFill="0" applyBorder="0" applyAlignment="0" applyProtection="0">
      <alignment vertical="top"/>
      <protection locked="0"/>
    </xf>
    <xf numFmtId="235" fontId="17" fillId="0" borderId="0" applyBorder="0" applyAlignment="0" applyProtection="0"/>
    <xf numFmtId="235" fontId="17" fillId="0" borderId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121" fillId="40" borderId="0" applyNumberFormat="0" applyBorder="0" applyAlignment="0" applyProtection="0"/>
    <xf numFmtId="0" fontId="54" fillId="40" borderId="0" applyNumberFormat="0" applyBorder="0" applyAlignment="0" applyProtection="0"/>
    <xf numFmtId="170" fontId="122" fillId="74" borderId="0">
      <alignment horizontal="left" wrapText="1"/>
    </xf>
    <xf numFmtId="0" fontId="122" fillId="74" borderId="0">
      <alignment horizontal="left" wrapText="1"/>
    </xf>
    <xf numFmtId="210" fontId="123" fillId="0" borderId="51" applyFill="0" applyBorder="0" applyAlignment="0">
      <alignment horizontal="center"/>
      <protection locked="0"/>
    </xf>
    <xf numFmtId="10" fontId="34" fillId="74" borderId="9" applyNumberFormat="0" applyBorder="0" applyAlignment="0" applyProtection="0"/>
    <xf numFmtId="10" fontId="34" fillId="74" borderId="9" applyNumberFormat="0" applyBorder="0" applyAlignment="0" applyProtection="0"/>
    <xf numFmtId="175" fontId="123" fillId="0" borderId="0" applyFill="0" applyBorder="0" applyAlignment="0">
      <protection locked="0"/>
    </xf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02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0" fontId="124" fillId="48" borderId="35" applyNumberFormat="0" applyAlignment="0" applyProtection="0"/>
    <xf numFmtId="15" fontId="125" fillId="76" borderId="0">
      <alignment horizontal="right" vertical="center"/>
      <protection locked="0"/>
    </xf>
    <xf numFmtId="236" fontId="125" fillId="76" borderId="0">
      <alignment horizontal="right" vertical="center"/>
      <protection locked="0"/>
    </xf>
    <xf numFmtId="237" fontId="125" fillId="76" borderId="0" applyProtection="0">
      <alignment horizontal="right" vertical="center"/>
      <protection locked="0"/>
    </xf>
    <xf numFmtId="201" fontId="125" fillId="76" borderId="0">
      <alignment horizontal="right" vertical="center"/>
      <protection locked="0"/>
    </xf>
    <xf numFmtId="238" fontId="125" fillId="76" borderId="0">
      <alignment horizontal="right" vertical="center"/>
      <protection locked="0"/>
    </xf>
    <xf numFmtId="239" fontId="126" fillId="0" borderId="32"/>
    <xf numFmtId="39" fontId="126" fillId="0" borderId="32"/>
    <xf numFmtId="0" fontId="91" fillId="0" borderId="0" applyBorder="0"/>
    <xf numFmtId="3" fontId="127" fillId="0" borderId="0"/>
    <xf numFmtId="0" fontId="128" fillId="0" borderId="0"/>
    <xf numFmtId="38" fontId="129" fillId="0" borderId="0"/>
    <xf numFmtId="38" fontId="130" fillId="0" borderId="0"/>
    <xf numFmtId="38" fontId="131" fillId="0" borderId="0"/>
    <xf numFmtId="38" fontId="132" fillId="0" borderId="0"/>
    <xf numFmtId="0" fontId="133" fillId="0" borderId="0"/>
    <xf numFmtId="0" fontId="133" fillId="0" borderId="0"/>
    <xf numFmtId="0" fontId="134" fillId="0" borderId="0">
      <alignment horizontal="right"/>
    </xf>
    <xf numFmtId="240" fontId="45" fillId="0" borderId="0" applyFont="0" applyFill="0" applyBorder="0" applyAlignment="0" applyProtection="0"/>
    <xf numFmtId="0" fontId="45" fillId="0" borderId="0">
      <alignment horizontal="left" indent="1"/>
    </xf>
    <xf numFmtId="0" fontId="45" fillId="0" borderId="0">
      <alignment horizontal="left" indent="2"/>
    </xf>
    <xf numFmtId="240" fontId="45" fillId="0" borderId="0" applyFill="0" applyBorder="0" applyAlignment="0" applyProtection="0">
      <alignment horizontal="right"/>
    </xf>
    <xf numFmtId="241" fontId="135" fillId="0" borderId="0">
      <alignment horizontal="right"/>
    </xf>
    <xf numFmtId="49" fontId="135" fillId="0" borderId="0">
      <alignment horizontal="left"/>
    </xf>
    <xf numFmtId="0" fontId="136" fillId="0" borderId="0" applyFill="0" applyBorder="0" applyAlignment="0" applyProtection="0"/>
    <xf numFmtId="0" fontId="137" fillId="77" borderId="42"/>
    <xf numFmtId="170" fontId="73" fillId="70" borderId="0">
      <alignment horizontal="left"/>
    </xf>
    <xf numFmtId="0" fontId="73" fillId="70" borderId="0">
      <alignment horizontal="left"/>
    </xf>
    <xf numFmtId="170" fontId="115" fillId="71" borderId="0">
      <alignment horizontal="left"/>
    </xf>
    <xf numFmtId="0" fontId="115" fillId="71" borderId="0">
      <alignment horizontal="left"/>
    </xf>
    <xf numFmtId="189" fontId="138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1" fontId="138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89" fontId="138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8" fontId="138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1" fontId="138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0" fontId="71" fillId="0" borderId="38" applyNumberFormat="0" applyFill="0" applyAlignment="0" applyProtection="0"/>
    <xf numFmtId="0" fontId="9" fillId="0" borderId="5" applyNumberFormat="0" applyFill="0" applyAlignment="0" applyProtection="0"/>
    <xf numFmtId="0" fontId="9" fillId="0" borderId="5" applyNumberFormat="0" applyFill="0" applyAlignment="0" applyProtection="0"/>
    <xf numFmtId="0" fontId="139" fillId="0" borderId="38" applyNumberFormat="0" applyFill="0" applyAlignment="0" applyProtection="0"/>
    <xf numFmtId="0" fontId="9" fillId="0" borderId="5" applyNumberFormat="0" applyFill="0" applyAlignment="0" applyProtection="0"/>
    <xf numFmtId="0" fontId="9" fillId="0" borderId="5" applyNumberFormat="0" applyFill="0" applyAlignment="0" applyProtection="0"/>
    <xf numFmtId="0" fontId="71" fillId="0" borderId="38" applyNumberFormat="0" applyFill="0" applyAlignment="0" applyProtection="0"/>
    <xf numFmtId="188" fontId="140" fillId="72" borderId="0" applyFill="0" applyBorder="0">
      <alignment horizontal="right"/>
    </xf>
    <xf numFmtId="182" fontId="44" fillId="0" borderId="0" applyFont="0" applyFill="0" applyBorder="0" applyAlignment="0" applyProtection="0"/>
    <xf numFmtId="0" fontId="44" fillId="0" borderId="0">
      <protection locked="0"/>
    </xf>
    <xf numFmtId="242" fontId="44" fillId="0" borderId="0" applyFont="0" applyFill="0" applyBorder="0" applyAlignment="0" applyProtection="0"/>
    <xf numFmtId="165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243" fontId="47" fillId="0" borderId="0" applyFont="0" applyFill="0" applyBorder="0" applyAlignment="0" applyProtection="0"/>
    <xf numFmtId="243" fontId="47" fillId="0" borderId="0" applyFont="0" applyFill="0" applyBorder="0" applyAlignment="0" applyProtection="0"/>
    <xf numFmtId="244" fontId="17" fillId="0" borderId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245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165" fontId="17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77" fillId="0" borderId="0" applyFont="0" applyFill="0" applyBorder="0" applyAlignment="0" applyProtection="0"/>
    <xf numFmtId="2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244" fontId="17" fillId="0" borderId="0" applyFill="0" applyBorder="0" applyAlignment="0" applyProtection="0"/>
    <xf numFmtId="43" fontId="33" fillId="0" borderId="0" applyFont="0" applyFill="0" applyBorder="0" applyAlignment="0" applyProtection="0"/>
    <xf numFmtId="209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09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3" fontId="46" fillId="0" borderId="0" applyFont="0" applyFill="0" applyBorder="0" applyAlignment="0" applyProtection="0"/>
    <xf numFmtId="246" fontId="17" fillId="0" borderId="0" applyFont="0" applyFill="0" applyBorder="0" applyAlignment="0" applyProtection="0"/>
    <xf numFmtId="244" fontId="17" fillId="0" borderId="0" applyFill="0" applyBorder="0" applyAlignment="0" applyProtection="0"/>
    <xf numFmtId="165" fontId="17" fillId="0" borderId="0" applyFont="0" applyFill="0" applyBorder="0" applyAlignment="0" applyProtection="0"/>
    <xf numFmtId="243" fontId="46" fillId="0" borderId="0" applyFont="0" applyFill="0" applyBorder="0" applyAlignment="0" applyProtection="0"/>
    <xf numFmtId="165" fontId="17" fillId="0" borderId="0" applyFont="0" applyFill="0" applyBorder="0" applyAlignment="0" applyProtection="0"/>
    <xf numFmtId="243" fontId="17" fillId="0" borderId="0" applyFont="0" applyFill="0" applyBorder="0" applyAlignment="0" applyProtection="0"/>
    <xf numFmtId="246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243" fontId="1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7" fillId="0" borderId="0" applyFont="0" applyFill="0" applyBorder="0" applyAlignment="0" applyProtection="0"/>
    <xf numFmtId="247" fontId="17" fillId="0" borderId="0" applyFont="0" applyFill="0" applyBorder="0" applyAlignment="0" applyProtection="0"/>
    <xf numFmtId="248" fontId="17" fillId="0" borderId="0" applyFont="0" applyFill="0" applyBorder="0" applyAlignment="0" applyProtection="0"/>
    <xf numFmtId="170" fontId="141" fillId="0" borderId="49"/>
    <xf numFmtId="0" fontId="141" fillId="0" borderId="49"/>
    <xf numFmtId="249" fontId="133" fillId="0" borderId="0" applyFont="0" applyFill="0" applyBorder="0" applyAlignment="0" applyProtection="0"/>
    <xf numFmtId="250" fontId="133" fillId="0" borderId="0" applyFont="0" applyFill="0" applyBorder="0" applyAlignment="0" applyProtection="0"/>
    <xf numFmtId="251" fontId="17" fillId="0" borderId="0" applyFont="0" applyFill="0" applyBorder="0" applyAlignment="0" applyProtection="0"/>
    <xf numFmtId="215" fontId="17" fillId="0" borderId="0" applyFont="0" applyFill="0" applyBorder="0" applyAlignment="0" applyProtection="0"/>
    <xf numFmtId="252" fontId="46" fillId="0" borderId="0" applyFont="0" applyFill="0" applyBorder="0" applyAlignment="0" applyProtection="0"/>
    <xf numFmtId="252" fontId="46" fillId="0" borderId="0" applyFont="0" applyFill="0" applyBorder="0" applyAlignment="0" applyProtection="0"/>
    <xf numFmtId="252" fontId="46" fillId="0" borderId="0" applyFont="0" applyFill="0" applyBorder="0" applyAlignment="0" applyProtection="0"/>
    <xf numFmtId="252" fontId="46" fillId="0" borderId="0" applyFont="0" applyFill="0" applyBorder="0" applyAlignment="0" applyProtection="0"/>
    <xf numFmtId="252" fontId="17" fillId="0" borderId="0" applyFont="0" applyFill="0" applyBorder="0" applyAlignment="0" applyProtection="0"/>
    <xf numFmtId="252" fontId="17" fillId="0" borderId="0" applyFont="0" applyFill="0" applyBorder="0" applyAlignment="0" applyProtection="0"/>
    <xf numFmtId="253" fontId="96" fillId="0" borderId="0">
      <protection locked="0"/>
    </xf>
    <xf numFmtId="254" fontId="96" fillId="0" borderId="0">
      <protection locked="0"/>
    </xf>
    <xf numFmtId="255" fontId="17" fillId="0" borderId="0" applyFont="0" applyFill="0" applyBorder="0" applyAlignment="0" applyProtection="0"/>
    <xf numFmtId="255" fontId="17" fillId="0" borderId="0" applyFont="0" applyFill="0" applyBorder="0" applyAlignment="0" applyProtection="0"/>
    <xf numFmtId="256" fontId="142" fillId="0" borderId="0" applyFont="0" applyFill="0" applyBorder="0" applyAlignment="0" applyProtection="0"/>
    <xf numFmtId="257" fontId="30" fillId="0" borderId="0"/>
    <xf numFmtId="0" fontId="44" fillId="0" borderId="0">
      <protection locked="0"/>
    </xf>
    <xf numFmtId="0" fontId="44" fillId="0" borderId="0">
      <protection locked="0"/>
    </xf>
    <xf numFmtId="237" fontId="143" fillId="0" borderId="0">
      <alignment horizontal="left" vertical="center"/>
    </xf>
    <xf numFmtId="0" fontId="144" fillId="36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145" fillId="36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146" fillId="36" borderId="0" applyNumberFormat="0" applyBorder="0" applyAlignment="0" applyProtection="0"/>
    <xf numFmtId="170" fontId="144" fillId="36" borderId="0" applyNumberFormat="0" applyBorder="0" applyAlignment="0" applyProtection="0"/>
    <xf numFmtId="0" fontId="144" fillId="36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199" fontId="147" fillId="78" borderId="0" applyNumberFormat="0" applyFont="0" applyBorder="0" applyAlignment="0" applyProtection="0"/>
    <xf numFmtId="37" fontId="148" fillId="0" borderId="0"/>
    <xf numFmtId="170" fontId="149" fillId="0" borderId="0"/>
    <xf numFmtId="0" fontId="149" fillId="0" borderId="0"/>
    <xf numFmtId="3" fontId="150" fillId="0" borderId="0"/>
    <xf numFmtId="258" fontId="151" fillId="0" borderId="0"/>
    <xf numFmtId="0" fontId="17" fillId="0" borderId="0"/>
    <xf numFmtId="0" fontId="85" fillId="0" borderId="0"/>
    <xf numFmtId="0" fontId="17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85" fillId="0" borderId="0"/>
    <xf numFmtId="0" fontId="85" fillId="0" borderId="0"/>
    <xf numFmtId="0" fontId="1" fillId="0" borderId="0"/>
    <xf numFmtId="0" fontId="1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8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46" fillId="0" borderId="0"/>
    <xf numFmtId="0" fontId="46" fillId="0" borderId="0"/>
    <xf numFmtId="0" fontId="46" fillId="0" borderId="0"/>
    <xf numFmtId="0" fontId="17" fillId="0" borderId="0"/>
    <xf numFmtId="0" fontId="46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9" fillId="0" borderId="0" applyNumberForma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17" fillId="0" borderId="0"/>
    <xf numFmtId="0" fontId="17" fillId="0" borderId="0"/>
    <xf numFmtId="0" fontId="46" fillId="0" borderId="0"/>
    <xf numFmtId="0" fontId="4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1" fillId="0" borderId="0"/>
    <xf numFmtId="0" fontId="17" fillId="0" borderId="0"/>
    <xf numFmtId="0" fontId="17" fillId="0" borderId="0"/>
    <xf numFmtId="0" fontId="17" fillId="0" borderId="0"/>
    <xf numFmtId="0" fontId="46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6" fillId="0" borderId="0"/>
    <xf numFmtId="0" fontId="17" fillId="0" borderId="0"/>
    <xf numFmtId="0" fontId="17" fillId="0" borderId="0">
      <alignment vertical="top"/>
    </xf>
    <xf numFmtId="0" fontId="17" fillId="0" borderId="0">
      <alignment vertical="top"/>
    </xf>
    <xf numFmtId="0" fontId="17" fillId="0" borderId="0">
      <alignment vertical="top"/>
    </xf>
    <xf numFmtId="0" fontId="17" fillId="0" borderId="0">
      <alignment vertical="top"/>
    </xf>
    <xf numFmtId="0" fontId="17" fillId="0" borderId="0">
      <alignment vertical="top"/>
    </xf>
    <xf numFmtId="0" fontId="17" fillId="0" borderId="0">
      <alignment vertical="top"/>
    </xf>
    <xf numFmtId="0" fontId="17" fillId="0" borderId="0">
      <alignment vertical="top"/>
    </xf>
    <xf numFmtId="0" fontId="17" fillId="0" borderId="0">
      <alignment vertical="top"/>
    </xf>
    <xf numFmtId="0" fontId="17" fillId="0" borderId="0">
      <alignment vertical="top"/>
    </xf>
    <xf numFmtId="0" fontId="17" fillId="0" borderId="0" applyNumberFormat="0" applyFill="0" applyBorder="0" applyAlignment="0" applyProtection="0"/>
    <xf numFmtId="0" fontId="17" fillId="0" borderId="0">
      <alignment vertical="top"/>
    </xf>
    <xf numFmtId="0" fontId="17" fillId="0" borderId="0">
      <alignment vertical="top"/>
    </xf>
    <xf numFmtId="0" fontId="1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6" fillId="0" borderId="0"/>
    <xf numFmtId="0" fontId="17" fillId="0" borderId="0" applyNumberFormat="0" applyFill="0" applyBorder="0" applyAlignment="0" applyProtection="0"/>
    <xf numFmtId="0" fontId="17" fillId="0" borderId="0"/>
    <xf numFmtId="0" fontId="46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46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70" fontId="17" fillId="0" borderId="0"/>
    <xf numFmtId="0" fontId="17" fillId="0" borderId="0" applyNumberFormat="0" applyFill="0" applyBorder="0" applyAlignment="0" applyProtection="0"/>
    <xf numFmtId="0" fontId="83" fillId="0" borderId="0"/>
    <xf numFmtId="0" fontId="1" fillId="0" borderId="0"/>
    <xf numFmtId="0" fontId="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7" fillId="0" borderId="0"/>
    <xf numFmtId="0" fontId="1" fillId="0" borderId="0"/>
    <xf numFmtId="0" fontId="83" fillId="0" borderId="0"/>
    <xf numFmtId="0" fontId="33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52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85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8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8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" fillId="0" borderId="0"/>
    <xf numFmtId="0" fontId="17" fillId="0" borderId="0"/>
    <xf numFmtId="0" fontId="153" fillId="0" borderId="0"/>
    <xf numFmtId="0" fontId="153" fillId="0" borderId="0"/>
    <xf numFmtId="0" fontId="153" fillId="0" borderId="0"/>
    <xf numFmtId="0" fontId="85" fillId="0" borderId="0"/>
    <xf numFmtId="0" fontId="46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3" fillId="0" borderId="0"/>
    <xf numFmtId="0" fontId="85" fillId="0" borderId="0"/>
    <xf numFmtId="0" fontId="85" fillId="0" borderId="0"/>
    <xf numFmtId="0" fontId="85" fillId="0" borderId="0"/>
    <xf numFmtId="0" fontId="17" fillId="0" borderId="0"/>
    <xf numFmtId="259" fontId="17" fillId="0" borderId="0"/>
    <xf numFmtId="259" fontId="17" fillId="0" borderId="0"/>
    <xf numFmtId="0" fontId="17" fillId="0" borderId="0"/>
    <xf numFmtId="0" fontId="1" fillId="0" borderId="0"/>
    <xf numFmtId="0" fontId="1" fillId="0" borderId="0"/>
    <xf numFmtId="0" fontId="77" fillId="0" borderId="0"/>
    <xf numFmtId="0" fontId="46" fillId="0" borderId="0"/>
    <xf numFmtId="0" fontId="46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9" fontId="17" fillId="0" borderId="0"/>
    <xf numFmtId="259" fontId="17" fillId="0" borderId="0"/>
    <xf numFmtId="259" fontId="17" fillId="0" borderId="0"/>
    <xf numFmtId="0" fontId="17" fillId="0" borderId="0"/>
    <xf numFmtId="0" fontId="85" fillId="0" borderId="0"/>
    <xf numFmtId="0" fontId="85" fillId="0" borderId="0"/>
    <xf numFmtId="0" fontId="85" fillId="0" borderId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47" fillId="0" borderId="0"/>
    <xf numFmtId="0" fontId="47" fillId="0" borderId="0"/>
    <xf numFmtId="0" fontId="79" fillId="0" borderId="0" applyNumberForma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170" fontId="17" fillId="0" borderId="0"/>
    <xf numFmtId="0" fontId="1" fillId="0" borderId="0"/>
    <xf numFmtId="0" fontId="77" fillId="0" borderId="0"/>
    <xf numFmtId="0" fontId="77" fillId="0" borderId="0"/>
    <xf numFmtId="0" fontId="77" fillId="0" borderId="0"/>
    <xf numFmtId="0" fontId="17" fillId="0" borderId="0"/>
    <xf numFmtId="0" fontId="17" fillId="0" borderId="0" applyNumberFormat="0" applyFill="0" applyBorder="0" applyAlignment="0" applyProtection="0"/>
    <xf numFmtId="170" fontId="17" fillId="0" borderId="0"/>
    <xf numFmtId="170" fontId="17" fillId="0" borderId="0"/>
    <xf numFmtId="170" fontId="17" fillId="0" borderId="0"/>
    <xf numFmtId="170" fontId="17" fillId="0" borderId="0"/>
    <xf numFmtId="0" fontId="33" fillId="0" borderId="0"/>
    <xf numFmtId="170" fontId="17" fillId="0" borderId="0"/>
    <xf numFmtId="0" fontId="33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17" fillId="0" borderId="0"/>
    <xf numFmtId="0" fontId="85" fillId="0" borderId="0"/>
    <xf numFmtId="0" fontId="85" fillId="0" borderId="0"/>
    <xf numFmtId="0" fontId="85" fillId="0" borderId="0"/>
    <xf numFmtId="0" fontId="46" fillId="0" borderId="0"/>
    <xf numFmtId="0" fontId="1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1" fillId="0" borderId="0"/>
    <xf numFmtId="0" fontId="1" fillId="0" borderId="0"/>
    <xf numFmtId="0" fontId="77" fillId="0" borderId="0"/>
    <xf numFmtId="0" fontId="77" fillId="0" borderId="0"/>
    <xf numFmtId="0" fontId="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7" fillId="0" borderId="0" applyNumberFormat="0" applyFill="0" applyBorder="0" applyAlignment="0" applyProtection="0"/>
    <xf numFmtId="0" fontId="1" fillId="0" borderId="0"/>
    <xf numFmtId="0" fontId="17" fillId="0" borderId="0"/>
    <xf numFmtId="0" fontId="85" fillId="0" borderId="0"/>
    <xf numFmtId="0" fontId="46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1" fillId="0" borderId="0"/>
    <xf numFmtId="0" fontId="17" fillId="0" borderId="0">
      <alignment vertical="top"/>
    </xf>
    <xf numFmtId="0" fontId="77" fillId="0" borderId="0"/>
    <xf numFmtId="0" fontId="17" fillId="0" borderId="0">
      <alignment vertical="top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7" fillId="0" borderId="0"/>
    <xf numFmtId="0" fontId="17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7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4" fillId="0" borderId="0"/>
    <xf numFmtId="0" fontId="155" fillId="0" borderId="0"/>
    <xf numFmtId="0" fontId="46" fillId="79" borderId="52" applyNumberFormat="0" applyFont="0" applyAlignment="0" applyProtection="0"/>
    <xf numFmtId="0" fontId="17" fillId="79" borderId="52" applyNumberFormat="0" applyFont="0" applyAlignment="0" applyProtection="0"/>
    <xf numFmtId="0" fontId="17" fillId="79" borderId="52" applyNumberFormat="0" applyFont="0" applyAlignment="0" applyProtection="0"/>
    <xf numFmtId="0" fontId="17" fillId="79" borderId="52" applyNumberFormat="0" applyFont="0" applyAlignment="0" applyProtection="0"/>
    <xf numFmtId="0" fontId="17" fillId="79" borderId="52" applyNumberFormat="0" applyFont="0" applyAlignment="0" applyProtection="0"/>
    <xf numFmtId="0" fontId="47" fillId="79" borderId="52" applyNumberFormat="0" applyFont="0" applyAlignment="0" applyProtection="0"/>
    <xf numFmtId="0" fontId="47" fillId="79" borderId="52" applyNumberFormat="0" applyFont="0" applyAlignment="0" applyProtection="0"/>
    <xf numFmtId="0" fontId="46" fillId="79" borderId="52" applyNumberFormat="0" applyFont="0" applyAlignment="0" applyProtection="0"/>
    <xf numFmtId="0" fontId="17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7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46" fillId="7" borderId="7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122" fillId="79" borderId="52" applyNumberFormat="0" applyFont="0" applyAlignment="0" applyProtection="0"/>
    <xf numFmtId="0" fontId="77" fillId="79" borderId="52" applyNumberFormat="0" applyFont="0" applyAlignment="0" applyProtection="0"/>
    <xf numFmtId="0" fontId="77" fillId="79" borderId="52" applyNumberFormat="0" applyFont="0" applyAlignment="0" applyProtection="0"/>
    <xf numFmtId="0" fontId="46" fillId="7" borderId="7" applyNumberFormat="0" applyFont="0" applyAlignment="0" applyProtection="0"/>
    <xf numFmtId="0" fontId="77" fillId="79" borderId="52" applyNumberFormat="0" applyFont="0" applyAlignment="0" applyProtection="0"/>
    <xf numFmtId="0" fontId="77" fillId="79" borderId="52" applyNumberFormat="0" applyFont="0" applyAlignment="0" applyProtection="0"/>
    <xf numFmtId="0" fontId="77" fillId="79" borderId="52" applyNumberFormat="0" applyFont="0" applyAlignment="0" applyProtection="0"/>
    <xf numFmtId="0" fontId="77" fillId="79" borderId="52" applyNumberFormat="0" applyFont="0" applyAlignment="0" applyProtection="0"/>
    <xf numFmtId="0" fontId="77" fillId="79" borderId="52" applyNumberFormat="0" applyFont="0" applyAlignment="0" applyProtection="0"/>
    <xf numFmtId="0" fontId="77" fillId="79" borderId="52" applyNumberFormat="0" applyFont="0" applyAlignment="0" applyProtection="0"/>
    <xf numFmtId="0" fontId="17" fillId="79" borderId="52" applyNumberFormat="0" applyFont="0" applyAlignment="0" applyProtection="0"/>
    <xf numFmtId="0" fontId="17" fillId="79" borderId="52" applyNumberFormat="0" applyFont="0" applyAlignment="0" applyProtection="0"/>
    <xf numFmtId="237" fontId="156" fillId="0" borderId="0">
      <alignment vertical="center"/>
    </xf>
    <xf numFmtId="240" fontId="45" fillId="0" borderId="0" applyFont="0" applyFill="0" applyBorder="0" applyProtection="0">
      <alignment horizontal="right" vertical="center"/>
    </xf>
    <xf numFmtId="0" fontId="157" fillId="67" borderId="53" applyNumberFormat="0" applyAlignment="0" applyProtection="0"/>
    <xf numFmtId="0" fontId="157" fillId="67" borderId="53" applyNumberFormat="0" applyAlignment="0" applyProtection="0"/>
    <xf numFmtId="0" fontId="8" fillId="5" borderId="4" applyNumberFormat="0" applyAlignment="0" applyProtection="0"/>
    <xf numFmtId="0" fontId="158" fillId="67" borderId="53" applyNumberFormat="0" applyAlignment="0" applyProtection="0"/>
    <xf numFmtId="0" fontId="158" fillId="67" borderId="53" applyNumberFormat="0" applyAlignment="0" applyProtection="0"/>
    <xf numFmtId="0" fontId="8" fillId="5" borderId="4" applyNumberFormat="0" applyAlignment="0" applyProtection="0"/>
    <xf numFmtId="0" fontId="157" fillId="67" borderId="53" applyNumberFormat="0" applyAlignment="0" applyProtection="0"/>
    <xf numFmtId="0" fontId="157" fillId="67" borderId="53" applyNumberFormat="0" applyAlignment="0" applyProtection="0"/>
    <xf numFmtId="40" fontId="159" fillId="80" borderId="0">
      <alignment horizontal="right"/>
    </xf>
    <xf numFmtId="170" fontId="160" fillId="77" borderId="0">
      <alignment horizontal="center"/>
    </xf>
    <xf numFmtId="0" fontId="160" fillId="77" borderId="0">
      <alignment horizontal="center"/>
    </xf>
    <xf numFmtId="170" fontId="161" fillId="80" borderId="54"/>
    <xf numFmtId="0" fontId="161" fillId="80" borderId="54"/>
    <xf numFmtId="170" fontId="162" fillId="71" borderId="0" applyBorder="0">
      <alignment horizontal="centerContinuous"/>
    </xf>
    <xf numFmtId="0" fontId="162" fillId="71" borderId="0" applyBorder="0">
      <alignment horizontal="centerContinuous"/>
    </xf>
    <xf numFmtId="170" fontId="163" fillId="81" borderId="0" applyBorder="0">
      <alignment horizontal="centerContinuous"/>
    </xf>
    <xf numFmtId="0" fontId="163" fillId="81" borderId="0" applyBorder="0">
      <alignment horizontal="centerContinuous"/>
    </xf>
    <xf numFmtId="1" fontId="164" fillId="0" borderId="0" applyProtection="0">
      <alignment horizontal="right" vertical="center"/>
    </xf>
    <xf numFmtId="170" fontId="165" fillId="80" borderId="0"/>
    <xf numFmtId="0" fontId="165" fillId="80" borderId="0"/>
    <xf numFmtId="14" fontId="36" fillId="0" borderId="0">
      <alignment horizontal="center" wrapText="1"/>
      <protection locked="0"/>
    </xf>
    <xf numFmtId="260" fontId="36" fillId="0" borderId="25" applyFont="0" applyFill="0" applyBorder="0" applyAlignment="0" applyProtection="0">
      <alignment horizontal="right"/>
    </xf>
    <xf numFmtId="261" fontId="78" fillId="71" borderId="0" applyFill="0" applyBorder="0" applyAlignment="0" applyProtection="0">
      <protection locked="0"/>
    </xf>
    <xf numFmtId="262" fontId="17" fillId="0" borderId="0" applyFont="0" applyFill="0" applyBorder="0" applyAlignment="0" applyProtection="0"/>
    <xf numFmtId="262" fontId="17" fillId="0" borderId="0" applyFont="0" applyFill="0" applyBorder="0" applyAlignment="0" applyProtection="0"/>
    <xf numFmtId="263" fontId="78" fillId="71" borderId="0" applyFill="0" applyBorder="0" applyAlignment="0" applyProtection="0">
      <alignment vertical="top"/>
    </xf>
    <xf numFmtId="264" fontId="78" fillId="0" borderId="0" applyFill="0" applyBorder="0" applyAlignment="0" applyProtection="0"/>
    <xf numFmtId="265" fontId="31" fillId="0" borderId="0" applyFont="0" applyFill="0" applyBorder="0" applyAlignment="0" applyProtection="0"/>
    <xf numFmtId="197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0" fontId="17" fillId="0" borderId="0" applyFont="0" applyFill="0" applyBorder="0" applyAlignment="0" applyProtection="0"/>
    <xf numFmtId="197" fontId="17" fillId="0" borderId="0" applyFont="0" applyFill="0" applyBorder="0" applyAlignment="0" applyProtection="0"/>
    <xf numFmtId="266" fontId="17" fillId="0" borderId="0" applyFont="0" applyFill="0" applyBorder="0" applyAlignment="0" applyProtection="0"/>
    <xf numFmtId="267" fontId="17" fillId="0" borderId="0" applyFont="0" applyFill="0" applyBorder="0" applyAlignment="0" applyProtection="0"/>
    <xf numFmtId="267" fontId="17" fillId="0" borderId="0" applyFont="0" applyFill="0" applyBorder="0" applyAlignment="0" applyProtection="0"/>
    <xf numFmtId="267" fontId="17" fillId="0" borderId="0" applyFont="0" applyFill="0" applyBorder="0" applyAlignment="0" applyProtection="0"/>
    <xf numFmtId="266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268" fontId="16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77" fillId="0" borderId="0" applyFont="0" applyFill="0" applyBorder="0" applyAlignment="0" applyProtection="0"/>
    <xf numFmtId="2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ill="0" applyBorder="0" applyAlignment="0" applyProtection="0"/>
    <xf numFmtId="9" fontId="17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" fontId="96" fillId="0" borderId="0">
      <protection locked="0"/>
    </xf>
    <xf numFmtId="0" fontId="44" fillId="0" borderId="0">
      <protection locked="0"/>
    </xf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77" fillId="0" borderId="0" applyFont="0" applyFill="0" applyBorder="0" applyAlignment="0" applyProtection="0"/>
    <xf numFmtId="269" fontId="96" fillId="0" borderId="0">
      <protection locked="0"/>
    </xf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7" fillId="0" borderId="0" applyFill="0" applyBorder="0" applyAlignment="0" applyProtection="0"/>
    <xf numFmtId="9" fontId="17" fillId="0" borderId="0" applyFill="0" applyBorder="0" applyAlignment="0" applyProtection="0"/>
    <xf numFmtId="9" fontId="1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ill="0" applyBorder="0" applyAlignment="0" applyProtection="0"/>
    <xf numFmtId="189" fontId="16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1" fontId="16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89" fontId="16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8" fontId="16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1" fontId="16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192" fontId="17" fillId="0" borderId="0" applyFill="0" applyBorder="0" applyAlignment="0"/>
    <xf numFmtId="0" fontId="44" fillId="0" borderId="0">
      <protection locked="0"/>
    </xf>
    <xf numFmtId="170" fontId="31" fillId="0" borderId="0" applyNumberFormat="0" applyFont="0" applyFill="0" applyBorder="0" applyAlignment="0" applyProtection="0">
      <alignment horizontal="left"/>
    </xf>
    <xf numFmtId="0" fontId="31" fillId="0" borderId="0" applyNumberFormat="0" applyFont="0" applyFill="0" applyBorder="0" applyAlignment="0" applyProtection="0">
      <alignment horizontal="left"/>
    </xf>
    <xf numFmtId="15" fontId="31" fillId="0" borderId="0" applyFont="0" applyFill="0" applyBorder="0" applyAlignment="0" applyProtection="0"/>
    <xf numFmtId="4" fontId="31" fillId="0" borderId="0" applyFont="0" applyFill="0" applyBorder="0" applyAlignment="0" applyProtection="0"/>
    <xf numFmtId="0" fontId="60" fillId="0" borderId="49">
      <alignment horizontal="center"/>
    </xf>
    <xf numFmtId="4" fontId="93" fillId="0" borderId="0" applyFont="0" applyFill="0" applyBorder="0" applyAlignment="0" applyProtection="0"/>
    <xf numFmtId="270" fontId="96" fillId="0" borderId="0">
      <protection locked="0"/>
    </xf>
    <xf numFmtId="0" fontId="168" fillId="82" borderId="0" applyNumberFormat="0" applyFont="0" applyBorder="0" applyAlignment="0">
      <alignment horizontal="center"/>
    </xf>
    <xf numFmtId="170" fontId="115" fillId="36" borderId="0">
      <alignment horizontal="center"/>
    </xf>
    <xf numFmtId="0" fontId="115" fillId="36" borderId="0">
      <alignment horizontal="center"/>
    </xf>
    <xf numFmtId="49" fontId="169" fillId="71" borderId="0">
      <alignment horizontal="center"/>
    </xf>
    <xf numFmtId="0" fontId="91" fillId="0" borderId="0"/>
    <xf numFmtId="14" fontId="90" fillId="0" borderId="0" applyNumberFormat="0" applyFill="0" applyBorder="0" applyAlignment="0" applyProtection="0">
      <alignment horizontal="left"/>
    </xf>
    <xf numFmtId="38" fontId="170" fillId="0" borderId="0"/>
    <xf numFmtId="237" fontId="94" fillId="0" borderId="0">
      <alignment horizontal="left" vertical="center"/>
    </xf>
    <xf numFmtId="271" fontId="68" fillId="0" borderId="0">
      <alignment horizontal="left" vertical="center"/>
    </xf>
    <xf numFmtId="237" fontId="171" fillId="0" borderId="0">
      <alignment horizontal="left" vertical="center" indent="1"/>
    </xf>
    <xf numFmtId="170" fontId="75" fillId="70" borderId="0">
      <alignment horizontal="center"/>
    </xf>
    <xf numFmtId="0" fontId="75" fillId="70" borderId="0">
      <alignment horizontal="center"/>
    </xf>
    <xf numFmtId="170" fontId="75" fillId="70" borderId="0">
      <alignment horizontal="centerContinuous"/>
    </xf>
    <xf numFmtId="0" fontId="75" fillId="70" borderId="0">
      <alignment horizontal="centerContinuous"/>
    </xf>
    <xf numFmtId="170" fontId="94" fillId="71" borderId="0">
      <alignment horizontal="left"/>
    </xf>
    <xf numFmtId="0" fontId="94" fillId="71" borderId="0">
      <alignment horizontal="left"/>
    </xf>
    <xf numFmtId="49" fontId="94" fillId="71" borderId="0">
      <alignment horizontal="center"/>
    </xf>
    <xf numFmtId="170" fontId="73" fillId="70" borderId="0">
      <alignment horizontal="left"/>
    </xf>
    <xf numFmtId="0" fontId="73" fillId="70" borderId="0">
      <alignment horizontal="left"/>
    </xf>
    <xf numFmtId="49" fontId="94" fillId="71" borderId="0">
      <alignment horizontal="left"/>
    </xf>
    <xf numFmtId="170" fontId="73" fillId="70" borderId="0">
      <alignment horizontal="centerContinuous"/>
    </xf>
    <xf numFmtId="0" fontId="73" fillId="70" borderId="0">
      <alignment horizontal="centerContinuous"/>
    </xf>
    <xf numFmtId="170" fontId="73" fillId="70" borderId="0">
      <alignment horizontal="right"/>
    </xf>
    <xf numFmtId="0" fontId="73" fillId="70" borderId="0">
      <alignment horizontal="right"/>
    </xf>
    <xf numFmtId="49" fontId="115" fillId="71" borderId="0">
      <alignment horizontal="left"/>
    </xf>
    <xf numFmtId="49" fontId="45" fillId="0" borderId="55" applyFont="0" applyFill="0" applyBorder="0" applyProtection="0">
      <alignment horizontal="left" vertical="center" wrapText="1"/>
    </xf>
    <xf numFmtId="170" fontId="75" fillId="70" borderId="0">
      <alignment horizontal="right"/>
    </xf>
    <xf numFmtId="0" fontId="75" fillId="70" borderId="0">
      <alignment horizontal="right"/>
    </xf>
    <xf numFmtId="272" fontId="17" fillId="0" borderId="0" applyFont="0" applyAlignment="0"/>
    <xf numFmtId="40" fontId="17" fillId="0" borderId="0"/>
    <xf numFmtId="40" fontId="17" fillId="0" borderId="0"/>
    <xf numFmtId="0" fontId="157" fillId="67" borderId="53" applyNumberFormat="0" applyAlignment="0" applyProtection="0"/>
    <xf numFmtId="0" fontId="157" fillId="67" borderId="53" applyNumberFormat="0" applyAlignment="0" applyProtection="0"/>
    <xf numFmtId="0" fontId="157" fillId="67" borderId="53" applyNumberFormat="0" applyAlignment="0" applyProtection="0"/>
    <xf numFmtId="0" fontId="172" fillId="67" borderId="53" applyNumberFormat="0" applyAlignment="0" applyProtection="0"/>
    <xf numFmtId="0" fontId="172" fillId="67" borderId="53" applyNumberFormat="0" applyAlignment="0" applyProtection="0"/>
    <xf numFmtId="0" fontId="157" fillId="67" borderId="53" applyNumberFormat="0" applyAlignment="0" applyProtection="0"/>
    <xf numFmtId="170" fontId="94" fillId="48" borderId="0">
      <alignment horizontal="center"/>
    </xf>
    <xf numFmtId="0" fontId="94" fillId="48" borderId="0">
      <alignment horizontal="center"/>
    </xf>
    <xf numFmtId="170" fontId="173" fillId="48" borderId="0">
      <alignment horizontal="center"/>
    </xf>
    <xf numFmtId="0" fontId="173" fillId="48" borderId="0">
      <alignment horizontal="center"/>
    </xf>
    <xf numFmtId="4" fontId="115" fillId="36" borderId="56" applyNumberFormat="0" applyProtection="0">
      <alignment vertical="center"/>
    </xf>
    <xf numFmtId="4" fontId="174" fillId="76" borderId="56" applyNumberFormat="0" applyProtection="0">
      <alignment vertical="center"/>
    </xf>
    <xf numFmtId="4" fontId="115" fillId="76" borderId="56" applyNumberFormat="0" applyProtection="0">
      <alignment horizontal="left" vertical="center"/>
    </xf>
    <xf numFmtId="0" fontId="115" fillId="76" borderId="56" applyNumberFormat="0" applyProtection="0">
      <alignment horizontal="left" vertical="top"/>
    </xf>
    <xf numFmtId="4" fontId="115" fillId="83" borderId="0" applyNumberFormat="0" applyProtection="0">
      <alignment horizontal="left" vertical="center"/>
    </xf>
    <xf numFmtId="4" fontId="33" fillId="40" borderId="56" applyNumberFormat="0" applyProtection="0">
      <alignment horizontal="right" vertical="center"/>
    </xf>
    <xf numFmtId="4" fontId="33" fillId="52" borderId="56" applyNumberFormat="0" applyProtection="0">
      <alignment horizontal="right" vertical="center"/>
    </xf>
    <xf numFmtId="4" fontId="33" fillId="63" borderId="56" applyNumberFormat="0" applyProtection="0">
      <alignment horizontal="right" vertical="center"/>
    </xf>
    <xf numFmtId="4" fontId="33" fillId="56" borderId="56" applyNumberFormat="0" applyProtection="0">
      <alignment horizontal="right" vertical="center"/>
    </xf>
    <xf numFmtId="4" fontId="33" fillId="61" borderId="56" applyNumberFormat="0" applyProtection="0">
      <alignment horizontal="right" vertical="center"/>
    </xf>
    <xf numFmtId="4" fontId="33" fillId="65" borderId="56" applyNumberFormat="0" applyProtection="0">
      <alignment horizontal="right" vertical="center"/>
    </xf>
    <xf numFmtId="4" fontId="33" fillId="64" borderId="56" applyNumberFormat="0" applyProtection="0">
      <alignment horizontal="right" vertical="center"/>
    </xf>
    <xf numFmtId="4" fontId="33" fillId="84" borderId="56" applyNumberFormat="0" applyProtection="0">
      <alignment horizontal="right" vertical="center"/>
    </xf>
    <xf numFmtId="4" fontId="33" fillId="54" borderId="56" applyNumberFormat="0" applyProtection="0">
      <alignment horizontal="right" vertical="center"/>
    </xf>
    <xf numFmtId="4" fontId="115" fillId="85" borderId="57" applyNumberFormat="0" applyProtection="0">
      <alignment horizontal="left" vertical="center"/>
    </xf>
    <xf numFmtId="4" fontId="33" fillId="86" borderId="0" applyNumberFormat="0" applyProtection="0">
      <alignment horizontal="left" vertical="center"/>
    </xf>
    <xf numFmtId="4" fontId="169" fillId="87" borderId="0" applyNumberFormat="0" applyProtection="0">
      <alignment horizontal="left" vertical="center"/>
    </xf>
    <xf numFmtId="4" fontId="33" fillId="88" borderId="56" applyNumberFormat="0" applyProtection="0">
      <alignment horizontal="right" vertical="center"/>
    </xf>
    <xf numFmtId="4" fontId="33" fillId="86" borderId="0" applyNumberFormat="0" applyProtection="0">
      <alignment horizontal="left" vertical="center"/>
    </xf>
    <xf numFmtId="4" fontId="33" fillId="83" borderId="0" applyNumberFormat="0" applyProtection="0">
      <alignment horizontal="left" vertical="center"/>
    </xf>
    <xf numFmtId="0" fontId="17" fillId="87" borderId="56" applyNumberFormat="0" applyProtection="0">
      <alignment horizontal="left" vertical="center"/>
    </xf>
    <xf numFmtId="0" fontId="17" fillId="87" borderId="56" applyNumberFormat="0" applyProtection="0">
      <alignment horizontal="left" vertical="top"/>
    </xf>
    <xf numFmtId="0" fontId="17" fillId="83" borderId="56" applyNumberFormat="0" applyProtection="0">
      <alignment horizontal="left" vertical="center"/>
    </xf>
    <xf numFmtId="0" fontId="17" fillId="83" borderId="56" applyNumberFormat="0" applyProtection="0">
      <alignment horizontal="left" vertical="top"/>
    </xf>
    <xf numFmtId="0" fontId="17" fillId="69" borderId="56" applyNumberFormat="0" applyProtection="0">
      <alignment horizontal="left" vertical="center"/>
    </xf>
    <xf numFmtId="0" fontId="17" fillId="69" borderId="56" applyNumberFormat="0" applyProtection="0">
      <alignment horizontal="left" vertical="top"/>
    </xf>
    <xf numFmtId="0" fontId="17" fillId="89" borderId="56" applyNumberFormat="0" applyProtection="0">
      <alignment horizontal="left" vertical="center"/>
    </xf>
    <xf numFmtId="0" fontId="17" fillId="89" borderId="56" applyNumberFormat="0" applyProtection="0">
      <alignment horizontal="left" vertical="top"/>
    </xf>
    <xf numFmtId="4" fontId="33" fillId="74" borderId="56" applyNumberFormat="0" applyProtection="0">
      <alignment vertical="center"/>
    </xf>
    <xf numFmtId="4" fontId="175" fillId="74" borderId="56" applyNumberFormat="0" applyProtection="0">
      <alignment vertical="center"/>
    </xf>
    <xf numFmtId="4" fontId="33" fillId="74" borderId="56" applyNumberFormat="0" applyProtection="0">
      <alignment horizontal="left" vertical="center"/>
    </xf>
    <xf numFmtId="0" fontId="33" fillId="74" borderId="56" applyNumberFormat="0" applyProtection="0">
      <alignment horizontal="left" vertical="top"/>
    </xf>
    <xf numFmtId="4" fontId="33" fillId="86" borderId="56" applyNumberFormat="0" applyProtection="0">
      <alignment horizontal="right" vertical="center"/>
    </xf>
    <xf numFmtId="4" fontId="175" fillId="86" borderId="56" applyNumberFormat="0" applyProtection="0">
      <alignment horizontal="right" vertical="center"/>
    </xf>
    <xf numFmtId="4" fontId="169" fillId="69" borderId="56" applyNumberFormat="0" applyProtection="0">
      <alignment horizontal="left" vertical="center" wrapText="1" indent="1"/>
    </xf>
    <xf numFmtId="4" fontId="169" fillId="69" borderId="56" applyNumberFormat="0" applyProtection="0">
      <alignment horizontal="left" vertical="center" wrapText="1" indent="1"/>
    </xf>
    <xf numFmtId="0" fontId="33" fillId="83" borderId="56" applyNumberFormat="0" applyProtection="0">
      <alignment horizontal="left" vertical="top"/>
    </xf>
    <xf numFmtId="4" fontId="176" fillId="90" borderId="0" applyNumberFormat="0" applyProtection="0">
      <alignment horizontal="left" vertical="center"/>
    </xf>
    <xf numFmtId="4" fontId="167" fillId="86" borderId="56" applyNumberFormat="0" applyProtection="0">
      <alignment horizontal="right" vertical="center"/>
    </xf>
    <xf numFmtId="188" fontId="177" fillId="0" borderId="0"/>
    <xf numFmtId="0" fontId="178" fillId="72" borderId="58">
      <alignment horizontal="center"/>
    </xf>
    <xf numFmtId="222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38" fontId="31" fillId="91" borderId="0" applyNumberFormat="0" applyFont="0" applyBorder="0" applyAlignment="0" applyProtection="0"/>
    <xf numFmtId="0" fontId="168" fillId="1" borderId="45" applyNumberFormat="0" applyFont="0" applyAlignment="0">
      <alignment horizontal="center"/>
    </xf>
    <xf numFmtId="0" fontId="168" fillId="1" borderId="45" applyNumberFormat="0" applyFont="0" applyAlignment="0">
      <alignment horizontal="center"/>
    </xf>
    <xf numFmtId="199" fontId="104" fillId="0" borderId="59" applyFont="0"/>
    <xf numFmtId="0" fontId="156" fillId="0" borderId="0">
      <alignment vertical="center"/>
    </xf>
    <xf numFmtId="273" fontId="156" fillId="0" borderId="0">
      <alignment horizontal="left" vertical="center"/>
    </xf>
    <xf numFmtId="0" fontId="179" fillId="0" borderId="0" applyNumberFormat="0" applyFill="0" applyBorder="0" applyAlignment="0">
      <alignment horizontal="center"/>
    </xf>
    <xf numFmtId="0" fontId="17" fillId="0" borderId="0"/>
    <xf numFmtId="3" fontId="180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7" fillId="0" borderId="0" applyNumberFormat="0" applyFill="0" applyBorder="0" applyAlignment="0" applyProtection="0"/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17" fillId="0" borderId="0"/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17" fillId="0" borderId="0"/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0" fontId="33" fillId="0" borderId="0">
      <alignment vertical="top"/>
    </xf>
    <xf numFmtId="170" fontId="17" fillId="0" borderId="0" applyNumberFormat="0" applyFill="0" applyBorder="0" applyAlignment="0" applyProtection="0"/>
    <xf numFmtId="170" fontId="17" fillId="0" borderId="0"/>
    <xf numFmtId="170" fontId="17" fillId="0" borderId="0"/>
    <xf numFmtId="0" fontId="17" fillId="0" borderId="0"/>
    <xf numFmtId="49" fontId="181" fillId="72" borderId="60">
      <alignment horizontal="centerContinuous" vertical="center"/>
    </xf>
    <xf numFmtId="170" fontId="141" fillId="0" borderId="0"/>
    <xf numFmtId="0" fontId="141" fillId="0" borderId="0"/>
    <xf numFmtId="170" fontId="182" fillId="74" borderId="0">
      <alignment wrapText="1"/>
    </xf>
    <xf numFmtId="0" fontId="182" fillId="74" borderId="0">
      <alignment wrapText="1"/>
    </xf>
    <xf numFmtId="41" fontId="92" fillId="0" borderId="0" applyFill="0" applyBorder="0" applyProtection="0">
      <alignment horizontal="center"/>
    </xf>
    <xf numFmtId="40" fontId="183" fillId="0" borderId="0" applyBorder="0">
      <alignment horizontal="right"/>
    </xf>
    <xf numFmtId="38" fontId="184" fillId="0" borderId="0" applyFill="0" applyBorder="0" applyAlignment="0" applyProtection="0"/>
    <xf numFmtId="268" fontId="185" fillId="0" borderId="0" applyFill="0" applyBorder="0" applyAlignment="0" applyProtection="0"/>
    <xf numFmtId="37" fontId="125" fillId="76" borderId="0">
      <alignment horizontal="right" vertical="center"/>
      <protection locked="0"/>
    </xf>
    <xf numFmtId="0" fontId="91" fillId="0" borderId="42"/>
    <xf numFmtId="0" fontId="186" fillId="0" borderId="0" applyBorder="0" applyProtection="0">
      <alignment vertical="center"/>
    </xf>
    <xf numFmtId="221" fontId="186" fillId="0" borderId="50" applyBorder="0" applyProtection="0">
      <alignment horizontal="right" vertical="center"/>
    </xf>
    <xf numFmtId="0" fontId="187" fillId="73" borderId="0" applyBorder="0" applyProtection="0">
      <alignment horizontal="centerContinuous" vertical="center"/>
    </xf>
    <xf numFmtId="0" fontId="187" fillId="66" borderId="50" applyBorder="0" applyProtection="0">
      <alignment horizontal="centerContinuous" vertical="center"/>
    </xf>
    <xf numFmtId="0" fontId="188" fillId="0" borderId="0" applyFill="0" applyBorder="0" applyProtection="0">
      <alignment horizontal="left"/>
    </xf>
    <xf numFmtId="0" fontId="107" fillId="0" borderId="51" applyFill="0" applyBorder="0" applyProtection="0">
      <alignment horizontal="left" vertical="top"/>
    </xf>
    <xf numFmtId="0" fontId="189" fillId="0" borderId="0" applyNumberFormat="0" applyFill="0" applyBorder="0" applyAlignment="0" applyProtection="0"/>
    <xf numFmtId="0" fontId="74" fillId="0" borderId="0" applyFill="0" applyBorder="0" applyAlignment="0" applyProtection="0"/>
    <xf numFmtId="49" fontId="33" fillId="0" borderId="0" applyFill="0" applyBorder="0" applyAlignment="0"/>
    <xf numFmtId="274" fontId="33" fillId="0" borderId="0" applyFill="0" applyBorder="0" applyAlignment="0"/>
    <xf numFmtId="275" fontId="17" fillId="0" borderId="0" applyFill="0" applyBorder="0" applyAlignment="0"/>
    <xf numFmtId="275" fontId="17" fillId="0" borderId="0" applyFill="0" applyBorder="0" applyAlignment="0"/>
    <xf numFmtId="275" fontId="17" fillId="0" borderId="0" applyFill="0" applyBorder="0" applyAlignment="0"/>
    <xf numFmtId="276" fontId="33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190" fontId="17" fillId="0" borderId="0" applyFill="0" applyBorder="0" applyAlignment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277" fontId="31" fillId="0" borderId="0" applyFont="0" applyFill="0" applyBorder="0" applyAlignment="0" applyProtection="0"/>
    <xf numFmtId="278" fontId="31" fillId="0" borderId="0" applyFont="0" applyFill="0" applyBorder="0" applyAlignment="0" applyProtection="0"/>
    <xf numFmtId="170" fontId="193" fillId="0" borderId="0" applyFill="0" applyBorder="0" applyProtection="0">
      <alignment horizontal="left" vertical="top"/>
    </xf>
    <xf numFmtId="0" fontId="193" fillId="0" borderId="0" applyFill="0" applyBorder="0" applyProtection="0">
      <alignment horizontal="left" vertical="top"/>
    </xf>
    <xf numFmtId="18" fontId="95" fillId="0" borderId="0" applyFont="0" applyFill="0" applyBorder="0" applyAlignment="0" applyProtection="0">
      <alignment horizontal="left"/>
    </xf>
    <xf numFmtId="0" fontId="194" fillId="70" borderId="0"/>
    <xf numFmtId="0" fontId="195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13" fillId="0" borderId="46" applyNumberFormat="0" applyFill="0" applyAlignment="0" applyProtection="0"/>
    <xf numFmtId="0" fontId="113" fillId="0" borderId="46" applyNumberFormat="0" applyFill="0" applyAlignment="0" applyProtection="0"/>
    <xf numFmtId="0" fontId="196" fillId="0" borderId="46" applyNumberFormat="0" applyFill="0" applyAlignment="0" applyProtection="0"/>
    <xf numFmtId="0" fontId="114" fillId="0" borderId="47" applyNumberFormat="0" applyFill="0" applyAlignment="0" applyProtection="0"/>
    <xf numFmtId="0" fontId="114" fillId="0" borderId="47" applyNumberFormat="0" applyFill="0" applyAlignment="0" applyProtection="0"/>
    <xf numFmtId="0" fontId="197" fillId="0" borderId="47" applyNumberFormat="0" applyFill="0" applyAlignment="0" applyProtection="0"/>
    <xf numFmtId="0" fontId="98" fillId="0" borderId="48" applyNumberFormat="0" applyFill="0" applyAlignment="0" applyProtection="0"/>
    <xf numFmtId="0" fontId="98" fillId="0" borderId="48" applyNumberFormat="0" applyFill="0" applyAlignment="0" applyProtection="0"/>
    <xf numFmtId="0" fontId="99" fillId="0" borderId="48" applyNumberFormat="0" applyFill="0" applyAlignment="0" applyProtection="0"/>
    <xf numFmtId="0" fontId="195" fillId="0" borderId="0" applyNumberFormat="0" applyFill="0" applyBorder="0" applyAlignment="0" applyProtection="0"/>
    <xf numFmtId="0" fontId="198" fillId="0" borderId="61" applyNumberFormat="0" applyFill="0" applyAlignment="0" applyProtection="0"/>
    <xf numFmtId="0" fontId="198" fillId="0" borderId="61" applyNumberFormat="0" applyFill="0" applyAlignment="0" applyProtection="0"/>
    <xf numFmtId="0" fontId="13" fillId="0" borderId="8" applyNumberFormat="0" applyFill="0" applyAlignment="0" applyProtection="0"/>
    <xf numFmtId="0" fontId="93" fillId="0" borderId="62" applyNumberFormat="0" applyFont="0" applyFill="0" applyAlignment="0" applyProtection="0"/>
    <xf numFmtId="0" fontId="13" fillId="0" borderId="8" applyNumberFormat="0" applyFill="0" applyAlignment="0" applyProtection="0"/>
    <xf numFmtId="0" fontId="13" fillId="0" borderId="8" applyNumberFormat="0" applyFill="0" applyAlignment="0" applyProtection="0"/>
    <xf numFmtId="0" fontId="199" fillId="0" borderId="61" applyNumberFormat="0" applyFill="0" applyAlignment="0" applyProtection="0"/>
    <xf numFmtId="0" fontId="199" fillId="0" borderId="61" applyNumberFormat="0" applyFill="0" applyAlignment="0" applyProtection="0"/>
    <xf numFmtId="170" fontId="198" fillId="0" borderId="61" applyNumberFormat="0" applyFill="0" applyAlignment="0" applyProtection="0"/>
    <xf numFmtId="170" fontId="198" fillId="0" borderId="61" applyNumberFormat="0" applyFill="0" applyAlignment="0" applyProtection="0"/>
    <xf numFmtId="0" fontId="198" fillId="0" borderId="61" applyNumberFormat="0" applyFill="0" applyAlignment="0" applyProtection="0"/>
    <xf numFmtId="0" fontId="198" fillId="0" borderId="61" applyNumberFormat="0" applyFill="0" applyAlignment="0" applyProtection="0"/>
    <xf numFmtId="0" fontId="137" fillId="0" borderId="63"/>
    <xf numFmtId="0" fontId="137" fillId="0" borderId="42"/>
    <xf numFmtId="10" fontId="166" fillId="0" borderId="64" applyNumberFormat="0" applyFont="0" applyFill="0" applyAlignment="0" applyProtection="0"/>
    <xf numFmtId="279" fontId="17" fillId="0" borderId="27" applyFont="0" applyFill="0" applyBorder="0" applyProtection="0">
      <alignment horizontal="center"/>
      <protection locked="0"/>
    </xf>
    <xf numFmtId="280" fontId="92" fillId="0" borderId="33" applyFont="0" applyFill="0" applyBorder="0" applyProtection="0">
      <alignment horizontal="center"/>
    </xf>
    <xf numFmtId="280" fontId="92" fillId="0" borderId="33" applyFont="0" applyFill="0" applyBorder="0" applyProtection="0">
      <alignment horizontal="center"/>
    </xf>
    <xf numFmtId="38" fontId="17" fillId="0" borderId="9" applyFont="0" applyFill="0" applyBorder="0" applyAlignment="0" applyProtection="0">
      <protection locked="0"/>
    </xf>
    <xf numFmtId="15" fontId="17" fillId="0" borderId="9" applyFont="0" applyFill="0" applyBorder="0" applyProtection="0">
      <alignment horizontal="center"/>
      <protection locked="0"/>
    </xf>
    <xf numFmtId="10" fontId="17" fillId="0" borderId="9" applyFont="0" applyFill="0" applyBorder="0" applyProtection="0">
      <alignment horizontal="center"/>
      <protection locked="0"/>
    </xf>
    <xf numFmtId="281" fontId="17" fillId="0" borderId="9" applyFont="0" applyFill="0" applyBorder="0" applyProtection="0">
      <alignment horizontal="center"/>
    </xf>
    <xf numFmtId="282" fontId="90" fillId="0" borderId="0">
      <alignment horizontal="left"/>
    </xf>
    <xf numFmtId="0" fontId="200" fillId="0" borderId="0">
      <alignment vertical="top"/>
    </xf>
    <xf numFmtId="170" fontId="201" fillId="71" borderId="0">
      <alignment horizontal="center"/>
    </xf>
    <xf numFmtId="0" fontId="201" fillId="71" borderId="0">
      <alignment horizontal="center"/>
    </xf>
    <xf numFmtId="283" fontId="202" fillId="0" borderId="0" applyFont="0" applyFill="0" applyBorder="0" applyAlignment="0" applyProtection="0">
      <alignment horizontal="left" vertical="center"/>
    </xf>
    <xf numFmtId="283" fontId="202" fillId="0" borderId="0" applyFont="0" applyFill="0" applyBorder="0" applyAlignment="0" applyProtection="0">
      <alignment horizontal="left" vertical="center"/>
    </xf>
    <xf numFmtId="284" fontId="17" fillId="0" borderId="0" applyFill="0" applyBorder="0" applyAlignment="0" applyProtection="0"/>
    <xf numFmtId="284" fontId="17" fillId="0" borderId="0" applyFill="0" applyBorder="0" applyAlignment="0" applyProtection="0"/>
    <xf numFmtId="285" fontId="17" fillId="0" borderId="0" applyFont="0" applyFill="0" applyBorder="0" applyAlignment="0" applyProtection="0"/>
    <xf numFmtId="215" fontId="17" fillId="0" borderId="0" applyFont="0" applyFill="0" applyBorder="0" applyAlignment="0" applyProtection="0"/>
    <xf numFmtId="286" fontId="31" fillId="0" borderId="0" applyFont="0" applyFill="0" applyBorder="0" applyAlignment="0" applyProtection="0"/>
    <xf numFmtId="287" fontId="38" fillId="0" borderId="0" applyFont="0" applyFill="0" applyBorder="0" applyAlignment="0" applyProtection="0"/>
    <xf numFmtId="288" fontId="17" fillId="0" borderId="0" applyFont="0" applyFill="0" applyBorder="0" applyAlignment="0" applyProtection="0"/>
    <xf numFmtId="289" fontId="17" fillId="0" borderId="0" applyFont="0" applyFill="0" applyBorder="0" applyAlignment="0" applyProtection="0"/>
    <xf numFmtId="0" fontId="19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6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290" fontId="30" fillId="0" borderId="0"/>
    <xf numFmtId="291" fontId="92" fillId="0" borderId="45" applyFont="0" applyFill="0" applyBorder="0" applyAlignment="0" applyProtection="0"/>
    <xf numFmtId="222" fontId="203" fillId="0" borderId="0" applyFont="0" applyFill="0" applyBorder="0" applyAlignment="0" applyProtection="0"/>
    <xf numFmtId="209" fontId="203" fillId="0" borderId="0" applyFont="0" applyFill="0" applyBorder="0" applyAlignment="0" applyProtection="0"/>
    <xf numFmtId="0" fontId="204" fillId="0" borderId="0" applyFont="0" applyFill="0" applyBorder="0" applyAlignment="0" applyProtection="0"/>
    <xf numFmtId="0" fontId="204" fillId="0" borderId="0" applyFont="0" applyFill="0" applyBorder="0" applyAlignment="0" applyProtection="0"/>
    <xf numFmtId="0" fontId="204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/>
    <xf numFmtId="257" fontId="17" fillId="0" borderId="0" applyFont="0" applyFill="0" applyBorder="0" applyAlignment="0" applyProtection="0"/>
    <xf numFmtId="292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5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73" fillId="103" borderId="6" applyNumberFormat="0" applyAlignment="0" applyProtection="0"/>
    <xf numFmtId="0" fontId="275" fillId="0" borderId="0" applyNumberFormat="0" applyFill="0" applyBorder="0">
      <protection locked="0"/>
    </xf>
  </cellStyleXfs>
  <cellXfs count="1240">
    <xf numFmtId="0" fontId="0" fillId="0" borderId="0" xfId="0"/>
    <xf numFmtId="0" fontId="15" fillId="0" borderId="0" xfId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166" fontId="15" fillId="0" borderId="0" xfId="2" applyNumberFormat="1" applyFont="1" applyFill="1" applyBorder="1" applyAlignment="1">
      <alignment horizontal="center" vertical="center"/>
    </xf>
    <xf numFmtId="15" fontId="15" fillId="0" borderId="0" xfId="1" applyNumberFormat="1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0" xfId="1"/>
    <xf numFmtId="0" fontId="15" fillId="0" borderId="9" xfId="1" applyFont="1" applyBorder="1" applyAlignment="1">
      <alignment horizontal="center" vertical="center" wrapText="1"/>
    </xf>
    <xf numFmtId="0" fontId="15" fillId="32" borderId="9" xfId="1" applyFont="1" applyFill="1" applyBorder="1" applyAlignment="1">
      <alignment horizontal="center" vertical="center" wrapText="1"/>
    </xf>
    <xf numFmtId="167" fontId="15" fillId="0" borderId="9" xfId="1" applyNumberFormat="1" applyFont="1" applyBorder="1" applyAlignment="1">
      <alignment horizontal="center" vertical="center" wrapText="1"/>
    </xf>
    <xf numFmtId="166" fontId="15" fillId="0" borderId="9" xfId="2" applyNumberFormat="1" applyFont="1" applyFill="1" applyBorder="1" applyAlignment="1">
      <alignment horizontal="center" vertical="center" wrapText="1"/>
    </xf>
    <xf numFmtId="0" fontId="18" fillId="0" borderId="9" xfId="3" applyFont="1" applyBorder="1" applyAlignment="1">
      <alignment horizontal="center" vertical="center" wrapText="1"/>
    </xf>
    <xf numFmtId="0" fontId="19" fillId="0" borderId="9" xfId="3" applyFont="1" applyBorder="1" applyAlignment="1">
      <alignment horizontal="center" vertical="center" wrapText="1"/>
    </xf>
    <xf numFmtId="0" fontId="20" fillId="0" borderId="9" xfId="1" applyFont="1" applyBorder="1" applyAlignment="1">
      <alignment horizontal="center" vertical="center"/>
    </xf>
    <xf numFmtId="0" fontId="20" fillId="0" borderId="9" xfId="1" applyFont="1" applyBorder="1" applyAlignment="1">
      <alignment horizontal="left" vertical="center"/>
    </xf>
    <xf numFmtId="15" fontId="20" fillId="0" borderId="9" xfId="1" applyNumberFormat="1" applyFont="1" applyBorder="1" applyAlignment="1">
      <alignment horizontal="right" vertical="center"/>
    </xf>
    <xf numFmtId="168" fontId="20" fillId="0" borderId="9" xfId="2" applyNumberFormat="1" applyFont="1" applyFill="1" applyBorder="1" applyAlignment="1">
      <alignment horizontal="right" vertical="center"/>
    </xf>
    <xf numFmtId="169" fontId="20" fillId="0" borderId="9" xfId="1" applyNumberFormat="1" applyFont="1" applyBorder="1" applyAlignment="1">
      <alignment vertical="center"/>
    </xf>
    <xf numFmtId="0" fontId="21" fillId="0" borderId="9" xfId="1" applyFont="1" applyBorder="1"/>
    <xf numFmtId="2" fontId="21" fillId="0" borderId="9" xfId="1" applyNumberFormat="1" applyFont="1" applyBorder="1"/>
    <xf numFmtId="168" fontId="21" fillId="0" borderId="9" xfId="1" applyNumberFormat="1" applyFont="1" applyBorder="1"/>
    <xf numFmtId="168" fontId="20" fillId="0" borderId="9" xfId="2" applyNumberFormat="1" applyFont="1" applyFill="1" applyBorder="1"/>
    <xf numFmtId="168" fontId="21" fillId="0" borderId="9" xfId="1" applyNumberFormat="1" applyFont="1" applyBorder="1" applyAlignment="1">
      <alignment horizontal="right"/>
    </xf>
    <xf numFmtId="167" fontId="20" fillId="0" borderId="9" xfId="1" applyNumberFormat="1" applyFont="1" applyBorder="1" applyAlignment="1">
      <alignment horizontal="right" vertical="center"/>
    </xf>
    <xf numFmtId="0" fontId="20" fillId="0" borderId="9" xfId="1" quotePrefix="1" applyFont="1" applyBorder="1" applyAlignment="1">
      <alignment horizontal="left" vertical="center"/>
    </xf>
    <xf numFmtId="15" fontId="20" fillId="0" borderId="9" xfId="1" quotePrefix="1" applyNumberFormat="1" applyFont="1" applyBorder="1" applyAlignment="1">
      <alignment horizontal="right" vertical="center"/>
    </xf>
    <xf numFmtId="0" fontId="20" fillId="0" borderId="9" xfId="1" applyFont="1" applyBorder="1" applyAlignment="1">
      <alignment vertical="center"/>
    </xf>
    <xf numFmtId="0" fontId="22" fillId="0" borderId="9" xfId="1" applyFont="1" applyBorder="1"/>
    <xf numFmtId="168" fontId="23" fillId="0" borderId="9" xfId="2" applyNumberFormat="1" applyFont="1" applyFill="1" applyBorder="1" applyAlignment="1">
      <alignment horizontal="right" vertical="center"/>
    </xf>
    <xf numFmtId="0" fontId="23" fillId="0" borderId="9" xfId="1" applyFont="1" applyBorder="1" applyAlignment="1">
      <alignment horizontal="left" vertical="center"/>
    </xf>
    <xf numFmtId="168" fontId="23" fillId="33" borderId="9" xfId="2" applyNumberFormat="1" applyFont="1" applyFill="1" applyBorder="1" applyAlignment="1">
      <alignment horizontal="right" vertical="center"/>
    </xf>
    <xf numFmtId="0" fontId="23" fillId="33" borderId="9" xfId="1" applyFont="1" applyFill="1" applyBorder="1" applyAlignment="1">
      <alignment horizontal="left" vertical="center"/>
    </xf>
    <xf numFmtId="168" fontId="21" fillId="0" borderId="9" xfId="2" applyNumberFormat="1" applyFont="1" applyBorder="1" applyAlignment="1">
      <alignment horizontal="right"/>
    </xf>
    <xf numFmtId="0" fontId="21" fillId="0" borderId="9" xfId="1" applyFont="1" applyBorder="1" applyAlignment="1">
      <alignment horizontal="center"/>
    </xf>
    <xf numFmtId="168" fontId="20" fillId="0" borderId="9" xfId="2" applyNumberFormat="1" applyFont="1" applyFill="1" applyBorder="1" applyAlignment="1">
      <alignment horizontal="right"/>
    </xf>
    <xf numFmtId="169" fontId="20" fillId="33" borderId="9" xfId="1" applyNumberFormat="1" applyFont="1" applyFill="1" applyBorder="1" applyAlignment="1">
      <alignment vertical="center"/>
    </xf>
    <xf numFmtId="0" fontId="21" fillId="33" borderId="9" xfId="1" applyFont="1" applyFill="1" applyBorder="1"/>
    <xf numFmtId="168" fontId="20" fillId="33" borderId="9" xfId="2" applyNumberFormat="1" applyFont="1" applyFill="1" applyBorder="1" applyAlignment="1">
      <alignment horizontal="right" vertical="center"/>
    </xf>
    <xf numFmtId="0" fontId="21" fillId="33" borderId="9" xfId="1" applyFont="1" applyFill="1" applyBorder="1" applyAlignment="1">
      <alignment horizontal="center"/>
    </xf>
    <xf numFmtId="2" fontId="21" fillId="33" borderId="9" xfId="1" applyNumberFormat="1" applyFont="1" applyFill="1" applyBorder="1"/>
    <xf numFmtId="168" fontId="20" fillId="34" borderId="9" xfId="2" applyNumberFormat="1" applyFont="1" applyFill="1" applyBorder="1" applyAlignment="1">
      <alignment horizontal="right" vertical="center"/>
    </xf>
    <xf numFmtId="168" fontId="24" fillId="33" borderId="9" xfId="1" applyNumberFormat="1" applyFont="1" applyFill="1" applyBorder="1" applyAlignment="1">
      <alignment horizontal="right"/>
    </xf>
    <xf numFmtId="0" fontId="21" fillId="0" borderId="0" xfId="1" applyFont="1"/>
    <xf numFmtId="166" fontId="21" fillId="0" borderId="0" xfId="1" applyNumberFormat="1" applyFont="1" applyAlignment="1">
      <alignment horizontal="right"/>
    </xf>
    <xf numFmtId="0" fontId="21" fillId="0" borderId="0" xfId="1" applyFont="1" applyAlignment="1">
      <alignment horizontal="right"/>
    </xf>
    <xf numFmtId="168" fontId="21" fillId="0" borderId="0" xfId="1" applyNumberFormat="1" applyFont="1" applyAlignment="1">
      <alignment horizontal="right"/>
    </xf>
    <xf numFmtId="0" fontId="13" fillId="0" borderId="0" xfId="1" applyFont="1"/>
    <xf numFmtId="0" fontId="1" fillId="0" borderId="0" xfId="1" applyAlignment="1">
      <alignment horizontal="right"/>
    </xf>
    <xf numFmtId="168" fontId="1" fillId="0" borderId="0" xfId="1" applyNumberFormat="1" applyAlignment="1">
      <alignment horizontal="right"/>
    </xf>
    <xf numFmtId="168" fontId="25" fillId="0" borderId="0" xfId="1" applyNumberFormat="1" applyFont="1" applyAlignment="1">
      <alignment horizontal="right"/>
    </xf>
    <xf numFmtId="0" fontId="0" fillId="0" borderId="11" xfId="1" applyFont="1" applyBorder="1"/>
    <xf numFmtId="0" fontId="1" fillId="0" borderId="12" xfId="1" applyBorder="1"/>
    <xf numFmtId="168" fontId="1" fillId="0" borderId="12" xfId="1" applyNumberFormat="1" applyBorder="1" applyAlignment="1">
      <alignment horizontal="right"/>
    </xf>
    <xf numFmtId="168" fontId="0" fillId="0" borderId="12" xfId="1" applyNumberFormat="1" applyFont="1" applyBorder="1"/>
    <xf numFmtId="168" fontId="1" fillId="0" borderId="12" xfId="1" applyNumberFormat="1" applyBorder="1"/>
    <xf numFmtId="168" fontId="1" fillId="0" borderId="13" xfId="1" applyNumberFormat="1" applyBorder="1" applyAlignment="1">
      <alignment horizontal="right"/>
    </xf>
    <xf numFmtId="168" fontId="1" fillId="0" borderId="14" xfId="1" applyNumberFormat="1" applyBorder="1" applyAlignment="1">
      <alignment horizontal="right"/>
    </xf>
    <xf numFmtId="168" fontId="1" fillId="0" borderId="0" xfId="1" applyNumberFormat="1"/>
    <xf numFmtId="0" fontId="0" fillId="0" borderId="15" xfId="1" applyFont="1" applyBorder="1"/>
    <xf numFmtId="168" fontId="0" fillId="0" borderId="0" xfId="1" applyNumberFormat="1" applyFont="1"/>
    <xf numFmtId="168" fontId="1" fillId="0" borderId="16" xfId="1" applyNumberFormat="1" applyBorder="1" applyAlignment="1">
      <alignment horizontal="right"/>
    </xf>
    <xf numFmtId="168" fontId="1" fillId="0" borderId="17" xfId="1" applyNumberFormat="1" applyBorder="1" applyAlignment="1">
      <alignment horizontal="right"/>
    </xf>
    <xf numFmtId="0" fontId="0" fillId="0" borderId="18" xfId="1" applyFont="1" applyBorder="1"/>
    <xf numFmtId="0" fontId="1" fillId="0" borderId="19" xfId="1" applyBorder="1"/>
    <xf numFmtId="168" fontId="1" fillId="0" borderId="18" xfId="1" applyNumberFormat="1" applyBorder="1" applyAlignment="1">
      <alignment horizontal="right"/>
    </xf>
    <xf numFmtId="168" fontId="1" fillId="0" borderId="20" xfId="1" applyNumberFormat="1" applyBorder="1" applyAlignment="1">
      <alignment horizontal="right"/>
    </xf>
    <xf numFmtId="168" fontId="1" fillId="0" borderId="20" xfId="1" applyNumberFormat="1" applyBorder="1"/>
    <xf numFmtId="0" fontId="1" fillId="0" borderId="20" xfId="1" applyBorder="1"/>
    <xf numFmtId="168" fontId="1" fillId="0" borderId="21" xfId="1" applyNumberFormat="1" applyBorder="1" applyAlignment="1">
      <alignment horizontal="right"/>
    </xf>
    <xf numFmtId="168" fontId="1" fillId="0" borderId="19" xfId="1" applyNumberFormat="1" applyBorder="1" applyAlignment="1">
      <alignment horizontal="right"/>
    </xf>
    <xf numFmtId="0" fontId="0" fillId="0" borderId="0" xfId="1" applyFont="1"/>
    <xf numFmtId="168" fontId="25" fillId="0" borderId="0" xfId="1" applyNumberFormat="1" applyFont="1"/>
    <xf numFmtId="0" fontId="26" fillId="0" borderId="9" xfId="1" applyFont="1" applyBorder="1"/>
    <xf numFmtId="15" fontId="205" fillId="0" borderId="0" xfId="1" applyNumberFormat="1" applyFont="1" applyAlignment="1">
      <alignment horizontal="center" vertical="center"/>
    </xf>
    <xf numFmtId="0" fontId="206" fillId="0" borderId="9" xfId="1" applyFont="1" applyBorder="1"/>
    <xf numFmtId="168" fontId="1" fillId="0" borderId="49" xfId="1" applyNumberFormat="1" applyBorder="1" applyAlignment="1">
      <alignment horizontal="right"/>
    </xf>
    <xf numFmtId="168" fontId="1" fillId="0" borderId="65" xfId="1" applyNumberFormat="1" applyBorder="1" applyAlignment="1">
      <alignment horizontal="right"/>
    </xf>
    <xf numFmtId="168" fontId="1" fillId="0" borderId="66" xfId="1" applyNumberFormat="1" applyBorder="1" applyAlignment="1">
      <alignment horizontal="right"/>
    </xf>
    <xf numFmtId="168" fontId="1" fillId="0" borderId="67" xfId="1" applyNumberFormat="1" applyBorder="1" applyAlignment="1">
      <alignment horizontal="right"/>
    </xf>
    <xf numFmtId="0" fontId="1" fillId="0" borderId="14" xfId="1" applyBorder="1"/>
    <xf numFmtId="0" fontId="1" fillId="0" borderId="17" xfId="1" applyBorder="1"/>
    <xf numFmtId="0" fontId="1" fillId="0" borderId="66" xfId="1" applyBorder="1"/>
    <xf numFmtId="0" fontId="20" fillId="0" borderId="9" xfId="1650" applyFont="1" applyBorder="1" applyAlignment="1">
      <alignment horizontal="left" vertical="center"/>
    </xf>
    <xf numFmtId="167" fontId="20" fillId="0" borderId="9" xfId="1650" applyNumberFormat="1" applyFont="1" applyBorder="1" applyAlignment="1">
      <alignment horizontal="right" vertical="center"/>
    </xf>
    <xf numFmtId="167" fontId="20" fillId="0" borderId="9" xfId="1650" applyNumberFormat="1" applyFont="1" applyBorder="1" applyAlignment="1">
      <alignment horizontal="center" vertical="center"/>
    </xf>
    <xf numFmtId="0" fontId="20" fillId="0" borderId="9" xfId="1650" applyFont="1" applyBorder="1" applyAlignment="1">
      <alignment vertical="center"/>
    </xf>
    <xf numFmtId="15" fontId="20" fillId="0" borderId="9" xfId="1650" applyNumberFormat="1" applyFont="1" applyBorder="1" applyAlignment="1">
      <alignment horizontal="right" vertical="center"/>
    </xf>
    <xf numFmtId="0" fontId="207" fillId="0" borderId="9" xfId="1650" applyFont="1" applyBorder="1" applyAlignment="1">
      <alignment vertical="center"/>
    </xf>
    <xf numFmtId="14" fontId="208" fillId="0" borderId="9" xfId="1650" applyNumberFormat="1" applyFont="1" applyBorder="1"/>
    <xf numFmtId="14" fontId="208" fillId="0" borderId="9" xfId="1650" applyNumberFormat="1" applyFont="1" applyBorder="1" applyAlignment="1">
      <alignment horizontal="right"/>
    </xf>
    <xf numFmtId="0" fontId="207" fillId="0" borderId="9" xfId="1" applyFont="1" applyBorder="1" applyAlignment="1">
      <alignment horizontal="left" vertical="center"/>
    </xf>
    <xf numFmtId="0" fontId="207" fillId="0" borderId="9" xfId="1" applyFont="1" applyBorder="1" applyAlignment="1">
      <alignment vertical="center"/>
    </xf>
    <xf numFmtId="0" fontId="18" fillId="0" borderId="0" xfId="1" applyFont="1" applyAlignment="1">
      <alignment horizontal="left" vertical="center"/>
    </xf>
    <xf numFmtId="0" fontId="209" fillId="0" borderId="0" xfId="1" applyFont="1"/>
    <xf numFmtId="168" fontId="209" fillId="0" borderId="0" xfId="1" applyNumberFormat="1" applyFont="1" applyAlignment="1">
      <alignment horizontal="right"/>
    </xf>
    <xf numFmtId="168" fontId="209" fillId="0" borderId="0" xfId="1" applyNumberFormat="1" applyFont="1"/>
    <xf numFmtId="0" fontId="26" fillId="0" borderId="9" xfId="1" applyFont="1" applyBorder="1" applyAlignment="1">
      <alignment vertical="center"/>
    </xf>
    <xf numFmtId="0" fontId="26" fillId="0" borderId="10" xfId="1" applyFont="1" applyBorder="1" applyAlignment="1">
      <alignment horizontal="center" vertical="center" wrapText="1"/>
    </xf>
    <xf numFmtId="0" fontId="26" fillId="0" borderId="22" xfId="1" applyFont="1" applyBorder="1" applyAlignment="1">
      <alignment horizontal="center" vertical="center" wrapText="1"/>
    </xf>
    <xf numFmtId="0" fontId="26" fillId="35" borderId="21" xfId="1" applyFont="1" applyFill="1" applyBorder="1" applyAlignment="1">
      <alignment horizontal="center" vertical="center" wrapText="1"/>
    </xf>
    <xf numFmtId="0" fontId="209" fillId="0" borderId="19" xfId="1" applyFont="1" applyBorder="1" applyAlignment="1">
      <alignment horizontal="center" vertical="center" wrapText="1"/>
    </xf>
    <xf numFmtId="0" fontId="209" fillId="0" borderId="9" xfId="1" applyFont="1" applyBorder="1"/>
    <xf numFmtId="168" fontId="210" fillId="0" borderId="9" xfId="2" applyNumberFormat="1" applyFont="1" applyFill="1" applyBorder="1" applyAlignment="1">
      <alignment horizontal="right" vertical="center"/>
    </xf>
    <xf numFmtId="168" fontId="210" fillId="0" borderId="23" xfId="2" applyNumberFormat="1" applyFont="1" applyFill="1" applyBorder="1" applyAlignment="1">
      <alignment horizontal="right" vertical="center"/>
    </xf>
    <xf numFmtId="168" fontId="18" fillId="35" borderId="24" xfId="2" applyNumberFormat="1" applyFont="1" applyFill="1" applyBorder="1" applyAlignment="1">
      <alignment horizontal="right" vertical="center"/>
    </xf>
    <xf numFmtId="168" fontId="18" fillId="35" borderId="26" xfId="2" applyNumberFormat="1" applyFont="1" applyFill="1" applyBorder="1" applyAlignment="1">
      <alignment horizontal="right" vertical="center"/>
    </xf>
    <xf numFmtId="168" fontId="210" fillId="0" borderId="27" xfId="2" applyNumberFormat="1" applyFont="1" applyFill="1" applyBorder="1" applyAlignment="1">
      <alignment horizontal="right" vertical="center"/>
    </xf>
    <xf numFmtId="0" fontId="210" fillId="0" borderId="9" xfId="1" applyFont="1" applyBorder="1" applyAlignment="1">
      <alignment horizontal="left" vertical="center"/>
    </xf>
    <xf numFmtId="0" fontId="210" fillId="0" borderId="9" xfId="1" applyFont="1" applyBorder="1" applyAlignment="1">
      <alignment vertical="center"/>
    </xf>
    <xf numFmtId="168" fontId="210" fillId="0" borderId="26" xfId="2" applyNumberFormat="1" applyFont="1" applyFill="1" applyBorder="1" applyAlignment="1">
      <alignment horizontal="right" vertical="center"/>
    </xf>
    <xf numFmtId="168" fontId="18" fillId="35" borderId="28" xfId="2" applyNumberFormat="1" applyFont="1" applyFill="1" applyBorder="1" applyAlignment="1">
      <alignment horizontal="right" vertical="center"/>
    </xf>
    <xf numFmtId="0" fontId="207" fillId="0" borderId="9" xfId="1" applyFont="1" applyBorder="1"/>
    <xf numFmtId="0" fontId="20" fillId="0" borderId="9" xfId="1" applyFont="1" applyBorder="1"/>
    <xf numFmtId="168" fontId="210" fillId="0" borderId="25" xfId="2" applyNumberFormat="1" applyFont="1" applyFill="1" applyBorder="1" applyAlignment="1">
      <alignment horizontal="right" vertical="center"/>
    </xf>
    <xf numFmtId="0" fontId="211" fillId="0" borderId="0" xfId="1644" applyFont="1"/>
    <xf numFmtId="293" fontId="211" fillId="0" borderId="0" xfId="990" applyNumberFormat="1" applyFont="1"/>
    <xf numFmtId="0" fontId="212" fillId="0" borderId="11" xfId="1644" applyFont="1" applyBorder="1"/>
    <xf numFmtId="0" fontId="213" fillId="0" borderId="68" xfId="1644" applyFont="1" applyBorder="1"/>
    <xf numFmtId="3" fontId="214" fillId="0" borderId="68" xfId="1644" applyNumberFormat="1" applyFont="1" applyBorder="1"/>
    <xf numFmtId="0" fontId="17" fillId="0" borderId="68" xfId="1644" applyBorder="1"/>
    <xf numFmtId="0" fontId="213" fillId="0" borderId="69" xfId="1644" applyFont="1" applyBorder="1"/>
    <xf numFmtId="3" fontId="182" fillId="0" borderId="70" xfId="1644" applyNumberFormat="1" applyFont="1" applyBorder="1"/>
    <xf numFmtId="3" fontId="214" fillId="0" borderId="0" xfId="1644" applyNumberFormat="1" applyFont="1"/>
    <xf numFmtId="0" fontId="17" fillId="0" borderId="0" xfId="1644"/>
    <xf numFmtId="166" fontId="215" fillId="0" borderId="0" xfId="990" applyNumberFormat="1" applyFont="1" applyFill="1" applyBorder="1" applyAlignment="1">
      <alignment horizontal="right"/>
    </xf>
    <xf numFmtId="0" fontId="211" fillId="0" borderId="71" xfId="1644" applyFont="1" applyBorder="1"/>
    <xf numFmtId="0" fontId="216" fillId="0" borderId="70" xfId="1644" applyFont="1" applyBorder="1" applyAlignment="1">
      <alignment horizontal="left" readingOrder="1"/>
    </xf>
    <xf numFmtId="0" fontId="213" fillId="0" borderId="70" xfId="1644" applyFont="1" applyBorder="1"/>
    <xf numFmtId="293" fontId="218" fillId="0" borderId="71" xfId="990" applyNumberFormat="1" applyFont="1" applyBorder="1" applyAlignment="1">
      <alignment horizontal="center"/>
    </xf>
    <xf numFmtId="0" fontId="220" fillId="32" borderId="76" xfId="1644" applyFont="1" applyFill="1" applyBorder="1" applyAlignment="1">
      <alignment horizontal="center" vertical="center" wrapText="1"/>
    </xf>
    <xf numFmtId="0" fontId="220" fillId="32" borderId="77" xfId="1644" applyFont="1" applyFill="1" applyBorder="1" applyAlignment="1">
      <alignment horizontal="center" vertical="center" wrapText="1"/>
    </xf>
    <xf numFmtId="0" fontId="220" fillId="32" borderId="78" xfId="1644" applyFont="1" applyFill="1" applyBorder="1" applyAlignment="1">
      <alignment horizontal="center" vertical="center" wrapText="1"/>
    </xf>
    <xf numFmtId="0" fontId="211" fillId="0" borderId="0" xfId="1644" applyFont="1" applyAlignment="1">
      <alignment wrapText="1"/>
    </xf>
    <xf numFmtId="0" fontId="221" fillId="0" borderId="70" xfId="1644" applyFont="1" applyBorder="1"/>
    <xf numFmtId="0" fontId="222" fillId="0" borderId="79" xfId="1644" applyFont="1" applyBorder="1"/>
    <xf numFmtId="0" fontId="211" fillId="0" borderId="79" xfId="1644" applyFont="1" applyBorder="1"/>
    <xf numFmtId="0" fontId="221" fillId="32" borderId="79" xfId="1644" applyFont="1" applyFill="1" applyBorder="1"/>
    <xf numFmtId="0" fontId="211" fillId="32" borderId="79" xfId="1644" applyFont="1" applyFill="1" applyBorder="1"/>
    <xf numFmtId="0" fontId="211" fillId="0" borderId="80" xfId="1644" applyFont="1" applyBorder="1"/>
    <xf numFmtId="2" fontId="211" fillId="32" borderId="79" xfId="1644" applyNumberFormat="1" applyFont="1" applyFill="1" applyBorder="1"/>
    <xf numFmtId="209" fontId="211" fillId="32" borderId="79" xfId="990" applyFont="1" applyFill="1" applyBorder="1"/>
    <xf numFmtId="209" fontId="211" fillId="0" borderId="79" xfId="990" applyFont="1" applyBorder="1"/>
    <xf numFmtId="209" fontId="221" fillId="32" borderId="79" xfId="990" applyFont="1" applyFill="1" applyBorder="1"/>
    <xf numFmtId="209" fontId="211" fillId="0" borderId="80" xfId="990" applyFont="1" applyBorder="1"/>
    <xf numFmtId="0" fontId="211" fillId="0" borderId="70" xfId="1644" applyFont="1" applyBorder="1" applyAlignment="1">
      <alignment horizontal="right"/>
    </xf>
    <xf numFmtId="0" fontId="211" fillId="0" borderId="79" xfId="1806" applyFont="1" applyBorder="1"/>
    <xf numFmtId="0" fontId="221" fillId="32" borderId="81" xfId="1644" applyFont="1" applyFill="1" applyBorder="1"/>
    <xf numFmtId="0" fontId="223" fillId="32" borderId="82" xfId="1644" applyFont="1" applyFill="1" applyBorder="1"/>
    <xf numFmtId="209" fontId="221" fillId="32" borderId="83" xfId="990" applyFont="1" applyFill="1" applyBorder="1"/>
    <xf numFmtId="209" fontId="211" fillId="0" borderId="0" xfId="990" applyFont="1"/>
    <xf numFmtId="0" fontId="211" fillId="0" borderId="0" xfId="1806" applyFont="1"/>
    <xf numFmtId="0" fontId="17" fillId="0" borderId="0" xfId="1806"/>
    <xf numFmtId="294" fontId="17" fillId="0" borderId="0" xfId="1644" applyNumberFormat="1"/>
    <xf numFmtId="2" fontId="17" fillId="0" borderId="0" xfId="1644" applyNumberFormat="1"/>
    <xf numFmtId="43" fontId="17" fillId="0" borderId="0" xfId="1644" applyNumberFormat="1"/>
    <xf numFmtId="294" fontId="92" fillId="0" borderId="0" xfId="1644" applyNumberFormat="1" applyFont="1"/>
    <xf numFmtId="2" fontId="92" fillId="0" borderId="0" xfId="1644" applyNumberFormat="1" applyFont="1"/>
    <xf numFmtId="0" fontId="221" fillId="0" borderId="97" xfId="990" applyNumberFormat="1" applyFont="1" applyBorder="1"/>
    <xf numFmtId="165" fontId="17" fillId="0" borderId="0" xfId="1644" applyNumberFormat="1"/>
    <xf numFmtId="209" fontId="17" fillId="0" borderId="0" xfId="1644" applyNumberFormat="1"/>
    <xf numFmtId="0" fontId="20" fillId="0" borderId="10" xfId="1" applyFont="1" applyBorder="1" applyAlignment="1">
      <alignment horizontal="left" vertical="center"/>
    </xf>
    <xf numFmtId="15" fontId="20" fillId="0" borderId="10" xfId="1" applyNumberFormat="1" applyFont="1" applyBorder="1" applyAlignment="1">
      <alignment horizontal="right" vertical="center"/>
    </xf>
    <xf numFmtId="168" fontId="20" fillId="0" borderId="10" xfId="2" applyNumberFormat="1" applyFont="1" applyFill="1" applyBorder="1" applyAlignment="1">
      <alignment horizontal="right" vertical="center"/>
    </xf>
    <xf numFmtId="0" fontId="20" fillId="0" borderId="75" xfId="1" applyFont="1" applyBorder="1" applyAlignment="1">
      <alignment horizontal="left" vertical="center"/>
    </xf>
    <xf numFmtId="15" fontId="20" fillId="0" borderId="75" xfId="1" applyNumberFormat="1" applyFont="1" applyBorder="1" applyAlignment="1">
      <alignment horizontal="right" vertical="center"/>
    </xf>
    <xf numFmtId="168" fontId="20" fillId="0" borderId="75" xfId="2" applyNumberFormat="1" applyFont="1" applyFill="1" applyBorder="1" applyAlignment="1">
      <alignment horizontal="right" vertical="center"/>
    </xf>
    <xf numFmtId="0" fontId="20" fillId="0" borderId="0" xfId="1" applyFont="1" applyAlignment="1">
      <alignment horizontal="left" vertical="center"/>
    </xf>
    <xf numFmtId="0" fontId="225" fillId="0" borderId="9" xfId="1" applyFont="1" applyBorder="1"/>
    <xf numFmtId="49" fontId="20" fillId="0" borderId="9" xfId="1" applyNumberFormat="1" applyFont="1" applyBorder="1" applyAlignment="1">
      <alignment horizontal="left" vertical="center"/>
    </xf>
    <xf numFmtId="0" fontId="21" fillId="0" borderId="9" xfId="1" applyFont="1" applyBorder="1" applyAlignment="1">
      <alignment horizontal="left" vertical="center"/>
    </xf>
    <xf numFmtId="0" fontId="1" fillId="0" borderId="65" xfId="1" applyBorder="1"/>
    <xf numFmtId="168" fontId="0" fillId="0" borderId="65" xfId="1" applyNumberFormat="1" applyFont="1" applyBorder="1"/>
    <xf numFmtId="168" fontId="1" fillId="0" borderId="65" xfId="1" applyNumberFormat="1" applyBorder="1"/>
    <xf numFmtId="0" fontId="16" fillId="0" borderId="0" xfId="1" applyFont="1" applyAlignment="1">
      <alignment horizontal="left" vertical="center"/>
    </xf>
    <xf numFmtId="0" fontId="226" fillId="0" borderId="9" xfId="1" applyFont="1" applyBorder="1"/>
    <xf numFmtId="0" fontId="226" fillId="0" borderId="10" xfId="1" applyFont="1" applyBorder="1" applyAlignment="1">
      <alignment horizontal="center" vertical="center" wrapText="1"/>
    </xf>
    <xf numFmtId="0" fontId="226" fillId="0" borderId="22" xfId="1" applyFont="1" applyBorder="1" applyAlignment="1">
      <alignment horizontal="center" vertical="center" wrapText="1"/>
    </xf>
    <xf numFmtId="0" fontId="13" fillId="35" borderId="21" xfId="1" applyFont="1" applyFill="1" applyBorder="1" applyAlignment="1">
      <alignment horizontal="center" vertical="center" wrapText="1"/>
    </xf>
    <xf numFmtId="0" fontId="0" fillId="0" borderId="19" xfId="1" applyFont="1" applyBorder="1" applyAlignment="1">
      <alignment horizontal="center" vertical="center" wrapText="1"/>
    </xf>
    <xf numFmtId="168" fontId="20" fillId="0" borderId="23" xfId="2" applyNumberFormat="1" applyFont="1" applyFill="1" applyBorder="1" applyAlignment="1">
      <alignment horizontal="right" vertical="center"/>
    </xf>
    <xf numFmtId="168" fontId="23" fillId="35" borderId="24" xfId="2" applyNumberFormat="1" applyFont="1" applyFill="1" applyBorder="1" applyAlignment="1">
      <alignment horizontal="right" vertical="center"/>
    </xf>
    <xf numFmtId="168" fontId="20" fillId="0" borderId="25" xfId="2" applyNumberFormat="1" applyFont="1" applyFill="1" applyBorder="1" applyAlignment="1">
      <alignment horizontal="right" vertical="center"/>
    </xf>
    <xf numFmtId="168" fontId="23" fillId="35" borderId="26" xfId="2" applyNumberFormat="1" applyFont="1" applyFill="1" applyBorder="1" applyAlignment="1">
      <alignment horizontal="right" vertical="center"/>
    </xf>
    <xf numFmtId="168" fontId="20" fillId="0" borderId="27" xfId="2" applyNumberFormat="1" applyFont="1" applyFill="1" applyBorder="1" applyAlignment="1">
      <alignment horizontal="right" vertical="center"/>
    </xf>
    <xf numFmtId="168" fontId="20" fillId="0" borderId="26" xfId="2" applyNumberFormat="1" applyFont="1" applyFill="1" applyBorder="1" applyAlignment="1">
      <alignment horizontal="right" vertical="center"/>
    </xf>
    <xf numFmtId="168" fontId="23" fillId="35" borderId="28" xfId="2" applyNumberFormat="1" applyFont="1" applyFill="1" applyBorder="1" applyAlignment="1">
      <alignment horizontal="right" vertical="center"/>
    </xf>
    <xf numFmtId="0" fontId="227" fillId="0" borderId="0" xfId="1806" applyFont="1"/>
    <xf numFmtId="0" fontId="228" fillId="0" borderId="0" xfId="1806" applyFont="1"/>
    <xf numFmtId="0" fontId="229" fillId="0" borderId="0" xfId="1806" applyFont="1"/>
    <xf numFmtId="0" fontId="230" fillId="0" borderId="0" xfId="1806" applyFont="1" applyAlignment="1">
      <alignment horizontal="left"/>
    </xf>
    <xf numFmtId="0" fontId="231" fillId="0" borderId="0" xfId="1806" applyFont="1" applyAlignment="1">
      <alignment horizontal="left"/>
    </xf>
    <xf numFmtId="0" fontId="229" fillId="0" borderId="10" xfId="1806" applyFont="1" applyBorder="1" applyAlignment="1">
      <alignment horizontal="center"/>
    </xf>
    <xf numFmtId="0" fontId="229" fillId="94" borderId="10" xfId="1806" applyFont="1" applyFill="1" applyBorder="1" applyAlignment="1">
      <alignment horizontal="center"/>
    </xf>
    <xf numFmtId="0" fontId="229" fillId="0" borderId="32" xfId="1806" applyFont="1" applyBorder="1" applyAlignment="1">
      <alignment horizontal="center"/>
    </xf>
    <xf numFmtId="0" fontId="229" fillId="94" borderId="32" xfId="1806" applyFont="1" applyFill="1" applyBorder="1" applyAlignment="1">
      <alignment horizontal="center"/>
    </xf>
    <xf numFmtId="0" fontId="229" fillId="0" borderId="75" xfId="1806" applyFont="1" applyBorder="1" applyAlignment="1">
      <alignment horizontal="center"/>
    </xf>
    <xf numFmtId="0" fontId="229" fillId="94" borderId="75" xfId="1806" applyFont="1" applyFill="1" applyBorder="1" applyAlignment="1">
      <alignment horizontal="center"/>
    </xf>
    <xf numFmtId="0" fontId="77" fillId="0" borderId="32" xfId="1806" applyFont="1" applyBorder="1" applyAlignment="1">
      <alignment horizontal="center"/>
    </xf>
    <xf numFmtId="0" fontId="77" fillId="0" borderId="32" xfId="1806" applyFont="1" applyBorder="1"/>
    <xf numFmtId="9" fontId="77" fillId="0" borderId="32" xfId="1806" applyNumberFormat="1" applyFont="1" applyBorder="1" applyAlignment="1">
      <alignment horizontal="right"/>
    </xf>
    <xf numFmtId="169" fontId="77" fillId="0" borderId="32" xfId="1806" applyNumberFormat="1" applyFont="1" applyBorder="1"/>
    <xf numFmtId="169" fontId="77" fillId="94" borderId="32" xfId="1806" applyNumberFormat="1" applyFont="1" applyFill="1" applyBorder="1"/>
    <xf numFmtId="0" fontId="232" fillId="0" borderId="32" xfId="1806" applyFont="1" applyBorder="1"/>
    <xf numFmtId="0" fontId="233" fillId="0" borderId="99" xfId="1806" applyFont="1" applyBorder="1"/>
    <xf numFmtId="0" fontId="233" fillId="0" borderId="99" xfId="1806" applyFont="1" applyBorder="1" applyAlignment="1">
      <alignment horizontal="center"/>
    </xf>
    <xf numFmtId="0" fontId="77" fillId="0" borderId="99" xfId="1806" applyFont="1" applyBorder="1"/>
    <xf numFmtId="169" fontId="233" fillId="0" borderId="99" xfId="1806" applyNumberFormat="1" applyFont="1" applyBorder="1"/>
    <xf numFmtId="169" fontId="233" fillId="94" borderId="99" xfId="1806" applyNumberFormat="1" applyFont="1" applyFill="1" applyBorder="1"/>
    <xf numFmtId="0" fontId="234" fillId="0" borderId="0" xfId="1806" applyFont="1" applyAlignment="1">
      <alignment horizontal="left"/>
    </xf>
    <xf numFmtId="169" fontId="231" fillId="0" borderId="0" xfId="1806" applyNumberFormat="1" applyFont="1" applyAlignment="1">
      <alignment horizontal="left"/>
    </xf>
    <xf numFmtId="0" fontId="231" fillId="94" borderId="0" xfId="1806" applyFont="1" applyFill="1" applyAlignment="1">
      <alignment horizontal="left"/>
    </xf>
    <xf numFmtId="169" fontId="153" fillId="0" borderId="0" xfId="2156" applyNumberFormat="1"/>
    <xf numFmtId="0" fontId="77" fillId="0" borderId="51" xfId="1806" applyFont="1" applyBorder="1" applyAlignment="1">
      <alignment horizontal="center"/>
    </xf>
    <xf numFmtId="9" fontId="77" fillId="0" borderId="54" xfId="1806" applyNumberFormat="1" applyFont="1" applyBorder="1" applyAlignment="1">
      <alignment horizontal="right"/>
    </xf>
    <xf numFmtId="0" fontId="233" fillId="0" borderId="100" xfId="1806" applyFont="1" applyBorder="1"/>
    <xf numFmtId="0" fontId="77" fillId="0" borderId="101" xfId="1806" applyFont="1" applyBorder="1"/>
    <xf numFmtId="169" fontId="77" fillId="0" borderId="99" xfId="1806" applyNumberFormat="1" applyFont="1" applyBorder="1"/>
    <xf numFmtId="0" fontId="77" fillId="0" borderId="0" xfId="1806" applyFont="1"/>
    <xf numFmtId="1" fontId="77" fillId="0" borderId="0" xfId="1806" applyNumberFormat="1" applyFont="1"/>
    <xf numFmtId="169" fontId="77" fillId="0" borderId="0" xfId="1806" applyNumberFormat="1" applyFont="1"/>
    <xf numFmtId="0" fontId="1" fillId="0" borderId="0" xfId="1889"/>
    <xf numFmtId="0" fontId="236" fillId="33" borderId="108" xfId="1889" applyFont="1" applyFill="1" applyBorder="1" applyAlignment="1">
      <alignment horizontal="center" vertical="top" wrapText="1"/>
    </xf>
    <xf numFmtId="0" fontId="237" fillId="0" borderId="58" xfId="1889" applyFont="1" applyBorder="1" applyAlignment="1">
      <alignment horizontal="center"/>
    </xf>
    <xf numFmtId="168" fontId="17" fillId="0" borderId="0" xfId="1644" applyNumberFormat="1"/>
    <xf numFmtId="0" fontId="0" fillId="0" borderId="113" xfId="1889" applyFont="1" applyBorder="1"/>
    <xf numFmtId="0" fontId="1" fillId="0" borderId="113" xfId="1889" applyBorder="1"/>
    <xf numFmtId="168" fontId="17" fillId="0" borderId="113" xfId="1644" applyNumberFormat="1" applyBorder="1" applyAlignment="1">
      <alignment horizontal="right"/>
    </xf>
    <xf numFmtId="0" fontId="17" fillId="0" borderId="11" xfId="1644" applyBorder="1"/>
    <xf numFmtId="0" fontId="1" fillId="0" borderId="65" xfId="1889" applyBorder="1"/>
    <xf numFmtId="168" fontId="17" fillId="0" borderId="14" xfId="1644" applyNumberFormat="1" applyBorder="1" applyAlignment="1">
      <alignment horizontal="right"/>
    </xf>
    <xf numFmtId="168" fontId="17" fillId="0" borderId="0" xfId="1644" applyNumberFormat="1" applyAlignment="1">
      <alignment horizontal="right"/>
    </xf>
    <xf numFmtId="0" fontId="17" fillId="0" borderId="15" xfId="1644" applyBorder="1"/>
    <xf numFmtId="168" fontId="17" fillId="0" borderId="17" xfId="1644" applyNumberFormat="1" applyBorder="1" applyAlignment="1">
      <alignment horizontal="right"/>
    </xf>
    <xf numFmtId="0" fontId="17" fillId="0" borderId="114" xfId="1644" applyBorder="1"/>
    <xf numFmtId="0" fontId="1" fillId="0" borderId="49" xfId="1889" applyBorder="1"/>
    <xf numFmtId="168" fontId="17" fillId="0" borderId="66" xfId="1644" applyNumberFormat="1" applyBorder="1" applyAlignment="1">
      <alignment horizontal="right"/>
    </xf>
    <xf numFmtId="0" fontId="238" fillId="0" borderId="0" xfId="1806" applyFont="1"/>
    <xf numFmtId="0" fontId="239" fillId="0" borderId="0" xfId="1806" applyFont="1" applyAlignment="1">
      <alignment horizontal="right"/>
    </xf>
    <xf numFmtId="0" fontId="0" fillId="0" borderId="0" xfId="1806" applyFont="1"/>
    <xf numFmtId="0" fontId="240" fillId="0" borderId="0" xfId="1806" applyFont="1" applyAlignment="1">
      <alignment horizontal="right"/>
    </xf>
    <xf numFmtId="0" fontId="241" fillId="0" borderId="0" xfId="1806" applyFont="1"/>
    <xf numFmtId="0" fontId="221" fillId="95" borderId="9" xfId="1806" applyFont="1" applyFill="1" applyBorder="1" applyAlignment="1">
      <alignment wrapText="1"/>
    </xf>
    <xf numFmtId="15" fontId="221" fillId="95" borderId="9" xfId="1806" applyNumberFormat="1" applyFont="1" applyFill="1" applyBorder="1" applyAlignment="1">
      <alignment horizontal="center" vertical="center" wrapText="1"/>
    </xf>
    <xf numFmtId="0" fontId="221" fillId="95" borderId="9" xfId="1806" applyFont="1" applyFill="1" applyBorder="1" applyAlignment="1">
      <alignment horizontal="center" vertical="center" wrapText="1"/>
    </xf>
    <xf numFmtId="0" fontId="211" fillId="0" borderId="9" xfId="1806" applyFont="1" applyBorder="1"/>
    <xf numFmtId="165" fontId="211" fillId="0" borderId="9" xfId="843" applyFont="1" applyBorder="1"/>
    <xf numFmtId="165" fontId="211" fillId="0" borderId="9" xfId="1806" applyNumberFormat="1" applyFont="1" applyBorder="1"/>
    <xf numFmtId="165" fontId="211" fillId="96" borderId="9" xfId="843" applyFont="1" applyFill="1" applyBorder="1"/>
    <xf numFmtId="165" fontId="221" fillId="96" borderId="9" xfId="843" applyFont="1" applyFill="1" applyBorder="1"/>
    <xf numFmtId="165" fontId="211" fillId="96" borderId="9" xfId="1806" applyNumberFormat="1" applyFont="1" applyFill="1" applyBorder="1"/>
    <xf numFmtId="0" fontId="220" fillId="32" borderId="9" xfId="1806" applyFont="1" applyFill="1" applyBorder="1" applyAlignment="1">
      <alignment vertical="center" wrapText="1"/>
    </xf>
    <xf numFmtId="295" fontId="211" fillId="0" borderId="9" xfId="1806" applyNumberFormat="1" applyFont="1" applyBorder="1"/>
    <xf numFmtId="0" fontId="221" fillId="0" borderId="9" xfId="1806" applyFont="1" applyBorder="1"/>
    <xf numFmtId="165" fontId="221" fillId="0" borderId="9" xfId="1806" applyNumberFormat="1" applyFont="1" applyBorder="1"/>
    <xf numFmtId="0" fontId="211" fillId="96" borderId="9" xfId="1806" applyFont="1" applyFill="1" applyBorder="1"/>
    <xf numFmtId="295" fontId="211" fillId="96" borderId="9" xfId="1806" applyNumberFormat="1" applyFont="1" applyFill="1" applyBorder="1"/>
    <xf numFmtId="165" fontId="221" fillId="96" borderId="9" xfId="1806" applyNumberFormat="1" applyFont="1" applyFill="1" applyBorder="1"/>
    <xf numFmtId="0" fontId="211" fillId="32" borderId="9" xfId="1806" applyFont="1" applyFill="1" applyBorder="1"/>
    <xf numFmtId="295" fontId="211" fillId="32" borderId="9" xfId="1806" applyNumberFormat="1" applyFont="1" applyFill="1" applyBorder="1"/>
    <xf numFmtId="165" fontId="221" fillId="32" borderId="9" xfId="1806" applyNumberFormat="1" applyFont="1" applyFill="1" applyBorder="1"/>
    <xf numFmtId="165" fontId="211" fillId="32" borderId="9" xfId="1806" applyNumberFormat="1" applyFont="1" applyFill="1" applyBorder="1"/>
    <xf numFmtId="295" fontId="221" fillId="0" borderId="9" xfId="1806" applyNumberFormat="1" applyFont="1" applyBorder="1"/>
    <xf numFmtId="0" fontId="17" fillId="0" borderId="9" xfId="1644" applyBorder="1"/>
    <xf numFmtId="165" fontId="221" fillId="0" borderId="9" xfId="1806" applyNumberFormat="1" applyFont="1" applyBorder="1" applyAlignment="1">
      <alignment horizontal="right"/>
    </xf>
    <xf numFmtId="165" fontId="211" fillId="0" borderId="0" xfId="843" applyFont="1"/>
    <xf numFmtId="0" fontId="240" fillId="0" borderId="0" xfId="1806" applyFont="1" applyAlignment="1">
      <alignment horizontal="left"/>
    </xf>
    <xf numFmtId="0" fontId="242" fillId="0" borderId="0" xfId="0" applyFont="1"/>
    <xf numFmtId="0" fontId="243" fillId="0" borderId="0" xfId="0" applyFont="1"/>
    <xf numFmtId="0" fontId="244" fillId="0" borderId="115" xfId="0" applyFont="1" applyBorder="1"/>
    <xf numFmtId="0" fontId="244" fillId="0" borderId="116" xfId="0" applyFont="1" applyBorder="1"/>
    <xf numFmtId="0" fontId="244" fillId="0" borderId="120" xfId="0" applyFont="1" applyBorder="1"/>
    <xf numFmtId="0" fontId="244" fillId="0" borderId="121" xfId="0" applyFont="1" applyBorder="1"/>
    <xf numFmtId="0" fontId="244" fillId="0" borderId="127" xfId="0" applyFont="1" applyBorder="1" applyAlignment="1">
      <alignment horizontal="center"/>
    </xf>
    <xf numFmtId="0" fontId="244" fillId="0" borderId="128" xfId="0" applyFont="1" applyBorder="1" applyAlignment="1">
      <alignment horizontal="center"/>
    </xf>
    <xf numFmtId="0" fontId="244" fillId="0" borderId="135" xfId="0" applyFont="1" applyBorder="1" applyAlignment="1">
      <alignment horizontal="center"/>
    </xf>
    <xf numFmtId="0" fontId="244" fillId="0" borderId="136" xfId="0" applyFont="1" applyBorder="1" applyAlignment="1">
      <alignment horizontal="center"/>
    </xf>
    <xf numFmtId="0" fontId="244" fillId="0" borderId="138" xfId="0" applyFont="1" applyBorder="1" applyAlignment="1">
      <alignment horizontal="center"/>
    </xf>
    <xf numFmtId="0" fontId="244" fillId="0" borderId="139" xfId="0" applyFont="1" applyBorder="1" applyAlignment="1">
      <alignment horizontal="left"/>
    </xf>
    <xf numFmtId="168" fontId="244" fillId="0" borderId="140" xfId="0" applyNumberFormat="1" applyFont="1" applyBorder="1"/>
    <xf numFmtId="0" fontId="244" fillId="0" borderId="0" xfId="0" applyFont="1" applyAlignment="1">
      <alignment horizontal="center"/>
    </xf>
    <xf numFmtId="168" fontId="242" fillId="0" borderId="140" xfId="0" applyNumberFormat="1" applyFont="1" applyBorder="1"/>
    <xf numFmtId="0" fontId="243" fillId="0" borderId="139" xfId="0" applyFont="1" applyBorder="1" applyAlignment="1">
      <alignment wrapText="1"/>
    </xf>
    <xf numFmtId="0" fontId="244" fillId="97" borderId="51" xfId="0" applyFont="1" applyFill="1" applyBorder="1" applyAlignment="1">
      <alignment wrapText="1"/>
    </xf>
    <xf numFmtId="0" fontId="244" fillId="0" borderId="32" xfId="0" applyFont="1" applyBorder="1"/>
    <xf numFmtId="296" fontId="242" fillId="0" borderId="141" xfId="0" applyNumberFormat="1" applyFont="1" applyBorder="1"/>
    <xf numFmtId="168" fontId="242" fillId="0" borderId="142" xfId="0" applyNumberFormat="1" applyFont="1" applyBorder="1"/>
    <xf numFmtId="168" fontId="244" fillId="0" borderId="143" xfId="0" applyNumberFormat="1" applyFont="1" applyBorder="1"/>
    <xf numFmtId="0" fontId="244" fillId="0" borderId="140" xfId="0" applyFont="1" applyBorder="1"/>
    <xf numFmtId="0" fontId="244" fillId="0" borderId="144" xfId="0" applyFont="1" applyBorder="1"/>
    <xf numFmtId="0" fontId="244" fillId="0" borderId="145" xfId="0" applyFont="1" applyBorder="1"/>
    <xf numFmtId="168" fontId="243" fillId="0" borderId="140" xfId="0" applyNumberFormat="1" applyFont="1" applyBorder="1"/>
    <xf numFmtId="168" fontId="244" fillId="97" borderId="146" xfId="0" applyNumberFormat="1" applyFont="1" applyFill="1" applyBorder="1"/>
    <xf numFmtId="168" fontId="244" fillId="0" borderId="147" xfId="0" applyNumberFormat="1" applyFont="1" applyBorder="1"/>
    <xf numFmtId="168" fontId="242" fillId="0" borderId="141" xfId="0" applyNumberFormat="1" applyFont="1" applyBorder="1"/>
    <xf numFmtId="168" fontId="0" fillId="0" borderId="0" xfId="0" applyNumberFormat="1"/>
    <xf numFmtId="0" fontId="244" fillId="0" borderId="148" xfId="0" applyFont="1" applyBorder="1" applyAlignment="1">
      <alignment horizontal="center"/>
    </xf>
    <xf numFmtId="0" fontId="244" fillId="0" borderId="149" xfId="0" applyFont="1" applyBorder="1" applyAlignment="1">
      <alignment horizontal="center"/>
    </xf>
    <xf numFmtId="0" fontId="244" fillId="0" borderId="150" xfId="0" applyFont="1" applyBorder="1"/>
    <xf numFmtId="168" fontId="244" fillId="0" borderId="150" xfId="0" applyNumberFormat="1" applyFont="1" applyBorder="1"/>
    <xf numFmtId="168" fontId="242" fillId="0" borderId="150" xfId="0" applyNumberFormat="1" applyFont="1" applyBorder="1"/>
    <xf numFmtId="0" fontId="244" fillId="0" borderId="151" xfId="0" applyFont="1" applyBorder="1"/>
    <xf numFmtId="0" fontId="244" fillId="0" borderId="152" xfId="0" applyFont="1" applyBorder="1"/>
    <xf numFmtId="168" fontId="244" fillId="97" borderId="153" xfId="0" applyNumberFormat="1" applyFont="1" applyFill="1" applyBorder="1"/>
    <xf numFmtId="168" fontId="244" fillId="0" borderId="154" xfId="0" applyNumberFormat="1" applyFont="1" applyBorder="1"/>
    <xf numFmtId="0" fontId="244" fillId="0" borderId="155" xfId="0" applyFont="1" applyBorder="1"/>
    <xf numFmtId="0" fontId="242" fillId="0" borderId="156" xfId="0" applyFont="1" applyBorder="1" applyAlignment="1">
      <alignment horizontal="center"/>
    </xf>
    <xf numFmtId="168" fontId="242" fillId="0" borderId="156" xfId="0" applyNumberFormat="1" applyFont="1" applyBorder="1"/>
    <xf numFmtId="168" fontId="244" fillId="0" borderId="157" xfId="0" applyNumberFormat="1" applyFont="1" applyBorder="1"/>
    <xf numFmtId="0" fontId="245" fillId="0" borderId="0" xfId="0" applyFont="1"/>
    <xf numFmtId="0" fontId="246" fillId="0" borderId="0" xfId="0" applyFont="1"/>
    <xf numFmtId="9" fontId="246" fillId="0" borderId="0" xfId="2978" applyFont="1" applyFill="1" applyAlignment="1"/>
    <xf numFmtId="49" fontId="246" fillId="0" borderId="0" xfId="0" applyNumberFormat="1" applyFont="1"/>
    <xf numFmtId="166" fontId="246" fillId="0" borderId="0" xfId="2977" applyNumberFormat="1" applyFont="1" applyFill="1" applyAlignment="1"/>
    <xf numFmtId="0" fontId="247" fillId="0" borderId="0" xfId="0" applyFont="1"/>
    <xf numFmtId="0" fontId="245" fillId="0" borderId="9" xfId="0" applyFont="1" applyBorder="1"/>
    <xf numFmtId="0" fontId="248" fillId="0" borderId="0" xfId="0" applyFont="1"/>
    <xf numFmtId="14" fontId="249" fillId="32" borderId="0" xfId="0" applyNumberFormat="1" applyFont="1" applyFill="1"/>
    <xf numFmtId="0" fontId="246" fillId="0" borderId="9" xfId="0" applyFont="1" applyBorder="1"/>
    <xf numFmtId="49" fontId="246" fillId="0" borderId="9" xfId="0" applyNumberFormat="1" applyFont="1" applyBorder="1" applyAlignment="1">
      <alignment vertical="top"/>
    </xf>
    <xf numFmtId="294" fontId="246" fillId="0" borderId="9" xfId="0" applyNumberFormat="1" applyFont="1" applyBorder="1"/>
    <xf numFmtId="294" fontId="246" fillId="0" borderId="9" xfId="2978" applyNumberFormat="1" applyFont="1" applyFill="1" applyBorder="1" applyAlignment="1"/>
    <xf numFmtId="294" fontId="246" fillId="0" borderId="9" xfId="2977" applyNumberFormat="1" applyFont="1" applyFill="1" applyBorder="1" applyAlignment="1"/>
    <xf numFmtId="294" fontId="246" fillId="0" borderId="9" xfId="0" applyNumberFormat="1" applyFont="1" applyBorder="1" applyAlignment="1">
      <alignment horizontal="right" vertical="top"/>
    </xf>
    <xf numFmtId="294" fontId="246" fillId="0" borderId="9" xfId="0" applyNumberFormat="1" applyFont="1" applyBorder="1" applyAlignment="1">
      <alignment wrapText="1"/>
    </xf>
    <xf numFmtId="294" fontId="248" fillId="99" borderId="9" xfId="2981" applyNumberFormat="1" applyFont="1" applyFill="1" applyBorder="1"/>
    <xf numFmtId="165" fontId="247" fillId="0" borderId="0" xfId="0" applyNumberFormat="1" applyFont="1"/>
    <xf numFmtId="1" fontId="247" fillId="0" borderId="0" xfId="0" applyNumberFormat="1" applyFont="1"/>
    <xf numFmtId="0" fontId="246" fillId="0" borderId="95" xfId="0" applyFont="1" applyBorder="1"/>
    <xf numFmtId="0" fontId="246" fillId="0" borderId="39" xfId="0" applyFont="1" applyBorder="1"/>
    <xf numFmtId="294" fontId="245" fillId="33" borderId="101" xfId="0" applyNumberFormat="1" applyFont="1" applyFill="1" applyBorder="1"/>
    <xf numFmtId="294" fontId="245" fillId="100" borderId="99" xfId="0" applyNumberFormat="1" applyFont="1" applyFill="1" applyBorder="1"/>
    <xf numFmtId="294" fontId="245" fillId="33" borderId="99" xfId="2977" applyNumberFormat="1" applyFont="1" applyFill="1" applyBorder="1" applyAlignment="1"/>
    <xf numFmtId="294" fontId="245" fillId="33" borderId="99" xfId="0" applyNumberFormat="1" applyFont="1" applyFill="1" applyBorder="1"/>
    <xf numFmtId="9" fontId="247" fillId="0" borderId="0" xfId="2978" applyFont="1" applyFill="1" applyAlignment="1"/>
    <xf numFmtId="49" fontId="247" fillId="0" borderId="0" xfId="0" applyNumberFormat="1" applyFont="1"/>
    <xf numFmtId="166" fontId="247" fillId="0" borderId="0" xfId="0" applyNumberFormat="1" applyFont="1"/>
    <xf numFmtId="166" fontId="247" fillId="0" borderId="0" xfId="2977" applyNumberFormat="1" applyFont="1" applyFill="1" applyAlignment="1"/>
    <xf numFmtId="0" fontId="246" fillId="0" borderId="9" xfId="0" applyFont="1" applyBorder="1" applyAlignment="1">
      <alignment horizontal="left" vertical="center"/>
    </xf>
    <xf numFmtId="0" fontId="251" fillId="0" borderId="0" xfId="0" applyFont="1"/>
    <xf numFmtId="0" fontId="252" fillId="0" borderId="0" xfId="0" applyFont="1"/>
    <xf numFmtId="0" fontId="20" fillId="0" borderId="0" xfId="0" applyFont="1"/>
    <xf numFmtId="9" fontId="20" fillId="0" borderId="0" xfId="2978" applyFont="1" applyFill="1" applyAlignment="1"/>
    <xf numFmtId="49" fontId="20" fillId="0" borderId="0" xfId="0" applyNumberFormat="1" applyFont="1"/>
    <xf numFmtId="166" fontId="20" fillId="0" borderId="0" xfId="2977" applyNumberFormat="1" applyFont="1" applyFill="1" applyAlignment="1"/>
    <xf numFmtId="0" fontId="251" fillId="0" borderId="58" xfId="0" applyFont="1" applyBorder="1"/>
    <xf numFmtId="0" fontId="253" fillId="0" borderId="0" xfId="0" applyFont="1"/>
    <xf numFmtId="0" fontId="21" fillId="0" borderId="0" xfId="0" applyFont="1"/>
    <xf numFmtId="0" fontId="23" fillId="0" borderId="0" xfId="0" applyFont="1"/>
    <xf numFmtId="14" fontId="254" fillId="0" borderId="0" xfId="0" applyNumberFormat="1" applyFont="1"/>
    <xf numFmtId="0" fontId="21" fillId="0" borderId="9" xfId="0" applyFont="1" applyBorder="1"/>
    <xf numFmtId="49" fontId="21" fillId="0" borderId="9" xfId="0" applyNumberFormat="1" applyFont="1" applyBorder="1" applyAlignment="1">
      <alignment vertical="top"/>
    </xf>
    <xf numFmtId="49" fontId="21" fillId="0" borderId="9" xfId="0" applyNumberFormat="1" applyFont="1" applyBorder="1" applyAlignment="1">
      <alignment horizontal="right" vertical="top"/>
    </xf>
    <xf numFmtId="169" fontId="257" fillId="0" borderId="9" xfId="0" applyNumberFormat="1" applyFont="1" applyBorder="1"/>
    <xf numFmtId="169" fontId="257" fillId="0" borderId="9" xfId="0" applyNumberFormat="1" applyFont="1" applyBorder="1" applyAlignment="1">
      <alignment horizontal="right" vertical="top"/>
    </xf>
    <xf numFmtId="169" fontId="257" fillId="0" borderId="9" xfId="2977" applyNumberFormat="1" applyFont="1" applyFill="1" applyBorder="1" applyAlignment="1">
      <alignment vertical="top"/>
    </xf>
    <xf numFmtId="297" fontId="257" fillId="0" borderId="9" xfId="0" applyNumberFormat="1" applyFont="1" applyBorder="1" applyAlignment="1">
      <alignment horizontal="right" vertical="top"/>
    </xf>
    <xf numFmtId="169" fontId="258" fillId="0" borderId="9" xfId="0" applyNumberFormat="1" applyFont="1" applyBorder="1"/>
    <xf numFmtId="0" fontId="257" fillId="101" borderId="9" xfId="0" applyFont="1" applyFill="1" applyBorder="1"/>
    <xf numFmtId="2" fontId="257" fillId="101" borderId="9" xfId="0" applyNumberFormat="1" applyFont="1" applyFill="1" applyBorder="1"/>
    <xf numFmtId="166" fontId="257" fillId="101" borderId="9" xfId="0" applyNumberFormat="1" applyFont="1" applyFill="1" applyBorder="1"/>
    <xf numFmtId="298" fontId="257" fillId="101" borderId="9" xfId="0" applyNumberFormat="1" applyFont="1" applyFill="1" applyBorder="1"/>
    <xf numFmtId="10" fontId="257" fillId="101" borderId="9" xfId="2981" applyNumberFormat="1" applyFont="1" applyFill="1" applyBorder="1"/>
    <xf numFmtId="168" fontId="257" fillId="0" borderId="9" xfId="0" applyNumberFormat="1" applyFont="1" applyBorder="1"/>
    <xf numFmtId="297" fontId="257" fillId="0" borderId="9" xfId="0" applyNumberFormat="1" applyFont="1" applyBorder="1" applyAlignment="1">
      <alignment vertical="top"/>
    </xf>
    <xf numFmtId="0" fontId="259" fillId="0" borderId="0" xfId="0" applyFont="1"/>
    <xf numFmtId="49" fontId="21" fillId="0" borderId="9" xfId="0" quotePrefix="1" applyNumberFormat="1" applyFont="1" applyBorder="1" applyAlignment="1">
      <alignment vertical="top"/>
    </xf>
    <xf numFmtId="297" fontId="21" fillId="0" borderId="9" xfId="0" applyNumberFormat="1" applyFont="1" applyBorder="1" applyAlignment="1">
      <alignment horizontal="right" vertical="top"/>
    </xf>
    <xf numFmtId="0" fontId="21" fillId="0" borderId="9" xfId="0" applyFont="1" applyBorder="1" applyAlignment="1">
      <alignment horizontal="right" vertical="top"/>
    </xf>
    <xf numFmtId="49" fontId="21" fillId="32" borderId="9" xfId="0" applyNumberFormat="1" applyFont="1" applyFill="1" applyBorder="1" applyAlignment="1">
      <alignment vertical="top"/>
    </xf>
    <xf numFmtId="0" fontId="21" fillId="32" borderId="9" xfId="0" applyFont="1" applyFill="1" applyBorder="1"/>
    <xf numFmtId="297" fontId="21" fillId="32" borderId="9" xfId="0" applyNumberFormat="1" applyFont="1" applyFill="1" applyBorder="1" applyAlignment="1">
      <alignment horizontal="right" vertical="top"/>
    </xf>
    <xf numFmtId="169" fontId="257" fillId="32" borderId="9" xfId="0" applyNumberFormat="1" applyFont="1" applyFill="1" applyBorder="1"/>
    <xf numFmtId="169" fontId="257" fillId="32" borderId="9" xfId="0" applyNumberFormat="1" applyFont="1" applyFill="1" applyBorder="1" applyAlignment="1">
      <alignment horizontal="right" vertical="top"/>
    </xf>
    <xf numFmtId="169" fontId="257" fillId="32" borderId="9" xfId="2977" applyNumberFormat="1" applyFont="1" applyFill="1" applyBorder="1" applyAlignment="1">
      <alignment vertical="top"/>
    </xf>
    <xf numFmtId="297" fontId="257" fillId="32" borderId="9" xfId="0" applyNumberFormat="1" applyFont="1" applyFill="1" applyBorder="1" applyAlignment="1">
      <alignment vertical="top"/>
    </xf>
    <xf numFmtId="168" fontId="257" fillId="32" borderId="9" xfId="0" applyNumberFormat="1" applyFont="1" applyFill="1" applyBorder="1"/>
    <xf numFmtId="14" fontId="21" fillId="0" borderId="9" xfId="0" applyNumberFormat="1" applyFont="1" applyBorder="1" applyAlignment="1">
      <alignment horizontal="right" vertical="top"/>
    </xf>
    <xf numFmtId="14" fontId="257" fillId="0" borderId="9" xfId="0" applyNumberFormat="1" applyFont="1" applyBorder="1" applyAlignment="1">
      <alignment vertical="top"/>
    </xf>
    <xf numFmtId="297" fontId="21" fillId="0" borderId="9" xfId="0" quotePrefix="1" applyNumberFormat="1" applyFont="1" applyBorder="1" applyAlignment="1">
      <alignment horizontal="right" vertical="top"/>
    </xf>
    <xf numFmtId="14" fontId="257" fillId="0" borderId="9" xfId="0" quotePrefix="1" applyNumberFormat="1" applyFont="1" applyBorder="1" applyAlignment="1">
      <alignment vertical="top"/>
    </xf>
    <xf numFmtId="14" fontId="21" fillId="0" borderId="9" xfId="0" applyNumberFormat="1" applyFont="1" applyBorder="1" applyAlignment="1">
      <alignment horizontal="right"/>
    </xf>
    <xf numFmtId="14" fontId="257" fillId="0" borderId="9" xfId="0" applyNumberFormat="1" applyFont="1" applyBorder="1"/>
    <xf numFmtId="0" fontId="260" fillId="0" borderId="0" xfId="0" applyFont="1"/>
    <xf numFmtId="14" fontId="21" fillId="32" borderId="9" xfId="0" applyNumberFormat="1" applyFont="1" applyFill="1" applyBorder="1" applyAlignment="1">
      <alignment horizontal="right"/>
    </xf>
    <xf numFmtId="14" fontId="257" fillId="32" borderId="9" xfId="0" applyNumberFormat="1" applyFont="1" applyFill="1" applyBorder="1"/>
    <xf numFmtId="0" fontId="21" fillId="0" borderId="9" xfId="0" applyFont="1" applyBorder="1" applyAlignment="1">
      <alignment horizontal="left" vertical="center"/>
    </xf>
    <xf numFmtId="299" fontId="21" fillId="0" borderId="9" xfId="0" applyNumberFormat="1" applyFont="1" applyBorder="1" applyAlignment="1">
      <alignment horizontal="right"/>
    </xf>
    <xf numFmtId="299" fontId="257" fillId="0" borderId="9" xfId="0" applyNumberFormat="1" applyFont="1" applyBorder="1"/>
    <xf numFmtId="169" fontId="257" fillId="33" borderId="9" xfId="0" applyNumberFormat="1" applyFont="1" applyFill="1" applyBorder="1"/>
    <xf numFmtId="14" fontId="21" fillId="0" borderId="9" xfId="0" applyNumberFormat="1" applyFont="1" applyBorder="1" applyAlignment="1">
      <alignment horizontal="right" vertical="center"/>
    </xf>
    <xf numFmtId="14" fontId="257" fillId="0" borderId="9" xfId="0" applyNumberFormat="1" applyFont="1" applyBorder="1" applyAlignment="1">
      <alignment vertical="center"/>
    </xf>
    <xf numFmtId="2" fontId="21" fillId="0" borderId="9" xfId="0" applyNumberFormat="1" applyFont="1" applyBorder="1" applyAlignment="1">
      <alignment horizontal="left" vertical="center"/>
    </xf>
    <xf numFmtId="169" fontId="256" fillId="0" borderId="9" xfId="0" applyNumberFormat="1" applyFont="1" applyBorder="1"/>
    <xf numFmtId="0" fontId="21" fillId="0" borderId="9" xfId="1645" applyFont="1" applyBorder="1" applyAlignment="1">
      <alignment horizontal="left"/>
    </xf>
    <xf numFmtId="0" fontId="21" fillId="0" borderId="9" xfId="1645" applyFont="1" applyBorder="1"/>
    <xf numFmtId="0" fontId="21" fillId="0" borderId="9" xfId="1645" applyFont="1" applyBorder="1" applyAlignment="1">
      <alignment horizontal="center"/>
    </xf>
    <xf numFmtId="167" fontId="21" fillId="32" borderId="9" xfId="1645" applyNumberFormat="1" applyFont="1" applyFill="1" applyBorder="1" applyAlignment="1">
      <alignment horizontal="right"/>
    </xf>
    <xf numFmtId="169" fontId="257" fillId="0" borderId="9" xfId="1645" applyNumberFormat="1" applyFont="1" applyBorder="1"/>
    <xf numFmtId="167" fontId="257" fillId="0" borderId="9" xfId="1645" applyNumberFormat="1" applyFont="1" applyBorder="1"/>
    <xf numFmtId="0" fontId="21" fillId="0" borderId="9" xfId="1645" quotePrefix="1" applyFont="1" applyBorder="1" applyAlignment="1">
      <alignment horizontal="center"/>
    </xf>
    <xf numFmtId="167" fontId="21" fillId="32" borderId="9" xfId="1645" quotePrefix="1" applyNumberFormat="1" applyFont="1" applyFill="1" applyBorder="1" applyAlignment="1">
      <alignment horizontal="right"/>
    </xf>
    <xf numFmtId="167" fontId="257" fillId="0" borderId="9" xfId="1645" quotePrefix="1" applyNumberFormat="1" applyFont="1" applyBorder="1"/>
    <xf numFmtId="49" fontId="21" fillId="0" borderId="9" xfId="1645" applyNumberFormat="1" applyFont="1" applyBorder="1" applyAlignment="1">
      <alignment horizontal="left" vertical="top"/>
    </xf>
    <xf numFmtId="167" fontId="21" fillId="0" borderId="9" xfId="1645" applyNumberFormat="1" applyFont="1" applyBorder="1" applyAlignment="1">
      <alignment horizontal="right"/>
    </xf>
    <xf numFmtId="15" fontId="21" fillId="0" borderId="9" xfId="1645" applyNumberFormat="1" applyFont="1" applyBorder="1" applyAlignment="1">
      <alignment horizontal="right"/>
    </xf>
    <xf numFmtId="15" fontId="257" fillId="0" borderId="9" xfId="1645" applyNumberFormat="1" applyFont="1" applyBorder="1"/>
    <xf numFmtId="0" fontId="21" fillId="0" borderId="9" xfId="1645" applyFont="1" applyBorder="1" applyAlignment="1">
      <alignment horizontal="left" vertical="center"/>
    </xf>
    <xf numFmtId="0" fontId="206" fillId="0" borderId="9" xfId="1645" applyFont="1" applyBorder="1" applyAlignment="1">
      <alignment horizontal="left"/>
    </xf>
    <xf numFmtId="169" fontId="255" fillId="0" borderId="9" xfId="1645" applyNumberFormat="1" applyFont="1" applyBorder="1" applyAlignment="1">
      <alignment horizontal="right"/>
    </xf>
    <xf numFmtId="167" fontId="258" fillId="0" borderId="9" xfId="1645" applyNumberFormat="1" applyFont="1" applyBorder="1"/>
    <xf numFmtId="0" fontId="258" fillId="101" borderId="9" xfId="1645" applyFont="1" applyFill="1" applyBorder="1"/>
    <xf numFmtId="0" fontId="206" fillId="0" borderId="9" xfId="1645" applyFont="1" applyBorder="1"/>
    <xf numFmtId="0" fontId="261" fillId="0" borderId="9" xfId="1645" applyFont="1" applyBorder="1" applyAlignment="1">
      <alignment horizontal="left" vertical="center"/>
    </xf>
    <xf numFmtId="0" fontId="153" fillId="0" borderId="9" xfId="0" applyFont="1" applyBorder="1"/>
    <xf numFmtId="49" fontId="153" fillId="0" borderId="9" xfId="0" applyNumberFormat="1" applyFont="1" applyBorder="1"/>
    <xf numFmtId="0" fontId="153" fillId="0" borderId="9" xfId="0" applyFont="1" applyBorder="1" applyAlignment="1">
      <alignment horizontal="right"/>
    </xf>
    <xf numFmtId="167" fontId="258" fillId="0" borderId="9" xfId="1645" applyNumberFormat="1" applyFont="1" applyBorder="1" applyAlignment="1">
      <alignment vertical="center"/>
    </xf>
    <xf numFmtId="49" fontId="247" fillId="0" borderId="9" xfId="0" applyNumberFormat="1" applyFont="1" applyBorder="1"/>
    <xf numFmtId="0" fontId="247" fillId="0" borderId="9" xfId="0" applyFont="1" applyBorder="1" applyAlignment="1">
      <alignment horizontal="right"/>
    </xf>
    <xf numFmtId="15" fontId="258" fillId="0" borderId="9" xfId="1645" applyNumberFormat="1" applyFont="1" applyBorder="1" applyAlignment="1">
      <alignment vertical="center"/>
    </xf>
    <xf numFmtId="15" fontId="258" fillId="0" borderId="9" xfId="1645" quotePrefix="1" applyNumberFormat="1" applyFont="1" applyBorder="1" applyAlignment="1">
      <alignment vertical="center"/>
    </xf>
    <xf numFmtId="0" fontId="261" fillId="0" borderId="9" xfId="1645" applyFont="1" applyBorder="1" applyAlignment="1">
      <alignment vertical="center"/>
    </xf>
    <xf numFmtId="49" fontId="261" fillId="0" borderId="9" xfId="1645" applyNumberFormat="1" applyFont="1" applyBorder="1" applyAlignment="1">
      <alignment horizontal="left" vertical="center"/>
    </xf>
    <xf numFmtId="0" fontId="247" fillId="0" borderId="9" xfId="0" applyFont="1" applyBorder="1"/>
    <xf numFmtId="15" fontId="247" fillId="0" borderId="9" xfId="0" applyNumberFormat="1" applyFont="1" applyBorder="1"/>
    <xf numFmtId="15" fontId="258" fillId="0" borderId="9" xfId="0" applyNumberFormat="1" applyFont="1" applyBorder="1"/>
    <xf numFmtId="169" fontId="255" fillId="0" borderId="75" xfId="1645" applyNumberFormat="1" applyFont="1" applyBorder="1" applyAlignment="1">
      <alignment horizontal="right"/>
    </xf>
    <xf numFmtId="43" fontId="23" fillId="0" borderId="33" xfId="2977" applyFont="1" applyFill="1" applyBorder="1" applyAlignment="1">
      <alignment vertical="top"/>
    </xf>
    <xf numFmtId="0" fontId="23" fillId="0" borderId="0" xfId="0" applyFont="1" applyAlignment="1">
      <alignment vertical="top"/>
    </xf>
    <xf numFmtId="49" fontId="23" fillId="0" borderId="0" xfId="0" applyNumberFormat="1" applyFont="1" applyAlignment="1">
      <alignment vertical="top"/>
    </xf>
    <xf numFmtId="166" fontId="23" fillId="0" borderId="0" xfId="0" applyNumberFormat="1" applyFont="1"/>
    <xf numFmtId="14" fontId="21" fillId="0" borderId="0" xfId="0" applyNumberFormat="1" applyFont="1" applyAlignment="1">
      <alignment vertical="center"/>
    </xf>
    <xf numFmtId="166" fontId="23" fillId="0" borderId="0" xfId="2977" applyNumberFormat="1" applyFont="1" applyFill="1" applyAlignment="1">
      <alignment wrapText="1"/>
    </xf>
    <xf numFmtId="0" fontId="23" fillId="0" borderId="0" xfId="0" applyFont="1" applyAlignment="1">
      <alignment wrapText="1"/>
    </xf>
    <xf numFmtId="43" fontId="23" fillId="0" borderId="0" xfId="2977" applyFont="1" applyFill="1" applyBorder="1" applyAlignment="1">
      <alignment vertical="top"/>
    </xf>
    <xf numFmtId="14" fontId="262" fillId="0" borderId="0" xfId="0" applyNumberFormat="1" applyFont="1"/>
    <xf numFmtId="166" fontId="246" fillId="0" borderId="9" xfId="0" applyNumberFormat="1" applyFont="1" applyBorder="1"/>
    <xf numFmtId="14" fontId="246" fillId="0" borderId="9" xfId="0" applyNumberFormat="1" applyFont="1" applyBorder="1" applyAlignment="1">
      <alignment horizontal="right" vertical="top" wrapText="1"/>
    </xf>
    <xf numFmtId="166" fontId="246" fillId="0" borderId="9" xfId="2977" applyNumberFormat="1" applyFont="1" applyFill="1" applyBorder="1" applyAlignment="1">
      <alignment wrapText="1"/>
    </xf>
    <xf numFmtId="234" fontId="246" fillId="0" borderId="9" xfId="0" applyNumberFormat="1" applyFont="1" applyBorder="1" applyAlignment="1">
      <alignment wrapText="1"/>
    </xf>
    <xf numFmtId="1" fontId="246" fillId="0" borderId="9" xfId="0" applyNumberFormat="1" applyFont="1" applyBorder="1" applyAlignment="1">
      <alignment wrapText="1"/>
    </xf>
    <xf numFmtId="10" fontId="248" fillId="98" borderId="9" xfId="2981" applyNumberFormat="1" applyFont="1" applyFill="1" applyBorder="1"/>
    <xf numFmtId="1" fontId="246" fillId="0" borderId="9" xfId="0" applyNumberFormat="1" applyFont="1" applyBorder="1"/>
    <xf numFmtId="299" fontId="246" fillId="0" borderId="9" xfId="0" applyNumberFormat="1" applyFont="1" applyBorder="1"/>
    <xf numFmtId="49" fontId="245" fillId="0" borderId="9" xfId="0" applyNumberFormat="1" applyFont="1" applyBorder="1" applyAlignment="1">
      <alignment vertical="top"/>
    </xf>
    <xf numFmtId="166" fontId="245" fillId="0" borderId="9" xfId="2977" applyNumberFormat="1" applyFont="1" applyFill="1" applyBorder="1" applyAlignment="1">
      <alignment vertical="top"/>
    </xf>
    <xf numFmtId="0" fontId="263" fillId="0" borderId="0" xfId="0" applyFont="1"/>
    <xf numFmtId="0" fontId="263" fillId="0" borderId="58" xfId="0" applyFont="1" applyBorder="1"/>
    <xf numFmtId="0" fontId="264" fillId="0" borderId="0" xfId="0" applyFont="1"/>
    <xf numFmtId="14" fontId="14" fillId="0" borderId="0" xfId="0" applyNumberFormat="1" applyFont="1"/>
    <xf numFmtId="166" fontId="246" fillId="0" borderId="9" xfId="2977" applyNumberFormat="1" applyFont="1" applyFill="1" applyBorder="1"/>
    <xf numFmtId="297" fontId="246" fillId="0" borderId="9" xfId="0" applyNumberFormat="1" applyFont="1" applyBorder="1" applyAlignment="1">
      <alignment horizontal="right" vertical="top"/>
    </xf>
    <xf numFmtId="0" fontId="267" fillId="0" borderId="9" xfId="0" applyFont="1" applyBorder="1" applyAlignment="1">
      <alignment wrapText="1"/>
    </xf>
    <xf numFmtId="1" fontId="267" fillId="0" borderId="9" xfId="0" applyNumberFormat="1" applyFont="1" applyBorder="1" applyAlignment="1">
      <alignment wrapText="1"/>
    </xf>
    <xf numFmtId="234" fontId="267" fillId="0" borderId="9" xfId="0" applyNumberFormat="1" applyFont="1" applyBorder="1" applyAlignment="1">
      <alignment wrapText="1"/>
    </xf>
    <xf numFmtId="10" fontId="268" fillId="98" borderId="9" xfId="2981" applyNumberFormat="1" applyFont="1" applyFill="1" applyBorder="1"/>
    <xf numFmtId="166" fontId="247" fillId="0" borderId="0" xfId="2977" applyNumberFormat="1" applyFont="1" applyFill="1"/>
    <xf numFmtId="9" fontId="246" fillId="0" borderId="9" xfId="2978" applyFont="1" applyFill="1" applyBorder="1" applyAlignment="1">
      <alignment vertical="top"/>
    </xf>
    <xf numFmtId="49" fontId="246" fillId="0" borderId="9" xfId="0" quotePrefix="1" applyNumberFormat="1" applyFont="1" applyBorder="1" applyAlignment="1">
      <alignment vertical="top"/>
    </xf>
    <xf numFmtId="297" fontId="20" fillId="0" borderId="9" xfId="0" applyNumberFormat="1" applyFont="1" applyBorder="1" applyAlignment="1">
      <alignment horizontal="right" vertical="top"/>
    </xf>
    <xf numFmtId="0" fontId="267" fillId="0" borderId="9" xfId="0" applyFont="1" applyBorder="1"/>
    <xf numFmtId="14" fontId="267" fillId="0" borderId="9" xfId="0" applyNumberFormat="1" applyFont="1" applyBorder="1"/>
    <xf numFmtId="0" fontId="267" fillId="0" borderId="9" xfId="0" applyFont="1" applyBorder="1" applyAlignment="1">
      <alignment horizontal="left" vertical="center"/>
    </xf>
    <xf numFmtId="299" fontId="267" fillId="0" borderId="9" xfId="0" applyNumberFormat="1" applyFont="1" applyBorder="1"/>
    <xf numFmtId="0" fontId="258" fillId="0" borderId="9" xfId="1645" applyFont="1" applyBorder="1" applyAlignment="1">
      <alignment vertical="center"/>
    </xf>
    <xf numFmtId="169" fontId="21" fillId="0" borderId="9" xfId="1645" applyNumberFormat="1" applyFont="1" applyBorder="1"/>
    <xf numFmtId="0" fontId="258" fillId="0" borderId="9" xfId="1645" applyFont="1" applyBorder="1" applyAlignment="1">
      <alignment horizontal="left" vertical="center"/>
    </xf>
    <xf numFmtId="0" fontId="258" fillId="0" borderId="9" xfId="1645" quotePrefix="1" applyFont="1" applyBorder="1" applyAlignment="1">
      <alignment horizontal="left" vertical="center"/>
    </xf>
    <xf numFmtId="167" fontId="258" fillId="0" borderId="9" xfId="1645" applyNumberFormat="1" applyFont="1" applyBorder="1" applyAlignment="1">
      <alignment horizontal="center"/>
    </xf>
    <xf numFmtId="0" fontId="244" fillId="0" borderId="9" xfId="1645" applyFont="1" applyBorder="1" applyAlignment="1">
      <alignment horizontal="left" vertical="center"/>
    </xf>
    <xf numFmtId="297" fontId="245" fillId="100" borderId="9" xfId="0" applyNumberFormat="1" applyFont="1" applyFill="1" applyBorder="1" applyAlignment="1">
      <alignment horizontal="right" vertical="top"/>
    </xf>
    <xf numFmtId="166" fontId="259" fillId="0" borderId="64" xfId="2977" applyNumberFormat="1" applyFont="1" applyFill="1" applyBorder="1" applyAlignment="1">
      <alignment vertical="top"/>
    </xf>
    <xf numFmtId="14" fontId="246" fillId="0" borderId="9" xfId="0" applyNumberFormat="1" applyFont="1" applyBorder="1" applyAlignment="1">
      <alignment vertical="top" wrapText="1"/>
    </xf>
    <xf numFmtId="0" fontId="267" fillId="32" borderId="9" xfId="0" applyFont="1" applyFill="1" applyBorder="1"/>
    <xf numFmtId="0" fontId="267" fillId="32" borderId="9" xfId="0" applyFont="1" applyFill="1" applyBorder="1" applyAlignment="1">
      <alignment wrapText="1"/>
    </xf>
    <xf numFmtId="1" fontId="267" fillId="32" borderId="9" xfId="0" applyNumberFormat="1" applyFont="1" applyFill="1" applyBorder="1" applyAlignment="1">
      <alignment wrapText="1"/>
    </xf>
    <xf numFmtId="10" fontId="268" fillId="32" borderId="9" xfId="2981" applyNumberFormat="1" applyFont="1" applyFill="1" applyBorder="1"/>
    <xf numFmtId="0" fontId="247" fillId="32" borderId="0" xfId="0" applyFont="1" applyFill="1"/>
    <xf numFmtId="14" fontId="267" fillId="0" borderId="9" xfId="0" applyNumberFormat="1" applyFont="1" applyBorder="1" applyAlignment="1">
      <alignment horizontal="right" vertical="center"/>
    </xf>
    <xf numFmtId="14" fontId="267" fillId="0" borderId="9" xfId="0" applyNumberFormat="1" applyFont="1" applyBorder="1" applyAlignment="1">
      <alignment horizontal="right"/>
    </xf>
    <xf numFmtId="167" fontId="21" fillId="0" borderId="9" xfId="1645" applyNumberFormat="1" applyFont="1" applyBorder="1" applyAlignment="1">
      <alignment horizontal="center"/>
    </xf>
    <xf numFmtId="15" fontId="21" fillId="0" borderId="9" xfId="1645" applyNumberFormat="1" applyFont="1" applyBorder="1" applyAlignment="1">
      <alignment horizontal="center"/>
    </xf>
    <xf numFmtId="0" fontId="21" fillId="0" borderId="9" xfId="1645" applyFont="1" applyBorder="1" applyAlignment="1">
      <alignment vertical="center"/>
    </xf>
    <xf numFmtId="167" fontId="21" fillId="0" borderId="9" xfId="1645" applyNumberFormat="1" applyFont="1" applyBorder="1" applyAlignment="1">
      <alignment horizontal="center" vertical="center"/>
    </xf>
    <xf numFmtId="0" fontId="243" fillId="0" borderId="9" xfId="1645" applyFont="1" applyBorder="1"/>
    <xf numFmtId="0" fontId="244" fillId="0" borderId="9" xfId="1645" applyFont="1" applyBorder="1" applyAlignment="1">
      <alignment vertical="center"/>
    </xf>
    <xf numFmtId="300" fontId="247" fillId="0" borderId="0" xfId="0" applyNumberFormat="1" applyFont="1"/>
    <xf numFmtId="43" fontId="259" fillId="0" borderId="33" xfId="2977" applyFont="1" applyFill="1" applyBorder="1" applyAlignment="1">
      <alignment vertical="top"/>
    </xf>
    <xf numFmtId="0" fontId="259" fillId="0" borderId="0" xfId="0" applyFont="1" applyAlignment="1">
      <alignment vertical="top"/>
    </xf>
    <xf numFmtId="49" fontId="259" fillId="0" borderId="0" xfId="0" applyNumberFormat="1" applyFont="1" applyAlignment="1">
      <alignment vertical="top"/>
    </xf>
    <xf numFmtId="166" fontId="259" fillId="0" borderId="0" xfId="0" applyNumberFormat="1" applyFont="1"/>
    <xf numFmtId="14" fontId="0" fillId="0" borderId="0" xfId="0" applyNumberFormat="1" applyAlignment="1">
      <alignment vertical="center"/>
    </xf>
    <xf numFmtId="166" fontId="259" fillId="0" borderId="0" xfId="2977" applyNumberFormat="1" applyFont="1" applyFill="1" applyAlignment="1">
      <alignment wrapText="1"/>
    </xf>
    <xf numFmtId="0" fontId="259" fillId="0" borderId="0" xfId="0" applyFont="1" applyAlignment="1">
      <alignment wrapText="1"/>
    </xf>
    <xf numFmtId="43" fontId="259" fillId="0" borderId="0" xfId="2977" applyFont="1" applyFill="1" applyBorder="1" applyAlignment="1">
      <alignment vertical="top"/>
    </xf>
    <xf numFmtId="14" fontId="246" fillId="0" borderId="9" xfId="0" applyNumberFormat="1" applyFont="1" applyBorder="1" applyAlignment="1">
      <alignment vertical="top"/>
    </xf>
    <xf numFmtId="301" fontId="246" fillId="0" borderId="9" xfId="0" applyNumberFormat="1" applyFont="1" applyBorder="1" applyAlignment="1">
      <alignment vertical="top"/>
    </xf>
    <xf numFmtId="0" fontId="269" fillId="0" borderId="9" xfId="0" applyFont="1" applyBorder="1" applyAlignment="1">
      <alignment wrapText="1"/>
    </xf>
    <xf numFmtId="14" fontId="267" fillId="0" borderId="9" xfId="0" applyNumberFormat="1" applyFont="1" applyBorder="1" applyAlignment="1">
      <alignment horizontal="left" vertical="center"/>
    </xf>
    <xf numFmtId="169" fontId="21" fillId="0" borderId="9" xfId="1645" applyNumberFormat="1" applyFont="1" applyBorder="1" applyAlignment="1">
      <alignment vertical="center"/>
    </xf>
    <xf numFmtId="0" fontId="21" fillId="0" borderId="9" xfId="1645" quotePrefix="1" applyFont="1" applyBorder="1" applyAlignment="1">
      <alignment horizontal="center" vertical="center"/>
    </xf>
    <xf numFmtId="167" fontId="21" fillId="0" borderId="9" xfId="1645" quotePrefix="1" applyNumberFormat="1" applyFont="1" applyBorder="1" applyAlignment="1">
      <alignment horizontal="center" vertical="center"/>
    </xf>
    <xf numFmtId="167" fontId="244" fillId="0" borderId="9" xfId="1645" applyNumberFormat="1" applyFont="1" applyBorder="1" applyAlignment="1">
      <alignment horizontal="center" vertical="center"/>
    </xf>
    <xf numFmtId="49" fontId="244" fillId="0" borderId="9" xfId="1645" applyNumberFormat="1" applyFont="1" applyBorder="1" applyAlignment="1">
      <alignment horizontal="left" vertical="center"/>
    </xf>
    <xf numFmtId="0" fontId="244" fillId="0" borderId="9" xfId="1645" quotePrefix="1" applyFont="1" applyBorder="1" applyAlignment="1">
      <alignment horizontal="left" vertical="center"/>
    </xf>
    <xf numFmtId="15" fontId="244" fillId="0" borderId="9" xfId="1645" applyNumberFormat="1" applyFont="1" applyBorder="1" applyAlignment="1">
      <alignment horizontal="left" vertical="center"/>
    </xf>
    <xf numFmtId="0" fontId="268" fillId="0" borderId="9" xfId="1" applyFont="1" applyBorder="1"/>
    <xf numFmtId="0" fontId="257" fillId="0" borderId="9" xfId="1" applyFont="1" applyBorder="1"/>
    <xf numFmtId="49" fontId="20" fillId="0" borderId="0" xfId="0" applyNumberFormat="1" applyFont="1" applyAlignment="1">
      <alignment vertical="top"/>
    </xf>
    <xf numFmtId="49" fontId="20" fillId="0" borderId="0" xfId="0" applyNumberFormat="1" applyFont="1" applyAlignment="1">
      <alignment horizontal="right" vertical="top"/>
    </xf>
    <xf numFmtId="166" fontId="20" fillId="0" borderId="0" xfId="0" applyNumberFormat="1" applyFont="1"/>
    <xf numFmtId="14" fontId="20" fillId="0" borderId="0" xfId="0" applyNumberFormat="1" applyFont="1" applyAlignment="1">
      <alignment horizontal="right" vertical="top"/>
    </xf>
    <xf numFmtId="166" fontId="20" fillId="0" borderId="0" xfId="2977" applyNumberFormat="1" applyFont="1" applyFill="1" applyAlignment="1">
      <alignment wrapText="1"/>
    </xf>
    <xf numFmtId="0" fontId="20" fillId="0" borderId="0" xfId="0" applyFont="1" applyAlignment="1">
      <alignment wrapText="1"/>
    </xf>
    <xf numFmtId="1" fontId="20" fillId="0" borderId="0" xfId="0" applyNumberFormat="1" applyFont="1" applyAlignment="1">
      <alignment wrapText="1"/>
    </xf>
    <xf numFmtId="10" fontId="21" fillId="98" borderId="9" xfId="2981" applyNumberFormat="1" applyFont="1" applyFill="1" applyBorder="1"/>
    <xf numFmtId="166" fontId="20" fillId="0" borderId="9" xfId="0" applyNumberFormat="1" applyFont="1" applyBorder="1"/>
    <xf numFmtId="0" fontId="20" fillId="0" borderId="164" xfId="0" applyFont="1" applyBorder="1"/>
    <xf numFmtId="14" fontId="20" fillId="0" borderId="0" xfId="0" applyNumberFormat="1" applyFont="1" applyAlignment="1">
      <alignment vertical="top"/>
    </xf>
    <xf numFmtId="49" fontId="270" fillId="0" borderId="0" xfId="0" applyNumberFormat="1" applyFont="1" applyAlignment="1">
      <alignment vertical="top"/>
    </xf>
    <xf numFmtId="49" fontId="270" fillId="0" borderId="0" xfId="0" applyNumberFormat="1" applyFont="1" applyAlignment="1">
      <alignment horizontal="right" vertical="top"/>
    </xf>
    <xf numFmtId="0" fontId="270" fillId="0" borderId="0" xfId="0" applyFont="1"/>
    <xf numFmtId="14" fontId="270" fillId="0" borderId="0" xfId="0" applyNumberFormat="1" applyFont="1" applyAlignment="1">
      <alignment vertical="top"/>
    </xf>
    <xf numFmtId="0" fontId="270" fillId="0" borderId="0" xfId="0" applyFont="1" applyAlignment="1">
      <alignment wrapText="1"/>
    </xf>
    <xf numFmtId="297" fontId="20" fillId="0" borderId="0" xfId="0" applyNumberFormat="1" applyFont="1" applyAlignment="1">
      <alignment horizontal="right" vertical="top"/>
    </xf>
    <xf numFmtId="297" fontId="23" fillId="0" borderId="0" xfId="0" applyNumberFormat="1" applyFont="1" applyAlignment="1">
      <alignment horizontal="right" vertical="top"/>
    </xf>
    <xf numFmtId="297" fontId="20" fillId="0" borderId="0" xfId="0" quotePrefix="1" applyNumberFormat="1" applyFont="1" applyAlignment="1">
      <alignment horizontal="right" vertical="top"/>
    </xf>
    <xf numFmtId="0" fontId="20" fillId="0" borderId="167" xfId="0" applyFont="1" applyBorder="1"/>
    <xf numFmtId="14" fontId="20" fillId="0" borderId="168" xfId="0" applyNumberFormat="1" applyFont="1" applyBorder="1" applyAlignment="1">
      <alignment horizontal="right"/>
    </xf>
    <xf numFmtId="14" fontId="20" fillId="0" borderId="0" xfId="0" applyNumberFormat="1" applyFont="1" applyAlignment="1">
      <alignment horizontal="right" vertical="top" wrapText="1"/>
    </xf>
    <xf numFmtId="0" fontId="20" fillId="0" borderId="9" xfId="0" applyFont="1" applyBorder="1" applyAlignment="1">
      <alignment horizontal="left" vertical="center"/>
    </xf>
    <xf numFmtId="299" fontId="20" fillId="0" borderId="9" xfId="0" applyNumberFormat="1" applyFont="1" applyBorder="1" applyAlignment="1">
      <alignment horizontal="right"/>
    </xf>
    <xf numFmtId="299" fontId="20" fillId="0" borderId="9" xfId="0" applyNumberFormat="1" applyFont="1" applyBorder="1"/>
    <xf numFmtId="302" fontId="20" fillId="0" borderId="0" xfId="0" applyNumberFormat="1" applyFont="1" applyAlignment="1">
      <alignment wrapText="1"/>
    </xf>
    <xf numFmtId="0" fontId="20" fillId="0" borderId="9" xfId="0" applyFont="1" applyBorder="1"/>
    <xf numFmtId="0" fontId="21" fillId="0" borderId="9" xfId="1645" applyFont="1" applyBorder="1" applyAlignment="1">
      <alignment horizontal="center" vertical="center"/>
    </xf>
    <xf numFmtId="169" fontId="21" fillId="0" borderId="33" xfId="1645" applyNumberFormat="1" applyFont="1" applyBorder="1"/>
    <xf numFmtId="0" fontId="21" fillId="32" borderId="9" xfId="1645" quotePrefix="1" applyFont="1" applyFill="1" applyBorder="1" applyAlignment="1">
      <alignment horizontal="center" vertical="center"/>
    </xf>
    <xf numFmtId="0" fontId="206" fillId="0" borderId="9" xfId="1645" applyFont="1" applyBorder="1" applyAlignment="1">
      <alignment horizontal="left" vertical="center"/>
    </xf>
    <xf numFmtId="0" fontId="206" fillId="0" borderId="9" xfId="1645" applyFont="1" applyBorder="1" applyAlignment="1">
      <alignment vertical="center"/>
    </xf>
    <xf numFmtId="0" fontId="206" fillId="0" borderId="9" xfId="1645" quotePrefix="1" applyFont="1" applyBorder="1" applyAlignment="1">
      <alignment horizontal="left" vertical="center"/>
    </xf>
    <xf numFmtId="167" fontId="206" fillId="0" borderId="9" xfId="1645" applyNumberFormat="1" applyFont="1" applyBorder="1" applyAlignment="1">
      <alignment horizontal="center"/>
    </xf>
    <xf numFmtId="0" fontId="206" fillId="0" borderId="9" xfId="1645" quotePrefix="1" applyFont="1" applyBorder="1" applyAlignment="1">
      <alignment horizontal="left"/>
    </xf>
    <xf numFmtId="0" fontId="271" fillId="0" borderId="0" xfId="1645" applyFont="1" applyAlignment="1">
      <alignment horizontal="left" vertical="center"/>
    </xf>
    <xf numFmtId="0" fontId="271" fillId="0" borderId="9" xfId="1645" applyFont="1" applyBorder="1" applyAlignment="1">
      <alignment horizontal="left" vertical="center"/>
    </xf>
    <xf numFmtId="15" fontId="271" fillId="0" borderId="9" xfId="1645" applyNumberFormat="1" applyFont="1" applyBorder="1" applyAlignment="1">
      <alignment horizontal="left" vertical="center"/>
    </xf>
    <xf numFmtId="0" fontId="271" fillId="0" borderId="9" xfId="1645" applyFont="1" applyBorder="1" applyAlignment="1">
      <alignment vertical="center"/>
    </xf>
    <xf numFmtId="0" fontId="271" fillId="0" borderId="9" xfId="1645" quotePrefix="1" applyFont="1" applyBorder="1" applyAlignment="1">
      <alignment horizontal="left" vertical="center"/>
    </xf>
    <xf numFmtId="15" fontId="271" fillId="0" borderId="9" xfId="1645" quotePrefix="1" applyNumberFormat="1" applyFont="1" applyBorder="1" applyAlignment="1">
      <alignment horizontal="left" vertical="center"/>
    </xf>
    <xf numFmtId="167" fontId="271" fillId="0" borderId="9" xfId="1645" applyNumberFormat="1" applyFont="1" applyBorder="1" applyAlignment="1">
      <alignment horizontal="center" vertical="center"/>
    </xf>
    <xf numFmtId="49" fontId="23" fillId="0" borderId="39" xfId="0" applyNumberFormat="1" applyFont="1" applyBorder="1" applyAlignment="1">
      <alignment vertical="top"/>
    </xf>
    <xf numFmtId="166" fontId="23" fillId="0" borderId="39" xfId="2977" applyNumberFormat="1" applyFont="1" applyFill="1" applyBorder="1" applyAlignment="1">
      <alignment vertical="top"/>
    </xf>
    <xf numFmtId="166" fontId="23" fillId="100" borderId="39" xfId="2977" applyNumberFormat="1" applyFont="1" applyFill="1" applyBorder="1" applyAlignment="1">
      <alignment vertical="top"/>
    </xf>
    <xf numFmtId="0" fontId="1" fillId="0" borderId="169" xfId="1889" applyBorder="1"/>
    <xf numFmtId="167" fontId="272" fillId="102" borderId="170" xfId="0" applyNumberFormat="1" applyFont="1" applyFill="1" applyBorder="1" applyAlignment="1">
      <alignment horizontal="center" vertical="center"/>
    </xf>
    <xf numFmtId="167" fontId="272" fillId="102" borderId="171" xfId="0" applyNumberFormat="1" applyFont="1" applyFill="1" applyBorder="1" applyAlignment="1">
      <alignment horizontal="center" vertical="center"/>
    </xf>
    <xf numFmtId="17" fontId="272" fillId="102" borderId="171" xfId="2982" applyNumberFormat="1" applyFont="1" applyFill="1" applyBorder="1" applyAlignment="1">
      <alignment horizontal="center" vertical="center" wrapText="1"/>
    </xf>
    <xf numFmtId="167" fontId="272" fillId="102" borderId="171" xfId="2982" applyNumberFormat="1" applyFont="1" applyFill="1" applyBorder="1" applyAlignment="1">
      <alignment horizontal="center" vertical="center" wrapText="1"/>
    </xf>
    <xf numFmtId="167" fontId="272" fillId="102" borderId="171" xfId="2982" applyNumberFormat="1" applyFont="1" applyFill="1" applyBorder="1" applyAlignment="1">
      <alignment horizontal="center" vertical="center"/>
    </xf>
    <xf numFmtId="0" fontId="272" fillId="102" borderId="171" xfId="2982" applyFont="1" applyFill="1" applyBorder="1" applyAlignment="1">
      <alignment horizontal="center" vertical="center" wrapText="1"/>
    </xf>
    <xf numFmtId="167" fontId="272" fillId="102" borderId="172" xfId="2982" applyNumberFormat="1" applyFont="1" applyFill="1" applyBorder="1" applyAlignment="1">
      <alignment horizontal="center" vertical="center" wrapText="1"/>
    </xf>
    <xf numFmtId="167" fontId="274" fillId="0" borderId="0" xfId="0" applyNumberFormat="1" applyFont="1" applyAlignment="1">
      <alignment horizontal="center" vertical="center"/>
    </xf>
    <xf numFmtId="0" fontId="0" fillId="0" borderId="173" xfId="0" applyBorder="1" applyAlignment="1">
      <alignment horizontal="center"/>
    </xf>
    <xf numFmtId="0" fontId="274" fillId="0" borderId="9" xfId="0" applyFont="1" applyBorder="1" applyAlignment="1">
      <alignment horizontal="center" vertical="center"/>
    </xf>
    <xf numFmtId="0" fontId="274" fillId="0" borderId="9" xfId="0" applyFont="1" applyBorder="1" applyAlignment="1">
      <alignment horizontal="center" vertical="center" wrapText="1"/>
    </xf>
    <xf numFmtId="0" fontId="274" fillId="0" borderId="9" xfId="0" applyFont="1" applyBorder="1" applyAlignment="1">
      <alignment horizontal="left" vertical="center"/>
    </xf>
    <xf numFmtId="0" fontId="274" fillId="0" borderId="9" xfId="0" applyFont="1" applyBorder="1" applyAlignment="1">
      <alignment horizontal="left" vertical="center" wrapText="1"/>
    </xf>
    <xf numFmtId="272" fontId="274" fillId="0" borderId="9" xfId="813" applyNumberFormat="1" applyFont="1" applyFill="1" applyBorder="1" applyAlignment="1">
      <alignment horizontal="right" vertical="center" wrapText="1"/>
    </xf>
    <xf numFmtId="272" fontId="274" fillId="0" borderId="9" xfId="0" applyNumberFormat="1" applyFont="1" applyBorder="1" applyAlignment="1">
      <alignment horizontal="right" vertical="center" wrapText="1"/>
    </xf>
    <xf numFmtId="0" fontId="274" fillId="0" borderId="110" xfId="0" applyFont="1" applyBorder="1" applyAlignment="1">
      <alignment vertical="center"/>
    </xf>
    <xf numFmtId="167" fontId="274" fillId="0" borderId="9" xfId="0" applyNumberFormat="1" applyFont="1" applyBorder="1" applyAlignment="1">
      <alignment horizontal="left" vertical="center"/>
    </xf>
    <xf numFmtId="167" fontId="274" fillId="0" borderId="9" xfId="0" applyNumberFormat="1" applyFont="1" applyBorder="1" applyAlignment="1">
      <alignment horizontal="left" vertical="center" wrapText="1"/>
    </xf>
    <xf numFmtId="167" fontId="274" fillId="0" borderId="9" xfId="0" applyNumberFormat="1" applyFont="1" applyBorder="1" applyAlignment="1">
      <alignment horizontal="center" vertical="center" wrapText="1"/>
    </xf>
    <xf numFmtId="272" fontId="274" fillId="0" borderId="9" xfId="813" applyNumberFormat="1" applyFont="1" applyFill="1" applyBorder="1" applyAlignment="1">
      <alignment horizontal="right" vertical="center"/>
    </xf>
    <xf numFmtId="272" fontId="274" fillId="0" borderId="9" xfId="0" applyNumberFormat="1" applyFont="1" applyBorder="1" applyAlignment="1">
      <alignment horizontal="right" vertical="center"/>
    </xf>
    <xf numFmtId="14" fontId="274" fillId="0" borderId="9" xfId="0" applyNumberFormat="1" applyFont="1" applyBorder="1" applyAlignment="1">
      <alignment horizontal="center" vertical="center"/>
    </xf>
    <xf numFmtId="14" fontId="274" fillId="0" borderId="9" xfId="0" applyNumberFormat="1" applyFont="1" applyBorder="1" applyAlignment="1">
      <alignment horizontal="center" vertical="center" wrapText="1"/>
    </xf>
    <xf numFmtId="49" fontId="274" fillId="0" borderId="9" xfId="1795" applyNumberFormat="1" applyFont="1" applyBorder="1" applyAlignment="1">
      <alignment horizontal="center" vertical="center" wrapText="1"/>
    </xf>
    <xf numFmtId="0" fontId="274" fillId="0" borderId="9" xfId="2983" applyFont="1" applyFill="1" applyBorder="1" applyAlignment="1" applyProtection="1">
      <alignment horizontal="center" vertical="center" wrapText="1"/>
    </xf>
    <xf numFmtId="167" fontId="274" fillId="0" borderId="9" xfId="2983" applyNumberFormat="1" applyFont="1" applyFill="1" applyBorder="1" applyAlignment="1" applyProtection="1">
      <alignment horizontal="center" vertical="center" wrapText="1"/>
    </xf>
    <xf numFmtId="0" fontId="0" fillId="0" borderId="111" xfId="0" applyBorder="1" applyAlignment="1">
      <alignment horizontal="center"/>
    </xf>
    <xf numFmtId="0" fontId="274" fillId="0" borderId="112" xfId="0" applyFont="1" applyBorder="1" applyAlignment="1">
      <alignment horizontal="center" vertical="center"/>
    </xf>
    <xf numFmtId="0" fontId="274" fillId="0" borderId="112" xfId="0" applyFont="1" applyBorder="1" applyAlignment="1">
      <alignment horizontal="center" vertical="center" wrapText="1"/>
    </xf>
    <xf numFmtId="0" fontId="274" fillId="0" borderId="112" xfId="0" applyFont="1" applyBorder="1" applyAlignment="1">
      <alignment horizontal="left" vertical="center"/>
    </xf>
    <xf numFmtId="0" fontId="274" fillId="0" borderId="112" xfId="0" applyFont="1" applyBorder="1" applyAlignment="1">
      <alignment horizontal="left" vertical="center" wrapText="1"/>
    </xf>
    <xf numFmtId="0" fontId="274" fillId="0" borderId="112" xfId="2983" applyFont="1" applyFill="1" applyBorder="1" applyAlignment="1" applyProtection="1">
      <alignment horizontal="center" vertical="center" wrapText="1"/>
    </xf>
    <xf numFmtId="49" fontId="274" fillId="0" borderId="112" xfId="1795" applyNumberFormat="1" applyFont="1" applyBorder="1" applyAlignment="1">
      <alignment horizontal="center" vertical="center" wrapText="1"/>
    </xf>
    <xf numFmtId="272" fontId="274" fillId="0" borderId="112" xfId="813" applyNumberFormat="1" applyFont="1" applyFill="1" applyBorder="1" applyAlignment="1">
      <alignment horizontal="right" vertical="center" wrapText="1"/>
    </xf>
    <xf numFmtId="272" fontId="274" fillId="0" borderId="112" xfId="0" applyNumberFormat="1" applyFont="1" applyBorder="1" applyAlignment="1">
      <alignment horizontal="right" vertical="center" wrapText="1"/>
    </xf>
    <xf numFmtId="0" fontId="274" fillId="0" borderId="174" xfId="0" applyFont="1" applyBorder="1" applyAlignment="1">
      <alignment vertical="center"/>
    </xf>
    <xf numFmtId="49" fontId="274" fillId="0" borderId="175" xfId="1795" applyNumberFormat="1" applyFont="1" applyBorder="1" applyAlignment="1">
      <alignment horizontal="center" vertical="center" wrapText="1"/>
    </xf>
    <xf numFmtId="272" fontId="0" fillId="0" borderId="19" xfId="813" applyNumberFormat="1" applyFont="1" applyBorder="1" applyAlignment="1">
      <alignment horizontal="right"/>
    </xf>
    <xf numFmtId="272" fontId="0" fillId="0" borderId="0" xfId="0" applyNumberFormat="1" applyAlignment="1">
      <alignment horizontal="right"/>
    </xf>
    <xf numFmtId="0" fontId="276" fillId="104" borderId="58" xfId="0" applyFont="1" applyFill="1" applyBorder="1" applyAlignment="1">
      <alignment horizontal="center" vertical="center" wrapText="1"/>
    </xf>
    <xf numFmtId="0" fontId="277" fillId="104" borderId="109" xfId="0" applyFont="1" applyFill="1" applyBorder="1" applyAlignment="1">
      <alignment horizontal="center" vertical="center" wrapText="1"/>
    </xf>
    <xf numFmtId="0" fontId="277" fillId="104" borderId="176" xfId="0" applyFont="1" applyFill="1" applyBorder="1" applyAlignment="1">
      <alignment horizontal="center" vertical="center" wrapText="1"/>
    </xf>
    <xf numFmtId="0" fontId="153" fillId="0" borderId="173" xfId="0" applyFont="1" applyBorder="1" applyAlignment="1">
      <alignment horizontal="center" vertical="center"/>
    </xf>
    <xf numFmtId="0" fontId="153" fillId="0" borderId="9" xfId="0" applyFont="1" applyBorder="1" applyAlignment="1">
      <alignment horizontal="center" vertical="center"/>
    </xf>
    <xf numFmtId="0" fontId="153" fillId="0" borderId="9" xfId="0" applyFont="1" applyBorder="1" applyAlignment="1">
      <alignment horizontal="center" vertical="center" wrapText="1"/>
    </xf>
    <xf numFmtId="165" fontId="153" fillId="0" borderId="9" xfId="813" applyFont="1" applyBorder="1" applyAlignment="1">
      <alignment horizontal="center" vertical="center"/>
    </xf>
    <xf numFmtId="0" fontId="0" fillId="0" borderId="110" xfId="0" applyBorder="1"/>
    <xf numFmtId="0" fontId="153" fillId="0" borderId="9" xfId="0" applyFont="1" applyBorder="1" applyAlignment="1">
      <alignment horizontal="center"/>
    </xf>
    <xf numFmtId="165" fontId="153" fillId="0" borderId="9" xfId="813" applyFont="1" applyFill="1" applyBorder="1" applyAlignment="1">
      <alignment horizontal="center" vertical="center"/>
    </xf>
    <xf numFmtId="165" fontId="153" fillId="0" borderId="9" xfId="813" applyFont="1" applyBorder="1" applyAlignment="1">
      <alignment horizontal="center" vertical="center" wrapText="1"/>
    </xf>
    <xf numFmtId="0" fontId="153" fillId="33" borderId="173" xfId="0" applyFont="1" applyFill="1" applyBorder="1" applyAlignment="1">
      <alignment horizontal="center" vertical="center"/>
    </xf>
    <xf numFmtId="0" fontId="153" fillId="32" borderId="173" xfId="0" applyFont="1" applyFill="1" applyBorder="1" applyAlignment="1">
      <alignment horizontal="center" vertical="center"/>
    </xf>
    <xf numFmtId="0" fontId="153" fillId="32" borderId="9" xfId="0" applyFont="1" applyFill="1" applyBorder="1" applyAlignment="1">
      <alignment horizontal="center" vertical="center" wrapText="1"/>
    </xf>
    <xf numFmtId="165" fontId="153" fillId="32" borderId="9" xfId="813" applyFont="1" applyFill="1" applyBorder="1" applyAlignment="1">
      <alignment horizontal="center" vertical="center" wrapText="1"/>
    </xf>
    <xf numFmtId="0" fontId="153" fillId="0" borderId="111" xfId="0" applyFont="1" applyBorder="1" applyAlignment="1">
      <alignment horizontal="center" vertical="center"/>
    </xf>
    <xf numFmtId="0" fontId="153" fillId="0" borderId="112" xfId="0" applyFont="1" applyBorder="1" applyAlignment="1">
      <alignment horizontal="center" vertical="center"/>
    </xf>
    <xf numFmtId="0" fontId="153" fillId="0" borderId="112" xfId="0" applyFont="1" applyBorder="1" applyAlignment="1">
      <alignment horizontal="center" vertical="center" wrapText="1"/>
    </xf>
    <xf numFmtId="165" fontId="153" fillId="0" borderId="112" xfId="813" applyFont="1" applyBorder="1" applyAlignment="1">
      <alignment horizontal="center" vertical="center"/>
    </xf>
    <xf numFmtId="0" fontId="0" fillId="0" borderId="174" xfId="0" applyBorder="1"/>
    <xf numFmtId="0" fontId="0" fillId="0" borderId="18" xfId="0" applyBorder="1"/>
    <xf numFmtId="165" fontId="0" fillId="0" borderId="19" xfId="0" applyNumberFormat="1" applyBorder="1"/>
    <xf numFmtId="14" fontId="267" fillId="0" borderId="9" xfId="0" applyNumberFormat="1" applyFont="1" applyBorder="1" applyAlignment="1">
      <alignment vertical="center"/>
    </xf>
    <xf numFmtId="168" fontId="20" fillId="0" borderId="9" xfId="0" applyNumberFormat="1" applyFont="1" applyBorder="1"/>
    <xf numFmtId="2" fontId="21" fillId="0" borderId="9" xfId="0" applyNumberFormat="1" applyFont="1" applyBorder="1"/>
    <xf numFmtId="0" fontId="21" fillId="0" borderId="9" xfId="0" applyFont="1" applyBorder="1" applyAlignment="1">
      <alignment horizontal="center"/>
    </xf>
    <xf numFmtId="168" fontId="20" fillId="0" borderId="9" xfId="0" applyNumberFormat="1" applyFont="1" applyBorder="1" applyAlignment="1">
      <alignment horizontal="right" vertical="center"/>
    </xf>
    <xf numFmtId="167" fontId="20" fillId="0" borderId="9" xfId="0" applyNumberFormat="1" applyFont="1" applyBorder="1" applyAlignment="1">
      <alignment horizontal="right" vertical="center"/>
    </xf>
    <xf numFmtId="0" fontId="207" fillId="0" borderId="9" xfId="0" applyFont="1" applyBorder="1" applyAlignment="1">
      <alignment horizontal="left" vertical="center"/>
    </xf>
    <xf numFmtId="0" fontId="207" fillId="0" borderId="9" xfId="0" applyFont="1" applyBorder="1" applyAlignment="1">
      <alignment vertical="center"/>
    </xf>
    <xf numFmtId="15" fontId="20" fillId="0" borderId="9" xfId="0" applyNumberFormat="1" applyFont="1" applyBorder="1" applyAlignment="1">
      <alignment horizontal="right" vertical="center"/>
    </xf>
    <xf numFmtId="0" fontId="1" fillId="0" borderId="0" xfId="0" applyFont="1"/>
    <xf numFmtId="168" fontId="21" fillId="0" borderId="9" xfId="0" applyNumberFormat="1" applyFont="1" applyBorder="1" applyAlignment="1">
      <alignment horizontal="right"/>
    </xf>
    <xf numFmtId="0" fontId="207" fillId="0" borderId="9" xfId="0" applyFont="1" applyBorder="1"/>
    <xf numFmtId="168" fontId="20" fillId="32" borderId="9" xfId="0" applyNumberFormat="1" applyFont="1" applyFill="1" applyBorder="1" applyAlignment="1">
      <alignment horizontal="right" vertical="center"/>
    </xf>
    <xf numFmtId="168" fontId="20" fillId="32" borderId="9" xfId="2" applyNumberFormat="1" applyFont="1" applyFill="1" applyBorder="1" applyAlignment="1">
      <alignment horizontal="right" vertical="center"/>
    </xf>
    <xf numFmtId="0" fontId="20" fillId="0" borderId="9" xfId="0" applyFont="1" applyBorder="1" applyAlignment="1">
      <alignment horizontal="right" vertical="center"/>
    </xf>
    <xf numFmtId="0" fontId="207" fillId="0" borderId="9" xfId="0" applyFont="1" applyBorder="1" applyAlignment="1">
      <alignment horizontal="right" vertical="center"/>
    </xf>
    <xf numFmtId="0" fontId="20" fillId="0" borderId="9" xfId="1" quotePrefix="1" applyFont="1" applyBorder="1" applyAlignment="1">
      <alignment horizontal="right" vertical="center"/>
    </xf>
    <xf numFmtId="0" fontId="20" fillId="0" borderId="9" xfId="1650" applyFont="1" applyBorder="1" applyAlignment="1">
      <alignment horizontal="right" vertical="center"/>
    </xf>
    <xf numFmtId="0" fontId="20" fillId="0" borderId="9" xfId="1" applyFont="1" applyBorder="1" applyAlignment="1">
      <alignment horizontal="right" vertical="center"/>
    </xf>
    <xf numFmtId="0" fontId="20" fillId="0" borderId="9" xfId="0" quotePrefix="1" applyFont="1" applyBorder="1" applyAlignment="1">
      <alignment horizontal="right" vertical="center"/>
    </xf>
    <xf numFmtId="0" fontId="21" fillId="0" borderId="9" xfId="1" applyFont="1" applyBorder="1" applyAlignment="1">
      <alignment horizontal="right"/>
    </xf>
    <xf numFmtId="0" fontId="20" fillId="0" borderId="9" xfId="0" applyFont="1" applyBorder="1" applyAlignment="1">
      <alignment horizontal="center" vertical="center"/>
    </xf>
    <xf numFmtId="169" fontId="20" fillId="0" borderId="9" xfId="0" applyNumberFormat="1" applyFont="1" applyBorder="1" applyAlignment="1">
      <alignment vertical="center"/>
    </xf>
    <xf numFmtId="168" fontId="21" fillId="0" borderId="9" xfId="0" applyNumberFormat="1" applyFont="1" applyBorder="1"/>
    <xf numFmtId="0" fontId="20" fillId="0" borderId="9" xfId="0" applyFont="1" applyBorder="1" applyAlignment="1">
      <alignment vertical="center"/>
    </xf>
    <xf numFmtId="167" fontId="207" fillId="0" borderId="9" xfId="0" applyNumberFormat="1" applyFont="1" applyBorder="1" applyAlignment="1">
      <alignment horizontal="right" vertical="center"/>
    </xf>
    <xf numFmtId="168" fontId="207" fillId="0" borderId="9" xfId="0" applyNumberFormat="1" applyFont="1" applyBorder="1" applyAlignment="1">
      <alignment vertical="center"/>
    </xf>
    <xf numFmtId="168" fontId="20" fillId="0" borderId="9" xfId="0" applyNumberFormat="1" applyFont="1" applyBorder="1" applyAlignment="1">
      <alignment horizontal="right"/>
    </xf>
    <xf numFmtId="0" fontId="20" fillId="0" borderId="9" xfId="0" quotePrefix="1" applyFont="1" applyBorder="1" applyAlignment="1">
      <alignment horizontal="center" vertical="center"/>
    </xf>
    <xf numFmtId="0" fontId="278" fillId="0" borderId="0" xfId="1" applyFont="1" applyAlignment="1">
      <alignment horizontal="left" vertical="center"/>
    </xf>
    <xf numFmtId="0" fontId="236" fillId="33" borderId="10" xfId="1889" applyFont="1" applyFill="1" applyBorder="1" applyAlignment="1">
      <alignment horizontal="center" vertical="top" wrapText="1"/>
    </xf>
    <xf numFmtId="0" fontId="236" fillId="33" borderId="32" xfId="1889" applyFont="1" applyFill="1" applyBorder="1" applyAlignment="1">
      <alignment vertical="top" wrapText="1"/>
    </xf>
    <xf numFmtId="0" fontId="236" fillId="33" borderId="32" xfId="1889" applyFont="1" applyFill="1" applyBorder="1" applyAlignment="1">
      <alignment horizontal="center" vertical="top" wrapText="1"/>
    </xf>
    <xf numFmtId="0" fontId="236" fillId="33" borderId="22" xfId="1889" applyFont="1" applyFill="1" applyBorder="1" applyAlignment="1">
      <alignment horizontal="center" vertical="top" wrapText="1"/>
    </xf>
    <xf numFmtId="0" fontId="279" fillId="0" borderId="0" xfId="1806" applyFont="1"/>
    <xf numFmtId="0" fontId="219" fillId="0" borderId="0" xfId="1806" applyFont="1"/>
    <xf numFmtId="165" fontId="221" fillId="33" borderId="9" xfId="1806" applyNumberFormat="1" applyFont="1" applyFill="1" applyBorder="1"/>
    <xf numFmtId="0" fontId="237" fillId="0" borderId="107" xfId="1889" applyFont="1" applyBorder="1" applyAlignment="1">
      <alignment horizontal="center"/>
    </xf>
    <xf numFmtId="0" fontId="20" fillId="32" borderId="9" xfId="1" applyFont="1" applyFill="1" applyBorder="1" applyAlignment="1">
      <alignment horizontal="center" vertical="center"/>
    </xf>
    <xf numFmtId="0" fontId="207" fillId="32" borderId="9" xfId="1650" applyFont="1" applyFill="1" applyBorder="1" applyAlignment="1">
      <alignment horizontal="left" vertical="center"/>
    </xf>
    <xf numFmtId="0" fontId="207" fillId="32" borderId="9" xfId="1650" applyFont="1" applyFill="1" applyBorder="1" applyAlignment="1">
      <alignment horizontal="right" vertical="center"/>
    </xf>
    <xf numFmtId="167" fontId="207" fillId="32" borderId="9" xfId="1650" applyNumberFormat="1" applyFont="1" applyFill="1" applyBorder="1" applyAlignment="1">
      <alignment horizontal="right" vertical="center"/>
    </xf>
    <xf numFmtId="167" fontId="20" fillId="32" borderId="9" xfId="1" applyNumberFormat="1" applyFont="1" applyFill="1" applyBorder="1" applyAlignment="1">
      <alignment horizontal="right" vertical="center"/>
    </xf>
    <xf numFmtId="168" fontId="207" fillId="32" borderId="9" xfId="1113" applyNumberFormat="1" applyFont="1" applyFill="1" applyBorder="1" applyAlignment="1">
      <alignment vertical="center"/>
    </xf>
    <xf numFmtId="169" fontId="20" fillId="32" borderId="9" xfId="1" applyNumberFormat="1" applyFont="1" applyFill="1" applyBorder="1" applyAlignment="1">
      <alignment vertical="center"/>
    </xf>
    <xf numFmtId="0" fontId="21" fillId="32" borderId="9" xfId="1" applyFont="1" applyFill="1" applyBorder="1" applyAlignment="1">
      <alignment horizontal="center"/>
    </xf>
    <xf numFmtId="2" fontId="21" fillId="32" borderId="9" xfId="1" applyNumberFormat="1" applyFont="1" applyFill="1" applyBorder="1"/>
    <xf numFmtId="168" fontId="21" fillId="32" borderId="9" xfId="1" applyNumberFormat="1" applyFont="1" applyFill="1" applyBorder="1"/>
    <xf numFmtId="168" fontId="20" fillId="32" borderId="9" xfId="2" applyNumberFormat="1" applyFont="1" applyFill="1" applyBorder="1"/>
    <xf numFmtId="0" fontId="1" fillId="32" borderId="0" xfId="1" applyFill="1"/>
    <xf numFmtId="0" fontId="20" fillId="32" borderId="9" xfId="1" applyFont="1" applyFill="1" applyBorder="1" applyAlignment="1">
      <alignment horizontal="left" vertical="center"/>
    </xf>
    <xf numFmtId="0" fontId="20" fillId="32" borderId="9" xfId="1" applyFont="1" applyFill="1" applyBorder="1" applyAlignment="1">
      <alignment vertical="center"/>
    </xf>
    <xf numFmtId="0" fontId="20" fillId="32" borderId="9" xfId="1" applyFont="1" applyFill="1" applyBorder="1" applyAlignment="1">
      <alignment horizontal="right" vertical="center"/>
    </xf>
    <xf numFmtId="15" fontId="20" fillId="32" borderId="9" xfId="1" applyNumberFormat="1" applyFont="1" applyFill="1" applyBorder="1" applyAlignment="1">
      <alignment horizontal="right" vertical="center"/>
    </xf>
    <xf numFmtId="0" fontId="20" fillId="32" borderId="9" xfId="0" applyFont="1" applyFill="1" applyBorder="1" applyAlignment="1">
      <alignment horizontal="left" vertical="center"/>
    </xf>
    <xf numFmtId="0" fontId="207" fillId="32" borderId="9" xfId="0" applyFont="1" applyFill="1" applyBorder="1" applyAlignment="1">
      <alignment horizontal="left" vertical="center"/>
    </xf>
    <xf numFmtId="0" fontId="20" fillId="32" borderId="9" xfId="0" applyFont="1" applyFill="1" applyBorder="1" applyAlignment="1">
      <alignment horizontal="right" vertical="center"/>
    </xf>
    <xf numFmtId="167" fontId="20" fillId="32" borderId="9" xfId="0" applyNumberFormat="1" applyFont="1" applyFill="1" applyBorder="1" applyAlignment="1">
      <alignment horizontal="right" vertical="center"/>
    </xf>
    <xf numFmtId="0" fontId="21" fillId="32" borderId="9" xfId="0" applyFont="1" applyFill="1" applyBorder="1" applyAlignment="1">
      <alignment horizontal="center"/>
    </xf>
    <xf numFmtId="2" fontId="21" fillId="32" borderId="9" xfId="0" applyNumberFormat="1" applyFont="1" applyFill="1" applyBorder="1"/>
    <xf numFmtId="168" fontId="21" fillId="32" borderId="9" xfId="0" applyNumberFormat="1" applyFont="1" applyFill="1" applyBorder="1"/>
    <xf numFmtId="168" fontId="20" fillId="32" borderId="9" xfId="0" applyNumberFormat="1" applyFont="1" applyFill="1" applyBorder="1"/>
    <xf numFmtId="0" fontId="207" fillId="32" borderId="9" xfId="0" applyFont="1" applyFill="1" applyBorder="1" applyAlignment="1">
      <alignment horizontal="right" vertical="center"/>
    </xf>
    <xf numFmtId="167" fontId="207" fillId="32" borderId="9" xfId="0" applyNumberFormat="1" applyFont="1" applyFill="1" applyBorder="1" applyAlignment="1">
      <alignment horizontal="right" vertical="center"/>
    </xf>
    <xf numFmtId="168" fontId="207" fillId="32" borderId="9" xfId="0" applyNumberFormat="1" applyFont="1" applyFill="1" applyBorder="1" applyAlignment="1">
      <alignment vertical="center"/>
    </xf>
    <xf numFmtId="0" fontId="207" fillId="32" borderId="9" xfId="0" applyFont="1" applyFill="1" applyBorder="1" applyAlignment="1">
      <alignment vertical="center"/>
    </xf>
    <xf numFmtId="0" fontId="20" fillId="32" borderId="9" xfId="0" applyFont="1" applyFill="1" applyBorder="1" applyAlignment="1">
      <alignment vertical="center"/>
    </xf>
    <xf numFmtId="169" fontId="20" fillId="32" borderId="9" xfId="0" applyNumberFormat="1" applyFont="1" applyFill="1" applyBorder="1" applyAlignment="1">
      <alignment vertical="center"/>
    </xf>
    <xf numFmtId="0" fontId="20" fillId="32" borderId="9" xfId="1" quotePrefix="1" applyFont="1" applyFill="1" applyBorder="1" applyAlignment="1">
      <alignment horizontal="right" vertical="center"/>
    </xf>
    <xf numFmtId="0" fontId="20" fillId="32" borderId="9" xfId="1650" applyFont="1" applyFill="1" applyBorder="1" applyAlignment="1">
      <alignment horizontal="left" vertical="center"/>
    </xf>
    <xf numFmtId="0" fontId="20" fillId="32" borderId="9" xfId="1650" applyFont="1" applyFill="1" applyBorder="1" applyAlignment="1">
      <alignment horizontal="right" vertical="center"/>
    </xf>
    <xf numFmtId="167" fontId="20" fillId="32" borderId="9" xfId="1650" applyNumberFormat="1" applyFont="1" applyFill="1" applyBorder="1" applyAlignment="1">
      <alignment horizontal="right" vertical="center"/>
    </xf>
    <xf numFmtId="15" fontId="20" fillId="32" borderId="9" xfId="1" quotePrefix="1" applyNumberFormat="1" applyFont="1" applyFill="1" applyBorder="1" applyAlignment="1">
      <alignment horizontal="right" vertical="center"/>
    </xf>
    <xf numFmtId="168" fontId="23" fillId="32" borderId="9" xfId="2" applyNumberFormat="1" applyFont="1" applyFill="1" applyBorder="1" applyAlignment="1">
      <alignment horizontal="right" vertical="center"/>
    </xf>
    <xf numFmtId="15" fontId="20" fillId="32" borderId="9" xfId="1650" applyNumberFormat="1" applyFont="1" applyFill="1" applyBorder="1" applyAlignment="1">
      <alignment horizontal="right" vertical="center"/>
    </xf>
    <xf numFmtId="15" fontId="207" fillId="32" borderId="9" xfId="1650" applyNumberFormat="1" applyFont="1" applyFill="1" applyBorder="1" applyAlignment="1">
      <alignment horizontal="right" vertical="center"/>
    </xf>
    <xf numFmtId="168" fontId="207" fillId="32" borderId="9" xfId="1113" applyNumberFormat="1" applyFont="1" applyFill="1" applyBorder="1" applyAlignment="1">
      <alignment horizontal="right" vertical="center"/>
    </xf>
    <xf numFmtId="15" fontId="20" fillId="32" borderId="9" xfId="0" applyNumberFormat="1" applyFont="1" applyFill="1" applyBorder="1" applyAlignment="1">
      <alignment horizontal="right" vertical="center"/>
    </xf>
    <xf numFmtId="15" fontId="20" fillId="32" borderId="9" xfId="0" quotePrefix="1" applyNumberFormat="1" applyFont="1" applyFill="1" applyBorder="1" applyAlignment="1">
      <alignment horizontal="right" vertical="center"/>
    </xf>
    <xf numFmtId="15" fontId="207" fillId="32" borderId="9" xfId="0" applyNumberFormat="1" applyFont="1" applyFill="1" applyBorder="1" applyAlignment="1">
      <alignment horizontal="right" vertical="center"/>
    </xf>
    <xf numFmtId="0" fontId="20" fillId="32" borderId="9" xfId="1650" applyFont="1" applyFill="1" applyBorder="1" applyAlignment="1">
      <alignment vertical="center"/>
    </xf>
    <xf numFmtId="0" fontId="207" fillId="32" borderId="9" xfId="1650" applyFont="1" applyFill="1" applyBorder="1" applyAlignment="1">
      <alignment vertical="center"/>
    </xf>
    <xf numFmtId="0" fontId="208" fillId="32" borderId="9" xfId="1650" applyFont="1" applyFill="1" applyBorder="1" applyAlignment="1">
      <alignment horizontal="right"/>
    </xf>
    <xf numFmtId="14" fontId="208" fillId="32" borderId="9" xfId="1650" applyNumberFormat="1" applyFont="1" applyFill="1" applyBorder="1" applyAlignment="1">
      <alignment horizontal="right"/>
    </xf>
    <xf numFmtId="0" fontId="208" fillId="32" borderId="9" xfId="1650" applyFont="1" applyFill="1" applyBorder="1"/>
    <xf numFmtId="0" fontId="20" fillId="32" borderId="9" xfId="0" quotePrefix="1" applyFont="1" applyFill="1" applyBorder="1" applyAlignment="1">
      <alignment horizontal="right" vertical="center"/>
    </xf>
    <xf numFmtId="168" fontId="21" fillId="32" borderId="9" xfId="2" applyNumberFormat="1" applyFont="1" applyFill="1" applyBorder="1" applyAlignment="1">
      <alignment horizontal="right"/>
    </xf>
    <xf numFmtId="168" fontId="21" fillId="32" borderId="9" xfId="1" applyNumberFormat="1" applyFont="1" applyFill="1" applyBorder="1" applyAlignment="1">
      <alignment horizontal="right"/>
    </xf>
    <xf numFmtId="0" fontId="20" fillId="32" borderId="9" xfId="1" applyFont="1" applyFill="1" applyBorder="1"/>
    <xf numFmtId="0" fontId="20" fillId="32" borderId="9" xfId="1650" applyFont="1" applyFill="1" applyBorder="1"/>
    <xf numFmtId="0" fontId="23" fillId="32" borderId="9" xfId="0" applyFont="1" applyFill="1" applyBorder="1" applyAlignment="1">
      <alignment horizontal="left" vertical="center"/>
    </xf>
    <xf numFmtId="0" fontId="237" fillId="32" borderId="109" xfId="1889" applyFont="1" applyFill="1" applyBorder="1" applyAlignment="1">
      <alignment horizontal="left"/>
    </xf>
    <xf numFmtId="14" fontId="237" fillId="32" borderId="109" xfId="1889" applyNumberFormat="1" applyFont="1" applyFill="1" applyBorder="1" applyAlignment="1">
      <alignment horizontal="left"/>
    </xf>
    <xf numFmtId="167" fontId="237" fillId="32" borderId="109" xfId="1889" applyNumberFormat="1" applyFont="1" applyFill="1" applyBorder="1" applyAlignment="1">
      <alignment horizontal="left"/>
    </xf>
    <xf numFmtId="168" fontId="17" fillId="32" borderId="9" xfId="1644" applyNumberFormat="1" applyFill="1" applyBorder="1" applyAlignment="1">
      <alignment horizontal="right"/>
    </xf>
    <xf numFmtId="168" fontId="17" fillId="32" borderId="110" xfId="1644" applyNumberFormat="1" applyFill="1" applyBorder="1" applyAlignment="1">
      <alignment horizontal="right"/>
    </xf>
    <xf numFmtId="14" fontId="237" fillId="32" borderId="32" xfId="1889" applyNumberFormat="1" applyFont="1" applyFill="1" applyBorder="1" applyAlignment="1">
      <alignment horizontal="left"/>
    </xf>
    <xf numFmtId="0" fontId="237" fillId="32" borderId="10" xfId="1889" applyFont="1" applyFill="1" applyBorder="1" applyAlignment="1">
      <alignment horizontal="left"/>
    </xf>
    <xf numFmtId="168" fontId="92" fillId="32" borderId="9" xfId="1644" applyNumberFormat="1" applyFont="1" applyFill="1" applyBorder="1" applyAlignment="1">
      <alignment horizontal="right"/>
    </xf>
    <xf numFmtId="0" fontId="247" fillId="32" borderId="9" xfId="0" applyFont="1" applyFill="1" applyBorder="1"/>
    <xf numFmtId="0" fontId="153" fillId="32" borderId="9" xfId="0" applyFont="1" applyFill="1" applyBorder="1"/>
    <xf numFmtId="49" fontId="247" fillId="32" borderId="9" xfId="0" applyNumberFormat="1" applyFont="1" applyFill="1" applyBorder="1"/>
    <xf numFmtId="15" fontId="247" fillId="32" borderId="9" xfId="0" applyNumberFormat="1" applyFont="1" applyFill="1" applyBorder="1"/>
    <xf numFmtId="169" fontId="255" fillId="32" borderId="9" xfId="1645" applyNumberFormat="1" applyFont="1" applyFill="1" applyBorder="1" applyAlignment="1">
      <alignment horizontal="right"/>
    </xf>
    <xf numFmtId="169" fontId="258" fillId="32" borderId="9" xfId="0" applyNumberFormat="1" applyFont="1" applyFill="1" applyBorder="1"/>
    <xf numFmtId="15" fontId="258" fillId="32" borderId="9" xfId="0" applyNumberFormat="1" applyFont="1" applyFill="1" applyBorder="1"/>
    <xf numFmtId="0" fontId="258" fillId="32" borderId="9" xfId="1645" applyFont="1" applyFill="1" applyBorder="1"/>
    <xf numFmtId="2" fontId="257" fillId="32" borderId="9" xfId="0" applyNumberFormat="1" applyFont="1" applyFill="1" applyBorder="1"/>
    <xf numFmtId="166" fontId="257" fillId="32" borderId="9" xfId="0" applyNumberFormat="1" applyFont="1" applyFill="1" applyBorder="1"/>
    <xf numFmtId="298" fontId="257" fillId="32" borderId="9" xfId="0" applyNumberFormat="1" applyFont="1" applyFill="1" applyBorder="1"/>
    <xf numFmtId="10" fontId="257" fillId="32" borderId="9" xfId="2981" applyNumberFormat="1" applyFont="1" applyFill="1" applyBorder="1"/>
    <xf numFmtId="169" fontId="233" fillId="0" borderId="0" xfId="1806" applyNumberFormat="1" applyFont="1"/>
    <xf numFmtId="9" fontId="233" fillId="0" borderId="32" xfId="1806" applyNumberFormat="1" applyFont="1" applyBorder="1" applyAlignment="1">
      <alignment horizontal="right"/>
    </xf>
    <xf numFmtId="208" fontId="247" fillId="0" borderId="0" xfId="0" applyNumberFormat="1" applyFont="1"/>
    <xf numFmtId="14" fontId="246" fillId="0" borderId="9" xfId="0" applyNumberFormat="1" applyFont="1" applyBorder="1" applyAlignment="1">
      <alignment horizontal="right" vertical="top"/>
    </xf>
    <xf numFmtId="14" fontId="246" fillId="0" borderId="9" xfId="0" applyNumberFormat="1" applyFont="1" applyBorder="1"/>
    <xf numFmtId="0" fontId="246" fillId="0" borderId="33" xfId="0" applyFont="1" applyBorder="1"/>
    <xf numFmtId="294" fontId="246" fillId="0" borderId="166" xfId="0" applyNumberFormat="1" applyFont="1" applyBorder="1"/>
    <xf numFmtId="294" fontId="246" fillId="0" borderId="166" xfId="2978" applyNumberFormat="1" applyFont="1" applyFill="1" applyBorder="1" applyAlignment="1"/>
    <xf numFmtId="294" fontId="246" fillId="0" borderId="166" xfId="2977" applyNumberFormat="1" applyFont="1" applyFill="1" applyBorder="1" applyAlignment="1"/>
    <xf numFmtId="294" fontId="246" fillId="0" borderId="10" xfId="2977" applyNumberFormat="1" applyFont="1" applyFill="1" applyBorder="1" applyAlignment="1"/>
    <xf numFmtId="294" fontId="246" fillId="0" borderId="10" xfId="0" applyNumberFormat="1" applyFont="1" applyBorder="1" applyAlignment="1">
      <alignment wrapText="1"/>
    </xf>
    <xf numFmtId="294" fontId="246" fillId="0" borderId="10" xfId="0" applyNumberFormat="1" applyFont="1" applyBorder="1"/>
    <xf numFmtId="294" fontId="248" fillId="99" borderId="10" xfId="2981" applyNumberFormat="1" applyFont="1" applyFill="1" applyBorder="1"/>
    <xf numFmtId="294" fontId="248" fillId="0" borderId="9" xfId="2981" applyNumberFormat="1" applyFont="1" applyFill="1" applyBorder="1"/>
    <xf numFmtId="49" fontId="246" fillId="0" borderId="33" xfId="0" applyNumberFormat="1" applyFont="1" applyBorder="1" applyAlignment="1">
      <alignment vertical="top"/>
    </xf>
    <xf numFmtId="294" fontId="246" fillId="0" borderId="10" xfId="0" applyNumberFormat="1" applyFont="1" applyBorder="1" applyAlignment="1">
      <alignment horizontal="right" vertical="top"/>
    </xf>
    <xf numFmtId="168" fontId="247" fillId="0" borderId="0" xfId="0" applyNumberFormat="1" applyFont="1"/>
    <xf numFmtId="0" fontId="153" fillId="0" borderId="0" xfId="0" applyFont="1"/>
    <xf numFmtId="169" fontId="258" fillId="0" borderId="75" xfId="0" applyNumberFormat="1" applyFont="1" applyBorder="1"/>
    <xf numFmtId="0" fontId="20" fillId="32" borderId="10" xfId="0" applyFont="1" applyFill="1" applyBorder="1" applyAlignment="1">
      <alignment horizontal="left" vertical="center"/>
    </xf>
    <xf numFmtId="169" fontId="258" fillId="0" borderId="32" xfId="0" applyNumberFormat="1" applyFont="1" applyBorder="1"/>
    <xf numFmtId="0" fontId="247" fillId="0" borderId="39" xfId="0" applyFont="1" applyBorder="1"/>
    <xf numFmtId="49" fontId="247" fillId="0" borderId="39" xfId="0" applyNumberFormat="1" applyFont="1" applyBorder="1"/>
    <xf numFmtId="169" fontId="255" fillId="0" borderId="99" xfId="1645" applyNumberFormat="1" applyFont="1" applyBorder="1" applyAlignment="1">
      <alignment horizontal="right"/>
    </xf>
    <xf numFmtId="169" fontId="255" fillId="100" borderId="99" xfId="1645" applyNumberFormat="1" applyFont="1" applyFill="1" applyBorder="1" applyAlignment="1">
      <alignment horizontal="right"/>
    </xf>
    <xf numFmtId="169" fontId="255" fillId="101" borderId="99" xfId="1645" applyNumberFormat="1" applyFont="1" applyFill="1" applyBorder="1" applyAlignment="1">
      <alignment horizontal="right"/>
    </xf>
    <xf numFmtId="0" fontId="258" fillId="101" borderId="39" xfId="0" applyFont="1" applyFill="1" applyBorder="1"/>
    <xf numFmtId="43" fontId="247" fillId="0" borderId="0" xfId="0" applyNumberFormat="1" applyFont="1"/>
    <xf numFmtId="49" fontId="267" fillId="0" borderId="9" xfId="0" applyNumberFormat="1" applyFont="1" applyBorder="1" applyAlignment="1">
      <alignment vertical="top"/>
    </xf>
    <xf numFmtId="297" fontId="267" fillId="0" borderId="9" xfId="0" applyNumberFormat="1" applyFont="1" applyBorder="1" applyAlignment="1">
      <alignment horizontal="right" vertical="top"/>
    </xf>
    <xf numFmtId="166" fontId="267" fillId="0" borderId="9" xfId="0" applyNumberFormat="1" applyFont="1" applyBorder="1"/>
    <xf numFmtId="297" fontId="267" fillId="0" borderId="9" xfId="0" applyNumberFormat="1" applyFont="1" applyBorder="1" applyAlignment="1">
      <alignment vertical="top"/>
    </xf>
    <xf numFmtId="166" fontId="267" fillId="0" borderId="9" xfId="2977" applyNumberFormat="1" applyFont="1" applyFill="1" applyBorder="1" applyAlignment="1">
      <alignment wrapText="1"/>
    </xf>
    <xf numFmtId="1" fontId="267" fillId="0" borderId="9" xfId="0" applyNumberFormat="1" applyFont="1" applyBorder="1"/>
    <xf numFmtId="0" fontId="267" fillId="0" borderId="0" xfId="0" applyFont="1"/>
    <xf numFmtId="297" fontId="281" fillId="0" borderId="9" xfId="0" applyNumberFormat="1" applyFont="1" applyBorder="1" applyAlignment="1">
      <alignment horizontal="right" vertical="top"/>
    </xf>
    <xf numFmtId="297" fontId="281" fillId="0" borderId="9" xfId="0" applyNumberFormat="1" applyFont="1" applyBorder="1" applyAlignment="1">
      <alignment vertical="top"/>
    </xf>
    <xf numFmtId="14" fontId="267" fillId="0" borderId="9" xfId="0" applyNumberFormat="1" applyFont="1" applyBorder="1" applyAlignment="1">
      <alignment vertical="top" wrapText="1"/>
    </xf>
    <xf numFmtId="49" fontId="267" fillId="32" borderId="9" xfId="0" applyNumberFormat="1" applyFont="1" applyFill="1" applyBorder="1" applyAlignment="1">
      <alignment vertical="top"/>
    </xf>
    <xf numFmtId="14" fontId="267" fillId="32" borderId="9" xfId="0" applyNumberFormat="1" applyFont="1" applyFill="1" applyBorder="1" applyAlignment="1">
      <alignment vertical="top" wrapText="1"/>
    </xf>
    <xf numFmtId="166" fontId="267" fillId="32" borderId="9" xfId="0" applyNumberFormat="1" applyFont="1" applyFill="1" applyBorder="1"/>
    <xf numFmtId="0" fontId="267" fillId="32" borderId="0" xfId="0" applyFont="1" applyFill="1"/>
    <xf numFmtId="0" fontId="268" fillId="0" borderId="9" xfId="1645" applyFont="1" applyBorder="1" applyAlignment="1">
      <alignment horizontal="left"/>
    </xf>
    <xf numFmtId="0" fontId="268" fillId="0" borderId="9" xfId="1645" applyFont="1" applyBorder="1"/>
    <xf numFmtId="167" fontId="268" fillId="0" borderId="9" xfId="1645" applyNumberFormat="1" applyFont="1" applyBorder="1" applyAlignment="1">
      <alignment horizontal="center"/>
    </xf>
    <xf numFmtId="169" fontId="268" fillId="0" borderId="9" xfId="1645" applyNumberFormat="1" applyFont="1" applyBorder="1"/>
    <xf numFmtId="167" fontId="268" fillId="0" borderId="9" xfId="1645" applyNumberFormat="1" applyFont="1" applyBorder="1"/>
    <xf numFmtId="15" fontId="268" fillId="0" borderId="9" xfId="1645" applyNumberFormat="1" applyFont="1" applyBorder="1" applyAlignment="1">
      <alignment horizontal="center"/>
    </xf>
    <xf numFmtId="15" fontId="268" fillId="0" borderId="9" xfId="1645" applyNumberFormat="1" applyFont="1" applyBorder="1"/>
    <xf numFmtId="0" fontId="268" fillId="0" borderId="9" xfId="1645" applyFont="1" applyBorder="1" applyAlignment="1">
      <alignment horizontal="left" vertical="center"/>
    </xf>
    <xf numFmtId="0" fontId="268" fillId="0" borderId="9" xfId="1645" applyFont="1" applyBorder="1" applyAlignment="1">
      <alignment vertical="center"/>
    </xf>
    <xf numFmtId="167" fontId="268" fillId="0" borderId="9" xfId="1645" applyNumberFormat="1" applyFont="1" applyBorder="1" applyAlignment="1">
      <alignment horizontal="center" vertical="center"/>
    </xf>
    <xf numFmtId="167" fontId="268" fillId="0" borderId="9" xfId="1645" applyNumberFormat="1" applyFont="1" applyBorder="1" applyAlignment="1">
      <alignment vertical="center"/>
    </xf>
    <xf numFmtId="0" fontId="267" fillId="0" borderId="9" xfId="1645" applyFont="1" applyBorder="1" applyAlignment="1">
      <alignment horizontal="left"/>
    </xf>
    <xf numFmtId="167" fontId="267" fillId="0" borderId="9" xfId="1645" applyNumberFormat="1" applyFont="1" applyBorder="1" applyAlignment="1">
      <alignment horizontal="center"/>
    </xf>
    <xf numFmtId="169" fontId="267" fillId="0" borderId="9" xfId="1645" applyNumberFormat="1" applyFont="1" applyBorder="1" applyAlignment="1">
      <alignment horizontal="right"/>
    </xf>
    <xf numFmtId="167" fontId="267" fillId="0" borderId="9" xfId="1645" applyNumberFormat="1" applyFont="1" applyBorder="1"/>
    <xf numFmtId="169" fontId="268" fillId="0" borderId="9" xfId="1645" applyNumberFormat="1" applyFont="1" applyBorder="1" applyAlignment="1">
      <alignment horizontal="right"/>
    </xf>
    <xf numFmtId="0" fontId="267" fillId="0" borderId="9" xfId="1645" applyFont="1" applyBorder="1" applyAlignment="1">
      <alignment horizontal="left" vertical="center"/>
    </xf>
    <xf numFmtId="167" fontId="267" fillId="0" borderId="9" xfId="1645" applyNumberFormat="1" applyFont="1" applyBorder="1" applyAlignment="1">
      <alignment vertical="center"/>
    </xf>
    <xf numFmtId="0" fontId="267" fillId="0" borderId="9" xfId="1645" applyFont="1" applyBorder="1" applyAlignment="1">
      <alignment vertical="center"/>
    </xf>
    <xf numFmtId="15" fontId="267" fillId="0" borderId="9" xfId="1645" applyNumberFormat="1" applyFont="1" applyBorder="1" applyAlignment="1">
      <alignment vertical="center"/>
    </xf>
    <xf numFmtId="0" fontId="267" fillId="0" borderId="9" xfId="1" applyFont="1" applyBorder="1" applyAlignment="1">
      <alignment horizontal="left" vertical="center"/>
    </xf>
    <xf numFmtId="0" fontId="267" fillId="0" borderId="9" xfId="1" applyFont="1" applyBorder="1" applyAlignment="1">
      <alignment vertical="center"/>
    </xf>
    <xf numFmtId="167" fontId="267" fillId="0" borderId="9" xfId="1" applyNumberFormat="1" applyFont="1" applyBorder="1" applyAlignment="1">
      <alignment horizontal="right" vertical="center"/>
    </xf>
    <xf numFmtId="15" fontId="267" fillId="0" borderId="9" xfId="1" applyNumberFormat="1" applyFont="1" applyBorder="1" applyAlignment="1">
      <alignment horizontal="right" vertical="center"/>
    </xf>
    <xf numFmtId="0" fontId="267" fillId="0" borderId="9" xfId="0" applyFont="1" applyBorder="1" applyAlignment="1">
      <alignment vertical="center"/>
    </xf>
    <xf numFmtId="167" fontId="267" fillId="0" borderId="9" xfId="0" applyNumberFormat="1" applyFont="1" applyBorder="1" applyAlignment="1">
      <alignment horizontal="right" vertical="center"/>
    </xf>
    <xf numFmtId="15" fontId="267" fillId="0" borderId="9" xfId="0" applyNumberFormat="1" applyFont="1" applyBorder="1" applyAlignment="1">
      <alignment horizontal="right" vertical="center"/>
    </xf>
    <xf numFmtId="0" fontId="267" fillId="0" borderId="9" xfId="1" applyFont="1" applyBorder="1"/>
    <xf numFmtId="0" fontId="267" fillId="32" borderId="9" xfId="1" applyFont="1" applyFill="1" applyBorder="1" applyAlignment="1">
      <alignment horizontal="left" vertical="center"/>
    </xf>
    <xf numFmtId="15" fontId="267" fillId="0" borderId="9" xfId="1" quotePrefix="1" applyNumberFormat="1" applyFont="1" applyBorder="1" applyAlignment="1">
      <alignment horizontal="right" vertical="center"/>
    </xf>
    <xf numFmtId="0" fontId="281" fillId="0" borderId="0" xfId="0" applyFont="1"/>
    <xf numFmtId="49" fontId="281" fillId="0" borderId="64" xfId="0" applyNumberFormat="1" applyFont="1" applyBorder="1" applyAlignment="1">
      <alignment vertical="top"/>
    </xf>
    <xf numFmtId="166" fontId="281" fillId="0" borderId="64" xfId="2977" applyNumberFormat="1" applyFont="1" applyFill="1" applyBorder="1" applyAlignment="1">
      <alignment vertical="top"/>
    </xf>
    <xf numFmtId="0" fontId="256" fillId="98" borderId="32" xfId="2979" applyFont="1" applyFill="1" applyBorder="1" applyAlignment="1">
      <alignment horizontal="center" vertical="center" wrapText="1"/>
    </xf>
    <xf numFmtId="165" fontId="256" fillId="98" borderId="10" xfId="2980" applyFont="1" applyFill="1" applyBorder="1" applyAlignment="1">
      <alignment horizontal="center" vertical="center" wrapText="1"/>
    </xf>
    <xf numFmtId="0" fontId="256" fillId="98" borderId="10" xfId="2979" applyFont="1" applyFill="1" applyBorder="1" applyAlignment="1">
      <alignment horizontal="center" vertical="center" wrapText="1"/>
    </xf>
    <xf numFmtId="0" fontId="255" fillId="98" borderId="54" xfId="0" applyFont="1" applyFill="1" applyBorder="1" applyAlignment="1">
      <alignment horizontal="center" vertical="center"/>
    </xf>
    <xf numFmtId="0" fontId="255" fillId="98" borderId="10" xfId="0" applyFont="1" applyFill="1" applyBorder="1" applyAlignment="1">
      <alignment horizontal="center" vertical="center"/>
    </xf>
    <xf numFmtId="0" fontId="255" fillId="98" borderId="32" xfId="0" applyFont="1" applyFill="1" applyBorder="1" applyAlignment="1">
      <alignment horizontal="center" vertical="center"/>
    </xf>
    <xf numFmtId="0" fontId="255" fillId="98" borderId="10" xfId="0" applyFont="1" applyFill="1" applyBorder="1" applyAlignment="1">
      <alignment horizontal="center" vertical="center" wrapText="1"/>
    </xf>
    <xf numFmtId="0" fontId="256" fillId="98" borderId="32" xfId="3" applyFont="1" applyFill="1" applyBorder="1" applyAlignment="1">
      <alignment horizontal="center" vertical="center" wrapText="1"/>
    </xf>
    <xf numFmtId="0" fontId="255" fillId="98" borderId="32" xfId="0" applyFont="1" applyFill="1" applyBorder="1" applyAlignment="1">
      <alignment horizontal="center" vertical="center" wrapText="1"/>
    </xf>
    <xf numFmtId="0" fontId="255" fillId="98" borderId="22" xfId="0" applyFont="1" applyFill="1" applyBorder="1" applyAlignment="1">
      <alignment horizontal="center" vertical="center" wrapText="1"/>
    </xf>
    <xf numFmtId="49" fontId="255" fillId="98" borderId="10" xfId="0" applyNumberFormat="1" applyFont="1" applyFill="1" applyBorder="1" applyAlignment="1">
      <alignment horizontal="center" vertical="center" wrapText="1"/>
    </xf>
    <xf numFmtId="0" fontId="23" fillId="98" borderId="10" xfId="0" applyFont="1" applyFill="1" applyBorder="1" applyAlignment="1">
      <alignment horizontal="center" vertical="center" wrapText="1"/>
    </xf>
    <xf numFmtId="0" fontId="21" fillId="33" borderId="9" xfId="1645" applyFont="1" applyFill="1" applyBorder="1" applyAlignment="1">
      <alignment horizontal="left"/>
    </xf>
    <xf numFmtId="0" fontId="255" fillId="98" borderId="0" xfId="0" applyFont="1" applyFill="1" applyAlignment="1">
      <alignment horizontal="center" vertical="center" wrapText="1"/>
    </xf>
    <xf numFmtId="0" fontId="256" fillId="98" borderId="22" xfId="2979" applyFont="1" applyFill="1" applyBorder="1" applyAlignment="1">
      <alignment horizontal="center" vertical="center" wrapText="1"/>
    </xf>
    <xf numFmtId="0" fontId="282" fillId="0" borderId="0" xfId="1" applyFont="1"/>
    <xf numFmtId="0" fontId="215" fillId="0" borderId="0" xfId="1" applyFont="1" applyAlignment="1">
      <alignment horizontal="center" vertical="center"/>
    </xf>
    <xf numFmtId="0" fontId="215" fillId="0" borderId="0" xfId="1" applyFont="1" applyAlignment="1">
      <alignment horizontal="left" vertical="center"/>
    </xf>
    <xf numFmtId="166" fontId="215" fillId="0" borderId="0" xfId="2" applyNumberFormat="1" applyFont="1" applyFill="1" applyBorder="1" applyAlignment="1">
      <alignment horizontal="center" vertical="center"/>
    </xf>
    <xf numFmtId="15" fontId="215" fillId="0" borderId="0" xfId="1" applyNumberFormat="1" applyFont="1" applyAlignment="1">
      <alignment horizontal="center" vertical="center"/>
    </xf>
    <xf numFmtId="0" fontId="282" fillId="0" borderId="0" xfId="1" applyFont="1" applyAlignment="1">
      <alignment horizontal="center" vertical="center"/>
    </xf>
    <xf numFmtId="166" fontId="282" fillId="0" borderId="0" xfId="1" applyNumberFormat="1" applyFont="1" applyAlignment="1">
      <alignment horizontal="center" vertical="center"/>
    </xf>
    <xf numFmtId="0" fontId="215" fillId="0" borderId="9" xfId="1" applyFont="1" applyBorder="1" applyAlignment="1">
      <alignment horizontal="center" vertical="center" wrapText="1"/>
    </xf>
    <xf numFmtId="167" fontId="215" fillId="0" borderId="9" xfId="1" applyNumberFormat="1" applyFont="1" applyBorder="1" applyAlignment="1">
      <alignment horizontal="center" vertical="center" wrapText="1"/>
    </xf>
    <xf numFmtId="166" fontId="215" fillId="0" borderId="9" xfId="2" applyNumberFormat="1" applyFont="1" applyFill="1" applyBorder="1" applyAlignment="1">
      <alignment horizontal="center" vertical="center" wrapText="1"/>
    </xf>
    <xf numFmtId="0" fontId="215" fillId="0" borderId="9" xfId="3" applyFont="1" applyBorder="1" applyAlignment="1">
      <alignment horizontal="center" vertical="center" wrapText="1"/>
    </xf>
    <xf numFmtId="0" fontId="215" fillId="0" borderId="27" xfId="1" applyFont="1" applyBorder="1" applyAlignment="1">
      <alignment horizontal="left" vertical="center" wrapText="1"/>
    </xf>
    <xf numFmtId="0" fontId="214" fillId="0" borderId="9" xfId="1" applyFont="1" applyBorder="1" applyAlignment="1">
      <alignment horizontal="center" vertical="center"/>
    </xf>
    <xf numFmtId="0" fontId="214" fillId="0" borderId="9" xfId="1650" applyFont="1" applyBorder="1" applyAlignment="1">
      <alignment horizontal="left" vertical="center"/>
    </xf>
    <xf numFmtId="167" fontId="214" fillId="0" borderId="9" xfId="1" applyNumberFormat="1" applyFont="1" applyBorder="1" applyAlignment="1">
      <alignment horizontal="right" vertical="center"/>
    </xf>
    <xf numFmtId="168" fontId="214" fillId="0" borderId="9" xfId="2" applyNumberFormat="1" applyFont="1" applyFill="1" applyBorder="1" applyAlignment="1">
      <alignment horizontal="right" vertical="center"/>
    </xf>
    <xf numFmtId="169" fontId="214" fillId="0" borderId="9" xfId="1" applyNumberFormat="1" applyFont="1" applyBorder="1" applyAlignment="1">
      <alignment vertical="center"/>
    </xf>
    <xf numFmtId="0" fontId="282" fillId="0" borderId="9" xfId="1" applyFont="1" applyBorder="1" applyAlignment="1">
      <alignment horizontal="center"/>
    </xf>
    <xf numFmtId="2" fontId="282" fillId="0" borderId="9" xfId="1" applyNumberFormat="1" applyFont="1" applyBorder="1"/>
    <xf numFmtId="168" fontId="214" fillId="0" borderId="9" xfId="2" applyNumberFormat="1" applyFont="1" applyFill="1" applyBorder="1"/>
    <xf numFmtId="0" fontId="214" fillId="0" borderId="9" xfId="0" applyFont="1" applyBorder="1" applyAlignment="1">
      <alignment horizontal="left" vertical="center"/>
    </xf>
    <xf numFmtId="167" fontId="214" fillId="0" borderId="9" xfId="0" applyNumberFormat="1" applyFont="1" applyBorder="1" applyAlignment="1">
      <alignment horizontal="right" vertical="center"/>
    </xf>
    <xf numFmtId="168" fontId="214" fillId="0" borderId="9" xfId="0" applyNumberFormat="1" applyFont="1" applyBorder="1" applyAlignment="1">
      <alignment vertical="center"/>
    </xf>
    <xf numFmtId="168" fontId="214" fillId="0" borderId="9" xfId="0" applyNumberFormat="1" applyFont="1" applyBorder="1" applyAlignment="1">
      <alignment horizontal="right" vertical="center"/>
    </xf>
    <xf numFmtId="0" fontId="282" fillId="0" borderId="9" xfId="0" applyFont="1" applyBorder="1" applyAlignment="1">
      <alignment horizontal="center"/>
    </xf>
    <xf numFmtId="2" fontId="282" fillId="0" borderId="9" xfId="0" applyNumberFormat="1" applyFont="1" applyBorder="1"/>
    <xf numFmtId="15" fontId="214" fillId="0" borderId="9" xfId="0" applyNumberFormat="1" applyFont="1" applyBorder="1" applyAlignment="1">
      <alignment horizontal="right" vertical="center"/>
    </xf>
    <xf numFmtId="0" fontId="214" fillId="0" borderId="9" xfId="1" applyFont="1" applyBorder="1" applyAlignment="1">
      <alignment horizontal="left" vertical="center"/>
    </xf>
    <xf numFmtId="0" fontId="214" fillId="0" borderId="9" xfId="1" applyFont="1" applyBorder="1" applyAlignment="1">
      <alignment vertical="center"/>
    </xf>
    <xf numFmtId="0" fontId="214" fillId="0" borderId="9" xfId="1" quotePrefix="1" applyFont="1" applyBorder="1" applyAlignment="1">
      <alignment horizontal="left" vertical="center"/>
    </xf>
    <xf numFmtId="0" fontId="214" fillId="0" borderId="9" xfId="0" applyFont="1" applyBorder="1" applyAlignment="1">
      <alignment vertical="center"/>
    </xf>
    <xf numFmtId="15" fontId="214" fillId="0" borderId="9" xfId="1" applyNumberFormat="1" applyFont="1" applyBorder="1" applyAlignment="1">
      <alignment horizontal="right" vertical="center"/>
    </xf>
    <xf numFmtId="15" fontId="214" fillId="0" borderId="9" xfId="1650" applyNumberFormat="1" applyFont="1" applyBorder="1" applyAlignment="1">
      <alignment horizontal="right" vertical="center"/>
    </xf>
    <xf numFmtId="0" fontId="214" fillId="0" borderId="9" xfId="1650" applyFont="1" applyBorder="1" applyAlignment="1">
      <alignment vertical="center"/>
    </xf>
    <xf numFmtId="0" fontId="282" fillId="33" borderId="0" xfId="1" applyFont="1" applyFill="1"/>
    <xf numFmtId="0" fontId="214" fillId="33" borderId="9" xfId="1" applyFont="1" applyFill="1" applyBorder="1" applyAlignment="1">
      <alignment horizontal="center" vertical="center"/>
    </xf>
    <xf numFmtId="0" fontId="215" fillId="33" borderId="9" xfId="1" applyFont="1" applyFill="1" applyBorder="1" applyAlignment="1">
      <alignment horizontal="left" vertical="center"/>
    </xf>
    <xf numFmtId="0" fontId="214" fillId="33" borderId="9" xfId="1" applyFont="1" applyFill="1" applyBorder="1" applyAlignment="1">
      <alignment vertical="center"/>
    </xf>
    <xf numFmtId="0" fontId="214" fillId="33" borderId="9" xfId="1" applyFont="1" applyFill="1" applyBorder="1" applyAlignment="1">
      <alignment horizontal="left" vertical="center"/>
    </xf>
    <xf numFmtId="167" fontId="214" fillId="33" borderId="9" xfId="1" applyNumberFormat="1" applyFont="1" applyFill="1" applyBorder="1" applyAlignment="1">
      <alignment horizontal="right" vertical="center"/>
    </xf>
    <xf numFmtId="168" fontId="215" fillId="33" borderId="9" xfId="2" applyNumberFormat="1" applyFont="1" applyFill="1" applyBorder="1" applyAlignment="1">
      <alignment horizontal="right" vertical="center"/>
    </xf>
    <xf numFmtId="169" fontId="214" fillId="33" borderId="9" xfId="1" applyNumberFormat="1" applyFont="1" applyFill="1" applyBorder="1" applyAlignment="1">
      <alignment vertical="center"/>
    </xf>
    <xf numFmtId="0" fontId="282" fillId="33" borderId="9" xfId="1" applyFont="1" applyFill="1" applyBorder="1"/>
    <xf numFmtId="0" fontId="282" fillId="0" borderId="9" xfId="1" applyFont="1" applyBorder="1"/>
    <xf numFmtId="168" fontId="282" fillId="0" borderId="9" xfId="1" applyNumberFormat="1" applyFont="1" applyBorder="1" applyAlignment="1">
      <alignment horizontal="right"/>
    </xf>
    <xf numFmtId="168" fontId="282" fillId="0" borderId="9" xfId="2" applyNumberFormat="1" applyFont="1" applyFill="1" applyBorder="1" applyAlignment="1">
      <alignment horizontal="right"/>
    </xf>
    <xf numFmtId="168" fontId="282" fillId="33" borderId="0" xfId="1" applyNumberFormat="1" applyFont="1" applyFill="1"/>
    <xf numFmtId="0" fontId="215" fillId="0" borderId="9" xfId="1" applyFont="1" applyBorder="1" applyAlignment="1">
      <alignment horizontal="left" vertical="center"/>
    </xf>
    <xf numFmtId="168" fontId="215" fillId="0" borderId="9" xfId="2" applyNumberFormat="1" applyFont="1" applyFill="1" applyBorder="1" applyAlignment="1">
      <alignment horizontal="right" vertical="center"/>
    </xf>
    <xf numFmtId="0" fontId="214" fillId="0" borderId="9" xfId="0" applyFont="1" applyBorder="1" applyAlignment="1">
      <alignment horizontal="center" vertical="center"/>
    </xf>
    <xf numFmtId="169" fontId="214" fillId="0" borderId="9" xfId="0" applyNumberFormat="1" applyFont="1" applyBorder="1" applyAlignment="1">
      <alignment vertical="center"/>
    </xf>
    <xf numFmtId="0" fontId="282" fillId="0" borderId="9" xfId="0" applyFont="1" applyBorder="1"/>
    <xf numFmtId="168" fontId="282" fillId="0" borderId="9" xfId="0" applyNumberFormat="1" applyFont="1" applyBorder="1" applyAlignment="1">
      <alignment horizontal="right"/>
    </xf>
    <xf numFmtId="14" fontId="282" fillId="0" borderId="9" xfId="1650" applyNumberFormat="1" applyFont="1" applyBorder="1" applyAlignment="1">
      <alignment horizontal="right"/>
    </xf>
    <xf numFmtId="0" fontId="214" fillId="0" borderId="9" xfId="1" applyFont="1" applyBorder="1"/>
    <xf numFmtId="14" fontId="282" fillId="0" borderId="9" xfId="1650" applyNumberFormat="1" applyFont="1" applyBorder="1"/>
    <xf numFmtId="0" fontId="214" fillId="0" borderId="9" xfId="0" applyFont="1" applyBorder="1"/>
    <xf numFmtId="0" fontId="214" fillId="0" borderId="9" xfId="0" quotePrefix="1" applyFont="1" applyBorder="1" applyAlignment="1">
      <alignment horizontal="left" vertical="center"/>
    </xf>
    <xf numFmtId="169" fontId="215" fillId="0" borderId="9" xfId="1" applyNumberFormat="1" applyFont="1" applyBorder="1" applyAlignment="1">
      <alignment vertical="center"/>
    </xf>
    <xf numFmtId="0" fontId="283" fillId="0" borderId="9" xfId="1" applyFont="1" applyBorder="1" applyAlignment="1">
      <alignment horizontal="center"/>
    </xf>
    <xf numFmtId="2" fontId="283" fillId="0" borderId="9" xfId="1" applyNumberFormat="1" applyFont="1" applyBorder="1"/>
    <xf numFmtId="15" fontId="214" fillId="0" borderId="9" xfId="1" quotePrefix="1" applyNumberFormat="1" applyFont="1" applyBorder="1" applyAlignment="1">
      <alignment horizontal="right" vertical="center"/>
    </xf>
    <xf numFmtId="168" fontId="214" fillId="0" borderId="9" xfId="0" applyNumberFormat="1" applyFont="1" applyBorder="1"/>
    <xf numFmtId="168" fontId="283" fillId="0" borderId="9" xfId="1" applyNumberFormat="1" applyFont="1" applyBorder="1" applyAlignment="1">
      <alignment horizontal="right"/>
    </xf>
    <xf numFmtId="166" fontId="282" fillId="0" borderId="0" xfId="1" applyNumberFormat="1" applyFont="1" applyAlignment="1">
      <alignment horizontal="right"/>
    </xf>
    <xf numFmtId="0" fontId="282" fillId="0" borderId="0" xfId="1" applyFont="1" applyAlignment="1">
      <alignment horizontal="right"/>
    </xf>
    <xf numFmtId="168" fontId="282" fillId="0" borderId="0" xfId="1" applyNumberFormat="1" applyFont="1" applyAlignment="1">
      <alignment horizontal="right"/>
    </xf>
    <xf numFmtId="0" fontId="283" fillId="0" borderId="0" xfId="1" applyFont="1"/>
    <xf numFmtId="168" fontId="282" fillId="0" borderId="0" xfId="1" applyNumberFormat="1" applyFont="1"/>
    <xf numFmtId="0" fontId="282" fillId="0" borderId="11" xfId="1" applyFont="1" applyBorder="1"/>
    <xf numFmtId="0" fontId="282" fillId="0" borderId="65" xfId="1" applyFont="1" applyBorder="1"/>
    <xf numFmtId="168" fontId="282" fillId="0" borderId="65" xfId="1" applyNumberFormat="1" applyFont="1" applyBorder="1" applyAlignment="1">
      <alignment horizontal="right"/>
    </xf>
    <xf numFmtId="168" fontId="282" fillId="0" borderId="65" xfId="1" applyNumberFormat="1" applyFont="1" applyBorder="1"/>
    <xf numFmtId="0" fontId="282" fillId="0" borderId="14" xfId="1" applyFont="1" applyBorder="1"/>
    <xf numFmtId="0" fontId="282" fillId="0" borderId="15" xfId="1" applyFont="1" applyBorder="1"/>
    <xf numFmtId="0" fontId="282" fillId="0" borderId="17" xfId="1" applyFont="1" applyBorder="1"/>
    <xf numFmtId="0" fontId="282" fillId="0" borderId="66" xfId="1" applyFont="1" applyBorder="1"/>
    <xf numFmtId="0" fontId="282" fillId="0" borderId="18" xfId="1" applyFont="1" applyBorder="1"/>
    <xf numFmtId="0" fontId="282" fillId="0" borderId="19" xfId="1" applyFont="1" applyBorder="1"/>
    <xf numFmtId="168" fontId="282" fillId="0" borderId="18" xfId="1" applyNumberFormat="1" applyFont="1" applyBorder="1" applyAlignment="1">
      <alignment horizontal="right"/>
    </xf>
    <xf numFmtId="168" fontId="282" fillId="0" borderId="20" xfId="1" applyNumberFormat="1" applyFont="1" applyBorder="1"/>
    <xf numFmtId="0" fontId="282" fillId="0" borderId="20" xfId="1" applyFont="1" applyBorder="1"/>
    <xf numFmtId="168" fontId="282" fillId="0" borderId="21" xfId="1" applyNumberFormat="1" applyFont="1" applyBorder="1" applyAlignment="1">
      <alignment horizontal="right"/>
    </xf>
    <xf numFmtId="168" fontId="282" fillId="0" borderId="19" xfId="1" applyNumberFormat="1" applyFont="1" applyBorder="1" applyAlignment="1">
      <alignment horizontal="right"/>
    </xf>
    <xf numFmtId="0" fontId="283" fillId="0" borderId="9" xfId="1" applyFont="1" applyBorder="1" applyAlignment="1">
      <alignment vertical="center"/>
    </xf>
    <xf numFmtId="0" fontId="283" fillId="0" borderId="10" xfId="1" applyFont="1" applyBorder="1" applyAlignment="1">
      <alignment horizontal="center" vertical="center" wrapText="1"/>
    </xf>
    <xf numFmtId="0" fontId="283" fillId="0" borderId="22" xfId="1" applyFont="1" applyBorder="1" applyAlignment="1">
      <alignment horizontal="center" vertical="center" wrapText="1"/>
    </xf>
    <xf numFmtId="0" fontId="283" fillId="0" borderId="21" xfId="1" applyFont="1" applyBorder="1" applyAlignment="1">
      <alignment horizontal="center" vertical="center" wrapText="1"/>
    </xf>
    <xf numFmtId="0" fontId="282" fillId="0" borderId="19" xfId="1" applyFont="1" applyBorder="1" applyAlignment="1">
      <alignment horizontal="center" vertical="center" wrapText="1"/>
    </xf>
    <xf numFmtId="168" fontId="214" fillId="0" borderId="23" xfId="2" applyNumberFormat="1" applyFont="1" applyFill="1" applyBorder="1" applyAlignment="1">
      <alignment horizontal="right" vertical="center"/>
    </xf>
    <xf numFmtId="168" fontId="215" fillId="0" borderId="24" xfId="2" applyNumberFormat="1" applyFont="1" applyFill="1" applyBorder="1" applyAlignment="1">
      <alignment horizontal="right" vertical="center"/>
    </xf>
    <xf numFmtId="168" fontId="214" fillId="0" borderId="25" xfId="2" applyNumberFormat="1" applyFont="1" applyFill="1" applyBorder="1" applyAlignment="1">
      <alignment horizontal="right" vertical="center"/>
    </xf>
    <xf numFmtId="168" fontId="214" fillId="0" borderId="27" xfId="2" applyNumberFormat="1" applyFont="1" applyFill="1" applyBorder="1" applyAlignment="1">
      <alignment horizontal="right" vertical="center"/>
    </xf>
    <xf numFmtId="0" fontId="283" fillId="0" borderId="9" xfId="1" applyFont="1" applyBorder="1"/>
    <xf numFmtId="0" fontId="21" fillId="33" borderId="9" xfId="0" applyFont="1" applyFill="1" applyBorder="1"/>
    <xf numFmtId="0" fontId="247" fillId="33" borderId="9" xfId="0" applyFont="1" applyFill="1" applyBorder="1"/>
    <xf numFmtId="0" fontId="153" fillId="33" borderId="9" xfId="0" applyFont="1" applyFill="1" applyBorder="1"/>
    <xf numFmtId="49" fontId="247" fillId="33" borderId="9" xfId="0" applyNumberFormat="1" applyFont="1" applyFill="1" applyBorder="1"/>
    <xf numFmtId="15" fontId="247" fillId="33" borderId="9" xfId="0" applyNumberFormat="1" applyFont="1" applyFill="1" applyBorder="1"/>
    <xf numFmtId="169" fontId="255" fillId="33" borderId="9" xfId="1645" applyNumberFormat="1" applyFont="1" applyFill="1" applyBorder="1" applyAlignment="1">
      <alignment horizontal="right"/>
    </xf>
    <xf numFmtId="169" fontId="258" fillId="33" borderId="9" xfId="0" applyNumberFormat="1" applyFont="1" applyFill="1" applyBorder="1"/>
    <xf numFmtId="169" fontId="257" fillId="33" borderId="9" xfId="2977" applyNumberFormat="1" applyFont="1" applyFill="1" applyBorder="1" applyAlignment="1">
      <alignment vertical="top"/>
    </xf>
    <xf numFmtId="15" fontId="258" fillId="33" borderId="9" xfId="0" applyNumberFormat="1" applyFont="1" applyFill="1" applyBorder="1"/>
    <xf numFmtId="168" fontId="247" fillId="33" borderId="0" xfId="0" applyNumberFormat="1" applyFont="1" applyFill="1"/>
    <xf numFmtId="0" fontId="257" fillId="33" borderId="9" xfId="0" applyFont="1" applyFill="1" applyBorder="1"/>
    <xf numFmtId="0" fontId="258" fillId="33" borderId="9" xfId="1645" applyFont="1" applyFill="1" applyBorder="1"/>
    <xf numFmtId="2" fontId="257" fillId="33" borderId="9" xfId="0" applyNumberFormat="1" applyFont="1" applyFill="1" applyBorder="1"/>
    <xf numFmtId="166" fontId="257" fillId="33" borderId="9" xfId="0" applyNumberFormat="1" applyFont="1" applyFill="1" applyBorder="1"/>
    <xf numFmtId="298" fontId="257" fillId="33" borderId="9" xfId="0" applyNumberFormat="1" applyFont="1" applyFill="1" applyBorder="1"/>
    <xf numFmtId="10" fontId="257" fillId="33" borderId="9" xfId="2981" applyNumberFormat="1" applyFont="1" applyFill="1" applyBorder="1"/>
    <xf numFmtId="168" fontId="257" fillId="33" borderId="9" xfId="0" applyNumberFormat="1" applyFont="1" applyFill="1" applyBorder="1"/>
    <xf numFmtId="0" fontId="282" fillId="0" borderId="0" xfId="0" applyFont="1"/>
    <xf numFmtId="0" fontId="20" fillId="33" borderId="9" xfId="0" applyFont="1" applyFill="1" applyBorder="1" applyAlignment="1">
      <alignment horizontal="left" vertical="center"/>
    </xf>
    <xf numFmtId="0" fontId="20" fillId="33" borderId="9" xfId="0" applyFont="1" applyFill="1" applyBorder="1" applyAlignment="1">
      <alignment vertical="center"/>
    </xf>
    <xf numFmtId="0" fontId="153" fillId="33" borderId="0" xfId="0" applyFont="1" applyFill="1"/>
    <xf numFmtId="49" fontId="247" fillId="33" borderId="0" xfId="0" applyNumberFormat="1" applyFont="1" applyFill="1"/>
    <xf numFmtId="167" fontId="20" fillId="33" borderId="9" xfId="0" applyNumberFormat="1" applyFont="1" applyFill="1" applyBorder="1" applyAlignment="1">
      <alignment horizontal="right" vertical="center"/>
    </xf>
    <xf numFmtId="169" fontId="255" fillId="33" borderId="75" xfId="1645" applyNumberFormat="1" applyFont="1" applyFill="1" applyBorder="1" applyAlignment="1">
      <alignment horizontal="right"/>
    </xf>
    <xf numFmtId="169" fontId="258" fillId="33" borderId="75" xfId="0" applyNumberFormat="1" applyFont="1" applyFill="1" applyBorder="1"/>
    <xf numFmtId="0" fontId="237" fillId="32" borderId="75" xfId="1889" applyFont="1" applyFill="1" applyBorder="1" applyAlignment="1">
      <alignment horizontal="left"/>
    </xf>
    <xf numFmtId="167" fontId="237" fillId="32" borderId="75" xfId="1889" applyNumberFormat="1" applyFont="1" applyFill="1" applyBorder="1" applyAlignment="1">
      <alignment horizontal="left"/>
    </xf>
    <xf numFmtId="168" fontId="17" fillId="32" borderId="75" xfId="1644" applyNumberFormat="1" applyFill="1" applyBorder="1" applyAlignment="1">
      <alignment horizontal="right"/>
    </xf>
    <xf numFmtId="0" fontId="237" fillId="0" borderId="9" xfId="1889" applyFont="1" applyBorder="1" applyAlignment="1">
      <alignment horizontal="center"/>
    </xf>
    <xf numFmtId="0" fontId="237" fillId="32" borderId="9" xfId="1889" applyFont="1" applyFill="1" applyBorder="1" applyAlignment="1">
      <alignment horizontal="left"/>
    </xf>
    <xf numFmtId="14" fontId="237" fillId="32" borderId="9" xfId="1889" applyNumberFormat="1" applyFont="1" applyFill="1" applyBorder="1" applyAlignment="1">
      <alignment horizontal="left"/>
    </xf>
    <xf numFmtId="167" fontId="237" fillId="32" borderId="9" xfId="1889" applyNumberFormat="1" applyFont="1" applyFill="1" applyBorder="1" applyAlignment="1">
      <alignment horizontal="left"/>
    </xf>
    <xf numFmtId="0" fontId="207" fillId="33" borderId="9" xfId="0" applyFont="1" applyFill="1" applyBorder="1" applyAlignment="1">
      <alignment horizontal="left" vertical="center"/>
    </xf>
    <xf numFmtId="0" fontId="208" fillId="33" borderId="9" xfId="1650" applyFont="1" applyFill="1" applyBorder="1"/>
    <xf numFmtId="167" fontId="20" fillId="33" borderId="9" xfId="1" applyNumberFormat="1" applyFont="1" applyFill="1" applyBorder="1" applyAlignment="1">
      <alignment horizontal="right" vertical="center"/>
    </xf>
    <xf numFmtId="0" fontId="237" fillId="0" borderId="54" xfId="1889" applyFont="1" applyBorder="1" applyAlignment="1">
      <alignment horizontal="center"/>
    </xf>
    <xf numFmtId="0" fontId="236" fillId="0" borderId="9" xfId="1889" applyFont="1" applyBorder="1" applyAlignment="1">
      <alignment horizontal="center"/>
    </xf>
    <xf numFmtId="0" fontId="236" fillId="32" borderId="9" xfId="1889" applyFont="1" applyFill="1" applyBorder="1" applyAlignment="1">
      <alignment horizontal="left"/>
    </xf>
    <xf numFmtId="14" fontId="236" fillId="32" borderId="9" xfId="1889" applyNumberFormat="1" applyFont="1" applyFill="1" applyBorder="1" applyAlignment="1">
      <alignment horizontal="left"/>
    </xf>
    <xf numFmtId="167" fontId="236" fillId="32" borderId="9" xfId="1889" applyNumberFormat="1" applyFont="1" applyFill="1" applyBorder="1" applyAlignment="1">
      <alignment horizontal="left"/>
    </xf>
    <xf numFmtId="168" fontId="17" fillId="0" borderId="9" xfId="1644" applyNumberFormat="1" applyBorder="1"/>
    <xf numFmtId="14" fontId="237" fillId="32" borderId="75" xfId="1889" applyNumberFormat="1" applyFont="1" applyFill="1" applyBorder="1" applyAlignment="1">
      <alignment horizontal="left"/>
    </xf>
    <xf numFmtId="0" fontId="17" fillId="0" borderId="75" xfId="1644" applyBorder="1"/>
    <xf numFmtId="0" fontId="237" fillId="32" borderId="99" xfId="1889" applyFont="1" applyFill="1" applyBorder="1" applyAlignment="1">
      <alignment horizontal="left"/>
    </xf>
    <xf numFmtId="14" fontId="237" fillId="32" borderId="99" xfId="1889" applyNumberFormat="1" applyFont="1" applyFill="1" applyBorder="1" applyAlignment="1">
      <alignment horizontal="left"/>
    </xf>
    <xf numFmtId="167" fontId="237" fillId="32" borderId="99" xfId="1889" applyNumberFormat="1" applyFont="1" applyFill="1" applyBorder="1" applyAlignment="1">
      <alignment horizontal="left"/>
    </xf>
    <xf numFmtId="168" fontId="17" fillId="32" borderId="99" xfId="1644" applyNumberFormat="1" applyFill="1" applyBorder="1" applyAlignment="1">
      <alignment horizontal="right"/>
    </xf>
    <xf numFmtId="168" fontId="92" fillId="32" borderId="99" xfId="1644" applyNumberFormat="1" applyFont="1" applyFill="1" applyBorder="1" applyAlignment="1">
      <alignment horizontal="right"/>
    </xf>
    <xf numFmtId="168" fontId="284" fillId="0" borderId="140" xfId="0" applyNumberFormat="1" applyFont="1" applyBorder="1"/>
    <xf numFmtId="168" fontId="214" fillId="33" borderId="9" xfId="2" applyNumberFormat="1" applyFont="1" applyFill="1" applyBorder="1" applyAlignment="1">
      <alignment horizontal="right" vertical="center"/>
    </xf>
    <xf numFmtId="0" fontId="214" fillId="32" borderId="9" xfId="1650" applyFont="1" applyFill="1" applyBorder="1" applyAlignment="1">
      <alignment horizontal="left" vertical="center"/>
    </xf>
    <xf numFmtId="167" fontId="214" fillId="32" borderId="9" xfId="1650" applyNumberFormat="1" applyFont="1" applyFill="1" applyBorder="1" applyAlignment="1">
      <alignment horizontal="right" vertical="center"/>
    </xf>
    <xf numFmtId="167" fontId="214" fillId="32" borderId="9" xfId="1" applyNumberFormat="1" applyFont="1" applyFill="1" applyBorder="1" applyAlignment="1">
      <alignment horizontal="right" vertical="center"/>
    </xf>
    <xf numFmtId="168" fontId="214" fillId="32" borderId="9" xfId="1113" applyNumberFormat="1" applyFont="1" applyFill="1" applyBorder="1" applyAlignment="1">
      <alignment vertical="center"/>
    </xf>
    <xf numFmtId="168" fontId="214" fillId="32" borderId="9" xfId="2" applyNumberFormat="1" applyFont="1" applyFill="1" applyBorder="1" applyAlignment="1">
      <alignment horizontal="right" vertical="center"/>
    </xf>
    <xf numFmtId="169" fontId="214" fillId="32" borderId="9" xfId="1" applyNumberFormat="1" applyFont="1" applyFill="1" applyBorder="1" applyAlignment="1">
      <alignment vertical="center"/>
    </xf>
    <xf numFmtId="0" fontId="282" fillId="32" borderId="9" xfId="1" applyFont="1" applyFill="1" applyBorder="1" applyAlignment="1">
      <alignment horizontal="center"/>
    </xf>
    <xf numFmtId="2" fontId="282" fillId="32" borderId="9" xfId="1" applyNumberFormat="1" applyFont="1" applyFill="1" applyBorder="1"/>
    <xf numFmtId="168" fontId="282" fillId="32" borderId="9" xfId="1" applyNumberFormat="1" applyFont="1" applyFill="1" applyBorder="1"/>
    <xf numFmtId="168" fontId="214" fillId="32" borderId="9" xfId="2" applyNumberFormat="1" applyFont="1" applyFill="1" applyBorder="1"/>
    <xf numFmtId="0" fontId="214" fillId="32" borderId="9" xfId="0" applyFont="1" applyFill="1" applyBorder="1" applyAlignment="1">
      <alignment horizontal="left" vertical="center"/>
    </xf>
    <xf numFmtId="167" fontId="214" fillId="32" borderId="9" xfId="0" applyNumberFormat="1" applyFont="1" applyFill="1" applyBorder="1" applyAlignment="1">
      <alignment horizontal="right" vertical="center"/>
    </xf>
    <xf numFmtId="168" fontId="214" fillId="32" borderId="9" xfId="0" applyNumberFormat="1" applyFont="1" applyFill="1" applyBorder="1" applyAlignment="1">
      <alignment vertical="center"/>
    </xf>
    <xf numFmtId="168" fontId="214" fillId="32" borderId="9" xfId="0" applyNumberFormat="1" applyFont="1" applyFill="1" applyBorder="1" applyAlignment="1">
      <alignment horizontal="right" vertical="center"/>
    </xf>
    <xf numFmtId="0" fontId="282" fillId="32" borderId="9" xfId="0" applyFont="1" applyFill="1" applyBorder="1" applyAlignment="1">
      <alignment horizontal="center"/>
    </xf>
    <xf numFmtId="2" fontId="282" fillId="32" borderId="9" xfId="0" applyNumberFormat="1" applyFont="1" applyFill="1" applyBorder="1"/>
    <xf numFmtId="168" fontId="214" fillId="32" borderId="9" xfId="1113" applyNumberFormat="1" applyFont="1" applyFill="1" applyBorder="1" applyAlignment="1">
      <alignment horizontal="right" vertical="center"/>
    </xf>
    <xf numFmtId="15" fontId="214" fillId="32" borderId="9" xfId="0" applyNumberFormat="1" applyFont="1" applyFill="1" applyBorder="1" applyAlignment="1">
      <alignment horizontal="right" vertical="center"/>
    </xf>
    <xf numFmtId="168" fontId="215" fillId="32" borderId="9" xfId="0" applyNumberFormat="1" applyFont="1" applyFill="1" applyBorder="1" applyAlignment="1">
      <alignment horizontal="right" vertical="center"/>
    </xf>
    <xf numFmtId="0" fontId="214" fillId="32" borderId="9" xfId="1" applyFont="1" applyFill="1" applyBorder="1" applyAlignment="1">
      <alignment horizontal="left" vertical="center"/>
    </xf>
    <xf numFmtId="0" fontId="214" fillId="32" borderId="9" xfId="1" applyFont="1" applyFill="1" applyBorder="1" applyAlignment="1">
      <alignment vertical="center"/>
    </xf>
    <xf numFmtId="168" fontId="215" fillId="32" borderId="9" xfId="0" applyNumberFormat="1" applyFont="1" applyFill="1" applyBorder="1" applyAlignment="1">
      <alignment vertical="center"/>
    </xf>
    <xf numFmtId="0" fontId="214" fillId="32" borderId="9" xfId="1" quotePrefix="1" applyFont="1" applyFill="1" applyBorder="1" applyAlignment="1">
      <alignment horizontal="left" vertical="center"/>
    </xf>
    <xf numFmtId="0" fontId="214" fillId="32" borderId="9" xfId="0" applyFont="1" applyFill="1" applyBorder="1" applyAlignment="1">
      <alignment vertical="center"/>
    </xf>
    <xf numFmtId="15" fontId="214" fillId="32" borderId="9" xfId="1" applyNumberFormat="1" applyFont="1" applyFill="1" applyBorder="1" applyAlignment="1">
      <alignment horizontal="right" vertical="center"/>
    </xf>
    <xf numFmtId="15" fontId="214" fillId="32" borderId="9" xfId="1650" applyNumberFormat="1" applyFont="1" applyFill="1" applyBorder="1" applyAlignment="1">
      <alignment horizontal="right" vertical="center"/>
    </xf>
    <xf numFmtId="0" fontId="214" fillId="32" borderId="9" xfId="1650" applyFont="1" applyFill="1" applyBorder="1" applyAlignment="1">
      <alignment vertical="center"/>
    </xf>
    <xf numFmtId="168" fontId="214" fillId="0" borderId="0" xfId="2" applyNumberFormat="1" applyFont="1" applyFill="1" applyBorder="1" applyAlignment="1">
      <alignment horizontal="right" vertical="center"/>
    </xf>
    <xf numFmtId="0" fontId="1" fillId="0" borderId="9" xfId="1" applyBorder="1"/>
    <xf numFmtId="0" fontId="212" fillId="0" borderId="177" xfId="1806" applyFont="1" applyBorder="1"/>
    <xf numFmtId="0" fontId="213" fillId="0" borderId="62" xfId="1806" applyFont="1" applyBorder="1"/>
    <xf numFmtId="0" fontId="214" fillId="0" borderId="62" xfId="1806" applyFont="1" applyBorder="1"/>
    <xf numFmtId="0" fontId="17" fillId="0" borderId="62" xfId="1806" applyBorder="1"/>
    <xf numFmtId="0" fontId="213" fillId="0" borderId="178" xfId="1806" applyFont="1" applyBorder="1"/>
    <xf numFmtId="0" fontId="182" fillId="0" borderId="70" xfId="1806" applyFont="1" applyBorder="1"/>
    <xf numFmtId="0" fontId="214" fillId="0" borderId="0" xfId="1806" applyFont="1"/>
    <xf numFmtId="0" fontId="215" fillId="0" borderId="0" xfId="990" applyNumberFormat="1" applyFont="1" applyFill="1" applyBorder="1" applyAlignment="1">
      <alignment horizontal="right"/>
    </xf>
    <xf numFmtId="0" fontId="211" fillId="0" borderId="71" xfId="1806" applyFont="1" applyBorder="1"/>
    <xf numFmtId="0" fontId="213" fillId="0" borderId="70" xfId="1806" applyFont="1" applyBorder="1"/>
    <xf numFmtId="0" fontId="218" fillId="0" borderId="71" xfId="990" applyNumberFormat="1" applyFont="1" applyBorder="1" applyAlignment="1">
      <alignment horizontal="center"/>
    </xf>
    <xf numFmtId="0" fontId="17" fillId="0" borderId="70" xfId="1644" applyBorder="1"/>
    <xf numFmtId="0" fontId="17" fillId="0" borderId="71" xfId="1644" applyBorder="1"/>
    <xf numFmtId="0" fontId="224" fillId="0" borderId="70" xfId="1889" applyFont="1" applyBorder="1"/>
    <xf numFmtId="0" fontId="219" fillId="92" borderId="0" xfId="1806" applyFont="1" applyFill="1" applyAlignment="1">
      <alignment horizontal="center"/>
    </xf>
    <xf numFmtId="0" fontId="220" fillId="92" borderId="23" xfId="1806" applyFont="1" applyFill="1" applyBorder="1" applyAlignment="1">
      <alignment horizontal="center" vertical="center" wrapText="1"/>
    </xf>
    <xf numFmtId="0" fontId="219" fillId="92" borderId="10" xfId="1806" applyFont="1" applyFill="1" applyBorder="1" applyAlignment="1">
      <alignment horizontal="center"/>
    </xf>
    <xf numFmtId="0" fontId="219" fillId="92" borderId="22" xfId="1806" applyFont="1" applyFill="1" applyBorder="1" applyAlignment="1">
      <alignment horizontal="center"/>
    </xf>
    <xf numFmtId="0" fontId="220" fillId="92" borderId="45" xfId="1806" applyFont="1" applyFill="1" applyBorder="1" applyAlignment="1">
      <alignment horizontal="center" vertical="center" wrapText="1"/>
    </xf>
    <xf numFmtId="0" fontId="219" fillId="92" borderId="86" xfId="1806" applyFont="1" applyFill="1" applyBorder="1" applyAlignment="1">
      <alignment horizontal="center"/>
    </xf>
    <xf numFmtId="0" fontId="220" fillId="92" borderId="76" xfId="1806" applyFont="1" applyFill="1" applyBorder="1" applyAlignment="1">
      <alignment horizontal="center" vertical="center" wrapText="1"/>
    </xf>
    <xf numFmtId="0" fontId="220" fillId="92" borderId="77" xfId="1806" applyFont="1" applyFill="1" applyBorder="1" applyAlignment="1">
      <alignment horizontal="center" vertical="center" wrapText="1"/>
    </xf>
    <xf numFmtId="0" fontId="220" fillId="92" borderId="87" xfId="1806" applyFont="1" applyFill="1" applyBorder="1" applyAlignment="1">
      <alignment horizontal="center" vertical="center" wrapText="1"/>
    </xf>
    <xf numFmtId="0" fontId="220" fillId="93" borderId="88" xfId="1806" applyFont="1" applyFill="1" applyBorder="1" applyAlignment="1">
      <alignment horizontal="center" vertical="center" wrapText="1"/>
    </xf>
    <xf numFmtId="0" fontId="220" fillId="93" borderId="89" xfId="1806" applyFont="1" applyFill="1" applyBorder="1" applyAlignment="1">
      <alignment horizontal="center" vertical="center" wrapText="1"/>
    </xf>
    <xf numFmtId="0" fontId="220" fillId="92" borderId="90" xfId="1806" applyFont="1" applyFill="1" applyBorder="1" applyAlignment="1">
      <alignment horizontal="center" vertical="center" wrapText="1"/>
    </xf>
    <xf numFmtId="0" fontId="220" fillId="93" borderId="77" xfId="1806" applyFont="1" applyFill="1" applyBorder="1" applyAlignment="1">
      <alignment horizontal="center" vertical="center" wrapText="1"/>
    </xf>
    <xf numFmtId="0" fontId="220" fillId="92" borderId="78" xfId="1806" applyFont="1" applyFill="1" applyBorder="1" applyAlignment="1">
      <alignment horizontal="center" vertical="center" wrapText="1"/>
    </xf>
    <xf numFmtId="0" fontId="221" fillId="0" borderId="70" xfId="1806" applyFont="1" applyBorder="1"/>
    <xf numFmtId="0" fontId="222" fillId="0" borderId="79" xfId="1806" applyFont="1" applyBorder="1"/>
    <xf numFmtId="0" fontId="221" fillId="93" borderId="91" xfId="1806" applyFont="1" applyFill="1" applyBorder="1"/>
    <xf numFmtId="0" fontId="211" fillId="0" borderId="91" xfId="1806" applyFont="1" applyBorder="1"/>
    <xf numFmtId="0" fontId="221" fillId="93" borderId="51" xfId="1806" applyFont="1" applyFill="1" applyBorder="1"/>
    <xf numFmtId="0" fontId="221" fillId="93" borderId="32" xfId="1806" applyFont="1" applyFill="1" applyBorder="1"/>
    <xf numFmtId="0" fontId="211" fillId="0" borderId="92" xfId="1806" applyFont="1" applyBorder="1"/>
    <xf numFmtId="0" fontId="211" fillId="93" borderId="79" xfId="1806" applyFont="1" applyFill="1" applyBorder="1"/>
    <xf numFmtId="0" fontId="211" fillId="0" borderId="80" xfId="1806" applyFont="1" applyBorder="1"/>
    <xf numFmtId="0" fontId="211" fillId="0" borderId="79" xfId="990" applyNumberFormat="1" applyFont="1" applyBorder="1"/>
    <xf numFmtId="0" fontId="211" fillId="0" borderId="70" xfId="1806" applyFont="1" applyBorder="1" applyAlignment="1">
      <alignment horizontal="right"/>
    </xf>
    <xf numFmtId="0" fontId="211" fillId="0" borderId="93" xfId="1806" applyFont="1" applyBorder="1"/>
    <xf numFmtId="0" fontId="223" fillId="0" borderId="94" xfId="1806" applyFont="1" applyBorder="1"/>
    <xf numFmtId="0" fontId="221" fillId="92" borderId="41" xfId="990" applyNumberFormat="1" applyFont="1" applyFill="1" applyBorder="1"/>
    <xf numFmtId="0" fontId="211" fillId="0" borderId="95" xfId="1806" applyFont="1" applyBorder="1"/>
    <xf numFmtId="0" fontId="221" fillId="0" borderId="96" xfId="1806" applyFont="1" applyBorder="1"/>
    <xf numFmtId="0" fontId="211" fillId="0" borderId="98" xfId="990" applyNumberFormat="1" applyFont="1" applyBorder="1"/>
    <xf numFmtId="43" fontId="211" fillId="93" borderId="91" xfId="2977" applyFont="1" applyFill="1" applyBorder="1"/>
    <xf numFmtId="43" fontId="211" fillId="0" borderId="79" xfId="2977" applyFont="1" applyBorder="1"/>
    <xf numFmtId="43" fontId="211" fillId="0" borderId="91" xfId="2977" applyFont="1" applyBorder="1"/>
    <xf numFmtId="43" fontId="221" fillId="93" borderId="51" xfId="2977" applyFont="1" applyFill="1" applyBorder="1"/>
    <xf numFmtId="43" fontId="221" fillId="93" borderId="32" xfId="2977" applyFont="1" applyFill="1" applyBorder="1"/>
    <xf numFmtId="43" fontId="211" fillId="0" borderId="92" xfId="2977" applyFont="1" applyBorder="1"/>
    <xf numFmtId="43" fontId="221" fillId="93" borderId="79" xfId="2977" applyFont="1" applyFill="1" applyBorder="1"/>
    <xf numFmtId="43" fontId="17" fillId="93" borderId="51" xfId="2977" applyFont="1" applyFill="1" applyBorder="1"/>
    <xf numFmtId="43" fontId="221" fillId="93" borderId="75" xfId="2977" applyFont="1" applyFill="1" applyBorder="1"/>
    <xf numFmtId="43" fontId="221" fillId="92" borderId="41" xfId="2977" applyFont="1" applyFill="1" applyBorder="1"/>
    <xf numFmtId="2" fontId="211" fillId="0" borderId="80" xfId="990" applyNumberFormat="1" applyFont="1" applyBorder="1"/>
    <xf numFmtId="2" fontId="221" fillId="92" borderId="179" xfId="990" applyNumberFormat="1" applyFont="1" applyFill="1" applyBorder="1"/>
    <xf numFmtId="2" fontId="221" fillId="0" borderId="180" xfId="990" applyNumberFormat="1" applyFont="1" applyBorder="1"/>
    <xf numFmtId="168" fontId="282" fillId="32" borderId="9" xfId="2" applyNumberFormat="1" applyFont="1" applyFill="1" applyBorder="1" applyAlignment="1">
      <alignment horizontal="right"/>
    </xf>
    <xf numFmtId="168" fontId="282" fillId="32" borderId="9" xfId="1" applyNumberFormat="1" applyFont="1" applyFill="1" applyBorder="1" applyAlignment="1">
      <alignment horizontal="right"/>
    </xf>
    <xf numFmtId="0" fontId="285" fillId="0" borderId="23" xfId="1" applyFont="1" applyBorder="1" applyAlignment="1">
      <alignment horizontal="left" vertical="center"/>
    </xf>
    <xf numFmtId="0" fontId="286" fillId="0" borderId="9" xfId="1" applyFont="1" applyBorder="1" applyAlignment="1">
      <alignment horizontal="left" vertical="center"/>
    </xf>
    <xf numFmtId="0" fontId="244" fillId="0" borderId="117" xfId="0" applyFont="1" applyBorder="1" applyAlignment="1">
      <alignment horizontal="center"/>
    </xf>
    <xf numFmtId="0" fontId="244" fillId="0" borderId="118" xfId="0" applyFont="1" applyBorder="1" applyAlignment="1">
      <alignment horizontal="center"/>
    </xf>
    <xf numFmtId="0" fontId="244" fillId="0" borderId="119" xfId="0" applyFont="1" applyBorder="1" applyAlignment="1">
      <alignment horizontal="center"/>
    </xf>
    <xf numFmtId="0" fontId="243" fillId="0" borderId="117" xfId="0" applyFont="1" applyBorder="1" applyAlignment="1">
      <alignment horizontal="center"/>
    </xf>
    <xf numFmtId="0" fontId="243" fillId="0" borderId="118" xfId="0" applyFont="1" applyBorder="1" applyAlignment="1">
      <alignment horizontal="center"/>
    </xf>
    <xf numFmtId="0" fontId="243" fillId="0" borderId="119" xfId="0" applyFont="1" applyBorder="1" applyAlignment="1">
      <alignment horizontal="center"/>
    </xf>
    <xf numFmtId="0" fontId="242" fillId="0" borderId="120" xfId="0" applyFont="1" applyBorder="1" applyAlignment="1">
      <alignment horizontal="center"/>
    </xf>
    <xf numFmtId="0" fontId="242" fillId="0" borderId="119" xfId="0" applyFont="1" applyBorder="1" applyAlignment="1">
      <alignment horizontal="center"/>
    </xf>
    <xf numFmtId="0" fontId="244" fillId="0" borderId="122" xfId="0" applyFont="1" applyBorder="1" applyAlignment="1">
      <alignment horizontal="center"/>
    </xf>
    <xf numFmtId="0" fontId="244" fillId="0" borderId="130" xfId="0" applyFont="1" applyBorder="1" applyAlignment="1">
      <alignment horizontal="center"/>
    </xf>
    <xf numFmtId="0" fontId="244" fillId="0" borderId="123" xfId="0" applyFont="1" applyBorder="1" applyAlignment="1">
      <alignment horizontal="center"/>
    </xf>
    <xf numFmtId="0" fontId="244" fillId="0" borderId="131" xfId="0" applyFont="1" applyBorder="1" applyAlignment="1">
      <alignment horizontal="center"/>
    </xf>
    <xf numFmtId="0" fontId="244" fillId="0" borderId="124" xfId="0" applyFont="1" applyBorder="1" applyAlignment="1">
      <alignment horizontal="center"/>
    </xf>
    <xf numFmtId="0" fontId="244" fillId="0" borderId="132" xfId="0" applyFont="1" applyBorder="1" applyAlignment="1">
      <alignment horizontal="center"/>
    </xf>
    <xf numFmtId="0" fontId="244" fillId="0" borderId="125" xfId="0" applyFont="1" applyBorder="1" applyAlignment="1">
      <alignment horizontal="center"/>
    </xf>
    <xf numFmtId="0" fontId="244" fillId="0" borderId="133" xfId="0" applyFont="1" applyBorder="1" applyAlignment="1">
      <alignment horizontal="center"/>
    </xf>
    <xf numFmtId="0" fontId="242" fillId="0" borderId="126" xfId="0" applyFont="1" applyBorder="1" applyAlignment="1">
      <alignment horizontal="center"/>
    </xf>
    <xf numFmtId="0" fontId="242" fillId="0" borderId="134" xfId="0" applyFont="1" applyBorder="1" applyAlignment="1">
      <alignment horizontal="center"/>
    </xf>
    <xf numFmtId="0" fontId="243" fillId="0" borderId="123" xfId="0" applyFont="1" applyBorder="1" applyAlignment="1">
      <alignment horizontal="center" wrapText="1"/>
    </xf>
    <xf numFmtId="0" fontId="243" fillId="0" borderId="131" xfId="0" applyFont="1" applyBorder="1" applyAlignment="1">
      <alignment horizontal="center" wrapText="1"/>
    </xf>
    <xf numFmtId="0" fontId="244" fillId="97" borderId="124" xfId="0" applyFont="1" applyFill="1" applyBorder="1" applyAlignment="1">
      <alignment horizontal="center" wrapText="1"/>
    </xf>
    <xf numFmtId="0" fontId="244" fillId="97" borderId="132" xfId="0" applyFont="1" applyFill="1" applyBorder="1" applyAlignment="1">
      <alignment horizontal="center" wrapText="1"/>
    </xf>
    <xf numFmtId="0" fontId="242" fillId="0" borderId="129" xfId="0" applyFont="1" applyBorder="1" applyAlignment="1">
      <alignment horizontal="center" wrapText="1"/>
    </xf>
    <xf numFmtId="0" fontId="242" fillId="0" borderId="137" xfId="0" applyFont="1" applyBorder="1" applyAlignment="1">
      <alignment horizontal="center" wrapText="1"/>
    </xf>
    <xf numFmtId="0" fontId="242" fillId="0" borderId="123" xfId="0" applyFont="1" applyBorder="1" applyAlignment="1">
      <alignment horizontal="center"/>
    </xf>
    <xf numFmtId="0" fontId="242" fillId="0" borderId="131" xfId="0" applyFont="1" applyBorder="1" applyAlignment="1">
      <alignment horizontal="center"/>
    </xf>
    <xf numFmtId="0" fontId="242" fillId="0" borderId="125" xfId="0" applyFont="1" applyBorder="1" applyAlignment="1">
      <alignment horizontal="center"/>
    </xf>
    <xf numFmtId="0" fontId="242" fillId="0" borderId="133" xfId="0" applyFont="1" applyBorder="1" applyAlignment="1">
      <alignment horizontal="center"/>
    </xf>
    <xf numFmtId="0" fontId="250" fillId="98" borderId="162" xfId="2979" applyFont="1" applyFill="1" applyBorder="1" applyAlignment="1">
      <alignment horizontal="center" vertical="center" wrapText="1"/>
    </xf>
    <xf numFmtId="0" fontId="250" fillId="98" borderId="9" xfId="2979" applyFont="1" applyFill="1" applyBorder="1" applyAlignment="1">
      <alignment horizontal="center" vertical="center" wrapText="1"/>
    </xf>
    <xf numFmtId="0" fontId="250" fillId="98" borderId="159" xfId="2979" applyFont="1" applyFill="1" applyBorder="1" applyAlignment="1">
      <alignment horizontal="center" vertical="center" wrapText="1"/>
    </xf>
    <xf numFmtId="0" fontId="250" fillId="98" borderId="32" xfId="2979" applyFont="1" applyFill="1" applyBorder="1" applyAlignment="1">
      <alignment horizontal="center" vertical="center" wrapText="1"/>
    </xf>
    <xf numFmtId="0" fontId="250" fillId="98" borderId="75" xfId="2979" applyFont="1" applyFill="1" applyBorder="1" applyAlignment="1">
      <alignment horizontal="center" vertical="center" wrapText="1"/>
    </xf>
    <xf numFmtId="165" fontId="250" fillId="98" borderId="162" xfId="2980" applyFont="1" applyFill="1" applyBorder="1" applyAlignment="1">
      <alignment horizontal="center" vertical="center" wrapText="1"/>
    </xf>
    <xf numFmtId="165" fontId="250" fillId="98" borderId="9" xfId="2980" applyFont="1" applyFill="1" applyBorder="1" applyAlignment="1">
      <alignment horizontal="center" vertical="center" wrapText="1"/>
    </xf>
    <xf numFmtId="0" fontId="250" fillId="98" borderId="163" xfId="2979" applyFont="1" applyFill="1" applyBorder="1" applyAlignment="1">
      <alignment horizontal="center" vertical="center" wrapText="1"/>
    </xf>
    <xf numFmtId="0" fontId="250" fillId="98" borderId="164" xfId="2979" applyFont="1" applyFill="1" applyBorder="1" applyAlignment="1">
      <alignment horizontal="center" vertical="center" wrapText="1"/>
    </xf>
    <xf numFmtId="0" fontId="250" fillId="98" borderId="159" xfId="3" applyFont="1" applyFill="1" applyBorder="1" applyAlignment="1">
      <alignment horizontal="center" vertical="center" wrapText="1"/>
    </xf>
    <xf numFmtId="0" fontId="250" fillId="98" borderId="32" xfId="3" applyFont="1" applyFill="1" applyBorder="1" applyAlignment="1">
      <alignment horizontal="center" vertical="center" wrapText="1"/>
    </xf>
    <xf numFmtId="0" fontId="250" fillId="98" borderId="75" xfId="3" applyFont="1" applyFill="1" applyBorder="1" applyAlignment="1">
      <alignment horizontal="center" vertical="center" wrapText="1"/>
    </xf>
    <xf numFmtId="0" fontId="245" fillId="98" borderId="158" xfId="0" applyFont="1" applyFill="1" applyBorder="1" applyAlignment="1">
      <alignment horizontal="center" vertical="center" wrapText="1"/>
    </xf>
    <xf numFmtId="0" fontId="245" fillId="98" borderId="84" xfId="0" applyFont="1" applyFill="1" applyBorder="1" applyAlignment="1">
      <alignment horizontal="center" vertical="center" wrapText="1"/>
    </xf>
    <xf numFmtId="0" fontId="245" fillId="98" borderId="74" xfId="0" applyFont="1" applyFill="1" applyBorder="1" applyAlignment="1">
      <alignment horizontal="center" vertical="center" wrapText="1"/>
    </xf>
    <xf numFmtId="0" fontId="245" fillId="98" borderId="159" xfId="0" applyFont="1" applyFill="1" applyBorder="1" applyAlignment="1">
      <alignment horizontal="center" vertical="center" wrapText="1"/>
    </xf>
    <xf numFmtId="0" fontId="245" fillId="98" borderId="32" xfId="0" applyFont="1" applyFill="1" applyBorder="1" applyAlignment="1">
      <alignment horizontal="center" vertical="center" wrapText="1"/>
    </xf>
    <xf numFmtId="0" fontId="245" fillId="98" borderId="75" xfId="0" applyFont="1" applyFill="1" applyBorder="1" applyAlignment="1">
      <alignment horizontal="center" vertical="center" wrapText="1"/>
    </xf>
    <xf numFmtId="0" fontId="245" fillId="98" borderId="159" xfId="0" applyFont="1" applyFill="1" applyBorder="1" applyAlignment="1">
      <alignment horizontal="center" vertical="center"/>
    </xf>
    <xf numFmtId="0" fontId="245" fillId="98" borderId="32" xfId="0" applyFont="1" applyFill="1" applyBorder="1" applyAlignment="1">
      <alignment horizontal="center" vertical="center"/>
    </xf>
    <xf numFmtId="0" fontId="245" fillId="98" borderId="75" xfId="0" applyFont="1" applyFill="1" applyBorder="1" applyAlignment="1">
      <alignment horizontal="center" vertical="center"/>
    </xf>
    <xf numFmtId="0" fontId="245" fillId="98" borderId="160" xfId="0" applyFont="1" applyFill="1" applyBorder="1" applyAlignment="1">
      <alignment horizontal="center" vertical="center"/>
    </xf>
    <xf numFmtId="0" fontId="245" fillId="98" borderId="161" xfId="0" applyFont="1" applyFill="1" applyBorder="1" applyAlignment="1">
      <alignment horizontal="center" vertical="center"/>
    </xf>
    <xf numFmtId="0" fontId="245" fillId="98" borderId="10" xfId="0" applyFont="1" applyFill="1" applyBorder="1" applyAlignment="1">
      <alignment horizontal="center" vertical="center"/>
    </xf>
    <xf numFmtId="0" fontId="245" fillId="98" borderId="162" xfId="0" applyFont="1" applyFill="1" applyBorder="1" applyAlignment="1">
      <alignment horizontal="center" vertical="center" wrapText="1"/>
    </xf>
    <xf numFmtId="0" fontId="245" fillId="98" borderId="9" xfId="0" applyFont="1" applyFill="1" applyBorder="1" applyAlignment="1">
      <alignment horizontal="center" vertical="center" wrapText="1"/>
    </xf>
    <xf numFmtId="0" fontId="256" fillId="98" borderId="159" xfId="2979" applyFont="1" applyFill="1" applyBorder="1" applyAlignment="1">
      <alignment horizontal="center" vertical="center" wrapText="1"/>
    </xf>
    <xf numFmtId="0" fontId="256" fillId="98" borderId="32" xfId="2979" applyFont="1" applyFill="1" applyBorder="1" applyAlignment="1">
      <alignment horizontal="center" vertical="center" wrapText="1"/>
    </xf>
    <xf numFmtId="165" fontId="256" fillId="98" borderId="162" xfId="2980" applyFont="1" applyFill="1" applyBorder="1" applyAlignment="1">
      <alignment horizontal="center" vertical="center" wrapText="1"/>
    </xf>
    <xf numFmtId="165" fontId="256" fillId="98" borderId="9" xfId="2980" applyFont="1" applyFill="1" applyBorder="1" applyAlignment="1">
      <alignment horizontal="center" vertical="center" wrapText="1"/>
    </xf>
    <xf numFmtId="165" fontId="256" fillId="98" borderId="10" xfId="2980" applyFont="1" applyFill="1" applyBorder="1" applyAlignment="1">
      <alignment horizontal="center" vertical="center" wrapText="1"/>
    </xf>
    <xf numFmtId="0" fontId="256" fillId="98" borderId="162" xfId="2979" applyFont="1" applyFill="1" applyBorder="1" applyAlignment="1">
      <alignment horizontal="center" vertical="center" wrapText="1"/>
    </xf>
    <xf numFmtId="0" fontId="256" fillId="98" borderId="9" xfId="2979" applyFont="1" applyFill="1" applyBorder="1" applyAlignment="1">
      <alignment horizontal="center" vertical="center" wrapText="1"/>
    </xf>
    <xf numFmtId="0" fontId="256" fillId="98" borderId="10" xfId="2979" applyFont="1" applyFill="1" applyBorder="1" applyAlignment="1">
      <alignment horizontal="center" vertical="center" wrapText="1"/>
    </xf>
    <xf numFmtId="0" fontId="256" fillId="98" borderId="163" xfId="2979" applyFont="1" applyFill="1" applyBorder="1" applyAlignment="1">
      <alignment horizontal="center" vertical="center" wrapText="1"/>
    </xf>
    <xf numFmtId="0" fontId="256" fillId="98" borderId="164" xfId="2979" applyFont="1" applyFill="1" applyBorder="1" applyAlignment="1">
      <alignment horizontal="center" vertical="center" wrapText="1"/>
    </xf>
    <xf numFmtId="0" fontId="256" fillId="98" borderId="86" xfId="2979" applyFont="1" applyFill="1" applyBorder="1" applyAlignment="1">
      <alignment horizontal="center" vertical="center" wrapText="1"/>
    </xf>
    <xf numFmtId="0" fontId="255" fillId="98" borderId="166" xfId="0" applyFont="1" applyFill="1" applyBorder="1" applyAlignment="1">
      <alignment horizontal="center" vertical="center"/>
    </xf>
    <xf numFmtId="0" fontId="255" fillId="98" borderId="54" xfId="0" applyFont="1" applyFill="1" applyBorder="1" applyAlignment="1">
      <alignment horizontal="center" vertical="center"/>
    </xf>
    <xf numFmtId="0" fontId="255" fillId="98" borderId="10" xfId="0" applyFont="1" applyFill="1" applyBorder="1" applyAlignment="1">
      <alignment horizontal="center" vertical="center"/>
    </xf>
    <xf numFmtId="0" fontId="255" fillId="98" borderId="32" xfId="0" applyFont="1" applyFill="1" applyBorder="1" applyAlignment="1">
      <alignment horizontal="center" vertical="center"/>
    </xf>
    <xf numFmtId="0" fontId="255" fillId="98" borderId="162" xfId="0" applyFont="1" applyFill="1" applyBorder="1" applyAlignment="1">
      <alignment horizontal="center" vertical="center" wrapText="1"/>
    </xf>
    <xf numFmtId="0" fontId="255" fillId="98" borderId="9" xfId="0" applyFont="1" applyFill="1" applyBorder="1" applyAlignment="1">
      <alignment horizontal="center" vertical="center" wrapText="1"/>
    </xf>
    <xf numFmtId="0" fontId="255" fillId="98" borderId="10" xfId="0" applyFont="1" applyFill="1" applyBorder="1" applyAlignment="1">
      <alignment horizontal="center" vertical="center" wrapText="1"/>
    </xf>
    <xf numFmtId="0" fontId="256" fillId="98" borderId="159" xfId="3" applyFont="1" applyFill="1" applyBorder="1" applyAlignment="1">
      <alignment horizontal="center" vertical="center" wrapText="1"/>
    </xf>
    <xf numFmtId="0" fontId="256" fillId="98" borderId="32" xfId="3" applyFont="1" applyFill="1" applyBorder="1" applyAlignment="1">
      <alignment horizontal="center" vertical="center" wrapText="1"/>
    </xf>
    <xf numFmtId="0" fontId="255" fillId="98" borderId="159" xfId="0" applyFont="1" applyFill="1" applyBorder="1" applyAlignment="1">
      <alignment horizontal="center" vertical="center" wrapText="1"/>
    </xf>
    <xf numFmtId="0" fontId="255" fillId="98" borderId="32" xfId="0" applyFont="1" applyFill="1" applyBorder="1" applyAlignment="1">
      <alignment horizontal="center" vertical="center" wrapText="1"/>
    </xf>
    <xf numFmtId="0" fontId="255" fillId="98" borderId="23" xfId="0" applyFont="1" applyFill="1" applyBorder="1" applyAlignment="1">
      <alignment horizontal="center" vertical="center" wrapText="1"/>
    </xf>
    <xf numFmtId="0" fontId="255" fillId="98" borderId="22" xfId="0" applyFont="1" applyFill="1" applyBorder="1" applyAlignment="1">
      <alignment horizontal="center" vertical="center" wrapText="1"/>
    </xf>
    <xf numFmtId="0" fontId="255" fillId="98" borderId="165" xfId="0" applyFont="1" applyFill="1" applyBorder="1" applyAlignment="1">
      <alignment horizontal="center" vertical="center"/>
    </xf>
    <xf numFmtId="0" fontId="255" fillId="98" borderId="161" xfId="0" applyFont="1" applyFill="1" applyBorder="1" applyAlignment="1">
      <alignment horizontal="center" vertical="center"/>
    </xf>
    <xf numFmtId="49" fontId="255" fillId="98" borderId="9" xfId="0" applyNumberFormat="1" applyFont="1" applyFill="1" applyBorder="1" applyAlignment="1">
      <alignment horizontal="center" vertical="center" wrapText="1"/>
    </xf>
    <xf numFmtId="49" fontId="255" fillId="98" borderId="10" xfId="0" applyNumberFormat="1" applyFont="1" applyFill="1" applyBorder="1" applyAlignment="1">
      <alignment horizontal="center" vertical="center" wrapText="1"/>
    </xf>
    <xf numFmtId="0" fontId="23" fillId="98" borderId="9" xfId="0" applyFont="1" applyFill="1" applyBorder="1" applyAlignment="1">
      <alignment horizontal="center" vertical="center" wrapText="1"/>
    </xf>
    <xf numFmtId="0" fontId="23" fillId="98" borderId="10" xfId="0" applyFont="1" applyFill="1" applyBorder="1" applyAlignment="1">
      <alignment horizontal="center" vertical="center" wrapText="1"/>
    </xf>
    <xf numFmtId="0" fontId="255" fillId="98" borderId="9" xfId="0" applyFont="1" applyFill="1" applyBorder="1" applyAlignment="1">
      <alignment horizontal="center" vertical="center"/>
    </xf>
    <xf numFmtId="165" fontId="24" fillId="98" borderId="162" xfId="2980" applyFont="1" applyFill="1" applyBorder="1" applyAlignment="1">
      <alignment horizontal="center" vertical="center" wrapText="1"/>
    </xf>
    <xf numFmtId="165" fontId="24" fillId="98" borderId="9" xfId="2980" applyFont="1" applyFill="1" applyBorder="1" applyAlignment="1">
      <alignment horizontal="center" vertical="center" wrapText="1"/>
    </xf>
    <xf numFmtId="0" fontId="24" fillId="98" borderId="162" xfId="2979" applyFont="1" applyFill="1" applyBorder="1" applyAlignment="1">
      <alignment horizontal="center" vertical="center" wrapText="1"/>
    </xf>
    <xf numFmtId="0" fontId="24" fillId="98" borderId="9" xfId="2979" applyFont="1" applyFill="1" applyBorder="1" applyAlignment="1">
      <alignment horizontal="center" vertical="center" wrapText="1"/>
    </xf>
    <xf numFmtId="0" fontId="24" fillId="98" borderId="163" xfId="2979" applyFont="1" applyFill="1" applyBorder="1" applyAlignment="1">
      <alignment horizontal="center" vertical="center" wrapText="1"/>
    </xf>
    <xf numFmtId="0" fontId="24" fillId="98" borderId="164" xfId="2979" applyFont="1" applyFill="1" applyBorder="1" applyAlignment="1">
      <alignment horizontal="center" vertical="center" wrapText="1"/>
    </xf>
    <xf numFmtId="0" fontId="23" fillId="98" borderId="10" xfId="0" applyFont="1" applyFill="1" applyBorder="1" applyAlignment="1">
      <alignment horizontal="center" vertical="center"/>
    </xf>
    <xf numFmtId="0" fontId="23" fillId="98" borderId="32" xfId="0" applyFont="1" applyFill="1" applyBorder="1" applyAlignment="1">
      <alignment horizontal="center" vertical="center"/>
    </xf>
    <xf numFmtId="0" fontId="23" fillId="98" borderId="75" xfId="0" applyFont="1" applyFill="1" applyBorder="1" applyAlignment="1">
      <alignment horizontal="center" vertical="center"/>
    </xf>
    <xf numFmtId="0" fontId="23" fillId="98" borderId="162" xfId="0" applyFont="1" applyFill="1" applyBorder="1" applyAlignment="1">
      <alignment horizontal="center" vertical="center" wrapText="1"/>
    </xf>
    <xf numFmtId="0" fontId="24" fillId="98" borderId="159" xfId="3" applyFont="1" applyFill="1" applyBorder="1" applyAlignment="1">
      <alignment horizontal="center" vertical="center" wrapText="1"/>
    </xf>
    <xf numFmtId="0" fontId="24" fillId="98" borderId="32" xfId="3" applyFont="1" applyFill="1" applyBorder="1" applyAlignment="1">
      <alignment horizontal="center" vertical="center" wrapText="1"/>
    </xf>
    <xf numFmtId="0" fontId="24" fillId="98" borderId="75" xfId="3" applyFont="1" applyFill="1" applyBorder="1" applyAlignment="1">
      <alignment horizontal="center" vertical="center" wrapText="1"/>
    </xf>
    <xf numFmtId="0" fontId="24" fillId="98" borderId="159" xfId="2979" applyFont="1" applyFill="1" applyBorder="1" applyAlignment="1">
      <alignment horizontal="center" vertical="center" wrapText="1"/>
    </xf>
    <xf numFmtId="0" fontId="24" fillId="98" borderId="32" xfId="2979" applyFont="1" applyFill="1" applyBorder="1" applyAlignment="1">
      <alignment horizontal="center" vertical="center" wrapText="1"/>
    </xf>
    <xf numFmtId="0" fontId="24" fillId="98" borderId="75" xfId="2979" applyFont="1" applyFill="1" applyBorder="1" applyAlignment="1">
      <alignment horizontal="center" vertical="center" wrapText="1"/>
    </xf>
    <xf numFmtId="0" fontId="23" fillId="98" borderId="159" xfId="0" applyFont="1" applyFill="1" applyBorder="1" applyAlignment="1">
      <alignment horizontal="center" vertical="center" wrapText="1"/>
    </xf>
    <xf numFmtId="0" fontId="23" fillId="98" borderId="32" xfId="0" applyFont="1" applyFill="1" applyBorder="1" applyAlignment="1">
      <alignment horizontal="center" vertical="center" wrapText="1"/>
    </xf>
    <xf numFmtId="0" fontId="23" fillId="98" borderId="75" xfId="0" applyFont="1" applyFill="1" applyBorder="1" applyAlignment="1">
      <alignment horizontal="center" vertical="center" wrapText="1"/>
    </xf>
    <xf numFmtId="0" fontId="23" fillId="98" borderId="160" xfId="0" applyFont="1" applyFill="1" applyBorder="1" applyAlignment="1">
      <alignment horizontal="center" vertical="center"/>
    </xf>
    <xf numFmtId="0" fontId="23" fillId="98" borderId="161" xfId="0" applyFont="1" applyFill="1" applyBorder="1" applyAlignment="1">
      <alignment horizontal="center" vertical="center"/>
    </xf>
    <xf numFmtId="49" fontId="23" fillId="98" borderId="9" xfId="0" applyNumberFormat="1" applyFont="1" applyFill="1" applyBorder="1" applyAlignment="1">
      <alignment horizontal="center" vertical="center" wrapText="1"/>
    </xf>
    <xf numFmtId="0" fontId="23" fillId="98" borderId="9" xfId="0" applyFont="1" applyFill="1" applyBorder="1" applyAlignment="1">
      <alignment horizontal="center" vertical="center"/>
    </xf>
    <xf numFmtId="165" fontId="266" fillId="98" borderId="162" xfId="2980" applyFont="1" applyFill="1" applyBorder="1" applyAlignment="1">
      <alignment horizontal="center" vertical="center" wrapText="1"/>
    </xf>
    <xf numFmtId="165" fontId="266" fillId="98" borderId="9" xfId="2980" applyFont="1" applyFill="1" applyBorder="1" applyAlignment="1">
      <alignment horizontal="center" vertical="center" wrapText="1"/>
    </xf>
    <xf numFmtId="165" fontId="266" fillId="98" borderId="10" xfId="2980" applyFont="1" applyFill="1" applyBorder="1" applyAlignment="1">
      <alignment horizontal="center" vertical="center" wrapText="1"/>
    </xf>
    <xf numFmtId="0" fontId="266" fillId="98" borderId="162" xfId="2979" applyFont="1" applyFill="1" applyBorder="1" applyAlignment="1">
      <alignment horizontal="center" vertical="center" wrapText="1"/>
    </xf>
    <xf numFmtId="0" fontId="266" fillId="98" borderId="9" xfId="2979" applyFont="1" applyFill="1" applyBorder="1" applyAlignment="1">
      <alignment horizontal="center" vertical="center" wrapText="1"/>
    </xf>
    <xf numFmtId="0" fontId="266" fillId="98" borderId="10" xfId="2979" applyFont="1" applyFill="1" applyBorder="1" applyAlignment="1">
      <alignment horizontal="center" vertical="center" wrapText="1"/>
    </xf>
    <xf numFmtId="0" fontId="266" fillId="98" borderId="163" xfId="2979" applyFont="1" applyFill="1" applyBorder="1" applyAlignment="1">
      <alignment horizontal="center" vertical="center" wrapText="1"/>
    </xf>
    <xf numFmtId="0" fontId="266" fillId="98" borderId="164" xfId="2979" applyFont="1" applyFill="1" applyBorder="1" applyAlignment="1">
      <alignment horizontal="center" vertical="center" wrapText="1"/>
    </xf>
    <xf numFmtId="0" fontId="266" fillId="98" borderId="86" xfId="2979" applyFont="1" applyFill="1" applyBorder="1" applyAlignment="1">
      <alignment horizontal="center" vertical="center" wrapText="1"/>
    </xf>
    <xf numFmtId="0" fontId="265" fillId="98" borderId="10" xfId="0" applyFont="1" applyFill="1" applyBorder="1" applyAlignment="1">
      <alignment horizontal="center" vertical="center"/>
    </xf>
    <xf numFmtId="0" fontId="265" fillId="98" borderId="32" xfId="0" applyFont="1" applyFill="1" applyBorder="1" applyAlignment="1">
      <alignment horizontal="center" vertical="center"/>
    </xf>
    <xf numFmtId="0" fontId="265" fillId="98" borderId="162" xfId="0" applyFont="1" applyFill="1" applyBorder="1" applyAlignment="1">
      <alignment horizontal="center" vertical="center" wrapText="1"/>
    </xf>
    <xf numFmtId="0" fontId="265" fillId="98" borderId="9" xfId="0" applyFont="1" applyFill="1" applyBorder="1" applyAlignment="1">
      <alignment horizontal="center" vertical="center" wrapText="1"/>
    </xf>
    <xf numFmtId="0" fontId="265" fillId="98" borderId="10" xfId="0" applyFont="1" applyFill="1" applyBorder="1" applyAlignment="1">
      <alignment horizontal="center" vertical="center" wrapText="1"/>
    </xf>
    <xf numFmtId="0" fontId="266" fillId="98" borderId="159" xfId="3" applyFont="1" applyFill="1" applyBorder="1" applyAlignment="1">
      <alignment horizontal="center" vertical="center" wrapText="1"/>
    </xf>
    <xf numFmtId="0" fontId="266" fillId="98" borderId="32" xfId="3" applyFont="1" applyFill="1" applyBorder="1" applyAlignment="1">
      <alignment horizontal="center" vertical="center" wrapText="1"/>
    </xf>
    <xf numFmtId="0" fontId="266" fillId="98" borderId="159" xfId="2979" applyFont="1" applyFill="1" applyBorder="1" applyAlignment="1">
      <alignment horizontal="center" vertical="center" wrapText="1"/>
    </xf>
    <xf numFmtId="0" fontId="266" fillId="98" borderId="32" xfId="2979" applyFont="1" applyFill="1" applyBorder="1" applyAlignment="1">
      <alignment horizontal="center" vertical="center" wrapText="1"/>
    </xf>
    <xf numFmtId="0" fontId="265" fillId="98" borderId="159" xfId="0" applyFont="1" applyFill="1" applyBorder="1" applyAlignment="1">
      <alignment horizontal="center" vertical="center" wrapText="1"/>
    </xf>
    <xf numFmtId="0" fontId="265" fillId="98" borderId="32" xfId="0" applyFont="1" applyFill="1" applyBorder="1" applyAlignment="1">
      <alignment horizontal="center" vertical="center" wrapText="1"/>
    </xf>
    <xf numFmtId="0" fontId="259" fillId="98" borderId="9" xfId="0" applyFont="1" applyFill="1" applyBorder="1" applyAlignment="1">
      <alignment horizontal="center" vertical="center" wrapText="1"/>
    </xf>
    <xf numFmtId="0" fontId="259" fillId="98" borderId="10" xfId="0" applyFont="1" applyFill="1" applyBorder="1" applyAlignment="1">
      <alignment horizontal="center" vertical="center" wrapText="1"/>
    </xf>
    <xf numFmtId="0" fontId="265" fillId="98" borderId="160" xfId="0" applyFont="1" applyFill="1" applyBorder="1" applyAlignment="1">
      <alignment horizontal="center" vertical="center"/>
    </xf>
    <xf numFmtId="0" fontId="265" fillId="98" borderId="161" xfId="0" applyFont="1" applyFill="1" applyBorder="1" applyAlignment="1">
      <alignment horizontal="center" vertical="center"/>
    </xf>
    <xf numFmtId="49" fontId="259" fillId="98" borderId="9" xfId="0" applyNumberFormat="1" applyFont="1" applyFill="1" applyBorder="1" applyAlignment="1">
      <alignment horizontal="center" vertical="center" wrapText="1"/>
    </xf>
    <xf numFmtId="49" fontId="259" fillId="98" borderId="10" xfId="0" applyNumberFormat="1" applyFont="1" applyFill="1" applyBorder="1" applyAlignment="1">
      <alignment horizontal="center" vertical="center" wrapText="1"/>
    </xf>
    <xf numFmtId="0" fontId="265" fillId="98" borderId="9" xfId="0" applyFont="1" applyFill="1" applyBorder="1" applyAlignment="1">
      <alignment horizontal="center" vertical="center"/>
    </xf>
    <xf numFmtId="0" fontId="265" fillId="98" borderId="75" xfId="0" applyFont="1" applyFill="1" applyBorder="1" applyAlignment="1">
      <alignment horizontal="center" vertical="center"/>
    </xf>
    <xf numFmtId="0" fontId="266" fillId="98" borderId="75" xfId="3" applyFont="1" applyFill="1" applyBorder="1" applyAlignment="1">
      <alignment horizontal="center" vertical="center" wrapText="1"/>
    </xf>
    <xf numFmtId="0" fontId="266" fillId="98" borderId="75" xfId="2979" applyFont="1" applyFill="1" applyBorder="1" applyAlignment="1">
      <alignment horizontal="center" vertical="center" wrapText="1"/>
    </xf>
    <xf numFmtId="0" fontId="265" fillId="98" borderId="75" xfId="0" applyFont="1" applyFill="1" applyBorder="1" applyAlignment="1">
      <alignment horizontal="center" vertical="center" wrapText="1"/>
    </xf>
    <xf numFmtId="0" fontId="219" fillId="32" borderId="72" xfId="1644" applyFont="1" applyFill="1" applyBorder="1" applyAlignment="1">
      <alignment horizontal="center" vertical="center" wrapText="1"/>
    </xf>
    <xf numFmtId="0" fontId="219" fillId="32" borderId="74" xfId="1644" applyFont="1" applyFill="1" applyBorder="1" applyAlignment="1">
      <alignment horizontal="center" vertical="center" wrapText="1"/>
    </xf>
    <xf numFmtId="0" fontId="219" fillId="32" borderId="10" xfId="1644" applyFont="1" applyFill="1" applyBorder="1" applyAlignment="1">
      <alignment horizontal="center" vertical="center"/>
    </xf>
    <xf numFmtId="0" fontId="219" fillId="32" borderId="75" xfId="1644" applyFont="1" applyFill="1" applyBorder="1" applyAlignment="1">
      <alignment horizontal="center" vertical="center"/>
    </xf>
    <xf numFmtId="0" fontId="219" fillId="32" borderId="23" xfId="1644" applyFont="1" applyFill="1" applyBorder="1" applyAlignment="1">
      <alignment horizontal="center"/>
    </xf>
    <xf numFmtId="0" fontId="219" fillId="32" borderId="45" xfId="1644" applyFont="1" applyFill="1" applyBorder="1" applyAlignment="1">
      <alignment horizontal="center"/>
    </xf>
    <xf numFmtId="0" fontId="219" fillId="32" borderId="27" xfId="1644" applyFont="1" applyFill="1" applyBorder="1" applyAlignment="1">
      <alignment horizontal="center"/>
    </xf>
    <xf numFmtId="0" fontId="219" fillId="32" borderId="73" xfId="1644" applyFont="1" applyFill="1" applyBorder="1" applyAlignment="1">
      <alignment horizontal="center"/>
    </xf>
    <xf numFmtId="0" fontId="219" fillId="92" borderId="72" xfId="1806" applyFont="1" applyFill="1" applyBorder="1" applyAlignment="1">
      <alignment horizontal="center" vertical="center" wrapText="1"/>
    </xf>
    <xf numFmtId="0" fontId="219" fillId="92" borderId="84" xfId="1806" applyFont="1" applyFill="1" applyBorder="1" applyAlignment="1">
      <alignment horizontal="center" vertical="center" wrapText="1"/>
    </xf>
    <xf numFmtId="0" fontId="219" fillId="92" borderId="74" xfId="1806" applyFont="1" applyFill="1" applyBorder="1" applyAlignment="1">
      <alignment horizontal="center" vertical="center" wrapText="1"/>
    </xf>
    <xf numFmtId="0" fontId="219" fillId="92" borderId="10" xfId="1806" applyFont="1" applyFill="1" applyBorder="1" applyAlignment="1">
      <alignment horizontal="center" vertical="center"/>
    </xf>
    <xf numFmtId="0" fontId="219" fillId="92" borderId="32" xfId="1806" applyFont="1" applyFill="1" applyBorder="1" applyAlignment="1">
      <alignment horizontal="center" vertical="center"/>
    </xf>
    <xf numFmtId="0" fontId="219" fillId="92" borderId="75" xfId="1806" applyFont="1" applyFill="1" applyBorder="1" applyAlignment="1">
      <alignment horizontal="center" vertical="center"/>
    </xf>
    <xf numFmtId="0" fontId="219" fillId="92" borderId="23" xfId="1806" applyFont="1" applyFill="1" applyBorder="1" applyAlignment="1">
      <alignment horizontal="center"/>
    </xf>
    <xf numFmtId="0" fontId="219" fillId="92" borderId="45" xfId="1806" applyFont="1" applyFill="1" applyBorder="1" applyAlignment="1">
      <alignment horizontal="center"/>
    </xf>
    <xf numFmtId="0" fontId="219" fillId="92" borderId="27" xfId="1806" applyFont="1" applyFill="1" applyBorder="1" applyAlignment="1">
      <alignment horizontal="center"/>
    </xf>
    <xf numFmtId="0" fontId="219" fillId="92" borderId="73" xfId="1806" applyFont="1" applyFill="1" applyBorder="1" applyAlignment="1">
      <alignment horizontal="center"/>
    </xf>
    <xf numFmtId="0" fontId="220" fillId="93" borderId="85" xfId="1806" applyFont="1" applyFill="1" applyBorder="1" applyAlignment="1">
      <alignment horizontal="center" vertical="center" wrapText="1"/>
    </xf>
    <xf numFmtId="0" fontId="220" fillId="93" borderId="87" xfId="1806" applyFont="1" applyFill="1" applyBorder="1" applyAlignment="1">
      <alignment horizontal="center" vertical="center" wrapText="1"/>
    </xf>
    <xf numFmtId="0" fontId="220" fillId="93" borderId="23" xfId="1806" applyFont="1" applyFill="1" applyBorder="1" applyAlignment="1">
      <alignment horizontal="center" vertical="center" wrapText="1"/>
    </xf>
    <xf numFmtId="0" fontId="220" fillId="93" borderId="27" xfId="1806" applyFont="1" applyFill="1" applyBorder="1" applyAlignment="1">
      <alignment horizontal="center" vertical="center" wrapText="1"/>
    </xf>
    <xf numFmtId="0" fontId="229" fillId="0" borderId="23" xfId="1806" applyFont="1" applyBorder="1" applyAlignment="1">
      <alignment horizontal="center"/>
    </xf>
    <xf numFmtId="0" fontId="229" fillId="0" borderId="45" xfId="1806" applyFont="1" applyBorder="1" applyAlignment="1">
      <alignment horizontal="center"/>
    </xf>
    <xf numFmtId="0" fontId="235" fillId="0" borderId="102" xfId="1889" applyFont="1" applyBorder="1" applyAlignment="1">
      <alignment horizontal="center"/>
    </xf>
    <xf numFmtId="0" fontId="235" fillId="0" borderId="103" xfId="1889" applyFont="1" applyBorder="1" applyAlignment="1">
      <alignment horizontal="center"/>
    </xf>
    <xf numFmtId="0" fontId="235" fillId="0" borderId="104" xfId="1889" applyFont="1" applyBorder="1" applyAlignment="1">
      <alignment horizontal="center"/>
    </xf>
    <xf numFmtId="0" fontId="236" fillId="33" borderId="105" xfId="1889" applyFont="1" applyFill="1" applyBorder="1" applyAlignment="1">
      <alignment horizontal="center" vertical="top"/>
    </xf>
    <xf numFmtId="0" fontId="236" fillId="33" borderId="107" xfId="1889" applyFont="1" applyFill="1" applyBorder="1" applyAlignment="1">
      <alignment horizontal="center" vertical="top"/>
    </xf>
    <xf numFmtId="0" fontId="236" fillId="33" borderId="10" xfId="1889" applyFont="1" applyFill="1" applyBorder="1" applyAlignment="1">
      <alignment horizontal="center" vertical="top" wrapText="1"/>
    </xf>
    <xf numFmtId="0" fontId="236" fillId="33" borderId="32" xfId="1889" applyFont="1" applyFill="1" applyBorder="1" applyAlignment="1">
      <alignment vertical="top" wrapText="1"/>
    </xf>
    <xf numFmtId="0" fontId="236" fillId="33" borderId="32" xfId="1889" applyFont="1" applyFill="1" applyBorder="1" applyAlignment="1">
      <alignment horizontal="center" vertical="top" wrapText="1"/>
    </xf>
    <xf numFmtId="0" fontId="236" fillId="33" borderId="10" xfId="1889" applyFont="1" applyFill="1" applyBorder="1" applyAlignment="1">
      <alignment horizontal="center" vertical="top"/>
    </xf>
    <xf numFmtId="0" fontId="236" fillId="33" borderId="32" xfId="1889" applyFont="1" applyFill="1" applyBorder="1" applyAlignment="1">
      <alignment horizontal="center" vertical="top"/>
    </xf>
    <xf numFmtId="0" fontId="236" fillId="33" borderId="22" xfId="1889" applyFont="1" applyFill="1" applyBorder="1" applyAlignment="1">
      <alignment horizontal="center" vertical="top" wrapText="1"/>
    </xf>
    <xf numFmtId="0" fontId="236" fillId="33" borderId="106" xfId="1889" applyFont="1" applyFill="1" applyBorder="1" applyAlignment="1">
      <alignment horizontal="center" vertical="top" wrapText="1"/>
    </xf>
    <xf numFmtId="0" fontId="280" fillId="33" borderId="23" xfId="1" applyFont="1" applyFill="1" applyBorder="1" applyAlignment="1">
      <alignment horizontal="left" vertical="center"/>
    </xf>
    <xf numFmtId="0" fontId="280" fillId="33" borderId="27" xfId="1" applyFont="1" applyFill="1" applyBorder="1" applyAlignment="1">
      <alignment horizontal="left" vertical="center"/>
    </xf>
    <xf numFmtId="0" fontId="224" fillId="33" borderId="23" xfId="1" applyFont="1" applyFill="1" applyBorder="1" applyAlignment="1">
      <alignment horizontal="left" vertical="center" wrapText="1"/>
    </xf>
    <xf numFmtId="0" fontId="224" fillId="33" borderId="27" xfId="1" applyFont="1" applyFill="1" applyBorder="1" applyAlignment="1">
      <alignment horizontal="left" vertical="center" wrapText="1"/>
    </xf>
    <xf numFmtId="0" fontId="287" fillId="0" borderId="23" xfId="1" applyFont="1" applyBorder="1" applyAlignment="1">
      <alignment horizontal="left" vertical="center"/>
    </xf>
    <xf numFmtId="0" fontId="287" fillId="0" borderId="27" xfId="1" applyFont="1" applyBorder="1" applyAlignment="1">
      <alignment horizontal="left" vertical="center"/>
    </xf>
    <xf numFmtId="0" fontId="285" fillId="0" borderId="23" xfId="1" applyFont="1" applyBorder="1" applyAlignment="1">
      <alignment horizontal="left" vertical="center"/>
    </xf>
    <xf numFmtId="0" fontId="285" fillId="0" borderId="27" xfId="1" applyFont="1" applyBorder="1" applyAlignment="1">
      <alignment horizontal="left" vertical="center"/>
    </xf>
    <xf numFmtId="0" fontId="286" fillId="0" borderId="23" xfId="1" applyFont="1" applyBorder="1" applyAlignment="1">
      <alignment horizontal="left" vertical="center"/>
    </xf>
    <xf numFmtId="0" fontId="286" fillId="0" borderId="27" xfId="1" applyFont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2984">
    <cellStyle name="          _x000d__x000a_386grabber=VGA.3GR_x000d__x000a_" xfId="4" xr:uid="{00000000-0005-0000-0000-000000000000}"/>
    <cellStyle name="          _x000d__x000a_386grabber=VGA.3GR_x000d__x000a_ 2" xfId="5" xr:uid="{00000000-0005-0000-0000-000001000000}"/>
    <cellStyle name="$" xfId="6" xr:uid="{00000000-0005-0000-0000-000002000000}"/>
    <cellStyle name="%" xfId="7" xr:uid="{00000000-0005-0000-0000-000003000000}"/>
    <cellStyle name="% 2" xfId="8" xr:uid="{00000000-0005-0000-0000-000004000000}"/>
    <cellStyle name="% 3" xfId="9" xr:uid="{00000000-0005-0000-0000-000005000000}"/>
    <cellStyle name="%_Sample cover format" xfId="10" xr:uid="{00000000-0005-0000-0000-000006000000}"/>
    <cellStyle name="-*                                           v-----------\[" xfId="11" xr:uid="{00000000-0005-0000-0000-000007000000}"/>
    <cellStyle name="_%(SignOnly)" xfId="12" xr:uid="{00000000-0005-0000-0000-000008000000}"/>
    <cellStyle name="_%(SignSpaceOnly)" xfId="13" xr:uid="{00000000-0005-0000-0000-000009000000}"/>
    <cellStyle name="_2009 Budget Book - India 22 Mar 09" xfId="14" xr:uid="{00000000-0005-0000-0000-00000A000000}"/>
    <cellStyle name="_2009 Budget Consol PL 1.2 with Internal 12.06 (Lateview)" xfId="15" xr:uid="{00000000-0005-0000-0000-00000B000000}"/>
    <cellStyle name="_2009 Budget Consol PL 1.2 with Internal 12.06 (Lateview) 2" xfId="16" xr:uid="{00000000-0005-0000-0000-00000C000000}"/>
    <cellStyle name="_517 Mar 09 LV" xfId="17" xr:uid="{00000000-0005-0000-0000-00000D000000}"/>
    <cellStyle name="_518 Mar 09 LV" xfId="18" xr:uid="{00000000-0005-0000-0000-00000E000000}"/>
    <cellStyle name="_ABS June 09" xfId="19" xr:uid="{00000000-0005-0000-0000-00000F000000}"/>
    <cellStyle name="_Advanta Budget 2009" xfId="20" xr:uid="{00000000-0005-0000-0000-000010000000}"/>
    <cellStyle name="_Advanta Sales report Dec07" xfId="21" xr:uid="{00000000-0005-0000-0000-000011000000}"/>
    <cellStyle name="_Advanta Sales report Dec07_Advanta Consolidation Sep 2011" xfId="22" xr:uid="{00000000-0005-0000-0000-000012000000}"/>
    <cellStyle name="_Advanta Sales report Dec07_Advanta Consolidation Sep 2011 2" xfId="23" xr:uid="{00000000-0005-0000-0000-000013000000}"/>
    <cellStyle name="_Advanta Sales report Dec07_Advanta Consolidation Sep 2011_AIL Consolidated Financials - Dec 2012 31.01.2013(Format)" xfId="24" xr:uid="{00000000-0005-0000-0000-000014000000}"/>
    <cellStyle name="_Advanta Sales report Dec07_Advanta Consolidation Sep 2011_AIL Consolidated Financials - Dec 2012 31.01.2013(Format) 2" xfId="25" xr:uid="{00000000-0005-0000-0000-000015000000}"/>
    <cellStyle name="_Advanta Sales report Dec07_Advanta Consolidation Sep 2011_AIL_Consolidated_Financials_-_Dec_2012_Cash Flow Statement" xfId="26" xr:uid="{00000000-0005-0000-0000-000016000000}"/>
    <cellStyle name="_Advanta Sales report Dec07_Advanta Financials Dec 11-22 Feb 12" xfId="27" xr:uid="{00000000-0005-0000-0000-000017000000}"/>
    <cellStyle name="_Advanta Sales report Dec07_Advanta Financials Dec 11-22 Feb 12 2" xfId="28" xr:uid="{00000000-0005-0000-0000-000018000000}"/>
    <cellStyle name="_Advanta Sales report Dec07_Advanta Financials Dec 11-22 Feb 12_AIL Consolidated Financials - Dec 2012 31.01.2013(Format)" xfId="29" xr:uid="{00000000-0005-0000-0000-000019000000}"/>
    <cellStyle name="_Advanta Sales report Dec07_Advanta Financials Dec 11-22 Feb 12_AIL Consolidated Financials - Dec 2012 31.01.2013(Format) 2" xfId="30" xr:uid="{00000000-0005-0000-0000-00001A000000}"/>
    <cellStyle name="_Advanta Sales report Dec07_Advanta Financials Dec 11-22 Feb 12_AIL_Consolidated_Financials_-_Dec_2012_Cash Flow Statement" xfId="31" xr:uid="{00000000-0005-0000-0000-00001B000000}"/>
    <cellStyle name="_Advanta Sales report Dec07_ASAR Forex Calculation (May &amp; June)" xfId="32" xr:uid="{00000000-0005-0000-0000-00001C000000}"/>
    <cellStyle name="_Advanta Sales report Dec07_Publication_Consolidated" xfId="33" xr:uid="{00000000-0005-0000-0000-00001D000000}"/>
    <cellStyle name="_Advanta Sales report Dec07_Publication_Consolidated 2" xfId="34" xr:uid="{00000000-0005-0000-0000-00001E000000}"/>
    <cellStyle name="_Advanta Sales report Dec07_Publication_Consolidated_AIL Consolidated Financials - Dec 2012 31.01.2013(Format)" xfId="35" xr:uid="{00000000-0005-0000-0000-00001F000000}"/>
    <cellStyle name="_Advanta Sales report Dec07_Publication_Consolidated_AIL Consolidated Financials - Dec 2012 31.01.2013(Format) 2" xfId="36" xr:uid="{00000000-0005-0000-0000-000020000000}"/>
    <cellStyle name="_Advanta Sales report Dec07_Publication_Consolidated_AIL_Consolidated_Financials_-_Dec_2012_Cash Flow Statement" xfId="37" xr:uid="{00000000-0005-0000-0000-000021000000}"/>
    <cellStyle name="_Advanta Sales-Nov 07" xfId="38" xr:uid="{00000000-0005-0000-0000-000022000000}"/>
    <cellStyle name="_Advanta Semillas - 20090930 FS (+ Concil)" xfId="39" xr:uid="{00000000-0005-0000-0000-000023000000}"/>
    <cellStyle name="_Annexure" xfId="40" xr:uid="{00000000-0005-0000-0000-000024000000}"/>
    <cellStyle name="_ASAR - BUDGET BOOK 2010 V2.2" xfId="41" xr:uid="{00000000-0005-0000-0000-000025000000}"/>
    <cellStyle name="_ASAR - BUDGET BOOK 2010 V2.2 2" xfId="42" xr:uid="{00000000-0005-0000-0000-000026000000}"/>
    <cellStyle name="_ASAR - BUDGET BOOK 2010 V2.7(PHASE III)(NUTRISUN EN VALORES)" xfId="43" xr:uid="{00000000-0005-0000-0000-000027000000}"/>
    <cellStyle name="_ASAR - BUDGET BOOK 2010 V2.7(PHASE III)(NUTRISUN EN VALORES) 2" xfId="44" xr:uid="{00000000-0005-0000-0000-000028000000}"/>
    <cellStyle name="_ASAR - BUDGET BOOK 2010 V3.3 (PHASE III) rev CAG &amp; RD(RELINK) with 2009 ACTUAL (rev MDQ)(NEW SEEDS EXPENSES)" xfId="45" xr:uid="{00000000-0005-0000-0000-000029000000}"/>
    <cellStyle name="_ASAR - BUDGET BOOK 2010 V3.3 (PHASE III) rev CAG &amp; RD(RELINK) with 2009 ACTUAL (rev MDQ)(NEW SEEDS EXPENSES) 2" xfId="46" xr:uid="{00000000-0005-0000-0000-00002A000000}"/>
    <cellStyle name="_ASAR - BUDGET BOOK 2010 V3.4 (PHASE III)(Q1 REVISED)v2.1" xfId="47" xr:uid="{00000000-0005-0000-0000-00002B000000}"/>
    <cellStyle name="_ASAR - BUDGET BOOK 2010 V3.4 (PHASE III)(Q1 REVISED)v2.1 2" xfId="48" xr:uid="{00000000-0005-0000-0000-00002C000000}"/>
    <cellStyle name="_ASBR - 2010 Budget Book - Phase II (rev AL) v4.3 (INCLUDING R&amp;D)" xfId="49" xr:uid="{00000000-0005-0000-0000-00002D000000}"/>
    <cellStyle name="_ASBR - 2010 Budget Book - Phase II (rev AL) v4.3 (INCLUDING R&amp;D) 2" xfId="50" xr:uid="{00000000-0005-0000-0000-00002E000000}"/>
    <cellStyle name="_ASBR SALES @ April 2010" xfId="51" xr:uid="{00000000-0005-0000-0000-00002F000000}"/>
    <cellStyle name="_ATF List of Employees 01" xfId="52" xr:uid="{00000000-0005-0000-0000-000030000000}"/>
    <cellStyle name="_ATF List of Employees 01_BANK Closing Balances JUNE 2007" xfId="53" xr:uid="{00000000-0005-0000-0000-000031000000}"/>
    <cellStyle name="_ATF List of Employees 01_Equ of Funds Statement-Jul 07 (ECP-Services) - 2 Wks" xfId="54" xr:uid="{00000000-0005-0000-0000-000032000000}"/>
    <cellStyle name="_ATF List of Employees 01_Equ of Funds Statement-Jul 07 (ECP-Services) - Wk 1" xfId="55" xr:uid="{00000000-0005-0000-0000-000033000000}"/>
    <cellStyle name="_ATF List of Employees 01_Equation of Funds Statement-Jun'07" xfId="56" xr:uid="{00000000-0005-0000-0000-000034000000}"/>
    <cellStyle name="_ATF List of Employees 01_Equation of Funds Stetement - May'07" xfId="57" xr:uid="{00000000-0005-0000-0000-000035000000}"/>
    <cellStyle name="_Balance Sheet 31_12_2008,21-02-2009 Final" xfId="58" xr:uid="{00000000-0005-0000-0000-000036000000}"/>
    <cellStyle name="_Bankers Info ECP - Oct 06 (1)-Revised" xfId="59" xr:uid="{00000000-0005-0000-0000-000037000000}"/>
    <cellStyle name="_Banks Info Oct 06 - Creditors" xfId="60" xr:uid="{00000000-0005-0000-0000-000038000000}"/>
    <cellStyle name="_BCD" xfId="61" xr:uid="{00000000-0005-0000-0000-000039000000}"/>
    <cellStyle name="_Bonus - 2006-07" xfId="62" xr:uid="{00000000-0005-0000-0000-00003A000000}"/>
    <cellStyle name="_Book2" xfId="63" xr:uid="{00000000-0005-0000-0000-00003B000000}"/>
    <cellStyle name="_Book4" xfId="64" xr:uid="{00000000-0005-0000-0000-00003C000000}"/>
    <cellStyle name="_Borrowings databook" xfId="65" xr:uid="{00000000-0005-0000-0000-00003D000000}"/>
    <cellStyle name="_BS-BCD-2006-07" xfId="66" xr:uid="{00000000-0005-0000-0000-00003E000000}"/>
    <cellStyle name="_Budget 08 Final Value" xfId="67" xr:uid="{00000000-0005-0000-0000-00003F000000}"/>
    <cellStyle name="_Budget 2008 Consolidation - Mar 08" xfId="68" xr:uid="{00000000-0005-0000-0000-000040000000}"/>
    <cellStyle name="_Budget Consolidation Mar 08" xfId="69" xr:uid="{00000000-0005-0000-0000-000041000000}"/>
    <cellStyle name="_Budget-08" xfId="70" xr:uid="{00000000-0005-0000-0000-000042000000}"/>
    <cellStyle name="_Budget-08_Advanta Consolidation Sep 2011" xfId="71" xr:uid="{00000000-0005-0000-0000-000043000000}"/>
    <cellStyle name="_Budget-08_Advanta Consolidation Sep 2011 2" xfId="72" xr:uid="{00000000-0005-0000-0000-000044000000}"/>
    <cellStyle name="_Budget-08_Advanta Consolidation Sep 2011_AIL Consolidated Financials - Dec 2012 31.01.2013(Format)" xfId="73" xr:uid="{00000000-0005-0000-0000-000045000000}"/>
    <cellStyle name="_Budget-08_Advanta Consolidation Sep 2011_AIL Consolidated Financials - Dec 2012 31.01.2013(Format) 2" xfId="74" xr:uid="{00000000-0005-0000-0000-000046000000}"/>
    <cellStyle name="_Budget-08_Advanta Consolidation Sep 2011_AIL_Consolidated_Financials_-_Dec_2012_Cash Flow Statement" xfId="75" xr:uid="{00000000-0005-0000-0000-000047000000}"/>
    <cellStyle name="_Budget-08_Advanta Financials Dec 11-22 Feb 12" xfId="76" xr:uid="{00000000-0005-0000-0000-000048000000}"/>
    <cellStyle name="_Budget-08_Advanta Financials Dec 11-22 Feb 12 2" xfId="77" xr:uid="{00000000-0005-0000-0000-000049000000}"/>
    <cellStyle name="_Budget-08_Advanta Financials Dec 11-22 Feb 12_AIL Consolidated Financials - Dec 2012 31.01.2013(Format)" xfId="78" xr:uid="{00000000-0005-0000-0000-00004A000000}"/>
    <cellStyle name="_Budget-08_Advanta Financials Dec 11-22 Feb 12_AIL Consolidated Financials - Dec 2012 31.01.2013(Format) 2" xfId="79" xr:uid="{00000000-0005-0000-0000-00004B000000}"/>
    <cellStyle name="_Budget-08_Advanta Financials Dec 11-22 Feb 12_AIL_Consolidated_Financials_-_Dec_2012_Cash Flow Statement" xfId="80" xr:uid="{00000000-0005-0000-0000-00004C000000}"/>
    <cellStyle name="_Budget-08_ASAR Forex Calculation (May &amp; June)" xfId="81" xr:uid="{00000000-0005-0000-0000-00004D000000}"/>
    <cellStyle name="_Budget-08_Publication_Consolidated" xfId="82" xr:uid="{00000000-0005-0000-0000-00004E000000}"/>
    <cellStyle name="_Budget-08_Publication_Consolidated 2" xfId="83" xr:uid="{00000000-0005-0000-0000-00004F000000}"/>
    <cellStyle name="_Budget-08_Publication_Consolidated_AIL Consolidated Financials - Dec 2012 31.01.2013(Format)" xfId="84" xr:uid="{00000000-0005-0000-0000-000050000000}"/>
    <cellStyle name="_Budget-08_Publication_Consolidated_AIL Consolidated Financials - Dec 2012 31.01.2013(Format) 2" xfId="85" xr:uid="{00000000-0005-0000-0000-000051000000}"/>
    <cellStyle name="_Budget-08_Publication_Consolidated_AIL_Consolidated_Financials_-_Dec_2012_Cash Flow Statement" xfId="86" xr:uid="{00000000-0005-0000-0000-000052000000}"/>
    <cellStyle name="_Cash Flow Aug-Dec 09-AIL" xfId="87" xr:uid="{00000000-0005-0000-0000-000053000000}"/>
    <cellStyle name="_Chart of Accounts final 080508" xfId="88" xr:uid="{00000000-0005-0000-0000-000054000000}"/>
    <cellStyle name="_Comma" xfId="89" xr:uid="{00000000-0005-0000-0000-000055000000}"/>
    <cellStyle name="_Commercial -Budget 2008 - Commercial - TKS - Final" xfId="90" xr:uid="{00000000-0005-0000-0000-000056000000}"/>
    <cellStyle name="_Copy of KDOC No 11309 - Financials Apr To Mar 08" xfId="91" xr:uid="{00000000-0005-0000-0000-000057000000}"/>
    <cellStyle name="_Copy of KDOC No 11309 - Financials Apr To Mar 08 2" xfId="92" xr:uid="{00000000-0005-0000-0000-000058000000}"/>
    <cellStyle name="_Copy of NCA on 07-Oct-06" xfId="93" xr:uid="{00000000-0005-0000-0000-000059000000}"/>
    <cellStyle name="_Creditors - Fatories (02.12.06)" xfId="94" xr:uid="{00000000-0005-0000-0000-00005A000000}"/>
    <cellStyle name="_Creditors - Fatories (30.12.06)" xfId="95" xr:uid="{00000000-0005-0000-0000-00005B000000}"/>
    <cellStyle name="_Creditors (31.01.07) - Banks" xfId="96" xr:uid="{00000000-0005-0000-0000-00005C000000}"/>
    <cellStyle name="_Currency" xfId="97" xr:uid="{00000000-0005-0000-0000-00005D000000}"/>
    <cellStyle name="_CurrencySpace" xfId="98" xr:uid="{00000000-0005-0000-0000-00005E000000}"/>
    <cellStyle name="_CurrencySpace_integrated_standalone" xfId="99" xr:uid="{00000000-0005-0000-0000-00005F000000}"/>
    <cellStyle name="_CurrencySpace_Print analysis" xfId="100" xr:uid="{00000000-0005-0000-0000-000060000000}"/>
    <cellStyle name="_CurrencySpace_Project Moon EntCo Model" xfId="101" xr:uid="{00000000-0005-0000-0000-000061000000}"/>
    <cellStyle name="_CurrencySpace_Project Musatrd - Databook V5 310707" xfId="102" xr:uid="{00000000-0005-0000-0000-000062000000}"/>
    <cellStyle name="_DATABOOK_NITIN" xfId="103" xr:uid="{00000000-0005-0000-0000-000063000000}"/>
    <cellStyle name="_DATABOOK_NITIN(R)" xfId="104" xr:uid="{00000000-0005-0000-0000-000064000000}"/>
    <cellStyle name="_dcf" xfId="105" xr:uid="{00000000-0005-0000-0000-000065000000}"/>
    <cellStyle name="_Deferred Tax March 2007" xfId="106" xr:uid="{00000000-0005-0000-0000-000066000000}"/>
    <cellStyle name="_Deposit C &amp;F" xfId="107" xr:uid="{00000000-0005-0000-0000-000067000000}"/>
    <cellStyle name="_ECP Sales &amp; Realisation 30.06.06 (Supply Activity)Final" xfId="108" xr:uid="{00000000-0005-0000-0000-000068000000}"/>
    <cellStyle name="_ECP Sales &amp; Realisation as on 30.06.2006 (Services) - Final." xfId="109" xr:uid="{00000000-0005-0000-0000-000069000000}"/>
    <cellStyle name="_ECP Services Final South Sales &amp; Realisation as on 31-03-07" xfId="110" xr:uid="{00000000-0005-0000-0000-00006A000000}"/>
    <cellStyle name="_ECP Services South Sales &amp; Realisation as on 16-Jun-07" xfId="111" xr:uid="{00000000-0005-0000-0000-00006B000000}"/>
    <cellStyle name="_ECP Services South Sales &amp; Realisation as on 28-May-07" xfId="112" xr:uid="{00000000-0005-0000-0000-00006C000000}"/>
    <cellStyle name="_ECP Supplies NCA as on 12.05.07" xfId="113" xr:uid="{00000000-0005-0000-0000-00006D000000}"/>
    <cellStyle name="_ECP Supplies NCA as on 16.06.07" xfId="114" xr:uid="{00000000-0005-0000-0000-00006E000000}"/>
    <cellStyle name="_ECP Supplies NCA as on 19.05.07" xfId="115" xr:uid="{00000000-0005-0000-0000-00006F000000}"/>
    <cellStyle name="_ECP Supplies NCA as on 23.06.07" xfId="116" xr:uid="{00000000-0005-0000-0000-000070000000}"/>
    <cellStyle name="_ECP Supplies NCA as on 26.05.07" xfId="117" xr:uid="{00000000-0005-0000-0000-000071000000}"/>
    <cellStyle name="_ECP Supplies NCA as on 28.04.07" xfId="118" xr:uid="{00000000-0005-0000-0000-000072000000}"/>
    <cellStyle name="_ECP Supplies NCA as on 30.04.07" xfId="119" xr:uid="{00000000-0005-0000-0000-000073000000}"/>
    <cellStyle name="_ECP Supplies NCA as on 31.05.07" xfId="120" xr:uid="{00000000-0005-0000-0000-000074000000}"/>
    <cellStyle name="_ECP Towers as on Dec 2006 (1)" xfId="121" xr:uid="{00000000-0005-0000-0000-000075000000}"/>
    <cellStyle name="_Effeciency Indicators - Oct 06 Cheriyal" xfId="122" xr:uid="{00000000-0005-0000-0000-000076000000}"/>
    <cellStyle name="_Effeciency Indocators - Oct 06 Cherlapally" xfId="123" xr:uid="{00000000-0005-0000-0000-000077000000}"/>
    <cellStyle name="_Equation of  Funds statement-Dec'06 " xfId="124" xr:uid="{00000000-0005-0000-0000-000078000000}"/>
    <cellStyle name="_Equation of  Funds statement-Dec'06 (Wk1)" xfId="125" xr:uid="{00000000-0005-0000-0000-000079000000}"/>
    <cellStyle name="_Equation of  Funds statement-Dec'06 (Wk2)" xfId="126" xr:uid="{00000000-0005-0000-0000-00007A000000}"/>
    <cellStyle name="_Equation of  Funds statement-Dec'06 (Wk3)" xfId="127" xr:uid="{00000000-0005-0000-0000-00007B000000}"/>
    <cellStyle name="_Equation of  Funds statement-Feb'07 (Wk 1)" xfId="128" xr:uid="{00000000-0005-0000-0000-00007C000000}"/>
    <cellStyle name="_Equation of  Funds statement-Feb'07 (Wk 2)" xfId="129" xr:uid="{00000000-0005-0000-0000-00007D000000}"/>
    <cellStyle name="_Equation of  Funds statement-Feb'07 (Wk 3 )" xfId="130" xr:uid="{00000000-0005-0000-0000-00007E000000}"/>
    <cellStyle name="_Equation of  Funds statement-Jan'07" xfId="131" xr:uid="{00000000-0005-0000-0000-00007F000000}"/>
    <cellStyle name="_Equation of  Funds statement-Jan'07 (3 Wks)" xfId="132" xr:uid="{00000000-0005-0000-0000-000080000000}"/>
    <cellStyle name="_Equation of  Funds Statement-Mar '07 " xfId="133" xr:uid="{00000000-0005-0000-0000-000081000000}"/>
    <cellStyle name="_Equation of  Funds Statement-Mar '07  (Wk -1)" xfId="134" xr:uid="{00000000-0005-0000-0000-000082000000}"/>
    <cellStyle name="_Equation of  Funds Statement-Mar '07  (Wk -2)" xfId="135" xr:uid="{00000000-0005-0000-0000-000083000000}"/>
    <cellStyle name="_Equation of  Funds statement-Nov'06 " xfId="136" xr:uid="{00000000-0005-0000-0000-000084000000}"/>
    <cellStyle name="_Equation of  Funds statement-Nov'06  " xfId="137" xr:uid="{00000000-0005-0000-0000-000085000000}"/>
    <cellStyle name="_Equation of  Funds statement-Nov'06 (Wk 2) " xfId="138" xr:uid="{00000000-0005-0000-0000-000086000000}"/>
    <cellStyle name="_Equation of  Funds statement-Nov'06 (Wk s 3) " xfId="139" xr:uid="{00000000-0005-0000-0000-000087000000}"/>
    <cellStyle name="_Equation of  Funds statement-Oct'06" xfId="140" xr:uid="{00000000-0005-0000-0000-000088000000}"/>
    <cellStyle name="_Equation of  Funds statement-Oct'06 (1)" xfId="141" xr:uid="{00000000-0005-0000-0000-000089000000}"/>
    <cellStyle name="_Equation of  Funds statement-Oct'06-2wk" xfId="142" xr:uid="{00000000-0005-0000-0000-00008A000000}"/>
    <cellStyle name="_Equation of  Funds statement-Oct'06-3wk" xfId="143" xr:uid="{00000000-0005-0000-0000-00008B000000}"/>
    <cellStyle name="_Equation of  Funds statement-Sep'06" xfId="144" xr:uid="{00000000-0005-0000-0000-00008C000000}"/>
    <cellStyle name="_Equation of  Funds Statement-Sep'06 (1)" xfId="145" xr:uid="{00000000-0005-0000-0000-00008D000000}"/>
    <cellStyle name="_Equation of Funds Aug 06" xfId="146" xr:uid="{00000000-0005-0000-0000-00008E000000}"/>
    <cellStyle name="_Equation of Funds Aug 06  " xfId="147" xr:uid="{00000000-0005-0000-0000-00008F000000}"/>
    <cellStyle name="_Equation of Funds Aug 06 - 1" xfId="148" xr:uid="{00000000-0005-0000-0000-000090000000}"/>
    <cellStyle name="_Equation of funds Statement - Apr'07" xfId="149" xr:uid="{00000000-0005-0000-0000-000091000000}"/>
    <cellStyle name="_Euro" xfId="150" xr:uid="{00000000-0005-0000-0000-000092000000}"/>
    <cellStyle name="_final cash flow" xfId="151" xr:uid="{00000000-0005-0000-0000-000093000000}"/>
    <cellStyle name="_Final ECP Services South Sales &amp; Realisation as on 30-April-07(revised)" xfId="152" xr:uid="{00000000-0005-0000-0000-000094000000}"/>
    <cellStyle name="_Final ECP Services South Sales &amp; Realisation as on 30-Jun-07" xfId="153" xr:uid="{00000000-0005-0000-0000-000095000000}"/>
    <cellStyle name="_Final ECP Services South Sales &amp; Realisation as on 31-May-07" xfId="154" xr:uid="{00000000-0005-0000-0000-000096000000}"/>
    <cellStyle name="_finishing goods &amp; work in process details" xfId="155" xr:uid="{00000000-0005-0000-0000-000097000000}"/>
    <cellStyle name="_Fixed Cost Budget 2010 in budget book" xfId="156" xr:uid="{00000000-0005-0000-0000-000098000000}"/>
    <cellStyle name="_Fixed Cost Budget 2010 in budget book 2" xfId="157" xr:uid="{00000000-0005-0000-0000-000099000000}"/>
    <cellStyle name="_Fixed Cost Budget 2010 in budget book 2_TB Groupings" xfId="158" xr:uid="{00000000-0005-0000-0000-00009A000000}"/>
    <cellStyle name="_Fixed Cost Budget 2010 in budget book 3" xfId="159" xr:uid="{00000000-0005-0000-0000-00009B000000}"/>
    <cellStyle name="_Fixed Cost Budget 2010 in budget book 4" xfId="160" xr:uid="{00000000-0005-0000-0000-00009C000000}"/>
    <cellStyle name="_Fixed Cost Budget 2010 in budget book 5" xfId="161" xr:uid="{00000000-0005-0000-0000-00009D000000}"/>
    <cellStyle name="_Fixed Cost Budget 2010 in budget book_TB Groupings" xfId="162" xr:uid="{00000000-0005-0000-0000-00009E000000}"/>
    <cellStyle name="_Foreign Currency Transactions" xfId="163" xr:uid="{00000000-0005-0000-0000-00009F000000}"/>
    <cellStyle name="_Formats-BCD-Mar" xfId="164" xr:uid="{00000000-0005-0000-0000-0000A0000000}"/>
    <cellStyle name="_Formats-MP" xfId="165" xr:uid="{00000000-0005-0000-0000-0000A1000000}"/>
    <cellStyle name="_Handed Over towers as on 20.12.06" xfId="166" xr:uid="{00000000-0005-0000-0000-0000A2000000}"/>
    <cellStyle name="_Handed Over towers as on 22.12.06" xfId="167" xr:uid="{00000000-0005-0000-0000-0000A3000000}"/>
    <cellStyle name="_Handed Over towers as on 22.12.06 (1)" xfId="168" xr:uid="{00000000-0005-0000-0000-0000A4000000}"/>
    <cellStyle name="_Handed Over towers as on 26.12.06" xfId="169" xr:uid="{00000000-0005-0000-0000-0000A5000000}"/>
    <cellStyle name="_Handed Over towers as on 27.12.06" xfId="170" xr:uid="{00000000-0005-0000-0000-0000A6000000}"/>
    <cellStyle name="_Heading" xfId="171" xr:uid="{00000000-0005-0000-0000-0000A7000000}"/>
    <cellStyle name="_Headline" xfId="172" xr:uid="{00000000-0005-0000-0000-0000A8000000}"/>
    <cellStyle name="_Highlight" xfId="173" xr:uid="{00000000-0005-0000-0000-0000A9000000}"/>
    <cellStyle name="_Intereses Pagados Jun-2010" xfId="174" xr:uid="{00000000-0005-0000-0000-0000AA000000}"/>
    <cellStyle name="_Inventory availability end Feb 08" xfId="175" xr:uid="{00000000-0005-0000-0000-0000AB000000}"/>
    <cellStyle name="_Inventory availability end Feb 08_Advanta Consolidation Sep 2011" xfId="176" xr:uid="{00000000-0005-0000-0000-0000AC000000}"/>
    <cellStyle name="_Inventory availability end Feb 08_Advanta Consolidation Sep 2011 2" xfId="177" xr:uid="{00000000-0005-0000-0000-0000AD000000}"/>
    <cellStyle name="_Inventory availability end Feb 08_Advanta Consolidation Sep 2011_AIL Consolidated Financials - Dec 2012 31.01.2013(Format)" xfId="178" xr:uid="{00000000-0005-0000-0000-0000AE000000}"/>
    <cellStyle name="_Inventory availability end Feb 08_Advanta Consolidation Sep 2011_AIL Consolidated Financials - Dec 2012 31.01.2013(Format) 2" xfId="179" xr:uid="{00000000-0005-0000-0000-0000AF000000}"/>
    <cellStyle name="_Inventory availability end Feb 08_Advanta Consolidation Sep 2011_AIL_Consolidated_Financials_-_Dec_2012_Cash Flow Statement" xfId="180" xr:uid="{00000000-0005-0000-0000-0000B0000000}"/>
    <cellStyle name="_Inventory availability end Feb 08_Advanta Financials Dec 11-22 Feb 12" xfId="181" xr:uid="{00000000-0005-0000-0000-0000B1000000}"/>
    <cellStyle name="_Inventory availability end Feb 08_Advanta Financials Dec 11-22 Feb 12 2" xfId="182" xr:uid="{00000000-0005-0000-0000-0000B2000000}"/>
    <cellStyle name="_Inventory availability end Feb 08_Advanta Financials Dec 11-22 Feb 12_AIL Consolidated Financials - Dec 2012 31.01.2013(Format)" xfId="183" xr:uid="{00000000-0005-0000-0000-0000B3000000}"/>
    <cellStyle name="_Inventory availability end Feb 08_Advanta Financials Dec 11-22 Feb 12_AIL Consolidated Financials - Dec 2012 31.01.2013(Format) 2" xfId="184" xr:uid="{00000000-0005-0000-0000-0000B4000000}"/>
    <cellStyle name="_Inventory availability end Feb 08_Advanta Financials Dec 11-22 Feb 12_AIL_Consolidated_Financials_-_Dec_2012_Cash Flow Statement" xfId="185" xr:uid="{00000000-0005-0000-0000-0000B5000000}"/>
    <cellStyle name="_Inventory availability end Feb 08_ASAR Forex Calculation (May &amp; June)" xfId="186" xr:uid="{00000000-0005-0000-0000-0000B6000000}"/>
    <cellStyle name="_Inventory availability end Feb 08_Publication_Consolidated" xfId="187" xr:uid="{00000000-0005-0000-0000-0000B7000000}"/>
    <cellStyle name="_Inventory availability end Feb 08_Publication_Consolidated 2" xfId="188" xr:uid="{00000000-0005-0000-0000-0000B8000000}"/>
    <cellStyle name="_Inventory availability end Feb 08_Publication_Consolidated_AIL Consolidated Financials - Dec 2012 31.01.2013(Format)" xfId="189" xr:uid="{00000000-0005-0000-0000-0000B9000000}"/>
    <cellStyle name="_Inventory availability end Feb 08_Publication_Consolidated_AIL Consolidated Financials - Dec 2012 31.01.2013(Format) 2" xfId="190" xr:uid="{00000000-0005-0000-0000-0000BA000000}"/>
    <cellStyle name="_Inventory availability end Feb 08_Publication_Consolidated_AIL_Consolidated_Financials_-_Dec_2012_Cash Flow Statement" xfId="191" xr:uid="{00000000-0005-0000-0000-0000BB000000}"/>
    <cellStyle name="_Inventory Valuation Dec 07 MIS" xfId="192" xr:uid="{00000000-0005-0000-0000-0000BC000000}"/>
    <cellStyle name="_Inventory Valuation Dec 07 MIS_Advanta Consolidation Sep 2011" xfId="193" xr:uid="{00000000-0005-0000-0000-0000BD000000}"/>
    <cellStyle name="_Inventory Valuation Dec 07 MIS_Advanta Consolidation Sep 2011 2" xfId="194" xr:uid="{00000000-0005-0000-0000-0000BE000000}"/>
    <cellStyle name="_Inventory Valuation Dec 07 MIS_Advanta Consolidation Sep 2011_AIL Consolidated Financials - Dec 2012 31.01.2013(Format)" xfId="195" xr:uid="{00000000-0005-0000-0000-0000BF000000}"/>
    <cellStyle name="_Inventory Valuation Dec 07 MIS_Advanta Consolidation Sep 2011_AIL Consolidated Financials - Dec 2012 31.01.2013(Format) 2" xfId="196" xr:uid="{00000000-0005-0000-0000-0000C0000000}"/>
    <cellStyle name="_Inventory Valuation Dec 07 MIS_Advanta Consolidation Sep 2011_AIL_Consolidated_Financials_-_Dec_2012_Cash Flow Statement" xfId="197" xr:uid="{00000000-0005-0000-0000-0000C1000000}"/>
    <cellStyle name="_Inventory Valuation Dec 07 MIS_Advanta Financials Dec 11-22 Feb 12" xfId="198" xr:uid="{00000000-0005-0000-0000-0000C2000000}"/>
    <cellStyle name="_Inventory Valuation Dec 07 MIS_Advanta Financials Dec 11-22 Feb 12 2" xfId="199" xr:uid="{00000000-0005-0000-0000-0000C3000000}"/>
    <cellStyle name="_Inventory Valuation Dec 07 MIS_Advanta Financials Dec 11-22 Feb 12_AIL Consolidated Financials - Dec 2012 31.01.2013(Format)" xfId="200" xr:uid="{00000000-0005-0000-0000-0000C4000000}"/>
    <cellStyle name="_Inventory Valuation Dec 07 MIS_Advanta Financials Dec 11-22 Feb 12_AIL Consolidated Financials - Dec 2012 31.01.2013(Format) 2" xfId="201" xr:uid="{00000000-0005-0000-0000-0000C5000000}"/>
    <cellStyle name="_Inventory Valuation Dec 07 MIS_Advanta Financials Dec 11-22 Feb 12_AIL_Consolidated_Financials_-_Dec_2012_Cash Flow Statement" xfId="202" xr:uid="{00000000-0005-0000-0000-0000C6000000}"/>
    <cellStyle name="_Inventory Valuation Dec 07 MIS_ASAR Forex Calculation (May &amp; June)" xfId="203" xr:uid="{00000000-0005-0000-0000-0000C7000000}"/>
    <cellStyle name="_Inventory Valuation Dec 07 MIS_Publication_Consolidated" xfId="204" xr:uid="{00000000-0005-0000-0000-0000C8000000}"/>
    <cellStyle name="_Inventory Valuation Dec 07 MIS_Publication_Consolidated 2" xfId="205" xr:uid="{00000000-0005-0000-0000-0000C9000000}"/>
    <cellStyle name="_Inventory Valuation Dec 07 MIS_Publication_Consolidated_AIL Consolidated Financials - Dec 2012 31.01.2013(Format)" xfId="206" xr:uid="{00000000-0005-0000-0000-0000CA000000}"/>
    <cellStyle name="_Inventory Valuation Dec 07 MIS_Publication_Consolidated_AIL Consolidated Financials - Dec 2012 31.01.2013(Format) 2" xfId="207" xr:uid="{00000000-0005-0000-0000-0000CB000000}"/>
    <cellStyle name="_Inventory Valuation Dec 07 MIS_Publication_Consolidated_AIL_Consolidated_Financials_-_Dec_2012_Cash Flow Statement" xfId="208" xr:uid="{00000000-0005-0000-0000-0000CC000000}"/>
    <cellStyle name="_Investments final" xfId="209" xr:uid="{00000000-0005-0000-0000-0000CD000000}"/>
    <cellStyle name="_KDOC No.11291 - Tax Audit Annexures - Final" xfId="210" xr:uid="{00000000-0005-0000-0000-0000CE000000}"/>
    <cellStyle name="_LATAM Key Figures" xfId="211" xr:uid="{00000000-0005-0000-0000-0000CF000000}"/>
    <cellStyle name="_leave encashment" xfId="212" xr:uid="{00000000-0005-0000-0000-0000D0000000}"/>
    <cellStyle name="_Legal Cases" xfId="213" xr:uid="{00000000-0005-0000-0000-0000D1000000}"/>
    <cellStyle name="_Legal Cases_TB Groupings" xfId="214" xr:uid="{00000000-0005-0000-0000-0000D2000000}"/>
    <cellStyle name="_Loan- subsidiaries" xfId="215" xr:uid="{00000000-0005-0000-0000-0000D3000000}"/>
    <cellStyle name="_Mail to IG - FA sch of GS" xfId="216" xr:uid="{00000000-0005-0000-0000-0000D4000000}"/>
    <cellStyle name="_Mail to Ig- Budget 2009 (PL and Balance Sheet)-GS and USL" xfId="217" xr:uid="{00000000-0005-0000-0000-0000D5000000}"/>
    <cellStyle name="_MD remunaration" xfId="218" xr:uid="{00000000-0005-0000-0000-0000D6000000}"/>
    <cellStyle name="_Monthly Reporting - India MIS July-08" xfId="219" xr:uid="{00000000-0005-0000-0000-0000D7000000}"/>
    <cellStyle name="_Multiple" xfId="220" xr:uid="{00000000-0005-0000-0000-0000D8000000}"/>
    <cellStyle name="_MultipleSpace" xfId="221" xr:uid="{00000000-0005-0000-0000-0000D9000000}"/>
    <cellStyle name="_MXAR April 2010" xfId="222" xr:uid="{00000000-0005-0000-0000-0000DA000000}"/>
    <cellStyle name="_NCA" xfId="223" xr:uid="{00000000-0005-0000-0000-0000DB000000}"/>
    <cellStyle name="_NCA as on 06-01-07" xfId="224" xr:uid="{00000000-0005-0000-0000-0000DC000000}"/>
    <cellStyle name="_NCA as on 09-12-06" xfId="225" xr:uid="{00000000-0005-0000-0000-0000DD000000}"/>
    <cellStyle name="_NCA as on 10-02-07" xfId="226" xr:uid="{00000000-0005-0000-0000-0000DE000000}"/>
    <cellStyle name="_NCA as on 11-11-06" xfId="227" xr:uid="{00000000-0005-0000-0000-0000DF000000}"/>
    <cellStyle name="_NCA as on 13-01-07" xfId="228" xr:uid="{00000000-0005-0000-0000-0000E0000000}"/>
    <cellStyle name="_NCA as on 16-02-07" xfId="229" xr:uid="{00000000-0005-0000-0000-0000E1000000}"/>
    <cellStyle name="_NCA as on 16-12-06" xfId="230" xr:uid="{00000000-0005-0000-0000-0000E2000000}"/>
    <cellStyle name="_NCA as on 18-11-06" xfId="231" xr:uid="{00000000-0005-0000-0000-0000E3000000}"/>
    <cellStyle name="_NCA as on 20-01-07" xfId="232" xr:uid="{00000000-0005-0000-0000-0000E4000000}"/>
    <cellStyle name="_NCA as on 23-12-06" xfId="233" xr:uid="{00000000-0005-0000-0000-0000E5000000}"/>
    <cellStyle name="_NCA as on 25-11-06" xfId="234" xr:uid="{00000000-0005-0000-0000-0000E6000000}"/>
    <cellStyle name="_NCA as on 27-01-07" xfId="235" xr:uid="{00000000-0005-0000-0000-0000E7000000}"/>
    <cellStyle name="_NCA as on 30-11-06" xfId="236" xr:uid="{00000000-0005-0000-0000-0000E8000000}"/>
    <cellStyle name="_NCA As on 31.10.06" xfId="237" xr:uid="{00000000-0005-0000-0000-0000E9000000}"/>
    <cellStyle name="_NCA as on 31-01-07" xfId="238" xr:uid="{00000000-0005-0000-0000-0000EA000000}"/>
    <cellStyle name="_NCA as on 31-12-06" xfId="239" xr:uid="{00000000-0005-0000-0000-0000EB000000}"/>
    <cellStyle name="_NCA as on 4-11-06" xfId="240" xr:uid="{00000000-0005-0000-0000-0000EC000000}"/>
    <cellStyle name="_NCA of Supplies as on 24.02.07" xfId="241" xr:uid="{00000000-0005-0000-0000-0000ED000000}"/>
    <cellStyle name="_NCA of Supplies as on 28.02.07" xfId="242" xr:uid="{00000000-0005-0000-0000-0000EE000000}"/>
    <cellStyle name="_NCA on 14-Oct-06" xfId="243" xr:uid="{00000000-0005-0000-0000-0000EF000000}"/>
    <cellStyle name="_Non Current Assets (Service activit) 30.06.07" xfId="244" xr:uid="{00000000-0005-0000-0000-0000F0000000}"/>
    <cellStyle name="_Non Current Assets (Service activit) 30.4.07" xfId="245" xr:uid="{00000000-0005-0000-0000-0000F1000000}"/>
    <cellStyle name="_Non Current Assets (Service activit) 31.05.07" xfId="246" xr:uid="{00000000-0005-0000-0000-0000F2000000}"/>
    <cellStyle name="_Non Current Assets (Service activit) 31.3.07" xfId="247" xr:uid="{00000000-0005-0000-0000-0000F3000000}"/>
    <cellStyle name="_Non Current Assets (Service activity) status as on 28.02.07" xfId="248" xr:uid="{00000000-0005-0000-0000-0000F4000000}"/>
    <cellStyle name="_Non Current Assets (Service activity) status as on 31.01.07" xfId="249" xr:uid="{00000000-0005-0000-0000-0000F5000000}"/>
    <cellStyle name="_Non Current Assets (Services) as on 13.01.2007." xfId="250" xr:uid="{00000000-0005-0000-0000-0000F6000000}"/>
    <cellStyle name="_Non Current Assets (Services) as on 20.1.2007" xfId="251" xr:uid="{00000000-0005-0000-0000-0000F7000000}"/>
    <cellStyle name="_Non Current Assets (Services) as on 27.1.2007 modified" xfId="252" xr:uid="{00000000-0005-0000-0000-0000F8000000}"/>
    <cellStyle name="_Non Current Assets (Services) as on 31.01.07" xfId="253" xr:uid="{00000000-0005-0000-0000-0000F9000000}"/>
    <cellStyle name="_Non Current Assets as on 04-Nov-06" xfId="254" xr:uid="{00000000-0005-0000-0000-0000FA000000}"/>
    <cellStyle name="_Non Current Assets as on 07-Oct-06" xfId="255" xr:uid="{00000000-0005-0000-0000-0000FB000000}"/>
    <cellStyle name="_Non Current Assets as on 09-dec-06" xfId="256" xr:uid="{00000000-0005-0000-0000-0000FC000000}"/>
    <cellStyle name="_Non Current Assets as on 11-Nov-06" xfId="257" xr:uid="{00000000-0005-0000-0000-0000FD000000}"/>
    <cellStyle name="_Non Current Assets as on 14-Oct-06" xfId="258" xr:uid="{00000000-0005-0000-0000-0000FE000000}"/>
    <cellStyle name="_Non Current Assets as on 16-dec-06" xfId="259" xr:uid="{00000000-0005-0000-0000-0000FF000000}"/>
    <cellStyle name="_Non Current Assets as on 20-Oct-06" xfId="260" xr:uid="{00000000-0005-0000-0000-000000010000}"/>
    <cellStyle name="_Non Current Assets as on 21-Oct-06" xfId="261" xr:uid="{00000000-0005-0000-0000-000001010000}"/>
    <cellStyle name="_Non Current Assets as on 23.09.06" xfId="262" xr:uid="{00000000-0005-0000-0000-000002010000}"/>
    <cellStyle name="_Non Current Assets as on 23-dec-06" xfId="263" xr:uid="{00000000-0005-0000-0000-000003010000}"/>
    <cellStyle name="_Non Current Assets as on 23-Sep-06" xfId="264" xr:uid="{00000000-0005-0000-0000-000004010000}"/>
    <cellStyle name="_Non Current Assets as on 25-Nov-06" xfId="265" xr:uid="{00000000-0005-0000-0000-000005010000}"/>
    <cellStyle name="_Non Current Assets as on 30.09.06" xfId="266" xr:uid="{00000000-0005-0000-0000-000006010000}"/>
    <cellStyle name="_Non Current Assets as on 30-dec-06" xfId="267" xr:uid="{00000000-0005-0000-0000-000007010000}"/>
    <cellStyle name="_Non Current Assets as on 30-Nov-06" xfId="268" xr:uid="{00000000-0005-0000-0000-000008010000}"/>
    <cellStyle name="_Non Current Assets as on 30-Sept-06" xfId="269" xr:uid="{00000000-0005-0000-0000-000009010000}"/>
    <cellStyle name="_Non Current Assets as on 6.Jan.07" xfId="270" xr:uid="{00000000-0005-0000-0000-00000A010000}"/>
    <cellStyle name="_Notes to Accounts Unicorn Dec 2008,20-2-09" xfId="271" xr:uid="{00000000-0005-0000-0000-00000B010000}"/>
    <cellStyle name="_Notes to Accounts USPL Dec 2008 Final -Audited" xfId="272" xr:uid="{00000000-0005-0000-0000-00000C010000}"/>
    <cellStyle name="_Otros Préstamos May-2010" xfId="273" xr:uid="{00000000-0005-0000-0000-00000D010000}"/>
    <cellStyle name="_Percent" xfId="274" xr:uid="{00000000-0005-0000-0000-00000E010000}"/>
    <cellStyle name="_PercentSpace" xfId="275" xr:uid="{00000000-0005-0000-0000-00000F010000}"/>
    <cellStyle name="_PERSONAL" xfId="276" xr:uid="{00000000-0005-0000-0000-000010010000}"/>
    <cellStyle name="_PERSONAL_1" xfId="277" xr:uid="{00000000-0005-0000-0000-000011010000}"/>
    <cellStyle name="_Place Plan-Breakup" xfId="278" xr:uid="{00000000-0005-0000-0000-000012010000}"/>
    <cellStyle name="_Print analysis" xfId="279" xr:uid="{00000000-0005-0000-0000-000013010000}"/>
    <cellStyle name="_Profitability Statement - Budget,Rev Pricing,Net Billing to UPL &amp; current update" xfId="280" xr:uid="{00000000-0005-0000-0000-000014010000}"/>
    <cellStyle name="_Project Moon EntCo Model" xfId="281" xr:uid="{00000000-0005-0000-0000-000015010000}"/>
    <cellStyle name="_Project Musatrd - Databook V5 310707" xfId="282" xr:uid="{00000000-0005-0000-0000-000016010000}"/>
    <cellStyle name="_Provision IG y IMP DMDA Final" xfId="283" xr:uid="{00000000-0005-0000-0000-000017010000}"/>
    <cellStyle name="_Provision IG y IMP DMDA Final 2" xfId="284" xr:uid="{00000000-0005-0000-0000-000018010000}"/>
    <cellStyle name="_PSR for Feb 09 (2)" xfId="285" xr:uid="{00000000-0005-0000-0000-000019010000}"/>
    <cellStyle name="_R 2008 Payment detals" xfId="286" xr:uid="{00000000-0005-0000-0000-00001A010000}"/>
    <cellStyle name="_R 2008 Payment detals (3)" xfId="287" xr:uid="{00000000-0005-0000-0000-00001B010000}"/>
    <cellStyle name="_R 2008 Payment detals-29 06 09" xfId="288" xr:uid="{00000000-0005-0000-0000-00001C010000}"/>
    <cellStyle name="_R 2008 Payment detals-29 06 09-1" xfId="289" xr:uid="{00000000-0005-0000-0000-00001D010000}"/>
    <cellStyle name="_related party" xfId="290" xr:uid="{00000000-0005-0000-0000-00001E010000}"/>
    <cellStyle name="_Related-Party Tran-12months" xfId="291" xr:uid="{00000000-0005-0000-0000-00001F010000}"/>
    <cellStyle name="_Related-Party Trans-15months" xfId="292" xr:uid="{00000000-0005-0000-0000-000020010000}"/>
    <cellStyle name="_Revenue Stream - Team HR" xfId="293" xr:uid="{00000000-0005-0000-0000-000021010000}"/>
    <cellStyle name="_Revised Equ. of  Funds Statement-Sep'06-3rd Wk (version 1)" xfId="294" xr:uid="{00000000-0005-0000-0000-000022010000}"/>
    <cellStyle name="_revised feb-venu" xfId="295" xr:uid="{00000000-0005-0000-0000-000023010000}"/>
    <cellStyle name="_RFES sales details for the month of Dec-06" xfId="296" xr:uid="{00000000-0005-0000-0000-000024010000}"/>
    <cellStyle name="_RFES_VAT_Input for the month of Feb-07 " xfId="297" xr:uid="{00000000-0005-0000-0000-000025010000}"/>
    <cellStyle name="_RFES_VAT_Input for the month of Mar-07 " xfId="298" xr:uid="{00000000-0005-0000-0000-000026010000}"/>
    <cellStyle name="_RFES_VAT_input_Jan_07" xfId="299" xr:uid="{00000000-0005-0000-0000-000027010000}"/>
    <cellStyle name="_Salaries Jan,2007 -venu" xfId="300" xr:uid="{00000000-0005-0000-0000-000028010000}"/>
    <cellStyle name="_Sales Data ASBR + MXAR + ASAR (rev CAG) (2)" xfId="301" xr:uid="{00000000-0005-0000-0000-000029010000}"/>
    <cellStyle name="_Sales estimates Q1 2010 (rev LATAM) v 31-03-2010" xfId="302" xr:uid="{00000000-0005-0000-0000-00002A010000}"/>
    <cellStyle name="_Sales report.Jan08" xfId="303" xr:uid="{00000000-0005-0000-0000-00002B010000}"/>
    <cellStyle name="_Sales report.Jan08 2" xfId="304" xr:uid="{00000000-0005-0000-0000-00002C010000}"/>
    <cellStyle name="_Sales report.Jan08_Advanta Consolidation Sep 2011" xfId="305" xr:uid="{00000000-0005-0000-0000-00002D010000}"/>
    <cellStyle name="_Sales report.Jan08_Advanta Consolidation Sep 2011 2" xfId="306" xr:uid="{00000000-0005-0000-0000-00002E010000}"/>
    <cellStyle name="_Sales report.Jan08_Advanta Consolidation Sep 2011_AIL Consolidated Financials - Dec 2012 31.01.2013(Format)" xfId="307" xr:uid="{00000000-0005-0000-0000-00002F010000}"/>
    <cellStyle name="_Sales report.Jan08_Advanta Consolidation Sep 2011_AIL Consolidated Financials - Dec 2012 31.01.2013(Format) 2" xfId="308" xr:uid="{00000000-0005-0000-0000-000030010000}"/>
    <cellStyle name="_Sales report.Jan08_Advanta Consolidation Sep 2011_AIL_Consolidated_Financials_-_Dec_2012_Cash Flow Statement" xfId="309" xr:uid="{00000000-0005-0000-0000-000031010000}"/>
    <cellStyle name="_Sales report.Jan08_Advanta Financials Dec 11-22 Feb 12" xfId="310" xr:uid="{00000000-0005-0000-0000-000032010000}"/>
    <cellStyle name="_Sales report.Jan08_Advanta Financials Dec 11-22 Feb 12 2" xfId="311" xr:uid="{00000000-0005-0000-0000-000033010000}"/>
    <cellStyle name="_Sales report.Jan08_Advanta Financials Dec 11-22 Feb 12_AIL Consolidated Financials - Dec 2012 31.01.2013(Format)" xfId="312" xr:uid="{00000000-0005-0000-0000-000034010000}"/>
    <cellStyle name="_Sales report.Jan08_Advanta Financials Dec 11-22 Feb 12_AIL Consolidated Financials - Dec 2012 31.01.2013(Format) 2" xfId="313" xr:uid="{00000000-0005-0000-0000-000035010000}"/>
    <cellStyle name="_Sales report.Jan08_Advanta Financials Dec 11-22 Feb 12_AIL_Consolidated_Financials_-_Dec_2012_Cash Flow Statement" xfId="314" xr:uid="{00000000-0005-0000-0000-000036010000}"/>
    <cellStyle name="_Sales report.Jan08_ASAR Forex Calculation (May &amp; June)" xfId="315" xr:uid="{00000000-0005-0000-0000-000037010000}"/>
    <cellStyle name="_Sales report.Jan08_Publication_Consolidated" xfId="316" xr:uid="{00000000-0005-0000-0000-000038010000}"/>
    <cellStyle name="_Sales report.Jan08_Publication_Consolidated 2" xfId="317" xr:uid="{00000000-0005-0000-0000-000039010000}"/>
    <cellStyle name="_Sales report.Jan08_Publication_Consolidated_AIL Consolidated Financials - Dec 2012 31.01.2013(Format)" xfId="318" xr:uid="{00000000-0005-0000-0000-00003A010000}"/>
    <cellStyle name="_Sales report.Jan08_Publication_Consolidated_AIL Consolidated Financials - Dec 2012 31.01.2013(Format) 2" xfId="319" xr:uid="{00000000-0005-0000-0000-00003B010000}"/>
    <cellStyle name="_Sales report.Jan08_Publication_Consolidated_AIL_Consolidated_Financials_-_Dec_2012_Cash Flow Statement" xfId="320" xr:uid="{00000000-0005-0000-0000-00003C010000}"/>
    <cellStyle name="_Sales Target Calculation for Jan,06" xfId="321" xr:uid="{00000000-0005-0000-0000-00003D010000}"/>
    <cellStyle name="_Sales-Comparative Analysis" xfId="322" xr:uid="{00000000-0005-0000-0000-00003E010000}"/>
    <cellStyle name="_sal-Oct'06" xfId="323" xr:uid="{00000000-0005-0000-0000-00003F010000}"/>
    <cellStyle name="_Sample cover format" xfId="324" xr:uid="{00000000-0005-0000-0000-000040010000}"/>
    <cellStyle name="_Staff Advances" xfId="325" xr:uid="{00000000-0005-0000-0000-000041010000}"/>
    <cellStyle name="_Stock-invoice and profit-UPL" xfId="326" xr:uid="{00000000-0005-0000-0000-000042010000}"/>
    <cellStyle name="_SubHeading" xfId="327" xr:uid="{00000000-0005-0000-0000-000043010000}"/>
    <cellStyle name="_Sundry Creditors - Factories (June 07)" xfId="328" xr:uid="{00000000-0005-0000-0000-000044010000}"/>
    <cellStyle name="_Sundry Creditors - Factories (May 07)" xfId="329" xr:uid="{00000000-0005-0000-0000-000045010000}"/>
    <cellStyle name="_Supplies NCA as on 10.03.07 " xfId="330" xr:uid="{00000000-0005-0000-0000-000046010000}"/>
    <cellStyle name="_Supplies NCA as on 17.03.07" xfId="331" xr:uid="{00000000-0005-0000-0000-000047010000}"/>
    <cellStyle name="_Supplies NCA as on 24.03.07" xfId="332" xr:uid="{00000000-0005-0000-0000-000048010000}"/>
    <cellStyle name="_Supplies NCA as on 31.03.07" xfId="333" xr:uid="{00000000-0005-0000-0000-000049010000}"/>
    <cellStyle name="_SyS Final 30.09.09 def" xfId="334" xr:uid="{00000000-0005-0000-0000-00004A010000}"/>
    <cellStyle name="_Table" xfId="335" xr:uid="{00000000-0005-0000-0000-00004B010000}"/>
    <cellStyle name="_TableHead" xfId="336" xr:uid="{00000000-0005-0000-0000-00004C010000}"/>
    <cellStyle name="_TableHeading" xfId="337" xr:uid="{00000000-0005-0000-0000-00004D010000}"/>
    <cellStyle name="_TableRowBorder" xfId="338" xr:uid="{00000000-0005-0000-0000-00004E010000}"/>
    <cellStyle name="_TableRowHead" xfId="339" xr:uid="{00000000-0005-0000-0000-00004F010000}"/>
    <cellStyle name="_TableRowHeading" xfId="340" xr:uid="{00000000-0005-0000-0000-000050010000}"/>
    <cellStyle name="_TableSuperHead" xfId="341" xr:uid="{00000000-0005-0000-0000-000051010000}"/>
    <cellStyle name="_TableSuperHeading" xfId="342" xr:uid="{00000000-0005-0000-0000-000052010000}"/>
    <cellStyle name="_TableText" xfId="343" xr:uid="{00000000-0005-0000-0000-000053010000}"/>
    <cellStyle name="_Targeted Sales" xfId="344" xr:uid="{00000000-0005-0000-0000-000054010000}"/>
    <cellStyle name="_Tool Kits Details" xfId="345" xr:uid="{00000000-0005-0000-0000-000055010000}"/>
    <cellStyle name="_Unicorn Budget-2009 22.12" xfId="346" xr:uid="{00000000-0005-0000-0000-000056010000}"/>
    <cellStyle name="_Unicorn Budget-2009 22.12 2" xfId="347" xr:uid="{00000000-0005-0000-0000-000057010000}"/>
    <cellStyle name="_Unicorn Budget-2009 22.12 3" xfId="348" xr:uid="{00000000-0005-0000-0000-000058010000}"/>
    <cellStyle name="_Unicorn Budget-2009 22.12_R&amp;D and Nutrisun Argentina" xfId="349" xr:uid="{00000000-0005-0000-0000-000059010000}"/>
    <cellStyle name="_Unicorn Budget-2009 22.12_R&amp;D and Nutrisun Argentina 2" xfId="350" xr:uid="{00000000-0005-0000-0000-00005A010000}"/>
    <cellStyle name="_Year end estimate 2009 with tax working" xfId="351" xr:uid="{00000000-0005-0000-0000-00005B010000}"/>
    <cellStyle name="_Year End outlook-AIL+GS-22 Jan 09" xfId="352" xr:uid="{00000000-0005-0000-0000-00005C010000}"/>
    <cellStyle name="_Year End outlook-AIL+GS-22 Jan 09 2" xfId="353" xr:uid="{00000000-0005-0000-0000-00005D010000}"/>
    <cellStyle name="_Year End outlook-AIL+GS-22 Jan 09_Advanta Consolidation Sep 2011" xfId="354" xr:uid="{00000000-0005-0000-0000-00005E010000}"/>
    <cellStyle name="_Year End outlook-AIL+GS-22 Jan 09_Advanta Consolidation Sep 2011 2" xfId="355" xr:uid="{00000000-0005-0000-0000-00005F010000}"/>
    <cellStyle name="_Year End outlook-AIL+GS-22 Jan 09_Advanta Consolidation Sep 2011_AIL Consolidated Financials - Dec 2012 31.01.2013(Format)" xfId="356" xr:uid="{00000000-0005-0000-0000-000060010000}"/>
    <cellStyle name="_Year End outlook-AIL+GS-22 Jan 09_Advanta Consolidation Sep 2011_AIL Consolidated Financials - Dec 2012 31.01.2013(Format) 2" xfId="357" xr:uid="{00000000-0005-0000-0000-000061010000}"/>
    <cellStyle name="_Year End outlook-AIL+GS-22 Jan 09_Advanta Consolidation Sep 2011_AIL_Consolidated_Financials_-_Dec_2012_Cash Flow Statement" xfId="358" xr:uid="{00000000-0005-0000-0000-000062010000}"/>
    <cellStyle name="_Year End outlook-AIL+GS-22 Jan 09_Advanta Financials Dec 11-22 Feb 12" xfId="359" xr:uid="{00000000-0005-0000-0000-000063010000}"/>
    <cellStyle name="_Year End outlook-AIL+GS-22 Jan 09_Advanta Financials Dec 11-22 Feb 12 2" xfId="360" xr:uid="{00000000-0005-0000-0000-000064010000}"/>
    <cellStyle name="_Year End outlook-AIL+GS-22 Jan 09_Advanta Financials Dec 11-22 Feb 12_AIL Consolidated Financials - Dec 2012 31.01.2013(Format)" xfId="361" xr:uid="{00000000-0005-0000-0000-000065010000}"/>
    <cellStyle name="_Year End outlook-AIL+GS-22 Jan 09_Advanta Financials Dec 11-22 Feb 12_AIL Consolidated Financials - Dec 2012 31.01.2013(Format) 2" xfId="362" xr:uid="{00000000-0005-0000-0000-000066010000}"/>
    <cellStyle name="_Year End outlook-AIL+GS-22 Jan 09_Advanta Financials Dec 11-22 Feb 12_AIL_Consolidated_Financials_-_Dec_2012_Cash Flow Statement" xfId="363" xr:uid="{00000000-0005-0000-0000-000067010000}"/>
    <cellStyle name="_Year End outlook-AIL+GS-22 Jan 09_ASAR Forex Calculation (May &amp; June)" xfId="364" xr:uid="{00000000-0005-0000-0000-000068010000}"/>
    <cellStyle name="_Year End outlook-AIL+GS-22 Jan 09_Publication_Consolidated" xfId="365" xr:uid="{00000000-0005-0000-0000-000069010000}"/>
    <cellStyle name="_Year End outlook-AIL+GS-22 Jan 09_Publication_Consolidated 2" xfId="366" xr:uid="{00000000-0005-0000-0000-00006A010000}"/>
    <cellStyle name="_Year End outlook-AIL+GS-22 Jan 09_Publication_Consolidated_AIL Consolidated Financials - Dec 2012 31.01.2013(Format)" xfId="367" xr:uid="{00000000-0005-0000-0000-00006B010000}"/>
    <cellStyle name="_Year End outlook-AIL+GS-22 Jan 09_Publication_Consolidated_AIL Consolidated Financials - Dec 2012 31.01.2013(Format) 2" xfId="368" xr:uid="{00000000-0005-0000-0000-00006C010000}"/>
    <cellStyle name="_Year End outlook-AIL+GS-22 Jan 09_Publication_Consolidated_AIL_Consolidated_Financials_-_Dec_2012_Cash Flow Statement" xfId="369" xr:uid="{00000000-0005-0000-0000-00006D010000}"/>
    <cellStyle name="_Year out look Workings" xfId="370" xr:uid="{00000000-0005-0000-0000-00006E010000}"/>
    <cellStyle name="_YES Bank deails - BG Details - Uday" xfId="371" xr:uid="{00000000-0005-0000-0000-00006F010000}"/>
    <cellStyle name="=C:\WINNT\SYSTEM32\COMMAND.COM" xfId="372" xr:uid="{00000000-0005-0000-0000-000070010000}"/>
    <cellStyle name="=C:\WINNT35\SYSTEM32\COMMAND.COM" xfId="373" xr:uid="{00000000-0005-0000-0000-000071010000}"/>
    <cellStyle name="=NOW()" xfId="374" xr:uid="{00000000-0005-0000-0000-000072010000}"/>
    <cellStyle name="¬µrka" xfId="375" xr:uid="{00000000-0005-0000-0000-000073010000}"/>
    <cellStyle name="0,0_x000d__x000a_NA_x000d__x000a_" xfId="376" xr:uid="{00000000-0005-0000-0000-000074010000}"/>
    <cellStyle name="0,0_x000d__x000a_NA_x000d__x000a_ 2" xfId="377" xr:uid="{00000000-0005-0000-0000-000075010000}"/>
    <cellStyle name="0,0_x000d__x000a_NA_x000d__x000a_ 2 2" xfId="378" xr:uid="{00000000-0005-0000-0000-000076010000}"/>
    <cellStyle name="0,0_x000d__x000a_NA_x000d__x000a_ 2 3" xfId="379" xr:uid="{00000000-0005-0000-0000-000077010000}"/>
    <cellStyle name="0,0_x000d__x000a_NA_x000d__x000a_ 2 3 2" xfId="380" xr:uid="{00000000-0005-0000-0000-000078010000}"/>
    <cellStyle name="0,0_x000d__x000a_NA_x000d__x000a_ 2 4" xfId="381" xr:uid="{00000000-0005-0000-0000-000079010000}"/>
    <cellStyle name="0,0_x000d__x000a_NA_x000d__x000a_ 3" xfId="382" xr:uid="{00000000-0005-0000-0000-00007A010000}"/>
    <cellStyle name="0,0_x000d__x000a_NA_x000d__x000a_ 3 2" xfId="383" xr:uid="{00000000-0005-0000-0000-00007B010000}"/>
    <cellStyle name="0,0_x000d__x000a_NA_x000d__x000a_ 4" xfId="384" xr:uid="{00000000-0005-0000-0000-00007C010000}"/>
    <cellStyle name="0,0_x000d__x000a_NA_x000d__x000a_ 5" xfId="385" xr:uid="{00000000-0005-0000-0000-00007D010000}"/>
    <cellStyle name="0,0_x000d__x000a_NA_x000d__x000a_ 6" xfId="386" xr:uid="{00000000-0005-0000-0000-00007E010000}"/>
    <cellStyle name="0,0_x000d__x000a_NA_x000d__x000a__FA Schedule" xfId="387" xr:uid="{00000000-0005-0000-0000-00007F010000}"/>
    <cellStyle name="0dp" xfId="388" xr:uid="{00000000-0005-0000-0000-000080010000}"/>
    <cellStyle name="1 000 K?_0f83zm4yytAvDZPSbNxjaUl2F" xfId="389" xr:uid="{00000000-0005-0000-0000-000081010000}"/>
    <cellStyle name="1 000 Kc_CTD" xfId="390" xr:uid="{00000000-0005-0000-0000-000082010000}"/>
    <cellStyle name="130299" xfId="391" xr:uid="{00000000-0005-0000-0000-000083010000}"/>
    <cellStyle name="14" xfId="392" xr:uid="{00000000-0005-0000-0000-000084010000}"/>
    <cellStyle name="1dp" xfId="393" xr:uid="{00000000-0005-0000-0000-000085010000}"/>
    <cellStyle name="20% - Accent1 2" xfId="394" xr:uid="{00000000-0005-0000-0000-000086010000}"/>
    <cellStyle name="20% - Accent1 2 2" xfId="395" xr:uid="{00000000-0005-0000-0000-000087010000}"/>
    <cellStyle name="20% - Accent1 2 2 2" xfId="396" xr:uid="{00000000-0005-0000-0000-000088010000}"/>
    <cellStyle name="20% - Accent1 2 3" xfId="397" xr:uid="{00000000-0005-0000-0000-000089010000}"/>
    <cellStyle name="20% - Accent1 2 3 2" xfId="398" xr:uid="{00000000-0005-0000-0000-00008A010000}"/>
    <cellStyle name="20% - Accent1 3" xfId="399" xr:uid="{00000000-0005-0000-0000-00008B010000}"/>
    <cellStyle name="20% - Accent1 3 2" xfId="400" xr:uid="{00000000-0005-0000-0000-00008C010000}"/>
    <cellStyle name="20% - Accent1 3 2 2" xfId="401" xr:uid="{00000000-0005-0000-0000-00008D010000}"/>
    <cellStyle name="20% - Accent1 3 3" xfId="402" xr:uid="{00000000-0005-0000-0000-00008E010000}"/>
    <cellStyle name="20% - Accent1 3 3 2" xfId="403" xr:uid="{00000000-0005-0000-0000-00008F010000}"/>
    <cellStyle name="20% - Accent1 4" xfId="404" xr:uid="{00000000-0005-0000-0000-000090010000}"/>
    <cellStyle name="20% - Accent2 2" xfId="405" xr:uid="{00000000-0005-0000-0000-000091010000}"/>
    <cellStyle name="20% - Accent2 2 2" xfId="406" xr:uid="{00000000-0005-0000-0000-000092010000}"/>
    <cellStyle name="20% - Accent2 2 2 2" xfId="407" xr:uid="{00000000-0005-0000-0000-000093010000}"/>
    <cellStyle name="20% - Accent2 2 3" xfId="408" xr:uid="{00000000-0005-0000-0000-000094010000}"/>
    <cellStyle name="20% - Accent2 2 3 2" xfId="409" xr:uid="{00000000-0005-0000-0000-000095010000}"/>
    <cellStyle name="20% - Accent2 3" xfId="410" xr:uid="{00000000-0005-0000-0000-000096010000}"/>
    <cellStyle name="20% - Accent2 3 2" xfId="411" xr:uid="{00000000-0005-0000-0000-000097010000}"/>
    <cellStyle name="20% - Accent2 3 2 2" xfId="412" xr:uid="{00000000-0005-0000-0000-000098010000}"/>
    <cellStyle name="20% - Accent2 3 3" xfId="413" xr:uid="{00000000-0005-0000-0000-000099010000}"/>
    <cellStyle name="20% - Accent2 3 3 2" xfId="414" xr:uid="{00000000-0005-0000-0000-00009A010000}"/>
    <cellStyle name="20% - Accent2 4" xfId="415" xr:uid="{00000000-0005-0000-0000-00009B010000}"/>
    <cellStyle name="20% - Accent3 2" xfId="416" xr:uid="{00000000-0005-0000-0000-00009C010000}"/>
    <cellStyle name="20% - Accent3 2 2" xfId="417" xr:uid="{00000000-0005-0000-0000-00009D010000}"/>
    <cellStyle name="20% - Accent3 2 2 2" xfId="418" xr:uid="{00000000-0005-0000-0000-00009E010000}"/>
    <cellStyle name="20% - Accent3 2 3" xfId="419" xr:uid="{00000000-0005-0000-0000-00009F010000}"/>
    <cellStyle name="20% - Accent3 2 3 2" xfId="420" xr:uid="{00000000-0005-0000-0000-0000A0010000}"/>
    <cellStyle name="20% - Accent3 3" xfId="421" xr:uid="{00000000-0005-0000-0000-0000A1010000}"/>
    <cellStyle name="20% - Accent3 3 2" xfId="422" xr:uid="{00000000-0005-0000-0000-0000A2010000}"/>
    <cellStyle name="20% - Accent3 3 2 2" xfId="423" xr:uid="{00000000-0005-0000-0000-0000A3010000}"/>
    <cellStyle name="20% - Accent3 3 3" xfId="424" xr:uid="{00000000-0005-0000-0000-0000A4010000}"/>
    <cellStyle name="20% - Accent3 3 3 2" xfId="425" xr:uid="{00000000-0005-0000-0000-0000A5010000}"/>
    <cellStyle name="20% - Accent3 4" xfId="426" xr:uid="{00000000-0005-0000-0000-0000A6010000}"/>
    <cellStyle name="20% - Accent4 2" xfId="427" xr:uid="{00000000-0005-0000-0000-0000A7010000}"/>
    <cellStyle name="20% - Accent4 2 2" xfId="428" xr:uid="{00000000-0005-0000-0000-0000A8010000}"/>
    <cellStyle name="20% - Accent4 2 2 2" xfId="429" xr:uid="{00000000-0005-0000-0000-0000A9010000}"/>
    <cellStyle name="20% - Accent4 2 3" xfId="430" xr:uid="{00000000-0005-0000-0000-0000AA010000}"/>
    <cellStyle name="20% - Accent4 2 3 2" xfId="431" xr:uid="{00000000-0005-0000-0000-0000AB010000}"/>
    <cellStyle name="20% - Accent4 3" xfId="432" xr:uid="{00000000-0005-0000-0000-0000AC010000}"/>
    <cellStyle name="20% - Accent4 3 2" xfId="433" xr:uid="{00000000-0005-0000-0000-0000AD010000}"/>
    <cellStyle name="20% - Accent4 3 2 2" xfId="434" xr:uid="{00000000-0005-0000-0000-0000AE010000}"/>
    <cellStyle name="20% - Accent4 3 3" xfId="435" xr:uid="{00000000-0005-0000-0000-0000AF010000}"/>
    <cellStyle name="20% - Accent4 3 3 2" xfId="436" xr:uid="{00000000-0005-0000-0000-0000B0010000}"/>
    <cellStyle name="20% - Accent4 4" xfId="437" xr:uid="{00000000-0005-0000-0000-0000B1010000}"/>
    <cellStyle name="20% - Accent5 2" xfId="438" xr:uid="{00000000-0005-0000-0000-0000B2010000}"/>
    <cellStyle name="20% - Accent5 2 2" xfId="439" xr:uid="{00000000-0005-0000-0000-0000B3010000}"/>
    <cellStyle name="20% - Accent5 2 3" xfId="440" xr:uid="{00000000-0005-0000-0000-0000B4010000}"/>
    <cellStyle name="20% - Accent5 3" xfId="441" xr:uid="{00000000-0005-0000-0000-0000B5010000}"/>
    <cellStyle name="20% - Accent5 3 2" xfId="442" xr:uid="{00000000-0005-0000-0000-0000B6010000}"/>
    <cellStyle name="20% - Accent5 3 3" xfId="443" xr:uid="{00000000-0005-0000-0000-0000B7010000}"/>
    <cellStyle name="20% - Accent5 4" xfId="444" xr:uid="{00000000-0005-0000-0000-0000B8010000}"/>
    <cellStyle name="20% - Accent6 2" xfId="445" xr:uid="{00000000-0005-0000-0000-0000B9010000}"/>
    <cellStyle name="20% - Accent6 2 2" xfId="446" xr:uid="{00000000-0005-0000-0000-0000BA010000}"/>
    <cellStyle name="20% - Accent6 2 3" xfId="447" xr:uid="{00000000-0005-0000-0000-0000BB010000}"/>
    <cellStyle name="20% - Accent6 3" xfId="448" xr:uid="{00000000-0005-0000-0000-0000BC010000}"/>
    <cellStyle name="20% - Accent6 3 2" xfId="449" xr:uid="{00000000-0005-0000-0000-0000BD010000}"/>
    <cellStyle name="20% - Accent6 3 3" xfId="450" xr:uid="{00000000-0005-0000-0000-0000BE010000}"/>
    <cellStyle name="20% - Accent6 4" xfId="451" xr:uid="{00000000-0005-0000-0000-0000BF010000}"/>
    <cellStyle name="20% - Énfasis1" xfId="452" xr:uid="{00000000-0005-0000-0000-0000C0010000}"/>
    <cellStyle name="20% - Énfasis1 2" xfId="453" xr:uid="{00000000-0005-0000-0000-0000C1010000}"/>
    <cellStyle name="20% - Énfasis1 3" xfId="454" xr:uid="{00000000-0005-0000-0000-0000C2010000}"/>
    <cellStyle name="20% - Énfasis2" xfId="455" xr:uid="{00000000-0005-0000-0000-0000C3010000}"/>
    <cellStyle name="20% - Énfasis2 2" xfId="456" xr:uid="{00000000-0005-0000-0000-0000C4010000}"/>
    <cellStyle name="20% - Énfasis2 3" xfId="457" xr:uid="{00000000-0005-0000-0000-0000C5010000}"/>
    <cellStyle name="20% - Énfasis3" xfId="458" xr:uid="{00000000-0005-0000-0000-0000C6010000}"/>
    <cellStyle name="20% - Énfasis3 2" xfId="459" xr:uid="{00000000-0005-0000-0000-0000C7010000}"/>
    <cellStyle name="20% - Énfasis3 3" xfId="460" xr:uid="{00000000-0005-0000-0000-0000C8010000}"/>
    <cellStyle name="20% - Énfasis4" xfId="461" xr:uid="{00000000-0005-0000-0000-0000C9010000}"/>
    <cellStyle name="20% - Énfasis4 2" xfId="462" xr:uid="{00000000-0005-0000-0000-0000CA010000}"/>
    <cellStyle name="20% - Énfasis4 3" xfId="463" xr:uid="{00000000-0005-0000-0000-0000CB010000}"/>
    <cellStyle name="20% - Énfasis5" xfId="464" xr:uid="{00000000-0005-0000-0000-0000CC010000}"/>
    <cellStyle name="20% - Énfasis5 2" xfId="465" xr:uid="{00000000-0005-0000-0000-0000CD010000}"/>
    <cellStyle name="20% - Énfasis5 3" xfId="466" xr:uid="{00000000-0005-0000-0000-0000CE010000}"/>
    <cellStyle name="20% - Énfasis6" xfId="467" xr:uid="{00000000-0005-0000-0000-0000CF010000}"/>
    <cellStyle name="20% - Énfasis6 2" xfId="468" xr:uid="{00000000-0005-0000-0000-0000D0010000}"/>
    <cellStyle name="20% - Énfasis6 3" xfId="469" xr:uid="{00000000-0005-0000-0000-0000D1010000}"/>
    <cellStyle name="2dp" xfId="470" xr:uid="{00000000-0005-0000-0000-0000D2010000}"/>
    <cellStyle name="40% - Accent1 2" xfId="471" xr:uid="{00000000-0005-0000-0000-0000D3010000}"/>
    <cellStyle name="40% - Accent1 2 2" xfId="472" xr:uid="{00000000-0005-0000-0000-0000D4010000}"/>
    <cellStyle name="40% - Accent1 2 3" xfId="473" xr:uid="{00000000-0005-0000-0000-0000D5010000}"/>
    <cellStyle name="40% - Accent1 3" xfId="474" xr:uid="{00000000-0005-0000-0000-0000D6010000}"/>
    <cellStyle name="40% - Accent1 3 2" xfId="475" xr:uid="{00000000-0005-0000-0000-0000D7010000}"/>
    <cellStyle name="40% - Accent1 3 3" xfId="476" xr:uid="{00000000-0005-0000-0000-0000D8010000}"/>
    <cellStyle name="40% - Accent1 4" xfId="477" xr:uid="{00000000-0005-0000-0000-0000D9010000}"/>
    <cellStyle name="40% - Accent2 2" xfId="478" xr:uid="{00000000-0005-0000-0000-0000DA010000}"/>
    <cellStyle name="40% - Accent2 2 2" xfId="479" xr:uid="{00000000-0005-0000-0000-0000DB010000}"/>
    <cellStyle name="40% - Accent2 2 3" xfId="480" xr:uid="{00000000-0005-0000-0000-0000DC010000}"/>
    <cellStyle name="40% - Accent2 3" xfId="481" xr:uid="{00000000-0005-0000-0000-0000DD010000}"/>
    <cellStyle name="40% - Accent2 3 2" xfId="482" xr:uid="{00000000-0005-0000-0000-0000DE010000}"/>
    <cellStyle name="40% - Accent2 3 3" xfId="483" xr:uid="{00000000-0005-0000-0000-0000DF010000}"/>
    <cellStyle name="40% - Accent2 4" xfId="484" xr:uid="{00000000-0005-0000-0000-0000E0010000}"/>
    <cellStyle name="40% - Accent3 2" xfId="485" xr:uid="{00000000-0005-0000-0000-0000E1010000}"/>
    <cellStyle name="40% - Accent3 2 2" xfId="486" xr:uid="{00000000-0005-0000-0000-0000E2010000}"/>
    <cellStyle name="40% - Accent3 2 2 2" xfId="487" xr:uid="{00000000-0005-0000-0000-0000E3010000}"/>
    <cellStyle name="40% - Accent3 2 3" xfId="488" xr:uid="{00000000-0005-0000-0000-0000E4010000}"/>
    <cellStyle name="40% - Accent3 2 3 2" xfId="489" xr:uid="{00000000-0005-0000-0000-0000E5010000}"/>
    <cellStyle name="40% - Accent3 3" xfId="490" xr:uid="{00000000-0005-0000-0000-0000E6010000}"/>
    <cellStyle name="40% - Accent3 3 2" xfId="491" xr:uid="{00000000-0005-0000-0000-0000E7010000}"/>
    <cellStyle name="40% - Accent3 3 2 2" xfId="492" xr:uid="{00000000-0005-0000-0000-0000E8010000}"/>
    <cellStyle name="40% - Accent3 3 3" xfId="493" xr:uid="{00000000-0005-0000-0000-0000E9010000}"/>
    <cellStyle name="40% - Accent3 3 3 2" xfId="494" xr:uid="{00000000-0005-0000-0000-0000EA010000}"/>
    <cellStyle name="40% - Accent3 4" xfId="495" xr:uid="{00000000-0005-0000-0000-0000EB010000}"/>
    <cellStyle name="40% - Accent4 2" xfId="496" xr:uid="{00000000-0005-0000-0000-0000EC010000}"/>
    <cellStyle name="40% - Accent4 2 2" xfId="497" xr:uid="{00000000-0005-0000-0000-0000ED010000}"/>
    <cellStyle name="40% - Accent4 2 3" xfId="498" xr:uid="{00000000-0005-0000-0000-0000EE010000}"/>
    <cellStyle name="40% - Accent4 3" xfId="499" xr:uid="{00000000-0005-0000-0000-0000EF010000}"/>
    <cellStyle name="40% - Accent4 3 2" xfId="500" xr:uid="{00000000-0005-0000-0000-0000F0010000}"/>
    <cellStyle name="40% - Accent4 3 3" xfId="501" xr:uid="{00000000-0005-0000-0000-0000F1010000}"/>
    <cellStyle name="40% - Accent4 4" xfId="502" xr:uid="{00000000-0005-0000-0000-0000F2010000}"/>
    <cellStyle name="40% - Accent5 2" xfId="503" xr:uid="{00000000-0005-0000-0000-0000F3010000}"/>
    <cellStyle name="40% - Accent5 2 2" xfId="504" xr:uid="{00000000-0005-0000-0000-0000F4010000}"/>
    <cellStyle name="40% - Accent5 2 3" xfId="505" xr:uid="{00000000-0005-0000-0000-0000F5010000}"/>
    <cellStyle name="40% - Accent5 3" xfId="506" xr:uid="{00000000-0005-0000-0000-0000F6010000}"/>
    <cellStyle name="40% - Accent5 3 2" xfId="507" xr:uid="{00000000-0005-0000-0000-0000F7010000}"/>
    <cellStyle name="40% - Accent5 3 3" xfId="508" xr:uid="{00000000-0005-0000-0000-0000F8010000}"/>
    <cellStyle name="40% - Accent5 4" xfId="509" xr:uid="{00000000-0005-0000-0000-0000F9010000}"/>
    <cellStyle name="40% - Accent6 2" xfId="510" xr:uid="{00000000-0005-0000-0000-0000FA010000}"/>
    <cellStyle name="40% - Accent6 2 2" xfId="511" xr:uid="{00000000-0005-0000-0000-0000FB010000}"/>
    <cellStyle name="40% - Accent6 2 3" xfId="512" xr:uid="{00000000-0005-0000-0000-0000FC010000}"/>
    <cellStyle name="40% - Accent6 3" xfId="513" xr:uid="{00000000-0005-0000-0000-0000FD010000}"/>
    <cellStyle name="40% - Accent6 3 2" xfId="514" xr:uid="{00000000-0005-0000-0000-0000FE010000}"/>
    <cellStyle name="40% - Accent6 3 3" xfId="515" xr:uid="{00000000-0005-0000-0000-0000FF010000}"/>
    <cellStyle name="40% - Accent6 4" xfId="516" xr:uid="{00000000-0005-0000-0000-000000020000}"/>
    <cellStyle name="40% - Énfasis1" xfId="517" xr:uid="{00000000-0005-0000-0000-000001020000}"/>
    <cellStyle name="40% - Énfasis1 2" xfId="518" xr:uid="{00000000-0005-0000-0000-000002020000}"/>
    <cellStyle name="40% - Énfasis1 3" xfId="519" xr:uid="{00000000-0005-0000-0000-000003020000}"/>
    <cellStyle name="40% - Énfasis2" xfId="520" xr:uid="{00000000-0005-0000-0000-000004020000}"/>
    <cellStyle name="40% - Énfasis2 2" xfId="521" xr:uid="{00000000-0005-0000-0000-000005020000}"/>
    <cellStyle name="40% - Énfasis2 3" xfId="522" xr:uid="{00000000-0005-0000-0000-000006020000}"/>
    <cellStyle name="40% - Énfasis3" xfId="523" xr:uid="{00000000-0005-0000-0000-000007020000}"/>
    <cellStyle name="40% - Énfasis3 2" xfId="524" xr:uid="{00000000-0005-0000-0000-000008020000}"/>
    <cellStyle name="40% - Énfasis3 3" xfId="525" xr:uid="{00000000-0005-0000-0000-000009020000}"/>
    <cellStyle name="40% - Énfasis4" xfId="526" xr:uid="{00000000-0005-0000-0000-00000A020000}"/>
    <cellStyle name="40% - Énfasis4 2" xfId="527" xr:uid="{00000000-0005-0000-0000-00000B020000}"/>
    <cellStyle name="40% - Énfasis4 3" xfId="528" xr:uid="{00000000-0005-0000-0000-00000C020000}"/>
    <cellStyle name="40% - Énfasis5" xfId="529" xr:uid="{00000000-0005-0000-0000-00000D020000}"/>
    <cellStyle name="40% - Énfasis5 2" xfId="530" xr:uid="{00000000-0005-0000-0000-00000E020000}"/>
    <cellStyle name="40% - Énfasis5 3" xfId="531" xr:uid="{00000000-0005-0000-0000-00000F020000}"/>
    <cellStyle name="40% - Énfasis6" xfId="532" xr:uid="{00000000-0005-0000-0000-000010020000}"/>
    <cellStyle name="40% - Énfasis6 2" xfId="533" xr:uid="{00000000-0005-0000-0000-000011020000}"/>
    <cellStyle name="40% - Énfasis6 3" xfId="534" xr:uid="{00000000-0005-0000-0000-000012020000}"/>
    <cellStyle name="60% - Accent1 2" xfId="535" xr:uid="{00000000-0005-0000-0000-000013020000}"/>
    <cellStyle name="60% - Accent1 2 2" xfId="536" xr:uid="{00000000-0005-0000-0000-000014020000}"/>
    <cellStyle name="60% - Accent1 2 3" xfId="537" xr:uid="{00000000-0005-0000-0000-000015020000}"/>
    <cellStyle name="60% - Accent1 3" xfId="538" xr:uid="{00000000-0005-0000-0000-000016020000}"/>
    <cellStyle name="60% - Accent1 3 2" xfId="539" xr:uid="{00000000-0005-0000-0000-000017020000}"/>
    <cellStyle name="60% - Accent1 3 3" xfId="540" xr:uid="{00000000-0005-0000-0000-000018020000}"/>
    <cellStyle name="60% - Accent1 4" xfId="541" xr:uid="{00000000-0005-0000-0000-000019020000}"/>
    <cellStyle name="60% - Accent2 2" xfId="542" xr:uid="{00000000-0005-0000-0000-00001A020000}"/>
    <cellStyle name="60% - Accent2 2 2" xfId="543" xr:uid="{00000000-0005-0000-0000-00001B020000}"/>
    <cellStyle name="60% - Accent2 2 3" xfId="544" xr:uid="{00000000-0005-0000-0000-00001C020000}"/>
    <cellStyle name="60% - Accent2 3" xfId="545" xr:uid="{00000000-0005-0000-0000-00001D020000}"/>
    <cellStyle name="60% - Accent2 3 2" xfId="546" xr:uid="{00000000-0005-0000-0000-00001E020000}"/>
    <cellStyle name="60% - Accent2 3 3" xfId="547" xr:uid="{00000000-0005-0000-0000-00001F020000}"/>
    <cellStyle name="60% - Accent2 4" xfId="548" xr:uid="{00000000-0005-0000-0000-000020020000}"/>
    <cellStyle name="60% - Accent3 2" xfId="549" xr:uid="{00000000-0005-0000-0000-000021020000}"/>
    <cellStyle name="60% - Accent3 2 2" xfId="550" xr:uid="{00000000-0005-0000-0000-000022020000}"/>
    <cellStyle name="60% - Accent3 2 2 2" xfId="551" xr:uid="{00000000-0005-0000-0000-000023020000}"/>
    <cellStyle name="60% - Accent3 2 3" xfId="552" xr:uid="{00000000-0005-0000-0000-000024020000}"/>
    <cellStyle name="60% - Accent3 2 3 2" xfId="553" xr:uid="{00000000-0005-0000-0000-000025020000}"/>
    <cellStyle name="60% - Accent3 3" xfId="554" xr:uid="{00000000-0005-0000-0000-000026020000}"/>
    <cellStyle name="60% - Accent3 3 2" xfId="555" xr:uid="{00000000-0005-0000-0000-000027020000}"/>
    <cellStyle name="60% - Accent3 3 2 2" xfId="556" xr:uid="{00000000-0005-0000-0000-000028020000}"/>
    <cellStyle name="60% - Accent3 3 3" xfId="557" xr:uid="{00000000-0005-0000-0000-000029020000}"/>
    <cellStyle name="60% - Accent3 3 3 2" xfId="558" xr:uid="{00000000-0005-0000-0000-00002A020000}"/>
    <cellStyle name="60% - Accent3 4" xfId="559" xr:uid="{00000000-0005-0000-0000-00002B020000}"/>
    <cellStyle name="60% - Accent4 2" xfId="560" xr:uid="{00000000-0005-0000-0000-00002C020000}"/>
    <cellStyle name="60% - Accent4 2 2" xfId="561" xr:uid="{00000000-0005-0000-0000-00002D020000}"/>
    <cellStyle name="60% - Accent4 2 2 2" xfId="562" xr:uid="{00000000-0005-0000-0000-00002E020000}"/>
    <cellStyle name="60% - Accent4 2 3" xfId="563" xr:uid="{00000000-0005-0000-0000-00002F020000}"/>
    <cellStyle name="60% - Accent4 2 3 2" xfId="564" xr:uid="{00000000-0005-0000-0000-000030020000}"/>
    <cellStyle name="60% - Accent4 3" xfId="565" xr:uid="{00000000-0005-0000-0000-000031020000}"/>
    <cellStyle name="60% - Accent4 3 2" xfId="566" xr:uid="{00000000-0005-0000-0000-000032020000}"/>
    <cellStyle name="60% - Accent4 3 2 2" xfId="567" xr:uid="{00000000-0005-0000-0000-000033020000}"/>
    <cellStyle name="60% - Accent4 3 3" xfId="568" xr:uid="{00000000-0005-0000-0000-000034020000}"/>
    <cellStyle name="60% - Accent4 3 3 2" xfId="569" xr:uid="{00000000-0005-0000-0000-000035020000}"/>
    <cellStyle name="60% - Accent4 4" xfId="570" xr:uid="{00000000-0005-0000-0000-000036020000}"/>
    <cellStyle name="60% - Accent5 2" xfId="571" xr:uid="{00000000-0005-0000-0000-000037020000}"/>
    <cellStyle name="60% - Accent5 2 2" xfId="572" xr:uid="{00000000-0005-0000-0000-000038020000}"/>
    <cellStyle name="60% - Accent5 2 3" xfId="573" xr:uid="{00000000-0005-0000-0000-000039020000}"/>
    <cellStyle name="60% - Accent5 3" xfId="574" xr:uid="{00000000-0005-0000-0000-00003A020000}"/>
    <cellStyle name="60% - Accent5 3 2" xfId="575" xr:uid="{00000000-0005-0000-0000-00003B020000}"/>
    <cellStyle name="60% - Accent5 3 3" xfId="576" xr:uid="{00000000-0005-0000-0000-00003C020000}"/>
    <cellStyle name="60% - Accent5 4" xfId="577" xr:uid="{00000000-0005-0000-0000-00003D020000}"/>
    <cellStyle name="60% - Accent6 2" xfId="578" xr:uid="{00000000-0005-0000-0000-00003E020000}"/>
    <cellStyle name="60% - Accent6 2 2" xfId="579" xr:uid="{00000000-0005-0000-0000-00003F020000}"/>
    <cellStyle name="60% - Accent6 2 2 2" xfId="580" xr:uid="{00000000-0005-0000-0000-000040020000}"/>
    <cellStyle name="60% - Accent6 2 3" xfId="581" xr:uid="{00000000-0005-0000-0000-000041020000}"/>
    <cellStyle name="60% - Accent6 2 3 2" xfId="582" xr:uid="{00000000-0005-0000-0000-000042020000}"/>
    <cellStyle name="60% - Accent6 3" xfId="583" xr:uid="{00000000-0005-0000-0000-000043020000}"/>
    <cellStyle name="60% - Accent6 3 2" xfId="584" xr:uid="{00000000-0005-0000-0000-000044020000}"/>
    <cellStyle name="60% - Accent6 3 2 2" xfId="585" xr:uid="{00000000-0005-0000-0000-000045020000}"/>
    <cellStyle name="60% - Accent6 3 3" xfId="586" xr:uid="{00000000-0005-0000-0000-000046020000}"/>
    <cellStyle name="60% - Accent6 3 3 2" xfId="587" xr:uid="{00000000-0005-0000-0000-000047020000}"/>
    <cellStyle name="60% - Accent6 4" xfId="588" xr:uid="{00000000-0005-0000-0000-000048020000}"/>
    <cellStyle name="60% - Énfasis1" xfId="589" xr:uid="{00000000-0005-0000-0000-000049020000}"/>
    <cellStyle name="60% - Énfasis1 2" xfId="590" xr:uid="{00000000-0005-0000-0000-00004A020000}"/>
    <cellStyle name="60% - Énfasis1 3" xfId="591" xr:uid="{00000000-0005-0000-0000-00004B020000}"/>
    <cellStyle name="60% - Énfasis2" xfId="592" xr:uid="{00000000-0005-0000-0000-00004C020000}"/>
    <cellStyle name="60% - Énfasis2 2" xfId="593" xr:uid="{00000000-0005-0000-0000-00004D020000}"/>
    <cellStyle name="60% - Énfasis2 3" xfId="594" xr:uid="{00000000-0005-0000-0000-00004E020000}"/>
    <cellStyle name="60% - Énfasis3" xfId="595" xr:uid="{00000000-0005-0000-0000-00004F020000}"/>
    <cellStyle name="60% - Énfasis3 2" xfId="596" xr:uid="{00000000-0005-0000-0000-000050020000}"/>
    <cellStyle name="60% - Énfasis3 3" xfId="597" xr:uid="{00000000-0005-0000-0000-000051020000}"/>
    <cellStyle name="60% - Énfasis4" xfId="598" xr:uid="{00000000-0005-0000-0000-000052020000}"/>
    <cellStyle name="60% - Énfasis4 2" xfId="599" xr:uid="{00000000-0005-0000-0000-000053020000}"/>
    <cellStyle name="60% - Énfasis4 3" xfId="600" xr:uid="{00000000-0005-0000-0000-000054020000}"/>
    <cellStyle name="60% - Énfasis5" xfId="601" xr:uid="{00000000-0005-0000-0000-000055020000}"/>
    <cellStyle name="60% - Énfasis5 2" xfId="602" xr:uid="{00000000-0005-0000-0000-000056020000}"/>
    <cellStyle name="60% - Énfasis5 3" xfId="603" xr:uid="{00000000-0005-0000-0000-000057020000}"/>
    <cellStyle name="60% - Énfasis6" xfId="604" xr:uid="{00000000-0005-0000-0000-000058020000}"/>
    <cellStyle name="60% - Énfasis6 2" xfId="605" xr:uid="{00000000-0005-0000-0000-000059020000}"/>
    <cellStyle name="60% - Énfasis6 3" xfId="606" xr:uid="{00000000-0005-0000-0000-00005A020000}"/>
    <cellStyle name="Accent1 2" xfId="607" xr:uid="{00000000-0005-0000-0000-00005B020000}"/>
    <cellStyle name="Accent1 2 2" xfId="608" xr:uid="{00000000-0005-0000-0000-00005C020000}"/>
    <cellStyle name="Accent1 2 3" xfId="609" xr:uid="{00000000-0005-0000-0000-00005D020000}"/>
    <cellStyle name="Accent1 3" xfId="610" xr:uid="{00000000-0005-0000-0000-00005E020000}"/>
    <cellStyle name="Accent1 3 2" xfId="611" xr:uid="{00000000-0005-0000-0000-00005F020000}"/>
    <cellStyle name="Accent1 3 3" xfId="612" xr:uid="{00000000-0005-0000-0000-000060020000}"/>
    <cellStyle name="Accent1 4" xfId="613" xr:uid="{00000000-0005-0000-0000-000061020000}"/>
    <cellStyle name="Accent2 2" xfId="614" xr:uid="{00000000-0005-0000-0000-000062020000}"/>
    <cellStyle name="Accent2 2 2" xfId="615" xr:uid="{00000000-0005-0000-0000-000063020000}"/>
    <cellStyle name="Accent2 2 3" xfId="616" xr:uid="{00000000-0005-0000-0000-000064020000}"/>
    <cellStyle name="Accent2 3" xfId="617" xr:uid="{00000000-0005-0000-0000-000065020000}"/>
    <cellStyle name="Accent2 3 2" xfId="618" xr:uid="{00000000-0005-0000-0000-000066020000}"/>
    <cellStyle name="Accent2 3 3" xfId="619" xr:uid="{00000000-0005-0000-0000-000067020000}"/>
    <cellStyle name="Accent2 4" xfId="620" xr:uid="{00000000-0005-0000-0000-000068020000}"/>
    <cellStyle name="Accent3 2" xfId="621" xr:uid="{00000000-0005-0000-0000-000069020000}"/>
    <cellStyle name="Accent3 2 2" xfId="622" xr:uid="{00000000-0005-0000-0000-00006A020000}"/>
    <cellStyle name="Accent3 2 3" xfId="623" xr:uid="{00000000-0005-0000-0000-00006B020000}"/>
    <cellStyle name="Accent3 3" xfId="624" xr:uid="{00000000-0005-0000-0000-00006C020000}"/>
    <cellStyle name="Accent3 3 2" xfId="625" xr:uid="{00000000-0005-0000-0000-00006D020000}"/>
    <cellStyle name="Accent3 3 3" xfId="626" xr:uid="{00000000-0005-0000-0000-00006E020000}"/>
    <cellStyle name="Accent3 4" xfId="627" xr:uid="{00000000-0005-0000-0000-00006F020000}"/>
    <cellStyle name="Accent4 2" xfId="628" xr:uid="{00000000-0005-0000-0000-000070020000}"/>
    <cellStyle name="Accent4 2 2" xfId="629" xr:uid="{00000000-0005-0000-0000-000071020000}"/>
    <cellStyle name="Accent4 2 3" xfId="630" xr:uid="{00000000-0005-0000-0000-000072020000}"/>
    <cellStyle name="Accent4 3" xfId="631" xr:uid="{00000000-0005-0000-0000-000073020000}"/>
    <cellStyle name="Accent4 3 2" xfId="632" xr:uid="{00000000-0005-0000-0000-000074020000}"/>
    <cellStyle name="Accent4 3 3" xfId="633" xr:uid="{00000000-0005-0000-0000-000075020000}"/>
    <cellStyle name="Accent5 2" xfId="634" xr:uid="{00000000-0005-0000-0000-000076020000}"/>
    <cellStyle name="Accent5 2 2" xfId="635" xr:uid="{00000000-0005-0000-0000-000077020000}"/>
    <cellStyle name="Accent5 2 3" xfId="636" xr:uid="{00000000-0005-0000-0000-000078020000}"/>
    <cellStyle name="Accent5 3" xfId="637" xr:uid="{00000000-0005-0000-0000-000079020000}"/>
    <cellStyle name="Accent5 3 2" xfId="638" xr:uid="{00000000-0005-0000-0000-00007A020000}"/>
    <cellStyle name="Accent5 3 3" xfId="639" xr:uid="{00000000-0005-0000-0000-00007B020000}"/>
    <cellStyle name="Accent6 2" xfId="640" xr:uid="{00000000-0005-0000-0000-00007C020000}"/>
    <cellStyle name="Accent6 2 2" xfId="641" xr:uid="{00000000-0005-0000-0000-00007D020000}"/>
    <cellStyle name="Accent6 2 3" xfId="642" xr:uid="{00000000-0005-0000-0000-00007E020000}"/>
    <cellStyle name="Accent6 3" xfId="643" xr:uid="{00000000-0005-0000-0000-00007F020000}"/>
    <cellStyle name="Accent6 3 2" xfId="644" xr:uid="{00000000-0005-0000-0000-000080020000}"/>
    <cellStyle name="Accent6 3 3" xfId="645" xr:uid="{00000000-0005-0000-0000-000081020000}"/>
    <cellStyle name="Accent6 4" xfId="646" xr:uid="{00000000-0005-0000-0000-000082020000}"/>
    <cellStyle name="args.style" xfId="647" xr:uid="{00000000-0005-0000-0000-000083020000}"/>
    <cellStyle name="Ariel 7 pt. plain" xfId="648" xr:uid="{00000000-0005-0000-0000-000084020000}"/>
    <cellStyle name="B&amp;W" xfId="649" xr:uid="{00000000-0005-0000-0000-000085020000}"/>
    <cellStyle name="B&amp;Wbold" xfId="650" xr:uid="{00000000-0005-0000-0000-000086020000}"/>
    <cellStyle name="Bad 2" xfId="651" xr:uid="{00000000-0005-0000-0000-000087020000}"/>
    <cellStyle name="Bad 2 2" xfId="652" xr:uid="{00000000-0005-0000-0000-000088020000}"/>
    <cellStyle name="Bad 2 3" xfId="653" xr:uid="{00000000-0005-0000-0000-000089020000}"/>
    <cellStyle name="Bad 3" xfId="654" xr:uid="{00000000-0005-0000-0000-00008A020000}"/>
    <cellStyle name="Bad 3 2" xfId="655" xr:uid="{00000000-0005-0000-0000-00008B020000}"/>
    <cellStyle name="Bad 3 3" xfId="656" xr:uid="{00000000-0005-0000-0000-00008C020000}"/>
    <cellStyle name="Bad 4" xfId="657" xr:uid="{00000000-0005-0000-0000-00008D020000}"/>
    <cellStyle name="Body" xfId="658" xr:uid="{00000000-0005-0000-0000-00008E020000}"/>
    <cellStyle name="Bold" xfId="659" xr:uid="{00000000-0005-0000-0000-00008F020000}"/>
    <cellStyle name="Bold 11" xfId="660" xr:uid="{00000000-0005-0000-0000-000090020000}"/>
    <cellStyle name="Bold Label" xfId="661" xr:uid="{00000000-0005-0000-0000-000091020000}"/>
    <cellStyle name="Border" xfId="662" xr:uid="{00000000-0005-0000-0000-000092020000}"/>
    <cellStyle name="Buena" xfId="663" xr:uid="{00000000-0005-0000-0000-000093020000}"/>
    <cellStyle name="Buena 2" xfId="664" xr:uid="{00000000-0005-0000-0000-000094020000}"/>
    <cellStyle name="Buena 2 2" xfId="665" xr:uid="{00000000-0005-0000-0000-000095020000}"/>
    <cellStyle name="Buena 3" xfId="666" xr:uid="{00000000-0005-0000-0000-000096020000}"/>
    <cellStyle name="Buena 4" xfId="667" xr:uid="{00000000-0005-0000-0000-000097020000}"/>
    <cellStyle name="C:\Data\MS\Excel" xfId="668" xr:uid="{00000000-0005-0000-0000-000098020000}"/>
    <cellStyle name="C:\Data\MS\Excel 2" xfId="669" xr:uid="{00000000-0005-0000-0000-000099020000}"/>
    <cellStyle name="C:\Data\MS\Excel 3" xfId="670" xr:uid="{00000000-0005-0000-0000-00009A020000}"/>
    <cellStyle name="Cabecera 1" xfId="671" xr:uid="{00000000-0005-0000-0000-00009B020000}"/>
    <cellStyle name="Cabecera 1 2" xfId="672" xr:uid="{00000000-0005-0000-0000-00009C020000}"/>
    <cellStyle name="Cabecera 2" xfId="673" xr:uid="{00000000-0005-0000-0000-00009D020000}"/>
    <cellStyle name="Cabecera 2 2" xfId="674" xr:uid="{00000000-0005-0000-0000-00009E020000}"/>
    <cellStyle name="Calc Currency (0)" xfId="675" xr:uid="{00000000-0005-0000-0000-00009F020000}"/>
    <cellStyle name="Calc Currency (0) 2" xfId="676" xr:uid="{00000000-0005-0000-0000-0000A0020000}"/>
    <cellStyle name="Calc Currency (0) 3" xfId="677" xr:uid="{00000000-0005-0000-0000-0000A1020000}"/>
    <cellStyle name="Calc Currency (0) 4" xfId="678" xr:uid="{00000000-0005-0000-0000-0000A2020000}"/>
    <cellStyle name="Calc Currency (2)" xfId="679" xr:uid="{00000000-0005-0000-0000-0000A3020000}"/>
    <cellStyle name="Calc Currency (2) 2" xfId="680" xr:uid="{00000000-0005-0000-0000-0000A4020000}"/>
    <cellStyle name="Calc Currency (2) 3" xfId="681" xr:uid="{00000000-0005-0000-0000-0000A5020000}"/>
    <cellStyle name="Calc Currency (2) 4" xfId="682" xr:uid="{00000000-0005-0000-0000-0000A6020000}"/>
    <cellStyle name="Calc Percent (0)" xfId="683" xr:uid="{00000000-0005-0000-0000-0000A7020000}"/>
    <cellStyle name="Calc Percent (0) 2" xfId="684" xr:uid="{00000000-0005-0000-0000-0000A8020000}"/>
    <cellStyle name="Calc Percent (0) 3" xfId="685" xr:uid="{00000000-0005-0000-0000-0000A9020000}"/>
    <cellStyle name="Calc Percent (0) 4" xfId="686" xr:uid="{00000000-0005-0000-0000-0000AA020000}"/>
    <cellStyle name="Calc Percent (1)" xfId="687" xr:uid="{00000000-0005-0000-0000-0000AB020000}"/>
    <cellStyle name="Calc Percent (1) 2" xfId="688" xr:uid="{00000000-0005-0000-0000-0000AC020000}"/>
    <cellStyle name="Calc Percent (1) 3" xfId="689" xr:uid="{00000000-0005-0000-0000-0000AD020000}"/>
    <cellStyle name="Calc Percent (1) 4" xfId="690" xr:uid="{00000000-0005-0000-0000-0000AE020000}"/>
    <cellStyle name="Calc Percent (2)" xfId="691" xr:uid="{00000000-0005-0000-0000-0000AF020000}"/>
    <cellStyle name="Calc Percent (2) 2" xfId="692" xr:uid="{00000000-0005-0000-0000-0000B0020000}"/>
    <cellStyle name="Calc Percent (2) 3" xfId="693" xr:uid="{00000000-0005-0000-0000-0000B1020000}"/>
    <cellStyle name="Calc Percent (2) 4" xfId="694" xr:uid="{00000000-0005-0000-0000-0000B2020000}"/>
    <cellStyle name="Calc Units (0)" xfId="695" xr:uid="{00000000-0005-0000-0000-0000B3020000}"/>
    <cellStyle name="Calc Units (0) 2" xfId="696" xr:uid="{00000000-0005-0000-0000-0000B4020000}"/>
    <cellStyle name="Calc Units (0) 3" xfId="697" xr:uid="{00000000-0005-0000-0000-0000B5020000}"/>
    <cellStyle name="Calc Units (0) 4" xfId="698" xr:uid="{00000000-0005-0000-0000-0000B6020000}"/>
    <cellStyle name="Calc Units (1)" xfId="699" xr:uid="{00000000-0005-0000-0000-0000B7020000}"/>
    <cellStyle name="Calc Units (1) 2" xfId="700" xr:uid="{00000000-0005-0000-0000-0000B8020000}"/>
    <cellStyle name="Calc Units (1) 3" xfId="701" xr:uid="{00000000-0005-0000-0000-0000B9020000}"/>
    <cellStyle name="Calc Units (1) 4" xfId="702" xr:uid="{00000000-0005-0000-0000-0000BA020000}"/>
    <cellStyle name="Calc Units (2)" xfId="703" xr:uid="{00000000-0005-0000-0000-0000BB020000}"/>
    <cellStyle name="Calc Units (2) 2" xfId="704" xr:uid="{00000000-0005-0000-0000-0000BC020000}"/>
    <cellStyle name="Calc Units (2) 3" xfId="705" xr:uid="{00000000-0005-0000-0000-0000BD020000}"/>
    <cellStyle name="Calc Units (2) 4" xfId="706" xr:uid="{00000000-0005-0000-0000-0000BE020000}"/>
    <cellStyle name="Calculation 2" xfId="707" xr:uid="{00000000-0005-0000-0000-0000BF020000}"/>
    <cellStyle name="Calculation 2 2" xfId="708" xr:uid="{00000000-0005-0000-0000-0000C0020000}"/>
    <cellStyle name="Calculation 2 3" xfId="709" xr:uid="{00000000-0005-0000-0000-0000C1020000}"/>
    <cellStyle name="Calculation 3" xfId="710" xr:uid="{00000000-0005-0000-0000-0000C2020000}"/>
    <cellStyle name="Calculation 3 2" xfId="711" xr:uid="{00000000-0005-0000-0000-0000C3020000}"/>
    <cellStyle name="Calculation 3 3" xfId="712" xr:uid="{00000000-0005-0000-0000-0000C4020000}"/>
    <cellStyle name="Calculation 4" xfId="713" xr:uid="{00000000-0005-0000-0000-0000C5020000}"/>
    <cellStyle name="Calculation 5" xfId="714" xr:uid="{00000000-0005-0000-0000-0000C6020000}"/>
    <cellStyle name="Calculation 6" xfId="715" xr:uid="{00000000-0005-0000-0000-0000C7020000}"/>
    <cellStyle name="Cálculo" xfId="716" xr:uid="{00000000-0005-0000-0000-0000C8020000}"/>
    <cellStyle name="Cálculo 2" xfId="717" xr:uid="{00000000-0005-0000-0000-0000C9020000}"/>
    <cellStyle name="Cálculo 2 2" xfId="718" xr:uid="{00000000-0005-0000-0000-0000CA020000}"/>
    <cellStyle name="Cálculo 2 3" xfId="719" xr:uid="{00000000-0005-0000-0000-0000CB020000}"/>
    <cellStyle name="Cálculo 3" xfId="720" xr:uid="{00000000-0005-0000-0000-0000CC020000}"/>
    <cellStyle name="Cálculo 3 2" xfId="721" xr:uid="{00000000-0005-0000-0000-0000CD020000}"/>
    <cellStyle name="Cálculo 3 3" xfId="722" xr:uid="{00000000-0005-0000-0000-0000CE020000}"/>
    <cellStyle name="Cálculo 4" xfId="723" xr:uid="{00000000-0005-0000-0000-0000CF020000}"/>
    <cellStyle name="Cálculo 4 2" xfId="724" xr:uid="{00000000-0005-0000-0000-0000D0020000}"/>
    <cellStyle name="Cálculo 4 3" xfId="725" xr:uid="{00000000-0005-0000-0000-0000D1020000}"/>
    <cellStyle name="Cálculo 5" xfId="726" xr:uid="{00000000-0005-0000-0000-0000D2020000}"/>
    <cellStyle name="Cálculo 6" xfId="727" xr:uid="{00000000-0005-0000-0000-0000D3020000}"/>
    <cellStyle name="cárky [0]_CTD" xfId="728" xr:uid="{00000000-0005-0000-0000-0000D4020000}"/>
    <cellStyle name="cárky_CTD" xfId="729" xr:uid="{00000000-0005-0000-0000-0000D5020000}"/>
    <cellStyle name="Cat title white end" xfId="730" xr:uid="{00000000-0005-0000-0000-0000D6020000}"/>
    <cellStyle name="Celda de comprobación" xfId="731" xr:uid="{00000000-0005-0000-0000-0000D7020000}"/>
    <cellStyle name="Celda de comprobación 2" xfId="732" xr:uid="{00000000-0005-0000-0000-0000D8020000}"/>
    <cellStyle name="Celda de comprobación 3" xfId="733" xr:uid="{00000000-0005-0000-0000-0000D9020000}"/>
    <cellStyle name="Celda vinculada" xfId="734" xr:uid="{00000000-0005-0000-0000-0000DA020000}"/>
    <cellStyle name="Celda vinculada 2" xfId="735" xr:uid="{00000000-0005-0000-0000-0000DB020000}"/>
    <cellStyle name="Celda vinculada 3" xfId="736" xr:uid="{00000000-0005-0000-0000-0000DC020000}"/>
    <cellStyle name="Celkem" xfId="737" xr:uid="{00000000-0005-0000-0000-0000DD020000}"/>
    <cellStyle name="Check Cell 2" xfId="738" xr:uid="{00000000-0005-0000-0000-0000DE020000}"/>
    <cellStyle name="Check Cell 2 2" xfId="739" xr:uid="{00000000-0005-0000-0000-0000DF020000}"/>
    <cellStyle name="Check Cell 2 3" xfId="740" xr:uid="{00000000-0005-0000-0000-0000E0020000}"/>
    <cellStyle name="Check Cell 2 4" xfId="2982" xr:uid="{00000000-0005-0000-0000-0000E1020000}"/>
    <cellStyle name="Check Cell 3" xfId="741" xr:uid="{00000000-0005-0000-0000-0000E2020000}"/>
    <cellStyle name="Check Cell 3 2" xfId="742" xr:uid="{00000000-0005-0000-0000-0000E3020000}"/>
    <cellStyle name="Check Cell 3 3" xfId="743" xr:uid="{00000000-0005-0000-0000-0000E4020000}"/>
    <cellStyle name="Check Cell 4" xfId="744" xr:uid="{00000000-0005-0000-0000-0000E5020000}"/>
    <cellStyle name="chemes]_x000d__x000a_Sci-Fi=_x000d__x000a_Nature=_x000d__x000a_robin=_x000d__x000a__x000d__x000a_[SoundScheme.Nature]_x000d__x000a_SystemAsterisk=C:\SNDSYS" xfId="745" xr:uid="{00000000-0005-0000-0000-0000E6020000}"/>
    <cellStyle name="chemes]_x000d__x000a_Sci-Fi=_x000d__x000a_Nature=_x000d__x000a_robin=_x000d__x000a__x000d__x000a_[SoundScheme.Nature]_x000d__x000a_SystemAsterisk=C:\SNDSYS 2" xfId="746" xr:uid="{00000000-0005-0000-0000-0000E7020000}"/>
    <cellStyle name="chemes]_x000d__x000a_Sci-Fi=_x000d__x000a_Nature=_x000d__x000a_robin=_x000d__x000a__x000d__x000a_[SoundScheme.Nature]_x000d__x000a_SystemAsterisk=C:\SNDSYS 2 2" xfId="747" xr:uid="{00000000-0005-0000-0000-0000E8020000}"/>
    <cellStyle name="chemes]_x000d__x000a_Sci-Fi=_x000d__x000a_Nature=_x000d__x000a_robin=_x000d__x000a__x000d__x000a_[SoundScheme.Nature]_x000d__x000a_SystemAsterisk=C:\SNDSYS 2 3" xfId="748" xr:uid="{00000000-0005-0000-0000-0000E9020000}"/>
    <cellStyle name="chemes]_x000d__x000a_Sci-Fi=_x000d__x000a_Nature=_x000d__x000a_robin=_x000d__x000a__x000d__x000a_[SoundScheme.Nature]_x000d__x000a_SystemAsterisk=C:\SNDSYS 2 4" xfId="749" xr:uid="{00000000-0005-0000-0000-0000EA020000}"/>
    <cellStyle name="chemes]_x000d__x000a_Sci-Fi=_x000d__x000a_Nature=_x000d__x000a_robin=_x000d__x000a__x000d__x000a_[SoundScheme.Nature]_x000d__x000a_SystemAsterisk=C:\SNDSYS 3" xfId="750" xr:uid="{00000000-0005-0000-0000-0000EB020000}"/>
    <cellStyle name="chemes]_x000d__x000a_Sci-Fi=_x000d__x000a_Nature=_x000d__x000a_robin=_x000d__x000a__x000d__x000a_[SoundScheme.Nature]_x000d__x000a_SystemAsterisk=C:\SNDSYS 4" xfId="751" xr:uid="{00000000-0005-0000-0000-0000EC020000}"/>
    <cellStyle name="chemes]_x000d__x000a_Sci-Fi=_x000d__x000a_Nature=_x000d__x000a_robin=_x000d__x000a__x000d__x000a_[SoundScheme.Nature]_x000d__x000a_SystemAsterisk=C:\SNDSYS 5" xfId="752" xr:uid="{00000000-0005-0000-0000-0000ED020000}"/>
    <cellStyle name="chemes]_x000d__x000a_Sci-Fi=_x000d__x000a_Nature=_x000d__x000a_robin=_x000d__x000a__x000d__x000a_[SoundScheme.Nature]_x000d__x000a_SystemAsterisk=C:\SNDSYS_ASAR Forex Calculation (May &amp; June)" xfId="753" xr:uid="{00000000-0005-0000-0000-0000EE020000}"/>
    <cellStyle name="Číslo_# ##0" xfId="754" xr:uid="{00000000-0005-0000-0000-0000EF020000}"/>
    <cellStyle name="Col title" xfId="755" xr:uid="{00000000-0005-0000-0000-0000F0020000}"/>
    <cellStyle name="Col title dates (m-y)" xfId="756" xr:uid="{00000000-0005-0000-0000-0000F1020000}"/>
    <cellStyle name="Col title multplie" xfId="757" xr:uid="{00000000-0005-0000-0000-0000F2020000}"/>
    <cellStyle name="Col title percent" xfId="758" xr:uid="{00000000-0005-0000-0000-0000F3020000}"/>
    <cellStyle name="Col title year(eg 2004)" xfId="759" xr:uid="{00000000-0005-0000-0000-0000F4020000}"/>
    <cellStyle name="ColHead" xfId="760" xr:uid="{00000000-0005-0000-0000-0000F5020000}"/>
    <cellStyle name="Color_Anna" xfId="761" xr:uid="{00000000-0005-0000-0000-0000F6020000}"/>
    <cellStyle name="ColumnAttributeAbovePrompt" xfId="762" xr:uid="{00000000-0005-0000-0000-0000F7020000}"/>
    <cellStyle name="ColumnAttributeAbovePrompt 2" xfId="763" xr:uid="{00000000-0005-0000-0000-0000F8020000}"/>
    <cellStyle name="ColumnAttributePrompt" xfId="764" xr:uid="{00000000-0005-0000-0000-0000F9020000}"/>
    <cellStyle name="ColumnAttributePrompt 2" xfId="765" xr:uid="{00000000-0005-0000-0000-0000FA020000}"/>
    <cellStyle name="ColumnAttributeValue" xfId="766" xr:uid="{00000000-0005-0000-0000-0000FB020000}"/>
    <cellStyle name="ColumnAttributeValue 2" xfId="767" xr:uid="{00000000-0005-0000-0000-0000FC020000}"/>
    <cellStyle name="ColumnHeadingPrompt" xfId="768" xr:uid="{00000000-0005-0000-0000-0000FD020000}"/>
    <cellStyle name="ColumnHeadingPrompt 2" xfId="769" xr:uid="{00000000-0005-0000-0000-0000FE020000}"/>
    <cellStyle name="ColumnHeadingValue" xfId="770" xr:uid="{00000000-0005-0000-0000-0000FF020000}"/>
    <cellStyle name="ColumnHeadingValue 2" xfId="771" xr:uid="{00000000-0005-0000-0000-000000030000}"/>
    <cellStyle name="Comma" xfId="2977" builtinId="3"/>
    <cellStyle name="Comma  - Style1" xfId="772" xr:uid="{00000000-0005-0000-0000-000002030000}"/>
    <cellStyle name="Comma  - Style2" xfId="773" xr:uid="{00000000-0005-0000-0000-000003030000}"/>
    <cellStyle name="Comma  - Style3" xfId="774" xr:uid="{00000000-0005-0000-0000-000004030000}"/>
    <cellStyle name="Comma  - Style4" xfId="775" xr:uid="{00000000-0005-0000-0000-000005030000}"/>
    <cellStyle name="Comma  - Style5" xfId="776" xr:uid="{00000000-0005-0000-0000-000006030000}"/>
    <cellStyle name="Comma  - Style6" xfId="777" xr:uid="{00000000-0005-0000-0000-000007030000}"/>
    <cellStyle name="Comma  - Style7" xfId="778" xr:uid="{00000000-0005-0000-0000-000008030000}"/>
    <cellStyle name="Comma  - Style8" xfId="779" xr:uid="{00000000-0005-0000-0000-000009030000}"/>
    <cellStyle name="Comma (0.0)" xfId="780" xr:uid="{00000000-0005-0000-0000-00000A030000}"/>
    <cellStyle name="Comma (0.00)" xfId="781" xr:uid="{00000000-0005-0000-0000-00000B030000}"/>
    <cellStyle name="Comma (hidden)" xfId="782" xr:uid="{00000000-0005-0000-0000-00000C030000}"/>
    <cellStyle name="Comma (index)" xfId="783" xr:uid="{00000000-0005-0000-0000-00000D030000}"/>
    <cellStyle name="Comma [0] 2" xfId="784" xr:uid="{00000000-0005-0000-0000-00000E030000}"/>
    <cellStyle name="Comma [0] 2 2" xfId="785" xr:uid="{00000000-0005-0000-0000-00000F030000}"/>
    <cellStyle name="Comma [0] 2 3" xfId="786" xr:uid="{00000000-0005-0000-0000-000010030000}"/>
    <cellStyle name="Comma [0] 3" xfId="787" xr:uid="{00000000-0005-0000-0000-000011030000}"/>
    <cellStyle name="Comma [00]" xfId="788" xr:uid="{00000000-0005-0000-0000-000012030000}"/>
    <cellStyle name="Comma [00] 2" xfId="789" xr:uid="{00000000-0005-0000-0000-000013030000}"/>
    <cellStyle name="Comma [00] 3" xfId="790" xr:uid="{00000000-0005-0000-0000-000014030000}"/>
    <cellStyle name="Comma [00] 4" xfId="791" xr:uid="{00000000-0005-0000-0000-000015030000}"/>
    <cellStyle name="Comma [00] 5" xfId="792" xr:uid="{00000000-0005-0000-0000-000016030000}"/>
    <cellStyle name="Comma 0" xfId="793" xr:uid="{00000000-0005-0000-0000-000017030000}"/>
    <cellStyle name="Comma 10" xfId="794" xr:uid="{00000000-0005-0000-0000-000018030000}"/>
    <cellStyle name="Comma 10 10" xfId="795" xr:uid="{00000000-0005-0000-0000-000019030000}"/>
    <cellStyle name="Comma 10 2" xfId="796" xr:uid="{00000000-0005-0000-0000-00001A030000}"/>
    <cellStyle name="Comma 10 2 2" xfId="797" xr:uid="{00000000-0005-0000-0000-00001B030000}"/>
    <cellStyle name="Comma 10 2 2 2" xfId="798" xr:uid="{00000000-0005-0000-0000-00001C030000}"/>
    <cellStyle name="Comma 10 2 2 2 2" xfId="799" xr:uid="{00000000-0005-0000-0000-00001D030000}"/>
    <cellStyle name="Comma 10 2 2 2 3" xfId="800" xr:uid="{00000000-0005-0000-0000-00001E030000}"/>
    <cellStyle name="Comma 10 2 2 3" xfId="801" xr:uid="{00000000-0005-0000-0000-00001F030000}"/>
    <cellStyle name="Comma 10 2 2 3 2" xfId="802" xr:uid="{00000000-0005-0000-0000-000020030000}"/>
    <cellStyle name="Comma 10 2 2 4" xfId="803" xr:uid="{00000000-0005-0000-0000-000021030000}"/>
    <cellStyle name="Comma 10 2 2 5" xfId="804" xr:uid="{00000000-0005-0000-0000-000022030000}"/>
    <cellStyle name="Comma 10 3" xfId="805" xr:uid="{00000000-0005-0000-0000-000023030000}"/>
    <cellStyle name="Comma 10 3 2" xfId="806" xr:uid="{00000000-0005-0000-0000-000024030000}"/>
    <cellStyle name="Comma 10 3 2 2" xfId="807" xr:uid="{00000000-0005-0000-0000-000025030000}"/>
    <cellStyle name="Comma 10 3 2 3" xfId="808" xr:uid="{00000000-0005-0000-0000-000026030000}"/>
    <cellStyle name="Comma 10 3 3" xfId="809" xr:uid="{00000000-0005-0000-0000-000027030000}"/>
    <cellStyle name="Comma 10 3 3 2" xfId="810" xr:uid="{00000000-0005-0000-0000-000028030000}"/>
    <cellStyle name="Comma 10 3 4" xfId="811" xr:uid="{00000000-0005-0000-0000-000029030000}"/>
    <cellStyle name="Comma 10 3 5" xfId="812" xr:uid="{00000000-0005-0000-0000-00002A030000}"/>
    <cellStyle name="Comma 10 4 3" xfId="813" xr:uid="{00000000-0005-0000-0000-00002B030000}"/>
    <cellStyle name="Comma 11" xfId="814" xr:uid="{00000000-0005-0000-0000-00002C030000}"/>
    <cellStyle name="Comma 11 2" xfId="815" xr:uid="{00000000-0005-0000-0000-00002D030000}"/>
    <cellStyle name="Comma 11 3" xfId="816" xr:uid="{00000000-0005-0000-0000-00002E030000}"/>
    <cellStyle name="Comma 11 5" xfId="817" xr:uid="{00000000-0005-0000-0000-00002F030000}"/>
    <cellStyle name="Comma 12" xfId="818" xr:uid="{00000000-0005-0000-0000-000030030000}"/>
    <cellStyle name="Comma 12 2" xfId="819" xr:uid="{00000000-0005-0000-0000-000031030000}"/>
    <cellStyle name="Comma 12 2 2" xfId="820" xr:uid="{00000000-0005-0000-0000-000032030000}"/>
    <cellStyle name="Comma 12 2 2 2" xfId="821" xr:uid="{00000000-0005-0000-0000-000033030000}"/>
    <cellStyle name="Comma 12 2 2 2 2" xfId="822" xr:uid="{00000000-0005-0000-0000-000034030000}"/>
    <cellStyle name="Comma 12 2 2 2 3" xfId="823" xr:uid="{00000000-0005-0000-0000-000035030000}"/>
    <cellStyle name="Comma 12 2 2 3" xfId="824" xr:uid="{00000000-0005-0000-0000-000036030000}"/>
    <cellStyle name="Comma 12 2 2 3 2" xfId="825" xr:uid="{00000000-0005-0000-0000-000037030000}"/>
    <cellStyle name="Comma 12 2 2 4" xfId="826" xr:uid="{00000000-0005-0000-0000-000038030000}"/>
    <cellStyle name="Comma 12 2 2 5" xfId="827" xr:uid="{00000000-0005-0000-0000-000039030000}"/>
    <cellStyle name="Comma 12 3" xfId="828" xr:uid="{00000000-0005-0000-0000-00003A030000}"/>
    <cellStyle name="Comma 12 3 2" xfId="829" xr:uid="{00000000-0005-0000-0000-00003B030000}"/>
    <cellStyle name="Comma 12 3 3" xfId="830" xr:uid="{00000000-0005-0000-0000-00003C030000}"/>
    <cellStyle name="Comma 12 4" xfId="831" xr:uid="{00000000-0005-0000-0000-00003D030000}"/>
    <cellStyle name="Comma 12 4 2" xfId="832" xr:uid="{00000000-0005-0000-0000-00003E030000}"/>
    <cellStyle name="Comma 12 5" xfId="833" xr:uid="{00000000-0005-0000-0000-00003F030000}"/>
    <cellStyle name="Comma 12 6" xfId="834" xr:uid="{00000000-0005-0000-0000-000040030000}"/>
    <cellStyle name="Comma 13" xfId="835" xr:uid="{00000000-0005-0000-0000-000041030000}"/>
    <cellStyle name="Comma 13 2" xfId="836" xr:uid="{00000000-0005-0000-0000-000042030000}"/>
    <cellStyle name="Comma 14" xfId="837" xr:uid="{00000000-0005-0000-0000-000043030000}"/>
    <cellStyle name="Comma 15" xfId="838" xr:uid="{00000000-0005-0000-0000-000044030000}"/>
    <cellStyle name="Comma 16" xfId="839" xr:uid="{00000000-0005-0000-0000-000045030000}"/>
    <cellStyle name="Comma 17" xfId="840" xr:uid="{00000000-0005-0000-0000-000046030000}"/>
    <cellStyle name="Comma 18" xfId="841" xr:uid="{00000000-0005-0000-0000-000047030000}"/>
    <cellStyle name="Comma 19" xfId="842" xr:uid="{00000000-0005-0000-0000-000048030000}"/>
    <cellStyle name="Comma 2" xfId="843" xr:uid="{00000000-0005-0000-0000-000049030000}"/>
    <cellStyle name="Comma 2 10" xfId="844" xr:uid="{00000000-0005-0000-0000-00004A030000}"/>
    <cellStyle name="Comma 2 11" xfId="845" xr:uid="{00000000-0005-0000-0000-00004B030000}"/>
    <cellStyle name="Comma 2 12" xfId="846" xr:uid="{00000000-0005-0000-0000-00004C030000}"/>
    <cellStyle name="Comma 2 13" xfId="847" xr:uid="{00000000-0005-0000-0000-00004D030000}"/>
    <cellStyle name="Comma 2 14" xfId="848" xr:uid="{00000000-0005-0000-0000-00004E030000}"/>
    <cellStyle name="Comma 2 15" xfId="849" xr:uid="{00000000-0005-0000-0000-00004F030000}"/>
    <cellStyle name="Comma 2 16" xfId="850" xr:uid="{00000000-0005-0000-0000-000050030000}"/>
    <cellStyle name="Comma 2 17" xfId="851" xr:uid="{00000000-0005-0000-0000-000051030000}"/>
    <cellStyle name="Comma 2 18" xfId="852" xr:uid="{00000000-0005-0000-0000-000052030000}"/>
    <cellStyle name="Comma 2 19" xfId="853" xr:uid="{00000000-0005-0000-0000-000053030000}"/>
    <cellStyle name="Comma 2 2" xfId="854" xr:uid="{00000000-0005-0000-0000-000054030000}"/>
    <cellStyle name="Comma 2 2 2" xfId="855" xr:uid="{00000000-0005-0000-0000-000055030000}"/>
    <cellStyle name="Comma 2 2 2 2" xfId="856" xr:uid="{00000000-0005-0000-0000-000056030000}"/>
    <cellStyle name="Comma 2 2 3" xfId="857" xr:uid="{00000000-0005-0000-0000-000057030000}"/>
    <cellStyle name="Comma 2 2 4" xfId="858" xr:uid="{00000000-0005-0000-0000-000058030000}"/>
    <cellStyle name="Comma 2 2 5" xfId="859" xr:uid="{00000000-0005-0000-0000-000059030000}"/>
    <cellStyle name="Comma 2 20" xfId="860" xr:uid="{00000000-0005-0000-0000-00005A030000}"/>
    <cellStyle name="Comma 2 21" xfId="861" xr:uid="{00000000-0005-0000-0000-00005B030000}"/>
    <cellStyle name="Comma 2 22" xfId="862" xr:uid="{00000000-0005-0000-0000-00005C030000}"/>
    <cellStyle name="Comma 2 23" xfId="863" xr:uid="{00000000-0005-0000-0000-00005D030000}"/>
    <cellStyle name="Comma 2 24" xfId="864" xr:uid="{00000000-0005-0000-0000-00005E030000}"/>
    <cellStyle name="Comma 2 25" xfId="865" xr:uid="{00000000-0005-0000-0000-00005F030000}"/>
    <cellStyle name="Comma 2 26" xfId="866" xr:uid="{00000000-0005-0000-0000-000060030000}"/>
    <cellStyle name="Comma 2 27" xfId="867" xr:uid="{00000000-0005-0000-0000-000061030000}"/>
    <cellStyle name="Comma 2 28" xfId="868" xr:uid="{00000000-0005-0000-0000-000062030000}"/>
    <cellStyle name="Comma 2 29" xfId="869" xr:uid="{00000000-0005-0000-0000-000063030000}"/>
    <cellStyle name="Comma 2 3" xfId="870" xr:uid="{00000000-0005-0000-0000-000064030000}"/>
    <cellStyle name="Comma 2 3 2" xfId="871" xr:uid="{00000000-0005-0000-0000-000065030000}"/>
    <cellStyle name="Comma 2 30" xfId="872" xr:uid="{00000000-0005-0000-0000-000066030000}"/>
    <cellStyle name="Comma 2 31" xfId="873" xr:uid="{00000000-0005-0000-0000-000067030000}"/>
    <cellStyle name="Comma 2 32" xfId="874" xr:uid="{00000000-0005-0000-0000-000068030000}"/>
    <cellStyle name="Comma 2 33" xfId="875" xr:uid="{00000000-0005-0000-0000-000069030000}"/>
    <cellStyle name="Comma 2 34" xfId="876" xr:uid="{00000000-0005-0000-0000-00006A030000}"/>
    <cellStyle name="Comma 2 35" xfId="877" xr:uid="{00000000-0005-0000-0000-00006B030000}"/>
    <cellStyle name="Comma 2 36" xfId="878" xr:uid="{00000000-0005-0000-0000-00006C030000}"/>
    <cellStyle name="Comma 2 37" xfId="879" xr:uid="{00000000-0005-0000-0000-00006D030000}"/>
    <cellStyle name="Comma 2 38" xfId="880" xr:uid="{00000000-0005-0000-0000-00006E030000}"/>
    <cellStyle name="Comma 2 39" xfId="881" xr:uid="{00000000-0005-0000-0000-00006F030000}"/>
    <cellStyle name="Comma 2 4" xfId="882" xr:uid="{00000000-0005-0000-0000-000070030000}"/>
    <cellStyle name="Comma 2 40" xfId="883" xr:uid="{00000000-0005-0000-0000-000071030000}"/>
    <cellStyle name="Comma 2 41" xfId="884" xr:uid="{00000000-0005-0000-0000-000072030000}"/>
    <cellStyle name="Comma 2 42" xfId="885" xr:uid="{00000000-0005-0000-0000-000073030000}"/>
    <cellStyle name="Comma 2 43" xfId="886" xr:uid="{00000000-0005-0000-0000-000074030000}"/>
    <cellStyle name="Comma 2 44" xfId="887" xr:uid="{00000000-0005-0000-0000-000075030000}"/>
    <cellStyle name="Comma 2 45" xfId="888" xr:uid="{00000000-0005-0000-0000-000076030000}"/>
    <cellStyle name="Comma 2 46" xfId="889" xr:uid="{00000000-0005-0000-0000-000077030000}"/>
    <cellStyle name="Comma 2 47" xfId="890" xr:uid="{00000000-0005-0000-0000-000078030000}"/>
    <cellStyle name="Comma 2 48" xfId="891" xr:uid="{00000000-0005-0000-0000-000079030000}"/>
    <cellStyle name="Comma 2 49" xfId="892" xr:uid="{00000000-0005-0000-0000-00007A030000}"/>
    <cellStyle name="Comma 2 5" xfId="893" xr:uid="{00000000-0005-0000-0000-00007B030000}"/>
    <cellStyle name="Comma 2 5 2" xfId="894" xr:uid="{00000000-0005-0000-0000-00007C030000}"/>
    <cellStyle name="Comma 2 50" xfId="895" xr:uid="{00000000-0005-0000-0000-00007D030000}"/>
    <cellStyle name="Comma 2 51" xfId="896" xr:uid="{00000000-0005-0000-0000-00007E030000}"/>
    <cellStyle name="Comma 2 52" xfId="897" xr:uid="{00000000-0005-0000-0000-00007F030000}"/>
    <cellStyle name="Comma 2 53" xfId="898" xr:uid="{00000000-0005-0000-0000-000080030000}"/>
    <cellStyle name="Comma 2 6" xfId="899" xr:uid="{00000000-0005-0000-0000-000081030000}"/>
    <cellStyle name="Comma 2 7" xfId="900" xr:uid="{00000000-0005-0000-0000-000082030000}"/>
    <cellStyle name="Comma 2 8" xfId="901" xr:uid="{00000000-0005-0000-0000-000083030000}"/>
    <cellStyle name="Comma 2 8 2" xfId="902" xr:uid="{00000000-0005-0000-0000-000084030000}"/>
    <cellStyle name="Comma 2 9" xfId="903" xr:uid="{00000000-0005-0000-0000-000085030000}"/>
    <cellStyle name="Comma 20" xfId="904" xr:uid="{00000000-0005-0000-0000-000086030000}"/>
    <cellStyle name="Comma 20 2" xfId="905" xr:uid="{00000000-0005-0000-0000-000087030000}"/>
    <cellStyle name="Comma 20 2 2" xfId="906" xr:uid="{00000000-0005-0000-0000-000088030000}"/>
    <cellStyle name="Comma 20 2 2 2" xfId="907" xr:uid="{00000000-0005-0000-0000-000089030000}"/>
    <cellStyle name="Comma 20 2 2 2 2" xfId="908" xr:uid="{00000000-0005-0000-0000-00008A030000}"/>
    <cellStyle name="Comma 20 2 2 2 3" xfId="909" xr:uid="{00000000-0005-0000-0000-00008B030000}"/>
    <cellStyle name="Comma 20 2 2 3" xfId="910" xr:uid="{00000000-0005-0000-0000-00008C030000}"/>
    <cellStyle name="Comma 20 2 2 3 2" xfId="911" xr:uid="{00000000-0005-0000-0000-00008D030000}"/>
    <cellStyle name="Comma 20 2 2 4" xfId="912" xr:uid="{00000000-0005-0000-0000-00008E030000}"/>
    <cellStyle name="Comma 20 2 2 5" xfId="913" xr:uid="{00000000-0005-0000-0000-00008F030000}"/>
    <cellStyle name="Comma 20 2 3" xfId="914" xr:uid="{00000000-0005-0000-0000-000090030000}"/>
    <cellStyle name="Comma 20 2 3 2" xfId="915" xr:uid="{00000000-0005-0000-0000-000091030000}"/>
    <cellStyle name="Comma 20 2 3 3" xfId="916" xr:uid="{00000000-0005-0000-0000-000092030000}"/>
    <cellStyle name="Comma 20 2 4" xfId="917" xr:uid="{00000000-0005-0000-0000-000093030000}"/>
    <cellStyle name="Comma 20 2 4 2" xfId="918" xr:uid="{00000000-0005-0000-0000-000094030000}"/>
    <cellStyle name="Comma 20 2 5" xfId="919" xr:uid="{00000000-0005-0000-0000-000095030000}"/>
    <cellStyle name="Comma 20 2 6" xfId="920" xr:uid="{00000000-0005-0000-0000-000096030000}"/>
    <cellStyle name="Comma 20 3" xfId="921" xr:uid="{00000000-0005-0000-0000-000097030000}"/>
    <cellStyle name="Comma 20 3 2" xfId="922" xr:uid="{00000000-0005-0000-0000-000098030000}"/>
    <cellStyle name="Comma 20 3 2 2" xfId="923" xr:uid="{00000000-0005-0000-0000-000099030000}"/>
    <cellStyle name="Comma 20 3 2 3" xfId="924" xr:uid="{00000000-0005-0000-0000-00009A030000}"/>
    <cellStyle name="Comma 20 3 3" xfId="925" xr:uid="{00000000-0005-0000-0000-00009B030000}"/>
    <cellStyle name="Comma 20 3 3 2" xfId="926" xr:uid="{00000000-0005-0000-0000-00009C030000}"/>
    <cellStyle name="Comma 20 3 4" xfId="927" xr:uid="{00000000-0005-0000-0000-00009D030000}"/>
    <cellStyle name="Comma 20 3 5" xfId="928" xr:uid="{00000000-0005-0000-0000-00009E030000}"/>
    <cellStyle name="Comma 21" xfId="929" xr:uid="{00000000-0005-0000-0000-00009F030000}"/>
    <cellStyle name="Comma 22" xfId="930" xr:uid="{00000000-0005-0000-0000-0000A0030000}"/>
    <cellStyle name="Comma 22 2" xfId="931" xr:uid="{00000000-0005-0000-0000-0000A1030000}"/>
    <cellStyle name="Comma 22 2 2" xfId="932" xr:uid="{00000000-0005-0000-0000-0000A2030000}"/>
    <cellStyle name="Comma 22 2 3" xfId="933" xr:uid="{00000000-0005-0000-0000-0000A3030000}"/>
    <cellStyle name="Comma 22 3" xfId="934" xr:uid="{00000000-0005-0000-0000-0000A4030000}"/>
    <cellStyle name="Comma 22 3 2" xfId="935" xr:uid="{00000000-0005-0000-0000-0000A5030000}"/>
    <cellStyle name="Comma 22 4" xfId="936" xr:uid="{00000000-0005-0000-0000-0000A6030000}"/>
    <cellStyle name="Comma 22 5" xfId="937" xr:uid="{00000000-0005-0000-0000-0000A7030000}"/>
    <cellStyle name="Comma 23" xfId="938" xr:uid="{00000000-0005-0000-0000-0000A8030000}"/>
    <cellStyle name="Comma 23 2" xfId="939" xr:uid="{00000000-0005-0000-0000-0000A9030000}"/>
    <cellStyle name="Comma 23 2 2" xfId="940" xr:uid="{00000000-0005-0000-0000-0000AA030000}"/>
    <cellStyle name="Comma 23 2 3" xfId="941" xr:uid="{00000000-0005-0000-0000-0000AB030000}"/>
    <cellStyle name="Comma 23 3" xfId="942" xr:uid="{00000000-0005-0000-0000-0000AC030000}"/>
    <cellStyle name="Comma 23 3 2" xfId="943" xr:uid="{00000000-0005-0000-0000-0000AD030000}"/>
    <cellStyle name="Comma 23 4" xfId="944" xr:uid="{00000000-0005-0000-0000-0000AE030000}"/>
    <cellStyle name="Comma 23 5" xfId="945" xr:uid="{00000000-0005-0000-0000-0000AF030000}"/>
    <cellStyle name="Comma 24" xfId="946" xr:uid="{00000000-0005-0000-0000-0000B0030000}"/>
    <cellStyle name="Comma 24 2" xfId="947" xr:uid="{00000000-0005-0000-0000-0000B1030000}"/>
    <cellStyle name="Comma 24 2 2" xfId="948" xr:uid="{00000000-0005-0000-0000-0000B2030000}"/>
    <cellStyle name="Comma 24 2 3" xfId="949" xr:uid="{00000000-0005-0000-0000-0000B3030000}"/>
    <cellStyle name="Comma 24 3" xfId="950" xr:uid="{00000000-0005-0000-0000-0000B4030000}"/>
    <cellStyle name="Comma 24 3 2" xfId="951" xr:uid="{00000000-0005-0000-0000-0000B5030000}"/>
    <cellStyle name="Comma 24 4" xfId="952" xr:uid="{00000000-0005-0000-0000-0000B6030000}"/>
    <cellStyle name="Comma 24 5" xfId="953" xr:uid="{00000000-0005-0000-0000-0000B7030000}"/>
    <cellStyle name="Comma 25" xfId="954" xr:uid="{00000000-0005-0000-0000-0000B8030000}"/>
    <cellStyle name="Comma 25 2" xfId="955" xr:uid="{00000000-0005-0000-0000-0000B9030000}"/>
    <cellStyle name="Comma 25 2 2" xfId="956" xr:uid="{00000000-0005-0000-0000-0000BA030000}"/>
    <cellStyle name="Comma 25 2 2 2" xfId="957" xr:uid="{00000000-0005-0000-0000-0000BB030000}"/>
    <cellStyle name="Comma 25 2 2 3" xfId="958" xr:uid="{00000000-0005-0000-0000-0000BC030000}"/>
    <cellStyle name="Comma 25 2 3" xfId="959" xr:uid="{00000000-0005-0000-0000-0000BD030000}"/>
    <cellStyle name="Comma 25 2 3 2" xfId="960" xr:uid="{00000000-0005-0000-0000-0000BE030000}"/>
    <cellStyle name="Comma 25 2 4" xfId="961" xr:uid="{00000000-0005-0000-0000-0000BF030000}"/>
    <cellStyle name="Comma 25 2 5" xfId="962" xr:uid="{00000000-0005-0000-0000-0000C0030000}"/>
    <cellStyle name="Comma 25 3" xfId="963" xr:uid="{00000000-0005-0000-0000-0000C1030000}"/>
    <cellStyle name="Comma 25 3 2" xfId="964" xr:uid="{00000000-0005-0000-0000-0000C2030000}"/>
    <cellStyle name="Comma 25 3 3" xfId="965" xr:uid="{00000000-0005-0000-0000-0000C3030000}"/>
    <cellStyle name="Comma 25 4" xfId="966" xr:uid="{00000000-0005-0000-0000-0000C4030000}"/>
    <cellStyle name="Comma 25 4 2" xfId="967" xr:uid="{00000000-0005-0000-0000-0000C5030000}"/>
    <cellStyle name="Comma 25 5" xfId="968" xr:uid="{00000000-0005-0000-0000-0000C6030000}"/>
    <cellStyle name="Comma 25 6" xfId="969" xr:uid="{00000000-0005-0000-0000-0000C7030000}"/>
    <cellStyle name="Comma 26" xfId="970" xr:uid="{00000000-0005-0000-0000-0000C8030000}"/>
    <cellStyle name="Comma 26 2" xfId="971" xr:uid="{00000000-0005-0000-0000-0000C9030000}"/>
    <cellStyle name="Comma 27" xfId="972" xr:uid="{00000000-0005-0000-0000-0000CA030000}"/>
    <cellStyle name="Comma 27 2" xfId="973" xr:uid="{00000000-0005-0000-0000-0000CB030000}"/>
    <cellStyle name="Comma 28" xfId="974" xr:uid="{00000000-0005-0000-0000-0000CC030000}"/>
    <cellStyle name="Comma 28 2" xfId="975" xr:uid="{00000000-0005-0000-0000-0000CD030000}"/>
    <cellStyle name="Comma 29" xfId="976" xr:uid="{00000000-0005-0000-0000-0000CE030000}"/>
    <cellStyle name="Comma 29 2" xfId="977" xr:uid="{00000000-0005-0000-0000-0000CF030000}"/>
    <cellStyle name="Comma 29 2 2" xfId="978" xr:uid="{00000000-0005-0000-0000-0000D0030000}"/>
    <cellStyle name="Comma 29 2 3" xfId="979" xr:uid="{00000000-0005-0000-0000-0000D1030000}"/>
    <cellStyle name="Comma 29 3" xfId="980" xr:uid="{00000000-0005-0000-0000-0000D2030000}"/>
    <cellStyle name="Comma 29 3 2" xfId="981" xr:uid="{00000000-0005-0000-0000-0000D3030000}"/>
    <cellStyle name="Comma 29 4" xfId="982" xr:uid="{00000000-0005-0000-0000-0000D4030000}"/>
    <cellStyle name="Comma 29 5" xfId="983" xr:uid="{00000000-0005-0000-0000-0000D5030000}"/>
    <cellStyle name="Comma 3" xfId="984" xr:uid="{00000000-0005-0000-0000-0000D6030000}"/>
    <cellStyle name="Comma 3 10" xfId="985" xr:uid="{00000000-0005-0000-0000-0000D7030000}"/>
    <cellStyle name="Comma 3 11" xfId="986" xr:uid="{00000000-0005-0000-0000-0000D8030000}"/>
    <cellStyle name="Comma 3 12" xfId="987" xr:uid="{00000000-0005-0000-0000-0000D9030000}"/>
    <cellStyle name="Comma 3 13" xfId="988" xr:uid="{00000000-0005-0000-0000-0000DA030000}"/>
    <cellStyle name="Comma 3 14" xfId="989" xr:uid="{00000000-0005-0000-0000-0000DB030000}"/>
    <cellStyle name="Comma 3 15" xfId="990" xr:uid="{00000000-0005-0000-0000-0000DC030000}"/>
    <cellStyle name="Comma 3 2" xfId="991" xr:uid="{00000000-0005-0000-0000-0000DD030000}"/>
    <cellStyle name="Comma 3 2 10" xfId="992" xr:uid="{00000000-0005-0000-0000-0000DE030000}"/>
    <cellStyle name="Comma 3 2 11" xfId="993" xr:uid="{00000000-0005-0000-0000-0000DF030000}"/>
    <cellStyle name="Comma 3 2 12" xfId="994" xr:uid="{00000000-0005-0000-0000-0000E0030000}"/>
    <cellStyle name="Comma 3 2 13" xfId="995" xr:uid="{00000000-0005-0000-0000-0000E1030000}"/>
    <cellStyle name="Comma 3 2 14" xfId="996" xr:uid="{00000000-0005-0000-0000-0000E2030000}"/>
    <cellStyle name="Comma 3 2 2" xfId="997" xr:uid="{00000000-0005-0000-0000-0000E3030000}"/>
    <cellStyle name="Comma 3 2 2 2" xfId="998" xr:uid="{00000000-0005-0000-0000-0000E4030000}"/>
    <cellStyle name="Comma 3 2 2 3" xfId="999" xr:uid="{00000000-0005-0000-0000-0000E5030000}"/>
    <cellStyle name="Comma 3 2 2 4" xfId="1000" xr:uid="{00000000-0005-0000-0000-0000E6030000}"/>
    <cellStyle name="Comma 3 2 3" xfId="1001" xr:uid="{00000000-0005-0000-0000-0000E7030000}"/>
    <cellStyle name="Comma 3 2 4" xfId="1002" xr:uid="{00000000-0005-0000-0000-0000E8030000}"/>
    <cellStyle name="Comma 3 2 5" xfId="1003" xr:uid="{00000000-0005-0000-0000-0000E9030000}"/>
    <cellStyle name="Comma 3 2 6" xfId="1004" xr:uid="{00000000-0005-0000-0000-0000EA030000}"/>
    <cellStyle name="Comma 3 2 7" xfId="1005" xr:uid="{00000000-0005-0000-0000-0000EB030000}"/>
    <cellStyle name="Comma 3 2 8" xfId="1006" xr:uid="{00000000-0005-0000-0000-0000EC030000}"/>
    <cellStyle name="Comma 3 2 9" xfId="1007" xr:uid="{00000000-0005-0000-0000-0000ED030000}"/>
    <cellStyle name="Comma 3 3" xfId="1008" xr:uid="{00000000-0005-0000-0000-0000EE030000}"/>
    <cellStyle name="Comma 3 3 2" xfId="1009" xr:uid="{00000000-0005-0000-0000-0000EF030000}"/>
    <cellStyle name="Comma 3 4" xfId="1010" xr:uid="{00000000-0005-0000-0000-0000F0030000}"/>
    <cellStyle name="Comma 3 5" xfId="1011" xr:uid="{00000000-0005-0000-0000-0000F1030000}"/>
    <cellStyle name="Comma 3 6" xfId="1012" xr:uid="{00000000-0005-0000-0000-0000F2030000}"/>
    <cellStyle name="Comma 3 7" xfId="1013" xr:uid="{00000000-0005-0000-0000-0000F3030000}"/>
    <cellStyle name="Comma 3 8" xfId="1014" xr:uid="{00000000-0005-0000-0000-0000F4030000}"/>
    <cellStyle name="Comma 3 9" xfId="1015" xr:uid="{00000000-0005-0000-0000-0000F5030000}"/>
    <cellStyle name="Comma 3_Note 3-16 (FC)" xfId="1016" xr:uid="{00000000-0005-0000-0000-0000F6030000}"/>
    <cellStyle name="Comma 30" xfId="1017" xr:uid="{00000000-0005-0000-0000-0000F7030000}"/>
    <cellStyle name="Comma 30 2" xfId="1018" xr:uid="{00000000-0005-0000-0000-0000F8030000}"/>
    <cellStyle name="Comma 30 2 2" xfId="1019" xr:uid="{00000000-0005-0000-0000-0000F9030000}"/>
    <cellStyle name="Comma 30 2 3" xfId="1020" xr:uid="{00000000-0005-0000-0000-0000FA030000}"/>
    <cellStyle name="Comma 30 3" xfId="1021" xr:uid="{00000000-0005-0000-0000-0000FB030000}"/>
    <cellStyle name="Comma 30 3 2" xfId="1022" xr:uid="{00000000-0005-0000-0000-0000FC030000}"/>
    <cellStyle name="Comma 30 4" xfId="1023" xr:uid="{00000000-0005-0000-0000-0000FD030000}"/>
    <cellStyle name="Comma 30 5" xfId="1024" xr:uid="{00000000-0005-0000-0000-0000FE030000}"/>
    <cellStyle name="Comma 31" xfId="1025" xr:uid="{00000000-0005-0000-0000-0000FF030000}"/>
    <cellStyle name="Comma 31 2" xfId="1026" xr:uid="{00000000-0005-0000-0000-000000040000}"/>
    <cellStyle name="Comma 31 2 2" xfId="1027" xr:uid="{00000000-0005-0000-0000-000001040000}"/>
    <cellStyle name="Comma 31 2 3" xfId="1028" xr:uid="{00000000-0005-0000-0000-000002040000}"/>
    <cellStyle name="Comma 31 3" xfId="1029" xr:uid="{00000000-0005-0000-0000-000003040000}"/>
    <cellStyle name="Comma 31 3 2" xfId="1030" xr:uid="{00000000-0005-0000-0000-000004040000}"/>
    <cellStyle name="Comma 32" xfId="1031" xr:uid="{00000000-0005-0000-0000-000005040000}"/>
    <cellStyle name="Comma 32 2" xfId="1032" xr:uid="{00000000-0005-0000-0000-000006040000}"/>
    <cellStyle name="Comma 32 2 2" xfId="1033" xr:uid="{00000000-0005-0000-0000-000007040000}"/>
    <cellStyle name="Comma 32 2 3" xfId="1034" xr:uid="{00000000-0005-0000-0000-000008040000}"/>
    <cellStyle name="Comma 32 3" xfId="1035" xr:uid="{00000000-0005-0000-0000-000009040000}"/>
    <cellStyle name="Comma 32 3 2" xfId="1036" xr:uid="{00000000-0005-0000-0000-00000A040000}"/>
    <cellStyle name="Comma 32 4" xfId="1037" xr:uid="{00000000-0005-0000-0000-00000B040000}"/>
    <cellStyle name="Comma 32 4 2" xfId="1038" xr:uid="{00000000-0005-0000-0000-00000C040000}"/>
    <cellStyle name="Comma 32 4 2 2" xfId="1039" xr:uid="{00000000-0005-0000-0000-00000D040000}"/>
    <cellStyle name="Comma 32 4 2 3" xfId="1040" xr:uid="{00000000-0005-0000-0000-00000E040000}"/>
    <cellStyle name="Comma 32 4 3" xfId="1041" xr:uid="{00000000-0005-0000-0000-00000F040000}"/>
    <cellStyle name="Comma 32 4 3 2" xfId="1042" xr:uid="{00000000-0005-0000-0000-000010040000}"/>
    <cellStyle name="Comma 32 4 4" xfId="1043" xr:uid="{00000000-0005-0000-0000-000011040000}"/>
    <cellStyle name="Comma 32 4 5" xfId="1044" xr:uid="{00000000-0005-0000-0000-000012040000}"/>
    <cellStyle name="Comma 32 5" xfId="1045" xr:uid="{00000000-0005-0000-0000-000013040000}"/>
    <cellStyle name="Comma 32 6" xfId="1046" xr:uid="{00000000-0005-0000-0000-000014040000}"/>
    <cellStyle name="Comma 33" xfId="1047" xr:uid="{00000000-0005-0000-0000-000015040000}"/>
    <cellStyle name="Comma 33 2" xfId="1048" xr:uid="{00000000-0005-0000-0000-000016040000}"/>
    <cellStyle name="Comma 34" xfId="1049" xr:uid="{00000000-0005-0000-0000-000017040000}"/>
    <cellStyle name="Comma 34 2" xfId="1050" xr:uid="{00000000-0005-0000-0000-000018040000}"/>
    <cellStyle name="Comma 35" xfId="1051" xr:uid="{00000000-0005-0000-0000-000019040000}"/>
    <cellStyle name="Comma 35 2" xfId="1052" xr:uid="{00000000-0005-0000-0000-00001A040000}"/>
    <cellStyle name="Comma 36" xfId="1053" xr:uid="{00000000-0005-0000-0000-00001B040000}"/>
    <cellStyle name="Comma 37" xfId="1054" xr:uid="{00000000-0005-0000-0000-00001C040000}"/>
    <cellStyle name="Comma 38" xfId="1055" xr:uid="{00000000-0005-0000-0000-00001D040000}"/>
    <cellStyle name="Comma 39" xfId="1056" xr:uid="{00000000-0005-0000-0000-00001E040000}"/>
    <cellStyle name="Comma 4" xfId="1057" xr:uid="{00000000-0005-0000-0000-00001F040000}"/>
    <cellStyle name="Comma 4 10" xfId="1058" xr:uid="{00000000-0005-0000-0000-000020040000}"/>
    <cellStyle name="Comma 4 11" xfId="1059" xr:uid="{00000000-0005-0000-0000-000021040000}"/>
    <cellStyle name="Comma 4 12" xfId="1060" xr:uid="{00000000-0005-0000-0000-000022040000}"/>
    <cellStyle name="Comma 4 13" xfId="1061" xr:uid="{00000000-0005-0000-0000-000023040000}"/>
    <cellStyle name="Comma 4 14" xfId="1062" xr:uid="{00000000-0005-0000-0000-000024040000}"/>
    <cellStyle name="Comma 4 15" xfId="1063" xr:uid="{00000000-0005-0000-0000-000025040000}"/>
    <cellStyle name="Comma 4 16" xfId="1064" xr:uid="{00000000-0005-0000-0000-000026040000}"/>
    <cellStyle name="Comma 4 2" xfId="1065" xr:uid="{00000000-0005-0000-0000-000027040000}"/>
    <cellStyle name="Comma 4 2 2" xfId="1066" xr:uid="{00000000-0005-0000-0000-000028040000}"/>
    <cellStyle name="Comma 4 2 2 2" xfId="1067" xr:uid="{00000000-0005-0000-0000-000029040000}"/>
    <cellStyle name="Comma 4 2 2 2 2" xfId="1068" xr:uid="{00000000-0005-0000-0000-00002A040000}"/>
    <cellStyle name="Comma 4 2 2 2 3" xfId="1069" xr:uid="{00000000-0005-0000-0000-00002B040000}"/>
    <cellStyle name="Comma 4 2 2 3" xfId="1070" xr:uid="{00000000-0005-0000-0000-00002C040000}"/>
    <cellStyle name="Comma 4 2 2 3 2" xfId="1071" xr:uid="{00000000-0005-0000-0000-00002D040000}"/>
    <cellStyle name="Comma 4 2 2 4" xfId="1072" xr:uid="{00000000-0005-0000-0000-00002E040000}"/>
    <cellStyle name="Comma 4 2 2 5" xfId="1073" xr:uid="{00000000-0005-0000-0000-00002F040000}"/>
    <cellStyle name="Comma 4 3" xfId="1074" xr:uid="{00000000-0005-0000-0000-000030040000}"/>
    <cellStyle name="Comma 4 4" xfId="1075" xr:uid="{00000000-0005-0000-0000-000031040000}"/>
    <cellStyle name="Comma 4 5" xfId="1076" xr:uid="{00000000-0005-0000-0000-000032040000}"/>
    <cellStyle name="Comma 4 6" xfId="1077" xr:uid="{00000000-0005-0000-0000-000033040000}"/>
    <cellStyle name="Comma 4 7" xfId="1078" xr:uid="{00000000-0005-0000-0000-000034040000}"/>
    <cellStyle name="Comma 4 8" xfId="1079" xr:uid="{00000000-0005-0000-0000-000035040000}"/>
    <cellStyle name="Comma 4 9" xfId="1080" xr:uid="{00000000-0005-0000-0000-000036040000}"/>
    <cellStyle name="Comma 40" xfId="1081" xr:uid="{00000000-0005-0000-0000-000037040000}"/>
    <cellStyle name="Comma 40 2" xfId="1082" xr:uid="{00000000-0005-0000-0000-000038040000}"/>
    <cellStyle name="Comma 41" xfId="1083" xr:uid="{00000000-0005-0000-0000-000039040000}"/>
    <cellStyle name="Comma 41 2" xfId="1084" xr:uid="{00000000-0005-0000-0000-00003A040000}"/>
    <cellStyle name="Comma 41 3" xfId="1085" xr:uid="{00000000-0005-0000-0000-00003B040000}"/>
    <cellStyle name="Comma 42" xfId="1086" xr:uid="{00000000-0005-0000-0000-00003C040000}"/>
    <cellStyle name="Comma 43" xfId="1087" xr:uid="{00000000-0005-0000-0000-00003D040000}"/>
    <cellStyle name="Comma 44" xfId="1088" xr:uid="{00000000-0005-0000-0000-00003E040000}"/>
    <cellStyle name="Comma 45" xfId="1089" xr:uid="{00000000-0005-0000-0000-00003F040000}"/>
    <cellStyle name="Comma 46" xfId="1090" xr:uid="{00000000-0005-0000-0000-000040040000}"/>
    <cellStyle name="Comma 47" xfId="1091" xr:uid="{00000000-0005-0000-0000-000041040000}"/>
    <cellStyle name="Comma 48" xfId="1092" xr:uid="{00000000-0005-0000-0000-000042040000}"/>
    <cellStyle name="Comma 49" xfId="1093" xr:uid="{00000000-0005-0000-0000-000043040000}"/>
    <cellStyle name="Comma 5" xfId="1094" xr:uid="{00000000-0005-0000-0000-000044040000}"/>
    <cellStyle name="Comma 5 2" xfId="1095" xr:uid="{00000000-0005-0000-0000-000045040000}"/>
    <cellStyle name="Comma 5 2 2" xfId="1096" xr:uid="{00000000-0005-0000-0000-000046040000}"/>
    <cellStyle name="Comma 5 2 3" xfId="2980" xr:uid="{00000000-0005-0000-0000-000047040000}"/>
    <cellStyle name="Comma 5 3" xfId="1097" xr:uid="{00000000-0005-0000-0000-000048040000}"/>
    <cellStyle name="Comma 5 3 2" xfId="1098" xr:uid="{00000000-0005-0000-0000-000049040000}"/>
    <cellStyle name="Comma 5 3 2 2" xfId="1099" xr:uid="{00000000-0005-0000-0000-00004A040000}"/>
    <cellStyle name="Comma 5 3 2 2 2" xfId="1100" xr:uid="{00000000-0005-0000-0000-00004B040000}"/>
    <cellStyle name="Comma 5 3 2 2 3" xfId="1101" xr:uid="{00000000-0005-0000-0000-00004C040000}"/>
    <cellStyle name="Comma 5 3 2 3" xfId="1102" xr:uid="{00000000-0005-0000-0000-00004D040000}"/>
    <cellStyle name="Comma 5 3 2 3 2" xfId="1103" xr:uid="{00000000-0005-0000-0000-00004E040000}"/>
    <cellStyle name="Comma 5 3 2 4" xfId="1104" xr:uid="{00000000-0005-0000-0000-00004F040000}"/>
    <cellStyle name="Comma 5 3 2 5" xfId="1105" xr:uid="{00000000-0005-0000-0000-000050040000}"/>
    <cellStyle name="Comma 5 4" xfId="1106" xr:uid="{00000000-0005-0000-0000-000051040000}"/>
    <cellStyle name="Comma 5 5" xfId="1107" xr:uid="{00000000-0005-0000-0000-000052040000}"/>
    <cellStyle name="Comma 50" xfId="1108" xr:uid="{00000000-0005-0000-0000-000053040000}"/>
    <cellStyle name="Comma 51" xfId="1109" xr:uid="{00000000-0005-0000-0000-000054040000}"/>
    <cellStyle name="Comma 52" xfId="1110" xr:uid="{00000000-0005-0000-0000-000055040000}"/>
    <cellStyle name="Comma 53" xfId="1111" xr:uid="{00000000-0005-0000-0000-000056040000}"/>
    <cellStyle name="Comma 54" xfId="1112" xr:uid="{00000000-0005-0000-0000-000057040000}"/>
    <cellStyle name="Comma 54 2" xfId="1113" xr:uid="{00000000-0005-0000-0000-000058040000}"/>
    <cellStyle name="Comma 54 3" xfId="2" xr:uid="{00000000-0005-0000-0000-000059040000}"/>
    <cellStyle name="Comma 6" xfId="1114" xr:uid="{00000000-0005-0000-0000-00005A040000}"/>
    <cellStyle name="Comma 6 2" xfId="1115" xr:uid="{00000000-0005-0000-0000-00005B040000}"/>
    <cellStyle name="Comma 6 3" xfId="1116" xr:uid="{00000000-0005-0000-0000-00005C040000}"/>
    <cellStyle name="Comma 7" xfId="1117" xr:uid="{00000000-0005-0000-0000-00005D040000}"/>
    <cellStyle name="Comma 7 2" xfId="1118" xr:uid="{00000000-0005-0000-0000-00005E040000}"/>
    <cellStyle name="Comma 7 3" xfId="1119" xr:uid="{00000000-0005-0000-0000-00005F040000}"/>
    <cellStyle name="Comma 7 3 2" xfId="1120" xr:uid="{00000000-0005-0000-0000-000060040000}"/>
    <cellStyle name="Comma 7 3 2 2" xfId="1121" xr:uid="{00000000-0005-0000-0000-000061040000}"/>
    <cellStyle name="Comma 7 3 2 3" xfId="1122" xr:uid="{00000000-0005-0000-0000-000062040000}"/>
    <cellStyle name="Comma 7 3 3" xfId="1123" xr:uid="{00000000-0005-0000-0000-000063040000}"/>
    <cellStyle name="Comma 7 3 3 2" xfId="1124" xr:uid="{00000000-0005-0000-0000-000064040000}"/>
    <cellStyle name="Comma 7 3 4" xfId="1125" xr:uid="{00000000-0005-0000-0000-000065040000}"/>
    <cellStyle name="Comma 7 3 5" xfId="1126" xr:uid="{00000000-0005-0000-0000-000066040000}"/>
    <cellStyle name="Comma 7 4" xfId="1127" xr:uid="{00000000-0005-0000-0000-000067040000}"/>
    <cellStyle name="Comma 7 4 2" xfId="1128" xr:uid="{00000000-0005-0000-0000-000068040000}"/>
    <cellStyle name="Comma 7 4 2 2" xfId="1129" xr:uid="{00000000-0005-0000-0000-000069040000}"/>
    <cellStyle name="Comma 7 4 2 2 2" xfId="1130" xr:uid="{00000000-0005-0000-0000-00006A040000}"/>
    <cellStyle name="Comma 7 4 2 2 3" xfId="1131" xr:uid="{00000000-0005-0000-0000-00006B040000}"/>
    <cellStyle name="Comma 7 4 2 3" xfId="1132" xr:uid="{00000000-0005-0000-0000-00006C040000}"/>
    <cellStyle name="Comma 7 4 2 3 2" xfId="1133" xr:uid="{00000000-0005-0000-0000-00006D040000}"/>
    <cellStyle name="Comma 7 4 2 4" xfId="1134" xr:uid="{00000000-0005-0000-0000-00006E040000}"/>
    <cellStyle name="Comma 7 4 2 5" xfId="1135" xr:uid="{00000000-0005-0000-0000-00006F040000}"/>
    <cellStyle name="Comma 7 4 3" xfId="1136" xr:uid="{00000000-0005-0000-0000-000070040000}"/>
    <cellStyle name="Comma 7 4 3 2" xfId="1137" xr:uid="{00000000-0005-0000-0000-000071040000}"/>
    <cellStyle name="Comma 7 4 3 3" xfId="1138" xr:uid="{00000000-0005-0000-0000-000072040000}"/>
    <cellStyle name="Comma 7 4 4" xfId="1139" xr:uid="{00000000-0005-0000-0000-000073040000}"/>
    <cellStyle name="Comma 7 4 4 2" xfId="1140" xr:uid="{00000000-0005-0000-0000-000074040000}"/>
    <cellStyle name="Comma 7 4 5" xfId="1141" xr:uid="{00000000-0005-0000-0000-000075040000}"/>
    <cellStyle name="Comma 7 4 6" xfId="1142" xr:uid="{00000000-0005-0000-0000-000076040000}"/>
    <cellStyle name="Comma 8" xfId="1143" xr:uid="{00000000-0005-0000-0000-000077040000}"/>
    <cellStyle name="Comma 8 2" xfId="1144" xr:uid="{00000000-0005-0000-0000-000078040000}"/>
    <cellStyle name="Comma 8 2 2" xfId="1145" xr:uid="{00000000-0005-0000-0000-000079040000}"/>
    <cellStyle name="Comma 8 2 2 2" xfId="1146" xr:uid="{00000000-0005-0000-0000-00007A040000}"/>
    <cellStyle name="Comma 8 2 2 3" xfId="1147" xr:uid="{00000000-0005-0000-0000-00007B040000}"/>
    <cellStyle name="Comma 8 2 3" xfId="1148" xr:uid="{00000000-0005-0000-0000-00007C040000}"/>
    <cellStyle name="Comma 8 2 3 2" xfId="1149" xr:uid="{00000000-0005-0000-0000-00007D040000}"/>
    <cellStyle name="Comma 8 2 4" xfId="1150" xr:uid="{00000000-0005-0000-0000-00007E040000}"/>
    <cellStyle name="Comma 8 2 5" xfId="1151" xr:uid="{00000000-0005-0000-0000-00007F040000}"/>
    <cellStyle name="Comma 9" xfId="1152" xr:uid="{00000000-0005-0000-0000-000080040000}"/>
    <cellStyle name="Comma 9 2" xfId="1153" xr:uid="{00000000-0005-0000-0000-000081040000}"/>
    <cellStyle name="Comma0" xfId="1154" xr:uid="{00000000-0005-0000-0000-000082040000}"/>
    <cellStyle name="Comma0 - Modelo1" xfId="1155" xr:uid="{00000000-0005-0000-0000-000083040000}"/>
    <cellStyle name="Comma0 - Modelo1 2" xfId="1156" xr:uid="{00000000-0005-0000-0000-000084040000}"/>
    <cellStyle name="Comma0 - Style1" xfId="1157" xr:uid="{00000000-0005-0000-0000-000085040000}"/>
    <cellStyle name="Comma0 - Style1 2" xfId="1158" xr:uid="{00000000-0005-0000-0000-000086040000}"/>
    <cellStyle name="Comma0_Alimesa - DD.JJ. IG-IGMP 6-2005" xfId="1159" xr:uid="{00000000-0005-0000-0000-000087040000}"/>
    <cellStyle name="Comma1 - Modelo2" xfId="1160" xr:uid="{00000000-0005-0000-0000-000088040000}"/>
    <cellStyle name="Comma1 - Modelo2 2" xfId="1161" xr:uid="{00000000-0005-0000-0000-000089040000}"/>
    <cellStyle name="Comma1 - Style2" xfId="1162" xr:uid="{00000000-0005-0000-0000-00008A040000}"/>
    <cellStyle name="Comma1 - Style2 2" xfId="1163" xr:uid="{00000000-0005-0000-0000-00008B040000}"/>
    <cellStyle name="Copied" xfId="1164" xr:uid="{00000000-0005-0000-0000-00008C040000}"/>
    <cellStyle name="Cover presentation title" xfId="1165" xr:uid="{00000000-0005-0000-0000-00008D040000}"/>
    <cellStyle name="Currency (0)" xfId="1166" xr:uid="{00000000-0005-0000-0000-00008E040000}"/>
    <cellStyle name="Currency (2)" xfId="1167" xr:uid="{00000000-0005-0000-0000-00008F040000}"/>
    <cellStyle name="Currency (hidden)" xfId="1168" xr:uid="{00000000-0005-0000-0000-000090040000}"/>
    <cellStyle name="Currency [00]" xfId="1169" xr:uid="{00000000-0005-0000-0000-000091040000}"/>
    <cellStyle name="Currency [00] 2" xfId="1170" xr:uid="{00000000-0005-0000-0000-000092040000}"/>
    <cellStyle name="Currency [00] 3" xfId="1171" xr:uid="{00000000-0005-0000-0000-000093040000}"/>
    <cellStyle name="Currency [00] 4" xfId="1172" xr:uid="{00000000-0005-0000-0000-000094040000}"/>
    <cellStyle name="Currency [00] 5" xfId="1173" xr:uid="{00000000-0005-0000-0000-000095040000}"/>
    <cellStyle name="Currency [2]" xfId="1174" xr:uid="{00000000-0005-0000-0000-000096040000}"/>
    <cellStyle name="Currency 0" xfId="1175" xr:uid="{00000000-0005-0000-0000-000097040000}"/>
    <cellStyle name="Currency 2" xfId="1176" xr:uid="{00000000-0005-0000-0000-000098040000}"/>
    <cellStyle name="Currency 2 2" xfId="1177" xr:uid="{00000000-0005-0000-0000-000099040000}"/>
    <cellStyle name="Currency 3" xfId="1178" xr:uid="{00000000-0005-0000-0000-00009A040000}"/>
    <cellStyle name="Currency0" xfId="1179" xr:uid="{00000000-0005-0000-0000-00009B040000}"/>
    <cellStyle name="Currency1" xfId="1180" xr:uid="{00000000-0005-0000-0000-00009C040000}"/>
    <cellStyle name="Custom - Style8" xfId="1181" xr:uid="{00000000-0005-0000-0000-00009D040000}"/>
    <cellStyle name="Dan" xfId="1182" xr:uid="{00000000-0005-0000-0000-00009E040000}"/>
    <cellStyle name="Dan 2" xfId="1183" xr:uid="{00000000-0005-0000-0000-00009F040000}"/>
    <cellStyle name="Data   - Style2" xfId="1184" xr:uid="{00000000-0005-0000-0000-0000A0040000}"/>
    <cellStyle name="Date" xfId="1185" xr:uid="{00000000-0005-0000-0000-0000A1040000}"/>
    <cellStyle name="Date 2" xfId="1186" xr:uid="{00000000-0005-0000-0000-0000A2040000}"/>
    <cellStyle name="Date Aligned" xfId="1187" xr:uid="{00000000-0005-0000-0000-0000A3040000}"/>
    <cellStyle name="Date Short" xfId="1188" xr:uid="{00000000-0005-0000-0000-0000A4040000}"/>
    <cellStyle name="Date_Provisión 12.2006 - B&amp;D " xfId="1189" xr:uid="{00000000-0005-0000-0000-0000A5040000}"/>
    <cellStyle name="Dates" xfId="1190" xr:uid="{00000000-0005-0000-0000-0000A6040000}"/>
    <cellStyle name="Date-Time" xfId="1191" xr:uid="{00000000-0005-0000-0000-0000A7040000}"/>
    <cellStyle name="Datum" xfId="1192" xr:uid="{00000000-0005-0000-0000-0000A8040000}"/>
    <cellStyle name="Debit" xfId="1193" xr:uid="{00000000-0005-0000-0000-0000A9040000}"/>
    <cellStyle name="Decimal 1" xfId="1194" xr:uid="{00000000-0005-0000-0000-0000AA040000}"/>
    <cellStyle name="Decimal 2" xfId="1195" xr:uid="{00000000-0005-0000-0000-0000AB040000}"/>
    <cellStyle name="Decimal 3" xfId="1196" xr:uid="{00000000-0005-0000-0000-0000AC040000}"/>
    <cellStyle name="DELTA" xfId="1197" xr:uid="{00000000-0005-0000-0000-0000AD040000}"/>
    <cellStyle name="DELTA 2" xfId="1198" xr:uid="{00000000-0005-0000-0000-0000AE040000}"/>
    <cellStyle name="Dezimal [0]_D_X_1A" xfId="1199" xr:uid="{00000000-0005-0000-0000-0000AF040000}"/>
    <cellStyle name="Dezimal__Utopia Index Index und Guidance (Deutsch)" xfId="1200" xr:uid="{00000000-0005-0000-0000-0000B0040000}"/>
    <cellStyle name="Dia" xfId="1201" xr:uid="{00000000-0005-0000-0000-0000B1040000}"/>
    <cellStyle name="Dia 2" xfId="1202" xr:uid="{00000000-0005-0000-0000-0000B2040000}"/>
    <cellStyle name="Dotted Line" xfId="1203" xr:uid="{00000000-0005-0000-0000-0000B3040000}"/>
    <cellStyle name="Dziesiętny [0]_laroux" xfId="1204" xr:uid="{00000000-0005-0000-0000-0000B4040000}"/>
    <cellStyle name="Dziesiętny_laroux" xfId="1205" xr:uid="{00000000-0005-0000-0000-0000B5040000}"/>
    <cellStyle name="E&amp;Y House" xfId="1206" xr:uid="{00000000-0005-0000-0000-0000B6040000}"/>
    <cellStyle name="elon test" xfId="1207" xr:uid="{00000000-0005-0000-0000-0000B7040000}"/>
    <cellStyle name="Encabez1" xfId="1208" xr:uid="{00000000-0005-0000-0000-0000B8040000}"/>
    <cellStyle name="Encabez2" xfId="1209" xr:uid="{00000000-0005-0000-0000-0000B9040000}"/>
    <cellStyle name="Encabezado 1" xfId="1210" xr:uid="{00000000-0005-0000-0000-0000BA040000}"/>
    <cellStyle name="Encabezado 1 2" xfId="1211" xr:uid="{00000000-0005-0000-0000-0000BB040000}"/>
    <cellStyle name="Encabezado 2" xfId="1212" xr:uid="{00000000-0005-0000-0000-0000BC040000}"/>
    <cellStyle name="Encabezado 2 2" xfId="1213" xr:uid="{00000000-0005-0000-0000-0000BD040000}"/>
    <cellStyle name="Encabezado 4" xfId="1214" xr:uid="{00000000-0005-0000-0000-0000BE040000}"/>
    <cellStyle name="Encabezado 4 2" xfId="1215" xr:uid="{00000000-0005-0000-0000-0000BF040000}"/>
    <cellStyle name="Encabezado 4 3" xfId="1216" xr:uid="{00000000-0005-0000-0000-0000C0040000}"/>
    <cellStyle name="Énfasis1" xfId="1217" xr:uid="{00000000-0005-0000-0000-0000C1040000}"/>
    <cellStyle name="Énfasis1 2" xfId="1218" xr:uid="{00000000-0005-0000-0000-0000C2040000}"/>
    <cellStyle name="Énfasis1 3" xfId="1219" xr:uid="{00000000-0005-0000-0000-0000C3040000}"/>
    <cellStyle name="Énfasis1 4" xfId="1220" xr:uid="{00000000-0005-0000-0000-0000C4040000}"/>
    <cellStyle name="Énfasis2" xfId="1221" xr:uid="{00000000-0005-0000-0000-0000C5040000}"/>
    <cellStyle name="Énfasis2 2" xfId="1222" xr:uid="{00000000-0005-0000-0000-0000C6040000}"/>
    <cellStyle name="Énfasis2 3" xfId="1223" xr:uid="{00000000-0005-0000-0000-0000C7040000}"/>
    <cellStyle name="Énfasis3" xfId="1224" xr:uid="{00000000-0005-0000-0000-0000C8040000}"/>
    <cellStyle name="Énfasis3 2" xfId="1225" xr:uid="{00000000-0005-0000-0000-0000C9040000}"/>
    <cellStyle name="Énfasis3 3" xfId="1226" xr:uid="{00000000-0005-0000-0000-0000CA040000}"/>
    <cellStyle name="Énfasis4" xfId="1227" xr:uid="{00000000-0005-0000-0000-0000CB040000}"/>
    <cellStyle name="Énfasis4 2" xfId="1228" xr:uid="{00000000-0005-0000-0000-0000CC040000}"/>
    <cellStyle name="Énfasis4 3" xfId="1229" xr:uid="{00000000-0005-0000-0000-0000CD040000}"/>
    <cellStyle name="Énfasis5" xfId="1230" xr:uid="{00000000-0005-0000-0000-0000CE040000}"/>
    <cellStyle name="Énfasis5 2" xfId="1231" xr:uid="{00000000-0005-0000-0000-0000CF040000}"/>
    <cellStyle name="Énfasis5 3" xfId="1232" xr:uid="{00000000-0005-0000-0000-0000D0040000}"/>
    <cellStyle name="Énfasis6" xfId="1233" xr:uid="{00000000-0005-0000-0000-0000D1040000}"/>
    <cellStyle name="Énfasis6 2" xfId="1234" xr:uid="{00000000-0005-0000-0000-0000D2040000}"/>
    <cellStyle name="Énfasis6 3" xfId="1235" xr:uid="{00000000-0005-0000-0000-0000D3040000}"/>
    <cellStyle name="Enter Currency (0)" xfId="1236" xr:uid="{00000000-0005-0000-0000-0000D4040000}"/>
    <cellStyle name="Enter Currency (0) 2" xfId="1237" xr:uid="{00000000-0005-0000-0000-0000D5040000}"/>
    <cellStyle name="Enter Currency (0) 3" xfId="1238" xr:uid="{00000000-0005-0000-0000-0000D6040000}"/>
    <cellStyle name="Enter Currency (0) 4" xfId="1239" xr:uid="{00000000-0005-0000-0000-0000D7040000}"/>
    <cellStyle name="Enter Currency (2)" xfId="1240" xr:uid="{00000000-0005-0000-0000-0000D8040000}"/>
    <cellStyle name="Enter Currency (2) 2" xfId="1241" xr:uid="{00000000-0005-0000-0000-0000D9040000}"/>
    <cellStyle name="Enter Currency (2) 3" xfId="1242" xr:uid="{00000000-0005-0000-0000-0000DA040000}"/>
    <cellStyle name="Enter Currency (2) 4" xfId="1243" xr:uid="{00000000-0005-0000-0000-0000DB040000}"/>
    <cellStyle name="Enter Units (0)" xfId="1244" xr:uid="{00000000-0005-0000-0000-0000DC040000}"/>
    <cellStyle name="Enter Units (0) 2" xfId="1245" xr:uid="{00000000-0005-0000-0000-0000DD040000}"/>
    <cellStyle name="Enter Units (0) 3" xfId="1246" xr:uid="{00000000-0005-0000-0000-0000DE040000}"/>
    <cellStyle name="Enter Units (0) 4" xfId="1247" xr:uid="{00000000-0005-0000-0000-0000DF040000}"/>
    <cellStyle name="Enter Units (1)" xfId="1248" xr:uid="{00000000-0005-0000-0000-0000E0040000}"/>
    <cellStyle name="Enter Units (1) 2" xfId="1249" xr:uid="{00000000-0005-0000-0000-0000E1040000}"/>
    <cellStyle name="Enter Units (1) 3" xfId="1250" xr:uid="{00000000-0005-0000-0000-0000E2040000}"/>
    <cellStyle name="Enter Units (1) 4" xfId="1251" xr:uid="{00000000-0005-0000-0000-0000E3040000}"/>
    <cellStyle name="Enter Units (2)" xfId="1252" xr:uid="{00000000-0005-0000-0000-0000E4040000}"/>
    <cellStyle name="Enter Units (2) 2" xfId="1253" xr:uid="{00000000-0005-0000-0000-0000E5040000}"/>
    <cellStyle name="Enter Units (2) 3" xfId="1254" xr:uid="{00000000-0005-0000-0000-0000E6040000}"/>
    <cellStyle name="Enter Units (2) 4" xfId="1255" xr:uid="{00000000-0005-0000-0000-0000E7040000}"/>
    <cellStyle name="Entered" xfId="1256" xr:uid="{00000000-0005-0000-0000-0000E8040000}"/>
    <cellStyle name="Entrada" xfId="1257" xr:uid="{00000000-0005-0000-0000-0000E9040000}"/>
    <cellStyle name="Entrada 2" xfId="1258" xr:uid="{00000000-0005-0000-0000-0000EA040000}"/>
    <cellStyle name="Entrada 2 2" xfId="1259" xr:uid="{00000000-0005-0000-0000-0000EB040000}"/>
    <cellStyle name="Entrada 2 3" xfId="1260" xr:uid="{00000000-0005-0000-0000-0000EC040000}"/>
    <cellStyle name="Entrada 3" xfId="1261" xr:uid="{00000000-0005-0000-0000-0000ED040000}"/>
    <cellStyle name="Entrada 3 2" xfId="1262" xr:uid="{00000000-0005-0000-0000-0000EE040000}"/>
    <cellStyle name="Entrada 3 3" xfId="1263" xr:uid="{00000000-0005-0000-0000-0000EF040000}"/>
    <cellStyle name="Entrada 4" xfId="1264" xr:uid="{00000000-0005-0000-0000-0000F0040000}"/>
    <cellStyle name="Entrada 5" xfId="1265" xr:uid="{00000000-0005-0000-0000-0000F1040000}"/>
    <cellStyle name="Estilo 1" xfId="1266" xr:uid="{00000000-0005-0000-0000-0000F2040000}"/>
    <cellStyle name="Estilo 1 2" xfId="1267" xr:uid="{00000000-0005-0000-0000-0000F3040000}"/>
    <cellStyle name="Estilo 1 3" xfId="1268" xr:uid="{00000000-0005-0000-0000-0000F4040000}"/>
    <cellStyle name="Estilo 1 4" xfId="1269" xr:uid="{00000000-0005-0000-0000-0000F5040000}"/>
    <cellStyle name="Estilo 1 4 2" xfId="1270" xr:uid="{00000000-0005-0000-0000-0000F6040000}"/>
    <cellStyle name="Estilo 1 5" xfId="1271" xr:uid="{00000000-0005-0000-0000-0000F7040000}"/>
    <cellStyle name="Estilo 1_R&amp;D and Nutrisun Argentina" xfId="1272" xr:uid="{00000000-0005-0000-0000-0000F8040000}"/>
    <cellStyle name="Estilo 2" xfId="1273" xr:uid="{00000000-0005-0000-0000-0000F9040000}"/>
    <cellStyle name="ET měna" xfId="1274" xr:uid="{00000000-0005-0000-0000-0000FA040000}"/>
    <cellStyle name="ET procenta" xfId="1275" xr:uid="{00000000-0005-0000-0000-0000FB040000}"/>
    <cellStyle name="Euro" xfId="1276" xr:uid="{00000000-0005-0000-0000-0000FC040000}"/>
    <cellStyle name="Euro 2" xfId="1277" xr:uid="{00000000-0005-0000-0000-0000FD040000}"/>
    <cellStyle name="Euro 3" xfId="1278" xr:uid="{00000000-0005-0000-0000-0000FE040000}"/>
    <cellStyle name="Euro 3 2" xfId="1279" xr:uid="{00000000-0005-0000-0000-0000FF040000}"/>
    <cellStyle name="Euro 4" xfId="1280" xr:uid="{00000000-0005-0000-0000-000000050000}"/>
    <cellStyle name="Euro_ASAR Forex Calculation (May &amp; June)" xfId="1281" xr:uid="{00000000-0005-0000-0000-000001050000}"/>
    <cellStyle name="Explanatory Text 2" xfId="1282" xr:uid="{00000000-0005-0000-0000-000002050000}"/>
    <cellStyle name="Explanatory Text 2 2" xfId="1283" xr:uid="{00000000-0005-0000-0000-000003050000}"/>
    <cellStyle name="Explanatory Text 2 3" xfId="1284" xr:uid="{00000000-0005-0000-0000-000004050000}"/>
    <cellStyle name="Explanatory Text 3" xfId="1285" xr:uid="{00000000-0005-0000-0000-000005050000}"/>
    <cellStyle name="Explanatory Text 3 2" xfId="1286" xr:uid="{00000000-0005-0000-0000-000006050000}"/>
    <cellStyle name="Explanatory Text 3 3" xfId="1287" xr:uid="{00000000-0005-0000-0000-000007050000}"/>
    <cellStyle name="Explanatory Text 4" xfId="1288" xr:uid="{00000000-0005-0000-0000-000008050000}"/>
    <cellStyle name="F2" xfId="1289" xr:uid="{00000000-0005-0000-0000-000009050000}"/>
    <cellStyle name="F3" xfId="1290" xr:uid="{00000000-0005-0000-0000-00000A050000}"/>
    <cellStyle name="F4" xfId="1291" xr:uid="{00000000-0005-0000-0000-00000B050000}"/>
    <cellStyle name="F5" xfId="1292" xr:uid="{00000000-0005-0000-0000-00000C050000}"/>
    <cellStyle name="F6" xfId="1293" xr:uid="{00000000-0005-0000-0000-00000D050000}"/>
    <cellStyle name="F7" xfId="1294" xr:uid="{00000000-0005-0000-0000-00000E050000}"/>
    <cellStyle name="F8" xfId="1295" xr:uid="{00000000-0005-0000-0000-00000F050000}"/>
    <cellStyle name="Fecha" xfId="1296" xr:uid="{00000000-0005-0000-0000-000010050000}"/>
    <cellStyle name="Fecha 2" xfId="1297" xr:uid="{00000000-0005-0000-0000-000011050000}"/>
    <cellStyle name="Fijo" xfId="1298" xr:uid="{00000000-0005-0000-0000-000012050000}"/>
    <cellStyle name="Financiero" xfId="1299" xr:uid="{00000000-0005-0000-0000-000013050000}"/>
    <cellStyle name="Fixed" xfId="1300" xr:uid="{00000000-0005-0000-0000-000014050000}"/>
    <cellStyle name="Footnote" xfId="1301" xr:uid="{00000000-0005-0000-0000-000015050000}"/>
    <cellStyle name="Good 2" xfId="1302" xr:uid="{00000000-0005-0000-0000-000016050000}"/>
    <cellStyle name="Good 2 2" xfId="1303" xr:uid="{00000000-0005-0000-0000-000017050000}"/>
    <cellStyle name="Good 2 3" xfId="1304" xr:uid="{00000000-0005-0000-0000-000018050000}"/>
    <cellStyle name="Good 3" xfId="1305" xr:uid="{00000000-0005-0000-0000-000019050000}"/>
    <cellStyle name="Good 3 2" xfId="1306" xr:uid="{00000000-0005-0000-0000-00001A050000}"/>
    <cellStyle name="Good 3 3" xfId="1307" xr:uid="{00000000-0005-0000-0000-00001B050000}"/>
    <cellStyle name="Good 4" xfId="1308" xr:uid="{00000000-0005-0000-0000-00001C050000}"/>
    <cellStyle name="Grey" xfId="1309" xr:uid="{00000000-0005-0000-0000-00001D050000}"/>
    <cellStyle name="Grey 2" xfId="1310" xr:uid="{00000000-0005-0000-0000-00001E050000}"/>
    <cellStyle name="GSM_Barva" xfId="1311" xr:uid="{00000000-0005-0000-0000-00001F050000}"/>
    <cellStyle name="Hard Percent" xfId="1312" xr:uid="{00000000-0005-0000-0000-000020050000}"/>
    <cellStyle name="Header" xfId="1313" xr:uid="{00000000-0005-0000-0000-000021050000}"/>
    <cellStyle name="Header1" xfId="1314" xr:uid="{00000000-0005-0000-0000-000022050000}"/>
    <cellStyle name="Header1 2" xfId="1315" xr:uid="{00000000-0005-0000-0000-000023050000}"/>
    <cellStyle name="Header1_Note- Segment Report - final" xfId="1316" xr:uid="{00000000-0005-0000-0000-000024050000}"/>
    <cellStyle name="Header2" xfId="1317" xr:uid="{00000000-0005-0000-0000-000025050000}"/>
    <cellStyle name="Header2 2" xfId="1318" xr:uid="{00000000-0005-0000-0000-000026050000}"/>
    <cellStyle name="Header2 2 2" xfId="1319" xr:uid="{00000000-0005-0000-0000-000027050000}"/>
    <cellStyle name="Header2 3" xfId="1320" xr:uid="{00000000-0005-0000-0000-000028050000}"/>
    <cellStyle name="Header2_Note- Segment Report - final" xfId="1321" xr:uid="{00000000-0005-0000-0000-000029050000}"/>
    <cellStyle name="Heading" xfId="1322" xr:uid="{00000000-0005-0000-0000-00002A050000}"/>
    <cellStyle name="Heading 1 2" xfId="1323" xr:uid="{00000000-0005-0000-0000-00002B050000}"/>
    <cellStyle name="Heading 1 2 2" xfId="1324" xr:uid="{00000000-0005-0000-0000-00002C050000}"/>
    <cellStyle name="Heading 1 2 3" xfId="1325" xr:uid="{00000000-0005-0000-0000-00002D050000}"/>
    <cellStyle name="Heading 1 3" xfId="1326" xr:uid="{00000000-0005-0000-0000-00002E050000}"/>
    <cellStyle name="Heading 1 3 2" xfId="1327" xr:uid="{00000000-0005-0000-0000-00002F050000}"/>
    <cellStyle name="Heading 1 3 3" xfId="1328" xr:uid="{00000000-0005-0000-0000-000030050000}"/>
    <cellStyle name="Heading 1 4" xfId="1329" xr:uid="{00000000-0005-0000-0000-000031050000}"/>
    <cellStyle name="Heading 2 2" xfId="1330" xr:uid="{00000000-0005-0000-0000-000032050000}"/>
    <cellStyle name="Heading 2 2 2" xfId="1331" xr:uid="{00000000-0005-0000-0000-000033050000}"/>
    <cellStyle name="Heading 2 2 3" xfId="1332" xr:uid="{00000000-0005-0000-0000-000034050000}"/>
    <cellStyle name="Heading 2 3" xfId="1333" xr:uid="{00000000-0005-0000-0000-000035050000}"/>
    <cellStyle name="Heading 2 3 2" xfId="1334" xr:uid="{00000000-0005-0000-0000-000036050000}"/>
    <cellStyle name="Heading 2 3 3" xfId="1335" xr:uid="{00000000-0005-0000-0000-000037050000}"/>
    <cellStyle name="Heading 2 4" xfId="1336" xr:uid="{00000000-0005-0000-0000-000038050000}"/>
    <cellStyle name="Heading 3 2" xfId="1337" xr:uid="{00000000-0005-0000-0000-000039050000}"/>
    <cellStyle name="Heading 3 2 2" xfId="1338" xr:uid="{00000000-0005-0000-0000-00003A050000}"/>
    <cellStyle name="Heading 3 2 3" xfId="1339" xr:uid="{00000000-0005-0000-0000-00003B050000}"/>
    <cellStyle name="Heading 3 3" xfId="1340" xr:uid="{00000000-0005-0000-0000-00003C050000}"/>
    <cellStyle name="Heading 3 3 2" xfId="1341" xr:uid="{00000000-0005-0000-0000-00003D050000}"/>
    <cellStyle name="Heading 3 3 3" xfId="1342" xr:uid="{00000000-0005-0000-0000-00003E050000}"/>
    <cellStyle name="Heading 3 4" xfId="1343" xr:uid="{00000000-0005-0000-0000-00003F050000}"/>
    <cellStyle name="Heading 4 2" xfId="1344" xr:uid="{00000000-0005-0000-0000-000040050000}"/>
    <cellStyle name="Heading 4 2 2" xfId="1345" xr:uid="{00000000-0005-0000-0000-000041050000}"/>
    <cellStyle name="Heading 4 2 3" xfId="1346" xr:uid="{00000000-0005-0000-0000-000042050000}"/>
    <cellStyle name="Heading 4 3" xfId="1347" xr:uid="{00000000-0005-0000-0000-000043050000}"/>
    <cellStyle name="Heading 4 3 2" xfId="1348" xr:uid="{00000000-0005-0000-0000-000044050000}"/>
    <cellStyle name="Heading 4 3 3" xfId="1349" xr:uid="{00000000-0005-0000-0000-000045050000}"/>
    <cellStyle name="Heading 4 4" xfId="1350" xr:uid="{00000000-0005-0000-0000-000046050000}"/>
    <cellStyle name="Heading bar" xfId="1351" xr:uid="{00000000-0005-0000-0000-000047050000}"/>
    <cellStyle name="Heading page" xfId="1352" xr:uid="{00000000-0005-0000-0000-000048050000}"/>
    <cellStyle name="Heading1" xfId="1353" xr:uid="{00000000-0005-0000-0000-000049050000}"/>
    <cellStyle name="Heading2" xfId="1354" xr:uid="{00000000-0005-0000-0000-00004A050000}"/>
    <cellStyle name="HEADINGS" xfId="1355" xr:uid="{00000000-0005-0000-0000-00004B050000}"/>
    <cellStyle name="HEADINGSTOP" xfId="1356" xr:uid="{00000000-0005-0000-0000-00004C050000}"/>
    <cellStyle name="Helv 9 ctr wrap" xfId="1357" xr:uid="{00000000-0005-0000-0000-00004D050000}"/>
    <cellStyle name="Helv 9 lft wrap" xfId="1358" xr:uid="{00000000-0005-0000-0000-00004E050000}"/>
    <cellStyle name="Hernan" xfId="1359" xr:uid="{00000000-0005-0000-0000-00004F050000}"/>
    <cellStyle name="Hernan 2" xfId="1360" xr:uid="{00000000-0005-0000-0000-000050050000}"/>
    <cellStyle name="Hidden" xfId="1361" xr:uid="{00000000-0005-0000-0000-000051050000}"/>
    <cellStyle name="HspColumn" xfId="1362" xr:uid="{00000000-0005-0000-0000-000052050000}"/>
    <cellStyle name="HspColumnBottom" xfId="1363" xr:uid="{00000000-0005-0000-0000-000053050000}"/>
    <cellStyle name="HspCurrency" xfId="1364" xr:uid="{00000000-0005-0000-0000-000054050000}"/>
    <cellStyle name="HspNonCurrency" xfId="1365" xr:uid="{00000000-0005-0000-0000-000055050000}"/>
    <cellStyle name="HspPage" xfId="1366" xr:uid="{00000000-0005-0000-0000-000056050000}"/>
    <cellStyle name="HspPercentage" xfId="1367" xr:uid="{00000000-0005-0000-0000-000057050000}"/>
    <cellStyle name="HspPlanType" xfId="1368" xr:uid="{00000000-0005-0000-0000-000058050000}"/>
    <cellStyle name="HspPOV" xfId="1369" xr:uid="{00000000-0005-0000-0000-000059050000}"/>
    <cellStyle name="HspRow" xfId="1370" xr:uid="{00000000-0005-0000-0000-00005A050000}"/>
    <cellStyle name="Hyperlink 2" xfId="1371" xr:uid="{00000000-0005-0000-0000-00005C050000}"/>
    <cellStyle name="Hyperlink 3" xfId="2983" xr:uid="{00000000-0005-0000-0000-00005D050000}"/>
    <cellStyle name="Impsat" xfId="1372" xr:uid="{00000000-0005-0000-0000-00005E050000}"/>
    <cellStyle name="Impsat 2" xfId="1373" xr:uid="{00000000-0005-0000-0000-00005F050000}"/>
    <cellStyle name="Incorrecto" xfId="1374" xr:uid="{00000000-0005-0000-0000-000060050000}"/>
    <cellStyle name="Incorrecto 2" xfId="1375" xr:uid="{00000000-0005-0000-0000-000061050000}"/>
    <cellStyle name="Incorrecto 3" xfId="1376" xr:uid="{00000000-0005-0000-0000-000062050000}"/>
    <cellStyle name="Incorrecto 4" xfId="1377" xr:uid="{00000000-0005-0000-0000-000063050000}"/>
    <cellStyle name="Indent" xfId="1378" xr:uid="{00000000-0005-0000-0000-000064050000}"/>
    <cellStyle name="Indent 2" xfId="1379" xr:uid="{00000000-0005-0000-0000-000065050000}"/>
    <cellStyle name="Input %" xfId="1380" xr:uid="{00000000-0005-0000-0000-000066050000}"/>
    <cellStyle name="Input [yellow]" xfId="1381" xr:uid="{00000000-0005-0000-0000-000067050000}"/>
    <cellStyle name="Input [yellow] 2" xfId="1382" xr:uid="{00000000-0005-0000-0000-000068050000}"/>
    <cellStyle name="Input 1" xfId="1383" xr:uid="{00000000-0005-0000-0000-000069050000}"/>
    <cellStyle name="Input 10" xfId="1384" xr:uid="{00000000-0005-0000-0000-00006A050000}"/>
    <cellStyle name="Input 10 2" xfId="1385" xr:uid="{00000000-0005-0000-0000-00006B050000}"/>
    <cellStyle name="Input 10 3" xfId="1386" xr:uid="{00000000-0005-0000-0000-00006C050000}"/>
    <cellStyle name="Input 11" xfId="1387" xr:uid="{00000000-0005-0000-0000-00006D050000}"/>
    <cellStyle name="Input 11 2" xfId="1388" xr:uid="{00000000-0005-0000-0000-00006E050000}"/>
    <cellStyle name="Input 11 3" xfId="1389" xr:uid="{00000000-0005-0000-0000-00006F050000}"/>
    <cellStyle name="Input 12" xfId="1390" xr:uid="{00000000-0005-0000-0000-000070050000}"/>
    <cellStyle name="Input 12 2" xfId="1391" xr:uid="{00000000-0005-0000-0000-000071050000}"/>
    <cellStyle name="Input 12 3" xfId="1392" xr:uid="{00000000-0005-0000-0000-000072050000}"/>
    <cellStyle name="Input 13" xfId="1393" xr:uid="{00000000-0005-0000-0000-000073050000}"/>
    <cellStyle name="Input 13 2" xfId="1394" xr:uid="{00000000-0005-0000-0000-000074050000}"/>
    <cellStyle name="Input 13 3" xfId="1395" xr:uid="{00000000-0005-0000-0000-000075050000}"/>
    <cellStyle name="Input 14" xfId="1396" xr:uid="{00000000-0005-0000-0000-000076050000}"/>
    <cellStyle name="Input 14 2" xfId="1397" xr:uid="{00000000-0005-0000-0000-000077050000}"/>
    <cellStyle name="Input 14 3" xfId="1398" xr:uid="{00000000-0005-0000-0000-000078050000}"/>
    <cellStyle name="Input 15" xfId="1399" xr:uid="{00000000-0005-0000-0000-000079050000}"/>
    <cellStyle name="Input 15 2" xfId="1400" xr:uid="{00000000-0005-0000-0000-00007A050000}"/>
    <cellStyle name="Input 15 3" xfId="1401" xr:uid="{00000000-0005-0000-0000-00007B050000}"/>
    <cellStyle name="Input 16" xfId="1402" xr:uid="{00000000-0005-0000-0000-00007C050000}"/>
    <cellStyle name="Input 16 2" xfId="1403" xr:uid="{00000000-0005-0000-0000-00007D050000}"/>
    <cellStyle name="Input 16 3" xfId="1404" xr:uid="{00000000-0005-0000-0000-00007E050000}"/>
    <cellStyle name="Input 17" xfId="1405" xr:uid="{00000000-0005-0000-0000-00007F050000}"/>
    <cellStyle name="Input 17 2" xfId="1406" xr:uid="{00000000-0005-0000-0000-000080050000}"/>
    <cellStyle name="Input 17 3" xfId="1407" xr:uid="{00000000-0005-0000-0000-000081050000}"/>
    <cellStyle name="Input 18" xfId="1408" xr:uid="{00000000-0005-0000-0000-000082050000}"/>
    <cellStyle name="Input 18 2" xfId="1409" xr:uid="{00000000-0005-0000-0000-000083050000}"/>
    <cellStyle name="Input 18 3" xfId="1410" xr:uid="{00000000-0005-0000-0000-000084050000}"/>
    <cellStyle name="Input 19" xfId="1411" xr:uid="{00000000-0005-0000-0000-000085050000}"/>
    <cellStyle name="Input 19 2" xfId="1412" xr:uid="{00000000-0005-0000-0000-000086050000}"/>
    <cellStyle name="Input 19 3" xfId="1413" xr:uid="{00000000-0005-0000-0000-000087050000}"/>
    <cellStyle name="Input 2" xfId="1414" xr:uid="{00000000-0005-0000-0000-000088050000}"/>
    <cellStyle name="Input 2 2" xfId="1415" xr:uid="{00000000-0005-0000-0000-000089050000}"/>
    <cellStyle name="Input 2 3" xfId="1416" xr:uid="{00000000-0005-0000-0000-00008A050000}"/>
    <cellStyle name="Input 20" xfId="1417" xr:uid="{00000000-0005-0000-0000-00008B050000}"/>
    <cellStyle name="Input 20 2" xfId="1418" xr:uid="{00000000-0005-0000-0000-00008C050000}"/>
    <cellStyle name="Input 20 3" xfId="1419" xr:uid="{00000000-0005-0000-0000-00008D050000}"/>
    <cellStyle name="Input 21" xfId="1420" xr:uid="{00000000-0005-0000-0000-00008E050000}"/>
    <cellStyle name="Input 21 2" xfId="1421" xr:uid="{00000000-0005-0000-0000-00008F050000}"/>
    <cellStyle name="Input 21 3" xfId="1422" xr:uid="{00000000-0005-0000-0000-000090050000}"/>
    <cellStyle name="Input 22" xfId="1423" xr:uid="{00000000-0005-0000-0000-000091050000}"/>
    <cellStyle name="Input 22 2" xfId="1424" xr:uid="{00000000-0005-0000-0000-000092050000}"/>
    <cellStyle name="Input 22 3" xfId="1425" xr:uid="{00000000-0005-0000-0000-000093050000}"/>
    <cellStyle name="Input 23" xfId="1426" xr:uid="{00000000-0005-0000-0000-000094050000}"/>
    <cellStyle name="Input 24" xfId="1427" xr:uid="{00000000-0005-0000-0000-000095050000}"/>
    <cellStyle name="Input 25" xfId="1428" xr:uid="{00000000-0005-0000-0000-000096050000}"/>
    <cellStyle name="Input 26" xfId="1429" xr:uid="{00000000-0005-0000-0000-000097050000}"/>
    <cellStyle name="Input 27" xfId="1430" xr:uid="{00000000-0005-0000-0000-000098050000}"/>
    <cellStyle name="Input 3" xfId="1431" xr:uid="{00000000-0005-0000-0000-000099050000}"/>
    <cellStyle name="Input 3 2" xfId="1432" xr:uid="{00000000-0005-0000-0000-00009A050000}"/>
    <cellStyle name="Input 3 3" xfId="1433" xr:uid="{00000000-0005-0000-0000-00009B050000}"/>
    <cellStyle name="Input 4" xfId="1434" xr:uid="{00000000-0005-0000-0000-00009C050000}"/>
    <cellStyle name="Input 4 2" xfId="1435" xr:uid="{00000000-0005-0000-0000-00009D050000}"/>
    <cellStyle name="Input 4 3" xfId="1436" xr:uid="{00000000-0005-0000-0000-00009E050000}"/>
    <cellStyle name="Input 5" xfId="1437" xr:uid="{00000000-0005-0000-0000-00009F050000}"/>
    <cellStyle name="Input 5 2" xfId="1438" xr:uid="{00000000-0005-0000-0000-0000A0050000}"/>
    <cellStyle name="Input 5 3" xfId="1439" xr:uid="{00000000-0005-0000-0000-0000A1050000}"/>
    <cellStyle name="Input 6" xfId="1440" xr:uid="{00000000-0005-0000-0000-0000A2050000}"/>
    <cellStyle name="Input 6 2" xfId="1441" xr:uid="{00000000-0005-0000-0000-0000A3050000}"/>
    <cellStyle name="Input 6 3" xfId="1442" xr:uid="{00000000-0005-0000-0000-0000A4050000}"/>
    <cellStyle name="Input 7" xfId="1443" xr:uid="{00000000-0005-0000-0000-0000A5050000}"/>
    <cellStyle name="Input 7 2" xfId="1444" xr:uid="{00000000-0005-0000-0000-0000A6050000}"/>
    <cellStyle name="Input 7 3" xfId="1445" xr:uid="{00000000-0005-0000-0000-0000A7050000}"/>
    <cellStyle name="Input 8" xfId="1446" xr:uid="{00000000-0005-0000-0000-0000A8050000}"/>
    <cellStyle name="Input 8 2" xfId="1447" xr:uid="{00000000-0005-0000-0000-0000A9050000}"/>
    <cellStyle name="Input 8 3" xfId="1448" xr:uid="{00000000-0005-0000-0000-0000AA050000}"/>
    <cellStyle name="Input 9" xfId="1449" xr:uid="{00000000-0005-0000-0000-0000AB050000}"/>
    <cellStyle name="Input 9 2" xfId="1450" xr:uid="{00000000-0005-0000-0000-0000AC050000}"/>
    <cellStyle name="Input 9 3" xfId="1451" xr:uid="{00000000-0005-0000-0000-0000AD050000}"/>
    <cellStyle name="Input dates" xfId="1452" xr:uid="{00000000-0005-0000-0000-0000AE050000}"/>
    <cellStyle name="Input multiple" xfId="1453" xr:uid="{00000000-0005-0000-0000-0000AF050000}"/>
    <cellStyle name="Input normal" xfId="1454" xr:uid="{00000000-0005-0000-0000-0000B0050000}"/>
    <cellStyle name="Input percent" xfId="1455" xr:uid="{00000000-0005-0000-0000-0000B1050000}"/>
    <cellStyle name="Input years" xfId="1456" xr:uid="{00000000-0005-0000-0000-0000B2050000}"/>
    <cellStyle name="INR" xfId="1457" xr:uid="{00000000-0005-0000-0000-0000B3050000}"/>
    <cellStyle name="INR-PS" xfId="1458" xr:uid="{00000000-0005-0000-0000-0000B4050000}"/>
    <cellStyle name="Instructions" xfId="1459" xr:uid="{00000000-0005-0000-0000-0000B5050000}"/>
    <cellStyle name="International1" xfId="1460" xr:uid="{00000000-0005-0000-0000-0000B6050000}"/>
    <cellStyle name="Italic" xfId="1461" xr:uid="{00000000-0005-0000-0000-0000B7050000}"/>
    <cellStyle name="KPMG Heading 1" xfId="1462" xr:uid="{00000000-0005-0000-0000-0000B8050000}"/>
    <cellStyle name="KPMG Heading 2" xfId="1463" xr:uid="{00000000-0005-0000-0000-0000B9050000}"/>
    <cellStyle name="KPMG Heading 3" xfId="1464" xr:uid="{00000000-0005-0000-0000-0000BA050000}"/>
    <cellStyle name="KPMG Heading 4" xfId="1465" xr:uid="{00000000-0005-0000-0000-0000BB050000}"/>
    <cellStyle name="KPMG Normal" xfId="1466" xr:uid="{00000000-0005-0000-0000-0000BC050000}"/>
    <cellStyle name="KPMG Normal Text" xfId="1467" xr:uid="{00000000-0005-0000-0000-0000BD050000}"/>
    <cellStyle name="KPMGcolheader" xfId="1468" xr:uid="{00000000-0005-0000-0000-0000BE050000}"/>
    <cellStyle name="KPMGnormal" xfId="1469" xr:uid="{00000000-0005-0000-0000-0000BF050000}"/>
    <cellStyle name="KPMGnormalindent" xfId="1470" xr:uid="{00000000-0005-0000-0000-0000C0050000}"/>
    <cellStyle name="KPMGnormalindent2" xfId="1471" xr:uid="{00000000-0005-0000-0000-0000C1050000}"/>
    <cellStyle name="KPMGnumber" xfId="1472" xr:uid="{00000000-0005-0000-0000-0000C2050000}"/>
    <cellStyle name="KPMGpercent" xfId="1473" xr:uid="{00000000-0005-0000-0000-0000C3050000}"/>
    <cellStyle name="KPMGpercentrow" xfId="1474" xr:uid="{00000000-0005-0000-0000-0000C4050000}"/>
    <cellStyle name="KPMGsubheader" xfId="1475" xr:uid="{00000000-0005-0000-0000-0000C5050000}"/>
    <cellStyle name="Labels - Style3" xfId="1476" xr:uid="{00000000-0005-0000-0000-0000C6050000}"/>
    <cellStyle name="LineItemPrompt" xfId="1477" xr:uid="{00000000-0005-0000-0000-0000C7050000}"/>
    <cellStyle name="LineItemPrompt 2" xfId="1478" xr:uid="{00000000-0005-0000-0000-0000C8050000}"/>
    <cellStyle name="LineItemValue" xfId="1479" xr:uid="{00000000-0005-0000-0000-0000C9050000}"/>
    <cellStyle name="LineItemValue 2" xfId="1480" xr:uid="{00000000-0005-0000-0000-0000CA050000}"/>
    <cellStyle name="Link Currency (0)" xfId="1481" xr:uid="{00000000-0005-0000-0000-0000CB050000}"/>
    <cellStyle name="Link Currency (0) 2" xfId="1482" xr:uid="{00000000-0005-0000-0000-0000CC050000}"/>
    <cellStyle name="Link Currency (0) 3" xfId="1483" xr:uid="{00000000-0005-0000-0000-0000CD050000}"/>
    <cellStyle name="Link Currency (0) 4" xfId="1484" xr:uid="{00000000-0005-0000-0000-0000CE050000}"/>
    <cellStyle name="Link Currency (2)" xfId="1485" xr:uid="{00000000-0005-0000-0000-0000CF050000}"/>
    <cellStyle name="Link Currency (2) 2" xfId="1486" xr:uid="{00000000-0005-0000-0000-0000D0050000}"/>
    <cellStyle name="Link Currency (2) 3" xfId="1487" xr:uid="{00000000-0005-0000-0000-0000D1050000}"/>
    <cellStyle name="Link Currency (2) 4" xfId="1488" xr:uid="{00000000-0005-0000-0000-0000D2050000}"/>
    <cellStyle name="Link Units (0)" xfId="1489" xr:uid="{00000000-0005-0000-0000-0000D3050000}"/>
    <cellStyle name="Link Units (0) 2" xfId="1490" xr:uid="{00000000-0005-0000-0000-0000D4050000}"/>
    <cellStyle name="Link Units (0) 3" xfId="1491" xr:uid="{00000000-0005-0000-0000-0000D5050000}"/>
    <cellStyle name="Link Units (0) 4" xfId="1492" xr:uid="{00000000-0005-0000-0000-0000D6050000}"/>
    <cellStyle name="Link Units (1)" xfId="1493" xr:uid="{00000000-0005-0000-0000-0000D7050000}"/>
    <cellStyle name="Link Units (1) 2" xfId="1494" xr:uid="{00000000-0005-0000-0000-0000D8050000}"/>
    <cellStyle name="Link Units (1) 3" xfId="1495" xr:uid="{00000000-0005-0000-0000-0000D9050000}"/>
    <cellStyle name="Link Units (1) 4" xfId="1496" xr:uid="{00000000-0005-0000-0000-0000DA050000}"/>
    <cellStyle name="Link Units (2)" xfId="1497" xr:uid="{00000000-0005-0000-0000-0000DB050000}"/>
    <cellStyle name="Link Units (2) 2" xfId="1498" xr:uid="{00000000-0005-0000-0000-0000DC050000}"/>
    <cellStyle name="Link Units (2) 3" xfId="1499" xr:uid="{00000000-0005-0000-0000-0000DD050000}"/>
    <cellStyle name="Link Units (2) 4" xfId="1500" xr:uid="{00000000-0005-0000-0000-0000DE050000}"/>
    <cellStyle name="Linked Cell 2" xfId="1501" xr:uid="{00000000-0005-0000-0000-0000DF050000}"/>
    <cellStyle name="Linked Cell 2 2" xfId="1502" xr:uid="{00000000-0005-0000-0000-0000E0050000}"/>
    <cellStyle name="Linked Cell 2 3" xfId="1503" xr:uid="{00000000-0005-0000-0000-0000E1050000}"/>
    <cellStyle name="Linked Cell 3" xfId="1504" xr:uid="{00000000-0005-0000-0000-0000E2050000}"/>
    <cellStyle name="Linked Cell 3 2" xfId="1505" xr:uid="{00000000-0005-0000-0000-0000E3050000}"/>
    <cellStyle name="Linked Cell 3 3" xfId="1506" xr:uid="{00000000-0005-0000-0000-0000E4050000}"/>
    <cellStyle name="Linked Cell 4" xfId="1507" xr:uid="{00000000-0005-0000-0000-0000E5050000}"/>
    <cellStyle name="listprice" xfId="1508" xr:uid="{00000000-0005-0000-0000-0000E6050000}"/>
    <cellStyle name="m?ny_0f83zm4yytAvDZPSbNxjaUl2F" xfId="1509" xr:uid="{00000000-0005-0000-0000-0000E7050000}"/>
    <cellStyle name="M·na" xfId="1510" xr:uid="{00000000-0005-0000-0000-0000E8050000}"/>
    <cellStyle name="meny_CTD" xfId="1511" xr:uid="{00000000-0005-0000-0000-0000E9050000}"/>
    <cellStyle name="Migliaia_capextemp" xfId="1512" xr:uid="{00000000-0005-0000-0000-0000EA050000}"/>
    <cellStyle name="Millares [0]_Amort Presupuestadas 2007" xfId="1513" xr:uid="{00000000-0005-0000-0000-0000EB050000}"/>
    <cellStyle name="Millares 10" xfId="1514" xr:uid="{00000000-0005-0000-0000-0000EC050000}"/>
    <cellStyle name="Millares 10 3" xfId="1515" xr:uid="{00000000-0005-0000-0000-0000ED050000}"/>
    <cellStyle name="Millares 11" xfId="1516" xr:uid="{00000000-0005-0000-0000-0000EE050000}"/>
    <cellStyle name="Millares 12" xfId="1517" xr:uid="{00000000-0005-0000-0000-0000EF050000}"/>
    <cellStyle name="Millares 12 2" xfId="1518" xr:uid="{00000000-0005-0000-0000-0000F0050000}"/>
    <cellStyle name="Millares 13" xfId="1519" xr:uid="{00000000-0005-0000-0000-0000F1050000}"/>
    <cellStyle name="Millares 13 2" xfId="1520" xr:uid="{00000000-0005-0000-0000-0000F2050000}"/>
    <cellStyle name="Millares 14" xfId="1521" xr:uid="{00000000-0005-0000-0000-0000F3050000}"/>
    <cellStyle name="Millares 14 2" xfId="1522" xr:uid="{00000000-0005-0000-0000-0000F4050000}"/>
    <cellStyle name="Millares 15" xfId="1523" xr:uid="{00000000-0005-0000-0000-0000F5050000}"/>
    <cellStyle name="Millares 15 2" xfId="1524" xr:uid="{00000000-0005-0000-0000-0000F6050000}"/>
    <cellStyle name="Millares 16" xfId="1525" xr:uid="{00000000-0005-0000-0000-0000F7050000}"/>
    <cellStyle name="Millares 16 2" xfId="1526" xr:uid="{00000000-0005-0000-0000-0000F8050000}"/>
    <cellStyle name="Millares 17" xfId="1527" xr:uid="{00000000-0005-0000-0000-0000F9050000}"/>
    <cellStyle name="Millares 17 2" xfId="1528" xr:uid="{00000000-0005-0000-0000-0000FA050000}"/>
    <cellStyle name="Millares 18" xfId="1529" xr:uid="{00000000-0005-0000-0000-0000FB050000}"/>
    <cellStyle name="Millares 18 2" xfId="1530" xr:uid="{00000000-0005-0000-0000-0000FC050000}"/>
    <cellStyle name="Millares 19" xfId="1531" xr:uid="{00000000-0005-0000-0000-0000FD050000}"/>
    <cellStyle name="Millares 2" xfId="1532" xr:uid="{00000000-0005-0000-0000-0000FE050000}"/>
    <cellStyle name="Millares 2 2" xfId="1533" xr:uid="{00000000-0005-0000-0000-0000FF050000}"/>
    <cellStyle name="Millares 2 2 2" xfId="1534" xr:uid="{00000000-0005-0000-0000-000000060000}"/>
    <cellStyle name="Millares 2 2 2 2" xfId="1535" xr:uid="{00000000-0005-0000-0000-000001060000}"/>
    <cellStyle name="Millares 2 2 2 2 2" xfId="1536" xr:uid="{00000000-0005-0000-0000-000002060000}"/>
    <cellStyle name="Millares 2 2 2 3" xfId="1537" xr:uid="{00000000-0005-0000-0000-000003060000}"/>
    <cellStyle name="Millares 2 2 3" xfId="1538" xr:uid="{00000000-0005-0000-0000-000004060000}"/>
    <cellStyle name="Millares 2 2 4" xfId="1539" xr:uid="{00000000-0005-0000-0000-000005060000}"/>
    <cellStyle name="Millares 2 2 4 2" xfId="1540" xr:uid="{00000000-0005-0000-0000-000006060000}"/>
    <cellStyle name="Millares 2 3" xfId="1541" xr:uid="{00000000-0005-0000-0000-000007060000}"/>
    <cellStyle name="Millares 2 3 2" xfId="1542" xr:uid="{00000000-0005-0000-0000-000008060000}"/>
    <cellStyle name="Millares 2 3 2 2" xfId="1543" xr:uid="{00000000-0005-0000-0000-000009060000}"/>
    <cellStyle name="Millares 2 3 2 2 2" xfId="1544" xr:uid="{00000000-0005-0000-0000-00000A060000}"/>
    <cellStyle name="Millares 2 3 2 3" xfId="1545" xr:uid="{00000000-0005-0000-0000-00000B060000}"/>
    <cellStyle name="Millares 2 3 3" xfId="1546" xr:uid="{00000000-0005-0000-0000-00000C060000}"/>
    <cellStyle name="Millares 2 3 3 2" xfId="1547" xr:uid="{00000000-0005-0000-0000-00000D060000}"/>
    <cellStyle name="Millares 2 3 4" xfId="1548" xr:uid="{00000000-0005-0000-0000-00000E060000}"/>
    <cellStyle name="Millares 2 3 4 2" xfId="1549" xr:uid="{00000000-0005-0000-0000-00000F060000}"/>
    <cellStyle name="Millares 2 3 5" xfId="1550" xr:uid="{00000000-0005-0000-0000-000010060000}"/>
    <cellStyle name="Millares 2 3 5 2" xfId="1551" xr:uid="{00000000-0005-0000-0000-000011060000}"/>
    <cellStyle name="Millares 2 3 6" xfId="1552" xr:uid="{00000000-0005-0000-0000-000012060000}"/>
    <cellStyle name="Millares 2 3 6 2" xfId="1553" xr:uid="{00000000-0005-0000-0000-000013060000}"/>
    <cellStyle name="Millares 2 3 7" xfId="1554" xr:uid="{00000000-0005-0000-0000-000014060000}"/>
    <cellStyle name="Millares 2 4" xfId="1555" xr:uid="{00000000-0005-0000-0000-000015060000}"/>
    <cellStyle name="Millares 2 5" xfId="1556" xr:uid="{00000000-0005-0000-0000-000016060000}"/>
    <cellStyle name="Millares 2 6" xfId="1557" xr:uid="{00000000-0005-0000-0000-000017060000}"/>
    <cellStyle name="Millares 2 7" xfId="1558" xr:uid="{00000000-0005-0000-0000-000018060000}"/>
    <cellStyle name="Millares 2 7 2" xfId="1559" xr:uid="{00000000-0005-0000-0000-000019060000}"/>
    <cellStyle name="Millares 2 8" xfId="1560" xr:uid="{00000000-0005-0000-0000-00001A060000}"/>
    <cellStyle name="Millares 2 8 2" xfId="1561" xr:uid="{00000000-0005-0000-0000-00001B060000}"/>
    <cellStyle name="Millares 20" xfId="1562" xr:uid="{00000000-0005-0000-0000-00001C060000}"/>
    <cellStyle name="Millares 20 2" xfId="1563" xr:uid="{00000000-0005-0000-0000-00001D060000}"/>
    <cellStyle name="Millares 21" xfId="1564" xr:uid="{00000000-0005-0000-0000-00001E060000}"/>
    <cellStyle name="Millares 21 2" xfId="1565" xr:uid="{00000000-0005-0000-0000-00001F060000}"/>
    <cellStyle name="Millares 22" xfId="1566" xr:uid="{00000000-0005-0000-0000-000020060000}"/>
    <cellStyle name="Millares 23" xfId="1567" xr:uid="{00000000-0005-0000-0000-000021060000}"/>
    <cellStyle name="Millares 3" xfId="1568" xr:uid="{00000000-0005-0000-0000-000022060000}"/>
    <cellStyle name="Millares 3 2" xfId="1569" xr:uid="{00000000-0005-0000-0000-000023060000}"/>
    <cellStyle name="Millares 3 3" xfId="1570" xr:uid="{00000000-0005-0000-0000-000024060000}"/>
    <cellStyle name="Millares 3 4" xfId="1571" xr:uid="{00000000-0005-0000-0000-000025060000}"/>
    <cellStyle name="Millares 3 4 2" xfId="1572" xr:uid="{00000000-0005-0000-0000-000026060000}"/>
    <cellStyle name="Millares 4" xfId="1573" xr:uid="{00000000-0005-0000-0000-000027060000}"/>
    <cellStyle name="Millares 4 2" xfId="1574" xr:uid="{00000000-0005-0000-0000-000028060000}"/>
    <cellStyle name="Millares 4 3" xfId="1575" xr:uid="{00000000-0005-0000-0000-000029060000}"/>
    <cellStyle name="Millares 5" xfId="1576" xr:uid="{00000000-0005-0000-0000-00002A060000}"/>
    <cellStyle name="Millares 5 2" xfId="1577" xr:uid="{00000000-0005-0000-0000-00002B060000}"/>
    <cellStyle name="Millares 5 2 2" xfId="1578" xr:uid="{00000000-0005-0000-0000-00002C060000}"/>
    <cellStyle name="Millares 5 2 2 2" xfId="1579" xr:uid="{00000000-0005-0000-0000-00002D060000}"/>
    <cellStyle name="Millares 5 2 3" xfId="1580" xr:uid="{00000000-0005-0000-0000-00002E060000}"/>
    <cellStyle name="Millares 5 3" xfId="1581" xr:uid="{00000000-0005-0000-0000-00002F060000}"/>
    <cellStyle name="Millares 5 3 2" xfId="1582" xr:uid="{00000000-0005-0000-0000-000030060000}"/>
    <cellStyle name="Millares 5 4" xfId="1583" xr:uid="{00000000-0005-0000-0000-000031060000}"/>
    <cellStyle name="Millares 5 5" xfId="1584" xr:uid="{00000000-0005-0000-0000-000032060000}"/>
    <cellStyle name="Millares 5 6" xfId="1585" xr:uid="{00000000-0005-0000-0000-000033060000}"/>
    <cellStyle name="Millares 5 7" xfId="1586" xr:uid="{00000000-0005-0000-0000-000034060000}"/>
    <cellStyle name="Millares 6" xfId="1587" xr:uid="{00000000-0005-0000-0000-000035060000}"/>
    <cellStyle name="Millares 6 2" xfId="1588" xr:uid="{00000000-0005-0000-0000-000036060000}"/>
    <cellStyle name="Millares 7" xfId="1589" xr:uid="{00000000-0005-0000-0000-000037060000}"/>
    <cellStyle name="Millares 7 2" xfId="1590" xr:uid="{00000000-0005-0000-0000-000038060000}"/>
    <cellStyle name="Millares 8" xfId="1591" xr:uid="{00000000-0005-0000-0000-000039060000}"/>
    <cellStyle name="Millares 9" xfId="1592" xr:uid="{00000000-0005-0000-0000-00003A060000}"/>
    <cellStyle name="Millares 9 2" xfId="1593" xr:uid="{00000000-0005-0000-0000-00003B060000}"/>
    <cellStyle name="Millares 9 2 2" xfId="1594" xr:uid="{00000000-0005-0000-0000-00003C060000}"/>
    <cellStyle name="Millares 9 2 2 2" xfId="1595" xr:uid="{00000000-0005-0000-0000-00003D060000}"/>
    <cellStyle name="Millares 9 2 3" xfId="1596" xr:uid="{00000000-0005-0000-0000-00003E060000}"/>
    <cellStyle name="Millares 9 3" xfId="1597" xr:uid="{00000000-0005-0000-0000-00003F060000}"/>
    <cellStyle name="Millares 9 3 2" xfId="1598" xr:uid="{00000000-0005-0000-0000-000040060000}"/>
    <cellStyle name="Millares 9 4" xfId="1599" xr:uid="{00000000-0005-0000-0000-000041060000}"/>
    <cellStyle name="Millares_Amort Presupuestadas 2007" xfId="1600" xr:uid="{00000000-0005-0000-0000-000042060000}"/>
    <cellStyle name="Milliers [0]_laroux" xfId="1601" xr:uid="{00000000-0005-0000-0000-000043060000}"/>
    <cellStyle name="Milliers_laroux" xfId="1602" xr:uid="{00000000-0005-0000-0000-000044060000}"/>
    <cellStyle name="Model" xfId="1603" xr:uid="{00000000-0005-0000-0000-000045060000}"/>
    <cellStyle name="Model 2" xfId="1604" xr:uid="{00000000-0005-0000-0000-000046060000}"/>
    <cellStyle name="Moeda [0]_aola" xfId="1605" xr:uid="{00000000-0005-0000-0000-000047060000}"/>
    <cellStyle name="Moeda_aola" xfId="1606" xr:uid="{00000000-0005-0000-0000-000048060000}"/>
    <cellStyle name="Moneda [0]_Amort Presupuestadas 2007" xfId="1607" xr:uid="{00000000-0005-0000-0000-000049060000}"/>
    <cellStyle name="Moneda 2" xfId="1608" xr:uid="{00000000-0005-0000-0000-00004A060000}"/>
    <cellStyle name="Moneda 3" xfId="1609" xr:uid="{00000000-0005-0000-0000-00004B060000}"/>
    <cellStyle name="Moneda 3 2" xfId="1610" xr:uid="{00000000-0005-0000-0000-00004C060000}"/>
    <cellStyle name="Moneda 4" xfId="1611" xr:uid="{00000000-0005-0000-0000-00004D060000}"/>
    <cellStyle name="Moneda 4 2" xfId="1612" xr:uid="{00000000-0005-0000-0000-00004E060000}"/>
    <cellStyle name="Moneda 5" xfId="1613" xr:uid="{00000000-0005-0000-0000-00004F060000}"/>
    <cellStyle name="Moneda_Agroquímicos" xfId="1614" xr:uid="{00000000-0005-0000-0000-000050060000}"/>
    <cellStyle name="Moneda0" xfId="1615" xr:uid="{00000000-0005-0000-0000-000051060000}"/>
    <cellStyle name="Monetario" xfId="1616" xr:uid="{00000000-0005-0000-0000-000052060000}"/>
    <cellStyle name="Monetario0" xfId="1617" xr:uid="{00000000-0005-0000-0000-000053060000}"/>
    <cellStyle name="Monetario0 2" xfId="1618" xr:uid="{00000000-0005-0000-0000-000054060000}"/>
    <cellStyle name="Month" xfId="1619" xr:uid="{00000000-0005-0000-0000-000055060000}"/>
    <cellStyle name="multiple" xfId="1620" xr:uid="{00000000-0005-0000-0000-000056060000}"/>
    <cellStyle name="Nadpis1" xfId="1621" xr:uid="{00000000-0005-0000-0000-000057060000}"/>
    <cellStyle name="Nadpis2" xfId="1622" xr:uid="{00000000-0005-0000-0000-000058060000}"/>
    <cellStyle name="Names" xfId="1623" xr:uid="{00000000-0005-0000-0000-000059060000}"/>
    <cellStyle name="Neutral 2" xfId="1624" xr:uid="{00000000-0005-0000-0000-00005A060000}"/>
    <cellStyle name="Neutral 2 2" xfId="1625" xr:uid="{00000000-0005-0000-0000-00005B060000}"/>
    <cellStyle name="Neutral 2 3" xfId="1626" xr:uid="{00000000-0005-0000-0000-00005C060000}"/>
    <cellStyle name="Neutral 3" xfId="1627" xr:uid="{00000000-0005-0000-0000-00005D060000}"/>
    <cellStyle name="Neutral 3 2" xfId="1628" xr:uid="{00000000-0005-0000-0000-00005E060000}"/>
    <cellStyle name="Neutral 3 3" xfId="1629" xr:uid="{00000000-0005-0000-0000-00005F060000}"/>
    <cellStyle name="Neutral 4" xfId="1630" xr:uid="{00000000-0005-0000-0000-000060060000}"/>
    <cellStyle name="Neutral 5" xfId="1631" xr:uid="{00000000-0005-0000-0000-000061060000}"/>
    <cellStyle name="Neutral 6" xfId="1632" xr:uid="{00000000-0005-0000-0000-000062060000}"/>
    <cellStyle name="New Times Roman" xfId="1633" xr:uid="{00000000-0005-0000-0000-000063060000}"/>
    <cellStyle name="New Times Roman 2" xfId="1634" xr:uid="{00000000-0005-0000-0000-000064060000}"/>
    <cellStyle name="New Times Roman 3" xfId="1635" xr:uid="{00000000-0005-0000-0000-000065060000}"/>
    <cellStyle name="NMT_Barva" xfId="1636" xr:uid="{00000000-0005-0000-0000-000066060000}"/>
    <cellStyle name="no dec" xfId="1637" xr:uid="{00000000-0005-0000-0000-000067060000}"/>
    <cellStyle name="No-definido" xfId="1638" xr:uid="{00000000-0005-0000-0000-000068060000}"/>
    <cellStyle name="No-definido 2" xfId="1639" xr:uid="{00000000-0005-0000-0000-000069060000}"/>
    <cellStyle name="norm?ln?_?.Bud.-D98-kont.(SAG)" xfId="1640" xr:uid="{00000000-0005-0000-0000-00006A060000}"/>
    <cellStyle name="Normal" xfId="0" builtinId="0"/>
    <cellStyle name="Normal - Style1" xfId="1641" xr:uid="{00000000-0005-0000-0000-00006C060000}"/>
    <cellStyle name="Normal - Style1 10" xfId="1642" xr:uid="{00000000-0005-0000-0000-00006D060000}"/>
    <cellStyle name="Normal 10" xfId="1643" xr:uid="{00000000-0005-0000-0000-00006E060000}"/>
    <cellStyle name="Normal 10 2" xfId="1644" xr:uid="{00000000-0005-0000-0000-00006F060000}"/>
    <cellStyle name="Normal 10 22" xfId="1645" xr:uid="{00000000-0005-0000-0000-000070060000}"/>
    <cellStyle name="Normal 10 22 2" xfId="1646" xr:uid="{00000000-0005-0000-0000-000071060000}"/>
    <cellStyle name="Normal 10 3" xfId="1647" xr:uid="{00000000-0005-0000-0000-000072060000}"/>
    <cellStyle name="Normal 10 3 2" xfId="1648" xr:uid="{00000000-0005-0000-0000-000073060000}"/>
    <cellStyle name="Normal 10 4" xfId="1649" xr:uid="{00000000-0005-0000-0000-000074060000}"/>
    <cellStyle name="Normal 10 4 2" xfId="1650" xr:uid="{00000000-0005-0000-0000-000075060000}"/>
    <cellStyle name="Normal 10 4 3" xfId="1" xr:uid="{00000000-0005-0000-0000-000076060000}"/>
    <cellStyle name="Normal 100" xfId="1651" xr:uid="{00000000-0005-0000-0000-000077060000}"/>
    <cellStyle name="Normal 101" xfId="1652" xr:uid="{00000000-0005-0000-0000-000078060000}"/>
    <cellStyle name="Normal 101 2" xfId="1653" xr:uid="{00000000-0005-0000-0000-000079060000}"/>
    <cellStyle name="Normal 102" xfId="1654" xr:uid="{00000000-0005-0000-0000-00007A060000}"/>
    <cellStyle name="Normal 103" xfId="1655" xr:uid="{00000000-0005-0000-0000-00007B060000}"/>
    <cellStyle name="Normal 104" xfId="1656" xr:uid="{00000000-0005-0000-0000-00007C060000}"/>
    <cellStyle name="Normal 105" xfId="1657" xr:uid="{00000000-0005-0000-0000-00007D060000}"/>
    <cellStyle name="Normal 106" xfId="1658" xr:uid="{00000000-0005-0000-0000-00007E060000}"/>
    <cellStyle name="Normal 107" xfId="1659" xr:uid="{00000000-0005-0000-0000-00007F060000}"/>
    <cellStyle name="Normal 108" xfId="1660" xr:uid="{00000000-0005-0000-0000-000080060000}"/>
    <cellStyle name="Normal 109" xfId="1661" xr:uid="{00000000-0005-0000-0000-000081060000}"/>
    <cellStyle name="Normal 11" xfId="1662" xr:uid="{00000000-0005-0000-0000-000082060000}"/>
    <cellStyle name="Normal 11 2" xfId="1663" xr:uid="{00000000-0005-0000-0000-000083060000}"/>
    <cellStyle name="Normal 11 3" xfId="1664" xr:uid="{00000000-0005-0000-0000-000084060000}"/>
    <cellStyle name="Normal 11 4" xfId="1665" xr:uid="{00000000-0005-0000-0000-000085060000}"/>
    <cellStyle name="Normal 110" xfId="1666" xr:uid="{00000000-0005-0000-0000-000086060000}"/>
    <cellStyle name="Normal 111" xfId="1667" xr:uid="{00000000-0005-0000-0000-000087060000}"/>
    <cellStyle name="Normal 112" xfId="1668" xr:uid="{00000000-0005-0000-0000-000088060000}"/>
    <cellStyle name="Normal 113" xfId="1669" xr:uid="{00000000-0005-0000-0000-000089060000}"/>
    <cellStyle name="Normal 114" xfId="1670" xr:uid="{00000000-0005-0000-0000-00008A060000}"/>
    <cellStyle name="Normal 115" xfId="1671" xr:uid="{00000000-0005-0000-0000-00008B060000}"/>
    <cellStyle name="Normal 116" xfId="1672" xr:uid="{00000000-0005-0000-0000-00008C060000}"/>
    <cellStyle name="Normal 117" xfId="1673" xr:uid="{00000000-0005-0000-0000-00008D060000}"/>
    <cellStyle name="Normal 118" xfId="1674" xr:uid="{00000000-0005-0000-0000-00008E060000}"/>
    <cellStyle name="Normal 119" xfId="1675" xr:uid="{00000000-0005-0000-0000-00008F060000}"/>
    <cellStyle name="Normal 12" xfId="1676" xr:uid="{00000000-0005-0000-0000-000090060000}"/>
    <cellStyle name="Normal 12 2" xfId="1677" xr:uid="{00000000-0005-0000-0000-000091060000}"/>
    <cellStyle name="Normal 12 3" xfId="1678" xr:uid="{00000000-0005-0000-0000-000092060000}"/>
    <cellStyle name="Normal 12 3 2" xfId="1679" xr:uid="{00000000-0005-0000-0000-000093060000}"/>
    <cellStyle name="Normal 12 3 2 2" xfId="1680" xr:uid="{00000000-0005-0000-0000-000094060000}"/>
    <cellStyle name="Normal 12 4" xfId="1681" xr:uid="{00000000-0005-0000-0000-000095060000}"/>
    <cellStyle name="Normal 120" xfId="1682" xr:uid="{00000000-0005-0000-0000-000096060000}"/>
    <cellStyle name="Normal 121" xfId="1683" xr:uid="{00000000-0005-0000-0000-000097060000}"/>
    <cellStyle name="Normal 122" xfId="1684" xr:uid="{00000000-0005-0000-0000-000098060000}"/>
    <cellStyle name="Normal 123" xfId="1685" xr:uid="{00000000-0005-0000-0000-000099060000}"/>
    <cellStyle name="Normal 124" xfId="1686" xr:uid="{00000000-0005-0000-0000-00009A060000}"/>
    <cellStyle name="Normal 125" xfId="1687" xr:uid="{00000000-0005-0000-0000-00009B060000}"/>
    <cellStyle name="Normal 126" xfId="1688" xr:uid="{00000000-0005-0000-0000-00009C060000}"/>
    <cellStyle name="Normal 127" xfId="1689" xr:uid="{00000000-0005-0000-0000-00009D060000}"/>
    <cellStyle name="Normal 128" xfId="1690" xr:uid="{00000000-0005-0000-0000-00009E060000}"/>
    <cellStyle name="Normal 129" xfId="1691" xr:uid="{00000000-0005-0000-0000-00009F060000}"/>
    <cellStyle name="Normal 13" xfId="1692" xr:uid="{00000000-0005-0000-0000-0000A0060000}"/>
    <cellStyle name="Normal 13 2" xfId="1693" xr:uid="{00000000-0005-0000-0000-0000A1060000}"/>
    <cellStyle name="Normal 13 3" xfId="1694" xr:uid="{00000000-0005-0000-0000-0000A2060000}"/>
    <cellStyle name="Normal 13 4" xfId="1695" xr:uid="{00000000-0005-0000-0000-0000A3060000}"/>
    <cellStyle name="Normal 130" xfId="1696" xr:uid="{00000000-0005-0000-0000-0000A4060000}"/>
    <cellStyle name="Normal 131" xfId="1697" xr:uid="{00000000-0005-0000-0000-0000A5060000}"/>
    <cellStyle name="Normal 132" xfId="1698" xr:uid="{00000000-0005-0000-0000-0000A6060000}"/>
    <cellStyle name="Normal 133" xfId="1699" xr:uid="{00000000-0005-0000-0000-0000A7060000}"/>
    <cellStyle name="Normal 134" xfId="1700" xr:uid="{00000000-0005-0000-0000-0000A8060000}"/>
    <cellStyle name="Normal 135" xfId="1701" xr:uid="{00000000-0005-0000-0000-0000A9060000}"/>
    <cellStyle name="Normal 136" xfId="1702" xr:uid="{00000000-0005-0000-0000-0000AA060000}"/>
    <cellStyle name="Normal 137" xfId="1703" xr:uid="{00000000-0005-0000-0000-0000AB060000}"/>
    <cellStyle name="Normal 138" xfId="1704" xr:uid="{00000000-0005-0000-0000-0000AC060000}"/>
    <cellStyle name="Normal 139" xfId="1705" xr:uid="{00000000-0005-0000-0000-0000AD060000}"/>
    <cellStyle name="Normal 14" xfId="1706" xr:uid="{00000000-0005-0000-0000-0000AE060000}"/>
    <cellStyle name="Normal 14 2" xfId="1707" xr:uid="{00000000-0005-0000-0000-0000AF060000}"/>
    <cellStyle name="Normal 14 2 2" xfId="1708" xr:uid="{00000000-0005-0000-0000-0000B0060000}"/>
    <cellStyle name="Normal 14 2 2 2" xfId="1709" xr:uid="{00000000-0005-0000-0000-0000B1060000}"/>
    <cellStyle name="Normal 14 2 3" xfId="1710" xr:uid="{00000000-0005-0000-0000-0000B2060000}"/>
    <cellStyle name="Normal 14 3" xfId="1711" xr:uid="{00000000-0005-0000-0000-0000B3060000}"/>
    <cellStyle name="Normal 14 3 2" xfId="1712" xr:uid="{00000000-0005-0000-0000-0000B4060000}"/>
    <cellStyle name="Normal 14 4" xfId="1713" xr:uid="{00000000-0005-0000-0000-0000B5060000}"/>
    <cellStyle name="Normal 140" xfId="1714" xr:uid="{00000000-0005-0000-0000-0000B6060000}"/>
    <cellStyle name="Normal 141" xfId="1715" xr:uid="{00000000-0005-0000-0000-0000B7060000}"/>
    <cellStyle name="Normal 142" xfId="1716" xr:uid="{00000000-0005-0000-0000-0000B8060000}"/>
    <cellStyle name="Normal 143" xfId="1717" xr:uid="{00000000-0005-0000-0000-0000B9060000}"/>
    <cellStyle name="Normal 144" xfId="1718" xr:uid="{00000000-0005-0000-0000-0000BA060000}"/>
    <cellStyle name="Normal 145" xfId="1719" xr:uid="{00000000-0005-0000-0000-0000BB060000}"/>
    <cellStyle name="Normal 146" xfId="1720" xr:uid="{00000000-0005-0000-0000-0000BC060000}"/>
    <cellStyle name="Normal 147" xfId="1721" xr:uid="{00000000-0005-0000-0000-0000BD060000}"/>
    <cellStyle name="Normal 148" xfId="1722" xr:uid="{00000000-0005-0000-0000-0000BE060000}"/>
    <cellStyle name="Normal 149" xfId="1723" xr:uid="{00000000-0005-0000-0000-0000BF060000}"/>
    <cellStyle name="Normal 15" xfId="1724" xr:uid="{00000000-0005-0000-0000-0000C0060000}"/>
    <cellStyle name="Normal 15 2" xfId="1725" xr:uid="{00000000-0005-0000-0000-0000C1060000}"/>
    <cellStyle name="Normal 15 3" xfId="1726" xr:uid="{00000000-0005-0000-0000-0000C2060000}"/>
    <cellStyle name="Normal 150" xfId="1727" xr:uid="{00000000-0005-0000-0000-0000C3060000}"/>
    <cellStyle name="Normal 151" xfId="1728" xr:uid="{00000000-0005-0000-0000-0000C4060000}"/>
    <cellStyle name="Normal 152" xfId="1729" xr:uid="{00000000-0005-0000-0000-0000C5060000}"/>
    <cellStyle name="Normal 153" xfId="1730" xr:uid="{00000000-0005-0000-0000-0000C6060000}"/>
    <cellStyle name="Normal 154" xfId="1731" xr:uid="{00000000-0005-0000-0000-0000C7060000}"/>
    <cellStyle name="Normal 155" xfId="1732" xr:uid="{00000000-0005-0000-0000-0000C8060000}"/>
    <cellStyle name="Normal 156" xfId="1733" xr:uid="{00000000-0005-0000-0000-0000C9060000}"/>
    <cellStyle name="Normal 157" xfId="1734" xr:uid="{00000000-0005-0000-0000-0000CA060000}"/>
    <cellStyle name="Normal 158" xfId="1735" xr:uid="{00000000-0005-0000-0000-0000CB060000}"/>
    <cellStyle name="Normal 159" xfId="1736" xr:uid="{00000000-0005-0000-0000-0000CC060000}"/>
    <cellStyle name="Normal 16" xfId="1737" xr:uid="{00000000-0005-0000-0000-0000CD060000}"/>
    <cellStyle name="Normal 16 2" xfId="1738" xr:uid="{00000000-0005-0000-0000-0000CE060000}"/>
    <cellStyle name="Normal 16 3" xfId="1739" xr:uid="{00000000-0005-0000-0000-0000CF060000}"/>
    <cellStyle name="Normal 16 4" xfId="1740" xr:uid="{00000000-0005-0000-0000-0000D0060000}"/>
    <cellStyle name="Normal 160" xfId="1741" xr:uid="{00000000-0005-0000-0000-0000D1060000}"/>
    <cellStyle name="Normal 161" xfId="1742" xr:uid="{00000000-0005-0000-0000-0000D2060000}"/>
    <cellStyle name="Normal 162" xfId="1743" xr:uid="{00000000-0005-0000-0000-0000D3060000}"/>
    <cellStyle name="Normal 163" xfId="1744" xr:uid="{00000000-0005-0000-0000-0000D4060000}"/>
    <cellStyle name="Normal 164" xfId="1745" xr:uid="{00000000-0005-0000-0000-0000D5060000}"/>
    <cellStyle name="Normal 165" xfId="1746" xr:uid="{00000000-0005-0000-0000-0000D6060000}"/>
    <cellStyle name="Normal 166" xfId="1747" xr:uid="{00000000-0005-0000-0000-0000D7060000}"/>
    <cellStyle name="Normal 167" xfId="1748" xr:uid="{00000000-0005-0000-0000-0000D8060000}"/>
    <cellStyle name="Normal 168" xfId="1749" xr:uid="{00000000-0005-0000-0000-0000D9060000}"/>
    <cellStyle name="Normal 169" xfId="1750" xr:uid="{00000000-0005-0000-0000-0000DA060000}"/>
    <cellStyle name="Normal 17" xfId="1751" xr:uid="{00000000-0005-0000-0000-0000DB060000}"/>
    <cellStyle name="Normal 17 2" xfId="1752" xr:uid="{00000000-0005-0000-0000-0000DC060000}"/>
    <cellStyle name="Normal 17 2 2" xfId="1753" xr:uid="{00000000-0005-0000-0000-0000DD060000}"/>
    <cellStyle name="Normal 17 2 2 2" xfId="1754" xr:uid="{00000000-0005-0000-0000-0000DE060000}"/>
    <cellStyle name="Normal 17 2 3" xfId="1755" xr:uid="{00000000-0005-0000-0000-0000DF060000}"/>
    <cellStyle name="Normal 17 3" xfId="1756" xr:uid="{00000000-0005-0000-0000-0000E0060000}"/>
    <cellStyle name="Normal 17 3 2" xfId="1757" xr:uid="{00000000-0005-0000-0000-0000E1060000}"/>
    <cellStyle name="Normal 17 4" xfId="1758" xr:uid="{00000000-0005-0000-0000-0000E2060000}"/>
    <cellStyle name="Normal 170" xfId="1759" xr:uid="{00000000-0005-0000-0000-0000E3060000}"/>
    <cellStyle name="Normal 171" xfId="1760" xr:uid="{00000000-0005-0000-0000-0000E4060000}"/>
    <cellStyle name="Normal 172" xfId="1761" xr:uid="{00000000-0005-0000-0000-0000E5060000}"/>
    <cellStyle name="Normal 173" xfId="1762" xr:uid="{00000000-0005-0000-0000-0000E6060000}"/>
    <cellStyle name="Normal 174" xfId="1763" xr:uid="{00000000-0005-0000-0000-0000E7060000}"/>
    <cellStyle name="Normal 175" xfId="1764" xr:uid="{00000000-0005-0000-0000-0000E8060000}"/>
    <cellStyle name="Normal 176" xfId="1765" xr:uid="{00000000-0005-0000-0000-0000E9060000}"/>
    <cellStyle name="Normal 177" xfId="1766" xr:uid="{00000000-0005-0000-0000-0000EA060000}"/>
    <cellStyle name="Normal 178" xfId="1767" xr:uid="{00000000-0005-0000-0000-0000EB060000}"/>
    <cellStyle name="Normal 179" xfId="1768" xr:uid="{00000000-0005-0000-0000-0000EC060000}"/>
    <cellStyle name="Normal 18" xfId="1769" xr:uid="{00000000-0005-0000-0000-0000ED060000}"/>
    <cellStyle name="Normal 18 2" xfId="1770" xr:uid="{00000000-0005-0000-0000-0000EE060000}"/>
    <cellStyle name="Normal 18 3" xfId="1771" xr:uid="{00000000-0005-0000-0000-0000EF060000}"/>
    <cellStyle name="Normal 180" xfId="1772" xr:uid="{00000000-0005-0000-0000-0000F0060000}"/>
    <cellStyle name="Normal 181" xfId="1773" xr:uid="{00000000-0005-0000-0000-0000F1060000}"/>
    <cellStyle name="Normal 182" xfId="1774" xr:uid="{00000000-0005-0000-0000-0000F2060000}"/>
    <cellStyle name="Normal 183" xfId="1775" xr:uid="{00000000-0005-0000-0000-0000F3060000}"/>
    <cellStyle name="Normal 184" xfId="1776" xr:uid="{00000000-0005-0000-0000-0000F4060000}"/>
    <cellStyle name="Normal 185" xfId="1777" xr:uid="{00000000-0005-0000-0000-0000F5060000}"/>
    <cellStyle name="Normal 186" xfId="1778" xr:uid="{00000000-0005-0000-0000-0000F6060000}"/>
    <cellStyle name="Normal 187" xfId="1779" xr:uid="{00000000-0005-0000-0000-0000F7060000}"/>
    <cellStyle name="Normal 188" xfId="1780" xr:uid="{00000000-0005-0000-0000-0000F8060000}"/>
    <cellStyle name="Normal 189" xfId="1781" xr:uid="{00000000-0005-0000-0000-0000F9060000}"/>
    <cellStyle name="Normal 19" xfId="1782" xr:uid="{00000000-0005-0000-0000-0000FA060000}"/>
    <cellStyle name="Normal 19 2" xfId="1783" xr:uid="{00000000-0005-0000-0000-0000FB060000}"/>
    <cellStyle name="Normal 19 3" xfId="1784" xr:uid="{00000000-0005-0000-0000-0000FC060000}"/>
    <cellStyle name="Normal 190" xfId="1785" xr:uid="{00000000-0005-0000-0000-0000FD060000}"/>
    <cellStyle name="Normal 191" xfId="1786" xr:uid="{00000000-0005-0000-0000-0000FE060000}"/>
    <cellStyle name="Normal 192" xfId="1787" xr:uid="{00000000-0005-0000-0000-0000FF060000}"/>
    <cellStyle name="Normal 193" xfId="1788" xr:uid="{00000000-0005-0000-0000-000000070000}"/>
    <cellStyle name="Normal 194" xfId="1789" xr:uid="{00000000-0005-0000-0000-000001070000}"/>
    <cellStyle name="Normal 195" xfId="1790" xr:uid="{00000000-0005-0000-0000-000002070000}"/>
    <cellStyle name="Normal 196" xfId="1791" xr:uid="{00000000-0005-0000-0000-000003070000}"/>
    <cellStyle name="Normal 197" xfId="1792" xr:uid="{00000000-0005-0000-0000-000004070000}"/>
    <cellStyle name="Normal 198" xfId="1793" xr:uid="{00000000-0005-0000-0000-000005070000}"/>
    <cellStyle name="Normal 199" xfId="1794" xr:uid="{00000000-0005-0000-0000-000006070000}"/>
    <cellStyle name="Normal 2" xfId="1795" xr:uid="{00000000-0005-0000-0000-000007070000}"/>
    <cellStyle name="Normal 2 10" xfId="1796" xr:uid="{00000000-0005-0000-0000-000008070000}"/>
    <cellStyle name="Normal 2 11" xfId="1797" xr:uid="{00000000-0005-0000-0000-000009070000}"/>
    <cellStyle name="Normal 2 12" xfId="1798" xr:uid="{00000000-0005-0000-0000-00000A070000}"/>
    <cellStyle name="Normal 2 13" xfId="1799" xr:uid="{00000000-0005-0000-0000-00000B070000}"/>
    <cellStyle name="Normal 2 14" xfId="1800" xr:uid="{00000000-0005-0000-0000-00000C070000}"/>
    <cellStyle name="Normal 2 15" xfId="1801" xr:uid="{00000000-0005-0000-0000-00000D070000}"/>
    <cellStyle name="Normal 2 16" xfId="1802" xr:uid="{00000000-0005-0000-0000-00000E070000}"/>
    <cellStyle name="Normal 2 17" xfId="1803" xr:uid="{00000000-0005-0000-0000-00000F070000}"/>
    <cellStyle name="Normal 2 18" xfId="1804" xr:uid="{00000000-0005-0000-0000-000010070000}"/>
    <cellStyle name="Normal 2 19" xfId="1805" xr:uid="{00000000-0005-0000-0000-000011070000}"/>
    <cellStyle name="Normal 2 2" xfId="1806" xr:uid="{00000000-0005-0000-0000-000012070000}"/>
    <cellStyle name="Normal 2 2 10" xfId="3" xr:uid="{00000000-0005-0000-0000-000013070000}"/>
    <cellStyle name="Normal 2 2 11" xfId="1807" xr:uid="{00000000-0005-0000-0000-000014070000}"/>
    <cellStyle name="Normal 2 2 12" xfId="1808" xr:uid="{00000000-0005-0000-0000-000015070000}"/>
    <cellStyle name="Normal 2 2 13" xfId="1809" xr:uid="{00000000-0005-0000-0000-000016070000}"/>
    <cellStyle name="Normal 2 2 14" xfId="1810" xr:uid="{00000000-0005-0000-0000-000017070000}"/>
    <cellStyle name="Normal 2 2 15" xfId="1811" xr:uid="{00000000-0005-0000-0000-000018070000}"/>
    <cellStyle name="Normal 2 2 16" xfId="1812" xr:uid="{00000000-0005-0000-0000-000019070000}"/>
    <cellStyle name="Normal 2 2 17" xfId="1813" xr:uid="{00000000-0005-0000-0000-00001A070000}"/>
    <cellStyle name="Normal 2 2 18" xfId="1814" xr:uid="{00000000-0005-0000-0000-00001B070000}"/>
    <cellStyle name="Normal 2 2 19" xfId="1815" xr:uid="{00000000-0005-0000-0000-00001C070000}"/>
    <cellStyle name="Normal 2 2 2" xfId="1816" xr:uid="{00000000-0005-0000-0000-00001D070000}"/>
    <cellStyle name="Normal 2 2 2 2" xfId="1817" xr:uid="{00000000-0005-0000-0000-00001E070000}"/>
    <cellStyle name="Normal 2 2 2 2 2" xfId="1818" xr:uid="{00000000-0005-0000-0000-00001F070000}"/>
    <cellStyle name="Normal 2 2 2 3" xfId="1819" xr:uid="{00000000-0005-0000-0000-000020070000}"/>
    <cellStyle name="Normal 2 2 20" xfId="1820" xr:uid="{00000000-0005-0000-0000-000021070000}"/>
    <cellStyle name="Normal 2 2 21" xfId="1821" xr:uid="{00000000-0005-0000-0000-000022070000}"/>
    <cellStyle name="Normal 2 2 3" xfId="1822" xr:uid="{00000000-0005-0000-0000-000023070000}"/>
    <cellStyle name="Normal 2 2 3 2" xfId="1823" xr:uid="{00000000-0005-0000-0000-000024070000}"/>
    <cellStyle name="Normal 2 2 4" xfId="1824" xr:uid="{00000000-0005-0000-0000-000025070000}"/>
    <cellStyle name="Normal 2 2 5" xfId="1825" xr:uid="{00000000-0005-0000-0000-000026070000}"/>
    <cellStyle name="Normal 2 2 6" xfId="1826" xr:uid="{00000000-0005-0000-0000-000027070000}"/>
    <cellStyle name="Normal 2 2 7" xfId="1827" xr:uid="{00000000-0005-0000-0000-000028070000}"/>
    <cellStyle name="Normal 2 2 8" xfId="1828" xr:uid="{00000000-0005-0000-0000-000029070000}"/>
    <cellStyle name="Normal 2 2 9" xfId="1829" xr:uid="{00000000-0005-0000-0000-00002A070000}"/>
    <cellStyle name="Normal 2 2_Note- Segment Report - final" xfId="1830" xr:uid="{00000000-0005-0000-0000-00002B070000}"/>
    <cellStyle name="Normal 2 20" xfId="1831" xr:uid="{00000000-0005-0000-0000-00002C070000}"/>
    <cellStyle name="Normal 2 21" xfId="1832" xr:uid="{00000000-0005-0000-0000-00002D070000}"/>
    <cellStyle name="Normal 2 22" xfId="1833" xr:uid="{00000000-0005-0000-0000-00002E070000}"/>
    <cellStyle name="Normal 2 23" xfId="1834" xr:uid="{00000000-0005-0000-0000-00002F070000}"/>
    <cellStyle name="Normal 2 24" xfId="1835" xr:uid="{00000000-0005-0000-0000-000030070000}"/>
    <cellStyle name="Normal 2 25" xfId="1836" xr:uid="{00000000-0005-0000-0000-000031070000}"/>
    <cellStyle name="Normal 2 26" xfId="1837" xr:uid="{00000000-0005-0000-0000-000032070000}"/>
    <cellStyle name="Normal 2 27" xfId="1838" xr:uid="{00000000-0005-0000-0000-000033070000}"/>
    <cellStyle name="Normal 2 28" xfId="1839" xr:uid="{00000000-0005-0000-0000-000034070000}"/>
    <cellStyle name="Normal 2 29" xfId="1840" xr:uid="{00000000-0005-0000-0000-000035070000}"/>
    <cellStyle name="Normal 2 3" xfId="1841" xr:uid="{00000000-0005-0000-0000-000036070000}"/>
    <cellStyle name="Normal 2 3 2" xfId="1842" xr:uid="{00000000-0005-0000-0000-000037070000}"/>
    <cellStyle name="Normal 2 3 2 2" xfId="1843" xr:uid="{00000000-0005-0000-0000-000038070000}"/>
    <cellStyle name="Normal 2 3 2 2 2" xfId="1844" xr:uid="{00000000-0005-0000-0000-000039070000}"/>
    <cellStyle name="Normal 2 3 2 3" xfId="1845" xr:uid="{00000000-0005-0000-0000-00003A070000}"/>
    <cellStyle name="Normal 2 3 3" xfId="1846" xr:uid="{00000000-0005-0000-0000-00003B070000}"/>
    <cellStyle name="Normal 2 3 3 2" xfId="1847" xr:uid="{00000000-0005-0000-0000-00003C070000}"/>
    <cellStyle name="Normal 2 3 4" xfId="1848" xr:uid="{00000000-0005-0000-0000-00003D070000}"/>
    <cellStyle name="Normal 2 3 4 2" xfId="1849" xr:uid="{00000000-0005-0000-0000-00003E070000}"/>
    <cellStyle name="Normal 2 3 5" xfId="1850" xr:uid="{00000000-0005-0000-0000-00003F070000}"/>
    <cellStyle name="Normal 2 3 5 2" xfId="1851" xr:uid="{00000000-0005-0000-0000-000040070000}"/>
    <cellStyle name="Normal 2 3 6" xfId="1852" xr:uid="{00000000-0005-0000-0000-000041070000}"/>
    <cellStyle name="Normal 2 3 6 2" xfId="1853" xr:uid="{00000000-0005-0000-0000-000042070000}"/>
    <cellStyle name="Normal 2 3 7" xfId="1854" xr:uid="{00000000-0005-0000-0000-000043070000}"/>
    <cellStyle name="Normal 2 3 8" xfId="1855" xr:uid="{00000000-0005-0000-0000-000044070000}"/>
    <cellStyle name="Normal 2 30" xfId="1856" xr:uid="{00000000-0005-0000-0000-000045070000}"/>
    <cellStyle name="Normal 2 31" xfId="1857" xr:uid="{00000000-0005-0000-0000-000046070000}"/>
    <cellStyle name="Normal 2 32" xfId="1858" xr:uid="{00000000-0005-0000-0000-000047070000}"/>
    <cellStyle name="Normal 2 33" xfId="1859" xr:uid="{00000000-0005-0000-0000-000048070000}"/>
    <cellStyle name="Normal 2 34" xfId="1860" xr:uid="{00000000-0005-0000-0000-000049070000}"/>
    <cellStyle name="Normal 2 34 2" xfId="1861" xr:uid="{00000000-0005-0000-0000-00004A070000}"/>
    <cellStyle name="Normal 2 34 2 2" xfId="1862" xr:uid="{00000000-0005-0000-0000-00004B070000}"/>
    <cellStyle name="Normal 2 34 2 3" xfId="1863" xr:uid="{00000000-0005-0000-0000-00004C070000}"/>
    <cellStyle name="Normal 2 34 3" xfId="1864" xr:uid="{00000000-0005-0000-0000-00004D070000}"/>
    <cellStyle name="Normal 2 34 4" xfId="1865" xr:uid="{00000000-0005-0000-0000-00004E070000}"/>
    <cellStyle name="Normal 2 35" xfId="1866" xr:uid="{00000000-0005-0000-0000-00004F070000}"/>
    <cellStyle name="Normal 2 35 2" xfId="1867" xr:uid="{00000000-0005-0000-0000-000050070000}"/>
    <cellStyle name="Normal 2 35 3" xfId="1868" xr:uid="{00000000-0005-0000-0000-000051070000}"/>
    <cellStyle name="Normal 2 36" xfId="1869" xr:uid="{00000000-0005-0000-0000-000052070000}"/>
    <cellStyle name="Normal 2 37" xfId="1870" xr:uid="{00000000-0005-0000-0000-000053070000}"/>
    <cellStyle name="Normal 2 38" xfId="1871" xr:uid="{00000000-0005-0000-0000-000054070000}"/>
    <cellStyle name="Normal 2 39" xfId="1872" xr:uid="{00000000-0005-0000-0000-000055070000}"/>
    <cellStyle name="Normal 2 4" xfId="1873" xr:uid="{00000000-0005-0000-0000-000056070000}"/>
    <cellStyle name="Normal 2 4 2" xfId="1874" xr:uid="{00000000-0005-0000-0000-000057070000}"/>
    <cellStyle name="Normal 2 4 3" xfId="1875" xr:uid="{00000000-0005-0000-0000-000058070000}"/>
    <cellStyle name="Normal 2 40" xfId="1876" xr:uid="{00000000-0005-0000-0000-000059070000}"/>
    <cellStyle name="Normal 2 41" xfId="1877" xr:uid="{00000000-0005-0000-0000-00005A070000}"/>
    <cellStyle name="Normal 2 42" xfId="1878" xr:uid="{00000000-0005-0000-0000-00005B070000}"/>
    <cellStyle name="Normal 2 43" xfId="1879" xr:uid="{00000000-0005-0000-0000-00005C070000}"/>
    <cellStyle name="Normal 2 44" xfId="1880" xr:uid="{00000000-0005-0000-0000-00005D070000}"/>
    <cellStyle name="Normal 2 45" xfId="1881" xr:uid="{00000000-0005-0000-0000-00005E070000}"/>
    <cellStyle name="Normal 2 46" xfId="1882" xr:uid="{00000000-0005-0000-0000-00005F070000}"/>
    <cellStyle name="Normal 2 47" xfId="1883" xr:uid="{00000000-0005-0000-0000-000060070000}"/>
    <cellStyle name="Normal 2 48" xfId="1884" xr:uid="{00000000-0005-0000-0000-000061070000}"/>
    <cellStyle name="Normal 2 49" xfId="1885" xr:uid="{00000000-0005-0000-0000-000062070000}"/>
    <cellStyle name="Normal 2 5" xfId="1886" xr:uid="{00000000-0005-0000-0000-000063070000}"/>
    <cellStyle name="Normal 2 50" xfId="1887" xr:uid="{00000000-0005-0000-0000-000064070000}"/>
    <cellStyle name="Normal 2 51" xfId="1888" xr:uid="{00000000-0005-0000-0000-000065070000}"/>
    <cellStyle name="Normal 2 52" xfId="1889" xr:uid="{00000000-0005-0000-0000-000066070000}"/>
    <cellStyle name="Normal 2 6" xfId="1890" xr:uid="{00000000-0005-0000-0000-000067070000}"/>
    <cellStyle name="Normal 2 7" xfId="1891" xr:uid="{00000000-0005-0000-0000-000068070000}"/>
    <cellStyle name="Normal 2 7 2" xfId="1892" xr:uid="{00000000-0005-0000-0000-000069070000}"/>
    <cellStyle name="Normal 2 8" xfId="1893" xr:uid="{00000000-0005-0000-0000-00006A070000}"/>
    <cellStyle name="Normal 2 9" xfId="1894" xr:uid="{00000000-0005-0000-0000-00006B070000}"/>
    <cellStyle name="Normal 2_1 BEKEM INFRA RBKM Financials as on 31.03.2010 UPDATED AS ON 15.10.2010" xfId="1895" xr:uid="{00000000-0005-0000-0000-00006C070000}"/>
    <cellStyle name="Normal 20" xfId="1896" xr:uid="{00000000-0005-0000-0000-00006D070000}"/>
    <cellStyle name="Normal 20 2" xfId="1897" xr:uid="{00000000-0005-0000-0000-00006E070000}"/>
    <cellStyle name="Normal 20 3" xfId="1898" xr:uid="{00000000-0005-0000-0000-00006F070000}"/>
    <cellStyle name="Normal 200" xfId="1899" xr:uid="{00000000-0005-0000-0000-000070070000}"/>
    <cellStyle name="Normal 201" xfId="1900" xr:uid="{00000000-0005-0000-0000-000071070000}"/>
    <cellStyle name="Normal 202" xfId="1901" xr:uid="{00000000-0005-0000-0000-000072070000}"/>
    <cellStyle name="Normal 203" xfId="1902" xr:uid="{00000000-0005-0000-0000-000073070000}"/>
    <cellStyle name="Normal 204" xfId="1903" xr:uid="{00000000-0005-0000-0000-000074070000}"/>
    <cellStyle name="Normal 205" xfId="1904" xr:uid="{00000000-0005-0000-0000-000075070000}"/>
    <cellStyle name="Normal 206" xfId="1905" xr:uid="{00000000-0005-0000-0000-000076070000}"/>
    <cellStyle name="Normal 207" xfId="1906" xr:uid="{00000000-0005-0000-0000-000077070000}"/>
    <cellStyle name="Normal 208" xfId="1907" xr:uid="{00000000-0005-0000-0000-000078070000}"/>
    <cellStyle name="Normal 209" xfId="1908" xr:uid="{00000000-0005-0000-0000-000079070000}"/>
    <cellStyle name="Normal 21" xfId="1909" xr:uid="{00000000-0005-0000-0000-00007A070000}"/>
    <cellStyle name="Normal 21 2" xfId="1910" xr:uid="{00000000-0005-0000-0000-00007B070000}"/>
    <cellStyle name="Normal 21 3" xfId="1911" xr:uid="{00000000-0005-0000-0000-00007C070000}"/>
    <cellStyle name="Normal 210" xfId="1912" xr:uid="{00000000-0005-0000-0000-00007D070000}"/>
    <cellStyle name="Normal 211" xfId="1913" xr:uid="{00000000-0005-0000-0000-00007E070000}"/>
    <cellStyle name="Normal 212" xfId="1914" xr:uid="{00000000-0005-0000-0000-00007F070000}"/>
    <cellStyle name="Normal 213" xfId="1915" xr:uid="{00000000-0005-0000-0000-000080070000}"/>
    <cellStyle name="Normal 214" xfId="1916" xr:uid="{00000000-0005-0000-0000-000081070000}"/>
    <cellStyle name="Normal 215" xfId="1917" xr:uid="{00000000-0005-0000-0000-000082070000}"/>
    <cellStyle name="Normal 216" xfId="1918" xr:uid="{00000000-0005-0000-0000-000083070000}"/>
    <cellStyle name="Normal 217" xfId="1919" xr:uid="{00000000-0005-0000-0000-000084070000}"/>
    <cellStyle name="Normal 218" xfId="1920" xr:uid="{00000000-0005-0000-0000-000085070000}"/>
    <cellStyle name="Normal 219" xfId="1921" xr:uid="{00000000-0005-0000-0000-000086070000}"/>
    <cellStyle name="Normal 22" xfId="1922" xr:uid="{00000000-0005-0000-0000-000087070000}"/>
    <cellStyle name="Normal 22 2" xfId="1923" xr:uid="{00000000-0005-0000-0000-000088070000}"/>
    <cellStyle name="Normal 22 2 2" xfId="1924" xr:uid="{00000000-0005-0000-0000-000089070000}"/>
    <cellStyle name="Normal 22 3" xfId="1925" xr:uid="{00000000-0005-0000-0000-00008A070000}"/>
    <cellStyle name="Normal 220" xfId="1926" xr:uid="{00000000-0005-0000-0000-00008B070000}"/>
    <cellStyle name="Normal 221" xfId="1927" xr:uid="{00000000-0005-0000-0000-00008C070000}"/>
    <cellStyle name="Normal 222" xfId="1928" xr:uid="{00000000-0005-0000-0000-00008D070000}"/>
    <cellStyle name="Normal 222 2" xfId="1929" xr:uid="{00000000-0005-0000-0000-00008E070000}"/>
    <cellStyle name="Normal 223" xfId="1930" xr:uid="{00000000-0005-0000-0000-00008F070000}"/>
    <cellStyle name="Normal 223 2" xfId="1931" xr:uid="{00000000-0005-0000-0000-000090070000}"/>
    <cellStyle name="Normal 224" xfId="1932" xr:uid="{00000000-0005-0000-0000-000091070000}"/>
    <cellStyle name="Normal 224 2" xfId="1933" xr:uid="{00000000-0005-0000-0000-000092070000}"/>
    <cellStyle name="Normal 225" xfId="1934" xr:uid="{00000000-0005-0000-0000-000093070000}"/>
    <cellStyle name="Normal 225 2" xfId="1935" xr:uid="{00000000-0005-0000-0000-000094070000}"/>
    <cellStyle name="Normal 226" xfId="1936" xr:uid="{00000000-0005-0000-0000-000095070000}"/>
    <cellStyle name="Normal 226 2" xfId="1937" xr:uid="{00000000-0005-0000-0000-000096070000}"/>
    <cellStyle name="Normal 227" xfId="1938" xr:uid="{00000000-0005-0000-0000-000097070000}"/>
    <cellStyle name="Normal 227 2" xfId="1939" xr:uid="{00000000-0005-0000-0000-000098070000}"/>
    <cellStyle name="Normal 228" xfId="1940" xr:uid="{00000000-0005-0000-0000-000099070000}"/>
    <cellStyle name="Normal 228 2" xfId="1941" xr:uid="{00000000-0005-0000-0000-00009A070000}"/>
    <cellStyle name="Normal 229" xfId="1942" xr:uid="{00000000-0005-0000-0000-00009B070000}"/>
    <cellStyle name="Normal 229 2" xfId="1943" xr:uid="{00000000-0005-0000-0000-00009C070000}"/>
    <cellStyle name="Normal 23" xfId="1944" xr:uid="{00000000-0005-0000-0000-00009D070000}"/>
    <cellStyle name="Normal 23 2" xfId="1945" xr:uid="{00000000-0005-0000-0000-00009E070000}"/>
    <cellStyle name="Normal 23 3" xfId="1946" xr:uid="{00000000-0005-0000-0000-00009F070000}"/>
    <cellStyle name="Normal 230" xfId="1947" xr:uid="{00000000-0005-0000-0000-0000A0070000}"/>
    <cellStyle name="Normal 230 2" xfId="1948" xr:uid="{00000000-0005-0000-0000-0000A1070000}"/>
    <cellStyle name="Normal 231" xfId="1949" xr:uid="{00000000-0005-0000-0000-0000A2070000}"/>
    <cellStyle name="Normal 231 2" xfId="1950" xr:uid="{00000000-0005-0000-0000-0000A3070000}"/>
    <cellStyle name="Normal 232" xfId="1951" xr:uid="{00000000-0005-0000-0000-0000A4070000}"/>
    <cellStyle name="Normal 233" xfId="1952" xr:uid="{00000000-0005-0000-0000-0000A5070000}"/>
    <cellStyle name="Normal 234" xfId="1953" xr:uid="{00000000-0005-0000-0000-0000A6070000}"/>
    <cellStyle name="Normal 235" xfId="1954" xr:uid="{00000000-0005-0000-0000-0000A7070000}"/>
    <cellStyle name="Normal 236" xfId="1955" xr:uid="{00000000-0005-0000-0000-0000A8070000}"/>
    <cellStyle name="Normal 237" xfId="1956" xr:uid="{00000000-0005-0000-0000-0000A9070000}"/>
    <cellStyle name="Normal 238" xfId="1957" xr:uid="{00000000-0005-0000-0000-0000AA070000}"/>
    <cellStyle name="Normal 239" xfId="1958" xr:uid="{00000000-0005-0000-0000-0000AB070000}"/>
    <cellStyle name="Normal 24" xfId="1959" xr:uid="{00000000-0005-0000-0000-0000AC070000}"/>
    <cellStyle name="Normal 24 2" xfId="1960" xr:uid="{00000000-0005-0000-0000-0000AD070000}"/>
    <cellStyle name="Normal 24 3" xfId="1961" xr:uid="{00000000-0005-0000-0000-0000AE070000}"/>
    <cellStyle name="Normal 240" xfId="1962" xr:uid="{00000000-0005-0000-0000-0000AF070000}"/>
    <cellStyle name="Normal 241" xfId="1963" xr:uid="{00000000-0005-0000-0000-0000B0070000}"/>
    <cellStyle name="Normal 242" xfId="1964" xr:uid="{00000000-0005-0000-0000-0000B1070000}"/>
    <cellStyle name="Normal 243" xfId="1965" xr:uid="{00000000-0005-0000-0000-0000B2070000}"/>
    <cellStyle name="Normal 244" xfId="1966" xr:uid="{00000000-0005-0000-0000-0000B3070000}"/>
    <cellStyle name="Normal 245" xfId="1967" xr:uid="{00000000-0005-0000-0000-0000B4070000}"/>
    <cellStyle name="Normal 246" xfId="1968" xr:uid="{00000000-0005-0000-0000-0000B5070000}"/>
    <cellStyle name="Normal 247" xfId="1969" xr:uid="{00000000-0005-0000-0000-0000B6070000}"/>
    <cellStyle name="Normal 248" xfId="1970" xr:uid="{00000000-0005-0000-0000-0000B7070000}"/>
    <cellStyle name="Normal 249" xfId="1971" xr:uid="{00000000-0005-0000-0000-0000B8070000}"/>
    <cellStyle name="Normal 25" xfId="1972" xr:uid="{00000000-0005-0000-0000-0000B9070000}"/>
    <cellStyle name="Normal 25 2" xfId="1973" xr:uid="{00000000-0005-0000-0000-0000BA070000}"/>
    <cellStyle name="Normal 25 3" xfId="1974" xr:uid="{00000000-0005-0000-0000-0000BB070000}"/>
    <cellStyle name="Normal 250" xfId="1975" xr:uid="{00000000-0005-0000-0000-0000BC070000}"/>
    <cellStyle name="Normal 251" xfId="1976" xr:uid="{00000000-0005-0000-0000-0000BD070000}"/>
    <cellStyle name="Normal 252" xfId="1977" xr:uid="{00000000-0005-0000-0000-0000BE070000}"/>
    <cellStyle name="Normal 253" xfId="1978" xr:uid="{00000000-0005-0000-0000-0000BF070000}"/>
    <cellStyle name="Normal 254" xfId="1979" xr:uid="{00000000-0005-0000-0000-0000C0070000}"/>
    <cellStyle name="Normal 255" xfId="1980" xr:uid="{00000000-0005-0000-0000-0000C1070000}"/>
    <cellStyle name="Normal 256" xfId="1981" xr:uid="{00000000-0005-0000-0000-0000C2070000}"/>
    <cellStyle name="Normal 257" xfId="1982" xr:uid="{00000000-0005-0000-0000-0000C3070000}"/>
    <cellStyle name="Normal 258" xfId="1983" xr:uid="{00000000-0005-0000-0000-0000C4070000}"/>
    <cellStyle name="Normal 259" xfId="1984" xr:uid="{00000000-0005-0000-0000-0000C5070000}"/>
    <cellStyle name="Normal 26" xfId="1985" xr:uid="{00000000-0005-0000-0000-0000C6070000}"/>
    <cellStyle name="Normal 26 2" xfId="1986" xr:uid="{00000000-0005-0000-0000-0000C7070000}"/>
    <cellStyle name="Normal 26 3" xfId="1987" xr:uid="{00000000-0005-0000-0000-0000C8070000}"/>
    <cellStyle name="Normal 260" xfId="1988" xr:uid="{00000000-0005-0000-0000-0000C9070000}"/>
    <cellStyle name="Normal 261" xfId="1989" xr:uid="{00000000-0005-0000-0000-0000CA070000}"/>
    <cellStyle name="Normal 262" xfId="1990" xr:uid="{00000000-0005-0000-0000-0000CB070000}"/>
    <cellStyle name="Normal 263" xfId="1991" xr:uid="{00000000-0005-0000-0000-0000CC070000}"/>
    <cellStyle name="Normal 264" xfId="1992" xr:uid="{00000000-0005-0000-0000-0000CD070000}"/>
    <cellStyle name="Normal 265" xfId="1993" xr:uid="{00000000-0005-0000-0000-0000CE070000}"/>
    <cellStyle name="Normal 266" xfId="1994" xr:uid="{00000000-0005-0000-0000-0000CF070000}"/>
    <cellStyle name="Normal 267" xfId="1995" xr:uid="{00000000-0005-0000-0000-0000D0070000}"/>
    <cellStyle name="Normal 268" xfId="1996" xr:uid="{00000000-0005-0000-0000-0000D1070000}"/>
    <cellStyle name="Normal 269" xfId="1997" xr:uid="{00000000-0005-0000-0000-0000D2070000}"/>
    <cellStyle name="Normal 27" xfId="1998" xr:uid="{00000000-0005-0000-0000-0000D3070000}"/>
    <cellStyle name="Normal 27 2" xfId="1999" xr:uid="{00000000-0005-0000-0000-0000D4070000}"/>
    <cellStyle name="Normal 27 3" xfId="2000" xr:uid="{00000000-0005-0000-0000-0000D5070000}"/>
    <cellStyle name="Normal 270" xfId="2001" xr:uid="{00000000-0005-0000-0000-0000D6070000}"/>
    <cellStyle name="Normal 271" xfId="2002" xr:uid="{00000000-0005-0000-0000-0000D7070000}"/>
    <cellStyle name="Normal 272" xfId="2003" xr:uid="{00000000-0005-0000-0000-0000D8070000}"/>
    <cellStyle name="Normal 273" xfId="2004" xr:uid="{00000000-0005-0000-0000-0000D9070000}"/>
    <cellStyle name="Normal 274" xfId="2005" xr:uid="{00000000-0005-0000-0000-0000DA070000}"/>
    <cellStyle name="Normal 275" xfId="2006" xr:uid="{00000000-0005-0000-0000-0000DB070000}"/>
    <cellStyle name="Normal 276" xfId="2007" xr:uid="{00000000-0005-0000-0000-0000DC070000}"/>
    <cellStyle name="Normal 277" xfId="2008" xr:uid="{00000000-0005-0000-0000-0000DD070000}"/>
    <cellStyle name="Normal 278" xfId="2009" xr:uid="{00000000-0005-0000-0000-0000DE070000}"/>
    <cellStyle name="Normal 279" xfId="2010" xr:uid="{00000000-0005-0000-0000-0000DF070000}"/>
    <cellStyle name="Normal 28" xfId="2011" xr:uid="{00000000-0005-0000-0000-0000E0070000}"/>
    <cellStyle name="Normal 28 2" xfId="2012" xr:uid="{00000000-0005-0000-0000-0000E1070000}"/>
    <cellStyle name="Normal 28 3" xfId="2013" xr:uid="{00000000-0005-0000-0000-0000E2070000}"/>
    <cellStyle name="Normal 28 4" xfId="2014" xr:uid="{00000000-0005-0000-0000-0000E3070000}"/>
    <cellStyle name="Normal 280" xfId="2015" xr:uid="{00000000-0005-0000-0000-0000E4070000}"/>
    <cellStyle name="Normal 281" xfId="2016" xr:uid="{00000000-0005-0000-0000-0000E5070000}"/>
    <cellStyle name="Normal 282" xfId="2017" xr:uid="{00000000-0005-0000-0000-0000E6070000}"/>
    <cellStyle name="Normal 283" xfId="2018" xr:uid="{00000000-0005-0000-0000-0000E7070000}"/>
    <cellStyle name="Normal 284" xfId="2019" xr:uid="{00000000-0005-0000-0000-0000E8070000}"/>
    <cellStyle name="Normal 285" xfId="2020" xr:uid="{00000000-0005-0000-0000-0000E9070000}"/>
    <cellStyle name="Normal 286" xfId="2021" xr:uid="{00000000-0005-0000-0000-0000EA070000}"/>
    <cellStyle name="Normal 287" xfId="2022" xr:uid="{00000000-0005-0000-0000-0000EB070000}"/>
    <cellStyle name="Normal 288" xfId="2023" xr:uid="{00000000-0005-0000-0000-0000EC070000}"/>
    <cellStyle name="Normal 289" xfId="2024" xr:uid="{00000000-0005-0000-0000-0000ED070000}"/>
    <cellStyle name="Normal 29" xfId="2025" xr:uid="{00000000-0005-0000-0000-0000EE070000}"/>
    <cellStyle name="Normal 29 2" xfId="2026" xr:uid="{00000000-0005-0000-0000-0000EF070000}"/>
    <cellStyle name="Normal 29 3" xfId="2027" xr:uid="{00000000-0005-0000-0000-0000F0070000}"/>
    <cellStyle name="Normal 29 4" xfId="2028" xr:uid="{00000000-0005-0000-0000-0000F1070000}"/>
    <cellStyle name="Normal 290" xfId="2029" xr:uid="{00000000-0005-0000-0000-0000F2070000}"/>
    <cellStyle name="Normal 291" xfId="2030" xr:uid="{00000000-0005-0000-0000-0000F3070000}"/>
    <cellStyle name="Normal 292" xfId="2031" xr:uid="{00000000-0005-0000-0000-0000F4070000}"/>
    <cellStyle name="Normal 293" xfId="2032" xr:uid="{00000000-0005-0000-0000-0000F5070000}"/>
    <cellStyle name="Normal 294" xfId="2033" xr:uid="{00000000-0005-0000-0000-0000F6070000}"/>
    <cellStyle name="Normal 295" xfId="2034" xr:uid="{00000000-0005-0000-0000-0000F7070000}"/>
    <cellStyle name="Normal 296" xfId="2035" xr:uid="{00000000-0005-0000-0000-0000F8070000}"/>
    <cellStyle name="Normal 297" xfId="2036" xr:uid="{00000000-0005-0000-0000-0000F9070000}"/>
    <cellStyle name="Normal 298" xfId="2037" xr:uid="{00000000-0005-0000-0000-0000FA070000}"/>
    <cellStyle name="Normal 299" xfId="2038" xr:uid="{00000000-0005-0000-0000-0000FB070000}"/>
    <cellStyle name="Normal 3" xfId="2039" xr:uid="{00000000-0005-0000-0000-0000FC070000}"/>
    <cellStyle name="Normal 3 10" xfId="2040" xr:uid="{00000000-0005-0000-0000-0000FD070000}"/>
    <cellStyle name="Normal 3 11" xfId="2041" xr:uid="{00000000-0005-0000-0000-0000FE070000}"/>
    <cellStyle name="Normal 3 12" xfId="2042" xr:uid="{00000000-0005-0000-0000-0000FF070000}"/>
    <cellStyle name="Normal 3 13" xfId="2043" xr:uid="{00000000-0005-0000-0000-000000080000}"/>
    <cellStyle name="Normal 3 14" xfId="2044" xr:uid="{00000000-0005-0000-0000-000001080000}"/>
    <cellStyle name="Normal 3 15" xfId="2045" xr:uid="{00000000-0005-0000-0000-000002080000}"/>
    <cellStyle name="Normal 3 2" xfId="2046" xr:uid="{00000000-0005-0000-0000-000003080000}"/>
    <cellStyle name="Normal 3 2 10" xfId="2047" xr:uid="{00000000-0005-0000-0000-000004080000}"/>
    <cellStyle name="Normal 3 2 11" xfId="2048" xr:uid="{00000000-0005-0000-0000-000005080000}"/>
    <cellStyle name="Normal 3 2 12" xfId="2049" xr:uid="{00000000-0005-0000-0000-000006080000}"/>
    <cellStyle name="Normal 3 2 13" xfId="2050" xr:uid="{00000000-0005-0000-0000-000007080000}"/>
    <cellStyle name="Normal 3 2 14" xfId="2051" xr:uid="{00000000-0005-0000-0000-000008080000}"/>
    <cellStyle name="Normal 3 2 2" xfId="2052" xr:uid="{00000000-0005-0000-0000-000009080000}"/>
    <cellStyle name="Normal 3 2 2 2" xfId="2053" xr:uid="{00000000-0005-0000-0000-00000A080000}"/>
    <cellStyle name="Normal 3 2 3" xfId="2054" xr:uid="{00000000-0005-0000-0000-00000B080000}"/>
    <cellStyle name="Normal 3 2 4" xfId="2055" xr:uid="{00000000-0005-0000-0000-00000C080000}"/>
    <cellStyle name="Normal 3 2 5" xfId="2056" xr:uid="{00000000-0005-0000-0000-00000D080000}"/>
    <cellStyle name="Normal 3 2 6" xfId="2057" xr:uid="{00000000-0005-0000-0000-00000E080000}"/>
    <cellStyle name="Normal 3 2 7" xfId="2058" xr:uid="{00000000-0005-0000-0000-00000F080000}"/>
    <cellStyle name="Normal 3 2 8" xfId="2059" xr:uid="{00000000-0005-0000-0000-000010080000}"/>
    <cellStyle name="Normal 3 2 9" xfId="2060" xr:uid="{00000000-0005-0000-0000-000011080000}"/>
    <cellStyle name="Normal 3 2_Note- Segment Report - final" xfId="2061" xr:uid="{00000000-0005-0000-0000-000012080000}"/>
    <cellStyle name="Normal 3 3" xfId="2062" xr:uid="{00000000-0005-0000-0000-000013080000}"/>
    <cellStyle name="Normal 3 3 2" xfId="2063" xr:uid="{00000000-0005-0000-0000-000014080000}"/>
    <cellStyle name="Normal 3 4" xfId="2064" xr:uid="{00000000-0005-0000-0000-000015080000}"/>
    <cellStyle name="Normal 3 4 2" xfId="2065" xr:uid="{00000000-0005-0000-0000-000016080000}"/>
    <cellStyle name="Normal 3 5" xfId="2066" xr:uid="{00000000-0005-0000-0000-000017080000}"/>
    <cellStyle name="Normal 3 5 2" xfId="2067" xr:uid="{00000000-0005-0000-0000-000018080000}"/>
    <cellStyle name="Normal 3 6" xfId="2068" xr:uid="{00000000-0005-0000-0000-000019080000}"/>
    <cellStyle name="Normal 3 6 2" xfId="2069" xr:uid="{00000000-0005-0000-0000-00001A080000}"/>
    <cellStyle name="Normal 3 7" xfId="2070" xr:uid="{00000000-0005-0000-0000-00001B080000}"/>
    <cellStyle name="Normal 3 8" xfId="2071" xr:uid="{00000000-0005-0000-0000-00001C080000}"/>
    <cellStyle name="Normal 3 9" xfId="2072" xr:uid="{00000000-0005-0000-0000-00001D080000}"/>
    <cellStyle name="Normal 3_AS 15 Disclosure" xfId="2073" xr:uid="{00000000-0005-0000-0000-00001E080000}"/>
    <cellStyle name="Normal 30" xfId="2074" xr:uid="{00000000-0005-0000-0000-00001F080000}"/>
    <cellStyle name="Normal 30 2" xfId="2075" xr:uid="{00000000-0005-0000-0000-000020080000}"/>
    <cellStyle name="Normal 30 3" xfId="2076" xr:uid="{00000000-0005-0000-0000-000021080000}"/>
    <cellStyle name="Normal 300" xfId="2077" xr:uid="{00000000-0005-0000-0000-000022080000}"/>
    <cellStyle name="Normal 301" xfId="2078" xr:uid="{00000000-0005-0000-0000-000023080000}"/>
    <cellStyle name="Normal 302" xfId="2079" xr:uid="{00000000-0005-0000-0000-000024080000}"/>
    <cellStyle name="Normal 303" xfId="2080" xr:uid="{00000000-0005-0000-0000-000025080000}"/>
    <cellStyle name="Normal 304" xfId="2081" xr:uid="{00000000-0005-0000-0000-000026080000}"/>
    <cellStyle name="Normal 305" xfId="2082" xr:uid="{00000000-0005-0000-0000-000027080000}"/>
    <cellStyle name="Normal 306" xfId="2083" xr:uid="{00000000-0005-0000-0000-000028080000}"/>
    <cellStyle name="Normal 307" xfId="2084" xr:uid="{00000000-0005-0000-0000-000029080000}"/>
    <cellStyle name="Normal 308" xfId="2085" xr:uid="{00000000-0005-0000-0000-00002A080000}"/>
    <cellStyle name="Normal 309" xfId="2086" xr:uid="{00000000-0005-0000-0000-00002B080000}"/>
    <cellStyle name="Normal 31" xfId="2087" xr:uid="{00000000-0005-0000-0000-00002C080000}"/>
    <cellStyle name="Normal 31 2" xfId="2088" xr:uid="{00000000-0005-0000-0000-00002D080000}"/>
    <cellStyle name="Normal 31 3" xfId="2089" xr:uid="{00000000-0005-0000-0000-00002E080000}"/>
    <cellStyle name="Normal 310" xfId="2090" xr:uid="{00000000-0005-0000-0000-00002F080000}"/>
    <cellStyle name="Normal 311" xfId="2091" xr:uid="{00000000-0005-0000-0000-000030080000}"/>
    <cellStyle name="Normal 312" xfId="2092" xr:uid="{00000000-0005-0000-0000-000031080000}"/>
    <cellStyle name="Normal 313" xfId="2093" xr:uid="{00000000-0005-0000-0000-000032080000}"/>
    <cellStyle name="Normal 314" xfId="2094" xr:uid="{00000000-0005-0000-0000-000033080000}"/>
    <cellStyle name="Normal 315" xfId="2095" xr:uid="{00000000-0005-0000-0000-000034080000}"/>
    <cellStyle name="Normal 316" xfId="2096" xr:uid="{00000000-0005-0000-0000-000035080000}"/>
    <cellStyle name="Normal 317" xfId="2097" xr:uid="{00000000-0005-0000-0000-000036080000}"/>
    <cellStyle name="Normal 318" xfId="2098" xr:uid="{00000000-0005-0000-0000-000037080000}"/>
    <cellStyle name="Normal 319" xfId="2099" xr:uid="{00000000-0005-0000-0000-000038080000}"/>
    <cellStyle name="Normal 32" xfId="2100" xr:uid="{00000000-0005-0000-0000-000039080000}"/>
    <cellStyle name="Normal 32 2" xfId="2101" xr:uid="{00000000-0005-0000-0000-00003A080000}"/>
    <cellStyle name="Normal 320" xfId="2102" xr:uid="{00000000-0005-0000-0000-00003B080000}"/>
    <cellStyle name="Normal 321" xfId="2103" xr:uid="{00000000-0005-0000-0000-00003C080000}"/>
    <cellStyle name="Normal 322" xfId="2104" xr:uid="{00000000-0005-0000-0000-00003D080000}"/>
    <cellStyle name="Normal 323" xfId="2105" xr:uid="{00000000-0005-0000-0000-00003E080000}"/>
    <cellStyle name="Normal 324" xfId="2106" xr:uid="{00000000-0005-0000-0000-00003F080000}"/>
    <cellStyle name="Normal 325" xfId="2107" xr:uid="{00000000-0005-0000-0000-000040080000}"/>
    <cellStyle name="Normal 326" xfId="2108" xr:uid="{00000000-0005-0000-0000-000041080000}"/>
    <cellStyle name="Normal 327" xfId="2109" xr:uid="{00000000-0005-0000-0000-000042080000}"/>
    <cellStyle name="Normal 328" xfId="2110" xr:uid="{00000000-0005-0000-0000-000043080000}"/>
    <cellStyle name="Normal 328 2" xfId="2111" xr:uid="{00000000-0005-0000-0000-000044080000}"/>
    <cellStyle name="Normal 329" xfId="2112" xr:uid="{00000000-0005-0000-0000-000045080000}"/>
    <cellStyle name="Normal 33" xfId="2113" xr:uid="{00000000-0005-0000-0000-000046080000}"/>
    <cellStyle name="Normal 33 2" xfId="2114" xr:uid="{00000000-0005-0000-0000-000047080000}"/>
    <cellStyle name="Normal 330" xfId="2115" xr:uid="{00000000-0005-0000-0000-000048080000}"/>
    <cellStyle name="Normal 331" xfId="2116" xr:uid="{00000000-0005-0000-0000-000049080000}"/>
    <cellStyle name="Normal 332" xfId="2117" xr:uid="{00000000-0005-0000-0000-00004A080000}"/>
    <cellStyle name="Normal 333" xfId="2118" xr:uid="{00000000-0005-0000-0000-00004B080000}"/>
    <cellStyle name="Normal 333 2" xfId="2119" xr:uid="{00000000-0005-0000-0000-00004C080000}"/>
    <cellStyle name="Normal 334" xfId="2120" xr:uid="{00000000-0005-0000-0000-00004D080000}"/>
    <cellStyle name="Normal 334 2" xfId="2121" xr:uid="{00000000-0005-0000-0000-00004E080000}"/>
    <cellStyle name="Normal 335" xfId="2122" xr:uid="{00000000-0005-0000-0000-00004F080000}"/>
    <cellStyle name="Normal 335 2" xfId="2123" xr:uid="{00000000-0005-0000-0000-000050080000}"/>
    <cellStyle name="Normal 336" xfId="2124" xr:uid="{00000000-0005-0000-0000-000051080000}"/>
    <cellStyle name="Normal 337" xfId="2125" xr:uid="{00000000-0005-0000-0000-000052080000}"/>
    <cellStyle name="Normal 337 2" xfId="2126" xr:uid="{00000000-0005-0000-0000-000053080000}"/>
    <cellStyle name="Normal 338" xfId="2127" xr:uid="{00000000-0005-0000-0000-000054080000}"/>
    <cellStyle name="Normal 339" xfId="2128" xr:uid="{00000000-0005-0000-0000-000055080000}"/>
    <cellStyle name="Normal 34" xfId="2129" xr:uid="{00000000-0005-0000-0000-000056080000}"/>
    <cellStyle name="Normal 340" xfId="2130" xr:uid="{00000000-0005-0000-0000-000057080000}"/>
    <cellStyle name="Normal 341" xfId="2131" xr:uid="{00000000-0005-0000-0000-000058080000}"/>
    <cellStyle name="Normal 341 2" xfId="2132" xr:uid="{00000000-0005-0000-0000-000059080000}"/>
    <cellStyle name="Normal 342" xfId="2133" xr:uid="{00000000-0005-0000-0000-00005A080000}"/>
    <cellStyle name="Normal 343" xfId="2134" xr:uid="{00000000-0005-0000-0000-00005B080000}"/>
    <cellStyle name="Normal 343 2" xfId="2135" xr:uid="{00000000-0005-0000-0000-00005C080000}"/>
    <cellStyle name="Normal 344" xfId="2136" xr:uid="{00000000-0005-0000-0000-00005D080000}"/>
    <cellStyle name="Normal 345" xfId="2137" xr:uid="{00000000-0005-0000-0000-00005E080000}"/>
    <cellStyle name="Normal 345 2" xfId="2138" xr:uid="{00000000-0005-0000-0000-00005F080000}"/>
    <cellStyle name="Normal 346" xfId="2139" xr:uid="{00000000-0005-0000-0000-000060080000}"/>
    <cellStyle name="Normal 347" xfId="2140" xr:uid="{00000000-0005-0000-0000-000061080000}"/>
    <cellStyle name="Normal 347 2" xfId="2141" xr:uid="{00000000-0005-0000-0000-000062080000}"/>
    <cellStyle name="Normal 348" xfId="2142" xr:uid="{00000000-0005-0000-0000-000063080000}"/>
    <cellStyle name="Normal 349" xfId="2143" xr:uid="{00000000-0005-0000-0000-000064080000}"/>
    <cellStyle name="Normal 35" xfId="2144" xr:uid="{00000000-0005-0000-0000-000065080000}"/>
    <cellStyle name="Normal 35 2" xfId="2145" xr:uid="{00000000-0005-0000-0000-000066080000}"/>
    <cellStyle name="Normal 35 2 2" xfId="2146" xr:uid="{00000000-0005-0000-0000-000067080000}"/>
    <cellStyle name="Normal 35 2 3" xfId="2147" xr:uid="{00000000-0005-0000-0000-000068080000}"/>
    <cellStyle name="Normal 35 3" xfId="2148" xr:uid="{00000000-0005-0000-0000-000069080000}"/>
    <cellStyle name="Normal 35 4" xfId="2149" xr:uid="{00000000-0005-0000-0000-00006A080000}"/>
    <cellStyle name="Normal 350" xfId="2150" xr:uid="{00000000-0005-0000-0000-00006B080000}"/>
    <cellStyle name="Normal 351" xfId="2151" xr:uid="{00000000-0005-0000-0000-00006C080000}"/>
    <cellStyle name="Normal 352" xfId="2152" xr:uid="{00000000-0005-0000-0000-00006D080000}"/>
    <cellStyle name="Normal 353" xfId="2153" xr:uid="{00000000-0005-0000-0000-00006E080000}"/>
    <cellStyle name="Normal 354" xfId="2154" xr:uid="{00000000-0005-0000-0000-00006F080000}"/>
    <cellStyle name="Normal 355" xfId="2155" xr:uid="{00000000-0005-0000-0000-000070080000}"/>
    <cellStyle name="Normal 356" xfId="2156" xr:uid="{00000000-0005-0000-0000-000071080000}"/>
    <cellStyle name="Normal 357" xfId="2157" xr:uid="{00000000-0005-0000-0000-000072080000}"/>
    <cellStyle name="Normal 358" xfId="2158" xr:uid="{00000000-0005-0000-0000-000073080000}"/>
    <cellStyle name="Normal 359" xfId="2159" xr:uid="{00000000-0005-0000-0000-000074080000}"/>
    <cellStyle name="Normal 36" xfId="2160" xr:uid="{00000000-0005-0000-0000-000075080000}"/>
    <cellStyle name="Normal 36 2" xfId="2161" xr:uid="{00000000-0005-0000-0000-000076080000}"/>
    <cellStyle name="Normal 36 2 2" xfId="2162" xr:uid="{00000000-0005-0000-0000-000077080000}"/>
    <cellStyle name="Normal 36 2 3" xfId="2163" xr:uid="{00000000-0005-0000-0000-000078080000}"/>
    <cellStyle name="Normal 36 3" xfId="2164" xr:uid="{00000000-0005-0000-0000-000079080000}"/>
    <cellStyle name="Normal 36 4" xfId="2165" xr:uid="{00000000-0005-0000-0000-00007A080000}"/>
    <cellStyle name="Normal 360" xfId="2166" xr:uid="{00000000-0005-0000-0000-00007B080000}"/>
    <cellStyle name="Normal 361" xfId="2167" xr:uid="{00000000-0005-0000-0000-00007C080000}"/>
    <cellStyle name="Normal 362" xfId="2168" xr:uid="{00000000-0005-0000-0000-00007D080000}"/>
    <cellStyle name="Normal 363" xfId="2169" xr:uid="{00000000-0005-0000-0000-00007E080000}"/>
    <cellStyle name="Normal 364" xfId="2170" xr:uid="{00000000-0005-0000-0000-00007F080000}"/>
    <cellStyle name="Normal 365" xfId="2171" xr:uid="{00000000-0005-0000-0000-000080080000}"/>
    <cellStyle name="Normal 366" xfId="2172" xr:uid="{00000000-0005-0000-0000-000081080000}"/>
    <cellStyle name="Normal 367" xfId="2173" xr:uid="{00000000-0005-0000-0000-000082080000}"/>
    <cellStyle name="Normal 368" xfId="2174" xr:uid="{00000000-0005-0000-0000-000083080000}"/>
    <cellStyle name="Normal 369" xfId="2175" xr:uid="{00000000-0005-0000-0000-000084080000}"/>
    <cellStyle name="Normal 37" xfId="2176" xr:uid="{00000000-0005-0000-0000-000085080000}"/>
    <cellStyle name="Normal 370" xfId="2177" xr:uid="{00000000-0005-0000-0000-000086080000}"/>
    <cellStyle name="Normal 371" xfId="2178" xr:uid="{00000000-0005-0000-0000-000087080000}"/>
    <cellStyle name="Normal 372" xfId="2179" xr:uid="{00000000-0005-0000-0000-000088080000}"/>
    <cellStyle name="Normal 373" xfId="2180" xr:uid="{00000000-0005-0000-0000-000089080000}"/>
    <cellStyle name="Normal 374" xfId="2181" xr:uid="{00000000-0005-0000-0000-00008A080000}"/>
    <cellStyle name="Normal 375" xfId="2182" xr:uid="{00000000-0005-0000-0000-00008B080000}"/>
    <cellStyle name="Normal 376" xfId="2183" xr:uid="{00000000-0005-0000-0000-00008C080000}"/>
    <cellStyle name="Normal 377" xfId="2184" xr:uid="{00000000-0005-0000-0000-00008D080000}"/>
    <cellStyle name="Normal 378" xfId="2185" xr:uid="{00000000-0005-0000-0000-00008E080000}"/>
    <cellStyle name="Normal 379" xfId="2186" xr:uid="{00000000-0005-0000-0000-00008F080000}"/>
    <cellStyle name="Normal 38" xfId="2187" xr:uid="{00000000-0005-0000-0000-000090080000}"/>
    <cellStyle name="Normal 38 2" xfId="2188" xr:uid="{00000000-0005-0000-0000-000091080000}"/>
    <cellStyle name="Normal 38 3" xfId="2189" xr:uid="{00000000-0005-0000-0000-000092080000}"/>
    <cellStyle name="Normal 380" xfId="2190" xr:uid="{00000000-0005-0000-0000-000093080000}"/>
    <cellStyle name="Normal 381" xfId="2191" xr:uid="{00000000-0005-0000-0000-000094080000}"/>
    <cellStyle name="Normal 382" xfId="2192" xr:uid="{00000000-0005-0000-0000-000095080000}"/>
    <cellStyle name="Normal 383" xfId="2193" xr:uid="{00000000-0005-0000-0000-000096080000}"/>
    <cellStyle name="Normal 384" xfId="2194" xr:uid="{00000000-0005-0000-0000-000097080000}"/>
    <cellStyle name="Normal 39" xfId="2195" xr:uid="{00000000-0005-0000-0000-000098080000}"/>
    <cellStyle name="Normal 39 2" xfId="2196" xr:uid="{00000000-0005-0000-0000-000099080000}"/>
    <cellStyle name="Normal 39 3" xfId="2197" xr:uid="{00000000-0005-0000-0000-00009A080000}"/>
    <cellStyle name="Normal 4" xfId="2198" xr:uid="{00000000-0005-0000-0000-00009B080000}"/>
    <cellStyle name="Normal 4 10" xfId="2199" xr:uid="{00000000-0005-0000-0000-00009C080000}"/>
    <cellStyle name="Normal 4 11" xfId="2200" xr:uid="{00000000-0005-0000-0000-00009D080000}"/>
    <cellStyle name="Normal 4 12" xfId="2201" xr:uid="{00000000-0005-0000-0000-00009E080000}"/>
    <cellStyle name="Normal 4 2" xfId="2202" xr:uid="{00000000-0005-0000-0000-00009F080000}"/>
    <cellStyle name="Normal 4 2 2" xfId="2203" xr:uid="{00000000-0005-0000-0000-0000A0080000}"/>
    <cellStyle name="Normal 4 3" xfId="2204" xr:uid="{00000000-0005-0000-0000-0000A1080000}"/>
    <cellStyle name="Normal 4 3 2" xfId="2205" xr:uid="{00000000-0005-0000-0000-0000A2080000}"/>
    <cellStyle name="Normal 4 3 2 2" xfId="2206" xr:uid="{00000000-0005-0000-0000-0000A3080000}"/>
    <cellStyle name="Normal 4 3 3" xfId="2207" xr:uid="{00000000-0005-0000-0000-0000A4080000}"/>
    <cellStyle name="Normal 4 4" xfId="2208" xr:uid="{00000000-0005-0000-0000-0000A5080000}"/>
    <cellStyle name="Normal 4 5" xfId="2209" xr:uid="{00000000-0005-0000-0000-0000A6080000}"/>
    <cellStyle name="Normal 4 5 2" xfId="2210" xr:uid="{00000000-0005-0000-0000-0000A7080000}"/>
    <cellStyle name="Normal 4 5 3" xfId="2211" xr:uid="{00000000-0005-0000-0000-0000A8080000}"/>
    <cellStyle name="Normal 4 6" xfId="2212" xr:uid="{00000000-0005-0000-0000-0000A9080000}"/>
    <cellStyle name="Normal 4 7" xfId="2213" xr:uid="{00000000-0005-0000-0000-0000AA080000}"/>
    <cellStyle name="Normal 4 8" xfId="2214" xr:uid="{00000000-0005-0000-0000-0000AB080000}"/>
    <cellStyle name="Normal 4 9" xfId="2215" xr:uid="{00000000-0005-0000-0000-0000AC080000}"/>
    <cellStyle name="Normal 4_AS 15 Disclosure" xfId="2216" xr:uid="{00000000-0005-0000-0000-0000AD080000}"/>
    <cellStyle name="Normal 40" xfId="2217" xr:uid="{00000000-0005-0000-0000-0000AE080000}"/>
    <cellStyle name="Normal 40 2" xfId="2218" xr:uid="{00000000-0005-0000-0000-0000AF080000}"/>
    <cellStyle name="Normal 40 3" xfId="2219" xr:uid="{00000000-0005-0000-0000-0000B0080000}"/>
    <cellStyle name="Normal 41" xfId="2220" xr:uid="{00000000-0005-0000-0000-0000B1080000}"/>
    <cellStyle name="Normal 42" xfId="2221" xr:uid="{00000000-0005-0000-0000-0000B2080000}"/>
    <cellStyle name="Normal 43" xfId="2222" xr:uid="{00000000-0005-0000-0000-0000B3080000}"/>
    <cellStyle name="Normal 44" xfId="2223" xr:uid="{00000000-0005-0000-0000-0000B4080000}"/>
    <cellStyle name="Normal 44 2" xfId="2224" xr:uid="{00000000-0005-0000-0000-0000B5080000}"/>
    <cellStyle name="Normal 45" xfId="2225" xr:uid="{00000000-0005-0000-0000-0000B6080000}"/>
    <cellStyle name="Normal 46" xfId="2226" xr:uid="{00000000-0005-0000-0000-0000B7080000}"/>
    <cellStyle name="Normal 47" xfId="2227" xr:uid="{00000000-0005-0000-0000-0000B8080000}"/>
    <cellStyle name="Normal 48" xfId="2228" xr:uid="{00000000-0005-0000-0000-0000B9080000}"/>
    <cellStyle name="Normal 49" xfId="2229" xr:uid="{00000000-0005-0000-0000-0000BA080000}"/>
    <cellStyle name="Normal 5" xfId="2230" xr:uid="{00000000-0005-0000-0000-0000BB080000}"/>
    <cellStyle name="Normal 5 2" xfId="2231" xr:uid="{00000000-0005-0000-0000-0000BC080000}"/>
    <cellStyle name="Normal 5 2 2" xfId="2232" xr:uid="{00000000-0005-0000-0000-0000BD080000}"/>
    <cellStyle name="Normal 5 3" xfId="2233" xr:uid="{00000000-0005-0000-0000-0000BE080000}"/>
    <cellStyle name="Normal 5 4" xfId="2234" xr:uid="{00000000-0005-0000-0000-0000BF080000}"/>
    <cellStyle name="Normal 5_Note- Segment Report - final" xfId="2235" xr:uid="{00000000-0005-0000-0000-0000C0080000}"/>
    <cellStyle name="Normal 50" xfId="2236" xr:uid="{00000000-0005-0000-0000-0000C1080000}"/>
    <cellStyle name="Normal 51" xfId="2237" xr:uid="{00000000-0005-0000-0000-0000C2080000}"/>
    <cellStyle name="Normal 52" xfId="2238" xr:uid="{00000000-0005-0000-0000-0000C3080000}"/>
    <cellStyle name="Normal 53" xfId="2239" xr:uid="{00000000-0005-0000-0000-0000C4080000}"/>
    <cellStyle name="Normal 54" xfId="2240" xr:uid="{00000000-0005-0000-0000-0000C5080000}"/>
    <cellStyle name="Normal 55" xfId="2241" xr:uid="{00000000-0005-0000-0000-0000C6080000}"/>
    <cellStyle name="Normal 56" xfId="2242" xr:uid="{00000000-0005-0000-0000-0000C7080000}"/>
    <cellStyle name="Normal 57" xfId="2243" xr:uid="{00000000-0005-0000-0000-0000C8080000}"/>
    <cellStyle name="Normal 58" xfId="2244" xr:uid="{00000000-0005-0000-0000-0000C9080000}"/>
    <cellStyle name="Normal 59" xfId="2245" xr:uid="{00000000-0005-0000-0000-0000CA080000}"/>
    <cellStyle name="Normal 6" xfId="2246" xr:uid="{00000000-0005-0000-0000-0000CB080000}"/>
    <cellStyle name="Normal 6 2" xfId="2247" xr:uid="{00000000-0005-0000-0000-0000CC080000}"/>
    <cellStyle name="Normal 6 3" xfId="2248" xr:uid="{00000000-0005-0000-0000-0000CD080000}"/>
    <cellStyle name="Normal 6 4" xfId="2249" xr:uid="{00000000-0005-0000-0000-0000CE080000}"/>
    <cellStyle name="Normal 6 5" xfId="2250" xr:uid="{00000000-0005-0000-0000-0000CF080000}"/>
    <cellStyle name="Normal 60" xfId="2251" xr:uid="{00000000-0005-0000-0000-0000D0080000}"/>
    <cellStyle name="Normal 61" xfId="2252" xr:uid="{00000000-0005-0000-0000-0000D1080000}"/>
    <cellStyle name="Normal 62" xfId="2253" xr:uid="{00000000-0005-0000-0000-0000D2080000}"/>
    <cellStyle name="Normal 63" xfId="2254" xr:uid="{00000000-0005-0000-0000-0000D3080000}"/>
    <cellStyle name="Normal 64" xfId="2255" xr:uid="{00000000-0005-0000-0000-0000D4080000}"/>
    <cellStyle name="Normal 65" xfId="2256" xr:uid="{00000000-0005-0000-0000-0000D5080000}"/>
    <cellStyle name="Normal 66" xfId="2257" xr:uid="{00000000-0005-0000-0000-0000D6080000}"/>
    <cellStyle name="Normal 67" xfId="2258" xr:uid="{00000000-0005-0000-0000-0000D7080000}"/>
    <cellStyle name="Normal 67 2" xfId="2259" xr:uid="{00000000-0005-0000-0000-0000D8080000}"/>
    <cellStyle name="Normal 67 2 2" xfId="2260" xr:uid="{00000000-0005-0000-0000-0000D9080000}"/>
    <cellStyle name="Normal 68" xfId="2261" xr:uid="{00000000-0005-0000-0000-0000DA080000}"/>
    <cellStyle name="Normal 69" xfId="2262" xr:uid="{00000000-0005-0000-0000-0000DB080000}"/>
    <cellStyle name="Normal 7" xfId="2263" xr:uid="{00000000-0005-0000-0000-0000DC080000}"/>
    <cellStyle name="Normal 7 2" xfId="2264" xr:uid="{00000000-0005-0000-0000-0000DD080000}"/>
    <cellStyle name="Normal 7 2 2" xfId="2265" xr:uid="{00000000-0005-0000-0000-0000DE080000}"/>
    <cellStyle name="Normal 7 2 2 2" xfId="2266" xr:uid="{00000000-0005-0000-0000-0000DF080000}"/>
    <cellStyle name="Normal 7 3" xfId="2267" xr:uid="{00000000-0005-0000-0000-0000E0080000}"/>
    <cellStyle name="Normal 7 3 2" xfId="2268" xr:uid="{00000000-0005-0000-0000-0000E1080000}"/>
    <cellStyle name="Normal 7 4" xfId="2269" xr:uid="{00000000-0005-0000-0000-0000E2080000}"/>
    <cellStyle name="Normal 7 9 2" xfId="2270" xr:uid="{00000000-0005-0000-0000-0000E3080000}"/>
    <cellStyle name="Normal 7_FINANCIALS-LHTPPL-MAR09(2nd CUT)-23.04.09" xfId="2271" xr:uid="{00000000-0005-0000-0000-0000E4080000}"/>
    <cellStyle name="Normal 70" xfId="2272" xr:uid="{00000000-0005-0000-0000-0000E5080000}"/>
    <cellStyle name="Normal 71" xfId="2273" xr:uid="{00000000-0005-0000-0000-0000E6080000}"/>
    <cellStyle name="Normal 72" xfId="2274" xr:uid="{00000000-0005-0000-0000-0000E7080000}"/>
    <cellStyle name="Normal 73" xfId="2275" xr:uid="{00000000-0005-0000-0000-0000E8080000}"/>
    <cellStyle name="Normal 73 2" xfId="2276" xr:uid="{00000000-0005-0000-0000-0000E9080000}"/>
    <cellStyle name="Normal 73 3" xfId="2277" xr:uid="{00000000-0005-0000-0000-0000EA080000}"/>
    <cellStyle name="Normal 74" xfId="2278" xr:uid="{00000000-0005-0000-0000-0000EB080000}"/>
    <cellStyle name="Normal 74 2" xfId="2279" xr:uid="{00000000-0005-0000-0000-0000EC080000}"/>
    <cellStyle name="Normal 75" xfId="2280" xr:uid="{00000000-0005-0000-0000-0000ED080000}"/>
    <cellStyle name="Normal 76" xfId="2281" xr:uid="{00000000-0005-0000-0000-0000EE080000}"/>
    <cellStyle name="Normal 77" xfId="2282" xr:uid="{00000000-0005-0000-0000-0000EF080000}"/>
    <cellStyle name="Normal 78" xfId="2283" xr:uid="{00000000-0005-0000-0000-0000F0080000}"/>
    <cellStyle name="Normal 79" xfId="2284" xr:uid="{00000000-0005-0000-0000-0000F1080000}"/>
    <cellStyle name="Normal 8" xfId="2285" xr:uid="{00000000-0005-0000-0000-0000F2080000}"/>
    <cellStyle name="Normal 8 2" xfId="2286" xr:uid="{00000000-0005-0000-0000-0000F3080000}"/>
    <cellStyle name="Normal 8 2 2" xfId="2287" xr:uid="{00000000-0005-0000-0000-0000F4080000}"/>
    <cellStyle name="Normal 8 2 2 2" xfId="2288" xr:uid="{00000000-0005-0000-0000-0000F5080000}"/>
    <cellStyle name="Normal 8 2 3" xfId="2289" xr:uid="{00000000-0005-0000-0000-0000F6080000}"/>
    <cellStyle name="Normal 8 2 4" xfId="2979" xr:uid="{00000000-0005-0000-0000-0000F7080000}"/>
    <cellStyle name="Normal 8 3" xfId="2290" xr:uid="{00000000-0005-0000-0000-0000F8080000}"/>
    <cellStyle name="Normal 8 3 2" xfId="2291" xr:uid="{00000000-0005-0000-0000-0000F9080000}"/>
    <cellStyle name="Normal 8 4" xfId="2292" xr:uid="{00000000-0005-0000-0000-0000FA080000}"/>
    <cellStyle name="Normal 8 4 2" xfId="2293" xr:uid="{00000000-0005-0000-0000-0000FB080000}"/>
    <cellStyle name="Normal 8 5" xfId="2294" xr:uid="{00000000-0005-0000-0000-0000FC080000}"/>
    <cellStyle name="Normal 8 5 2" xfId="2295" xr:uid="{00000000-0005-0000-0000-0000FD080000}"/>
    <cellStyle name="Normal 8 6" xfId="2296" xr:uid="{00000000-0005-0000-0000-0000FE080000}"/>
    <cellStyle name="Normal 8 6 2" xfId="2297" xr:uid="{00000000-0005-0000-0000-0000FF080000}"/>
    <cellStyle name="Normal 8 7" xfId="2298" xr:uid="{00000000-0005-0000-0000-000000090000}"/>
    <cellStyle name="Normal 80" xfId="2299" xr:uid="{00000000-0005-0000-0000-000001090000}"/>
    <cellStyle name="Normal 81" xfId="2300" xr:uid="{00000000-0005-0000-0000-000002090000}"/>
    <cellStyle name="Normal 81 2" xfId="2301" xr:uid="{00000000-0005-0000-0000-000003090000}"/>
    <cellStyle name="Normal 82" xfId="2302" xr:uid="{00000000-0005-0000-0000-000004090000}"/>
    <cellStyle name="Normal 82 2" xfId="2303" xr:uid="{00000000-0005-0000-0000-000005090000}"/>
    <cellStyle name="Normal 83" xfId="2304" xr:uid="{00000000-0005-0000-0000-000006090000}"/>
    <cellStyle name="Normal 84" xfId="2305" xr:uid="{00000000-0005-0000-0000-000007090000}"/>
    <cellStyle name="Normal 84 2" xfId="2306" xr:uid="{00000000-0005-0000-0000-000008090000}"/>
    <cellStyle name="Normal 84 3" xfId="2307" xr:uid="{00000000-0005-0000-0000-000009090000}"/>
    <cellStyle name="Normal 85" xfId="2308" xr:uid="{00000000-0005-0000-0000-00000A090000}"/>
    <cellStyle name="Normal 85 2" xfId="2309" xr:uid="{00000000-0005-0000-0000-00000B090000}"/>
    <cellStyle name="Normal 85 3" xfId="2310" xr:uid="{00000000-0005-0000-0000-00000C090000}"/>
    <cellStyle name="Normal 85 4" xfId="2311" xr:uid="{00000000-0005-0000-0000-00000D090000}"/>
    <cellStyle name="Normal 85_Note 3-16 (FC)" xfId="2312" xr:uid="{00000000-0005-0000-0000-00000E090000}"/>
    <cellStyle name="Normal 86" xfId="2313" xr:uid="{00000000-0005-0000-0000-00000F090000}"/>
    <cellStyle name="Normal 86 2" xfId="2314" xr:uid="{00000000-0005-0000-0000-000010090000}"/>
    <cellStyle name="Normal 86 3" xfId="2315" xr:uid="{00000000-0005-0000-0000-000011090000}"/>
    <cellStyle name="Normal 87" xfId="2316" xr:uid="{00000000-0005-0000-0000-000012090000}"/>
    <cellStyle name="Normal 88" xfId="2317" xr:uid="{00000000-0005-0000-0000-000013090000}"/>
    <cellStyle name="Normal 88 2" xfId="2318" xr:uid="{00000000-0005-0000-0000-000014090000}"/>
    <cellStyle name="Normal 89" xfId="2319" xr:uid="{00000000-0005-0000-0000-000015090000}"/>
    <cellStyle name="Normal 89 2" xfId="2320" xr:uid="{00000000-0005-0000-0000-000016090000}"/>
    <cellStyle name="Normal 89 3" xfId="2321" xr:uid="{00000000-0005-0000-0000-000017090000}"/>
    <cellStyle name="Normal 9" xfId="2322" xr:uid="{00000000-0005-0000-0000-000018090000}"/>
    <cellStyle name="Normal 9 2" xfId="2323" xr:uid="{00000000-0005-0000-0000-000019090000}"/>
    <cellStyle name="Normal 9 3" xfId="2324" xr:uid="{00000000-0005-0000-0000-00001A090000}"/>
    <cellStyle name="Normal 9 4" xfId="2325" xr:uid="{00000000-0005-0000-0000-00001B090000}"/>
    <cellStyle name="Normal 9_TB Groupings" xfId="2326" xr:uid="{00000000-0005-0000-0000-00001C090000}"/>
    <cellStyle name="Normal 90" xfId="2327" xr:uid="{00000000-0005-0000-0000-00001D090000}"/>
    <cellStyle name="Normal 91" xfId="2328" xr:uid="{00000000-0005-0000-0000-00001E090000}"/>
    <cellStyle name="Normal 92" xfId="2329" xr:uid="{00000000-0005-0000-0000-00001F090000}"/>
    <cellStyle name="Normal 93" xfId="2330" xr:uid="{00000000-0005-0000-0000-000020090000}"/>
    <cellStyle name="Normal 94" xfId="2331" xr:uid="{00000000-0005-0000-0000-000021090000}"/>
    <cellStyle name="Normal 95" xfId="2332" xr:uid="{00000000-0005-0000-0000-000022090000}"/>
    <cellStyle name="Normal 95 2" xfId="2333" xr:uid="{00000000-0005-0000-0000-000023090000}"/>
    <cellStyle name="Normal 96" xfId="2334" xr:uid="{00000000-0005-0000-0000-000024090000}"/>
    <cellStyle name="Normal 97" xfId="2335" xr:uid="{00000000-0005-0000-0000-000025090000}"/>
    <cellStyle name="Normal 98" xfId="2336" xr:uid="{00000000-0005-0000-0000-000026090000}"/>
    <cellStyle name="Normal 99" xfId="2337" xr:uid="{00000000-0005-0000-0000-000027090000}"/>
    <cellStyle name="normální_CTc_actual_02" xfId="2338" xr:uid="{00000000-0005-0000-0000-000028090000}"/>
    <cellStyle name="Normalny_laroux" xfId="2339" xr:uid="{00000000-0005-0000-0000-000029090000}"/>
    <cellStyle name="Notas" xfId="2340" xr:uid="{00000000-0005-0000-0000-00002A090000}"/>
    <cellStyle name="Notas 2" xfId="2341" xr:uid="{00000000-0005-0000-0000-00002B090000}"/>
    <cellStyle name="Notas 2 2" xfId="2342" xr:uid="{00000000-0005-0000-0000-00002C090000}"/>
    <cellStyle name="Notas 2 2 2" xfId="2343" xr:uid="{00000000-0005-0000-0000-00002D090000}"/>
    <cellStyle name="Notas 2 3" xfId="2344" xr:uid="{00000000-0005-0000-0000-00002E090000}"/>
    <cellStyle name="Notas 3" xfId="2345" xr:uid="{00000000-0005-0000-0000-00002F090000}"/>
    <cellStyle name="Notas 3 2" xfId="2346" xr:uid="{00000000-0005-0000-0000-000030090000}"/>
    <cellStyle name="Notas 4" xfId="2347" xr:uid="{00000000-0005-0000-0000-000031090000}"/>
    <cellStyle name="Note 2" xfId="2348" xr:uid="{00000000-0005-0000-0000-000032090000}"/>
    <cellStyle name="Note 2 10" xfId="2349" xr:uid="{00000000-0005-0000-0000-000033090000}"/>
    <cellStyle name="Note 2 11" xfId="2350" xr:uid="{00000000-0005-0000-0000-000034090000}"/>
    <cellStyle name="Note 2 12" xfId="2351" xr:uid="{00000000-0005-0000-0000-000035090000}"/>
    <cellStyle name="Note 2 13" xfId="2352" xr:uid="{00000000-0005-0000-0000-000036090000}"/>
    <cellStyle name="Note 2 14" xfId="2353" xr:uid="{00000000-0005-0000-0000-000037090000}"/>
    <cellStyle name="Note 2 15" xfId="2354" xr:uid="{00000000-0005-0000-0000-000038090000}"/>
    <cellStyle name="Note 2 16" xfId="2355" xr:uid="{00000000-0005-0000-0000-000039090000}"/>
    <cellStyle name="Note 2 17" xfId="2356" xr:uid="{00000000-0005-0000-0000-00003A090000}"/>
    <cellStyle name="Note 2 18" xfId="2357" xr:uid="{00000000-0005-0000-0000-00003B090000}"/>
    <cellStyle name="Note 2 19" xfId="2358" xr:uid="{00000000-0005-0000-0000-00003C090000}"/>
    <cellStyle name="Note 2 2" xfId="2359" xr:uid="{00000000-0005-0000-0000-00003D090000}"/>
    <cellStyle name="Note 2 20" xfId="2360" xr:uid="{00000000-0005-0000-0000-00003E090000}"/>
    <cellStyle name="Note 2 21" xfId="2361" xr:uid="{00000000-0005-0000-0000-00003F090000}"/>
    <cellStyle name="Note 2 22" xfId="2362" xr:uid="{00000000-0005-0000-0000-000040090000}"/>
    <cellStyle name="Note 2 23" xfId="2363" xr:uid="{00000000-0005-0000-0000-000041090000}"/>
    <cellStyle name="Note 2 24" xfId="2364" xr:uid="{00000000-0005-0000-0000-000042090000}"/>
    <cellStyle name="Note 2 25" xfId="2365" xr:uid="{00000000-0005-0000-0000-000043090000}"/>
    <cellStyle name="Note 2 26" xfId="2366" xr:uid="{00000000-0005-0000-0000-000044090000}"/>
    <cellStyle name="Note 2 27" xfId="2367" xr:uid="{00000000-0005-0000-0000-000045090000}"/>
    <cellStyle name="Note 2 28" xfId="2368" xr:uid="{00000000-0005-0000-0000-000046090000}"/>
    <cellStyle name="Note 2 29" xfId="2369" xr:uid="{00000000-0005-0000-0000-000047090000}"/>
    <cellStyle name="Note 2 3" xfId="2370" xr:uid="{00000000-0005-0000-0000-000048090000}"/>
    <cellStyle name="Note 2 30" xfId="2371" xr:uid="{00000000-0005-0000-0000-000049090000}"/>
    <cellStyle name="Note 2 31" xfId="2372" xr:uid="{00000000-0005-0000-0000-00004A090000}"/>
    <cellStyle name="Note 2 32" xfId="2373" xr:uid="{00000000-0005-0000-0000-00004B090000}"/>
    <cellStyle name="Note 2 33" xfId="2374" xr:uid="{00000000-0005-0000-0000-00004C090000}"/>
    <cellStyle name="Note 2 34" xfId="2375" xr:uid="{00000000-0005-0000-0000-00004D090000}"/>
    <cellStyle name="Note 2 35" xfId="2376" xr:uid="{00000000-0005-0000-0000-00004E090000}"/>
    <cellStyle name="Note 2 36" xfId="2377" xr:uid="{00000000-0005-0000-0000-00004F090000}"/>
    <cellStyle name="Note 2 37" xfId="2378" xr:uid="{00000000-0005-0000-0000-000050090000}"/>
    <cellStyle name="Note 2 38" xfId="2379" xr:uid="{00000000-0005-0000-0000-000051090000}"/>
    <cellStyle name="Note 2 39" xfId="2380" xr:uid="{00000000-0005-0000-0000-000052090000}"/>
    <cellStyle name="Note 2 4" xfId="2381" xr:uid="{00000000-0005-0000-0000-000053090000}"/>
    <cellStyle name="Note 2 40" xfId="2382" xr:uid="{00000000-0005-0000-0000-000054090000}"/>
    <cellStyle name="Note 2 41" xfId="2383" xr:uid="{00000000-0005-0000-0000-000055090000}"/>
    <cellStyle name="Note 2 42" xfId="2384" xr:uid="{00000000-0005-0000-0000-000056090000}"/>
    <cellStyle name="Note 2 43" xfId="2385" xr:uid="{00000000-0005-0000-0000-000057090000}"/>
    <cellStyle name="Note 2 44" xfId="2386" xr:uid="{00000000-0005-0000-0000-000058090000}"/>
    <cellStyle name="Note 2 45" xfId="2387" xr:uid="{00000000-0005-0000-0000-000059090000}"/>
    <cellStyle name="Note 2 46" xfId="2388" xr:uid="{00000000-0005-0000-0000-00005A090000}"/>
    <cellStyle name="Note 2 47" xfId="2389" xr:uid="{00000000-0005-0000-0000-00005B090000}"/>
    <cellStyle name="Note 2 5" xfId="2390" xr:uid="{00000000-0005-0000-0000-00005C090000}"/>
    <cellStyle name="Note 2 6" xfId="2391" xr:uid="{00000000-0005-0000-0000-00005D090000}"/>
    <cellStyle name="Note 2 7" xfId="2392" xr:uid="{00000000-0005-0000-0000-00005E090000}"/>
    <cellStyle name="Note 2 8" xfId="2393" xr:uid="{00000000-0005-0000-0000-00005F090000}"/>
    <cellStyle name="Note 2 9" xfId="2394" xr:uid="{00000000-0005-0000-0000-000060090000}"/>
    <cellStyle name="Note 3" xfId="2395" xr:uid="{00000000-0005-0000-0000-000061090000}"/>
    <cellStyle name="Note 3 2" xfId="2396" xr:uid="{00000000-0005-0000-0000-000062090000}"/>
    <cellStyle name="Note 3 3" xfId="2397" xr:uid="{00000000-0005-0000-0000-000063090000}"/>
    <cellStyle name="Note 4" xfId="2398" xr:uid="{00000000-0005-0000-0000-000064090000}"/>
    <cellStyle name="Note 4 2" xfId="2399" xr:uid="{00000000-0005-0000-0000-000065090000}"/>
    <cellStyle name="Note 5" xfId="2400" xr:uid="{00000000-0005-0000-0000-000066090000}"/>
    <cellStyle name="Note 5 2" xfId="2401" xr:uid="{00000000-0005-0000-0000-000067090000}"/>
    <cellStyle name="Note 5 2 2" xfId="2402" xr:uid="{00000000-0005-0000-0000-000068090000}"/>
    <cellStyle name="Note 5 3" xfId="2403" xr:uid="{00000000-0005-0000-0000-000069090000}"/>
    <cellStyle name="Note 6" xfId="2404" xr:uid="{00000000-0005-0000-0000-00006A090000}"/>
    <cellStyle name="Note 7" xfId="2405" xr:uid="{00000000-0005-0000-0000-00006B090000}"/>
    <cellStyle name="Notes" xfId="2406" xr:uid="{00000000-0005-0000-0000-00006C090000}"/>
    <cellStyle name="Number" xfId="2407" xr:uid="{00000000-0005-0000-0000-00006D090000}"/>
    <cellStyle name="Output 2" xfId="2408" xr:uid="{00000000-0005-0000-0000-00006E090000}"/>
    <cellStyle name="Output 2 2" xfId="2409" xr:uid="{00000000-0005-0000-0000-00006F090000}"/>
    <cellStyle name="Output 2 3" xfId="2410" xr:uid="{00000000-0005-0000-0000-000070090000}"/>
    <cellStyle name="Output 3" xfId="2411" xr:uid="{00000000-0005-0000-0000-000071090000}"/>
    <cellStyle name="Output 3 2" xfId="2412" xr:uid="{00000000-0005-0000-0000-000072090000}"/>
    <cellStyle name="Output 3 3" xfId="2413" xr:uid="{00000000-0005-0000-0000-000073090000}"/>
    <cellStyle name="Output 4" xfId="2414" xr:uid="{00000000-0005-0000-0000-000074090000}"/>
    <cellStyle name="Output 5" xfId="2415" xr:uid="{00000000-0005-0000-0000-000075090000}"/>
    <cellStyle name="Output Amounts" xfId="2416" xr:uid="{00000000-0005-0000-0000-000076090000}"/>
    <cellStyle name="OUTPUT COLUMN HEADINGS" xfId="2417" xr:uid="{00000000-0005-0000-0000-000077090000}"/>
    <cellStyle name="OUTPUT COLUMN HEADINGS 2" xfId="2418" xr:uid="{00000000-0005-0000-0000-000078090000}"/>
    <cellStyle name="Output Line Items" xfId="2419" xr:uid="{00000000-0005-0000-0000-000079090000}"/>
    <cellStyle name="Output Line Items 2" xfId="2420" xr:uid="{00000000-0005-0000-0000-00007A090000}"/>
    <cellStyle name="OUTPUT REPORT HEADING" xfId="2421" xr:uid="{00000000-0005-0000-0000-00007B090000}"/>
    <cellStyle name="OUTPUT REPORT HEADING 2" xfId="2422" xr:uid="{00000000-0005-0000-0000-00007C090000}"/>
    <cellStyle name="OUTPUT REPORT TITLE" xfId="2423" xr:uid="{00000000-0005-0000-0000-00007D090000}"/>
    <cellStyle name="OUTPUT REPORT TITLE 2" xfId="2424" xr:uid="{00000000-0005-0000-0000-00007E090000}"/>
    <cellStyle name="Page Number" xfId="2425" xr:uid="{00000000-0005-0000-0000-00007F090000}"/>
    <cellStyle name="paint" xfId="2426" xr:uid="{00000000-0005-0000-0000-000080090000}"/>
    <cellStyle name="paint 2" xfId="2427" xr:uid="{00000000-0005-0000-0000-000081090000}"/>
    <cellStyle name="per.style" xfId="2428" xr:uid="{00000000-0005-0000-0000-000082090000}"/>
    <cellStyle name="Percent" xfId="2978" builtinId="5"/>
    <cellStyle name="Percent ()" xfId="2429" xr:uid="{00000000-0005-0000-0000-000084090000}"/>
    <cellStyle name="Percent (0%)" xfId="2430" xr:uid="{00000000-0005-0000-0000-000085090000}"/>
    <cellStyle name="Percent (0)" xfId="2431" xr:uid="{00000000-0005-0000-0000-000086090000}"/>
    <cellStyle name="Percent (0) 2" xfId="2432" xr:uid="{00000000-0005-0000-0000-000087090000}"/>
    <cellStyle name="Percent (0.0%)" xfId="2433" xr:uid="{00000000-0005-0000-0000-000088090000}"/>
    <cellStyle name="Percent (0.00%)" xfId="2434" xr:uid="{00000000-0005-0000-0000-000089090000}"/>
    <cellStyle name="Percent (1)" xfId="2435" xr:uid="{00000000-0005-0000-0000-00008A090000}"/>
    <cellStyle name="Percent [0]" xfId="2436" xr:uid="{00000000-0005-0000-0000-00008B090000}"/>
    <cellStyle name="Percent [0] 2" xfId="2437" xr:uid="{00000000-0005-0000-0000-00008C090000}"/>
    <cellStyle name="Percent [0] 3" xfId="2438" xr:uid="{00000000-0005-0000-0000-00008D090000}"/>
    <cellStyle name="Percent [0] 4" xfId="2439" xr:uid="{00000000-0005-0000-0000-00008E090000}"/>
    <cellStyle name="Percent [0] 5" xfId="2440" xr:uid="{00000000-0005-0000-0000-00008F090000}"/>
    <cellStyle name="Percent [00]" xfId="2441" xr:uid="{00000000-0005-0000-0000-000090090000}"/>
    <cellStyle name="Percent [00] 2" xfId="2442" xr:uid="{00000000-0005-0000-0000-000091090000}"/>
    <cellStyle name="Percent [00] 3" xfId="2443" xr:uid="{00000000-0005-0000-0000-000092090000}"/>
    <cellStyle name="Percent [00] 4" xfId="2444" xr:uid="{00000000-0005-0000-0000-000093090000}"/>
    <cellStyle name="Percent [00] 5" xfId="2445" xr:uid="{00000000-0005-0000-0000-000094090000}"/>
    <cellStyle name="Percent [2]" xfId="2446" xr:uid="{00000000-0005-0000-0000-000095090000}"/>
    <cellStyle name="Percent [2] 2" xfId="2447" xr:uid="{00000000-0005-0000-0000-000096090000}"/>
    <cellStyle name="Percent [2] 3" xfId="2448" xr:uid="{00000000-0005-0000-0000-000097090000}"/>
    <cellStyle name="Percent [2] 4" xfId="2449" xr:uid="{00000000-0005-0000-0000-000098090000}"/>
    <cellStyle name="Percent 1" xfId="2450" xr:uid="{00000000-0005-0000-0000-000099090000}"/>
    <cellStyle name="Percent 10" xfId="2451" xr:uid="{00000000-0005-0000-0000-00009A090000}"/>
    <cellStyle name="Percent 10 2" xfId="2452" xr:uid="{00000000-0005-0000-0000-00009B090000}"/>
    <cellStyle name="Percent 10 2 2" xfId="2453" xr:uid="{00000000-0005-0000-0000-00009C090000}"/>
    <cellStyle name="Percent 10 2 2 2" xfId="2454" xr:uid="{00000000-0005-0000-0000-00009D090000}"/>
    <cellStyle name="Percent 10 2 2 3" xfId="2455" xr:uid="{00000000-0005-0000-0000-00009E090000}"/>
    <cellStyle name="Percent 10 2 3" xfId="2456" xr:uid="{00000000-0005-0000-0000-00009F090000}"/>
    <cellStyle name="Percent 10 2 3 2" xfId="2457" xr:uid="{00000000-0005-0000-0000-0000A0090000}"/>
    <cellStyle name="Percent 10 3" xfId="2458" xr:uid="{00000000-0005-0000-0000-0000A1090000}"/>
    <cellStyle name="Percent 10 3 2" xfId="2459" xr:uid="{00000000-0005-0000-0000-0000A2090000}"/>
    <cellStyle name="Percent 10 3 3" xfId="2460" xr:uid="{00000000-0005-0000-0000-0000A3090000}"/>
    <cellStyle name="Percent 10 4" xfId="2461" xr:uid="{00000000-0005-0000-0000-0000A4090000}"/>
    <cellStyle name="Percent 10 4 2" xfId="2462" xr:uid="{00000000-0005-0000-0000-0000A5090000}"/>
    <cellStyle name="Percent 11" xfId="2463" xr:uid="{00000000-0005-0000-0000-0000A6090000}"/>
    <cellStyle name="Percent 11 2" xfId="2464" xr:uid="{00000000-0005-0000-0000-0000A7090000}"/>
    <cellStyle name="Percent 11 2 2" xfId="2465" xr:uid="{00000000-0005-0000-0000-0000A8090000}"/>
    <cellStyle name="Percent 11 2 3" xfId="2466" xr:uid="{00000000-0005-0000-0000-0000A9090000}"/>
    <cellStyle name="Percent 11 3" xfId="2467" xr:uid="{00000000-0005-0000-0000-0000AA090000}"/>
    <cellStyle name="Percent 11 3 2" xfId="2468" xr:uid="{00000000-0005-0000-0000-0000AB090000}"/>
    <cellStyle name="Percent 11 4" xfId="2469" xr:uid="{00000000-0005-0000-0000-0000AC090000}"/>
    <cellStyle name="Percent 11 5" xfId="2470" xr:uid="{00000000-0005-0000-0000-0000AD090000}"/>
    <cellStyle name="Percent 12" xfId="2471" xr:uid="{00000000-0005-0000-0000-0000AE090000}"/>
    <cellStyle name="Percent 12 2" xfId="2472" xr:uid="{00000000-0005-0000-0000-0000AF090000}"/>
    <cellStyle name="Percent 13" xfId="2473" xr:uid="{00000000-0005-0000-0000-0000B0090000}"/>
    <cellStyle name="Percent 14" xfId="2474" xr:uid="{00000000-0005-0000-0000-0000B1090000}"/>
    <cellStyle name="Percent 15" xfId="2475" xr:uid="{00000000-0005-0000-0000-0000B2090000}"/>
    <cellStyle name="Percent 16" xfId="2476" xr:uid="{00000000-0005-0000-0000-0000B3090000}"/>
    <cellStyle name="Percent 17" xfId="2477" xr:uid="{00000000-0005-0000-0000-0000B4090000}"/>
    <cellStyle name="Percent 18" xfId="2478" xr:uid="{00000000-0005-0000-0000-0000B5090000}"/>
    <cellStyle name="Percent 19" xfId="2479" xr:uid="{00000000-0005-0000-0000-0000B6090000}"/>
    <cellStyle name="Percent 2" xfId="2480" xr:uid="{00000000-0005-0000-0000-0000B7090000}"/>
    <cellStyle name="Percent 2 10" xfId="2481" xr:uid="{00000000-0005-0000-0000-0000B8090000}"/>
    <cellStyle name="Percent 2 11" xfId="2482" xr:uid="{00000000-0005-0000-0000-0000B9090000}"/>
    <cellStyle name="Percent 2 12" xfId="2483" xr:uid="{00000000-0005-0000-0000-0000BA090000}"/>
    <cellStyle name="Percent 2 13" xfId="2484" xr:uid="{00000000-0005-0000-0000-0000BB090000}"/>
    <cellStyle name="Percent 2 14" xfId="2485" xr:uid="{00000000-0005-0000-0000-0000BC090000}"/>
    <cellStyle name="Percent 2 15" xfId="2486" xr:uid="{00000000-0005-0000-0000-0000BD090000}"/>
    <cellStyle name="Percent 2 16" xfId="2487" xr:uid="{00000000-0005-0000-0000-0000BE090000}"/>
    <cellStyle name="Percent 2 17" xfId="2488" xr:uid="{00000000-0005-0000-0000-0000BF090000}"/>
    <cellStyle name="Percent 2 18" xfId="2489" xr:uid="{00000000-0005-0000-0000-0000C0090000}"/>
    <cellStyle name="Percent 2 19" xfId="2490" xr:uid="{00000000-0005-0000-0000-0000C1090000}"/>
    <cellStyle name="Percent 2 2" xfId="2491" xr:uid="{00000000-0005-0000-0000-0000C2090000}"/>
    <cellStyle name="Percent 2 20" xfId="2492" xr:uid="{00000000-0005-0000-0000-0000C3090000}"/>
    <cellStyle name="Percent 2 21" xfId="2493" xr:uid="{00000000-0005-0000-0000-0000C4090000}"/>
    <cellStyle name="Percent 2 22" xfId="2494" xr:uid="{00000000-0005-0000-0000-0000C5090000}"/>
    <cellStyle name="Percent 2 23" xfId="2495" xr:uid="{00000000-0005-0000-0000-0000C6090000}"/>
    <cellStyle name="Percent 2 24" xfId="2496" xr:uid="{00000000-0005-0000-0000-0000C7090000}"/>
    <cellStyle name="Percent 2 25" xfId="2497" xr:uid="{00000000-0005-0000-0000-0000C8090000}"/>
    <cellStyle name="Percent 2 26" xfId="2498" xr:uid="{00000000-0005-0000-0000-0000C9090000}"/>
    <cellStyle name="Percent 2 27" xfId="2499" xr:uid="{00000000-0005-0000-0000-0000CA090000}"/>
    <cellStyle name="Percent 2 28" xfId="2500" xr:uid="{00000000-0005-0000-0000-0000CB090000}"/>
    <cellStyle name="Percent 2 29" xfId="2501" xr:uid="{00000000-0005-0000-0000-0000CC090000}"/>
    <cellStyle name="Percent 2 3" xfId="2502" xr:uid="{00000000-0005-0000-0000-0000CD090000}"/>
    <cellStyle name="Percent 2 3 2" xfId="2503" xr:uid="{00000000-0005-0000-0000-0000CE090000}"/>
    <cellStyle name="Percent 2 30" xfId="2504" xr:uid="{00000000-0005-0000-0000-0000CF090000}"/>
    <cellStyle name="Percent 2 31" xfId="2505" xr:uid="{00000000-0005-0000-0000-0000D0090000}"/>
    <cellStyle name="Percent 2 32" xfId="2506" xr:uid="{00000000-0005-0000-0000-0000D1090000}"/>
    <cellStyle name="Percent 2 33" xfId="2507" xr:uid="{00000000-0005-0000-0000-0000D2090000}"/>
    <cellStyle name="Percent 2 34" xfId="2508" xr:uid="{00000000-0005-0000-0000-0000D3090000}"/>
    <cellStyle name="Percent 2 35" xfId="2509" xr:uid="{00000000-0005-0000-0000-0000D4090000}"/>
    <cellStyle name="Percent 2 36" xfId="2510" xr:uid="{00000000-0005-0000-0000-0000D5090000}"/>
    <cellStyle name="Percent 2 37" xfId="2511" xr:uid="{00000000-0005-0000-0000-0000D6090000}"/>
    <cellStyle name="Percent 2 38" xfId="2512" xr:uid="{00000000-0005-0000-0000-0000D7090000}"/>
    <cellStyle name="Percent 2 39" xfId="2513" xr:uid="{00000000-0005-0000-0000-0000D8090000}"/>
    <cellStyle name="Percent 2 4" xfId="2514" xr:uid="{00000000-0005-0000-0000-0000D9090000}"/>
    <cellStyle name="Percent 2 40" xfId="2515" xr:uid="{00000000-0005-0000-0000-0000DA090000}"/>
    <cellStyle name="Percent 2 41" xfId="2516" xr:uid="{00000000-0005-0000-0000-0000DB090000}"/>
    <cellStyle name="Percent 2 42" xfId="2517" xr:uid="{00000000-0005-0000-0000-0000DC090000}"/>
    <cellStyle name="Percent 2 43" xfId="2518" xr:uid="{00000000-0005-0000-0000-0000DD090000}"/>
    <cellStyle name="Percent 2 44" xfId="2519" xr:uid="{00000000-0005-0000-0000-0000DE090000}"/>
    <cellStyle name="Percent 2 45" xfId="2520" xr:uid="{00000000-0005-0000-0000-0000DF090000}"/>
    <cellStyle name="Percent 2 46" xfId="2521" xr:uid="{00000000-0005-0000-0000-0000E0090000}"/>
    <cellStyle name="Percent 2 47" xfId="2522" xr:uid="{00000000-0005-0000-0000-0000E1090000}"/>
    <cellStyle name="Percent 2 48" xfId="2523" xr:uid="{00000000-0005-0000-0000-0000E2090000}"/>
    <cellStyle name="Percent 2 49" xfId="2524" xr:uid="{00000000-0005-0000-0000-0000E3090000}"/>
    <cellStyle name="Percent 2 5" xfId="2525" xr:uid="{00000000-0005-0000-0000-0000E4090000}"/>
    <cellStyle name="Percent 2 5 2" xfId="2526" xr:uid="{00000000-0005-0000-0000-0000E5090000}"/>
    <cellStyle name="Percent 2 50" xfId="2527" xr:uid="{00000000-0005-0000-0000-0000E6090000}"/>
    <cellStyle name="Percent 2 51" xfId="2528" xr:uid="{00000000-0005-0000-0000-0000E7090000}"/>
    <cellStyle name="Percent 2 6" xfId="2529" xr:uid="{00000000-0005-0000-0000-0000E8090000}"/>
    <cellStyle name="Percent 2 7" xfId="2530" xr:uid="{00000000-0005-0000-0000-0000E9090000}"/>
    <cellStyle name="Percent 2 8" xfId="2531" xr:uid="{00000000-0005-0000-0000-0000EA090000}"/>
    <cellStyle name="Percent 2 8 2" xfId="2532" xr:uid="{00000000-0005-0000-0000-0000EB090000}"/>
    <cellStyle name="Percent 2 9" xfId="2533" xr:uid="{00000000-0005-0000-0000-0000EC090000}"/>
    <cellStyle name="Percent 20" xfId="2534" xr:uid="{00000000-0005-0000-0000-0000ED090000}"/>
    <cellStyle name="Percent 21" xfId="2535" xr:uid="{00000000-0005-0000-0000-0000EE090000}"/>
    <cellStyle name="Percent 22" xfId="2536" xr:uid="{00000000-0005-0000-0000-0000EF090000}"/>
    <cellStyle name="Percent 23" xfId="2537" xr:uid="{00000000-0005-0000-0000-0000F0090000}"/>
    <cellStyle name="Percent 23 2" xfId="2538" xr:uid="{00000000-0005-0000-0000-0000F1090000}"/>
    <cellStyle name="Percent 24" xfId="2539" xr:uid="{00000000-0005-0000-0000-0000F2090000}"/>
    <cellStyle name="Percent 24 2" xfId="2540" xr:uid="{00000000-0005-0000-0000-0000F3090000}"/>
    <cellStyle name="Percent 25" xfId="2541" xr:uid="{00000000-0005-0000-0000-0000F4090000}"/>
    <cellStyle name="Percent 25 2" xfId="2542" xr:uid="{00000000-0005-0000-0000-0000F5090000}"/>
    <cellStyle name="Percent 26" xfId="2543" xr:uid="{00000000-0005-0000-0000-0000F6090000}"/>
    <cellStyle name="Percent 26 2" xfId="2544" xr:uid="{00000000-0005-0000-0000-0000F7090000}"/>
    <cellStyle name="Percent 27" xfId="2545" xr:uid="{00000000-0005-0000-0000-0000F8090000}"/>
    <cellStyle name="Percent 27 2" xfId="2546" xr:uid="{00000000-0005-0000-0000-0000F9090000}"/>
    <cellStyle name="Percent 28" xfId="2547" xr:uid="{00000000-0005-0000-0000-0000FA090000}"/>
    <cellStyle name="Percent 28 2" xfId="2548" xr:uid="{00000000-0005-0000-0000-0000FB090000}"/>
    <cellStyle name="Percent 29" xfId="2549" xr:uid="{00000000-0005-0000-0000-0000FC090000}"/>
    <cellStyle name="Percent 29 2" xfId="2550" xr:uid="{00000000-0005-0000-0000-0000FD090000}"/>
    <cellStyle name="Percent 3" xfId="2551" xr:uid="{00000000-0005-0000-0000-0000FE090000}"/>
    <cellStyle name="Percent 3 2" xfId="2552" xr:uid="{00000000-0005-0000-0000-0000FF090000}"/>
    <cellStyle name="Percent 3 2 2" xfId="2553" xr:uid="{00000000-0005-0000-0000-0000000A0000}"/>
    <cellStyle name="Percent 3 2 2 2" xfId="2554" xr:uid="{00000000-0005-0000-0000-0000010A0000}"/>
    <cellStyle name="Percent 3 2 2 2 2" xfId="2555" xr:uid="{00000000-0005-0000-0000-0000020A0000}"/>
    <cellStyle name="Percent 3 2 2 2 3" xfId="2556" xr:uid="{00000000-0005-0000-0000-0000030A0000}"/>
    <cellStyle name="Percent 3 2 2 3" xfId="2557" xr:uid="{00000000-0005-0000-0000-0000040A0000}"/>
    <cellStyle name="Percent 3 2 2 3 2" xfId="2558" xr:uid="{00000000-0005-0000-0000-0000050A0000}"/>
    <cellStyle name="Percent 3 2 2 4" xfId="2559" xr:uid="{00000000-0005-0000-0000-0000060A0000}"/>
    <cellStyle name="Percent 3 2 2 5" xfId="2560" xr:uid="{00000000-0005-0000-0000-0000070A0000}"/>
    <cellStyle name="Percent 3 2 3" xfId="2561" xr:uid="{00000000-0005-0000-0000-0000080A0000}"/>
    <cellStyle name="Percent 3 2 3 2" xfId="2562" xr:uid="{00000000-0005-0000-0000-0000090A0000}"/>
    <cellStyle name="Percent 3 2 3 3" xfId="2563" xr:uid="{00000000-0005-0000-0000-00000A0A0000}"/>
    <cellStyle name="Percent 3 2 4" xfId="2564" xr:uid="{00000000-0005-0000-0000-00000B0A0000}"/>
    <cellStyle name="Percent 3 2 4 2" xfId="2565" xr:uid="{00000000-0005-0000-0000-00000C0A0000}"/>
    <cellStyle name="Percent 3 2 5" xfId="2566" xr:uid="{00000000-0005-0000-0000-00000D0A0000}"/>
    <cellStyle name="Percent 3 2 6" xfId="2567" xr:uid="{00000000-0005-0000-0000-00000E0A0000}"/>
    <cellStyle name="Percent 3 3" xfId="2568" xr:uid="{00000000-0005-0000-0000-00000F0A0000}"/>
    <cellStyle name="Percent 3 3 2" xfId="2981" xr:uid="{00000000-0005-0000-0000-0000100A0000}"/>
    <cellStyle name="Percent 30" xfId="2569" xr:uid="{00000000-0005-0000-0000-0000110A0000}"/>
    <cellStyle name="Percent 30 2" xfId="2570" xr:uid="{00000000-0005-0000-0000-0000120A0000}"/>
    <cellStyle name="Percent 31" xfId="2571" xr:uid="{00000000-0005-0000-0000-0000130A0000}"/>
    <cellStyle name="Percent 31 2" xfId="2572" xr:uid="{00000000-0005-0000-0000-0000140A0000}"/>
    <cellStyle name="Percent 32" xfId="2573" xr:uid="{00000000-0005-0000-0000-0000150A0000}"/>
    <cellStyle name="Percent 32 2" xfId="2574" xr:uid="{00000000-0005-0000-0000-0000160A0000}"/>
    <cellStyle name="Percent 33" xfId="2575" xr:uid="{00000000-0005-0000-0000-0000170A0000}"/>
    <cellStyle name="Percent 33 2" xfId="2576" xr:uid="{00000000-0005-0000-0000-0000180A0000}"/>
    <cellStyle name="Percent 34" xfId="2577" xr:uid="{00000000-0005-0000-0000-0000190A0000}"/>
    <cellStyle name="Percent 35" xfId="2578" xr:uid="{00000000-0005-0000-0000-00001A0A0000}"/>
    <cellStyle name="Percent 36" xfId="2579" xr:uid="{00000000-0005-0000-0000-00001B0A0000}"/>
    <cellStyle name="Percent 36 2" xfId="2580" xr:uid="{00000000-0005-0000-0000-00001C0A0000}"/>
    <cellStyle name="Percent 37" xfId="2581" xr:uid="{00000000-0005-0000-0000-00001D0A0000}"/>
    <cellStyle name="Percent 38" xfId="2582" xr:uid="{00000000-0005-0000-0000-00001E0A0000}"/>
    <cellStyle name="Percent 39" xfId="2583" xr:uid="{00000000-0005-0000-0000-00001F0A0000}"/>
    <cellStyle name="Percent 4" xfId="2584" xr:uid="{00000000-0005-0000-0000-0000200A0000}"/>
    <cellStyle name="Percent 4 2" xfId="2585" xr:uid="{00000000-0005-0000-0000-0000210A0000}"/>
    <cellStyle name="Percent 40" xfId="2586" xr:uid="{00000000-0005-0000-0000-0000220A0000}"/>
    <cellStyle name="Percent 41" xfId="2587" xr:uid="{00000000-0005-0000-0000-0000230A0000}"/>
    <cellStyle name="Percent 5" xfId="2588" xr:uid="{00000000-0005-0000-0000-0000240A0000}"/>
    <cellStyle name="Percent 5 2" xfId="2589" xr:uid="{00000000-0005-0000-0000-0000250A0000}"/>
    <cellStyle name="Percent 5 3" xfId="2590" xr:uid="{00000000-0005-0000-0000-0000260A0000}"/>
    <cellStyle name="Percent 5 3 2" xfId="2591" xr:uid="{00000000-0005-0000-0000-0000270A0000}"/>
    <cellStyle name="Percent 5 3 3" xfId="2592" xr:uid="{00000000-0005-0000-0000-0000280A0000}"/>
    <cellStyle name="Percent 5 4" xfId="2593" xr:uid="{00000000-0005-0000-0000-0000290A0000}"/>
    <cellStyle name="Percent 5 4 2" xfId="2594" xr:uid="{00000000-0005-0000-0000-00002A0A0000}"/>
    <cellStyle name="Percent 5 5" xfId="2595" xr:uid="{00000000-0005-0000-0000-00002B0A0000}"/>
    <cellStyle name="Percent 5 6" xfId="2596" xr:uid="{00000000-0005-0000-0000-00002C0A0000}"/>
    <cellStyle name="Percent 6" xfId="2597" xr:uid="{00000000-0005-0000-0000-00002D0A0000}"/>
    <cellStyle name="Percent 6 2" xfId="2598" xr:uid="{00000000-0005-0000-0000-00002E0A0000}"/>
    <cellStyle name="Percent 6 2 2" xfId="2599" xr:uid="{00000000-0005-0000-0000-00002F0A0000}"/>
    <cellStyle name="Percent 6 2 3" xfId="2600" xr:uid="{00000000-0005-0000-0000-0000300A0000}"/>
    <cellStyle name="Percent 6 3" xfId="2601" xr:uid="{00000000-0005-0000-0000-0000310A0000}"/>
    <cellStyle name="Percent 6 3 2" xfId="2602" xr:uid="{00000000-0005-0000-0000-0000320A0000}"/>
    <cellStyle name="Percent 6 4" xfId="2603" xr:uid="{00000000-0005-0000-0000-0000330A0000}"/>
    <cellStyle name="Percent 6 5" xfId="2604" xr:uid="{00000000-0005-0000-0000-0000340A0000}"/>
    <cellStyle name="Percent 7" xfId="2605" xr:uid="{00000000-0005-0000-0000-0000350A0000}"/>
    <cellStyle name="Percent 7 2" xfId="2606" xr:uid="{00000000-0005-0000-0000-0000360A0000}"/>
    <cellStyle name="Percent 7 2 2" xfId="2607" xr:uid="{00000000-0005-0000-0000-0000370A0000}"/>
    <cellStyle name="Percent 7 2 2 2" xfId="2608" xr:uid="{00000000-0005-0000-0000-0000380A0000}"/>
    <cellStyle name="Percent 7 2 2 3" xfId="2609" xr:uid="{00000000-0005-0000-0000-0000390A0000}"/>
    <cellStyle name="Percent 7 2 3" xfId="2610" xr:uid="{00000000-0005-0000-0000-00003A0A0000}"/>
    <cellStyle name="Percent 7 2 3 2" xfId="2611" xr:uid="{00000000-0005-0000-0000-00003B0A0000}"/>
    <cellStyle name="Percent 7 2 4" xfId="2612" xr:uid="{00000000-0005-0000-0000-00003C0A0000}"/>
    <cellStyle name="Percent 7 2 5" xfId="2613" xr:uid="{00000000-0005-0000-0000-00003D0A0000}"/>
    <cellStyle name="Percent 7 3" xfId="2614" xr:uid="{00000000-0005-0000-0000-00003E0A0000}"/>
    <cellStyle name="Percent 7 3 2" xfId="2615" xr:uid="{00000000-0005-0000-0000-00003F0A0000}"/>
    <cellStyle name="Percent 7 3 3" xfId="2616" xr:uid="{00000000-0005-0000-0000-0000400A0000}"/>
    <cellStyle name="Percent 7 4" xfId="2617" xr:uid="{00000000-0005-0000-0000-0000410A0000}"/>
    <cellStyle name="Percent 7 4 2" xfId="2618" xr:uid="{00000000-0005-0000-0000-0000420A0000}"/>
    <cellStyle name="Percent 7 5" xfId="2619" xr:uid="{00000000-0005-0000-0000-0000430A0000}"/>
    <cellStyle name="Percent 7 6" xfId="2620" xr:uid="{00000000-0005-0000-0000-0000440A0000}"/>
    <cellStyle name="Percent 8" xfId="2621" xr:uid="{00000000-0005-0000-0000-0000450A0000}"/>
    <cellStyle name="Percent 8 2" xfId="2622" xr:uid="{00000000-0005-0000-0000-0000460A0000}"/>
    <cellStyle name="Percent 8 2 2" xfId="2623" xr:uid="{00000000-0005-0000-0000-0000470A0000}"/>
    <cellStyle name="Percent 8 2 3" xfId="2624" xr:uid="{00000000-0005-0000-0000-0000480A0000}"/>
    <cellStyle name="Percent 8 3" xfId="2625" xr:uid="{00000000-0005-0000-0000-0000490A0000}"/>
    <cellStyle name="Percent 8 3 2" xfId="2626" xr:uid="{00000000-0005-0000-0000-00004A0A0000}"/>
    <cellStyle name="Percent 8 4" xfId="2627" xr:uid="{00000000-0005-0000-0000-00004B0A0000}"/>
    <cellStyle name="Percent 8 5" xfId="2628" xr:uid="{00000000-0005-0000-0000-00004C0A0000}"/>
    <cellStyle name="Percent 9" xfId="2629" xr:uid="{00000000-0005-0000-0000-00004D0A0000}"/>
    <cellStyle name="Percent 9 2" xfId="2630" xr:uid="{00000000-0005-0000-0000-00004E0A0000}"/>
    <cellStyle name="Percent 9 2 2" xfId="2631" xr:uid="{00000000-0005-0000-0000-00004F0A0000}"/>
    <cellStyle name="Percent 9 2 3" xfId="2632" xr:uid="{00000000-0005-0000-0000-0000500A0000}"/>
    <cellStyle name="Percent 9 3" xfId="2633" xr:uid="{00000000-0005-0000-0000-0000510A0000}"/>
    <cellStyle name="Percent 9 3 2" xfId="2634" xr:uid="{00000000-0005-0000-0000-0000520A0000}"/>
    <cellStyle name="Percent 9 4" xfId="2635" xr:uid="{00000000-0005-0000-0000-0000530A0000}"/>
    <cellStyle name="Percent 9 5" xfId="2636" xr:uid="{00000000-0005-0000-0000-0000540A0000}"/>
    <cellStyle name="Pevn?" xfId="2637" xr:uid="{00000000-0005-0000-0000-0000550A0000}"/>
    <cellStyle name="Pevní" xfId="2638" xr:uid="{00000000-0005-0000-0000-0000560A0000}"/>
    <cellStyle name="Porcentaje 2" xfId="2639" xr:uid="{00000000-0005-0000-0000-0000570A0000}"/>
    <cellStyle name="Porcentaje 2 2" xfId="2640" xr:uid="{00000000-0005-0000-0000-0000580A0000}"/>
    <cellStyle name="Porcentaje 2 2 2" xfId="2641" xr:uid="{00000000-0005-0000-0000-0000590A0000}"/>
    <cellStyle name="Porcentaje 2 2 2 2" xfId="2642" xr:uid="{00000000-0005-0000-0000-00005A0A0000}"/>
    <cellStyle name="Porcentaje 2 2 3" xfId="2643" xr:uid="{00000000-0005-0000-0000-00005B0A0000}"/>
    <cellStyle name="Porcentaje 2 3" xfId="2644" xr:uid="{00000000-0005-0000-0000-00005C0A0000}"/>
    <cellStyle name="Porcentaje 2 3 2" xfId="2645" xr:uid="{00000000-0005-0000-0000-00005D0A0000}"/>
    <cellStyle name="Porcentaje 2 4" xfId="2646" xr:uid="{00000000-0005-0000-0000-00005E0A0000}"/>
    <cellStyle name="Porcentaje 2 5" xfId="2647" xr:uid="{00000000-0005-0000-0000-00005F0A0000}"/>
    <cellStyle name="Porcentaje 3" xfId="2648" xr:uid="{00000000-0005-0000-0000-0000600A0000}"/>
    <cellStyle name="Porcentaje 3 2" xfId="2649" xr:uid="{00000000-0005-0000-0000-0000610A0000}"/>
    <cellStyle name="Porcentaje 3 2 2" xfId="2650" xr:uid="{00000000-0005-0000-0000-0000620A0000}"/>
    <cellStyle name="Porcentaje 3 2 2 2" xfId="2651" xr:uid="{00000000-0005-0000-0000-0000630A0000}"/>
    <cellStyle name="Porcentaje 3 2 3" xfId="2652" xr:uid="{00000000-0005-0000-0000-0000640A0000}"/>
    <cellStyle name="Porcentaje 3 3" xfId="2653" xr:uid="{00000000-0005-0000-0000-0000650A0000}"/>
    <cellStyle name="Porcentaje 3 3 2" xfId="2654" xr:uid="{00000000-0005-0000-0000-0000660A0000}"/>
    <cellStyle name="Porcentaje 4" xfId="2655" xr:uid="{00000000-0005-0000-0000-0000670A0000}"/>
    <cellStyle name="Porcentaje 5" xfId="2656" xr:uid="{00000000-0005-0000-0000-0000680A0000}"/>
    <cellStyle name="Porcentaje 6" xfId="2657" xr:uid="{00000000-0005-0000-0000-0000690A0000}"/>
    <cellStyle name="Porcentaje 6 2" xfId="2658" xr:uid="{00000000-0005-0000-0000-00006A0A0000}"/>
    <cellStyle name="Porcentaje 7" xfId="2659" xr:uid="{00000000-0005-0000-0000-00006B0A0000}"/>
    <cellStyle name="Porcentual 2" xfId="2660" xr:uid="{00000000-0005-0000-0000-00006C0A0000}"/>
    <cellStyle name="Porcentual 2 2" xfId="2661" xr:uid="{00000000-0005-0000-0000-00006D0A0000}"/>
    <cellStyle name="Porcentual 2 3" xfId="2662" xr:uid="{00000000-0005-0000-0000-00006E0A0000}"/>
    <cellStyle name="Porcentual 2 3 2" xfId="2663" xr:uid="{00000000-0005-0000-0000-00006F0A0000}"/>
    <cellStyle name="Porcentual 2 3 2 2" xfId="2664" xr:uid="{00000000-0005-0000-0000-0000700A0000}"/>
    <cellStyle name="Porcentual 2 3 2 2 2" xfId="2665" xr:uid="{00000000-0005-0000-0000-0000710A0000}"/>
    <cellStyle name="Porcentual 2 3 2 3" xfId="2666" xr:uid="{00000000-0005-0000-0000-0000720A0000}"/>
    <cellStyle name="Porcentual 2 3 3" xfId="2667" xr:uid="{00000000-0005-0000-0000-0000730A0000}"/>
    <cellStyle name="Porcentual 2 3 3 2" xfId="2668" xr:uid="{00000000-0005-0000-0000-0000740A0000}"/>
    <cellStyle name="Porcentual 2 3 4" xfId="2669" xr:uid="{00000000-0005-0000-0000-0000750A0000}"/>
    <cellStyle name="Porcentual 2 3 4 2" xfId="2670" xr:uid="{00000000-0005-0000-0000-0000760A0000}"/>
    <cellStyle name="Porcentual 2 3 5" xfId="2671" xr:uid="{00000000-0005-0000-0000-0000770A0000}"/>
    <cellStyle name="Porcentual 2 3 5 2" xfId="2672" xr:uid="{00000000-0005-0000-0000-0000780A0000}"/>
    <cellStyle name="Porcentual 2 3 6" xfId="2673" xr:uid="{00000000-0005-0000-0000-0000790A0000}"/>
    <cellStyle name="Porcentual 2 3 6 2" xfId="2674" xr:uid="{00000000-0005-0000-0000-00007A0A0000}"/>
    <cellStyle name="Porcentual 2 3 7" xfId="2675" xr:uid="{00000000-0005-0000-0000-00007B0A0000}"/>
    <cellStyle name="Porcentual 2 4" xfId="2676" xr:uid="{00000000-0005-0000-0000-00007C0A0000}"/>
    <cellStyle name="Porcentual 2 5" xfId="2677" xr:uid="{00000000-0005-0000-0000-00007D0A0000}"/>
    <cellStyle name="Porcentual 2 5 2" xfId="2678" xr:uid="{00000000-0005-0000-0000-00007E0A0000}"/>
    <cellStyle name="Porcentual 2 6" xfId="2679" xr:uid="{00000000-0005-0000-0000-00007F0A0000}"/>
    <cellStyle name="Porcentual 2 6 2" xfId="2680" xr:uid="{00000000-0005-0000-0000-0000800A0000}"/>
    <cellStyle name="Porcentual 3" xfId="2681" xr:uid="{00000000-0005-0000-0000-0000810A0000}"/>
    <cellStyle name="Porcentual 3 2" xfId="2682" xr:uid="{00000000-0005-0000-0000-0000820A0000}"/>
    <cellStyle name="Porcentual 4" xfId="2683" xr:uid="{00000000-0005-0000-0000-0000830A0000}"/>
    <cellStyle name="Porcentual 5" xfId="2684" xr:uid="{00000000-0005-0000-0000-0000840A0000}"/>
    <cellStyle name="Porcentual_ASAR - Exports as on 31-Mar-2010(CON COSTOS 2009)(con formulas)" xfId="2685" xr:uid="{00000000-0005-0000-0000-0000850A0000}"/>
    <cellStyle name="PrePop Currency (0)" xfId="2686" xr:uid="{00000000-0005-0000-0000-0000860A0000}"/>
    <cellStyle name="PrePop Currency (0) 2" xfId="2687" xr:uid="{00000000-0005-0000-0000-0000870A0000}"/>
    <cellStyle name="PrePop Currency (0) 3" xfId="2688" xr:uid="{00000000-0005-0000-0000-0000880A0000}"/>
    <cellStyle name="PrePop Currency (0) 4" xfId="2689" xr:uid="{00000000-0005-0000-0000-0000890A0000}"/>
    <cellStyle name="PrePop Currency (2)" xfId="2690" xr:uid="{00000000-0005-0000-0000-00008A0A0000}"/>
    <cellStyle name="PrePop Currency (2) 2" xfId="2691" xr:uid="{00000000-0005-0000-0000-00008B0A0000}"/>
    <cellStyle name="PrePop Currency (2) 3" xfId="2692" xr:uid="{00000000-0005-0000-0000-00008C0A0000}"/>
    <cellStyle name="PrePop Currency (2) 4" xfId="2693" xr:uid="{00000000-0005-0000-0000-00008D0A0000}"/>
    <cellStyle name="PrePop Units (0)" xfId="2694" xr:uid="{00000000-0005-0000-0000-00008E0A0000}"/>
    <cellStyle name="PrePop Units (0) 2" xfId="2695" xr:uid="{00000000-0005-0000-0000-00008F0A0000}"/>
    <cellStyle name="PrePop Units (0) 3" xfId="2696" xr:uid="{00000000-0005-0000-0000-0000900A0000}"/>
    <cellStyle name="PrePop Units (0) 4" xfId="2697" xr:uid="{00000000-0005-0000-0000-0000910A0000}"/>
    <cellStyle name="PrePop Units (1)" xfId="2698" xr:uid="{00000000-0005-0000-0000-0000920A0000}"/>
    <cellStyle name="PrePop Units (1) 2" xfId="2699" xr:uid="{00000000-0005-0000-0000-0000930A0000}"/>
    <cellStyle name="PrePop Units (1) 3" xfId="2700" xr:uid="{00000000-0005-0000-0000-0000940A0000}"/>
    <cellStyle name="PrePop Units (1) 4" xfId="2701" xr:uid="{00000000-0005-0000-0000-0000950A0000}"/>
    <cellStyle name="PrePop Units (2)" xfId="2702" xr:uid="{00000000-0005-0000-0000-0000960A0000}"/>
    <cellStyle name="PrePop Units (2) 2" xfId="2703" xr:uid="{00000000-0005-0000-0000-0000970A0000}"/>
    <cellStyle name="PrePop Units (2) 3" xfId="2704" xr:uid="{00000000-0005-0000-0000-0000980A0000}"/>
    <cellStyle name="PrePop Units (2) 4" xfId="2705" xr:uid="{00000000-0005-0000-0000-0000990A0000}"/>
    <cellStyle name="Procenta" xfId="2706" xr:uid="{00000000-0005-0000-0000-00009A0A0000}"/>
    <cellStyle name="PSChar" xfId="2707" xr:uid="{00000000-0005-0000-0000-00009B0A0000}"/>
    <cellStyle name="PSChar 2" xfId="2708" xr:uid="{00000000-0005-0000-0000-00009C0A0000}"/>
    <cellStyle name="PSDate" xfId="2709" xr:uid="{00000000-0005-0000-0000-00009D0A0000}"/>
    <cellStyle name="PSDec" xfId="2710" xr:uid="{00000000-0005-0000-0000-00009E0A0000}"/>
    <cellStyle name="PSHeading" xfId="2711" xr:uid="{00000000-0005-0000-0000-00009F0A0000}"/>
    <cellStyle name="Punto" xfId="2712" xr:uid="{00000000-0005-0000-0000-0000A00A0000}"/>
    <cellStyle name="Punto0" xfId="2713" xr:uid="{00000000-0005-0000-0000-0000A10A0000}"/>
    <cellStyle name="regstoresfromspecstores" xfId="2714" xr:uid="{00000000-0005-0000-0000-0000A20A0000}"/>
    <cellStyle name="ReportTitlePrompt" xfId="2715" xr:uid="{00000000-0005-0000-0000-0000A30A0000}"/>
    <cellStyle name="ReportTitlePrompt 2" xfId="2716" xr:uid="{00000000-0005-0000-0000-0000A40A0000}"/>
    <cellStyle name="ReportTitleValue" xfId="2717" xr:uid="{00000000-0005-0000-0000-0000A50A0000}"/>
    <cellStyle name="Reset  - Style7" xfId="2718" xr:uid="{00000000-0005-0000-0000-0000A60A0000}"/>
    <cellStyle name="RevList" xfId="2719" xr:uid="{00000000-0005-0000-0000-0000A70A0000}"/>
    <cellStyle name="RM" xfId="2720" xr:uid="{00000000-0005-0000-0000-0000A80A0000}"/>
    <cellStyle name="Row 3" xfId="2721" xr:uid="{00000000-0005-0000-0000-0000A90A0000}"/>
    <cellStyle name="Row title 1" xfId="2722" xr:uid="{00000000-0005-0000-0000-0000AA0A0000}"/>
    <cellStyle name="Row Title 3" xfId="2723" xr:uid="{00000000-0005-0000-0000-0000AB0A0000}"/>
    <cellStyle name="RowAcctAbovePrompt" xfId="2724" xr:uid="{00000000-0005-0000-0000-0000AC0A0000}"/>
    <cellStyle name="RowAcctAbovePrompt 2" xfId="2725" xr:uid="{00000000-0005-0000-0000-0000AD0A0000}"/>
    <cellStyle name="RowAcctSOBAbovePrompt" xfId="2726" xr:uid="{00000000-0005-0000-0000-0000AE0A0000}"/>
    <cellStyle name="RowAcctSOBAbovePrompt 2" xfId="2727" xr:uid="{00000000-0005-0000-0000-0000AF0A0000}"/>
    <cellStyle name="RowAcctSOBValue" xfId="2728" xr:uid="{00000000-0005-0000-0000-0000B00A0000}"/>
    <cellStyle name="RowAcctSOBValue 2" xfId="2729" xr:uid="{00000000-0005-0000-0000-0000B10A0000}"/>
    <cellStyle name="RowAcctValue" xfId="2730" xr:uid="{00000000-0005-0000-0000-0000B20A0000}"/>
    <cellStyle name="RowAttrAbovePrompt" xfId="2731" xr:uid="{00000000-0005-0000-0000-0000B30A0000}"/>
    <cellStyle name="RowAttrAbovePrompt 2" xfId="2732" xr:uid="{00000000-0005-0000-0000-0000B40A0000}"/>
    <cellStyle name="RowAttrValue" xfId="2733" xr:uid="{00000000-0005-0000-0000-0000B50A0000}"/>
    <cellStyle name="RowColSetAbovePrompt" xfId="2734" xr:uid="{00000000-0005-0000-0000-0000B60A0000}"/>
    <cellStyle name="RowColSetAbovePrompt 2" xfId="2735" xr:uid="{00000000-0005-0000-0000-0000B70A0000}"/>
    <cellStyle name="RowColSetLeftPrompt" xfId="2736" xr:uid="{00000000-0005-0000-0000-0000B80A0000}"/>
    <cellStyle name="RowColSetLeftPrompt 2" xfId="2737" xr:uid="{00000000-0005-0000-0000-0000B90A0000}"/>
    <cellStyle name="RowColSetValue" xfId="2738" xr:uid="{00000000-0005-0000-0000-0000BA0A0000}"/>
    <cellStyle name="RowHead" xfId="2739" xr:uid="{00000000-0005-0000-0000-0000BB0A0000}"/>
    <cellStyle name="RowLeftPrompt" xfId="2740" xr:uid="{00000000-0005-0000-0000-0000BC0A0000}"/>
    <cellStyle name="RowLeftPrompt 2" xfId="2741" xr:uid="{00000000-0005-0000-0000-0000BD0A0000}"/>
    <cellStyle name="rs" xfId="2742" xr:uid="{00000000-0005-0000-0000-0000BE0A0000}"/>
    <cellStyle name="Saldos" xfId="2743" xr:uid="{00000000-0005-0000-0000-0000BF0A0000}"/>
    <cellStyle name="Saldos 2" xfId="2744" xr:uid="{00000000-0005-0000-0000-0000C00A0000}"/>
    <cellStyle name="Salida" xfId="2745" xr:uid="{00000000-0005-0000-0000-0000C10A0000}"/>
    <cellStyle name="Salida 2" xfId="2746" xr:uid="{00000000-0005-0000-0000-0000C20A0000}"/>
    <cellStyle name="Salida 2 2" xfId="2747" xr:uid="{00000000-0005-0000-0000-0000C30A0000}"/>
    <cellStyle name="Salida 3" xfId="2748" xr:uid="{00000000-0005-0000-0000-0000C40A0000}"/>
    <cellStyle name="Salida 3 2" xfId="2749" xr:uid="{00000000-0005-0000-0000-0000C50A0000}"/>
    <cellStyle name="Salida 4" xfId="2750" xr:uid="{00000000-0005-0000-0000-0000C60A0000}"/>
    <cellStyle name="SampleUsingFormatMask" xfId="2751" xr:uid="{00000000-0005-0000-0000-0000C70A0000}"/>
    <cellStyle name="SampleUsingFormatMask 2" xfId="2752" xr:uid="{00000000-0005-0000-0000-0000C80A0000}"/>
    <cellStyle name="SampleWithNoFormatMask" xfId="2753" xr:uid="{00000000-0005-0000-0000-0000C90A0000}"/>
    <cellStyle name="SampleWithNoFormatMask 2" xfId="2754" xr:uid="{00000000-0005-0000-0000-0000CA0A0000}"/>
    <cellStyle name="SAPBEXaggData" xfId="2755" xr:uid="{00000000-0005-0000-0000-0000CB0A0000}"/>
    <cellStyle name="SAPBEXaggDataEmph" xfId="2756" xr:uid="{00000000-0005-0000-0000-0000CC0A0000}"/>
    <cellStyle name="SAPBEXaggItem" xfId="2757" xr:uid="{00000000-0005-0000-0000-0000CD0A0000}"/>
    <cellStyle name="SAPBEXaggItemX" xfId="2758" xr:uid="{00000000-0005-0000-0000-0000CE0A0000}"/>
    <cellStyle name="SAPBEXchaText" xfId="2759" xr:uid="{00000000-0005-0000-0000-0000CF0A0000}"/>
    <cellStyle name="SAPBEXexcBad7" xfId="2760" xr:uid="{00000000-0005-0000-0000-0000D00A0000}"/>
    <cellStyle name="SAPBEXexcBad8" xfId="2761" xr:uid="{00000000-0005-0000-0000-0000D10A0000}"/>
    <cellStyle name="SAPBEXexcBad9" xfId="2762" xr:uid="{00000000-0005-0000-0000-0000D20A0000}"/>
    <cellStyle name="SAPBEXexcCritical4" xfId="2763" xr:uid="{00000000-0005-0000-0000-0000D30A0000}"/>
    <cellStyle name="SAPBEXexcCritical5" xfId="2764" xr:uid="{00000000-0005-0000-0000-0000D40A0000}"/>
    <cellStyle name="SAPBEXexcCritical6" xfId="2765" xr:uid="{00000000-0005-0000-0000-0000D50A0000}"/>
    <cellStyle name="SAPBEXexcGood1" xfId="2766" xr:uid="{00000000-0005-0000-0000-0000D60A0000}"/>
    <cellStyle name="SAPBEXexcGood2" xfId="2767" xr:uid="{00000000-0005-0000-0000-0000D70A0000}"/>
    <cellStyle name="SAPBEXexcGood3" xfId="2768" xr:uid="{00000000-0005-0000-0000-0000D80A0000}"/>
    <cellStyle name="SAPBEXfilterDrill" xfId="2769" xr:uid="{00000000-0005-0000-0000-0000D90A0000}"/>
    <cellStyle name="SAPBEXfilterItem" xfId="2770" xr:uid="{00000000-0005-0000-0000-0000DA0A0000}"/>
    <cellStyle name="SAPBEXfilterText" xfId="2771" xr:uid="{00000000-0005-0000-0000-0000DB0A0000}"/>
    <cellStyle name="SAPBEXformats" xfId="2772" xr:uid="{00000000-0005-0000-0000-0000DC0A0000}"/>
    <cellStyle name="SAPBEXheaderItem" xfId="2773" xr:uid="{00000000-0005-0000-0000-0000DD0A0000}"/>
    <cellStyle name="SAPBEXheaderText" xfId="2774" xr:uid="{00000000-0005-0000-0000-0000DE0A0000}"/>
    <cellStyle name="SAPBEXHLevel0" xfId="2775" xr:uid="{00000000-0005-0000-0000-0000DF0A0000}"/>
    <cellStyle name="SAPBEXHLevel0X" xfId="2776" xr:uid="{00000000-0005-0000-0000-0000E00A0000}"/>
    <cellStyle name="SAPBEXHLevel1" xfId="2777" xr:uid="{00000000-0005-0000-0000-0000E10A0000}"/>
    <cellStyle name="SAPBEXHLevel1X" xfId="2778" xr:uid="{00000000-0005-0000-0000-0000E20A0000}"/>
    <cellStyle name="SAPBEXHLevel2" xfId="2779" xr:uid="{00000000-0005-0000-0000-0000E30A0000}"/>
    <cellStyle name="SAPBEXHLevel2X" xfId="2780" xr:uid="{00000000-0005-0000-0000-0000E40A0000}"/>
    <cellStyle name="SAPBEXHLevel3" xfId="2781" xr:uid="{00000000-0005-0000-0000-0000E50A0000}"/>
    <cellStyle name="SAPBEXHLevel3X" xfId="2782" xr:uid="{00000000-0005-0000-0000-0000E60A0000}"/>
    <cellStyle name="SAPBEXresData" xfId="2783" xr:uid="{00000000-0005-0000-0000-0000E70A0000}"/>
    <cellStyle name="SAPBEXresDataEmph" xfId="2784" xr:uid="{00000000-0005-0000-0000-0000E80A0000}"/>
    <cellStyle name="SAPBEXresItem" xfId="2785" xr:uid="{00000000-0005-0000-0000-0000E90A0000}"/>
    <cellStyle name="SAPBEXresItemX" xfId="2786" xr:uid="{00000000-0005-0000-0000-0000EA0A0000}"/>
    <cellStyle name="SAPBEXstdData" xfId="2787" xr:uid="{00000000-0005-0000-0000-0000EB0A0000}"/>
    <cellStyle name="SAPBEXstdDataEmph" xfId="2788" xr:uid="{00000000-0005-0000-0000-0000EC0A0000}"/>
    <cellStyle name="SAPBEXstdItem" xfId="2789" xr:uid="{00000000-0005-0000-0000-0000ED0A0000}"/>
    <cellStyle name="SAPBEXstdItem 2" xfId="2790" xr:uid="{00000000-0005-0000-0000-0000EE0A0000}"/>
    <cellStyle name="SAPBEXstdItemX" xfId="2791" xr:uid="{00000000-0005-0000-0000-0000EF0A0000}"/>
    <cellStyle name="SAPBEXtitle" xfId="2792" xr:uid="{00000000-0005-0000-0000-0000F00A0000}"/>
    <cellStyle name="SAPBEXundefined" xfId="2793" xr:uid="{00000000-0005-0000-0000-0000F10A0000}"/>
    <cellStyle name="SectionHead" xfId="2794" xr:uid="{00000000-0005-0000-0000-0000F20A0000}"/>
    <cellStyle name="šedivý" xfId="2795" xr:uid="{00000000-0005-0000-0000-0000F30A0000}"/>
    <cellStyle name="Separador de milhares [0]_headcount" xfId="2796" xr:uid="{00000000-0005-0000-0000-0000F40A0000}"/>
    <cellStyle name="Separador de milhares_Brazil FTEs 99 Real" xfId="2797" xr:uid="{00000000-0005-0000-0000-0000F50A0000}"/>
    <cellStyle name="Shaded" xfId="2798" xr:uid="{00000000-0005-0000-0000-0000F60A0000}"/>
    <cellStyle name="SHADEDSTORES" xfId="2799" xr:uid="{00000000-0005-0000-0000-0000F70A0000}"/>
    <cellStyle name="SHADEDSTORES 2" xfId="2800" xr:uid="{00000000-0005-0000-0000-0000F80A0000}"/>
    <cellStyle name="součet" xfId="2801" xr:uid="{00000000-0005-0000-0000-0000F90A0000}"/>
    <cellStyle name="Source" xfId="2802" xr:uid="{00000000-0005-0000-0000-0000FA0A0000}"/>
    <cellStyle name="Source date" xfId="2803" xr:uid="{00000000-0005-0000-0000-0000FB0A0000}"/>
    <cellStyle name="specstores" xfId="2804" xr:uid="{00000000-0005-0000-0000-0000FC0A0000}"/>
    <cellStyle name="Standard__Utopia Index Index und Guidance (Deutsch)" xfId="2805" xr:uid="{00000000-0005-0000-0000-0000FD0A0000}"/>
    <cellStyle name="Standard1_OS" xfId="2806" xr:uid="{00000000-0005-0000-0000-0000FE0A0000}"/>
    <cellStyle name="STYL1 - Style1" xfId="2807" xr:uid="{00000000-0005-0000-0000-0000FF0A0000}"/>
    <cellStyle name="STYL2 - Style2" xfId="2808" xr:uid="{00000000-0005-0000-0000-0000000B0000}"/>
    <cellStyle name="STYL3 - Style3" xfId="2809" xr:uid="{00000000-0005-0000-0000-0000010B0000}"/>
    <cellStyle name="STYL4 - Style4" xfId="2810" xr:uid="{00000000-0005-0000-0000-0000020B0000}"/>
    <cellStyle name="STYL5 - Style5" xfId="2811" xr:uid="{00000000-0005-0000-0000-0000030B0000}"/>
    <cellStyle name="Style 1" xfId="2812" xr:uid="{00000000-0005-0000-0000-0000040B0000}"/>
    <cellStyle name="Style 1 10" xfId="2813" xr:uid="{00000000-0005-0000-0000-0000050B0000}"/>
    <cellStyle name="Style 1 11" xfId="2814" xr:uid="{00000000-0005-0000-0000-0000060B0000}"/>
    <cellStyle name="Style 1 12" xfId="2815" xr:uid="{00000000-0005-0000-0000-0000070B0000}"/>
    <cellStyle name="Style 1 13" xfId="2816" xr:uid="{00000000-0005-0000-0000-0000080B0000}"/>
    <cellStyle name="Style 1 14" xfId="2817" xr:uid="{00000000-0005-0000-0000-0000090B0000}"/>
    <cellStyle name="Style 1 15" xfId="2818" xr:uid="{00000000-0005-0000-0000-00000A0B0000}"/>
    <cellStyle name="Style 1 16" xfId="2819" xr:uid="{00000000-0005-0000-0000-00000B0B0000}"/>
    <cellStyle name="Style 1 17" xfId="2820" xr:uid="{00000000-0005-0000-0000-00000C0B0000}"/>
    <cellStyle name="Style 1 18" xfId="2821" xr:uid="{00000000-0005-0000-0000-00000D0B0000}"/>
    <cellStyle name="Style 1 19" xfId="2822" xr:uid="{00000000-0005-0000-0000-00000E0B0000}"/>
    <cellStyle name="Style 1 2" xfId="2823" xr:uid="{00000000-0005-0000-0000-00000F0B0000}"/>
    <cellStyle name="Style 1 20" xfId="2824" xr:uid="{00000000-0005-0000-0000-0000100B0000}"/>
    <cellStyle name="Style 1 21" xfId="2825" xr:uid="{00000000-0005-0000-0000-0000110B0000}"/>
    <cellStyle name="Style 1 22" xfId="2826" xr:uid="{00000000-0005-0000-0000-0000120B0000}"/>
    <cellStyle name="Style 1 23" xfId="2827" xr:uid="{00000000-0005-0000-0000-0000130B0000}"/>
    <cellStyle name="Style 1 24" xfId="2828" xr:uid="{00000000-0005-0000-0000-0000140B0000}"/>
    <cellStyle name="Style 1 25" xfId="2829" xr:uid="{00000000-0005-0000-0000-0000150B0000}"/>
    <cellStyle name="Style 1 26" xfId="2830" xr:uid="{00000000-0005-0000-0000-0000160B0000}"/>
    <cellStyle name="Style 1 27" xfId="2831" xr:uid="{00000000-0005-0000-0000-0000170B0000}"/>
    <cellStyle name="Style 1 28" xfId="2832" xr:uid="{00000000-0005-0000-0000-0000180B0000}"/>
    <cellStyle name="Style 1 29" xfId="2833" xr:uid="{00000000-0005-0000-0000-0000190B0000}"/>
    <cellStyle name="Style 1 3" xfId="2834" xr:uid="{00000000-0005-0000-0000-00001A0B0000}"/>
    <cellStyle name="Style 1 30" xfId="2835" xr:uid="{00000000-0005-0000-0000-00001B0B0000}"/>
    <cellStyle name="Style 1 31" xfId="2836" xr:uid="{00000000-0005-0000-0000-00001C0B0000}"/>
    <cellStyle name="Style 1 32" xfId="2837" xr:uid="{00000000-0005-0000-0000-00001D0B0000}"/>
    <cellStyle name="Style 1 33" xfId="2838" xr:uid="{00000000-0005-0000-0000-00001E0B0000}"/>
    <cellStyle name="Style 1 34" xfId="2839" xr:uid="{00000000-0005-0000-0000-00001F0B0000}"/>
    <cellStyle name="Style 1 35" xfId="2840" xr:uid="{00000000-0005-0000-0000-0000200B0000}"/>
    <cellStyle name="Style 1 36" xfId="2841" xr:uid="{00000000-0005-0000-0000-0000210B0000}"/>
    <cellStyle name="Style 1 37" xfId="2842" xr:uid="{00000000-0005-0000-0000-0000220B0000}"/>
    <cellStyle name="Style 1 38" xfId="2843" xr:uid="{00000000-0005-0000-0000-0000230B0000}"/>
    <cellStyle name="Style 1 39" xfId="2844" xr:uid="{00000000-0005-0000-0000-0000240B0000}"/>
    <cellStyle name="Style 1 4" xfId="2845" xr:uid="{00000000-0005-0000-0000-0000250B0000}"/>
    <cellStyle name="Style 1 40" xfId="2846" xr:uid="{00000000-0005-0000-0000-0000260B0000}"/>
    <cellStyle name="Style 1 41" xfId="2847" xr:uid="{00000000-0005-0000-0000-0000270B0000}"/>
    <cellStyle name="Style 1 42" xfId="2848" xr:uid="{00000000-0005-0000-0000-0000280B0000}"/>
    <cellStyle name="Style 1 43" xfId="2849" xr:uid="{00000000-0005-0000-0000-0000290B0000}"/>
    <cellStyle name="Style 1 44" xfId="2850" xr:uid="{00000000-0005-0000-0000-00002A0B0000}"/>
    <cellStyle name="Style 1 45" xfId="2851" xr:uid="{00000000-0005-0000-0000-00002B0B0000}"/>
    <cellStyle name="Style 1 46" xfId="2852" xr:uid="{00000000-0005-0000-0000-00002C0B0000}"/>
    <cellStyle name="Style 1 47" xfId="2853" xr:uid="{00000000-0005-0000-0000-00002D0B0000}"/>
    <cellStyle name="Style 1 48" xfId="2854" xr:uid="{00000000-0005-0000-0000-00002E0B0000}"/>
    <cellStyle name="Style 1 49" xfId="2855" xr:uid="{00000000-0005-0000-0000-00002F0B0000}"/>
    <cellStyle name="Style 1 5" xfId="2856" xr:uid="{00000000-0005-0000-0000-0000300B0000}"/>
    <cellStyle name="Style 1 50" xfId="2857" xr:uid="{00000000-0005-0000-0000-0000310B0000}"/>
    <cellStyle name="Style 1 51" xfId="2858" xr:uid="{00000000-0005-0000-0000-0000320B0000}"/>
    <cellStyle name="Style 1 52" xfId="2859" xr:uid="{00000000-0005-0000-0000-0000330B0000}"/>
    <cellStyle name="Style 1 53" xfId="2860" xr:uid="{00000000-0005-0000-0000-0000340B0000}"/>
    <cellStyle name="Style 1 6" xfId="2861" xr:uid="{00000000-0005-0000-0000-0000350B0000}"/>
    <cellStyle name="Style 1 7" xfId="2862" xr:uid="{00000000-0005-0000-0000-0000360B0000}"/>
    <cellStyle name="Style 1 8" xfId="2863" xr:uid="{00000000-0005-0000-0000-0000370B0000}"/>
    <cellStyle name="Style 1 9" xfId="2864" xr:uid="{00000000-0005-0000-0000-0000380B0000}"/>
    <cellStyle name="Style 1_ASAR Forex Calculation (May &amp; June)" xfId="2865" xr:uid="{00000000-0005-0000-0000-0000390B0000}"/>
    <cellStyle name="Style 2" xfId="2866" xr:uid="{00000000-0005-0000-0000-00003A0B0000}"/>
    <cellStyle name="Style 2 2" xfId="2867" xr:uid="{00000000-0005-0000-0000-00003B0B0000}"/>
    <cellStyle name="Style 2 3" xfId="2868" xr:uid="{00000000-0005-0000-0000-00003C0B0000}"/>
    <cellStyle name="SUB TITLE" xfId="2869" xr:uid="{00000000-0005-0000-0000-00003D0B0000}"/>
    <cellStyle name="subhead" xfId="2870" xr:uid="{00000000-0005-0000-0000-00003E0B0000}"/>
    <cellStyle name="subhead 2" xfId="2871" xr:uid="{00000000-0005-0000-0000-00003F0B0000}"/>
    <cellStyle name="SubHeading" xfId="2872" xr:uid="{00000000-0005-0000-0000-0000400B0000}"/>
    <cellStyle name="SubHeading 2" xfId="2873" xr:uid="{00000000-0005-0000-0000-0000410B0000}"/>
    <cellStyle name="Subrayado" xfId="2874" xr:uid="{00000000-0005-0000-0000-0000420B0000}"/>
    <cellStyle name="Subtotal" xfId="2875" xr:uid="{00000000-0005-0000-0000-0000430B0000}"/>
    <cellStyle name="Sum" xfId="2876" xr:uid="{00000000-0005-0000-0000-0000440B0000}"/>
    <cellStyle name="Sum %of HV" xfId="2877" xr:uid="{00000000-0005-0000-0000-0000450B0000}"/>
    <cellStyle name="Switch" xfId="2878" xr:uid="{00000000-0005-0000-0000-0000460B0000}"/>
    <cellStyle name="Table  - Style6" xfId="2879" xr:uid="{00000000-0005-0000-0000-0000470B0000}"/>
    <cellStyle name="Table Head" xfId="2880" xr:uid="{00000000-0005-0000-0000-0000480B0000}"/>
    <cellStyle name="Table Head Aligned" xfId="2881" xr:uid="{00000000-0005-0000-0000-0000490B0000}"/>
    <cellStyle name="Table Head Blue" xfId="2882" xr:uid="{00000000-0005-0000-0000-00004A0B0000}"/>
    <cellStyle name="Table Head Green" xfId="2883" xr:uid="{00000000-0005-0000-0000-00004B0B0000}"/>
    <cellStyle name="Table Title" xfId="2884" xr:uid="{00000000-0005-0000-0000-00004C0B0000}"/>
    <cellStyle name="Table Units" xfId="2885" xr:uid="{00000000-0005-0000-0000-00004D0B0000}"/>
    <cellStyle name="Text" xfId="2886" xr:uid="{00000000-0005-0000-0000-00004E0B0000}"/>
    <cellStyle name="Text Heading" xfId="2887" xr:uid="{00000000-0005-0000-0000-00004F0B0000}"/>
    <cellStyle name="Text Indent A" xfId="2888" xr:uid="{00000000-0005-0000-0000-0000500B0000}"/>
    <cellStyle name="Text Indent B" xfId="2889" xr:uid="{00000000-0005-0000-0000-0000510B0000}"/>
    <cellStyle name="Text Indent B 2" xfId="2890" xr:uid="{00000000-0005-0000-0000-0000520B0000}"/>
    <cellStyle name="Text Indent B 3" xfId="2891" xr:uid="{00000000-0005-0000-0000-0000530B0000}"/>
    <cellStyle name="Text Indent B 4" xfId="2892" xr:uid="{00000000-0005-0000-0000-0000540B0000}"/>
    <cellStyle name="Text Indent C" xfId="2893" xr:uid="{00000000-0005-0000-0000-0000550B0000}"/>
    <cellStyle name="Text Indent C 2" xfId="2894" xr:uid="{00000000-0005-0000-0000-0000560B0000}"/>
    <cellStyle name="Text Indent C 3" xfId="2895" xr:uid="{00000000-0005-0000-0000-0000570B0000}"/>
    <cellStyle name="Text Indent C 4" xfId="2896" xr:uid="{00000000-0005-0000-0000-0000580B0000}"/>
    <cellStyle name="Texto de advertencia" xfId="2897" xr:uid="{00000000-0005-0000-0000-0000590B0000}"/>
    <cellStyle name="Texto de advertencia 2" xfId="2898" xr:uid="{00000000-0005-0000-0000-00005A0B0000}"/>
    <cellStyle name="Texto de advertencia 3" xfId="2899" xr:uid="{00000000-0005-0000-0000-00005B0B0000}"/>
    <cellStyle name="Texto explicativo" xfId="2900" xr:uid="{00000000-0005-0000-0000-00005C0B0000}"/>
    <cellStyle name="Texto explicativo 2" xfId="2901" xr:uid="{00000000-0005-0000-0000-00005D0B0000}"/>
    <cellStyle name="Texto explicativo 3" xfId="2902" xr:uid="{00000000-0005-0000-0000-00005E0B0000}"/>
    <cellStyle name="Thousands (0)" xfId="2903" xr:uid="{00000000-0005-0000-0000-00005F0B0000}"/>
    <cellStyle name="Thousands (1)" xfId="2904" xr:uid="{00000000-0005-0000-0000-0000600B0000}"/>
    <cellStyle name="Tickmark" xfId="2905" xr:uid="{00000000-0005-0000-0000-0000610B0000}"/>
    <cellStyle name="Tickmark 2" xfId="2906" xr:uid="{00000000-0005-0000-0000-0000620B0000}"/>
    <cellStyle name="time" xfId="2907" xr:uid="{00000000-0005-0000-0000-0000630B0000}"/>
    <cellStyle name="Title  - Style1" xfId="2908" xr:uid="{00000000-0005-0000-0000-0000640B0000}"/>
    <cellStyle name="Title 2" xfId="2909" xr:uid="{00000000-0005-0000-0000-0000650B0000}"/>
    <cellStyle name="Title 3" xfId="2910" xr:uid="{00000000-0005-0000-0000-0000660B0000}"/>
    <cellStyle name="Título" xfId="2911" xr:uid="{00000000-0005-0000-0000-0000670B0000}"/>
    <cellStyle name="Título 1" xfId="2912" xr:uid="{00000000-0005-0000-0000-0000680B0000}"/>
    <cellStyle name="Título 1 2" xfId="2913" xr:uid="{00000000-0005-0000-0000-0000690B0000}"/>
    <cellStyle name="Título 1 3" xfId="2914" xr:uid="{00000000-0005-0000-0000-00006A0B0000}"/>
    <cellStyle name="Título 2" xfId="2915" xr:uid="{00000000-0005-0000-0000-00006B0B0000}"/>
    <cellStyle name="Título 2 2" xfId="2916" xr:uid="{00000000-0005-0000-0000-00006C0B0000}"/>
    <cellStyle name="Título 2 3" xfId="2917" xr:uid="{00000000-0005-0000-0000-00006D0B0000}"/>
    <cellStyle name="Título 3" xfId="2918" xr:uid="{00000000-0005-0000-0000-00006E0B0000}"/>
    <cellStyle name="Título 3 2" xfId="2919" xr:uid="{00000000-0005-0000-0000-00006F0B0000}"/>
    <cellStyle name="Título 3 3" xfId="2920" xr:uid="{00000000-0005-0000-0000-0000700B0000}"/>
    <cellStyle name="Título 4" xfId="2921" xr:uid="{00000000-0005-0000-0000-0000710B0000}"/>
    <cellStyle name="Total 2" xfId="2922" xr:uid="{00000000-0005-0000-0000-0000720B0000}"/>
    <cellStyle name="Total 2 2" xfId="2923" xr:uid="{00000000-0005-0000-0000-0000730B0000}"/>
    <cellStyle name="Total 2 3" xfId="2924" xr:uid="{00000000-0005-0000-0000-0000740B0000}"/>
    <cellStyle name="Total 3" xfId="2925" xr:uid="{00000000-0005-0000-0000-0000750B0000}"/>
    <cellStyle name="Total 3 2" xfId="2926" xr:uid="{00000000-0005-0000-0000-0000760B0000}"/>
    <cellStyle name="Total 3 3" xfId="2927" xr:uid="{00000000-0005-0000-0000-0000770B0000}"/>
    <cellStyle name="Total 4" xfId="2928" xr:uid="{00000000-0005-0000-0000-0000780B0000}"/>
    <cellStyle name="Total 4 2" xfId="2929" xr:uid="{00000000-0005-0000-0000-0000790B0000}"/>
    <cellStyle name="Total 5" xfId="2930" xr:uid="{00000000-0005-0000-0000-00007A0B0000}"/>
    <cellStyle name="Total 5 2" xfId="2931" xr:uid="{00000000-0005-0000-0000-00007B0B0000}"/>
    <cellStyle name="Total 6" xfId="2932" xr:uid="{00000000-0005-0000-0000-00007C0B0000}"/>
    <cellStyle name="Total 7" xfId="2933" xr:uid="{00000000-0005-0000-0000-00007D0B0000}"/>
    <cellStyle name="TotCol - Style5" xfId="2934" xr:uid="{00000000-0005-0000-0000-00007E0B0000}"/>
    <cellStyle name="TotRow - Style4" xfId="2935" xr:uid="{00000000-0005-0000-0000-00007F0B0000}"/>
    <cellStyle name="Underline 2" xfId="2936" xr:uid="{00000000-0005-0000-0000-0000800B0000}"/>
    <cellStyle name="UNIDAGSCode" xfId="2937" xr:uid="{00000000-0005-0000-0000-0000810B0000}"/>
    <cellStyle name="UNIDAGSCode2" xfId="2938" xr:uid="{00000000-0005-0000-0000-0000820B0000}"/>
    <cellStyle name="UNIDAGSCode2 2" xfId="2939" xr:uid="{00000000-0005-0000-0000-0000830B0000}"/>
    <cellStyle name="UNIDAGSCurrency" xfId="2940" xr:uid="{00000000-0005-0000-0000-0000840B0000}"/>
    <cellStyle name="UNIDAGSDate" xfId="2941" xr:uid="{00000000-0005-0000-0000-0000850B0000}"/>
    <cellStyle name="UNIDAGSPercent" xfId="2942" xr:uid="{00000000-0005-0000-0000-0000860B0000}"/>
    <cellStyle name="UNIDAGSPercent2" xfId="2943" xr:uid="{00000000-0005-0000-0000-0000870B0000}"/>
    <cellStyle name="Unit" xfId="2944" xr:uid="{00000000-0005-0000-0000-0000880B0000}"/>
    <cellStyle name="Update" xfId="2945" xr:uid="{00000000-0005-0000-0000-0000890B0000}"/>
    <cellStyle name="UploadThisRowValue" xfId="2946" xr:uid="{00000000-0005-0000-0000-00008A0B0000}"/>
    <cellStyle name="UploadThisRowValue 2" xfId="2947" xr:uid="{00000000-0005-0000-0000-00008B0B0000}"/>
    <cellStyle name="value" xfId="2948" xr:uid="{00000000-0005-0000-0000-00008C0B0000}"/>
    <cellStyle name="value 2" xfId="2949" xr:uid="{00000000-0005-0000-0000-00008D0B0000}"/>
    <cellStyle name="value 3" xfId="2950" xr:uid="{00000000-0005-0000-0000-00008E0B0000}"/>
    <cellStyle name="value_ASAR Forex Calculation (May &amp; June)" xfId="2951" xr:uid="{00000000-0005-0000-0000-00008F0B0000}"/>
    <cellStyle name="Valuta (0)_capextemp" xfId="2952" xr:uid="{00000000-0005-0000-0000-0000900B0000}"/>
    <cellStyle name="Valuta_capextemp" xfId="2953" xr:uid="{00000000-0005-0000-0000-0000910B0000}"/>
    <cellStyle name="Währung [0]_D_X_1A" xfId="2954" xr:uid="{00000000-0005-0000-0000-0000920B0000}"/>
    <cellStyle name="Währung_15 (1)" xfId="2955" xr:uid="{00000000-0005-0000-0000-0000930B0000}"/>
    <cellStyle name="Walutowy [0]_laroux" xfId="2956" xr:uid="{00000000-0005-0000-0000-0000940B0000}"/>
    <cellStyle name="Walutowy_laroux" xfId="2957" xr:uid="{00000000-0005-0000-0000-0000950B0000}"/>
    <cellStyle name="Warning Text 2" xfId="2958" xr:uid="{00000000-0005-0000-0000-0000960B0000}"/>
    <cellStyle name="Warning Text 2 2" xfId="2959" xr:uid="{00000000-0005-0000-0000-0000970B0000}"/>
    <cellStyle name="Warning Text 2 3" xfId="2960" xr:uid="{00000000-0005-0000-0000-0000980B0000}"/>
    <cellStyle name="Warning Text 3" xfId="2961" xr:uid="{00000000-0005-0000-0000-0000990B0000}"/>
    <cellStyle name="Warning Text 3 2" xfId="2962" xr:uid="{00000000-0005-0000-0000-00009A0B0000}"/>
    <cellStyle name="Warning Text 3 3" xfId="2963" xr:uid="{00000000-0005-0000-0000-00009B0B0000}"/>
    <cellStyle name="Warning Text 4" xfId="2964" xr:uid="{00000000-0005-0000-0000-00009C0B0000}"/>
    <cellStyle name="x" xfId="2965" xr:uid="{00000000-0005-0000-0000-00009D0B0000}"/>
    <cellStyle name="Year" xfId="2966" xr:uid="{00000000-0005-0000-0000-00009E0B0000}"/>
    <cellStyle name="콤마 [0]_Book1" xfId="2967" xr:uid="{00000000-0005-0000-0000-00009F0B0000}"/>
    <cellStyle name="콤마_Book1" xfId="2968" xr:uid="{00000000-0005-0000-0000-0000A00B0000}"/>
    <cellStyle name="통화 [0]_9634매출 " xfId="2969" xr:uid="{00000000-0005-0000-0000-0000A10B0000}"/>
    <cellStyle name="통화_9634매출 " xfId="2970" xr:uid="{00000000-0005-0000-0000-0000A20B0000}"/>
    <cellStyle name="표준_0N-HANDLING " xfId="2971" xr:uid="{00000000-0005-0000-0000-0000A30B0000}"/>
    <cellStyle name="桁区切り [0.00]_PERSONAL" xfId="2972" xr:uid="{00000000-0005-0000-0000-0000A40B0000}"/>
    <cellStyle name="桁区切り_PERSONAL" xfId="2973" xr:uid="{00000000-0005-0000-0000-0000A50B0000}"/>
    <cellStyle name="標準_PERSONAL" xfId="2974" xr:uid="{00000000-0005-0000-0000-0000A60B0000}"/>
    <cellStyle name="通貨 [0.00]_PERSONAL" xfId="2975" xr:uid="{00000000-0005-0000-0000-0000A70B0000}"/>
    <cellStyle name="通貨_PERSONAL" xfId="2976" xr:uid="{00000000-0005-0000-0000-0000A80B000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hair">
          <color rgb="FF7030A0"/>
        </left>
        <right style="hair">
          <color rgb="FF7030A0"/>
        </right>
        <top style="hair">
          <color rgb="FF7030A0"/>
        </top>
        <bottom style="hair">
          <color rgb="FF7030A0"/>
        </bottom>
        <vertical/>
        <horizontal/>
      </border>
    </dxf>
    <dxf>
      <border>
        <left style="hair">
          <color rgb="FF7030A0"/>
        </left>
        <right style="hair">
          <color rgb="FF7030A0"/>
        </right>
        <top style="hair">
          <color rgb="FF7030A0"/>
        </top>
        <bottom style="hair">
          <color rgb="FF7030A0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6.xml"/><Relationship Id="rId21" Type="http://schemas.openxmlformats.org/officeDocument/2006/relationships/externalLink" Target="externalLinks/externalLink1.xml"/><Relationship Id="rId42" Type="http://schemas.openxmlformats.org/officeDocument/2006/relationships/externalLink" Target="externalLinks/externalLink22.xml"/><Relationship Id="rId47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3.xml"/><Relationship Id="rId68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4.xml"/><Relationship Id="rId89" Type="http://schemas.openxmlformats.org/officeDocument/2006/relationships/externalLink" Target="externalLinks/externalLink69.xml"/><Relationship Id="rId112" Type="http://schemas.microsoft.com/office/2017/10/relationships/person" Target="persons/person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7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2.xml"/><Relationship Id="rId37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3.xml"/><Relationship Id="rId58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4.xml"/><Relationship Id="rId79" Type="http://schemas.openxmlformats.org/officeDocument/2006/relationships/externalLink" Target="externalLinks/externalLink59.xml"/><Relationship Id="rId102" Type="http://schemas.openxmlformats.org/officeDocument/2006/relationships/externalLink" Target="externalLinks/externalLink82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0.xml"/><Relationship Id="rId95" Type="http://schemas.openxmlformats.org/officeDocument/2006/relationships/externalLink" Target="externalLinks/externalLink75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3.xml"/><Relationship Id="rId48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4.xml"/><Relationship Id="rId69" Type="http://schemas.openxmlformats.org/officeDocument/2006/relationships/externalLink" Target="externalLinks/externalLink49.xml"/><Relationship Id="rId113" Type="http://schemas.openxmlformats.org/officeDocument/2006/relationships/calcChain" Target="calcChain.xml"/><Relationship Id="rId80" Type="http://schemas.openxmlformats.org/officeDocument/2006/relationships/externalLink" Target="externalLinks/externalLink60.xml"/><Relationship Id="rId85" Type="http://schemas.openxmlformats.org/officeDocument/2006/relationships/externalLink" Target="externalLinks/externalLink6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13.xml"/><Relationship Id="rId38" Type="http://schemas.openxmlformats.org/officeDocument/2006/relationships/externalLink" Target="externalLinks/externalLink18.xml"/><Relationship Id="rId59" Type="http://schemas.openxmlformats.org/officeDocument/2006/relationships/externalLink" Target="externalLinks/externalLink39.xml"/><Relationship Id="rId103" Type="http://schemas.openxmlformats.org/officeDocument/2006/relationships/externalLink" Target="externalLinks/externalLink83.xml"/><Relationship Id="rId108" Type="http://schemas.openxmlformats.org/officeDocument/2006/relationships/pivotCacheDefinition" Target="pivotCache/pivotCacheDefinition1.xml"/><Relationship Id="rId54" Type="http://schemas.openxmlformats.org/officeDocument/2006/relationships/externalLink" Target="externalLinks/externalLink34.xml"/><Relationship Id="rId70" Type="http://schemas.openxmlformats.org/officeDocument/2006/relationships/externalLink" Target="externalLinks/externalLink50.xml"/><Relationship Id="rId75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1.xml"/><Relationship Id="rId96" Type="http://schemas.openxmlformats.org/officeDocument/2006/relationships/externalLink" Target="externalLinks/externalLink7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37.xml"/><Relationship Id="rId106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1.xml"/><Relationship Id="rId44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32.xml"/><Relationship Id="rId60" Type="http://schemas.openxmlformats.org/officeDocument/2006/relationships/externalLink" Target="externalLinks/externalLink40.xml"/><Relationship Id="rId65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53.xml"/><Relationship Id="rId78" Type="http://schemas.openxmlformats.org/officeDocument/2006/relationships/externalLink" Target="externalLinks/externalLink58.xml"/><Relationship Id="rId81" Type="http://schemas.openxmlformats.org/officeDocument/2006/relationships/externalLink" Target="externalLinks/externalLink61.xml"/><Relationship Id="rId86" Type="http://schemas.openxmlformats.org/officeDocument/2006/relationships/externalLink" Target="externalLinks/externalLink66.xml"/><Relationship Id="rId94" Type="http://schemas.openxmlformats.org/officeDocument/2006/relationships/externalLink" Target="externalLinks/externalLink74.xml"/><Relationship Id="rId99" Type="http://schemas.openxmlformats.org/officeDocument/2006/relationships/externalLink" Target="externalLinks/externalLink79.xml"/><Relationship Id="rId101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9.xml"/><Relationship Id="rId109" Type="http://schemas.openxmlformats.org/officeDocument/2006/relationships/theme" Target="theme/theme1.xml"/><Relationship Id="rId34" Type="http://schemas.openxmlformats.org/officeDocument/2006/relationships/externalLink" Target="externalLinks/externalLink14.xml"/><Relationship Id="rId50" Type="http://schemas.openxmlformats.org/officeDocument/2006/relationships/externalLink" Target="externalLinks/externalLink30.xml"/><Relationship Id="rId55" Type="http://schemas.openxmlformats.org/officeDocument/2006/relationships/externalLink" Target="externalLinks/externalLink35.xml"/><Relationship Id="rId76" Type="http://schemas.openxmlformats.org/officeDocument/2006/relationships/externalLink" Target="externalLinks/externalLink56.xml"/><Relationship Id="rId97" Type="http://schemas.openxmlformats.org/officeDocument/2006/relationships/externalLink" Target="externalLinks/externalLink77.xml"/><Relationship Id="rId104" Type="http://schemas.openxmlformats.org/officeDocument/2006/relationships/externalLink" Target="externalLinks/externalLink8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1.xml"/><Relationship Id="rId92" Type="http://schemas.openxmlformats.org/officeDocument/2006/relationships/externalLink" Target="externalLinks/externalLink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9.xml"/><Relationship Id="rId24" Type="http://schemas.openxmlformats.org/officeDocument/2006/relationships/externalLink" Target="externalLinks/externalLink4.xml"/><Relationship Id="rId40" Type="http://schemas.openxmlformats.org/officeDocument/2006/relationships/externalLink" Target="externalLinks/externalLink20.xml"/><Relationship Id="rId45" Type="http://schemas.openxmlformats.org/officeDocument/2006/relationships/externalLink" Target="externalLinks/externalLink25.xml"/><Relationship Id="rId66" Type="http://schemas.openxmlformats.org/officeDocument/2006/relationships/externalLink" Target="externalLinks/externalLink46.xml"/><Relationship Id="rId87" Type="http://schemas.openxmlformats.org/officeDocument/2006/relationships/externalLink" Target="externalLinks/externalLink67.xml"/><Relationship Id="rId110" Type="http://schemas.openxmlformats.org/officeDocument/2006/relationships/styles" Target="styles.xml"/><Relationship Id="rId61" Type="http://schemas.openxmlformats.org/officeDocument/2006/relationships/externalLink" Target="externalLinks/externalLink41.xml"/><Relationship Id="rId82" Type="http://schemas.openxmlformats.org/officeDocument/2006/relationships/externalLink" Target="externalLinks/externalLink6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5.xml"/><Relationship Id="rId56" Type="http://schemas.openxmlformats.org/officeDocument/2006/relationships/externalLink" Target="externalLinks/externalLink36.xml"/><Relationship Id="rId77" Type="http://schemas.openxmlformats.org/officeDocument/2006/relationships/externalLink" Target="externalLinks/externalLink57.xml"/><Relationship Id="rId100" Type="http://schemas.openxmlformats.org/officeDocument/2006/relationships/externalLink" Target="externalLinks/externalLink80.xml"/><Relationship Id="rId105" Type="http://schemas.openxmlformats.org/officeDocument/2006/relationships/externalLink" Target="externalLinks/externalLink8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1.xml"/><Relationship Id="rId72" Type="http://schemas.openxmlformats.org/officeDocument/2006/relationships/externalLink" Target="externalLinks/externalLink52.xml"/><Relationship Id="rId93" Type="http://schemas.openxmlformats.org/officeDocument/2006/relationships/externalLink" Target="externalLinks/externalLink73.xml"/><Relationship Id="rId98" Type="http://schemas.openxmlformats.org/officeDocument/2006/relationships/externalLink" Target="externalLinks/externalLink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5.xml"/><Relationship Id="rId46" Type="http://schemas.openxmlformats.org/officeDocument/2006/relationships/externalLink" Target="externalLinks/externalLink26.xml"/><Relationship Id="rId67" Type="http://schemas.openxmlformats.org/officeDocument/2006/relationships/externalLink" Target="externalLinks/externalLink4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1.xml"/><Relationship Id="rId62" Type="http://schemas.openxmlformats.org/officeDocument/2006/relationships/externalLink" Target="externalLinks/externalLink42.xml"/><Relationship Id="rId83" Type="http://schemas.openxmlformats.org/officeDocument/2006/relationships/externalLink" Target="externalLinks/externalLink63.xml"/><Relationship Id="rId88" Type="http://schemas.openxmlformats.org/officeDocument/2006/relationships/externalLink" Target="externalLinks/externalLink68.xml"/><Relationship Id="rId111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TS\Project%20Viper\Workings%20and%20analysis\Sales%20analysis\Sales%20analysis0405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knasdata03\CIMSHARED\FINANCE\Carl\Samples\samples2002\NewExpFormat22070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apps2\Accdocs\FsPY\Fs99\Lead07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WINDOWS\Desktop\model25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elw-fina048\Ranjit\My%20Documents\Financials\March%202002\PCIM\PCIM%20BB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LBO\Rothenb\Models%20and%20Comp%20Templates\LBO%20Models\PIGLET%20Curren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97form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MMCO\DATA\IYER\MIS\98\BP1998\OLD-BP98\MIS\97\OPR\10\OPR-OC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2.13\Accounts\Documents%20and%20Settings\u\Local%20Settings\Temporary%20Internet%20Files\Content.Outlook\JGA701N0\WINDOWS\TEMP\Q04%20Loan%20from%20Finance%20companie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999\DEPT-3YP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damienmartin\My%20Documents\Planning%20Archive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_2\c\ACCOUNTS\Account\NOVEMBER%20FINANCIAL\MAIN%20FINANCIAL\main_fin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mkalra\My%20Documents\TS\Project%20Rent\Table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SHI\MY%20DOCUMENTS\WINDOWS\Desktop\Manoj%20Gandhi\FINDRDEC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123R3/Budget2000/budget%20executive%20summaries.xls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microsoft.com/office/2019/04/relationships/externalLinkLongPath" Target="/Documents%20and%20Settings/prashant_bonthula/Local%20Settings/Temporary%20Internet%20Files/Content.Outlook/98LGAYIL/data%20from%20pm%20sir/Approved%20Season%20Budget%202007-08%20lmnhp%201&amp;2/Project%20Budget%20WB-2%2007-09%20PMrev.xls?FF591015" TargetMode="External"/><Relationship Id="rId1" Type="http://schemas.openxmlformats.org/officeDocument/2006/relationships/externalLinkPath" Target="file:///\\FF591015\Project%20Budget%20WB-2%2007-09%20PMrev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knasdata03\CIMSHARED\FINANCE\Carl\Staff%20Numbers\FTE'S%201999%20TO%20200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Harish%20Chandrasekhar\Engagement%20Files\Project%20Universal\Client%20files\Kotak\ranjan\starnews\business_plan\snw_bp_recasted_v2_in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1997\AKTUAL1\REDITELS\1997\OZ-1\PAR\PL97PAR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vsr\Local%20Settings\Temporary%20Internet%20Files\Content.Outlook\Q0J45F5Z\Budget%20VVR.xlsb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ntract-aruna\public_aruna\Public_Aruna\contracts(ak)\Hyderabad\Mes\MES-SEC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@Dokumenty\Star&#233;_170501\BP_2001\For_Board_1302_2001\Standalone_withEtel\Fin_Y_v2_1302_20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lldata\WIP\Clients%20and%20Targets%20A-Z\CVC\Projects\Project%20Comet\Project%20Eclipse\Fixed\Data%20&amp;%20Analysis\Revenue%20tables%20-%20LC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sia/prac/XLS/KNIHA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kemserver\sia\prac\XLS\KNIHA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TEMP/TELE/Cling/TeleCorp/HY%20Offering/financing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TEMP/My%20Documents/CommNet/08%20Blanks/Zblank14%20-%20Financing%20Model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Specimen\Chhavi\Satyam%20ADR%20Pitch\Latest%20chart%20datav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Specimen\Chhavi\Satyam%20ADR%20Pitch\Latest%20IT%20Comp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1Telecom/EXCEL/COMP%20Tables/2001Archives/LD%20&amp;%20RBOC%20comps0103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TEMP/TELE/Owen/Dobson/Rural/Model/Model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Tomas\Projekt%20Luftwaffe\Modely\Model%20-%20v5.1-%20EtA03%20CTcD%2018.5k_2560_2650%20EtD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Documents%20and%20Settings\hwolters\Local%20Settings\Temp\Performance%20-%20DS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Budget%20FY%2015/Budget%20WC%20requirement%20FY15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HUNTSMAN\PACKAGIN\PRESSUM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M&amp;A/SmithM/Excel/Quartz/Big%20Model/Quartz%20Pro%20Form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cmg\Companies\Rural%20Cellular\October%202004\Model%20&amp;%20Analysis\Model\Razorback%20Model%20v3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elw-fina048\Ranjit\My%20Documents\Financials\March%202002\ABFL\ABFL%20March%202002%2020%20Sep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TS\Project%20180\180\WORKING%20FILES\DATA%20BOOK-NITI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Toolbox\Documents%20and%20Settings\damienmartin\My%20Documents\Planning%20Archive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79B1AC\SEAWAYS%20BALANCE%20SHEET%202007-08_26.09.08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SHI\MY%20DOCUMENTS\WINDOWS\Desktop\Manoj%20Gandhi\WINDOWS\DEPRE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TEMP/TELE/Owen/US_Cellular/Model/model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61DCF56\Mustard%20valuation_v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FC363A6\Mustard%20valuation_v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jgisnap003\epark\BAS%20Models\LBO%20Model%20v1.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TELECOM/EXCEL/CELLULAR/CellularComps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Fin_Rptg\1999\Templates\June\June99_Chemical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M&amp;A\BROWDER\CD&amp;R\Interlake\Models\DCF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kshitij\RCH\Team%20Folder\Sectors\Media\Companies%20in%20Media\Inox\Temp\Inox%20Model%205Feb03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TEMP/My%20Documents/CommNet/01%20Idaho-West%20Montana/Zblank14%20-%20Financing%20Mode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pps2\Accdocs\FsPY\Fs99\Lead0799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Planung\Planung%202004_2008\Version03\Konsolidierung%20plan04_08.4_V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MMCO\DATA\IYER\MIS\98\BP1998\REV-BP98\MIS\97\OPR\10\OPR-OC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IECE4\News%20Share\WINDOWS\TEMP\coa-nt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coa-nt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Harish%20Chandrasekhar\Engagement%20Files\Project%20Universal\Client%20files\Kotak\WINDOWS\TEMP\coa-nt2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Finance\Misc\IMC%20Value%20Drivers\2004\Sales%20Pivot%20020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ACC_Incollect_Report\KY4-mkt-tot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jgisnap003\yleclerc\TEMP\MODE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TEMP/ie5/Temporary%20Internet%20Files/OLK7D/KPN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-OFFICE\BURZIM$\Cta%2098%20Historica\0298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FINANCE\Essbase\New%20Reports\Northeast%20200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adoshi\My%20Documents\Amisha\Budget%202006\New%20structure\India\SG&amp;A_Target_fy06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WINDOWS\DEPR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DOCUME~1\stollg\LOCALS~1\Temp\Waldo\mode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DOCUME~1\stollg\LOCALS~1\Temp\Waldo\Base%20Case%20Mai%202003_8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chakravarthi\Desktop\Budget%20VVR.xlsb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1997\AKTUAL1\REDITELS\1997\OZ-1\PHA\SIA3_O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knasdata03\CIMSHARED\FINANCE\Carl\Budget%202001\Budget%202001%20salary%20summary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4CC29F5\csfs%20sales_apr4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EAAAF59\csfs%20sales_apr4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kapl\2005\PIH%20March%202004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Pushkar\Local%20Settings\Temporary%20Internet%20Files\Content.IE5\GTMFK5EZ\Financial%20%20Statement%2031-03-05%20vir1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y.lehman.com/TELE/Lanken/Dobson/Financials%20from%20Company%203-01/Operating%20Reports/By%20Consolidated%20Groups/2001/DCC/2001%20Budget%20Ops%20Rpt%20-DCC%20Consol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cmg\Companies\Rural%20Cellular\October%202004\Model%20&amp;%20Analysis\DCF\RABBIT%20DCF%20AB%20v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DOCUME~1\stollg\LOCALS~1\Temp\Waldo\AAA\Misc\Reader\Zip\CC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pps2\Accdocs\FS03\Lead05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ATA\V_1\Pl&#225;n_97\Plan_tab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Documents%20and%20Settings\joshi\Local%20Settings\Temporary%20Internet%20Files\Content.Outlook\ORN610WL\Servco\Servco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bhu-fin\e$\PLforma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virendra/Clients/ECI/March%202008/Financials/Final%20financials/ECI%20Financials%2023.9.08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VP-FIN-KT\Bud00ph%20(Rs)%20Mid%20review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vsrao/BEKEM%20INFRA/bekem%202022-23/bekem%20infra%2022-23/Fixed%20Assets%20-%20Register%20-%202008-2023.xlsx" TargetMode="External"/></Relationships>
</file>

<file path=xl/externalLinks/_rels/externalLink8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vsrao\BEKEM%20INFRA\Accounts\Bekem%202023-24\bekem%20infra%2024\Bekem%20Financials%20-%202023-24%20v1.xlsx" TargetMode="External"/><Relationship Id="rId1" Type="http://schemas.openxmlformats.org/officeDocument/2006/relationships/externalLinkPath" Target="Bekem%20Financials%20-%202023-24%20v1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srao\Desktop\Addition%202022-23-VSR%20Format-Q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srao\AppData\Local\Microsoft\Windows\INetCache\Content.Outlook\3LE17KCC\Addition%202022-23-%20Format-Q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_Sheet6"/>
      <sheetName val="TM_Retail"/>
      <sheetName val="SUMMARY"/>
      <sheetName val="TM_EXPORT _ CONTRACT MFG"/>
      <sheetName val="Retail"/>
      <sheetName val="Corporate"/>
      <sheetName val="Exports"/>
      <sheetName val="&gt;&gt;&gt;RETAIL&gt;&gt;&gt;"/>
      <sheetName val="RETAIL-GEOGRAPHY"/>
      <sheetName val="&gt;&gt;&gt;EXPORT&gt;&gt;&gt;"/>
      <sheetName val="EXPORT _ CONTRACT MFG"/>
      <sheetName val="&gt;&gt;&gt;WORKINGS&gt;&gt;&gt;"/>
      <sheetName val="MILBEKNOCK"/>
      <sheetName val="BASE DATA"/>
      <sheetName val="TM_Corporate"/>
      <sheetName val="TM_Exports"/>
      <sheetName val="TM_SUMMARY"/>
      <sheetName val="GROUPING"/>
      <sheetName val="DISCOUNTS"/>
      <sheetName val="Key produc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1"/>
      <sheetName val="EXP2"/>
      <sheetName val="EXP3"/>
      <sheetName val="SalaryData"/>
    </sheetNames>
    <sheetDataSet>
      <sheetData sheetId="0"/>
      <sheetData sheetId="1"/>
      <sheetData sheetId="2"/>
      <sheetData sheetId="3" refreshError="1">
        <row r="10">
          <cell r="EE10" t="str">
            <v xml:space="preserve">OLA  &amp; ALOWANCES     OLA  &amp; ALOWANCES     OLA  &amp; ALOWANCES     OLA  &amp; ALOWANCES     OLA  &amp; ALOWANCES     OLA  &amp; ALOWANCES     OLA  &amp; ALOWANCES     OLA  &amp; ALOWANCES     OLA  &amp; ALOWANCES     OLA  &amp; ALOWANCES     </v>
          </cell>
        </row>
        <row r="11">
          <cell r="AK11">
            <v>37257</v>
          </cell>
          <cell r="AV11">
            <v>37621</v>
          </cell>
          <cell r="BH11">
            <v>37986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IS"/>
      <sheetName val="SG&amp;A"/>
      <sheetName val="CF"/>
      <sheetName val="Lead Sheets"/>
      <sheetName val="D0799"/>
      <sheetName val="GLRP01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Inputs"/>
      <sheetName val="Assum"/>
      <sheetName val="TOC1"/>
      <sheetName val="Val Results"/>
      <sheetName val="Summary_Sheet"/>
      <sheetName val="Summary Sheet 2"/>
      <sheetName val="Summary Sheet 3"/>
      <sheetName val="Ratios"/>
      <sheetName val="IS"/>
      <sheetName val="PF_DCF"/>
      <sheetName val="PF_Levered_DCF"/>
      <sheetName val="Acquiror"/>
      <sheetName val="Target Kc"/>
      <sheetName val="Debt"/>
      <sheetName val="Acq_DCF"/>
      <sheetName val="Acq_Levered_DCF"/>
      <sheetName val="target_old"/>
      <sheetName val="FQ_DCF"/>
      <sheetName val="FQ_Levered_DCF"/>
      <sheetName val="Op-BS"/>
      <sheetName val="BSCF"/>
      <sheetName val="Acquiror_US"/>
      <sheetName val="Target "/>
      <sheetName val="Summary Sheet"/>
      <sheetName val="Sheet2"/>
      <sheetName val="United Kingdom"/>
      <sheetName val="France"/>
      <sheetName val="Germany"/>
      <sheetName val="Spain"/>
      <sheetName val="Netherlands"/>
      <sheetName val="Belgium"/>
      <sheetName val="Italy"/>
      <sheetName val="Valuation Matrix"/>
      <sheetName val="Central Europe"/>
      <sheetName val="Eastern Europe"/>
      <sheetName val="Sens"/>
      <sheetName val="Acc_Dil"/>
      <sheetName val="Summary"/>
      <sheetName val="Matrix"/>
      <sheetName val="Contrib"/>
      <sheetName val="AcqRat"/>
      <sheetName val="AcqDCF2"/>
      <sheetName val="AcqDCF1"/>
      <sheetName val="TargRat"/>
      <sheetName val="TargDCF2"/>
      <sheetName val="NewDCF"/>
      <sheetName val="LBO"/>
      <sheetName val="NewMatrix"/>
      <sheetName val="Charts"/>
      <sheetName val="Module1"/>
      <sheetName val="Module2"/>
    </sheetNames>
    <sheetDataSet>
      <sheetData sheetId="0"/>
      <sheetData sheetId="1">
        <row r="17">
          <cell r="D17" t="str">
            <v>September 30</v>
          </cell>
        </row>
        <row r="18">
          <cell r="D18">
            <v>1998</v>
          </cell>
        </row>
      </sheetData>
      <sheetData sheetId="2"/>
      <sheetData sheetId="3" refreshError="1"/>
      <sheetData sheetId="4" refreshError="1"/>
      <sheetData sheetId="5">
        <row r="50">
          <cell r="Z50">
            <v>2</v>
          </cell>
        </row>
      </sheetData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 Sheet"/>
      <sheetName val="FA"/>
      <sheetName val="Notes"/>
      <sheetName val="Notes2"/>
      <sheetName val="Stock trf"/>
      <sheetName val="Branch"/>
      <sheetName val="Other notes"/>
      <sheetName val="Reclass Entries"/>
      <sheetName val="salevaluereco"/>
      <sheetName val="Int Co purchase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">
          <cell r="A1" t="str">
            <v>Notes to the financial statements</v>
          </cell>
        </row>
      </sheetData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BO"/>
      <sheetName val="Fin'g"/>
      <sheetName val="Drivers &amp; Assumptions"/>
      <sheetName val="Revs-UNUSED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COVER"/>
      <sheetName val="INDEX"/>
      <sheetName val="INDEX-FIN"/>
      <sheetName val="5-FIN"/>
      <sheetName val="6-PVA"/>
      <sheetName val="7-NSM"/>
      <sheetName val="8-NSM2"/>
      <sheetName val="10-OVERH"/>
      <sheetName val="11-MAN"/>
      <sheetName val="12-BSHEET"/>
      <sheetName val="13-INV"/>
      <sheetName val="15-RAGE"/>
      <sheetName val="16-RAGM"/>
      <sheetName val="17-CFLOW"/>
      <sheetName val="18-CAPEX"/>
      <sheetName val="19-PERF"/>
      <sheetName val="20-EXP"/>
      <sheetName val="21-VSE"/>
      <sheetName val="Sheet1"/>
      <sheetName val="Sheet2"/>
      <sheetName val="Sheet3"/>
      <sheetName val="My97form"/>
      <sheetName val="PROD GRAPH"/>
      <sheetName val="CAP"/>
      <sheetName val="Challan"/>
      <sheetName val="Projects"/>
      <sheetName val="90-120"/>
      <sheetName val="PROD_GRAPH"/>
      <sheetName val="DATA 91-98"/>
      <sheetName val="1-OBJ98 "/>
      <sheetName val="VISION 2000"/>
      <sheetName val="EXP"/>
      <sheetName val="Exhibit Q"/>
      <sheetName val="120RECV"/>
      <sheetName val="ROSTER AFS 02-2007"/>
      <sheetName val="FS"/>
      <sheetName val="NSM"/>
      <sheetName val="11-INV"/>
      <sheetName val="4-PVA2"/>
      <sheetName val="3-PVA"/>
      <sheetName val="5-NSM"/>
      <sheetName val="8-OH"/>
      <sheetName val="5-F-PAR"/>
      <sheetName val="CONTRN BY DISTRICT"/>
      <sheetName val="details"/>
      <sheetName val="90_120"/>
      <sheetName val="D"/>
      <sheetName val="Co 59"/>
      <sheetName val="Trial Bal"/>
      <sheetName val="SUMMARY"/>
      <sheetName val="PROD_GRAPH1"/>
      <sheetName val="DATA_91-98"/>
      <sheetName val="1-OBJ98_"/>
      <sheetName val="VISION_2000"/>
      <sheetName val="CONTRN_BY_DISTRICT"/>
      <sheetName val="Exhibit_Q"/>
      <sheetName val="ROSTER_AFS_02-2007"/>
      <sheetName val="BAW(D)"/>
      <sheetName val="Setup"/>
      <sheetName val="130-UNIDADES"/>
      <sheetName val="Codes"/>
      <sheetName val="Input"/>
      <sheetName val="Transactions"/>
      <sheetName val="Fcst vs Budgets"/>
      <sheetName val="adp-budget"/>
      <sheetName val="Pricing Notes"/>
      <sheetName val="Parameters"/>
      <sheetName val="Debtors 120+"/>
      <sheetName val="TG  "/>
      <sheetName val="Store Master Data"/>
      <sheetName val="98FORECAST (1)"/>
      <sheetName val="CHARTS-RES"/>
      <sheetName val="L_PM"/>
      <sheetName val="SALE&amp;COST"/>
      <sheetName val="factor"/>
      <sheetName val="currency"/>
      <sheetName val="Long Format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TITLES"/>
      <sheetName val="FLASH"/>
      <sheetName val="EFR "/>
      <sheetName val="PROFIT-PERF"/>
      <sheetName val="PVA"/>
      <sheetName val="BS"/>
      <sheetName val="C-FLOW"/>
      <sheetName val="CASHFLOW"/>
      <sheetName val="ASSET-WK"/>
      <sheetName val="ASSET-UT"/>
      <sheetName val="RECEIVABLES"/>
      <sheetName val="INVENTORY"/>
      <sheetName val="DISTRICT PRO"/>
      <sheetName val="OVERHEAD"/>
      <sheetName val="PERF"/>
      <sheetName val="EXP"/>
      <sheetName val="OHVAR"/>
      <sheetName val="OT"/>
      <sheetName val="FACTORY"/>
      <sheetName val="PRODN"/>
      <sheetName val="MANPOWER"/>
      <sheetName val="AFE"/>
      <sheetName val="VAR"/>
      <sheetName val="JAN"/>
      <sheetName val="Sheet1"/>
      <sheetName val="B&amp;S31-03-04"/>
      <sheetName val="Comp equip"/>
      <sheetName val="Mach &amp; equip"/>
      <sheetName val="Building"/>
      <sheetName val="FFE"/>
      <sheetName val="MV"/>
      <sheetName val="Freezers"/>
      <sheetName val="OH-SUM"/>
      <sheetName val="BAW(D)"/>
      <sheetName val="2005"/>
      <sheetName val="CONTROL"/>
      <sheetName val="adp-budget"/>
      <sheetName val="Links"/>
      <sheetName val="Power &amp; Fuel (S)"/>
      <sheetName val="C &amp; G RHS"/>
      <sheetName val="19-PERF"/>
      <sheetName val="Q2 YTD OG Sales Analysis"/>
      <sheetName val="data 3A|6A"/>
      <sheetName val="EFR_"/>
      <sheetName val="DISTRICT_PRO"/>
      <sheetName val="PROD GRAPH"/>
      <sheetName val="#REF"/>
      <sheetName val="Kontensalden"/>
      <sheetName val="Assumptions"/>
      <sheetName val="OPR-OCT"/>
      <sheetName val="Stock"/>
      <sheetName val="TEL LINE INCENTIVES"/>
      <sheetName val="BS JUL"/>
      <sheetName val="Cover"/>
      <sheetName val="DEP99"/>
      <sheetName val="form26"/>
      <sheetName val="CON"/>
      <sheetName val="90-120"/>
      <sheetName val="90_120"/>
      <sheetName val="Data"/>
      <sheetName val="FINSUM"/>
      <sheetName val="11-INV"/>
      <sheetName val="4-PVA2"/>
      <sheetName val="3-PVA"/>
      <sheetName val="KHSX"/>
      <sheetName val="Masters"/>
      <sheetName val="PointNo.5"/>
      <sheetName val="EFR_1"/>
      <sheetName val="DISTRICT_PRO1"/>
      <sheetName val="Q2_YTD_OG_Sales_Analysis"/>
      <sheetName val="data_3A|6A"/>
      <sheetName val="Comp_equip"/>
      <sheetName val="Mach_&amp;_equip"/>
      <sheetName val="Power_&amp;_Fuel_(S)"/>
      <sheetName val="Lead"/>
      <sheetName val="15121005"/>
      <sheetName val="15211005"/>
      <sheetName val="Chiet tinh"/>
      <sheetName val="SALES-VAL"/>
      <sheetName val="Lakshmi GF"/>
      <sheetName val="CITICORP"/>
      <sheetName val="HDFC"/>
      <sheetName val="KOTAK"/>
      <sheetName val="L_PM"/>
      <sheetName val="RPK TB"/>
      <sheetName val="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- Lead"/>
      <sheetName val="2 - Finance"/>
      <sheetName val="3 - Principal payments"/>
      <sheetName val="4 - Interest Calculation"/>
      <sheetName val="5 - CITICORP"/>
      <sheetName val="6 - ABN AMRO"/>
      <sheetName val="7 - Provision"/>
      <sheetName val="typetest"/>
      <sheetName val="CASH-FLOW"/>
      <sheetName val="BOQ (2)"/>
    </sheetNames>
    <sheetDataSet>
      <sheetData sheetId="0"/>
      <sheetData sheetId="1"/>
      <sheetData sheetId="2"/>
      <sheetData sheetId="3"/>
      <sheetData sheetId="4">
        <row r="8">
          <cell r="A8" t="str">
            <v>AL Taurus-1612</v>
          </cell>
        </row>
      </sheetData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Expenditure 1999-2001"/>
      <sheetName val="vehicle"/>
      <sheetName val="Capital by division"/>
      <sheetName val="DEPRECIATION 1998-NEW ASSETS"/>
      <sheetName val="DEPRECIATION 1999"/>
      <sheetName val="Summery Depreciation 1998-2001"/>
      <sheetName val="1208"/>
      <sheetName val="1206"/>
      <sheetName val="1205"/>
      <sheetName val="1204"/>
      <sheetName val="1203"/>
      <sheetName val="1201"/>
      <sheetName val="Lead"/>
      <sheetName val="ตั๋วเงินรับ"/>
      <sheetName val="Stock Aging"/>
      <sheetName val="PlanB"/>
      <sheetName val="SRO"/>
      <sheetName val="03中"/>
      <sheetName val="Parameters"/>
      <sheetName val="CRITERIA1"/>
      <sheetName val="cost allocation"/>
      <sheetName val="BS-Thai"/>
      <sheetName val="PF PL OP"/>
      <sheetName val="Purchases"/>
      <sheetName val="Detail"/>
      <sheetName val="เงินกู้ธนชาติ"/>
      <sheetName val="เงินกู้ MGC"/>
      <sheetName val="AP-FAsb"/>
      <sheetName val="10Segment report"/>
      <sheetName val="7Long term liabilities"/>
      <sheetName val="1Cash for Interest"/>
      <sheetName val="3Detail of cash flow"/>
      <sheetName val="C-3"/>
      <sheetName val="PAN"/>
      <sheetName val="Detail-Sep"/>
      <sheetName val="ยานพาหนะ"/>
      <sheetName val="ส่วนปรับปรุงที่ดิน"/>
      <sheetName val="อาคารสำนักงาน-PJ"/>
      <sheetName val="เครื่องตกแต่ง-PJ (BF)"/>
      <sheetName val="detail(sum)"/>
      <sheetName val="TaxCal_2012Final"/>
      <sheetName val="0.0ControlSheet"/>
      <sheetName val="97CAPREN"/>
      <sheetName val="table"/>
      <sheetName val="ELEC45-01"/>
      <sheetName val="Core"/>
      <sheetName val="会社セグメントマスタ加工シート"/>
      <sheetName val="Debt Info"/>
      <sheetName val="A"/>
      <sheetName val="Job header"/>
      <sheetName val="2005 DATA"/>
      <sheetName val="SALES"/>
      <sheetName val="Income-tax"/>
      <sheetName val="Sheet1"/>
      <sheetName val="Delhi"/>
      <sheetName val="EXPENSES"/>
      <sheetName val="15th April RWFC"/>
      <sheetName val="ORIGINAL"/>
      <sheetName val="Form 16"/>
      <sheetName val="INDORAMA Group June 02"/>
      <sheetName val="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ning Archives"/>
      <sheetName val="#REF"/>
      <sheetName val="CSCCincSKR"/>
      <sheetName val="Proforma"/>
      <sheetName val="Mai 2003"/>
      <sheetName val="Avril 2003"/>
      <sheetName val="Mars 2003"/>
      <sheetName val="Février 2003"/>
      <sheetName val="Janvier 2003"/>
      <sheetName val="Décembre 2002"/>
      <sheetName val="Novembre 2002"/>
      <sheetName val="Octobre 2002"/>
      <sheetName val="septembre 2002"/>
      <sheetName val="Aout 2002"/>
      <sheetName val="Juillet 2002"/>
      <sheetName val="Juin 2002"/>
      <sheetName val="Mai 2002"/>
      <sheetName val="Avril 2002"/>
      <sheetName val="Mars 2002"/>
      <sheetName val="Février 2002"/>
      <sheetName val="Janvier 2002"/>
      <sheetName val="Décembre 2001"/>
      <sheetName val="Novembre 2001"/>
      <sheetName val="Octobre 2001"/>
      <sheetName val="septembre 2001"/>
      <sheetName val="Aout"/>
      <sheetName val="Juillet"/>
      <sheetName val="Juin"/>
      <sheetName val="Mai"/>
      <sheetName val="Avril"/>
      <sheetName val="Mars"/>
      <sheetName val="février"/>
      <sheetName val="Janvier"/>
      <sheetName val="Décembre"/>
      <sheetName val="Novembre"/>
      <sheetName val="Octob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WORKING"/>
      <sheetName val="EXPENSES"/>
      <sheetName val="EXP-OUTSIDE OFFICE"/>
      <sheetName val="EXP-PURTA"/>
      <sheetName val="EXPENSES (2)"/>
      <sheetName val="TELEPHONE PROVISION"/>
      <sheetName val="PROVISION"/>
      <sheetName val="INDEX"/>
      <sheetName val="INDEX (2)"/>
      <sheetName val="FINANCIAL"/>
      <sheetName val="BLOCK"/>
      <sheetName val="BLOCK_COMPLETED"/>
      <sheetName val="BLOCK_ADV"/>
      <sheetName val="BLOCK_INEVITABLE"/>
      <sheetName val="STORE-SPARES"/>
      <sheetName val="SEC_DEPOSIT"/>
      <sheetName val="CLAIM_REC"/>
      <sheetName val="Page 27 &amp; 28"/>
      <sheetName val="ADVANCES"/>
      <sheetName val="HO_ACCT"/>
      <sheetName val="BARODA "/>
      <sheetName val="PL_ACCOUNT"/>
      <sheetName val="P &amp; LOSS (SALES)"/>
      <sheetName val="Cost breakup"/>
      <sheetName val="Costbreakup"/>
      <sheetName val="NA"/>
      <sheetName val="EXP_INCENTIVE"/>
      <sheetName val="GEN_ADV"/>
      <sheetName val="ADV_S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ueries"/>
      <sheetName val="to do"/>
      <sheetName val="Fixed assets"/>
      <sheetName val="GM graph"/>
      <sheetName val="related party"/>
      <sheetName val="RPT format"/>
      <sheetName val="P&amp;L queries"/>
      <sheetName val="fleet"/>
      <sheetName val="Sheet1"/>
      <sheetName val="BS"/>
      <sheetName val="P&amp;L-D&amp;ID"/>
      <sheetName val="P&amp;L-F&amp;V"/>
      <sheetName val="P&amp;L segment"/>
      <sheetName val="DSO"/>
      <sheetName val="monthly CC"/>
      <sheetName val="work cap loan"/>
      <sheetName val="other CA &amp; CL"/>
      <sheetName val="term loans"/>
      <sheetName val="loan"/>
      <sheetName val="shareholding"/>
      <sheetName val="Current liab."/>
      <sheetName val="REVENUE"/>
      <sheetName val="work cap"/>
      <sheetName val="cash conversion (2)"/>
      <sheetName val="sec deposits"/>
      <sheetName val="cash conversion"/>
      <sheetName val="debtors analysis"/>
      <sheetName val="drs- legal"/>
      <sheetName val="drs- discontinue"/>
      <sheetName val="drs- continue"/>
      <sheetName val="drs-others"/>
      <sheetName val="debtors"/>
      <sheetName val="dr. queries"/>
      <sheetName val="provision new"/>
      <sheetName val="prov-dtrs"/>
      <sheetName val="debtor table"/>
      <sheetName val="debtor tables old"/>
      <sheetName val="debtor tables new"/>
      <sheetName val="drs-ITD, L&amp;T, simplx"/>
      <sheetName val="Term loan Summary"/>
      <sheetName val="cap commit"/>
      <sheetName val="HR"/>
      <sheetName val="Insurance-IIEL"/>
      <sheetName val="repair &amp; maint"/>
      <sheetName val="interest"/>
      <sheetName val="Term loan Summary (2)"/>
      <sheetName val="provision"/>
      <sheetName val="debtor tables"/>
      <sheetName val="Deprec rates"/>
      <sheetName val="P&amp;L-segment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6"/>
      <sheetName val="Partic"/>
      <sheetName val="#REF"/>
      <sheetName val="Sheet2"/>
      <sheetName val="Sheet3 (2)"/>
      <sheetName val="DKPL9811"/>
      <sheetName val="summ"/>
      <sheetName val="sheet1"/>
      <sheetName val="sheet4"/>
      <sheetName val="Sheet4a"/>
      <sheetName val="sheet5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FINDRDEC"/>
      <sheetName val="CRITERIA3"/>
      <sheetName val="CRITERIA1"/>
      <sheetName val="Monthly"/>
      <sheetName val="pldt"/>
      <sheetName val="results"/>
      <sheetName val="P&amp;LDEC99"/>
      <sheetName val="Sheet18"/>
      <sheetName val="Sheet17"/>
      <sheetName val="SUMM1"/>
      <sheetName val="Sheet3"/>
      <sheetName val="Sheet31"/>
      <sheetName val="Sheet30"/>
      <sheetName val="Sheet29"/>
      <sheetName val="Sheet28"/>
      <sheetName val="Sheet27"/>
      <sheetName val="Sheet26"/>
      <sheetName val="Sheet25"/>
      <sheetName val="Sheet24"/>
      <sheetName val="Sheet23"/>
      <sheetName val="Sheet22"/>
      <sheetName val="Sheet21"/>
      <sheetName val="Sheet20"/>
      <sheetName val="Sheet19"/>
      <sheetName val="extra"/>
      <sheetName val="Earnings model"/>
      <sheetName val="Hot"/>
      <sheetName val="INI"/>
      <sheetName val="Assumptions"/>
      <sheetName val="Output"/>
      <sheetName val="Grand"/>
      <sheetName val="C"/>
      <sheetName val="02"/>
      <sheetName val="03"/>
      <sheetName val="04"/>
      <sheetName val="01"/>
      <sheetName val="girder"/>
      <sheetName val="Rocker"/>
      <sheetName val="FitOutConfCentre"/>
      <sheetName val="CASHFLOWS"/>
      <sheetName val="SUMMARY"/>
      <sheetName val="Estimate for approval"/>
      <sheetName val="Lab"/>
      <sheetName val="Excess Calc"/>
      <sheetName val="Rate Analysis"/>
      <sheetName val="LBO"/>
      <sheetName val="Main"/>
      <sheetName val="A-D"/>
      <sheetName val="H"/>
      <sheetName val="BWR"/>
      <sheetName val="BHANDUP"/>
      <sheetName val="BLK2"/>
      <sheetName val="BLK3"/>
      <sheetName val="E &amp; R"/>
      <sheetName val="radar"/>
      <sheetName val="UG"/>
      <sheetName val="Commission and Volume MOM(Chart"/>
      <sheetName val="Materials Cost(PCC)"/>
      <sheetName val="Grouping Master"/>
      <sheetName val="A5.201 Consol Profit &amp; Loss "/>
      <sheetName val="Consolidated Monthly"/>
      <sheetName val="Balance Sheet"/>
      <sheetName val="A5.202 Consol Balance Sheet "/>
      <sheetName val="BS"/>
      <sheetName val="Consolidated"/>
      <sheetName val="PB"/>
      <sheetName val="Fixed Assets"/>
      <sheetName val="Receivables"/>
      <sheetName val="Stacking Plan &amp; LEP"/>
      <sheetName val="Sheet3_(2)"/>
      <sheetName val="Earnings_model"/>
      <sheetName val="% Collection Schedule"/>
      <sheetName val="Design"/>
      <sheetName val="98Price"/>
      <sheetName val="Set"/>
      <sheetName val="Sheet 2"/>
      <sheetName val="Key assumption"/>
      <sheetName val="Code"/>
      <sheetName val="Legend"/>
      <sheetName val="BKCSTOCKVAL"/>
      <sheetName val="Estimate_for_approval"/>
      <sheetName val="Rate_Analysis"/>
      <sheetName val="E_&amp;_R"/>
      <sheetName val="Sheet3_(2)1"/>
      <sheetName val="Estimate_for_approval1"/>
      <sheetName val="Sheet3_(2)2"/>
      <sheetName val="Estimate_for_approval2"/>
      <sheetName val="Sheet3_(2)3"/>
      <sheetName val="Estimate_for_approval3"/>
      <sheetName val="Sheet3_(2)4"/>
      <sheetName val="Estimate_for_approval4"/>
      <sheetName val="office"/>
      <sheetName val="concrete"/>
      <sheetName val="beam-reinft-IIInd floor"/>
      <sheetName val="SPT vs PHI"/>
      <sheetName val="Materials Cost"/>
      <sheetName val="beam-reinft-machine rm"/>
      <sheetName val="jobhist"/>
      <sheetName val="R20_R30_work"/>
      <sheetName val="KG-DWN"/>
      <sheetName val="Occ"/>
      <sheetName val="Demand"/>
      <sheetName val="Material List "/>
      <sheetName val="STAFFSCHED "/>
      <sheetName val="upa"/>
      <sheetName val="WBS01"/>
      <sheetName val="WBS10"/>
      <sheetName val="WBS11"/>
      <sheetName val="WBS12"/>
      <sheetName val="WBS13"/>
      <sheetName val="WBS14"/>
      <sheetName val="WBS15"/>
      <sheetName val="WBS16"/>
      <sheetName val="WBS17"/>
      <sheetName val="WBS18"/>
      <sheetName val="WBS19"/>
      <sheetName val="WBS02"/>
      <sheetName val="WBS20"/>
      <sheetName val="WBS03"/>
      <sheetName val="WBS04"/>
      <sheetName val="WBS05"/>
      <sheetName val="WBS06"/>
      <sheetName val="WBS07"/>
      <sheetName val="WBS08"/>
      <sheetName val="WBS09"/>
      <sheetName val="FOIL"/>
      <sheetName val="Accounts"/>
      <sheetName val="sdrs_mar"/>
      <sheetName val="1 Market"/>
      <sheetName val="Apartments - 1st M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Sheet3"/>
      <sheetName val="r&amp;d"/>
      <sheetName val="HO"/>
      <sheetName val="ahc"/>
      <sheetName val="dgn"/>
      <sheetName val="fine"/>
      <sheetName val="D"/>
      <sheetName val="Sheet1"/>
      <sheetName val="Sheet1 (2)"/>
      <sheetName val="E"/>
    </sheetNames>
    <sheetDataSet>
      <sheetData sheetId="0"/>
      <sheetData sheetId="1"/>
      <sheetData sheetId="2"/>
      <sheetData sheetId="3"/>
      <sheetData sheetId="4" refreshError="1"/>
      <sheetData sheetId="5"/>
      <sheetData sheetId="6" refreshError="1"/>
      <sheetData sheetId="7"/>
      <sheetData sheetId="8"/>
      <sheetData sheetId="9"/>
      <sheetData sheetId="1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Form 1"/>
      <sheetName val="Form 2"/>
      <sheetName val="Form 3"/>
      <sheetName val="Form 4"/>
      <sheetName val="Form 5-2"/>
      <sheetName val="Form 6"/>
      <sheetName val="Variations"/>
      <sheetName val="Form 7"/>
      <sheetName val="Form 8"/>
      <sheetName val="Form 9"/>
      <sheetName val="Form 10 P&amp;L"/>
      <sheetName val="Form 10 cashflow"/>
      <sheetName val="Form 11"/>
      <sheetName val="S1BOQ"/>
      <sheetName val="S2groupcode"/>
      <sheetName val="S3workplanqty-2"/>
      <sheetName val="S3workplanamt"/>
      <sheetName val="S4timecycle"/>
      <sheetName val="S5escalation"/>
      <sheetName val="Material Rate"/>
      <sheetName val="S6MATqty-code"/>
      <sheetName val="S7MATqty-grp"/>
      <sheetName val="S8MATexp-code"/>
      <sheetName val="S9wastage"/>
      <sheetName val="S10bomat"/>
      <sheetName val="S11EQPnorm"/>
      <sheetName val="S12EQPhrs"/>
      <sheetName val="S12EQChrg"/>
      <sheetName val="S12EQ Refur Chrg"/>
      <sheetName val="S13cons"/>
      <sheetName val="S14spares"/>
      <sheetName val="S15POL"/>
      <sheetName val="S15LUB"/>
      <sheetName val="S16Elec"/>
      <sheetName val="S17power"/>
      <sheetName val="S18EQPplan"/>
      <sheetName val="S19cap"/>
      <sheetName val="S20MSE Items"/>
      <sheetName val="SC Rates"/>
      <sheetName val="S21Subcon"/>
      <sheetName val="S22PRW"/>
      <sheetName val="S23ManNos"/>
      <sheetName val="S24Mancost"/>
      <sheetName val="S25EQPrep"/>
      <sheetName val="S26EQPhire"/>
      <sheetName val="S27EQPlease"/>
      <sheetName val="S28Rev"/>
      <sheetName val="S29Prelitem"/>
      <sheetName val="S30Prelplant"/>
      <sheetName val="S31Prelitemdet"/>
      <sheetName val="S32Prelexp"/>
      <sheetName val="S33Prelexpdet"/>
      <sheetName val="S34Dircost"/>
      <sheetName val="S35Indircost"/>
      <sheetName val="S36Prelimcost"/>
      <sheetName val="S37UnitCost"/>
      <sheetName val="S38stock"/>
      <sheetName val="S39liab"/>
      <sheetName val="S40Milestones"/>
      <sheetName val="S41MatProcurement"/>
      <sheetName val="S42HSE"/>
      <sheetName val="S43Taxation"/>
      <sheetName val="chec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JY01 bud01 bud02"/>
      <sheetName val="fORMULAE"/>
      <sheetName val="SALARIES"/>
      <sheetName val="2000 Staff Numbers"/>
      <sheetName val="Graph"/>
      <sheetName val="2000 FTE Graph"/>
      <sheetName val="2001 FTE Graph "/>
      <sheetName val="1999 Numbers (2)"/>
      <sheetName val="2000 Numbers"/>
      <sheetName val="1999 Numbers"/>
      <sheetName val="Costs - Excl UK Ops"/>
      <sheetName val="Cost - UK Ops"/>
      <sheetName val="Data Headcount"/>
      <sheetName val="Budget 2002"/>
      <sheetName val="FTE Graph 1"/>
      <sheetName val="CPD2"/>
      <sheetName val="CDP1"/>
      <sheetName val="Salary 2001 to 2003"/>
      <sheetName val="FTE 2001 to 2003"/>
      <sheetName val="FTE Graph 2"/>
      <sheetName val="Data FTE 99 2000 2001"/>
    </sheetNames>
    <sheetDataSet>
      <sheetData sheetId="0"/>
      <sheetData sheetId="1" refreshError="1">
        <row r="7">
          <cell r="AS7" t="str">
            <v>Basic SalaryBasic SalaryBasic SalaryBasic SalaryBasic SalaryBasic SalaryBasic SalaryBasic SalaryBasic SalaryBasic SalaryBasic Salary</v>
          </cell>
          <cell r="BG7" t="str">
            <v xml:space="preserve">CAR OWNERSHIP  CAR OWNERSHIP  CAR OWNERSHIP  CAR OWNERSHIP  CAR OWNERSHIP  CAR OWNERSHIP 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nectivity-b"/>
      <sheetName val="cover"/>
      <sheetName val="capex "/>
      <sheetName val="pre-operative Exps"/>
      <sheetName val="capex_comp_yoy"/>
      <sheetName val="basic_assumptions"/>
      <sheetName val="profit &amp; loss"/>
      <sheetName val="p&amp;l_comp_yoy"/>
      <sheetName val="Pre-operative Exps_original"/>
      <sheetName val="cash flow"/>
      <sheetName val="cf_comp_yoy"/>
      <sheetName val="connectivity"/>
      <sheetName val="premises"/>
      <sheetName val="distribution Revenu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ojovací technika"/>
      <sheetName val="Přenosová technika"/>
      <sheetName val="Přístupová síť"/>
      <sheetName val="Budovy"/>
      <sheetName val="Kusovky"/>
      <sheetName val="Ostatní"/>
      <sheetName val="Příprava"/>
      <sheetName val="Sumář jm. sez. Přípravy"/>
      <sheetName val="Sumář jm. sez. Realizace"/>
      <sheetName val="Krycí list"/>
      <sheetName val="Plán kapacit uveden. do provozu"/>
      <sheetName val="Informace"/>
      <sheetName val="Šablona"/>
      <sheetName val="Akce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BS"/>
      <sheetName val="Summary"/>
      <sheetName val="PL"/>
      <sheetName val="WC"/>
      <sheetName val="CF"/>
      <sheetName val="Opex"/>
      <sheetName val="Capex"/>
      <sheetName val="Capex (PM)"/>
      <sheetName val="Capex (SS)"/>
      <sheetName val="Capex (OA)"/>
      <sheetName val="HR"/>
      <sheetName val="PLData"/>
      <sheetName val="WCData"/>
      <sheetName val="CFData"/>
      <sheetName val="OpexData"/>
      <sheetName val="CapexPMdata"/>
      <sheetName val="CapexSSdata"/>
      <sheetName val="CapexOAdata"/>
      <sheetName val="HR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Irrigation</v>
          </cell>
          <cell r="B2" t="str">
            <v>KP DAMS</v>
          </cell>
          <cell r="C2" t="str">
            <v>Actual Work Done</v>
          </cell>
          <cell r="E2">
            <v>15060039.25097236</v>
          </cell>
          <cell r="F2">
            <v>19443967.875317536</v>
          </cell>
          <cell r="G2">
            <v>18149078.595036052</v>
          </cell>
          <cell r="H2">
            <v>16601489.214300161</v>
          </cell>
          <cell r="I2">
            <v>14930929.631870382</v>
          </cell>
          <cell r="J2">
            <v>13354498.192717779</v>
          </cell>
          <cell r="K2">
            <v>9635265.684313586</v>
          </cell>
          <cell r="L2">
            <v>4900635.3</v>
          </cell>
          <cell r="M2">
            <v>3068349.7144520003</v>
          </cell>
          <cell r="N2">
            <v>0</v>
          </cell>
          <cell r="O2">
            <v>0</v>
          </cell>
          <cell r="P2">
            <v>0</v>
          </cell>
          <cell r="Q2">
            <v>115144253.45897983</v>
          </cell>
        </row>
        <row r="3">
          <cell r="A3" t="str">
            <v>Irrigation</v>
          </cell>
          <cell r="B3" t="str">
            <v>KP DAMS</v>
          </cell>
          <cell r="C3" t="str">
            <v>Price Escallation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</row>
        <row r="4">
          <cell r="A4" t="str">
            <v>Irrigation</v>
          </cell>
          <cell r="B4" t="str">
            <v>KP DAMS</v>
          </cell>
          <cell r="C4" t="str">
            <v>Variation Order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</row>
        <row r="5">
          <cell r="A5" t="str">
            <v>Irrigation</v>
          </cell>
          <cell r="B5" t="str">
            <v>KP DAMS</v>
          </cell>
          <cell r="C5" t="str">
            <v>Work In Progress (increase/decrease)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A6" t="str">
            <v>Irrigation</v>
          </cell>
          <cell r="B6" t="str">
            <v>KP DAMS</v>
          </cell>
          <cell r="C6" t="str">
            <v>Other Income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A7" t="str">
            <v>Irrigation</v>
          </cell>
          <cell r="B7" t="str">
            <v>KP DAMS</v>
          </cell>
          <cell r="C7" t="str">
            <v>Material Cost</v>
          </cell>
          <cell r="E7">
            <v>12617062.483672613</v>
          </cell>
          <cell r="F7">
            <v>14679782.557389274</v>
          </cell>
          <cell r="G7">
            <v>13787404.991322799</v>
          </cell>
          <cell r="H7">
            <v>11177037.125377513</v>
          </cell>
          <cell r="I7">
            <v>8697510.8029533532</v>
          </cell>
          <cell r="J7">
            <v>8113968.1449724147</v>
          </cell>
          <cell r="K7">
            <v>4902092.0923436433</v>
          </cell>
          <cell r="L7">
            <v>700000</v>
          </cell>
          <cell r="M7">
            <v>700000</v>
          </cell>
          <cell r="N7">
            <v>0</v>
          </cell>
          <cell r="O7">
            <v>0</v>
          </cell>
          <cell r="P7">
            <v>0</v>
          </cell>
          <cell r="Q7">
            <v>75374858.198031619</v>
          </cell>
        </row>
        <row r="8">
          <cell r="A8" t="str">
            <v>Irrigation</v>
          </cell>
          <cell r="B8" t="str">
            <v>KP DAMS</v>
          </cell>
          <cell r="C8" t="str">
            <v>Labor charges</v>
          </cell>
          <cell r="E8">
            <v>591416.73504540918</v>
          </cell>
          <cell r="F8">
            <v>681815.10768672638</v>
          </cell>
          <cell r="G8">
            <v>628700.41070221888</v>
          </cell>
          <cell r="H8">
            <v>486462.08248674939</v>
          </cell>
          <cell r="I8">
            <v>383762.63746447972</v>
          </cell>
          <cell r="J8">
            <v>355900.20202848595</v>
          </cell>
          <cell r="K8">
            <v>205428.5182752097</v>
          </cell>
          <cell r="L8">
            <v>7627.298534798535</v>
          </cell>
          <cell r="M8">
            <v>4344.5794871794869</v>
          </cell>
          <cell r="N8">
            <v>0</v>
          </cell>
          <cell r="O8">
            <v>0</v>
          </cell>
          <cell r="P8">
            <v>0</v>
          </cell>
          <cell r="Q8">
            <v>3345457.5717112571</v>
          </cell>
        </row>
        <row r="9">
          <cell r="A9" t="str">
            <v>Irrigation</v>
          </cell>
          <cell r="B9" t="str">
            <v>KP DAMS</v>
          </cell>
          <cell r="C9" t="str">
            <v>Sub-con work</v>
          </cell>
          <cell r="E9">
            <v>2305116.25</v>
          </cell>
          <cell r="F9">
            <v>3468203.75</v>
          </cell>
          <cell r="G9">
            <v>3307243.6335</v>
          </cell>
          <cell r="H9">
            <v>4903368.875</v>
          </cell>
          <cell r="I9">
            <v>5453946.25</v>
          </cell>
          <cell r="J9">
            <v>4326133.75</v>
          </cell>
          <cell r="K9">
            <v>4043820.2920000004</v>
          </cell>
          <cell r="L9">
            <v>3884687.4999999995</v>
          </cell>
          <cell r="M9">
            <v>2078433.2762500001</v>
          </cell>
          <cell r="N9">
            <v>0</v>
          </cell>
          <cell r="O9">
            <v>0</v>
          </cell>
          <cell r="P9">
            <v>0</v>
          </cell>
          <cell r="Q9">
            <v>33770953.576750003</v>
          </cell>
        </row>
        <row r="10">
          <cell r="A10" t="str">
            <v>Irrigation</v>
          </cell>
          <cell r="B10" t="str">
            <v>KP DAMS</v>
          </cell>
          <cell r="C10" t="str">
            <v>Own Machinery Hire</v>
          </cell>
          <cell r="E10">
            <v>2860385.9437548951</v>
          </cell>
          <cell r="F10">
            <v>3496028.4299321268</v>
          </cell>
          <cell r="G10">
            <v>3178207.6635746602</v>
          </cell>
          <cell r="H10">
            <v>2543447.4021427939</v>
          </cell>
          <cell r="I10">
            <v>2198183.4992988962</v>
          </cell>
          <cell r="J10">
            <v>2063946.2951434294</v>
          </cell>
          <cell r="K10">
            <v>1281915.5079182985</v>
          </cell>
          <cell r="L10">
            <v>225635.59666666665</v>
          </cell>
          <cell r="M10">
            <v>130258.76833333333</v>
          </cell>
          <cell r="N10">
            <v>0</v>
          </cell>
          <cell r="O10">
            <v>0</v>
          </cell>
          <cell r="P10">
            <v>0</v>
          </cell>
          <cell r="Q10">
            <v>17978009.106765103</v>
          </cell>
        </row>
        <row r="11">
          <cell r="A11" t="str">
            <v>Irrigation</v>
          </cell>
          <cell r="B11" t="str">
            <v>KP DAMS</v>
          </cell>
          <cell r="C11" t="str">
            <v>Hire Machinery Charge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Irrigation</v>
          </cell>
          <cell r="B12" t="str">
            <v>KP DAMS</v>
          </cell>
          <cell r="C12" t="str">
            <v>Other Direct Expenses</v>
          </cell>
          <cell r="E12">
            <v>142000</v>
          </cell>
          <cell r="F12">
            <v>142000</v>
          </cell>
          <cell r="G12">
            <v>142000</v>
          </cell>
          <cell r="H12">
            <v>142000</v>
          </cell>
          <cell r="I12">
            <v>142000</v>
          </cell>
          <cell r="J12">
            <v>142000</v>
          </cell>
          <cell r="K12">
            <v>142000</v>
          </cell>
          <cell r="L12">
            <v>142000</v>
          </cell>
          <cell r="M12">
            <v>142000</v>
          </cell>
          <cell r="N12">
            <v>0</v>
          </cell>
          <cell r="O12">
            <v>0</v>
          </cell>
          <cell r="P12">
            <v>0</v>
          </cell>
          <cell r="Q12">
            <v>1278000</v>
          </cell>
        </row>
        <row r="13">
          <cell r="A13" t="str">
            <v>Irrigation</v>
          </cell>
          <cell r="B13" t="str">
            <v>KP DAMS</v>
          </cell>
          <cell r="C13" t="str">
            <v>JV's Fees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A14" t="str">
            <v>Irrigation</v>
          </cell>
          <cell r="B14" t="str">
            <v>KP DAMS</v>
          </cell>
          <cell r="C14" t="str">
            <v>VAT &amp; other Taxes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A15" t="str">
            <v>Irrigation</v>
          </cell>
          <cell r="B15" t="str">
            <v>KP DAMS</v>
          </cell>
          <cell r="C15" t="str">
            <v>Personnel cost</v>
          </cell>
          <cell r="E15">
            <v>675000</v>
          </cell>
          <cell r="F15">
            <v>675000</v>
          </cell>
          <cell r="G15">
            <v>675000</v>
          </cell>
          <cell r="H15">
            <v>600000</v>
          </cell>
          <cell r="I15">
            <v>500000</v>
          </cell>
          <cell r="J15">
            <v>500000</v>
          </cell>
          <cell r="K15">
            <v>500000</v>
          </cell>
          <cell r="L15">
            <v>500000</v>
          </cell>
          <cell r="M15">
            <v>500000</v>
          </cell>
          <cell r="N15">
            <v>0</v>
          </cell>
          <cell r="O15">
            <v>0</v>
          </cell>
          <cell r="P15">
            <v>0</v>
          </cell>
          <cell r="Q15">
            <v>5125000</v>
          </cell>
        </row>
        <row r="16">
          <cell r="A16" t="str">
            <v>Irrigation</v>
          </cell>
          <cell r="B16" t="str">
            <v>KP DAMS</v>
          </cell>
          <cell r="C16" t="str">
            <v>OPEX Cost</v>
          </cell>
          <cell r="E16">
            <v>1451369.2505866047</v>
          </cell>
          <cell r="F16">
            <v>1665579.350455327</v>
          </cell>
          <cell r="G16">
            <v>1574662.2913444138</v>
          </cell>
          <cell r="H16">
            <v>1000000</v>
          </cell>
          <cell r="I16">
            <v>750000</v>
          </cell>
          <cell r="J16">
            <v>500000</v>
          </cell>
          <cell r="K16">
            <v>500000</v>
          </cell>
          <cell r="L16">
            <v>500000</v>
          </cell>
          <cell r="M16">
            <v>500000</v>
          </cell>
          <cell r="N16">
            <v>0</v>
          </cell>
          <cell r="O16">
            <v>0</v>
          </cell>
          <cell r="P16">
            <v>0</v>
          </cell>
          <cell r="Q16">
            <v>8441610.8923863452</v>
          </cell>
        </row>
        <row r="17">
          <cell r="A17" t="str">
            <v>Irrigation</v>
          </cell>
          <cell r="B17" t="str">
            <v>LINGALA</v>
          </cell>
          <cell r="C17" t="str">
            <v>Actual Work Done</v>
          </cell>
          <cell r="E17">
            <v>19201259.724470429</v>
          </cell>
          <cell r="F17">
            <v>20648674.380278204</v>
          </cell>
          <cell r="G17">
            <v>30322048.761071242</v>
          </cell>
          <cell r="H17">
            <v>30322048.761071242</v>
          </cell>
          <cell r="I17">
            <v>33712035.375666909</v>
          </cell>
          <cell r="J17">
            <v>37122392.629732907</v>
          </cell>
          <cell r="K17">
            <v>32098598.855080176</v>
          </cell>
          <cell r="L17">
            <v>36641874.934890486</v>
          </cell>
          <cell r="M17">
            <v>23796588.572723381</v>
          </cell>
          <cell r="N17">
            <v>27577345.407560013</v>
          </cell>
          <cell r="O17">
            <v>29787791.401816003</v>
          </cell>
          <cell r="P17">
            <v>32414788.012747612</v>
          </cell>
          <cell r="Q17">
            <v>353645446.81710857</v>
          </cell>
        </row>
        <row r="18">
          <cell r="A18" t="str">
            <v>Irrigation</v>
          </cell>
          <cell r="B18" t="str">
            <v>LINGALA</v>
          </cell>
          <cell r="C18" t="str">
            <v>Price Escallation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A19" t="str">
            <v>Irrigation</v>
          </cell>
          <cell r="B19" t="str">
            <v>LINGALA</v>
          </cell>
          <cell r="C19" t="str">
            <v>Variation Order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A20" t="str">
            <v>Irrigation</v>
          </cell>
          <cell r="B20" t="str">
            <v>LINGALA</v>
          </cell>
          <cell r="C20" t="str">
            <v>Work In Progress (increase/decrease)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A21" t="str">
            <v>Irrigation</v>
          </cell>
          <cell r="B21" t="str">
            <v>LINGALA</v>
          </cell>
          <cell r="C21" t="str">
            <v>Other Income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A22" t="str">
            <v>Irrigation</v>
          </cell>
          <cell r="B22" t="str">
            <v>LINGALA</v>
          </cell>
          <cell r="C22" t="str">
            <v>Material Cost</v>
          </cell>
          <cell r="E22">
            <v>5168153.0308739478</v>
          </cell>
          <cell r="F22">
            <v>5137372.2508739475</v>
          </cell>
          <cell r="G22">
            <v>7312520.4120834656</v>
          </cell>
          <cell r="H22">
            <v>7312520.4120834656</v>
          </cell>
          <cell r="I22">
            <v>7191659.2827592669</v>
          </cell>
          <cell r="J22">
            <v>9915272.1891037077</v>
          </cell>
          <cell r="K22">
            <v>9198563.3687158711</v>
          </cell>
          <cell r="L22">
            <v>9757527.5153009947</v>
          </cell>
          <cell r="M22">
            <v>9342677.1803009938</v>
          </cell>
          <cell r="N22">
            <v>11058909.718510544</v>
          </cell>
          <cell r="O22">
            <v>10676843.184331346</v>
          </cell>
          <cell r="P22">
            <v>13825102.5882146</v>
          </cell>
          <cell r="Q22">
            <v>105897121.13315214</v>
          </cell>
        </row>
        <row r="23">
          <cell r="A23" t="str">
            <v>Irrigation</v>
          </cell>
          <cell r="B23" t="str">
            <v>LINGALA</v>
          </cell>
          <cell r="C23" t="str">
            <v>Labor charges</v>
          </cell>
          <cell r="E23">
            <v>427378.66000000003</v>
          </cell>
          <cell r="F23">
            <v>423218.22000000003</v>
          </cell>
          <cell r="G23">
            <v>566173.22000000009</v>
          </cell>
          <cell r="H23">
            <v>566173.22000000009</v>
          </cell>
          <cell r="I23">
            <v>529917.07000000007</v>
          </cell>
          <cell r="J23">
            <v>566360.32000000007</v>
          </cell>
          <cell r="K23">
            <v>594140.00000000012</v>
          </cell>
          <cell r="L23">
            <v>633140.00000000012</v>
          </cell>
          <cell r="M23">
            <v>633339.17000000004</v>
          </cell>
          <cell r="N23">
            <v>731683.60000000009</v>
          </cell>
          <cell r="O23">
            <v>201500</v>
          </cell>
          <cell r="P23">
            <v>240499.99999999997</v>
          </cell>
          <cell r="Q23">
            <v>6113523.4800000004</v>
          </cell>
        </row>
        <row r="24">
          <cell r="A24" t="str">
            <v>Irrigation</v>
          </cell>
          <cell r="B24" t="str">
            <v>LINGALA</v>
          </cell>
          <cell r="C24" t="str">
            <v>Sub-con work</v>
          </cell>
          <cell r="E24">
            <v>8169114.8913459331</v>
          </cell>
          <cell r="F24">
            <v>8169114.8913459331</v>
          </cell>
          <cell r="G24">
            <v>13826154.422799777</v>
          </cell>
          <cell r="H24">
            <v>13826154.422799777</v>
          </cell>
          <cell r="I24">
            <v>13778911.091685757</v>
          </cell>
          <cell r="J24">
            <v>16108154.160403784</v>
          </cell>
          <cell r="K24">
            <v>14533456.283907549</v>
          </cell>
          <cell r="L24">
            <v>16883347.517791148</v>
          </cell>
          <cell r="M24">
            <v>10155847.51779115</v>
          </cell>
          <cell r="N24">
            <v>12230061.107973916</v>
          </cell>
          <cell r="O24">
            <v>13352332.221015919</v>
          </cell>
          <cell r="P24">
            <v>16679602.27868933</v>
          </cell>
          <cell r="Q24">
            <v>157712250.80754998</v>
          </cell>
        </row>
        <row r="25">
          <cell r="A25" t="str">
            <v>Irrigation</v>
          </cell>
          <cell r="B25" t="str">
            <v>LINGALA</v>
          </cell>
          <cell r="C25" t="str">
            <v>Own Machinery Hire</v>
          </cell>
          <cell r="E25">
            <v>1837494.4929922179</v>
          </cell>
          <cell r="F25">
            <v>1806135.4067431907</v>
          </cell>
          <cell r="G25">
            <v>2613132.3814513623</v>
          </cell>
          <cell r="H25">
            <v>2613132.3814513623</v>
          </cell>
          <cell r="I25">
            <v>2832132.3814513618</v>
          </cell>
          <cell r="J25">
            <v>2811437.7106926069</v>
          </cell>
          <cell r="K25">
            <v>3154873.5836575874</v>
          </cell>
          <cell r="L25">
            <v>3908416.5836575879</v>
          </cell>
          <cell r="M25">
            <v>1485126.6782120622</v>
          </cell>
          <cell r="N25">
            <v>1726357.4378988326</v>
          </cell>
          <cell r="O25">
            <v>2024374.9999999998</v>
          </cell>
          <cell r="P25">
            <v>2025125</v>
          </cell>
          <cell r="Q25">
            <v>28837739.038208175</v>
          </cell>
        </row>
        <row r="26">
          <cell r="A26" t="str">
            <v>Irrigation</v>
          </cell>
          <cell r="B26" t="str">
            <v>LINGALA</v>
          </cell>
          <cell r="C26" t="str">
            <v>Hire Machinery Charge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A27" t="str">
            <v>Irrigation</v>
          </cell>
          <cell r="B27" t="str">
            <v>LINGALA</v>
          </cell>
          <cell r="C27" t="str">
            <v>Other Direct Expenses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A28" t="str">
            <v>Irrigation</v>
          </cell>
          <cell r="B28" t="str">
            <v>LINGALA</v>
          </cell>
          <cell r="C28" t="str">
            <v>JV's Fees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A29" t="str">
            <v>Irrigation</v>
          </cell>
          <cell r="B29" t="str">
            <v>LINGALA</v>
          </cell>
          <cell r="C29" t="str">
            <v>VAT &amp; other Taxes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A30" t="str">
            <v>Irrigation</v>
          </cell>
          <cell r="B30" t="str">
            <v>LINGALA</v>
          </cell>
          <cell r="C30" t="str">
            <v>Personnel cost</v>
          </cell>
          <cell r="E30">
            <v>1216000</v>
          </cell>
          <cell r="F30">
            <v>1214000</v>
          </cell>
          <cell r="G30">
            <v>1107500</v>
          </cell>
          <cell r="H30">
            <v>1009000</v>
          </cell>
          <cell r="I30">
            <v>1009000</v>
          </cell>
          <cell r="J30">
            <v>908500.00000000012</v>
          </cell>
          <cell r="K30">
            <v>908500.00000000012</v>
          </cell>
          <cell r="L30">
            <v>771000</v>
          </cell>
          <cell r="M30">
            <v>679000</v>
          </cell>
          <cell r="N30">
            <v>403500</v>
          </cell>
          <cell r="O30">
            <v>252000</v>
          </cell>
          <cell r="P30">
            <v>154000</v>
          </cell>
          <cell r="Q30">
            <v>9632000</v>
          </cell>
        </row>
        <row r="31">
          <cell r="A31" t="str">
            <v>Irrigation</v>
          </cell>
          <cell r="B31" t="str">
            <v>LINGALA</v>
          </cell>
          <cell r="C31" t="str">
            <v>OPEX Cost</v>
          </cell>
          <cell r="E31">
            <v>7274631.1594403228</v>
          </cell>
          <cell r="F31">
            <v>5823206.7487810496</v>
          </cell>
          <cell r="G31">
            <v>7758295.9476565719</v>
          </cell>
          <cell r="H31">
            <v>7514670.9476565719</v>
          </cell>
          <cell r="I31">
            <v>8119483.4914348759</v>
          </cell>
          <cell r="J31">
            <v>8929784.0475559868</v>
          </cell>
          <cell r="K31">
            <v>7798917.8899072129</v>
          </cell>
          <cell r="L31">
            <v>8641359.0505524036</v>
          </cell>
          <cell r="M31">
            <v>6464249.0030947402</v>
          </cell>
          <cell r="N31">
            <v>6951517.8822872629</v>
          </cell>
          <cell r="O31">
            <v>7378634.7222332368</v>
          </cell>
          <cell r="P31">
            <v>8077188.6003391873</v>
          </cell>
          <cell r="Q31">
            <v>90731939.490939423</v>
          </cell>
        </row>
        <row r="32">
          <cell r="A32" t="str">
            <v>Irrigation</v>
          </cell>
          <cell r="B32" t="str">
            <v>TADIPUDI</v>
          </cell>
          <cell r="C32" t="str">
            <v>Actual Work Done</v>
          </cell>
          <cell r="E32">
            <v>61613465.835743524</v>
          </cell>
          <cell r="F32">
            <v>62494995.170541696</v>
          </cell>
          <cell r="G32">
            <v>56960513.631355889</v>
          </cell>
          <cell r="H32">
            <v>30594071.641862065</v>
          </cell>
          <cell r="I32">
            <v>2728064.7567654364</v>
          </cell>
          <cell r="J32">
            <v>15931924.285467556</v>
          </cell>
          <cell r="K32">
            <v>79131907.906328812</v>
          </cell>
          <cell r="L32">
            <v>78258675.830720663</v>
          </cell>
          <cell r="M32">
            <v>118855838.25721484</v>
          </cell>
          <cell r="N32">
            <v>0</v>
          </cell>
          <cell r="O32">
            <v>0</v>
          </cell>
          <cell r="P32">
            <v>0</v>
          </cell>
          <cell r="Q32">
            <v>506569457.31600046</v>
          </cell>
        </row>
        <row r="33">
          <cell r="A33" t="str">
            <v>Irrigation</v>
          </cell>
          <cell r="B33" t="str">
            <v>TADIPUDI</v>
          </cell>
          <cell r="C33" t="str">
            <v>Price Escallation</v>
          </cell>
          <cell r="E33">
            <v>4449077.266859482</v>
          </cell>
          <cell r="F33">
            <v>4519599.6136433361</v>
          </cell>
          <cell r="G33">
            <v>3756841.0905084712</v>
          </cell>
          <cell r="H33">
            <v>2447525.7313489653</v>
          </cell>
          <cell r="I33">
            <v>218245.18054123491</v>
          </cell>
          <cell r="J33">
            <v>1274553.9428374046</v>
          </cell>
          <cell r="K33">
            <v>5130552.6325063054</v>
          </cell>
          <cell r="L33">
            <v>5060694.0664576534</v>
          </cell>
          <cell r="M33">
            <v>6003907.0605771868</v>
          </cell>
          <cell r="N33">
            <v>0</v>
          </cell>
          <cell r="O33">
            <v>0</v>
          </cell>
          <cell r="P33">
            <v>0</v>
          </cell>
          <cell r="Q33">
            <v>32860996.585280035</v>
          </cell>
        </row>
        <row r="34">
          <cell r="A34" t="str">
            <v>Irrigation</v>
          </cell>
          <cell r="B34" t="str">
            <v>TADIPUDI</v>
          </cell>
          <cell r="C34" t="str">
            <v>Variation Order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A35" t="str">
            <v>Irrigation</v>
          </cell>
          <cell r="B35" t="str">
            <v>TADIPUDI</v>
          </cell>
          <cell r="C35" t="str">
            <v>Work In Progress (increase/decrease)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 t="str">
            <v>Irrigation</v>
          </cell>
          <cell r="B36" t="str">
            <v>TADIPUDI</v>
          </cell>
          <cell r="C36" t="str">
            <v>Other Income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Irrigation</v>
          </cell>
          <cell r="B37" t="str">
            <v>TADIPUDI</v>
          </cell>
          <cell r="C37" t="str">
            <v>Material Cost</v>
          </cell>
          <cell r="E37">
            <v>16165788.9056294</v>
          </cell>
          <cell r="F37">
            <v>18235625.300271586</v>
          </cell>
          <cell r="G37">
            <v>17967474.670956075</v>
          </cell>
          <cell r="H37">
            <v>11325267.068071479</v>
          </cell>
          <cell r="I37">
            <v>2061690.9662369285</v>
          </cell>
          <cell r="J37">
            <v>6017732.1530316183</v>
          </cell>
          <cell r="K37">
            <v>22171429.899724975</v>
          </cell>
          <cell r="L37">
            <v>22607535.000085451</v>
          </cell>
          <cell r="M37">
            <v>27770294.793469343</v>
          </cell>
          <cell r="N37">
            <v>0</v>
          </cell>
          <cell r="O37">
            <v>0</v>
          </cell>
          <cell r="P37">
            <v>0</v>
          </cell>
          <cell r="Q37">
            <v>144322838.75747684</v>
          </cell>
        </row>
        <row r="38">
          <cell r="A38" t="str">
            <v>Irrigation</v>
          </cell>
          <cell r="B38" t="str">
            <v>TADIPUDI</v>
          </cell>
          <cell r="C38" t="str">
            <v>Labor charges</v>
          </cell>
          <cell r="E38">
            <v>822733.91216562537</v>
          </cell>
          <cell r="F38">
            <v>843903.07070799102</v>
          </cell>
          <cell r="G38">
            <v>795110.47000161221</v>
          </cell>
          <cell r="H38">
            <v>392293.70066291001</v>
          </cell>
          <cell r="I38">
            <v>72002.458612164817</v>
          </cell>
          <cell r="J38">
            <v>212169.87031327435</v>
          </cell>
          <cell r="K38">
            <v>882530.20939195168</v>
          </cell>
          <cell r="L38">
            <v>854692.42713733774</v>
          </cell>
          <cell r="M38">
            <v>999964.18707200955</v>
          </cell>
          <cell r="N38">
            <v>0</v>
          </cell>
          <cell r="O38">
            <v>0</v>
          </cell>
          <cell r="P38">
            <v>0</v>
          </cell>
          <cell r="Q38">
            <v>5875400.3060648767</v>
          </cell>
        </row>
        <row r="39">
          <cell r="A39" t="str">
            <v>Irrigation</v>
          </cell>
          <cell r="B39" t="str">
            <v>TADIPUDI</v>
          </cell>
          <cell r="C39" t="str">
            <v>Sub-con work</v>
          </cell>
          <cell r="E39">
            <v>13650839.92591143</v>
          </cell>
          <cell r="F39">
            <v>16500702.09529965</v>
          </cell>
          <cell r="G39">
            <v>12118765.226556631</v>
          </cell>
          <cell r="H39">
            <v>11872158.638652259</v>
          </cell>
          <cell r="I39">
            <v>533238.19433201861</v>
          </cell>
          <cell r="J39">
            <v>4470649.9507529465</v>
          </cell>
          <cell r="K39">
            <v>11382097.058063913</v>
          </cell>
          <cell r="L39">
            <v>11770242.982255794</v>
          </cell>
          <cell r="M39">
            <v>12829260.839190215</v>
          </cell>
          <cell r="N39">
            <v>0</v>
          </cell>
          <cell r="O39">
            <v>0</v>
          </cell>
          <cell r="P39">
            <v>0</v>
          </cell>
          <cell r="Q39">
            <v>95127954.911014855</v>
          </cell>
        </row>
        <row r="40">
          <cell r="A40" t="str">
            <v>Irrigation</v>
          </cell>
          <cell r="B40" t="str">
            <v>TADIPUDI</v>
          </cell>
          <cell r="C40" t="str">
            <v>Own Machinery Hire</v>
          </cell>
          <cell r="E40">
            <v>5335040.376529675</v>
          </cell>
          <cell r="F40">
            <v>5326718.0836621644</v>
          </cell>
          <cell r="G40">
            <v>4843486.7983890744</v>
          </cell>
          <cell r="H40">
            <v>2270173.0252445657</v>
          </cell>
          <cell r="I40">
            <v>362755.24386509706</v>
          </cell>
          <cell r="J40">
            <v>1068932.0132925913</v>
          </cell>
          <cell r="K40">
            <v>5205305.5311270701</v>
          </cell>
          <cell r="L40">
            <v>4906907.561482396</v>
          </cell>
          <cell r="M40">
            <v>5448772.2645818386</v>
          </cell>
          <cell r="N40">
            <v>0</v>
          </cell>
          <cell r="O40">
            <v>0</v>
          </cell>
          <cell r="P40">
            <v>0</v>
          </cell>
          <cell r="Q40">
            <v>34768090.898174472</v>
          </cell>
        </row>
        <row r="41">
          <cell r="A41" t="str">
            <v>Irrigation</v>
          </cell>
          <cell r="B41" t="str">
            <v>TADIPUDI</v>
          </cell>
          <cell r="C41" t="str">
            <v>Hire Machinery Charge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 t="str">
            <v>Irrigation</v>
          </cell>
          <cell r="B42" t="str">
            <v>TADIPUDI</v>
          </cell>
          <cell r="C42" t="str">
            <v>Other Direct Expenses</v>
          </cell>
          <cell r="E42">
            <v>4711622.8377121398</v>
          </cell>
          <cell r="F42">
            <v>4500441.4793396341</v>
          </cell>
          <cell r="G42">
            <v>4081099.7081170194</v>
          </cell>
          <cell r="H42">
            <v>1636226.9259435341</v>
          </cell>
          <cell r="I42">
            <v>289191.53616369108</v>
          </cell>
          <cell r="J42">
            <v>942405.32436270255</v>
          </cell>
          <cell r="K42">
            <v>4167050.6538126417</v>
          </cell>
          <cell r="L42">
            <v>3870471.7565296157</v>
          </cell>
          <cell r="M42">
            <v>4209259.5066455454</v>
          </cell>
          <cell r="N42">
            <v>0</v>
          </cell>
          <cell r="O42">
            <v>0</v>
          </cell>
          <cell r="P42">
            <v>0</v>
          </cell>
          <cell r="Q42">
            <v>28407769.728626523</v>
          </cell>
        </row>
        <row r="43">
          <cell r="A43" t="str">
            <v>Irrigation</v>
          </cell>
          <cell r="B43" t="str">
            <v>TADIPUDI</v>
          </cell>
          <cell r="C43" t="str">
            <v>JV's Fees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Irrigation</v>
          </cell>
          <cell r="B44" t="str">
            <v>TADIPUDI</v>
          </cell>
          <cell r="C44" t="str">
            <v>VAT &amp; other Taxes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 t="str">
            <v>Irrigation</v>
          </cell>
          <cell r="B45" t="str">
            <v>TADIPUDI</v>
          </cell>
          <cell r="C45" t="str">
            <v>Personnel cost</v>
          </cell>
          <cell r="E45">
            <v>2000000</v>
          </cell>
          <cell r="F45">
            <v>1900000</v>
          </cell>
          <cell r="G45">
            <v>1900000</v>
          </cell>
          <cell r="H45">
            <v>1900000</v>
          </cell>
          <cell r="I45">
            <v>1900000</v>
          </cell>
          <cell r="J45">
            <v>1900000</v>
          </cell>
          <cell r="K45">
            <v>1900000</v>
          </cell>
          <cell r="L45">
            <v>1900000</v>
          </cell>
          <cell r="M45">
            <v>1900000</v>
          </cell>
          <cell r="N45">
            <v>0</v>
          </cell>
          <cell r="O45">
            <v>0</v>
          </cell>
          <cell r="P45">
            <v>0</v>
          </cell>
          <cell r="Q45">
            <v>17200000</v>
          </cell>
        </row>
        <row r="46">
          <cell r="A46" t="str">
            <v>Irrigation</v>
          </cell>
          <cell r="B46" t="str">
            <v>TADIPUDI</v>
          </cell>
          <cell r="C46" t="str">
            <v>OPEX Cost</v>
          </cell>
          <cell r="E46">
            <v>12732849.368466385</v>
          </cell>
          <cell r="F46">
            <v>13521648.307042548</v>
          </cell>
          <cell r="G46">
            <v>12044074.539185783</v>
          </cell>
          <cell r="H46">
            <v>6641809.6836744202</v>
          </cell>
          <cell r="I46">
            <v>1147854.7716752074</v>
          </cell>
          <cell r="J46">
            <v>5251077.013533528</v>
          </cell>
          <cell r="K46">
            <v>16142280.696285428</v>
          </cell>
          <cell r="L46">
            <v>15820117.613469694</v>
          </cell>
          <cell r="M46">
            <v>54766256.227253564</v>
          </cell>
          <cell r="N46">
            <v>0</v>
          </cell>
          <cell r="O46">
            <v>0</v>
          </cell>
          <cell r="P46">
            <v>0</v>
          </cell>
          <cell r="Q46">
            <v>138067968.22058654</v>
          </cell>
        </row>
        <row r="47">
          <cell r="A47" t="str">
            <v>Irrigation</v>
          </cell>
          <cell r="B47" t="str">
            <v>UDAYASAMUDRAM</v>
          </cell>
          <cell r="C47" t="str">
            <v>Actual Work Done</v>
          </cell>
          <cell r="E47">
            <v>7075789.0197802512</v>
          </cell>
          <cell r="F47">
            <v>7593733.9684119746</v>
          </cell>
          <cell r="G47">
            <v>7919635.606244483</v>
          </cell>
          <cell r="H47">
            <v>7104881.5116632152</v>
          </cell>
          <cell r="I47">
            <v>6982365.5128394403</v>
          </cell>
          <cell r="J47">
            <v>10549133.057422793</v>
          </cell>
          <cell r="K47">
            <v>15496369.493360668</v>
          </cell>
          <cell r="L47">
            <v>18460317.668578178</v>
          </cell>
          <cell r="M47">
            <v>39284145.831165247</v>
          </cell>
          <cell r="N47">
            <v>51808409.167144775</v>
          </cell>
          <cell r="O47">
            <v>70718575.963353992</v>
          </cell>
          <cell r="P47">
            <v>59798693.200035028</v>
          </cell>
          <cell r="Q47">
            <v>302792050.00000006</v>
          </cell>
        </row>
        <row r="48">
          <cell r="A48" t="str">
            <v>Irrigation</v>
          </cell>
          <cell r="B48" t="str">
            <v>UDAYASAMUDRAM</v>
          </cell>
          <cell r="C48" t="str">
            <v>Price Escallation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A49" t="str">
            <v>Irrigation</v>
          </cell>
          <cell r="B49" t="str">
            <v>UDAYASAMUDRAM</v>
          </cell>
          <cell r="C49" t="str">
            <v>Variation Order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A50" t="str">
            <v>Irrigation</v>
          </cell>
          <cell r="B50" t="str">
            <v>UDAYASAMUDRAM</v>
          </cell>
          <cell r="C50" t="str">
            <v>Work In Progress (increase/decrease)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Irrigation</v>
          </cell>
          <cell r="B51" t="str">
            <v>UDAYASAMUDRAM</v>
          </cell>
          <cell r="C51" t="str">
            <v>Other Income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A52" t="str">
            <v>Irrigation</v>
          </cell>
          <cell r="B52" t="str">
            <v>UDAYASAMUDRAM</v>
          </cell>
          <cell r="C52" t="str">
            <v>Material Cost</v>
          </cell>
          <cell r="E52">
            <v>273968.55725645059</v>
          </cell>
          <cell r="F52">
            <v>547937.11451290117</v>
          </cell>
          <cell r="G52">
            <v>547937.11451290117</v>
          </cell>
          <cell r="H52">
            <v>547937.11451290117</v>
          </cell>
          <cell r="I52">
            <v>378076.60901390179</v>
          </cell>
          <cell r="J52">
            <v>0</v>
          </cell>
          <cell r="K52">
            <v>2003909.0208845593</v>
          </cell>
          <cell r="L52">
            <v>2118601.3072282337</v>
          </cell>
          <cell r="M52">
            <v>2538843.5236078901</v>
          </cell>
          <cell r="N52">
            <v>7282880.4921116447</v>
          </cell>
          <cell r="O52">
            <v>15659362.008985685</v>
          </cell>
          <cell r="P52">
            <v>14915969.522897338</v>
          </cell>
          <cell r="Q52">
            <v>46815422.385524407</v>
          </cell>
        </row>
        <row r="53">
          <cell r="A53" t="str">
            <v>Irrigation</v>
          </cell>
          <cell r="B53" t="str">
            <v>UDAYASAMUDRAM</v>
          </cell>
          <cell r="C53" t="str">
            <v>Labor charges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11069.436656826287</v>
          </cell>
          <cell r="L53">
            <v>129670.54369425078</v>
          </cell>
          <cell r="M53">
            <v>217633.03141367392</v>
          </cell>
          <cell r="N53">
            <v>651653.78261712892</v>
          </cell>
          <cell r="O53">
            <v>592116.02688434185</v>
          </cell>
          <cell r="P53">
            <v>506822.45941028412</v>
          </cell>
          <cell r="Q53">
            <v>2108965.280676506</v>
          </cell>
        </row>
        <row r="54">
          <cell r="A54" t="str">
            <v>Irrigation</v>
          </cell>
          <cell r="B54" t="str">
            <v>UDAYASAMUDRAM</v>
          </cell>
          <cell r="C54" t="str">
            <v>Sub-con work</v>
          </cell>
          <cell r="E54">
            <v>3822154.226743679</v>
          </cell>
          <cell r="F54">
            <v>5710477.8695398048</v>
          </cell>
          <cell r="G54">
            <v>5361901.3092163457</v>
          </cell>
          <cell r="H54">
            <v>4849663.1279217098</v>
          </cell>
          <cell r="I54">
            <v>4942497.4818071481</v>
          </cell>
          <cell r="J54">
            <v>6161220.7695978684</v>
          </cell>
          <cell r="K54">
            <v>9804973.2028237749</v>
          </cell>
          <cell r="L54">
            <v>10756592.592031647</v>
          </cell>
          <cell r="M54">
            <v>25028148.438930232</v>
          </cell>
          <cell r="N54">
            <v>27480499.567548241</v>
          </cell>
          <cell r="O54">
            <v>28694800.551431991</v>
          </cell>
          <cell r="P54">
            <v>22075774.356178027</v>
          </cell>
          <cell r="Q54">
            <v>154688703.49377045</v>
          </cell>
        </row>
        <row r="55">
          <cell r="A55" t="str">
            <v>Irrigation</v>
          </cell>
          <cell r="B55" t="str">
            <v>UDAYASAMUDRAM</v>
          </cell>
          <cell r="C55" t="str">
            <v>Own Machinery Hire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419849.63862853474</v>
          </cell>
          <cell r="L55">
            <v>1331298.1739611258</v>
          </cell>
          <cell r="M55">
            <v>1798050.978084364</v>
          </cell>
          <cell r="N55">
            <v>2149902.1212914032</v>
          </cell>
          <cell r="O55">
            <v>3449955.7770412811</v>
          </cell>
          <cell r="P55">
            <v>2869215.2927189842</v>
          </cell>
          <cell r="Q55">
            <v>12018271.981725693</v>
          </cell>
        </row>
        <row r="56">
          <cell r="A56" t="str">
            <v>Irrigation</v>
          </cell>
          <cell r="B56" t="str">
            <v>UDAYASAMUDRAM</v>
          </cell>
          <cell r="C56" t="str">
            <v>Hire Machinery Charge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A57" t="str">
            <v>Irrigation</v>
          </cell>
          <cell r="B57" t="str">
            <v>UDAYASAMUDRAM</v>
          </cell>
          <cell r="C57" t="str">
            <v>Other Direct Expenses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A58" t="str">
            <v>Irrigation</v>
          </cell>
          <cell r="B58" t="str">
            <v>UDAYASAMUDRAM</v>
          </cell>
          <cell r="C58" t="str">
            <v>JV's Fees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A59" t="str">
            <v>Irrigation</v>
          </cell>
          <cell r="B59" t="str">
            <v>UDAYASAMUDRAM</v>
          </cell>
          <cell r="C59" t="str">
            <v>VAT &amp; other Taxes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A60" t="str">
            <v>Irrigation</v>
          </cell>
          <cell r="B60" t="str">
            <v>UDAYASAMUDRAM</v>
          </cell>
          <cell r="C60" t="str">
            <v>Personnel cost</v>
          </cell>
          <cell r="E60">
            <v>795615.7597093893</v>
          </cell>
          <cell r="F60">
            <v>795615.7597093893</v>
          </cell>
          <cell r="G60">
            <v>795615.7597093893</v>
          </cell>
          <cell r="H60">
            <v>961934.04547820427</v>
          </cell>
          <cell r="I60">
            <v>961934.04547820427</v>
          </cell>
          <cell r="J60">
            <v>961934.04547820427</v>
          </cell>
          <cell r="K60">
            <v>961934.04547820427</v>
          </cell>
          <cell r="L60">
            <v>961934.04547820427</v>
          </cell>
          <cell r="M60">
            <v>961934.04547820427</v>
          </cell>
          <cell r="N60">
            <v>961934.04547820427</v>
          </cell>
          <cell r="O60">
            <v>961934.04547820427</v>
          </cell>
          <cell r="P60">
            <v>961934.04547820427</v>
          </cell>
          <cell r="Q60">
            <v>11044253.688432006</v>
          </cell>
        </row>
        <row r="61">
          <cell r="A61" t="str">
            <v>Irrigation</v>
          </cell>
          <cell r="B61" t="str">
            <v>UDAYASAMUDRAM</v>
          </cell>
          <cell r="C61" t="str">
            <v>OPEX Cost</v>
          </cell>
          <cell r="E61">
            <v>1383811.4970360841</v>
          </cell>
          <cell r="F61">
            <v>1122928.0643260533</v>
          </cell>
          <cell r="G61">
            <v>1381542.6178236862</v>
          </cell>
          <cell r="H61">
            <v>1419235.7874296778</v>
          </cell>
          <cell r="I61">
            <v>699696.08779994864</v>
          </cell>
          <cell r="J61">
            <v>982004.48801498371</v>
          </cell>
          <cell r="K61">
            <v>1884174.6978959916</v>
          </cell>
          <cell r="L61">
            <v>2154831.5878656795</v>
          </cell>
          <cell r="M61">
            <v>4804085.717753143</v>
          </cell>
          <cell r="N61">
            <v>6534509.5774914753</v>
          </cell>
          <cell r="O61">
            <v>9533480.0297722127</v>
          </cell>
          <cell r="P61">
            <v>7640212.8691109577</v>
          </cell>
          <cell r="Q61">
            <v>39540513.022319898</v>
          </cell>
        </row>
        <row r="62">
          <cell r="A62" t="str">
            <v>Irrigation</v>
          </cell>
          <cell r="B62" t="str">
            <v>GNSS</v>
          </cell>
          <cell r="C62" t="str">
            <v>Actual Work Done</v>
          </cell>
          <cell r="E62">
            <v>26422678.915419694</v>
          </cell>
          <cell r="F62">
            <v>26455036.058276836</v>
          </cell>
          <cell r="G62">
            <v>17208561.058276847</v>
          </cell>
          <cell r="H62">
            <v>17710750.979091749</v>
          </cell>
          <cell r="I62">
            <v>18935750.979091749</v>
          </cell>
          <cell r="J62">
            <v>13813679.550520318</v>
          </cell>
          <cell r="K62">
            <v>7333237.8945104582</v>
          </cell>
          <cell r="L62">
            <v>8613679.5505203176</v>
          </cell>
          <cell r="M62">
            <v>6385087.1583062727</v>
          </cell>
          <cell r="N62">
            <v>0</v>
          </cell>
          <cell r="O62">
            <v>0</v>
          </cell>
          <cell r="P62">
            <v>0</v>
          </cell>
          <cell r="Q62">
            <v>142878462.14401424</v>
          </cell>
        </row>
        <row r="63">
          <cell r="A63" t="str">
            <v>Irrigation</v>
          </cell>
          <cell r="B63" t="str">
            <v>GNSS</v>
          </cell>
          <cell r="C63" t="str">
            <v>Price Escallation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A64" t="str">
            <v>Irrigation</v>
          </cell>
          <cell r="B64" t="str">
            <v>GNSS</v>
          </cell>
          <cell r="C64" t="str">
            <v>Variation Order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A65" t="str">
            <v>Irrigation</v>
          </cell>
          <cell r="B65" t="str">
            <v>GNSS</v>
          </cell>
          <cell r="C65" t="str">
            <v>Work In Progress (increase/decrease)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A66" t="str">
            <v>Irrigation</v>
          </cell>
          <cell r="B66" t="str">
            <v>GNSS</v>
          </cell>
          <cell r="C66" t="str">
            <v>Other Income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Irrigation</v>
          </cell>
          <cell r="B67" t="str">
            <v>GNSS</v>
          </cell>
          <cell r="C67" t="str">
            <v>Material Cost</v>
          </cell>
          <cell r="E67">
            <v>7699087.0981120011</v>
          </cell>
          <cell r="F67">
            <v>7233968.0240000011</v>
          </cell>
          <cell r="G67">
            <v>5285444.0240000002</v>
          </cell>
          <cell r="H67">
            <v>6040507.4560000002</v>
          </cell>
          <cell r="I67">
            <v>6040507.4560000002</v>
          </cell>
          <cell r="J67">
            <v>6040507.4560000002</v>
          </cell>
          <cell r="K67">
            <v>6040507.4560000002</v>
          </cell>
          <cell r="L67">
            <v>6040507.4560000002</v>
          </cell>
          <cell r="M67">
            <v>5546695.9714720007</v>
          </cell>
          <cell r="N67">
            <v>0</v>
          </cell>
          <cell r="O67">
            <v>0</v>
          </cell>
          <cell r="P67">
            <v>0</v>
          </cell>
          <cell r="Q67">
            <v>55967732.397584006</v>
          </cell>
        </row>
        <row r="68">
          <cell r="A68" t="str">
            <v>Irrigation</v>
          </cell>
          <cell r="B68" t="str">
            <v>GNSS</v>
          </cell>
          <cell r="C68" t="str">
            <v>Labor charges</v>
          </cell>
          <cell r="E68">
            <v>48149.444444444438</v>
          </cell>
          <cell r="F68">
            <v>45069.444444444438</v>
          </cell>
          <cell r="G68">
            <v>35000</v>
          </cell>
          <cell r="H68">
            <v>40000</v>
          </cell>
          <cell r="I68">
            <v>40000</v>
          </cell>
          <cell r="J68">
            <v>40000</v>
          </cell>
          <cell r="K68">
            <v>40000</v>
          </cell>
          <cell r="L68">
            <v>40000</v>
          </cell>
          <cell r="M68">
            <v>36730</v>
          </cell>
          <cell r="N68">
            <v>0</v>
          </cell>
          <cell r="O68">
            <v>0</v>
          </cell>
          <cell r="P68">
            <v>0</v>
          </cell>
          <cell r="Q68">
            <v>364948.88888888888</v>
          </cell>
        </row>
        <row r="69">
          <cell r="A69" t="str">
            <v>Irrigation</v>
          </cell>
          <cell r="B69" t="str">
            <v>GNSS</v>
          </cell>
          <cell r="C69" t="str">
            <v>Sub-con work</v>
          </cell>
          <cell r="E69">
            <v>8405275.7272417229</v>
          </cell>
          <cell r="F69">
            <v>9539767.4652827866</v>
          </cell>
          <cell r="G69">
            <v>9462267.4652827866</v>
          </cell>
          <cell r="H69">
            <v>9742267.4652827848</v>
          </cell>
          <cell r="I69">
            <v>10785678.538519707</v>
          </cell>
          <cell r="J69">
            <v>5821352.2511595944</v>
          </cell>
          <cell r="K69">
            <v>4858332.0816745786</v>
          </cell>
          <cell r="L69">
            <v>5821352.2511595944</v>
          </cell>
          <cell r="M69">
            <v>2698258.3984876741</v>
          </cell>
          <cell r="N69">
            <v>0</v>
          </cell>
          <cell r="O69">
            <v>0</v>
          </cell>
          <cell r="P69">
            <v>0</v>
          </cell>
          <cell r="Q69">
            <v>67134551.644091219</v>
          </cell>
        </row>
        <row r="70">
          <cell r="A70" t="str">
            <v>Irrigation</v>
          </cell>
          <cell r="B70" t="str">
            <v>GNSS</v>
          </cell>
          <cell r="C70" t="str">
            <v>Own Machinery Hire</v>
          </cell>
          <cell r="E70">
            <v>637000.59027777787</v>
          </cell>
          <cell r="F70">
            <v>609280.59027777787</v>
          </cell>
          <cell r="G70">
            <v>315000</v>
          </cell>
          <cell r="H70">
            <v>359999.99999999994</v>
          </cell>
          <cell r="I70">
            <v>359999.99999999994</v>
          </cell>
          <cell r="J70">
            <v>359999.99999999994</v>
          </cell>
          <cell r="K70">
            <v>359999.99999999994</v>
          </cell>
          <cell r="L70">
            <v>359999.99999999994</v>
          </cell>
          <cell r="M70">
            <v>330570</v>
          </cell>
          <cell r="N70">
            <v>0</v>
          </cell>
          <cell r="O70">
            <v>0</v>
          </cell>
          <cell r="P70">
            <v>0</v>
          </cell>
          <cell r="Q70">
            <v>3691851.1805555555</v>
          </cell>
        </row>
        <row r="71">
          <cell r="A71" t="str">
            <v>Irrigation</v>
          </cell>
          <cell r="B71" t="str">
            <v>GNSS</v>
          </cell>
          <cell r="C71" t="str">
            <v>Hire Machinery Charge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A72" t="str">
            <v>Irrigation</v>
          </cell>
          <cell r="B72" t="str">
            <v>GNSS</v>
          </cell>
          <cell r="C72" t="str">
            <v>Other Direct Expenses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A73" t="str">
            <v>Irrigation</v>
          </cell>
          <cell r="B73" t="str">
            <v>GNSS</v>
          </cell>
          <cell r="C73" t="str">
            <v>JV's Fees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A74" t="str">
            <v>Irrigation</v>
          </cell>
          <cell r="B74" t="str">
            <v>GNSS</v>
          </cell>
          <cell r="C74" t="str">
            <v>VAT &amp; other Taxes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A75" t="str">
            <v>Irrigation</v>
          </cell>
          <cell r="B75" t="str">
            <v>GNSS</v>
          </cell>
          <cell r="C75" t="str">
            <v>Personnel cost</v>
          </cell>
          <cell r="E75">
            <v>1000000</v>
          </cell>
          <cell r="F75">
            <v>1000000</v>
          </cell>
          <cell r="G75">
            <v>900000</v>
          </cell>
          <cell r="H75">
            <v>900000</v>
          </cell>
          <cell r="I75">
            <v>800000</v>
          </cell>
          <cell r="J75">
            <v>800000</v>
          </cell>
          <cell r="K75">
            <v>750000</v>
          </cell>
          <cell r="L75">
            <v>750000</v>
          </cell>
          <cell r="M75">
            <v>500000</v>
          </cell>
          <cell r="N75">
            <v>0</v>
          </cell>
          <cell r="O75">
            <v>0</v>
          </cell>
          <cell r="P75">
            <v>0</v>
          </cell>
          <cell r="Q75">
            <v>7400000</v>
          </cell>
        </row>
        <row r="76">
          <cell r="A76" t="str">
            <v>Irrigation</v>
          </cell>
          <cell r="B76" t="str">
            <v>GNSS</v>
          </cell>
          <cell r="C76" t="str">
            <v>OPEX Cost</v>
          </cell>
          <cell r="E76">
            <v>7374819.7288549235</v>
          </cell>
          <cell r="F76">
            <v>6237405.4087415244</v>
          </cell>
          <cell r="G76">
            <v>3318034.1587415277</v>
          </cell>
          <cell r="H76">
            <v>3281612.6468637628</v>
          </cell>
          <cell r="I76">
            <v>3462862.6468637628</v>
          </cell>
          <cell r="J76">
            <v>2677051.9325780477</v>
          </cell>
          <cell r="K76">
            <v>1627485.6841765686</v>
          </cell>
          <cell r="L76">
            <v>1763551.9325780477</v>
          </cell>
          <cell r="M76">
            <v>1418962.5737459408</v>
          </cell>
          <cell r="N76">
            <v>0</v>
          </cell>
          <cell r="O76">
            <v>0</v>
          </cell>
          <cell r="P76">
            <v>0</v>
          </cell>
          <cell r="Q76">
            <v>31161786.713144097</v>
          </cell>
        </row>
        <row r="77">
          <cell r="A77" t="str">
            <v>Irrigation</v>
          </cell>
          <cell r="B77" t="str">
            <v>BHUPATHIPALEM</v>
          </cell>
          <cell r="C77" t="str">
            <v>Actual Work Done</v>
          </cell>
          <cell r="E77">
            <v>51212153.09519998</v>
          </cell>
          <cell r="F77">
            <v>43681332.006959997</v>
          </cell>
          <cell r="G77">
            <v>41760846.648499995</v>
          </cell>
          <cell r="H77">
            <v>14052579.407200003</v>
          </cell>
          <cell r="I77">
            <v>20817817.100000001</v>
          </cell>
          <cell r="J77">
            <v>26045304.074000001</v>
          </cell>
          <cell r="K77">
            <v>22931649.119200006</v>
          </cell>
          <cell r="L77">
            <v>22205885.8112</v>
          </cell>
          <cell r="M77">
            <v>16693642.981599998</v>
          </cell>
          <cell r="N77">
            <v>0</v>
          </cell>
          <cell r="O77">
            <v>0</v>
          </cell>
          <cell r="P77">
            <v>0</v>
          </cell>
          <cell r="Q77">
            <v>259401210.24385998</v>
          </cell>
        </row>
        <row r="78">
          <cell r="A78" t="str">
            <v>Irrigation</v>
          </cell>
          <cell r="B78" t="str">
            <v>BHUPATHIPALEM</v>
          </cell>
          <cell r="C78" t="str">
            <v>Price Escallation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A79" t="str">
            <v>Irrigation</v>
          </cell>
          <cell r="B79" t="str">
            <v>BHUPATHIPALEM</v>
          </cell>
          <cell r="C79" t="str">
            <v>Variation Order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A80" t="str">
            <v>Irrigation</v>
          </cell>
          <cell r="B80" t="str">
            <v>BHUPATHIPALEM</v>
          </cell>
          <cell r="C80" t="str">
            <v>Work In Progress (increase/decrease)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A81" t="str">
            <v>Irrigation</v>
          </cell>
          <cell r="B81" t="str">
            <v>BHUPATHIPALEM</v>
          </cell>
          <cell r="C81" t="str">
            <v>Other Income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A82" t="str">
            <v>Irrigation</v>
          </cell>
          <cell r="B82" t="str">
            <v>BHUPATHIPALEM</v>
          </cell>
          <cell r="C82" t="str">
            <v>Material Cost</v>
          </cell>
          <cell r="E82">
            <v>25581329.07067813</v>
          </cell>
          <cell r="F82">
            <v>18378145.24900097</v>
          </cell>
          <cell r="G82">
            <v>16681395.359113552</v>
          </cell>
          <cell r="H82">
            <v>8393792.1732486244</v>
          </cell>
          <cell r="I82">
            <v>12964557.909062546</v>
          </cell>
          <cell r="J82">
            <v>17299019.774517618</v>
          </cell>
          <cell r="K82">
            <v>7661106.7449963326</v>
          </cell>
          <cell r="L82">
            <v>7274048.9761027535</v>
          </cell>
          <cell r="M82">
            <v>5403061.3982768655</v>
          </cell>
          <cell r="N82">
            <v>0</v>
          </cell>
          <cell r="O82">
            <v>0</v>
          </cell>
          <cell r="P82">
            <v>0</v>
          </cell>
          <cell r="Q82">
            <v>119636456.65499739</v>
          </cell>
        </row>
        <row r="83">
          <cell r="A83" t="str">
            <v>Irrigation</v>
          </cell>
          <cell r="B83" t="str">
            <v>BHUPATHIPALEM</v>
          </cell>
          <cell r="C83" t="str">
            <v>Labor charges</v>
          </cell>
          <cell r="E83">
            <v>993574.16645228723</v>
          </cell>
          <cell r="F83">
            <v>640964.32652997167</v>
          </cell>
          <cell r="G83">
            <v>608550.41601828882</v>
          </cell>
          <cell r="H83">
            <v>373060.66042101657</v>
          </cell>
          <cell r="I83">
            <v>447516.13033528795</v>
          </cell>
          <cell r="J83">
            <v>611470.10438591056</v>
          </cell>
          <cell r="K83">
            <v>200601.46977515091</v>
          </cell>
          <cell r="L83">
            <v>199066.55583776927</v>
          </cell>
          <cell r="M83">
            <v>129610.02051503403</v>
          </cell>
          <cell r="N83">
            <v>0</v>
          </cell>
          <cell r="O83">
            <v>0</v>
          </cell>
          <cell r="P83">
            <v>0</v>
          </cell>
          <cell r="Q83">
            <v>4204413.8502707174</v>
          </cell>
        </row>
        <row r="84">
          <cell r="A84" t="str">
            <v>Irrigation</v>
          </cell>
          <cell r="B84" t="str">
            <v>BHUPATHIPALEM</v>
          </cell>
          <cell r="C84" t="str">
            <v>Sub-con work</v>
          </cell>
          <cell r="E84">
            <v>8963926.0679785945</v>
          </cell>
          <cell r="F84">
            <v>13213798.341734631</v>
          </cell>
          <cell r="G84">
            <v>12767716.256430756</v>
          </cell>
          <cell r="H84">
            <v>2246962.0680031152</v>
          </cell>
          <cell r="I84">
            <v>4340312.8047490008</v>
          </cell>
          <cell r="J84">
            <v>4697545.886261398</v>
          </cell>
          <cell r="K84">
            <v>8153174.6000720393</v>
          </cell>
          <cell r="L84">
            <v>8507437.9499451816</v>
          </cell>
          <cell r="M84">
            <v>7157849.2367371982</v>
          </cell>
          <cell r="N84">
            <v>0</v>
          </cell>
          <cell r="O84">
            <v>0</v>
          </cell>
          <cell r="P84">
            <v>0</v>
          </cell>
          <cell r="Q84">
            <v>70048723.211911917</v>
          </cell>
        </row>
        <row r="85">
          <cell r="A85" t="str">
            <v>Irrigation</v>
          </cell>
          <cell r="B85" t="str">
            <v>BHUPATHIPALEM</v>
          </cell>
          <cell r="C85" t="str">
            <v>Own Machinery Hire</v>
          </cell>
          <cell r="E85">
            <v>4546528.2806455418</v>
          </cell>
          <cell r="F85">
            <v>2350232.5104995938</v>
          </cell>
          <cell r="G85">
            <v>2204546.5388882295</v>
          </cell>
          <cell r="H85">
            <v>1119626.3567849516</v>
          </cell>
          <cell r="I85">
            <v>1194371.0749107127</v>
          </cell>
          <cell r="J85">
            <v>1747996.3346225056</v>
          </cell>
          <cell r="K85">
            <v>926059.66613129433</v>
          </cell>
          <cell r="L85">
            <v>734142.90762217552</v>
          </cell>
          <cell r="M85">
            <v>395647.01601581642</v>
          </cell>
          <cell r="N85">
            <v>0</v>
          </cell>
          <cell r="O85">
            <v>0</v>
          </cell>
          <cell r="P85">
            <v>0</v>
          </cell>
          <cell r="Q85">
            <v>15219150.686120821</v>
          </cell>
        </row>
        <row r="86">
          <cell r="A86" t="str">
            <v>Irrigation</v>
          </cell>
          <cell r="B86" t="str">
            <v>BHUPATHIPALEM</v>
          </cell>
          <cell r="C86" t="str">
            <v>Hire Machinery Charge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A87" t="str">
            <v>Irrigation</v>
          </cell>
          <cell r="B87" t="str">
            <v>BHUPATHIPALEM</v>
          </cell>
          <cell r="C87" t="str">
            <v>Other Direct Expenses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A88" t="str">
            <v>Irrigation</v>
          </cell>
          <cell r="B88" t="str">
            <v>BHUPATHIPALEM</v>
          </cell>
          <cell r="C88" t="str">
            <v>JV's Fees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A89" t="str">
            <v>Irrigation</v>
          </cell>
          <cell r="B89" t="str">
            <v>BHUPATHIPALEM</v>
          </cell>
          <cell r="C89" t="str">
            <v>VAT &amp; other Taxes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A90" t="str">
            <v>Irrigation</v>
          </cell>
          <cell r="B90" t="str">
            <v>BHUPATHIPALEM</v>
          </cell>
          <cell r="C90" t="str">
            <v>Personnel cost</v>
          </cell>
          <cell r="E90">
            <v>1340067.72</v>
          </cell>
          <cell r="F90">
            <v>1340067.72</v>
          </cell>
          <cell r="G90">
            <v>1310067.7200000002</v>
          </cell>
          <cell r="H90">
            <v>1198000.7200000002</v>
          </cell>
          <cell r="I90">
            <v>1155305.6800000002</v>
          </cell>
          <cell r="J90">
            <v>1155305.6800000002</v>
          </cell>
          <cell r="K90">
            <v>1185305.6800000002</v>
          </cell>
          <cell r="L90">
            <v>1185305.6800000002</v>
          </cell>
          <cell r="M90">
            <v>1185305.6800000002</v>
          </cell>
          <cell r="N90">
            <v>0</v>
          </cell>
          <cell r="O90">
            <v>0</v>
          </cell>
          <cell r="P90">
            <v>0</v>
          </cell>
          <cell r="Q90">
            <v>11054732.279999999</v>
          </cell>
        </row>
        <row r="91">
          <cell r="A91" t="str">
            <v>Irrigation</v>
          </cell>
          <cell r="B91" t="str">
            <v>BHUPATHIPALEM</v>
          </cell>
          <cell r="C91" t="str">
            <v>OPEX Cost</v>
          </cell>
          <cell r="E91">
            <v>3862370.0374979991</v>
          </cell>
          <cell r="F91">
            <v>3067001.9303653999</v>
          </cell>
          <cell r="G91">
            <v>2941176.4490462495</v>
          </cell>
          <cell r="H91">
            <v>1586492.4188780002</v>
          </cell>
          <cell r="I91">
            <v>1941667.3977500005</v>
          </cell>
          <cell r="J91">
            <v>2216110.463885</v>
          </cell>
          <cell r="K91">
            <v>2147643.5787579999</v>
          </cell>
          <cell r="L91">
            <v>2089541.0050879999</v>
          </cell>
          <cell r="M91">
            <v>1800148.2565339999</v>
          </cell>
          <cell r="N91">
            <v>0</v>
          </cell>
          <cell r="O91">
            <v>0</v>
          </cell>
          <cell r="P91">
            <v>0</v>
          </cell>
          <cell r="Q91">
            <v>21652151.537802652</v>
          </cell>
        </row>
        <row r="92">
          <cell r="A92" t="str">
            <v>Irrigation</v>
          </cell>
          <cell r="B92" t="str">
            <v>B TO B</v>
          </cell>
          <cell r="C92" t="str">
            <v>Actual Work Done</v>
          </cell>
          <cell r="E92">
            <v>521754000</v>
          </cell>
          <cell r="F92">
            <v>531672000</v>
          </cell>
          <cell r="G92">
            <v>543050000</v>
          </cell>
          <cell r="H92">
            <v>529206500</v>
          </cell>
          <cell r="I92">
            <v>274064000</v>
          </cell>
          <cell r="J92">
            <v>262830500</v>
          </cell>
          <cell r="K92">
            <v>261405000</v>
          </cell>
          <cell r="L92">
            <v>534885000</v>
          </cell>
          <cell r="M92">
            <v>554641500</v>
          </cell>
          <cell r="N92">
            <v>531543000</v>
          </cell>
          <cell r="O92">
            <v>510065900</v>
          </cell>
          <cell r="P92">
            <v>505470571.60000002</v>
          </cell>
          <cell r="Q92">
            <v>5560587971.6000004</v>
          </cell>
        </row>
        <row r="93">
          <cell r="A93" t="str">
            <v>Irrigation</v>
          </cell>
          <cell r="B93" t="str">
            <v>B TO B</v>
          </cell>
          <cell r="C93" t="str">
            <v>Price Escallation</v>
          </cell>
          <cell r="Q93">
            <v>0</v>
          </cell>
        </row>
        <row r="94">
          <cell r="A94" t="str">
            <v>Irrigation</v>
          </cell>
          <cell r="B94" t="str">
            <v>B TO B</v>
          </cell>
          <cell r="C94" t="str">
            <v>Variation Order</v>
          </cell>
          <cell r="Q94">
            <v>0</v>
          </cell>
        </row>
        <row r="95">
          <cell r="A95" t="str">
            <v>Irrigation</v>
          </cell>
          <cell r="B95" t="str">
            <v>B TO B</v>
          </cell>
          <cell r="C95" t="str">
            <v>Work In Progress (increase/decrease)</v>
          </cell>
          <cell r="Q95">
            <v>0</v>
          </cell>
        </row>
        <row r="96">
          <cell r="A96" t="str">
            <v>Irrigation</v>
          </cell>
          <cell r="B96" t="str">
            <v>B TO B</v>
          </cell>
          <cell r="C96" t="str">
            <v>Other Income</v>
          </cell>
          <cell r="Q96">
            <v>0</v>
          </cell>
        </row>
        <row r="97">
          <cell r="A97" t="str">
            <v>Irrigation</v>
          </cell>
          <cell r="B97" t="str">
            <v>B TO B</v>
          </cell>
          <cell r="C97" t="str">
            <v>Material Cost</v>
          </cell>
          <cell r="Q97">
            <v>0</v>
          </cell>
        </row>
        <row r="98">
          <cell r="A98" t="str">
            <v>Irrigation</v>
          </cell>
          <cell r="B98" t="str">
            <v>B TO B</v>
          </cell>
          <cell r="C98" t="str">
            <v>Labor charges</v>
          </cell>
          <cell r="Q98">
            <v>0</v>
          </cell>
        </row>
        <row r="99">
          <cell r="A99" t="str">
            <v>Irrigation</v>
          </cell>
          <cell r="B99" t="str">
            <v>B TO B</v>
          </cell>
          <cell r="C99" t="str">
            <v>Sub-con work</v>
          </cell>
          <cell r="E99">
            <v>487167781.60000002</v>
          </cell>
          <cell r="F99">
            <v>496203601.60000002</v>
          </cell>
          <cell r="G99">
            <v>506763521.60000002</v>
          </cell>
          <cell r="H99">
            <v>493486256.60000002</v>
          </cell>
          <cell r="I99">
            <v>254525279.59999999</v>
          </cell>
          <cell r="J99">
            <v>244990955.80000001</v>
          </cell>
          <cell r="K99">
            <v>244314260.80000001</v>
          </cell>
          <cell r="L99">
            <v>501585734.19999999</v>
          </cell>
          <cell r="M99">
            <v>520215264.19999999</v>
          </cell>
          <cell r="N99">
            <v>499217640.39999998</v>
          </cell>
          <cell r="O99">
            <v>479092881.24000001</v>
          </cell>
          <cell r="P99">
            <v>474813700.33216</v>
          </cell>
          <cell r="Q99">
            <v>5202376877.9721603</v>
          </cell>
        </row>
        <row r="100">
          <cell r="A100" t="str">
            <v>Irrigation</v>
          </cell>
          <cell r="B100" t="str">
            <v>B TO B</v>
          </cell>
          <cell r="C100" t="str">
            <v>Own Machinery Hire</v>
          </cell>
          <cell r="Q100">
            <v>0</v>
          </cell>
        </row>
        <row r="101">
          <cell r="A101" t="str">
            <v>Irrigation</v>
          </cell>
          <cell r="B101" t="str">
            <v>B TO B</v>
          </cell>
          <cell r="C101" t="str">
            <v>Hire Machinery Charge</v>
          </cell>
          <cell r="Q101">
            <v>0</v>
          </cell>
        </row>
        <row r="102">
          <cell r="A102" t="str">
            <v>Irrigation</v>
          </cell>
          <cell r="B102" t="str">
            <v>B TO B</v>
          </cell>
          <cell r="C102" t="str">
            <v>Other Direct Expenses</v>
          </cell>
          <cell r="Q102">
            <v>0</v>
          </cell>
        </row>
        <row r="103">
          <cell r="A103" t="str">
            <v>Irrigation</v>
          </cell>
          <cell r="B103" t="str">
            <v>B TO B</v>
          </cell>
          <cell r="C103" t="str">
            <v>JV's Fees</v>
          </cell>
          <cell r="Q103">
            <v>0</v>
          </cell>
        </row>
        <row r="104">
          <cell r="A104" t="str">
            <v>Irrigation</v>
          </cell>
          <cell r="B104" t="str">
            <v>B TO B</v>
          </cell>
          <cell r="C104" t="str">
            <v>VAT &amp; other Taxes</v>
          </cell>
          <cell r="Q104">
            <v>0</v>
          </cell>
        </row>
        <row r="105">
          <cell r="A105" t="str">
            <v>Irrigation</v>
          </cell>
          <cell r="B105" t="str">
            <v>B TO B</v>
          </cell>
          <cell r="C105" t="str">
            <v>Personnel cost</v>
          </cell>
          <cell r="Q105">
            <v>0</v>
          </cell>
        </row>
        <row r="106">
          <cell r="A106" t="str">
            <v>Irrigation</v>
          </cell>
          <cell r="B106" t="str">
            <v>B TO B</v>
          </cell>
          <cell r="C106" t="str">
            <v>OPEX Cost</v>
          </cell>
          <cell r="Q106">
            <v>0</v>
          </cell>
        </row>
        <row r="107">
          <cell r="A107" t="str">
            <v>Irrigation</v>
          </cell>
          <cell r="B107" t="str">
            <v>ISLMC</v>
          </cell>
          <cell r="C107" t="str">
            <v>Actual Work Done</v>
          </cell>
          <cell r="E107">
            <v>24864639.186999999</v>
          </cell>
          <cell r="F107">
            <v>31348980.287</v>
          </cell>
          <cell r="G107">
            <v>19903912.563999999</v>
          </cell>
          <cell r="H107">
            <v>7565589.4000000004</v>
          </cell>
          <cell r="I107">
            <v>4504494.45</v>
          </cell>
          <cell r="J107">
            <v>5201221.8</v>
          </cell>
          <cell r="K107">
            <v>21464978.682</v>
          </cell>
          <cell r="L107">
            <v>23985631.881999999</v>
          </cell>
          <cell r="M107">
            <v>38341923.704999998</v>
          </cell>
          <cell r="N107">
            <v>42070133.704999998</v>
          </cell>
          <cell r="O107">
            <v>39394209.186999999</v>
          </cell>
          <cell r="P107">
            <v>49193539.187000006</v>
          </cell>
          <cell r="Q107">
            <v>307839254.03600001</v>
          </cell>
        </row>
        <row r="108">
          <cell r="A108" t="str">
            <v>Irrigation</v>
          </cell>
          <cell r="B108" t="str">
            <v>ISLMC</v>
          </cell>
          <cell r="C108" t="str">
            <v>Price Escallation</v>
          </cell>
          <cell r="E108">
            <v>1760416.4544396</v>
          </cell>
          <cell r="F108">
            <v>2219507.8043196001</v>
          </cell>
          <cell r="G108">
            <v>1409197.0095312002</v>
          </cell>
          <cell r="H108">
            <v>535643.72952000005</v>
          </cell>
          <cell r="I108">
            <v>318918.20706000004</v>
          </cell>
          <cell r="J108">
            <v>368246.50344</v>
          </cell>
          <cell r="K108">
            <v>1519720.4906856001</v>
          </cell>
          <cell r="L108">
            <v>1698182.7372456</v>
          </cell>
          <cell r="M108">
            <v>2714608.1983139999</v>
          </cell>
          <cell r="N108">
            <v>2978565.4663140001</v>
          </cell>
          <cell r="O108">
            <v>2789110.0104395999</v>
          </cell>
          <cell r="P108">
            <v>3482902.5744396006</v>
          </cell>
          <cell r="Q108">
            <v>21795019.185748801</v>
          </cell>
        </row>
        <row r="109">
          <cell r="A109" t="str">
            <v>Irrigation</v>
          </cell>
          <cell r="B109" t="str">
            <v>ISLMC</v>
          </cell>
          <cell r="C109" t="str">
            <v>Variation Order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A110" t="str">
            <v>Irrigation</v>
          </cell>
          <cell r="B110" t="str">
            <v>ISLMC</v>
          </cell>
          <cell r="C110" t="str">
            <v>Work In Progress (increase/decrease)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A111" t="str">
            <v>Irrigation</v>
          </cell>
          <cell r="B111" t="str">
            <v>ISLMC</v>
          </cell>
          <cell r="C111" t="str">
            <v>Other Income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</row>
        <row r="112">
          <cell r="A112" t="str">
            <v>Irrigation</v>
          </cell>
          <cell r="B112" t="str">
            <v>ISLMC</v>
          </cell>
          <cell r="C112" t="str">
            <v>Material Cost</v>
          </cell>
          <cell r="E112">
            <v>17804204.066165194</v>
          </cell>
          <cell r="F112">
            <v>12825250.744911492</v>
          </cell>
          <cell r="G112">
            <v>8276969.2475056583</v>
          </cell>
          <cell r="H112">
            <v>4844934.0945595661</v>
          </cell>
          <cell r="I112">
            <v>2240264.9059359441</v>
          </cell>
          <cell r="J112">
            <v>2692125.5414782995</v>
          </cell>
          <cell r="K112">
            <v>8542886.0882951804</v>
          </cell>
          <cell r="L112">
            <v>9161428.4964085687</v>
          </cell>
          <cell r="M112">
            <v>15412062.102852689</v>
          </cell>
          <cell r="N112">
            <v>15109313.598300396</v>
          </cell>
          <cell r="O112">
            <v>19485914.854380682</v>
          </cell>
          <cell r="P112">
            <v>20012780.740333796</v>
          </cell>
          <cell r="Q112">
            <v>136408134.48112744</v>
          </cell>
        </row>
        <row r="113">
          <cell r="A113" t="str">
            <v>Irrigation</v>
          </cell>
          <cell r="B113" t="str">
            <v>ISLMC</v>
          </cell>
          <cell r="C113" t="str">
            <v>Labor charges</v>
          </cell>
          <cell r="E113">
            <v>567904.22813443048</v>
          </cell>
          <cell r="F113">
            <v>734822.27813443041</v>
          </cell>
          <cell r="G113">
            <v>458172.42321967456</v>
          </cell>
          <cell r="H113">
            <v>213995.69999999998</v>
          </cell>
          <cell r="I113">
            <v>76647.149999999994</v>
          </cell>
          <cell r="J113">
            <v>73121.849999999991</v>
          </cell>
          <cell r="K113">
            <v>334902.13660983724</v>
          </cell>
          <cell r="L113">
            <v>357532.18660983728</v>
          </cell>
          <cell r="M113">
            <v>688213.54152459314</v>
          </cell>
          <cell r="N113">
            <v>599664.34152459318</v>
          </cell>
          <cell r="O113">
            <v>839596.67813443067</v>
          </cell>
          <cell r="P113">
            <v>860466.77813443041</v>
          </cell>
          <cell r="Q113">
            <v>5805039.2920262581</v>
          </cell>
        </row>
        <row r="114">
          <cell r="A114" t="str">
            <v>Irrigation</v>
          </cell>
          <cell r="B114" t="str">
            <v>ISLMC</v>
          </cell>
          <cell r="C114" t="str">
            <v>Sub-con work</v>
          </cell>
          <cell r="E114">
            <v>4275336.3841013741</v>
          </cell>
          <cell r="F114">
            <v>5762421.2729391409</v>
          </cell>
          <cell r="G114">
            <v>3612530.113982419</v>
          </cell>
          <cell r="H114">
            <v>1113454.5279640004</v>
          </cell>
          <cell r="I114">
            <v>1336808.1493148613</v>
          </cell>
          <cell r="J114">
            <v>1026239.5057778261</v>
          </cell>
          <cell r="K114">
            <v>4345415.4355218401</v>
          </cell>
          <cell r="L114">
            <v>4894274.2908534957</v>
          </cell>
          <cell r="M114">
            <v>7347515.4117289959</v>
          </cell>
          <cell r="N114">
            <v>7865729.368497598</v>
          </cell>
          <cell r="O114">
            <v>7985581.1950060986</v>
          </cell>
          <cell r="P114">
            <v>9925530.7736522872</v>
          </cell>
          <cell r="Q114">
            <v>59490836.42933993</v>
          </cell>
        </row>
        <row r="115">
          <cell r="A115" t="str">
            <v>Irrigation</v>
          </cell>
          <cell r="B115" t="str">
            <v>ISLMC</v>
          </cell>
          <cell r="C115" t="str">
            <v>Own Machinery Hire</v>
          </cell>
          <cell r="E115">
            <v>1750625.4437810772</v>
          </cell>
          <cell r="F115">
            <v>2400391.5304896482</v>
          </cell>
          <cell r="G115">
            <v>1514331.5179432111</v>
          </cell>
          <cell r="H115">
            <v>820158.76835369959</v>
          </cell>
          <cell r="I115">
            <v>296608.16153377295</v>
          </cell>
          <cell r="J115">
            <v>282966.00064644695</v>
          </cell>
          <cell r="K115">
            <v>1169734.8423964775</v>
          </cell>
          <cell r="L115">
            <v>1257001.4456786751</v>
          </cell>
          <cell r="M115">
            <v>2347601.1905774935</v>
          </cell>
          <cell r="N115">
            <v>2002902.3155596913</v>
          </cell>
          <cell r="O115">
            <v>2804671.6021124325</v>
          </cell>
          <cell r="P115">
            <v>2885730.7983764615</v>
          </cell>
          <cell r="Q115">
            <v>19532723.61744909</v>
          </cell>
        </row>
        <row r="116">
          <cell r="A116" t="str">
            <v>Irrigation</v>
          </cell>
          <cell r="B116" t="str">
            <v>ISLMC</v>
          </cell>
          <cell r="C116" t="str">
            <v>Hire Machinery Charge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A117" t="str">
            <v>Irrigation</v>
          </cell>
          <cell r="B117" t="str">
            <v>ISLMC</v>
          </cell>
          <cell r="C117" t="str">
            <v>Other Direct Expenses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A118" t="str">
            <v>Irrigation</v>
          </cell>
          <cell r="B118" t="str">
            <v>ISLMC</v>
          </cell>
          <cell r="C118" t="str">
            <v>JV's Fees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A119" t="str">
            <v>Irrigation</v>
          </cell>
          <cell r="B119" t="str">
            <v>ISLMC</v>
          </cell>
          <cell r="C119" t="str">
            <v>VAT &amp; other Taxes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A120" t="str">
            <v>Irrigation</v>
          </cell>
          <cell r="B120" t="str">
            <v>ISLMC</v>
          </cell>
          <cell r="C120" t="str">
            <v>Personnel cost</v>
          </cell>
          <cell r="E120">
            <v>1225000</v>
          </cell>
          <cell r="F120">
            <v>1225000</v>
          </cell>
          <cell r="G120">
            <v>1225000</v>
          </cell>
          <cell r="H120">
            <v>1102500</v>
          </cell>
          <cell r="I120">
            <v>980000.00000000012</v>
          </cell>
          <cell r="J120">
            <v>980000.00000000012</v>
          </cell>
          <cell r="K120">
            <v>980000.00000000012</v>
          </cell>
          <cell r="L120">
            <v>1102500</v>
          </cell>
          <cell r="M120">
            <v>1102500</v>
          </cell>
          <cell r="N120">
            <v>1102500</v>
          </cell>
          <cell r="O120">
            <v>1102500</v>
          </cell>
          <cell r="P120">
            <v>1102500</v>
          </cell>
          <cell r="Q120">
            <v>13230000</v>
          </cell>
        </row>
        <row r="121">
          <cell r="A121" t="str">
            <v>Irrigation</v>
          </cell>
          <cell r="B121" t="str">
            <v>ISLMC</v>
          </cell>
          <cell r="C121" t="str">
            <v>OPEX Cost</v>
          </cell>
          <cell r="E121">
            <v>5444823.7928587673</v>
          </cell>
          <cell r="F121">
            <v>6795777.9019738678</v>
          </cell>
          <cell r="G121">
            <v>4403801.0474963253</v>
          </cell>
          <cell r="H121">
            <v>1833222.4611853994</v>
          </cell>
          <cell r="I121">
            <v>1190470.87820745</v>
          </cell>
          <cell r="J121">
            <v>1335627.7510338</v>
          </cell>
          <cell r="K121">
            <v>4724035.1235865634</v>
          </cell>
          <cell r="L121">
            <v>5249190.5319277626</v>
          </cell>
          <cell r="M121">
            <v>8240194.7266234048</v>
          </cell>
          <cell r="N121">
            <v>9016933.726233406</v>
          </cell>
          <cell r="O121">
            <v>8459428.936228767</v>
          </cell>
          <cell r="P121">
            <v>10501031.147758767</v>
          </cell>
          <cell r="Q121">
            <v>67194538.025114283</v>
          </cell>
        </row>
        <row r="122">
          <cell r="A122" t="str">
            <v>Irrigation</v>
          </cell>
          <cell r="B122" t="str">
            <v>HO</v>
          </cell>
          <cell r="C122" t="str">
            <v>Actual Work Done</v>
          </cell>
          <cell r="Q122">
            <v>0</v>
          </cell>
        </row>
        <row r="123">
          <cell r="A123" t="str">
            <v>Irrigation</v>
          </cell>
          <cell r="B123" t="str">
            <v>HO</v>
          </cell>
          <cell r="C123" t="str">
            <v>Price Escallation</v>
          </cell>
          <cell r="Q123">
            <v>0</v>
          </cell>
        </row>
        <row r="124">
          <cell r="A124" t="str">
            <v>Irrigation</v>
          </cell>
          <cell r="B124" t="str">
            <v>HO</v>
          </cell>
          <cell r="C124" t="str">
            <v>Variation Order</v>
          </cell>
          <cell r="Q124">
            <v>0</v>
          </cell>
        </row>
        <row r="125">
          <cell r="A125" t="str">
            <v>Irrigation</v>
          </cell>
          <cell r="B125" t="str">
            <v>HO</v>
          </cell>
          <cell r="C125" t="str">
            <v>Work In Progress (increase/decrease)</v>
          </cell>
          <cell r="Q125">
            <v>0</v>
          </cell>
        </row>
        <row r="126">
          <cell r="A126" t="str">
            <v>Irrigation</v>
          </cell>
          <cell r="B126" t="str">
            <v>HO</v>
          </cell>
          <cell r="C126" t="str">
            <v>Other Income</v>
          </cell>
          <cell r="Q126">
            <v>0</v>
          </cell>
        </row>
        <row r="127">
          <cell r="A127" t="str">
            <v>Irrigation</v>
          </cell>
          <cell r="B127" t="str">
            <v>HO</v>
          </cell>
          <cell r="C127" t="str">
            <v>Material Cost</v>
          </cell>
          <cell r="Q127">
            <v>0</v>
          </cell>
        </row>
        <row r="128">
          <cell r="A128" t="str">
            <v>Irrigation</v>
          </cell>
          <cell r="B128" t="str">
            <v>HO</v>
          </cell>
          <cell r="C128" t="str">
            <v>Labor charges</v>
          </cell>
          <cell r="Q128">
            <v>0</v>
          </cell>
        </row>
        <row r="129">
          <cell r="A129" t="str">
            <v>Irrigation</v>
          </cell>
          <cell r="B129" t="str">
            <v>HO</v>
          </cell>
          <cell r="C129" t="str">
            <v>Sub-con work</v>
          </cell>
          <cell r="Q129">
            <v>0</v>
          </cell>
        </row>
        <row r="130">
          <cell r="A130" t="str">
            <v>Irrigation</v>
          </cell>
          <cell r="B130" t="str">
            <v>HO</v>
          </cell>
          <cell r="C130" t="str">
            <v>Own Machinery Hire</v>
          </cell>
          <cell r="Q130">
            <v>0</v>
          </cell>
        </row>
        <row r="131">
          <cell r="A131" t="str">
            <v>Irrigation</v>
          </cell>
          <cell r="B131" t="str">
            <v>HO</v>
          </cell>
          <cell r="C131" t="str">
            <v>Hire Machinery Charge</v>
          </cell>
          <cell r="Q131">
            <v>0</v>
          </cell>
        </row>
        <row r="132">
          <cell r="A132" t="str">
            <v>Irrigation</v>
          </cell>
          <cell r="B132" t="str">
            <v>HO</v>
          </cell>
          <cell r="C132" t="str">
            <v>Other Direct Expenses</v>
          </cell>
          <cell r="Q132">
            <v>0</v>
          </cell>
        </row>
        <row r="133">
          <cell r="A133" t="str">
            <v>Irrigation</v>
          </cell>
          <cell r="B133" t="str">
            <v>HO</v>
          </cell>
          <cell r="C133" t="str">
            <v>JV's Fees</v>
          </cell>
          <cell r="Q133">
            <v>0</v>
          </cell>
        </row>
        <row r="134">
          <cell r="A134" t="str">
            <v>Irrigation</v>
          </cell>
          <cell r="B134" t="str">
            <v>HO</v>
          </cell>
          <cell r="C134" t="str">
            <v>VAT &amp; other Taxes</v>
          </cell>
          <cell r="Q134">
            <v>0</v>
          </cell>
        </row>
        <row r="135">
          <cell r="A135" t="str">
            <v>Irrigation</v>
          </cell>
          <cell r="B135" t="str">
            <v>HO</v>
          </cell>
          <cell r="C135" t="str">
            <v>Personnel cost</v>
          </cell>
          <cell r="E135">
            <v>2475591.1999999997</v>
          </cell>
          <cell r="F135">
            <v>2475591.1999999997</v>
          </cell>
          <cell r="G135">
            <v>2475591.1999999997</v>
          </cell>
          <cell r="H135">
            <v>2500091.1119999997</v>
          </cell>
          <cell r="I135">
            <v>2500091.1119999997</v>
          </cell>
          <cell r="J135">
            <v>2500091.1119999997</v>
          </cell>
          <cell r="K135">
            <v>3077091.1119999997</v>
          </cell>
          <cell r="L135">
            <v>2867091.1119999997</v>
          </cell>
          <cell r="M135">
            <v>2707091.1119999997</v>
          </cell>
          <cell r="N135">
            <v>2707091.1119999997</v>
          </cell>
          <cell r="O135">
            <v>2707091.1119999997</v>
          </cell>
          <cell r="P135">
            <v>2707091.1119999997</v>
          </cell>
          <cell r="Q135">
            <v>31699593.607999999</v>
          </cell>
        </row>
        <row r="136">
          <cell r="A136" t="str">
            <v>Irrigation</v>
          </cell>
          <cell r="B136" t="str">
            <v>HO</v>
          </cell>
          <cell r="C136" t="str">
            <v>OPEX Cost</v>
          </cell>
          <cell r="E136">
            <v>452738</v>
          </cell>
          <cell r="F136">
            <v>452738</v>
          </cell>
          <cell r="G136">
            <v>452738</v>
          </cell>
          <cell r="H136">
            <v>452738</v>
          </cell>
          <cell r="I136">
            <v>452738</v>
          </cell>
          <cell r="J136">
            <v>452738</v>
          </cell>
          <cell r="K136">
            <v>452738</v>
          </cell>
          <cell r="L136">
            <v>452738</v>
          </cell>
          <cell r="M136">
            <v>452738</v>
          </cell>
          <cell r="N136">
            <v>452738</v>
          </cell>
          <cell r="O136">
            <v>452738</v>
          </cell>
          <cell r="P136">
            <v>452738</v>
          </cell>
          <cell r="Q136">
            <v>5432856</v>
          </cell>
        </row>
        <row r="137">
          <cell r="A137" t="str">
            <v>Irrigation</v>
          </cell>
          <cell r="B137" t="str">
            <v>GVMC</v>
          </cell>
          <cell r="C137" t="str">
            <v>Actual Work Done</v>
          </cell>
          <cell r="Q137">
            <v>0</v>
          </cell>
        </row>
        <row r="138">
          <cell r="A138" t="str">
            <v>Irrigation</v>
          </cell>
          <cell r="B138" t="str">
            <v>GVMC</v>
          </cell>
          <cell r="C138" t="str">
            <v>Price Escallation</v>
          </cell>
          <cell r="Q138">
            <v>0</v>
          </cell>
        </row>
        <row r="139">
          <cell r="A139" t="str">
            <v>Irrigation</v>
          </cell>
          <cell r="B139" t="str">
            <v>GVMC</v>
          </cell>
          <cell r="C139" t="str">
            <v>Variation Order</v>
          </cell>
          <cell r="Q139">
            <v>0</v>
          </cell>
        </row>
        <row r="140">
          <cell r="A140" t="str">
            <v>Irrigation</v>
          </cell>
          <cell r="B140" t="str">
            <v>GVMC</v>
          </cell>
          <cell r="C140" t="str">
            <v>Work In Progress (increase/decrease)</v>
          </cell>
          <cell r="Q140">
            <v>0</v>
          </cell>
        </row>
        <row r="141">
          <cell r="A141" t="str">
            <v>Irrigation</v>
          </cell>
          <cell r="B141" t="str">
            <v>GVMC</v>
          </cell>
          <cell r="C141" t="str">
            <v>Other Income</v>
          </cell>
          <cell r="Q141">
            <v>0</v>
          </cell>
        </row>
        <row r="142">
          <cell r="A142" t="str">
            <v>Irrigation</v>
          </cell>
          <cell r="B142" t="str">
            <v>GVMC</v>
          </cell>
          <cell r="C142" t="str">
            <v>Material Cost</v>
          </cell>
          <cell r="Q142">
            <v>0</v>
          </cell>
        </row>
        <row r="143">
          <cell r="A143" t="str">
            <v>Irrigation</v>
          </cell>
          <cell r="B143" t="str">
            <v>GVMC</v>
          </cell>
          <cell r="C143" t="str">
            <v>Labor charges</v>
          </cell>
          <cell r="Q143">
            <v>0</v>
          </cell>
        </row>
        <row r="144">
          <cell r="A144" t="str">
            <v>Irrigation</v>
          </cell>
          <cell r="B144" t="str">
            <v>GVMC</v>
          </cell>
          <cell r="C144" t="str">
            <v>Sub-con work</v>
          </cell>
          <cell r="Q144">
            <v>0</v>
          </cell>
        </row>
        <row r="145">
          <cell r="A145" t="str">
            <v>Irrigation</v>
          </cell>
          <cell r="B145" t="str">
            <v>GVMC</v>
          </cell>
          <cell r="C145" t="str">
            <v>Own Machinery Hire</v>
          </cell>
          <cell r="Q145">
            <v>0</v>
          </cell>
        </row>
        <row r="146">
          <cell r="A146" t="str">
            <v>Irrigation</v>
          </cell>
          <cell r="B146" t="str">
            <v>GVMC</v>
          </cell>
          <cell r="C146" t="str">
            <v>Hire Machinery Charge</v>
          </cell>
          <cell r="Q146">
            <v>0</v>
          </cell>
        </row>
        <row r="147">
          <cell r="A147" t="str">
            <v>Irrigation</v>
          </cell>
          <cell r="B147" t="str">
            <v>GVMC</v>
          </cell>
          <cell r="C147" t="str">
            <v>Other Direct Expenses</v>
          </cell>
          <cell r="Q147">
            <v>0</v>
          </cell>
        </row>
        <row r="148">
          <cell r="A148" t="str">
            <v>Irrigation</v>
          </cell>
          <cell r="B148" t="str">
            <v>GVMC</v>
          </cell>
          <cell r="C148" t="str">
            <v>JV's Fees</v>
          </cell>
          <cell r="Q148">
            <v>0</v>
          </cell>
        </row>
        <row r="149">
          <cell r="A149" t="str">
            <v>Irrigation</v>
          </cell>
          <cell r="B149" t="str">
            <v>GVMC</v>
          </cell>
          <cell r="C149" t="str">
            <v>VAT &amp; other Taxes</v>
          </cell>
          <cell r="Q149">
            <v>0</v>
          </cell>
        </row>
        <row r="150">
          <cell r="A150" t="str">
            <v>Irrigation</v>
          </cell>
          <cell r="B150" t="str">
            <v>GVMC</v>
          </cell>
          <cell r="C150" t="str">
            <v>Personnel cost</v>
          </cell>
          <cell r="Q150">
            <v>0</v>
          </cell>
        </row>
        <row r="151">
          <cell r="A151" t="str">
            <v>Irrigation</v>
          </cell>
          <cell r="B151" t="str">
            <v>GVMC</v>
          </cell>
          <cell r="C151" t="str">
            <v>OPEX Cost</v>
          </cell>
          <cell r="Q151">
            <v>0</v>
          </cell>
        </row>
        <row r="152">
          <cell r="A152" t="str">
            <v>Power</v>
          </cell>
          <cell r="B152" t="str">
            <v>KPTCL</v>
          </cell>
          <cell r="C152" t="str">
            <v>Actual Work Done</v>
          </cell>
          <cell r="Q152">
            <v>0</v>
          </cell>
        </row>
        <row r="153">
          <cell r="A153" t="str">
            <v>Power</v>
          </cell>
          <cell r="B153" t="str">
            <v>KPTCL</v>
          </cell>
          <cell r="C153" t="str">
            <v>Price Escallation</v>
          </cell>
          <cell r="Q153">
            <v>0</v>
          </cell>
        </row>
        <row r="154">
          <cell r="A154" t="str">
            <v>Power</v>
          </cell>
          <cell r="B154" t="str">
            <v>KPTCL</v>
          </cell>
          <cell r="C154" t="str">
            <v>Variation Order</v>
          </cell>
          <cell r="Q154">
            <v>0</v>
          </cell>
        </row>
        <row r="155">
          <cell r="A155" t="str">
            <v>Power</v>
          </cell>
          <cell r="B155" t="str">
            <v>KPTCL</v>
          </cell>
          <cell r="C155" t="str">
            <v>Work In Progress (increase/decrease)</v>
          </cell>
          <cell r="Q155">
            <v>0</v>
          </cell>
        </row>
        <row r="156">
          <cell r="A156" t="str">
            <v>Power</v>
          </cell>
          <cell r="B156" t="str">
            <v>KPTCL</v>
          </cell>
          <cell r="C156" t="str">
            <v>Other Income</v>
          </cell>
          <cell r="Q156">
            <v>0</v>
          </cell>
        </row>
        <row r="157">
          <cell r="A157" t="str">
            <v>Power</v>
          </cell>
          <cell r="B157" t="str">
            <v>KPTCL</v>
          </cell>
          <cell r="C157" t="str">
            <v>Material Cost</v>
          </cell>
          <cell r="Q157">
            <v>0</v>
          </cell>
        </row>
        <row r="158">
          <cell r="A158" t="str">
            <v>Power</v>
          </cell>
          <cell r="B158" t="str">
            <v>KPTCL</v>
          </cell>
          <cell r="C158" t="str">
            <v>Labor charges</v>
          </cell>
          <cell r="Q158">
            <v>0</v>
          </cell>
        </row>
        <row r="159">
          <cell r="A159" t="str">
            <v>Power</v>
          </cell>
          <cell r="B159" t="str">
            <v>KPTCL</v>
          </cell>
          <cell r="C159" t="str">
            <v>Sub-con work</v>
          </cell>
          <cell r="Q159">
            <v>0</v>
          </cell>
        </row>
        <row r="160">
          <cell r="A160" t="str">
            <v>Power</v>
          </cell>
          <cell r="B160" t="str">
            <v>KPTCL</v>
          </cell>
          <cell r="C160" t="str">
            <v>Own Machinery Hire</v>
          </cell>
          <cell r="Q160">
            <v>0</v>
          </cell>
        </row>
        <row r="161">
          <cell r="A161" t="str">
            <v>Power</v>
          </cell>
          <cell r="B161" t="str">
            <v>KPTCL</v>
          </cell>
          <cell r="C161" t="str">
            <v>Hire Machinery Charge</v>
          </cell>
          <cell r="Q161">
            <v>0</v>
          </cell>
        </row>
        <row r="162">
          <cell r="A162" t="str">
            <v>Power</v>
          </cell>
          <cell r="B162" t="str">
            <v>KPTCL</v>
          </cell>
          <cell r="C162" t="str">
            <v>Other Direct Expenses</v>
          </cell>
          <cell r="Q162">
            <v>0</v>
          </cell>
        </row>
        <row r="163">
          <cell r="A163" t="str">
            <v>Power</v>
          </cell>
          <cell r="B163" t="str">
            <v>KPTCL</v>
          </cell>
          <cell r="C163" t="str">
            <v>JV's Fees</v>
          </cell>
          <cell r="Q163">
            <v>0</v>
          </cell>
        </row>
        <row r="164">
          <cell r="A164" t="str">
            <v>Power</v>
          </cell>
          <cell r="B164" t="str">
            <v>KPTCL</v>
          </cell>
          <cell r="C164" t="str">
            <v>VAT &amp; other Taxes</v>
          </cell>
          <cell r="Q164">
            <v>0</v>
          </cell>
        </row>
        <row r="165">
          <cell r="A165" t="str">
            <v>Power</v>
          </cell>
          <cell r="B165" t="str">
            <v>KPTCL</v>
          </cell>
          <cell r="C165" t="str">
            <v>Personnel cost</v>
          </cell>
          <cell r="Q165">
            <v>0</v>
          </cell>
        </row>
        <row r="166">
          <cell r="A166" t="str">
            <v>Power</v>
          </cell>
          <cell r="B166" t="str">
            <v>KPTCL</v>
          </cell>
          <cell r="C166" t="str">
            <v>OPEX Cost</v>
          </cell>
          <cell r="Q166">
            <v>0</v>
          </cell>
        </row>
        <row r="167">
          <cell r="A167" t="str">
            <v>Power</v>
          </cell>
          <cell r="B167" t="str">
            <v>KPTCL</v>
          </cell>
          <cell r="C167" t="str">
            <v>OPEX Cost</v>
          </cell>
          <cell r="Q167">
            <v>0</v>
          </cell>
        </row>
        <row r="168">
          <cell r="A168" t="str">
            <v>Power</v>
          </cell>
          <cell r="B168" t="str">
            <v>GESCOMM</v>
          </cell>
          <cell r="C168" t="str">
            <v>Actual Work Done</v>
          </cell>
          <cell r="E168">
            <v>10000000</v>
          </cell>
          <cell r="F168">
            <v>19900000</v>
          </cell>
          <cell r="Q168">
            <v>29900000</v>
          </cell>
        </row>
        <row r="169">
          <cell r="A169" t="str">
            <v>Power</v>
          </cell>
          <cell r="B169" t="str">
            <v>GESCOMM</v>
          </cell>
          <cell r="C169" t="str">
            <v>Price Escallation</v>
          </cell>
          <cell r="E169">
            <v>0</v>
          </cell>
          <cell r="F169">
            <v>0</v>
          </cell>
          <cell r="Q169">
            <v>0</v>
          </cell>
        </row>
        <row r="170">
          <cell r="A170" t="str">
            <v>Power</v>
          </cell>
          <cell r="B170" t="str">
            <v>GESCOMM</v>
          </cell>
          <cell r="C170" t="str">
            <v>Variation Order</v>
          </cell>
          <cell r="E170">
            <v>0</v>
          </cell>
          <cell r="F170">
            <v>0</v>
          </cell>
          <cell r="Q170">
            <v>0</v>
          </cell>
        </row>
        <row r="171">
          <cell r="A171" t="str">
            <v>Power</v>
          </cell>
          <cell r="B171" t="str">
            <v>GESCOMM</v>
          </cell>
          <cell r="C171" t="str">
            <v>Work In Progress (increase/decrease)</v>
          </cell>
          <cell r="E171">
            <v>0</v>
          </cell>
          <cell r="F171">
            <v>0</v>
          </cell>
          <cell r="Q171">
            <v>0</v>
          </cell>
        </row>
        <row r="172">
          <cell r="A172" t="str">
            <v>Power</v>
          </cell>
          <cell r="B172" t="str">
            <v>GESCOMM</v>
          </cell>
          <cell r="C172" t="str">
            <v>Other Income</v>
          </cell>
          <cell r="E172">
            <v>0</v>
          </cell>
          <cell r="F172">
            <v>0</v>
          </cell>
          <cell r="Q172">
            <v>0</v>
          </cell>
        </row>
        <row r="173">
          <cell r="A173" t="str">
            <v>Power</v>
          </cell>
          <cell r="B173" t="str">
            <v>GESCOMM</v>
          </cell>
          <cell r="C173" t="str">
            <v>Material Cost</v>
          </cell>
          <cell r="E173">
            <v>6000000</v>
          </cell>
          <cell r="F173">
            <v>11940000</v>
          </cell>
          <cell r="Q173">
            <v>17940000</v>
          </cell>
        </row>
        <row r="174">
          <cell r="A174" t="str">
            <v>Power</v>
          </cell>
          <cell r="B174" t="str">
            <v>GESCOMM</v>
          </cell>
          <cell r="C174" t="str">
            <v>Labor charges</v>
          </cell>
          <cell r="E174">
            <v>0</v>
          </cell>
          <cell r="F174">
            <v>0</v>
          </cell>
          <cell r="Q174">
            <v>0</v>
          </cell>
        </row>
        <row r="175">
          <cell r="A175" t="str">
            <v>Power</v>
          </cell>
          <cell r="B175" t="str">
            <v>GESCOMM</v>
          </cell>
          <cell r="C175" t="str">
            <v>Sub-con work</v>
          </cell>
          <cell r="E175">
            <v>1600000</v>
          </cell>
          <cell r="F175">
            <v>3184000</v>
          </cell>
          <cell r="Q175">
            <v>4784000</v>
          </cell>
        </row>
        <row r="176">
          <cell r="A176" t="str">
            <v>Power</v>
          </cell>
          <cell r="B176" t="str">
            <v>GESCOMM</v>
          </cell>
          <cell r="C176" t="str">
            <v>Own Machinery Hire</v>
          </cell>
          <cell r="E176">
            <v>0</v>
          </cell>
          <cell r="F176">
            <v>0</v>
          </cell>
          <cell r="Q176">
            <v>0</v>
          </cell>
        </row>
        <row r="177">
          <cell r="A177" t="str">
            <v>Power</v>
          </cell>
          <cell r="B177" t="str">
            <v>GESCOMM</v>
          </cell>
          <cell r="C177" t="str">
            <v>Hire Machinery Charge</v>
          </cell>
          <cell r="E177">
            <v>0</v>
          </cell>
          <cell r="F177">
            <v>0</v>
          </cell>
          <cell r="Q177">
            <v>0</v>
          </cell>
        </row>
        <row r="178">
          <cell r="A178" t="str">
            <v>Power</v>
          </cell>
          <cell r="B178" t="str">
            <v>GESCOMM</v>
          </cell>
          <cell r="C178" t="str">
            <v>Other Direct Expenses</v>
          </cell>
          <cell r="E178">
            <v>0</v>
          </cell>
          <cell r="F178">
            <v>0</v>
          </cell>
          <cell r="Q178">
            <v>0</v>
          </cell>
        </row>
        <row r="179">
          <cell r="A179" t="str">
            <v>Power</v>
          </cell>
          <cell r="B179" t="str">
            <v>GESCOMM</v>
          </cell>
          <cell r="C179" t="str">
            <v>JV's Fees</v>
          </cell>
          <cell r="E179">
            <v>0</v>
          </cell>
          <cell r="F179">
            <v>0</v>
          </cell>
          <cell r="Q179">
            <v>0</v>
          </cell>
        </row>
        <row r="180">
          <cell r="A180" t="str">
            <v>Power</v>
          </cell>
          <cell r="B180" t="str">
            <v>GESCOMM</v>
          </cell>
          <cell r="C180" t="str">
            <v>VAT &amp; other Taxes</v>
          </cell>
          <cell r="E180">
            <v>0</v>
          </cell>
          <cell r="F180">
            <v>0</v>
          </cell>
          <cell r="Q180">
            <v>0</v>
          </cell>
        </row>
        <row r="181">
          <cell r="A181" t="str">
            <v>Power</v>
          </cell>
          <cell r="B181" t="str">
            <v>GESCOMM</v>
          </cell>
          <cell r="C181" t="str">
            <v>Personnel cost</v>
          </cell>
          <cell r="E181">
            <v>0</v>
          </cell>
          <cell r="F181">
            <v>0</v>
          </cell>
          <cell r="Q181">
            <v>0</v>
          </cell>
        </row>
        <row r="182">
          <cell r="A182" t="str">
            <v>Power</v>
          </cell>
          <cell r="B182" t="str">
            <v>GESCOMM</v>
          </cell>
          <cell r="C182" t="str">
            <v>OPEX Cost</v>
          </cell>
          <cell r="E182">
            <v>1000000</v>
          </cell>
          <cell r="F182">
            <v>1990000</v>
          </cell>
          <cell r="Q182">
            <v>2990000</v>
          </cell>
        </row>
        <row r="183">
          <cell r="A183" t="str">
            <v>Power</v>
          </cell>
          <cell r="B183" t="str">
            <v>GESCOMM</v>
          </cell>
          <cell r="C183" t="str">
            <v>OPEX Cost</v>
          </cell>
          <cell r="E183">
            <v>100000</v>
          </cell>
          <cell r="F183">
            <v>199000</v>
          </cell>
          <cell r="Q183">
            <v>299000</v>
          </cell>
        </row>
        <row r="184">
          <cell r="A184" t="str">
            <v>Power</v>
          </cell>
          <cell r="B184" t="str">
            <v>NCL</v>
          </cell>
          <cell r="C184" t="str">
            <v>Actual Work Done</v>
          </cell>
          <cell r="E184">
            <v>5000000</v>
          </cell>
          <cell r="F184">
            <v>15000000</v>
          </cell>
          <cell r="G184">
            <v>15000000</v>
          </cell>
          <cell r="H184">
            <v>15000000</v>
          </cell>
          <cell r="Q184">
            <v>50000000</v>
          </cell>
        </row>
        <row r="185">
          <cell r="A185" t="str">
            <v>Power</v>
          </cell>
          <cell r="B185" t="str">
            <v>NCL</v>
          </cell>
          <cell r="C185" t="str">
            <v>Price Escallation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Q185">
            <v>0</v>
          </cell>
        </row>
        <row r="186">
          <cell r="A186" t="str">
            <v>Power</v>
          </cell>
          <cell r="B186" t="str">
            <v>NCL</v>
          </cell>
          <cell r="C186" t="str">
            <v>Variation Order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Q186">
            <v>0</v>
          </cell>
        </row>
        <row r="187">
          <cell r="A187" t="str">
            <v>Power</v>
          </cell>
          <cell r="B187" t="str">
            <v>NCL</v>
          </cell>
          <cell r="C187" t="str">
            <v>Work In Progress (increase/decrease)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Q187">
            <v>0</v>
          </cell>
        </row>
        <row r="188">
          <cell r="A188" t="str">
            <v>Power</v>
          </cell>
          <cell r="B188" t="str">
            <v>NCL</v>
          </cell>
          <cell r="C188" t="str">
            <v>Other Income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Q188">
            <v>0</v>
          </cell>
        </row>
        <row r="189">
          <cell r="A189" t="str">
            <v>Power</v>
          </cell>
          <cell r="B189" t="str">
            <v>NCL</v>
          </cell>
          <cell r="C189" t="str">
            <v>Material Cost</v>
          </cell>
          <cell r="E189">
            <v>2960999.9999999995</v>
          </cell>
          <cell r="F189">
            <v>8883000</v>
          </cell>
          <cell r="G189">
            <v>8883000</v>
          </cell>
          <cell r="H189">
            <v>8883000</v>
          </cell>
          <cell r="Q189">
            <v>29610000</v>
          </cell>
        </row>
        <row r="190">
          <cell r="A190" t="str">
            <v>Power</v>
          </cell>
          <cell r="B190" t="str">
            <v>NCL</v>
          </cell>
          <cell r="C190" t="str">
            <v>Labor charges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Q190">
            <v>0</v>
          </cell>
        </row>
        <row r="191">
          <cell r="A191" t="str">
            <v>Power</v>
          </cell>
          <cell r="B191" t="str">
            <v>NCL</v>
          </cell>
          <cell r="C191" t="str">
            <v>Sub-con work</v>
          </cell>
          <cell r="E191">
            <v>800000</v>
          </cell>
          <cell r="F191">
            <v>2400000</v>
          </cell>
          <cell r="G191">
            <v>2400000</v>
          </cell>
          <cell r="H191">
            <v>2400000</v>
          </cell>
          <cell r="Q191">
            <v>8000000</v>
          </cell>
        </row>
        <row r="192">
          <cell r="A192" t="str">
            <v>Power</v>
          </cell>
          <cell r="B192" t="str">
            <v>NCL</v>
          </cell>
          <cell r="C192" t="str">
            <v>Own Machinery Hire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Q192">
            <v>0</v>
          </cell>
        </row>
        <row r="193">
          <cell r="A193" t="str">
            <v>Power</v>
          </cell>
          <cell r="B193" t="str">
            <v>NCL</v>
          </cell>
          <cell r="C193" t="str">
            <v>Hire Machinery Charge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Q193">
            <v>0</v>
          </cell>
        </row>
        <row r="194">
          <cell r="A194" t="str">
            <v>Power</v>
          </cell>
          <cell r="B194" t="str">
            <v>NCL</v>
          </cell>
          <cell r="C194" t="str">
            <v>Other Direct Expenses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Q194">
            <v>0</v>
          </cell>
        </row>
        <row r="195">
          <cell r="A195" t="str">
            <v>Power</v>
          </cell>
          <cell r="B195" t="str">
            <v>NCL</v>
          </cell>
          <cell r="C195" t="str">
            <v>JV's Fees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Q195">
            <v>0</v>
          </cell>
        </row>
        <row r="196">
          <cell r="A196" t="str">
            <v>Power</v>
          </cell>
          <cell r="B196" t="str">
            <v>NCL</v>
          </cell>
          <cell r="C196" t="str">
            <v>VAT &amp; other Taxes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Q196">
            <v>0</v>
          </cell>
        </row>
        <row r="197">
          <cell r="A197" t="str">
            <v>Power</v>
          </cell>
          <cell r="B197" t="str">
            <v>NCL</v>
          </cell>
          <cell r="C197" t="str">
            <v>Personnel cost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Q197">
            <v>0</v>
          </cell>
        </row>
        <row r="198">
          <cell r="A198" t="str">
            <v>Power</v>
          </cell>
          <cell r="B198" t="str">
            <v>NCL</v>
          </cell>
          <cell r="C198" t="str">
            <v>OPEX Cost</v>
          </cell>
          <cell r="E198">
            <v>500000</v>
          </cell>
          <cell r="F198">
            <v>1500000</v>
          </cell>
          <cell r="G198">
            <v>1500000</v>
          </cell>
          <cell r="H198">
            <v>1500000</v>
          </cell>
          <cell r="Q198">
            <v>5000000</v>
          </cell>
        </row>
        <row r="199">
          <cell r="A199" t="str">
            <v>Power</v>
          </cell>
          <cell r="B199" t="str">
            <v>NCL</v>
          </cell>
          <cell r="C199" t="str">
            <v>OPEX Cost</v>
          </cell>
          <cell r="E199">
            <v>50000</v>
          </cell>
          <cell r="F199">
            <v>150000</v>
          </cell>
          <cell r="G199">
            <v>150000</v>
          </cell>
          <cell r="H199">
            <v>150000</v>
          </cell>
          <cell r="Q199">
            <v>500000</v>
          </cell>
        </row>
        <row r="200">
          <cell r="A200" t="str">
            <v>Power</v>
          </cell>
          <cell r="B200" t="str">
            <v>APNPDCL</v>
          </cell>
          <cell r="C200" t="str">
            <v>Actual Work Done</v>
          </cell>
          <cell r="Q200">
            <v>0</v>
          </cell>
        </row>
        <row r="201">
          <cell r="A201" t="str">
            <v>Power</v>
          </cell>
          <cell r="B201" t="str">
            <v>APNPDCL</v>
          </cell>
          <cell r="C201" t="str">
            <v>Price Escallation</v>
          </cell>
          <cell r="Q201">
            <v>0</v>
          </cell>
        </row>
        <row r="202">
          <cell r="A202" t="str">
            <v>Power</v>
          </cell>
          <cell r="B202" t="str">
            <v>APNPDCL</v>
          </cell>
          <cell r="C202" t="str">
            <v>Variation Order</v>
          </cell>
          <cell r="Q202">
            <v>0</v>
          </cell>
        </row>
        <row r="203">
          <cell r="A203" t="str">
            <v>Power</v>
          </cell>
          <cell r="B203" t="str">
            <v>APNPDCL</v>
          </cell>
          <cell r="C203" t="str">
            <v>Work In Progress (increase/decrease)</v>
          </cell>
          <cell r="Q203">
            <v>0</v>
          </cell>
        </row>
        <row r="204">
          <cell r="A204" t="str">
            <v>Power</v>
          </cell>
          <cell r="B204" t="str">
            <v>APNPDCL</v>
          </cell>
          <cell r="C204" t="str">
            <v>Other Income</v>
          </cell>
          <cell r="Q204">
            <v>0</v>
          </cell>
        </row>
        <row r="205">
          <cell r="A205" t="str">
            <v>Power</v>
          </cell>
          <cell r="B205" t="str">
            <v>APNPDCL</v>
          </cell>
          <cell r="C205" t="str">
            <v>Material Cost</v>
          </cell>
          <cell r="Q205">
            <v>0</v>
          </cell>
        </row>
        <row r="206">
          <cell r="A206" t="str">
            <v>Power</v>
          </cell>
          <cell r="B206" t="str">
            <v>APNPDCL</v>
          </cell>
          <cell r="C206" t="str">
            <v>Labor charges</v>
          </cell>
          <cell r="Q206">
            <v>0</v>
          </cell>
        </row>
        <row r="207">
          <cell r="A207" t="str">
            <v>Power</v>
          </cell>
          <cell r="B207" t="str">
            <v>APNPDCL</v>
          </cell>
          <cell r="C207" t="str">
            <v>Sub-con work</v>
          </cell>
          <cell r="Q207">
            <v>0</v>
          </cell>
        </row>
        <row r="208">
          <cell r="A208" t="str">
            <v>Power</v>
          </cell>
          <cell r="B208" t="str">
            <v>APNPDCL</v>
          </cell>
          <cell r="C208" t="str">
            <v>Own Machinery Hire</v>
          </cell>
          <cell r="Q208">
            <v>0</v>
          </cell>
        </row>
        <row r="209">
          <cell r="A209" t="str">
            <v>Power</v>
          </cell>
          <cell r="B209" t="str">
            <v>APNPDCL</v>
          </cell>
          <cell r="C209" t="str">
            <v>Hire Machinery Charge</v>
          </cell>
          <cell r="Q209">
            <v>0</v>
          </cell>
        </row>
        <row r="210">
          <cell r="A210" t="str">
            <v>Power</v>
          </cell>
          <cell r="B210" t="str">
            <v>APNPDCL</v>
          </cell>
          <cell r="C210" t="str">
            <v>Other Direct Expenses</v>
          </cell>
          <cell r="Q210">
            <v>0</v>
          </cell>
        </row>
        <row r="211">
          <cell r="A211" t="str">
            <v>Power</v>
          </cell>
          <cell r="B211" t="str">
            <v>APNPDCL</v>
          </cell>
          <cell r="C211" t="str">
            <v>JV's Fees</v>
          </cell>
          <cell r="Q211">
            <v>0</v>
          </cell>
        </row>
        <row r="212">
          <cell r="A212" t="str">
            <v>Power</v>
          </cell>
          <cell r="B212" t="str">
            <v>APNPDCL</v>
          </cell>
          <cell r="C212" t="str">
            <v>VAT &amp; other Taxes</v>
          </cell>
          <cell r="Q212">
            <v>0</v>
          </cell>
        </row>
        <row r="213">
          <cell r="A213" t="str">
            <v>Power</v>
          </cell>
          <cell r="B213" t="str">
            <v>APNPDCL</v>
          </cell>
          <cell r="C213" t="str">
            <v>Personnel cost</v>
          </cell>
          <cell r="Q213">
            <v>0</v>
          </cell>
        </row>
        <row r="214">
          <cell r="A214" t="str">
            <v>Power</v>
          </cell>
          <cell r="B214" t="str">
            <v>APNPDCL</v>
          </cell>
          <cell r="C214" t="str">
            <v>OPEX Cost</v>
          </cell>
          <cell r="Q214">
            <v>0</v>
          </cell>
        </row>
        <row r="215">
          <cell r="A215" t="str">
            <v>Power</v>
          </cell>
          <cell r="B215" t="str">
            <v>APNPDCL</v>
          </cell>
          <cell r="C215" t="str">
            <v>OPEX Cost</v>
          </cell>
          <cell r="Q215">
            <v>0</v>
          </cell>
        </row>
        <row r="216">
          <cell r="A216" t="str">
            <v>Power</v>
          </cell>
          <cell r="B216" t="str">
            <v>AP TRANSCO</v>
          </cell>
          <cell r="C216" t="str">
            <v>Actual Work Done</v>
          </cell>
          <cell r="E216">
            <v>54500000</v>
          </cell>
          <cell r="F216">
            <v>146100000</v>
          </cell>
          <cell r="G216">
            <v>150100000</v>
          </cell>
          <cell r="H216">
            <v>135400000</v>
          </cell>
          <cell r="I216">
            <v>117700000</v>
          </cell>
          <cell r="J216">
            <v>70010000</v>
          </cell>
          <cell r="K216">
            <v>16500000</v>
          </cell>
          <cell r="L216">
            <v>16500000</v>
          </cell>
          <cell r="M216">
            <v>16600000</v>
          </cell>
          <cell r="N216">
            <v>0</v>
          </cell>
          <cell r="O216">
            <v>0</v>
          </cell>
          <cell r="P216">
            <v>15200000</v>
          </cell>
          <cell r="Q216">
            <v>738610000</v>
          </cell>
        </row>
        <row r="217">
          <cell r="A217" t="str">
            <v>Power</v>
          </cell>
          <cell r="B217" t="str">
            <v>AP TRANSCO</v>
          </cell>
          <cell r="C217" t="str">
            <v>Price Escallation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A218" t="str">
            <v>Power</v>
          </cell>
          <cell r="B218" t="str">
            <v>AP TRANSCO</v>
          </cell>
          <cell r="C218" t="str">
            <v>Variation Order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A219" t="str">
            <v>Power</v>
          </cell>
          <cell r="B219" t="str">
            <v>AP TRANSCO</v>
          </cell>
          <cell r="C219" t="str">
            <v>Work In Progress (increase/decrease)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A220" t="str">
            <v>Power</v>
          </cell>
          <cell r="B220" t="str">
            <v>AP TRANSCO</v>
          </cell>
          <cell r="C220" t="str">
            <v>Other Income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A221" t="str">
            <v>Power</v>
          </cell>
          <cell r="B221" t="str">
            <v>AP TRANSCO</v>
          </cell>
          <cell r="C221" t="str">
            <v>Material Cost</v>
          </cell>
          <cell r="E221">
            <v>30209350</v>
          </cell>
          <cell r="F221">
            <v>80983230</v>
          </cell>
          <cell r="G221">
            <v>83200430</v>
          </cell>
          <cell r="H221">
            <v>75052220</v>
          </cell>
          <cell r="I221">
            <v>65241110</v>
          </cell>
          <cell r="J221">
            <v>38806543</v>
          </cell>
          <cell r="K221">
            <v>9145950</v>
          </cell>
          <cell r="L221">
            <v>9145950</v>
          </cell>
          <cell r="M221">
            <v>9201380</v>
          </cell>
          <cell r="N221">
            <v>0</v>
          </cell>
          <cell r="O221">
            <v>0</v>
          </cell>
          <cell r="P221">
            <v>8425360</v>
          </cell>
          <cell r="Q221">
            <v>409411523</v>
          </cell>
        </row>
        <row r="222">
          <cell r="A222" t="str">
            <v>Power</v>
          </cell>
          <cell r="B222" t="str">
            <v>AP TRANSCO</v>
          </cell>
          <cell r="C222" t="str">
            <v>Labor charges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A223" t="str">
            <v>Power</v>
          </cell>
          <cell r="B223" t="str">
            <v>AP TRANSCO</v>
          </cell>
          <cell r="C223" t="str">
            <v>Sub-con work</v>
          </cell>
          <cell r="E223">
            <v>16987650</v>
          </cell>
          <cell r="F223">
            <v>45539370</v>
          </cell>
          <cell r="G223">
            <v>46786170</v>
          </cell>
          <cell r="H223">
            <v>42204180</v>
          </cell>
          <cell r="I223">
            <v>36687090</v>
          </cell>
          <cell r="J223">
            <v>21822117</v>
          </cell>
          <cell r="K223">
            <v>5143050</v>
          </cell>
          <cell r="L223">
            <v>5143050</v>
          </cell>
          <cell r="M223">
            <v>5174220</v>
          </cell>
          <cell r="N223">
            <v>0</v>
          </cell>
          <cell r="O223">
            <v>0</v>
          </cell>
          <cell r="P223">
            <v>4737840</v>
          </cell>
          <cell r="Q223">
            <v>230224737</v>
          </cell>
        </row>
        <row r="224">
          <cell r="A224" t="str">
            <v>Power</v>
          </cell>
          <cell r="B224" t="str">
            <v>AP TRANSCO</v>
          </cell>
          <cell r="C224" t="str">
            <v>Own Machinery Hire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A225" t="str">
            <v>Power</v>
          </cell>
          <cell r="B225" t="str">
            <v>AP TRANSCO</v>
          </cell>
          <cell r="C225" t="str">
            <v>Hire Machinery Charge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A226" t="str">
            <v>Power</v>
          </cell>
          <cell r="B226" t="str">
            <v>AP TRANSCO</v>
          </cell>
          <cell r="C226" t="str">
            <v>Other Direct Expenses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</row>
        <row r="227">
          <cell r="A227" t="str">
            <v>Power</v>
          </cell>
          <cell r="B227" t="str">
            <v>AP TRANSCO</v>
          </cell>
          <cell r="C227" t="str">
            <v>JV's Fees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8">
          <cell r="A228" t="str">
            <v>Power</v>
          </cell>
          <cell r="B228" t="str">
            <v>AP TRANSCO</v>
          </cell>
          <cell r="C228" t="str">
            <v>VAT &amp; other Taxes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</row>
        <row r="229">
          <cell r="A229" t="str">
            <v>Power</v>
          </cell>
          <cell r="B229" t="str">
            <v>AP TRANSCO</v>
          </cell>
          <cell r="C229" t="str">
            <v>Personnel cost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</row>
        <row r="230">
          <cell r="A230" t="str">
            <v>Power</v>
          </cell>
          <cell r="B230" t="str">
            <v>AP TRANSCO</v>
          </cell>
          <cell r="C230" t="str">
            <v>OPEX Cost</v>
          </cell>
          <cell r="E230">
            <v>3215500</v>
          </cell>
          <cell r="F230">
            <v>8619900</v>
          </cell>
          <cell r="G230">
            <v>8855900</v>
          </cell>
          <cell r="H230">
            <v>7988600</v>
          </cell>
          <cell r="I230">
            <v>6944300</v>
          </cell>
          <cell r="J230">
            <v>4130590</v>
          </cell>
          <cell r="K230">
            <v>973500</v>
          </cell>
          <cell r="L230">
            <v>973500</v>
          </cell>
          <cell r="M230">
            <v>979400</v>
          </cell>
          <cell r="N230">
            <v>0</v>
          </cell>
          <cell r="O230">
            <v>0</v>
          </cell>
          <cell r="P230">
            <v>896800</v>
          </cell>
          <cell r="Q230">
            <v>43577990</v>
          </cell>
        </row>
        <row r="231">
          <cell r="A231" t="str">
            <v>Power</v>
          </cell>
          <cell r="B231" t="str">
            <v>AP TRANSCO</v>
          </cell>
          <cell r="C231" t="str">
            <v>OPEX Cost</v>
          </cell>
          <cell r="E231">
            <v>545000</v>
          </cell>
          <cell r="F231">
            <v>1461000</v>
          </cell>
          <cell r="G231">
            <v>1501000</v>
          </cell>
          <cell r="H231">
            <v>1354000</v>
          </cell>
          <cell r="I231">
            <v>1177000</v>
          </cell>
          <cell r="J231">
            <v>700100</v>
          </cell>
          <cell r="K231">
            <v>165000</v>
          </cell>
          <cell r="L231">
            <v>165000</v>
          </cell>
          <cell r="M231">
            <v>166000</v>
          </cell>
          <cell r="N231">
            <v>0</v>
          </cell>
          <cell r="O231">
            <v>0</v>
          </cell>
          <cell r="P231">
            <v>152000</v>
          </cell>
          <cell r="Q231">
            <v>7386100</v>
          </cell>
        </row>
        <row r="232">
          <cell r="A232" t="str">
            <v>Power</v>
          </cell>
          <cell r="B232" t="str">
            <v>CHINDWARA</v>
          </cell>
          <cell r="C232" t="str">
            <v>Actual Work Done</v>
          </cell>
          <cell r="E232">
            <v>21000000</v>
          </cell>
          <cell r="F232">
            <v>31500000</v>
          </cell>
          <cell r="G232">
            <v>98000000</v>
          </cell>
          <cell r="H232">
            <v>30000000</v>
          </cell>
          <cell r="I232">
            <v>35000000</v>
          </cell>
          <cell r="J232">
            <v>35400000</v>
          </cell>
          <cell r="K232">
            <v>45000000</v>
          </cell>
          <cell r="L232">
            <v>50000000</v>
          </cell>
          <cell r="M232">
            <v>55500000</v>
          </cell>
          <cell r="N232">
            <v>0</v>
          </cell>
          <cell r="O232">
            <v>0</v>
          </cell>
          <cell r="P232">
            <v>0</v>
          </cell>
          <cell r="Q232">
            <v>401400000</v>
          </cell>
        </row>
        <row r="233">
          <cell r="A233" t="str">
            <v>Power</v>
          </cell>
          <cell r="B233" t="str">
            <v>CHINDWARA</v>
          </cell>
          <cell r="C233" t="str">
            <v>Price Escallation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</row>
        <row r="234">
          <cell r="A234" t="str">
            <v>Power</v>
          </cell>
          <cell r="B234" t="str">
            <v>CHINDWARA</v>
          </cell>
          <cell r="C234" t="str">
            <v>Variation Order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A235" t="str">
            <v>Power</v>
          </cell>
          <cell r="B235" t="str">
            <v>CHINDWARA</v>
          </cell>
          <cell r="C235" t="str">
            <v>Work In Progress (increase/decrease)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A236" t="str">
            <v>Power</v>
          </cell>
          <cell r="B236" t="str">
            <v>CHINDWARA</v>
          </cell>
          <cell r="C236" t="str">
            <v>Other Income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</row>
        <row r="237">
          <cell r="A237" t="str">
            <v>Power</v>
          </cell>
          <cell r="B237" t="str">
            <v>CHINDWARA</v>
          </cell>
          <cell r="C237" t="str">
            <v>Material Cost</v>
          </cell>
          <cell r="E237">
            <v>13860000</v>
          </cell>
          <cell r="F237">
            <v>20790000</v>
          </cell>
          <cell r="G237">
            <v>64680000</v>
          </cell>
          <cell r="H237">
            <v>19800000</v>
          </cell>
          <cell r="I237">
            <v>23100000</v>
          </cell>
          <cell r="J237">
            <v>23364000</v>
          </cell>
          <cell r="K237">
            <v>29700000</v>
          </cell>
          <cell r="L237">
            <v>33000000</v>
          </cell>
          <cell r="M237">
            <v>36630000</v>
          </cell>
          <cell r="N237">
            <v>0</v>
          </cell>
          <cell r="O237">
            <v>0</v>
          </cell>
          <cell r="P237">
            <v>0</v>
          </cell>
          <cell r="Q237">
            <v>264924000</v>
          </cell>
        </row>
        <row r="238">
          <cell r="A238" t="str">
            <v>Power</v>
          </cell>
          <cell r="B238" t="str">
            <v>CHINDWARA</v>
          </cell>
          <cell r="C238" t="str">
            <v>Labor charges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A239" t="str">
            <v>Power</v>
          </cell>
          <cell r="B239" t="str">
            <v>CHINDWARA</v>
          </cell>
          <cell r="C239" t="str">
            <v>Sub-con work</v>
          </cell>
          <cell r="E239">
            <v>2100000</v>
          </cell>
          <cell r="F239">
            <v>3150000</v>
          </cell>
          <cell r="G239">
            <v>9800000</v>
          </cell>
          <cell r="H239">
            <v>3000000</v>
          </cell>
          <cell r="I239">
            <v>3500000</v>
          </cell>
          <cell r="J239">
            <v>3540000</v>
          </cell>
          <cell r="K239">
            <v>4500000</v>
          </cell>
          <cell r="L239">
            <v>5000000</v>
          </cell>
          <cell r="M239">
            <v>5550000</v>
          </cell>
          <cell r="N239">
            <v>0</v>
          </cell>
          <cell r="O239">
            <v>0</v>
          </cell>
          <cell r="P239">
            <v>0</v>
          </cell>
          <cell r="Q239">
            <v>40140000</v>
          </cell>
        </row>
        <row r="240">
          <cell r="A240" t="str">
            <v>Power</v>
          </cell>
          <cell r="B240" t="str">
            <v>CHINDWARA</v>
          </cell>
          <cell r="C240" t="str">
            <v>Own Machinery Hire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A241" t="str">
            <v>Power</v>
          </cell>
          <cell r="B241" t="str">
            <v>CHINDWARA</v>
          </cell>
          <cell r="C241" t="str">
            <v>Hire Machinery Charge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</row>
        <row r="242">
          <cell r="A242" t="str">
            <v>Power</v>
          </cell>
          <cell r="B242" t="str">
            <v>CHINDWARA</v>
          </cell>
          <cell r="C242" t="str">
            <v>Other Direct Expenses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A243" t="str">
            <v>Power</v>
          </cell>
          <cell r="B243" t="str">
            <v>CHINDWARA</v>
          </cell>
          <cell r="C243" t="str">
            <v>JV's Fees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A244" t="str">
            <v>Power</v>
          </cell>
          <cell r="B244" t="str">
            <v>CHINDWARA</v>
          </cell>
          <cell r="C244" t="str">
            <v>VAT &amp; other Taxes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</row>
        <row r="245">
          <cell r="A245" t="str">
            <v>Power</v>
          </cell>
          <cell r="B245" t="str">
            <v>CHINDWARA</v>
          </cell>
          <cell r="C245" t="str">
            <v>Personnel cost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</row>
        <row r="246">
          <cell r="A246" t="str">
            <v>Power</v>
          </cell>
          <cell r="B246" t="str">
            <v>CHINDWARA</v>
          </cell>
          <cell r="C246" t="str">
            <v>OPEX Cost</v>
          </cell>
          <cell r="E246">
            <v>1680000</v>
          </cell>
          <cell r="F246">
            <v>2520000</v>
          </cell>
          <cell r="G246">
            <v>7840000</v>
          </cell>
          <cell r="H246">
            <v>2400000</v>
          </cell>
          <cell r="I246">
            <v>2800000</v>
          </cell>
          <cell r="J246">
            <v>2832000</v>
          </cell>
          <cell r="K246">
            <v>3600000</v>
          </cell>
          <cell r="L246">
            <v>4000000</v>
          </cell>
          <cell r="M246">
            <v>4440000</v>
          </cell>
          <cell r="N246">
            <v>0</v>
          </cell>
          <cell r="O246">
            <v>0</v>
          </cell>
          <cell r="P246">
            <v>0</v>
          </cell>
          <cell r="Q246">
            <v>32112000</v>
          </cell>
        </row>
        <row r="247">
          <cell r="A247" t="str">
            <v>Power</v>
          </cell>
          <cell r="B247" t="str">
            <v>CHINDWARA</v>
          </cell>
          <cell r="C247" t="str">
            <v>OPEX Cost</v>
          </cell>
          <cell r="E247">
            <v>210000</v>
          </cell>
          <cell r="F247">
            <v>315000</v>
          </cell>
          <cell r="G247">
            <v>980000</v>
          </cell>
          <cell r="H247">
            <v>300000</v>
          </cell>
          <cell r="I247">
            <v>350000</v>
          </cell>
          <cell r="J247">
            <v>354000</v>
          </cell>
          <cell r="K247">
            <v>450000</v>
          </cell>
          <cell r="L247">
            <v>500000</v>
          </cell>
          <cell r="M247">
            <v>555000</v>
          </cell>
          <cell r="N247">
            <v>0</v>
          </cell>
          <cell r="O247">
            <v>0</v>
          </cell>
          <cell r="P247">
            <v>0</v>
          </cell>
          <cell r="Q247">
            <v>4014000</v>
          </cell>
        </row>
        <row r="248">
          <cell r="A248" t="str">
            <v>Power</v>
          </cell>
          <cell r="B248" t="str">
            <v>UJJAIN</v>
          </cell>
          <cell r="C248" t="str">
            <v>Actual Work Done</v>
          </cell>
          <cell r="Q248">
            <v>0</v>
          </cell>
        </row>
        <row r="249">
          <cell r="A249" t="str">
            <v>Power</v>
          </cell>
          <cell r="B249" t="str">
            <v>UJJAIN</v>
          </cell>
          <cell r="C249" t="str">
            <v>Price Escallation</v>
          </cell>
          <cell r="Q249">
            <v>0</v>
          </cell>
        </row>
        <row r="250">
          <cell r="A250" t="str">
            <v>Power</v>
          </cell>
          <cell r="B250" t="str">
            <v>UJJAIN</v>
          </cell>
          <cell r="C250" t="str">
            <v>Variation Order</v>
          </cell>
          <cell r="Q250">
            <v>0</v>
          </cell>
        </row>
        <row r="251">
          <cell r="A251" t="str">
            <v>Power</v>
          </cell>
          <cell r="B251" t="str">
            <v>UJJAIN</v>
          </cell>
          <cell r="C251" t="str">
            <v>Work In Progress (increase/decrease)</v>
          </cell>
          <cell r="Q251">
            <v>0</v>
          </cell>
        </row>
        <row r="252">
          <cell r="A252" t="str">
            <v>Power</v>
          </cell>
          <cell r="B252" t="str">
            <v>UJJAIN</v>
          </cell>
          <cell r="C252" t="str">
            <v>Other Income</v>
          </cell>
          <cell r="Q252">
            <v>0</v>
          </cell>
        </row>
        <row r="253">
          <cell r="A253" t="str">
            <v>Power</v>
          </cell>
          <cell r="B253" t="str">
            <v>UJJAIN</v>
          </cell>
          <cell r="C253" t="str">
            <v>Material Cost</v>
          </cell>
          <cell r="Q253">
            <v>0</v>
          </cell>
        </row>
        <row r="254">
          <cell r="A254" t="str">
            <v>Power</v>
          </cell>
          <cell r="B254" t="str">
            <v>UJJAIN</v>
          </cell>
          <cell r="C254" t="str">
            <v>Labor charges</v>
          </cell>
          <cell r="Q254">
            <v>0</v>
          </cell>
        </row>
        <row r="255">
          <cell r="A255" t="str">
            <v>Power</v>
          </cell>
          <cell r="B255" t="str">
            <v>UJJAIN</v>
          </cell>
          <cell r="C255" t="str">
            <v>Sub-con work</v>
          </cell>
          <cell r="Q255">
            <v>0</v>
          </cell>
        </row>
        <row r="256">
          <cell r="A256" t="str">
            <v>Power</v>
          </cell>
          <cell r="B256" t="str">
            <v>UJJAIN</v>
          </cell>
          <cell r="C256" t="str">
            <v>Own Machinery Hire</v>
          </cell>
          <cell r="Q256">
            <v>0</v>
          </cell>
        </row>
        <row r="257">
          <cell r="A257" t="str">
            <v>Power</v>
          </cell>
          <cell r="B257" t="str">
            <v>UJJAIN</v>
          </cell>
          <cell r="C257" t="str">
            <v>Hire Machinery Charge</v>
          </cell>
          <cell r="Q257">
            <v>0</v>
          </cell>
        </row>
        <row r="258">
          <cell r="A258" t="str">
            <v>Power</v>
          </cell>
          <cell r="B258" t="str">
            <v>UJJAIN</v>
          </cell>
          <cell r="C258" t="str">
            <v>Other Direct Expenses</v>
          </cell>
          <cell r="Q258">
            <v>0</v>
          </cell>
        </row>
        <row r="259">
          <cell r="A259" t="str">
            <v>Power</v>
          </cell>
          <cell r="B259" t="str">
            <v>UJJAIN</v>
          </cell>
          <cell r="C259" t="str">
            <v>JV's Fees</v>
          </cell>
          <cell r="Q259">
            <v>0</v>
          </cell>
        </row>
        <row r="260">
          <cell r="A260" t="str">
            <v>Power</v>
          </cell>
          <cell r="B260" t="str">
            <v>UJJAIN</v>
          </cell>
          <cell r="C260" t="str">
            <v>VAT &amp; other Taxes</v>
          </cell>
          <cell r="Q260">
            <v>0</v>
          </cell>
        </row>
        <row r="261">
          <cell r="A261" t="str">
            <v>Power</v>
          </cell>
          <cell r="B261" t="str">
            <v>UJJAIN</v>
          </cell>
          <cell r="C261" t="str">
            <v>Personnel cost</v>
          </cell>
          <cell r="Q261">
            <v>0</v>
          </cell>
        </row>
        <row r="262">
          <cell r="A262" t="str">
            <v>Power</v>
          </cell>
          <cell r="B262" t="str">
            <v>UJJAIN</v>
          </cell>
          <cell r="C262" t="str">
            <v>OPEX Cost</v>
          </cell>
          <cell r="Q262">
            <v>0</v>
          </cell>
        </row>
        <row r="263">
          <cell r="A263" t="str">
            <v>Power</v>
          </cell>
          <cell r="B263" t="str">
            <v>UJJAIN</v>
          </cell>
          <cell r="C263" t="str">
            <v>OPEX Cost</v>
          </cell>
          <cell r="Q263">
            <v>0</v>
          </cell>
        </row>
        <row r="264">
          <cell r="A264" t="str">
            <v>Power</v>
          </cell>
          <cell r="B264" t="str">
            <v>JAIPUR</v>
          </cell>
          <cell r="C264" t="str">
            <v>Actual Work Done</v>
          </cell>
          <cell r="E264">
            <v>30000000</v>
          </cell>
          <cell r="F264">
            <v>40000000</v>
          </cell>
          <cell r="G264">
            <v>50000000</v>
          </cell>
          <cell r="H264">
            <v>35000000</v>
          </cell>
          <cell r="I264">
            <v>40000000</v>
          </cell>
          <cell r="J264">
            <v>37600000</v>
          </cell>
          <cell r="K264">
            <v>60000000</v>
          </cell>
          <cell r="L264">
            <v>50000000</v>
          </cell>
          <cell r="M264">
            <v>35300000</v>
          </cell>
          <cell r="N264">
            <v>35000000</v>
          </cell>
          <cell r="O264">
            <v>30000000</v>
          </cell>
          <cell r="P264">
            <v>7600000</v>
          </cell>
          <cell r="Q264">
            <v>450500000</v>
          </cell>
        </row>
        <row r="265">
          <cell r="A265" t="str">
            <v>Power</v>
          </cell>
          <cell r="B265" t="str">
            <v>JAIPUR</v>
          </cell>
          <cell r="C265" t="str">
            <v>Price Escallation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A266" t="str">
            <v>Power</v>
          </cell>
          <cell r="B266" t="str">
            <v>JAIPUR</v>
          </cell>
          <cell r="C266" t="str">
            <v>Variation Order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</row>
        <row r="267">
          <cell r="A267" t="str">
            <v>Power</v>
          </cell>
          <cell r="B267" t="str">
            <v>JAIPUR</v>
          </cell>
          <cell r="C267" t="str">
            <v>Work In Progress (increase/decrease)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</row>
        <row r="268">
          <cell r="A268" t="str">
            <v>Power</v>
          </cell>
          <cell r="B268" t="str">
            <v>JAIPUR</v>
          </cell>
          <cell r="C268" t="str">
            <v>Other Income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A269" t="str">
            <v>Power</v>
          </cell>
          <cell r="B269" t="str">
            <v>JAIPUR</v>
          </cell>
          <cell r="C269" t="str">
            <v>Material Cost</v>
          </cell>
          <cell r="E269">
            <v>22968000</v>
          </cell>
          <cell r="F269">
            <v>30623999.999999996</v>
          </cell>
          <cell r="G269">
            <v>38280000</v>
          </cell>
          <cell r="H269">
            <v>26796000</v>
          </cell>
          <cell r="I269">
            <v>30623999.999999996</v>
          </cell>
          <cell r="J269">
            <v>28786559.999999996</v>
          </cell>
          <cell r="K269">
            <v>45936000</v>
          </cell>
          <cell r="L269">
            <v>38280000</v>
          </cell>
          <cell r="M269">
            <v>27025680</v>
          </cell>
          <cell r="N269">
            <v>26796000</v>
          </cell>
          <cell r="O269">
            <v>22968000</v>
          </cell>
          <cell r="P269">
            <v>5818560</v>
          </cell>
          <cell r="Q269">
            <v>344902800</v>
          </cell>
        </row>
        <row r="270">
          <cell r="A270" t="str">
            <v>Power</v>
          </cell>
          <cell r="B270" t="str">
            <v>JAIPUR</v>
          </cell>
          <cell r="C270" t="str">
            <v>Labor charges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</row>
        <row r="271">
          <cell r="A271" t="str">
            <v>Power</v>
          </cell>
          <cell r="B271" t="str">
            <v>JAIPUR</v>
          </cell>
          <cell r="C271" t="str">
            <v>Sub-con work</v>
          </cell>
          <cell r="E271">
            <v>2307000</v>
          </cell>
          <cell r="F271">
            <v>3076000</v>
          </cell>
          <cell r="G271">
            <v>3845000</v>
          </cell>
          <cell r="H271">
            <v>2691500</v>
          </cell>
          <cell r="I271">
            <v>3076000</v>
          </cell>
          <cell r="J271">
            <v>2891440</v>
          </cell>
          <cell r="K271">
            <v>4614000</v>
          </cell>
          <cell r="L271">
            <v>3845000</v>
          </cell>
          <cell r="M271">
            <v>2714570</v>
          </cell>
          <cell r="N271">
            <v>2691500</v>
          </cell>
          <cell r="O271">
            <v>2307000</v>
          </cell>
          <cell r="P271">
            <v>584440</v>
          </cell>
          <cell r="Q271">
            <v>34643450</v>
          </cell>
        </row>
        <row r="272">
          <cell r="A272" t="str">
            <v>Power</v>
          </cell>
          <cell r="B272" t="str">
            <v>JAIPUR</v>
          </cell>
          <cell r="C272" t="str">
            <v>Own Machinery Hire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A273" t="str">
            <v>Power</v>
          </cell>
          <cell r="B273" t="str">
            <v>JAIPUR</v>
          </cell>
          <cell r="C273" t="str">
            <v>Hire Machinery Charge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A274" t="str">
            <v>Power</v>
          </cell>
          <cell r="B274" t="str">
            <v>JAIPUR</v>
          </cell>
          <cell r="C274" t="str">
            <v>Other Direct Expenses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A275" t="str">
            <v>Power</v>
          </cell>
          <cell r="B275" t="str">
            <v>JAIPUR</v>
          </cell>
          <cell r="C275" t="str">
            <v>JV's Fees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A276" t="str">
            <v>Power</v>
          </cell>
          <cell r="B276" t="str">
            <v>JAIPUR</v>
          </cell>
          <cell r="C276" t="str">
            <v>VAT &amp; other Taxes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277">
          <cell r="A277" t="str">
            <v>Power</v>
          </cell>
          <cell r="B277" t="str">
            <v>JAIPUR</v>
          </cell>
          <cell r="C277" t="str">
            <v>Personnel cost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8">
          <cell r="A278" t="str">
            <v>Power</v>
          </cell>
          <cell r="B278" t="str">
            <v>JAIPUR</v>
          </cell>
          <cell r="C278" t="str">
            <v>OPEX Cost</v>
          </cell>
          <cell r="E278">
            <v>2025000.0000000002</v>
          </cell>
          <cell r="F278">
            <v>2700000</v>
          </cell>
          <cell r="G278">
            <v>3375000</v>
          </cell>
          <cell r="H278">
            <v>2362500</v>
          </cell>
          <cell r="I278">
            <v>2700000</v>
          </cell>
          <cell r="J278">
            <v>2538000</v>
          </cell>
          <cell r="K278">
            <v>4050000.0000000005</v>
          </cell>
          <cell r="L278">
            <v>3375000</v>
          </cell>
          <cell r="M278">
            <v>2382750</v>
          </cell>
          <cell r="N278">
            <v>2362500</v>
          </cell>
          <cell r="O278">
            <v>2025000.0000000002</v>
          </cell>
          <cell r="P278">
            <v>513000.00000000006</v>
          </cell>
          <cell r="Q278">
            <v>30408750</v>
          </cell>
        </row>
        <row r="279">
          <cell r="A279" t="str">
            <v>Power</v>
          </cell>
          <cell r="B279" t="str">
            <v>JAIPUR</v>
          </cell>
          <cell r="C279" t="str">
            <v>OPEX Cost</v>
          </cell>
          <cell r="E279">
            <v>300000</v>
          </cell>
          <cell r="F279">
            <v>400000</v>
          </cell>
          <cell r="G279">
            <v>500000</v>
          </cell>
          <cell r="H279">
            <v>350000</v>
          </cell>
          <cell r="I279">
            <v>400000</v>
          </cell>
          <cell r="J279">
            <v>376000</v>
          </cell>
          <cell r="K279">
            <v>600000</v>
          </cell>
          <cell r="L279">
            <v>500000</v>
          </cell>
          <cell r="M279">
            <v>353000</v>
          </cell>
          <cell r="N279">
            <v>350000</v>
          </cell>
          <cell r="O279">
            <v>300000</v>
          </cell>
          <cell r="P279">
            <v>76000</v>
          </cell>
          <cell r="Q279">
            <v>4505000</v>
          </cell>
        </row>
        <row r="280">
          <cell r="A280" t="str">
            <v>Power</v>
          </cell>
          <cell r="B280" t="str">
            <v>JAJPUR PKG B</v>
          </cell>
          <cell r="C280" t="str">
            <v>Actual Work Done</v>
          </cell>
          <cell r="E280">
            <v>2778000</v>
          </cell>
          <cell r="F280">
            <v>33336000</v>
          </cell>
          <cell r="G280">
            <v>47226000</v>
          </cell>
          <cell r="H280">
            <v>33336000</v>
          </cell>
          <cell r="I280">
            <v>36114000</v>
          </cell>
          <cell r="J280">
            <v>41670000</v>
          </cell>
          <cell r="K280">
            <v>44448000</v>
          </cell>
          <cell r="L280">
            <v>72228000</v>
          </cell>
          <cell r="M280">
            <v>77784000</v>
          </cell>
          <cell r="N280">
            <v>61116000</v>
          </cell>
          <cell r="O280">
            <v>77784000</v>
          </cell>
          <cell r="P280">
            <v>94452000</v>
          </cell>
          <cell r="Q280">
            <v>622272000</v>
          </cell>
        </row>
        <row r="281">
          <cell r="A281" t="str">
            <v>Power</v>
          </cell>
          <cell r="B281" t="str">
            <v>JAJPUR PKG B</v>
          </cell>
          <cell r="C281" t="str">
            <v>Price Escallation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</row>
        <row r="282">
          <cell r="A282" t="str">
            <v>Power</v>
          </cell>
          <cell r="B282" t="str">
            <v>JAJPUR PKG B</v>
          </cell>
          <cell r="C282" t="str">
            <v>Variation Order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A283" t="str">
            <v>Power</v>
          </cell>
          <cell r="B283" t="str">
            <v>JAJPUR PKG B</v>
          </cell>
          <cell r="C283" t="str">
            <v>Work In Progress (increase/decrease)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A284" t="str">
            <v>Power</v>
          </cell>
          <cell r="B284" t="str">
            <v>JAJPUR PKG B</v>
          </cell>
          <cell r="C284" t="str">
            <v>Other Income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A285" t="str">
            <v>Power</v>
          </cell>
          <cell r="B285" t="str">
            <v>JAJPUR PKG B</v>
          </cell>
          <cell r="C285" t="str">
            <v>Material Cost</v>
          </cell>
          <cell r="E285">
            <v>1889040.0000000002</v>
          </cell>
          <cell r="F285">
            <v>22668480</v>
          </cell>
          <cell r="G285">
            <v>32113680.000000004</v>
          </cell>
          <cell r="H285">
            <v>22668480</v>
          </cell>
          <cell r="I285">
            <v>24557520</v>
          </cell>
          <cell r="J285">
            <v>28335600.000000004</v>
          </cell>
          <cell r="K285">
            <v>30224640.000000004</v>
          </cell>
          <cell r="L285">
            <v>49115040</v>
          </cell>
          <cell r="M285">
            <v>52893120.000000007</v>
          </cell>
          <cell r="N285">
            <v>41558880</v>
          </cell>
          <cell r="O285">
            <v>52893120.000000007</v>
          </cell>
          <cell r="P285">
            <v>64227360.000000007</v>
          </cell>
          <cell r="Q285">
            <v>423144960</v>
          </cell>
        </row>
        <row r="286">
          <cell r="A286" t="str">
            <v>Power</v>
          </cell>
          <cell r="B286" t="str">
            <v>JAJPUR PKG B</v>
          </cell>
          <cell r="C286" t="str">
            <v>Labor charges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</row>
        <row r="287">
          <cell r="A287" t="str">
            <v>Power</v>
          </cell>
          <cell r="B287" t="str">
            <v>JAJPUR PKG B</v>
          </cell>
          <cell r="C287" t="str">
            <v>Sub-con work</v>
          </cell>
          <cell r="E287">
            <v>499206.6</v>
          </cell>
          <cell r="F287">
            <v>5990479.2000000002</v>
          </cell>
          <cell r="G287">
            <v>8486512.1999999993</v>
          </cell>
          <cell r="H287">
            <v>5990479.2000000002</v>
          </cell>
          <cell r="I287">
            <v>6489685.7999999998</v>
          </cell>
          <cell r="J287">
            <v>7488099</v>
          </cell>
          <cell r="K287">
            <v>7987305.5999999996</v>
          </cell>
          <cell r="L287">
            <v>12979371.6</v>
          </cell>
          <cell r="M287">
            <v>13977784.800000001</v>
          </cell>
          <cell r="N287">
            <v>10982545.199999999</v>
          </cell>
          <cell r="O287">
            <v>13977784.800000001</v>
          </cell>
          <cell r="P287">
            <v>16973024.399999999</v>
          </cell>
          <cell r="Q287">
            <v>111822278.40000001</v>
          </cell>
        </row>
        <row r="288">
          <cell r="A288" t="str">
            <v>Power</v>
          </cell>
          <cell r="B288" t="str">
            <v>JAJPUR PKG B</v>
          </cell>
          <cell r="C288" t="str">
            <v>Own Machinery Hire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A289" t="str">
            <v>Power</v>
          </cell>
          <cell r="B289" t="str">
            <v>JAJPUR PKG B</v>
          </cell>
          <cell r="C289" t="str">
            <v>Hire Machinery Charge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A290" t="str">
            <v>Power</v>
          </cell>
          <cell r="B290" t="str">
            <v>JAJPUR PKG B</v>
          </cell>
          <cell r="C290" t="str">
            <v>Other Direct Expenses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A291" t="str">
            <v>Power</v>
          </cell>
          <cell r="B291" t="str">
            <v>JAJPUR PKG B</v>
          </cell>
          <cell r="C291" t="str">
            <v>JV's Fees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A292" t="str">
            <v>Power</v>
          </cell>
          <cell r="B292" t="str">
            <v>JAJPUR PKG B</v>
          </cell>
          <cell r="C292" t="str">
            <v>VAT &amp; other Taxes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A293" t="str">
            <v>Power</v>
          </cell>
          <cell r="B293" t="str">
            <v>JAJPUR PKG B</v>
          </cell>
          <cell r="C293" t="str">
            <v>Personnel cost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A294" t="str">
            <v>Power</v>
          </cell>
          <cell r="B294" t="str">
            <v>JAJPUR PKG B</v>
          </cell>
          <cell r="C294" t="str">
            <v>OPEX Cost</v>
          </cell>
          <cell r="E294">
            <v>223073.4</v>
          </cell>
          <cell r="F294">
            <v>2676880.7999999998</v>
          </cell>
          <cell r="G294">
            <v>3792247.8</v>
          </cell>
          <cell r="H294">
            <v>2676880.7999999998</v>
          </cell>
          <cell r="I294">
            <v>2899954.1999999997</v>
          </cell>
          <cell r="J294">
            <v>3346101</v>
          </cell>
          <cell r="K294">
            <v>3569174.4</v>
          </cell>
          <cell r="L294">
            <v>5799908.3999999994</v>
          </cell>
          <cell r="M294">
            <v>6246055.1999999993</v>
          </cell>
          <cell r="N294">
            <v>4907614.8</v>
          </cell>
          <cell r="O294">
            <v>6246055.1999999993</v>
          </cell>
          <cell r="P294">
            <v>7584495.5999999996</v>
          </cell>
          <cell r="Q294">
            <v>49968441.600000001</v>
          </cell>
        </row>
        <row r="295">
          <cell r="A295" t="str">
            <v>Power</v>
          </cell>
          <cell r="B295" t="str">
            <v>JAJPUR PKG B</v>
          </cell>
          <cell r="C295" t="str">
            <v>OPEX Cost</v>
          </cell>
          <cell r="E295">
            <v>27780</v>
          </cell>
          <cell r="F295">
            <v>333360</v>
          </cell>
          <cell r="G295">
            <v>472260</v>
          </cell>
          <cell r="H295">
            <v>333360</v>
          </cell>
          <cell r="I295">
            <v>361140</v>
          </cell>
          <cell r="J295">
            <v>416700</v>
          </cell>
          <cell r="K295">
            <v>444480</v>
          </cell>
          <cell r="L295">
            <v>722280</v>
          </cell>
          <cell r="M295">
            <v>777840</v>
          </cell>
          <cell r="N295">
            <v>611160</v>
          </cell>
          <cell r="O295">
            <v>777840</v>
          </cell>
          <cell r="P295">
            <v>944520</v>
          </cell>
          <cell r="Q295">
            <v>6222720</v>
          </cell>
        </row>
        <row r="296">
          <cell r="A296" t="str">
            <v>Power</v>
          </cell>
          <cell r="B296" t="str">
            <v>JAJPUR PKG C</v>
          </cell>
          <cell r="C296" t="str">
            <v>Actual Work Done</v>
          </cell>
          <cell r="E296">
            <v>2222000</v>
          </cell>
          <cell r="F296">
            <v>26664000</v>
          </cell>
          <cell r="G296">
            <v>37774000</v>
          </cell>
          <cell r="H296">
            <v>26664000</v>
          </cell>
          <cell r="I296">
            <v>28886000</v>
          </cell>
          <cell r="J296">
            <v>33330000</v>
          </cell>
          <cell r="K296">
            <v>35552000</v>
          </cell>
          <cell r="L296">
            <v>57772000</v>
          </cell>
          <cell r="M296">
            <v>62216000</v>
          </cell>
          <cell r="N296">
            <v>48884000</v>
          </cell>
          <cell r="O296">
            <v>62216000</v>
          </cell>
          <cell r="P296">
            <v>75548000</v>
          </cell>
          <cell r="Q296">
            <v>497728000</v>
          </cell>
        </row>
        <row r="297">
          <cell r="A297" t="str">
            <v>Power</v>
          </cell>
          <cell r="B297" t="str">
            <v>JAJPUR PKG C</v>
          </cell>
          <cell r="C297" t="str">
            <v>Price Escallation</v>
          </cell>
          <cell r="Q297">
            <v>0</v>
          </cell>
        </row>
        <row r="298">
          <cell r="A298" t="str">
            <v>Power</v>
          </cell>
          <cell r="B298" t="str">
            <v>JAJPUR PKG C</v>
          </cell>
          <cell r="C298" t="str">
            <v>Variation Order</v>
          </cell>
          <cell r="Q298">
            <v>0</v>
          </cell>
        </row>
        <row r="299">
          <cell r="A299" t="str">
            <v>Power</v>
          </cell>
          <cell r="B299" t="str">
            <v>JAJPUR PKG C</v>
          </cell>
          <cell r="C299" t="str">
            <v>Work In Progress (increase/decrease)</v>
          </cell>
          <cell r="Q299">
            <v>0</v>
          </cell>
        </row>
        <row r="300">
          <cell r="A300" t="str">
            <v>Power</v>
          </cell>
          <cell r="B300" t="str">
            <v>JAJPUR PKG C</v>
          </cell>
          <cell r="C300" t="str">
            <v>Other Income</v>
          </cell>
          <cell r="Q300">
            <v>0</v>
          </cell>
        </row>
        <row r="301">
          <cell r="A301" t="str">
            <v>Power</v>
          </cell>
          <cell r="B301" t="str">
            <v>JAJPUR PKG C</v>
          </cell>
          <cell r="C301" t="str">
            <v>Material Cost</v>
          </cell>
          <cell r="E301">
            <v>1510960</v>
          </cell>
          <cell r="F301">
            <v>18131520</v>
          </cell>
          <cell r="G301">
            <v>25686320</v>
          </cell>
          <cell r="H301">
            <v>18131520</v>
          </cell>
          <cell r="I301">
            <v>19642480</v>
          </cell>
          <cell r="J301">
            <v>22664400</v>
          </cell>
          <cell r="K301">
            <v>24175360</v>
          </cell>
          <cell r="L301">
            <v>39284960</v>
          </cell>
          <cell r="M301">
            <v>42306880</v>
          </cell>
          <cell r="N301">
            <v>33241120.000000004</v>
          </cell>
          <cell r="O301">
            <v>42306880</v>
          </cell>
          <cell r="P301">
            <v>51372640</v>
          </cell>
          <cell r="Q301">
            <v>338455040</v>
          </cell>
        </row>
        <row r="302">
          <cell r="A302" t="str">
            <v>Power</v>
          </cell>
          <cell r="B302" t="str">
            <v>JAJPUR PKG C</v>
          </cell>
          <cell r="C302" t="str">
            <v>Labor charges</v>
          </cell>
          <cell r="Q302">
            <v>0</v>
          </cell>
        </row>
        <row r="303">
          <cell r="A303" t="str">
            <v>Power</v>
          </cell>
          <cell r="B303" t="str">
            <v>JAJPUR PKG C</v>
          </cell>
          <cell r="C303" t="str">
            <v>Sub-con work</v>
          </cell>
          <cell r="E303">
            <v>399293.4</v>
          </cell>
          <cell r="F303">
            <v>4791520.8</v>
          </cell>
          <cell r="G303">
            <v>6787987.7999999998</v>
          </cell>
          <cell r="H303">
            <v>4791520.8</v>
          </cell>
          <cell r="I303">
            <v>5190814.2</v>
          </cell>
          <cell r="J303">
            <v>5989401</v>
          </cell>
          <cell r="K303">
            <v>6388694.4000000004</v>
          </cell>
          <cell r="L303">
            <v>10381628.4</v>
          </cell>
          <cell r="M303">
            <v>11180215.199999999</v>
          </cell>
          <cell r="N303">
            <v>8784454.8000000007</v>
          </cell>
          <cell r="O303">
            <v>11180215.199999999</v>
          </cell>
          <cell r="P303">
            <v>13575975.6</v>
          </cell>
          <cell r="Q303">
            <v>89441721.599999994</v>
          </cell>
        </row>
        <row r="304">
          <cell r="A304" t="str">
            <v>Power</v>
          </cell>
          <cell r="B304" t="str">
            <v>JAJPUR PKG C</v>
          </cell>
          <cell r="C304" t="str">
            <v>Own Machinery Hire</v>
          </cell>
          <cell r="Q304">
            <v>0</v>
          </cell>
        </row>
        <row r="305">
          <cell r="A305" t="str">
            <v>Power</v>
          </cell>
          <cell r="B305" t="str">
            <v>JAJPUR PKG C</v>
          </cell>
          <cell r="C305" t="str">
            <v>Hire Machinery Charge</v>
          </cell>
          <cell r="Q305">
            <v>0</v>
          </cell>
        </row>
        <row r="306">
          <cell r="A306" t="str">
            <v>Power</v>
          </cell>
          <cell r="B306" t="str">
            <v>JAJPUR PKG C</v>
          </cell>
          <cell r="C306" t="str">
            <v>Other Direct Expenses</v>
          </cell>
          <cell r="Q306">
            <v>0</v>
          </cell>
        </row>
        <row r="307">
          <cell r="A307" t="str">
            <v>Power</v>
          </cell>
          <cell r="B307" t="str">
            <v>JAJPUR PKG C</v>
          </cell>
          <cell r="C307" t="str">
            <v>JV's Fees</v>
          </cell>
          <cell r="Q307">
            <v>0</v>
          </cell>
        </row>
        <row r="308">
          <cell r="A308" t="str">
            <v>Power</v>
          </cell>
          <cell r="B308" t="str">
            <v>JAJPUR PKG C</v>
          </cell>
          <cell r="C308" t="str">
            <v>VAT &amp; other Taxes</v>
          </cell>
          <cell r="Q308">
            <v>0</v>
          </cell>
        </row>
        <row r="309">
          <cell r="A309" t="str">
            <v>Power</v>
          </cell>
          <cell r="B309" t="str">
            <v>JAJPUR PKG C</v>
          </cell>
          <cell r="C309" t="str">
            <v>Personnel cost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</row>
        <row r="310">
          <cell r="A310" t="str">
            <v>Power</v>
          </cell>
          <cell r="B310" t="str">
            <v>JAJPUR PKG C</v>
          </cell>
          <cell r="C310" t="str">
            <v>OPEX Cost</v>
          </cell>
          <cell r="E310">
            <v>178426.6</v>
          </cell>
          <cell r="F310">
            <v>2141119.1999999997</v>
          </cell>
          <cell r="G310">
            <v>3033252.1999999997</v>
          </cell>
          <cell r="H310">
            <v>2141119.1999999997</v>
          </cell>
          <cell r="I310">
            <v>2319545.7999999998</v>
          </cell>
          <cell r="J310">
            <v>2676399</v>
          </cell>
          <cell r="K310">
            <v>2854825.6</v>
          </cell>
          <cell r="L310">
            <v>4639091.5999999996</v>
          </cell>
          <cell r="M310">
            <v>4995944.8</v>
          </cell>
          <cell r="N310">
            <v>3925385.1999999997</v>
          </cell>
          <cell r="O310">
            <v>4995944.8</v>
          </cell>
          <cell r="P310">
            <v>6066504.3999999994</v>
          </cell>
          <cell r="Q310">
            <v>39967558.399999999</v>
          </cell>
        </row>
        <row r="311">
          <cell r="A311" t="str">
            <v>Power</v>
          </cell>
          <cell r="B311" t="str">
            <v>JAJPUR PKG C</v>
          </cell>
          <cell r="C311" t="str">
            <v>OPEX Cost</v>
          </cell>
          <cell r="E311">
            <v>22220</v>
          </cell>
          <cell r="F311">
            <v>266640</v>
          </cell>
          <cell r="G311">
            <v>377740</v>
          </cell>
          <cell r="H311">
            <v>266640</v>
          </cell>
          <cell r="I311">
            <v>288860</v>
          </cell>
          <cell r="J311">
            <v>333300</v>
          </cell>
          <cell r="K311">
            <v>355520</v>
          </cell>
          <cell r="L311">
            <v>577720</v>
          </cell>
          <cell r="M311">
            <v>622160</v>
          </cell>
          <cell r="N311">
            <v>488840</v>
          </cell>
          <cell r="O311">
            <v>622160</v>
          </cell>
          <cell r="P311">
            <v>755480</v>
          </cell>
          <cell r="Q311">
            <v>4977280</v>
          </cell>
        </row>
        <row r="312">
          <cell r="A312" t="str">
            <v>Power</v>
          </cell>
          <cell r="B312" t="str">
            <v>KUDRA PKG B</v>
          </cell>
          <cell r="C312" t="str">
            <v>Actual Work Done</v>
          </cell>
          <cell r="E312">
            <v>1591000</v>
          </cell>
          <cell r="F312">
            <v>10589000</v>
          </cell>
          <cell r="G312">
            <v>17683999.999999996</v>
          </cell>
          <cell r="H312">
            <v>7903999.9999999991</v>
          </cell>
          <cell r="I312">
            <v>14557000</v>
          </cell>
          <cell r="J312">
            <v>15144000</v>
          </cell>
          <cell r="K312">
            <v>19041000</v>
          </cell>
          <cell r="L312">
            <v>18890999.999999996</v>
          </cell>
          <cell r="M312">
            <v>21795000</v>
          </cell>
          <cell r="N312">
            <v>34345000</v>
          </cell>
          <cell r="O312">
            <v>40618000</v>
          </cell>
          <cell r="P312">
            <v>19053000</v>
          </cell>
          <cell r="Q312">
            <v>221212000</v>
          </cell>
        </row>
        <row r="313">
          <cell r="A313" t="str">
            <v>Power</v>
          </cell>
          <cell r="B313" t="str">
            <v>KUDRA PKG B</v>
          </cell>
          <cell r="C313" t="str">
            <v>Price Escallation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</row>
        <row r="314">
          <cell r="A314" t="str">
            <v>Power</v>
          </cell>
          <cell r="B314" t="str">
            <v>KUDRA PKG B</v>
          </cell>
          <cell r="C314" t="str">
            <v>Variation Order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</row>
        <row r="315">
          <cell r="A315" t="str">
            <v>Power</v>
          </cell>
          <cell r="B315" t="str">
            <v>KUDRA PKG B</v>
          </cell>
          <cell r="C315" t="str">
            <v>Work In Progress (increase/decrease)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</row>
        <row r="316">
          <cell r="A316" t="str">
            <v>Power</v>
          </cell>
          <cell r="B316" t="str">
            <v>KUDRA PKG B</v>
          </cell>
          <cell r="C316" t="str">
            <v>Other Income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</row>
        <row r="317">
          <cell r="A317" t="str">
            <v>Power</v>
          </cell>
          <cell r="B317" t="str">
            <v>KUDRA PKG B</v>
          </cell>
          <cell r="C317" t="str">
            <v>Material Cost</v>
          </cell>
          <cell r="E317">
            <v>1083948.3</v>
          </cell>
          <cell r="F317">
            <v>7214285.7000000002</v>
          </cell>
          <cell r="G317">
            <v>12048109.199999997</v>
          </cell>
          <cell r="H317">
            <v>5384995.1999999993</v>
          </cell>
          <cell r="I317">
            <v>9917684.0999999996</v>
          </cell>
          <cell r="J317">
            <v>10317607.200000001</v>
          </cell>
          <cell r="K317">
            <v>12972633.300000001</v>
          </cell>
          <cell r="L317">
            <v>12870438.299999997</v>
          </cell>
          <cell r="M317">
            <v>14848933.5</v>
          </cell>
          <cell r="N317">
            <v>23399248.5</v>
          </cell>
          <cell r="O317">
            <v>27673043.400000002</v>
          </cell>
          <cell r="P317">
            <v>12980808.9</v>
          </cell>
          <cell r="Q317">
            <v>150711735.59999999</v>
          </cell>
        </row>
        <row r="318">
          <cell r="A318" t="str">
            <v>Power</v>
          </cell>
          <cell r="B318" t="str">
            <v>KUDRA PKG B</v>
          </cell>
          <cell r="C318" t="str">
            <v>Labor charges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A319" t="str">
            <v>Power</v>
          </cell>
          <cell r="B319" t="str">
            <v>KUDRA PKG B</v>
          </cell>
          <cell r="C319" t="str">
            <v>Sub-con work</v>
          </cell>
          <cell r="E319">
            <v>207307.3</v>
          </cell>
          <cell r="F319">
            <v>1379746.7</v>
          </cell>
          <cell r="G319">
            <v>2304225.1999999997</v>
          </cell>
          <cell r="H319">
            <v>1029891.1999999998</v>
          </cell>
          <cell r="I319">
            <v>1896777.1</v>
          </cell>
          <cell r="J319">
            <v>1973263.2</v>
          </cell>
          <cell r="K319">
            <v>2481042.2999999998</v>
          </cell>
          <cell r="L319">
            <v>2461497.2999999993</v>
          </cell>
          <cell r="M319">
            <v>2839888.5</v>
          </cell>
          <cell r="N319">
            <v>4475153.5</v>
          </cell>
          <cell r="O319">
            <v>5292525.4000000004</v>
          </cell>
          <cell r="P319">
            <v>2482605.9</v>
          </cell>
          <cell r="Q319">
            <v>28823923.599999994</v>
          </cell>
        </row>
        <row r="320">
          <cell r="A320" t="str">
            <v>Power</v>
          </cell>
          <cell r="B320" t="str">
            <v>KUDRA PKG B</v>
          </cell>
          <cell r="C320" t="str">
            <v>Own Machinery Hire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</row>
        <row r="321">
          <cell r="A321" t="str">
            <v>Power</v>
          </cell>
          <cell r="B321" t="str">
            <v>KUDRA PKG B</v>
          </cell>
          <cell r="C321" t="str">
            <v>Hire Machinery Charge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</row>
        <row r="322">
          <cell r="A322" t="str">
            <v>Power</v>
          </cell>
          <cell r="B322" t="str">
            <v>KUDRA PKG B</v>
          </cell>
          <cell r="C322" t="str">
            <v>Other Direct Expenses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</row>
        <row r="323">
          <cell r="A323" t="str">
            <v>Power</v>
          </cell>
          <cell r="B323" t="str">
            <v>KUDRA PKG B</v>
          </cell>
          <cell r="C323" t="str">
            <v>JV's Fees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</row>
        <row r="324">
          <cell r="A324" t="str">
            <v>Power</v>
          </cell>
          <cell r="B324" t="str">
            <v>KUDRA PKG B</v>
          </cell>
          <cell r="C324" t="str">
            <v>VAT &amp; other Taxes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A325" t="str">
            <v>Power</v>
          </cell>
          <cell r="B325" t="str">
            <v>KUDRA PKG B</v>
          </cell>
          <cell r="C325" t="str">
            <v>Personnel cost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</row>
        <row r="326">
          <cell r="A326" t="str">
            <v>Power</v>
          </cell>
          <cell r="B326" t="str">
            <v>KUDRA PKG B</v>
          </cell>
          <cell r="C326" t="str">
            <v>OPEX Cost</v>
          </cell>
          <cell r="E326">
            <v>140644.40000000002</v>
          </cell>
          <cell r="F326">
            <v>936067.60000000009</v>
          </cell>
          <cell r="G326">
            <v>1563265.5999999999</v>
          </cell>
          <cell r="H326">
            <v>698713.59999999998</v>
          </cell>
          <cell r="I326">
            <v>1286838.8</v>
          </cell>
          <cell r="J326">
            <v>1338729.6000000001</v>
          </cell>
          <cell r="K326">
            <v>1683224.4000000001</v>
          </cell>
          <cell r="L326">
            <v>1669964.4</v>
          </cell>
          <cell r="M326">
            <v>1926678.0000000002</v>
          </cell>
          <cell r="N326">
            <v>3036098</v>
          </cell>
          <cell r="O326">
            <v>3590631.2</v>
          </cell>
          <cell r="P326">
            <v>1684285.2000000002</v>
          </cell>
          <cell r="Q326">
            <v>19555140.800000001</v>
          </cell>
        </row>
        <row r="327">
          <cell r="A327" t="str">
            <v>Power</v>
          </cell>
          <cell r="B327" t="str">
            <v>KUDRA PKG B</v>
          </cell>
          <cell r="C327" t="str">
            <v>OPEX Cost</v>
          </cell>
          <cell r="E327">
            <v>15910</v>
          </cell>
          <cell r="F327">
            <v>105890</v>
          </cell>
          <cell r="G327">
            <v>176839.99999999997</v>
          </cell>
          <cell r="H327">
            <v>79039.999999999985</v>
          </cell>
          <cell r="I327">
            <v>145570</v>
          </cell>
          <cell r="J327">
            <v>151440</v>
          </cell>
          <cell r="K327">
            <v>190410</v>
          </cell>
          <cell r="L327">
            <v>188909.99999999997</v>
          </cell>
          <cell r="M327">
            <v>217950</v>
          </cell>
          <cell r="N327">
            <v>343450</v>
          </cell>
          <cell r="O327">
            <v>406180</v>
          </cell>
          <cell r="P327">
            <v>190530</v>
          </cell>
          <cell r="Q327">
            <v>2212120</v>
          </cell>
        </row>
        <row r="328">
          <cell r="A328" t="str">
            <v>Power</v>
          </cell>
          <cell r="B328" t="str">
            <v>MIDNAPUR PKG A</v>
          </cell>
          <cell r="C328" t="str">
            <v>Actual Work Done</v>
          </cell>
          <cell r="E328">
            <v>0</v>
          </cell>
          <cell r="F328">
            <v>16856000</v>
          </cell>
          <cell r="G328">
            <v>42582000</v>
          </cell>
          <cell r="H328">
            <v>16823000</v>
          </cell>
          <cell r="I328">
            <v>25653000.000000004</v>
          </cell>
          <cell r="J328">
            <v>32370000</v>
          </cell>
          <cell r="K328">
            <v>43359000</v>
          </cell>
          <cell r="L328">
            <v>37302000</v>
          </cell>
          <cell r="M328">
            <v>38215000</v>
          </cell>
          <cell r="N328">
            <v>65276000.000000007</v>
          </cell>
          <cell r="O328">
            <v>64642999.999999993</v>
          </cell>
          <cell r="P328">
            <v>57199000</v>
          </cell>
          <cell r="Q328">
            <v>440278000</v>
          </cell>
        </row>
        <row r="329">
          <cell r="A329" t="str">
            <v>Power</v>
          </cell>
          <cell r="B329" t="str">
            <v>MIDNAPUR PKG A</v>
          </cell>
          <cell r="C329" t="str">
            <v>Price Escallation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A330" t="str">
            <v>Power</v>
          </cell>
          <cell r="B330" t="str">
            <v>MIDNAPUR PKG A</v>
          </cell>
          <cell r="C330" t="str">
            <v>Variation Order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A331" t="str">
            <v>Power</v>
          </cell>
          <cell r="B331" t="str">
            <v>MIDNAPUR PKG A</v>
          </cell>
          <cell r="C331" t="str">
            <v>Work In Progress (increase/decrease)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A332" t="str">
            <v>Power</v>
          </cell>
          <cell r="B332" t="str">
            <v>MIDNAPUR PKG A</v>
          </cell>
          <cell r="C332" t="str">
            <v>Other Income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</row>
        <row r="333">
          <cell r="A333" t="str">
            <v>Power</v>
          </cell>
          <cell r="B333" t="str">
            <v>MIDNAPUR PKG A</v>
          </cell>
          <cell r="C333" t="str">
            <v>Material Cost</v>
          </cell>
          <cell r="E333">
            <v>0</v>
          </cell>
          <cell r="F333">
            <v>12318364.800000001</v>
          </cell>
          <cell r="G333">
            <v>31118925.600000001</v>
          </cell>
          <cell r="H333">
            <v>12294248.4</v>
          </cell>
          <cell r="I333">
            <v>18747212.400000002</v>
          </cell>
          <cell r="J333">
            <v>23655996</v>
          </cell>
          <cell r="K333">
            <v>31686757.199999999</v>
          </cell>
          <cell r="L333">
            <v>27260301.600000001</v>
          </cell>
          <cell r="M333">
            <v>27927522</v>
          </cell>
          <cell r="N333">
            <v>47703700.800000004</v>
          </cell>
          <cell r="O333">
            <v>47241104.399999999</v>
          </cell>
          <cell r="P333">
            <v>41801029.200000003</v>
          </cell>
          <cell r="Q333">
            <v>321755162.39999998</v>
          </cell>
        </row>
        <row r="334">
          <cell r="A334" t="str">
            <v>Power</v>
          </cell>
          <cell r="B334" t="str">
            <v>MIDNAPUR PKG A</v>
          </cell>
          <cell r="C334" t="str">
            <v>Labor charges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A335" t="str">
            <v>Power</v>
          </cell>
          <cell r="B335" t="str">
            <v>MIDNAPUR PKG A</v>
          </cell>
          <cell r="C335" t="str">
            <v>Sub-con work</v>
          </cell>
          <cell r="E335">
            <v>0</v>
          </cell>
          <cell r="F335">
            <v>1431074.4000000001</v>
          </cell>
          <cell r="G335">
            <v>3615211.8000000003</v>
          </cell>
          <cell r="H335">
            <v>1428272.7</v>
          </cell>
          <cell r="I335">
            <v>2177939.7000000002</v>
          </cell>
          <cell r="J335">
            <v>2748213</v>
          </cell>
          <cell r="K335">
            <v>3681179.1</v>
          </cell>
          <cell r="L335">
            <v>3166939.8000000003</v>
          </cell>
          <cell r="M335">
            <v>3244453.5</v>
          </cell>
          <cell r="N335">
            <v>5541932.4000000013</v>
          </cell>
          <cell r="O335">
            <v>5488190.6999999993</v>
          </cell>
          <cell r="P335">
            <v>4856195.1000000006</v>
          </cell>
          <cell r="Q335">
            <v>37379602.200000003</v>
          </cell>
        </row>
        <row r="336">
          <cell r="A336" t="str">
            <v>Power</v>
          </cell>
          <cell r="B336" t="str">
            <v>MIDNAPUR PKG A</v>
          </cell>
          <cell r="C336" t="str">
            <v>Own Machinery Hire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7">
          <cell r="A337" t="str">
            <v>Power</v>
          </cell>
          <cell r="B337" t="str">
            <v>MIDNAPUR PKG A</v>
          </cell>
          <cell r="C337" t="str">
            <v>Hire Machinery Charge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</row>
        <row r="338">
          <cell r="A338" t="str">
            <v>Power</v>
          </cell>
          <cell r="B338" t="str">
            <v>MIDNAPUR PKG A</v>
          </cell>
          <cell r="C338" t="str">
            <v>Other Direct Expenses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</row>
        <row r="339">
          <cell r="A339" t="str">
            <v>Power</v>
          </cell>
          <cell r="B339" t="str">
            <v>MIDNAPUR PKG A</v>
          </cell>
          <cell r="C339" t="str">
            <v>JV's Fees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</row>
        <row r="340">
          <cell r="A340" t="str">
            <v>Power</v>
          </cell>
          <cell r="B340" t="str">
            <v>MIDNAPUR PKG A</v>
          </cell>
          <cell r="C340" t="str">
            <v>VAT &amp; other Taxes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</row>
        <row r="341">
          <cell r="A341" t="str">
            <v>Power</v>
          </cell>
          <cell r="B341" t="str">
            <v>MIDNAPUR PKG A</v>
          </cell>
          <cell r="C341" t="str">
            <v>Personnel cost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</row>
        <row r="342">
          <cell r="A342" t="str">
            <v>Power</v>
          </cell>
          <cell r="B342" t="str">
            <v>MIDNAPUR PKG A</v>
          </cell>
          <cell r="C342" t="str">
            <v>OPEX Cost</v>
          </cell>
          <cell r="E342">
            <v>0</v>
          </cell>
          <cell r="F342">
            <v>1420960.8</v>
          </cell>
          <cell r="G342">
            <v>3589662.6</v>
          </cell>
          <cell r="H342">
            <v>1418178.9</v>
          </cell>
          <cell r="I342">
            <v>2162547.9000000004</v>
          </cell>
          <cell r="J342">
            <v>2728791</v>
          </cell>
          <cell r="K342">
            <v>3655163.7</v>
          </cell>
          <cell r="L342">
            <v>3144558.6</v>
          </cell>
          <cell r="M342">
            <v>3221524.5</v>
          </cell>
          <cell r="N342">
            <v>5502766.8000000007</v>
          </cell>
          <cell r="O342">
            <v>5449404.8999999994</v>
          </cell>
          <cell r="P342">
            <v>4821875.7</v>
          </cell>
          <cell r="Q342">
            <v>37115435.400000006</v>
          </cell>
        </row>
        <row r="343">
          <cell r="A343" t="str">
            <v>Power</v>
          </cell>
          <cell r="B343" t="str">
            <v>MIDNAPUR PKG A</v>
          </cell>
          <cell r="C343" t="str">
            <v>OPEX Cost</v>
          </cell>
          <cell r="E343">
            <v>0</v>
          </cell>
          <cell r="F343">
            <v>168560</v>
          </cell>
          <cell r="G343">
            <v>425820</v>
          </cell>
          <cell r="H343">
            <v>168230</v>
          </cell>
          <cell r="I343">
            <v>256530.00000000003</v>
          </cell>
          <cell r="J343">
            <v>323700</v>
          </cell>
          <cell r="K343">
            <v>433590</v>
          </cell>
          <cell r="L343">
            <v>373020</v>
          </cell>
          <cell r="M343">
            <v>382150</v>
          </cell>
          <cell r="N343">
            <v>652760.00000000012</v>
          </cell>
          <cell r="O343">
            <v>646429.99999999988</v>
          </cell>
          <cell r="P343">
            <v>571990</v>
          </cell>
          <cell r="Q343">
            <v>4402780</v>
          </cell>
        </row>
        <row r="344">
          <cell r="A344" t="str">
            <v>Power</v>
          </cell>
          <cell r="B344" t="str">
            <v>MIDNAPUR PKG B</v>
          </cell>
          <cell r="C344" t="str">
            <v>Actual Work Done</v>
          </cell>
          <cell r="E344">
            <v>0</v>
          </cell>
          <cell r="F344">
            <v>2190000</v>
          </cell>
          <cell r="G344">
            <v>53287000</v>
          </cell>
          <cell r="H344">
            <v>23953000.000000004</v>
          </cell>
          <cell r="I344">
            <v>19445000</v>
          </cell>
          <cell r="J344">
            <v>26458999.999999996</v>
          </cell>
          <cell r="K344">
            <v>44060000</v>
          </cell>
          <cell r="L344">
            <v>29209000.000000004</v>
          </cell>
          <cell r="M344">
            <v>37682000</v>
          </cell>
          <cell r="N344">
            <v>50684000</v>
          </cell>
          <cell r="O344">
            <v>82171999.999999985</v>
          </cell>
          <cell r="P344">
            <v>41789000.000000007</v>
          </cell>
          <cell r="Q344">
            <v>410930000</v>
          </cell>
        </row>
        <row r="345">
          <cell r="A345" t="str">
            <v>Power</v>
          </cell>
          <cell r="B345" t="str">
            <v>MIDNAPUR PKG B</v>
          </cell>
          <cell r="C345" t="str">
            <v>Price Escallation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</row>
        <row r="346">
          <cell r="A346" t="str">
            <v>Power</v>
          </cell>
          <cell r="B346" t="str">
            <v>MIDNAPUR PKG B</v>
          </cell>
          <cell r="C346" t="str">
            <v>Variation Order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 t="str">
            <v>Power</v>
          </cell>
          <cell r="B347" t="str">
            <v>MIDNAPUR PKG B</v>
          </cell>
          <cell r="C347" t="str">
            <v>Work In Progress (increase/decrease)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</row>
        <row r="348">
          <cell r="A348" t="str">
            <v>Power</v>
          </cell>
          <cell r="B348" t="str">
            <v>MIDNAPUR PKG B</v>
          </cell>
          <cell r="C348" t="str">
            <v>Other Income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</row>
        <row r="349">
          <cell r="A349" t="str">
            <v>Power</v>
          </cell>
          <cell r="B349" t="str">
            <v>MIDNAPUR PKG B</v>
          </cell>
          <cell r="C349" t="str">
            <v>Material Cost</v>
          </cell>
          <cell r="E349">
            <v>0</v>
          </cell>
          <cell r="F349">
            <v>1609212</v>
          </cell>
          <cell r="G349">
            <v>39155287.600000001</v>
          </cell>
          <cell r="H349">
            <v>17600664.400000002</v>
          </cell>
          <cell r="I349">
            <v>14288186</v>
          </cell>
          <cell r="J349">
            <v>19442073.199999999</v>
          </cell>
          <cell r="K349">
            <v>32375288</v>
          </cell>
          <cell r="L349">
            <v>21462773.200000003</v>
          </cell>
          <cell r="M349">
            <v>27688733.600000001</v>
          </cell>
          <cell r="N349">
            <v>37242603.200000003</v>
          </cell>
          <cell r="O349">
            <v>60379985.599999987</v>
          </cell>
          <cell r="P349">
            <v>30706557.200000007</v>
          </cell>
          <cell r="Q349">
            <v>301951363.99999994</v>
          </cell>
        </row>
        <row r="350">
          <cell r="A350" t="str">
            <v>Power</v>
          </cell>
          <cell r="B350" t="str">
            <v>MIDNAPUR PKG B</v>
          </cell>
          <cell r="C350" t="str">
            <v>Labor charges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</row>
        <row r="351">
          <cell r="A351" t="str">
            <v>Power</v>
          </cell>
          <cell r="B351" t="str">
            <v>MIDNAPUR PKG B</v>
          </cell>
          <cell r="C351" t="str">
            <v>Sub-con work</v>
          </cell>
          <cell r="E351">
            <v>0</v>
          </cell>
          <cell r="F351">
            <v>190530</v>
          </cell>
          <cell r="G351">
            <v>4635969</v>
          </cell>
          <cell r="H351">
            <v>2083911.0000000002</v>
          </cell>
          <cell r="I351">
            <v>1691714.9999999998</v>
          </cell>
          <cell r="J351">
            <v>2301932.9999999995</v>
          </cell>
          <cell r="K351">
            <v>3833219.9999999995</v>
          </cell>
          <cell r="L351">
            <v>2541183</v>
          </cell>
          <cell r="M351">
            <v>3278334</v>
          </cell>
          <cell r="N351">
            <v>4409508</v>
          </cell>
          <cell r="O351">
            <v>7148963.9999999981</v>
          </cell>
          <cell r="P351">
            <v>3635643.0000000005</v>
          </cell>
          <cell r="Q351">
            <v>35750910</v>
          </cell>
        </row>
        <row r="352">
          <cell r="A352" t="str">
            <v>Power</v>
          </cell>
          <cell r="B352" t="str">
            <v>MIDNAPUR PKG B</v>
          </cell>
          <cell r="C352" t="str">
            <v>Own Machinery Hire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</row>
        <row r="353">
          <cell r="A353" t="str">
            <v>Power</v>
          </cell>
          <cell r="B353" t="str">
            <v>MIDNAPUR PKG B</v>
          </cell>
          <cell r="C353" t="str">
            <v>Hire Machinery Charge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</row>
        <row r="354">
          <cell r="A354" t="str">
            <v>Power</v>
          </cell>
          <cell r="B354" t="str">
            <v>MIDNAPUR PKG B</v>
          </cell>
          <cell r="C354" t="str">
            <v>Other Direct Expenses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A355" t="str">
            <v>Power</v>
          </cell>
          <cell r="B355" t="str">
            <v>MIDNAPUR PKG B</v>
          </cell>
          <cell r="C355" t="str">
            <v>JV's Fees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A356" t="str">
            <v>Power</v>
          </cell>
          <cell r="B356" t="str">
            <v>MIDNAPUR PKG B</v>
          </cell>
          <cell r="C356" t="str">
            <v>VAT &amp; other Taxes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</row>
        <row r="357">
          <cell r="A357" t="str">
            <v>Power</v>
          </cell>
          <cell r="B357" t="str">
            <v>MIDNAPUR PKG B</v>
          </cell>
          <cell r="C357" t="str">
            <v>Personnel cost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A358" t="str">
            <v>Power</v>
          </cell>
          <cell r="B358" t="str">
            <v>MIDNAPUR PKG B</v>
          </cell>
          <cell r="C358" t="str">
            <v>OPEX Cost</v>
          </cell>
          <cell r="E358">
            <v>0</v>
          </cell>
          <cell r="F358">
            <v>182208</v>
          </cell>
          <cell r="G358">
            <v>4433478.3999999994</v>
          </cell>
          <cell r="H358">
            <v>1992889.6000000003</v>
          </cell>
          <cell r="I358">
            <v>1617824</v>
          </cell>
          <cell r="J358">
            <v>2201388.7999999998</v>
          </cell>
          <cell r="K358">
            <v>3665792</v>
          </cell>
          <cell r="L358">
            <v>2430188.8000000003</v>
          </cell>
          <cell r="M358">
            <v>3135142.4</v>
          </cell>
          <cell r="N358">
            <v>4216908.8</v>
          </cell>
          <cell r="O358">
            <v>6836710.3999999985</v>
          </cell>
          <cell r="P358">
            <v>3476844.8000000003</v>
          </cell>
          <cell r="Q358">
            <v>34189376</v>
          </cell>
        </row>
        <row r="359">
          <cell r="A359" t="str">
            <v>Power</v>
          </cell>
          <cell r="B359" t="str">
            <v>MIDNAPUR PKG B</v>
          </cell>
          <cell r="C359" t="str">
            <v>OPEX Cost</v>
          </cell>
          <cell r="E359">
            <v>0</v>
          </cell>
          <cell r="F359">
            <v>21900</v>
          </cell>
          <cell r="G359">
            <v>532870</v>
          </cell>
          <cell r="H359">
            <v>239530.00000000003</v>
          </cell>
          <cell r="I359">
            <v>194450</v>
          </cell>
          <cell r="J359">
            <v>264589.99999999994</v>
          </cell>
          <cell r="K359">
            <v>440600</v>
          </cell>
          <cell r="L359">
            <v>292090.00000000006</v>
          </cell>
          <cell r="M359">
            <v>376820</v>
          </cell>
          <cell r="N359">
            <v>506840</v>
          </cell>
          <cell r="O359">
            <v>821719.99999999988</v>
          </cell>
          <cell r="P359">
            <v>417890.00000000006</v>
          </cell>
          <cell r="Q359">
            <v>4109300</v>
          </cell>
        </row>
        <row r="360">
          <cell r="A360" t="str">
            <v>Power</v>
          </cell>
          <cell r="B360" t="str">
            <v>SUNDARGARH PKG A</v>
          </cell>
          <cell r="C360" t="str">
            <v>Actual Work Done</v>
          </cell>
          <cell r="E360">
            <v>288999.99999999994</v>
          </cell>
          <cell r="F360">
            <v>18131000</v>
          </cell>
          <cell r="G360">
            <v>10807999.999999998</v>
          </cell>
          <cell r="H360">
            <v>8477000.0000000019</v>
          </cell>
          <cell r="I360">
            <v>13568000</v>
          </cell>
          <cell r="J360">
            <v>14761000.000000002</v>
          </cell>
          <cell r="K360">
            <v>22522000</v>
          </cell>
          <cell r="L360">
            <v>21736000</v>
          </cell>
          <cell r="M360">
            <v>14201999.999999998</v>
          </cell>
          <cell r="N360">
            <v>42686000</v>
          </cell>
          <cell r="O360">
            <v>25184000</v>
          </cell>
          <cell r="P360">
            <v>24149000</v>
          </cell>
          <cell r="Q360">
            <v>216513000</v>
          </cell>
        </row>
        <row r="361">
          <cell r="A361" t="str">
            <v>Power</v>
          </cell>
          <cell r="B361" t="str">
            <v>SUNDARGARH PKG A</v>
          </cell>
          <cell r="C361" t="str">
            <v>Price Escallation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A362" t="str">
            <v>Power</v>
          </cell>
          <cell r="B362" t="str">
            <v>SUNDARGARH PKG A</v>
          </cell>
          <cell r="C362" t="str">
            <v>Variation Order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A363" t="str">
            <v>Power</v>
          </cell>
          <cell r="B363" t="str">
            <v>SUNDARGARH PKG A</v>
          </cell>
          <cell r="C363" t="str">
            <v>Work In Progress (increase/decrease)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A364" t="str">
            <v>Power</v>
          </cell>
          <cell r="B364" t="str">
            <v>SUNDARGARH PKG A</v>
          </cell>
          <cell r="C364" t="str">
            <v>Other Income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A365" t="str">
            <v>Power</v>
          </cell>
          <cell r="B365" t="str">
            <v>SUNDARGARH PKG A</v>
          </cell>
          <cell r="C365" t="str">
            <v>Material Cost</v>
          </cell>
          <cell r="E365">
            <v>192156.09999999998</v>
          </cell>
          <cell r="F365">
            <v>12055301.9</v>
          </cell>
          <cell r="G365">
            <v>7186239.1999999993</v>
          </cell>
          <cell r="H365">
            <v>5636357.3000000017</v>
          </cell>
          <cell r="I365">
            <v>9021363.2000000011</v>
          </cell>
          <cell r="J365">
            <v>9814588.9000000022</v>
          </cell>
          <cell r="K365">
            <v>14974877.800000001</v>
          </cell>
          <cell r="L365">
            <v>14452266.4</v>
          </cell>
          <cell r="M365">
            <v>9442909.7999999989</v>
          </cell>
          <cell r="N365">
            <v>28381921.400000002</v>
          </cell>
          <cell r="O365">
            <v>16744841.600000001</v>
          </cell>
          <cell r="P365">
            <v>16056670.100000001</v>
          </cell>
          <cell r="Q365">
            <v>143959493.70000002</v>
          </cell>
        </row>
        <row r="366">
          <cell r="A366" t="str">
            <v>Power</v>
          </cell>
          <cell r="B366" t="str">
            <v>SUNDARGARH PKG A</v>
          </cell>
          <cell r="C366" t="str">
            <v>Labor charges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A367" t="str">
            <v>Power</v>
          </cell>
          <cell r="B367" t="str">
            <v>SUNDARGARH PKG A</v>
          </cell>
          <cell r="C367" t="str">
            <v>Sub-con work</v>
          </cell>
          <cell r="E367">
            <v>42569.69999999999</v>
          </cell>
          <cell r="F367">
            <v>2670696.2999999998</v>
          </cell>
          <cell r="G367">
            <v>1592018.3999999997</v>
          </cell>
          <cell r="H367">
            <v>1248662.1000000001</v>
          </cell>
          <cell r="I367">
            <v>1998566.3999999999</v>
          </cell>
          <cell r="J367">
            <v>2174295.3000000003</v>
          </cell>
          <cell r="K367">
            <v>3317490.5999999996</v>
          </cell>
          <cell r="L367">
            <v>3201712.8</v>
          </cell>
          <cell r="M367">
            <v>2091954.5999999996</v>
          </cell>
          <cell r="N367">
            <v>6287647.7999999998</v>
          </cell>
          <cell r="O367">
            <v>3709603.1999999997</v>
          </cell>
          <cell r="P367">
            <v>3557147.6999999997</v>
          </cell>
          <cell r="Q367">
            <v>31892364.900000002</v>
          </cell>
        </row>
        <row r="368">
          <cell r="A368" t="str">
            <v>Power</v>
          </cell>
          <cell r="B368" t="str">
            <v>SUNDARGARH PKG A</v>
          </cell>
          <cell r="C368" t="str">
            <v>Own Machinery Hire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A369" t="str">
            <v>Power</v>
          </cell>
          <cell r="B369" t="str">
            <v>SUNDARGARH PKG A</v>
          </cell>
          <cell r="C369" t="str">
            <v>Hire Machinery Charge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A370" t="str">
            <v>Power</v>
          </cell>
          <cell r="B370" t="str">
            <v>SUNDARGARH PKG A</v>
          </cell>
          <cell r="C370" t="str">
            <v>Other Direct Expenses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A371" t="str">
            <v>Power</v>
          </cell>
          <cell r="B371" t="str">
            <v>SUNDARGARH PKG A</v>
          </cell>
          <cell r="C371" t="str">
            <v>JV's Fees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A372" t="str">
            <v>Power</v>
          </cell>
          <cell r="B372" t="str">
            <v>SUNDARGARH PKG A</v>
          </cell>
          <cell r="C372" t="str">
            <v>VAT &amp; other Taxes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A373" t="str">
            <v>Power</v>
          </cell>
          <cell r="B373" t="str">
            <v>SUNDARGARH PKG A</v>
          </cell>
          <cell r="C373" t="str">
            <v>Personnel cost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A374" t="str">
            <v>Power</v>
          </cell>
          <cell r="B374" t="str">
            <v>SUNDARGARH PKG A</v>
          </cell>
          <cell r="C374" t="str">
            <v>OPEX Cost</v>
          </cell>
          <cell r="E374">
            <v>25374.199999999997</v>
          </cell>
          <cell r="F374">
            <v>1591901.8</v>
          </cell>
          <cell r="G374">
            <v>948942.39999999991</v>
          </cell>
          <cell r="H374">
            <v>744280.60000000021</v>
          </cell>
          <cell r="I374">
            <v>1191270.4000000001</v>
          </cell>
          <cell r="J374">
            <v>1296015.8000000003</v>
          </cell>
          <cell r="K374">
            <v>1977431.6</v>
          </cell>
          <cell r="L374">
            <v>1908420.8</v>
          </cell>
          <cell r="M374">
            <v>1246935.5999999999</v>
          </cell>
          <cell r="N374">
            <v>3747830.8000000003</v>
          </cell>
          <cell r="O374">
            <v>2211155.2000000002</v>
          </cell>
          <cell r="P374">
            <v>2120282.2000000002</v>
          </cell>
          <cell r="Q374">
            <v>19009841.400000002</v>
          </cell>
        </row>
        <row r="375">
          <cell r="A375" t="str">
            <v>Power</v>
          </cell>
          <cell r="B375" t="str">
            <v>SUNDARGARH PKG A</v>
          </cell>
          <cell r="C375" t="str">
            <v>OPEX Cost</v>
          </cell>
          <cell r="E375">
            <v>2889.9999999999995</v>
          </cell>
          <cell r="F375">
            <v>181310</v>
          </cell>
          <cell r="G375">
            <v>108079.99999999999</v>
          </cell>
          <cell r="H375">
            <v>84770.000000000015</v>
          </cell>
          <cell r="I375">
            <v>135680</v>
          </cell>
          <cell r="J375">
            <v>147610.00000000003</v>
          </cell>
          <cell r="K375">
            <v>225220</v>
          </cell>
          <cell r="L375">
            <v>217360</v>
          </cell>
          <cell r="M375">
            <v>142019.99999999997</v>
          </cell>
          <cell r="N375">
            <v>426860</v>
          </cell>
          <cell r="O375">
            <v>251840</v>
          </cell>
          <cell r="P375">
            <v>241490</v>
          </cell>
          <cell r="Q375">
            <v>2165130</v>
          </cell>
        </row>
        <row r="376">
          <cell r="A376" t="str">
            <v>Power</v>
          </cell>
          <cell r="B376" t="str">
            <v>SUNDARGARH PKG D</v>
          </cell>
          <cell r="C376" t="str">
            <v>Actual Work Done</v>
          </cell>
          <cell r="E376">
            <v>0</v>
          </cell>
          <cell r="F376">
            <v>7230999.9999999991</v>
          </cell>
          <cell r="G376">
            <v>19437000</v>
          </cell>
          <cell r="H376">
            <v>10368000</v>
          </cell>
          <cell r="I376">
            <v>9305000.0000000019</v>
          </cell>
          <cell r="J376">
            <v>13910000.000000002</v>
          </cell>
          <cell r="K376">
            <v>17920999.999999996</v>
          </cell>
          <cell r="L376">
            <v>13897999.999999998</v>
          </cell>
          <cell r="M376">
            <v>21518999.999999996</v>
          </cell>
          <cell r="N376">
            <v>27113000</v>
          </cell>
          <cell r="O376">
            <v>30519000</v>
          </cell>
          <cell r="P376">
            <v>26327000</v>
          </cell>
          <cell r="Q376">
            <v>197548000</v>
          </cell>
        </row>
        <row r="377">
          <cell r="A377" t="str">
            <v>Power</v>
          </cell>
          <cell r="B377" t="str">
            <v>SUNDARGARH PKG D</v>
          </cell>
          <cell r="C377" t="str">
            <v>Price Escallation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A378" t="str">
            <v>Power</v>
          </cell>
          <cell r="B378" t="str">
            <v>SUNDARGARH PKG D</v>
          </cell>
          <cell r="C378" t="str">
            <v>Variation Order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A379" t="str">
            <v>Power</v>
          </cell>
          <cell r="B379" t="str">
            <v>SUNDARGARH PKG D</v>
          </cell>
          <cell r="C379" t="str">
            <v>Work In Progress (increase/decrease)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A380" t="str">
            <v>Power</v>
          </cell>
          <cell r="B380" t="str">
            <v>SUNDARGARH PKG D</v>
          </cell>
          <cell r="C380" t="str">
            <v>Other Income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A381" t="str">
            <v>Power</v>
          </cell>
          <cell r="B381" t="str">
            <v>SUNDARGARH PKG D</v>
          </cell>
          <cell r="C381" t="str">
            <v>Material Cost</v>
          </cell>
          <cell r="E381">
            <v>0</v>
          </cell>
          <cell r="F381">
            <v>4863570.5999999996</v>
          </cell>
          <cell r="G381">
            <v>13073326.199999999</v>
          </cell>
          <cell r="H381">
            <v>6973516.7999999998</v>
          </cell>
          <cell r="I381">
            <v>6258543.0000000009</v>
          </cell>
          <cell r="J381">
            <v>9355866</v>
          </cell>
          <cell r="K381">
            <v>12053664.599999998</v>
          </cell>
          <cell r="L381">
            <v>9347794.7999999989</v>
          </cell>
          <cell r="M381">
            <v>14473679.399999997</v>
          </cell>
          <cell r="N381">
            <v>18236203.800000001</v>
          </cell>
          <cell r="O381">
            <v>20527079.399999999</v>
          </cell>
          <cell r="P381">
            <v>17707540.199999999</v>
          </cell>
          <cell r="Q381">
            <v>132870784.79999997</v>
          </cell>
        </row>
        <row r="382">
          <cell r="A382" t="str">
            <v>Power</v>
          </cell>
          <cell r="B382" t="str">
            <v>SUNDARGARH PKG D</v>
          </cell>
          <cell r="C382" t="str">
            <v>Labor charges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</row>
        <row r="383">
          <cell r="A383" t="str">
            <v>Power</v>
          </cell>
          <cell r="B383" t="str">
            <v>SUNDARGARH PKG D</v>
          </cell>
          <cell r="C383" t="str">
            <v>Sub-con work</v>
          </cell>
          <cell r="E383">
            <v>0</v>
          </cell>
          <cell r="F383">
            <v>942922.39999999979</v>
          </cell>
          <cell r="G383">
            <v>2534584.7999999998</v>
          </cell>
          <cell r="H383">
            <v>1351987.2</v>
          </cell>
          <cell r="I383">
            <v>1213372.0000000002</v>
          </cell>
          <cell r="J383">
            <v>1813864</v>
          </cell>
          <cell r="K383">
            <v>2336898.3999999994</v>
          </cell>
          <cell r="L383">
            <v>1812299.1999999995</v>
          </cell>
          <cell r="M383">
            <v>2806077.5999999992</v>
          </cell>
          <cell r="N383">
            <v>3535535.1999999997</v>
          </cell>
          <cell r="O383">
            <v>3979677.5999999996</v>
          </cell>
          <cell r="P383">
            <v>3433040.8</v>
          </cell>
          <cell r="Q383">
            <v>25760259.199999999</v>
          </cell>
        </row>
        <row r="384">
          <cell r="A384" t="str">
            <v>Power</v>
          </cell>
          <cell r="B384" t="str">
            <v>SUNDARGARH PKG D</v>
          </cell>
          <cell r="C384" t="str">
            <v>Own Machinery Hire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</row>
        <row r="385">
          <cell r="A385" t="str">
            <v>Power</v>
          </cell>
          <cell r="B385" t="str">
            <v>SUNDARGARH PKG D</v>
          </cell>
          <cell r="C385" t="str">
            <v>Hire Machinery Charge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</row>
        <row r="386">
          <cell r="A386" t="str">
            <v>Power</v>
          </cell>
          <cell r="B386" t="str">
            <v>SUNDARGARH PKG D</v>
          </cell>
          <cell r="C386" t="str">
            <v>Other Direct Expenses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A387" t="str">
            <v>Power</v>
          </cell>
          <cell r="B387" t="str">
            <v>SUNDARGARH PKG D</v>
          </cell>
          <cell r="C387" t="str">
            <v>JV's Fees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A388" t="str">
            <v>Power</v>
          </cell>
          <cell r="B388" t="str">
            <v>SUNDARGARH PKG D</v>
          </cell>
          <cell r="C388" t="str">
            <v>VAT &amp; other Taxes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</row>
        <row r="389">
          <cell r="A389" t="str">
            <v>Power</v>
          </cell>
          <cell r="B389" t="str">
            <v>SUNDARGARH PKG D</v>
          </cell>
          <cell r="C389" t="str">
            <v>Personnel cost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</row>
        <row r="390">
          <cell r="A390" t="str">
            <v>Power</v>
          </cell>
          <cell r="B390" t="str">
            <v>SUNDARGARH PKG D</v>
          </cell>
          <cell r="C390" t="str">
            <v>OPEX Cost</v>
          </cell>
          <cell r="E390">
            <v>0</v>
          </cell>
          <cell r="F390">
            <v>665251.99999999988</v>
          </cell>
          <cell r="G390">
            <v>1788204</v>
          </cell>
          <cell r="H390">
            <v>953856</v>
          </cell>
          <cell r="I390">
            <v>856060.00000000012</v>
          </cell>
          <cell r="J390">
            <v>1279720.0000000002</v>
          </cell>
          <cell r="K390">
            <v>1648731.9999999995</v>
          </cell>
          <cell r="L390">
            <v>1278615.9999999998</v>
          </cell>
          <cell r="M390">
            <v>1979747.9999999995</v>
          </cell>
          <cell r="N390">
            <v>2494396</v>
          </cell>
          <cell r="O390">
            <v>2807748</v>
          </cell>
          <cell r="P390">
            <v>2422084</v>
          </cell>
          <cell r="Q390">
            <v>18174416</v>
          </cell>
        </row>
        <row r="391">
          <cell r="A391" t="str">
            <v>Power</v>
          </cell>
          <cell r="B391" t="str">
            <v>SUNDARGARH PKG D</v>
          </cell>
          <cell r="C391" t="str">
            <v>OPEX Cost</v>
          </cell>
          <cell r="E391">
            <v>0</v>
          </cell>
          <cell r="F391">
            <v>72309.999999999985</v>
          </cell>
          <cell r="G391">
            <v>194370</v>
          </cell>
          <cell r="H391">
            <v>103680</v>
          </cell>
          <cell r="I391">
            <v>93050.000000000015</v>
          </cell>
          <cell r="J391">
            <v>139100.00000000003</v>
          </cell>
          <cell r="K391">
            <v>179209.99999999997</v>
          </cell>
          <cell r="L391">
            <v>138979.99999999997</v>
          </cell>
          <cell r="M391">
            <v>215189.99999999997</v>
          </cell>
          <cell r="N391">
            <v>271130</v>
          </cell>
          <cell r="O391">
            <v>305190</v>
          </cell>
          <cell r="P391">
            <v>263270</v>
          </cell>
          <cell r="Q391">
            <v>1975480</v>
          </cell>
        </row>
        <row r="392">
          <cell r="A392" t="str">
            <v>Power</v>
          </cell>
          <cell r="B392" t="str">
            <v>AKOLA</v>
          </cell>
          <cell r="C392" t="str">
            <v>Actual Work Done</v>
          </cell>
          <cell r="E392">
            <v>0</v>
          </cell>
          <cell r="F392">
            <v>13072240.861258199</v>
          </cell>
          <cell r="G392">
            <v>21927759.138741799</v>
          </cell>
          <cell r="H392">
            <v>32000000</v>
          </cell>
          <cell r="I392">
            <v>33000000</v>
          </cell>
          <cell r="J392">
            <v>35000000</v>
          </cell>
          <cell r="K392">
            <v>40000000</v>
          </cell>
          <cell r="L392">
            <v>50000000</v>
          </cell>
          <cell r="M392">
            <v>60000000</v>
          </cell>
          <cell r="N392">
            <v>75000000</v>
          </cell>
          <cell r="O392">
            <v>0</v>
          </cell>
          <cell r="P392">
            <v>0</v>
          </cell>
          <cell r="Q392">
            <v>360000000</v>
          </cell>
        </row>
        <row r="393">
          <cell r="A393" t="str">
            <v>Power</v>
          </cell>
          <cell r="B393" t="str">
            <v>AKOLA</v>
          </cell>
          <cell r="C393" t="str">
            <v>Price Escallation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</row>
        <row r="394">
          <cell r="A394" t="str">
            <v>Power</v>
          </cell>
          <cell r="B394" t="str">
            <v>AKOLA</v>
          </cell>
          <cell r="C394" t="str">
            <v>Variation Order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</row>
        <row r="395">
          <cell r="A395" t="str">
            <v>Power</v>
          </cell>
          <cell r="B395" t="str">
            <v>AKOLA</v>
          </cell>
          <cell r="C395" t="str">
            <v>Work In Progress (increase/decrease)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</row>
        <row r="396">
          <cell r="A396" t="str">
            <v>Power</v>
          </cell>
          <cell r="B396" t="str">
            <v>AKOLA</v>
          </cell>
          <cell r="C396" t="str">
            <v>Other Income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</row>
        <row r="397">
          <cell r="A397" t="str">
            <v>Power</v>
          </cell>
          <cell r="B397" t="str">
            <v>AKOLA</v>
          </cell>
          <cell r="C397" t="str">
            <v>Material Cost</v>
          </cell>
          <cell r="E397">
            <v>0</v>
          </cell>
          <cell r="F397">
            <v>9542735.8287184853</v>
          </cell>
          <cell r="G397">
            <v>16007264.171281513</v>
          </cell>
          <cell r="H397">
            <v>23360000</v>
          </cell>
          <cell r="I397">
            <v>24090000</v>
          </cell>
          <cell r="J397">
            <v>25550000</v>
          </cell>
          <cell r="K397">
            <v>29200000</v>
          </cell>
          <cell r="L397">
            <v>36500000</v>
          </cell>
          <cell r="M397">
            <v>43800000</v>
          </cell>
          <cell r="N397">
            <v>54750000</v>
          </cell>
          <cell r="O397">
            <v>0</v>
          </cell>
          <cell r="P397">
            <v>0</v>
          </cell>
          <cell r="Q397">
            <v>262800000</v>
          </cell>
        </row>
        <row r="398">
          <cell r="A398" t="str">
            <v>Power</v>
          </cell>
          <cell r="B398" t="str">
            <v>AKOLA</v>
          </cell>
          <cell r="C398" t="str">
            <v>Labor charges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</row>
        <row r="399">
          <cell r="A399" t="str">
            <v>Power</v>
          </cell>
          <cell r="B399" t="str">
            <v>AKOLA</v>
          </cell>
          <cell r="C399" t="str">
            <v>Sub-con work</v>
          </cell>
          <cell r="E399">
            <v>0</v>
          </cell>
          <cell r="F399">
            <v>1176501.6775132378</v>
          </cell>
          <cell r="G399">
            <v>1973498.3224867617</v>
          </cell>
          <cell r="H399">
            <v>2880000</v>
          </cell>
          <cell r="I399">
            <v>2970000</v>
          </cell>
          <cell r="J399">
            <v>3150000</v>
          </cell>
          <cell r="K399">
            <v>3600000</v>
          </cell>
          <cell r="L399">
            <v>4500000</v>
          </cell>
          <cell r="M399">
            <v>5400000</v>
          </cell>
          <cell r="N399">
            <v>6750000</v>
          </cell>
          <cell r="O399">
            <v>0</v>
          </cell>
          <cell r="P399">
            <v>0</v>
          </cell>
          <cell r="Q399">
            <v>32400000</v>
          </cell>
        </row>
        <row r="400">
          <cell r="A400" t="str">
            <v>Power</v>
          </cell>
          <cell r="B400" t="str">
            <v>AKOLA</v>
          </cell>
          <cell r="C400" t="str">
            <v>Own Machinery Hire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</row>
        <row r="401">
          <cell r="A401" t="str">
            <v>Power</v>
          </cell>
          <cell r="B401" t="str">
            <v>AKOLA</v>
          </cell>
          <cell r="C401" t="str">
            <v>Hire Machinery Charge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</row>
        <row r="402">
          <cell r="A402" t="str">
            <v>Power</v>
          </cell>
          <cell r="B402" t="str">
            <v>AKOLA</v>
          </cell>
          <cell r="C402" t="str">
            <v>Other Direct Expenses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</row>
        <row r="403">
          <cell r="A403" t="str">
            <v>Power</v>
          </cell>
          <cell r="B403" t="str">
            <v>AKOLA</v>
          </cell>
          <cell r="C403" t="str">
            <v>JV's Fees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</row>
        <row r="404">
          <cell r="A404" t="str">
            <v>Power</v>
          </cell>
          <cell r="B404" t="str">
            <v>AKOLA</v>
          </cell>
          <cell r="C404" t="str">
            <v>VAT &amp; other Taxes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A405" t="str">
            <v>Power</v>
          </cell>
          <cell r="B405" t="str">
            <v>AKOLA</v>
          </cell>
          <cell r="C405" t="str">
            <v>Personnel cost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</row>
        <row r="406">
          <cell r="A406" t="str">
            <v>Power</v>
          </cell>
          <cell r="B406" t="str">
            <v>AKOLA</v>
          </cell>
          <cell r="C406" t="str">
            <v>OPEX Cost</v>
          </cell>
          <cell r="E406">
            <v>0</v>
          </cell>
          <cell r="F406">
            <v>1268007.3635420455</v>
          </cell>
          <cell r="G406">
            <v>2126992.6364579545</v>
          </cell>
          <cell r="H406">
            <v>3104000</v>
          </cell>
          <cell r="I406">
            <v>3201000</v>
          </cell>
          <cell r="J406">
            <v>3395000</v>
          </cell>
          <cell r="K406">
            <v>3880000</v>
          </cell>
          <cell r="L406">
            <v>4850000</v>
          </cell>
          <cell r="M406">
            <v>5820000</v>
          </cell>
          <cell r="N406">
            <v>7275000</v>
          </cell>
          <cell r="O406">
            <v>0</v>
          </cell>
          <cell r="P406">
            <v>0</v>
          </cell>
          <cell r="Q406">
            <v>34920000</v>
          </cell>
        </row>
        <row r="407">
          <cell r="A407" t="str">
            <v>Power</v>
          </cell>
          <cell r="B407" t="str">
            <v>AKOLA</v>
          </cell>
          <cell r="C407" t="str">
            <v>OPEX Cost</v>
          </cell>
          <cell r="E407">
            <v>0</v>
          </cell>
          <cell r="F407">
            <v>130722.408612582</v>
          </cell>
          <cell r="G407">
            <v>219277.59138741798</v>
          </cell>
          <cell r="H407">
            <v>320000</v>
          </cell>
          <cell r="I407">
            <v>330000</v>
          </cell>
          <cell r="J407">
            <v>350000</v>
          </cell>
          <cell r="K407">
            <v>400000</v>
          </cell>
          <cell r="L407">
            <v>500000</v>
          </cell>
          <cell r="M407">
            <v>600000</v>
          </cell>
          <cell r="N407">
            <v>750000</v>
          </cell>
          <cell r="O407">
            <v>0</v>
          </cell>
          <cell r="P407">
            <v>0</v>
          </cell>
          <cell r="Q407">
            <v>3600000</v>
          </cell>
        </row>
        <row r="408">
          <cell r="A408" t="str">
            <v>Power</v>
          </cell>
          <cell r="B408" t="str">
            <v>NASHIK</v>
          </cell>
          <cell r="C408" t="str">
            <v>Actual Work Done</v>
          </cell>
          <cell r="E408">
            <v>0</v>
          </cell>
          <cell r="F408">
            <v>0</v>
          </cell>
          <cell r="G408">
            <v>30000000</v>
          </cell>
          <cell r="H408">
            <v>20000000</v>
          </cell>
          <cell r="I408">
            <v>30000000</v>
          </cell>
          <cell r="J408">
            <v>70000000</v>
          </cell>
          <cell r="K408">
            <v>30000000</v>
          </cell>
          <cell r="L408">
            <v>40000000</v>
          </cell>
          <cell r="M408">
            <v>130000000</v>
          </cell>
          <cell r="N408">
            <v>60000000</v>
          </cell>
          <cell r="O408">
            <v>100000000</v>
          </cell>
          <cell r="P408">
            <v>285000000</v>
          </cell>
          <cell r="Q408">
            <v>795000000</v>
          </cell>
        </row>
        <row r="409">
          <cell r="A409" t="str">
            <v>Power</v>
          </cell>
          <cell r="B409" t="str">
            <v>NASHIK</v>
          </cell>
          <cell r="C409" t="str">
            <v>Price Escallation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0">
          <cell r="A410" t="str">
            <v>Power</v>
          </cell>
          <cell r="B410" t="str">
            <v>NASHIK</v>
          </cell>
          <cell r="C410" t="str">
            <v>Variation Order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</row>
        <row r="411">
          <cell r="A411" t="str">
            <v>Power</v>
          </cell>
          <cell r="B411" t="str">
            <v>NASHIK</v>
          </cell>
          <cell r="C411" t="str">
            <v>Work In Progress (increase/decrease)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</row>
        <row r="412">
          <cell r="A412" t="str">
            <v>Power</v>
          </cell>
          <cell r="B412" t="str">
            <v>NASHIK</v>
          </cell>
          <cell r="C412" t="str">
            <v>Other Income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A413" t="str">
            <v>Power</v>
          </cell>
          <cell r="B413" t="str">
            <v>NASHIK</v>
          </cell>
          <cell r="C413" t="str">
            <v>Material Cost</v>
          </cell>
          <cell r="E413">
            <v>0</v>
          </cell>
          <cell r="F413">
            <v>0</v>
          </cell>
          <cell r="G413">
            <v>20535000</v>
          </cell>
          <cell r="H413">
            <v>13690000</v>
          </cell>
          <cell r="I413">
            <v>20535000</v>
          </cell>
          <cell r="J413">
            <v>47915000</v>
          </cell>
          <cell r="K413">
            <v>20535000</v>
          </cell>
          <cell r="L413">
            <v>27380000</v>
          </cell>
          <cell r="M413">
            <v>88985000</v>
          </cell>
          <cell r="N413">
            <v>41070000</v>
          </cell>
          <cell r="O413">
            <v>68450000</v>
          </cell>
          <cell r="P413">
            <v>195082500</v>
          </cell>
          <cell r="Q413">
            <v>544177500</v>
          </cell>
        </row>
        <row r="414">
          <cell r="A414" t="str">
            <v>Power</v>
          </cell>
          <cell r="B414" t="str">
            <v>NASHIK</v>
          </cell>
          <cell r="C414" t="str">
            <v>Labor charges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</row>
        <row r="415">
          <cell r="A415" t="str">
            <v>Power</v>
          </cell>
          <cell r="B415" t="str">
            <v>NASHIK</v>
          </cell>
          <cell r="C415" t="str">
            <v>Sub-con work</v>
          </cell>
          <cell r="E415">
            <v>0</v>
          </cell>
          <cell r="F415">
            <v>0</v>
          </cell>
          <cell r="G415">
            <v>2709000</v>
          </cell>
          <cell r="H415">
            <v>1806000</v>
          </cell>
          <cell r="I415">
            <v>2709000</v>
          </cell>
          <cell r="J415">
            <v>6321000</v>
          </cell>
          <cell r="K415">
            <v>2709000</v>
          </cell>
          <cell r="L415">
            <v>3612000</v>
          </cell>
          <cell r="M415">
            <v>11739000</v>
          </cell>
          <cell r="N415">
            <v>5418000</v>
          </cell>
          <cell r="O415">
            <v>9030000</v>
          </cell>
          <cell r="P415">
            <v>25735500</v>
          </cell>
          <cell r="Q415">
            <v>71788500</v>
          </cell>
        </row>
        <row r="416">
          <cell r="A416" t="str">
            <v>Power</v>
          </cell>
          <cell r="B416" t="str">
            <v>NASHIK</v>
          </cell>
          <cell r="C416" t="str">
            <v>Own Machinery Hire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</row>
        <row r="417">
          <cell r="A417" t="str">
            <v>Power</v>
          </cell>
          <cell r="B417" t="str">
            <v>NASHIK</v>
          </cell>
          <cell r="C417" t="str">
            <v>Hire Machinery Charge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</row>
        <row r="418">
          <cell r="A418" t="str">
            <v>Power</v>
          </cell>
          <cell r="B418" t="str">
            <v>NASHIK</v>
          </cell>
          <cell r="C418" t="str">
            <v>Other Direct Expenses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</row>
        <row r="419">
          <cell r="A419" t="str">
            <v>Power</v>
          </cell>
          <cell r="B419" t="str">
            <v>NASHIK</v>
          </cell>
          <cell r="C419" t="str">
            <v>JV's Fees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</row>
        <row r="420">
          <cell r="A420" t="str">
            <v>Power</v>
          </cell>
          <cell r="B420" t="str">
            <v>NASHIK</v>
          </cell>
          <cell r="C420" t="str">
            <v>VAT &amp; other Taxes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</row>
        <row r="421">
          <cell r="A421" t="str">
            <v>Power</v>
          </cell>
          <cell r="B421" t="str">
            <v>NASHIK</v>
          </cell>
          <cell r="C421" t="str">
            <v>Personnel cost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</row>
        <row r="422">
          <cell r="A422" t="str">
            <v>Power</v>
          </cell>
          <cell r="B422" t="str">
            <v>NASHIK</v>
          </cell>
          <cell r="C422" t="str">
            <v>OPEX Cost</v>
          </cell>
          <cell r="E422">
            <v>0</v>
          </cell>
          <cell r="F422">
            <v>0</v>
          </cell>
          <cell r="G422">
            <v>3756000</v>
          </cell>
          <cell r="H422">
            <v>2504000</v>
          </cell>
          <cell r="I422">
            <v>3756000</v>
          </cell>
          <cell r="J422">
            <v>8764000</v>
          </cell>
          <cell r="K422">
            <v>3756000</v>
          </cell>
          <cell r="L422">
            <v>5008000</v>
          </cell>
          <cell r="M422">
            <v>16276000</v>
          </cell>
          <cell r="N422">
            <v>7512000</v>
          </cell>
          <cell r="O422">
            <v>12520000</v>
          </cell>
          <cell r="P422">
            <v>35682000</v>
          </cell>
          <cell r="Q422">
            <v>99534000</v>
          </cell>
        </row>
        <row r="423">
          <cell r="A423" t="str">
            <v>Power</v>
          </cell>
          <cell r="B423" t="str">
            <v>NASHIK</v>
          </cell>
          <cell r="C423" t="str">
            <v>OPEX Cost</v>
          </cell>
          <cell r="E423">
            <v>0</v>
          </cell>
          <cell r="F423">
            <v>0</v>
          </cell>
          <cell r="G423">
            <v>300000</v>
          </cell>
          <cell r="H423">
            <v>200000</v>
          </cell>
          <cell r="I423">
            <v>300000</v>
          </cell>
          <cell r="J423">
            <v>700000</v>
          </cell>
          <cell r="K423">
            <v>300000</v>
          </cell>
          <cell r="L423">
            <v>400000</v>
          </cell>
          <cell r="M423">
            <v>1300000</v>
          </cell>
          <cell r="N423">
            <v>600000</v>
          </cell>
          <cell r="O423">
            <v>1000000</v>
          </cell>
          <cell r="P423">
            <v>2850000</v>
          </cell>
          <cell r="Q423">
            <v>7950000</v>
          </cell>
        </row>
        <row r="424">
          <cell r="A424" t="str">
            <v>Power</v>
          </cell>
          <cell r="B424" t="str">
            <v>LATHUR</v>
          </cell>
          <cell r="C424" t="str">
            <v>Actual Work Done</v>
          </cell>
          <cell r="E424">
            <v>0</v>
          </cell>
          <cell r="F424">
            <v>0</v>
          </cell>
          <cell r="G424">
            <v>20000000</v>
          </cell>
          <cell r="H424">
            <v>20000000</v>
          </cell>
          <cell r="I424">
            <v>30000000</v>
          </cell>
          <cell r="J424">
            <v>50000000</v>
          </cell>
          <cell r="K424">
            <v>30000000</v>
          </cell>
          <cell r="L424">
            <v>40000000</v>
          </cell>
          <cell r="M424">
            <v>80000000</v>
          </cell>
          <cell r="N424">
            <v>60000000</v>
          </cell>
          <cell r="O424">
            <v>100000000</v>
          </cell>
          <cell r="P424">
            <v>215000000</v>
          </cell>
          <cell r="Q424">
            <v>645000000</v>
          </cell>
        </row>
        <row r="425">
          <cell r="A425" t="str">
            <v>Power</v>
          </cell>
          <cell r="B425" t="str">
            <v>LATHUR</v>
          </cell>
          <cell r="C425" t="str">
            <v>Price Escallation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</row>
        <row r="426">
          <cell r="A426" t="str">
            <v>Power</v>
          </cell>
          <cell r="B426" t="str">
            <v>LATHUR</v>
          </cell>
          <cell r="C426" t="str">
            <v>Variation Order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7">
          <cell r="A427" t="str">
            <v>Power</v>
          </cell>
          <cell r="B427" t="str">
            <v>LATHUR</v>
          </cell>
          <cell r="C427" t="str">
            <v>Work In Progress (increase/decrease)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</row>
        <row r="428">
          <cell r="A428" t="str">
            <v>Power</v>
          </cell>
          <cell r="B428" t="str">
            <v>LATHUR</v>
          </cell>
          <cell r="C428" t="str">
            <v>Other Income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</row>
        <row r="429">
          <cell r="A429" t="str">
            <v>Power</v>
          </cell>
          <cell r="B429" t="str">
            <v>LATHUR</v>
          </cell>
          <cell r="C429" t="str">
            <v>Material Cost</v>
          </cell>
          <cell r="E429">
            <v>0</v>
          </cell>
          <cell r="F429">
            <v>0</v>
          </cell>
          <cell r="G429">
            <v>13654000</v>
          </cell>
          <cell r="H429">
            <v>13654000</v>
          </cell>
          <cell r="I429">
            <v>20481000</v>
          </cell>
          <cell r="J429">
            <v>34135000</v>
          </cell>
          <cell r="K429">
            <v>20481000</v>
          </cell>
          <cell r="L429">
            <v>27308000</v>
          </cell>
          <cell r="M429">
            <v>54616000</v>
          </cell>
          <cell r="N429">
            <v>40962000</v>
          </cell>
          <cell r="O429">
            <v>68270000</v>
          </cell>
          <cell r="P429">
            <v>146780500</v>
          </cell>
          <cell r="Q429">
            <v>440341500</v>
          </cell>
        </row>
        <row r="430">
          <cell r="A430" t="str">
            <v>Power</v>
          </cell>
          <cell r="B430" t="str">
            <v>LATHUR</v>
          </cell>
          <cell r="C430" t="str">
            <v>Labor charges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A431" t="str">
            <v>Power</v>
          </cell>
          <cell r="B431" t="str">
            <v>LATHUR</v>
          </cell>
          <cell r="C431" t="str">
            <v>Sub-con work</v>
          </cell>
          <cell r="E431">
            <v>0</v>
          </cell>
          <cell r="F431">
            <v>0</v>
          </cell>
          <cell r="G431">
            <v>1830000</v>
          </cell>
          <cell r="H431">
            <v>1830000</v>
          </cell>
          <cell r="I431">
            <v>2745000</v>
          </cell>
          <cell r="J431">
            <v>4575000</v>
          </cell>
          <cell r="K431">
            <v>2745000</v>
          </cell>
          <cell r="L431">
            <v>3660000</v>
          </cell>
          <cell r="M431">
            <v>7320000</v>
          </cell>
          <cell r="N431">
            <v>5490000</v>
          </cell>
          <cell r="O431">
            <v>9150000</v>
          </cell>
          <cell r="P431">
            <v>19672500</v>
          </cell>
          <cell r="Q431">
            <v>59017500</v>
          </cell>
        </row>
        <row r="432">
          <cell r="A432" t="str">
            <v>Power</v>
          </cell>
          <cell r="B432" t="str">
            <v>LATHUR</v>
          </cell>
          <cell r="C432" t="str">
            <v>Own Machinery Hire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A433" t="str">
            <v>Power</v>
          </cell>
          <cell r="B433" t="str">
            <v>LATHUR</v>
          </cell>
          <cell r="C433" t="str">
            <v>Hire Machinery Charge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A434" t="str">
            <v>Power</v>
          </cell>
          <cell r="B434" t="str">
            <v>LATHUR</v>
          </cell>
          <cell r="C434" t="str">
            <v>Other Direct Expenses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A435" t="str">
            <v>Power</v>
          </cell>
          <cell r="B435" t="str">
            <v>LATHUR</v>
          </cell>
          <cell r="C435" t="str">
            <v>JV's Fees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A436" t="str">
            <v>Power</v>
          </cell>
          <cell r="B436" t="str">
            <v>LATHUR</v>
          </cell>
          <cell r="C436" t="str">
            <v>VAT &amp; other Taxes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A437" t="str">
            <v>Power</v>
          </cell>
          <cell r="B437" t="str">
            <v>LATHUR</v>
          </cell>
          <cell r="C437" t="str">
            <v>Personnel cost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A438" t="str">
            <v>Power</v>
          </cell>
          <cell r="B438" t="str">
            <v>LATHUR</v>
          </cell>
          <cell r="C438" t="str">
            <v>OPEX Cost</v>
          </cell>
          <cell r="E438">
            <v>0</v>
          </cell>
          <cell r="F438">
            <v>0</v>
          </cell>
          <cell r="G438">
            <v>2516000</v>
          </cell>
          <cell r="H438">
            <v>2516000</v>
          </cell>
          <cell r="I438">
            <v>3774000</v>
          </cell>
          <cell r="J438">
            <v>6290000</v>
          </cell>
          <cell r="K438">
            <v>3774000</v>
          </cell>
          <cell r="L438">
            <v>5032000</v>
          </cell>
          <cell r="M438">
            <v>10064000</v>
          </cell>
          <cell r="N438">
            <v>7548000</v>
          </cell>
          <cell r="O438">
            <v>12580000</v>
          </cell>
          <cell r="P438">
            <v>27047000</v>
          </cell>
          <cell r="Q438">
            <v>81141000</v>
          </cell>
        </row>
        <row r="439">
          <cell r="A439" t="str">
            <v>Power</v>
          </cell>
          <cell r="B439" t="str">
            <v>LATHUR</v>
          </cell>
          <cell r="C439" t="str">
            <v>OPEX Cost</v>
          </cell>
          <cell r="E439">
            <v>0</v>
          </cell>
          <cell r="F439">
            <v>0</v>
          </cell>
          <cell r="G439">
            <v>200000</v>
          </cell>
          <cell r="H439">
            <v>200000</v>
          </cell>
          <cell r="I439">
            <v>300000</v>
          </cell>
          <cell r="J439">
            <v>500000</v>
          </cell>
          <cell r="K439">
            <v>300000</v>
          </cell>
          <cell r="L439">
            <v>400000</v>
          </cell>
          <cell r="M439">
            <v>800000</v>
          </cell>
          <cell r="N439">
            <v>600000</v>
          </cell>
          <cell r="O439">
            <v>1000000</v>
          </cell>
          <cell r="P439">
            <v>2150000</v>
          </cell>
          <cell r="Q439">
            <v>6450000</v>
          </cell>
        </row>
        <row r="440">
          <cell r="A440" t="str">
            <v>Power</v>
          </cell>
          <cell r="B440" t="str">
            <v>HO</v>
          </cell>
          <cell r="C440" t="str">
            <v>Personnel cost</v>
          </cell>
          <cell r="E440">
            <v>955350</v>
          </cell>
          <cell r="F440">
            <v>955350</v>
          </cell>
          <cell r="G440">
            <v>955350</v>
          </cell>
          <cell r="H440">
            <v>955350</v>
          </cell>
          <cell r="I440">
            <v>955350</v>
          </cell>
          <cell r="J440">
            <v>955350</v>
          </cell>
          <cell r="K440">
            <v>955350</v>
          </cell>
          <cell r="L440">
            <v>955350</v>
          </cell>
          <cell r="M440">
            <v>955350</v>
          </cell>
          <cell r="N440">
            <v>955350</v>
          </cell>
          <cell r="O440">
            <v>955350</v>
          </cell>
          <cell r="P440">
            <v>955350</v>
          </cell>
          <cell r="Q440">
            <v>11464200</v>
          </cell>
        </row>
        <row r="441">
          <cell r="A441" t="str">
            <v>Power</v>
          </cell>
          <cell r="B441" t="str">
            <v>HO</v>
          </cell>
          <cell r="C441" t="str">
            <v>OPEX Cost</v>
          </cell>
          <cell r="E441">
            <v>1273800</v>
          </cell>
          <cell r="F441">
            <v>1273800</v>
          </cell>
          <cell r="G441">
            <v>1273800</v>
          </cell>
          <cell r="H441">
            <v>1273800</v>
          </cell>
          <cell r="I441">
            <v>1273800</v>
          </cell>
          <cell r="J441">
            <v>1273800</v>
          </cell>
          <cell r="K441">
            <v>1273800</v>
          </cell>
          <cell r="L441">
            <v>1273800</v>
          </cell>
          <cell r="M441">
            <v>1273800</v>
          </cell>
          <cell r="N441">
            <v>1273800</v>
          </cell>
          <cell r="O441">
            <v>1273800</v>
          </cell>
          <cell r="P441">
            <v>1273800</v>
          </cell>
          <cell r="Q441">
            <v>15285600</v>
          </cell>
        </row>
        <row r="442">
          <cell r="A442" t="str">
            <v>Road</v>
          </cell>
          <cell r="B442" t="str">
            <v>CG 1</v>
          </cell>
          <cell r="C442" t="str">
            <v>Actual Work Done</v>
          </cell>
          <cell r="E442">
            <v>40458868.480000012</v>
          </cell>
          <cell r="F442">
            <v>32278941.299999997</v>
          </cell>
          <cell r="G442">
            <v>20441575.060000002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93179384.840000004</v>
          </cell>
        </row>
        <row r="443">
          <cell r="A443" t="str">
            <v>Road</v>
          </cell>
          <cell r="B443" t="str">
            <v>CG 1</v>
          </cell>
          <cell r="C443" t="str">
            <v>Material Cost</v>
          </cell>
          <cell r="E443">
            <v>34390038.208000012</v>
          </cell>
          <cell r="F443">
            <v>27437100.104999997</v>
          </cell>
          <cell r="G443">
            <v>17375338.800999999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79202477.114000008</v>
          </cell>
        </row>
        <row r="444">
          <cell r="A444" t="str">
            <v>Road</v>
          </cell>
          <cell r="B444" t="str">
            <v>CG 1</v>
          </cell>
          <cell r="C444" t="str">
            <v>OPEX Cost</v>
          </cell>
          <cell r="E444">
            <v>5158505.7312000012</v>
          </cell>
          <cell r="F444">
            <v>4115565.0157499993</v>
          </cell>
          <cell r="G444">
            <v>2606300.82015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11880371.5671</v>
          </cell>
        </row>
        <row r="445">
          <cell r="A445" t="str">
            <v>Road</v>
          </cell>
          <cell r="B445" t="str">
            <v>EHP</v>
          </cell>
          <cell r="C445" t="str">
            <v>Actual Work Done</v>
          </cell>
          <cell r="E445">
            <v>161975581.64585039</v>
          </cell>
          <cell r="F445">
            <v>130253832.81311761</v>
          </cell>
          <cell r="G445">
            <v>48439222.362990305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340668636.8219583</v>
          </cell>
        </row>
        <row r="446">
          <cell r="A446" t="str">
            <v>Road</v>
          </cell>
          <cell r="B446" t="str">
            <v>EHP</v>
          </cell>
          <cell r="C446" t="str">
            <v>Material Cost</v>
          </cell>
          <cell r="E446">
            <v>137679244.39897284</v>
          </cell>
          <cell r="F446">
            <v>110715757.89114995</v>
          </cell>
          <cell r="G446">
            <v>41173339.008541763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289568341.29866457</v>
          </cell>
        </row>
        <row r="447">
          <cell r="A447" t="str">
            <v>Road</v>
          </cell>
          <cell r="B447" t="str">
            <v>EHP</v>
          </cell>
          <cell r="C447" t="str">
            <v>OPEX Cost</v>
          </cell>
          <cell r="E447">
            <v>20651886.659845926</v>
          </cell>
          <cell r="F447">
            <v>16607363.683672491</v>
          </cell>
          <cell r="G447">
            <v>6176000.8512812639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43435251.194799684</v>
          </cell>
        </row>
        <row r="448">
          <cell r="A448" t="str">
            <v>Road</v>
          </cell>
          <cell r="B448" t="str">
            <v>MEERUT</v>
          </cell>
          <cell r="C448" t="str">
            <v>Actual Work Done</v>
          </cell>
          <cell r="E448">
            <v>53157096.8964184</v>
          </cell>
          <cell r="F448">
            <v>48262560.229751736</v>
          </cell>
          <cell r="G448">
            <v>48262560.229751736</v>
          </cell>
          <cell r="H448">
            <v>48262560.229751736</v>
          </cell>
          <cell r="I448">
            <v>48262560.229751736</v>
          </cell>
          <cell r="J448">
            <v>48262560.229751736</v>
          </cell>
          <cell r="K448">
            <v>69330830.933293402</v>
          </cell>
          <cell r="L448">
            <v>69330830.933293402</v>
          </cell>
          <cell r="M448">
            <v>69330830.933293402</v>
          </cell>
          <cell r="N448">
            <v>62761258.099202484</v>
          </cell>
          <cell r="O448">
            <v>55659370.849202491</v>
          </cell>
          <cell r="P448">
            <v>44851129.852664031</v>
          </cell>
          <cell r="Q448">
            <v>665734149.64612627</v>
          </cell>
        </row>
        <row r="449">
          <cell r="A449" t="str">
            <v>Road</v>
          </cell>
          <cell r="B449" t="str">
            <v>MEERUT</v>
          </cell>
          <cell r="C449" t="str">
            <v>Material Cost</v>
          </cell>
          <cell r="E449">
            <v>45183532.361955643</v>
          </cell>
          <cell r="F449">
            <v>41023176.195288971</v>
          </cell>
          <cell r="G449">
            <v>41023176.195288971</v>
          </cell>
          <cell r="H449">
            <v>41023176.195288971</v>
          </cell>
          <cell r="I449">
            <v>41023176.195288971</v>
          </cell>
          <cell r="J449">
            <v>41023176.195288971</v>
          </cell>
          <cell r="K449">
            <v>58931206.293299384</v>
          </cell>
          <cell r="L449">
            <v>58931206.293299384</v>
          </cell>
          <cell r="M449">
            <v>58931206.293299384</v>
          </cell>
          <cell r="N449">
            <v>53347069.384322107</v>
          </cell>
          <cell r="O449">
            <v>47310465.22182212</v>
          </cell>
          <cell r="P449">
            <v>38123460.374764428</v>
          </cell>
          <cell r="Q449">
            <v>565874027.19920731</v>
          </cell>
        </row>
        <row r="450">
          <cell r="A450" t="str">
            <v>Road</v>
          </cell>
          <cell r="B450" t="str">
            <v>MEERUT</v>
          </cell>
          <cell r="C450" t="str">
            <v>OPEX Cost</v>
          </cell>
          <cell r="E450">
            <v>6777529.8542933455</v>
          </cell>
          <cell r="F450">
            <v>6153476.4292933457</v>
          </cell>
          <cell r="G450">
            <v>6153476.4292933457</v>
          </cell>
          <cell r="H450">
            <v>6153476.4292933457</v>
          </cell>
          <cell r="I450">
            <v>6153476.4292933457</v>
          </cell>
          <cell r="J450">
            <v>6153476.4292933457</v>
          </cell>
          <cell r="K450">
            <v>8839680.9439949077</v>
          </cell>
          <cell r="L450">
            <v>8839680.9439949077</v>
          </cell>
          <cell r="M450">
            <v>8839680.9439949077</v>
          </cell>
          <cell r="N450">
            <v>8002060.4076483157</v>
          </cell>
          <cell r="O450">
            <v>7096569.7832733169</v>
          </cell>
          <cell r="P450">
            <v>5718519.0562146641</v>
          </cell>
          <cell r="Q450">
            <v>84881104.079881102</v>
          </cell>
        </row>
        <row r="451">
          <cell r="A451" t="str">
            <v>Road</v>
          </cell>
          <cell r="B451" t="str">
            <v>PONDY</v>
          </cell>
          <cell r="C451" t="str">
            <v>Actual Work Done</v>
          </cell>
          <cell r="E451">
            <v>86440804.894006565</v>
          </cell>
          <cell r="F451">
            <v>189116153.61960244</v>
          </cell>
          <cell r="G451">
            <v>215899493.51719987</v>
          </cell>
          <cell r="H451">
            <v>246040247.46246663</v>
          </cell>
          <cell r="I451">
            <v>246040247.46246663</v>
          </cell>
          <cell r="J451">
            <v>234622221.67469931</v>
          </cell>
          <cell r="K451">
            <v>67682319.729214624</v>
          </cell>
          <cell r="L451">
            <v>62796622.751130477</v>
          </cell>
          <cell r="M451">
            <v>164303650.90478736</v>
          </cell>
          <cell r="N451">
            <v>143606373.56924036</v>
          </cell>
          <cell r="O451">
            <v>0</v>
          </cell>
          <cell r="P451">
            <v>0</v>
          </cell>
          <cell r="Q451">
            <v>1656548135.5848143</v>
          </cell>
        </row>
        <row r="452">
          <cell r="A452" t="str">
            <v>Road</v>
          </cell>
          <cell r="B452" t="str">
            <v>PONDY</v>
          </cell>
          <cell r="C452" t="str">
            <v>Material Cost</v>
          </cell>
          <cell r="E452">
            <v>73474684.159905583</v>
          </cell>
          <cell r="F452">
            <v>160748730.57666206</v>
          </cell>
          <cell r="G452">
            <v>183514569.48961988</v>
          </cell>
          <cell r="H452">
            <v>209134210.34309664</v>
          </cell>
          <cell r="I452">
            <v>209134210.34309664</v>
          </cell>
          <cell r="J452">
            <v>199428888.4234944</v>
          </cell>
          <cell r="K452">
            <v>57529971.769832425</v>
          </cell>
          <cell r="L452">
            <v>53377129.338460907</v>
          </cell>
          <cell r="M452">
            <v>139658103.26906922</v>
          </cell>
          <cell r="N452">
            <v>122065417.53385429</v>
          </cell>
          <cell r="O452">
            <v>0</v>
          </cell>
          <cell r="P452">
            <v>0</v>
          </cell>
          <cell r="Q452">
            <v>1408065915.247092</v>
          </cell>
        </row>
        <row r="453">
          <cell r="A453" t="str">
            <v>Road</v>
          </cell>
          <cell r="B453" t="str">
            <v>PONDY</v>
          </cell>
          <cell r="C453" t="str">
            <v>OPEX Cost</v>
          </cell>
          <cell r="E453">
            <v>11021202.623985836</v>
          </cell>
          <cell r="F453">
            <v>24112309.586499311</v>
          </cell>
          <cell r="G453">
            <v>27527185.423442982</v>
          </cell>
          <cell r="H453">
            <v>31370131.551464494</v>
          </cell>
          <cell r="I453">
            <v>31370131.551464494</v>
          </cell>
          <cell r="J453">
            <v>29914333.263524164</v>
          </cell>
          <cell r="K453">
            <v>8629495.7654748634</v>
          </cell>
          <cell r="L453">
            <v>8006569.4007691359</v>
          </cell>
          <cell r="M453">
            <v>20948715.490360387</v>
          </cell>
          <cell r="N453">
            <v>18309812.630078144</v>
          </cell>
          <cell r="O453">
            <v>0</v>
          </cell>
          <cell r="P453">
            <v>0</v>
          </cell>
          <cell r="Q453">
            <v>211209887.28706381</v>
          </cell>
        </row>
        <row r="454">
          <cell r="A454" t="str">
            <v>Road</v>
          </cell>
          <cell r="B454" t="str">
            <v>SALEM</v>
          </cell>
          <cell r="C454" t="str">
            <v>Actual Work Done</v>
          </cell>
          <cell r="E454">
            <v>53640411.851600654</v>
          </cell>
          <cell r="F454">
            <v>57535150.623742819</v>
          </cell>
          <cell r="G454">
            <v>70023483.13081947</v>
          </cell>
          <cell r="H454">
            <v>124672410.12483524</v>
          </cell>
          <cell r="I454">
            <v>140587920.40032867</v>
          </cell>
          <cell r="J454">
            <v>137434342.24629158</v>
          </cell>
          <cell r="K454">
            <v>76477418.013842642</v>
          </cell>
          <cell r="L454">
            <v>76681487.35018371</v>
          </cell>
          <cell r="M454">
            <v>149378868.78238243</v>
          </cell>
          <cell r="N454">
            <v>174506989.72525841</v>
          </cell>
          <cell r="O454">
            <v>177994701.92736453</v>
          </cell>
          <cell r="P454">
            <v>186716964.32762423</v>
          </cell>
          <cell r="Q454">
            <v>1425650148.5042744</v>
          </cell>
        </row>
        <row r="455">
          <cell r="A455" t="str">
            <v>Road</v>
          </cell>
          <cell r="B455" t="str">
            <v>SALEM</v>
          </cell>
          <cell r="C455" t="str">
            <v>Material Cost</v>
          </cell>
          <cell r="E455">
            <v>45594350.073860548</v>
          </cell>
          <cell r="F455">
            <v>48904878.030181393</v>
          </cell>
          <cell r="G455">
            <v>59519960.66119656</v>
          </cell>
          <cell r="H455">
            <v>105971548.60610995</v>
          </cell>
          <cell r="I455">
            <v>119499732.34027934</v>
          </cell>
          <cell r="J455">
            <v>116819190.90934785</v>
          </cell>
          <cell r="K455">
            <v>65005805.311766244</v>
          </cell>
          <cell r="L455">
            <v>65179264.247656159</v>
          </cell>
          <cell r="M455">
            <v>126972038.46502507</v>
          </cell>
          <cell r="N455">
            <v>148330941.26646963</v>
          </cell>
          <cell r="O455">
            <v>151295496.63825986</v>
          </cell>
          <cell r="P455">
            <v>158709419.6784806</v>
          </cell>
          <cell r="Q455">
            <v>1211802626.2286332</v>
          </cell>
        </row>
        <row r="456">
          <cell r="A456" t="str">
            <v>Road</v>
          </cell>
          <cell r="B456" t="str">
            <v>SALEM</v>
          </cell>
          <cell r="C456" t="str">
            <v>OPEX Cost</v>
          </cell>
          <cell r="E456">
            <v>6839152.5110790823</v>
          </cell>
          <cell r="F456">
            <v>7335731.7045272095</v>
          </cell>
          <cell r="G456">
            <v>8927994.099179484</v>
          </cell>
          <cell r="H456">
            <v>15895732.290916489</v>
          </cell>
          <cell r="I456">
            <v>17924959.851041902</v>
          </cell>
          <cell r="J456">
            <v>17522878.636402179</v>
          </cell>
          <cell r="K456">
            <v>9750870.7967649363</v>
          </cell>
          <cell r="L456">
            <v>9776889.6371484231</v>
          </cell>
          <cell r="M456">
            <v>19045805.769753762</v>
          </cell>
          <cell r="N456">
            <v>22249641.189970445</v>
          </cell>
          <cell r="O456">
            <v>22694324.495738976</v>
          </cell>
          <cell r="P456">
            <v>23806412.95177209</v>
          </cell>
          <cell r="Q456">
            <v>181770393.93429497</v>
          </cell>
        </row>
        <row r="457">
          <cell r="A457" t="str">
            <v>Road</v>
          </cell>
          <cell r="B457" t="str">
            <v>TRICHY</v>
          </cell>
          <cell r="C457" t="str">
            <v>Actual Work Done</v>
          </cell>
          <cell r="E457">
            <v>33968483.999999993</v>
          </cell>
          <cell r="F457">
            <v>28245657.5</v>
          </cell>
          <cell r="G457">
            <v>20468497.499999996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82682638.999999985</v>
          </cell>
        </row>
        <row r="458">
          <cell r="A458" t="str">
            <v>Road</v>
          </cell>
          <cell r="B458" t="str">
            <v>TRICHY</v>
          </cell>
          <cell r="C458" t="str">
            <v>Material Cost</v>
          </cell>
          <cell r="E458">
            <v>28873211.399999991</v>
          </cell>
          <cell r="F458">
            <v>24008808.874999996</v>
          </cell>
          <cell r="G458">
            <v>17398222.875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70280243.149999991</v>
          </cell>
        </row>
        <row r="459">
          <cell r="A459" t="str">
            <v>Road</v>
          </cell>
          <cell r="B459" t="str">
            <v>TRICHY</v>
          </cell>
          <cell r="C459" t="str">
            <v>OPEX Cost</v>
          </cell>
          <cell r="E459">
            <v>4330981.7099999981</v>
          </cell>
          <cell r="F459">
            <v>3601321.3312499993</v>
          </cell>
          <cell r="G459">
            <v>2609733.4312499999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10542036.472499998</v>
          </cell>
        </row>
        <row r="460">
          <cell r="A460" t="str">
            <v>SSU</v>
          </cell>
          <cell r="C460" t="str">
            <v xml:space="preserve"> Interest</v>
          </cell>
          <cell r="E460">
            <v>669594885.03173959</v>
          </cell>
          <cell r="F460">
            <v>178835368.97073403</v>
          </cell>
          <cell r="G460">
            <v>171877406.53420037</v>
          </cell>
          <cell r="H460">
            <v>163938172.5057722</v>
          </cell>
          <cell r="I460">
            <v>159752781.14043191</v>
          </cell>
          <cell r="J460">
            <v>99122066.226304948</v>
          </cell>
          <cell r="K460">
            <v>93601906.184917197</v>
          </cell>
          <cell r="L460">
            <v>90245657.704719484</v>
          </cell>
          <cell r="M460">
            <v>86630780.30180724</v>
          </cell>
          <cell r="N460">
            <v>83033442.524601549</v>
          </cell>
          <cell r="O460">
            <v>81531519.067390606</v>
          </cell>
          <cell r="P460">
            <v>79792315.666382745</v>
          </cell>
          <cell r="Q460">
            <v>1957956301.8590019</v>
          </cell>
        </row>
        <row r="461">
          <cell r="A461" t="str">
            <v>SSU</v>
          </cell>
          <cell r="C461" t="str">
            <v xml:space="preserve"> Loan Instalments</v>
          </cell>
          <cell r="E461">
            <v>289675312.5</v>
          </cell>
          <cell r="F461">
            <v>207172312.5</v>
          </cell>
          <cell r="G461">
            <v>299302000</v>
          </cell>
          <cell r="H461">
            <v>725111052.02999997</v>
          </cell>
          <cell r="I461">
            <v>222405645.83333334</v>
          </cell>
          <cell r="J461">
            <v>327210333.33333337</v>
          </cell>
          <cell r="K461">
            <v>410431168.3633334</v>
          </cell>
          <cell r="L461">
            <v>216205645.83333331</v>
          </cell>
          <cell r="M461">
            <v>243435333.33333334</v>
          </cell>
          <cell r="N461">
            <v>245431168.36333334</v>
          </cell>
          <cell r="O461">
            <v>55605645.833333336</v>
          </cell>
          <cell r="P461">
            <v>79010333.333333328</v>
          </cell>
          <cell r="Q461">
            <v>3320995951.2566671</v>
          </cell>
        </row>
        <row r="462">
          <cell r="A462" t="str">
            <v>SSU</v>
          </cell>
          <cell r="C462" t="str">
            <v xml:space="preserve"> Corporate Overheads</v>
          </cell>
          <cell r="E462">
            <v>18732120.8532</v>
          </cell>
          <cell r="F462">
            <v>16768940.431117335</v>
          </cell>
          <cell r="G462">
            <v>19107138.402679197</v>
          </cell>
          <cell r="H462">
            <v>18670781.934420612</v>
          </cell>
          <cell r="I462">
            <v>19043414.774964202</v>
          </cell>
          <cell r="J462">
            <v>21779396.886315789</v>
          </cell>
          <cell r="K462">
            <v>21814670.432906892</v>
          </cell>
          <cell r="L462">
            <v>22746977.243082352</v>
          </cell>
          <cell r="M462">
            <v>29647657.864985637</v>
          </cell>
          <cell r="N462">
            <v>25000000</v>
          </cell>
          <cell r="O462">
            <v>25000000</v>
          </cell>
          <cell r="P462">
            <v>25000000</v>
          </cell>
          <cell r="Q462">
            <v>263311098.82367203</v>
          </cell>
        </row>
        <row r="463">
          <cell r="A463" t="str">
            <v>SSU</v>
          </cell>
          <cell r="C463" t="str">
            <v xml:space="preserve"> Salaries </v>
          </cell>
          <cell r="E463">
            <v>10000000</v>
          </cell>
          <cell r="F463">
            <v>10000000</v>
          </cell>
          <cell r="G463">
            <v>10000000</v>
          </cell>
          <cell r="H463">
            <v>10000000</v>
          </cell>
          <cell r="I463">
            <v>10000000</v>
          </cell>
          <cell r="J463">
            <v>10000000</v>
          </cell>
          <cell r="K463">
            <v>10000000</v>
          </cell>
          <cell r="L463">
            <v>10000000</v>
          </cell>
          <cell r="M463">
            <v>10000000</v>
          </cell>
          <cell r="N463">
            <v>10000000</v>
          </cell>
          <cell r="O463">
            <v>10000000</v>
          </cell>
          <cell r="P463">
            <v>10000000</v>
          </cell>
          <cell r="Q463">
            <v>120000000</v>
          </cell>
        </row>
        <row r="464">
          <cell r="A464" t="str">
            <v>Buildings</v>
          </cell>
          <cell r="B464" t="str">
            <v>NAVAC 9</v>
          </cell>
          <cell r="C464" t="str">
            <v>Actual Work Done</v>
          </cell>
          <cell r="E464">
            <v>5000000</v>
          </cell>
          <cell r="F464">
            <v>8000000</v>
          </cell>
          <cell r="G464">
            <v>10000000</v>
          </cell>
          <cell r="H464">
            <v>8000000</v>
          </cell>
          <cell r="I464">
            <v>8000000</v>
          </cell>
          <cell r="J464">
            <v>9000000</v>
          </cell>
          <cell r="K464">
            <v>10000000</v>
          </cell>
          <cell r="L464">
            <v>12500000</v>
          </cell>
          <cell r="M464">
            <v>12000000</v>
          </cell>
          <cell r="N464">
            <v>10000000</v>
          </cell>
          <cell r="Q464">
            <v>92500000</v>
          </cell>
        </row>
        <row r="465">
          <cell r="A465" t="str">
            <v>Buildings</v>
          </cell>
          <cell r="B465" t="str">
            <v>NAVAC 9</v>
          </cell>
          <cell r="C465" t="str">
            <v>Price Escallation</v>
          </cell>
          <cell r="Q465">
            <v>0</v>
          </cell>
        </row>
        <row r="466">
          <cell r="A466" t="str">
            <v>Buildings</v>
          </cell>
          <cell r="B466" t="str">
            <v>NAVAC 9</v>
          </cell>
          <cell r="C466" t="str">
            <v>Variation Order</v>
          </cell>
          <cell r="Q466">
            <v>0</v>
          </cell>
        </row>
        <row r="467">
          <cell r="A467" t="str">
            <v>Buildings</v>
          </cell>
          <cell r="B467" t="str">
            <v>NAVAC 9</v>
          </cell>
          <cell r="C467" t="str">
            <v>Work In Progress (increase/decrease)</v>
          </cell>
          <cell r="Q467">
            <v>0</v>
          </cell>
        </row>
        <row r="468">
          <cell r="A468" t="str">
            <v>Buildings</v>
          </cell>
          <cell r="B468" t="str">
            <v>NAVAC 9</v>
          </cell>
          <cell r="C468" t="str">
            <v>Other Income</v>
          </cell>
          <cell r="Q468">
            <v>0</v>
          </cell>
        </row>
        <row r="469">
          <cell r="A469" t="str">
            <v>Buildings</v>
          </cell>
          <cell r="B469" t="str">
            <v>NAVAC 9</v>
          </cell>
          <cell r="C469" t="str">
            <v>Material Cost</v>
          </cell>
          <cell r="E469">
            <v>2750000.0000000005</v>
          </cell>
          <cell r="F469">
            <v>4559999.9999999991</v>
          </cell>
          <cell r="G469">
            <v>5500000.0000000009</v>
          </cell>
          <cell r="H469">
            <v>4480000</v>
          </cell>
          <cell r="I469">
            <v>4480000</v>
          </cell>
          <cell r="J469">
            <v>5040000.0000000009</v>
          </cell>
          <cell r="K469">
            <v>5300000</v>
          </cell>
          <cell r="L469">
            <v>6500000</v>
          </cell>
          <cell r="M469">
            <v>6120000</v>
          </cell>
          <cell r="N469">
            <v>5000000</v>
          </cell>
          <cell r="Q469">
            <v>49730000</v>
          </cell>
        </row>
        <row r="470">
          <cell r="A470" t="str">
            <v>Buildings</v>
          </cell>
          <cell r="B470" t="str">
            <v>NAVAC 9</v>
          </cell>
          <cell r="C470" t="str">
            <v>Labor charges</v>
          </cell>
          <cell r="E470">
            <v>750000</v>
          </cell>
          <cell r="F470">
            <v>1200000</v>
          </cell>
          <cell r="G470">
            <v>1200000</v>
          </cell>
          <cell r="H470">
            <v>880000.00000000012</v>
          </cell>
          <cell r="I470">
            <v>800000</v>
          </cell>
          <cell r="J470">
            <v>900000</v>
          </cell>
          <cell r="K470">
            <v>1000000</v>
          </cell>
          <cell r="L470">
            <v>1250000</v>
          </cell>
          <cell r="M470">
            <v>1200000</v>
          </cell>
          <cell r="N470">
            <v>1000000</v>
          </cell>
          <cell r="Q470">
            <v>10180000</v>
          </cell>
        </row>
        <row r="471">
          <cell r="A471" t="str">
            <v>Buildings</v>
          </cell>
          <cell r="B471" t="str">
            <v>NAVAC 9</v>
          </cell>
          <cell r="C471" t="str">
            <v>Sub-con work</v>
          </cell>
          <cell r="E471">
            <v>650000</v>
          </cell>
          <cell r="F471">
            <v>1040000</v>
          </cell>
          <cell r="G471">
            <v>1300000</v>
          </cell>
          <cell r="H471">
            <v>1040000</v>
          </cell>
          <cell r="I471">
            <v>1040000</v>
          </cell>
          <cell r="J471">
            <v>1080000</v>
          </cell>
          <cell r="K471">
            <v>1000000</v>
          </cell>
          <cell r="L471">
            <v>1250000</v>
          </cell>
          <cell r="M471">
            <v>1200000</v>
          </cell>
          <cell r="N471">
            <v>1000000</v>
          </cell>
          <cell r="Q471">
            <v>10600000</v>
          </cell>
        </row>
        <row r="472">
          <cell r="A472" t="str">
            <v>Buildings</v>
          </cell>
          <cell r="B472" t="str">
            <v>NAVAC 9</v>
          </cell>
          <cell r="C472" t="str">
            <v>Own Machinery Hire</v>
          </cell>
          <cell r="E472">
            <v>450000</v>
          </cell>
          <cell r="F472">
            <v>550000</v>
          </cell>
          <cell r="G472">
            <v>550000</v>
          </cell>
          <cell r="H472">
            <v>550000</v>
          </cell>
          <cell r="I472">
            <v>550000</v>
          </cell>
          <cell r="J472">
            <v>550000</v>
          </cell>
          <cell r="K472">
            <v>550000</v>
          </cell>
          <cell r="L472">
            <v>550000</v>
          </cell>
          <cell r="M472">
            <v>550000</v>
          </cell>
          <cell r="N472">
            <v>550000</v>
          </cell>
          <cell r="Q472">
            <v>5400000</v>
          </cell>
        </row>
        <row r="473">
          <cell r="A473" t="str">
            <v>Buildings</v>
          </cell>
          <cell r="B473" t="str">
            <v>NAVAC 9</v>
          </cell>
          <cell r="C473" t="str">
            <v>Hire Machinery Charge</v>
          </cell>
          <cell r="Q473">
            <v>0</v>
          </cell>
        </row>
        <row r="474">
          <cell r="A474" t="str">
            <v>Buildings</v>
          </cell>
          <cell r="B474" t="str">
            <v>NAVAC 9</v>
          </cell>
          <cell r="C474" t="str">
            <v>Other Direct Expenses</v>
          </cell>
          <cell r="Q474">
            <v>0</v>
          </cell>
        </row>
        <row r="475">
          <cell r="A475" t="str">
            <v>Buildings</v>
          </cell>
          <cell r="B475" t="str">
            <v>NAVAC 9</v>
          </cell>
          <cell r="C475" t="str">
            <v>JV's Fees</v>
          </cell>
          <cell r="Q475">
            <v>0</v>
          </cell>
        </row>
        <row r="476">
          <cell r="A476" t="str">
            <v>Buildings</v>
          </cell>
          <cell r="B476" t="str">
            <v>NAVAC 9</v>
          </cell>
          <cell r="C476" t="str">
            <v>VAT &amp; other Taxes</v>
          </cell>
          <cell r="Q476">
            <v>0</v>
          </cell>
        </row>
        <row r="477">
          <cell r="A477" t="str">
            <v>Buildings</v>
          </cell>
          <cell r="B477" t="str">
            <v>NAVAC 9</v>
          </cell>
          <cell r="C477" t="str">
            <v>Personnel cost</v>
          </cell>
          <cell r="E477">
            <v>300000</v>
          </cell>
          <cell r="F477">
            <v>300000</v>
          </cell>
          <cell r="G477">
            <v>300000</v>
          </cell>
          <cell r="H477">
            <v>300000</v>
          </cell>
          <cell r="I477">
            <v>300000</v>
          </cell>
          <cell r="J477">
            <v>300000</v>
          </cell>
          <cell r="K477">
            <v>300000</v>
          </cell>
          <cell r="L477">
            <v>300000</v>
          </cell>
          <cell r="M477">
            <v>300000</v>
          </cell>
          <cell r="N477">
            <v>300000</v>
          </cell>
          <cell r="Q477">
            <v>3000000</v>
          </cell>
        </row>
        <row r="478">
          <cell r="A478" t="str">
            <v>Buildings</v>
          </cell>
          <cell r="B478" t="str">
            <v>NAVAC 9</v>
          </cell>
          <cell r="C478" t="str">
            <v>OPEX Cost</v>
          </cell>
          <cell r="E478">
            <v>913299.99999999988</v>
          </cell>
          <cell r="F478">
            <v>1451279.9999999998</v>
          </cell>
          <cell r="G478">
            <v>1776599.9999999998</v>
          </cell>
          <cell r="H478">
            <v>1451279.9999999998</v>
          </cell>
          <cell r="I478">
            <v>1451279.9999999998</v>
          </cell>
          <cell r="J478">
            <v>1613939.9999999998</v>
          </cell>
          <cell r="K478">
            <v>1776599.9999999998</v>
          </cell>
          <cell r="L478">
            <v>2183250</v>
          </cell>
          <cell r="M478">
            <v>2101920</v>
          </cell>
          <cell r="N478">
            <v>1776599.9999999998</v>
          </cell>
          <cell r="Q478">
            <v>16496049.999999998</v>
          </cell>
        </row>
        <row r="479">
          <cell r="A479" t="str">
            <v>Buildings</v>
          </cell>
          <cell r="B479" t="str">
            <v>NAVAC 9</v>
          </cell>
          <cell r="C479" t="str">
            <v>OPEX Cost</v>
          </cell>
          <cell r="Q479">
            <v>0</v>
          </cell>
        </row>
        <row r="480">
          <cell r="A480" t="str">
            <v>Buildings</v>
          </cell>
          <cell r="B480" t="str">
            <v>NAVAV 11</v>
          </cell>
          <cell r="C480" t="str">
            <v>Actual Work Done</v>
          </cell>
          <cell r="E480">
            <v>10000000</v>
          </cell>
          <cell r="F480">
            <v>15000000</v>
          </cell>
          <cell r="G480">
            <v>15000000</v>
          </cell>
          <cell r="H480">
            <v>10000000</v>
          </cell>
          <cell r="I480">
            <v>10000000</v>
          </cell>
          <cell r="J480">
            <v>25000000</v>
          </cell>
          <cell r="K480">
            <v>26500000</v>
          </cell>
          <cell r="L480">
            <v>27500000</v>
          </cell>
          <cell r="M480">
            <v>30000000</v>
          </cell>
          <cell r="N480">
            <v>32500000</v>
          </cell>
          <cell r="O480">
            <v>28500000</v>
          </cell>
          <cell r="P480">
            <v>25000000</v>
          </cell>
          <cell r="Q480">
            <v>255000000</v>
          </cell>
        </row>
        <row r="481">
          <cell r="A481" t="str">
            <v>Buildings</v>
          </cell>
          <cell r="B481" t="str">
            <v>NAVAV 11</v>
          </cell>
          <cell r="C481" t="str">
            <v>Price Escallation</v>
          </cell>
          <cell r="Q481">
            <v>0</v>
          </cell>
        </row>
        <row r="482">
          <cell r="A482" t="str">
            <v>Buildings</v>
          </cell>
          <cell r="B482" t="str">
            <v>NAVAV 11</v>
          </cell>
          <cell r="C482" t="str">
            <v>Variation Order</v>
          </cell>
          <cell r="Q482">
            <v>0</v>
          </cell>
        </row>
        <row r="483">
          <cell r="A483" t="str">
            <v>Buildings</v>
          </cell>
          <cell r="B483" t="str">
            <v>NAVAV 11</v>
          </cell>
          <cell r="C483" t="str">
            <v>Work In Progress (increase/decrease)</v>
          </cell>
          <cell r="Q483">
            <v>0</v>
          </cell>
        </row>
        <row r="484">
          <cell r="A484" t="str">
            <v>Buildings</v>
          </cell>
          <cell r="B484" t="str">
            <v>NAVAV 11</v>
          </cell>
          <cell r="C484" t="str">
            <v>Other Income</v>
          </cell>
          <cell r="Q484">
            <v>0</v>
          </cell>
        </row>
        <row r="485">
          <cell r="A485" t="str">
            <v>Buildings</v>
          </cell>
          <cell r="B485" t="str">
            <v>NAVAV 11</v>
          </cell>
          <cell r="C485" t="str">
            <v>Material Cost</v>
          </cell>
          <cell r="E485">
            <v>5500000.0000000009</v>
          </cell>
          <cell r="F485">
            <v>8549999.9999999981</v>
          </cell>
          <cell r="G485">
            <v>8250000</v>
          </cell>
          <cell r="H485">
            <v>5600000.0000000009</v>
          </cell>
          <cell r="I485">
            <v>5500000.0000000009</v>
          </cell>
          <cell r="J485">
            <v>13750000</v>
          </cell>
          <cell r="K485">
            <v>13250000</v>
          </cell>
          <cell r="L485">
            <v>13475000</v>
          </cell>
          <cell r="M485">
            <v>14400000</v>
          </cell>
          <cell r="N485">
            <v>15600000</v>
          </cell>
          <cell r="O485">
            <v>13394999.999999998</v>
          </cell>
          <cell r="P485">
            <v>12000000</v>
          </cell>
          <cell r="Q485">
            <v>129270000</v>
          </cell>
        </row>
        <row r="486">
          <cell r="A486" t="str">
            <v>Buildings</v>
          </cell>
          <cell r="B486" t="str">
            <v>NAVAV 11</v>
          </cell>
          <cell r="C486" t="str">
            <v>Labor charges</v>
          </cell>
          <cell r="E486">
            <v>1500000</v>
          </cell>
          <cell r="F486">
            <v>2250000</v>
          </cell>
          <cell r="G486">
            <v>1800000</v>
          </cell>
          <cell r="H486">
            <v>1100000</v>
          </cell>
          <cell r="I486">
            <v>1000000</v>
          </cell>
          <cell r="J486">
            <v>2750000</v>
          </cell>
          <cell r="K486">
            <v>2915000</v>
          </cell>
          <cell r="L486">
            <v>2750000</v>
          </cell>
          <cell r="M486">
            <v>3000000</v>
          </cell>
          <cell r="N486">
            <v>3250000</v>
          </cell>
          <cell r="O486">
            <v>2850000</v>
          </cell>
          <cell r="P486">
            <v>2500000</v>
          </cell>
          <cell r="Q486">
            <v>27665000</v>
          </cell>
        </row>
        <row r="487">
          <cell r="A487" t="str">
            <v>Buildings</v>
          </cell>
          <cell r="B487" t="str">
            <v>NAVAV 11</v>
          </cell>
          <cell r="C487" t="str">
            <v>Sub-con work</v>
          </cell>
          <cell r="E487">
            <v>1300000</v>
          </cell>
          <cell r="F487">
            <v>1950000</v>
          </cell>
          <cell r="G487">
            <v>1950000</v>
          </cell>
          <cell r="H487">
            <v>1300000</v>
          </cell>
          <cell r="I487">
            <v>1300000</v>
          </cell>
          <cell r="J487">
            <v>3000000</v>
          </cell>
          <cell r="K487">
            <v>3179999.9999999995</v>
          </cell>
          <cell r="L487">
            <v>3300000</v>
          </cell>
          <cell r="M487">
            <v>3600000</v>
          </cell>
          <cell r="N487">
            <v>3900000</v>
          </cell>
          <cell r="O487">
            <v>3419999.9999999995</v>
          </cell>
          <cell r="P487">
            <v>3000000</v>
          </cell>
          <cell r="Q487">
            <v>31200000</v>
          </cell>
        </row>
        <row r="488">
          <cell r="A488" t="str">
            <v>Buildings</v>
          </cell>
          <cell r="B488" t="str">
            <v>NAVAV 11</v>
          </cell>
          <cell r="C488" t="str">
            <v>Own Machinery Hire</v>
          </cell>
          <cell r="E488">
            <v>750000</v>
          </cell>
          <cell r="F488">
            <v>800000</v>
          </cell>
          <cell r="G488">
            <v>850000</v>
          </cell>
          <cell r="H488">
            <v>850000</v>
          </cell>
          <cell r="I488">
            <v>850000</v>
          </cell>
          <cell r="J488">
            <v>850000</v>
          </cell>
          <cell r="K488">
            <v>800000</v>
          </cell>
          <cell r="L488">
            <v>800000</v>
          </cell>
          <cell r="M488">
            <v>750000</v>
          </cell>
          <cell r="N488">
            <v>750000</v>
          </cell>
          <cell r="O488">
            <v>650000</v>
          </cell>
          <cell r="P488">
            <v>650000</v>
          </cell>
          <cell r="Q488">
            <v>9350000</v>
          </cell>
        </row>
        <row r="489">
          <cell r="A489" t="str">
            <v>Buildings</v>
          </cell>
          <cell r="B489" t="str">
            <v>NAVAV 11</v>
          </cell>
          <cell r="C489" t="str">
            <v>Hire Machinery Charge</v>
          </cell>
          <cell r="Q489">
            <v>0</v>
          </cell>
        </row>
        <row r="490">
          <cell r="A490" t="str">
            <v>Buildings</v>
          </cell>
          <cell r="B490" t="str">
            <v>NAVAV 11</v>
          </cell>
          <cell r="C490" t="str">
            <v>Other Direct Expenses</v>
          </cell>
          <cell r="Q490">
            <v>0</v>
          </cell>
        </row>
        <row r="491">
          <cell r="A491" t="str">
            <v>Buildings</v>
          </cell>
          <cell r="B491" t="str">
            <v>NAVAV 11</v>
          </cell>
          <cell r="C491" t="str">
            <v>JV's Fees</v>
          </cell>
          <cell r="Q491">
            <v>0</v>
          </cell>
        </row>
        <row r="492">
          <cell r="A492" t="str">
            <v>Buildings</v>
          </cell>
          <cell r="B492" t="str">
            <v>NAVAV 11</v>
          </cell>
          <cell r="C492" t="str">
            <v>VAT &amp; other Taxes</v>
          </cell>
          <cell r="Q492">
            <v>0</v>
          </cell>
        </row>
        <row r="493">
          <cell r="A493" t="str">
            <v>Buildings</v>
          </cell>
          <cell r="B493" t="str">
            <v>NAVAV 11</v>
          </cell>
          <cell r="C493" t="str">
            <v>Personnel cost</v>
          </cell>
          <cell r="E493">
            <v>600000</v>
          </cell>
          <cell r="F493">
            <v>600000</v>
          </cell>
          <cell r="G493">
            <v>600000</v>
          </cell>
          <cell r="H493">
            <v>600000</v>
          </cell>
          <cell r="I493">
            <v>600000</v>
          </cell>
          <cell r="J493">
            <v>600000</v>
          </cell>
          <cell r="K493">
            <v>600000</v>
          </cell>
          <cell r="L493">
            <v>600000.00000000012</v>
          </cell>
          <cell r="M493">
            <v>550000</v>
          </cell>
          <cell r="N493">
            <v>550000</v>
          </cell>
          <cell r="O493">
            <v>550000</v>
          </cell>
          <cell r="P493">
            <v>550000</v>
          </cell>
          <cell r="Q493">
            <v>7000000</v>
          </cell>
        </row>
        <row r="494">
          <cell r="A494" t="str">
            <v>Buildings</v>
          </cell>
          <cell r="B494" t="str">
            <v>NAVAV 11</v>
          </cell>
          <cell r="C494" t="str">
            <v>OPEX Cost</v>
          </cell>
          <cell r="E494">
            <v>1826599.9999999998</v>
          </cell>
          <cell r="F494">
            <v>2639900</v>
          </cell>
          <cell r="G494">
            <v>2639900</v>
          </cell>
          <cell r="H494">
            <v>1826599.9999999998</v>
          </cell>
          <cell r="I494">
            <v>1826599.9999999998</v>
          </cell>
          <cell r="J494">
            <v>4266500</v>
          </cell>
          <cell r="K494">
            <v>4510490</v>
          </cell>
          <cell r="L494">
            <v>4673150</v>
          </cell>
          <cell r="M494">
            <v>5079800</v>
          </cell>
          <cell r="N494">
            <v>5486450</v>
          </cell>
          <cell r="O494">
            <v>4835810</v>
          </cell>
          <cell r="P494">
            <v>4266500</v>
          </cell>
          <cell r="Q494">
            <v>43878300</v>
          </cell>
        </row>
        <row r="495">
          <cell r="A495" t="str">
            <v>Buildings</v>
          </cell>
          <cell r="B495" t="str">
            <v>NAVAV 11</v>
          </cell>
          <cell r="C495" t="str">
            <v>OPEX Cost</v>
          </cell>
          <cell r="Q495">
            <v>0</v>
          </cell>
        </row>
        <row r="496">
          <cell r="A496" t="str">
            <v>Buildings</v>
          </cell>
          <cell r="B496" t="str">
            <v>DGMAP LUCKNOW</v>
          </cell>
          <cell r="C496" t="str">
            <v>Actual Work Done</v>
          </cell>
          <cell r="E496">
            <v>10000000</v>
          </cell>
          <cell r="F496">
            <v>18000000</v>
          </cell>
          <cell r="G496">
            <v>20000000</v>
          </cell>
          <cell r="H496">
            <v>20000000</v>
          </cell>
          <cell r="I496">
            <v>17000000</v>
          </cell>
          <cell r="J496">
            <v>10000000</v>
          </cell>
          <cell r="Q496">
            <v>95000000</v>
          </cell>
        </row>
        <row r="497">
          <cell r="A497" t="str">
            <v>Buildings</v>
          </cell>
          <cell r="B497" t="str">
            <v>DGMAP LUCKNOW</v>
          </cell>
          <cell r="C497" t="str">
            <v>Price Escallation</v>
          </cell>
          <cell r="Q497">
            <v>0</v>
          </cell>
        </row>
        <row r="498">
          <cell r="A498" t="str">
            <v>Buildings</v>
          </cell>
          <cell r="B498" t="str">
            <v>DGMAP LUCKNOW</v>
          </cell>
          <cell r="C498" t="str">
            <v>Variation Order</v>
          </cell>
          <cell r="Q498">
            <v>0</v>
          </cell>
        </row>
        <row r="499">
          <cell r="A499" t="str">
            <v>Buildings</v>
          </cell>
          <cell r="B499" t="str">
            <v>DGMAP LUCKNOW</v>
          </cell>
          <cell r="C499" t="str">
            <v>Work In Progress (increase/decrease)</v>
          </cell>
          <cell r="Q499">
            <v>0</v>
          </cell>
        </row>
        <row r="500">
          <cell r="A500" t="str">
            <v>Buildings</v>
          </cell>
          <cell r="B500" t="str">
            <v>DGMAP LUCKNOW</v>
          </cell>
          <cell r="C500" t="str">
            <v>Other Income</v>
          </cell>
          <cell r="Q500">
            <v>0</v>
          </cell>
        </row>
        <row r="501">
          <cell r="A501" t="str">
            <v>Buildings</v>
          </cell>
          <cell r="B501" t="str">
            <v>DGMAP LUCKNOW</v>
          </cell>
          <cell r="C501" t="str">
            <v>Material Cost</v>
          </cell>
          <cell r="E501">
            <v>4700000</v>
          </cell>
          <cell r="F501">
            <v>7259999.9999999991</v>
          </cell>
          <cell r="G501">
            <v>5400000</v>
          </cell>
          <cell r="H501">
            <v>5400000</v>
          </cell>
          <cell r="I501">
            <v>3940000</v>
          </cell>
          <cell r="J501">
            <v>2500000</v>
          </cell>
          <cell r="Q501">
            <v>29200000</v>
          </cell>
        </row>
        <row r="502">
          <cell r="A502" t="str">
            <v>Buildings</v>
          </cell>
          <cell r="B502" t="str">
            <v>DGMAP LUCKNOW</v>
          </cell>
          <cell r="C502" t="str">
            <v>Labor charges</v>
          </cell>
          <cell r="E502">
            <v>2000000</v>
          </cell>
          <cell r="F502">
            <v>2700000</v>
          </cell>
          <cell r="G502">
            <v>3000000</v>
          </cell>
          <cell r="H502">
            <v>3600000</v>
          </cell>
          <cell r="I502">
            <v>5525000</v>
          </cell>
          <cell r="J502">
            <v>1000000</v>
          </cell>
          <cell r="Q502">
            <v>17825000</v>
          </cell>
        </row>
        <row r="503">
          <cell r="A503" t="str">
            <v>Buildings</v>
          </cell>
          <cell r="B503" t="str">
            <v>DGMAP LUCKNOW</v>
          </cell>
          <cell r="C503" t="str">
            <v>Sub-con work</v>
          </cell>
          <cell r="E503">
            <v>2500000</v>
          </cell>
          <cell r="F503">
            <v>4500000</v>
          </cell>
          <cell r="G503">
            <v>5000000</v>
          </cell>
          <cell r="H503">
            <v>5000000</v>
          </cell>
          <cell r="I503">
            <v>4250000</v>
          </cell>
          <cell r="J503">
            <v>3000000</v>
          </cell>
          <cell r="Q503">
            <v>24250000</v>
          </cell>
        </row>
        <row r="504">
          <cell r="A504" t="str">
            <v>Buildings</v>
          </cell>
          <cell r="B504" t="str">
            <v>DGMAP LUCKNOW</v>
          </cell>
          <cell r="C504" t="str">
            <v>Own Machinery Hire</v>
          </cell>
          <cell r="E504">
            <v>850000</v>
          </cell>
          <cell r="F504">
            <v>1330000</v>
          </cell>
          <cell r="G504">
            <v>1449999.9999999998</v>
          </cell>
          <cell r="H504">
            <v>1449999.9999999998</v>
          </cell>
          <cell r="I504">
            <v>1270000</v>
          </cell>
          <cell r="J504">
            <v>650000</v>
          </cell>
          <cell r="Q504">
            <v>7000000</v>
          </cell>
        </row>
        <row r="505">
          <cell r="A505" t="str">
            <v>Buildings</v>
          </cell>
          <cell r="B505" t="str">
            <v>DGMAP LUCKNOW</v>
          </cell>
          <cell r="C505" t="str">
            <v>Hire Machinery Charge</v>
          </cell>
          <cell r="Q505">
            <v>0</v>
          </cell>
        </row>
        <row r="506">
          <cell r="A506" t="str">
            <v>Buildings</v>
          </cell>
          <cell r="B506" t="str">
            <v>DGMAP LUCKNOW</v>
          </cell>
          <cell r="C506" t="str">
            <v>Other Direct Expenses</v>
          </cell>
          <cell r="Q506">
            <v>0</v>
          </cell>
        </row>
        <row r="507">
          <cell r="A507" t="str">
            <v>Buildings</v>
          </cell>
          <cell r="B507" t="str">
            <v>DGMAP LUCKNOW</v>
          </cell>
          <cell r="C507" t="str">
            <v>JV's Fees</v>
          </cell>
          <cell r="Q507">
            <v>0</v>
          </cell>
        </row>
        <row r="508">
          <cell r="A508" t="str">
            <v>Buildings</v>
          </cell>
          <cell r="B508" t="str">
            <v>DGMAP LUCKNOW</v>
          </cell>
          <cell r="C508" t="str">
            <v>VAT &amp; other Taxes</v>
          </cell>
          <cell r="Q508">
            <v>0</v>
          </cell>
        </row>
        <row r="509">
          <cell r="A509" t="str">
            <v>Buildings</v>
          </cell>
          <cell r="B509" t="str">
            <v>DGMAP LUCKNOW</v>
          </cell>
          <cell r="C509" t="str">
            <v>Personnel cost</v>
          </cell>
          <cell r="E509">
            <v>650000</v>
          </cell>
          <cell r="F509">
            <v>700000</v>
          </cell>
          <cell r="G509">
            <v>550000</v>
          </cell>
          <cell r="H509">
            <v>550000</v>
          </cell>
          <cell r="I509">
            <v>550000.00000000012</v>
          </cell>
          <cell r="J509">
            <v>550000</v>
          </cell>
          <cell r="Q509">
            <v>3550000</v>
          </cell>
        </row>
        <row r="510">
          <cell r="A510" t="str">
            <v>Buildings</v>
          </cell>
          <cell r="B510" t="str">
            <v>DGMAP LUCKNOW</v>
          </cell>
          <cell r="C510" t="str">
            <v>OPEX Cost</v>
          </cell>
          <cell r="E510">
            <v>2526600</v>
          </cell>
          <cell r="F510">
            <v>3467879.9999999995</v>
          </cell>
          <cell r="G510">
            <v>3753199.9999999995</v>
          </cell>
          <cell r="H510">
            <v>3653199.9999999995</v>
          </cell>
          <cell r="I510">
            <v>3575220</v>
          </cell>
          <cell r="J510">
            <v>2826600</v>
          </cell>
          <cell r="Q510">
            <v>19802700</v>
          </cell>
        </row>
        <row r="511">
          <cell r="A511" t="str">
            <v>Buildings</v>
          </cell>
          <cell r="B511" t="str">
            <v>DGMAP LUCKNOW</v>
          </cell>
          <cell r="C511" t="str">
            <v>OPEX Cost</v>
          </cell>
          <cell r="Q511">
            <v>0</v>
          </cell>
        </row>
        <row r="512">
          <cell r="A512" t="str">
            <v>Buildings</v>
          </cell>
          <cell r="B512" t="str">
            <v>JAMMU</v>
          </cell>
          <cell r="C512" t="str">
            <v>Actual Work Done</v>
          </cell>
          <cell r="E512">
            <v>18000000</v>
          </cell>
          <cell r="F512">
            <v>30000000</v>
          </cell>
          <cell r="G512">
            <v>33500000</v>
          </cell>
          <cell r="H512">
            <v>33500000</v>
          </cell>
          <cell r="I512">
            <v>41500000</v>
          </cell>
          <cell r="J512">
            <v>45000000</v>
          </cell>
          <cell r="K512">
            <v>55000000</v>
          </cell>
          <cell r="L512">
            <v>57500000</v>
          </cell>
          <cell r="M512">
            <v>59000000</v>
          </cell>
          <cell r="N512">
            <v>60000000</v>
          </cell>
          <cell r="O512">
            <v>62500000</v>
          </cell>
          <cell r="P512">
            <v>62500000</v>
          </cell>
          <cell r="Q512">
            <v>558000000</v>
          </cell>
        </row>
        <row r="513">
          <cell r="A513" t="str">
            <v>Buildings</v>
          </cell>
          <cell r="B513" t="str">
            <v>JAMMU</v>
          </cell>
          <cell r="C513" t="str">
            <v>Price Escallation</v>
          </cell>
          <cell r="Q513">
            <v>0</v>
          </cell>
        </row>
        <row r="514">
          <cell r="A514" t="str">
            <v>Buildings</v>
          </cell>
          <cell r="B514" t="str">
            <v>JAMMU</v>
          </cell>
          <cell r="C514" t="str">
            <v>Variation Order</v>
          </cell>
          <cell r="Q514">
            <v>0</v>
          </cell>
        </row>
        <row r="515">
          <cell r="A515" t="str">
            <v>Buildings</v>
          </cell>
          <cell r="B515" t="str">
            <v>JAMMU</v>
          </cell>
          <cell r="C515" t="str">
            <v>Work In Progress (increase/decrease)</v>
          </cell>
          <cell r="Q515">
            <v>0</v>
          </cell>
        </row>
        <row r="516">
          <cell r="A516" t="str">
            <v>Buildings</v>
          </cell>
          <cell r="B516" t="str">
            <v>JAMMU</v>
          </cell>
          <cell r="C516" t="str">
            <v>Other Income</v>
          </cell>
          <cell r="Q516">
            <v>0</v>
          </cell>
        </row>
        <row r="517">
          <cell r="A517" t="str">
            <v>Buildings</v>
          </cell>
          <cell r="B517" t="str">
            <v>JAMMU</v>
          </cell>
          <cell r="C517" t="str">
            <v>Material Cost</v>
          </cell>
          <cell r="E517">
            <v>3240000</v>
          </cell>
          <cell r="F517">
            <v>6400000</v>
          </cell>
          <cell r="G517">
            <v>8030000</v>
          </cell>
          <cell r="H517">
            <v>8030000</v>
          </cell>
          <cell r="I517">
            <v>8470000</v>
          </cell>
          <cell r="J517">
            <v>9450000</v>
          </cell>
          <cell r="K517">
            <v>11549999.999999998</v>
          </cell>
          <cell r="L517">
            <v>12074999.999999998</v>
          </cell>
          <cell r="M517">
            <v>12390000</v>
          </cell>
          <cell r="N517">
            <v>12599999.999999996</v>
          </cell>
          <cell r="O517">
            <v>13125000</v>
          </cell>
          <cell r="P517">
            <v>13125000</v>
          </cell>
          <cell r="Q517">
            <v>118485000</v>
          </cell>
        </row>
        <row r="518">
          <cell r="A518" t="str">
            <v>Buildings</v>
          </cell>
          <cell r="B518" t="str">
            <v>JAMMU</v>
          </cell>
          <cell r="C518" t="str">
            <v>Labor charges</v>
          </cell>
          <cell r="E518">
            <v>1980000</v>
          </cell>
          <cell r="F518">
            <v>3900000</v>
          </cell>
          <cell r="G518">
            <v>4355000</v>
          </cell>
          <cell r="H518">
            <v>4355000</v>
          </cell>
          <cell r="I518">
            <v>5395000</v>
          </cell>
          <cell r="J518">
            <v>5850000</v>
          </cell>
          <cell r="K518">
            <v>7150000</v>
          </cell>
          <cell r="L518">
            <v>7475000</v>
          </cell>
          <cell r="M518">
            <v>7670000</v>
          </cell>
          <cell r="N518">
            <v>7800000</v>
          </cell>
          <cell r="O518">
            <v>8125000</v>
          </cell>
          <cell r="P518">
            <v>8125000</v>
          </cell>
          <cell r="Q518">
            <v>72180000</v>
          </cell>
        </row>
        <row r="519">
          <cell r="A519" t="str">
            <v>Buildings</v>
          </cell>
          <cell r="B519" t="str">
            <v>JAMMU</v>
          </cell>
          <cell r="C519" t="str">
            <v>Sub-con work</v>
          </cell>
          <cell r="E519">
            <v>6425999.9999999991</v>
          </cell>
          <cell r="F519">
            <v>10710000</v>
          </cell>
          <cell r="G519">
            <v>11959499.999999996</v>
          </cell>
          <cell r="H519">
            <v>11959499.999999996</v>
          </cell>
          <cell r="I519">
            <v>14815500</v>
          </cell>
          <cell r="J519">
            <v>16065000</v>
          </cell>
          <cell r="K519">
            <v>19635000</v>
          </cell>
          <cell r="L519">
            <v>20527499.999999996</v>
          </cell>
          <cell r="M519">
            <v>21063000</v>
          </cell>
          <cell r="N519">
            <v>21420000</v>
          </cell>
          <cell r="O519">
            <v>22312500</v>
          </cell>
          <cell r="P519">
            <v>22312500</v>
          </cell>
          <cell r="Q519">
            <v>199206000</v>
          </cell>
        </row>
        <row r="520">
          <cell r="A520" t="str">
            <v>Buildings</v>
          </cell>
          <cell r="B520" t="str">
            <v>JAMMU</v>
          </cell>
          <cell r="C520" t="str">
            <v>Own Machinery Hire</v>
          </cell>
          <cell r="E520">
            <v>1369999.9999999998</v>
          </cell>
          <cell r="F520">
            <v>1450000</v>
          </cell>
          <cell r="G520">
            <v>1450000.0000000002</v>
          </cell>
          <cell r="H520">
            <v>1450000.0000000002</v>
          </cell>
          <cell r="I520">
            <v>1450000.0000000002</v>
          </cell>
          <cell r="J520">
            <v>1450000</v>
          </cell>
          <cell r="K520">
            <v>1250000</v>
          </cell>
          <cell r="L520">
            <v>1250000</v>
          </cell>
          <cell r="M520">
            <v>1150000</v>
          </cell>
          <cell r="N520">
            <v>1150000</v>
          </cell>
          <cell r="O520">
            <v>1050000</v>
          </cell>
          <cell r="P520">
            <v>1050000</v>
          </cell>
          <cell r="Q520">
            <v>15520000</v>
          </cell>
        </row>
        <row r="521">
          <cell r="A521" t="str">
            <v>Buildings</v>
          </cell>
          <cell r="B521" t="str">
            <v>JAMMU</v>
          </cell>
          <cell r="C521" t="str">
            <v>Hire Machinery Charge</v>
          </cell>
          <cell r="Q521">
            <v>0</v>
          </cell>
        </row>
        <row r="522">
          <cell r="A522" t="str">
            <v>Buildings</v>
          </cell>
          <cell r="B522" t="str">
            <v>JAMMU</v>
          </cell>
          <cell r="C522" t="str">
            <v>Other Direct Expenses</v>
          </cell>
          <cell r="Q522">
            <v>0</v>
          </cell>
        </row>
        <row r="523">
          <cell r="A523" t="str">
            <v>Buildings</v>
          </cell>
          <cell r="B523" t="str">
            <v>JAMMU</v>
          </cell>
          <cell r="C523" t="str">
            <v>JV's Fees</v>
          </cell>
          <cell r="Q523">
            <v>0</v>
          </cell>
        </row>
        <row r="524">
          <cell r="A524" t="str">
            <v>Buildings</v>
          </cell>
          <cell r="B524" t="str">
            <v>JAMMU</v>
          </cell>
          <cell r="C524" t="str">
            <v>VAT &amp; other Taxes</v>
          </cell>
          <cell r="Q524">
            <v>0</v>
          </cell>
        </row>
        <row r="525">
          <cell r="A525" t="str">
            <v>Buildings</v>
          </cell>
          <cell r="B525" t="str">
            <v>JAMMU</v>
          </cell>
          <cell r="C525" t="str">
            <v>Personnel cost</v>
          </cell>
          <cell r="E525">
            <v>550000</v>
          </cell>
          <cell r="F525">
            <v>550000</v>
          </cell>
          <cell r="G525">
            <v>550000</v>
          </cell>
          <cell r="H525">
            <v>550000</v>
          </cell>
          <cell r="I525">
            <v>550000</v>
          </cell>
          <cell r="J525">
            <v>550000</v>
          </cell>
          <cell r="K525">
            <v>550000</v>
          </cell>
          <cell r="L525">
            <v>550000</v>
          </cell>
          <cell r="M525">
            <v>550000</v>
          </cell>
          <cell r="N525">
            <v>550000</v>
          </cell>
          <cell r="O525">
            <v>550000</v>
          </cell>
          <cell r="P525">
            <v>550000</v>
          </cell>
          <cell r="Q525">
            <v>6600000</v>
          </cell>
        </row>
        <row r="526">
          <cell r="A526" t="str">
            <v>Buildings</v>
          </cell>
          <cell r="B526" t="str">
            <v>JAMMU</v>
          </cell>
          <cell r="C526" t="str">
            <v>OPEX Cost</v>
          </cell>
          <cell r="E526">
            <v>2459880</v>
          </cell>
          <cell r="F526">
            <v>5599800.0000000009</v>
          </cell>
          <cell r="G526">
            <v>6078110.0000000009</v>
          </cell>
          <cell r="H526">
            <v>6078110.0000000009</v>
          </cell>
          <cell r="I526">
            <v>7171389.9999999991</v>
          </cell>
          <cell r="J526">
            <v>7649700</v>
          </cell>
          <cell r="K526">
            <v>9016300.0000000019</v>
          </cell>
          <cell r="L526">
            <v>9357950</v>
          </cell>
          <cell r="M526">
            <v>9562940</v>
          </cell>
          <cell r="N526">
            <v>9699600.0000000019</v>
          </cell>
          <cell r="O526">
            <v>10041250</v>
          </cell>
          <cell r="P526">
            <v>10041250</v>
          </cell>
          <cell r="Q526">
            <v>92756280</v>
          </cell>
        </row>
        <row r="527">
          <cell r="A527" t="str">
            <v>Buildings</v>
          </cell>
          <cell r="B527" t="str">
            <v>JAMMU</v>
          </cell>
          <cell r="C527" t="str">
            <v>OPEX Cost</v>
          </cell>
        </row>
        <row r="528">
          <cell r="A528" t="str">
            <v>Road</v>
          </cell>
          <cell r="B528" t="str">
            <v>AS 17</v>
          </cell>
          <cell r="C528" t="str">
            <v>Actual Work Done</v>
          </cell>
          <cell r="E528">
            <v>77143470.649743229</v>
          </cell>
          <cell r="F528">
            <v>33319599.707390212</v>
          </cell>
          <cell r="G528">
            <v>19361053.569061197</v>
          </cell>
          <cell r="H528">
            <v>19361053.569061197</v>
          </cell>
          <cell r="I528">
            <v>28299722.905958015</v>
          </cell>
          <cell r="J528">
            <v>72860007.574726269</v>
          </cell>
          <cell r="K528">
            <v>159636054.7756536</v>
          </cell>
          <cell r="L528">
            <v>163439913.25467074</v>
          </cell>
          <cell r="M528">
            <v>154910416.11126032</v>
          </cell>
          <cell r="N528">
            <v>146977842.90408105</v>
          </cell>
          <cell r="O528">
            <v>143073195.58620647</v>
          </cell>
          <cell r="P528">
            <v>107995799.36899093</v>
          </cell>
          <cell r="Q528">
            <v>1126378129.9768031</v>
          </cell>
        </row>
        <row r="529">
          <cell r="A529" t="str">
            <v>Road</v>
          </cell>
          <cell r="B529" t="str">
            <v>AS 17</v>
          </cell>
          <cell r="C529" t="str">
            <v>Material Cost</v>
          </cell>
          <cell r="E529">
            <v>65571950.052281752</v>
          </cell>
          <cell r="F529">
            <v>28321659.751281679</v>
          </cell>
          <cell r="G529">
            <v>16456895.533702018</v>
          </cell>
          <cell r="H529">
            <v>16456895.533702018</v>
          </cell>
          <cell r="I529">
            <v>24054764.470064312</v>
          </cell>
          <cell r="J529">
            <v>61931006.438517332</v>
          </cell>
          <cell r="K529">
            <v>135690646.55930555</v>
          </cell>
          <cell r="L529">
            <v>138923926.2664701</v>
          </cell>
          <cell r="M529">
            <v>131673853.69457127</v>
          </cell>
          <cell r="N529">
            <v>124931166.46846889</v>
          </cell>
          <cell r="O529">
            <v>121612216.24827549</v>
          </cell>
          <cell r="P529">
            <v>91796429.463642284</v>
          </cell>
          <cell r="Q529">
            <v>957421410.48028266</v>
          </cell>
        </row>
        <row r="530">
          <cell r="A530" t="str">
            <v>Road</v>
          </cell>
          <cell r="B530" t="str">
            <v>AS 17</v>
          </cell>
          <cell r="C530" t="str">
            <v>OPEX Cost</v>
          </cell>
          <cell r="E530">
            <v>9835792.5078422632</v>
          </cell>
          <cell r="F530">
            <v>4248248.9626922524</v>
          </cell>
          <cell r="G530">
            <v>2468534.3300553025</v>
          </cell>
          <cell r="H530">
            <v>2468534.3300553025</v>
          </cell>
          <cell r="I530">
            <v>3608214.6705096471</v>
          </cell>
          <cell r="J530">
            <v>9289650.9657776002</v>
          </cell>
          <cell r="K530">
            <v>20353596.983895831</v>
          </cell>
          <cell r="L530">
            <v>20838588.939970516</v>
          </cell>
          <cell r="M530">
            <v>19751078.054185688</v>
          </cell>
          <cell r="N530">
            <v>18739674.970270332</v>
          </cell>
          <cell r="O530">
            <v>18241832.437241323</v>
          </cell>
          <cell r="P530">
            <v>13769464.419546342</v>
          </cell>
          <cell r="Q530">
            <v>143613211.57204241</v>
          </cell>
        </row>
        <row r="531">
          <cell r="A531" t="str">
            <v>Road</v>
          </cell>
          <cell r="B531" t="str">
            <v>AS 19</v>
          </cell>
          <cell r="C531" t="str">
            <v>Actual Work Done</v>
          </cell>
          <cell r="E531">
            <v>62300000</v>
          </cell>
          <cell r="F531">
            <v>61500000</v>
          </cell>
          <cell r="G531">
            <v>55000000</v>
          </cell>
          <cell r="H531">
            <v>55000000</v>
          </cell>
          <cell r="I531">
            <v>58000000</v>
          </cell>
          <cell r="J531">
            <v>61000000</v>
          </cell>
          <cell r="K531">
            <v>62000000</v>
          </cell>
          <cell r="L531">
            <v>61500000</v>
          </cell>
          <cell r="M531">
            <v>62800000</v>
          </cell>
          <cell r="N531">
            <v>68000000</v>
          </cell>
          <cell r="O531">
            <v>68000000</v>
          </cell>
          <cell r="P531">
            <v>69500000</v>
          </cell>
          <cell r="Q531">
            <v>744600000</v>
          </cell>
        </row>
        <row r="532">
          <cell r="A532" t="str">
            <v>Road</v>
          </cell>
          <cell r="B532" t="str">
            <v>AS 19</v>
          </cell>
          <cell r="C532" t="str">
            <v>Material Cost</v>
          </cell>
          <cell r="E532">
            <v>52954999.999999993</v>
          </cell>
          <cell r="F532">
            <v>52275000</v>
          </cell>
          <cell r="G532">
            <v>46750000</v>
          </cell>
          <cell r="H532">
            <v>46750000</v>
          </cell>
          <cell r="I532">
            <v>49300000</v>
          </cell>
          <cell r="J532">
            <v>51850000</v>
          </cell>
          <cell r="K532">
            <v>52700000</v>
          </cell>
          <cell r="L532">
            <v>52275000</v>
          </cell>
          <cell r="M532">
            <v>53379999.999999993</v>
          </cell>
          <cell r="N532">
            <v>57800000</v>
          </cell>
          <cell r="O532">
            <v>57800000</v>
          </cell>
          <cell r="P532">
            <v>59075000</v>
          </cell>
          <cell r="Q532">
            <v>632910000</v>
          </cell>
        </row>
        <row r="533">
          <cell r="A533" t="str">
            <v>Road</v>
          </cell>
          <cell r="B533" t="str">
            <v>AS 19</v>
          </cell>
          <cell r="C533" t="str">
            <v>OPEX Cost</v>
          </cell>
          <cell r="E533">
            <v>7943249.9999999991</v>
          </cell>
          <cell r="F533">
            <v>7841249.9999999991</v>
          </cell>
          <cell r="G533">
            <v>7012500</v>
          </cell>
          <cell r="H533">
            <v>7012500</v>
          </cell>
          <cell r="I533">
            <v>7395000</v>
          </cell>
          <cell r="J533">
            <v>7777499.9999999991</v>
          </cell>
          <cell r="K533">
            <v>7905000</v>
          </cell>
          <cell r="L533">
            <v>7841249.9999999991</v>
          </cell>
          <cell r="M533">
            <v>8006999.9999999991</v>
          </cell>
          <cell r="N533">
            <v>8670000</v>
          </cell>
          <cell r="O533">
            <v>8670000</v>
          </cell>
          <cell r="P533">
            <v>8861250</v>
          </cell>
          <cell r="Q533">
            <v>94936500</v>
          </cell>
        </row>
        <row r="534">
          <cell r="A534" t="str">
            <v>Road</v>
          </cell>
          <cell r="B534" t="str">
            <v>ORR</v>
          </cell>
          <cell r="C534" t="str">
            <v>Actual Work Done</v>
          </cell>
          <cell r="E534">
            <v>252208136.26344249</v>
          </cell>
          <cell r="F534">
            <v>255558705.54840532</v>
          </cell>
          <cell r="G534">
            <v>243987444.76098391</v>
          </cell>
          <cell r="H534">
            <v>243987444.76098391</v>
          </cell>
          <cell r="I534">
            <v>243987444.76098391</v>
          </cell>
          <cell r="J534">
            <v>227036460.38725433</v>
          </cell>
          <cell r="K534">
            <v>264079358.8592371</v>
          </cell>
          <cell r="L534">
            <v>257510082.8771691</v>
          </cell>
          <cell r="M534">
            <v>212900000</v>
          </cell>
          <cell r="N534">
            <v>215000000</v>
          </cell>
          <cell r="O534">
            <v>225000000</v>
          </cell>
          <cell r="P534">
            <v>0</v>
          </cell>
          <cell r="Q534">
            <v>2641255078.2184601</v>
          </cell>
        </row>
        <row r="535">
          <cell r="A535" t="str">
            <v>Road</v>
          </cell>
          <cell r="B535" t="str">
            <v>ORR</v>
          </cell>
          <cell r="C535" t="str">
            <v>Material Cost</v>
          </cell>
          <cell r="E535">
            <v>214376915.82392609</v>
          </cell>
          <cell r="F535">
            <v>217224899.7161445</v>
          </cell>
          <cell r="G535">
            <v>207389328.04683632</v>
          </cell>
          <cell r="H535">
            <v>207389328.04683632</v>
          </cell>
          <cell r="I535">
            <v>207389328.04683632</v>
          </cell>
          <cell r="J535">
            <v>192980991.32916617</v>
          </cell>
          <cell r="K535">
            <v>224467455.03035155</v>
          </cell>
          <cell r="L535">
            <v>218883570.44559371</v>
          </cell>
          <cell r="M535">
            <v>180965000</v>
          </cell>
          <cell r="N535">
            <v>182750000</v>
          </cell>
          <cell r="O535">
            <v>191250000</v>
          </cell>
          <cell r="P535">
            <v>0</v>
          </cell>
          <cell r="Q535">
            <v>2245066816.4856911</v>
          </cell>
        </row>
        <row r="536">
          <cell r="A536" t="str">
            <v>Road</v>
          </cell>
          <cell r="B536" t="str">
            <v>ORR</v>
          </cell>
          <cell r="C536" t="str">
            <v>OPEX Cost</v>
          </cell>
          <cell r="E536">
            <v>32156537.373588912</v>
          </cell>
          <cell r="F536">
            <v>32583734.957421672</v>
          </cell>
          <cell r="G536">
            <v>31108399.207025446</v>
          </cell>
          <cell r="H536">
            <v>31108399.207025446</v>
          </cell>
          <cell r="I536">
            <v>31108399.207025446</v>
          </cell>
          <cell r="J536">
            <v>28947148.699374925</v>
          </cell>
          <cell r="K536">
            <v>33670118.254552729</v>
          </cell>
          <cell r="L536">
            <v>32832535.566839054</v>
          </cell>
          <cell r="M536">
            <v>27144750</v>
          </cell>
          <cell r="N536">
            <v>27412500</v>
          </cell>
          <cell r="O536">
            <v>28687500</v>
          </cell>
          <cell r="P536">
            <v>0</v>
          </cell>
          <cell r="Q536">
            <v>336760022.4728536</v>
          </cell>
        </row>
        <row r="537">
          <cell r="A537" t="str">
            <v>Railways</v>
          </cell>
          <cell r="B537" t="str">
            <v>BMRC</v>
          </cell>
          <cell r="C537" t="str">
            <v>Actual Work Done</v>
          </cell>
          <cell r="E537">
            <v>12578146.670365077</v>
          </cell>
          <cell r="F537">
            <v>42092517.122922316</v>
          </cell>
          <cell r="G537">
            <v>54371946.145475499</v>
          </cell>
          <cell r="H537">
            <v>43904026.287153006</v>
          </cell>
          <cell r="I537">
            <v>36072289.670770481</v>
          </cell>
          <cell r="Q537">
            <v>189018925.89668638</v>
          </cell>
        </row>
        <row r="538">
          <cell r="A538" t="str">
            <v>Railways</v>
          </cell>
          <cell r="B538" t="str">
            <v>BMRC</v>
          </cell>
          <cell r="C538" t="str">
            <v>Material Cost</v>
          </cell>
          <cell r="E538">
            <v>9559391.4694774579</v>
          </cell>
          <cell r="F538">
            <v>31990313.013420962</v>
          </cell>
          <cell r="G538">
            <v>41322679.070561379</v>
          </cell>
          <cell r="H538">
            <v>33367059.978236284</v>
          </cell>
          <cell r="I538">
            <v>27414940.149785563</v>
          </cell>
          <cell r="Q538">
            <v>143654383.68148166</v>
          </cell>
        </row>
        <row r="539">
          <cell r="A539" t="str">
            <v>Railways</v>
          </cell>
          <cell r="B539" t="str">
            <v>BMRC</v>
          </cell>
          <cell r="C539" t="str">
            <v>Personnel cost</v>
          </cell>
          <cell r="E539">
            <v>610000</v>
          </cell>
          <cell r="F539">
            <v>610000</v>
          </cell>
          <cell r="G539">
            <v>610000</v>
          </cell>
          <cell r="H539">
            <v>610000</v>
          </cell>
          <cell r="I539">
            <v>610000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3780378.5179337272</v>
          </cell>
        </row>
        <row r="540">
          <cell r="A540" t="str">
            <v>Railways</v>
          </cell>
          <cell r="B540" t="str">
            <v>BMRC</v>
          </cell>
          <cell r="C540" t="str">
            <v>OPEX Cost</v>
          </cell>
          <cell r="E540">
            <v>557000</v>
          </cell>
          <cell r="F540">
            <v>765000</v>
          </cell>
          <cell r="G540">
            <v>765000</v>
          </cell>
          <cell r="H540">
            <v>500000</v>
          </cell>
          <cell r="I540">
            <v>500000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15121514.071734909</v>
          </cell>
        </row>
        <row r="541">
          <cell r="A541" t="str">
            <v>Railways</v>
          </cell>
          <cell r="B541" t="str">
            <v>MRT 1</v>
          </cell>
          <cell r="C541" t="str">
            <v>Actual Work Done</v>
          </cell>
          <cell r="E541">
            <v>10908444.731357142</v>
          </cell>
          <cell r="F541">
            <v>10305180.089357141</v>
          </cell>
          <cell r="G541">
            <v>10353288.289357143</v>
          </cell>
          <cell r="H541">
            <v>9925652.0893571414</v>
          </cell>
          <cell r="I541">
            <v>9482663.2893571425</v>
          </cell>
          <cell r="J541">
            <v>8232006.7893571425</v>
          </cell>
          <cell r="K541">
            <v>5884956.5398571426</v>
          </cell>
          <cell r="L541">
            <v>0</v>
          </cell>
          <cell r="M541">
            <v>0</v>
          </cell>
          <cell r="Q541">
            <v>65092191.817999996</v>
          </cell>
        </row>
        <row r="542">
          <cell r="A542" t="str">
            <v>Railways</v>
          </cell>
          <cell r="B542" t="str">
            <v>MRT 1</v>
          </cell>
          <cell r="C542" t="str">
            <v>Material Cost</v>
          </cell>
          <cell r="E542">
            <v>8121337.1024953928</v>
          </cell>
          <cell r="F542">
            <v>7672206.5765263923</v>
          </cell>
          <cell r="G542">
            <v>7708023.1314263931</v>
          </cell>
          <cell r="H542">
            <v>7389647.9805263923</v>
          </cell>
          <cell r="I542">
            <v>7059842.8189263931</v>
          </cell>
          <cell r="J542">
            <v>6128729.054676393</v>
          </cell>
          <cell r="K542">
            <v>4381350.143923643</v>
          </cell>
          <cell r="Q542">
            <v>48461136.80850099</v>
          </cell>
        </row>
        <row r="543">
          <cell r="A543" t="str">
            <v>Railways</v>
          </cell>
          <cell r="B543" t="str">
            <v>MRT 1</v>
          </cell>
          <cell r="C543" t="str">
            <v>Personnel cost</v>
          </cell>
          <cell r="E543">
            <v>576000</v>
          </cell>
          <cell r="F543">
            <v>576000</v>
          </cell>
          <cell r="G543">
            <v>576000</v>
          </cell>
          <cell r="H543">
            <v>576000</v>
          </cell>
          <cell r="I543">
            <v>576000</v>
          </cell>
          <cell r="J543">
            <v>576000</v>
          </cell>
          <cell r="K543">
            <v>576000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1301843.8363600001</v>
          </cell>
        </row>
        <row r="544">
          <cell r="A544" t="str">
            <v>Railways</v>
          </cell>
          <cell r="B544" t="str">
            <v>MRT 1</v>
          </cell>
          <cell r="C544" t="str">
            <v>OPEX Cost</v>
          </cell>
          <cell r="E544">
            <v>610000</v>
          </cell>
          <cell r="F544">
            <v>610000</v>
          </cell>
          <cell r="G544">
            <v>610000</v>
          </cell>
          <cell r="H544">
            <v>610000</v>
          </cell>
          <cell r="I544">
            <v>610000</v>
          </cell>
          <cell r="J544">
            <v>610000</v>
          </cell>
          <cell r="K544">
            <v>610000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5207375.3454400003</v>
          </cell>
        </row>
        <row r="545">
          <cell r="A545" t="str">
            <v>Railways</v>
          </cell>
          <cell r="B545" t="str">
            <v>MRT 2</v>
          </cell>
          <cell r="C545" t="str">
            <v>Actual Work Done</v>
          </cell>
          <cell r="E545">
            <v>21379517.181013331</v>
          </cell>
          <cell r="F545">
            <v>16792526.628213331</v>
          </cell>
          <cell r="G545">
            <v>15782877.327913333</v>
          </cell>
          <cell r="H545">
            <v>15780223.182913331</v>
          </cell>
          <cell r="I545">
            <v>14996805.547913332</v>
          </cell>
          <cell r="J545">
            <v>14620478.633919999</v>
          </cell>
          <cell r="K545">
            <v>633072</v>
          </cell>
          <cell r="Q545">
            <v>99985500.501886651</v>
          </cell>
        </row>
        <row r="546">
          <cell r="A546" t="str">
            <v>Railways</v>
          </cell>
          <cell r="B546" t="str">
            <v>MRT 2</v>
          </cell>
          <cell r="C546" t="str">
            <v>Material Cost</v>
          </cell>
          <cell r="E546">
            <v>18172589.603861332</v>
          </cell>
          <cell r="F546">
            <v>14273647.63398133</v>
          </cell>
          <cell r="G546">
            <v>13415445.728726333</v>
          </cell>
          <cell r="H546">
            <v>13413189.705476331</v>
          </cell>
          <cell r="I546">
            <v>12747284.715726331</v>
          </cell>
          <cell r="J546">
            <v>12427406.838831998</v>
          </cell>
          <cell r="K546">
            <v>538111.19999999995</v>
          </cell>
          <cell r="Q546">
            <v>84987675.42660366</v>
          </cell>
        </row>
        <row r="547">
          <cell r="A547" t="str">
            <v>Railways</v>
          </cell>
          <cell r="B547" t="str">
            <v>MRT 2</v>
          </cell>
          <cell r="C547" t="str">
            <v>Personnel cost</v>
          </cell>
          <cell r="E547">
            <v>393000</v>
          </cell>
          <cell r="F547">
            <v>393000</v>
          </cell>
          <cell r="G547">
            <v>323000.00000000006</v>
          </cell>
          <cell r="H547">
            <v>393000</v>
          </cell>
          <cell r="I547">
            <v>493000</v>
          </cell>
          <cell r="J547">
            <v>493000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1999710.0100377335</v>
          </cell>
        </row>
        <row r="548">
          <cell r="A548" t="str">
            <v>Railways</v>
          </cell>
          <cell r="B548" t="str">
            <v>MRT 2</v>
          </cell>
          <cell r="C548" t="str">
            <v>OPEX Cost</v>
          </cell>
          <cell r="E548">
            <v>250000</v>
          </cell>
          <cell r="F548">
            <v>250000</v>
          </cell>
          <cell r="G548">
            <v>250000</v>
          </cell>
          <cell r="H548">
            <v>250000</v>
          </cell>
          <cell r="I548">
            <v>250000</v>
          </cell>
          <cell r="J548">
            <v>250000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7998840.0401509339</v>
          </cell>
        </row>
        <row r="549">
          <cell r="A549" t="str">
            <v>Road</v>
          </cell>
          <cell r="B549" t="str">
            <v>HO</v>
          </cell>
          <cell r="C549" t="str">
            <v>Personnel cost</v>
          </cell>
          <cell r="E549">
            <v>1700000</v>
          </cell>
          <cell r="F549">
            <v>1689999.9999999998</v>
          </cell>
          <cell r="G549">
            <v>1650000</v>
          </cell>
          <cell r="H549">
            <v>1630000</v>
          </cell>
          <cell r="I549">
            <v>1630000</v>
          </cell>
          <cell r="J549">
            <v>1610000.0000000002</v>
          </cell>
          <cell r="K549">
            <v>1610000.0000000002</v>
          </cell>
          <cell r="L549">
            <v>1590000</v>
          </cell>
          <cell r="M549">
            <v>1580000</v>
          </cell>
          <cell r="N549">
            <v>1577000</v>
          </cell>
          <cell r="O549">
            <v>1560000</v>
          </cell>
          <cell r="P549">
            <v>1570000</v>
          </cell>
          <cell r="Q549">
            <v>19397000</v>
          </cell>
        </row>
        <row r="550">
          <cell r="A550" t="str">
            <v>Road</v>
          </cell>
          <cell r="B550" t="str">
            <v>HO</v>
          </cell>
          <cell r="C550" t="str">
            <v>OPEX Cost</v>
          </cell>
          <cell r="E550">
            <v>125000</v>
          </cell>
          <cell r="F550">
            <v>125000</v>
          </cell>
          <cell r="G550">
            <v>110000.00000000001</v>
          </cell>
          <cell r="H550">
            <v>130000</v>
          </cell>
          <cell r="I550">
            <v>120000</v>
          </cell>
          <cell r="J550">
            <v>100000</v>
          </cell>
          <cell r="K550">
            <v>110000.00000000001</v>
          </cell>
          <cell r="L550">
            <v>95000</v>
          </cell>
          <cell r="M550">
            <v>90000</v>
          </cell>
          <cell r="N550">
            <v>88000</v>
          </cell>
          <cell r="O550">
            <v>77000</v>
          </cell>
          <cell r="P550">
            <v>80000</v>
          </cell>
          <cell r="Q550">
            <v>1250000</v>
          </cell>
        </row>
      </sheetData>
      <sheetData sheetId="13">
        <row r="2">
          <cell r="A2" t="str">
            <v>Road</v>
          </cell>
          <cell r="B2" t="str">
            <v>AS17</v>
          </cell>
          <cell r="C2" t="str">
            <v>Debtors</v>
          </cell>
          <cell r="D2" t="str">
            <v>Apr</v>
          </cell>
          <cell r="F2">
            <v>19.499339999999997</v>
          </cell>
        </row>
        <row r="3">
          <cell r="A3" t="str">
            <v>Road</v>
          </cell>
          <cell r="B3" t="str">
            <v>AS17</v>
          </cell>
          <cell r="C3" t="str">
            <v>Work In Progress (increase/decrease)</v>
          </cell>
          <cell r="D3" t="str">
            <v>Apr</v>
          </cell>
          <cell r="F3">
            <v>85</v>
          </cell>
        </row>
        <row r="4">
          <cell r="A4" t="str">
            <v>Road</v>
          </cell>
          <cell r="B4" t="str">
            <v>AS17</v>
          </cell>
          <cell r="C4" t="str">
            <v>Stock of Raw Materials</v>
          </cell>
          <cell r="D4" t="str">
            <v>Apr</v>
          </cell>
          <cell r="F4">
            <v>17</v>
          </cell>
        </row>
        <row r="5">
          <cell r="A5" t="str">
            <v>Road</v>
          </cell>
          <cell r="B5" t="str">
            <v>AS17</v>
          </cell>
          <cell r="C5" t="str">
            <v>Retention(incl TDS)</v>
          </cell>
          <cell r="D5" t="str">
            <v>Apr</v>
          </cell>
          <cell r="F5">
            <v>-55.846700000000006</v>
          </cell>
        </row>
        <row r="6">
          <cell r="A6" t="str">
            <v>Road</v>
          </cell>
          <cell r="B6" t="str">
            <v>AS17</v>
          </cell>
          <cell r="C6" t="str">
            <v>Projected Profit/Loss on YTD Sales</v>
          </cell>
          <cell r="D6" t="str">
            <v>Apr</v>
          </cell>
          <cell r="F6">
            <v>-20067.39</v>
          </cell>
        </row>
        <row r="7">
          <cell r="A7" t="str">
            <v>Road</v>
          </cell>
          <cell r="B7" t="str">
            <v>AS17</v>
          </cell>
          <cell r="C7" t="str">
            <v>Cash and Bank Balance</v>
          </cell>
          <cell r="D7" t="str">
            <v>Apr</v>
          </cell>
          <cell r="F7">
            <v>0</v>
          </cell>
        </row>
        <row r="8">
          <cell r="A8" t="str">
            <v>Road</v>
          </cell>
          <cell r="B8" t="str">
            <v>AS17</v>
          </cell>
          <cell r="C8" t="str">
            <v>Creditors-Suppliers-net of advance</v>
          </cell>
          <cell r="D8" t="str">
            <v>Apr</v>
          </cell>
          <cell r="F8">
            <v>12</v>
          </cell>
        </row>
        <row r="9">
          <cell r="A9" t="str">
            <v>Road</v>
          </cell>
          <cell r="B9" t="str">
            <v>AS17</v>
          </cell>
          <cell r="C9" t="str">
            <v>Sub-Contractors-net of advance</v>
          </cell>
          <cell r="D9" t="str">
            <v>Apr</v>
          </cell>
          <cell r="F9">
            <v>17</v>
          </cell>
        </row>
        <row r="10">
          <cell r="A10" t="str">
            <v>Road</v>
          </cell>
          <cell r="B10" t="str">
            <v>AS17</v>
          </cell>
          <cell r="C10" t="str">
            <v>Own</v>
          </cell>
          <cell r="D10" t="str">
            <v>Apr</v>
          </cell>
          <cell r="F10">
            <v>0</v>
          </cell>
        </row>
        <row r="11">
          <cell r="A11" t="str">
            <v>Road</v>
          </cell>
          <cell r="B11" t="str">
            <v>AS17</v>
          </cell>
          <cell r="C11" t="str">
            <v>Outstide</v>
          </cell>
          <cell r="D11" t="str">
            <v>Apr</v>
          </cell>
          <cell r="F11">
            <v>17</v>
          </cell>
        </row>
        <row r="12">
          <cell r="A12" t="str">
            <v>Road</v>
          </cell>
          <cell r="B12" t="str">
            <v>AS17</v>
          </cell>
          <cell r="C12" t="str">
            <v>Salaries and Wages Payable</v>
          </cell>
          <cell r="D12" t="str">
            <v>Apr</v>
          </cell>
          <cell r="F12">
            <v>0</v>
          </cell>
        </row>
        <row r="13">
          <cell r="A13" t="str">
            <v>Road</v>
          </cell>
          <cell r="B13" t="str">
            <v>AS17</v>
          </cell>
          <cell r="C13" t="str">
            <v>Mobilisation Adv Outstanding</v>
          </cell>
          <cell r="D13" t="str">
            <v>Apr</v>
          </cell>
          <cell r="F13">
            <v>59.499999999999993</v>
          </cell>
        </row>
        <row r="14">
          <cell r="A14" t="str">
            <v>Road</v>
          </cell>
          <cell r="B14" t="str">
            <v>AS17</v>
          </cell>
          <cell r="C14" t="str">
            <v>Bank Loan outstanding</v>
          </cell>
          <cell r="D14" t="str">
            <v>Apr</v>
          </cell>
          <cell r="F14">
            <v>0</v>
          </cell>
        </row>
        <row r="15">
          <cell r="A15" t="str">
            <v>Road</v>
          </cell>
          <cell r="B15" t="str">
            <v>AS17</v>
          </cell>
          <cell r="C15" t="str">
            <v>HO funding</v>
          </cell>
          <cell r="D15" t="str">
            <v>Apr</v>
          </cell>
          <cell r="F15">
            <v>0</v>
          </cell>
        </row>
        <row r="16">
          <cell r="A16" t="str">
            <v>Road</v>
          </cell>
          <cell r="B16" t="str">
            <v>AS17</v>
          </cell>
          <cell r="C16" t="str">
            <v>Debtors</v>
          </cell>
          <cell r="D16" t="str">
            <v>May</v>
          </cell>
          <cell r="F16">
            <v>19.499339999999997</v>
          </cell>
        </row>
        <row r="17">
          <cell r="A17" t="str">
            <v>Road</v>
          </cell>
          <cell r="B17" t="str">
            <v>AS17</v>
          </cell>
          <cell r="C17" t="str">
            <v>Work In Progress (increase/decrease)</v>
          </cell>
          <cell r="D17" t="str">
            <v>May</v>
          </cell>
          <cell r="F17">
            <v>102</v>
          </cell>
        </row>
        <row r="18">
          <cell r="A18" t="str">
            <v>Road</v>
          </cell>
          <cell r="B18" t="str">
            <v>AS17</v>
          </cell>
          <cell r="C18" t="str">
            <v>Stock of Raw Materials</v>
          </cell>
          <cell r="D18" t="str">
            <v>May</v>
          </cell>
          <cell r="F18">
            <v>17</v>
          </cell>
        </row>
        <row r="19">
          <cell r="A19" t="str">
            <v>Road</v>
          </cell>
          <cell r="B19" t="str">
            <v>AS17</v>
          </cell>
          <cell r="C19" t="str">
            <v>Retention(incl TDS)</v>
          </cell>
          <cell r="D19" t="str">
            <v>May</v>
          </cell>
          <cell r="F19">
            <v>-70.41604000000001</v>
          </cell>
        </row>
        <row r="20">
          <cell r="A20" t="str">
            <v>Road</v>
          </cell>
          <cell r="B20" t="str">
            <v>AS17</v>
          </cell>
          <cell r="C20" t="str">
            <v>Projected Profit/Loss on YTD Sales</v>
          </cell>
          <cell r="D20" t="str">
            <v>May</v>
          </cell>
          <cell r="F20">
            <v>-24003.54</v>
          </cell>
        </row>
        <row r="21">
          <cell r="A21" t="str">
            <v>Road</v>
          </cell>
          <cell r="B21" t="str">
            <v>AS17</v>
          </cell>
          <cell r="C21" t="str">
            <v>Cash and Bank Balance</v>
          </cell>
          <cell r="D21" t="str">
            <v>May</v>
          </cell>
          <cell r="F21">
            <v>0</v>
          </cell>
        </row>
        <row r="22">
          <cell r="A22" t="str">
            <v>Road</v>
          </cell>
          <cell r="B22" t="str">
            <v>AS17</v>
          </cell>
          <cell r="C22" t="str">
            <v>Creditors-Suppliers-net of advance</v>
          </cell>
          <cell r="D22" t="str">
            <v>May</v>
          </cell>
          <cell r="F22">
            <v>12</v>
          </cell>
        </row>
        <row r="23">
          <cell r="A23" t="str">
            <v>Road</v>
          </cell>
          <cell r="B23" t="str">
            <v>AS17</v>
          </cell>
          <cell r="C23" t="str">
            <v>Sub-Contractors-net of advance</v>
          </cell>
          <cell r="D23" t="str">
            <v>May</v>
          </cell>
          <cell r="F23">
            <v>17</v>
          </cell>
        </row>
        <row r="24">
          <cell r="A24" t="str">
            <v>Road</v>
          </cell>
          <cell r="B24" t="str">
            <v>AS17</v>
          </cell>
          <cell r="C24" t="str">
            <v>Own</v>
          </cell>
          <cell r="D24" t="str">
            <v>May</v>
          </cell>
          <cell r="F24">
            <v>0</v>
          </cell>
        </row>
        <row r="25">
          <cell r="A25" t="str">
            <v>Road</v>
          </cell>
          <cell r="B25" t="str">
            <v>AS17</v>
          </cell>
          <cell r="C25" t="str">
            <v>Outstide</v>
          </cell>
          <cell r="D25" t="str">
            <v>May</v>
          </cell>
          <cell r="F25">
            <v>17</v>
          </cell>
        </row>
        <row r="26">
          <cell r="A26" t="str">
            <v>Road</v>
          </cell>
          <cell r="B26" t="str">
            <v>AS17</v>
          </cell>
          <cell r="C26" t="str">
            <v>Salaries and Wages Payable</v>
          </cell>
          <cell r="D26" t="str">
            <v>May</v>
          </cell>
          <cell r="F26">
            <v>0</v>
          </cell>
        </row>
        <row r="27">
          <cell r="A27" t="str">
            <v>Road</v>
          </cell>
          <cell r="B27" t="str">
            <v>AS17</v>
          </cell>
          <cell r="C27" t="str">
            <v>Mobilisation Adv Outstanding</v>
          </cell>
          <cell r="D27" t="str">
            <v>May</v>
          </cell>
          <cell r="F27">
            <v>71.400000000000006</v>
          </cell>
        </row>
        <row r="28">
          <cell r="A28" t="str">
            <v>Road</v>
          </cell>
          <cell r="B28" t="str">
            <v>AS17</v>
          </cell>
          <cell r="C28" t="str">
            <v>Bank Loan outstanding</v>
          </cell>
          <cell r="D28" t="str">
            <v>May</v>
          </cell>
          <cell r="F28">
            <v>0</v>
          </cell>
        </row>
        <row r="29">
          <cell r="A29" t="str">
            <v>Road</v>
          </cell>
          <cell r="B29" t="str">
            <v>AS17</v>
          </cell>
          <cell r="C29" t="str">
            <v>HO funding</v>
          </cell>
          <cell r="D29" t="str">
            <v>May</v>
          </cell>
          <cell r="F29">
            <v>0</v>
          </cell>
        </row>
        <row r="30">
          <cell r="A30" t="str">
            <v>Road</v>
          </cell>
          <cell r="B30" t="str">
            <v>AS17</v>
          </cell>
          <cell r="C30" t="str">
            <v>Debtors</v>
          </cell>
          <cell r="D30" t="str">
            <v>June</v>
          </cell>
          <cell r="F30">
            <v>19.499339999999997</v>
          </cell>
        </row>
        <row r="31">
          <cell r="A31" t="str">
            <v>Road</v>
          </cell>
          <cell r="B31" t="str">
            <v>AS17</v>
          </cell>
          <cell r="C31" t="str">
            <v>Work In Progress (increase/decrease)</v>
          </cell>
          <cell r="D31" t="str">
            <v>June</v>
          </cell>
          <cell r="F31">
            <v>119</v>
          </cell>
        </row>
        <row r="32">
          <cell r="A32" t="str">
            <v>Road</v>
          </cell>
          <cell r="B32" t="str">
            <v>AS17</v>
          </cell>
          <cell r="C32" t="str">
            <v>Stock of Raw Materials</v>
          </cell>
          <cell r="D32" t="str">
            <v>June</v>
          </cell>
          <cell r="F32">
            <v>17</v>
          </cell>
        </row>
        <row r="33">
          <cell r="A33" t="str">
            <v>Road</v>
          </cell>
          <cell r="B33" t="str">
            <v>AS17</v>
          </cell>
          <cell r="C33" t="str">
            <v>Retention(incl TDS)</v>
          </cell>
          <cell r="D33" t="str">
            <v>June</v>
          </cell>
          <cell r="F33">
            <v>-84.985380000000006</v>
          </cell>
        </row>
        <row r="34">
          <cell r="A34" t="str">
            <v>Road</v>
          </cell>
          <cell r="B34" t="str">
            <v>AS17</v>
          </cell>
          <cell r="C34" t="str">
            <v>Projected Profit/Loss on YTD Sales</v>
          </cell>
          <cell r="D34" t="str">
            <v>June</v>
          </cell>
          <cell r="F34">
            <v>-27941.45</v>
          </cell>
        </row>
        <row r="35">
          <cell r="A35" t="str">
            <v>Road</v>
          </cell>
          <cell r="B35" t="str">
            <v>AS17</v>
          </cell>
          <cell r="C35" t="str">
            <v>Cash and Bank Balance</v>
          </cell>
          <cell r="D35" t="str">
            <v>June</v>
          </cell>
          <cell r="F35">
            <v>0</v>
          </cell>
        </row>
        <row r="36">
          <cell r="A36" t="str">
            <v>Road</v>
          </cell>
          <cell r="B36" t="str">
            <v>AS17</v>
          </cell>
          <cell r="C36" t="str">
            <v>Creditors-Suppliers-net of advance</v>
          </cell>
          <cell r="D36" t="str">
            <v>June</v>
          </cell>
          <cell r="F36">
            <v>12</v>
          </cell>
        </row>
        <row r="37">
          <cell r="A37" t="str">
            <v>Road</v>
          </cell>
          <cell r="B37" t="str">
            <v>AS17</v>
          </cell>
          <cell r="C37" t="str">
            <v>Sub-Contractors-net of advance</v>
          </cell>
          <cell r="D37" t="str">
            <v>June</v>
          </cell>
          <cell r="F37">
            <v>17</v>
          </cell>
        </row>
        <row r="38">
          <cell r="A38" t="str">
            <v>Road</v>
          </cell>
          <cell r="B38" t="str">
            <v>AS17</v>
          </cell>
          <cell r="C38" t="str">
            <v>Own</v>
          </cell>
          <cell r="D38" t="str">
            <v>June</v>
          </cell>
          <cell r="F38">
            <v>0</v>
          </cell>
        </row>
        <row r="39">
          <cell r="A39" t="str">
            <v>Road</v>
          </cell>
          <cell r="B39" t="str">
            <v>AS17</v>
          </cell>
          <cell r="C39" t="str">
            <v>Outstide</v>
          </cell>
          <cell r="D39" t="str">
            <v>June</v>
          </cell>
          <cell r="F39">
            <v>17</v>
          </cell>
        </row>
        <row r="40">
          <cell r="A40" t="str">
            <v>Road</v>
          </cell>
          <cell r="B40" t="str">
            <v>AS17</v>
          </cell>
          <cell r="C40" t="str">
            <v>Salaries and Wages Payable</v>
          </cell>
          <cell r="D40" t="str">
            <v>June</v>
          </cell>
          <cell r="F40">
            <v>0</v>
          </cell>
        </row>
        <row r="41">
          <cell r="A41" t="str">
            <v>Road</v>
          </cell>
          <cell r="B41" t="str">
            <v>AS17</v>
          </cell>
          <cell r="C41" t="str">
            <v>Mobilisation Adv Outstanding</v>
          </cell>
          <cell r="D41" t="str">
            <v>June</v>
          </cell>
          <cell r="F41">
            <v>83.300000000000011</v>
          </cell>
        </row>
        <row r="42">
          <cell r="A42" t="str">
            <v>Road</v>
          </cell>
          <cell r="B42" t="str">
            <v>AS17</v>
          </cell>
          <cell r="C42" t="str">
            <v>Bank Loan outstanding</v>
          </cell>
          <cell r="D42" t="str">
            <v>June</v>
          </cell>
          <cell r="F42">
            <v>0</v>
          </cell>
        </row>
        <row r="43">
          <cell r="A43" t="str">
            <v>Road</v>
          </cell>
          <cell r="B43" t="str">
            <v>AS17</v>
          </cell>
          <cell r="C43" t="str">
            <v>HO funding</v>
          </cell>
          <cell r="D43" t="str">
            <v>June</v>
          </cell>
          <cell r="F43">
            <v>0</v>
          </cell>
        </row>
        <row r="44">
          <cell r="A44" t="str">
            <v>Road</v>
          </cell>
          <cell r="B44" t="str">
            <v>AS17</v>
          </cell>
          <cell r="C44" t="str">
            <v>Debtors</v>
          </cell>
          <cell r="D44" t="str">
            <v>July</v>
          </cell>
          <cell r="F44">
            <v>19.499339999999997</v>
          </cell>
        </row>
        <row r="45">
          <cell r="A45" t="str">
            <v>Road</v>
          </cell>
          <cell r="B45" t="str">
            <v>AS17</v>
          </cell>
          <cell r="C45" t="str">
            <v>Work In Progress (increase/decrease)</v>
          </cell>
          <cell r="D45" t="str">
            <v>July</v>
          </cell>
          <cell r="F45">
            <v>136</v>
          </cell>
        </row>
        <row r="46">
          <cell r="A46" t="str">
            <v>Road</v>
          </cell>
          <cell r="B46" t="str">
            <v>AS17</v>
          </cell>
          <cell r="C46" t="str">
            <v>Stock of Raw Materials</v>
          </cell>
          <cell r="D46" t="str">
            <v>July</v>
          </cell>
          <cell r="F46">
            <v>17</v>
          </cell>
        </row>
        <row r="47">
          <cell r="A47" t="str">
            <v>Road</v>
          </cell>
          <cell r="B47" t="str">
            <v>AS17</v>
          </cell>
          <cell r="C47" t="str">
            <v>Retention(incl TDS)</v>
          </cell>
          <cell r="D47" t="str">
            <v>July</v>
          </cell>
          <cell r="F47">
            <v>-99.554720000000003</v>
          </cell>
        </row>
        <row r="48">
          <cell r="A48" t="str">
            <v>Road</v>
          </cell>
          <cell r="B48" t="str">
            <v>AS17</v>
          </cell>
          <cell r="C48" t="str">
            <v>Projected Profit/Loss on YTD Sales</v>
          </cell>
          <cell r="D48" t="str">
            <v>July</v>
          </cell>
          <cell r="F48">
            <v>-31881.120000000003</v>
          </cell>
        </row>
        <row r="49">
          <cell r="A49" t="str">
            <v>Road</v>
          </cell>
          <cell r="B49" t="str">
            <v>AS17</v>
          </cell>
          <cell r="C49" t="str">
            <v>Cash and Bank Balance</v>
          </cell>
          <cell r="D49" t="str">
            <v>July</v>
          </cell>
          <cell r="F49">
            <v>0</v>
          </cell>
        </row>
        <row r="50">
          <cell r="A50" t="str">
            <v>Road</v>
          </cell>
          <cell r="B50" t="str">
            <v>AS17</v>
          </cell>
          <cell r="C50" t="str">
            <v>Creditors-Suppliers-net of advance</v>
          </cell>
          <cell r="D50" t="str">
            <v>July</v>
          </cell>
          <cell r="F50">
            <v>12</v>
          </cell>
        </row>
        <row r="51">
          <cell r="A51" t="str">
            <v>Road</v>
          </cell>
          <cell r="B51" t="str">
            <v>AS17</v>
          </cell>
          <cell r="C51" t="str">
            <v>Sub-Contractors-net of advance</v>
          </cell>
          <cell r="D51" t="str">
            <v>July</v>
          </cell>
          <cell r="F51">
            <v>17</v>
          </cell>
        </row>
        <row r="52">
          <cell r="A52" t="str">
            <v>Road</v>
          </cell>
          <cell r="B52" t="str">
            <v>AS17</v>
          </cell>
          <cell r="C52" t="str">
            <v>Own</v>
          </cell>
          <cell r="D52" t="str">
            <v>July</v>
          </cell>
          <cell r="F52">
            <v>0</v>
          </cell>
        </row>
        <row r="53">
          <cell r="A53" t="str">
            <v>Road</v>
          </cell>
          <cell r="B53" t="str">
            <v>AS17</v>
          </cell>
          <cell r="C53" t="str">
            <v>Outstide</v>
          </cell>
          <cell r="D53" t="str">
            <v>July</v>
          </cell>
          <cell r="F53">
            <v>17</v>
          </cell>
        </row>
        <row r="54">
          <cell r="A54" t="str">
            <v>Road</v>
          </cell>
          <cell r="B54" t="str">
            <v>AS17</v>
          </cell>
          <cell r="C54" t="str">
            <v>Salaries and Wages Payable</v>
          </cell>
          <cell r="D54" t="str">
            <v>July</v>
          </cell>
          <cell r="F54">
            <v>0</v>
          </cell>
        </row>
        <row r="55">
          <cell r="A55" t="str">
            <v>Road</v>
          </cell>
          <cell r="B55" t="str">
            <v>AS17</v>
          </cell>
          <cell r="C55" t="str">
            <v>Mobilisation Adv Outstanding</v>
          </cell>
          <cell r="D55" t="str">
            <v>July</v>
          </cell>
          <cell r="F55">
            <v>95.200000000000017</v>
          </cell>
        </row>
        <row r="56">
          <cell r="A56" t="str">
            <v>Road</v>
          </cell>
          <cell r="B56" t="str">
            <v>AS17</v>
          </cell>
          <cell r="C56" t="str">
            <v>Bank Loan outstanding</v>
          </cell>
          <cell r="D56" t="str">
            <v>July</v>
          </cell>
          <cell r="F56">
            <v>0</v>
          </cell>
        </row>
        <row r="57">
          <cell r="A57" t="str">
            <v>Road</v>
          </cell>
          <cell r="B57" t="str">
            <v>AS17</v>
          </cell>
          <cell r="C57" t="str">
            <v>HO funding</v>
          </cell>
          <cell r="D57" t="str">
            <v>July</v>
          </cell>
          <cell r="F57">
            <v>0</v>
          </cell>
        </row>
        <row r="58">
          <cell r="A58" t="str">
            <v>Road</v>
          </cell>
          <cell r="B58" t="str">
            <v>AS17</v>
          </cell>
          <cell r="C58" t="str">
            <v>Debtors</v>
          </cell>
          <cell r="D58" t="str">
            <v>Aug</v>
          </cell>
          <cell r="F58">
            <v>19.499339999999997</v>
          </cell>
        </row>
        <row r="59">
          <cell r="A59" t="str">
            <v>Road</v>
          </cell>
          <cell r="B59" t="str">
            <v>AS17</v>
          </cell>
          <cell r="C59" t="str">
            <v>Work In Progress (increase/decrease)</v>
          </cell>
          <cell r="D59" t="str">
            <v>Aug</v>
          </cell>
          <cell r="F59">
            <v>153</v>
          </cell>
        </row>
        <row r="60">
          <cell r="A60" t="str">
            <v>Road</v>
          </cell>
          <cell r="B60" t="str">
            <v>AS17</v>
          </cell>
          <cell r="C60" t="str">
            <v>Stock of Raw Materials</v>
          </cell>
          <cell r="D60" t="str">
            <v>Aug</v>
          </cell>
          <cell r="F60">
            <v>17</v>
          </cell>
        </row>
        <row r="61">
          <cell r="A61" t="str">
            <v>Road</v>
          </cell>
          <cell r="B61" t="str">
            <v>AS17</v>
          </cell>
          <cell r="C61" t="str">
            <v>Retention(incl TDS)</v>
          </cell>
          <cell r="D61" t="str">
            <v>Aug</v>
          </cell>
          <cell r="F61">
            <v>-114.12406</v>
          </cell>
        </row>
        <row r="62">
          <cell r="A62" t="str">
            <v>Road</v>
          </cell>
          <cell r="B62" t="str">
            <v>AS17</v>
          </cell>
          <cell r="C62" t="str">
            <v>Projected Profit/Loss on YTD Sales</v>
          </cell>
          <cell r="D62" t="str">
            <v>Aug</v>
          </cell>
          <cell r="F62">
            <v>-35822.54</v>
          </cell>
        </row>
        <row r="63">
          <cell r="A63" t="str">
            <v>Road</v>
          </cell>
          <cell r="B63" t="str">
            <v>AS17</v>
          </cell>
          <cell r="C63" t="str">
            <v>Cash and Bank Balance</v>
          </cell>
          <cell r="D63" t="str">
            <v>Aug</v>
          </cell>
          <cell r="F63">
            <v>0</v>
          </cell>
        </row>
        <row r="64">
          <cell r="A64" t="str">
            <v>Road</v>
          </cell>
          <cell r="B64" t="str">
            <v>AS17</v>
          </cell>
          <cell r="C64" t="str">
            <v>Creditors-Suppliers-net of advance</v>
          </cell>
          <cell r="D64" t="str">
            <v>Aug</v>
          </cell>
          <cell r="F64">
            <v>12</v>
          </cell>
        </row>
        <row r="65">
          <cell r="A65" t="str">
            <v>Road</v>
          </cell>
          <cell r="B65" t="str">
            <v>AS17</v>
          </cell>
          <cell r="C65" t="str">
            <v>Sub-Contractors-net of advance</v>
          </cell>
          <cell r="D65" t="str">
            <v>Aug</v>
          </cell>
          <cell r="F65">
            <v>17</v>
          </cell>
        </row>
        <row r="66">
          <cell r="A66" t="str">
            <v>Road</v>
          </cell>
          <cell r="B66" t="str">
            <v>AS17</v>
          </cell>
          <cell r="C66" t="str">
            <v>Own</v>
          </cell>
          <cell r="D66" t="str">
            <v>Aug</v>
          </cell>
          <cell r="F66">
            <v>0</v>
          </cell>
        </row>
        <row r="67">
          <cell r="A67" t="str">
            <v>Road</v>
          </cell>
          <cell r="B67" t="str">
            <v>AS17</v>
          </cell>
          <cell r="C67" t="str">
            <v>Outstide</v>
          </cell>
          <cell r="D67" t="str">
            <v>Aug</v>
          </cell>
          <cell r="F67">
            <v>17</v>
          </cell>
        </row>
        <row r="68">
          <cell r="A68" t="str">
            <v>Road</v>
          </cell>
          <cell r="B68" t="str">
            <v>AS17</v>
          </cell>
          <cell r="C68" t="str">
            <v>Salaries and Wages Payable</v>
          </cell>
          <cell r="D68" t="str">
            <v>Aug</v>
          </cell>
          <cell r="F68">
            <v>0</v>
          </cell>
        </row>
        <row r="69">
          <cell r="A69" t="str">
            <v>Road</v>
          </cell>
          <cell r="B69" t="str">
            <v>AS17</v>
          </cell>
          <cell r="C69" t="str">
            <v>Mobilisation Adv Outstanding</v>
          </cell>
          <cell r="D69" t="str">
            <v>Aug</v>
          </cell>
          <cell r="F69">
            <v>107.10000000000002</v>
          </cell>
        </row>
        <row r="70">
          <cell r="A70" t="str">
            <v>Road</v>
          </cell>
          <cell r="B70" t="str">
            <v>AS17</v>
          </cell>
          <cell r="C70" t="str">
            <v>Bank Loan outstanding</v>
          </cell>
          <cell r="D70" t="str">
            <v>Aug</v>
          </cell>
          <cell r="F70">
            <v>0</v>
          </cell>
        </row>
        <row r="71">
          <cell r="A71" t="str">
            <v>Road</v>
          </cell>
          <cell r="B71" t="str">
            <v>AS17</v>
          </cell>
          <cell r="C71" t="str">
            <v>HO funding</v>
          </cell>
          <cell r="D71" t="str">
            <v>Aug</v>
          </cell>
          <cell r="F71">
            <v>0</v>
          </cell>
        </row>
        <row r="72">
          <cell r="A72" t="str">
            <v>Road</v>
          </cell>
          <cell r="B72" t="str">
            <v>AS17</v>
          </cell>
          <cell r="C72" t="str">
            <v>Debtors</v>
          </cell>
          <cell r="D72" t="str">
            <v>Sep</v>
          </cell>
          <cell r="F72">
            <v>19.499339999999997</v>
          </cell>
        </row>
        <row r="73">
          <cell r="A73" t="str">
            <v>Road</v>
          </cell>
          <cell r="B73" t="str">
            <v>AS17</v>
          </cell>
          <cell r="C73" t="str">
            <v>Work In Progress (increase/decrease)</v>
          </cell>
          <cell r="D73" t="str">
            <v>Sep</v>
          </cell>
          <cell r="F73">
            <v>170</v>
          </cell>
        </row>
        <row r="74">
          <cell r="A74" t="str">
            <v>Road</v>
          </cell>
          <cell r="B74" t="str">
            <v>AS17</v>
          </cell>
          <cell r="C74" t="str">
            <v>Stock of Raw Materials</v>
          </cell>
          <cell r="D74" t="str">
            <v>Sep</v>
          </cell>
          <cell r="F74">
            <v>17</v>
          </cell>
        </row>
        <row r="75">
          <cell r="A75" t="str">
            <v>Road</v>
          </cell>
          <cell r="B75" t="str">
            <v>AS17</v>
          </cell>
          <cell r="C75" t="str">
            <v>Retention(incl TDS)</v>
          </cell>
          <cell r="D75" t="str">
            <v>Sep</v>
          </cell>
          <cell r="F75">
            <v>-128.6934</v>
          </cell>
        </row>
        <row r="76">
          <cell r="A76" t="str">
            <v>Road</v>
          </cell>
          <cell r="B76" t="str">
            <v>AS17</v>
          </cell>
          <cell r="C76" t="str">
            <v>Projected Profit/Loss on YTD Sales</v>
          </cell>
          <cell r="D76" t="str">
            <v>Sep</v>
          </cell>
          <cell r="F76">
            <v>-39765.71</v>
          </cell>
        </row>
        <row r="77">
          <cell r="A77" t="str">
            <v>Road</v>
          </cell>
          <cell r="B77" t="str">
            <v>AS17</v>
          </cell>
          <cell r="C77" t="str">
            <v>Cash and Bank Balance</v>
          </cell>
          <cell r="D77" t="str">
            <v>Sep</v>
          </cell>
          <cell r="F77">
            <v>0</v>
          </cell>
        </row>
        <row r="78">
          <cell r="A78" t="str">
            <v>Road</v>
          </cell>
          <cell r="B78" t="str">
            <v>AS17</v>
          </cell>
          <cell r="C78" t="str">
            <v>Creditors-Suppliers-net of advance</v>
          </cell>
          <cell r="D78" t="str">
            <v>Sep</v>
          </cell>
          <cell r="F78">
            <v>12</v>
          </cell>
        </row>
        <row r="79">
          <cell r="A79" t="str">
            <v>Road</v>
          </cell>
          <cell r="B79" t="str">
            <v>AS17</v>
          </cell>
          <cell r="C79" t="str">
            <v>Sub-Contractors-net of advance</v>
          </cell>
          <cell r="D79" t="str">
            <v>Sep</v>
          </cell>
          <cell r="F79">
            <v>17</v>
          </cell>
        </row>
        <row r="80">
          <cell r="A80" t="str">
            <v>Road</v>
          </cell>
          <cell r="B80" t="str">
            <v>AS17</v>
          </cell>
          <cell r="C80" t="str">
            <v>Own</v>
          </cell>
          <cell r="D80" t="str">
            <v>Sep</v>
          </cell>
          <cell r="F80">
            <v>0</v>
          </cell>
        </row>
        <row r="81">
          <cell r="A81" t="str">
            <v>Road</v>
          </cell>
          <cell r="B81" t="str">
            <v>AS17</v>
          </cell>
          <cell r="C81" t="str">
            <v>Outstide</v>
          </cell>
          <cell r="D81" t="str">
            <v>Sep</v>
          </cell>
          <cell r="F81">
            <v>17</v>
          </cell>
        </row>
        <row r="82">
          <cell r="A82" t="str">
            <v>Road</v>
          </cell>
          <cell r="B82" t="str">
            <v>AS17</v>
          </cell>
          <cell r="C82" t="str">
            <v>Salaries and Wages Payable</v>
          </cell>
          <cell r="D82" t="str">
            <v>Sep</v>
          </cell>
          <cell r="F82">
            <v>0</v>
          </cell>
        </row>
        <row r="83">
          <cell r="A83" t="str">
            <v>Road</v>
          </cell>
          <cell r="B83" t="str">
            <v>AS17</v>
          </cell>
          <cell r="C83" t="str">
            <v>Mobilisation Adv Outstanding</v>
          </cell>
          <cell r="D83" t="str">
            <v>Sep</v>
          </cell>
          <cell r="F83">
            <v>119.00000000000003</v>
          </cell>
        </row>
        <row r="84">
          <cell r="A84" t="str">
            <v>Road</v>
          </cell>
          <cell r="B84" t="str">
            <v>AS17</v>
          </cell>
          <cell r="C84" t="str">
            <v>Bank Loan outstanding</v>
          </cell>
          <cell r="D84" t="str">
            <v>Sep</v>
          </cell>
          <cell r="F84">
            <v>0</v>
          </cell>
        </row>
        <row r="85">
          <cell r="A85" t="str">
            <v>Road</v>
          </cell>
          <cell r="B85" t="str">
            <v>AS17</v>
          </cell>
          <cell r="C85" t="str">
            <v>HO funding</v>
          </cell>
          <cell r="D85" t="str">
            <v>Sep</v>
          </cell>
          <cell r="F85">
            <v>0</v>
          </cell>
        </row>
        <row r="86">
          <cell r="A86" t="str">
            <v>Road</v>
          </cell>
          <cell r="B86" t="str">
            <v>AS17</v>
          </cell>
          <cell r="C86" t="str">
            <v>Debtors</v>
          </cell>
          <cell r="D86" t="str">
            <v>Oct</v>
          </cell>
          <cell r="F86">
            <v>19.499339999999997</v>
          </cell>
        </row>
        <row r="87">
          <cell r="A87" t="str">
            <v>Road</v>
          </cell>
          <cell r="B87" t="str">
            <v>AS17</v>
          </cell>
          <cell r="C87" t="str">
            <v>Work In Progress (increase/decrease)</v>
          </cell>
          <cell r="D87" t="str">
            <v>Oct</v>
          </cell>
          <cell r="F87">
            <v>187</v>
          </cell>
        </row>
        <row r="88">
          <cell r="A88" t="str">
            <v>Road</v>
          </cell>
          <cell r="B88" t="str">
            <v>AS17</v>
          </cell>
          <cell r="C88" t="str">
            <v>Stock of Raw Materials</v>
          </cell>
          <cell r="D88" t="str">
            <v>Oct</v>
          </cell>
          <cell r="F88">
            <v>17</v>
          </cell>
        </row>
        <row r="89">
          <cell r="A89" t="str">
            <v>Road</v>
          </cell>
          <cell r="B89" t="str">
            <v>AS17</v>
          </cell>
          <cell r="C89" t="str">
            <v>Retention(incl TDS)</v>
          </cell>
          <cell r="D89" t="str">
            <v>Oct</v>
          </cell>
          <cell r="F89">
            <v>-143.26273999999998</v>
          </cell>
        </row>
        <row r="90">
          <cell r="A90" t="str">
            <v>Road</v>
          </cell>
          <cell r="B90" t="str">
            <v>AS17</v>
          </cell>
          <cell r="C90" t="str">
            <v>Projected Profit/Loss on YTD Sales</v>
          </cell>
          <cell r="D90" t="str">
            <v>Oct</v>
          </cell>
          <cell r="F90">
            <v>-43710.65</v>
          </cell>
        </row>
        <row r="91">
          <cell r="A91" t="str">
            <v>Road</v>
          </cell>
          <cell r="B91" t="str">
            <v>AS17</v>
          </cell>
          <cell r="C91" t="str">
            <v>Cash and Bank Balance</v>
          </cell>
          <cell r="D91" t="str">
            <v>Oct</v>
          </cell>
          <cell r="F91">
            <v>0</v>
          </cell>
        </row>
        <row r="92">
          <cell r="A92" t="str">
            <v>Road</v>
          </cell>
          <cell r="B92" t="str">
            <v>AS17</v>
          </cell>
          <cell r="C92" t="str">
            <v>Creditors-Suppliers-net of advance</v>
          </cell>
          <cell r="D92" t="str">
            <v>Oct</v>
          </cell>
          <cell r="F92">
            <v>12</v>
          </cell>
        </row>
        <row r="93">
          <cell r="A93" t="str">
            <v>Road</v>
          </cell>
          <cell r="B93" t="str">
            <v>AS17</v>
          </cell>
          <cell r="C93" t="str">
            <v>Sub-Contractors-net of advance</v>
          </cell>
          <cell r="D93" t="str">
            <v>Oct</v>
          </cell>
          <cell r="F93">
            <v>17</v>
          </cell>
        </row>
        <row r="94">
          <cell r="A94" t="str">
            <v>Road</v>
          </cell>
          <cell r="B94" t="str">
            <v>AS17</v>
          </cell>
          <cell r="C94" t="str">
            <v>Own</v>
          </cell>
          <cell r="D94" t="str">
            <v>Oct</v>
          </cell>
          <cell r="F94">
            <v>0</v>
          </cell>
        </row>
        <row r="95">
          <cell r="A95" t="str">
            <v>Road</v>
          </cell>
          <cell r="B95" t="str">
            <v>AS17</v>
          </cell>
          <cell r="C95" t="str">
            <v>Outstide</v>
          </cell>
          <cell r="D95" t="str">
            <v>Oct</v>
          </cell>
          <cell r="F95">
            <v>17</v>
          </cell>
        </row>
        <row r="96">
          <cell r="A96" t="str">
            <v>Road</v>
          </cell>
          <cell r="B96" t="str">
            <v>AS17</v>
          </cell>
          <cell r="C96" t="str">
            <v>Salaries and Wages Payable</v>
          </cell>
          <cell r="D96" t="str">
            <v>Oct</v>
          </cell>
          <cell r="F96">
            <v>0</v>
          </cell>
        </row>
        <row r="97">
          <cell r="A97" t="str">
            <v>Road</v>
          </cell>
          <cell r="B97" t="str">
            <v>AS17</v>
          </cell>
          <cell r="C97" t="str">
            <v>Mobilisation Adv Outstanding</v>
          </cell>
          <cell r="D97" t="str">
            <v>Oct</v>
          </cell>
          <cell r="F97">
            <v>130.90000000000003</v>
          </cell>
        </row>
        <row r="98">
          <cell r="A98" t="str">
            <v>Road</v>
          </cell>
          <cell r="B98" t="str">
            <v>AS17</v>
          </cell>
          <cell r="C98" t="str">
            <v>Bank Loan outstanding</v>
          </cell>
          <cell r="D98" t="str">
            <v>Oct</v>
          </cell>
          <cell r="F98">
            <v>0</v>
          </cell>
        </row>
        <row r="99">
          <cell r="A99" t="str">
            <v>Road</v>
          </cell>
          <cell r="B99" t="str">
            <v>AS17</v>
          </cell>
          <cell r="C99" t="str">
            <v>HO funding</v>
          </cell>
          <cell r="D99" t="str">
            <v>Oct</v>
          </cell>
          <cell r="F99">
            <v>0</v>
          </cell>
        </row>
        <row r="100">
          <cell r="A100" t="str">
            <v>Road</v>
          </cell>
          <cell r="B100" t="str">
            <v>AS17</v>
          </cell>
          <cell r="C100" t="str">
            <v>Debtors</v>
          </cell>
          <cell r="D100" t="str">
            <v>Nov</v>
          </cell>
          <cell r="F100">
            <v>19.499339999999997</v>
          </cell>
        </row>
        <row r="101">
          <cell r="A101" t="str">
            <v>Road</v>
          </cell>
          <cell r="B101" t="str">
            <v>AS17</v>
          </cell>
          <cell r="C101" t="str">
            <v>Work In Progress (increase/decrease)</v>
          </cell>
          <cell r="D101" t="str">
            <v>Nov</v>
          </cell>
          <cell r="F101">
            <v>204</v>
          </cell>
        </row>
        <row r="102">
          <cell r="A102" t="str">
            <v>Road</v>
          </cell>
          <cell r="B102" t="str">
            <v>AS17</v>
          </cell>
          <cell r="C102" t="str">
            <v>Stock of Raw Materials</v>
          </cell>
          <cell r="D102" t="str">
            <v>Nov</v>
          </cell>
          <cell r="F102">
            <v>17</v>
          </cell>
        </row>
        <row r="103">
          <cell r="A103" t="str">
            <v>Road</v>
          </cell>
          <cell r="B103" t="str">
            <v>AS17</v>
          </cell>
          <cell r="C103" t="str">
            <v>Retention(incl TDS)</v>
          </cell>
          <cell r="D103" t="str">
            <v>Nov</v>
          </cell>
          <cell r="F103">
            <v>-157.83207999999996</v>
          </cell>
        </row>
        <row r="104">
          <cell r="A104" t="str">
            <v>Road</v>
          </cell>
          <cell r="B104" t="str">
            <v>AS17</v>
          </cell>
          <cell r="C104" t="str">
            <v>Projected Profit/Loss on YTD Sales</v>
          </cell>
          <cell r="D104" t="str">
            <v>Nov</v>
          </cell>
          <cell r="F104">
            <v>-47657.340000000004</v>
          </cell>
        </row>
        <row r="105">
          <cell r="A105" t="str">
            <v>Road</v>
          </cell>
          <cell r="B105" t="str">
            <v>AS17</v>
          </cell>
          <cell r="C105" t="str">
            <v>Cash and Bank Balance</v>
          </cell>
          <cell r="D105" t="str">
            <v>Nov</v>
          </cell>
          <cell r="F105">
            <v>0</v>
          </cell>
        </row>
        <row r="106">
          <cell r="A106" t="str">
            <v>Road</v>
          </cell>
          <cell r="B106" t="str">
            <v>AS17</v>
          </cell>
          <cell r="C106" t="str">
            <v>Creditors-Suppliers-net of advance</v>
          </cell>
          <cell r="D106" t="str">
            <v>Nov</v>
          </cell>
          <cell r="F106">
            <v>12</v>
          </cell>
        </row>
        <row r="107">
          <cell r="A107" t="str">
            <v>Road</v>
          </cell>
          <cell r="B107" t="str">
            <v>AS17</v>
          </cell>
          <cell r="C107" t="str">
            <v>Sub-Contractors-net of advance</v>
          </cell>
          <cell r="D107" t="str">
            <v>Nov</v>
          </cell>
          <cell r="F107">
            <v>17</v>
          </cell>
        </row>
        <row r="108">
          <cell r="A108" t="str">
            <v>Road</v>
          </cell>
          <cell r="B108" t="str">
            <v>AS17</v>
          </cell>
          <cell r="C108" t="str">
            <v>Own</v>
          </cell>
          <cell r="D108" t="str">
            <v>Nov</v>
          </cell>
          <cell r="F108">
            <v>0</v>
          </cell>
        </row>
        <row r="109">
          <cell r="A109" t="str">
            <v>Road</v>
          </cell>
          <cell r="B109" t="str">
            <v>AS17</v>
          </cell>
          <cell r="C109" t="str">
            <v>Outstide</v>
          </cell>
          <cell r="D109" t="str">
            <v>Nov</v>
          </cell>
          <cell r="F109">
            <v>17</v>
          </cell>
        </row>
        <row r="110">
          <cell r="A110" t="str">
            <v>Road</v>
          </cell>
          <cell r="B110" t="str">
            <v>AS17</v>
          </cell>
          <cell r="C110" t="str">
            <v>Salaries and Wages Payable</v>
          </cell>
          <cell r="D110" t="str">
            <v>Nov</v>
          </cell>
          <cell r="F110">
            <v>0</v>
          </cell>
        </row>
        <row r="111">
          <cell r="A111" t="str">
            <v>Road</v>
          </cell>
          <cell r="B111" t="str">
            <v>AS17</v>
          </cell>
          <cell r="C111" t="str">
            <v>Mobilisation Adv Outstanding</v>
          </cell>
          <cell r="D111" t="str">
            <v>Nov</v>
          </cell>
          <cell r="F111">
            <v>142.80000000000004</v>
          </cell>
        </row>
        <row r="112">
          <cell r="A112" t="str">
            <v>Road</v>
          </cell>
          <cell r="B112" t="str">
            <v>AS17</v>
          </cell>
          <cell r="C112" t="str">
            <v>Bank Loan outstanding</v>
          </cell>
          <cell r="D112" t="str">
            <v>Nov</v>
          </cell>
          <cell r="F112">
            <v>0</v>
          </cell>
        </row>
        <row r="113">
          <cell r="A113" t="str">
            <v>Road</v>
          </cell>
          <cell r="B113" t="str">
            <v>AS17</v>
          </cell>
          <cell r="C113" t="str">
            <v>HO funding</v>
          </cell>
          <cell r="D113" t="str">
            <v>Nov</v>
          </cell>
          <cell r="F113">
            <v>0</v>
          </cell>
        </row>
        <row r="114">
          <cell r="A114" t="str">
            <v>Road</v>
          </cell>
          <cell r="B114" t="str">
            <v>AS17</v>
          </cell>
          <cell r="C114" t="str">
            <v>Debtors</v>
          </cell>
          <cell r="D114" t="str">
            <v>Dec</v>
          </cell>
          <cell r="F114">
            <v>19.499339999999997</v>
          </cell>
        </row>
        <row r="115">
          <cell r="A115" t="str">
            <v>Road</v>
          </cell>
          <cell r="B115" t="str">
            <v>AS17</v>
          </cell>
          <cell r="C115" t="str">
            <v>Work In Progress (increase/decrease)</v>
          </cell>
          <cell r="D115" t="str">
            <v>Dec</v>
          </cell>
          <cell r="F115">
            <v>221</v>
          </cell>
        </row>
        <row r="116">
          <cell r="A116" t="str">
            <v>Road</v>
          </cell>
          <cell r="B116" t="str">
            <v>AS17</v>
          </cell>
          <cell r="C116" t="str">
            <v>Stock of Raw Materials</v>
          </cell>
          <cell r="D116" t="str">
            <v>Dec</v>
          </cell>
          <cell r="F116">
            <v>17</v>
          </cell>
        </row>
        <row r="117">
          <cell r="A117" t="str">
            <v>Road</v>
          </cell>
          <cell r="B117" t="str">
            <v>AS17</v>
          </cell>
          <cell r="C117" t="str">
            <v>Retention(incl TDS)</v>
          </cell>
          <cell r="D117" t="str">
            <v>Dec</v>
          </cell>
          <cell r="F117">
            <v>-172.40141999999994</v>
          </cell>
        </row>
        <row r="118">
          <cell r="A118" t="str">
            <v>Road</v>
          </cell>
          <cell r="B118" t="str">
            <v>AS17</v>
          </cell>
          <cell r="C118" t="str">
            <v>Projected Profit/Loss on YTD Sales</v>
          </cell>
          <cell r="D118" t="str">
            <v>Dec</v>
          </cell>
          <cell r="F118">
            <v>-51605.79</v>
          </cell>
        </row>
        <row r="119">
          <cell r="A119" t="str">
            <v>Road</v>
          </cell>
          <cell r="B119" t="str">
            <v>AS17</v>
          </cell>
          <cell r="C119" t="str">
            <v>Cash and Bank Balance</v>
          </cell>
          <cell r="D119" t="str">
            <v>Dec</v>
          </cell>
          <cell r="F119">
            <v>0</v>
          </cell>
        </row>
        <row r="120">
          <cell r="A120" t="str">
            <v>Road</v>
          </cell>
          <cell r="B120" t="str">
            <v>AS17</v>
          </cell>
          <cell r="C120" t="str">
            <v>Creditors-Suppliers-net of advance</v>
          </cell>
          <cell r="D120" t="str">
            <v>Dec</v>
          </cell>
          <cell r="F120">
            <v>12</v>
          </cell>
        </row>
        <row r="121">
          <cell r="A121" t="str">
            <v>Road</v>
          </cell>
          <cell r="B121" t="str">
            <v>AS17</v>
          </cell>
          <cell r="C121" t="str">
            <v>Sub-Contractors-net of advance</v>
          </cell>
          <cell r="D121" t="str">
            <v>Dec</v>
          </cell>
          <cell r="F121">
            <v>17</v>
          </cell>
        </row>
        <row r="122">
          <cell r="A122" t="str">
            <v>Road</v>
          </cell>
          <cell r="B122" t="str">
            <v>AS17</v>
          </cell>
          <cell r="C122" t="str">
            <v>Own</v>
          </cell>
          <cell r="D122" t="str">
            <v>Dec</v>
          </cell>
          <cell r="F122">
            <v>0</v>
          </cell>
        </row>
        <row r="123">
          <cell r="A123" t="str">
            <v>Road</v>
          </cell>
          <cell r="B123" t="str">
            <v>AS17</v>
          </cell>
          <cell r="C123" t="str">
            <v>Outstide</v>
          </cell>
          <cell r="D123" t="str">
            <v>Dec</v>
          </cell>
          <cell r="F123">
            <v>17</v>
          </cell>
        </row>
        <row r="124">
          <cell r="A124" t="str">
            <v>Road</v>
          </cell>
          <cell r="B124" t="str">
            <v>AS17</v>
          </cell>
          <cell r="C124" t="str">
            <v>Salaries and Wages Payable</v>
          </cell>
          <cell r="D124" t="str">
            <v>Dec</v>
          </cell>
          <cell r="F124">
            <v>0</v>
          </cell>
        </row>
        <row r="125">
          <cell r="A125" t="str">
            <v>Road</v>
          </cell>
          <cell r="B125" t="str">
            <v>AS17</v>
          </cell>
          <cell r="C125" t="str">
            <v>Mobilisation Adv Outstanding</v>
          </cell>
          <cell r="D125" t="str">
            <v>Dec</v>
          </cell>
          <cell r="F125">
            <v>154.70000000000005</v>
          </cell>
        </row>
        <row r="126">
          <cell r="A126" t="str">
            <v>Road</v>
          </cell>
          <cell r="B126" t="str">
            <v>AS17</v>
          </cell>
          <cell r="C126" t="str">
            <v>Bank Loan outstanding</v>
          </cell>
          <cell r="D126" t="str">
            <v>Dec</v>
          </cell>
          <cell r="F126">
            <v>0</v>
          </cell>
        </row>
        <row r="127">
          <cell r="A127" t="str">
            <v>Road</v>
          </cell>
          <cell r="B127" t="str">
            <v>AS17</v>
          </cell>
          <cell r="C127" t="str">
            <v>HO funding</v>
          </cell>
          <cell r="D127" t="str">
            <v>Dec</v>
          </cell>
          <cell r="F127">
            <v>0</v>
          </cell>
        </row>
        <row r="128">
          <cell r="A128" t="str">
            <v>Road</v>
          </cell>
          <cell r="B128" t="str">
            <v>AS17</v>
          </cell>
          <cell r="C128" t="str">
            <v>Debtors</v>
          </cell>
          <cell r="D128" t="str">
            <v>Jan</v>
          </cell>
          <cell r="F128">
            <v>19.499339999999997</v>
          </cell>
        </row>
        <row r="129">
          <cell r="A129" t="str">
            <v>Road</v>
          </cell>
          <cell r="B129" t="str">
            <v>AS17</v>
          </cell>
          <cell r="C129" t="str">
            <v>Work In Progress (increase/decrease)</v>
          </cell>
          <cell r="D129" t="str">
            <v>Jan</v>
          </cell>
          <cell r="F129">
            <v>238</v>
          </cell>
        </row>
        <row r="130">
          <cell r="A130" t="str">
            <v>Road</v>
          </cell>
          <cell r="B130" t="str">
            <v>AS17</v>
          </cell>
          <cell r="C130" t="str">
            <v>Stock of Raw Materials</v>
          </cell>
          <cell r="D130" t="str">
            <v>Jan</v>
          </cell>
          <cell r="F130">
            <v>17</v>
          </cell>
        </row>
        <row r="131">
          <cell r="A131" t="str">
            <v>Road</v>
          </cell>
          <cell r="B131" t="str">
            <v>AS17</v>
          </cell>
          <cell r="C131" t="str">
            <v>Retention(incl TDS)</v>
          </cell>
          <cell r="D131" t="str">
            <v>Jan</v>
          </cell>
          <cell r="F131">
            <v>-186.97075999999993</v>
          </cell>
        </row>
        <row r="132">
          <cell r="A132" t="str">
            <v>Road</v>
          </cell>
          <cell r="B132" t="str">
            <v>AS17</v>
          </cell>
          <cell r="C132" t="str">
            <v>Projected Profit/Loss on YTD Sales</v>
          </cell>
          <cell r="D132" t="str">
            <v>Jan</v>
          </cell>
          <cell r="F132">
            <v>-55555.99</v>
          </cell>
        </row>
        <row r="133">
          <cell r="A133" t="str">
            <v>Road</v>
          </cell>
          <cell r="B133" t="str">
            <v>AS17</v>
          </cell>
          <cell r="C133" t="str">
            <v>Cash and Bank Balance</v>
          </cell>
          <cell r="D133" t="str">
            <v>Jan</v>
          </cell>
          <cell r="F133">
            <v>0</v>
          </cell>
        </row>
        <row r="134">
          <cell r="A134" t="str">
            <v>Road</v>
          </cell>
          <cell r="B134" t="str">
            <v>AS17</v>
          </cell>
          <cell r="C134" t="str">
            <v>Creditors-Suppliers-net of advance</v>
          </cell>
          <cell r="D134" t="str">
            <v>Jan</v>
          </cell>
          <cell r="F134">
            <v>12</v>
          </cell>
        </row>
        <row r="135">
          <cell r="A135" t="str">
            <v>Road</v>
          </cell>
          <cell r="B135" t="str">
            <v>AS17</v>
          </cell>
          <cell r="C135" t="str">
            <v>Sub-Contractors-net of advance</v>
          </cell>
          <cell r="D135" t="str">
            <v>Jan</v>
          </cell>
          <cell r="F135">
            <v>17</v>
          </cell>
        </row>
        <row r="136">
          <cell r="A136" t="str">
            <v>Road</v>
          </cell>
          <cell r="B136" t="str">
            <v>AS17</v>
          </cell>
          <cell r="C136" t="str">
            <v>Own</v>
          </cell>
          <cell r="D136" t="str">
            <v>Jan</v>
          </cell>
          <cell r="F136">
            <v>0</v>
          </cell>
        </row>
        <row r="137">
          <cell r="A137" t="str">
            <v>Road</v>
          </cell>
          <cell r="B137" t="str">
            <v>AS17</v>
          </cell>
          <cell r="C137" t="str">
            <v>Outstide</v>
          </cell>
          <cell r="D137" t="str">
            <v>Jan</v>
          </cell>
          <cell r="F137">
            <v>17</v>
          </cell>
        </row>
        <row r="138">
          <cell r="A138" t="str">
            <v>Road</v>
          </cell>
          <cell r="B138" t="str">
            <v>AS17</v>
          </cell>
          <cell r="C138" t="str">
            <v>Salaries and Wages Payable</v>
          </cell>
          <cell r="D138" t="str">
            <v>Jan</v>
          </cell>
          <cell r="F138">
            <v>0</v>
          </cell>
        </row>
        <row r="139">
          <cell r="A139" t="str">
            <v>Road</v>
          </cell>
          <cell r="B139" t="str">
            <v>AS17</v>
          </cell>
          <cell r="C139" t="str">
            <v>Mobilisation Adv Outstanding</v>
          </cell>
          <cell r="D139" t="str">
            <v>Jan</v>
          </cell>
          <cell r="F139">
            <v>166.60000000000005</v>
          </cell>
        </row>
        <row r="140">
          <cell r="A140" t="str">
            <v>Road</v>
          </cell>
          <cell r="B140" t="str">
            <v>AS17</v>
          </cell>
          <cell r="C140" t="str">
            <v>Bank Loan outstanding</v>
          </cell>
          <cell r="D140" t="str">
            <v>Jan</v>
          </cell>
          <cell r="F140">
            <v>0</v>
          </cell>
        </row>
        <row r="141">
          <cell r="A141" t="str">
            <v>Road</v>
          </cell>
          <cell r="B141" t="str">
            <v>AS17</v>
          </cell>
          <cell r="C141" t="str">
            <v>HO funding</v>
          </cell>
          <cell r="D141" t="str">
            <v>Jan</v>
          </cell>
          <cell r="F141">
            <v>0</v>
          </cell>
        </row>
        <row r="142">
          <cell r="A142" t="str">
            <v>Road</v>
          </cell>
          <cell r="B142" t="str">
            <v>AS17</v>
          </cell>
          <cell r="C142" t="str">
            <v>Debtors</v>
          </cell>
          <cell r="D142" t="str">
            <v>Feb</v>
          </cell>
          <cell r="F142">
            <v>19.499339999999997</v>
          </cell>
        </row>
        <row r="143">
          <cell r="A143" t="str">
            <v>Road</v>
          </cell>
          <cell r="B143" t="str">
            <v>AS17</v>
          </cell>
          <cell r="C143" t="str">
            <v>Work In Progress (increase/decrease)</v>
          </cell>
          <cell r="D143" t="str">
            <v>Feb</v>
          </cell>
          <cell r="F143">
            <v>255</v>
          </cell>
        </row>
        <row r="144">
          <cell r="A144" t="str">
            <v>Road</v>
          </cell>
          <cell r="B144" t="str">
            <v>AS17</v>
          </cell>
          <cell r="C144" t="str">
            <v>Stock of Raw Materials</v>
          </cell>
          <cell r="D144" t="str">
            <v>Feb</v>
          </cell>
          <cell r="F144">
            <v>17</v>
          </cell>
        </row>
        <row r="145">
          <cell r="A145" t="str">
            <v>Road</v>
          </cell>
          <cell r="B145" t="str">
            <v>AS17</v>
          </cell>
          <cell r="C145" t="str">
            <v>Retention(incl TDS)</v>
          </cell>
          <cell r="D145" t="str">
            <v>Feb</v>
          </cell>
          <cell r="F145">
            <v>-201.54009999999991</v>
          </cell>
        </row>
        <row r="146">
          <cell r="A146" t="str">
            <v>Road</v>
          </cell>
          <cell r="B146" t="str">
            <v>AS17</v>
          </cell>
          <cell r="C146" t="str">
            <v>Projected Profit/Loss on YTD Sales</v>
          </cell>
          <cell r="D146" t="str">
            <v>Feb</v>
          </cell>
          <cell r="F146">
            <v>-59507.95</v>
          </cell>
        </row>
        <row r="147">
          <cell r="A147" t="str">
            <v>Road</v>
          </cell>
          <cell r="B147" t="str">
            <v>AS17</v>
          </cell>
          <cell r="C147" t="str">
            <v>Cash and Bank Balance</v>
          </cell>
          <cell r="D147" t="str">
            <v>Feb</v>
          </cell>
          <cell r="F147">
            <v>0</v>
          </cell>
        </row>
        <row r="148">
          <cell r="A148" t="str">
            <v>Road</v>
          </cell>
          <cell r="B148" t="str">
            <v>AS17</v>
          </cell>
          <cell r="C148" t="str">
            <v>Creditors-Suppliers-net of advance</v>
          </cell>
          <cell r="D148" t="str">
            <v>Feb</v>
          </cell>
          <cell r="F148">
            <v>12</v>
          </cell>
        </row>
        <row r="149">
          <cell r="A149" t="str">
            <v>Road</v>
          </cell>
          <cell r="B149" t="str">
            <v>AS17</v>
          </cell>
          <cell r="C149" t="str">
            <v>Sub-Contractors-net of advance</v>
          </cell>
          <cell r="D149" t="str">
            <v>Feb</v>
          </cell>
          <cell r="F149">
            <v>17</v>
          </cell>
        </row>
        <row r="150">
          <cell r="A150" t="str">
            <v>Road</v>
          </cell>
          <cell r="B150" t="str">
            <v>AS17</v>
          </cell>
          <cell r="C150" t="str">
            <v>Own</v>
          </cell>
          <cell r="D150" t="str">
            <v>Feb</v>
          </cell>
          <cell r="F150">
            <v>0</v>
          </cell>
        </row>
        <row r="151">
          <cell r="A151" t="str">
            <v>Road</v>
          </cell>
          <cell r="B151" t="str">
            <v>AS17</v>
          </cell>
          <cell r="C151" t="str">
            <v>Outstide</v>
          </cell>
          <cell r="D151" t="str">
            <v>Feb</v>
          </cell>
          <cell r="F151">
            <v>17</v>
          </cell>
        </row>
        <row r="152">
          <cell r="A152" t="str">
            <v>Road</v>
          </cell>
          <cell r="B152" t="str">
            <v>AS17</v>
          </cell>
          <cell r="C152" t="str">
            <v>Salaries and Wages Payable</v>
          </cell>
          <cell r="D152" t="str">
            <v>Feb</v>
          </cell>
          <cell r="F152">
            <v>0</v>
          </cell>
        </row>
        <row r="153">
          <cell r="A153" t="str">
            <v>Road</v>
          </cell>
          <cell r="B153" t="str">
            <v>AS17</v>
          </cell>
          <cell r="C153" t="str">
            <v>Mobilisation Adv Outstanding</v>
          </cell>
          <cell r="D153" t="str">
            <v>Feb</v>
          </cell>
          <cell r="F153">
            <v>178.50000000000006</v>
          </cell>
        </row>
        <row r="154">
          <cell r="A154" t="str">
            <v>Road</v>
          </cell>
          <cell r="B154" t="str">
            <v>AS17</v>
          </cell>
          <cell r="C154" t="str">
            <v>Bank Loan outstanding</v>
          </cell>
          <cell r="D154" t="str">
            <v>Feb</v>
          </cell>
          <cell r="F154">
            <v>0</v>
          </cell>
        </row>
        <row r="155">
          <cell r="A155" t="str">
            <v>Road</v>
          </cell>
          <cell r="B155" t="str">
            <v>AS17</v>
          </cell>
          <cell r="C155" t="str">
            <v>HO funding</v>
          </cell>
          <cell r="D155" t="str">
            <v>Feb</v>
          </cell>
          <cell r="F155">
            <v>0</v>
          </cell>
        </row>
        <row r="156">
          <cell r="A156" t="str">
            <v>Road</v>
          </cell>
          <cell r="B156" t="str">
            <v>AS17</v>
          </cell>
          <cell r="C156" t="str">
            <v>Debtors</v>
          </cell>
          <cell r="D156" t="str">
            <v>Mar</v>
          </cell>
          <cell r="F156">
            <v>19.499339999999997</v>
          </cell>
        </row>
        <row r="157">
          <cell r="A157" t="str">
            <v>Road</v>
          </cell>
          <cell r="B157" t="str">
            <v>AS17</v>
          </cell>
          <cell r="C157" t="str">
            <v>Work In Progress (increase/decrease)</v>
          </cell>
          <cell r="D157" t="str">
            <v>Mar</v>
          </cell>
          <cell r="F157">
            <v>272</v>
          </cell>
        </row>
        <row r="158">
          <cell r="A158" t="str">
            <v>Road</v>
          </cell>
          <cell r="B158" t="str">
            <v>AS17</v>
          </cell>
          <cell r="C158" t="str">
            <v>Stock of Raw Materials</v>
          </cell>
          <cell r="D158" t="str">
            <v>Mar</v>
          </cell>
          <cell r="F158">
            <v>0</v>
          </cell>
        </row>
        <row r="159">
          <cell r="A159" t="str">
            <v>Road</v>
          </cell>
          <cell r="B159" t="str">
            <v>AS17</v>
          </cell>
          <cell r="C159" t="str">
            <v>Retention(incl TDS)</v>
          </cell>
          <cell r="D159" t="str">
            <v>Mar</v>
          </cell>
          <cell r="F159">
            <v>-216.10943999999989</v>
          </cell>
        </row>
        <row r="160">
          <cell r="A160" t="str">
            <v>Road</v>
          </cell>
          <cell r="B160" t="str">
            <v>AS17</v>
          </cell>
          <cell r="C160" t="str">
            <v>Projected Profit/Loss on YTD Sales</v>
          </cell>
          <cell r="D160" t="str">
            <v>Mar</v>
          </cell>
          <cell r="F160">
            <v>-63461.67</v>
          </cell>
        </row>
        <row r="161">
          <cell r="A161" t="str">
            <v>Road</v>
          </cell>
          <cell r="B161" t="str">
            <v>AS17</v>
          </cell>
          <cell r="C161" t="str">
            <v>Cash and Bank Balance</v>
          </cell>
          <cell r="D161" t="str">
            <v>Mar</v>
          </cell>
          <cell r="F161">
            <v>0</v>
          </cell>
        </row>
        <row r="162">
          <cell r="A162" t="str">
            <v>Road</v>
          </cell>
          <cell r="B162" t="str">
            <v>AS17</v>
          </cell>
          <cell r="C162" t="str">
            <v>Creditors-Suppliers-net of advance</v>
          </cell>
          <cell r="D162" t="str">
            <v>Mar</v>
          </cell>
          <cell r="F162">
            <v>12</v>
          </cell>
        </row>
        <row r="163">
          <cell r="A163" t="str">
            <v>Road</v>
          </cell>
          <cell r="B163" t="str">
            <v>AS17</v>
          </cell>
          <cell r="C163" t="str">
            <v>Sub-Contractors-net of advance</v>
          </cell>
          <cell r="D163" t="str">
            <v>Mar</v>
          </cell>
          <cell r="F163">
            <v>17</v>
          </cell>
        </row>
        <row r="164">
          <cell r="A164" t="str">
            <v>Road</v>
          </cell>
          <cell r="B164" t="str">
            <v>AS17</v>
          </cell>
          <cell r="C164" t="str">
            <v>Own</v>
          </cell>
          <cell r="D164" t="str">
            <v>Mar</v>
          </cell>
          <cell r="F164">
            <v>0</v>
          </cell>
        </row>
        <row r="165">
          <cell r="A165" t="str">
            <v>Road</v>
          </cell>
          <cell r="B165" t="str">
            <v>AS17</v>
          </cell>
          <cell r="C165" t="str">
            <v>Outstide</v>
          </cell>
          <cell r="D165" t="str">
            <v>Mar</v>
          </cell>
          <cell r="F165">
            <v>17</v>
          </cell>
        </row>
        <row r="166">
          <cell r="A166" t="str">
            <v>Road</v>
          </cell>
          <cell r="B166" t="str">
            <v>AS17</v>
          </cell>
          <cell r="C166" t="str">
            <v>Salaries and Wages Payable</v>
          </cell>
          <cell r="D166" t="str">
            <v>Mar</v>
          </cell>
          <cell r="F166">
            <v>0</v>
          </cell>
        </row>
        <row r="167">
          <cell r="A167" t="str">
            <v>Road</v>
          </cell>
          <cell r="B167" t="str">
            <v>AS17</v>
          </cell>
          <cell r="C167" t="str">
            <v>Mobilisation Adv Outstanding</v>
          </cell>
          <cell r="D167" t="str">
            <v>Mar</v>
          </cell>
          <cell r="F167">
            <v>190.40000000000006</v>
          </cell>
        </row>
        <row r="168">
          <cell r="A168" t="str">
            <v>Road</v>
          </cell>
          <cell r="B168" t="str">
            <v>AS17</v>
          </cell>
          <cell r="C168" t="str">
            <v>Bank Loan outstanding</v>
          </cell>
          <cell r="D168" t="str">
            <v>Mar</v>
          </cell>
          <cell r="F168">
            <v>0</v>
          </cell>
        </row>
        <row r="169">
          <cell r="A169" t="str">
            <v>Road</v>
          </cell>
          <cell r="B169" t="str">
            <v>AS17</v>
          </cell>
          <cell r="C169" t="str">
            <v>HO funding</v>
          </cell>
          <cell r="D169" t="str">
            <v>Mar</v>
          </cell>
          <cell r="F169">
            <v>0</v>
          </cell>
        </row>
        <row r="170">
          <cell r="A170" t="str">
            <v>Road</v>
          </cell>
          <cell r="B170" t="str">
            <v>AS19</v>
          </cell>
          <cell r="C170" t="str">
            <v>Debtors</v>
          </cell>
          <cell r="D170" t="str">
            <v>Apr</v>
          </cell>
          <cell r="F170">
            <v>31.768379999999993</v>
          </cell>
        </row>
        <row r="171">
          <cell r="A171" t="str">
            <v>Road</v>
          </cell>
          <cell r="B171" t="str">
            <v>AS19</v>
          </cell>
          <cell r="C171" t="str">
            <v>Work In Progress (increase/decrease)</v>
          </cell>
          <cell r="D171" t="str">
            <v>Apr</v>
          </cell>
          <cell r="F171">
            <v>95</v>
          </cell>
        </row>
        <row r="172">
          <cell r="A172" t="str">
            <v>Road</v>
          </cell>
          <cell r="B172" t="str">
            <v>AS19</v>
          </cell>
          <cell r="C172" t="str">
            <v>Stock of Raw Materials</v>
          </cell>
          <cell r="D172" t="str">
            <v>Apr</v>
          </cell>
          <cell r="F172">
            <v>19</v>
          </cell>
        </row>
        <row r="173">
          <cell r="A173" t="str">
            <v>Road</v>
          </cell>
          <cell r="B173" t="str">
            <v>AS19</v>
          </cell>
          <cell r="C173" t="str">
            <v>Retention(incl TDS)</v>
          </cell>
          <cell r="D173" t="str">
            <v>Apr</v>
          </cell>
          <cell r="F173">
            <v>-58.520950000000006</v>
          </cell>
        </row>
        <row r="174">
          <cell r="A174" t="str">
            <v>Road</v>
          </cell>
          <cell r="B174" t="str">
            <v>AS19</v>
          </cell>
          <cell r="C174" t="str">
            <v>Projected Profit/Loss on YTD Sales</v>
          </cell>
          <cell r="D174" t="str">
            <v>Apr</v>
          </cell>
          <cell r="F174">
            <v>-22675.27</v>
          </cell>
        </row>
        <row r="175">
          <cell r="A175" t="str">
            <v>Road</v>
          </cell>
          <cell r="B175" t="str">
            <v>AS19</v>
          </cell>
          <cell r="C175" t="str">
            <v>Cash and Bank Balance</v>
          </cell>
          <cell r="D175" t="str">
            <v>Apr</v>
          </cell>
          <cell r="F175">
            <v>0</v>
          </cell>
        </row>
        <row r="176">
          <cell r="A176" t="str">
            <v>Road</v>
          </cell>
          <cell r="B176" t="str">
            <v>AS19</v>
          </cell>
          <cell r="C176" t="str">
            <v>Creditors-Suppliers-net of advance</v>
          </cell>
          <cell r="D176" t="str">
            <v>Apr</v>
          </cell>
          <cell r="F176">
            <v>15</v>
          </cell>
        </row>
        <row r="177">
          <cell r="A177" t="str">
            <v>Road</v>
          </cell>
          <cell r="B177" t="str">
            <v>AS19</v>
          </cell>
          <cell r="C177" t="str">
            <v>Sub-Contractors-net of advance</v>
          </cell>
          <cell r="D177" t="str">
            <v>Apr</v>
          </cell>
          <cell r="F177">
            <v>57</v>
          </cell>
        </row>
        <row r="178">
          <cell r="A178" t="str">
            <v>Road</v>
          </cell>
          <cell r="B178" t="str">
            <v>AS19</v>
          </cell>
          <cell r="C178" t="str">
            <v>Own</v>
          </cell>
          <cell r="D178" t="str">
            <v>Apr</v>
          </cell>
          <cell r="F178">
            <v>0</v>
          </cell>
        </row>
        <row r="179">
          <cell r="A179" t="str">
            <v>Road</v>
          </cell>
          <cell r="B179" t="str">
            <v>AS19</v>
          </cell>
          <cell r="C179" t="str">
            <v>Outstide</v>
          </cell>
          <cell r="D179" t="str">
            <v>Apr</v>
          </cell>
          <cell r="F179">
            <v>0</v>
          </cell>
        </row>
        <row r="180">
          <cell r="A180" t="str">
            <v>Road</v>
          </cell>
          <cell r="B180" t="str">
            <v>AS19</v>
          </cell>
          <cell r="C180" t="str">
            <v>Salaries and Wages Payable</v>
          </cell>
          <cell r="D180" t="str">
            <v>Apr</v>
          </cell>
          <cell r="F180">
            <v>0</v>
          </cell>
        </row>
        <row r="181">
          <cell r="A181" t="str">
            <v>Road</v>
          </cell>
          <cell r="B181" t="str">
            <v>AS19</v>
          </cell>
          <cell r="C181" t="str">
            <v>Mobilisation Adv Outstanding</v>
          </cell>
          <cell r="D181" t="str">
            <v>Apr</v>
          </cell>
          <cell r="F181">
            <v>66.499999999999986</v>
          </cell>
        </row>
        <row r="182">
          <cell r="A182" t="str">
            <v>Road</v>
          </cell>
          <cell r="B182" t="str">
            <v>AS19</v>
          </cell>
          <cell r="C182" t="str">
            <v>Bank Loan outstanding</v>
          </cell>
          <cell r="D182" t="str">
            <v>Apr</v>
          </cell>
          <cell r="F182">
            <v>0</v>
          </cell>
        </row>
        <row r="183">
          <cell r="A183" t="str">
            <v>Road</v>
          </cell>
          <cell r="B183" t="str">
            <v>AS19</v>
          </cell>
          <cell r="C183" t="str">
            <v>HO funding</v>
          </cell>
          <cell r="D183" t="str">
            <v>Apr</v>
          </cell>
          <cell r="F183">
            <v>0</v>
          </cell>
        </row>
        <row r="184">
          <cell r="A184" t="str">
            <v>Road</v>
          </cell>
          <cell r="B184" t="str">
            <v>AS19</v>
          </cell>
          <cell r="C184" t="str">
            <v>Debtors</v>
          </cell>
          <cell r="D184" t="str">
            <v>May</v>
          </cell>
          <cell r="F184">
            <v>19.499339999999997</v>
          </cell>
        </row>
        <row r="185">
          <cell r="A185" t="str">
            <v>Road</v>
          </cell>
          <cell r="B185" t="str">
            <v>AS19</v>
          </cell>
          <cell r="C185" t="str">
            <v>Work In Progress (increase/decrease)</v>
          </cell>
          <cell r="D185" t="str">
            <v>May</v>
          </cell>
          <cell r="F185">
            <v>102</v>
          </cell>
        </row>
        <row r="186">
          <cell r="A186" t="str">
            <v>Road</v>
          </cell>
          <cell r="B186" t="str">
            <v>AS19</v>
          </cell>
          <cell r="C186" t="str">
            <v>Stock of Raw Materials</v>
          </cell>
          <cell r="D186" t="str">
            <v>May</v>
          </cell>
          <cell r="F186">
            <v>17</v>
          </cell>
        </row>
        <row r="187">
          <cell r="A187" t="str">
            <v>Road</v>
          </cell>
          <cell r="B187" t="str">
            <v>AS19</v>
          </cell>
          <cell r="C187" t="str">
            <v>Retention(incl TDS)</v>
          </cell>
          <cell r="D187" t="str">
            <v>May</v>
          </cell>
          <cell r="F187">
            <v>-70.41604000000001</v>
          </cell>
        </row>
        <row r="188">
          <cell r="A188" t="str">
            <v>Road</v>
          </cell>
          <cell r="B188" t="str">
            <v>AS19</v>
          </cell>
          <cell r="C188" t="str">
            <v>Projected Profit/Loss on YTD Sales</v>
          </cell>
          <cell r="D188" t="str">
            <v>May</v>
          </cell>
          <cell r="F188">
            <v>-24003.54</v>
          </cell>
        </row>
        <row r="189">
          <cell r="A189" t="str">
            <v>Road</v>
          </cell>
          <cell r="B189" t="str">
            <v>AS19</v>
          </cell>
          <cell r="C189" t="str">
            <v>Cash and Bank Balance</v>
          </cell>
          <cell r="D189" t="str">
            <v>May</v>
          </cell>
          <cell r="F189">
            <v>0</v>
          </cell>
        </row>
        <row r="190">
          <cell r="A190" t="str">
            <v>Road</v>
          </cell>
          <cell r="B190" t="str">
            <v>AS19</v>
          </cell>
          <cell r="C190" t="str">
            <v>Creditors-Suppliers-net of advance</v>
          </cell>
          <cell r="D190" t="str">
            <v>May</v>
          </cell>
          <cell r="F190">
            <v>12</v>
          </cell>
        </row>
        <row r="191">
          <cell r="A191" t="str">
            <v>Road</v>
          </cell>
          <cell r="B191" t="str">
            <v>AS19</v>
          </cell>
          <cell r="C191" t="str">
            <v>Sub-Contractors-net of advance</v>
          </cell>
          <cell r="D191" t="str">
            <v>May</v>
          </cell>
          <cell r="F191">
            <v>17</v>
          </cell>
        </row>
        <row r="192">
          <cell r="A192" t="str">
            <v>Road</v>
          </cell>
          <cell r="B192" t="str">
            <v>AS19</v>
          </cell>
          <cell r="C192" t="str">
            <v>Own</v>
          </cell>
          <cell r="D192" t="str">
            <v>May</v>
          </cell>
          <cell r="F192">
            <v>0</v>
          </cell>
        </row>
        <row r="193">
          <cell r="A193" t="str">
            <v>Road</v>
          </cell>
          <cell r="B193" t="str">
            <v>AS19</v>
          </cell>
          <cell r="C193" t="str">
            <v>Outstide</v>
          </cell>
          <cell r="D193" t="str">
            <v>May</v>
          </cell>
          <cell r="F193">
            <v>17</v>
          </cell>
        </row>
        <row r="194">
          <cell r="A194" t="str">
            <v>Road</v>
          </cell>
          <cell r="B194" t="str">
            <v>AS19</v>
          </cell>
          <cell r="C194" t="str">
            <v>Salaries and Wages Payable</v>
          </cell>
          <cell r="D194" t="str">
            <v>May</v>
          </cell>
          <cell r="F194">
            <v>0</v>
          </cell>
        </row>
        <row r="195">
          <cell r="A195" t="str">
            <v>Road</v>
          </cell>
          <cell r="B195" t="str">
            <v>AS19</v>
          </cell>
          <cell r="C195" t="str">
            <v>Mobilisation Adv Outstanding</v>
          </cell>
          <cell r="D195" t="str">
            <v>May</v>
          </cell>
          <cell r="F195">
            <v>71.400000000000006</v>
          </cell>
        </row>
        <row r="196">
          <cell r="A196" t="str">
            <v>Road</v>
          </cell>
          <cell r="B196" t="str">
            <v>AS19</v>
          </cell>
          <cell r="C196" t="str">
            <v>Bank Loan outstanding</v>
          </cell>
          <cell r="D196" t="str">
            <v>May</v>
          </cell>
          <cell r="F196">
            <v>0</v>
          </cell>
        </row>
        <row r="197">
          <cell r="A197" t="str">
            <v>Road</v>
          </cell>
          <cell r="B197" t="str">
            <v>AS19</v>
          </cell>
          <cell r="C197" t="str">
            <v>HO funding</v>
          </cell>
          <cell r="D197" t="str">
            <v>May</v>
          </cell>
          <cell r="F197">
            <v>0</v>
          </cell>
        </row>
        <row r="198">
          <cell r="A198" t="str">
            <v>Road</v>
          </cell>
          <cell r="B198" t="str">
            <v>AS19</v>
          </cell>
          <cell r="C198" t="str">
            <v>Debtors</v>
          </cell>
          <cell r="D198" t="str">
            <v>June</v>
          </cell>
          <cell r="F198">
            <v>31.768379999999993</v>
          </cell>
        </row>
        <row r="199">
          <cell r="A199" t="str">
            <v>Road</v>
          </cell>
          <cell r="B199" t="str">
            <v>AS19</v>
          </cell>
          <cell r="C199" t="str">
            <v>Work In Progress (increase/decrease)</v>
          </cell>
          <cell r="D199" t="str">
            <v>June</v>
          </cell>
          <cell r="F199">
            <v>133</v>
          </cell>
        </row>
        <row r="200">
          <cell r="A200" t="str">
            <v>Road</v>
          </cell>
          <cell r="B200" t="str">
            <v>AS19</v>
          </cell>
          <cell r="C200" t="str">
            <v>Stock of Raw Materials</v>
          </cell>
          <cell r="D200" t="str">
            <v>June</v>
          </cell>
          <cell r="F200">
            <v>19</v>
          </cell>
        </row>
        <row r="201">
          <cell r="A201" t="str">
            <v>Road</v>
          </cell>
          <cell r="B201" t="str">
            <v>AS19</v>
          </cell>
          <cell r="C201" t="str">
            <v>Retention(incl TDS)</v>
          </cell>
          <cell r="D201" t="str">
            <v>June</v>
          </cell>
          <cell r="F201">
            <v>-89.529330000000016</v>
          </cell>
        </row>
        <row r="202">
          <cell r="A202" t="str">
            <v>Road</v>
          </cell>
          <cell r="B202" t="str">
            <v>AS19</v>
          </cell>
          <cell r="C202" t="str">
            <v>Projected Profit/Loss on YTD Sales</v>
          </cell>
          <cell r="D202" t="str">
            <v>June</v>
          </cell>
          <cell r="F202">
            <v>-31665.69</v>
          </cell>
        </row>
        <row r="203">
          <cell r="A203" t="str">
            <v>Road</v>
          </cell>
          <cell r="B203" t="str">
            <v>AS19</v>
          </cell>
          <cell r="C203" t="str">
            <v>Cash and Bank Balance</v>
          </cell>
          <cell r="D203" t="str">
            <v>June</v>
          </cell>
          <cell r="F203">
            <v>0</v>
          </cell>
        </row>
        <row r="204">
          <cell r="A204" t="str">
            <v>Road</v>
          </cell>
          <cell r="B204" t="str">
            <v>AS19</v>
          </cell>
          <cell r="C204" t="str">
            <v>Creditors-Suppliers-net of advance</v>
          </cell>
          <cell r="D204" t="str">
            <v>June</v>
          </cell>
          <cell r="F204">
            <v>15</v>
          </cell>
        </row>
        <row r="205">
          <cell r="A205" t="str">
            <v>Road</v>
          </cell>
          <cell r="B205" t="str">
            <v>AS19</v>
          </cell>
          <cell r="C205" t="str">
            <v>Sub-Contractors-net of advance</v>
          </cell>
          <cell r="D205" t="str">
            <v>June</v>
          </cell>
          <cell r="F205">
            <v>57</v>
          </cell>
        </row>
        <row r="206">
          <cell r="A206" t="str">
            <v>Road</v>
          </cell>
          <cell r="B206" t="str">
            <v>AS19</v>
          </cell>
          <cell r="C206" t="str">
            <v>Own</v>
          </cell>
          <cell r="D206" t="str">
            <v>June</v>
          </cell>
          <cell r="F206">
            <v>0</v>
          </cell>
        </row>
        <row r="207">
          <cell r="A207" t="str">
            <v>Road</v>
          </cell>
          <cell r="B207" t="str">
            <v>AS19</v>
          </cell>
          <cell r="C207" t="str">
            <v>Outstide</v>
          </cell>
          <cell r="D207" t="str">
            <v>June</v>
          </cell>
          <cell r="F207">
            <v>0</v>
          </cell>
        </row>
        <row r="208">
          <cell r="A208" t="str">
            <v>Road</v>
          </cell>
          <cell r="B208" t="str">
            <v>AS19</v>
          </cell>
          <cell r="C208" t="str">
            <v>Salaries and Wages Payable</v>
          </cell>
          <cell r="D208" t="str">
            <v>June</v>
          </cell>
          <cell r="F208">
            <v>0</v>
          </cell>
        </row>
        <row r="209">
          <cell r="A209" t="str">
            <v>Road</v>
          </cell>
          <cell r="B209" t="str">
            <v>AS19</v>
          </cell>
          <cell r="C209" t="str">
            <v>Mobilisation Adv Outstanding</v>
          </cell>
          <cell r="D209" t="str">
            <v>June</v>
          </cell>
          <cell r="F209">
            <v>93.09999999999998</v>
          </cell>
        </row>
        <row r="210">
          <cell r="A210" t="str">
            <v>Road</v>
          </cell>
          <cell r="B210" t="str">
            <v>AS19</v>
          </cell>
          <cell r="C210" t="str">
            <v>Bank Loan outstanding</v>
          </cell>
          <cell r="D210" t="str">
            <v>June</v>
          </cell>
          <cell r="F210">
            <v>0</v>
          </cell>
        </row>
        <row r="211">
          <cell r="A211" t="str">
            <v>Road</v>
          </cell>
          <cell r="B211" t="str">
            <v>AS19</v>
          </cell>
          <cell r="C211" t="str">
            <v>HO funding</v>
          </cell>
          <cell r="D211" t="str">
            <v>June</v>
          </cell>
          <cell r="F211">
            <v>0</v>
          </cell>
        </row>
        <row r="212">
          <cell r="A212" t="str">
            <v>Road</v>
          </cell>
          <cell r="B212" t="str">
            <v>AS19</v>
          </cell>
          <cell r="C212" t="str">
            <v>Debtors</v>
          </cell>
          <cell r="D212" t="str">
            <v>July</v>
          </cell>
          <cell r="F212">
            <v>31.768379999999993</v>
          </cell>
        </row>
        <row r="213">
          <cell r="A213" t="str">
            <v>Road</v>
          </cell>
          <cell r="B213" t="str">
            <v>AS19</v>
          </cell>
          <cell r="C213" t="str">
            <v>Work In Progress (increase/decrease)</v>
          </cell>
          <cell r="D213" t="str">
            <v>July</v>
          </cell>
          <cell r="F213">
            <v>152</v>
          </cell>
        </row>
        <row r="214">
          <cell r="A214" t="str">
            <v>Road</v>
          </cell>
          <cell r="B214" t="str">
            <v>AS19</v>
          </cell>
          <cell r="C214" t="str">
            <v>Stock of Raw Materials</v>
          </cell>
          <cell r="D214" t="str">
            <v>July</v>
          </cell>
          <cell r="F214">
            <v>19</v>
          </cell>
        </row>
        <row r="215">
          <cell r="A215" t="str">
            <v>Road</v>
          </cell>
          <cell r="B215" t="str">
            <v>AS19</v>
          </cell>
          <cell r="C215" t="str">
            <v>Retention(incl TDS)</v>
          </cell>
          <cell r="D215" t="str">
            <v>July</v>
          </cell>
          <cell r="F215">
            <v>-105.03352000000002</v>
          </cell>
        </row>
        <row r="216">
          <cell r="A216" t="str">
            <v>Road</v>
          </cell>
          <cell r="B216" t="str">
            <v>AS19</v>
          </cell>
          <cell r="C216" t="str">
            <v>Projected Profit/Loss on YTD Sales</v>
          </cell>
          <cell r="D216" t="str">
            <v>July</v>
          </cell>
          <cell r="F216">
            <v>-36163.839999999997</v>
          </cell>
        </row>
        <row r="217">
          <cell r="A217" t="str">
            <v>Road</v>
          </cell>
          <cell r="B217" t="str">
            <v>AS19</v>
          </cell>
          <cell r="C217" t="str">
            <v>Cash and Bank Balance</v>
          </cell>
          <cell r="D217" t="str">
            <v>July</v>
          </cell>
          <cell r="F217">
            <v>0</v>
          </cell>
        </row>
        <row r="218">
          <cell r="A218" t="str">
            <v>Road</v>
          </cell>
          <cell r="B218" t="str">
            <v>AS19</v>
          </cell>
          <cell r="C218" t="str">
            <v>Creditors-Suppliers-net of advance</v>
          </cell>
          <cell r="D218" t="str">
            <v>July</v>
          </cell>
          <cell r="F218">
            <v>15</v>
          </cell>
        </row>
        <row r="219">
          <cell r="A219" t="str">
            <v>Road</v>
          </cell>
          <cell r="B219" t="str">
            <v>AS19</v>
          </cell>
          <cell r="C219" t="str">
            <v>Sub-Contractors-net of advance</v>
          </cell>
          <cell r="D219" t="str">
            <v>July</v>
          </cell>
          <cell r="F219">
            <v>57</v>
          </cell>
        </row>
        <row r="220">
          <cell r="A220" t="str">
            <v>Road</v>
          </cell>
          <cell r="B220" t="str">
            <v>AS19</v>
          </cell>
          <cell r="C220" t="str">
            <v>Own</v>
          </cell>
          <cell r="D220" t="str">
            <v>July</v>
          </cell>
          <cell r="F220">
            <v>0</v>
          </cell>
        </row>
        <row r="221">
          <cell r="A221" t="str">
            <v>Road</v>
          </cell>
          <cell r="B221" t="str">
            <v>AS19</v>
          </cell>
          <cell r="C221" t="str">
            <v>Outstide</v>
          </cell>
          <cell r="D221" t="str">
            <v>July</v>
          </cell>
          <cell r="F221">
            <v>0</v>
          </cell>
        </row>
        <row r="222">
          <cell r="A222" t="str">
            <v>Road</v>
          </cell>
          <cell r="B222" t="str">
            <v>AS19</v>
          </cell>
          <cell r="C222" t="str">
            <v>Salaries and Wages Payable</v>
          </cell>
          <cell r="D222" t="str">
            <v>July</v>
          </cell>
          <cell r="F222">
            <v>0</v>
          </cell>
        </row>
        <row r="223">
          <cell r="A223" t="str">
            <v>Road</v>
          </cell>
          <cell r="B223" t="str">
            <v>AS19</v>
          </cell>
          <cell r="C223" t="str">
            <v>Mobilisation Adv Outstanding</v>
          </cell>
          <cell r="D223" t="str">
            <v>July</v>
          </cell>
          <cell r="F223">
            <v>106.39999999999998</v>
          </cell>
        </row>
        <row r="224">
          <cell r="A224" t="str">
            <v>Road</v>
          </cell>
          <cell r="B224" t="str">
            <v>AS19</v>
          </cell>
          <cell r="C224" t="str">
            <v>Bank Loan outstanding</v>
          </cell>
          <cell r="D224" t="str">
            <v>July</v>
          </cell>
          <cell r="F224">
            <v>0</v>
          </cell>
        </row>
        <row r="225">
          <cell r="A225" t="str">
            <v>Road</v>
          </cell>
          <cell r="B225" t="str">
            <v>AS19</v>
          </cell>
          <cell r="C225" t="str">
            <v>HO funding</v>
          </cell>
          <cell r="D225" t="str">
            <v>July</v>
          </cell>
          <cell r="F225">
            <v>0</v>
          </cell>
        </row>
        <row r="226">
          <cell r="A226" t="str">
            <v>Road</v>
          </cell>
          <cell r="B226" t="str">
            <v>AS19</v>
          </cell>
          <cell r="C226" t="str">
            <v>Debtors</v>
          </cell>
          <cell r="D226" t="str">
            <v>Aug</v>
          </cell>
          <cell r="F226">
            <v>31.768379999999993</v>
          </cell>
        </row>
        <row r="227">
          <cell r="A227" t="str">
            <v>Road</v>
          </cell>
          <cell r="B227" t="str">
            <v>AS19</v>
          </cell>
          <cell r="C227" t="str">
            <v>Work In Progress (increase/decrease)</v>
          </cell>
          <cell r="D227" t="str">
            <v>Aug</v>
          </cell>
          <cell r="F227">
            <v>171</v>
          </cell>
        </row>
        <row r="228">
          <cell r="A228" t="str">
            <v>Road</v>
          </cell>
          <cell r="B228" t="str">
            <v>AS19</v>
          </cell>
          <cell r="C228" t="str">
            <v>Stock of Raw Materials</v>
          </cell>
          <cell r="D228" t="str">
            <v>Aug</v>
          </cell>
          <cell r="F228">
            <v>19</v>
          </cell>
        </row>
        <row r="229">
          <cell r="A229" t="str">
            <v>Road</v>
          </cell>
          <cell r="B229" t="str">
            <v>AS19</v>
          </cell>
          <cell r="C229" t="str">
            <v>Retention(incl TDS)</v>
          </cell>
          <cell r="D229" t="str">
            <v>Aug</v>
          </cell>
          <cell r="F229">
            <v>-120.53771000000003</v>
          </cell>
        </row>
        <row r="230">
          <cell r="A230" t="str">
            <v>Road</v>
          </cell>
          <cell r="B230" t="str">
            <v>AS19</v>
          </cell>
          <cell r="C230" t="str">
            <v>Projected Profit/Loss on YTD Sales</v>
          </cell>
          <cell r="D230" t="str">
            <v>Aug</v>
          </cell>
          <cell r="F230">
            <v>-40663.96</v>
          </cell>
        </row>
        <row r="231">
          <cell r="A231" t="str">
            <v>Road</v>
          </cell>
          <cell r="B231" t="str">
            <v>AS19</v>
          </cell>
          <cell r="C231" t="str">
            <v>Cash and Bank Balance</v>
          </cell>
          <cell r="D231" t="str">
            <v>Aug</v>
          </cell>
          <cell r="F231">
            <v>0</v>
          </cell>
        </row>
        <row r="232">
          <cell r="A232" t="str">
            <v>Road</v>
          </cell>
          <cell r="B232" t="str">
            <v>AS19</v>
          </cell>
          <cell r="C232" t="str">
            <v>Creditors-Suppliers-net of advance</v>
          </cell>
          <cell r="D232" t="str">
            <v>Aug</v>
          </cell>
          <cell r="F232">
            <v>15</v>
          </cell>
        </row>
        <row r="233">
          <cell r="A233" t="str">
            <v>Road</v>
          </cell>
          <cell r="B233" t="str">
            <v>AS19</v>
          </cell>
          <cell r="C233" t="str">
            <v>Sub-Contractors-net of advance</v>
          </cell>
          <cell r="D233" t="str">
            <v>Aug</v>
          </cell>
          <cell r="F233">
            <v>57</v>
          </cell>
        </row>
        <row r="234">
          <cell r="A234" t="str">
            <v>Road</v>
          </cell>
          <cell r="B234" t="str">
            <v>AS19</v>
          </cell>
          <cell r="C234" t="str">
            <v>Own</v>
          </cell>
          <cell r="D234" t="str">
            <v>Aug</v>
          </cell>
          <cell r="F234">
            <v>0</v>
          </cell>
        </row>
        <row r="235">
          <cell r="A235" t="str">
            <v>Road</v>
          </cell>
          <cell r="B235" t="str">
            <v>AS19</v>
          </cell>
          <cell r="C235" t="str">
            <v>Outstide</v>
          </cell>
          <cell r="D235" t="str">
            <v>Aug</v>
          </cell>
          <cell r="F235">
            <v>0</v>
          </cell>
        </row>
        <row r="236">
          <cell r="A236" t="str">
            <v>Road</v>
          </cell>
          <cell r="B236" t="str">
            <v>AS19</v>
          </cell>
          <cell r="C236" t="str">
            <v>Salaries and Wages Payable</v>
          </cell>
          <cell r="D236" t="str">
            <v>Aug</v>
          </cell>
          <cell r="F236">
            <v>0</v>
          </cell>
        </row>
        <row r="237">
          <cell r="A237" t="str">
            <v>Road</v>
          </cell>
          <cell r="B237" t="str">
            <v>AS19</v>
          </cell>
          <cell r="C237" t="str">
            <v>Mobilisation Adv Outstanding</v>
          </cell>
          <cell r="D237" t="str">
            <v>Aug</v>
          </cell>
          <cell r="F237">
            <v>119.69999999999997</v>
          </cell>
        </row>
        <row r="238">
          <cell r="A238" t="str">
            <v>Road</v>
          </cell>
          <cell r="B238" t="str">
            <v>AS19</v>
          </cell>
          <cell r="C238" t="str">
            <v>Bank Loan outstanding</v>
          </cell>
          <cell r="D238" t="str">
            <v>Aug</v>
          </cell>
          <cell r="F238">
            <v>0</v>
          </cell>
        </row>
        <row r="239">
          <cell r="A239" t="str">
            <v>Road</v>
          </cell>
          <cell r="B239" t="str">
            <v>AS19</v>
          </cell>
          <cell r="C239" t="str">
            <v>HO funding</v>
          </cell>
          <cell r="D239" t="str">
            <v>Aug</v>
          </cell>
          <cell r="F239">
            <v>0</v>
          </cell>
        </row>
        <row r="240">
          <cell r="A240" t="str">
            <v>Road</v>
          </cell>
          <cell r="B240" t="str">
            <v>AS19</v>
          </cell>
          <cell r="C240" t="str">
            <v>Debtors</v>
          </cell>
          <cell r="D240" t="str">
            <v>Sep</v>
          </cell>
          <cell r="F240">
            <v>31.768379999999993</v>
          </cell>
        </row>
        <row r="241">
          <cell r="A241" t="str">
            <v>Road</v>
          </cell>
          <cell r="B241" t="str">
            <v>AS19</v>
          </cell>
          <cell r="C241" t="str">
            <v>Work In Progress (increase/decrease)</v>
          </cell>
          <cell r="D241" t="str">
            <v>Sep</v>
          </cell>
          <cell r="F241">
            <v>190</v>
          </cell>
        </row>
        <row r="242">
          <cell r="A242" t="str">
            <v>Road</v>
          </cell>
          <cell r="B242" t="str">
            <v>AS19</v>
          </cell>
          <cell r="C242" t="str">
            <v>Stock of Raw Materials</v>
          </cell>
          <cell r="D242" t="str">
            <v>Sep</v>
          </cell>
          <cell r="F242">
            <v>19</v>
          </cell>
        </row>
        <row r="243">
          <cell r="A243" t="str">
            <v>Road</v>
          </cell>
          <cell r="B243" t="str">
            <v>AS19</v>
          </cell>
          <cell r="C243" t="str">
            <v>Retention(incl TDS)</v>
          </cell>
          <cell r="D243" t="str">
            <v>Sep</v>
          </cell>
          <cell r="F243">
            <v>-136.04190000000003</v>
          </cell>
        </row>
        <row r="244">
          <cell r="A244" t="str">
            <v>Road</v>
          </cell>
          <cell r="B244" t="str">
            <v>AS19</v>
          </cell>
          <cell r="C244" t="str">
            <v>Projected Profit/Loss on YTD Sales</v>
          </cell>
          <cell r="D244" t="str">
            <v>Sep</v>
          </cell>
          <cell r="F244">
            <v>-45166.04</v>
          </cell>
        </row>
        <row r="245">
          <cell r="A245" t="str">
            <v>Road</v>
          </cell>
          <cell r="B245" t="str">
            <v>AS19</v>
          </cell>
          <cell r="C245" t="str">
            <v>Cash and Bank Balance</v>
          </cell>
          <cell r="D245" t="str">
            <v>Sep</v>
          </cell>
          <cell r="F245">
            <v>0</v>
          </cell>
        </row>
        <row r="246">
          <cell r="A246" t="str">
            <v>Road</v>
          </cell>
          <cell r="B246" t="str">
            <v>AS19</v>
          </cell>
          <cell r="C246" t="str">
            <v>Creditors-Suppliers-net of advance</v>
          </cell>
          <cell r="D246" t="str">
            <v>Sep</v>
          </cell>
          <cell r="F246">
            <v>15</v>
          </cell>
        </row>
        <row r="247">
          <cell r="A247" t="str">
            <v>Road</v>
          </cell>
          <cell r="B247" t="str">
            <v>AS19</v>
          </cell>
          <cell r="C247" t="str">
            <v>Sub-Contractors-net of advance</v>
          </cell>
          <cell r="D247" t="str">
            <v>Sep</v>
          </cell>
          <cell r="F247">
            <v>57</v>
          </cell>
        </row>
        <row r="248">
          <cell r="A248" t="str">
            <v>Road</v>
          </cell>
          <cell r="B248" t="str">
            <v>AS19</v>
          </cell>
          <cell r="C248" t="str">
            <v>Own</v>
          </cell>
          <cell r="D248" t="str">
            <v>Sep</v>
          </cell>
          <cell r="F248">
            <v>0</v>
          </cell>
        </row>
        <row r="249">
          <cell r="A249" t="str">
            <v>Road</v>
          </cell>
          <cell r="B249" t="str">
            <v>AS19</v>
          </cell>
          <cell r="C249" t="str">
            <v>Outstide</v>
          </cell>
          <cell r="D249" t="str">
            <v>Sep</v>
          </cell>
          <cell r="F249">
            <v>0</v>
          </cell>
        </row>
        <row r="250">
          <cell r="A250" t="str">
            <v>Road</v>
          </cell>
          <cell r="B250" t="str">
            <v>AS19</v>
          </cell>
          <cell r="C250" t="str">
            <v>Salaries and Wages Payable</v>
          </cell>
          <cell r="D250" t="str">
            <v>Sep</v>
          </cell>
          <cell r="F250">
            <v>0</v>
          </cell>
        </row>
        <row r="251">
          <cell r="A251" t="str">
            <v>Road</v>
          </cell>
          <cell r="B251" t="str">
            <v>AS19</v>
          </cell>
          <cell r="C251" t="str">
            <v>Mobilisation Adv Outstanding</v>
          </cell>
          <cell r="D251" t="str">
            <v>Sep</v>
          </cell>
          <cell r="F251">
            <v>133</v>
          </cell>
        </row>
        <row r="252">
          <cell r="A252" t="str">
            <v>Road</v>
          </cell>
          <cell r="B252" t="str">
            <v>AS19</v>
          </cell>
          <cell r="C252" t="str">
            <v>Bank Loan outstanding</v>
          </cell>
          <cell r="D252" t="str">
            <v>Sep</v>
          </cell>
          <cell r="F252">
            <v>0</v>
          </cell>
        </row>
        <row r="253">
          <cell r="A253" t="str">
            <v>Road</v>
          </cell>
          <cell r="B253" t="str">
            <v>AS19</v>
          </cell>
          <cell r="C253" t="str">
            <v>HO funding</v>
          </cell>
          <cell r="D253" t="str">
            <v>Sep</v>
          </cell>
          <cell r="F253">
            <v>0</v>
          </cell>
        </row>
        <row r="254">
          <cell r="A254" t="str">
            <v>Road</v>
          </cell>
          <cell r="B254" t="str">
            <v>AS19</v>
          </cell>
          <cell r="C254" t="str">
            <v>Debtors</v>
          </cell>
          <cell r="D254" t="str">
            <v>Oct</v>
          </cell>
          <cell r="F254">
            <v>31.768379999999993</v>
          </cell>
        </row>
        <row r="255">
          <cell r="A255" t="str">
            <v>Road</v>
          </cell>
          <cell r="B255" t="str">
            <v>AS19</v>
          </cell>
          <cell r="C255" t="str">
            <v>Work In Progress (increase/decrease)</v>
          </cell>
          <cell r="D255" t="str">
            <v>Oct</v>
          </cell>
          <cell r="F255">
            <v>209</v>
          </cell>
        </row>
        <row r="256">
          <cell r="A256" t="str">
            <v>Road</v>
          </cell>
          <cell r="B256" t="str">
            <v>AS19</v>
          </cell>
          <cell r="C256" t="str">
            <v>Stock of Raw Materials</v>
          </cell>
          <cell r="D256" t="str">
            <v>Oct</v>
          </cell>
          <cell r="F256">
            <v>19</v>
          </cell>
        </row>
        <row r="257">
          <cell r="A257" t="str">
            <v>Road</v>
          </cell>
          <cell r="B257" t="str">
            <v>AS19</v>
          </cell>
          <cell r="C257" t="str">
            <v>Retention(incl TDS)</v>
          </cell>
          <cell r="D257" t="str">
            <v>Oct</v>
          </cell>
          <cell r="F257">
            <v>-151.54609000000002</v>
          </cell>
        </row>
        <row r="258">
          <cell r="A258" t="str">
            <v>Road</v>
          </cell>
          <cell r="B258" t="str">
            <v>AS19</v>
          </cell>
          <cell r="C258" t="str">
            <v>Projected Profit/Loss on YTD Sales</v>
          </cell>
          <cell r="D258" t="str">
            <v>Oct</v>
          </cell>
          <cell r="F258">
            <v>-49670.090000000004</v>
          </cell>
        </row>
        <row r="259">
          <cell r="A259" t="str">
            <v>Road</v>
          </cell>
          <cell r="B259" t="str">
            <v>AS19</v>
          </cell>
          <cell r="C259" t="str">
            <v>Cash and Bank Balance</v>
          </cell>
          <cell r="D259" t="str">
            <v>Oct</v>
          </cell>
          <cell r="F259">
            <v>0</v>
          </cell>
        </row>
        <row r="260">
          <cell r="A260" t="str">
            <v>Road</v>
          </cell>
          <cell r="B260" t="str">
            <v>AS19</v>
          </cell>
          <cell r="C260" t="str">
            <v>Creditors-Suppliers-net of advance</v>
          </cell>
          <cell r="D260" t="str">
            <v>Oct</v>
          </cell>
          <cell r="F260">
            <v>15</v>
          </cell>
        </row>
        <row r="261">
          <cell r="A261" t="str">
            <v>Road</v>
          </cell>
          <cell r="B261" t="str">
            <v>AS19</v>
          </cell>
          <cell r="C261" t="str">
            <v>Sub-Contractors-net of advance</v>
          </cell>
          <cell r="D261" t="str">
            <v>Oct</v>
          </cell>
          <cell r="F261">
            <v>57</v>
          </cell>
        </row>
        <row r="262">
          <cell r="A262" t="str">
            <v>Road</v>
          </cell>
          <cell r="B262" t="str">
            <v>AS19</v>
          </cell>
          <cell r="C262" t="str">
            <v>Own</v>
          </cell>
          <cell r="D262" t="str">
            <v>Oct</v>
          </cell>
          <cell r="F262">
            <v>0</v>
          </cell>
        </row>
        <row r="263">
          <cell r="A263" t="str">
            <v>Road</v>
          </cell>
          <cell r="B263" t="str">
            <v>AS19</v>
          </cell>
          <cell r="C263" t="str">
            <v>Outstide</v>
          </cell>
          <cell r="D263" t="str">
            <v>Oct</v>
          </cell>
          <cell r="F263">
            <v>0</v>
          </cell>
        </row>
        <row r="264">
          <cell r="A264" t="str">
            <v>Road</v>
          </cell>
          <cell r="B264" t="str">
            <v>AS19</v>
          </cell>
          <cell r="C264" t="str">
            <v>Salaries and Wages Payable</v>
          </cell>
          <cell r="D264" t="str">
            <v>Oct</v>
          </cell>
          <cell r="F264">
            <v>0</v>
          </cell>
        </row>
        <row r="265">
          <cell r="A265" t="str">
            <v>Road</v>
          </cell>
          <cell r="B265" t="str">
            <v>AS19</v>
          </cell>
          <cell r="C265" t="str">
            <v>Mobilisation Adv Outstanding</v>
          </cell>
          <cell r="D265" t="str">
            <v>Oct</v>
          </cell>
          <cell r="F265">
            <v>146.30000000000001</v>
          </cell>
        </row>
        <row r="266">
          <cell r="A266" t="str">
            <v>Road</v>
          </cell>
          <cell r="B266" t="str">
            <v>AS19</v>
          </cell>
          <cell r="C266" t="str">
            <v>Bank Loan outstanding</v>
          </cell>
          <cell r="D266" t="str">
            <v>Oct</v>
          </cell>
          <cell r="F266">
            <v>0</v>
          </cell>
        </row>
        <row r="267">
          <cell r="A267" t="str">
            <v>Road</v>
          </cell>
          <cell r="B267" t="str">
            <v>AS19</v>
          </cell>
          <cell r="C267" t="str">
            <v>HO funding</v>
          </cell>
          <cell r="D267" t="str">
            <v>Oct</v>
          </cell>
          <cell r="F267">
            <v>0</v>
          </cell>
        </row>
        <row r="268">
          <cell r="A268" t="str">
            <v>Road</v>
          </cell>
          <cell r="B268" t="str">
            <v>AS19</v>
          </cell>
          <cell r="C268" t="str">
            <v>Debtors</v>
          </cell>
          <cell r="D268" t="str">
            <v>Nov</v>
          </cell>
          <cell r="F268">
            <v>31.768379999999993</v>
          </cell>
        </row>
        <row r="269">
          <cell r="A269" t="str">
            <v>Road</v>
          </cell>
          <cell r="B269" t="str">
            <v>AS19</v>
          </cell>
          <cell r="C269" t="str">
            <v>Work In Progress (increase/decrease)</v>
          </cell>
          <cell r="D269" t="str">
            <v>Nov</v>
          </cell>
          <cell r="F269">
            <v>228</v>
          </cell>
        </row>
        <row r="270">
          <cell r="A270" t="str">
            <v>Road</v>
          </cell>
          <cell r="B270" t="str">
            <v>AS19</v>
          </cell>
          <cell r="C270" t="str">
            <v>Stock of Raw Materials</v>
          </cell>
          <cell r="D270" t="str">
            <v>Nov</v>
          </cell>
          <cell r="F270">
            <v>19</v>
          </cell>
        </row>
        <row r="271">
          <cell r="A271" t="str">
            <v>Road</v>
          </cell>
          <cell r="B271" t="str">
            <v>AS19</v>
          </cell>
          <cell r="C271" t="str">
            <v>Retention(incl TDS)</v>
          </cell>
          <cell r="D271" t="str">
            <v>Nov</v>
          </cell>
          <cell r="F271">
            <v>-167.05028000000001</v>
          </cell>
        </row>
        <row r="272">
          <cell r="A272" t="str">
            <v>Road</v>
          </cell>
          <cell r="B272" t="str">
            <v>AS19</v>
          </cell>
          <cell r="C272" t="str">
            <v>Projected Profit/Loss on YTD Sales</v>
          </cell>
          <cell r="D272" t="str">
            <v>Nov</v>
          </cell>
          <cell r="F272">
            <v>-54176.090000000004</v>
          </cell>
        </row>
        <row r="273">
          <cell r="A273" t="str">
            <v>Road</v>
          </cell>
          <cell r="B273" t="str">
            <v>AS19</v>
          </cell>
          <cell r="C273" t="str">
            <v>Cash and Bank Balance</v>
          </cell>
          <cell r="D273" t="str">
            <v>Nov</v>
          </cell>
          <cell r="F273">
            <v>0</v>
          </cell>
        </row>
        <row r="274">
          <cell r="A274" t="str">
            <v>Road</v>
          </cell>
          <cell r="B274" t="str">
            <v>AS19</v>
          </cell>
          <cell r="C274" t="str">
            <v>Creditors-Suppliers-net of advance</v>
          </cell>
          <cell r="D274" t="str">
            <v>Nov</v>
          </cell>
          <cell r="F274">
            <v>15</v>
          </cell>
        </row>
        <row r="275">
          <cell r="A275" t="str">
            <v>Road</v>
          </cell>
          <cell r="B275" t="str">
            <v>AS19</v>
          </cell>
          <cell r="C275" t="str">
            <v>Sub-Contractors-net of advance</v>
          </cell>
          <cell r="D275" t="str">
            <v>Nov</v>
          </cell>
          <cell r="F275">
            <v>57</v>
          </cell>
        </row>
        <row r="276">
          <cell r="A276" t="str">
            <v>Road</v>
          </cell>
          <cell r="B276" t="str">
            <v>AS19</v>
          </cell>
          <cell r="C276" t="str">
            <v>Own</v>
          </cell>
          <cell r="D276" t="str">
            <v>Nov</v>
          </cell>
          <cell r="F276">
            <v>0</v>
          </cell>
        </row>
        <row r="277">
          <cell r="A277" t="str">
            <v>Road</v>
          </cell>
          <cell r="B277" t="str">
            <v>AS19</v>
          </cell>
          <cell r="C277" t="str">
            <v>Outstide</v>
          </cell>
          <cell r="D277" t="str">
            <v>Nov</v>
          </cell>
          <cell r="F277">
            <v>0</v>
          </cell>
        </row>
        <row r="278">
          <cell r="A278" t="str">
            <v>Road</v>
          </cell>
          <cell r="B278" t="str">
            <v>AS19</v>
          </cell>
          <cell r="C278" t="str">
            <v>Salaries and Wages Payable</v>
          </cell>
          <cell r="D278" t="str">
            <v>Nov</v>
          </cell>
          <cell r="F278">
            <v>0</v>
          </cell>
        </row>
        <row r="279">
          <cell r="A279" t="str">
            <v>Road</v>
          </cell>
          <cell r="B279" t="str">
            <v>AS19</v>
          </cell>
          <cell r="C279" t="str">
            <v>Mobilisation Adv Outstanding</v>
          </cell>
          <cell r="D279" t="str">
            <v>Nov</v>
          </cell>
          <cell r="F279">
            <v>159.60000000000002</v>
          </cell>
        </row>
        <row r="280">
          <cell r="A280" t="str">
            <v>Road</v>
          </cell>
          <cell r="B280" t="str">
            <v>AS19</v>
          </cell>
          <cell r="C280" t="str">
            <v>Bank Loan outstanding</v>
          </cell>
          <cell r="D280" t="str">
            <v>Nov</v>
          </cell>
          <cell r="F280">
            <v>0</v>
          </cell>
        </row>
        <row r="281">
          <cell r="A281" t="str">
            <v>Road</v>
          </cell>
          <cell r="B281" t="str">
            <v>AS19</v>
          </cell>
          <cell r="C281" t="str">
            <v>HO funding</v>
          </cell>
          <cell r="D281" t="str">
            <v>Nov</v>
          </cell>
          <cell r="F281">
            <v>0</v>
          </cell>
        </row>
        <row r="282">
          <cell r="A282" t="str">
            <v>Road</v>
          </cell>
          <cell r="B282" t="str">
            <v>AS19</v>
          </cell>
          <cell r="C282" t="str">
            <v>Debtors</v>
          </cell>
          <cell r="D282" t="str">
            <v>Dec</v>
          </cell>
          <cell r="F282">
            <v>31.768379999999993</v>
          </cell>
        </row>
        <row r="283">
          <cell r="A283" t="str">
            <v>Road</v>
          </cell>
          <cell r="B283" t="str">
            <v>AS19</v>
          </cell>
          <cell r="C283" t="str">
            <v>Work In Progress (increase/decrease)</v>
          </cell>
          <cell r="D283" t="str">
            <v>Dec</v>
          </cell>
          <cell r="F283">
            <v>247</v>
          </cell>
        </row>
        <row r="284">
          <cell r="A284" t="str">
            <v>Road</v>
          </cell>
          <cell r="B284" t="str">
            <v>AS19</v>
          </cell>
          <cell r="C284" t="str">
            <v>Stock of Raw Materials</v>
          </cell>
          <cell r="D284" t="str">
            <v>Dec</v>
          </cell>
          <cell r="F284">
            <v>19</v>
          </cell>
        </row>
        <row r="285">
          <cell r="A285" t="str">
            <v>Road</v>
          </cell>
          <cell r="B285" t="str">
            <v>AS19</v>
          </cell>
          <cell r="C285" t="str">
            <v>Retention(incl TDS)</v>
          </cell>
          <cell r="D285" t="str">
            <v>Dec</v>
          </cell>
          <cell r="F285">
            <v>-182.55447000000001</v>
          </cell>
        </row>
        <row r="286">
          <cell r="A286" t="str">
            <v>Road</v>
          </cell>
          <cell r="B286" t="str">
            <v>AS19</v>
          </cell>
          <cell r="C286" t="str">
            <v>Projected Profit/Loss on YTD Sales</v>
          </cell>
          <cell r="D286" t="str">
            <v>Dec</v>
          </cell>
          <cell r="F286">
            <v>-58684.060000000005</v>
          </cell>
        </row>
        <row r="287">
          <cell r="A287" t="str">
            <v>Road</v>
          </cell>
          <cell r="B287" t="str">
            <v>AS19</v>
          </cell>
          <cell r="C287" t="str">
            <v>Cash and Bank Balance</v>
          </cell>
          <cell r="D287" t="str">
            <v>Dec</v>
          </cell>
          <cell r="F287">
            <v>0</v>
          </cell>
        </row>
        <row r="288">
          <cell r="A288" t="str">
            <v>Road</v>
          </cell>
          <cell r="B288" t="str">
            <v>AS19</v>
          </cell>
          <cell r="C288" t="str">
            <v>Creditors-Suppliers-net of advance</v>
          </cell>
          <cell r="D288" t="str">
            <v>Dec</v>
          </cell>
          <cell r="F288">
            <v>15</v>
          </cell>
        </row>
        <row r="289">
          <cell r="A289" t="str">
            <v>Road</v>
          </cell>
          <cell r="B289" t="str">
            <v>AS19</v>
          </cell>
          <cell r="C289" t="str">
            <v>Sub-Contractors-net of advance</v>
          </cell>
          <cell r="D289" t="str">
            <v>Dec</v>
          </cell>
          <cell r="F289">
            <v>57</v>
          </cell>
        </row>
        <row r="290">
          <cell r="A290" t="str">
            <v>Road</v>
          </cell>
          <cell r="B290" t="str">
            <v>AS19</v>
          </cell>
          <cell r="C290" t="str">
            <v>Own</v>
          </cell>
          <cell r="D290" t="str">
            <v>Dec</v>
          </cell>
          <cell r="F290">
            <v>0</v>
          </cell>
        </row>
        <row r="291">
          <cell r="A291" t="str">
            <v>Road</v>
          </cell>
          <cell r="B291" t="str">
            <v>AS19</v>
          </cell>
          <cell r="C291" t="str">
            <v>Outstide</v>
          </cell>
          <cell r="D291" t="str">
            <v>Dec</v>
          </cell>
          <cell r="F291">
            <v>0</v>
          </cell>
        </row>
        <row r="292">
          <cell r="A292" t="str">
            <v>Road</v>
          </cell>
          <cell r="B292" t="str">
            <v>AS19</v>
          </cell>
          <cell r="C292" t="str">
            <v>Salaries and Wages Payable</v>
          </cell>
          <cell r="D292" t="str">
            <v>Dec</v>
          </cell>
          <cell r="F292">
            <v>0</v>
          </cell>
        </row>
        <row r="293">
          <cell r="A293" t="str">
            <v>Road</v>
          </cell>
          <cell r="B293" t="str">
            <v>AS19</v>
          </cell>
          <cell r="C293" t="str">
            <v>Mobilisation Adv Outstanding</v>
          </cell>
          <cell r="D293" t="str">
            <v>Dec</v>
          </cell>
          <cell r="F293">
            <v>172.90000000000003</v>
          </cell>
        </row>
        <row r="294">
          <cell r="A294" t="str">
            <v>Road</v>
          </cell>
          <cell r="B294" t="str">
            <v>AS19</v>
          </cell>
          <cell r="C294" t="str">
            <v>Bank Loan outstanding</v>
          </cell>
          <cell r="D294" t="str">
            <v>Dec</v>
          </cell>
          <cell r="F294">
            <v>0</v>
          </cell>
        </row>
        <row r="295">
          <cell r="A295" t="str">
            <v>Road</v>
          </cell>
          <cell r="B295" t="str">
            <v>AS19</v>
          </cell>
          <cell r="C295" t="str">
            <v>HO funding</v>
          </cell>
          <cell r="D295" t="str">
            <v>Dec</v>
          </cell>
          <cell r="F295">
            <v>0</v>
          </cell>
        </row>
        <row r="296">
          <cell r="A296" t="str">
            <v>Road</v>
          </cell>
          <cell r="B296" t="str">
            <v>AS19</v>
          </cell>
          <cell r="C296" t="str">
            <v>Debtors</v>
          </cell>
          <cell r="D296" t="str">
            <v>Jan</v>
          </cell>
          <cell r="F296">
            <v>31.768379999999993</v>
          </cell>
        </row>
        <row r="297">
          <cell r="A297" t="str">
            <v>Road</v>
          </cell>
          <cell r="B297" t="str">
            <v>AS19</v>
          </cell>
          <cell r="C297" t="str">
            <v>Work In Progress (increase/decrease)</v>
          </cell>
          <cell r="D297" t="str">
            <v>Jan</v>
          </cell>
          <cell r="F297">
            <v>266</v>
          </cell>
        </row>
        <row r="298">
          <cell r="A298" t="str">
            <v>Road</v>
          </cell>
          <cell r="B298" t="str">
            <v>AS19</v>
          </cell>
          <cell r="C298" t="str">
            <v>Stock of Raw Materials</v>
          </cell>
          <cell r="D298" t="str">
            <v>Jan</v>
          </cell>
          <cell r="F298">
            <v>19</v>
          </cell>
        </row>
        <row r="299">
          <cell r="A299" t="str">
            <v>Road</v>
          </cell>
          <cell r="B299" t="str">
            <v>AS19</v>
          </cell>
          <cell r="C299" t="str">
            <v>Retention(incl TDS)</v>
          </cell>
          <cell r="D299" t="str">
            <v>Jan</v>
          </cell>
          <cell r="F299">
            <v>-198.05866</v>
          </cell>
        </row>
        <row r="300">
          <cell r="A300" t="str">
            <v>Road</v>
          </cell>
          <cell r="B300" t="str">
            <v>AS19</v>
          </cell>
          <cell r="C300" t="str">
            <v>Projected Profit/Loss on YTD Sales</v>
          </cell>
          <cell r="D300" t="str">
            <v>Jan</v>
          </cell>
          <cell r="F300">
            <v>-63193.990000000005</v>
          </cell>
        </row>
        <row r="301">
          <cell r="A301" t="str">
            <v>Road</v>
          </cell>
          <cell r="B301" t="str">
            <v>AS19</v>
          </cell>
          <cell r="C301" t="str">
            <v>Cash and Bank Balance</v>
          </cell>
          <cell r="D301" t="str">
            <v>Jan</v>
          </cell>
          <cell r="F301">
            <v>0</v>
          </cell>
        </row>
        <row r="302">
          <cell r="A302" t="str">
            <v>Road</v>
          </cell>
          <cell r="B302" t="str">
            <v>AS19</v>
          </cell>
          <cell r="C302" t="str">
            <v>Creditors-Suppliers-net of advance</v>
          </cell>
          <cell r="D302" t="str">
            <v>Jan</v>
          </cell>
          <cell r="F302">
            <v>15</v>
          </cell>
        </row>
        <row r="303">
          <cell r="A303" t="str">
            <v>Road</v>
          </cell>
          <cell r="B303" t="str">
            <v>AS19</v>
          </cell>
          <cell r="C303" t="str">
            <v>Sub-Contractors-net of advance</v>
          </cell>
          <cell r="D303" t="str">
            <v>Jan</v>
          </cell>
          <cell r="F303">
            <v>57</v>
          </cell>
        </row>
        <row r="304">
          <cell r="A304" t="str">
            <v>Road</v>
          </cell>
          <cell r="B304" t="str">
            <v>AS19</v>
          </cell>
          <cell r="C304" t="str">
            <v>Own</v>
          </cell>
          <cell r="D304" t="str">
            <v>Jan</v>
          </cell>
          <cell r="F304">
            <v>0</v>
          </cell>
        </row>
        <row r="305">
          <cell r="A305" t="str">
            <v>Road</v>
          </cell>
          <cell r="B305" t="str">
            <v>AS19</v>
          </cell>
          <cell r="C305" t="str">
            <v>Outstide</v>
          </cell>
          <cell r="D305" t="str">
            <v>Jan</v>
          </cell>
          <cell r="F305">
            <v>0</v>
          </cell>
        </row>
        <row r="306">
          <cell r="A306" t="str">
            <v>Road</v>
          </cell>
          <cell r="B306" t="str">
            <v>AS19</v>
          </cell>
          <cell r="C306" t="str">
            <v>Salaries and Wages Payable</v>
          </cell>
          <cell r="D306" t="str">
            <v>Jan</v>
          </cell>
          <cell r="F306">
            <v>0</v>
          </cell>
        </row>
        <row r="307">
          <cell r="A307" t="str">
            <v>Road</v>
          </cell>
          <cell r="B307" t="str">
            <v>AS19</v>
          </cell>
          <cell r="C307" t="str">
            <v>Mobilisation Adv Outstanding</v>
          </cell>
          <cell r="D307" t="str">
            <v>Jan</v>
          </cell>
          <cell r="F307">
            <v>186.20000000000005</v>
          </cell>
        </row>
        <row r="308">
          <cell r="A308" t="str">
            <v>Road</v>
          </cell>
          <cell r="B308" t="str">
            <v>AS19</v>
          </cell>
          <cell r="C308" t="str">
            <v>Bank Loan outstanding</v>
          </cell>
          <cell r="D308" t="str">
            <v>Jan</v>
          </cell>
          <cell r="F308">
            <v>0</v>
          </cell>
        </row>
        <row r="309">
          <cell r="A309" t="str">
            <v>Road</v>
          </cell>
          <cell r="B309" t="str">
            <v>AS19</v>
          </cell>
          <cell r="C309" t="str">
            <v>HO funding</v>
          </cell>
          <cell r="D309" t="str">
            <v>Jan</v>
          </cell>
          <cell r="F309">
            <v>0</v>
          </cell>
        </row>
        <row r="310">
          <cell r="A310" t="str">
            <v>Road</v>
          </cell>
          <cell r="B310" t="str">
            <v>AS19</v>
          </cell>
          <cell r="C310" t="str">
            <v>Debtors</v>
          </cell>
          <cell r="D310" t="str">
            <v>Feb</v>
          </cell>
          <cell r="F310">
            <v>31.768379999999993</v>
          </cell>
        </row>
        <row r="311">
          <cell r="A311" t="str">
            <v>Road</v>
          </cell>
          <cell r="B311" t="str">
            <v>AS19</v>
          </cell>
          <cell r="C311" t="str">
            <v>Work In Progress (increase/decrease)</v>
          </cell>
          <cell r="D311" t="str">
            <v>Feb</v>
          </cell>
          <cell r="F311">
            <v>285</v>
          </cell>
        </row>
        <row r="312">
          <cell r="A312" t="str">
            <v>Road</v>
          </cell>
          <cell r="B312" t="str">
            <v>AS19</v>
          </cell>
          <cell r="C312" t="str">
            <v>Stock of Raw Materials</v>
          </cell>
          <cell r="D312" t="str">
            <v>Feb</v>
          </cell>
          <cell r="F312">
            <v>19</v>
          </cell>
        </row>
        <row r="313">
          <cell r="A313" t="str">
            <v>Road</v>
          </cell>
          <cell r="B313" t="str">
            <v>AS19</v>
          </cell>
          <cell r="C313" t="str">
            <v>Retention(incl TDS)</v>
          </cell>
          <cell r="D313" t="str">
            <v>Feb</v>
          </cell>
          <cell r="F313">
            <v>-213.56285</v>
          </cell>
        </row>
        <row r="314">
          <cell r="A314" t="str">
            <v>Road</v>
          </cell>
          <cell r="B314" t="str">
            <v>AS19</v>
          </cell>
          <cell r="C314" t="str">
            <v>Projected Profit/Loss on YTD Sales</v>
          </cell>
          <cell r="D314" t="str">
            <v>Feb</v>
          </cell>
          <cell r="F314">
            <v>-67705.89</v>
          </cell>
        </row>
        <row r="315">
          <cell r="A315" t="str">
            <v>Road</v>
          </cell>
          <cell r="B315" t="str">
            <v>AS19</v>
          </cell>
          <cell r="C315" t="str">
            <v>Cash and Bank Balance</v>
          </cell>
          <cell r="D315" t="str">
            <v>Feb</v>
          </cell>
          <cell r="F315">
            <v>0</v>
          </cell>
        </row>
        <row r="316">
          <cell r="A316" t="str">
            <v>Road</v>
          </cell>
          <cell r="B316" t="str">
            <v>AS19</v>
          </cell>
          <cell r="C316" t="str">
            <v>Creditors-Suppliers-net of advance</v>
          </cell>
          <cell r="D316" t="str">
            <v>Feb</v>
          </cell>
          <cell r="F316">
            <v>15</v>
          </cell>
        </row>
        <row r="317">
          <cell r="A317" t="str">
            <v>Road</v>
          </cell>
          <cell r="B317" t="str">
            <v>AS19</v>
          </cell>
          <cell r="C317" t="str">
            <v>Sub-Contractors-net of advance</v>
          </cell>
          <cell r="D317" t="str">
            <v>Feb</v>
          </cell>
          <cell r="F317">
            <v>57</v>
          </cell>
        </row>
        <row r="318">
          <cell r="A318" t="str">
            <v>Road</v>
          </cell>
          <cell r="B318" t="str">
            <v>AS19</v>
          </cell>
          <cell r="C318" t="str">
            <v>Own</v>
          </cell>
          <cell r="D318" t="str">
            <v>Feb</v>
          </cell>
          <cell r="F318">
            <v>0</v>
          </cell>
        </row>
        <row r="319">
          <cell r="A319" t="str">
            <v>Road</v>
          </cell>
          <cell r="B319" t="str">
            <v>AS19</v>
          </cell>
          <cell r="C319" t="str">
            <v>Outstide</v>
          </cell>
          <cell r="D319" t="str">
            <v>Feb</v>
          </cell>
          <cell r="F319">
            <v>0</v>
          </cell>
        </row>
        <row r="320">
          <cell r="A320" t="str">
            <v>Road</v>
          </cell>
          <cell r="B320" t="str">
            <v>AS19</v>
          </cell>
          <cell r="C320" t="str">
            <v>Salaries and Wages Payable</v>
          </cell>
          <cell r="D320" t="str">
            <v>Feb</v>
          </cell>
          <cell r="F320">
            <v>0</v>
          </cell>
        </row>
        <row r="321">
          <cell r="A321" t="str">
            <v>Road</v>
          </cell>
          <cell r="B321" t="str">
            <v>AS19</v>
          </cell>
          <cell r="C321" t="str">
            <v>Mobilisation Adv Outstanding</v>
          </cell>
          <cell r="D321" t="str">
            <v>Feb</v>
          </cell>
          <cell r="F321">
            <v>199.50000000000006</v>
          </cell>
        </row>
        <row r="322">
          <cell r="A322" t="str">
            <v>Road</v>
          </cell>
          <cell r="B322" t="str">
            <v>AS19</v>
          </cell>
          <cell r="C322" t="str">
            <v>Bank Loan outstanding</v>
          </cell>
          <cell r="D322" t="str">
            <v>Feb</v>
          </cell>
          <cell r="F322">
            <v>0</v>
          </cell>
        </row>
        <row r="323">
          <cell r="A323" t="str">
            <v>Road</v>
          </cell>
          <cell r="B323" t="str">
            <v>AS19</v>
          </cell>
          <cell r="C323" t="str">
            <v>HO funding</v>
          </cell>
          <cell r="D323" t="str">
            <v>Feb</v>
          </cell>
          <cell r="F323">
            <v>0</v>
          </cell>
        </row>
        <row r="324">
          <cell r="A324" t="str">
            <v>Road</v>
          </cell>
          <cell r="B324" t="str">
            <v>AS19</v>
          </cell>
          <cell r="C324" t="str">
            <v>Debtors</v>
          </cell>
          <cell r="D324" t="str">
            <v>Mar</v>
          </cell>
          <cell r="F324">
            <v>31.768379999999993</v>
          </cell>
        </row>
        <row r="325">
          <cell r="A325" t="str">
            <v>Road</v>
          </cell>
          <cell r="B325" t="str">
            <v>AS19</v>
          </cell>
          <cell r="C325" t="str">
            <v>Work In Progress (increase/decrease)</v>
          </cell>
          <cell r="D325" t="str">
            <v>Mar</v>
          </cell>
          <cell r="F325">
            <v>304</v>
          </cell>
        </row>
        <row r="326">
          <cell r="A326" t="str">
            <v>Road</v>
          </cell>
          <cell r="B326" t="str">
            <v>AS19</v>
          </cell>
          <cell r="C326" t="str">
            <v>Stock of Raw Materials</v>
          </cell>
          <cell r="D326" t="str">
            <v>Mar</v>
          </cell>
          <cell r="F326">
            <v>0</v>
          </cell>
        </row>
        <row r="327">
          <cell r="A327" t="str">
            <v>Road</v>
          </cell>
          <cell r="B327" t="str">
            <v>AS19</v>
          </cell>
          <cell r="C327" t="str">
            <v>Retention(incl TDS)</v>
          </cell>
          <cell r="D327" t="str">
            <v>Mar</v>
          </cell>
          <cell r="F327">
            <v>-229.06703999999999</v>
          </cell>
        </row>
        <row r="328">
          <cell r="A328" t="str">
            <v>Road</v>
          </cell>
          <cell r="B328" t="str">
            <v>AS19</v>
          </cell>
          <cell r="C328" t="str">
            <v>Projected Profit/Loss on YTD Sales</v>
          </cell>
          <cell r="D328" t="str">
            <v>Mar</v>
          </cell>
          <cell r="F328">
            <v>-72219.740000000005</v>
          </cell>
        </row>
        <row r="329">
          <cell r="A329" t="str">
            <v>Road</v>
          </cell>
          <cell r="B329" t="str">
            <v>AS19</v>
          </cell>
          <cell r="C329" t="str">
            <v>Cash and Bank Balance</v>
          </cell>
          <cell r="D329" t="str">
            <v>Mar</v>
          </cell>
          <cell r="F329">
            <v>0</v>
          </cell>
        </row>
        <row r="330">
          <cell r="A330" t="str">
            <v>Road</v>
          </cell>
          <cell r="B330" t="str">
            <v>AS19</v>
          </cell>
          <cell r="C330" t="str">
            <v>Creditors-Suppliers-net of advance</v>
          </cell>
          <cell r="D330" t="str">
            <v>Mar</v>
          </cell>
          <cell r="F330">
            <v>15</v>
          </cell>
        </row>
        <row r="331">
          <cell r="A331" t="str">
            <v>Road</v>
          </cell>
          <cell r="B331" t="str">
            <v>AS19</v>
          </cell>
          <cell r="C331" t="str">
            <v>Sub-Contractors-net of advance</v>
          </cell>
          <cell r="D331" t="str">
            <v>Mar</v>
          </cell>
          <cell r="F331">
            <v>57</v>
          </cell>
        </row>
        <row r="332">
          <cell r="A332" t="str">
            <v>Road</v>
          </cell>
          <cell r="B332" t="str">
            <v>AS19</v>
          </cell>
          <cell r="C332" t="str">
            <v>Own</v>
          </cell>
          <cell r="D332" t="str">
            <v>Mar</v>
          </cell>
          <cell r="F332">
            <v>0</v>
          </cell>
        </row>
        <row r="333">
          <cell r="A333" t="str">
            <v>Road</v>
          </cell>
          <cell r="B333" t="str">
            <v>AS19</v>
          </cell>
          <cell r="C333" t="str">
            <v>Outstide</v>
          </cell>
          <cell r="D333" t="str">
            <v>Mar</v>
          </cell>
          <cell r="F333">
            <v>0</v>
          </cell>
        </row>
        <row r="334">
          <cell r="A334" t="str">
            <v>Road</v>
          </cell>
          <cell r="B334" t="str">
            <v>AS19</v>
          </cell>
          <cell r="C334" t="str">
            <v>Salaries and Wages Payable</v>
          </cell>
          <cell r="D334" t="str">
            <v>Mar</v>
          </cell>
          <cell r="F334">
            <v>0</v>
          </cell>
        </row>
        <row r="335">
          <cell r="A335" t="str">
            <v>Road</v>
          </cell>
          <cell r="B335" t="str">
            <v>AS19</v>
          </cell>
          <cell r="C335" t="str">
            <v>Mobilisation Adv Outstanding</v>
          </cell>
          <cell r="D335" t="str">
            <v>Mar</v>
          </cell>
          <cell r="F335">
            <v>212.80000000000007</v>
          </cell>
        </row>
        <row r="336">
          <cell r="A336" t="str">
            <v>Road</v>
          </cell>
          <cell r="B336" t="str">
            <v>AS19</v>
          </cell>
          <cell r="C336" t="str">
            <v>Bank Loan outstanding</v>
          </cell>
          <cell r="D336" t="str">
            <v>Mar</v>
          </cell>
          <cell r="F336">
            <v>0</v>
          </cell>
        </row>
        <row r="337">
          <cell r="A337" t="str">
            <v>Road</v>
          </cell>
          <cell r="B337" t="str">
            <v>AS19</v>
          </cell>
          <cell r="C337" t="str">
            <v>HO funding</v>
          </cell>
          <cell r="D337" t="str">
            <v>Mar</v>
          </cell>
          <cell r="F337">
            <v>0</v>
          </cell>
        </row>
        <row r="338">
          <cell r="A338" t="str">
            <v>Irrigation</v>
          </cell>
          <cell r="B338" t="str">
            <v>GNSS</v>
          </cell>
          <cell r="C338" t="str">
            <v>Debtors</v>
          </cell>
          <cell r="D338" t="str">
            <v>Apr</v>
          </cell>
          <cell r="F338">
            <v>33.440400000000011</v>
          </cell>
        </row>
        <row r="339">
          <cell r="A339" t="str">
            <v>Irrigation</v>
          </cell>
          <cell r="B339" t="str">
            <v>GNSS</v>
          </cell>
          <cell r="C339" t="str">
            <v>Work In Progress (increase/decrease)</v>
          </cell>
          <cell r="D339" t="str">
            <v>Apr</v>
          </cell>
          <cell r="F339">
            <v>100</v>
          </cell>
        </row>
        <row r="340">
          <cell r="A340" t="str">
            <v>Irrigation</v>
          </cell>
          <cell r="B340" t="str">
            <v>GNSS</v>
          </cell>
          <cell r="C340" t="str">
            <v>Stock of Raw Materials</v>
          </cell>
          <cell r="D340" t="str">
            <v>Apr</v>
          </cell>
          <cell r="F340">
            <v>20</v>
          </cell>
        </row>
        <row r="341">
          <cell r="A341" t="str">
            <v>Irrigation</v>
          </cell>
          <cell r="B341" t="str">
            <v>GNSS</v>
          </cell>
          <cell r="C341" t="str">
            <v>Retention(incl TDS)</v>
          </cell>
          <cell r="D341" t="str">
            <v>Apr</v>
          </cell>
          <cell r="F341">
            <v>-61.600999999999999</v>
          </cell>
        </row>
        <row r="342">
          <cell r="A342" t="str">
            <v>Irrigation</v>
          </cell>
          <cell r="B342" t="str">
            <v>GNSS</v>
          </cell>
          <cell r="C342" t="str">
            <v>Projected Profit/Loss on YTD Sales</v>
          </cell>
          <cell r="D342" t="str">
            <v>Apr</v>
          </cell>
          <cell r="F342">
            <v>-24288.71</v>
          </cell>
        </row>
        <row r="343">
          <cell r="A343" t="str">
            <v>Irrigation</v>
          </cell>
          <cell r="B343" t="str">
            <v>GNSS</v>
          </cell>
          <cell r="C343" t="str">
            <v>Cash and Bank Balance</v>
          </cell>
          <cell r="D343" t="str">
            <v>Apr</v>
          </cell>
          <cell r="F343">
            <v>0</v>
          </cell>
        </row>
        <row r="344">
          <cell r="A344" t="str">
            <v>Irrigation</v>
          </cell>
          <cell r="B344" t="str">
            <v>GNSS</v>
          </cell>
          <cell r="C344" t="str">
            <v>Creditors-Suppliers-net of advance</v>
          </cell>
          <cell r="D344" t="str">
            <v>Apr</v>
          </cell>
          <cell r="F344">
            <v>16</v>
          </cell>
        </row>
        <row r="345">
          <cell r="A345" t="str">
            <v>Irrigation</v>
          </cell>
          <cell r="B345" t="str">
            <v>GNSS</v>
          </cell>
          <cell r="C345" t="str">
            <v>Sub-Contractors-net of advance</v>
          </cell>
          <cell r="D345" t="str">
            <v>Apr</v>
          </cell>
          <cell r="F345">
            <v>60</v>
          </cell>
        </row>
        <row r="346">
          <cell r="A346" t="str">
            <v>Irrigation</v>
          </cell>
          <cell r="B346" t="str">
            <v>GNSS</v>
          </cell>
          <cell r="C346" t="str">
            <v>Own</v>
          </cell>
          <cell r="D346" t="str">
            <v>Apr</v>
          </cell>
          <cell r="F346">
            <v>0</v>
          </cell>
        </row>
        <row r="347">
          <cell r="A347" t="str">
            <v>Irrigation</v>
          </cell>
          <cell r="B347" t="str">
            <v>GNSS</v>
          </cell>
          <cell r="C347" t="str">
            <v>Outstide</v>
          </cell>
          <cell r="D347" t="str">
            <v>Apr</v>
          </cell>
          <cell r="F347">
            <v>0</v>
          </cell>
        </row>
        <row r="348">
          <cell r="A348" t="str">
            <v>Irrigation</v>
          </cell>
          <cell r="B348" t="str">
            <v>GNSS</v>
          </cell>
          <cell r="C348" t="str">
            <v>Salaries and Wages Payable</v>
          </cell>
          <cell r="D348" t="str">
            <v>Apr</v>
          </cell>
          <cell r="F348">
            <v>0</v>
          </cell>
        </row>
        <row r="349">
          <cell r="A349" t="str">
            <v>Irrigation</v>
          </cell>
          <cell r="B349" t="str">
            <v>GNSS</v>
          </cell>
          <cell r="C349" t="str">
            <v>Mobilisation Adv Outstanding</v>
          </cell>
          <cell r="D349" t="str">
            <v>Apr</v>
          </cell>
          <cell r="F349">
            <v>70</v>
          </cell>
        </row>
        <row r="350">
          <cell r="A350" t="str">
            <v>Irrigation</v>
          </cell>
          <cell r="B350" t="str">
            <v>GNSS</v>
          </cell>
          <cell r="C350" t="str">
            <v>Bank Loan outstanding</v>
          </cell>
          <cell r="D350" t="str">
            <v>Apr</v>
          </cell>
        </row>
        <row r="351">
          <cell r="A351" t="str">
            <v>Irrigation</v>
          </cell>
          <cell r="B351" t="str">
            <v>GNSS</v>
          </cell>
          <cell r="C351" t="str">
            <v>HO funding</v>
          </cell>
          <cell r="D351" t="str">
            <v>Apr</v>
          </cell>
        </row>
        <row r="352">
          <cell r="A352" t="str">
            <v>Irrigation</v>
          </cell>
          <cell r="B352" t="str">
            <v>GNSS</v>
          </cell>
          <cell r="C352" t="str">
            <v>Debtors</v>
          </cell>
          <cell r="D352" t="str">
            <v>May</v>
          </cell>
          <cell r="F352">
            <v>33.440400000000011</v>
          </cell>
        </row>
        <row r="353">
          <cell r="A353" t="str">
            <v>Irrigation</v>
          </cell>
          <cell r="B353" t="str">
            <v>GNSS</v>
          </cell>
          <cell r="C353" t="str">
            <v>Work In Progress (increase/decrease)</v>
          </cell>
          <cell r="D353" t="str">
            <v>May</v>
          </cell>
          <cell r="F353">
            <v>120</v>
          </cell>
        </row>
        <row r="354">
          <cell r="A354" t="str">
            <v>Irrigation</v>
          </cell>
          <cell r="B354" t="str">
            <v>GNSS</v>
          </cell>
          <cell r="C354" t="str">
            <v>Stock of Raw Materials</v>
          </cell>
          <cell r="D354" t="str">
            <v>May</v>
          </cell>
          <cell r="F354">
            <v>20</v>
          </cell>
        </row>
        <row r="355">
          <cell r="A355" t="str">
            <v>Irrigation</v>
          </cell>
          <cell r="B355" t="str">
            <v>GNSS</v>
          </cell>
          <cell r="C355" t="str">
            <v>Retention(incl TDS)</v>
          </cell>
          <cell r="D355" t="str">
            <v>May</v>
          </cell>
          <cell r="F355">
            <v>-77.921199999999999</v>
          </cell>
        </row>
        <row r="356">
          <cell r="A356" t="str">
            <v>Irrigation</v>
          </cell>
          <cell r="B356" t="str">
            <v>GNSS</v>
          </cell>
          <cell r="C356" t="str">
            <v>Projected Profit/Loss on YTD Sales</v>
          </cell>
          <cell r="D356" t="str">
            <v>May</v>
          </cell>
          <cell r="F356">
            <v>-29119.48</v>
          </cell>
        </row>
        <row r="357">
          <cell r="A357" t="str">
            <v>Irrigation</v>
          </cell>
          <cell r="B357" t="str">
            <v>GNSS</v>
          </cell>
          <cell r="C357" t="str">
            <v>Cash and Bank Balance</v>
          </cell>
          <cell r="D357" t="str">
            <v>May</v>
          </cell>
          <cell r="F357">
            <v>0</v>
          </cell>
        </row>
        <row r="358">
          <cell r="A358" t="str">
            <v>Irrigation</v>
          </cell>
          <cell r="B358" t="str">
            <v>GNSS</v>
          </cell>
          <cell r="C358" t="str">
            <v>Creditors-Suppliers-net of advance</v>
          </cell>
          <cell r="D358" t="str">
            <v>May</v>
          </cell>
          <cell r="F358">
            <v>16</v>
          </cell>
        </row>
        <row r="359">
          <cell r="A359" t="str">
            <v>Irrigation</v>
          </cell>
          <cell r="B359" t="str">
            <v>GNSS</v>
          </cell>
          <cell r="C359" t="str">
            <v>Sub-Contractors-net of advance</v>
          </cell>
          <cell r="D359" t="str">
            <v>May</v>
          </cell>
          <cell r="F359">
            <v>60</v>
          </cell>
        </row>
        <row r="360">
          <cell r="A360" t="str">
            <v>Irrigation</v>
          </cell>
          <cell r="B360" t="str">
            <v>GNSS</v>
          </cell>
          <cell r="C360" t="str">
            <v>Own</v>
          </cell>
          <cell r="D360" t="str">
            <v>May</v>
          </cell>
          <cell r="F360">
            <v>0</v>
          </cell>
        </row>
        <row r="361">
          <cell r="A361" t="str">
            <v>Irrigation</v>
          </cell>
          <cell r="B361" t="str">
            <v>GNSS</v>
          </cell>
          <cell r="C361" t="str">
            <v>Outstide</v>
          </cell>
          <cell r="D361" t="str">
            <v>May</v>
          </cell>
          <cell r="F361">
            <v>0</v>
          </cell>
        </row>
        <row r="362">
          <cell r="A362" t="str">
            <v>Irrigation</v>
          </cell>
          <cell r="B362" t="str">
            <v>GNSS</v>
          </cell>
          <cell r="C362" t="str">
            <v>Salaries and Wages Payable</v>
          </cell>
          <cell r="D362" t="str">
            <v>May</v>
          </cell>
          <cell r="F362">
            <v>0</v>
          </cell>
        </row>
        <row r="363">
          <cell r="A363" t="str">
            <v>Irrigation</v>
          </cell>
          <cell r="B363" t="str">
            <v>GNSS</v>
          </cell>
          <cell r="C363" t="str">
            <v>Mobilisation Adv Outstanding</v>
          </cell>
          <cell r="D363" t="str">
            <v>May</v>
          </cell>
          <cell r="F363">
            <v>84</v>
          </cell>
        </row>
        <row r="364">
          <cell r="A364" t="str">
            <v>Irrigation</v>
          </cell>
          <cell r="B364" t="str">
            <v>GNSS</v>
          </cell>
          <cell r="C364" t="str">
            <v>Bank Loan outstanding</v>
          </cell>
          <cell r="D364" t="str">
            <v>May</v>
          </cell>
        </row>
        <row r="365">
          <cell r="A365" t="str">
            <v>Irrigation</v>
          </cell>
          <cell r="B365" t="str">
            <v>GNSS</v>
          </cell>
          <cell r="C365" t="str">
            <v>HO funding</v>
          </cell>
          <cell r="D365" t="str">
            <v>May</v>
          </cell>
        </row>
        <row r="366">
          <cell r="A366" t="str">
            <v>Irrigation</v>
          </cell>
          <cell r="B366" t="str">
            <v>GNSS</v>
          </cell>
          <cell r="C366" t="str">
            <v>Debtors</v>
          </cell>
          <cell r="D366" t="str">
            <v>June</v>
          </cell>
          <cell r="F366">
            <v>33.440400000000011</v>
          </cell>
        </row>
        <row r="367">
          <cell r="A367" t="str">
            <v>Irrigation</v>
          </cell>
          <cell r="B367" t="str">
            <v>GNSS</v>
          </cell>
          <cell r="C367" t="str">
            <v>Work In Progress (increase/decrease)</v>
          </cell>
          <cell r="D367" t="str">
            <v>June</v>
          </cell>
          <cell r="F367">
            <v>140</v>
          </cell>
        </row>
        <row r="368">
          <cell r="A368" t="str">
            <v>Irrigation</v>
          </cell>
          <cell r="B368" t="str">
            <v>GNSS</v>
          </cell>
          <cell r="C368" t="str">
            <v>Stock of Raw Materials</v>
          </cell>
          <cell r="D368" t="str">
            <v>June</v>
          </cell>
          <cell r="F368">
            <v>20</v>
          </cell>
        </row>
        <row r="369">
          <cell r="A369" t="str">
            <v>Irrigation</v>
          </cell>
          <cell r="B369" t="str">
            <v>GNSS</v>
          </cell>
          <cell r="C369" t="str">
            <v>Retention(incl TDS)</v>
          </cell>
          <cell r="D369" t="str">
            <v>June</v>
          </cell>
          <cell r="F369">
            <v>-94.241399999999999</v>
          </cell>
        </row>
        <row r="370">
          <cell r="A370" t="str">
            <v>Irrigation</v>
          </cell>
          <cell r="B370" t="str">
            <v>GNSS</v>
          </cell>
          <cell r="C370" t="str">
            <v>Projected Profit/Loss on YTD Sales</v>
          </cell>
          <cell r="D370" t="str">
            <v>June</v>
          </cell>
          <cell r="F370">
            <v>-33952.32</v>
          </cell>
        </row>
        <row r="371">
          <cell r="A371" t="str">
            <v>Irrigation</v>
          </cell>
          <cell r="B371" t="str">
            <v>GNSS</v>
          </cell>
          <cell r="C371" t="str">
            <v>Cash and Bank Balance</v>
          </cell>
          <cell r="D371" t="str">
            <v>June</v>
          </cell>
          <cell r="F371">
            <v>0</v>
          </cell>
        </row>
        <row r="372">
          <cell r="A372" t="str">
            <v>Irrigation</v>
          </cell>
          <cell r="B372" t="str">
            <v>GNSS</v>
          </cell>
          <cell r="C372" t="str">
            <v>Creditors-Suppliers-net of advance</v>
          </cell>
          <cell r="D372" t="str">
            <v>June</v>
          </cell>
          <cell r="F372">
            <v>16</v>
          </cell>
        </row>
        <row r="373">
          <cell r="A373" t="str">
            <v>Irrigation</v>
          </cell>
          <cell r="B373" t="str">
            <v>GNSS</v>
          </cell>
          <cell r="C373" t="str">
            <v>Sub-Contractors-net of advance</v>
          </cell>
          <cell r="D373" t="str">
            <v>June</v>
          </cell>
          <cell r="F373">
            <v>60</v>
          </cell>
        </row>
        <row r="374">
          <cell r="A374" t="str">
            <v>Irrigation</v>
          </cell>
          <cell r="B374" t="str">
            <v>GNSS</v>
          </cell>
          <cell r="C374" t="str">
            <v>Own</v>
          </cell>
          <cell r="D374" t="str">
            <v>June</v>
          </cell>
          <cell r="F374">
            <v>0</v>
          </cell>
        </row>
        <row r="375">
          <cell r="A375" t="str">
            <v>Irrigation</v>
          </cell>
          <cell r="B375" t="str">
            <v>GNSS</v>
          </cell>
          <cell r="C375" t="str">
            <v>Outstide</v>
          </cell>
          <cell r="D375" t="str">
            <v>June</v>
          </cell>
          <cell r="F375">
            <v>0</v>
          </cell>
        </row>
        <row r="376">
          <cell r="A376" t="str">
            <v>Irrigation</v>
          </cell>
          <cell r="B376" t="str">
            <v>GNSS</v>
          </cell>
          <cell r="C376" t="str">
            <v>Salaries and Wages Payable</v>
          </cell>
          <cell r="D376" t="str">
            <v>June</v>
          </cell>
          <cell r="F376">
            <v>0</v>
          </cell>
        </row>
        <row r="377">
          <cell r="A377" t="str">
            <v>Irrigation</v>
          </cell>
          <cell r="B377" t="str">
            <v>GNSS</v>
          </cell>
          <cell r="C377" t="str">
            <v>Mobilisation Adv Outstanding</v>
          </cell>
          <cell r="D377" t="str">
            <v>June</v>
          </cell>
          <cell r="F377">
            <v>98</v>
          </cell>
        </row>
        <row r="378">
          <cell r="A378" t="str">
            <v>Irrigation</v>
          </cell>
          <cell r="B378" t="str">
            <v>GNSS</v>
          </cell>
          <cell r="C378" t="str">
            <v>Bank Loan outstanding</v>
          </cell>
          <cell r="D378" t="str">
            <v>June</v>
          </cell>
        </row>
        <row r="379">
          <cell r="A379" t="str">
            <v>Irrigation</v>
          </cell>
          <cell r="B379" t="str">
            <v>GNSS</v>
          </cell>
          <cell r="C379" t="str">
            <v>HO funding</v>
          </cell>
          <cell r="D379" t="str">
            <v>June</v>
          </cell>
        </row>
        <row r="380">
          <cell r="A380" t="str">
            <v>Irrigation</v>
          </cell>
          <cell r="B380" t="str">
            <v>GNSS</v>
          </cell>
          <cell r="C380" t="str">
            <v>Debtors</v>
          </cell>
          <cell r="D380" t="str">
            <v>July</v>
          </cell>
          <cell r="F380">
            <v>33.440400000000011</v>
          </cell>
        </row>
        <row r="381">
          <cell r="A381" t="str">
            <v>Irrigation</v>
          </cell>
          <cell r="B381" t="str">
            <v>GNSS</v>
          </cell>
          <cell r="C381" t="str">
            <v>Work In Progress (increase/decrease)</v>
          </cell>
          <cell r="D381" t="str">
            <v>July</v>
          </cell>
          <cell r="F381">
            <v>160</v>
          </cell>
        </row>
        <row r="382">
          <cell r="A382" t="str">
            <v>Irrigation</v>
          </cell>
          <cell r="B382" t="str">
            <v>GNSS</v>
          </cell>
          <cell r="C382" t="str">
            <v>Stock of Raw Materials</v>
          </cell>
          <cell r="D382" t="str">
            <v>July</v>
          </cell>
          <cell r="F382">
            <v>20</v>
          </cell>
        </row>
        <row r="383">
          <cell r="A383" t="str">
            <v>Irrigation</v>
          </cell>
          <cell r="B383" t="str">
            <v>GNSS</v>
          </cell>
          <cell r="C383" t="str">
            <v>Retention(incl TDS)</v>
          </cell>
          <cell r="D383" t="str">
            <v>July</v>
          </cell>
          <cell r="F383">
            <v>-110.5616</v>
          </cell>
        </row>
        <row r="384">
          <cell r="A384" t="str">
            <v>Irrigation</v>
          </cell>
          <cell r="B384" t="str">
            <v>GNSS</v>
          </cell>
          <cell r="C384" t="str">
            <v>Projected Profit/Loss on YTD Sales</v>
          </cell>
          <cell r="D384" t="str">
            <v>July</v>
          </cell>
          <cell r="F384">
            <v>-38787.22</v>
          </cell>
        </row>
        <row r="385">
          <cell r="A385" t="str">
            <v>Irrigation</v>
          </cell>
          <cell r="B385" t="str">
            <v>GNSS</v>
          </cell>
          <cell r="C385" t="str">
            <v>Cash and Bank Balance</v>
          </cell>
          <cell r="D385" t="str">
            <v>July</v>
          </cell>
          <cell r="F385">
            <v>0</v>
          </cell>
        </row>
        <row r="386">
          <cell r="A386" t="str">
            <v>Irrigation</v>
          </cell>
          <cell r="B386" t="str">
            <v>GNSS</v>
          </cell>
          <cell r="C386" t="str">
            <v>Creditors-Suppliers-net of advance</v>
          </cell>
          <cell r="D386" t="str">
            <v>July</v>
          </cell>
          <cell r="F386">
            <v>16</v>
          </cell>
        </row>
        <row r="387">
          <cell r="A387" t="str">
            <v>Irrigation</v>
          </cell>
          <cell r="B387" t="str">
            <v>GNSS</v>
          </cell>
          <cell r="C387" t="str">
            <v>Sub-Contractors-net of advance</v>
          </cell>
          <cell r="D387" t="str">
            <v>July</v>
          </cell>
          <cell r="F387">
            <v>60</v>
          </cell>
        </row>
        <row r="388">
          <cell r="A388" t="str">
            <v>Irrigation</v>
          </cell>
          <cell r="B388" t="str">
            <v>GNSS</v>
          </cell>
          <cell r="C388" t="str">
            <v>Own</v>
          </cell>
          <cell r="D388" t="str">
            <v>July</v>
          </cell>
          <cell r="F388">
            <v>0</v>
          </cell>
        </row>
        <row r="389">
          <cell r="A389" t="str">
            <v>Irrigation</v>
          </cell>
          <cell r="B389" t="str">
            <v>GNSS</v>
          </cell>
          <cell r="C389" t="str">
            <v>Outstide</v>
          </cell>
          <cell r="D389" t="str">
            <v>July</v>
          </cell>
          <cell r="F389">
            <v>0</v>
          </cell>
        </row>
        <row r="390">
          <cell r="A390" t="str">
            <v>Irrigation</v>
          </cell>
          <cell r="B390" t="str">
            <v>GNSS</v>
          </cell>
          <cell r="C390" t="str">
            <v>Salaries and Wages Payable</v>
          </cell>
          <cell r="D390" t="str">
            <v>July</v>
          </cell>
          <cell r="F390">
            <v>0</v>
          </cell>
        </row>
        <row r="391">
          <cell r="A391" t="str">
            <v>Irrigation</v>
          </cell>
          <cell r="B391" t="str">
            <v>GNSS</v>
          </cell>
          <cell r="C391" t="str">
            <v>Mobilisation Adv Outstanding</v>
          </cell>
          <cell r="D391" t="str">
            <v>July</v>
          </cell>
          <cell r="F391">
            <v>112</v>
          </cell>
        </row>
        <row r="392">
          <cell r="A392" t="str">
            <v>Irrigation</v>
          </cell>
          <cell r="B392" t="str">
            <v>GNSS</v>
          </cell>
          <cell r="C392" t="str">
            <v>Bank Loan outstanding</v>
          </cell>
          <cell r="D392" t="str">
            <v>July</v>
          </cell>
        </row>
        <row r="393">
          <cell r="A393" t="str">
            <v>Irrigation</v>
          </cell>
          <cell r="B393" t="str">
            <v>GNSS</v>
          </cell>
          <cell r="C393" t="str">
            <v>HO funding</v>
          </cell>
          <cell r="D393" t="str">
            <v>July</v>
          </cell>
        </row>
        <row r="394">
          <cell r="A394" t="str">
            <v>Irrigation</v>
          </cell>
          <cell r="B394" t="str">
            <v>GNSS</v>
          </cell>
          <cell r="C394" t="str">
            <v>Debtors</v>
          </cell>
          <cell r="D394" t="str">
            <v>Aug</v>
          </cell>
          <cell r="F394">
            <v>33.440400000000011</v>
          </cell>
        </row>
        <row r="395">
          <cell r="A395" t="str">
            <v>Irrigation</v>
          </cell>
          <cell r="B395" t="str">
            <v>GNSS</v>
          </cell>
          <cell r="C395" t="str">
            <v>Work In Progress (increase/decrease)</v>
          </cell>
          <cell r="D395" t="str">
            <v>Aug</v>
          </cell>
          <cell r="F395">
            <v>180</v>
          </cell>
        </row>
        <row r="396">
          <cell r="A396" t="str">
            <v>Irrigation</v>
          </cell>
          <cell r="B396" t="str">
            <v>GNSS</v>
          </cell>
          <cell r="C396" t="str">
            <v>Stock of Raw Materials</v>
          </cell>
          <cell r="D396" t="str">
            <v>Aug</v>
          </cell>
          <cell r="F396">
            <v>20</v>
          </cell>
        </row>
        <row r="397">
          <cell r="A397" t="str">
            <v>Irrigation</v>
          </cell>
          <cell r="B397" t="str">
            <v>GNSS</v>
          </cell>
          <cell r="C397" t="str">
            <v>Retention(incl TDS)</v>
          </cell>
          <cell r="D397" t="str">
            <v>Aug</v>
          </cell>
          <cell r="F397">
            <v>-126.8818</v>
          </cell>
        </row>
        <row r="398">
          <cell r="A398" t="str">
            <v>Irrigation</v>
          </cell>
          <cell r="B398" t="str">
            <v>GNSS</v>
          </cell>
          <cell r="C398" t="str">
            <v>Projected Profit/Loss on YTD Sales</v>
          </cell>
          <cell r="D398" t="str">
            <v>Aug</v>
          </cell>
          <cell r="F398">
            <v>-43624.19</v>
          </cell>
        </row>
        <row r="399">
          <cell r="A399" t="str">
            <v>Irrigation</v>
          </cell>
          <cell r="B399" t="str">
            <v>GNSS</v>
          </cell>
          <cell r="C399" t="str">
            <v>Cash and Bank Balance</v>
          </cell>
          <cell r="D399" t="str">
            <v>Aug</v>
          </cell>
          <cell r="F399">
            <v>0</v>
          </cell>
        </row>
        <row r="400">
          <cell r="A400" t="str">
            <v>Irrigation</v>
          </cell>
          <cell r="B400" t="str">
            <v>GNSS</v>
          </cell>
          <cell r="C400" t="str">
            <v>Creditors-Suppliers-net of advance</v>
          </cell>
          <cell r="D400" t="str">
            <v>Aug</v>
          </cell>
          <cell r="F400">
            <v>16</v>
          </cell>
        </row>
        <row r="401">
          <cell r="A401" t="str">
            <v>Irrigation</v>
          </cell>
          <cell r="B401" t="str">
            <v>GNSS</v>
          </cell>
          <cell r="C401" t="str">
            <v>Sub-Contractors-net of advance</v>
          </cell>
          <cell r="D401" t="str">
            <v>Aug</v>
          </cell>
          <cell r="F401">
            <v>60</v>
          </cell>
        </row>
        <row r="402">
          <cell r="A402" t="str">
            <v>Irrigation</v>
          </cell>
          <cell r="B402" t="str">
            <v>GNSS</v>
          </cell>
          <cell r="C402" t="str">
            <v>Own</v>
          </cell>
          <cell r="D402" t="str">
            <v>Aug</v>
          </cell>
          <cell r="F402">
            <v>0</v>
          </cell>
        </row>
        <row r="403">
          <cell r="A403" t="str">
            <v>Irrigation</v>
          </cell>
          <cell r="B403" t="str">
            <v>GNSS</v>
          </cell>
          <cell r="C403" t="str">
            <v>Outstide</v>
          </cell>
          <cell r="D403" t="str">
            <v>Aug</v>
          </cell>
          <cell r="F403">
            <v>0</v>
          </cell>
        </row>
        <row r="404">
          <cell r="A404" t="str">
            <v>Irrigation</v>
          </cell>
          <cell r="B404" t="str">
            <v>GNSS</v>
          </cell>
          <cell r="C404" t="str">
            <v>Salaries and Wages Payable</v>
          </cell>
          <cell r="D404" t="str">
            <v>Aug</v>
          </cell>
          <cell r="F404">
            <v>76</v>
          </cell>
        </row>
        <row r="405">
          <cell r="A405" t="str">
            <v>Irrigation</v>
          </cell>
          <cell r="B405" t="str">
            <v>GNSS</v>
          </cell>
          <cell r="C405" t="str">
            <v>Mobilisation Adv Outstanding</v>
          </cell>
          <cell r="D405" t="str">
            <v>Aug</v>
          </cell>
          <cell r="F405">
            <v>126</v>
          </cell>
        </row>
        <row r="406">
          <cell r="A406" t="str">
            <v>Irrigation</v>
          </cell>
          <cell r="B406" t="str">
            <v>GNSS</v>
          </cell>
          <cell r="C406" t="str">
            <v>Bank Loan outstanding</v>
          </cell>
          <cell r="D406" t="str">
            <v>Aug</v>
          </cell>
          <cell r="F406">
            <v>0</v>
          </cell>
        </row>
        <row r="407">
          <cell r="A407" t="str">
            <v>Irrigation</v>
          </cell>
          <cell r="B407" t="str">
            <v>GNSS</v>
          </cell>
          <cell r="C407" t="str">
            <v>HO funding</v>
          </cell>
          <cell r="D407" t="str">
            <v>Aug</v>
          </cell>
          <cell r="F407">
            <v>0</v>
          </cell>
        </row>
        <row r="408">
          <cell r="A408" t="str">
            <v>Irrigation</v>
          </cell>
          <cell r="B408" t="str">
            <v>GNSS</v>
          </cell>
          <cell r="C408" t="str">
            <v>Debtors</v>
          </cell>
          <cell r="D408" t="str">
            <v>Sep</v>
          </cell>
          <cell r="F408">
            <v>33.440400000000011</v>
          </cell>
        </row>
        <row r="409">
          <cell r="A409" t="str">
            <v>Irrigation</v>
          </cell>
          <cell r="B409" t="str">
            <v>GNSS</v>
          </cell>
          <cell r="C409" t="str">
            <v>Work In Progress (increase/decrease)</v>
          </cell>
          <cell r="D409" t="str">
            <v>Sep</v>
          </cell>
          <cell r="F409">
            <v>200</v>
          </cell>
        </row>
        <row r="410">
          <cell r="A410" t="str">
            <v>Irrigation</v>
          </cell>
          <cell r="B410" t="str">
            <v>GNSS</v>
          </cell>
          <cell r="C410" t="str">
            <v>Stock of Raw Materials</v>
          </cell>
          <cell r="D410" t="str">
            <v>Sep</v>
          </cell>
          <cell r="F410">
            <v>20</v>
          </cell>
        </row>
        <row r="411">
          <cell r="A411" t="str">
            <v>Irrigation</v>
          </cell>
          <cell r="B411" t="str">
            <v>GNSS</v>
          </cell>
          <cell r="C411" t="str">
            <v>Retention(incl TDS)</v>
          </cell>
          <cell r="D411" t="str">
            <v>Sep</v>
          </cell>
          <cell r="F411">
            <v>-143.202</v>
          </cell>
        </row>
        <row r="412">
          <cell r="A412" t="str">
            <v>Irrigation</v>
          </cell>
          <cell r="B412" t="str">
            <v>GNSS</v>
          </cell>
          <cell r="C412" t="str">
            <v>Projected Profit/Loss on YTD Sales</v>
          </cell>
          <cell r="D412" t="str">
            <v>Sep</v>
          </cell>
          <cell r="F412">
            <v>-48463.22</v>
          </cell>
        </row>
        <row r="413">
          <cell r="A413" t="str">
            <v>Irrigation</v>
          </cell>
          <cell r="B413" t="str">
            <v>GNSS</v>
          </cell>
          <cell r="C413" t="str">
            <v>Cash and Bank Balance</v>
          </cell>
          <cell r="D413" t="str">
            <v>Sep</v>
          </cell>
          <cell r="F413">
            <v>0</v>
          </cell>
        </row>
        <row r="414">
          <cell r="A414" t="str">
            <v>Irrigation</v>
          </cell>
          <cell r="B414" t="str">
            <v>GNSS</v>
          </cell>
          <cell r="C414" t="str">
            <v>Creditors-Suppliers-net of advance</v>
          </cell>
          <cell r="D414" t="str">
            <v>Sep</v>
          </cell>
          <cell r="F414">
            <v>16</v>
          </cell>
        </row>
        <row r="415">
          <cell r="A415" t="str">
            <v>Irrigation</v>
          </cell>
          <cell r="B415" t="str">
            <v>GNSS</v>
          </cell>
          <cell r="C415" t="str">
            <v>Sub-Contractors-net of advance</v>
          </cell>
          <cell r="D415" t="str">
            <v>Sep</v>
          </cell>
          <cell r="F415">
            <v>60</v>
          </cell>
        </row>
        <row r="416">
          <cell r="A416" t="str">
            <v>Irrigation</v>
          </cell>
          <cell r="B416" t="str">
            <v>GNSS</v>
          </cell>
          <cell r="C416" t="str">
            <v>Own</v>
          </cell>
          <cell r="D416" t="str">
            <v>Sep</v>
          </cell>
          <cell r="F416">
            <v>0</v>
          </cell>
        </row>
        <row r="417">
          <cell r="A417" t="str">
            <v>Irrigation</v>
          </cell>
          <cell r="B417" t="str">
            <v>GNSS</v>
          </cell>
          <cell r="C417" t="str">
            <v>Outstide</v>
          </cell>
          <cell r="D417" t="str">
            <v>Sep</v>
          </cell>
          <cell r="F417">
            <v>0</v>
          </cell>
        </row>
        <row r="418">
          <cell r="A418" t="str">
            <v>Irrigation</v>
          </cell>
          <cell r="B418" t="str">
            <v>GNSS</v>
          </cell>
          <cell r="C418" t="str">
            <v>Salaries and Wages Payable</v>
          </cell>
          <cell r="D418" t="str">
            <v>Sep</v>
          </cell>
          <cell r="F418">
            <v>76</v>
          </cell>
        </row>
        <row r="419">
          <cell r="A419" t="str">
            <v>Irrigation</v>
          </cell>
          <cell r="B419" t="str">
            <v>GNSS</v>
          </cell>
          <cell r="C419" t="str">
            <v>Mobilisation Adv Outstanding</v>
          </cell>
          <cell r="D419" t="str">
            <v>Sep</v>
          </cell>
          <cell r="F419">
            <v>140</v>
          </cell>
        </row>
        <row r="420">
          <cell r="A420" t="str">
            <v>Irrigation</v>
          </cell>
          <cell r="B420" t="str">
            <v>GNSS</v>
          </cell>
          <cell r="C420" t="str">
            <v>Bank Loan outstanding</v>
          </cell>
          <cell r="D420" t="str">
            <v>Sep</v>
          </cell>
          <cell r="F420">
            <v>0</v>
          </cell>
        </row>
        <row r="421">
          <cell r="A421" t="str">
            <v>Irrigation</v>
          </cell>
          <cell r="B421" t="str">
            <v>GNSS</v>
          </cell>
          <cell r="C421" t="str">
            <v>HO funding</v>
          </cell>
          <cell r="D421" t="str">
            <v>Sep</v>
          </cell>
          <cell r="F421">
            <v>0</v>
          </cell>
        </row>
        <row r="422">
          <cell r="A422" t="str">
            <v>Irrigation</v>
          </cell>
          <cell r="B422" t="str">
            <v>GNSS</v>
          </cell>
          <cell r="C422" t="str">
            <v>Debtors</v>
          </cell>
          <cell r="D422" t="str">
            <v>Oct</v>
          </cell>
          <cell r="F422">
            <v>33.440400000000011</v>
          </cell>
        </row>
        <row r="423">
          <cell r="A423" t="str">
            <v>Irrigation</v>
          </cell>
          <cell r="B423" t="str">
            <v>GNSS</v>
          </cell>
          <cell r="C423" t="str">
            <v>Work In Progress (increase/decrease)</v>
          </cell>
          <cell r="D423" t="str">
            <v>Oct</v>
          </cell>
          <cell r="F423">
            <v>220</v>
          </cell>
        </row>
        <row r="424">
          <cell r="A424" t="str">
            <v>Irrigation</v>
          </cell>
          <cell r="B424" t="str">
            <v>GNSS</v>
          </cell>
          <cell r="C424" t="str">
            <v>Stock of Raw Materials</v>
          </cell>
          <cell r="D424" t="str">
            <v>Oct</v>
          </cell>
          <cell r="F424">
            <v>20</v>
          </cell>
        </row>
        <row r="425">
          <cell r="A425" t="str">
            <v>Irrigation</v>
          </cell>
          <cell r="B425" t="str">
            <v>GNSS</v>
          </cell>
          <cell r="C425" t="str">
            <v>Retention(incl TDS)</v>
          </cell>
          <cell r="D425" t="str">
            <v>Oct</v>
          </cell>
          <cell r="F425">
            <v>-159.5222</v>
          </cell>
        </row>
        <row r="426">
          <cell r="A426" t="str">
            <v>Irrigation</v>
          </cell>
          <cell r="B426" t="str">
            <v>GNSS</v>
          </cell>
          <cell r="C426" t="str">
            <v>Projected Profit/Loss on YTD Sales</v>
          </cell>
          <cell r="D426" t="str">
            <v>Oct</v>
          </cell>
          <cell r="F426">
            <v>-53304.32</v>
          </cell>
        </row>
        <row r="427">
          <cell r="A427" t="str">
            <v>Irrigation</v>
          </cell>
          <cell r="B427" t="str">
            <v>GNSS</v>
          </cell>
          <cell r="C427" t="str">
            <v>Cash and Bank Balance</v>
          </cell>
          <cell r="D427" t="str">
            <v>Oct</v>
          </cell>
          <cell r="F427">
            <v>0</v>
          </cell>
        </row>
        <row r="428">
          <cell r="A428" t="str">
            <v>Irrigation</v>
          </cell>
          <cell r="B428" t="str">
            <v>GNSS</v>
          </cell>
          <cell r="C428" t="str">
            <v>Creditors-Suppliers-net of advance</v>
          </cell>
          <cell r="D428" t="str">
            <v>Oct</v>
          </cell>
          <cell r="F428">
            <v>16</v>
          </cell>
        </row>
        <row r="429">
          <cell r="A429" t="str">
            <v>Irrigation</v>
          </cell>
          <cell r="B429" t="str">
            <v>GNSS</v>
          </cell>
          <cell r="C429" t="str">
            <v>Sub-Contractors-net of advance</v>
          </cell>
          <cell r="D429" t="str">
            <v>Oct</v>
          </cell>
          <cell r="F429">
            <v>60</v>
          </cell>
        </row>
        <row r="430">
          <cell r="A430" t="str">
            <v>Irrigation</v>
          </cell>
          <cell r="B430" t="str">
            <v>GNSS</v>
          </cell>
          <cell r="C430" t="str">
            <v>Own</v>
          </cell>
          <cell r="D430" t="str">
            <v>Oct</v>
          </cell>
          <cell r="F430">
            <v>0</v>
          </cell>
        </row>
        <row r="431">
          <cell r="A431" t="str">
            <v>Irrigation</v>
          </cell>
          <cell r="B431" t="str">
            <v>GNSS</v>
          </cell>
          <cell r="C431" t="str">
            <v>Outstide</v>
          </cell>
          <cell r="D431" t="str">
            <v>Oct</v>
          </cell>
          <cell r="F431">
            <v>0</v>
          </cell>
        </row>
        <row r="432">
          <cell r="A432" t="str">
            <v>Irrigation</v>
          </cell>
          <cell r="B432" t="str">
            <v>GNSS</v>
          </cell>
          <cell r="C432" t="str">
            <v>Salaries and Wages Payable</v>
          </cell>
          <cell r="D432" t="str">
            <v>Oct</v>
          </cell>
          <cell r="F432">
            <v>76</v>
          </cell>
        </row>
        <row r="433">
          <cell r="A433" t="str">
            <v>Irrigation</v>
          </cell>
          <cell r="B433" t="str">
            <v>GNSS</v>
          </cell>
          <cell r="C433" t="str">
            <v>Mobilisation Adv Outstanding</v>
          </cell>
          <cell r="D433" t="str">
            <v>Oct</v>
          </cell>
          <cell r="F433">
            <v>154</v>
          </cell>
        </row>
        <row r="434">
          <cell r="A434" t="str">
            <v>Irrigation</v>
          </cell>
          <cell r="B434" t="str">
            <v>GNSS</v>
          </cell>
          <cell r="C434" t="str">
            <v>Bank Loan outstanding</v>
          </cell>
          <cell r="D434" t="str">
            <v>Oct</v>
          </cell>
          <cell r="F434">
            <v>0</v>
          </cell>
        </row>
        <row r="435">
          <cell r="A435" t="str">
            <v>Irrigation</v>
          </cell>
          <cell r="B435" t="str">
            <v>GNSS</v>
          </cell>
          <cell r="C435" t="str">
            <v>HO funding</v>
          </cell>
          <cell r="D435" t="str">
            <v>Oct</v>
          </cell>
          <cell r="F435">
            <v>0</v>
          </cell>
        </row>
        <row r="436">
          <cell r="A436" t="str">
            <v>Irrigation</v>
          </cell>
          <cell r="B436" t="str">
            <v>GNSS</v>
          </cell>
          <cell r="C436" t="str">
            <v>Debtors</v>
          </cell>
          <cell r="D436" t="str">
            <v>Nov</v>
          </cell>
          <cell r="F436">
            <v>33.440400000000011</v>
          </cell>
        </row>
        <row r="437">
          <cell r="A437" t="str">
            <v>Irrigation</v>
          </cell>
          <cell r="B437" t="str">
            <v>GNSS</v>
          </cell>
          <cell r="C437" t="str">
            <v>Work In Progress (increase/decrease)</v>
          </cell>
          <cell r="D437" t="str">
            <v>Nov</v>
          </cell>
          <cell r="F437">
            <v>240</v>
          </cell>
        </row>
        <row r="438">
          <cell r="A438" t="str">
            <v>Irrigation</v>
          </cell>
          <cell r="B438" t="str">
            <v>GNSS</v>
          </cell>
          <cell r="C438" t="str">
            <v>Stock of Raw Materials</v>
          </cell>
          <cell r="D438" t="str">
            <v>Nov</v>
          </cell>
          <cell r="F438">
            <v>20</v>
          </cell>
        </row>
        <row r="439">
          <cell r="A439" t="str">
            <v>Irrigation</v>
          </cell>
          <cell r="B439" t="str">
            <v>GNSS</v>
          </cell>
          <cell r="C439" t="str">
            <v>Retention(incl TDS)</v>
          </cell>
          <cell r="D439" t="str">
            <v>Nov</v>
          </cell>
          <cell r="F439">
            <v>-175.8424</v>
          </cell>
        </row>
        <row r="440">
          <cell r="A440" t="str">
            <v>Irrigation</v>
          </cell>
          <cell r="B440" t="str">
            <v>GNSS</v>
          </cell>
          <cell r="C440" t="str">
            <v>Projected Profit/Loss on YTD Sales</v>
          </cell>
          <cell r="D440" t="str">
            <v>Nov</v>
          </cell>
          <cell r="F440">
            <v>-58147.5</v>
          </cell>
        </row>
        <row r="441">
          <cell r="A441" t="str">
            <v>Irrigation</v>
          </cell>
          <cell r="B441" t="str">
            <v>GNSS</v>
          </cell>
          <cell r="C441" t="str">
            <v>Cash and Bank Balance</v>
          </cell>
          <cell r="D441" t="str">
            <v>Nov</v>
          </cell>
          <cell r="F441">
            <v>0</v>
          </cell>
        </row>
        <row r="442">
          <cell r="A442" t="str">
            <v>Irrigation</v>
          </cell>
          <cell r="B442" t="str">
            <v>GNSS</v>
          </cell>
          <cell r="C442" t="str">
            <v>Creditors-Suppliers-net of advance</v>
          </cell>
          <cell r="D442" t="str">
            <v>Nov</v>
          </cell>
          <cell r="F442">
            <v>16</v>
          </cell>
        </row>
        <row r="443">
          <cell r="A443" t="str">
            <v>Irrigation</v>
          </cell>
          <cell r="B443" t="str">
            <v>GNSS</v>
          </cell>
          <cell r="C443" t="str">
            <v>Sub-Contractors-net of advance</v>
          </cell>
          <cell r="D443" t="str">
            <v>Nov</v>
          </cell>
          <cell r="F443">
            <v>60</v>
          </cell>
        </row>
        <row r="444">
          <cell r="A444" t="str">
            <v>Irrigation</v>
          </cell>
          <cell r="B444" t="str">
            <v>GNSS</v>
          </cell>
          <cell r="C444" t="str">
            <v>Own</v>
          </cell>
          <cell r="D444" t="str">
            <v>Nov</v>
          </cell>
          <cell r="F444">
            <v>0</v>
          </cell>
        </row>
        <row r="445">
          <cell r="A445" t="str">
            <v>Irrigation</v>
          </cell>
          <cell r="B445" t="str">
            <v>GNSS</v>
          </cell>
          <cell r="C445" t="str">
            <v>Outstide</v>
          </cell>
          <cell r="D445" t="str">
            <v>Nov</v>
          </cell>
          <cell r="F445">
            <v>0</v>
          </cell>
        </row>
        <row r="446">
          <cell r="A446" t="str">
            <v>Irrigation</v>
          </cell>
          <cell r="B446" t="str">
            <v>GNSS</v>
          </cell>
          <cell r="C446" t="str">
            <v>Salaries and Wages Payable</v>
          </cell>
          <cell r="D446" t="str">
            <v>Nov</v>
          </cell>
          <cell r="F446">
            <v>76</v>
          </cell>
        </row>
        <row r="447">
          <cell r="A447" t="str">
            <v>Irrigation</v>
          </cell>
          <cell r="B447" t="str">
            <v>GNSS</v>
          </cell>
          <cell r="C447" t="str">
            <v>Mobilisation Adv Outstanding</v>
          </cell>
          <cell r="D447" t="str">
            <v>Nov</v>
          </cell>
          <cell r="F447">
            <v>168</v>
          </cell>
        </row>
        <row r="448">
          <cell r="A448" t="str">
            <v>Irrigation</v>
          </cell>
          <cell r="B448" t="str">
            <v>GNSS</v>
          </cell>
          <cell r="C448" t="str">
            <v>Bank Loan outstanding</v>
          </cell>
          <cell r="D448" t="str">
            <v>Nov</v>
          </cell>
          <cell r="F448">
            <v>0</v>
          </cell>
        </row>
        <row r="449">
          <cell r="A449" t="str">
            <v>Irrigation</v>
          </cell>
          <cell r="B449" t="str">
            <v>GNSS</v>
          </cell>
          <cell r="C449" t="str">
            <v>HO funding</v>
          </cell>
          <cell r="D449" t="str">
            <v>Nov</v>
          </cell>
          <cell r="F449">
            <v>0</v>
          </cell>
        </row>
        <row r="450">
          <cell r="A450" t="str">
            <v>Irrigation</v>
          </cell>
          <cell r="B450" t="str">
            <v>GNSS</v>
          </cell>
          <cell r="C450" t="str">
            <v>Debtors</v>
          </cell>
          <cell r="D450" t="str">
            <v>Dec</v>
          </cell>
          <cell r="F450">
            <v>33.440400000000011</v>
          </cell>
        </row>
        <row r="451">
          <cell r="A451" t="str">
            <v>Irrigation</v>
          </cell>
          <cell r="B451" t="str">
            <v>GNSS</v>
          </cell>
          <cell r="C451" t="str">
            <v>Work In Progress (increase/decrease)</v>
          </cell>
          <cell r="D451" t="str">
            <v>Dec</v>
          </cell>
          <cell r="F451">
            <v>260</v>
          </cell>
        </row>
        <row r="452">
          <cell r="A452" t="str">
            <v>Irrigation</v>
          </cell>
          <cell r="B452" t="str">
            <v>GNSS</v>
          </cell>
          <cell r="C452" t="str">
            <v>Stock of Raw Materials</v>
          </cell>
          <cell r="D452" t="str">
            <v>Dec</v>
          </cell>
          <cell r="F452">
            <v>20</v>
          </cell>
        </row>
        <row r="453">
          <cell r="A453" t="str">
            <v>Irrigation</v>
          </cell>
          <cell r="B453" t="str">
            <v>GNSS</v>
          </cell>
          <cell r="C453" t="str">
            <v>Retention(incl TDS)</v>
          </cell>
          <cell r="D453" t="str">
            <v>Dec</v>
          </cell>
          <cell r="F453">
            <v>-192.1626</v>
          </cell>
        </row>
        <row r="454">
          <cell r="A454" t="str">
            <v>Irrigation</v>
          </cell>
          <cell r="B454" t="str">
            <v>GNSS</v>
          </cell>
          <cell r="C454" t="str">
            <v>Projected Profit/Loss on YTD Sales</v>
          </cell>
          <cell r="D454" t="str">
            <v>Dec</v>
          </cell>
          <cell r="F454">
            <v>-62992.74</v>
          </cell>
        </row>
        <row r="455">
          <cell r="A455" t="str">
            <v>Irrigation</v>
          </cell>
          <cell r="B455" t="str">
            <v>GNSS</v>
          </cell>
          <cell r="C455" t="str">
            <v>Cash and Bank Balance</v>
          </cell>
          <cell r="D455" t="str">
            <v>Dec</v>
          </cell>
          <cell r="F455">
            <v>0</v>
          </cell>
        </row>
        <row r="456">
          <cell r="A456" t="str">
            <v>Irrigation</v>
          </cell>
          <cell r="B456" t="str">
            <v>GNSS</v>
          </cell>
          <cell r="C456" t="str">
            <v>Creditors-Suppliers-net of advance</v>
          </cell>
          <cell r="D456" t="str">
            <v>Dec</v>
          </cell>
          <cell r="F456">
            <v>16</v>
          </cell>
        </row>
        <row r="457">
          <cell r="A457" t="str">
            <v>Irrigation</v>
          </cell>
          <cell r="B457" t="str">
            <v>GNSS</v>
          </cell>
          <cell r="C457" t="str">
            <v>Sub-Contractors-net of advance</v>
          </cell>
          <cell r="D457" t="str">
            <v>Dec</v>
          </cell>
          <cell r="F457">
            <v>60</v>
          </cell>
        </row>
        <row r="458">
          <cell r="A458" t="str">
            <v>Irrigation</v>
          </cell>
          <cell r="B458" t="str">
            <v>GNSS</v>
          </cell>
          <cell r="C458" t="str">
            <v>Own</v>
          </cell>
          <cell r="D458" t="str">
            <v>Dec</v>
          </cell>
          <cell r="F458">
            <v>0</v>
          </cell>
        </row>
        <row r="459">
          <cell r="A459" t="str">
            <v>Irrigation</v>
          </cell>
          <cell r="B459" t="str">
            <v>GNSS</v>
          </cell>
          <cell r="C459" t="str">
            <v>Outstide</v>
          </cell>
          <cell r="D459" t="str">
            <v>Dec</v>
          </cell>
          <cell r="F459">
            <v>0</v>
          </cell>
        </row>
        <row r="460">
          <cell r="A460" t="str">
            <v>Irrigation</v>
          </cell>
          <cell r="B460" t="str">
            <v>GNSS</v>
          </cell>
          <cell r="C460" t="str">
            <v>Salaries and Wages Payable</v>
          </cell>
          <cell r="D460" t="str">
            <v>Dec</v>
          </cell>
          <cell r="F460">
            <v>76</v>
          </cell>
        </row>
        <row r="461">
          <cell r="A461" t="str">
            <v>Irrigation</v>
          </cell>
          <cell r="B461" t="str">
            <v>GNSS</v>
          </cell>
          <cell r="C461" t="str">
            <v>Mobilisation Adv Outstanding</v>
          </cell>
          <cell r="D461" t="str">
            <v>Dec</v>
          </cell>
          <cell r="F461">
            <v>182</v>
          </cell>
        </row>
        <row r="462">
          <cell r="A462" t="str">
            <v>Irrigation</v>
          </cell>
          <cell r="B462" t="str">
            <v>GNSS</v>
          </cell>
          <cell r="C462" t="str">
            <v>Bank Loan outstanding</v>
          </cell>
          <cell r="D462" t="str">
            <v>Dec</v>
          </cell>
          <cell r="F462">
            <v>0</v>
          </cell>
        </row>
        <row r="463">
          <cell r="A463" t="str">
            <v>Irrigation</v>
          </cell>
          <cell r="B463" t="str">
            <v>GNSS</v>
          </cell>
          <cell r="C463" t="str">
            <v>HO funding</v>
          </cell>
          <cell r="D463" t="str">
            <v>Dec</v>
          </cell>
          <cell r="F463">
            <v>0</v>
          </cell>
        </row>
        <row r="464">
          <cell r="A464" t="str">
            <v>Irrigation</v>
          </cell>
          <cell r="B464" t="str">
            <v>GNSS</v>
          </cell>
          <cell r="C464" t="str">
            <v>Debtors</v>
          </cell>
          <cell r="D464" t="str">
            <v>Jan</v>
          </cell>
          <cell r="F464">
            <v>33.440400000000011</v>
          </cell>
        </row>
        <row r="465">
          <cell r="A465" t="str">
            <v>Irrigation</v>
          </cell>
          <cell r="B465" t="str">
            <v>GNSS</v>
          </cell>
          <cell r="C465" t="str">
            <v>Work In Progress (increase/decrease)</v>
          </cell>
          <cell r="D465" t="str">
            <v>Jan</v>
          </cell>
          <cell r="F465">
            <v>280</v>
          </cell>
        </row>
        <row r="466">
          <cell r="A466" t="str">
            <v>Irrigation</v>
          </cell>
          <cell r="B466" t="str">
            <v>GNSS</v>
          </cell>
          <cell r="C466" t="str">
            <v>Stock of Raw Materials</v>
          </cell>
          <cell r="D466" t="str">
            <v>Jan</v>
          </cell>
          <cell r="F466">
            <v>20</v>
          </cell>
        </row>
        <row r="467">
          <cell r="A467" t="str">
            <v>Irrigation</v>
          </cell>
          <cell r="B467" t="str">
            <v>GNSS</v>
          </cell>
          <cell r="C467" t="str">
            <v>Retention(incl TDS)</v>
          </cell>
          <cell r="D467" t="str">
            <v>Jan</v>
          </cell>
          <cell r="F467">
            <v>-208.4828</v>
          </cell>
        </row>
        <row r="468">
          <cell r="A468" t="str">
            <v>Irrigation</v>
          </cell>
          <cell r="B468" t="str">
            <v>GNSS</v>
          </cell>
          <cell r="C468" t="str">
            <v>Projected Profit/Loss on YTD Sales</v>
          </cell>
          <cell r="D468" t="str">
            <v>Jan</v>
          </cell>
          <cell r="F468">
            <v>-67840.05</v>
          </cell>
        </row>
        <row r="469">
          <cell r="A469" t="str">
            <v>Irrigation</v>
          </cell>
          <cell r="B469" t="str">
            <v>GNSS</v>
          </cell>
          <cell r="C469" t="str">
            <v>Cash and Bank Balance</v>
          </cell>
          <cell r="D469" t="str">
            <v>Jan</v>
          </cell>
          <cell r="F469">
            <v>0</v>
          </cell>
        </row>
        <row r="470">
          <cell r="A470" t="str">
            <v>Irrigation</v>
          </cell>
          <cell r="B470" t="str">
            <v>GNSS</v>
          </cell>
          <cell r="C470" t="str">
            <v>Creditors-Suppliers-net of advance</v>
          </cell>
          <cell r="D470" t="str">
            <v>Jan</v>
          </cell>
          <cell r="F470">
            <v>16</v>
          </cell>
        </row>
        <row r="471">
          <cell r="A471" t="str">
            <v>Irrigation</v>
          </cell>
          <cell r="B471" t="str">
            <v>GNSS</v>
          </cell>
          <cell r="C471" t="str">
            <v>Sub-Contractors-net of advance</v>
          </cell>
          <cell r="D471" t="str">
            <v>Jan</v>
          </cell>
          <cell r="F471">
            <v>60</v>
          </cell>
        </row>
        <row r="472">
          <cell r="A472" t="str">
            <v>Irrigation</v>
          </cell>
          <cell r="B472" t="str">
            <v>GNSS</v>
          </cell>
          <cell r="C472" t="str">
            <v>Own</v>
          </cell>
          <cell r="D472" t="str">
            <v>Jan</v>
          </cell>
          <cell r="F472">
            <v>0</v>
          </cell>
        </row>
        <row r="473">
          <cell r="A473" t="str">
            <v>Irrigation</v>
          </cell>
          <cell r="B473" t="str">
            <v>GNSS</v>
          </cell>
          <cell r="C473" t="str">
            <v>Outstide</v>
          </cell>
          <cell r="D473" t="str">
            <v>Jan</v>
          </cell>
          <cell r="F473">
            <v>0</v>
          </cell>
        </row>
        <row r="474">
          <cell r="A474" t="str">
            <v>Irrigation</v>
          </cell>
          <cell r="B474" t="str">
            <v>GNSS</v>
          </cell>
          <cell r="C474" t="str">
            <v>Salaries and Wages Payable</v>
          </cell>
          <cell r="D474" t="str">
            <v>Jan</v>
          </cell>
          <cell r="F474">
            <v>76</v>
          </cell>
        </row>
        <row r="475">
          <cell r="A475" t="str">
            <v>Irrigation</v>
          </cell>
          <cell r="B475" t="str">
            <v>GNSS</v>
          </cell>
          <cell r="C475" t="str">
            <v>Mobilisation Adv Outstanding</v>
          </cell>
          <cell r="D475" t="str">
            <v>Jan</v>
          </cell>
          <cell r="F475">
            <v>196</v>
          </cell>
        </row>
        <row r="476">
          <cell r="A476" t="str">
            <v>Irrigation</v>
          </cell>
          <cell r="B476" t="str">
            <v>GNSS</v>
          </cell>
          <cell r="C476" t="str">
            <v>Bank Loan outstanding</v>
          </cell>
          <cell r="D476" t="str">
            <v>Jan</v>
          </cell>
          <cell r="F476">
            <v>0</v>
          </cell>
        </row>
        <row r="477">
          <cell r="A477" t="str">
            <v>Irrigation</v>
          </cell>
          <cell r="B477" t="str">
            <v>GNSS</v>
          </cell>
          <cell r="C477" t="str">
            <v>HO funding</v>
          </cell>
          <cell r="D477" t="str">
            <v>Jan</v>
          </cell>
          <cell r="F477">
            <v>0</v>
          </cell>
        </row>
        <row r="478">
          <cell r="A478" t="str">
            <v>Irrigation</v>
          </cell>
          <cell r="B478" t="str">
            <v>GNSS</v>
          </cell>
          <cell r="C478" t="str">
            <v>Debtors</v>
          </cell>
          <cell r="D478" t="str">
            <v>Feb</v>
          </cell>
          <cell r="F478">
            <v>33.440400000000011</v>
          </cell>
        </row>
        <row r="479">
          <cell r="A479" t="str">
            <v>Irrigation</v>
          </cell>
          <cell r="B479" t="str">
            <v>GNSS</v>
          </cell>
          <cell r="C479" t="str">
            <v>Work In Progress (increase/decrease)</v>
          </cell>
          <cell r="D479" t="str">
            <v>Feb</v>
          </cell>
          <cell r="F479">
            <v>300</v>
          </cell>
        </row>
        <row r="480">
          <cell r="A480" t="str">
            <v>Irrigation</v>
          </cell>
          <cell r="B480" t="str">
            <v>GNSS</v>
          </cell>
          <cell r="C480" t="str">
            <v>Stock of Raw Materials</v>
          </cell>
          <cell r="D480" t="str">
            <v>Feb</v>
          </cell>
          <cell r="F480">
            <v>20</v>
          </cell>
        </row>
        <row r="481">
          <cell r="A481" t="str">
            <v>Irrigation</v>
          </cell>
          <cell r="B481" t="str">
            <v>GNSS</v>
          </cell>
          <cell r="C481" t="str">
            <v>Retention(incl TDS)</v>
          </cell>
          <cell r="D481" t="str">
            <v>Feb</v>
          </cell>
          <cell r="F481">
            <v>-224.803</v>
          </cell>
        </row>
        <row r="482">
          <cell r="A482" t="str">
            <v>Irrigation</v>
          </cell>
          <cell r="B482" t="str">
            <v>GNSS</v>
          </cell>
          <cell r="C482" t="str">
            <v>Projected Profit/Loss on YTD Sales</v>
          </cell>
          <cell r="D482" t="str">
            <v>Feb</v>
          </cell>
          <cell r="F482">
            <v>-72689.42</v>
          </cell>
        </row>
        <row r="483">
          <cell r="A483" t="str">
            <v>Irrigation</v>
          </cell>
          <cell r="B483" t="str">
            <v>GNSS</v>
          </cell>
          <cell r="C483" t="str">
            <v>Cash and Bank Balance</v>
          </cell>
          <cell r="D483" t="str">
            <v>Feb</v>
          </cell>
          <cell r="F483">
            <v>0</v>
          </cell>
        </row>
        <row r="484">
          <cell r="A484" t="str">
            <v>Irrigation</v>
          </cell>
          <cell r="B484" t="str">
            <v>GNSS</v>
          </cell>
          <cell r="C484" t="str">
            <v>Creditors-Suppliers-net of advance</v>
          </cell>
          <cell r="D484" t="str">
            <v>Feb</v>
          </cell>
          <cell r="F484">
            <v>16</v>
          </cell>
        </row>
        <row r="485">
          <cell r="A485" t="str">
            <v>Irrigation</v>
          </cell>
          <cell r="B485" t="str">
            <v>GNSS</v>
          </cell>
          <cell r="C485" t="str">
            <v>Sub-Contractors-net of advance</v>
          </cell>
          <cell r="D485" t="str">
            <v>Feb</v>
          </cell>
          <cell r="F485">
            <v>60</v>
          </cell>
        </row>
        <row r="486">
          <cell r="A486" t="str">
            <v>Irrigation</v>
          </cell>
          <cell r="B486" t="str">
            <v>GNSS</v>
          </cell>
          <cell r="C486" t="str">
            <v>Own</v>
          </cell>
          <cell r="D486" t="str">
            <v>Feb</v>
          </cell>
          <cell r="F486">
            <v>0</v>
          </cell>
        </row>
        <row r="487">
          <cell r="A487" t="str">
            <v>Irrigation</v>
          </cell>
          <cell r="B487" t="str">
            <v>GNSS</v>
          </cell>
          <cell r="C487" t="str">
            <v>Outstide</v>
          </cell>
          <cell r="D487" t="str">
            <v>Feb</v>
          </cell>
          <cell r="F487">
            <v>0</v>
          </cell>
        </row>
        <row r="488">
          <cell r="A488" t="str">
            <v>Irrigation</v>
          </cell>
          <cell r="B488" t="str">
            <v>GNSS</v>
          </cell>
          <cell r="C488" t="str">
            <v>Salaries and Wages Payable</v>
          </cell>
          <cell r="D488" t="str">
            <v>Feb</v>
          </cell>
          <cell r="F488">
            <v>76</v>
          </cell>
        </row>
        <row r="489">
          <cell r="A489" t="str">
            <v>Irrigation</v>
          </cell>
          <cell r="B489" t="str">
            <v>GNSS</v>
          </cell>
          <cell r="C489" t="str">
            <v>Mobilisation Adv Outstanding</v>
          </cell>
          <cell r="D489" t="str">
            <v>Feb</v>
          </cell>
          <cell r="F489">
            <v>210</v>
          </cell>
        </row>
        <row r="490">
          <cell r="A490" t="str">
            <v>Irrigation</v>
          </cell>
          <cell r="B490" t="str">
            <v>GNSS</v>
          </cell>
          <cell r="C490" t="str">
            <v>Bank Loan outstanding</v>
          </cell>
          <cell r="D490" t="str">
            <v>Feb</v>
          </cell>
          <cell r="F490">
            <v>0</v>
          </cell>
        </row>
        <row r="491">
          <cell r="A491" t="str">
            <v>Irrigation</v>
          </cell>
          <cell r="B491" t="str">
            <v>GNSS</v>
          </cell>
          <cell r="C491" t="str">
            <v>HO funding</v>
          </cell>
          <cell r="D491" t="str">
            <v>Feb</v>
          </cell>
          <cell r="F491">
            <v>0</v>
          </cell>
        </row>
        <row r="492">
          <cell r="A492" t="str">
            <v>Irrigation</v>
          </cell>
          <cell r="B492" t="str">
            <v>GNSS</v>
          </cell>
          <cell r="C492" t="str">
            <v>Debtors</v>
          </cell>
          <cell r="D492" t="str">
            <v>Mar</v>
          </cell>
          <cell r="F492">
            <v>33.440400000000011</v>
          </cell>
        </row>
        <row r="493">
          <cell r="A493" t="str">
            <v>Irrigation</v>
          </cell>
          <cell r="B493" t="str">
            <v>GNSS</v>
          </cell>
          <cell r="C493" t="str">
            <v>Work In Progress (increase/decrease)</v>
          </cell>
          <cell r="D493" t="str">
            <v>Mar</v>
          </cell>
          <cell r="F493">
            <v>320</v>
          </cell>
        </row>
        <row r="494">
          <cell r="A494" t="str">
            <v>Irrigation</v>
          </cell>
          <cell r="B494" t="str">
            <v>GNSS</v>
          </cell>
          <cell r="C494" t="str">
            <v>Stock of Raw Materials</v>
          </cell>
          <cell r="D494" t="str">
            <v>Mar</v>
          </cell>
          <cell r="F494">
            <v>0</v>
          </cell>
        </row>
        <row r="495">
          <cell r="A495" t="str">
            <v>Irrigation</v>
          </cell>
          <cell r="B495" t="str">
            <v>GNSS</v>
          </cell>
          <cell r="C495" t="str">
            <v>Retention(incl TDS)</v>
          </cell>
          <cell r="D495" t="str">
            <v>Mar</v>
          </cell>
          <cell r="F495">
            <v>-241.1232</v>
          </cell>
        </row>
        <row r="496">
          <cell r="A496" t="str">
            <v>Irrigation</v>
          </cell>
          <cell r="B496" t="str">
            <v>GNSS</v>
          </cell>
          <cell r="C496" t="str">
            <v>Projected Profit/Loss on YTD Sales</v>
          </cell>
          <cell r="D496" t="str">
            <v>Mar</v>
          </cell>
          <cell r="F496">
            <v>-77540.86</v>
          </cell>
        </row>
        <row r="497">
          <cell r="A497" t="str">
            <v>Irrigation</v>
          </cell>
          <cell r="B497" t="str">
            <v>GNSS</v>
          </cell>
          <cell r="C497" t="str">
            <v>Cash and Bank Balance</v>
          </cell>
          <cell r="D497" t="str">
            <v>Mar</v>
          </cell>
          <cell r="F497">
            <v>0</v>
          </cell>
        </row>
        <row r="498">
          <cell r="A498" t="str">
            <v>Irrigation</v>
          </cell>
          <cell r="B498" t="str">
            <v>GNSS</v>
          </cell>
          <cell r="C498" t="str">
            <v>Creditors-Suppliers-net of advance</v>
          </cell>
          <cell r="D498" t="str">
            <v>Mar</v>
          </cell>
          <cell r="F498">
            <v>16</v>
          </cell>
        </row>
        <row r="499">
          <cell r="A499" t="str">
            <v>Irrigation</v>
          </cell>
          <cell r="B499" t="str">
            <v>GNSS</v>
          </cell>
          <cell r="C499" t="str">
            <v>Sub-Contractors-net of advance</v>
          </cell>
          <cell r="D499" t="str">
            <v>Mar</v>
          </cell>
          <cell r="F499">
            <v>60</v>
          </cell>
        </row>
        <row r="500">
          <cell r="A500" t="str">
            <v>Irrigation</v>
          </cell>
          <cell r="B500" t="str">
            <v>GNSS</v>
          </cell>
          <cell r="C500" t="str">
            <v>Own</v>
          </cell>
          <cell r="D500" t="str">
            <v>Mar</v>
          </cell>
          <cell r="F500">
            <v>0</v>
          </cell>
        </row>
        <row r="501">
          <cell r="A501" t="str">
            <v>Irrigation</v>
          </cell>
          <cell r="B501" t="str">
            <v>GNSS</v>
          </cell>
          <cell r="C501" t="str">
            <v>Outstide</v>
          </cell>
          <cell r="D501" t="str">
            <v>Mar</v>
          </cell>
          <cell r="F501">
            <v>0</v>
          </cell>
        </row>
        <row r="502">
          <cell r="A502" t="str">
            <v>Irrigation</v>
          </cell>
          <cell r="B502" t="str">
            <v>GNSS</v>
          </cell>
          <cell r="C502" t="str">
            <v>Salaries and Wages Payable</v>
          </cell>
          <cell r="D502" t="str">
            <v>Mar</v>
          </cell>
          <cell r="F502">
            <v>76</v>
          </cell>
        </row>
        <row r="503">
          <cell r="A503" t="str">
            <v>Irrigation</v>
          </cell>
          <cell r="B503" t="str">
            <v>GNSS</v>
          </cell>
          <cell r="C503" t="str">
            <v>Mobilisation Adv Outstanding</v>
          </cell>
          <cell r="D503" t="str">
            <v>Mar</v>
          </cell>
          <cell r="F503">
            <v>224</v>
          </cell>
        </row>
        <row r="504">
          <cell r="A504" t="str">
            <v>Irrigation</v>
          </cell>
          <cell r="B504" t="str">
            <v>GNSS</v>
          </cell>
          <cell r="C504" t="str">
            <v>Bank Loan outstanding</v>
          </cell>
          <cell r="D504" t="str">
            <v>Mar</v>
          </cell>
          <cell r="F504">
            <v>0</v>
          </cell>
        </row>
        <row r="505">
          <cell r="A505" t="str">
            <v>Irrigation</v>
          </cell>
          <cell r="B505" t="str">
            <v>GNSS</v>
          </cell>
          <cell r="C505" t="str">
            <v>HO funding</v>
          </cell>
          <cell r="D505" t="str">
            <v>Mar</v>
          </cell>
          <cell r="F505">
            <v>0</v>
          </cell>
        </row>
        <row r="506">
          <cell r="A506" t="str">
            <v>Irrigation</v>
          </cell>
          <cell r="B506" t="str">
            <v>ISLMC</v>
          </cell>
          <cell r="C506" t="str">
            <v>Debtors</v>
          </cell>
          <cell r="D506" t="str">
            <v>Apr</v>
          </cell>
          <cell r="F506">
            <v>33.440400000000011</v>
          </cell>
        </row>
        <row r="507">
          <cell r="A507" t="str">
            <v>Irrigation</v>
          </cell>
          <cell r="B507" t="str">
            <v>ISLMC</v>
          </cell>
          <cell r="C507" t="str">
            <v>Work In Progress (increase/decrease)</v>
          </cell>
          <cell r="D507" t="str">
            <v>Apr</v>
          </cell>
          <cell r="F507">
            <v>100</v>
          </cell>
        </row>
        <row r="508">
          <cell r="A508" t="str">
            <v>Irrigation</v>
          </cell>
          <cell r="B508" t="str">
            <v>ISLMC</v>
          </cell>
          <cell r="C508" t="str">
            <v>Stock of Raw Materials</v>
          </cell>
          <cell r="D508" t="str">
            <v>Apr</v>
          </cell>
          <cell r="F508">
            <v>20</v>
          </cell>
        </row>
        <row r="509">
          <cell r="A509" t="str">
            <v>Irrigation</v>
          </cell>
          <cell r="B509" t="str">
            <v>ISLMC</v>
          </cell>
          <cell r="C509" t="str">
            <v>Retention(incl TDS)</v>
          </cell>
          <cell r="D509" t="str">
            <v>Apr</v>
          </cell>
          <cell r="F509">
            <v>-61.600999999999999</v>
          </cell>
        </row>
        <row r="510">
          <cell r="A510" t="str">
            <v>Irrigation</v>
          </cell>
          <cell r="B510" t="str">
            <v>ISLMC</v>
          </cell>
          <cell r="C510" t="str">
            <v>Projected Profit/Loss on YTD Sales</v>
          </cell>
          <cell r="D510" t="str">
            <v>Apr</v>
          </cell>
          <cell r="F510">
            <v>-24288.71</v>
          </cell>
        </row>
        <row r="511">
          <cell r="A511" t="str">
            <v>Irrigation</v>
          </cell>
          <cell r="B511" t="str">
            <v>ISLMC</v>
          </cell>
          <cell r="C511" t="str">
            <v>Cash and Bank Balance</v>
          </cell>
          <cell r="D511" t="str">
            <v>Apr</v>
          </cell>
          <cell r="F511">
            <v>0</v>
          </cell>
        </row>
        <row r="512">
          <cell r="A512" t="str">
            <v>Irrigation</v>
          </cell>
          <cell r="B512" t="str">
            <v>ISLMC</v>
          </cell>
          <cell r="C512" t="str">
            <v>Creditors-Suppliers-net of advance</v>
          </cell>
          <cell r="D512" t="str">
            <v>Apr</v>
          </cell>
          <cell r="F512">
            <v>16</v>
          </cell>
        </row>
        <row r="513">
          <cell r="A513" t="str">
            <v>Irrigation</v>
          </cell>
          <cell r="B513" t="str">
            <v>ISLMC</v>
          </cell>
          <cell r="C513" t="str">
            <v>Sub-Contractors-net of advance</v>
          </cell>
          <cell r="D513" t="str">
            <v>Apr</v>
          </cell>
          <cell r="F513">
            <v>60</v>
          </cell>
        </row>
        <row r="514">
          <cell r="A514" t="str">
            <v>Irrigation</v>
          </cell>
          <cell r="B514" t="str">
            <v>ISLMC</v>
          </cell>
          <cell r="C514" t="str">
            <v>Own</v>
          </cell>
          <cell r="D514" t="str">
            <v>Apr</v>
          </cell>
          <cell r="F514">
            <v>0</v>
          </cell>
        </row>
        <row r="515">
          <cell r="A515" t="str">
            <v>Irrigation</v>
          </cell>
          <cell r="B515" t="str">
            <v>ISLMC</v>
          </cell>
          <cell r="C515" t="str">
            <v>Outstide</v>
          </cell>
          <cell r="D515" t="str">
            <v>Apr</v>
          </cell>
          <cell r="F515">
            <v>0</v>
          </cell>
        </row>
        <row r="516">
          <cell r="A516" t="str">
            <v>Irrigation</v>
          </cell>
          <cell r="B516" t="str">
            <v>ISLMC</v>
          </cell>
          <cell r="C516" t="str">
            <v>Salaries and Wages Payable</v>
          </cell>
          <cell r="D516" t="str">
            <v>Apr</v>
          </cell>
          <cell r="F516">
            <v>0</v>
          </cell>
        </row>
        <row r="517">
          <cell r="A517" t="str">
            <v>Irrigation</v>
          </cell>
          <cell r="B517" t="str">
            <v>ISLMC</v>
          </cell>
          <cell r="C517" t="str">
            <v>Mobilisation Adv Outstanding</v>
          </cell>
          <cell r="D517" t="str">
            <v>Apr</v>
          </cell>
          <cell r="F517">
            <v>70</v>
          </cell>
        </row>
        <row r="518">
          <cell r="A518" t="str">
            <v>Irrigation</v>
          </cell>
          <cell r="B518" t="str">
            <v>ISLMC</v>
          </cell>
          <cell r="C518" t="str">
            <v>Bank Loan outstanding</v>
          </cell>
          <cell r="D518" t="str">
            <v>Apr</v>
          </cell>
        </row>
        <row r="519">
          <cell r="A519" t="str">
            <v>Irrigation</v>
          </cell>
          <cell r="B519" t="str">
            <v>ISLMC</v>
          </cell>
          <cell r="C519" t="str">
            <v>HO funding</v>
          </cell>
          <cell r="D519" t="str">
            <v>Apr</v>
          </cell>
        </row>
        <row r="520">
          <cell r="A520" t="str">
            <v>Irrigation</v>
          </cell>
          <cell r="B520" t="str">
            <v>ISLMC</v>
          </cell>
          <cell r="C520" t="str">
            <v>Debtors</v>
          </cell>
          <cell r="D520" t="str">
            <v>May</v>
          </cell>
          <cell r="F520">
            <v>33.440400000000011</v>
          </cell>
        </row>
        <row r="521">
          <cell r="A521" t="str">
            <v>Irrigation</v>
          </cell>
          <cell r="B521" t="str">
            <v>ISLMC</v>
          </cell>
          <cell r="C521" t="str">
            <v>Work In Progress (increase/decrease)</v>
          </cell>
          <cell r="D521" t="str">
            <v>May</v>
          </cell>
          <cell r="F521">
            <v>120</v>
          </cell>
        </row>
        <row r="522">
          <cell r="A522" t="str">
            <v>Irrigation</v>
          </cell>
          <cell r="B522" t="str">
            <v>ISLMC</v>
          </cell>
          <cell r="C522" t="str">
            <v>Stock of Raw Materials</v>
          </cell>
          <cell r="D522" t="str">
            <v>May</v>
          </cell>
          <cell r="F522">
            <v>20</v>
          </cell>
        </row>
        <row r="523">
          <cell r="A523" t="str">
            <v>Irrigation</v>
          </cell>
          <cell r="B523" t="str">
            <v>ISLMC</v>
          </cell>
          <cell r="C523" t="str">
            <v>Retention(incl TDS)</v>
          </cell>
          <cell r="D523" t="str">
            <v>May</v>
          </cell>
          <cell r="F523">
            <v>-77.921199999999999</v>
          </cell>
        </row>
        <row r="524">
          <cell r="A524" t="str">
            <v>Irrigation</v>
          </cell>
          <cell r="B524" t="str">
            <v>ISLMC</v>
          </cell>
          <cell r="C524" t="str">
            <v>Projected Profit/Loss on YTD Sales</v>
          </cell>
          <cell r="D524" t="str">
            <v>May</v>
          </cell>
          <cell r="F524">
            <v>-29119.48</v>
          </cell>
        </row>
        <row r="525">
          <cell r="A525" t="str">
            <v>Irrigation</v>
          </cell>
          <cell r="B525" t="str">
            <v>ISLMC</v>
          </cell>
          <cell r="C525" t="str">
            <v>Cash and Bank Balance</v>
          </cell>
          <cell r="D525" t="str">
            <v>May</v>
          </cell>
          <cell r="F525">
            <v>0</v>
          </cell>
        </row>
        <row r="526">
          <cell r="A526" t="str">
            <v>Irrigation</v>
          </cell>
          <cell r="B526" t="str">
            <v>ISLMC</v>
          </cell>
          <cell r="C526" t="str">
            <v>Creditors-Suppliers-net of advance</v>
          </cell>
          <cell r="D526" t="str">
            <v>May</v>
          </cell>
          <cell r="F526">
            <v>16</v>
          </cell>
        </row>
        <row r="527">
          <cell r="A527" t="str">
            <v>Irrigation</v>
          </cell>
          <cell r="B527" t="str">
            <v>ISLMC</v>
          </cell>
          <cell r="C527" t="str">
            <v>Sub-Contractors-net of advance</v>
          </cell>
          <cell r="D527" t="str">
            <v>May</v>
          </cell>
          <cell r="F527">
            <v>60</v>
          </cell>
        </row>
        <row r="528">
          <cell r="A528" t="str">
            <v>Irrigation</v>
          </cell>
          <cell r="B528" t="str">
            <v>ISLMC</v>
          </cell>
          <cell r="C528" t="str">
            <v>Own</v>
          </cell>
          <cell r="D528" t="str">
            <v>May</v>
          </cell>
          <cell r="F528">
            <v>0</v>
          </cell>
        </row>
        <row r="529">
          <cell r="A529" t="str">
            <v>Irrigation</v>
          </cell>
          <cell r="B529" t="str">
            <v>ISLMC</v>
          </cell>
          <cell r="C529" t="str">
            <v>Outstide</v>
          </cell>
          <cell r="D529" t="str">
            <v>May</v>
          </cell>
          <cell r="F529">
            <v>0</v>
          </cell>
        </row>
        <row r="530">
          <cell r="A530" t="str">
            <v>Irrigation</v>
          </cell>
          <cell r="B530" t="str">
            <v>ISLMC</v>
          </cell>
          <cell r="C530" t="str">
            <v>Salaries and Wages Payable</v>
          </cell>
          <cell r="D530" t="str">
            <v>May</v>
          </cell>
          <cell r="F530">
            <v>0</v>
          </cell>
        </row>
        <row r="531">
          <cell r="A531" t="str">
            <v>Irrigation</v>
          </cell>
          <cell r="B531" t="str">
            <v>ISLMC</v>
          </cell>
          <cell r="C531" t="str">
            <v>Mobilisation Adv Outstanding</v>
          </cell>
          <cell r="D531" t="str">
            <v>May</v>
          </cell>
          <cell r="F531">
            <v>84</v>
          </cell>
        </row>
        <row r="532">
          <cell r="A532" t="str">
            <v>Irrigation</v>
          </cell>
          <cell r="B532" t="str">
            <v>ISLMC</v>
          </cell>
          <cell r="C532" t="str">
            <v>Bank Loan outstanding</v>
          </cell>
          <cell r="D532" t="str">
            <v>May</v>
          </cell>
        </row>
        <row r="533">
          <cell r="A533" t="str">
            <v>Irrigation</v>
          </cell>
          <cell r="B533" t="str">
            <v>ISLMC</v>
          </cell>
          <cell r="C533" t="str">
            <v>HO funding</v>
          </cell>
          <cell r="D533" t="str">
            <v>May</v>
          </cell>
        </row>
        <row r="534">
          <cell r="A534" t="str">
            <v>Irrigation</v>
          </cell>
          <cell r="B534" t="str">
            <v>ISLMC</v>
          </cell>
          <cell r="C534" t="str">
            <v>Debtors</v>
          </cell>
          <cell r="D534" t="str">
            <v>June</v>
          </cell>
          <cell r="F534">
            <v>33.440400000000011</v>
          </cell>
        </row>
        <row r="535">
          <cell r="A535" t="str">
            <v>Irrigation</v>
          </cell>
          <cell r="B535" t="str">
            <v>ISLMC</v>
          </cell>
          <cell r="C535" t="str">
            <v>Work In Progress (increase/decrease)</v>
          </cell>
          <cell r="D535" t="str">
            <v>June</v>
          </cell>
          <cell r="F535">
            <v>140</v>
          </cell>
        </row>
        <row r="536">
          <cell r="A536" t="str">
            <v>Irrigation</v>
          </cell>
          <cell r="B536" t="str">
            <v>ISLMC</v>
          </cell>
          <cell r="C536" t="str">
            <v>Stock of Raw Materials</v>
          </cell>
          <cell r="D536" t="str">
            <v>June</v>
          </cell>
          <cell r="F536">
            <v>20</v>
          </cell>
        </row>
        <row r="537">
          <cell r="A537" t="str">
            <v>Irrigation</v>
          </cell>
          <cell r="B537" t="str">
            <v>ISLMC</v>
          </cell>
          <cell r="C537" t="str">
            <v>Retention(incl TDS)</v>
          </cell>
          <cell r="D537" t="str">
            <v>June</v>
          </cell>
          <cell r="F537">
            <v>-94.241399999999999</v>
          </cell>
        </row>
        <row r="538">
          <cell r="A538" t="str">
            <v>Irrigation</v>
          </cell>
          <cell r="B538" t="str">
            <v>ISLMC</v>
          </cell>
          <cell r="C538" t="str">
            <v>Projected Profit/Loss on YTD Sales</v>
          </cell>
          <cell r="D538" t="str">
            <v>June</v>
          </cell>
          <cell r="F538">
            <v>-33952.32</v>
          </cell>
        </row>
        <row r="539">
          <cell r="A539" t="str">
            <v>Irrigation</v>
          </cell>
          <cell r="B539" t="str">
            <v>ISLMC</v>
          </cell>
          <cell r="C539" t="str">
            <v>Cash and Bank Balance</v>
          </cell>
          <cell r="D539" t="str">
            <v>June</v>
          </cell>
          <cell r="F539">
            <v>0</v>
          </cell>
        </row>
        <row r="540">
          <cell r="A540" t="str">
            <v>Irrigation</v>
          </cell>
          <cell r="B540" t="str">
            <v>ISLMC</v>
          </cell>
          <cell r="C540" t="str">
            <v>Creditors-Suppliers-net of advance</v>
          </cell>
          <cell r="D540" t="str">
            <v>June</v>
          </cell>
          <cell r="F540">
            <v>16</v>
          </cell>
        </row>
        <row r="541">
          <cell r="A541" t="str">
            <v>Irrigation</v>
          </cell>
          <cell r="B541" t="str">
            <v>ISLMC</v>
          </cell>
          <cell r="C541" t="str">
            <v>Sub-Contractors-net of advance</v>
          </cell>
          <cell r="D541" t="str">
            <v>June</v>
          </cell>
          <cell r="F541">
            <v>60</v>
          </cell>
        </row>
        <row r="542">
          <cell r="A542" t="str">
            <v>Irrigation</v>
          </cell>
          <cell r="B542" t="str">
            <v>ISLMC</v>
          </cell>
          <cell r="C542" t="str">
            <v>Own</v>
          </cell>
          <cell r="D542" t="str">
            <v>June</v>
          </cell>
          <cell r="F542">
            <v>0</v>
          </cell>
        </row>
        <row r="543">
          <cell r="A543" t="str">
            <v>Irrigation</v>
          </cell>
          <cell r="B543" t="str">
            <v>ISLMC</v>
          </cell>
          <cell r="C543" t="str">
            <v>Outstide</v>
          </cell>
          <cell r="D543" t="str">
            <v>June</v>
          </cell>
          <cell r="F543">
            <v>0</v>
          </cell>
        </row>
        <row r="544">
          <cell r="A544" t="str">
            <v>Irrigation</v>
          </cell>
          <cell r="B544" t="str">
            <v>ISLMC</v>
          </cell>
          <cell r="C544" t="str">
            <v>Salaries and Wages Payable</v>
          </cell>
          <cell r="D544" t="str">
            <v>June</v>
          </cell>
          <cell r="F544">
            <v>0</v>
          </cell>
        </row>
        <row r="545">
          <cell r="A545" t="str">
            <v>Irrigation</v>
          </cell>
          <cell r="B545" t="str">
            <v>ISLMC</v>
          </cell>
          <cell r="C545" t="str">
            <v>Mobilisation Adv Outstanding</v>
          </cell>
          <cell r="D545" t="str">
            <v>June</v>
          </cell>
          <cell r="F545">
            <v>98</v>
          </cell>
        </row>
        <row r="546">
          <cell r="A546" t="str">
            <v>Irrigation</v>
          </cell>
          <cell r="B546" t="str">
            <v>ISLMC</v>
          </cell>
          <cell r="C546" t="str">
            <v>Bank Loan outstanding</v>
          </cell>
          <cell r="D546" t="str">
            <v>June</v>
          </cell>
        </row>
        <row r="547">
          <cell r="A547" t="str">
            <v>Irrigation</v>
          </cell>
          <cell r="B547" t="str">
            <v>ISLMC</v>
          </cell>
          <cell r="C547" t="str">
            <v>HO funding</v>
          </cell>
          <cell r="D547" t="str">
            <v>June</v>
          </cell>
        </row>
        <row r="548">
          <cell r="A548" t="str">
            <v>Irrigation</v>
          </cell>
          <cell r="B548" t="str">
            <v>ISLMC</v>
          </cell>
          <cell r="C548" t="str">
            <v>Debtors</v>
          </cell>
          <cell r="D548" t="str">
            <v>July</v>
          </cell>
          <cell r="F548">
            <v>33.440400000000011</v>
          </cell>
        </row>
        <row r="549">
          <cell r="A549" t="str">
            <v>Irrigation</v>
          </cell>
          <cell r="B549" t="str">
            <v>ISLMC</v>
          </cell>
          <cell r="C549" t="str">
            <v>Work In Progress (increase/decrease)</v>
          </cell>
          <cell r="D549" t="str">
            <v>July</v>
          </cell>
          <cell r="F549">
            <v>160</v>
          </cell>
        </row>
        <row r="550">
          <cell r="A550" t="str">
            <v>Irrigation</v>
          </cell>
          <cell r="B550" t="str">
            <v>ISLMC</v>
          </cell>
          <cell r="C550" t="str">
            <v>Stock of Raw Materials</v>
          </cell>
          <cell r="D550" t="str">
            <v>July</v>
          </cell>
          <cell r="F550">
            <v>20</v>
          </cell>
        </row>
        <row r="551">
          <cell r="A551" t="str">
            <v>Irrigation</v>
          </cell>
          <cell r="B551" t="str">
            <v>ISLMC</v>
          </cell>
          <cell r="C551" t="str">
            <v>Retention(incl TDS)</v>
          </cell>
          <cell r="D551" t="str">
            <v>July</v>
          </cell>
          <cell r="F551">
            <v>-110.5616</v>
          </cell>
        </row>
        <row r="552">
          <cell r="A552" t="str">
            <v>Irrigation</v>
          </cell>
          <cell r="B552" t="str">
            <v>ISLMC</v>
          </cell>
          <cell r="C552" t="str">
            <v>Projected Profit/Loss on YTD Sales</v>
          </cell>
          <cell r="D552" t="str">
            <v>July</v>
          </cell>
          <cell r="F552">
            <v>-38787.22</v>
          </cell>
        </row>
        <row r="553">
          <cell r="A553" t="str">
            <v>Irrigation</v>
          </cell>
          <cell r="B553" t="str">
            <v>ISLMC</v>
          </cell>
          <cell r="C553" t="str">
            <v>Cash and Bank Balance</v>
          </cell>
          <cell r="D553" t="str">
            <v>July</v>
          </cell>
          <cell r="F553">
            <v>0</v>
          </cell>
        </row>
        <row r="554">
          <cell r="A554" t="str">
            <v>Irrigation</v>
          </cell>
          <cell r="B554" t="str">
            <v>ISLMC</v>
          </cell>
          <cell r="C554" t="str">
            <v>Creditors-Suppliers-net of advance</v>
          </cell>
          <cell r="D554" t="str">
            <v>July</v>
          </cell>
          <cell r="F554">
            <v>16</v>
          </cell>
        </row>
        <row r="555">
          <cell r="A555" t="str">
            <v>Irrigation</v>
          </cell>
          <cell r="B555" t="str">
            <v>ISLMC</v>
          </cell>
          <cell r="C555" t="str">
            <v>Sub-Contractors-net of advance</v>
          </cell>
          <cell r="D555" t="str">
            <v>July</v>
          </cell>
          <cell r="F555">
            <v>60</v>
          </cell>
        </row>
        <row r="556">
          <cell r="A556" t="str">
            <v>Irrigation</v>
          </cell>
          <cell r="B556" t="str">
            <v>ISLMC</v>
          </cell>
          <cell r="C556" t="str">
            <v>Own</v>
          </cell>
          <cell r="D556" t="str">
            <v>July</v>
          </cell>
          <cell r="F556">
            <v>0</v>
          </cell>
        </row>
        <row r="557">
          <cell r="A557" t="str">
            <v>Irrigation</v>
          </cell>
          <cell r="B557" t="str">
            <v>ISLMC</v>
          </cell>
          <cell r="C557" t="str">
            <v>Outstide</v>
          </cell>
          <cell r="D557" t="str">
            <v>July</v>
          </cell>
          <cell r="F557">
            <v>0</v>
          </cell>
        </row>
        <row r="558">
          <cell r="A558" t="str">
            <v>Irrigation</v>
          </cell>
          <cell r="B558" t="str">
            <v>ISLMC</v>
          </cell>
          <cell r="C558" t="str">
            <v>Salaries and Wages Payable</v>
          </cell>
          <cell r="D558" t="str">
            <v>July</v>
          </cell>
          <cell r="F558">
            <v>0</v>
          </cell>
        </row>
        <row r="559">
          <cell r="A559" t="str">
            <v>Irrigation</v>
          </cell>
          <cell r="B559" t="str">
            <v>ISLMC</v>
          </cell>
          <cell r="C559" t="str">
            <v>Mobilisation Adv Outstanding</v>
          </cell>
          <cell r="D559" t="str">
            <v>July</v>
          </cell>
          <cell r="F559">
            <v>112</v>
          </cell>
        </row>
        <row r="560">
          <cell r="A560" t="str">
            <v>Irrigation</v>
          </cell>
          <cell r="B560" t="str">
            <v>ISLMC</v>
          </cell>
          <cell r="C560" t="str">
            <v>Bank Loan outstanding</v>
          </cell>
          <cell r="D560" t="str">
            <v>July</v>
          </cell>
        </row>
        <row r="561">
          <cell r="A561" t="str">
            <v>Irrigation</v>
          </cell>
          <cell r="B561" t="str">
            <v>ISLMC</v>
          </cell>
          <cell r="C561" t="str">
            <v>HO funding</v>
          </cell>
          <cell r="D561" t="str">
            <v>July</v>
          </cell>
        </row>
        <row r="562">
          <cell r="A562" t="str">
            <v>Irrigation</v>
          </cell>
          <cell r="B562" t="str">
            <v>ISLMC</v>
          </cell>
          <cell r="C562" t="str">
            <v>Debtors</v>
          </cell>
          <cell r="D562" t="str">
            <v>Aug</v>
          </cell>
          <cell r="F562">
            <v>33.440400000000011</v>
          </cell>
        </row>
        <row r="563">
          <cell r="A563" t="str">
            <v>Irrigation</v>
          </cell>
          <cell r="B563" t="str">
            <v>ISLMC</v>
          </cell>
          <cell r="C563" t="str">
            <v>Work In Progress (increase/decrease)</v>
          </cell>
          <cell r="D563" t="str">
            <v>Aug</v>
          </cell>
          <cell r="F563">
            <v>180</v>
          </cell>
        </row>
        <row r="564">
          <cell r="A564" t="str">
            <v>Irrigation</v>
          </cell>
          <cell r="B564" t="str">
            <v>ISLMC</v>
          </cell>
          <cell r="C564" t="str">
            <v>Stock of Raw Materials</v>
          </cell>
          <cell r="D564" t="str">
            <v>Aug</v>
          </cell>
          <cell r="F564">
            <v>20</v>
          </cell>
        </row>
        <row r="565">
          <cell r="A565" t="str">
            <v>Irrigation</v>
          </cell>
          <cell r="B565" t="str">
            <v>ISLMC</v>
          </cell>
          <cell r="C565" t="str">
            <v>Retention(incl TDS)</v>
          </cell>
          <cell r="D565" t="str">
            <v>Aug</v>
          </cell>
          <cell r="F565">
            <v>-126.8818</v>
          </cell>
        </row>
        <row r="566">
          <cell r="A566" t="str">
            <v>Irrigation</v>
          </cell>
          <cell r="B566" t="str">
            <v>ISLMC</v>
          </cell>
          <cell r="C566" t="str">
            <v>Projected Profit/Loss on YTD Sales</v>
          </cell>
          <cell r="D566" t="str">
            <v>Aug</v>
          </cell>
          <cell r="F566">
            <v>-43624.19</v>
          </cell>
        </row>
        <row r="567">
          <cell r="A567" t="str">
            <v>Irrigation</v>
          </cell>
          <cell r="B567" t="str">
            <v>ISLMC</v>
          </cell>
          <cell r="C567" t="str">
            <v>Cash and Bank Balance</v>
          </cell>
          <cell r="D567" t="str">
            <v>Aug</v>
          </cell>
          <cell r="F567">
            <v>0</v>
          </cell>
        </row>
        <row r="568">
          <cell r="A568" t="str">
            <v>Irrigation</v>
          </cell>
          <cell r="B568" t="str">
            <v>ISLMC</v>
          </cell>
          <cell r="C568" t="str">
            <v>Creditors-Suppliers-net of advance</v>
          </cell>
          <cell r="D568" t="str">
            <v>Aug</v>
          </cell>
          <cell r="F568">
            <v>16</v>
          </cell>
        </row>
        <row r="569">
          <cell r="A569" t="str">
            <v>Irrigation</v>
          </cell>
          <cell r="B569" t="str">
            <v>ISLMC</v>
          </cell>
          <cell r="C569" t="str">
            <v>Sub-Contractors-net of advance</v>
          </cell>
          <cell r="D569" t="str">
            <v>Aug</v>
          </cell>
          <cell r="F569">
            <v>60</v>
          </cell>
        </row>
        <row r="570">
          <cell r="A570" t="str">
            <v>Irrigation</v>
          </cell>
          <cell r="B570" t="str">
            <v>ISLMC</v>
          </cell>
          <cell r="C570" t="str">
            <v>Own</v>
          </cell>
          <cell r="D570" t="str">
            <v>Aug</v>
          </cell>
          <cell r="F570">
            <v>0</v>
          </cell>
        </row>
        <row r="571">
          <cell r="A571" t="str">
            <v>Irrigation</v>
          </cell>
          <cell r="B571" t="str">
            <v>ISLMC</v>
          </cell>
          <cell r="C571" t="str">
            <v>Outstide</v>
          </cell>
          <cell r="D571" t="str">
            <v>Aug</v>
          </cell>
          <cell r="F571">
            <v>0</v>
          </cell>
        </row>
        <row r="572">
          <cell r="A572" t="str">
            <v>Irrigation</v>
          </cell>
          <cell r="B572" t="str">
            <v>ISLMC</v>
          </cell>
          <cell r="C572" t="str">
            <v>Salaries and Wages Payable</v>
          </cell>
          <cell r="D572" t="str">
            <v>Aug</v>
          </cell>
          <cell r="F572">
            <v>76</v>
          </cell>
        </row>
        <row r="573">
          <cell r="A573" t="str">
            <v>Irrigation</v>
          </cell>
          <cell r="B573" t="str">
            <v>ISLMC</v>
          </cell>
          <cell r="C573" t="str">
            <v>Mobilisation Adv Outstanding</v>
          </cell>
          <cell r="D573" t="str">
            <v>Aug</v>
          </cell>
          <cell r="F573">
            <v>126</v>
          </cell>
        </row>
        <row r="574">
          <cell r="A574" t="str">
            <v>Irrigation</v>
          </cell>
          <cell r="B574" t="str">
            <v>ISLMC</v>
          </cell>
          <cell r="C574" t="str">
            <v>Bank Loan outstanding</v>
          </cell>
          <cell r="D574" t="str">
            <v>Aug</v>
          </cell>
          <cell r="F574">
            <v>0</v>
          </cell>
        </row>
        <row r="575">
          <cell r="A575" t="str">
            <v>Irrigation</v>
          </cell>
          <cell r="B575" t="str">
            <v>ISLMC</v>
          </cell>
          <cell r="C575" t="str">
            <v>HO funding</v>
          </cell>
          <cell r="D575" t="str">
            <v>Aug</v>
          </cell>
          <cell r="F575">
            <v>0</v>
          </cell>
        </row>
        <row r="576">
          <cell r="A576" t="str">
            <v>Irrigation</v>
          </cell>
          <cell r="B576" t="str">
            <v>ISLMC</v>
          </cell>
          <cell r="C576" t="str">
            <v>Debtors</v>
          </cell>
          <cell r="D576" t="str">
            <v>Sep</v>
          </cell>
          <cell r="F576">
            <v>33.440400000000011</v>
          </cell>
        </row>
        <row r="577">
          <cell r="A577" t="str">
            <v>Irrigation</v>
          </cell>
          <cell r="B577" t="str">
            <v>ISLMC</v>
          </cell>
          <cell r="C577" t="str">
            <v>Work In Progress (increase/decrease)</v>
          </cell>
          <cell r="D577" t="str">
            <v>Sep</v>
          </cell>
          <cell r="F577">
            <v>200</v>
          </cell>
        </row>
        <row r="578">
          <cell r="A578" t="str">
            <v>Irrigation</v>
          </cell>
          <cell r="B578" t="str">
            <v>ISLMC</v>
          </cell>
          <cell r="C578" t="str">
            <v>Stock of Raw Materials</v>
          </cell>
          <cell r="D578" t="str">
            <v>Sep</v>
          </cell>
          <cell r="F578">
            <v>20</v>
          </cell>
        </row>
        <row r="579">
          <cell r="A579" t="str">
            <v>Irrigation</v>
          </cell>
          <cell r="B579" t="str">
            <v>ISLMC</v>
          </cell>
          <cell r="C579" t="str">
            <v>Retention(incl TDS)</v>
          </cell>
          <cell r="D579" t="str">
            <v>Sep</v>
          </cell>
          <cell r="F579">
            <v>-143.202</v>
          </cell>
        </row>
        <row r="580">
          <cell r="A580" t="str">
            <v>Irrigation</v>
          </cell>
          <cell r="B580" t="str">
            <v>ISLMC</v>
          </cell>
          <cell r="C580" t="str">
            <v>Projected Profit/Loss on YTD Sales</v>
          </cell>
          <cell r="D580" t="str">
            <v>Sep</v>
          </cell>
          <cell r="F580">
            <v>-48463.22</v>
          </cell>
        </row>
        <row r="581">
          <cell r="A581" t="str">
            <v>Irrigation</v>
          </cell>
          <cell r="B581" t="str">
            <v>ISLMC</v>
          </cell>
          <cell r="C581" t="str">
            <v>Cash and Bank Balance</v>
          </cell>
          <cell r="D581" t="str">
            <v>Sep</v>
          </cell>
          <cell r="F581">
            <v>0</v>
          </cell>
        </row>
        <row r="582">
          <cell r="A582" t="str">
            <v>Irrigation</v>
          </cell>
          <cell r="B582" t="str">
            <v>ISLMC</v>
          </cell>
          <cell r="C582" t="str">
            <v>Creditors-Suppliers-net of advance</v>
          </cell>
          <cell r="D582" t="str">
            <v>Sep</v>
          </cell>
          <cell r="F582">
            <v>16</v>
          </cell>
        </row>
        <row r="583">
          <cell r="A583" t="str">
            <v>Irrigation</v>
          </cell>
          <cell r="B583" t="str">
            <v>ISLMC</v>
          </cell>
          <cell r="C583" t="str">
            <v>Sub-Contractors-net of advance</v>
          </cell>
          <cell r="D583" t="str">
            <v>Sep</v>
          </cell>
          <cell r="F583">
            <v>60</v>
          </cell>
        </row>
        <row r="584">
          <cell r="A584" t="str">
            <v>Irrigation</v>
          </cell>
          <cell r="B584" t="str">
            <v>ISLMC</v>
          </cell>
          <cell r="C584" t="str">
            <v>Own</v>
          </cell>
          <cell r="D584" t="str">
            <v>Sep</v>
          </cell>
          <cell r="F584">
            <v>0</v>
          </cell>
        </row>
        <row r="585">
          <cell r="A585" t="str">
            <v>Irrigation</v>
          </cell>
          <cell r="B585" t="str">
            <v>ISLMC</v>
          </cell>
          <cell r="C585" t="str">
            <v>Outstide</v>
          </cell>
          <cell r="D585" t="str">
            <v>Sep</v>
          </cell>
          <cell r="F585">
            <v>0</v>
          </cell>
        </row>
        <row r="586">
          <cell r="A586" t="str">
            <v>Irrigation</v>
          </cell>
          <cell r="B586" t="str">
            <v>ISLMC</v>
          </cell>
          <cell r="C586" t="str">
            <v>Salaries and Wages Payable</v>
          </cell>
          <cell r="D586" t="str">
            <v>Sep</v>
          </cell>
          <cell r="F586">
            <v>76</v>
          </cell>
        </row>
        <row r="587">
          <cell r="A587" t="str">
            <v>Irrigation</v>
          </cell>
          <cell r="B587" t="str">
            <v>ISLMC</v>
          </cell>
          <cell r="C587" t="str">
            <v>Mobilisation Adv Outstanding</v>
          </cell>
          <cell r="D587" t="str">
            <v>Sep</v>
          </cell>
          <cell r="F587">
            <v>140</v>
          </cell>
        </row>
        <row r="588">
          <cell r="A588" t="str">
            <v>Irrigation</v>
          </cell>
          <cell r="B588" t="str">
            <v>ISLMC</v>
          </cell>
          <cell r="C588" t="str">
            <v>Bank Loan outstanding</v>
          </cell>
          <cell r="D588" t="str">
            <v>Sep</v>
          </cell>
          <cell r="F588">
            <v>0</v>
          </cell>
        </row>
        <row r="589">
          <cell r="A589" t="str">
            <v>Irrigation</v>
          </cell>
          <cell r="B589" t="str">
            <v>ISLMC</v>
          </cell>
          <cell r="C589" t="str">
            <v>HO funding</v>
          </cell>
          <cell r="D589" t="str">
            <v>Sep</v>
          </cell>
          <cell r="F589">
            <v>0</v>
          </cell>
        </row>
        <row r="590">
          <cell r="A590" t="str">
            <v>Irrigation</v>
          </cell>
          <cell r="B590" t="str">
            <v>ISLMC</v>
          </cell>
          <cell r="C590" t="str">
            <v>Debtors</v>
          </cell>
          <cell r="D590" t="str">
            <v>Oct</v>
          </cell>
          <cell r="F590">
            <v>33.440400000000011</v>
          </cell>
        </row>
        <row r="591">
          <cell r="A591" t="str">
            <v>Irrigation</v>
          </cell>
          <cell r="B591" t="str">
            <v>ISLMC</v>
          </cell>
          <cell r="C591" t="str">
            <v>Work In Progress (increase/decrease)</v>
          </cell>
          <cell r="D591" t="str">
            <v>Oct</v>
          </cell>
          <cell r="F591">
            <v>220</v>
          </cell>
        </row>
        <row r="592">
          <cell r="A592" t="str">
            <v>Irrigation</v>
          </cell>
          <cell r="B592" t="str">
            <v>ISLMC</v>
          </cell>
          <cell r="C592" t="str">
            <v>Stock of Raw Materials</v>
          </cell>
          <cell r="D592" t="str">
            <v>Oct</v>
          </cell>
          <cell r="F592">
            <v>20</v>
          </cell>
        </row>
        <row r="593">
          <cell r="A593" t="str">
            <v>Irrigation</v>
          </cell>
          <cell r="B593" t="str">
            <v>ISLMC</v>
          </cell>
          <cell r="C593" t="str">
            <v>Retention(incl TDS)</v>
          </cell>
          <cell r="D593" t="str">
            <v>Oct</v>
          </cell>
          <cell r="F593">
            <v>-159.5222</v>
          </cell>
        </row>
        <row r="594">
          <cell r="A594" t="str">
            <v>Irrigation</v>
          </cell>
          <cell r="B594" t="str">
            <v>ISLMC</v>
          </cell>
          <cell r="C594" t="str">
            <v>Projected Profit/Loss on YTD Sales</v>
          </cell>
          <cell r="D594" t="str">
            <v>Oct</v>
          </cell>
          <cell r="F594">
            <v>-53304.32</v>
          </cell>
        </row>
        <row r="595">
          <cell r="A595" t="str">
            <v>Irrigation</v>
          </cell>
          <cell r="B595" t="str">
            <v>ISLMC</v>
          </cell>
          <cell r="C595" t="str">
            <v>Cash and Bank Balance</v>
          </cell>
          <cell r="D595" t="str">
            <v>Oct</v>
          </cell>
          <cell r="F595">
            <v>0</v>
          </cell>
        </row>
        <row r="596">
          <cell r="A596" t="str">
            <v>Irrigation</v>
          </cell>
          <cell r="B596" t="str">
            <v>ISLMC</v>
          </cell>
          <cell r="C596" t="str">
            <v>Creditors-Suppliers-net of advance</v>
          </cell>
          <cell r="D596" t="str">
            <v>Oct</v>
          </cell>
          <cell r="F596">
            <v>16</v>
          </cell>
        </row>
        <row r="597">
          <cell r="A597" t="str">
            <v>Irrigation</v>
          </cell>
          <cell r="B597" t="str">
            <v>ISLMC</v>
          </cell>
          <cell r="C597" t="str">
            <v>Sub-Contractors-net of advance</v>
          </cell>
          <cell r="D597" t="str">
            <v>Oct</v>
          </cell>
          <cell r="F597">
            <v>60</v>
          </cell>
        </row>
        <row r="598">
          <cell r="A598" t="str">
            <v>Irrigation</v>
          </cell>
          <cell r="B598" t="str">
            <v>ISLMC</v>
          </cell>
          <cell r="C598" t="str">
            <v>Own</v>
          </cell>
          <cell r="D598" t="str">
            <v>Oct</v>
          </cell>
          <cell r="F598">
            <v>0</v>
          </cell>
        </row>
        <row r="599">
          <cell r="A599" t="str">
            <v>Irrigation</v>
          </cell>
          <cell r="B599" t="str">
            <v>ISLMC</v>
          </cell>
          <cell r="C599" t="str">
            <v>Outstide</v>
          </cell>
          <cell r="D599" t="str">
            <v>Oct</v>
          </cell>
          <cell r="F599">
            <v>0</v>
          </cell>
        </row>
        <row r="600">
          <cell r="A600" t="str">
            <v>Irrigation</v>
          </cell>
          <cell r="B600" t="str">
            <v>ISLMC</v>
          </cell>
          <cell r="C600" t="str">
            <v>Salaries and Wages Payable</v>
          </cell>
          <cell r="D600" t="str">
            <v>Oct</v>
          </cell>
          <cell r="F600">
            <v>76</v>
          </cell>
        </row>
        <row r="601">
          <cell r="A601" t="str">
            <v>Irrigation</v>
          </cell>
          <cell r="B601" t="str">
            <v>ISLMC</v>
          </cell>
          <cell r="C601" t="str">
            <v>Mobilisation Adv Outstanding</v>
          </cell>
          <cell r="D601" t="str">
            <v>Oct</v>
          </cell>
          <cell r="F601">
            <v>154</v>
          </cell>
        </row>
        <row r="602">
          <cell r="A602" t="str">
            <v>Irrigation</v>
          </cell>
          <cell r="B602" t="str">
            <v>ISLMC</v>
          </cell>
          <cell r="C602" t="str">
            <v>Bank Loan outstanding</v>
          </cell>
          <cell r="D602" t="str">
            <v>Oct</v>
          </cell>
          <cell r="F602">
            <v>0</v>
          </cell>
        </row>
        <row r="603">
          <cell r="A603" t="str">
            <v>Irrigation</v>
          </cell>
          <cell r="B603" t="str">
            <v>ISLMC</v>
          </cell>
          <cell r="C603" t="str">
            <v>HO funding</v>
          </cell>
          <cell r="D603" t="str">
            <v>Oct</v>
          </cell>
          <cell r="F603">
            <v>0</v>
          </cell>
        </row>
        <row r="604">
          <cell r="A604" t="str">
            <v>Irrigation</v>
          </cell>
          <cell r="B604" t="str">
            <v>ISLMC</v>
          </cell>
          <cell r="C604" t="str">
            <v>Debtors</v>
          </cell>
          <cell r="D604" t="str">
            <v>Nov</v>
          </cell>
          <cell r="F604">
            <v>33.440400000000011</v>
          </cell>
        </row>
        <row r="605">
          <cell r="A605" t="str">
            <v>Irrigation</v>
          </cell>
          <cell r="B605" t="str">
            <v>ISLMC</v>
          </cell>
          <cell r="C605" t="str">
            <v>Work In Progress (increase/decrease)</v>
          </cell>
          <cell r="D605" t="str">
            <v>Nov</v>
          </cell>
          <cell r="F605">
            <v>240</v>
          </cell>
        </row>
        <row r="606">
          <cell r="A606" t="str">
            <v>Irrigation</v>
          </cell>
          <cell r="B606" t="str">
            <v>ISLMC</v>
          </cell>
          <cell r="C606" t="str">
            <v>Stock of Raw Materials</v>
          </cell>
          <cell r="D606" t="str">
            <v>Nov</v>
          </cell>
          <cell r="F606">
            <v>20</v>
          </cell>
        </row>
        <row r="607">
          <cell r="A607" t="str">
            <v>Irrigation</v>
          </cell>
          <cell r="B607" t="str">
            <v>ISLMC</v>
          </cell>
          <cell r="C607" t="str">
            <v>Retention(incl TDS)</v>
          </cell>
          <cell r="D607" t="str">
            <v>Nov</v>
          </cell>
          <cell r="F607">
            <v>-175.8424</v>
          </cell>
        </row>
        <row r="608">
          <cell r="A608" t="str">
            <v>Irrigation</v>
          </cell>
          <cell r="B608" t="str">
            <v>ISLMC</v>
          </cell>
          <cell r="C608" t="str">
            <v>Projected Profit/Loss on YTD Sales</v>
          </cell>
          <cell r="D608" t="str">
            <v>Nov</v>
          </cell>
          <cell r="F608">
            <v>-58147.5</v>
          </cell>
        </row>
        <row r="609">
          <cell r="A609" t="str">
            <v>Irrigation</v>
          </cell>
          <cell r="B609" t="str">
            <v>ISLMC</v>
          </cell>
          <cell r="C609" t="str">
            <v>Cash and Bank Balance</v>
          </cell>
          <cell r="D609" t="str">
            <v>Nov</v>
          </cell>
          <cell r="F609">
            <v>0</v>
          </cell>
        </row>
        <row r="610">
          <cell r="A610" t="str">
            <v>Irrigation</v>
          </cell>
          <cell r="B610" t="str">
            <v>ISLMC</v>
          </cell>
          <cell r="C610" t="str">
            <v>Creditors-Suppliers-net of advance</v>
          </cell>
          <cell r="D610" t="str">
            <v>Nov</v>
          </cell>
          <cell r="F610">
            <v>16</v>
          </cell>
        </row>
        <row r="611">
          <cell r="A611" t="str">
            <v>Irrigation</v>
          </cell>
          <cell r="B611" t="str">
            <v>ISLMC</v>
          </cell>
          <cell r="C611" t="str">
            <v>Sub-Contractors-net of advance</v>
          </cell>
          <cell r="D611" t="str">
            <v>Nov</v>
          </cell>
          <cell r="F611">
            <v>60</v>
          </cell>
        </row>
        <row r="612">
          <cell r="A612" t="str">
            <v>Irrigation</v>
          </cell>
          <cell r="B612" t="str">
            <v>ISLMC</v>
          </cell>
          <cell r="C612" t="str">
            <v>Own</v>
          </cell>
          <cell r="D612" t="str">
            <v>Nov</v>
          </cell>
          <cell r="F612">
            <v>0</v>
          </cell>
        </row>
        <row r="613">
          <cell r="A613" t="str">
            <v>Irrigation</v>
          </cell>
          <cell r="B613" t="str">
            <v>ISLMC</v>
          </cell>
          <cell r="C613" t="str">
            <v>Outstide</v>
          </cell>
          <cell r="D613" t="str">
            <v>Nov</v>
          </cell>
          <cell r="F613">
            <v>0</v>
          </cell>
        </row>
        <row r="614">
          <cell r="A614" t="str">
            <v>Irrigation</v>
          </cell>
          <cell r="B614" t="str">
            <v>ISLMC</v>
          </cell>
          <cell r="C614" t="str">
            <v>Salaries and Wages Payable</v>
          </cell>
          <cell r="D614" t="str">
            <v>Nov</v>
          </cell>
          <cell r="F614">
            <v>76</v>
          </cell>
        </row>
        <row r="615">
          <cell r="A615" t="str">
            <v>Irrigation</v>
          </cell>
          <cell r="B615" t="str">
            <v>ISLMC</v>
          </cell>
          <cell r="C615" t="str">
            <v>Mobilisation Adv Outstanding</v>
          </cell>
          <cell r="D615" t="str">
            <v>Nov</v>
          </cell>
          <cell r="F615">
            <v>168</v>
          </cell>
        </row>
        <row r="616">
          <cell r="A616" t="str">
            <v>Irrigation</v>
          </cell>
          <cell r="B616" t="str">
            <v>ISLMC</v>
          </cell>
          <cell r="C616" t="str">
            <v>Bank Loan outstanding</v>
          </cell>
          <cell r="D616" t="str">
            <v>Nov</v>
          </cell>
          <cell r="F616">
            <v>0</v>
          </cell>
        </row>
        <row r="617">
          <cell r="A617" t="str">
            <v>Irrigation</v>
          </cell>
          <cell r="B617" t="str">
            <v>ISLMC</v>
          </cell>
          <cell r="C617" t="str">
            <v>HO funding</v>
          </cell>
          <cell r="D617" t="str">
            <v>Nov</v>
          </cell>
          <cell r="F617">
            <v>0</v>
          </cell>
        </row>
        <row r="618">
          <cell r="A618" t="str">
            <v>Irrigation</v>
          </cell>
          <cell r="B618" t="str">
            <v>ISLMC</v>
          </cell>
          <cell r="C618" t="str">
            <v>Debtors</v>
          </cell>
          <cell r="D618" t="str">
            <v>Dec</v>
          </cell>
          <cell r="F618">
            <v>33.440400000000011</v>
          </cell>
        </row>
        <row r="619">
          <cell r="A619" t="str">
            <v>Irrigation</v>
          </cell>
          <cell r="B619" t="str">
            <v>ISLMC</v>
          </cell>
          <cell r="C619" t="str">
            <v>Work In Progress (increase/decrease)</v>
          </cell>
          <cell r="D619" t="str">
            <v>Dec</v>
          </cell>
          <cell r="F619">
            <v>260</v>
          </cell>
        </row>
        <row r="620">
          <cell r="A620" t="str">
            <v>Irrigation</v>
          </cell>
          <cell r="B620" t="str">
            <v>ISLMC</v>
          </cell>
          <cell r="C620" t="str">
            <v>Stock of Raw Materials</v>
          </cell>
          <cell r="D620" t="str">
            <v>Dec</v>
          </cell>
          <cell r="F620">
            <v>20</v>
          </cell>
        </row>
        <row r="621">
          <cell r="A621" t="str">
            <v>Irrigation</v>
          </cell>
          <cell r="B621" t="str">
            <v>ISLMC</v>
          </cell>
          <cell r="C621" t="str">
            <v>Retention(incl TDS)</v>
          </cell>
          <cell r="D621" t="str">
            <v>Dec</v>
          </cell>
          <cell r="F621">
            <v>-192.1626</v>
          </cell>
        </row>
        <row r="622">
          <cell r="A622" t="str">
            <v>Irrigation</v>
          </cell>
          <cell r="B622" t="str">
            <v>ISLMC</v>
          </cell>
          <cell r="C622" t="str">
            <v>Projected Profit/Loss on YTD Sales</v>
          </cell>
          <cell r="D622" t="str">
            <v>Dec</v>
          </cell>
          <cell r="F622">
            <v>-62992.74</v>
          </cell>
        </row>
        <row r="623">
          <cell r="A623" t="str">
            <v>Irrigation</v>
          </cell>
          <cell r="B623" t="str">
            <v>ISLMC</v>
          </cell>
          <cell r="C623" t="str">
            <v>Cash and Bank Balance</v>
          </cell>
          <cell r="D623" t="str">
            <v>Dec</v>
          </cell>
          <cell r="F623">
            <v>0</v>
          </cell>
        </row>
        <row r="624">
          <cell r="A624" t="str">
            <v>Irrigation</v>
          </cell>
          <cell r="B624" t="str">
            <v>ISLMC</v>
          </cell>
          <cell r="C624" t="str">
            <v>Creditors-Suppliers-net of advance</v>
          </cell>
          <cell r="D624" t="str">
            <v>Dec</v>
          </cell>
          <cell r="F624">
            <v>16</v>
          </cell>
        </row>
        <row r="625">
          <cell r="A625" t="str">
            <v>Irrigation</v>
          </cell>
          <cell r="B625" t="str">
            <v>ISLMC</v>
          </cell>
          <cell r="C625" t="str">
            <v>Sub-Contractors-net of advance</v>
          </cell>
          <cell r="D625" t="str">
            <v>Dec</v>
          </cell>
          <cell r="F625">
            <v>60</v>
          </cell>
        </row>
        <row r="626">
          <cell r="A626" t="str">
            <v>Irrigation</v>
          </cell>
          <cell r="B626" t="str">
            <v>ISLMC</v>
          </cell>
          <cell r="C626" t="str">
            <v>Own</v>
          </cell>
          <cell r="D626" t="str">
            <v>Dec</v>
          </cell>
          <cell r="F626">
            <v>0</v>
          </cell>
        </row>
        <row r="627">
          <cell r="A627" t="str">
            <v>Irrigation</v>
          </cell>
          <cell r="B627" t="str">
            <v>ISLMC</v>
          </cell>
          <cell r="C627" t="str">
            <v>Outstide</v>
          </cell>
          <cell r="D627" t="str">
            <v>Dec</v>
          </cell>
          <cell r="F627">
            <v>0</v>
          </cell>
        </row>
        <row r="628">
          <cell r="A628" t="str">
            <v>Irrigation</v>
          </cell>
          <cell r="B628" t="str">
            <v>ISLMC</v>
          </cell>
          <cell r="C628" t="str">
            <v>Salaries and Wages Payable</v>
          </cell>
          <cell r="D628" t="str">
            <v>Dec</v>
          </cell>
          <cell r="F628">
            <v>76</v>
          </cell>
        </row>
        <row r="629">
          <cell r="A629" t="str">
            <v>Irrigation</v>
          </cell>
          <cell r="B629" t="str">
            <v>ISLMC</v>
          </cell>
          <cell r="C629" t="str">
            <v>Mobilisation Adv Outstanding</v>
          </cell>
          <cell r="D629" t="str">
            <v>Dec</v>
          </cell>
          <cell r="F629">
            <v>182</v>
          </cell>
        </row>
        <row r="630">
          <cell r="A630" t="str">
            <v>Irrigation</v>
          </cell>
          <cell r="B630" t="str">
            <v>ISLMC</v>
          </cell>
          <cell r="C630" t="str">
            <v>Bank Loan outstanding</v>
          </cell>
          <cell r="D630" t="str">
            <v>Dec</v>
          </cell>
          <cell r="F630">
            <v>0</v>
          </cell>
        </row>
        <row r="631">
          <cell r="A631" t="str">
            <v>Irrigation</v>
          </cell>
          <cell r="B631" t="str">
            <v>ISLMC</v>
          </cell>
          <cell r="C631" t="str">
            <v>HO funding</v>
          </cell>
          <cell r="D631" t="str">
            <v>Dec</v>
          </cell>
          <cell r="F631">
            <v>0</v>
          </cell>
        </row>
        <row r="632">
          <cell r="A632" t="str">
            <v>Irrigation</v>
          </cell>
          <cell r="B632" t="str">
            <v>ISLMC</v>
          </cell>
          <cell r="C632" t="str">
            <v>Debtors</v>
          </cell>
          <cell r="D632" t="str">
            <v>Jan</v>
          </cell>
          <cell r="F632">
            <v>33.440400000000011</v>
          </cell>
        </row>
        <row r="633">
          <cell r="A633" t="str">
            <v>Irrigation</v>
          </cell>
          <cell r="B633" t="str">
            <v>ISLMC</v>
          </cell>
          <cell r="C633" t="str">
            <v>Work In Progress (increase/decrease)</v>
          </cell>
          <cell r="D633" t="str">
            <v>Jan</v>
          </cell>
          <cell r="F633">
            <v>280</v>
          </cell>
        </row>
        <row r="634">
          <cell r="A634" t="str">
            <v>Irrigation</v>
          </cell>
          <cell r="B634" t="str">
            <v>ISLMC</v>
          </cell>
          <cell r="C634" t="str">
            <v>Stock of Raw Materials</v>
          </cell>
          <cell r="D634" t="str">
            <v>Jan</v>
          </cell>
          <cell r="F634">
            <v>20</v>
          </cell>
        </row>
        <row r="635">
          <cell r="A635" t="str">
            <v>Irrigation</v>
          </cell>
          <cell r="B635" t="str">
            <v>ISLMC</v>
          </cell>
          <cell r="C635" t="str">
            <v>Retention(incl TDS)</v>
          </cell>
          <cell r="D635" t="str">
            <v>Jan</v>
          </cell>
          <cell r="F635">
            <v>-208.4828</v>
          </cell>
        </row>
        <row r="636">
          <cell r="A636" t="str">
            <v>Irrigation</v>
          </cell>
          <cell r="B636" t="str">
            <v>ISLMC</v>
          </cell>
          <cell r="C636" t="str">
            <v>Projected Profit/Loss on YTD Sales</v>
          </cell>
          <cell r="D636" t="str">
            <v>Jan</v>
          </cell>
          <cell r="F636">
            <v>-67840.05</v>
          </cell>
        </row>
        <row r="637">
          <cell r="A637" t="str">
            <v>Irrigation</v>
          </cell>
          <cell r="B637" t="str">
            <v>ISLMC</v>
          </cell>
          <cell r="C637" t="str">
            <v>Cash and Bank Balance</v>
          </cell>
          <cell r="D637" t="str">
            <v>Jan</v>
          </cell>
          <cell r="F637">
            <v>0</v>
          </cell>
        </row>
        <row r="638">
          <cell r="A638" t="str">
            <v>Irrigation</v>
          </cell>
          <cell r="B638" t="str">
            <v>ISLMC</v>
          </cell>
          <cell r="C638" t="str">
            <v>Creditors-Suppliers-net of advance</v>
          </cell>
          <cell r="D638" t="str">
            <v>Jan</v>
          </cell>
          <cell r="F638">
            <v>16</v>
          </cell>
        </row>
        <row r="639">
          <cell r="A639" t="str">
            <v>Irrigation</v>
          </cell>
          <cell r="B639" t="str">
            <v>ISLMC</v>
          </cell>
          <cell r="C639" t="str">
            <v>Sub-Contractors-net of advance</v>
          </cell>
          <cell r="D639" t="str">
            <v>Jan</v>
          </cell>
          <cell r="F639">
            <v>60</v>
          </cell>
        </row>
        <row r="640">
          <cell r="A640" t="str">
            <v>Irrigation</v>
          </cell>
          <cell r="B640" t="str">
            <v>ISLMC</v>
          </cell>
          <cell r="C640" t="str">
            <v>Own</v>
          </cell>
          <cell r="D640" t="str">
            <v>Jan</v>
          </cell>
          <cell r="F640">
            <v>0</v>
          </cell>
        </row>
        <row r="641">
          <cell r="A641" t="str">
            <v>Irrigation</v>
          </cell>
          <cell r="B641" t="str">
            <v>ISLMC</v>
          </cell>
          <cell r="C641" t="str">
            <v>Outstide</v>
          </cell>
          <cell r="D641" t="str">
            <v>Jan</v>
          </cell>
          <cell r="F641">
            <v>0</v>
          </cell>
        </row>
        <row r="642">
          <cell r="A642" t="str">
            <v>Irrigation</v>
          </cell>
          <cell r="B642" t="str">
            <v>ISLMC</v>
          </cell>
          <cell r="C642" t="str">
            <v>Salaries and Wages Payable</v>
          </cell>
          <cell r="D642" t="str">
            <v>Jan</v>
          </cell>
          <cell r="F642">
            <v>76</v>
          </cell>
        </row>
        <row r="643">
          <cell r="A643" t="str">
            <v>Irrigation</v>
          </cell>
          <cell r="B643" t="str">
            <v>ISLMC</v>
          </cell>
          <cell r="C643" t="str">
            <v>Mobilisation Adv Outstanding</v>
          </cell>
          <cell r="D643" t="str">
            <v>Jan</v>
          </cell>
          <cell r="F643">
            <v>196</v>
          </cell>
        </row>
        <row r="644">
          <cell r="A644" t="str">
            <v>Irrigation</v>
          </cell>
          <cell r="B644" t="str">
            <v>ISLMC</v>
          </cell>
          <cell r="C644" t="str">
            <v>Bank Loan outstanding</v>
          </cell>
          <cell r="D644" t="str">
            <v>Jan</v>
          </cell>
          <cell r="F644">
            <v>0</v>
          </cell>
        </row>
        <row r="645">
          <cell r="A645" t="str">
            <v>Irrigation</v>
          </cell>
          <cell r="B645" t="str">
            <v>ISLMC</v>
          </cell>
          <cell r="C645" t="str">
            <v>HO funding</v>
          </cell>
          <cell r="D645" t="str">
            <v>Jan</v>
          </cell>
          <cell r="F645">
            <v>0</v>
          </cell>
        </row>
        <row r="646">
          <cell r="A646" t="str">
            <v>Irrigation</v>
          </cell>
          <cell r="B646" t="str">
            <v>ISLMC</v>
          </cell>
          <cell r="C646" t="str">
            <v>Debtors</v>
          </cell>
          <cell r="D646" t="str">
            <v>Feb</v>
          </cell>
          <cell r="F646">
            <v>33.440400000000011</v>
          </cell>
        </row>
        <row r="647">
          <cell r="A647" t="str">
            <v>Irrigation</v>
          </cell>
          <cell r="B647" t="str">
            <v>ISLMC</v>
          </cell>
          <cell r="C647" t="str">
            <v>Work In Progress (increase/decrease)</v>
          </cell>
          <cell r="D647" t="str">
            <v>Feb</v>
          </cell>
          <cell r="F647">
            <v>300</v>
          </cell>
        </row>
        <row r="648">
          <cell r="A648" t="str">
            <v>Irrigation</v>
          </cell>
          <cell r="B648" t="str">
            <v>ISLMC</v>
          </cell>
          <cell r="C648" t="str">
            <v>Stock of Raw Materials</v>
          </cell>
          <cell r="D648" t="str">
            <v>Feb</v>
          </cell>
          <cell r="F648">
            <v>20</v>
          </cell>
        </row>
        <row r="649">
          <cell r="A649" t="str">
            <v>Irrigation</v>
          </cell>
          <cell r="B649" t="str">
            <v>ISLMC</v>
          </cell>
          <cell r="C649" t="str">
            <v>Retention(incl TDS)</v>
          </cell>
          <cell r="D649" t="str">
            <v>Feb</v>
          </cell>
          <cell r="F649">
            <v>-224.803</v>
          </cell>
        </row>
        <row r="650">
          <cell r="A650" t="str">
            <v>Irrigation</v>
          </cell>
          <cell r="B650" t="str">
            <v>ISLMC</v>
          </cell>
          <cell r="C650" t="str">
            <v>Projected Profit/Loss on YTD Sales</v>
          </cell>
          <cell r="D650" t="str">
            <v>Feb</v>
          </cell>
          <cell r="F650">
            <v>-72689.42</v>
          </cell>
        </row>
        <row r="651">
          <cell r="A651" t="str">
            <v>Irrigation</v>
          </cell>
          <cell r="B651" t="str">
            <v>ISLMC</v>
          </cell>
          <cell r="C651" t="str">
            <v>Cash and Bank Balance</v>
          </cell>
          <cell r="D651" t="str">
            <v>Feb</v>
          </cell>
          <cell r="F651">
            <v>0</v>
          </cell>
        </row>
        <row r="652">
          <cell r="A652" t="str">
            <v>Irrigation</v>
          </cell>
          <cell r="B652" t="str">
            <v>ISLMC</v>
          </cell>
          <cell r="C652" t="str">
            <v>Creditors-Suppliers-net of advance</v>
          </cell>
          <cell r="D652" t="str">
            <v>Feb</v>
          </cell>
          <cell r="F652">
            <v>16</v>
          </cell>
        </row>
        <row r="653">
          <cell r="A653" t="str">
            <v>Irrigation</v>
          </cell>
          <cell r="B653" t="str">
            <v>ISLMC</v>
          </cell>
          <cell r="C653" t="str">
            <v>Sub-Contractors-net of advance</v>
          </cell>
          <cell r="D653" t="str">
            <v>Feb</v>
          </cell>
          <cell r="F653">
            <v>60</v>
          </cell>
        </row>
        <row r="654">
          <cell r="A654" t="str">
            <v>Irrigation</v>
          </cell>
          <cell r="B654" t="str">
            <v>ISLMC</v>
          </cell>
          <cell r="C654" t="str">
            <v>Own</v>
          </cell>
          <cell r="D654" t="str">
            <v>Feb</v>
          </cell>
          <cell r="F654">
            <v>0</v>
          </cell>
        </row>
        <row r="655">
          <cell r="A655" t="str">
            <v>Irrigation</v>
          </cell>
          <cell r="B655" t="str">
            <v>ISLMC</v>
          </cell>
          <cell r="C655" t="str">
            <v>Outstide</v>
          </cell>
          <cell r="D655" t="str">
            <v>Feb</v>
          </cell>
          <cell r="F655">
            <v>0</v>
          </cell>
        </row>
        <row r="656">
          <cell r="A656" t="str">
            <v>Irrigation</v>
          </cell>
          <cell r="B656" t="str">
            <v>ISLMC</v>
          </cell>
          <cell r="C656" t="str">
            <v>Salaries and Wages Payable</v>
          </cell>
          <cell r="D656" t="str">
            <v>Feb</v>
          </cell>
          <cell r="F656">
            <v>76</v>
          </cell>
        </row>
        <row r="657">
          <cell r="A657" t="str">
            <v>Irrigation</v>
          </cell>
          <cell r="B657" t="str">
            <v>ISLMC</v>
          </cell>
          <cell r="C657" t="str">
            <v>Mobilisation Adv Outstanding</v>
          </cell>
          <cell r="D657" t="str">
            <v>Feb</v>
          </cell>
          <cell r="F657">
            <v>210</v>
          </cell>
        </row>
        <row r="658">
          <cell r="A658" t="str">
            <v>Irrigation</v>
          </cell>
          <cell r="B658" t="str">
            <v>ISLMC</v>
          </cell>
          <cell r="C658" t="str">
            <v>Bank Loan outstanding</v>
          </cell>
          <cell r="D658" t="str">
            <v>Feb</v>
          </cell>
          <cell r="F658">
            <v>0</v>
          </cell>
        </row>
        <row r="659">
          <cell r="A659" t="str">
            <v>Irrigation</v>
          </cell>
          <cell r="B659" t="str">
            <v>ISLMC</v>
          </cell>
          <cell r="C659" t="str">
            <v>HO funding</v>
          </cell>
          <cell r="D659" t="str">
            <v>Feb</v>
          </cell>
          <cell r="F659">
            <v>0</v>
          </cell>
        </row>
        <row r="660">
          <cell r="A660" t="str">
            <v>Irrigation</v>
          </cell>
          <cell r="B660" t="str">
            <v>ISLMC</v>
          </cell>
          <cell r="C660" t="str">
            <v>Debtors</v>
          </cell>
          <cell r="D660" t="str">
            <v>Mar</v>
          </cell>
          <cell r="F660">
            <v>33.440400000000011</v>
          </cell>
        </row>
        <row r="661">
          <cell r="A661" t="str">
            <v>Irrigation</v>
          </cell>
          <cell r="B661" t="str">
            <v>ISLMC</v>
          </cell>
          <cell r="C661" t="str">
            <v>Work In Progress (increase/decrease)</v>
          </cell>
          <cell r="D661" t="str">
            <v>Mar</v>
          </cell>
          <cell r="F661">
            <v>320</v>
          </cell>
        </row>
        <row r="662">
          <cell r="A662" t="str">
            <v>Irrigation</v>
          </cell>
          <cell r="B662" t="str">
            <v>ISLMC</v>
          </cell>
          <cell r="C662" t="str">
            <v>Stock of Raw Materials</v>
          </cell>
          <cell r="D662" t="str">
            <v>Mar</v>
          </cell>
          <cell r="F662">
            <v>0</v>
          </cell>
        </row>
        <row r="663">
          <cell r="A663" t="str">
            <v>Irrigation</v>
          </cell>
          <cell r="B663" t="str">
            <v>ISLMC</v>
          </cell>
          <cell r="C663" t="str">
            <v>Retention(incl TDS)</v>
          </cell>
          <cell r="D663" t="str">
            <v>Mar</v>
          </cell>
          <cell r="F663">
            <v>-241.1232</v>
          </cell>
        </row>
        <row r="664">
          <cell r="A664" t="str">
            <v>Irrigation</v>
          </cell>
          <cell r="B664" t="str">
            <v>ISLMC</v>
          </cell>
          <cell r="C664" t="str">
            <v>Projected Profit/Loss on YTD Sales</v>
          </cell>
          <cell r="D664" t="str">
            <v>Mar</v>
          </cell>
          <cell r="F664">
            <v>-77540.86</v>
          </cell>
        </row>
        <row r="665">
          <cell r="A665" t="str">
            <v>Irrigation</v>
          </cell>
          <cell r="B665" t="str">
            <v>ISLMC</v>
          </cell>
          <cell r="C665" t="str">
            <v>Cash and Bank Balance</v>
          </cell>
          <cell r="D665" t="str">
            <v>Mar</v>
          </cell>
          <cell r="F665">
            <v>0</v>
          </cell>
        </row>
        <row r="666">
          <cell r="A666" t="str">
            <v>Irrigation</v>
          </cell>
          <cell r="B666" t="str">
            <v>ISLMC</v>
          </cell>
          <cell r="C666" t="str">
            <v>Creditors-Suppliers-net of advance</v>
          </cell>
          <cell r="D666" t="str">
            <v>Mar</v>
          </cell>
          <cell r="F666">
            <v>16</v>
          </cell>
        </row>
        <row r="667">
          <cell r="A667" t="str">
            <v>Irrigation</v>
          </cell>
          <cell r="B667" t="str">
            <v>ISLMC</v>
          </cell>
          <cell r="C667" t="str">
            <v>Sub-Contractors-net of advance</v>
          </cell>
          <cell r="D667" t="str">
            <v>Mar</v>
          </cell>
          <cell r="F667">
            <v>60</v>
          </cell>
        </row>
        <row r="668">
          <cell r="A668" t="str">
            <v>Irrigation</v>
          </cell>
          <cell r="B668" t="str">
            <v>ISLMC</v>
          </cell>
          <cell r="C668" t="str">
            <v>Own</v>
          </cell>
          <cell r="D668" t="str">
            <v>Mar</v>
          </cell>
          <cell r="F668">
            <v>0</v>
          </cell>
        </row>
        <row r="669">
          <cell r="A669" t="str">
            <v>Irrigation</v>
          </cell>
          <cell r="B669" t="str">
            <v>ISLMC</v>
          </cell>
          <cell r="C669" t="str">
            <v>Outstide</v>
          </cell>
          <cell r="D669" t="str">
            <v>Mar</v>
          </cell>
          <cell r="F669">
            <v>0</v>
          </cell>
        </row>
        <row r="670">
          <cell r="A670" t="str">
            <v>Irrigation</v>
          </cell>
          <cell r="B670" t="str">
            <v>ISLMC</v>
          </cell>
          <cell r="C670" t="str">
            <v>Salaries and Wages Payable</v>
          </cell>
          <cell r="D670" t="str">
            <v>Mar</v>
          </cell>
          <cell r="F670">
            <v>76</v>
          </cell>
        </row>
        <row r="671">
          <cell r="A671" t="str">
            <v>Irrigation</v>
          </cell>
          <cell r="B671" t="str">
            <v>ISLMC</v>
          </cell>
          <cell r="C671" t="str">
            <v>Mobilisation Adv Outstanding</v>
          </cell>
          <cell r="D671" t="str">
            <v>Mar</v>
          </cell>
          <cell r="F671">
            <v>224</v>
          </cell>
        </row>
        <row r="672">
          <cell r="A672" t="str">
            <v>Irrigation</v>
          </cell>
          <cell r="B672" t="str">
            <v>ISLMC</v>
          </cell>
          <cell r="C672" t="str">
            <v>Bank Loan outstanding</v>
          </cell>
          <cell r="D672" t="str">
            <v>Mar</v>
          </cell>
          <cell r="F672">
            <v>0</v>
          </cell>
        </row>
        <row r="673">
          <cell r="A673" t="str">
            <v>Irrigation</v>
          </cell>
          <cell r="B673" t="str">
            <v>ISLMC</v>
          </cell>
          <cell r="C673" t="str">
            <v>HO funding</v>
          </cell>
          <cell r="D673" t="str">
            <v>Mar</v>
          </cell>
          <cell r="F673">
            <v>0</v>
          </cell>
        </row>
        <row r="674">
          <cell r="A674" t="str">
            <v>Buildings</v>
          </cell>
          <cell r="B674" t="str">
            <v>HC</v>
          </cell>
          <cell r="C674" t="str">
            <v>Debtors</v>
          </cell>
          <cell r="D674" t="str">
            <v>Apr</v>
          </cell>
          <cell r="F674">
            <v>52.544639999999994</v>
          </cell>
        </row>
        <row r="675">
          <cell r="A675" t="str">
            <v>Buildings</v>
          </cell>
          <cell r="B675" t="str">
            <v>HC</v>
          </cell>
          <cell r="C675" t="str">
            <v>Work In Progress (increase/decrease)</v>
          </cell>
          <cell r="D675" t="str">
            <v>Apr</v>
          </cell>
          <cell r="F675">
            <v>160</v>
          </cell>
        </row>
        <row r="676">
          <cell r="A676" t="str">
            <v>Buildings</v>
          </cell>
          <cell r="B676" t="str">
            <v>HC</v>
          </cell>
          <cell r="C676" t="str">
            <v>Stock of Raw Materials</v>
          </cell>
          <cell r="D676" t="str">
            <v>Apr</v>
          </cell>
          <cell r="F676">
            <v>32</v>
          </cell>
        </row>
        <row r="677">
          <cell r="A677" t="str">
            <v>Buildings</v>
          </cell>
          <cell r="B677" t="str">
            <v>HC</v>
          </cell>
          <cell r="C677" t="str">
            <v>Retention(incl TDS)</v>
          </cell>
          <cell r="D677" t="str">
            <v>Apr</v>
          </cell>
          <cell r="F677">
            <v>-93.123200000000011</v>
          </cell>
        </row>
        <row r="678">
          <cell r="A678" t="str">
            <v>Buildings</v>
          </cell>
          <cell r="B678" t="str">
            <v>HC</v>
          </cell>
          <cell r="C678" t="str">
            <v>Projected Profit/Loss on YTD Sales</v>
          </cell>
          <cell r="D678" t="str">
            <v>Apr</v>
          </cell>
          <cell r="F678">
            <v>-37485.93</v>
          </cell>
        </row>
        <row r="679">
          <cell r="A679" t="str">
            <v>Buildings</v>
          </cell>
          <cell r="B679" t="str">
            <v>HC</v>
          </cell>
          <cell r="C679" t="str">
            <v>Cash and Bank Balance</v>
          </cell>
          <cell r="D679" t="str">
            <v>Apr</v>
          </cell>
          <cell r="F679">
            <v>0</v>
          </cell>
        </row>
        <row r="680">
          <cell r="A680" t="str">
            <v>Buildings</v>
          </cell>
          <cell r="B680" t="str">
            <v>HC</v>
          </cell>
          <cell r="C680" t="str">
            <v>Creditors-Suppliers-net of advance</v>
          </cell>
          <cell r="D680" t="str">
            <v>Apr</v>
          </cell>
          <cell r="F680">
            <v>26</v>
          </cell>
        </row>
        <row r="681">
          <cell r="A681" t="str">
            <v>Buildings</v>
          </cell>
          <cell r="B681" t="str">
            <v>HC</v>
          </cell>
          <cell r="C681" t="str">
            <v>Sub-Contractors-net of advance</v>
          </cell>
          <cell r="D681" t="str">
            <v>Apr</v>
          </cell>
          <cell r="F681">
            <v>96</v>
          </cell>
        </row>
        <row r="682">
          <cell r="A682" t="str">
            <v>Buildings</v>
          </cell>
          <cell r="B682" t="str">
            <v>HC</v>
          </cell>
          <cell r="C682" t="str">
            <v>Own</v>
          </cell>
          <cell r="D682" t="str">
            <v>Apr</v>
          </cell>
          <cell r="F682">
            <v>0</v>
          </cell>
        </row>
        <row r="683">
          <cell r="A683" t="str">
            <v>Buildings</v>
          </cell>
          <cell r="B683" t="str">
            <v>HC</v>
          </cell>
          <cell r="C683" t="str">
            <v>Outstide</v>
          </cell>
          <cell r="D683" t="str">
            <v>Apr</v>
          </cell>
          <cell r="F683">
            <v>32</v>
          </cell>
        </row>
        <row r="684">
          <cell r="A684" t="str">
            <v>Buildings</v>
          </cell>
          <cell r="B684" t="str">
            <v>HC</v>
          </cell>
          <cell r="C684" t="str">
            <v>Salaries and Wages Payable</v>
          </cell>
          <cell r="D684" t="str">
            <v>Apr</v>
          </cell>
          <cell r="F684">
            <v>0</v>
          </cell>
        </row>
        <row r="685">
          <cell r="A685" t="str">
            <v>Buildings</v>
          </cell>
          <cell r="B685" t="str">
            <v>HC</v>
          </cell>
          <cell r="C685" t="str">
            <v>Mobilisation Adv Outstanding</v>
          </cell>
          <cell r="D685" t="str">
            <v>Apr</v>
          </cell>
          <cell r="F685">
            <v>112</v>
          </cell>
        </row>
        <row r="686">
          <cell r="A686" t="str">
            <v>Buildings</v>
          </cell>
          <cell r="B686" t="str">
            <v>HC</v>
          </cell>
          <cell r="C686" t="str">
            <v>Bank Loan outstanding</v>
          </cell>
          <cell r="D686" t="str">
            <v>Apr</v>
          </cell>
          <cell r="F686">
            <v>0</v>
          </cell>
        </row>
        <row r="687">
          <cell r="A687" t="str">
            <v>Buildings</v>
          </cell>
          <cell r="B687" t="str">
            <v>HC</v>
          </cell>
          <cell r="C687" t="str">
            <v>HO funding</v>
          </cell>
          <cell r="D687" t="str">
            <v>Apr</v>
          </cell>
          <cell r="F687">
            <v>0</v>
          </cell>
        </row>
        <row r="688">
          <cell r="A688" t="str">
            <v>Buildings</v>
          </cell>
          <cell r="B688" t="str">
            <v>HC</v>
          </cell>
          <cell r="C688" t="str">
            <v>Debtors</v>
          </cell>
          <cell r="D688" t="str">
            <v>May</v>
          </cell>
          <cell r="F688">
            <v>52.544639999999994</v>
          </cell>
        </row>
        <row r="689">
          <cell r="A689" t="str">
            <v>Buildings</v>
          </cell>
          <cell r="B689" t="str">
            <v>HC</v>
          </cell>
          <cell r="C689" t="str">
            <v>Work In Progress (increase/decrease)</v>
          </cell>
          <cell r="D689" t="str">
            <v>May</v>
          </cell>
          <cell r="F689">
            <v>192</v>
          </cell>
        </row>
        <row r="690">
          <cell r="A690" t="str">
            <v>Buildings</v>
          </cell>
          <cell r="B690" t="str">
            <v>HC</v>
          </cell>
          <cell r="C690" t="str">
            <v>Stock of Raw Materials</v>
          </cell>
          <cell r="D690" t="str">
            <v>May</v>
          </cell>
          <cell r="F690">
            <v>32</v>
          </cell>
        </row>
        <row r="691">
          <cell r="A691" t="str">
            <v>Buildings</v>
          </cell>
          <cell r="B691" t="str">
            <v>HC</v>
          </cell>
          <cell r="C691" t="str">
            <v>Retention(incl TDS)</v>
          </cell>
          <cell r="D691" t="str">
            <v>May</v>
          </cell>
          <cell r="F691">
            <v>-118.14784000000002</v>
          </cell>
        </row>
        <row r="692">
          <cell r="A692" t="str">
            <v>Buildings</v>
          </cell>
          <cell r="B692" t="str">
            <v>HC</v>
          </cell>
          <cell r="C692" t="str">
            <v>Projected Profit/Loss on YTD Sales</v>
          </cell>
          <cell r="D692" t="str">
            <v>May</v>
          </cell>
          <cell r="F692">
            <v>-45247.16</v>
          </cell>
        </row>
        <row r="693">
          <cell r="A693" t="str">
            <v>Buildings</v>
          </cell>
          <cell r="B693" t="str">
            <v>HC</v>
          </cell>
          <cell r="C693" t="str">
            <v>Cash and Bank Balance</v>
          </cell>
          <cell r="D693" t="str">
            <v>May</v>
          </cell>
          <cell r="F693">
            <v>0</v>
          </cell>
        </row>
        <row r="694">
          <cell r="A694" t="str">
            <v>Buildings</v>
          </cell>
          <cell r="B694" t="str">
            <v>HC</v>
          </cell>
          <cell r="C694" t="str">
            <v>Creditors-Suppliers-net of advance</v>
          </cell>
          <cell r="D694" t="str">
            <v>May</v>
          </cell>
          <cell r="F694">
            <v>26</v>
          </cell>
        </row>
        <row r="695">
          <cell r="A695" t="str">
            <v>Buildings</v>
          </cell>
          <cell r="B695" t="str">
            <v>HC</v>
          </cell>
          <cell r="C695" t="str">
            <v>Sub-Contractors-net of advance</v>
          </cell>
          <cell r="D695" t="str">
            <v>May</v>
          </cell>
          <cell r="F695">
            <v>96</v>
          </cell>
        </row>
        <row r="696">
          <cell r="A696" t="str">
            <v>Buildings</v>
          </cell>
          <cell r="B696" t="str">
            <v>HC</v>
          </cell>
          <cell r="C696" t="str">
            <v>Own</v>
          </cell>
          <cell r="D696" t="str">
            <v>May</v>
          </cell>
          <cell r="F696">
            <v>0</v>
          </cell>
        </row>
        <row r="697">
          <cell r="A697" t="str">
            <v>Buildings</v>
          </cell>
          <cell r="B697" t="str">
            <v>HC</v>
          </cell>
          <cell r="C697" t="str">
            <v>Outstide</v>
          </cell>
          <cell r="D697" t="str">
            <v>May</v>
          </cell>
          <cell r="F697">
            <v>32</v>
          </cell>
        </row>
        <row r="698">
          <cell r="A698" t="str">
            <v>Buildings</v>
          </cell>
          <cell r="B698" t="str">
            <v>HC</v>
          </cell>
          <cell r="C698" t="str">
            <v>Salaries and Wages Payable</v>
          </cell>
          <cell r="D698" t="str">
            <v>May</v>
          </cell>
          <cell r="F698">
            <v>0</v>
          </cell>
        </row>
        <row r="699">
          <cell r="A699" t="str">
            <v>Buildings</v>
          </cell>
          <cell r="B699" t="str">
            <v>HC</v>
          </cell>
          <cell r="C699" t="str">
            <v>Mobilisation Adv Outstanding</v>
          </cell>
          <cell r="D699" t="str">
            <v>May</v>
          </cell>
          <cell r="F699">
            <v>134.4</v>
          </cell>
        </row>
        <row r="700">
          <cell r="A700" t="str">
            <v>Buildings</v>
          </cell>
          <cell r="B700" t="str">
            <v>HC</v>
          </cell>
          <cell r="C700" t="str">
            <v>Bank Loan outstanding</v>
          </cell>
          <cell r="D700" t="str">
            <v>May</v>
          </cell>
          <cell r="F700">
            <v>0</v>
          </cell>
        </row>
        <row r="701">
          <cell r="A701" t="str">
            <v>Buildings</v>
          </cell>
          <cell r="B701" t="str">
            <v>HC</v>
          </cell>
          <cell r="C701" t="str">
            <v>HO funding</v>
          </cell>
          <cell r="D701" t="str">
            <v>May</v>
          </cell>
          <cell r="F701">
            <v>0</v>
          </cell>
        </row>
        <row r="702">
          <cell r="A702" t="str">
            <v>Buildings</v>
          </cell>
          <cell r="B702" t="str">
            <v>HC</v>
          </cell>
          <cell r="C702" t="str">
            <v>Debtors</v>
          </cell>
          <cell r="D702" t="str">
            <v>June</v>
          </cell>
          <cell r="F702">
            <v>52.544639999999994</v>
          </cell>
        </row>
        <row r="703">
          <cell r="A703" t="str">
            <v>Buildings</v>
          </cell>
          <cell r="B703" t="str">
            <v>HC</v>
          </cell>
          <cell r="C703" t="str">
            <v>Work In Progress (increase/decrease)</v>
          </cell>
          <cell r="D703" t="str">
            <v>June</v>
          </cell>
          <cell r="F703">
            <v>224</v>
          </cell>
        </row>
        <row r="704">
          <cell r="A704" t="str">
            <v>Buildings</v>
          </cell>
          <cell r="B704" t="str">
            <v>HC</v>
          </cell>
          <cell r="C704" t="str">
            <v>Stock of Raw Materials</v>
          </cell>
          <cell r="D704" t="str">
            <v>June</v>
          </cell>
          <cell r="F704">
            <v>32</v>
          </cell>
        </row>
        <row r="705">
          <cell r="A705" t="str">
            <v>Buildings</v>
          </cell>
          <cell r="B705" t="str">
            <v>HC</v>
          </cell>
          <cell r="C705" t="str">
            <v>Retention(incl TDS)</v>
          </cell>
          <cell r="D705" t="str">
            <v>June</v>
          </cell>
          <cell r="F705">
            <v>-143.17248000000001</v>
          </cell>
        </row>
        <row r="706">
          <cell r="A706" t="str">
            <v>Buildings</v>
          </cell>
          <cell r="B706" t="str">
            <v>HC</v>
          </cell>
          <cell r="C706" t="str">
            <v>Projected Profit/Loss on YTD Sales</v>
          </cell>
          <cell r="D706" t="str">
            <v>June</v>
          </cell>
          <cell r="F706">
            <v>-53011.700000000004</v>
          </cell>
        </row>
        <row r="707">
          <cell r="A707" t="str">
            <v>Buildings</v>
          </cell>
          <cell r="B707" t="str">
            <v>HC</v>
          </cell>
          <cell r="C707" t="str">
            <v>Cash and Bank Balance</v>
          </cell>
          <cell r="D707" t="str">
            <v>June</v>
          </cell>
          <cell r="F707">
            <v>0</v>
          </cell>
        </row>
        <row r="708">
          <cell r="A708" t="str">
            <v>Buildings</v>
          </cell>
          <cell r="B708" t="str">
            <v>HC</v>
          </cell>
          <cell r="C708" t="str">
            <v>Creditors-Suppliers-net of advance</v>
          </cell>
          <cell r="D708" t="str">
            <v>June</v>
          </cell>
          <cell r="F708">
            <v>26</v>
          </cell>
        </row>
        <row r="709">
          <cell r="A709" t="str">
            <v>Buildings</v>
          </cell>
          <cell r="B709" t="str">
            <v>HC</v>
          </cell>
          <cell r="C709" t="str">
            <v>Sub-Contractors-net of advance</v>
          </cell>
          <cell r="D709" t="str">
            <v>June</v>
          </cell>
          <cell r="F709">
            <v>96</v>
          </cell>
        </row>
        <row r="710">
          <cell r="A710" t="str">
            <v>Buildings</v>
          </cell>
          <cell r="B710" t="str">
            <v>HC</v>
          </cell>
          <cell r="C710" t="str">
            <v>Own</v>
          </cell>
          <cell r="D710" t="str">
            <v>June</v>
          </cell>
          <cell r="F710">
            <v>0</v>
          </cell>
        </row>
        <row r="711">
          <cell r="A711" t="str">
            <v>Buildings</v>
          </cell>
          <cell r="B711" t="str">
            <v>HC</v>
          </cell>
          <cell r="C711" t="str">
            <v>Outstide</v>
          </cell>
          <cell r="D711" t="str">
            <v>June</v>
          </cell>
          <cell r="F711">
            <v>32</v>
          </cell>
        </row>
        <row r="712">
          <cell r="A712" t="str">
            <v>Buildings</v>
          </cell>
          <cell r="B712" t="str">
            <v>HC</v>
          </cell>
          <cell r="C712" t="str">
            <v>Salaries and Wages Payable</v>
          </cell>
          <cell r="D712" t="str">
            <v>June</v>
          </cell>
          <cell r="F712">
            <v>0</v>
          </cell>
        </row>
        <row r="713">
          <cell r="A713" t="str">
            <v>Buildings</v>
          </cell>
          <cell r="B713" t="str">
            <v>HC</v>
          </cell>
          <cell r="C713" t="str">
            <v>Mobilisation Adv Outstanding</v>
          </cell>
          <cell r="D713" t="str">
            <v>June</v>
          </cell>
          <cell r="F713">
            <v>156.80000000000001</v>
          </cell>
        </row>
        <row r="714">
          <cell r="A714" t="str">
            <v>Buildings</v>
          </cell>
          <cell r="B714" t="str">
            <v>HC</v>
          </cell>
          <cell r="C714" t="str">
            <v>Bank Loan outstanding</v>
          </cell>
          <cell r="D714" t="str">
            <v>June</v>
          </cell>
          <cell r="F714">
            <v>0</v>
          </cell>
        </row>
        <row r="715">
          <cell r="A715" t="str">
            <v>Buildings</v>
          </cell>
          <cell r="B715" t="str">
            <v>HC</v>
          </cell>
          <cell r="C715" t="str">
            <v>HO funding</v>
          </cell>
          <cell r="D715" t="str">
            <v>June</v>
          </cell>
          <cell r="F715">
            <v>0</v>
          </cell>
        </row>
        <row r="716">
          <cell r="A716" t="str">
            <v>Buildings</v>
          </cell>
          <cell r="B716" t="str">
            <v>HC</v>
          </cell>
          <cell r="C716" t="str">
            <v>Debtors</v>
          </cell>
          <cell r="D716" t="str">
            <v>July</v>
          </cell>
          <cell r="F716">
            <v>52.544639999999994</v>
          </cell>
        </row>
        <row r="717">
          <cell r="A717" t="str">
            <v>Buildings</v>
          </cell>
          <cell r="B717" t="str">
            <v>HC</v>
          </cell>
          <cell r="C717" t="str">
            <v>Work In Progress (increase/decrease)</v>
          </cell>
          <cell r="D717" t="str">
            <v>July</v>
          </cell>
          <cell r="F717">
            <v>256</v>
          </cell>
        </row>
        <row r="718">
          <cell r="A718" t="str">
            <v>Buildings</v>
          </cell>
          <cell r="B718" t="str">
            <v>HC</v>
          </cell>
          <cell r="C718" t="str">
            <v>Stock of Raw Materials</v>
          </cell>
          <cell r="D718" t="str">
            <v>July</v>
          </cell>
          <cell r="F718">
            <v>32</v>
          </cell>
        </row>
        <row r="719">
          <cell r="A719" t="str">
            <v>Buildings</v>
          </cell>
          <cell r="B719" t="str">
            <v>HC</v>
          </cell>
          <cell r="C719" t="str">
            <v>Retention(incl TDS)</v>
          </cell>
          <cell r="D719" t="str">
            <v>July</v>
          </cell>
          <cell r="F719">
            <v>-168.19711999999998</v>
          </cell>
        </row>
        <row r="720">
          <cell r="A720" t="str">
            <v>Buildings</v>
          </cell>
          <cell r="B720" t="str">
            <v>HC</v>
          </cell>
          <cell r="C720" t="str">
            <v>Projected Profit/Loss on YTD Sales</v>
          </cell>
          <cell r="D720" t="str">
            <v>July</v>
          </cell>
          <cell r="F720">
            <v>-60779.55</v>
          </cell>
        </row>
        <row r="721">
          <cell r="A721" t="str">
            <v>Buildings</v>
          </cell>
          <cell r="B721" t="str">
            <v>HC</v>
          </cell>
          <cell r="C721" t="str">
            <v>Cash and Bank Balance</v>
          </cell>
          <cell r="D721" t="str">
            <v>July</v>
          </cell>
          <cell r="F721">
            <v>0</v>
          </cell>
        </row>
        <row r="722">
          <cell r="A722" t="str">
            <v>Buildings</v>
          </cell>
          <cell r="B722" t="str">
            <v>HC</v>
          </cell>
          <cell r="C722" t="str">
            <v>Creditors-Suppliers-net of advance</v>
          </cell>
          <cell r="D722" t="str">
            <v>July</v>
          </cell>
          <cell r="F722">
            <v>26</v>
          </cell>
        </row>
        <row r="723">
          <cell r="A723" t="str">
            <v>Buildings</v>
          </cell>
          <cell r="B723" t="str">
            <v>HC</v>
          </cell>
          <cell r="C723" t="str">
            <v>Sub-Contractors-net of advance</v>
          </cell>
          <cell r="D723" t="str">
            <v>July</v>
          </cell>
          <cell r="F723">
            <v>96</v>
          </cell>
        </row>
        <row r="724">
          <cell r="A724" t="str">
            <v>Buildings</v>
          </cell>
          <cell r="B724" t="str">
            <v>HC</v>
          </cell>
          <cell r="C724" t="str">
            <v>Own</v>
          </cell>
          <cell r="D724" t="str">
            <v>July</v>
          </cell>
          <cell r="F724">
            <v>0</v>
          </cell>
        </row>
        <row r="725">
          <cell r="A725" t="str">
            <v>Buildings</v>
          </cell>
          <cell r="B725" t="str">
            <v>HC</v>
          </cell>
          <cell r="C725" t="str">
            <v>Outstide</v>
          </cell>
          <cell r="D725" t="str">
            <v>July</v>
          </cell>
          <cell r="F725">
            <v>32</v>
          </cell>
        </row>
        <row r="726">
          <cell r="A726" t="str">
            <v>Buildings</v>
          </cell>
          <cell r="B726" t="str">
            <v>HC</v>
          </cell>
          <cell r="C726" t="str">
            <v>Salaries and Wages Payable</v>
          </cell>
          <cell r="D726" t="str">
            <v>July</v>
          </cell>
          <cell r="F726">
            <v>0</v>
          </cell>
        </row>
        <row r="727">
          <cell r="A727" t="str">
            <v>Buildings</v>
          </cell>
          <cell r="B727" t="str">
            <v>HC</v>
          </cell>
          <cell r="C727" t="str">
            <v>Mobilisation Adv Outstanding</v>
          </cell>
          <cell r="D727" t="str">
            <v>July</v>
          </cell>
          <cell r="F727">
            <v>179.20000000000002</v>
          </cell>
        </row>
        <row r="728">
          <cell r="A728" t="str">
            <v>Buildings</v>
          </cell>
          <cell r="B728" t="str">
            <v>HC</v>
          </cell>
          <cell r="C728" t="str">
            <v>Bank Loan outstanding</v>
          </cell>
          <cell r="D728" t="str">
            <v>July</v>
          </cell>
          <cell r="F728">
            <v>0</v>
          </cell>
        </row>
        <row r="729">
          <cell r="A729" t="str">
            <v>Buildings</v>
          </cell>
          <cell r="B729" t="str">
            <v>HC</v>
          </cell>
          <cell r="C729" t="str">
            <v>HO funding</v>
          </cell>
          <cell r="D729" t="str">
            <v>July</v>
          </cell>
          <cell r="F729">
            <v>0</v>
          </cell>
        </row>
        <row r="730">
          <cell r="A730" t="str">
            <v>Buildings</v>
          </cell>
          <cell r="B730" t="str">
            <v>HC</v>
          </cell>
          <cell r="C730" t="str">
            <v>Debtors</v>
          </cell>
          <cell r="D730" t="str">
            <v>Aug</v>
          </cell>
          <cell r="F730">
            <v>52.544639999999994</v>
          </cell>
        </row>
        <row r="731">
          <cell r="A731" t="str">
            <v>Buildings</v>
          </cell>
          <cell r="B731" t="str">
            <v>HC</v>
          </cell>
          <cell r="C731" t="str">
            <v>Work In Progress (increase/decrease)</v>
          </cell>
          <cell r="D731" t="str">
            <v>Aug</v>
          </cell>
          <cell r="F731">
            <v>288</v>
          </cell>
        </row>
        <row r="732">
          <cell r="A732" t="str">
            <v>Buildings</v>
          </cell>
          <cell r="B732" t="str">
            <v>HC</v>
          </cell>
          <cell r="C732" t="str">
            <v>Stock of Raw Materials</v>
          </cell>
          <cell r="D732" t="str">
            <v>Aug</v>
          </cell>
          <cell r="F732">
            <v>32</v>
          </cell>
        </row>
        <row r="733">
          <cell r="A733" t="str">
            <v>Buildings</v>
          </cell>
          <cell r="B733" t="str">
            <v>HC</v>
          </cell>
          <cell r="C733" t="str">
            <v>Retention(incl TDS)</v>
          </cell>
          <cell r="D733" t="str">
            <v>Aug</v>
          </cell>
          <cell r="F733">
            <v>-193.22175999999996</v>
          </cell>
        </row>
        <row r="734">
          <cell r="A734" t="str">
            <v>Buildings</v>
          </cell>
          <cell r="B734" t="str">
            <v>HC</v>
          </cell>
          <cell r="C734" t="str">
            <v>Projected Profit/Loss on YTD Sales</v>
          </cell>
          <cell r="D734" t="str">
            <v>Aug</v>
          </cell>
          <cell r="F734">
            <v>-68550.710000000006</v>
          </cell>
        </row>
        <row r="735">
          <cell r="A735" t="str">
            <v>Buildings</v>
          </cell>
          <cell r="B735" t="str">
            <v>HC</v>
          </cell>
          <cell r="C735" t="str">
            <v>Cash and Bank Balance</v>
          </cell>
          <cell r="D735" t="str">
            <v>Aug</v>
          </cell>
          <cell r="F735">
            <v>0</v>
          </cell>
        </row>
        <row r="736">
          <cell r="A736" t="str">
            <v>Buildings</v>
          </cell>
          <cell r="B736" t="str">
            <v>HC</v>
          </cell>
          <cell r="C736" t="str">
            <v>Creditors-Suppliers-net of advance</v>
          </cell>
          <cell r="D736" t="str">
            <v>Aug</v>
          </cell>
          <cell r="F736">
            <v>26</v>
          </cell>
        </row>
        <row r="737">
          <cell r="A737" t="str">
            <v>Buildings</v>
          </cell>
          <cell r="B737" t="str">
            <v>HC</v>
          </cell>
          <cell r="C737" t="str">
            <v>Sub-Contractors-net of advance</v>
          </cell>
          <cell r="D737" t="str">
            <v>Aug</v>
          </cell>
          <cell r="F737">
            <v>96</v>
          </cell>
        </row>
        <row r="738">
          <cell r="A738" t="str">
            <v>Buildings</v>
          </cell>
          <cell r="B738" t="str">
            <v>HC</v>
          </cell>
          <cell r="C738" t="str">
            <v>Own</v>
          </cell>
          <cell r="D738" t="str">
            <v>Aug</v>
          </cell>
          <cell r="F738">
            <v>0</v>
          </cell>
        </row>
        <row r="739">
          <cell r="A739" t="str">
            <v>Buildings</v>
          </cell>
          <cell r="B739" t="str">
            <v>HC</v>
          </cell>
          <cell r="C739" t="str">
            <v>Outstide</v>
          </cell>
          <cell r="D739" t="str">
            <v>Aug</v>
          </cell>
          <cell r="F739">
            <v>32</v>
          </cell>
        </row>
        <row r="740">
          <cell r="A740" t="str">
            <v>Buildings</v>
          </cell>
          <cell r="B740" t="str">
            <v>HC</v>
          </cell>
          <cell r="C740" t="str">
            <v>Salaries and Wages Payable</v>
          </cell>
          <cell r="D740" t="str">
            <v>Aug</v>
          </cell>
          <cell r="F740">
            <v>0</v>
          </cell>
        </row>
        <row r="741">
          <cell r="A741" t="str">
            <v>Buildings</v>
          </cell>
          <cell r="B741" t="str">
            <v>HC</v>
          </cell>
          <cell r="C741" t="str">
            <v>Mobilisation Adv Outstanding</v>
          </cell>
          <cell r="D741" t="str">
            <v>Aug</v>
          </cell>
          <cell r="F741">
            <v>201.60000000000002</v>
          </cell>
        </row>
        <row r="742">
          <cell r="A742" t="str">
            <v>Buildings</v>
          </cell>
          <cell r="B742" t="str">
            <v>HC</v>
          </cell>
          <cell r="C742" t="str">
            <v>Bank Loan outstanding</v>
          </cell>
          <cell r="D742" t="str">
            <v>Aug</v>
          </cell>
          <cell r="F742">
            <v>0</v>
          </cell>
        </row>
        <row r="743">
          <cell r="A743" t="str">
            <v>Buildings</v>
          </cell>
          <cell r="B743" t="str">
            <v>HC</v>
          </cell>
          <cell r="C743" t="str">
            <v>HO funding</v>
          </cell>
          <cell r="D743" t="str">
            <v>Aug</v>
          </cell>
          <cell r="F743">
            <v>0</v>
          </cell>
        </row>
        <row r="744">
          <cell r="A744" t="str">
            <v>Buildings</v>
          </cell>
          <cell r="B744" t="str">
            <v>HC</v>
          </cell>
          <cell r="C744" t="str">
            <v>Debtors</v>
          </cell>
          <cell r="D744" t="str">
            <v>Sep</v>
          </cell>
          <cell r="F744">
            <v>52.544639999999994</v>
          </cell>
        </row>
        <row r="745">
          <cell r="A745" t="str">
            <v>Buildings</v>
          </cell>
          <cell r="B745" t="str">
            <v>HC</v>
          </cell>
          <cell r="C745" t="str">
            <v>Work In Progress (increase/decrease)</v>
          </cell>
          <cell r="D745" t="str">
            <v>Sep</v>
          </cell>
          <cell r="F745">
            <v>320</v>
          </cell>
        </row>
        <row r="746">
          <cell r="A746" t="str">
            <v>Buildings</v>
          </cell>
          <cell r="B746" t="str">
            <v>HC</v>
          </cell>
          <cell r="C746" t="str">
            <v>Stock of Raw Materials</v>
          </cell>
          <cell r="D746" t="str">
            <v>Sep</v>
          </cell>
          <cell r="F746">
            <v>32</v>
          </cell>
        </row>
        <row r="747">
          <cell r="A747" t="str">
            <v>Buildings</v>
          </cell>
          <cell r="B747" t="str">
            <v>HC</v>
          </cell>
          <cell r="C747" t="str">
            <v>Retention(incl TDS)</v>
          </cell>
          <cell r="D747" t="str">
            <v>Sep</v>
          </cell>
          <cell r="F747">
            <v>-218.24639999999994</v>
          </cell>
        </row>
        <row r="748">
          <cell r="A748" t="str">
            <v>Buildings</v>
          </cell>
          <cell r="B748" t="str">
            <v>HC</v>
          </cell>
          <cell r="C748" t="str">
            <v>Projected Profit/Loss on YTD Sales</v>
          </cell>
          <cell r="D748" t="str">
            <v>Sep</v>
          </cell>
          <cell r="F748">
            <v>-76325.16</v>
          </cell>
        </row>
        <row r="749">
          <cell r="A749" t="str">
            <v>Buildings</v>
          </cell>
          <cell r="B749" t="str">
            <v>HC</v>
          </cell>
          <cell r="C749" t="str">
            <v>Cash and Bank Balance</v>
          </cell>
          <cell r="D749" t="str">
            <v>Sep</v>
          </cell>
          <cell r="F749">
            <v>0</v>
          </cell>
        </row>
        <row r="750">
          <cell r="A750" t="str">
            <v>Buildings</v>
          </cell>
          <cell r="B750" t="str">
            <v>HC</v>
          </cell>
          <cell r="C750" t="str">
            <v>Creditors-Suppliers-net of advance</v>
          </cell>
          <cell r="D750" t="str">
            <v>Sep</v>
          </cell>
          <cell r="F750">
            <v>26</v>
          </cell>
        </row>
        <row r="751">
          <cell r="A751" t="str">
            <v>Buildings</v>
          </cell>
          <cell r="B751" t="str">
            <v>HC</v>
          </cell>
          <cell r="C751" t="str">
            <v>Sub-Contractors-net of advance</v>
          </cell>
          <cell r="D751" t="str">
            <v>Sep</v>
          </cell>
          <cell r="F751">
            <v>96</v>
          </cell>
        </row>
        <row r="752">
          <cell r="A752" t="str">
            <v>Buildings</v>
          </cell>
          <cell r="B752" t="str">
            <v>HC</v>
          </cell>
          <cell r="C752" t="str">
            <v>Own</v>
          </cell>
          <cell r="D752" t="str">
            <v>Sep</v>
          </cell>
          <cell r="F752">
            <v>0</v>
          </cell>
        </row>
        <row r="753">
          <cell r="A753" t="str">
            <v>Buildings</v>
          </cell>
          <cell r="B753" t="str">
            <v>HC</v>
          </cell>
          <cell r="C753" t="str">
            <v>Outstide</v>
          </cell>
          <cell r="D753" t="str">
            <v>Sep</v>
          </cell>
          <cell r="F753">
            <v>32</v>
          </cell>
        </row>
        <row r="754">
          <cell r="A754" t="str">
            <v>Buildings</v>
          </cell>
          <cell r="B754" t="str">
            <v>HC</v>
          </cell>
          <cell r="C754" t="str">
            <v>Salaries and Wages Payable</v>
          </cell>
          <cell r="D754" t="str">
            <v>Sep</v>
          </cell>
          <cell r="F754">
            <v>0</v>
          </cell>
        </row>
        <row r="755">
          <cell r="A755" t="str">
            <v>Buildings</v>
          </cell>
          <cell r="B755" t="str">
            <v>HC</v>
          </cell>
          <cell r="C755" t="str">
            <v>Mobilisation Adv Outstanding</v>
          </cell>
          <cell r="D755" t="str">
            <v>Sep</v>
          </cell>
          <cell r="F755">
            <v>224.00000000000003</v>
          </cell>
        </row>
        <row r="756">
          <cell r="A756" t="str">
            <v>Buildings</v>
          </cell>
          <cell r="B756" t="str">
            <v>HC</v>
          </cell>
          <cell r="C756" t="str">
            <v>Bank Loan outstanding</v>
          </cell>
          <cell r="D756" t="str">
            <v>Sep</v>
          </cell>
          <cell r="F756">
            <v>0</v>
          </cell>
        </row>
        <row r="757">
          <cell r="A757" t="str">
            <v>Buildings</v>
          </cell>
          <cell r="B757" t="str">
            <v>HC</v>
          </cell>
          <cell r="C757" t="str">
            <v>HO funding</v>
          </cell>
          <cell r="D757" t="str">
            <v>Sep</v>
          </cell>
          <cell r="F757">
            <v>0</v>
          </cell>
        </row>
        <row r="758">
          <cell r="A758" t="str">
            <v>Buildings</v>
          </cell>
          <cell r="B758" t="str">
            <v>HC</v>
          </cell>
          <cell r="C758" t="str">
            <v>Debtors</v>
          </cell>
          <cell r="D758" t="str">
            <v>Oct</v>
          </cell>
          <cell r="F758">
            <v>52.544639999999994</v>
          </cell>
        </row>
        <row r="759">
          <cell r="A759" t="str">
            <v>Buildings</v>
          </cell>
          <cell r="B759" t="str">
            <v>HC</v>
          </cell>
          <cell r="C759" t="str">
            <v>Work In Progress (increase/decrease)</v>
          </cell>
          <cell r="D759" t="str">
            <v>Oct</v>
          </cell>
          <cell r="F759">
            <v>352</v>
          </cell>
        </row>
        <row r="760">
          <cell r="A760" t="str">
            <v>Buildings</v>
          </cell>
          <cell r="B760" t="str">
            <v>HC</v>
          </cell>
          <cell r="C760" t="str">
            <v>Stock of Raw Materials</v>
          </cell>
          <cell r="D760" t="str">
            <v>Oct</v>
          </cell>
          <cell r="F760">
            <v>32</v>
          </cell>
        </row>
        <row r="761">
          <cell r="A761" t="str">
            <v>Buildings</v>
          </cell>
          <cell r="B761" t="str">
            <v>HC</v>
          </cell>
          <cell r="C761" t="str">
            <v>Retention(incl TDS)</v>
          </cell>
          <cell r="D761" t="str">
            <v>Oct</v>
          </cell>
          <cell r="F761">
            <v>-243.27103999999991</v>
          </cell>
        </row>
        <row r="762">
          <cell r="A762" t="str">
            <v>Buildings</v>
          </cell>
          <cell r="B762" t="str">
            <v>HC</v>
          </cell>
          <cell r="C762" t="str">
            <v>Projected Profit/Loss on YTD Sales</v>
          </cell>
          <cell r="D762" t="str">
            <v>Oct</v>
          </cell>
          <cell r="F762">
            <v>-84102.92</v>
          </cell>
        </row>
        <row r="763">
          <cell r="A763" t="str">
            <v>Buildings</v>
          </cell>
          <cell r="B763" t="str">
            <v>HC</v>
          </cell>
          <cell r="C763" t="str">
            <v>Cash and Bank Balance</v>
          </cell>
          <cell r="D763" t="str">
            <v>Oct</v>
          </cell>
          <cell r="F763">
            <v>0</v>
          </cell>
        </row>
        <row r="764">
          <cell r="A764" t="str">
            <v>Buildings</v>
          </cell>
          <cell r="B764" t="str">
            <v>HC</v>
          </cell>
          <cell r="C764" t="str">
            <v>Creditors-Suppliers-net of advance</v>
          </cell>
          <cell r="D764" t="str">
            <v>Oct</v>
          </cell>
          <cell r="F764">
            <v>26</v>
          </cell>
        </row>
        <row r="765">
          <cell r="A765" t="str">
            <v>Buildings</v>
          </cell>
          <cell r="B765" t="str">
            <v>HC</v>
          </cell>
          <cell r="C765" t="str">
            <v>Sub-Contractors-net of advance</v>
          </cell>
          <cell r="D765" t="str">
            <v>Oct</v>
          </cell>
          <cell r="F765">
            <v>96</v>
          </cell>
        </row>
        <row r="766">
          <cell r="A766" t="str">
            <v>Buildings</v>
          </cell>
          <cell r="B766" t="str">
            <v>HC</v>
          </cell>
          <cell r="C766" t="str">
            <v>Own</v>
          </cell>
          <cell r="D766" t="str">
            <v>Oct</v>
          </cell>
          <cell r="F766">
            <v>0</v>
          </cell>
        </row>
        <row r="767">
          <cell r="A767" t="str">
            <v>Buildings</v>
          </cell>
          <cell r="B767" t="str">
            <v>HC</v>
          </cell>
          <cell r="C767" t="str">
            <v>Outstide</v>
          </cell>
          <cell r="D767" t="str">
            <v>Oct</v>
          </cell>
          <cell r="F767">
            <v>32</v>
          </cell>
        </row>
        <row r="768">
          <cell r="A768" t="str">
            <v>Buildings</v>
          </cell>
          <cell r="B768" t="str">
            <v>HC</v>
          </cell>
          <cell r="C768" t="str">
            <v>Salaries and Wages Payable</v>
          </cell>
          <cell r="D768" t="str">
            <v>Oct</v>
          </cell>
          <cell r="F768">
            <v>0</v>
          </cell>
        </row>
        <row r="769">
          <cell r="A769" t="str">
            <v>Buildings</v>
          </cell>
          <cell r="B769" t="str">
            <v>HC</v>
          </cell>
          <cell r="C769" t="str">
            <v>Mobilisation Adv Outstanding</v>
          </cell>
          <cell r="D769" t="str">
            <v>Oct</v>
          </cell>
          <cell r="F769">
            <v>246.4</v>
          </cell>
        </row>
        <row r="770">
          <cell r="A770" t="str">
            <v>Buildings</v>
          </cell>
          <cell r="B770" t="str">
            <v>HC</v>
          </cell>
          <cell r="C770" t="str">
            <v>Bank Loan outstanding</v>
          </cell>
          <cell r="D770" t="str">
            <v>Oct</v>
          </cell>
          <cell r="F770">
            <v>0</v>
          </cell>
        </row>
        <row r="771">
          <cell r="A771" t="str">
            <v>Buildings</v>
          </cell>
          <cell r="B771" t="str">
            <v>HC</v>
          </cell>
          <cell r="C771" t="str">
            <v>HO funding</v>
          </cell>
          <cell r="D771" t="str">
            <v>Oct</v>
          </cell>
          <cell r="F771">
            <v>0</v>
          </cell>
        </row>
        <row r="772">
          <cell r="A772" t="str">
            <v>Buildings</v>
          </cell>
          <cell r="B772" t="str">
            <v>HC</v>
          </cell>
          <cell r="C772" t="str">
            <v>Debtors</v>
          </cell>
          <cell r="D772" t="str">
            <v>Nov</v>
          </cell>
          <cell r="F772">
            <v>52.544639999999994</v>
          </cell>
        </row>
        <row r="773">
          <cell r="A773" t="str">
            <v>Buildings</v>
          </cell>
          <cell r="B773" t="str">
            <v>HC</v>
          </cell>
          <cell r="C773" t="str">
            <v>Work In Progress (increase/decrease)</v>
          </cell>
          <cell r="D773" t="str">
            <v>Nov</v>
          </cell>
          <cell r="F773">
            <v>384</v>
          </cell>
        </row>
        <row r="774">
          <cell r="A774" t="str">
            <v>Buildings</v>
          </cell>
          <cell r="B774" t="str">
            <v>HC</v>
          </cell>
          <cell r="C774" t="str">
            <v>Stock of Raw Materials</v>
          </cell>
          <cell r="D774" t="str">
            <v>Nov</v>
          </cell>
          <cell r="F774">
            <v>32</v>
          </cell>
        </row>
        <row r="775">
          <cell r="A775" t="str">
            <v>Buildings</v>
          </cell>
          <cell r="B775" t="str">
            <v>HC</v>
          </cell>
          <cell r="C775" t="str">
            <v>Retention(incl TDS)</v>
          </cell>
          <cell r="D775" t="str">
            <v>Nov</v>
          </cell>
          <cell r="F775">
            <v>-268.29567999999989</v>
          </cell>
        </row>
        <row r="776">
          <cell r="A776" t="str">
            <v>Buildings</v>
          </cell>
          <cell r="B776" t="str">
            <v>HC</v>
          </cell>
          <cell r="C776" t="str">
            <v>Projected Profit/Loss on YTD Sales</v>
          </cell>
          <cell r="D776" t="str">
            <v>Nov</v>
          </cell>
          <cell r="F776">
            <v>-91883.989999999991</v>
          </cell>
        </row>
        <row r="777">
          <cell r="A777" t="str">
            <v>Buildings</v>
          </cell>
          <cell r="B777" t="str">
            <v>HC</v>
          </cell>
          <cell r="C777" t="str">
            <v>Cash and Bank Balance</v>
          </cell>
          <cell r="D777" t="str">
            <v>Nov</v>
          </cell>
          <cell r="F777">
            <v>0</v>
          </cell>
        </row>
        <row r="778">
          <cell r="A778" t="str">
            <v>Buildings</v>
          </cell>
          <cell r="B778" t="str">
            <v>HC</v>
          </cell>
          <cell r="C778" t="str">
            <v>Creditors-Suppliers-net of advance</v>
          </cell>
          <cell r="D778" t="str">
            <v>Nov</v>
          </cell>
          <cell r="F778">
            <v>26</v>
          </cell>
        </row>
        <row r="779">
          <cell r="A779" t="str">
            <v>Buildings</v>
          </cell>
          <cell r="B779" t="str">
            <v>HC</v>
          </cell>
          <cell r="C779" t="str">
            <v>Sub-Contractors-net of advance</v>
          </cell>
          <cell r="D779" t="str">
            <v>Nov</v>
          </cell>
          <cell r="F779">
            <v>96</v>
          </cell>
        </row>
        <row r="780">
          <cell r="A780" t="str">
            <v>Buildings</v>
          </cell>
          <cell r="B780" t="str">
            <v>HC</v>
          </cell>
          <cell r="C780" t="str">
            <v>Own</v>
          </cell>
          <cell r="D780" t="str">
            <v>Nov</v>
          </cell>
          <cell r="F780">
            <v>0</v>
          </cell>
        </row>
        <row r="781">
          <cell r="A781" t="str">
            <v>Buildings</v>
          </cell>
          <cell r="B781" t="str">
            <v>HC</v>
          </cell>
          <cell r="C781" t="str">
            <v>Outstide</v>
          </cell>
          <cell r="D781" t="str">
            <v>Nov</v>
          </cell>
          <cell r="F781">
            <v>32</v>
          </cell>
        </row>
        <row r="782">
          <cell r="A782" t="str">
            <v>Buildings</v>
          </cell>
          <cell r="B782" t="str">
            <v>HC</v>
          </cell>
          <cell r="C782" t="str">
            <v>Salaries and Wages Payable</v>
          </cell>
          <cell r="D782" t="str">
            <v>Nov</v>
          </cell>
          <cell r="F782">
            <v>0</v>
          </cell>
        </row>
        <row r="783">
          <cell r="A783" t="str">
            <v>Buildings</v>
          </cell>
          <cell r="B783" t="str">
            <v>HC</v>
          </cell>
          <cell r="C783" t="str">
            <v>Mobilisation Adv Outstanding</v>
          </cell>
          <cell r="D783" t="str">
            <v>Nov</v>
          </cell>
          <cell r="F783">
            <v>268.79999999999995</v>
          </cell>
        </row>
        <row r="784">
          <cell r="A784" t="str">
            <v>Buildings</v>
          </cell>
          <cell r="B784" t="str">
            <v>HC</v>
          </cell>
          <cell r="C784" t="str">
            <v>Bank Loan outstanding</v>
          </cell>
          <cell r="D784" t="str">
            <v>Nov</v>
          </cell>
          <cell r="F784">
            <v>0</v>
          </cell>
        </row>
        <row r="785">
          <cell r="A785" t="str">
            <v>Buildings</v>
          </cell>
          <cell r="B785" t="str">
            <v>HC</v>
          </cell>
          <cell r="C785" t="str">
            <v>HO funding</v>
          </cell>
          <cell r="D785" t="str">
            <v>Nov</v>
          </cell>
          <cell r="F785">
            <v>0</v>
          </cell>
        </row>
        <row r="786">
          <cell r="A786" t="str">
            <v>Buildings</v>
          </cell>
          <cell r="B786" t="str">
            <v>HC</v>
          </cell>
          <cell r="C786" t="str">
            <v>Debtors</v>
          </cell>
          <cell r="D786" t="str">
            <v>Dec</v>
          </cell>
          <cell r="F786">
            <v>52.544639999999994</v>
          </cell>
        </row>
        <row r="787">
          <cell r="A787" t="str">
            <v>Buildings</v>
          </cell>
          <cell r="B787" t="str">
            <v>HC</v>
          </cell>
          <cell r="C787" t="str">
            <v>Work In Progress (increase/decrease)</v>
          </cell>
          <cell r="D787" t="str">
            <v>Dec</v>
          </cell>
          <cell r="F787">
            <v>416</v>
          </cell>
        </row>
        <row r="788">
          <cell r="A788" t="str">
            <v>Buildings</v>
          </cell>
          <cell r="B788" t="str">
            <v>HC</v>
          </cell>
          <cell r="C788" t="str">
            <v>Stock of Raw Materials</v>
          </cell>
          <cell r="D788" t="str">
            <v>Dec</v>
          </cell>
          <cell r="F788">
            <v>32</v>
          </cell>
        </row>
        <row r="789">
          <cell r="A789" t="str">
            <v>Buildings</v>
          </cell>
          <cell r="B789" t="str">
            <v>HC</v>
          </cell>
          <cell r="C789" t="str">
            <v>Retention(incl TDS)</v>
          </cell>
          <cell r="D789" t="str">
            <v>Dec</v>
          </cell>
          <cell r="F789">
            <v>-293.32031999999987</v>
          </cell>
        </row>
        <row r="790">
          <cell r="A790" t="str">
            <v>Buildings</v>
          </cell>
          <cell r="B790" t="str">
            <v>HC</v>
          </cell>
          <cell r="C790" t="str">
            <v>Projected Profit/Loss on YTD Sales</v>
          </cell>
          <cell r="D790" t="str">
            <v>Dec</v>
          </cell>
          <cell r="F790">
            <v>-99668.359999999986</v>
          </cell>
        </row>
        <row r="791">
          <cell r="A791" t="str">
            <v>Buildings</v>
          </cell>
          <cell r="B791" t="str">
            <v>HC</v>
          </cell>
          <cell r="C791" t="str">
            <v>Cash and Bank Balance</v>
          </cell>
          <cell r="D791" t="str">
            <v>Dec</v>
          </cell>
          <cell r="F791">
            <v>0</v>
          </cell>
        </row>
        <row r="792">
          <cell r="A792" t="str">
            <v>Buildings</v>
          </cell>
          <cell r="B792" t="str">
            <v>HC</v>
          </cell>
          <cell r="C792" t="str">
            <v>Creditors-Suppliers-net of advance</v>
          </cell>
          <cell r="D792" t="str">
            <v>Dec</v>
          </cell>
          <cell r="F792">
            <v>26</v>
          </cell>
        </row>
        <row r="793">
          <cell r="A793" t="str">
            <v>Buildings</v>
          </cell>
          <cell r="B793" t="str">
            <v>HC</v>
          </cell>
          <cell r="C793" t="str">
            <v>Sub-Contractors-net of advance</v>
          </cell>
          <cell r="D793" t="str">
            <v>Dec</v>
          </cell>
          <cell r="F793">
            <v>96</v>
          </cell>
        </row>
        <row r="794">
          <cell r="A794" t="str">
            <v>Buildings</v>
          </cell>
          <cell r="B794" t="str">
            <v>HC</v>
          </cell>
          <cell r="C794" t="str">
            <v>Own</v>
          </cell>
          <cell r="D794" t="str">
            <v>Dec</v>
          </cell>
          <cell r="F794">
            <v>0</v>
          </cell>
        </row>
        <row r="795">
          <cell r="A795" t="str">
            <v>Buildings</v>
          </cell>
          <cell r="B795" t="str">
            <v>HC</v>
          </cell>
          <cell r="C795" t="str">
            <v>Outstide</v>
          </cell>
          <cell r="D795" t="str">
            <v>Dec</v>
          </cell>
          <cell r="F795">
            <v>32</v>
          </cell>
        </row>
        <row r="796">
          <cell r="A796" t="str">
            <v>Buildings</v>
          </cell>
          <cell r="B796" t="str">
            <v>HC</v>
          </cell>
          <cell r="C796" t="str">
            <v>Salaries and Wages Payable</v>
          </cell>
          <cell r="D796" t="str">
            <v>Dec</v>
          </cell>
          <cell r="F796">
            <v>0</v>
          </cell>
        </row>
        <row r="797">
          <cell r="A797" t="str">
            <v>Buildings</v>
          </cell>
          <cell r="B797" t="str">
            <v>HC</v>
          </cell>
          <cell r="C797" t="str">
            <v>Mobilisation Adv Outstanding</v>
          </cell>
          <cell r="D797" t="str">
            <v>Dec</v>
          </cell>
          <cell r="F797">
            <v>291.19999999999993</v>
          </cell>
        </row>
        <row r="798">
          <cell r="A798" t="str">
            <v>Buildings</v>
          </cell>
          <cell r="B798" t="str">
            <v>HC</v>
          </cell>
          <cell r="C798" t="str">
            <v>Bank Loan outstanding</v>
          </cell>
          <cell r="D798" t="str">
            <v>Dec</v>
          </cell>
          <cell r="F798">
            <v>0</v>
          </cell>
        </row>
        <row r="799">
          <cell r="A799" t="str">
            <v>Buildings</v>
          </cell>
          <cell r="B799" t="str">
            <v>HC</v>
          </cell>
          <cell r="C799" t="str">
            <v>HO funding</v>
          </cell>
          <cell r="D799" t="str">
            <v>Dec</v>
          </cell>
          <cell r="F799">
            <v>0</v>
          </cell>
        </row>
        <row r="800">
          <cell r="A800" t="str">
            <v>Buildings</v>
          </cell>
          <cell r="B800" t="str">
            <v>HC</v>
          </cell>
          <cell r="C800" t="str">
            <v>Debtors</v>
          </cell>
          <cell r="D800" t="str">
            <v>Jan</v>
          </cell>
          <cell r="F800">
            <v>52.544639999999994</v>
          </cell>
        </row>
        <row r="801">
          <cell r="A801" t="str">
            <v>Buildings</v>
          </cell>
          <cell r="B801" t="str">
            <v>HC</v>
          </cell>
          <cell r="C801" t="str">
            <v>Work In Progress (increase/decrease)</v>
          </cell>
          <cell r="D801" t="str">
            <v>Jan</v>
          </cell>
          <cell r="F801">
            <v>448</v>
          </cell>
        </row>
        <row r="802">
          <cell r="A802" t="str">
            <v>Buildings</v>
          </cell>
          <cell r="B802" t="str">
            <v>HC</v>
          </cell>
          <cell r="C802" t="str">
            <v>Stock of Raw Materials</v>
          </cell>
          <cell r="D802" t="str">
            <v>Jan</v>
          </cell>
          <cell r="F802">
            <v>32</v>
          </cell>
        </row>
        <row r="803">
          <cell r="A803" t="str">
            <v>Buildings</v>
          </cell>
          <cell r="B803" t="str">
            <v>HC</v>
          </cell>
          <cell r="C803" t="str">
            <v>Retention(incl TDS)</v>
          </cell>
          <cell r="D803" t="str">
            <v>Jan</v>
          </cell>
          <cell r="F803">
            <v>-318.34495999999984</v>
          </cell>
        </row>
        <row r="804">
          <cell r="A804" t="str">
            <v>Buildings</v>
          </cell>
          <cell r="B804" t="str">
            <v>HC</v>
          </cell>
          <cell r="C804" t="str">
            <v>Projected Profit/Loss on YTD Sales</v>
          </cell>
          <cell r="D804" t="str">
            <v>Jan</v>
          </cell>
          <cell r="F804">
            <v>-107456.03999999998</v>
          </cell>
        </row>
        <row r="805">
          <cell r="A805" t="str">
            <v>Buildings</v>
          </cell>
          <cell r="B805" t="str">
            <v>HC</v>
          </cell>
          <cell r="C805" t="str">
            <v>Cash and Bank Balance</v>
          </cell>
          <cell r="D805" t="str">
            <v>Jan</v>
          </cell>
          <cell r="F805">
            <v>0</v>
          </cell>
        </row>
        <row r="806">
          <cell r="A806" t="str">
            <v>Buildings</v>
          </cell>
          <cell r="B806" t="str">
            <v>HC</v>
          </cell>
          <cell r="C806" t="str">
            <v>Creditors-Suppliers-net of advance</v>
          </cell>
          <cell r="D806" t="str">
            <v>Jan</v>
          </cell>
          <cell r="F806">
            <v>26</v>
          </cell>
        </row>
        <row r="807">
          <cell r="A807" t="str">
            <v>Buildings</v>
          </cell>
          <cell r="B807" t="str">
            <v>HC</v>
          </cell>
          <cell r="C807" t="str">
            <v>Sub-Contractors-net of advance</v>
          </cell>
          <cell r="D807" t="str">
            <v>Jan</v>
          </cell>
          <cell r="F807">
            <v>96</v>
          </cell>
        </row>
        <row r="808">
          <cell r="A808" t="str">
            <v>Buildings</v>
          </cell>
          <cell r="B808" t="str">
            <v>HC</v>
          </cell>
          <cell r="C808" t="str">
            <v>Own</v>
          </cell>
          <cell r="D808" t="str">
            <v>Jan</v>
          </cell>
          <cell r="F808">
            <v>0</v>
          </cell>
        </row>
        <row r="809">
          <cell r="A809" t="str">
            <v>Buildings</v>
          </cell>
          <cell r="B809" t="str">
            <v>HC</v>
          </cell>
          <cell r="C809" t="str">
            <v>Outstide</v>
          </cell>
          <cell r="D809" t="str">
            <v>Jan</v>
          </cell>
          <cell r="F809">
            <v>32</v>
          </cell>
        </row>
        <row r="810">
          <cell r="A810" t="str">
            <v>Buildings</v>
          </cell>
          <cell r="B810" t="str">
            <v>HC</v>
          </cell>
          <cell r="C810" t="str">
            <v>Salaries and Wages Payable</v>
          </cell>
          <cell r="D810" t="str">
            <v>Jan</v>
          </cell>
          <cell r="F810">
            <v>0</v>
          </cell>
        </row>
        <row r="811">
          <cell r="A811" t="str">
            <v>Buildings</v>
          </cell>
          <cell r="B811" t="str">
            <v>HC</v>
          </cell>
          <cell r="C811" t="str">
            <v>Mobilisation Adv Outstanding</v>
          </cell>
          <cell r="D811" t="str">
            <v>Jan</v>
          </cell>
          <cell r="F811">
            <v>313.59999999999991</v>
          </cell>
        </row>
        <row r="812">
          <cell r="A812" t="str">
            <v>Buildings</v>
          </cell>
          <cell r="B812" t="str">
            <v>HC</v>
          </cell>
          <cell r="C812" t="str">
            <v>Bank Loan outstanding</v>
          </cell>
          <cell r="D812" t="str">
            <v>Jan</v>
          </cell>
          <cell r="F812">
            <v>0</v>
          </cell>
        </row>
        <row r="813">
          <cell r="A813" t="str">
            <v>Buildings</v>
          </cell>
          <cell r="B813" t="str">
            <v>HC</v>
          </cell>
          <cell r="C813" t="str">
            <v>HO funding</v>
          </cell>
          <cell r="D813" t="str">
            <v>Jan</v>
          </cell>
          <cell r="F813">
            <v>0</v>
          </cell>
        </row>
        <row r="814">
          <cell r="A814" t="str">
            <v>Buildings</v>
          </cell>
          <cell r="B814" t="str">
            <v>HC</v>
          </cell>
          <cell r="C814" t="str">
            <v>Debtors</v>
          </cell>
          <cell r="D814" t="str">
            <v>Feb</v>
          </cell>
          <cell r="F814">
            <v>52.544639999999994</v>
          </cell>
        </row>
        <row r="815">
          <cell r="A815" t="str">
            <v>Buildings</v>
          </cell>
          <cell r="B815" t="str">
            <v>HC</v>
          </cell>
          <cell r="C815" t="str">
            <v>Work In Progress (increase/decrease)</v>
          </cell>
          <cell r="D815" t="str">
            <v>Feb</v>
          </cell>
          <cell r="F815">
            <v>480</v>
          </cell>
        </row>
        <row r="816">
          <cell r="A816" t="str">
            <v>Buildings</v>
          </cell>
          <cell r="B816" t="str">
            <v>HC</v>
          </cell>
          <cell r="C816" t="str">
            <v>Stock of Raw Materials</v>
          </cell>
          <cell r="D816" t="str">
            <v>Feb</v>
          </cell>
          <cell r="F816">
            <v>32</v>
          </cell>
        </row>
        <row r="817">
          <cell r="A817" t="str">
            <v>Buildings</v>
          </cell>
          <cell r="B817" t="str">
            <v>HC</v>
          </cell>
          <cell r="C817" t="str">
            <v>Retention(incl TDS)</v>
          </cell>
          <cell r="D817" t="str">
            <v>Feb</v>
          </cell>
          <cell r="F817">
            <v>-343.36959999999982</v>
          </cell>
        </row>
        <row r="818">
          <cell r="A818" t="str">
            <v>Buildings</v>
          </cell>
          <cell r="B818" t="str">
            <v>HC</v>
          </cell>
          <cell r="C818" t="str">
            <v>Projected Profit/Loss on YTD Sales</v>
          </cell>
          <cell r="D818" t="str">
            <v>Feb</v>
          </cell>
          <cell r="F818">
            <v>-115247.02999999998</v>
          </cell>
        </row>
        <row r="819">
          <cell r="A819" t="str">
            <v>Buildings</v>
          </cell>
          <cell r="B819" t="str">
            <v>HC</v>
          </cell>
          <cell r="C819" t="str">
            <v>Cash and Bank Balance</v>
          </cell>
          <cell r="D819" t="str">
            <v>Feb</v>
          </cell>
          <cell r="F819">
            <v>0</v>
          </cell>
        </row>
        <row r="820">
          <cell r="A820" t="str">
            <v>Buildings</v>
          </cell>
          <cell r="B820" t="str">
            <v>HC</v>
          </cell>
          <cell r="C820" t="str">
            <v>Creditors-Suppliers-net of advance</v>
          </cell>
          <cell r="D820" t="str">
            <v>Feb</v>
          </cell>
          <cell r="F820">
            <v>26</v>
          </cell>
        </row>
        <row r="821">
          <cell r="A821" t="str">
            <v>Buildings</v>
          </cell>
          <cell r="B821" t="str">
            <v>HC</v>
          </cell>
          <cell r="C821" t="str">
            <v>Sub-Contractors-net of advance</v>
          </cell>
          <cell r="D821" t="str">
            <v>Feb</v>
          </cell>
          <cell r="F821">
            <v>96</v>
          </cell>
        </row>
        <row r="822">
          <cell r="A822" t="str">
            <v>Buildings</v>
          </cell>
          <cell r="B822" t="str">
            <v>HC</v>
          </cell>
          <cell r="C822" t="str">
            <v>Own</v>
          </cell>
          <cell r="D822" t="str">
            <v>Feb</v>
          </cell>
          <cell r="F822">
            <v>0</v>
          </cell>
        </row>
        <row r="823">
          <cell r="A823" t="str">
            <v>Buildings</v>
          </cell>
          <cell r="B823" t="str">
            <v>HC</v>
          </cell>
          <cell r="C823" t="str">
            <v>Outstide</v>
          </cell>
          <cell r="D823" t="str">
            <v>Feb</v>
          </cell>
          <cell r="F823">
            <v>32</v>
          </cell>
        </row>
        <row r="824">
          <cell r="A824" t="str">
            <v>Buildings</v>
          </cell>
          <cell r="B824" t="str">
            <v>HC</v>
          </cell>
          <cell r="C824" t="str">
            <v>Salaries and Wages Payable</v>
          </cell>
          <cell r="D824" t="str">
            <v>Feb</v>
          </cell>
          <cell r="F824">
            <v>0</v>
          </cell>
        </row>
        <row r="825">
          <cell r="A825" t="str">
            <v>Buildings</v>
          </cell>
          <cell r="B825" t="str">
            <v>HC</v>
          </cell>
          <cell r="C825" t="str">
            <v>Mobilisation Adv Outstanding</v>
          </cell>
          <cell r="D825" t="str">
            <v>Feb</v>
          </cell>
          <cell r="F825">
            <v>335.99999999999989</v>
          </cell>
        </row>
        <row r="826">
          <cell r="A826" t="str">
            <v>Buildings</v>
          </cell>
          <cell r="B826" t="str">
            <v>HC</v>
          </cell>
          <cell r="C826" t="str">
            <v>Bank Loan outstanding</v>
          </cell>
          <cell r="D826" t="str">
            <v>Feb</v>
          </cell>
          <cell r="F826">
            <v>0</v>
          </cell>
        </row>
        <row r="827">
          <cell r="A827" t="str">
            <v>Buildings</v>
          </cell>
          <cell r="B827" t="str">
            <v>HC</v>
          </cell>
          <cell r="C827" t="str">
            <v>HO funding</v>
          </cell>
          <cell r="D827" t="str">
            <v>Feb</v>
          </cell>
          <cell r="F827">
            <v>0</v>
          </cell>
        </row>
        <row r="828">
          <cell r="A828" t="str">
            <v>Buildings</v>
          </cell>
          <cell r="B828" t="str">
            <v>HC</v>
          </cell>
          <cell r="C828" t="str">
            <v>Debtors</v>
          </cell>
          <cell r="D828" t="str">
            <v>Mar</v>
          </cell>
          <cell r="F828">
            <v>52.544639999999994</v>
          </cell>
        </row>
        <row r="829">
          <cell r="A829" t="str">
            <v>Buildings</v>
          </cell>
          <cell r="B829" t="str">
            <v>HC</v>
          </cell>
          <cell r="C829" t="str">
            <v>Work In Progress (increase/decrease)</v>
          </cell>
          <cell r="D829" t="str">
            <v>Mar</v>
          </cell>
          <cell r="F829">
            <v>512</v>
          </cell>
        </row>
        <row r="830">
          <cell r="A830" t="str">
            <v>Buildings</v>
          </cell>
          <cell r="B830" t="str">
            <v>HC</v>
          </cell>
          <cell r="C830" t="str">
            <v>Stock of Raw Materials</v>
          </cell>
          <cell r="D830" t="str">
            <v>Mar</v>
          </cell>
          <cell r="F830">
            <v>0</v>
          </cell>
        </row>
        <row r="831">
          <cell r="A831" t="str">
            <v>Buildings</v>
          </cell>
          <cell r="B831" t="str">
            <v>HC</v>
          </cell>
          <cell r="C831" t="str">
            <v>Retention(incl TDS)</v>
          </cell>
          <cell r="D831" t="str">
            <v>Mar</v>
          </cell>
          <cell r="F831">
            <v>-368.3942399999998</v>
          </cell>
        </row>
        <row r="832">
          <cell r="A832" t="str">
            <v>Buildings</v>
          </cell>
          <cell r="B832" t="str">
            <v>HC</v>
          </cell>
          <cell r="C832" t="str">
            <v>Projected Profit/Loss on YTD Sales</v>
          </cell>
          <cell r="D832" t="str">
            <v>Mar</v>
          </cell>
          <cell r="F832">
            <v>-123041.31999999998</v>
          </cell>
        </row>
        <row r="833">
          <cell r="A833" t="str">
            <v>Buildings</v>
          </cell>
          <cell r="B833" t="str">
            <v>HC</v>
          </cell>
          <cell r="C833" t="str">
            <v>Cash and Bank Balance</v>
          </cell>
          <cell r="D833" t="str">
            <v>Mar</v>
          </cell>
          <cell r="F833">
            <v>0</v>
          </cell>
        </row>
        <row r="834">
          <cell r="A834" t="str">
            <v>Buildings</v>
          </cell>
          <cell r="B834" t="str">
            <v>HC</v>
          </cell>
          <cell r="C834" t="str">
            <v>Creditors-Suppliers-net of advance</v>
          </cell>
          <cell r="D834" t="str">
            <v>Mar</v>
          </cell>
          <cell r="F834">
            <v>26</v>
          </cell>
        </row>
        <row r="835">
          <cell r="A835" t="str">
            <v>Buildings</v>
          </cell>
          <cell r="B835" t="str">
            <v>HC</v>
          </cell>
          <cell r="C835" t="str">
            <v>Sub-Contractors-net of advance</v>
          </cell>
          <cell r="D835" t="str">
            <v>Mar</v>
          </cell>
          <cell r="F835">
            <v>96</v>
          </cell>
        </row>
        <row r="836">
          <cell r="A836" t="str">
            <v>Buildings</v>
          </cell>
          <cell r="B836" t="str">
            <v>HC</v>
          </cell>
          <cell r="C836" t="str">
            <v>Own</v>
          </cell>
          <cell r="D836" t="str">
            <v>Mar</v>
          </cell>
          <cell r="F836">
            <v>0</v>
          </cell>
        </row>
        <row r="837">
          <cell r="A837" t="str">
            <v>Buildings</v>
          </cell>
          <cell r="B837" t="str">
            <v>HC</v>
          </cell>
          <cell r="C837" t="str">
            <v>Outstide</v>
          </cell>
          <cell r="D837" t="str">
            <v>Mar</v>
          </cell>
          <cell r="F837">
            <v>32</v>
          </cell>
        </row>
        <row r="838">
          <cell r="A838" t="str">
            <v>Buildings</v>
          </cell>
          <cell r="B838" t="str">
            <v>HC</v>
          </cell>
          <cell r="C838" t="str">
            <v>Salaries and Wages Payable</v>
          </cell>
          <cell r="D838" t="str">
            <v>Mar</v>
          </cell>
          <cell r="F838">
            <v>0</v>
          </cell>
        </row>
        <row r="839">
          <cell r="A839" t="str">
            <v>Buildings</v>
          </cell>
          <cell r="B839" t="str">
            <v>HC</v>
          </cell>
          <cell r="C839" t="str">
            <v>Mobilisation Adv Outstanding</v>
          </cell>
          <cell r="D839" t="str">
            <v>Mar</v>
          </cell>
          <cell r="F839">
            <v>358.39999999999986</v>
          </cell>
        </row>
        <row r="840">
          <cell r="A840" t="str">
            <v>Buildings</v>
          </cell>
          <cell r="B840" t="str">
            <v>HC</v>
          </cell>
          <cell r="C840" t="str">
            <v>Bank Loan outstanding</v>
          </cell>
          <cell r="D840" t="str">
            <v>Mar</v>
          </cell>
          <cell r="F840">
            <v>0</v>
          </cell>
        </row>
        <row r="841">
          <cell r="A841" t="str">
            <v>Buildings</v>
          </cell>
          <cell r="B841" t="str">
            <v>HC</v>
          </cell>
          <cell r="C841" t="str">
            <v>HO funding</v>
          </cell>
          <cell r="D841" t="str">
            <v>Mar</v>
          </cell>
          <cell r="F841">
            <v>0</v>
          </cell>
        </row>
        <row r="842">
          <cell r="A842" t="str">
            <v>Buildings</v>
          </cell>
          <cell r="B842" t="str">
            <v>Neuland</v>
          </cell>
          <cell r="C842" t="str">
            <v>Debtors</v>
          </cell>
          <cell r="D842" t="str">
            <v>Apr</v>
          </cell>
          <cell r="F842">
            <v>52.544639999999994</v>
          </cell>
        </row>
        <row r="843">
          <cell r="A843" t="str">
            <v>Buildings</v>
          </cell>
          <cell r="B843" t="str">
            <v>Neuland</v>
          </cell>
          <cell r="C843" t="str">
            <v>Work In Progress (increase/decrease)</v>
          </cell>
          <cell r="D843" t="str">
            <v>Apr</v>
          </cell>
          <cell r="F843">
            <v>160</v>
          </cell>
        </row>
        <row r="844">
          <cell r="A844" t="str">
            <v>Buildings</v>
          </cell>
          <cell r="B844" t="str">
            <v>Neuland</v>
          </cell>
          <cell r="C844" t="str">
            <v>Stock of Raw Materials</v>
          </cell>
          <cell r="D844" t="str">
            <v>Apr</v>
          </cell>
          <cell r="F844">
            <v>32</v>
          </cell>
        </row>
        <row r="845">
          <cell r="A845" t="str">
            <v>Buildings</v>
          </cell>
          <cell r="B845" t="str">
            <v>Neuland</v>
          </cell>
          <cell r="C845" t="str">
            <v>Retention(incl TDS)</v>
          </cell>
          <cell r="D845" t="str">
            <v>Apr</v>
          </cell>
          <cell r="F845">
            <v>-93.123200000000011</v>
          </cell>
        </row>
        <row r="846">
          <cell r="A846" t="str">
            <v>Buildings</v>
          </cell>
          <cell r="B846" t="str">
            <v>Neuland</v>
          </cell>
          <cell r="C846" t="str">
            <v>Projected Profit/Loss on YTD Sales</v>
          </cell>
          <cell r="D846" t="str">
            <v>Apr</v>
          </cell>
          <cell r="F846">
            <v>-37485.93</v>
          </cell>
        </row>
        <row r="847">
          <cell r="A847" t="str">
            <v>Buildings</v>
          </cell>
          <cell r="B847" t="str">
            <v>Neuland</v>
          </cell>
          <cell r="C847" t="str">
            <v>Cash and Bank Balance</v>
          </cell>
          <cell r="D847" t="str">
            <v>Apr</v>
          </cell>
          <cell r="F847">
            <v>0</v>
          </cell>
        </row>
        <row r="848">
          <cell r="A848" t="str">
            <v>Buildings</v>
          </cell>
          <cell r="B848" t="str">
            <v>Neuland</v>
          </cell>
          <cell r="C848" t="str">
            <v>Creditors-Suppliers-net of advance</v>
          </cell>
          <cell r="D848" t="str">
            <v>Apr</v>
          </cell>
          <cell r="F848">
            <v>26</v>
          </cell>
        </row>
        <row r="849">
          <cell r="A849" t="str">
            <v>Buildings</v>
          </cell>
          <cell r="B849" t="str">
            <v>Neuland</v>
          </cell>
          <cell r="C849" t="str">
            <v>Sub-Contractors-net of advance</v>
          </cell>
          <cell r="D849" t="str">
            <v>Apr</v>
          </cell>
          <cell r="F849">
            <v>96</v>
          </cell>
        </row>
        <row r="850">
          <cell r="A850" t="str">
            <v>Buildings</v>
          </cell>
          <cell r="B850" t="str">
            <v>Neuland</v>
          </cell>
          <cell r="C850" t="str">
            <v>Own</v>
          </cell>
          <cell r="D850" t="str">
            <v>Apr</v>
          </cell>
          <cell r="F850">
            <v>0</v>
          </cell>
        </row>
        <row r="851">
          <cell r="A851" t="str">
            <v>Buildings</v>
          </cell>
          <cell r="B851" t="str">
            <v>Neuland</v>
          </cell>
          <cell r="C851" t="str">
            <v>Outstide</v>
          </cell>
          <cell r="D851" t="str">
            <v>Apr</v>
          </cell>
          <cell r="F851">
            <v>32</v>
          </cell>
        </row>
        <row r="852">
          <cell r="A852" t="str">
            <v>Buildings</v>
          </cell>
          <cell r="B852" t="str">
            <v>Neuland</v>
          </cell>
          <cell r="C852" t="str">
            <v>Salaries and Wages Payable</v>
          </cell>
          <cell r="D852" t="str">
            <v>Apr</v>
          </cell>
          <cell r="F852">
            <v>0</v>
          </cell>
        </row>
        <row r="853">
          <cell r="A853" t="str">
            <v>Buildings</v>
          </cell>
          <cell r="B853" t="str">
            <v>Neuland</v>
          </cell>
          <cell r="C853" t="str">
            <v>Mobilisation Adv Outstanding</v>
          </cell>
          <cell r="D853" t="str">
            <v>Apr</v>
          </cell>
          <cell r="F853">
            <v>112</v>
          </cell>
        </row>
        <row r="854">
          <cell r="A854" t="str">
            <v>Buildings</v>
          </cell>
          <cell r="B854" t="str">
            <v>Neuland</v>
          </cell>
          <cell r="C854" t="str">
            <v>Bank Loan outstanding</v>
          </cell>
          <cell r="D854" t="str">
            <v>Apr</v>
          </cell>
          <cell r="F854">
            <v>0</v>
          </cell>
        </row>
        <row r="855">
          <cell r="A855" t="str">
            <v>Buildings</v>
          </cell>
          <cell r="B855" t="str">
            <v>Neuland</v>
          </cell>
          <cell r="C855" t="str">
            <v>HO funding</v>
          </cell>
          <cell r="D855" t="str">
            <v>Apr</v>
          </cell>
          <cell r="F855">
            <v>0</v>
          </cell>
        </row>
        <row r="856">
          <cell r="A856" t="str">
            <v>Buildings</v>
          </cell>
          <cell r="B856" t="str">
            <v>Neuland</v>
          </cell>
          <cell r="C856" t="str">
            <v>Debtors</v>
          </cell>
          <cell r="D856" t="str">
            <v>May</v>
          </cell>
          <cell r="F856">
            <v>52.544639999999994</v>
          </cell>
        </row>
        <row r="857">
          <cell r="A857" t="str">
            <v>Buildings</v>
          </cell>
          <cell r="B857" t="str">
            <v>Neuland</v>
          </cell>
          <cell r="C857" t="str">
            <v>Work In Progress (increase/decrease)</v>
          </cell>
          <cell r="D857" t="str">
            <v>May</v>
          </cell>
          <cell r="F857">
            <v>192</v>
          </cell>
        </row>
        <row r="858">
          <cell r="A858" t="str">
            <v>Buildings</v>
          </cell>
          <cell r="B858" t="str">
            <v>Neuland</v>
          </cell>
          <cell r="C858" t="str">
            <v>Stock of Raw Materials</v>
          </cell>
          <cell r="D858" t="str">
            <v>May</v>
          </cell>
          <cell r="F858">
            <v>32</v>
          </cell>
        </row>
        <row r="859">
          <cell r="A859" t="str">
            <v>Buildings</v>
          </cell>
          <cell r="B859" t="str">
            <v>Neuland</v>
          </cell>
          <cell r="C859" t="str">
            <v>Retention(incl TDS)</v>
          </cell>
          <cell r="D859" t="str">
            <v>May</v>
          </cell>
          <cell r="F859">
            <v>-118.14784000000002</v>
          </cell>
        </row>
        <row r="860">
          <cell r="A860" t="str">
            <v>Buildings</v>
          </cell>
          <cell r="B860" t="str">
            <v>Neuland</v>
          </cell>
          <cell r="C860" t="str">
            <v>Projected Profit/Loss on YTD Sales</v>
          </cell>
          <cell r="D860" t="str">
            <v>May</v>
          </cell>
          <cell r="F860">
            <v>-45247.16</v>
          </cell>
        </row>
        <row r="861">
          <cell r="A861" t="str">
            <v>Buildings</v>
          </cell>
          <cell r="B861" t="str">
            <v>Neuland</v>
          </cell>
          <cell r="C861" t="str">
            <v>Cash and Bank Balance</v>
          </cell>
          <cell r="D861" t="str">
            <v>May</v>
          </cell>
          <cell r="F861">
            <v>0</v>
          </cell>
        </row>
        <row r="862">
          <cell r="A862" t="str">
            <v>Buildings</v>
          </cell>
          <cell r="B862" t="str">
            <v>Neuland</v>
          </cell>
          <cell r="C862" t="str">
            <v>Creditors-Suppliers-net of advance</v>
          </cell>
          <cell r="D862" t="str">
            <v>May</v>
          </cell>
          <cell r="F862">
            <v>26</v>
          </cell>
        </row>
        <row r="863">
          <cell r="A863" t="str">
            <v>Buildings</v>
          </cell>
          <cell r="B863" t="str">
            <v>Neuland</v>
          </cell>
          <cell r="C863" t="str">
            <v>Sub-Contractors-net of advance</v>
          </cell>
          <cell r="D863" t="str">
            <v>May</v>
          </cell>
          <cell r="F863">
            <v>96</v>
          </cell>
        </row>
        <row r="864">
          <cell r="A864" t="str">
            <v>Buildings</v>
          </cell>
          <cell r="B864" t="str">
            <v>Neuland</v>
          </cell>
          <cell r="C864" t="str">
            <v>Own</v>
          </cell>
          <cell r="D864" t="str">
            <v>May</v>
          </cell>
          <cell r="F864">
            <v>0</v>
          </cell>
        </row>
        <row r="865">
          <cell r="A865" t="str">
            <v>Buildings</v>
          </cell>
          <cell r="B865" t="str">
            <v>Neuland</v>
          </cell>
          <cell r="C865" t="str">
            <v>Outstide</v>
          </cell>
          <cell r="D865" t="str">
            <v>May</v>
          </cell>
          <cell r="F865">
            <v>32</v>
          </cell>
        </row>
        <row r="866">
          <cell r="A866" t="str">
            <v>Buildings</v>
          </cell>
          <cell r="B866" t="str">
            <v>Neuland</v>
          </cell>
          <cell r="C866" t="str">
            <v>Salaries and Wages Payable</v>
          </cell>
          <cell r="D866" t="str">
            <v>May</v>
          </cell>
          <cell r="F866">
            <v>0</v>
          </cell>
        </row>
        <row r="867">
          <cell r="A867" t="str">
            <v>Buildings</v>
          </cell>
          <cell r="B867" t="str">
            <v>Neuland</v>
          </cell>
          <cell r="C867" t="str">
            <v>Mobilisation Adv Outstanding</v>
          </cell>
          <cell r="D867" t="str">
            <v>May</v>
          </cell>
          <cell r="F867">
            <v>134.4</v>
          </cell>
        </row>
        <row r="868">
          <cell r="A868" t="str">
            <v>Buildings</v>
          </cell>
          <cell r="B868" t="str">
            <v>Neuland</v>
          </cell>
          <cell r="C868" t="str">
            <v>Bank Loan outstanding</v>
          </cell>
          <cell r="D868" t="str">
            <v>May</v>
          </cell>
          <cell r="F868">
            <v>0</v>
          </cell>
        </row>
        <row r="869">
          <cell r="A869" t="str">
            <v>Buildings</v>
          </cell>
          <cell r="B869" t="str">
            <v>Neuland</v>
          </cell>
          <cell r="C869" t="str">
            <v>HO funding</v>
          </cell>
          <cell r="D869" t="str">
            <v>May</v>
          </cell>
          <cell r="F869">
            <v>0</v>
          </cell>
        </row>
        <row r="870">
          <cell r="A870" t="str">
            <v>Buildings</v>
          </cell>
          <cell r="B870" t="str">
            <v>Neuland</v>
          </cell>
          <cell r="C870" t="str">
            <v>Debtors</v>
          </cell>
          <cell r="D870" t="str">
            <v>June</v>
          </cell>
          <cell r="F870">
            <v>52.544639999999994</v>
          </cell>
        </row>
        <row r="871">
          <cell r="A871" t="str">
            <v>Buildings</v>
          </cell>
          <cell r="B871" t="str">
            <v>Neuland</v>
          </cell>
          <cell r="C871" t="str">
            <v>Work In Progress (increase/decrease)</v>
          </cell>
          <cell r="D871" t="str">
            <v>June</v>
          </cell>
          <cell r="F871">
            <v>224</v>
          </cell>
        </row>
        <row r="872">
          <cell r="A872" t="str">
            <v>Buildings</v>
          </cell>
          <cell r="B872" t="str">
            <v>Neuland</v>
          </cell>
          <cell r="C872" t="str">
            <v>Stock of Raw Materials</v>
          </cell>
          <cell r="D872" t="str">
            <v>June</v>
          </cell>
          <cell r="F872">
            <v>32</v>
          </cell>
        </row>
        <row r="873">
          <cell r="A873" t="str">
            <v>Buildings</v>
          </cell>
          <cell r="B873" t="str">
            <v>Neuland</v>
          </cell>
          <cell r="C873" t="str">
            <v>Retention(incl TDS)</v>
          </cell>
          <cell r="D873" t="str">
            <v>June</v>
          </cell>
          <cell r="F873">
            <v>-143.17248000000001</v>
          </cell>
        </row>
        <row r="874">
          <cell r="A874" t="str">
            <v>Buildings</v>
          </cell>
          <cell r="B874" t="str">
            <v>Neuland</v>
          </cell>
          <cell r="C874" t="str">
            <v>Projected Profit/Loss on YTD Sales</v>
          </cell>
          <cell r="D874" t="str">
            <v>June</v>
          </cell>
          <cell r="F874">
            <v>-53011.700000000004</v>
          </cell>
        </row>
        <row r="875">
          <cell r="A875" t="str">
            <v>Buildings</v>
          </cell>
          <cell r="B875" t="str">
            <v>Neuland</v>
          </cell>
          <cell r="C875" t="str">
            <v>Cash and Bank Balance</v>
          </cell>
          <cell r="D875" t="str">
            <v>June</v>
          </cell>
          <cell r="F875">
            <v>0</v>
          </cell>
        </row>
        <row r="876">
          <cell r="A876" t="str">
            <v>Buildings</v>
          </cell>
          <cell r="B876" t="str">
            <v>Neuland</v>
          </cell>
          <cell r="C876" t="str">
            <v>Creditors-Suppliers-net of advance</v>
          </cell>
          <cell r="D876" t="str">
            <v>June</v>
          </cell>
          <cell r="F876">
            <v>26</v>
          </cell>
        </row>
        <row r="877">
          <cell r="A877" t="str">
            <v>Buildings</v>
          </cell>
          <cell r="B877" t="str">
            <v>Neuland</v>
          </cell>
          <cell r="C877" t="str">
            <v>Sub-Contractors-net of advance</v>
          </cell>
          <cell r="D877" t="str">
            <v>June</v>
          </cell>
          <cell r="F877">
            <v>96</v>
          </cell>
        </row>
        <row r="878">
          <cell r="A878" t="str">
            <v>Buildings</v>
          </cell>
          <cell r="B878" t="str">
            <v>Neuland</v>
          </cell>
          <cell r="C878" t="str">
            <v>Own</v>
          </cell>
          <cell r="D878" t="str">
            <v>June</v>
          </cell>
          <cell r="F878">
            <v>0</v>
          </cell>
        </row>
        <row r="879">
          <cell r="A879" t="str">
            <v>Buildings</v>
          </cell>
          <cell r="B879" t="str">
            <v>Neuland</v>
          </cell>
          <cell r="C879" t="str">
            <v>Outstide</v>
          </cell>
          <cell r="D879" t="str">
            <v>June</v>
          </cell>
          <cell r="F879">
            <v>32</v>
          </cell>
        </row>
        <row r="880">
          <cell r="A880" t="str">
            <v>Buildings</v>
          </cell>
          <cell r="B880" t="str">
            <v>Neuland</v>
          </cell>
          <cell r="C880" t="str">
            <v>Salaries and Wages Payable</v>
          </cell>
          <cell r="D880" t="str">
            <v>June</v>
          </cell>
          <cell r="F880">
            <v>0</v>
          </cell>
        </row>
        <row r="881">
          <cell r="A881" t="str">
            <v>Buildings</v>
          </cell>
          <cell r="B881" t="str">
            <v>Neuland</v>
          </cell>
          <cell r="C881" t="str">
            <v>Mobilisation Adv Outstanding</v>
          </cell>
          <cell r="D881" t="str">
            <v>June</v>
          </cell>
          <cell r="F881">
            <v>156.80000000000001</v>
          </cell>
        </row>
        <row r="882">
          <cell r="A882" t="str">
            <v>Buildings</v>
          </cell>
          <cell r="B882" t="str">
            <v>Neuland</v>
          </cell>
          <cell r="C882" t="str">
            <v>Bank Loan outstanding</v>
          </cell>
          <cell r="D882" t="str">
            <v>June</v>
          </cell>
          <cell r="F882">
            <v>0</v>
          </cell>
        </row>
        <row r="883">
          <cell r="A883" t="str">
            <v>Buildings</v>
          </cell>
          <cell r="B883" t="str">
            <v>Neuland</v>
          </cell>
          <cell r="C883" t="str">
            <v>HO funding</v>
          </cell>
          <cell r="D883" t="str">
            <v>June</v>
          </cell>
          <cell r="F883">
            <v>0</v>
          </cell>
        </row>
        <row r="884">
          <cell r="A884" t="str">
            <v>Buildings</v>
          </cell>
          <cell r="B884" t="str">
            <v>Neuland</v>
          </cell>
          <cell r="C884" t="str">
            <v>Debtors</v>
          </cell>
          <cell r="D884" t="str">
            <v>July</v>
          </cell>
          <cell r="F884">
            <v>52.544639999999994</v>
          </cell>
        </row>
        <row r="885">
          <cell r="A885" t="str">
            <v>Buildings</v>
          </cell>
          <cell r="B885" t="str">
            <v>Neuland</v>
          </cell>
          <cell r="C885" t="str">
            <v>Work In Progress (increase/decrease)</v>
          </cell>
          <cell r="D885" t="str">
            <v>July</v>
          </cell>
          <cell r="F885">
            <v>256</v>
          </cell>
        </row>
        <row r="886">
          <cell r="A886" t="str">
            <v>Buildings</v>
          </cell>
          <cell r="B886" t="str">
            <v>Neuland</v>
          </cell>
          <cell r="C886" t="str">
            <v>Stock of Raw Materials</v>
          </cell>
          <cell r="D886" t="str">
            <v>July</v>
          </cell>
          <cell r="F886">
            <v>32</v>
          </cell>
        </row>
        <row r="887">
          <cell r="A887" t="str">
            <v>Buildings</v>
          </cell>
          <cell r="B887" t="str">
            <v>Neuland</v>
          </cell>
          <cell r="C887" t="str">
            <v>Retention(incl TDS)</v>
          </cell>
          <cell r="D887" t="str">
            <v>July</v>
          </cell>
          <cell r="F887">
            <v>-168.19711999999998</v>
          </cell>
        </row>
        <row r="888">
          <cell r="A888" t="str">
            <v>Buildings</v>
          </cell>
          <cell r="B888" t="str">
            <v>Neuland</v>
          </cell>
          <cell r="C888" t="str">
            <v>Projected Profit/Loss on YTD Sales</v>
          </cell>
          <cell r="D888" t="str">
            <v>July</v>
          </cell>
          <cell r="F888">
            <v>-60779.55</v>
          </cell>
        </row>
        <row r="889">
          <cell r="A889" t="str">
            <v>Buildings</v>
          </cell>
          <cell r="B889" t="str">
            <v>Neuland</v>
          </cell>
          <cell r="C889" t="str">
            <v>Cash and Bank Balance</v>
          </cell>
          <cell r="D889" t="str">
            <v>July</v>
          </cell>
          <cell r="F889">
            <v>0</v>
          </cell>
        </row>
        <row r="890">
          <cell r="A890" t="str">
            <v>Buildings</v>
          </cell>
          <cell r="B890" t="str">
            <v>Neuland</v>
          </cell>
          <cell r="C890" t="str">
            <v>Creditors-Suppliers-net of advance</v>
          </cell>
          <cell r="D890" t="str">
            <v>July</v>
          </cell>
          <cell r="F890">
            <v>26</v>
          </cell>
        </row>
        <row r="891">
          <cell r="A891" t="str">
            <v>Buildings</v>
          </cell>
          <cell r="B891" t="str">
            <v>Neuland</v>
          </cell>
          <cell r="C891" t="str">
            <v>Sub-Contractors-net of advance</v>
          </cell>
          <cell r="D891" t="str">
            <v>July</v>
          </cell>
          <cell r="F891">
            <v>96</v>
          </cell>
        </row>
        <row r="892">
          <cell r="A892" t="str">
            <v>Buildings</v>
          </cell>
          <cell r="B892" t="str">
            <v>Neuland</v>
          </cell>
          <cell r="C892" t="str">
            <v>Own</v>
          </cell>
          <cell r="D892" t="str">
            <v>July</v>
          </cell>
          <cell r="F892">
            <v>0</v>
          </cell>
        </row>
        <row r="893">
          <cell r="A893" t="str">
            <v>Buildings</v>
          </cell>
          <cell r="B893" t="str">
            <v>Neuland</v>
          </cell>
          <cell r="C893" t="str">
            <v>Outstide</v>
          </cell>
          <cell r="D893" t="str">
            <v>July</v>
          </cell>
          <cell r="F893">
            <v>32</v>
          </cell>
        </row>
        <row r="894">
          <cell r="A894" t="str">
            <v>Buildings</v>
          </cell>
          <cell r="B894" t="str">
            <v>Neuland</v>
          </cell>
          <cell r="C894" t="str">
            <v>Salaries and Wages Payable</v>
          </cell>
          <cell r="D894" t="str">
            <v>July</v>
          </cell>
          <cell r="F894">
            <v>0</v>
          </cell>
        </row>
        <row r="895">
          <cell r="A895" t="str">
            <v>Buildings</v>
          </cell>
          <cell r="B895" t="str">
            <v>Neuland</v>
          </cell>
          <cell r="C895" t="str">
            <v>Mobilisation Adv Outstanding</v>
          </cell>
          <cell r="D895" t="str">
            <v>July</v>
          </cell>
          <cell r="F895">
            <v>179.20000000000002</v>
          </cell>
        </row>
        <row r="896">
          <cell r="A896" t="str">
            <v>Buildings</v>
          </cell>
          <cell r="B896" t="str">
            <v>Neuland</v>
          </cell>
          <cell r="C896" t="str">
            <v>Bank Loan outstanding</v>
          </cell>
          <cell r="D896" t="str">
            <v>July</v>
          </cell>
          <cell r="F896">
            <v>0</v>
          </cell>
        </row>
        <row r="897">
          <cell r="A897" t="str">
            <v>Buildings</v>
          </cell>
          <cell r="B897" t="str">
            <v>Neuland</v>
          </cell>
          <cell r="C897" t="str">
            <v>HO funding</v>
          </cell>
          <cell r="D897" t="str">
            <v>July</v>
          </cell>
          <cell r="F897">
            <v>0</v>
          </cell>
        </row>
        <row r="898">
          <cell r="A898" t="str">
            <v>Buildings</v>
          </cell>
          <cell r="B898" t="str">
            <v>Neuland</v>
          </cell>
          <cell r="C898" t="str">
            <v>Debtors</v>
          </cell>
          <cell r="D898" t="str">
            <v>Aug</v>
          </cell>
          <cell r="F898">
            <v>52.544639999999994</v>
          </cell>
        </row>
        <row r="899">
          <cell r="A899" t="str">
            <v>Buildings</v>
          </cell>
          <cell r="B899" t="str">
            <v>Neuland</v>
          </cell>
          <cell r="C899" t="str">
            <v>Work In Progress (increase/decrease)</v>
          </cell>
          <cell r="D899" t="str">
            <v>Aug</v>
          </cell>
          <cell r="F899">
            <v>288</v>
          </cell>
        </row>
        <row r="900">
          <cell r="A900" t="str">
            <v>Buildings</v>
          </cell>
          <cell r="B900" t="str">
            <v>Neuland</v>
          </cell>
          <cell r="C900" t="str">
            <v>Stock of Raw Materials</v>
          </cell>
          <cell r="D900" t="str">
            <v>Aug</v>
          </cell>
          <cell r="F900">
            <v>32</v>
          </cell>
        </row>
        <row r="901">
          <cell r="A901" t="str">
            <v>Buildings</v>
          </cell>
          <cell r="B901" t="str">
            <v>Neuland</v>
          </cell>
          <cell r="C901" t="str">
            <v>Retention(incl TDS)</v>
          </cell>
          <cell r="D901" t="str">
            <v>Aug</v>
          </cell>
          <cell r="F901">
            <v>-193.22175999999996</v>
          </cell>
        </row>
        <row r="902">
          <cell r="A902" t="str">
            <v>Buildings</v>
          </cell>
          <cell r="B902" t="str">
            <v>Neuland</v>
          </cell>
          <cell r="C902" t="str">
            <v>Projected Profit/Loss on YTD Sales</v>
          </cell>
          <cell r="D902" t="str">
            <v>Aug</v>
          </cell>
          <cell r="F902">
            <v>-68550.710000000006</v>
          </cell>
        </row>
        <row r="903">
          <cell r="A903" t="str">
            <v>Buildings</v>
          </cell>
          <cell r="B903" t="str">
            <v>Neuland</v>
          </cell>
          <cell r="C903" t="str">
            <v>Cash and Bank Balance</v>
          </cell>
          <cell r="D903" t="str">
            <v>Aug</v>
          </cell>
          <cell r="F903">
            <v>0</v>
          </cell>
        </row>
        <row r="904">
          <cell r="A904" t="str">
            <v>Buildings</v>
          </cell>
          <cell r="B904" t="str">
            <v>Neuland</v>
          </cell>
          <cell r="C904" t="str">
            <v>Creditors-Suppliers-net of advance</v>
          </cell>
          <cell r="D904" t="str">
            <v>Aug</v>
          </cell>
          <cell r="F904">
            <v>26</v>
          </cell>
        </row>
        <row r="905">
          <cell r="A905" t="str">
            <v>Buildings</v>
          </cell>
          <cell r="B905" t="str">
            <v>Neuland</v>
          </cell>
          <cell r="C905" t="str">
            <v>Sub-Contractors-net of advance</v>
          </cell>
          <cell r="D905" t="str">
            <v>Aug</v>
          </cell>
          <cell r="F905">
            <v>96</v>
          </cell>
        </row>
        <row r="906">
          <cell r="A906" t="str">
            <v>Buildings</v>
          </cell>
          <cell r="B906" t="str">
            <v>Neuland</v>
          </cell>
          <cell r="C906" t="str">
            <v>Own</v>
          </cell>
          <cell r="D906" t="str">
            <v>Aug</v>
          </cell>
          <cell r="F906">
            <v>0</v>
          </cell>
        </row>
        <row r="907">
          <cell r="A907" t="str">
            <v>Buildings</v>
          </cell>
          <cell r="B907" t="str">
            <v>Neuland</v>
          </cell>
          <cell r="C907" t="str">
            <v>Outstide</v>
          </cell>
          <cell r="D907" t="str">
            <v>Aug</v>
          </cell>
          <cell r="F907">
            <v>32</v>
          </cell>
        </row>
        <row r="908">
          <cell r="A908" t="str">
            <v>Buildings</v>
          </cell>
          <cell r="B908" t="str">
            <v>Neuland</v>
          </cell>
          <cell r="C908" t="str">
            <v>Salaries and Wages Payable</v>
          </cell>
          <cell r="D908" t="str">
            <v>Aug</v>
          </cell>
          <cell r="F908">
            <v>0</v>
          </cell>
        </row>
        <row r="909">
          <cell r="A909" t="str">
            <v>Buildings</v>
          </cell>
          <cell r="B909" t="str">
            <v>Neuland</v>
          </cell>
          <cell r="C909" t="str">
            <v>Mobilisation Adv Outstanding</v>
          </cell>
          <cell r="D909" t="str">
            <v>Aug</v>
          </cell>
          <cell r="F909">
            <v>201.60000000000002</v>
          </cell>
        </row>
        <row r="910">
          <cell r="A910" t="str">
            <v>Buildings</v>
          </cell>
          <cell r="B910" t="str">
            <v>Neuland</v>
          </cell>
          <cell r="C910" t="str">
            <v>Bank Loan outstanding</v>
          </cell>
          <cell r="D910" t="str">
            <v>Aug</v>
          </cell>
          <cell r="F910">
            <v>0</v>
          </cell>
        </row>
        <row r="911">
          <cell r="A911" t="str">
            <v>Buildings</v>
          </cell>
          <cell r="B911" t="str">
            <v>Neuland</v>
          </cell>
          <cell r="C911" t="str">
            <v>HO funding</v>
          </cell>
          <cell r="D911" t="str">
            <v>Aug</v>
          </cell>
          <cell r="F911">
            <v>0</v>
          </cell>
        </row>
        <row r="912">
          <cell r="A912" t="str">
            <v>Buildings</v>
          </cell>
          <cell r="B912" t="str">
            <v>Neuland</v>
          </cell>
          <cell r="C912" t="str">
            <v>Debtors</v>
          </cell>
          <cell r="D912" t="str">
            <v>Sep</v>
          </cell>
          <cell r="F912">
            <v>52.544639999999994</v>
          </cell>
        </row>
        <row r="913">
          <cell r="A913" t="str">
            <v>Buildings</v>
          </cell>
          <cell r="B913" t="str">
            <v>Neuland</v>
          </cell>
          <cell r="C913" t="str">
            <v>Work In Progress (increase/decrease)</v>
          </cell>
          <cell r="D913" t="str">
            <v>Sep</v>
          </cell>
          <cell r="F913">
            <v>320</v>
          </cell>
        </row>
        <row r="914">
          <cell r="A914" t="str">
            <v>Buildings</v>
          </cell>
          <cell r="B914" t="str">
            <v>Neuland</v>
          </cell>
          <cell r="C914" t="str">
            <v>Stock of Raw Materials</v>
          </cell>
          <cell r="D914" t="str">
            <v>Sep</v>
          </cell>
          <cell r="F914">
            <v>32</v>
          </cell>
        </row>
        <row r="915">
          <cell r="A915" t="str">
            <v>Buildings</v>
          </cell>
          <cell r="B915" t="str">
            <v>Neuland</v>
          </cell>
          <cell r="C915" t="str">
            <v>Retention(incl TDS)</v>
          </cell>
          <cell r="D915" t="str">
            <v>Sep</v>
          </cell>
          <cell r="F915">
            <v>-218.24639999999994</v>
          </cell>
        </row>
        <row r="916">
          <cell r="A916" t="str">
            <v>Buildings</v>
          </cell>
          <cell r="B916" t="str">
            <v>Neuland</v>
          </cell>
          <cell r="C916" t="str">
            <v>Projected Profit/Loss on YTD Sales</v>
          </cell>
          <cell r="D916" t="str">
            <v>Sep</v>
          </cell>
          <cell r="F916">
            <v>-76325.16</v>
          </cell>
        </row>
        <row r="917">
          <cell r="A917" t="str">
            <v>Buildings</v>
          </cell>
          <cell r="B917" t="str">
            <v>Neuland</v>
          </cell>
          <cell r="C917" t="str">
            <v>Cash and Bank Balance</v>
          </cell>
          <cell r="D917" t="str">
            <v>Sep</v>
          </cell>
          <cell r="F917">
            <v>0</v>
          </cell>
        </row>
        <row r="918">
          <cell r="A918" t="str">
            <v>Buildings</v>
          </cell>
          <cell r="B918" t="str">
            <v>Neuland</v>
          </cell>
          <cell r="C918" t="str">
            <v>Creditors-Suppliers-net of advance</v>
          </cell>
          <cell r="D918" t="str">
            <v>Sep</v>
          </cell>
          <cell r="F918">
            <v>26</v>
          </cell>
        </row>
        <row r="919">
          <cell r="A919" t="str">
            <v>Buildings</v>
          </cell>
          <cell r="B919" t="str">
            <v>Neuland</v>
          </cell>
          <cell r="C919" t="str">
            <v>Sub-Contractors-net of advance</v>
          </cell>
          <cell r="D919" t="str">
            <v>Sep</v>
          </cell>
          <cell r="F919">
            <v>96</v>
          </cell>
        </row>
        <row r="920">
          <cell r="A920" t="str">
            <v>Buildings</v>
          </cell>
          <cell r="B920" t="str">
            <v>Neuland</v>
          </cell>
          <cell r="C920" t="str">
            <v>Own</v>
          </cell>
          <cell r="D920" t="str">
            <v>Sep</v>
          </cell>
          <cell r="F920">
            <v>0</v>
          </cell>
        </row>
        <row r="921">
          <cell r="A921" t="str">
            <v>Buildings</v>
          </cell>
          <cell r="B921" t="str">
            <v>Neuland</v>
          </cell>
          <cell r="C921" t="str">
            <v>Outstide</v>
          </cell>
          <cell r="D921" t="str">
            <v>Sep</v>
          </cell>
          <cell r="F921">
            <v>32</v>
          </cell>
        </row>
        <row r="922">
          <cell r="A922" t="str">
            <v>Buildings</v>
          </cell>
          <cell r="B922" t="str">
            <v>Neuland</v>
          </cell>
          <cell r="C922" t="str">
            <v>Salaries and Wages Payable</v>
          </cell>
          <cell r="D922" t="str">
            <v>Sep</v>
          </cell>
          <cell r="F922">
            <v>0</v>
          </cell>
        </row>
        <row r="923">
          <cell r="A923" t="str">
            <v>Buildings</v>
          </cell>
          <cell r="B923" t="str">
            <v>Neuland</v>
          </cell>
          <cell r="C923" t="str">
            <v>Mobilisation Adv Outstanding</v>
          </cell>
          <cell r="D923" t="str">
            <v>Sep</v>
          </cell>
          <cell r="F923">
            <v>224.00000000000003</v>
          </cell>
        </row>
        <row r="924">
          <cell r="A924" t="str">
            <v>Buildings</v>
          </cell>
          <cell r="B924" t="str">
            <v>Neuland</v>
          </cell>
          <cell r="C924" t="str">
            <v>Bank Loan outstanding</v>
          </cell>
          <cell r="D924" t="str">
            <v>Sep</v>
          </cell>
          <cell r="F924">
            <v>0</v>
          </cell>
        </row>
        <row r="925">
          <cell r="A925" t="str">
            <v>Buildings</v>
          </cell>
          <cell r="B925" t="str">
            <v>Neuland</v>
          </cell>
          <cell r="C925" t="str">
            <v>HO funding</v>
          </cell>
          <cell r="D925" t="str">
            <v>Sep</v>
          </cell>
          <cell r="F925">
            <v>0</v>
          </cell>
        </row>
        <row r="926">
          <cell r="A926" t="str">
            <v>Buildings</v>
          </cell>
          <cell r="B926" t="str">
            <v>Neuland</v>
          </cell>
          <cell r="C926" t="str">
            <v>Debtors</v>
          </cell>
          <cell r="D926" t="str">
            <v>Oct</v>
          </cell>
          <cell r="F926">
            <v>52.544639999999994</v>
          </cell>
        </row>
        <row r="927">
          <cell r="A927" t="str">
            <v>Buildings</v>
          </cell>
          <cell r="B927" t="str">
            <v>Neuland</v>
          </cell>
          <cell r="C927" t="str">
            <v>Work In Progress (increase/decrease)</v>
          </cell>
          <cell r="D927" t="str">
            <v>Oct</v>
          </cell>
          <cell r="F927">
            <v>352</v>
          </cell>
        </row>
        <row r="928">
          <cell r="A928" t="str">
            <v>Buildings</v>
          </cell>
          <cell r="B928" t="str">
            <v>Neuland</v>
          </cell>
          <cell r="C928" t="str">
            <v>Stock of Raw Materials</v>
          </cell>
          <cell r="D928" t="str">
            <v>Oct</v>
          </cell>
          <cell r="F928">
            <v>32</v>
          </cell>
        </row>
        <row r="929">
          <cell r="A929" t="str">
            <v>Buildings</v>
          </cell>
          <cell r="B929" t="str">
            <v>Neuland</v>
          </cell>
          <cell r="C929" t="str">
            <v>Retention(incl TDS)</v>
          </cell>
          <cell r="D929" t="str">
            <v>Oct</v>
          </cell>
          <cell r="F929">
            <v>-243.27103999999991</v>
          </cell>
        </row>
        <row r="930">
          <cell r="A930" t="str">
            <v>Buildings</v>
          </cell>
          <cell r="B930" t="str">
            <v>Neuland</v>
          </cell>
          <cell r="C930" t="str">
            <v>Projected Profit/Loss on YTD Sales</v>
          </cell>
          <cell r="D930" t="str">
            <v>Oct</v>
          </cell>
          <cell r="F930">
            <v>-84102.92</v>
          </cell>
        </row>
        <row r="931">
          <cell r="A931" t="str">
            <v>Buildings</v>
          </cell>
          <cell r="B931" t="str">
            <v>Neuland</v>
          </cell>
          <cell r="C931" t="str">
            <v>Cash and Bank Balance</v>
          </cell>
          <cell r="D931" t="str">
            <v>Oct</v>
          </cell>
          <cell r="F931">
            <v>0</v>
          </cell>
        </row>
        <row r="932">
          <cell r="A932" t="str">
            <v>Buildings</v>
          </cell>
          <cell r="B932" t="str">
            <v>Neuland</v>
          </cell>
          <cell r="C932" t="str">
            <v>Creditors-Suppliers-net of advance</v>
          </cell>
          <cell r="D932" t="str">
            <v>Oct</v>
          </cell>
          <cell r="F932">
            <v>26</v>
          </cell>
        </row>
        <row r="933">
          <cell r="A933" t="str">
            <v>Buildings</v>
          </cell>
          <cell r="B933" t="str">
            <v>Neuland</v>
          </cell>
          <cell r="C933" t="str">
            <v>Sub-Contractors-net of advance</v>
          </cell>
          <cell r="D933" t="str">
            <v>Oct</v>
          </cell>
          <cell r="F933">
            <v>96</v>
          </cell>
        </row>
        <row r="934">
          <cell r="A934" t="str">
            <v>Buildings</v>
          </cell>
          <cell r="B934" t="str">
            <v>Neuland</v>
          </cell>
          <cell r="C934" t="str">
            <v>Own</v>
          </cell>
          <cell r="D934" t="str">
            <v>Oct</v>
          </cell>
          <cell r="F934">
            <v>0</v>
          </cell>
        </row>
        <row r="935">
          <cell r="A935" t="str">
            <v>Buildings</v>
          </cell>
          <cell r="B935" t="str">
            <v>Neuland</v>
          </cell>
          <cell r="C935" t="str">
            <v>Outstide</v>
          </cell>
          <cell r="D935" t="str">
            <v>Oct</v>
          </cell>
          <cell r="F935">
            <v>32</v>
          </cell>
        </row>
        <row r="936">
          <cell r="A936" t="str">
            <v>Buildings</v>
          </cell>
          <cell r="B936" t="str">
            <v>Neuland</v>
          </cell>
          <cell r="C936" t="str">
            <v>Salaries and Wages Payable</v>
          </cell>
          <cell r="D936" t="str">
            <v>Oct</v>
          </cell>
          <cell r="F936">
            <v>0</v>
          </cell>
        </row>
        <row r="937">
          <cell r="A937" t="str">
            <v>Buildings</v>
          </cell>
          <cell r="B937" t="str">
            <v>Neuland</v>
          </cell>
          <cell r="C937" t="str">
            <v>Mobilisation Adv Outstanding</v>
          </cell>
          <cell r="D937" t="str">
            <v>Oct</v>
          </cell>
          <cell r="F937">
            <v>246.4</v>
          </cell>
        </row>
        <row r="938">
          <cell r="A938" t="str">
            <v>Buildings</v>
          </cell>
          <cell r="B938" t="str">
            <v>Neuland</v>
          </cell>
          <cell r="C938" t="str">
            <v>Bank Loan outstanding</v>
          </cell>
          <cell r="D938" t="str">
            <v>Oct</v>
          </cell>
          <cell r="F938">
            <v>0</v>
          </cell>
        </row>
        <row r="939">
          <cell r="A939" t="str">
            <v>Buildings</v>
          </cell>
          <cell r="B939" t="str">
            <v>Neuland</v>
          </cell>
          <cell r="C939" t="str">
            <v>HO funding</v>
          </cell>
          <cell r="D939" t="str">
            <v>Oct</v>
          </cell>
          <cell r="F939">
            <v>0</v>
          </cell>
        </row>
        <row r="940">
          <cell r="A940" t="str">
            <v>Buildings</v>
          </cell>
          <cell r="B940" t="str">
            <v>Neuland</v>
          </cell>
          <cell r="C940" t="str">
            <v>Debtors</v>
          </cell>
          <cell r="D940" t="str">
            <v>Nov</v>
          </cell>
          <cell r="F940">
            <v>52.544639999999994</v>
          </cell>
        </row>
        <row r="941">
          <cell r="A941" t="str">
            <v>Buildings</v>
          </cell>
          <cell r="B941" t="str">
            <v>Neuland</v>
          </cell>
          <cell r="C941" t="str">
            <v>Work In Progress (increase/decrease)</v>
          </cell>
          <cell r="D941" t="str">
            <v>Nov</v>
          </cell>
          <cell r="F941">
            <v>384</v>
          </cell>
        </row>
        <row r="942">
          <cell r="A942" t="str">
            <v>Buildings</v>
          </cell>
          <cell r="B942" t="str">
            <v>Neuland</v>
          </cell>
          <cell r="C942" t="str">
            <v>Stock of Raw Materials</v>
          </cell>
          <cell r="D942" t="str">
            <v>Nov</v>
          </cell>
          <cell r="F942">
            <v>32</v>
          </cell>
        </row>
        <row r="943">
          <cell r="A943" t="str">
            <v>Buildings</v>
          </cell>
          <cell r="B943" t="str">
            <v>Neuland</v>
          </cell>
          <cell r="C943" t="str">
            <v>Retention(incl TDS)</v>
          </cell>
          <cell r="D943" t="str">
            <v>Nov</v>
          </cell>
          <cell r="F943">
            <v>-268.29567999999989</v>
          </cell>
        </row>
        <row r="944">
          <cell r="A944" t="str">
            <v>Buildings</v>
          </cell>
          <cell r="B944" t="str">
            <v>Neuland</v>
          </cell>
          <cell r="C944" t="str">
            <v>Projected Profit/Loss on YTD Sales</v>
          </cell>
          <cell r="D944" t="str">
            <v>Nov</v>
          </cell>
          <cell r="F944">
            <v>-91883.989999999991</v>
          </cell>
        </row>
        <row r="945">
          <cell r="A945" t="str">
            <v>Buildings</v>
          </cell>
          <cell r="B945" t="str">
            <v>Neuland</v>
          </cell>
          <cell r="C945" t="str">
            <v>Cash and Bank Balance</v>
          </cell>
          <cell r="D945" t="str">
            <v>Nov</v>
          </cell>
          <cell r="F945">
            <v>0</v>
          </cell>
        </row>
        <row r="946">
          <cell r="A946" t="str">
            <v>Buildings</v>
          </cell>
          <cell r="B946" t="str">
            <v>Neuland</v>
          </cell>
          <cell r="C946" t="str">
            <v>Creditors-Suppliers-net of advance</v>
          </cell>
          <cell r="D946" t="str">
            <v>Nov</v>
          </cell>
          <cell r="F946">
            <v>26</v>
          </cell>
        </row>
        <row r="947">
          <cell r="A947" t="str">
            <v>Buildings</v>
          </cell>
          <cell r="B947" t="str">
            <v>Neuland</v>
          </cell>
          <cell r="C947" t="str">
            <v>Sub-Contractors-net of advance</v>
          </cell>
          <cell r="D947" t="str">
            <v>Nov</v>
          </cell>
          <cell r="F947">
            <v>96</v>
          </cell>
        </row>
        <row r="948">
          <cell r="A948" t="str">
            <v>Buildings</v>
          </cell>
          <cell r="B948" t="str">
            <v>Neuland</v>
          </cell>
          <cell r="C948" t="str">
            <v>Own</v>
          </cell>
          <cell r="D948" t="str">
            <v>Nov</v>
          </cell>
          <cell r="F948">
            <v>0</v>
          </cell>
        </row>
        <row r="949">
          <cell r="A949" t="str">
            <v>Buildings</v>
          </cell>
          <cell r="B949" t="str">
            <v>Neuland</v>
          </cell>
          <cell r="C949" t="str">
            <v>Outstide</v>
          </cell>
          <cell r="D949" t="str">
            <v>Nov</v>
          </cell>
          <cell r="F949">
            <v>32</v>
          </cell>
        </row>
        <row r="950">
          <cell r="A950" t="str">
            <v>Buildings</v>
          </cell>
          <cell r="B950" t="str">
            <v>Neuland</v>
          </cell>
          <cell r="C950" t="str">
            <v>Salaries and Wages Payable</v>
          </cell>
          <cell r="D950" t="str">
            <v>Nov</v>
          </cell>
          <cell r="F950">
            <v>0</v>
          </cell>
        </row>
        <row r="951">
          <cell r="A951" t="str">
            <v>Buildings</v>
          </cell>
          <cell r="B951" t="str">
            <v>Neuland</v>
          </cell>
          <cell r="C951" t="str">
            <v>Mobilisation Adv Outstanding</v>
          </cell>
          <cell r="D951" t="str">
            <v>Nov</v>
          </cell>
          <cell r="F951">
            <v>268.79999999999995</v>
          </cell>
        </row>
        <row r="952">
          <cell r="A952" t="str">
            <v>Buildings</v>
          </cell>
          <cell r="B952" t="str">
            <v>Neuland</v>
          </cell>
          <cell r="C952" t="str">
            <v>Bank Loan outstanding</v>
          </cell>
          <cell r="D952" t="str">
            <v>Nov</v>
          </cell>
          <cell r="F952">
            <v>0</v>
          </cell>
        </row>
        <row r="953">
          <cell r="A953" t="str">
            <v>Buildings</v>
          </cell>
          <cell r="B953" t="str">
            <v>Neuland</v>
          </cell>
          <cell r="C953" t="str">
            <v>HO funding</v>
          </cell>
          <cell r="D953" t="str">
            <v>Nov</v>
          </cell>
          <cell r="F953">
            <v>0</v>
          </cell>
        </row>
        <row r="954">
          <cell r="A954" t="str">
            <v>Buildings</v>
          </cell>
          <cell r="B954" t="str">
            <v>Neuland</v>
          </cell>
          <cell r="C954" t="str">
            <v>Debtors</v>
          </cell>
          <cell r="D954" t="str">
            <v>Dec</v>
          </cell>
          <cell r="F954">
            <v>52.544639999999994</v>
          </cell>
        </row>
        <row r="955">
          <cell r="A955" t="str">
            <v>Buildings</v>
          </cell>
          <cell r="B955" t="str">
            <v>Neuland</v>
          </cell>
          <cell r="C955" t="str">
            <v>Work In Progress (increase/decrease)</v>
          </cell>
          <cell r="D955" t="str">
            <v>Dec</v>
          </cell>
          <cell r="F955">
            <v>416</v>
          </cell>
        </row>
        <row r="956">
          <cell r="A956" t="str">
            <v>Buildings</v>
          </cell>
          <cell r="B956" t="str">
            <v>Neuland</v>
          </cell>
          <cell r="C956" t="str">
            <v>Stock of Raw Materials</v>
          </cell>
          <cell r="D956" t="str">
            <v>Dec</v>
          </cell>
          <cell r="F956">
            <v>32</v>
          </cell>
        </row>
        <row r="957">
          <cell r="A957" t="str">
            <v>Buildings</v>
          </cell>
          <cell r="B957" t="str">
            <v>Neuland</v>
          </cell>
          <cell r="C957" t="str">
            <v>Retention(incl TDS)</v>
          </cell>
          <cell r="D957" t="str">
            <v>Dec</v>
          </cell>
          <cell r="F957">
            <v>-293.32031999999987</v>
          </cell>
        </row>
        <row r="958">
          <cell r="A958" t="str">
            <v>Buildings</v>
          </cell>
          <cell r="B958" t="str">
            <v>Neuland</v>
          </cell>
          <cell r="C958" t="str">
            <v>Projected Profit/Loss on YTD Sales</v>
          </cell>
          <cell r="D958" t="str">
            <v>Dec</v>
          </cell>
          <cell r="F958">
            <v>-99668.359999999986</v>
          </cell>
        </row>
        <row r="959">
          <cell r="A959" t="str">
            <v>Buildings</v>
          </cell>
          <cell r="B959" t="str">
            <v>Neuland</v>
          </cell>
          <cell r="C959" t="str">
            <v>Cash and Bank Balance</v>
          </cell>
          <cell r="D959" t="str">
            <v>Dec</v>
          </cell>
          <cell r="F959">
            <v>0</v>
          </cell>
        </row>
        <row r="960">
          <cell r="A960" t="str">
            <v>Buildings</v>
          </cell>
          <cell r="B960" t="str">
            <v>Neuland</v>
          </cell>
          <cell r="C960" t="str">
            <v>Creditors-Suppliers-net of advance</v>
          </cell>
          <cell r="D960" t="str">
            <v>Dec</v>
          </cell>
          <cell r="F960">
            <v>26</v>
          </cell>
        </row>
        <row r="961">
          <cell r="A961" t="str">
            <v>Buildings</v>
          </cell>
          <cell r="B961" t="str">
            <v>Neuland</v>
          </cell>
          <cell r="C961" t="str">
            <v>Sub-Contractors-net of advance</v>
          </cell>
          <cell r="D961" t="str">
            <v>Dec</v>
          </cell>
          <cell r="F961">
            <v>96</v>
          </cell>
        </row>
        <row r="962">
          <cell r="A962" t="str">
            <v>Buildings</v>
          </cell>
          <cell r="B962" t="str">
            <v>Neuland</v>
          </cell>
          <cell r="C962" t="str">
            <v>Own</v>
          </cell>
          <cell r="D962" t="str">
            <v>Dec</v>
          </cell>
          <cell r="F962">
            <v>0</v>
          </cell>
        </row>
        <row r="963">
          <cell r="A963" t="str">
            <v>Buildings</v>
          </cell>
          <cell r="B963" t="str">
            <v>Neuland</v>
          </cell>
          <cell r="C963" t="str">
            <v>Outstide</v>
          </cell>
          <cell r="D963" t="str">
            <v>Dec</v>
          </cell>
          <cell r="F963">
            <v>32</v>
          </cell>
        </row>
        <row r="964">
          <cell r="A964" t="str">
            <v>Buildings</v>
          </cell>
          <cell r="B964" t="str">
            <v>Neuland</v>
          </cell>
          <cell r="C964" t="str">
            <v>Salaries and Wages Payable</v>
          </cell>
          <cell r="D964" t="str">
            <v>Dec</v>
          </cell>
          <cell r="F964">
            <v>0</v>
          </cell>
        </row>
        <row r="965">
          <cell r="A965" t="str">
            <v>Buildings</v>
          </cell>
          <cell r="B965" t="str">
            <v>Neuland</v>
          </cell>
          <cell r="C965" t="str">
            <v>Mobilisation Adv Outstanding</v>
          </cell>
          <cell r="D965" t="str">
            <v>Dec</v>
          </cell>
          <cell r="F965">
            <v>291.19999999999993</v>
          </cell>
        </row>
        <row r="966">
          <cell r="A966" t="str">
            <v>Buildings</v>
          </cell>
          <cell r="B966" t="str">
            <v>Neuland</v>
          </cell>
          <cell r="C966" t="str">
            <v>Bank Loan outstanding</v>
          </cell>
          <cell r="D966" t="str">
            <v>Dec</v>
          </cell>
          <cell r="F966">
            <v>0</v>
          </cell>
        </row>
        <row r="967">
          <cell r="A967" t="str">
            <v>Buildings</v>
          </cell>
          <cell r="B967" t="str">
            <v>Neuland</v>
          </cell>
          <cell r="C967" t="str">
            <v>HO funding</v>
          </cell>
          <cell r="D967" t="str">
            <v>Dec</v>
          </cell>
          <cell r="F967">
            <v>0</v>
          </cell>
        </row>
        <row r="968">
          <cell r="A968" t="str">
            <v>Buildings</v>
          </cell>
          <cell r="B968" t="str">
            <v>Neuland</v>
          </cell>
          <cell r="C968" t="str">
            <v>Debtors</v>
          </cell>
          <cell r="D968" t="str">
            <v>Jan</v>
          </cell>
          <cell r="F968">
            <v>52.544639999999994</v>
          </cell>
        </row>
        <row r="969">
          <cell r="A969" t="str">
            <v>Buildings</v>
          </cell>
          <cell r="B969" t="str">
            <v>Neuland</v>
          </cell>
          <cell r="C969" t="str">
            <v>Work In Progress (increase/decrease)</v>
          </cell>
          <cell r="D969" t="str">
            <v>Jan</v>
          </cell>
          <cell r="F969">
            <v>448</v>
          </cell>
        </row>
        <row r="970">
          <cell r="A970" t="str">
            <v>Buildings</v>
          </cell>
          <cell r="B970" t="str">
            <v>Neuland</v>
          </cell>
          <cell r="C970" t="str">
            <v>Stock of Raw Materials</v>
          </cell>
          <cell r="D970" t="str">
            <v>Jan</v>
          </cell>
          <cell r="F970">
            <v>32</v>
          </cell>
        </row>
        <row r="971">
          <cell r="A971" t="str">
            <v>Buildings</v>
          </cell>
          <cell r="B971" t="str">
            <v>Neuland</v>
          </cell>
          <cell r="C971" t="str">
            <v>Retention(incl TDS)</v>
          </cell>
          <cell r="D971" t="str">
            <v>Jan</v>
          </cell>
          <cell r="F971">
            <v>-318.34495999999984</v>
          </cell>
        </row>
        <row r="972">
          <cell r="A972" t="str">
            <v>Buildings</v>
          </cell>
          <cell r="B972" t="str">
            <v>Neuland</v>
          </cell>
          <cell r="C972" t="str">
            <v>Projected Profit/Loss on YTD Sales</v>
          </cell>
          <cell r="D972" t="str">
            <v>Jan</v>
          </cell>
          <cell r="F972">
            <v>-107456.03999999998</v>
          </cell>
        </row>
        <row r="973">
          <cell r="A973" t="str">
            <v>Buildings</v>
          </cell>
          <cell r="B973" t="str">
            <v>Neuland</v>
          </cell>
          <cell r="C973" t="str">
            <v>Cash and Bank Balance</v>
          </cell>
          <cell r="D973" t="str">
            <v>Jan</v>
          </cell>
          <cell r="F973">
            <v>0</v>
          </cell>
        </row>
        <row r="974">
          <cell r="A974" t="str">
            <v>Buildings</v>
          </cell>
          <cell r="B974" t="str">
            <v>Neuland</v>
          </cell>
          <cell r="C974" t="str">
            <v>Creditors-Suppliers-net of advance</v>
          </cell>
          <cell r="D974" t="str">
            <v>Jan</v>
          </cell>
          <cell r="F974">
            <v>26</v>
          </cell>
        </row>
        <row r="975">
          <cell r="A975" t="str">
            <v>Buildings</v>
          </cell>
          <cell r="B975" t="str">
            <v>Neuland</v>
          </cell>
          <cell r="C975" t="str">
            <v>Sub-Contractors-net of advance</v>
          </cell>
          <cell r="D975" t="str">
            <v>Jan</v>
          </cell>
          <cell r="F975">
            <v>96</v>
          </cell>
        </row>
        <row r="976">
          <cell r="A976" t="str">
            <v>Buildings</v>
          </cell>
          <cell r="B976" t="str">
            <v>Neuland</v>
          </cell>
          <cell r="C976" t="str">
            <v>Own</v>
          </cell>
          <cell r="D976" t="str">
            <v>Jan</v>
          </cell>
          <cell r="F976">
            <v>0</v>
          </cell>
        </row>
        <row r="977">
          <cell r="A977" t="str">
            <v>Buildings</v>
          </cell>
          <cell r="B977" t="str">
            <v>Neuland</v>
          </cell>
          <cell r="C977" t="str">
            <v>Outstide</v>
          </cell>
          <cell r="D977" t="str">
            <v>Jan</v>
          </cell>
          <cell r="F977">
            <v>32</v>
          </cell>
        </row>
        <row r="978">
          <cell r="A978" t="str">
            <v>Buildings</v>
          </cell>
          <cell r="B978" t="str">
            <v>Neuland</v>
          </cell>
          <cell r="C978" t="str">
            <v>Salaries and Wages Payable</v>
          </cell>
          <cell r="D978" t="str">
            <v>Jan</v>
          </cell>
          <cell r="F978">
            <v>0</v>
          </cell>
        </row>
        <row r="979">
          <cell r="A979" t="str">
            <v>Buildings</v>
          </cell>
          <cell r="B979" t="str">
            <v>Neuland</v>
          </cell>
          <cell r="C979" t="str">
            <v>Mobilisation Adv Outstanding</v>
          </cell>
          <cell r="D979" t="str">
            <v>Jan</v>
          </cell>
          <cell r="F979">
            <v>313.59999999999991</v>
          </cell>
        </row>
        <row r="980">
          <cell r="A980" t="str">
            <v>Buildings</v>
          </cell>
          <cell r="B980" t="str">
            <v>Neuland</v>
          </cell>
          <cell r="C980" t="str">
            <v>Bank Loan outstanding</v>
          </cell>
          <cell r="D980" t="str">
            <v>Jan</v>
          </cell>
          <cell r="F980">
            <v>0</v>
          </cell>
        </row>
        <row r="981">
          <cell r="A981" t="str">
            <v>Buildings</v>
          </cell>
          <cell r="B981" t="str">
            <v>Neuland</v>
          </cell>
          <cell r="C981" t="str">
            <v>HO funding</v>
          </cell>
          <cell r="D981" t="str">
            <v>Jan</v>
          </cell>
          <cell r="F981">
            <v>0</v>
          </cell>
        </row>
        <row r="982">
          <cell r="A982" t="str">
            <v>Buildings</v>
          </cell>
          <cell r="B982" t="str">
            <v>Neuland</v>
          </cell>
          <cell r="C982" t="str">
            <v>Debtors</v>
          </cell>
          <cell r="D982" t="str">
            <v>Feb</v>
          </cell>
          <cell r="F982">
            <v>52.544639999999994</v>
          </cell>
        </row>
        <row r="983">
          <cell r="A983" t="str">
            <v>Buildings</v>
          </cell>
          <cell r="B983" t="str">
            <v>Neuland</v>
          </cell>
          <cell r="C983" t="str">
            <v>Work In Progress (increase/decrease)</v>
          </cell>
          <cell r="D983" t="str">
            <v>Feb</v>
          </cell>
          <cell r="F983">
            <v>480</v>
          </cell>
        </row>
        <row r="984">
          <cell r="A984" t="str">
            <v>Buildings</v>
          </cell>
          <cell r="B984" t="str">
            <v>Neuland</v>
          </cell>
          <cell r="C984" t="str">
            <v>Stock of Raw Materials</v>
          </cell>
          <cell r="D984" t="str">
            <v>Feb</v>
          </cell>
          <cell r="F984">
            <v>32</v>
          </cell>
        </row>
        <row r="985">
          <cell r="A985" t="str">
            <v>Buildings</v>
          </cell>
          <cell r="B985" t="str">
            <v>Neuland</v>
          </cell>
          <cell r="C985" t="str">
            <v>Retention(incl TDS)</v>
          </cell>
          <cell r="D985" t="str">
            <v>Feb</v>
          </cell>
          <cell r="F985">
            <v>-343.36959999999982</v>
          </cell>
        </row>
        <row r="986">
          <cell r="A986" t="str">
            <v>Buildings</v>
          </cell>
          <cell r="B986" t="str">
            <v>Neuland</v>
          </cell>
          <cell r="C986" t="str">
            <v>Projected Profit/Loss on YTD Sales</v>
          </cell>
          <cell r="D986" t="str">
            <v>Feb</v>
          </cell>
          <cell r="F986">
            <v>-115247.02999999998</v>
          </cell>
        </row>
        <row r="987">
          <cell r="A987" t="str">
            <v>Buildings</v>
          </cell>
          <cell r="B987" t="str">
            <v>Neuland</v>
          </cell>
          <cell r="C987" t="str">
            <v>Cash and Bank Balance</v>
          </cell>
          <cell r="D987" t="str">
            <v>Feb</v>
          </cell>
          <cell r="F987">
            <v>0</v>
          </cell>
        </row>
        <row r="988">
          <cell r="A988" t="str">
            <v>Buildings</v>
          </cell>
          <cell r="B988" t="str">
            <v>Neuland</v>
          </cell>
          <cell r="C988" t="str">
            <v>Creditors-Suppliers-net of advance</v>
          </cell>
          <cell r="D988" t="str">
            <v>Feb</v>
          </cell>
          <cell r="F988">
            <v>26</v>
          </cell>
        </row>
        <row r="989">
          <cell r="A989" t="str">
            <v>Buildings</v>
          </cell>
          <cell r="B989" t="str">
            <v>Neuland</v>
          </cell>
          <cell r="C989" t="str">
            <v>Sub-Contractors-net of advance</v>
          </cell>
          <cell r="D989" t="str">
            <v>Feb</v>
          </cell>
          <cell r="F989">
            <v>96</v>
          </cell>
        </row>
        <row r="990">
          <cell r="A990" t="str">
            <v>Buildings</v>
          </cell>
          <cell r="B990" t="str">
            <v>Neuland</v>
          </cell>
          <cell r="C990" t="str">
            <v>Own</v>
          </cell>
          <cell r="D990" t="str">
            <v>Feb</v>
          </cell>
          <cell r="F990">
            <v>0</v>
          </cell>
        </row>
        <row r="991">
          <cell r="A991" t="str">
            <v>Buildings</v>
          </cell>
          <cell r="B991" t="str">
            <v>Neuland</v>
          </cell>
          <cell r="C991" t="str">
            <v>Outstide</v>
          </cell>
          <cell r="D991" t="str">
            <v>Feb</v>
          </cell>
          <cell r="F991">
            <v>32</v>
          </cell>
        </row>
        <row r="992">
          <cell r="A992" t="str">
            <v>Buildings</v>
          </cell>
          <cell r="B992" t="str">
            <v>Neuland</v>
          </cell>
          <cell r="C992" t="str">
            <v>Salaries and Wages Payable</v>
          </cell>
          <cell r="D992" t="str">
            <v>Feb</v>
          </cell>
          <cell r="F992">
            <v>0</v>
          </cell>
        </row>
        <row r="993">
          <cell r="A993" t="str">
            <v>Buildings</v>
          </cell>
          <cell r="B993" t="str">
            <v>Neuland</v>
          </cell>
          <cell r="C993" t="str">
            <v>Mobilisation Adv Outstanding</v>
          </cell>
          <cell r="D993" t="str">
            <v>Feb</v>
          </cell>
          <cell r="F993">
            <v>335.99999999999989</v>
          </cell>
        </row>
        <row r="994">
          <cell r="A994" t="str">
            <v>Buildings</v>
          </cell>
          <cell r="B994" t="str">
            <v>Neuland</v>
          </cell>
          <cell r="C994" t="str">
            <v>Bank Loan outstanding</v>
          </cell>
          <cell r="D994" t="str">
            <v>Feb</v>
          </cell>
          <cell r="F994">
            <v>0</v>
          </cell>
        </row>
        <row r="995">
          <cell r="A995" t="str">
            <v>Buildings</v>
          </cell>
          <cell r="B995" t="str">
            <v>Neuland</v>
          </cell>
          <cell r="C995" t="str">
            <v>HO funding</v>
          </cell>
          <cell r="D995" t="str">
            <v>Feb</v>
          </cell>
          <cell r="F995">
            <v>0</v>
          </cell>
        </row>
        <row r="996">
          <cell r="A996" t="str">
            <v>Buildings</v>
          </cell>
          <cell r="B996" t="str">
            <v>Neuland</v>
          </cell>
          <cell r="C996" t="str">
            <v>Debtors</v>
          </cell>
          <cell r="D996" t="str">
            <v>Mar</v>
          </cell>
          <cell r="F996">
            <v>52.544639999999994</v>
          </cell>
        </row>
        <row r="997">
          <cell r="A997" t="str">
            <v>Buildings</v>
          </cell>
          <cell r="B997" t="str">
            <v>Neuland</v>
          </cell>
          <cell r="C997" t="str">
            <v>Work In Progress (increase/decrease)</v>
          </cell>
          <cell r="D997" t="str">
            <v>Mar</v>
          </cell>
          <cell r="F997">
            <v>512</v>
          </cell>
        </row>
        <row r="998">
          <cell r="A998" t="str">
            <v>Buildings</v>
          </cell>
          <cell r="B998" t="str">
            <v>Neuland</v>
          </cell>
          <cell r="C998" t="str">
            <v>Stock of Raw Materials</v>
          </cell>
          <cell r="D998" t="str">
            <v>Mar</v>
          </cell>
          <cell r="F998">
            <v>0</v>
          </cell>
        </row>
        <row r="999">
          <cell r="A999" t="str">
            <v>Buildings</v>
          </cell>
          <cell r="B999" t="str">
            <v>Neuland</v>
          </cell>
          <cell r="C999" t="str">
            <v>Retention(incl TDS)</v>
          </cell>
          <cell r="D999" t="str">
            <v>Mar</v>
          </cell>
          <cell r="F999">
            <v>-368.3942399999998</v>
          </cell>
        </row>
        <row r="1000">
          <cell r="A1000" t="str">
            <v>Buildings</v>
          </cell>
          <cell r="B1000" t="str">
            <v>Neuland</v>
          </cell>
          <cell r="C1000" t="str">
            <v>Projected Profit/Loss on YTD Sales</v>
          </cell>
          <cell r="D1000" t="str">
            <v>Mar</v>
          </cell>
          <cell r="F1000">
            <v>-123041.31999999998</v>
          </cell>
        </row>
        <row r="1001">
          <cell r="A1001" t="str">
            <v>Buildings</v>
          </cell>
          <cell r="B1001" t="str">
            <v>Neuland</v>
          </cell>
          <cell r="C1001" t="str">
            <v>Cash and Bank Balance</v>
          </cell>
          <cell r="D1001" t="str">
            <v>Mar</v>
          </cell>
          <cell r="F1001">
            <v>0</v>
          </cell>
        </row>
        <row r="1002">
          <cell r="A1002" t="str">
            <v>Buildings</v>
          </cell>
          <cell r="B1002" t="str">
            <v>Neuland</v>
          </cell>
          <cell r="C1002" t="str">
            <v>Creditors-Suppliers-net of advance</v>
          </cell>
          <cell r="D1002" t="str">
            <v>Mar</v>
          </cell>
          <cell r="F1002">
            <v>26</v>
          </cell>
        </row>
        <row r="1003">
          <cell r="A1003" t="str">
            <v>Buildings</v>
          </cell>
          <cell r="B1003" t="str">
            <v>Neuland</v>
          </cell>
          <cell r="C1003" t="str">
            <v>Sub-Contractors-net of advance</v>
          </cell>
          <cell r="D1003" t="str">
            <v>Mar</v>
          </cell>
          <cell r="F1003">
            <v>96</v>
          </cell>
        </row>
        <row r="1004">
          <cell r="A1004" t="str">
            <v>Buildings</v>
          </cell>
          <cell r="B1004" t="str">
            <v>Neuland</v>
          </cell>
          <cell r="C1004" t="str">
            <v>Own</v>
          </cell>
          <cell r="D1004" t="str">
            <v>Mar</v>
          </cell>
          <cell r="F1004">
            <v>0</v>
          </cell>
        </row>
        <row r="1005">
          <cell r="A1005" t="str">
            <v>Buildings</v>
          </cell>
          <cell r="B1005" t="str">
            <v>Neuland</v>
          </cell>
          <cell r="C1005" t="str">
            <v>Outstide</v>
          </cell>
          <cell r="D1005" t="str">
            <v>Mar</v>
          </cell>
          <cell r="F1005">
            <v>32</v>
          </cell>
        </row>
        <row r="1006">
          <cell r="A1006" t="str">
            <v>Buildings</v>
          </cell>
          <cell r="B1006" t="str">
            <v>Neuland</v>
          </cell>
          <cell r="C1006" t="str">
            <v>Salaries and Wages Payable</v>
          </cell>
          <cell r="D1006" t="str">
            <v>Mar</v>
          </cell>
          <cell r="F1006">
            <v>0</v>
          </cell>
        </row>
        <row r="1007">
          <cell r="A1007" t="str">
            <v>Buildings</v>
          </cell>
          <cell r="B1007" t="str">
            <v>Neuland</v>
          </cell>
          <cell r="C1007" t="str">
            <v>Mobilisation Adv Outstanding</v>
          </cell>
          <cell r="D1007" t="str">
            <v>Mar</v>
          </cell>
          <cell r="F1007">
            <v>358.39999999999986</v>
          </cell>
        </row>
        <row r="1008">
          <cell r="A1008" t="str">
            <v>Buildings</v>
          </cell>
          <cell r="B1008" t="str">
            <v>Neuland</v>
          </cell>
          <cell r="C1008" t="str">
            <v>Bank Loan outstanding</v>
          </cell>
          <cell r="D1008" t="str">
            <v>Mar</v>
          </cell>
          <cell r="F1008">
            <v>0</v>
          </cell>
        </row>
        <row r="1009">
          <cell r="A1009" t="str">
            <v>Buildings</v>
          </cell>
          <cell r="B1009" t="str">
            <v>Neuland</v>
          </cell>
          <cell r="C1009" t="str">
            <v>HO funding</v>
          </cell>
          <cell r="D1009" t="str">
            <v>Mar</v>
          </cell>
          <cell r="F1009">
            <v>0</v>
          </cell>
        </row>
        <row r="1010">
          <cell r="A1010" t="str">
            <v>Railways</v>
          </cell>
          <cell r="B1010" t="str">
            <v>MTP R1</v>
          </cell>
          <cell r="C1010" t="str">
            <v>Debtors</v>
          </cell>
          <cell r="D1010" t="str">
            <v>Apr</v>
          </cell>
          <cell r="F1010">
            <v>5.7302999999999997</v>
          </cell>
        </row>
        <row r="1011">
          <cell r="A1011" t="str">
            <v>Railways</v>
          </cell>
          <cell r="B1011" t="str">
            <v>MTP R1</v>
          </cell>
          <cell r="C1011" t="str">
            <v>Work In Progress (increase/decrease)</v>
          </cell>
          <cell r="D1011" t="str">
            <v>Apr</v>
          </cell>
          <cell r="F1011">
            <v>75</v>
          </cell>
        </row>
        <row r="1012">
          <cell r="A1012" t="str">
            <v>Railways</v>
          </cell>
          <cell r="B1012" t="str">
            <v>MTP R1</v>
          </cell>
          <cell r="C1012" t="str">
            <v>Stock of Raw Materials</v>
          </cell>
          <cell r="D1012" t="str">
            <v>Apr</v>
          </cell>
          <cell r="F1012">
            <v>15</v>
          </cell>
        </row>
        <row r="1013">
          <cell r="A1013" t="str">
            <v>Railways</v>
          </cell>
          <cell r="B1013" t="str">
            <v>MTP R1</v>
          </cell>
          <cell r="C1013" t="str">
            <v>Retention(incl TDS)</v>
          </cell>
          <cell r="D1013" t="str">
            <v>Apr</v>
          </cell>
          <cell r="F1013">
            <v>-43.651499999999999</v>
          </cell>
        </row>
        <row r="1014">
          <cell r="A1014" t="str">
            <v>Railways</v>
          </cell>
          <cell r="B1014" t="str">
            <v>MTP R1</v>
          </cell>
          <cell r="C1014" t="str">
            <v>Projected Profit/Loss on YTD Sales</v>
          </cell>
          <cell r="D1014" t="str">
            <v>Apr</v>
          </cell>
          <cell r="F1014">
            <v>-16461.53</v>
          </cell>
        </row>
        <row r="1015">
          <cell r="A1015" t="str">
            <v>Railways</v>
          </cell>
          <cell r="B1015" t="str">
            <v>MTP R1</v>
          </cell>
          <cell r="C1015" t="str">
            <v>Cash and Bank Balance</v>
          </cell>
          <cell r="D1015" t="str">
            <v>Apr</v>
          </cell>
          <cell r="F1015">
            <v>0</v>
          </cell>
        </row>
        <row r="1016">
          <cell r="A1016" t="str">
            <v>Railways</v>
          </cell>
          <cell r="B1016" t="str">
            <v>MTP R1</v>
          </cell>
          <cell r="C1016" t="str">
            <v>Creditors-Suppliers-net of advance</v>
          </cell>
          <cell r="D1016" t="str">
            <v>Apr</v>
          </cell>
          <cell r="F1016">
            <v>11</v>
          </cell>
        </row>
        <row r="1017">
          <cell r="A1017" t="str">
            <v>Railways</v>
          </cell>
          <cell r="B1017" t="str">
            <v>MTP R1</v>
          </cell>
          <cell r="C1017" t="str">
            <v>Sub-Contractors-net of advance</v>
          </cell>
          <cell r="D1017" t="str">
            <v>Apr</v>
          </cell>
          <cell r="F1017">
            <v>30</v>
          </cell>
        </row>
        <row r="1018">
          <cell r="A1018" t="str">
            <v>Railways</v>
          </cell>
          <cell r="B1018" t="str">
            <v>MTP R1</v>
          </cell>
          <cell r="C1018" t="str">
            <v>Own</v>
          </cell>
          <cell r="D1018" t="str">
            <v>Apr</v>
          </cell>
          <cell r="F1018">
            <v>0</v>
          </cell>
        </row>
        <row r="1019">
          <cell r="A1019" t="str">
            <v>Railways</v>
          </cell>
          <cell r="B1019" t="str">
            <v>MTP R1</v>
          </cell>
          <cell r="C1019" t="str">
            <v>Outstide</v>
          </cell>
          <cell r="D1019" t="str">
            <v>Apr</v>
          </cell>
          <cell r="F1019">
            <v>15</v>
          </cell>
        </row>
        <row r="1020">
          <cell r="A1020" t="str">
            <v>Railways</v>
          </cell>
          <cell r="B1020" t="str">
            <v>MTP R1</v>
          </cell>
          <cell r="C1020" t="str">
            <v>Salaries and Wages Payable</v>
          </cell>
          <cell r="D1020" t="str">
            <v>Apr</v>
          </cell>
          <cell r="F1020">
            <v>0</v>
          </cell>
        </row>
        <row r="1021">
          <cell r="A1021" t="str">
            <v>Railways</v>
          </cell>
          <cell r="B1021" t="str">
            <v>MTP R1</v>
          </cell>
          <cell r="C1021" t="str">
            <v>Mobilisation Adv Outstanding</v>
          </cell>
          <cell r="D1021" t="str">
            <v>Apr</v>
          </cell>
          <cell r="F1021">
            <v>41.25</v>
          </cell>
        </row>
        <row r="1022">
          <cell r="A1022" t="str">
            <v>Railways</v>
          </cell>
          <cell r="B1022" t="str">
            <v>MTP R1</v>
          </cell>
          <cell r="C1022" t="str">
            <v>Bank Loan outstanding</v>
          </cell>
          <cell r="D1022" t="str">
            <v>Apr</v>
          </cell>
          <cell r="F1022">
            <v>0</v>
          </cell>
        </row>
        <row r="1023">
          <cell r="A1023" t="str">
            <v>Railways</v>
          </cell>
          <cell r="B1023" t="str">
            <v>MTP R1</v>
          </cell>
          <cell r="C1023" t="str">
            <v>HO funding</v>
          </cell>
          <cell r="D1023" t="str">
            <v>Apr</v>
          </cell>
          <cell r="F1023">
            <v>0</v>
          </cell>
        </row>
        <row r="1024">
          <cell r="A1024" t="str">
            <v>Railways</v>
          </cell>
          <cell r="B1024" t="str">
            <v>MTP R1</v>
          </cell>
          <cell r="C1024" t="str">
            <v>Debtors</v>
          </cell>
          <cell r="D1024" t="str">
            <v>May</v>
          </cell>
          <cell r="F1024">
            <v>5.7302999999999997</v>
          </cell>
        </row>
        <row r="1025">
          <cell r="A1025" t="str">
            <v>Railways</v>
          </cell>
          <cell r="B1025" t="str">
            <v>MTP R1</v>
          </cell>
          <cell r="C1025" t="str">
            <v>Work In Progress (increase/decrease)</v>
          </cell>
          <cell r="D1025" t="str">
            <v>May</v>
          </cell>
          <cell r="F1025">
            <v>90</v>
          </cell>
        </row>
        <row r="1026">
          <cell r="A1026" t="str">
            <v>Railways</v>
          </cell>
          <cell r="B1026" t="str">
            <v>MTP R1</v>
          </cell>
          <cell r="C1026" t="str">
            <v>Stock of Raw Materials</v>
          </cell>
          <cell r="D1026" t="str">
            <v>May</v>
          </cell>
          <cell r="F1026">
            <v>15</v>
          </cell>
        </row>
        <row r="1027">
          <cell r="A1027" t="str">
            <v>Railways</v>
          </cell>
          <cell r="B1027" t="str">
            <v>MTP R1</v>
          </cell>
          <cell r="C1027" t="str">
            <v>Retention(incl TDS)</v>
          </cell>
          <cell r="D1027" t="str">
            <v>May</v>
          </cell>
          <cell r="F1027">
            <v>-55.381799999999998</v>
          </cell>
        </row>
        <row r="1028">
          <cell r="A1028" t="str">
            <v>Railways</v>
          </cell>
          <cell r="B1028" t="str">
            <v>MTP R1</v>
          </cell>
          <cell r="C1028" t="str">
            <v>Projected Profit/Loss on YTD Sales</v>
          </cell>
          <cell r="D1028" t="str">
            <v>May</v>
          </cell>
          <cell r="F1028">
            <v>-19589.61</v>
          </cell>
        </row>
        <row r="1029">
          <cell r="A1029" t="str">
            <v>Railways</v>
          </cell>
          <cell r="B1029" t="str">
            <v>MTP R1</v>
          </cell>
          <cell r="C1029" t="str">
            <v>Cash and Bank Balance</v>
          </cell>
          <cell r="D1029" t="str">
            <v>May</v>
          </cell>
          <cell r="F1029">
            <v>0</v>
          </cell>
        </row>
        <row r="1030">
          <cell r="A1030" t="str">
            <v>Railways</v>
          </cell>
          <cell r="B1030" t="str">
            <v>MTP R1</v>
          </cell>
          <cell r="C1030" t="str">
            <v>Creditors-Suppliers-net of advance</v>
          </cell>
          <cell r="D1030" t="str">
            <v>May</v>
          </cell>
          <cell r="F1030">
            <v>11</v>
          </cell>
        </row>
        <row r="1031">
          <cell r="A1031" t="str">
            <v>Railways</v>
          </cell>
          <cell r="B1031" t="str">
            <v>MTP R1</v>
          </cell>
          <cell r="C1031" t="str">
            <v>Sub-Contractors-net of advance</v>
          </cell>
          <cell r="D1031" t="str">
            <v>May</v>
          </cell>
          <cell r="F1031">
            <v>30</v>
          </cell>
        </row>
        <row r="1032">
          <cell r="A1032" t="str">
            <v>Railways</v>
          </cell>
          <cell r="B1032" t="str">
            <v>MTP R1</v>
          </cell>
          <cell r="C1032" t="str">
            <v>Own</v>
          </cell>
          <cell r="D1032" t="str">
            <v>May</v>
          </cell>
          <cell r="F1032">
            <v>0</v>
          </cell>
        </row>
        <row r="1033">
          <cell r="A1033" t="str">
            <v>Railways</v>
          </cell>
          <cell r="B1033" t="str">
            <v>MTP R1</v>
          </cell>
          <cell r="C1033" t="str">
            <v>Outstide</v>
          </cell>
          <cell r="D1033" t="str">
            <v>May</v>
          </cell>
          <cell r="F1033">
            <v>15</v>
          </cell>
        </row>
        <row r="1034">
          <cell r="A1034" t="str">
            <v>Railways</v>
          </cell>
          <cell r="B1034" t="str">
            <v>MTP R1</v>
          </cell>
          <cell r="C1034" t="str">
            <v>Salaries and Wages Payable</v>
          </cell>
          <cell r="D1034" t="str">
            <v>May</v>
          </cell>
          <cell r="F1034">
            <v>0</v>
          </cell>
        </row>
        <row r="1035">
          <cell r="A1035" t="str">
            <v>Railways</v>
          </cell>
          <cell r="B1035" t="str">
            <v>MTP R1</v>
          </cell>
          <cell r="C1035" t="str">
            <v>Mobilisation Adv Outstanding</v>
          </cell>
          <cell r="D1035" t="str">
            <v>May</v>
          </cell>
          <cell r="F1035">
            <v>49.5</v>
          </cell>
        </row>
        <row r="1036">
          <cell r="A1036" t="str">
            <v>Railways</v>
          </cell>
          <cell r="B1036" t="str">
            <v>MTP R1</v>
          </cell>
          <cell r="C1036" t="str">
            <v>Bank Loan outstanding</v>
          </cell>
          <cell r="D1036" t="str">
            <v>May</v>
          </cell>
          <cell r="F1036">
            <v>0</v>
          </cell>
        </row>
        <row r="1037">
          <cell r="A1037" t="str">
            <v>Railways</v>
          </cell>
          <cell r="B1037" t="str">
            <v>MTP R1</v>
          </cell>
          <cell r="C1037" t="str">
            <v>HO funding</v>
          </cell>
          <cell r="D1037" t="str">
            <v>May</v>
          </cell>
          <cell r="F1037">
            <v>0</v>
          </cell>
        </row>
        <row r="1038">
          <cell r="A1038" t="str">
            <v>Railways</v>
          </cell>
          <cell r="B1038" t="str">
            <v>MTP R1</v>
          </cell>
          <cell r="C1038" t="str">
            <v>Debtors</v>
          </cell>
          <cell r="D1038" t="str">
            <v>June</v>
          </cell>
          <cell r="F1038">
            <v>5.7302999999999997</v>
          </cell>
        </row>
        <row r="1039">
          <cell r="A1039" t="str">
            <v>Railways</v>
          </cell>
          <cell r="B1039" t="str">
            <v>MTP R1</v>
          </cell>
          <cell r="C1039" t="str">
            <v>Work In Progress (increase/decrease)</v>
          </cell>
          <cell r="D1039" t="str">
            <v>June</v>
          </cell>
          <cell r="F1039">
            <v>105</v>
          </cell>
        </row>
        <row r="1040">
          <cell r="A1040" t="str">
            <v>Railways</v>
          </cell>
          <cell r="B1040" t="str">
            <v>MTP R1</v>
          </cell>
          <cell r="C1040" t="str">
            <v>Stock of Raw Materials</v>
          </cell>
          <cell r="D1040" t="str">
            <v>June</v>
          </cell>
          <cell r="F1040">
            <v>15</v>
          </cell>
        </row>
        <row r="1041">
          <cell r="A1041" t="str">
            <v>Railways</v>
          </cell>
          <cell r="B1041" t="str">
            <v>MTP R1</v>
          </cell>
          <cell r="C1041" t="str">
            <v>Retention(incl TDS)</v>
          </cell>
          <cell r="D1041" t="str">
            <v>June</v>
          </cell>
          <cell r="F1041">
            <v>-67.112099999999998</v>
          </cell>
        </row>
        <row r="1042">
          <cell r="A1042" t="str">
            <v>Railways</v>
          </cell>
          <cell r="B1042" t="str">
            <v>MTP R1</v>
          </cell>
          <cell r="C1042" t="str">
            <v>Projected Profit/Loss on YTD Sales</v>
          </cell>
          <cell r="D1042" t="str">
            <v>June</v>
          </cell>
          <cell r="F1042">
            <v>-22719.24</v>
          </cell>
        </row>
        <row r="1043">
          <cell r="A1043" t="str">
            <v>Railways</v>
          </cell>
          <cell r="B1043" t="str">
            <v>MTP R1</v>
          </cell>
          <cell r="C1043" t="str">
            <v>Cash and Bank Balance</v>
          </cell>
          <cell r="D1043" t="str">
            <v>June</v>
          </cell>
          <cell r="F1043">
            <v>0</v>
          </cell>
        </row>
        <row r="1044">
          <cell r="A1044" t="str">
            <v>Railways</v>
          </cell>
          <cell r="B1044" t="str">
            <v>MTP R1</v>
          </cell>
          <cell r="C1044" t="str">
            <v>Creditors-Suppliers-net of advance</v>
          </cell>
          <cell r="D1044" t="str">
            <v>June</v>
          </cell>
          <cell r="F1044">
            <v>11</v>
          </cell>
        </row>
        <row r="1045">
          <cell r="A1045" t="str">
            <v>Railways</v>
          </cell>
          <cell r="B1045" t="str">
            <v>MTP R1</v>
          </cell>
          <cell r="C1045" t="str">
            <v>Sub-Contractors-net of advance</v>
          </cell>
          <cell r="D1045" t="str">
            <v>June</v>
          </cell>
          <cell r="F1045">
            <v>30</v>
          </cell>
        </row>
        <row r="1046">
          <cell r="A1046" t="str">
            <v>Railways</v>
          </cell>
          <cell r="B1046" t="str">
            <v>MTP R1</v>
          </cell>
          <cell r="C1046" t="str">
            <v>Own</v>
          </cell>
          <cell r="D1046" t="str">
            <v>June</v>
          </cell>
          <cell r="F1046">
            <v>0</v>
          </cell>
        </row>
        <row r="1047">
          <cell r="A1047" t="str">
            <v>Railways</v>
          </cell>
          <cell r="B1047" t="str">
            <v>MTP R1</v>
          </cell>
          <cell r="C1047" t="str">
            <v>Outstide</v>
          </cell>
          <cell r="D1047" t="str">
            <v>June</v>
          </cell>
          <cell r="F1047">
            <v>15</v>
          </cell>
        </row>
        <row r="1048">
          <cell r="A1048" t="str">
            <v>Railways</v>
          </cell>
          <cell r="B1048" t="str">
            <v>MTP R1</v>
          </cell>
          <cell r="C1048" t="str">
            <v>Salaries and Wages Payable</v>
          </cell>
          <cell r="D1048" t="str">
            <v>June</v>
          </cell>
          <cell r="F1048">
            <v>0</v>
          </cell>
        </row>
        <row r="1049">
          <cell r="A1049" t="str">
            <v>Railways</v>
          </cell>
          <cell r="B1049" t="str">
            <v>MTP R1</v>
          </cell>
          <cell r="C1049" t="str">
            <v>Mobilisation Adv Outstanding</v>
          </cell>
          <cell r="D1049" t="str">
            <v>June</v>
          </cell>
          <cell r="F1049">
            <v>57.75</v>
          </cell>
        </row>
        <row r="1050">
          <cell r="A1050" t="str">
            <v>Railways</v>
          </cell>
          <cell r="B1050" t="str">
            <v>MTP R1</v>
          </cell>
          <cell r="C1050" t="str">
            <v>Bank Loan outstanding</v>
          </cell>
          <cell r="D1050" t="str">
            <v>June</v>
          </cell>
          <cell r="F1050">
            <v>0</v>
          </cell>
        </row>
        <row r="1051">
          <cell r="A1051" t="str">
            <v>Railways</v>
          </cell>
          <cell r="B1051" t="str">
            <v>MTP R1</v>
          </cell>
          <cell r="C1051" t="str">
            <v>HO funding</v>
          </cell>
          <cell r="D1051" t="str">
            <v>June</v>
          </cell>
          <cell r="F1051">
            <v>0</v>
          </cell>
        </row>
        <row r="1052">
          <cell r="A1052" t="str">
            <v>Railways</v>
          </cell>
          <cell r="B1052" t="str">
            <v>MTP R1</v>
          </cell>
          <cell r="C1052" t="str">
            <v>Debtors</v>
          </cell>
          <cell r="D1052" t="str">
            <v>July</v>
          </cell>
          <cell r="F1052">
            <v>5.7302999999999997</v>
          </cell>
        </row>
        <row r="1053">
          <cell r="A1053" t="str">
            <v>Railways</v>
          </cell>
          <cell r="B1053" t="str">
            <v>MTP R1</v>
          </cell>
          <cell r="C1053" t="str">
            <v>Work In Progress (increase/decrease)</v>
          </cell>
          <cell r="D1053" t="str">
            <v>July</v>
          </cell>
          <cell r="F1053">
            <v>120</v>
          </cell>
        </row>
        <row r="1054">
          <cell r="A1054" t="str">
            <v>Railways</v>
          </cell>
          <cell r="B1054" t="str">
            <v>MTP R1</v>
          </cell>
          <cell r="C1054" t="str">
            <v>Stock of Raw Materials</v>
          </cell>
          <cell r="D1054" t="str">
            <v>July</v>
          </cell>
          <cell r="F1054">
            <v>15</v>
          </cell>
        </row>
        <row r="1055">
          <cell r="A1055" t="str">
            <v>Railways</v>
          </cell>
          <cell r="B1055" t="str">
            <v>MTP R1</v>
          </cell>
          <cell r="C1055" t="str">
            <v>Retention(incl TDS)</v>
          </cell>
          <cell r="D1055" t="str">
            <v>July</v>
          </cell>
          <cell r="F1055">
            <v>-78.842399999999998</v>
          </cell>
        </row>
        <row r="1056">
          <cell r="A1056" t="str">
            <v>Railways</v>
          </cell>
          <cell r="B1056" t="str">
            <v>MTP R1</v>
          </cell>
          <cell r="C1056" t="str">
            <v>Projected Profit/Loss on YTD Sales</v>
          </cell>
          <cell r="D1056" t="str">
            <v>July</v>
          </cell>
          <cell r="F1056">
            <v>-25850.420000000002</v>
          </cell>
        </row>
        <row r="1057">
          <cell r="A1057" t="str">
            <v>Railways</v>
          </cell>
          <cell r="B1057" t="str">
            <v>MTP R1</v>
          </cell>
          <cell r="C1057" t="str">
            <v>Cash and Bank Balance</v>
          </cell>
          <cell r="D1057" t="str">
            <v>July</v>
          </cell>
          <cell r="F1057">
            <v>0</v>
          </cell>
        </row>
        <row r="1058">
          <cell r="A1058" t="str">
            <v>Railways</v>
          </cell>
          <cell r="B1058" t="str">
            <v>MTP R1</v>
          </cell>
          <cell r="C1058" t="str">
            <v>Creditors-Suppliers-net of advance</v>
          </cell>
          <cell r="D1058" t="str">
            <v>July</v>
          </cell>
          <cell r="F1058">
            <v>11</v>
          </cell>
        </row>
        <row r="1059">
          <cell r="A1059" t="str">
            <v>Railways</v>
          </cell>
          <cell r="B1059" t="str">
            <v>MTP R1</v>
          </cell>
          <cell r="C1059" t="str">
            <v>Sub-Contractors-net of advance</v>
          </cell>
          <cell r="D1059" t="str">
            <v>July</v>
          </cell>
          <cell r="F1059">
            <v>30</v>
          </cell>
        </row>
        <row r="1060">
          <cell r="A1060" t="str">
            <v>Railways</v>
          </cell>
          <cell r="B1060" t="str">
            <v>MTP R1</v>
          </cell>
          <cell r="C1060" t="str">
            <v>Own</v>
          </cell>
          <cell r="D1060" t="str">
            <v>July</v>
          </cell>
          <cell r="F1060">
            <v>0</v>
          </cell>
        </row>
        <row r="1061">
          <cell r="A1061" t="str">
            <v>Railways</v>
          </cell>
          <cell r="B1061" t="str">
            <v>MTP R1</v>
          </cell>
          <cell r="C1061" t="str">
            <v>Outstide</v>
          </cell>
          <cell r="D1061" t="str">
            <v>July</v>
          </cell>
          <cell r="F1061">
            <v>15</v>
          </cell>
        </row>
        <row r="1062">
          <cell r="A1062" t="str">
            <v>Railways</v>
          </cell>
          <cell r="B1062" t="str">
            <v>MTP R1</v>
          </cell>
          <cell r="C1062" t="str">
            <v>Salaries and Wages Payable</v>
          </cell>
          <cell r="D1062" t="str">
            <v>July</v>
          </cell>
          <cell r="F1062">
            <v>0</v>
          </cell>
        </row>
        <row r="1063">
          <cell r="A1063" t="str">
            <v>Railways</v>
          </cell>
          <cell r="B1063" t="str">
            <v>MTP R1</v>
          </cell>
          <cell r="C1063" t="str">
            <v>Mobilisation Adv Outstanding</v>
          </cell>
          <cell r="D1063" t="str">
            <v>July</v>
          </cell>
          <cell r="F1063">
            <v>66</v>
          </cell>
        </row>
        <row r="1064">
          <cell r="A1064" t="str">
            <v>Railways</v>
          </cell>
          <cell r="B1064" t="str">
            <v>MTP R1</v>
          </cell>
          <cell r="C1064" t="str">
            <v>Bank Loan outstanding</v>
          </cell>
          <cell r="D1064" t="str">
            <v>July</v>
          </cell>
          <cell r="F1064">
            <v>0</v>
          </cell>
        </row>
        <row r="1065">
          <cell r="A1065" t="str">
            <v>Railways</v>
          </cell>
          <cell r="B1065" t="str">
            <v>MTP R1</v>
          </cell>
          <cell r="C1065" t="str">
            <v>HO funding</v>
          </cell>
          <cell r="D1065" t="str">
            <v>July</v>
          </cell>
          <cell r="F1065">
            <v>0</v>
          </cell>
        </row>
        <row r="1066">
          <cell r="A1066" t="str">
            <v>Railways</v>
          </cell>
          <cell r="B1066" t="str">
            <v>MTP R1</v>
          </cell>
          <cell r="C1066" t="str">
            <v>Debtors</v>
          </cell>
          <cell r="D1066" t="str">
            <v>Aug</v>
          </cell>
          <cell r="F1066">
            <v>5.7302999999999997</v>
          </cell>
        </row>
        <row r="1067">
          <cell r="A1067" t="str">
            <v>Railways</v>
          </cell>
          <cell r="B1067" t="str">
            <v>MTP R1</v>
          </cell>
          <cell r="C1067" t="str">
            <v>Work In Progress (increase/decrease)</v>
          </cell>
          <cell r="D1067" t="str">
            <v>Aug</v>
          </cell>
          <cell r="F1067">
            <v>135</v>
          </cell>
        </row>
        <row r="1068">
          <cell r="A1068" t="str">
            <v>Railways</v>
          </cell>
          <cell r="B1068" t="str">
            <v>MTP R1</v>
          </cell>
          <cell r="C1068" t="str">
            <v>Stock of Raw Materials</v>
          </cell>
          <cell r="D1068" t="str">
            <v>Aug</v>
          </cell>
          <cell r="F1068">
            <v>15</v>
          </cell>
        </row>
        <row r="1069">
          <cell r="A1069" t="str">
            <v>Railways</v>
          </cell>
          <cell r="B1069" t="str">
            <v>MTP R1</v>
          </cell>
          <cell r="C1069" t="str">
            <v>Retention(incl TDS)</v>
          </cell>
          <cell r="D1069" t="str">
            <v>Aug</v>
          </cell>
          <cell r="F1069">
            <v>-90.572699999999998</v>
          </cell>
        </row>
        <row r="1070">
          <cell r="A1070" t="str">
            <v>Railways</v>
          </cell>
          <cell r="B1070" t="str">
            <v>MTP R1</v>
          </cell>
          <cell r="C1070" t="str">
            <v>Projected Profit/Loss on YTD Sales</v>
          </cell>
          <cell r="D1070" t="str">
            <v>Aug</v>
          </cell>
          <cell r="F1070">
            <v>-28983.15</v>
          </cell>
        </row>
        <row r="1071">
          <cell r="A1071" t="str">
            <v>Railways</v>
          </cell>
          <cell r="B1071" t="str">
            <v>MTP R1</v>
          </cell>
          <cell r="C1071" t="str">
            <v>Cash and Bank Balance</v>
          </cell>
          <cell r="D1071" t="str">
            <v>Aug</v>
          </cell>
          <cell r="F1071">
            <v>0</v>
          </cell>
        </row>
        <row r="1072">
          <cell r="A1072" t="str">
            <v>Railways</v>
          </cell>
          <cell r="B1072" t="str">
            <v>MTP R1</v>
          </cell>
          <cell r="C1072" t="str">
            <v>Creditors-Suppliers-net of advance</v>
          </cell>
          <cell r="D1072" t="str">
            <v>Aug</v>
          </cell>
          <cell r="F1072">
            <v>11</v>
          </cell>
        </row>
        <row r="1073">
          <cell r="A1073" t="str">
            <v>Railways</v>
          </cell>
          <cell r="B1073" t="str">
            <v>MTP R1</v>
          </cell>
          <cell r="C1073" t="str">
            <v>Sub-Contractors-net of advance</v>
          </cell>
          <cell r="D1073" t="str">
            <v>Aug</v>
          </cell>
          <cell r="F1073">
            <v>30</v>
          </cell>
        </row>
        <row r="1074">
          <cell r="A1074" t="str">
            <v>Railways</v>
          </cell>
          <cell r="B1074" t="str">
            <v>MTP R1</v>
          </cell>
          <cell r="C1074" t="str">
            <v>Own</v>
          </cell>
          <cell r="D1074" t="str">
            <v>Aug</v>
          </cell>
          <cell r="F1074">
            <v>0</v>
          </cell>
        </row>
        <row r="1075">
          <cell r="A1075" t="str">
            <v>Railways</v>
          </cell>
          <cell r="B1075" t="str">
            <v>MTP R1</v>
          </cell>
          <cell r="C1075" t="str">
            <v>Outstide</v>
          </cell>
          <cell r="D1075" t="str">
            <v>Aug</v>
          </cell>
          <cell r="F1075">
            <v>15</v>
          </cell>
        </row>
        <row r="1076">
          <cell r="A1076" t="str">
            <v>Railways</v>
          </cell>
          <cell r="B1076" t="str">
            <v>MTP R1</v>
          </cell>
          <cell r="C1076" t="str">
            <v>Salaries and Wages Payable</v>
          </cell>
          <cell r="D1076" t="str">
            <v>Aug</v>
          </cell>
          <cell r="F1076">
            <v>0</v>
          </cell>
        </row>
        <row r="1077">
          <cell r="A1077" t="str">
            <v>Railways</v>
          </cell>
          <cell r="B1077" t="str">
            <v>MTP R1</v>
          </cell>
          <cell r="C1077" t="str">
            <v>Mobilisation Adv Outstanding</v>
          </cell>
          <cell r="D1077" t="str">
            <v>Aug</v>
          </cell>
          <cell r="F1077">
            <v>74.25</v>
          </cell>
        </row>
        <row r="1078">
          <cell r="A1078" t="str">
            <v>Railways</v>
          </cell>
          <cell r="B1078" t="str">
            <v>MTP R1</v>
          </cell>
          <cell r="C1078" t="str">
            <v>Bank Loan outstanding</v>
          </cell>
          <cell r="D1078" t="str">
            <v>Aug</v>
          </cell>
          <cell r="F1078">
            <v>0</v>
          </cell>
        </row>
        <row r="1079">
          <cell r="A1079" t="str">
            <v>Railways</v>
          </cell>
          <cell r="B1079" t="str">
            <v>MTP R1</v>
          </cell>
          <cell r="C1079" t="str">
            <v>HO funding</v>
          </cell>
          <cell r="D1079" t="str">
            <v>Aug</v>
          </cell>
          <cell r="F1079">
            <v>0</v>
          </cell>
        </row>
        <row r="1080">
          <cell r="A1080" t="str">
            <v>Railways</v>
          </cell>
          <cell r="B1080" t="str">
            <v>MTP R1</v>
          </cell>
          <cell r="C1080" t="str">
            <v>Debtors</v>
          </cell>
          <cell r="D1080" t="str">
            <v>Sep</v>
          </cell>
          <cell r="F1080">
            <v>5.7302999999999997</v>
          </cell>
        </row>
        <row r="1081">
          <cell r="A1081" t="str">
            <v>Railways</v>
          </cell>
          <cell r="B1081" t="str">
            <v>MTP R1</v>
          </cell>
          <cell r="C1081" t="str">
            <v>Work In Progress (increase/decrease)</v>
          </cell>
          <cell r="D1081" t="str">
            <v>Sep</v>
          </cell>
          <cell r="F1081">
            <v>150</v>
          </cell>
        </row>
        <row r="1082">
          <cell r="A1082" t="str">
            <v>Railways</v>
          </cell>
          <cell r="B1082" t="str">
            <v>MTP R1</v>
          </cell>
          <cell r="C1082" t="str">
            <v>Stock of Raw Materials</v>
          </cell>
          <cell r="D1082" t="str">
            <v>Sep</v>
          </cell>
          <cell r="F1082">
            <v>15</v>
          </cell>
        </row>
        <row r="1083">
          <cell r="A1083" t="str">
            <v>Railways</v>
          </cell>
          <cell r="B1083" t="str">
            <v>MTP R1</v>
          </cell>
          <cell r="C1083" t="str">
            <v>Retention(incl TDS)</v>
          </cell>
          <cell r="D1083" t="str">
            <v>Sep</v>
          </cell>
          <cell r="F1083">
            <v>-102.303</v>
          </cell>
        </row>
        <row r="1084">
          <cell r="A1084" t="str">
            <v>Railways</v>
          </cell>
          <cell r="B1084" t="str">
            <v>MTP R1</v>
          </cell>
          <cell r="C1084" t="str">
            <v>Projected Profit/Loss on YTD Sales</v>
          </cell>
          <cell r="D1084" t="str">
            <v>Sep</v>
          </cell>
          <cell r="F1084">
            <v>-32117.43</v>
          </cell>
        </row>
        <row r="1085">
          <cell r="A1085" t="str">
            <v>Railways</v>
          </cell>
          <cell r="B1085" t="str">
            <v>MTP R1</v>
          </cell>
          <cell r="C1085" t="str">
            <v>Cash and Bank Balance</v>
          </cell>
          <cell r="D1085" t="str">
            <v>Sep</v>
          </cell>
          <cell r="F1085">
            <v>0</v>
          </cell>
        </row>
        <row r="1086">
          <cell r="A1086" t="str">
            <v>Railways</v>
          </cell>
          <cell r="B1086" t="str">
            <v>MTP R1</v>
          </cell>
          <cell r="C1086" t="str">
            <v>Creditors-Suppliers-net of advance</v>
          </cell>
          <cell r="D1086" t="str">
            <v>Sep</v>
          </cell>
          <cell r="F1086">
            <v>11</v>
          </cell>
        </row>
        <row r="1087">
          <cell r="A1087" t="str">
            <v>Railways</v>
          </cell>
          <cell r="B1087" t="str">
            <v>MTP R1</v>
          </cell>
          <cell r="C1087" t="str">
            <v>Sub-Contractors-net of advance</v>
          </cell>
          <cell r="D1087" t="str">
            <v>Sep</v>
          </cell>
          <cell r="F1087">
            <v>30</v>
          </cell>
        </row>
        <row r="1088">
          <cell r="A1088" t="str">
            <v>Railways</v>
          </cell>
          <cell r="B1088" t="str">
            <v>MTP R1</v>
          </cell>
          <cell r="C1088" t="str">
            <v>Own</v>
          </cell>
          <cell r="D1088" t="str">
            <v>Sep</v>
          </cell>
          <cell r="F1088">
            <v>0</v>
          </cell>
        </row>
        <row r="1089">
          <cell r="A1089" t="str">
            <v>Railways</v>
          </cell>
          <cell r="B1089" t="str">
            <v>MTP R1</v>
          </cell>
          <cell r="C1089" t="str">
            <v>Outstide</v>
          </cell>
          <cell r="D1089" t="str">
            <v>Sep</v>
          </cell>
          <cell r="F1089">
            <v>15</v>
          </cell>
        </row>
        <row r="1090">
          <cell r="A1090" t="str">
            <v>Railways</v>
          </cell>
          <cell r="B1090" t="str">
            <v>MTP R1</v>
          </cell>
          <cell r="C1090" t="str">
            <v>Salaries and Wages Payable</v>
          </cell>
          <cell r="D1090" t="str">
            <v>Sep</v>
          </cell>
          <cell r="F1090">
            <v>0</v>
          </cell>
        </row>
        <row r="1091">
          <cell r="A1091" t="str">
            <v>Railways</v>
          </cell>
          <cell r="B1091" t="str">
            <v>MTP R1</v>
          </cell>
          <cell r="C1091" t="str">
            <v>Mobilisation Adv Outstanding</v>
          </cell>
          <cell r="D1091" t="str">
            <v>Sep</v>
          </cell>
          <cell r="F1091">
            <v>82.5</v>
          </cell>
        </row>
        <row r="1092">
          <cell r="A1092" t="str">
            <v>Railways</v>
          </cell>
          <cell r="B1092" t="str">
            <v>MTP R1</v>
          </cell>
          <cell r="C1092" t="str">
            <v>Bank Loan outstanding</v>
          </cell>
          <cell r="D1092" t="str">
            <v>Sep</v>
          </cell>
          <cell r="F1092">
            <v>0</v>
          </cell>
        </row>
        <row r="1093">
          <cell r="A1093" t="str">
            <v>Railways</v>
          </cell>
          <cell r="B1093" t="str">
            <v>MTP R1</v>
          </cell>
          <cell r="C1093" t="str">
            <v>HO funding</v>
          </cell>
          <cell r="D1093" t="str">
            <v>Sep</v>
          </cell>
          <cell r="F1093">
            <v>0</v>
          </cell>
        </row>
        <row r="1094">
          <cell r="A1094" t="str">
            <v>Railways</v>
          </cell>
          <cell r="B1094" t="str">
            <v>MTP R1</v>
          </cell>
          <cell r="C1094" t="str">
            <v>Debtors</v>
          </cell>
          <cell r="D1094" t="str">
            <v>Oct</v>
          </cell>
          <cell r="F1094">
            <v>5.7302999999999997</v>
          </cell>
        </row>
        <row r="1095">
          <cell r="A1095" t="str">
            <v>Railways</v>
          </cell>
          <cell r="B1095" t="str">
            <v>MTP R1</v>
          </cell>
          <cell r="C1095" t="str">
            <v>Work In Progress (increase/decrease)</v>
          </cell>
          <cell r="D1095" t="str">
            <v>Oct</v>
          </cell>
          <cell r="F1095">
            <v>165</v>
          </cell>
        </row>
        <row r="1096">
          <cell r="A1096" t="str">
            <v>Railways</v>
          </cell>
          <cell r="B1096" t="str">
            <v>MTP R1</v>
          </cell>
          <cell r="C1096" t="str">
            <v>Stock of Raw Materials</v>
          </cell>
          <cell r="D1096" t="str">
            <v>Oct</v>
          </cell>
          <cell r="F1096">
            <v>15</v>
          </cell>
        </row>
        <row r="1097">
          <cell r="A1097" t="str">
            <v>Railways</v>
          </cell>
          <cell r="B1097" t="str">
            <v>MTP R1</v>
          </cell>
          <cell r="C1097" t="str">
            <v>Retention(incl TDS)</v>
          </cell>
          <cell r="D1097" t="str">
            <v>Oct</v>
          </cell>
          <cell r="F1097">
            <v>-114.0333</v>
          </cell>
        </row>
        <row r="1098">
          <cell r="A1098" t="str">
            <v>Railways</v>
          </cell>
          <cell r="B1098" t="str">
            <v>MTP R1</v>
          </cell>
          <cell r="C1098" t="str">
            <v>Projected Profit/Loss on YTD Sales</v>
          </cell>
          <cell r="D1098" t="str">
            <v>Oct</v>
          </cell>
          <cell r="F1098">
            <v>-35253.26</v>
          </cell>
        </row>
        <row r="1099">
          <cell r="A1099" t="str">
            <v>Railways</v>
          </cell>
          <cell r="B1099" t="str">
            <v>MTP R1</v>
          </cell>
          <cell r="C1099" t="str">
            <v>Cash and Bank Balance</v>
          </cell>
          <cell r="D1099" t="str">
            <v>Oct</v>
          </cell>
          <cell r="F1099">
            <v>0</v>
          </cell>
        </row>
        <row r="1100">
          <cell r="A1100" t="str">
            <v>Railways</v>
          </cell>
          <cell r="B1100" t="str">
            <v>MTP R1</v>
          </cell>
          <cell r="C1100" t="str">
            <v>Creditors-Suppliers-net of advance</v>
          </cell>
          <cell r="D1100" t="str">
            <v>Oct</v>
          </cell>
          <cell r="F1100">
            <v>11</v>
          </cell>
        </row>
        <row r="1101">
          <cell r="A1101" t="str">
            <v>Railways</v>
          </cell>
          <cell r="B1101" t="str">
            <v>MTP R1</v>
          </cell>
          <cell r="C1101" t="str">
            <v>Sub-Contractors-net of advance</v>
          </cell>
          <cell r="D1101" t="str">
            <v>Oct</v>
          </cell>
          <cell r="F1101">
            <v>30</v>
          </cell>
        </row>
        <row r="1102">
          <cell r="A1102" t="str">
            <v>Railways</v>
          </cell>
          <cell r="B1102" t="str">
            <v>MTP R1</v>
          </cell>
          <cell r="C1102" t="str">
            <v>Own</v>
          </cell>
          <cell r="D1102" t="str">
            <v>Oct</v>
          </cell>
          <cell r="F1102">
            <v>0</v>
          </cell>
        </row>
        <row r="1103">
          <cell r="A1103" t="str">
            <v>Railways</v>
          </cell>
          <cell r="B1103" t="str">
            <v>MTP R1</v>
          </cell>
          <cell r="C1103" t="str">
            <v>Outstide</v>
          </cell>
          <cell r="D1103" t="str">
            <v>Oct</v>
          </cell>
          <cell r="F1103">
            <v>15</v>
          </cell>
        </row>
        <row r="1104">
          <cell r="A1104" t="str">
            <v>Railways</v>
          </cell>
          <cell r="B1104" t="str">
            <v>MTP R1</v>
          </cell>
          <cell r="C1104" t="str">
            <v>Salaries and Wages Payable</v>
          </cell>
          <cell r="D1104" t="str">
            <v>Oct</v>
          </cell>
          <cell r="F1104">
            <v>0</v>
          </cell>
        </row>
        <row r="1105">
          <cell r="A1105" t="str">
            <v>Railways</v>
          </cell>
          <cell r="B1105" t="str">
            <v>MTP R1</v>
          </cell>
          <cell r="C1105" t="str">
            <v>Mobilisation Adv Outstanding</v>
          </cell>
          <cell r="D1105" t="str">
            <v>Oct</v>
          </cell>
          <cell r="F1105">
            <v>90.75</v>
          </cell>
        </row>
        <row r="1106">
          <cell r="A1106" t="str">
            <v>Railways</v>
          </cell>
          <cell r="B1106" t="str">
            <v>MTP R1</v>
          </cell>
          <cell r="C1106" t="str">
            <v>Bank Loan outstanding</v>
          </cell>
          <cell r="D1106" t="str">
            <v>Oct</v>
          </cell>
          <cell r="F1106">
            <v>0</v>
          </cell>
        </row>
        <row r="1107">
          <cell r="A1107" t="str">
            <v>Railways</v>
          </cell>
          <cell r="B1107" t="str">
            <v>MTP R1</v>
          </cell>
          <cell r="C1107" t="str">
            <v>HO funding</v>
          </cell>
          <cell r="D1107" t="str">
            <v>Oct</v>
          </cell>
          <cell r="F1107">
            <v>0</v>
          </cell>
        </row>
        <row r="1108">
          <cell r="A1108" t="str">
            <v>Railways</v>
          </cell>
          <cell r="B1108" t="str">
            <v>MTP R1</v>
          </cell>
          <cell r="C1108" t="str">
            <v>Debtors</v>
          </cell>
          <cell r="D1108" t="str">
            <v>Nov</v>
          </cell>
          <cell r="F1108">
            <v>5.7302999999999997</v>
          </cell>
        </row>
        <row r="1109">
          <cell r="A1109" t="str">
            <v>Railways</v>
          </cell>
          <cell r="B1109" t="str">
            <v>MTP R1</v>
          </cell>
          <cell r="C1109" t="str">
            <v>Work In Progress (increase/decrease)</v>
          </cell>
          <cell r="D1109" t="str">
            <v>Nov</v>
          </cell>
          <cell r="F1109">
            <v>180</v>
          </cell>
        </row>
        <row r="1110">
          <cell r="A1110" t="str">
            <v>Railways</v>
          </cell>
          <cell r="B1110" t="str">
            <v>MTP R1</v>
          </cell>
          <cell r="C1110" t="str">
            <v>Stock of Raw Materials</v>
          </cell>
          <cell r="D1110" t="str">
            <v>Nov</v>
          </cell>
          <cell r="F1110">
            <v>15</v>
          </cell>
        </row>
        <row r="1111">
          <cell r="A1111" t="str">
            <v>Railways</v>
          </cell>
          <cell r="B1111" t="str">
            <v>MTP R1</v>
          </cell>
          <cell r="C1111" t="str">
            <v>Retention(incl TDS)</v>
          </cell>
          <cell r="D1111" t="str">
            <v>Nov</v>
          </cell>
          <cell r="F1111">
            <v>-125.7636</v>
          </cell>
        </row>
        <row r="1112">
          <cell r="A1112" t="str">
            <v>Railways</v>
          </cell>
          <cell r="B1112" t="str">
            <v>MTP R1</v>
          </cell>
          <cell r="C1112" t="str">
            <v>Projected Profit/Loss on YTD Sales</v>
          </cell>
          <cell r="D1112" t="str">
            <v>Nov</v>
          </cell>
          <cell r="F1112">
            <v>-38390.630000000005</v>
          </cell>
        </row>
        <row r="1113">
          <cell r="A1113" t="str">
            <v>Railways</v>
          </cell>
          <cell r="B1113" t="str">
            <v>MTP R1</v>
          </cell>
          <cell r="C1113" t="str">
            <v>Cash and Bank Balance</v>
          </cell>
          <cell r="D1113" t="str">
            <v>Nov</v>
          </cell>
          <cell r="F1113">
            <v>0</v>
          </cell>
        </row>
        <row r="1114">
          <cell r="A1114" t="str">
            <v>Railways</v>
          </cell>
          <cell r="B1114" t="str">
            <v>MTP R1</v>
          </cell>
          <cell r="C1114" t="str">
            <v>Creditors-Suppliers-net of advance</v>
          </cell>
          <cell r="D1114" t="str">
            <v>Nov</v>
          </cell>
          <cell r="F1114">
            <v>11</v>
          </cell>
        </row>
        <row r="1115">
          <cell r="A1115" t="str">
            <v>Railways</v>
          </cell>
          <cell r="B1115" t="str">
            <v>MTP R1</v>
          </cell>
          <cell r="C1115" t="str">
            <v>Sub-Contractors-net of advance</v>
          </cell>
          <cell r="D1115" t="str">
            <v>Nov</v>
          </cell>
          <cell r="F1115">
            <v>30</v>
          </cell>
        </row>
        <row r="1116">
          <cell r="A1116" t="str">
            <v>Railways</v>
          </cell>
          <cell r="B1116" t="str">
            <v>MTP R1</v>
          </cell>
          <cell r="C1116" t="str">
            <v>Own</v>
          </cell>
          <cell r="D1116" t="str">
            <v>Nov</v>
          </cell>
          <cell r="F1116">
            <v>0</v>
          </cell>
        </row>
        <row r="1117">
          <cell r="A1117" t="str">
            <v>Railways</v>
          </cell>
          <cell r="B1117" t="str">
            <v>MTP R1</v>
          </cell>
          <cell r="C1117" t="str">
            <v>Outstide</v>
          </cell>
          <cell r="D1117" t="str">
            <v>Nov</v>
          </cell>
          <cell r="F1117">
            <v>15</v>
          </cell>
        </row>
        <row r="1118">
          <cell r="A1118" t="str">
            <v>Railways</v>
          </cell>
          <cell r="B1118" t="str">
            <v>MTP R1</v>
          </cell>
          <cell r="C1118" t="str">
            <v>Salaries and Wages Payable</v>
          </cell>
          <cell r="D1118" t="str">
            <v>Nov</v>
          </cell>
          <cell r="F1118">
            <v>0</v>
          </cell>
        </row>
        <row r="1119">
          <cell r="A1119" t="str">
            <v>Railways</v>
          </cell>
          <cell r="B1119" t="str">
            <v>MTP R1</v>
          </cell>
          <cell r="C1119" t="str">
            <v>Mobilisation Adv Outstanding</v>
          </cell>
          <cell r="D1119" t="str">
            <v>Nov</v>
          </cell>
          <cell r="F1119">
            <v>99</v>
          </cell>
        </row>
        <row r="1120">
          <cell r="A1120" t="str">
            <v>Railways</v>
          </cell>
          <cell r="B1120" t="str">
            <v>MTP R1</v>
          </cell>
          <cell r="C1120" t="str">
            <v>Bank Loan outstanding</v>
          </cell>
          <cell r="D1120" t="str">
            <v>Nov</v>
          </cell>
          <cell r="F1120">
            <v>0</v>
          </cell>
        </row>
        <row r="1121">
          <cell r="A1121" t="str">
            <v>Railways</v>
          </cell>
          <cell r="B1121" t="str">
            <v>MTP R1</v>
          </cell>
          <cell r="C1121" t="str">
            <v>HO funding</v>
          </cell>
          <cell r="D1121" t="str">
            <v>Nov</v>
          </cell>
          <cell r="F1121">
            <v>0</v>
          </cell>
        </row>
        <row r="1122">
          <cell r="A1122" t="str">
            <v>Railways</v>
          </cell>
          <cell r="B1122" t="str">
            <v>MTP R1</v>
          </cell>
          <cell r="C1122" t="str">
            <v>Debtors</v>
          </cell>
          <cell r="D1122" t="str">
            <v>Dec</v>
          </cell>
          <cell r="F1122">
            <v>5.7302999999999997</v>
          </cell>
        </row>
        <row r="1123">
          <cell r="A1123" t="str">
            <v>Railways</v>
          </cell>
          <cell r="B1123" t="str">
            <v>MTP R1</v>
          </cell>
          <cell r="C1123" t="str">
            <v>Work In Progress (increase/decrease)</v>
          </cell>
          <cell r="D1123" t="str">
            <v>Dec</v>
          </cell>
          <cell r="F1123">
            <v>195</v>
          </cell>
        </row>
        <row r="1124">
          <cell r="A1124" t="str">
            <v>Railways</v>
          </cell>
          <cell r="B1124" t="str">
            <v>MTP R1</v>
          </cell>
          <cell r="C1124" t="str">
            <v>Stock of Raw Materials</v>
          </cell>
          <cell r="D1124" t="str">
            <v>Dec</v>
          </cell>
          <cell r="F1124">
            <v>15</v>
          </cell>
        </row>
        <row r="1125">
          <cell r="A1125" t="str">
            <v>Railways</v>
          </cell>
          <cell r="B1125" t="str">
            <v>MTP R1</v>
          </cell>
          <cell r="C1125" t="str">
            <v>Retention(incl TDS)</v>
          </cell>
          <cell r="D1125" t="str">
            <v>Dec</v>
          </cell>
          <cell r="F1125">
            <v>-137.4939</v>
          </cell>
        </row>
        <row r="1126">
          <cell r="A1126" t="str">
            <v>Railways</v>
          </cell>
          <cell r="B1126" t="str">
            <v>MTP R1</v>
          </cell>
          <cell r="C1126" t="str">
            <v>Projected Profit/Loss on YTD Sales</v>
          </cell>
          <cell r="D1126" t="str">
            <v>Dec</v>
          </cell>
          <cell r="F1126">
            <v>-41529.560000000005</v>
          </cell>
        </row>
        <row r="1127">
          <cell r="A1127" t="str">
            <v>Railways</v>
          </cell>
          <cell r="B1127" t="str">
            <v>MTP R1</v>
          </cell>
          <cell r="C1127" t="str">
            <v>Cash and Bank Balance</v>
          </cell>
          <cell r="D1127" t="str">
            <v>Dec</v>
          </cell>
          <cell r="F1127">
            <v>0</v>
          </cell>
        </row>
        <row r="1128">
          <cell r="A1128" t="str">
            <v>Railways</v>
          </cell>
          <cell r="B1128" t="str">
            <v>MTP R1</v>
          </cell>
          <cell r="C1128" t="str">
            <v>Creditors-Suppliers-net of advance</v>
          </cell>
          <cell r="D1128" t="str">
            <v>Dec</v>
          </cell>
          <cell r="F1128">
            <v>11</v>
          </cell>
        </row>
        <row r="1129">
          <cell r="A1129" t="str">
            <v>Railways</v>
          </cell>
          <cell r="B1129" t="str">
            <v>MTP R1</v>
          </cell>
          <cell r="C1129" t="str">
            <v>Sub-Contractors-net of advance</v>
          </cell>
          <cell r="D1129" t="str">
            <v>Dec</v>
          </cell>
          <cell r="F1129">
            <v>30</v>
          </cell>
        </row>
        <row r="1130">
          <cell r="A1130" t="str">
            <v>Railways</v>
          </cell>
          <cell r="B1130" t="str">
            <v>MTP R1</v>
          </cell>
          <cell r="C1130" t="str">
            <v>Own</v>
          </cell>
          <cell r="D1130" t="str">
            <v>Dec</v>
          </cell>
          <cell r="F1130">
            <v>0</v>
          </cell>
        </row>
        <row r="1131">
          <cell r="A1131" t="str">
            <v>Railways</v>
          </cell>
          <cell r="B1131" t="str">
            <v>MTP R1</v>
          </cell>
          <cell r="C1131" t="str">
            <v>Outstide</v>
          </cell>
          <cell r="D1131" t="str">
            <v>Dec</v>
          </cell>
          <cell r="F1131">
            <v>15</v>
          </cell>
        </row>
        <row r="1132">
          <cell r="A1132" t="str">
            <v>Railways</v>
          </cell>
          <cell r="B1132" t="str">
            <v>MTP R1</v>
          </cell>
          <cell r="C1132" t="str">
            <v>Salaries and Wages Payable</v>
          </cell>
          <cell r="D1132" t="str">
            <v>Dec</v>
          </cell>
          <cell r="F1132">
            <v>0</v>
          </cell>
        </row>
        <row r="1133">
          <cell r="A1133" t="str">
            <v>Railways</v>
          </cell>
          <cell r="B1133" t="str">
            <v>MTP R1</v>
          </cell>
          <cell r="C1133" t="str">
            <v>Mobilisation Adv Outstanding</v>
          </cell>
          <cell r="D1133" t="str">
            <v>Dec</v>
          </cell>
          <cell r="F1133">
            <v>107.25</v>
          </cell>
        </row>
        <row r="1134">
          <cell r="A1134" t="str">
            <v>Railways</v>
          </cell>
          <cell r="B1134" t="str">
            <v>MTP R1</v>
          </cell>
          <cell r="C1134" t="str">
            <v>Bank Loan outstanding</v>
          </cell>
          <cell r="D1134" t="str">
            <v>Dec</v>
          </cell>
          <cell r="F1134">
            <v>0</v>
          </cell>
        </row>
        <row r="1135">
          <cell r="A1135" t="str">
            <v>Railways</v>
          </cell>
          <cell r="B1135" t="str">
            <v>MTP R1</v>
          </cell>
          <cell r="C1135" t="str">
            <v>HO funding</v>
          </cell>
          <cell r="D1135" t="str">
            <v>Dec</v>
          </cell>
          <cell r="F1135">
            <v>0</v>
          </cell>
        </row>
        <row r="1136">
          <cell r="A1136" t="str">
            <v>Railways</v>
          </cell>
          <cell r="B1136" t="str">
            <v>MTP R1</v>
          </cell>
          <cell r="C1136" t="str">
            <v>Debtors</v>
          </cell>
          <cell r="D1136" t="str">
            <v>Jan</v>
          </cell>
          <cell r="F1136">
            <v>5.7302999999999997</v>
          </cell>
        </row>
        <row r="1137">
          <cell r="A1137" t="str">
            <v>Railways</v>
          </cell>
          <cell r="B1137" t="str">
            <v>MTP R1</v>
          </cell>
          <cell r="C1137" t="str">
            <v>Work In Progress (increase/decrease)</v>
          </cell>
          <cell r="D1137" t="str">
            <v>Jan</v>
          </cell>
          <cell r="F1137">
            <v>210</v>
          </cell>
        </row>
        <row r="1138">
          <cell r="A1138" t="str">
            <v>Railways</v>
          </cell>
          <cell r="B1138" t="str">
            <v>MTP R1</v>
          </cell>
          <cell r="C1138" t="str">
            <v>Stock of Raw Materials</v>
          </cell>
          <cell r="D1138" t="str">
            <v>Jan</v>
          </cell>
          <cell r="F1138">
            <v>15</v>
          </cell>
        </row>
        <row r="1139">
          <cell r="A1139" t="str">
            <v>Railways</v>
          </cell>
          <cell r="B1139" t="str">
            <v>MTP R1</v>
          </cell>
          <cell r="C1139" t="str">
            <v>Retention(incl TDS)</v>
          </cell>
          <cell r="D1139" t="str">
            <v>Jan</v>
          </cell>
          <cell r="F1139">
            <v>-149.2242</v>
          </cell>
        </row>
        <row r="1140">
          <cell r="A1140" t="str">
            <v>Railways</v>
          </cell>
          <cell r="B1140" t="str">
            <v>MTP R1</v>
          </cell>
          <cell r="C1140" t="str">
            <v>Projected Profit/Loss on YTD Sales</v>
          </cell>
          <cell r="D1140" t="str">
            <v>Jan</v>
          </cell>
          <cell r="F1140">
            <v>-44670.040000000008</v>
          </cell>
        </row>
        <row r="1141">
          <cell r="A1141" t="str">
            <v>Railways</v>
          </cell>
          <cell r="B1141" t="str">
            <v>MTP R1</v>
          </cell>
          <cell r="C1141" t="str">
            <v>Cash and Bank Balance</v>
          </cell>
          <cell r="D1141" t="str">
            <v>Jan</v>
          </cell>
          <cell r="F1141">
            <v>0</v>
          </cell>
        </row>
        <row r="1142">
          <cell r="A1142" t="str">
            <v>Railways</v>
          </cell>
          <cell r="B1142" t="str">
            <v>MTP R1</v>
          </cell>
          <cell r="C1142" t="str">
            <v>Creditors-Suppliers-net of advance</v>
          </cell>
          <cell r="D1142" t="str">
            <v>Jan</v>
          </cell>
          <cell r="F1142">
            <v>11</v>
          </cell>
        </row>
        <row r="1143">
          <cell r="A1143" t="str">
            <v>Railways</v>
          </cell>
          <cell r="B1143" t="str">
            <v>MTP R1</v>
          </cell>
          <cell r="C1143" t="str">
            <v>Sub-Contractors-net of advance</v>
          </cell>
          <cell r="D1143" t="str">
            <v>Jan</v>
          </cell>
          <cell r="F1143">
            <v>30</v>
          </cell>
        </row>
        <row r="1144">
          <cell r="A1144" t="str">
            <v>Railways</v>
          </cell>
          <cell r="B1144" t="str">
            <v>MTP R1</v>
          </cell>
          <cell r="C1144" t="str">
            <v>Own</v>
          </cell>
          <cell r="D1144" t="str">
            <v>Jan</v>
          </cell>
          <cell r="F1144">
            <v>0</v>
          </cell>
        </row>
        <row r="1145">
          <cell r="A1145" t="str">
            <v>Railways</v>
          </cell>
          <cell r="B1145" t="str">
            <v>MTP R1</v>
          </cell>
          <cell r="C1145" t="str">
            <v>Outstide</v>
          </cell>
          <cell r="D1145" t="str">
            <v>Jan</v>
          </cell>
          <cell r="F1145">
            <v>15</v>
          </cell>
        </row>
        <row r="1146">
          <cell r="A1146" t="str">
            <v>Railways</v>
          </cell>
          <cell r="B1146" t="str">
            <v>MTP R1</v>
          </cell>
          <cell r="C1146" t="str">
            <v>Salaries and Wages Payable</v>
          </cell>
          <cell r="D1146" t="str">
            <v>Jan</v>
          </cell>
          <cell r="F1146">
            <v>0</v>
          </cell>
        </row>
        <row r="1147">
          <cell r="A1147" t="str">
            <v>Railways</v>
          </cell>
          <cell r="B1147" t="str">
            <v>MTP R1</v>
          </cell>
          <cell r="C1147" t="str">
            <v>Mobilisation Adv Outstanding</v>
          </cell>
          <cell r="D1147" t="str">
            <v>Jan</v>
          </cell>
          <cell r="F1147">
            <v>115.5</v>
          </cell>
        </row>
        <row r="1148">
          <cell r="A1148" t="str">
            <v>Railways</v>
          </cell>
          <cell r="B1148" t="str">
            <v>MTP R1</v>
          </cell>
          <cell r="C1148" t="str">
            <v>Bank Loan outstanding</v>
          </cell>
          <cell r="D1148" t="str">
            <v>Jan</v>
          </cell>
          <cell r="F1148">
            <v>0</v>
          </cell>
        </row>
        <row r="1149">
          <cell r="A1149" t="str">
            <v>Railways</v>
          </cell>
          <cell r="B1149" t="str">
            <v>MTP R1</v>
          </cell>
          <cell r="C1149" t="str">
            <v>HO funding</v>
          </cell>
          <cell r="D1149" t="str">
            <v>Jan</v>
          </cell>
          <cell r="F1149">
            <v>0</v>
          </cell>
        </row>
        <row r="1150">
          <cell r="A1150" t="str">
            <v>Railways</v>
          </cell>
          <cell r="B1150" t="str">
            <v>MTP R1</v>
          </cell>
          <cell r="C1150" t="str">
            <v>Debtors</v>
          </cell>
          <cell r="D1150" t="str">
            <v>Feb</v>
          </cell>
          <cell r="F1150">
            <v>5.7302999999999997</v>
          </cell>
        </row>
        <row r="1151">
          <cell r="A1151" t="str">
            <v>Railways</v>
          </cell>
          <cell r="B1151" t="str">
            <v>MTP R1</v>
          </cell>
          <cell r="C1151" t="str">
            <v>Work In Progress (increase/decrease)</v>
          </cell>
          <cell r="D1151" t="str">
            <v>Feb</v>
          </cell>
          <cell r="F1151">
            <v>225</v>
          </cell>
        </row>
        <row r="1152">
          <cell r="A1152" t="str">
            <v>Railways</v>
          </cell>
          <cell r="B1152" t="str">
            <v>MTP R1</v>
          </cell>
          <cell r="C1152" t="str">
            <v>Stock of Raw Materials</v>
          </cell>
          <cell r="D1152" t="str">
            <v>Feb</v>
          </cell>
          <cell r="F1152">
            <v>15</v>
          </cell>
        </row>
        <row r="1153">
          <cell r="A1153" t="str">
            <v>Railways</v>
          </cell>
          <cell r="B1153" t="str">
            <v>MTP R1</v>
          </cell>
          <cell r="C1153" t="str">
            <v>Retention(incl TDS)</v>
          </cell>
          <cell r="D1153" t="str">
            <v>Feb</v>
          </cell>
          <cell r="F1153">
            <v>-160.9545</v>
          </cell>
        </row>
        <row r="1154">
          <cell r="A1154" t="str">
            <v>Railways</v>
          </cell>
          <cell r="B1154" t="str">
            <v>MTP R1</v>
          </cell>
          <cell r="C1154" t="str">
            <v>Projected Profit/Loss on YTD Sales</v>
          </cell>
          <cell r="D1154" t="str">
            <v>Feb</v>
          </cell>
          <cell r="F1154">
            <v>-47812.060000000005</v>
          </cell>
        </row>
        <row r="1155">
          <cell r="A1155" t="str">
            <v>Railways</v>
          </cell>
          <cell r="B1155" t="str">
            <v>MTP R1</v>
          </cell>
          <cell r="C1155" t="str">
            <v>Cash and Bank Balance</v>
          </cell>
          <cell r="D1155" t="str">
            <v>Feb</v>
          </cell>
          <cell r="F1155">
            <v>0</v>
          </cell>
        </row>
        <row r="1156">
          <cell r="A1156" t="str">
            <v>Railways</v>
          </cell>
          <cell r="B1156" t="str">
            <v>MTP R1</v>
          </cell>
          <cell r="C1156" t="str">
            <v>Creditors-Suppliers-net of advance</v>
          </cell>
          <cell r="D1156" t="str">
            <v>Feb</v>
          </cell>
          <cell r="F1156">
            <v>11</v>
          </cell>
        </row>
        <row r="1157">
          <cell r="A1157" t="str">
            <v>Railways</v>
          </cell>
          <cell r="B1157" t="str">
            <v>MTP R1</v>
          </cell>
          <cell r="C1157" t="str">
            <v>Sub-Contractors-net of advance</v>
          </cell>
          <cell r="D1157" t="str">
            <v>Feb</v>
          </cell>
          <cell r="F1157">
            <v>30</v>
          </cell>
        </row>
        <row r="1158">
          <cell r="A1158" t="str">
            <v>Railways</v>
          </cell>
          <cell r="B1158" t="str">
            <v>MTP R1</v>
          </cell>
          <cell r="C1158" t="str">
            <v>Own</v>
          </cell>
          <cell r="D1158" t="str">
            <v>Feb</v>
          </cell>
          <cell r="F1158">
            <v>0</v>
          </cell>
        </row>
        <row r="1159">
          <cell r="A1159" t="str">
            <v>Railways</v>
          </cell>
          <cell r="B1159" t="str">
            <v>MTP R1</v>
          </cell>
          <cell r="C1159" t="str">
            <v>Outstide</v>
          </cell>
          <cell r="D1159" t="str">
            <v>Feb</v>
          </cell>
          <cell r="F1159">
            <v>15</v>
          </cell>
        </row>
        <row r="1160">
          <cell r="A1160" t="str">
            <v>Railways</v>
          </cell>
          <cell r="B1160" t="str">
            <v>MTP R1</v>
          </cell>
          <cell r="C1160" t="str">
            <v>Salaries and Wages Payable</v>
          </cell>
          <cell r="D1160" t="str">
            <v>Feb</v>
          </cell>
          <cell r="F1160">
            <v>0</v>
          </cell>
        </row>
        <row r="1161">
          <cell r="A1161" t="str">
            <v>Railways</v>
          </cell>
          <cell r="B1161" t="str">
            <v>MTP R1</v>
          </cell>
          <cell r="C1161" t="str">
            <v>Mobilisation Adv Outstanding</v>
          </cell>
          <cell r="D1161" t="str">
            <v>Feb</v>
          </cell>
          <cell r="F1161">
            <v>123.75</v>
          </cell>
        </row>
        <row r="1162">
          <cell r="A1162" t="str">
            <v>Railways</v>
          </cell>
          <cell r="B1162" t="str">
            <v>MTP R1</v>
          </cell>
          <cell r="C1162" t="str">
            <v>Bank Loan outstanding</v>
          </cell>
          <cell r="D1162" t="str">
            <v>Feb</v>
          </cell>
          <cell r="F1162">
            <v>0</v>
          </cell>
        </row>
        <row r="1163">
          <cell r="A1163" t="str">
            <v>Railways</v>
          </cell>
          <cell r="B1163" t="str">
            <v>MTP R1</v>
          </cell>
          <cell r="C1163" t="str">
            <v>HO funding</v>
          </cell>
          <cell r="D1163" t="str">
            <v>Feb</v>
          </cell>
          <cell r="F1163">
            <v>0</v>
          </cell>
        </row>
        <row r="1164">
          <cell r="A1164" t="str">
            <v>Railways</v>
          </cell>
          <cell r="B1164" t="str">
            <v>MTP R1</v>
          </cell>
          <cell r="C1164" t="str">
            <v>Debtors</v>
          </cell>
          <cell r="D1164" t="str">
            <v>Mar</v>
          </cell>
          <cell r="F1164">
            <v>5.7302999999999997</v>
          </cell>
        </row>
        <row r="1165">
          <cell r="A1165" t="str">
            <v>Railways</v>
          </cell>
          <cell r="B1165" t="str">
            <v>MTP R1</v>
          </cell>
          <cell r="C1165" t="str">
            <v>Work In Progress (increase/decrease)</v>
          </cell>
          <cell r="D1165" t="str">
            <v>Mar</v>
          </cell>
          <cell r="F1165">
            <v>240</v>
          </cell>
        </row>
        <row r="1166">
          <cell r="A1166" t="str">
            <v>Railways</v>
          </cell>
          <cell r="B1166" t="str">
            <v>MTP R1</v>
          </cell>
          <cell r="C1166" t="str">
            <v>Stock of Raw Materials</v>
          </cell>
          <cell r="D1166" t="str">
            <v>Mar</v>
          </cell>
          <cell r="F1166">
            <v>0</v>
          </cell>
        </row>
        <row r="1167">
          <cell r="A1167" t="str">
            <v>Railways</v>
          </cell>
          <cell r="B1167" t="str">
            <v>MTP R1</v>
          </cell>
          <cell r="C1167" t="str">
            <v>Retention(incl TDS)</v>
          </cell>
          <cell r="D1167" t="str">
            <v>Mar</v>
          </cell>
          <cell r="F1167">
            <v>-172.6848</v>
          </cell>
        </row>
        <row r="1168">
          <cell r="A1168" t="str">
            <v>Railways</v>
          </cell>
          <cell r="B1168" t="str">
            <v>MTP R1</v>
          </cell>
          <cell r="C1168" t="str">
            <v>Projected Profit/Loss on YTD Sales</v>
          </cell>
          <cell r="D1168" t="str">
            <v>Mar</v>
          </cell>
          <cell r="F1168">
            <v>-50955.640000000007</v>
          </cell>
        </row>
        <row r="1169">
          <cell r="A1169" t="str">
            <v>Railways</v>
          </cell>
          <cell r="B1169" t="str">
            <v>MTP R1</v>
          </cell>
          <cell r="C1169" t="str">
            <v>Cash and Bank Balance</v>
          </cell>
          <cell r="D1169" t="str">
            <v>Mar</v>
          </cell>
          <cell r="F1169">
            <v>0</v>
          </cell>
        </row>
        <row r="1170">
          <cell r="A1170" t="str">
            <v>Railways</v>
          </cell>
          <cell r="B1170" t="str">
            <v>MTP R1</v>
          </cell>
          <cell r="C1170" t="str">
            <v>Creditors-Suppliers-net of advance</v>
          </cell>
          <cell r="D1170" t="str">
            <v>Mar</v>
          </cell>
          <cell r="F1170">
            <v>11</v>
          </cell>
        </row>
        <row r="1171">
          <cell r="A1171" t="str">
            <v>Railways</v>
          </cell>
          <cell r="B1171" t="str">
            <v>MTP R1</v>
          </cell>
          <cell r="C1171" t="str">
            <v>Sub-Contractors-net of advance</v>
          </cell>
          <cell r="D1171" t="str">
            <v>Mar</v>
          </cell>
          <cell r="F1171">
            <v>30</v>
          </cell>
        </row>
        <row r="1172">
          <cell r="A1172" t="str">
            <v>Railways</v>
          </cell>
          <cell r="B1172" t="str">
            <v>MTP R1</v>
          </cell>
          <cell r="C1172" t="str">
            <v>Own</v>
          </cell>
          <cell r="D1172" t="str">
            <v>Mar</v>
          </cell>
          <cell r="F1172">
            <v>0</v>
          </cell>
        </row>
        <row r="1173">
          <cell r="A1173" t="str">
            <v>Railways</v>
          </cell>
          <cell r="B1173" t="str">
            <v>MTP R1</v>
          </cell>
          <cell r="C1173" t="str">
            <v>Outstide</v>
          </cell>
          <cell r="D1173" t="str">
            <v>Mar</v>
          </cell>
          <cell r="F1173">
            <v>15</v>
          </cell>
        </row>
        <row r="1174">
          <cell r="A1174" t="str">
            <v>Railways</v>
          </cell>
          <cell r="B1174" t="str">
            <v>MTP R1</v>
          </cell>
          <cell r="C1174" t="str">
            <v>Salaries and Wages Payable</v>
          </cell>
          <cell r="D1174" t="str">
            <v>Mar</v>
          </cell>
          <cell r="F1174">
            <v>0</v>
          </cell>
        </row>
        <row r="1175">
          <cell r="A1175" t="str">
            <v>Railways</v>
          </cell>
          <cell r="B1175" t="str">
            <v>MTP R1</v>
          </cell>
          <cell r="C1175" t="str">
            <v>Mobilisation Adv Outstanding</v>
          </cell>
          <cell r="D1175" t="str">
            <v>Mar</v>
          </cell>
          <cell r="F1175">
            <v>132</v>
          </cell>
        </row>
        <row r="1176">
          <cell r="A1176" t="str">
            <v>Railways</v>
          </cell>
          <cell r="B1176" t="str">
            <v>MTP R1</v>
          </cell>
          <cell r="C1176" t="str">
            <v>Bank Loan outstanding</v>
          </cell>
          <cell r="D1176" t="str">
            <v>Mar</v>
          </cell>
          <cell r="F1176">
            <v>0</v>
          </cell>
        </row>
        <row r="1177">
          <cell r="A1177" t="str">
            <v>Railways</v>
          </cell>
          <cell r="B1177" t="str">
            <v>MTP R1</v>
          </cell>
          <cell r="C1177" t="str">
            <v>HO funding</v>
          </cell>
          <cell r="D1177" t="str">
            <v>Mar</v>
          </cell>
          <cell r="F1177">
            <v>0</v>
          </cell>
        </row>
        <row r="1178">
          <cell r="A1178" t="str">
            <v>Railways</v>
          </cell>
          <cell r="B1178" t="str">
            <v>MTP R2</v>
          </cell>
          <cell r="C1178" t="str">
            <v>Debtors</v>
          </cell>
          <cell r="D1178" t="str">
            <v>Apr</v>
          </cell>
          <cell r="F1178">
            <v>5.7302999999999997</v>
          </cell>
        </row>
        <row r="1179">
          <cell r="A1179" t="str">
            <v>Railways</v>
          </cell>
          <cell r="B1179" t="str">
            <v>MTP R2</v>
          </cell>
          <cell r="C1179" t="str">
            <v>Work In Progress (increase/decrease)</v>
          </cell>
          <cell r="D1179" t="str">
            <v>Apr</v>
          </cell>
          <cell r="F1179">
            <v>75</v>
          </cell>
        </row>
        <row r="1180">
          <cell r="A1180" t="str">
            <v>Railways</v>
          </cell>
          <cell r="B1180" t="str">
            <v>MTP R2</v>
          </cell>
          <cell r="C1180" t="str">
            <v>Stock of Raw Materials</v>
          </cell>
          <cell r="D1180" t="str">
            <v>Apr</v>
          </cell>
          <cell r="F1180">
            <v>15</v>
          </cell>
        </row>
        <row r="1181">
          <cell r="A1181" t="str">
            <v>Railways</v>
          </cell>
          <cell r="B1181" t="str">
            <v>MTP R2</v>
          </cell>
          <cell r="C1181" t="str">
            <v>Retention(incl TDS)</v>
          </cell>
          <cell r="D1181" t="str">
            <v>Apr</v>
          </cell>
          <cell r="F1181">
            <v>-43.651499999999999</v>
          </cell>
        </row>
        <row r="1182">
          <cell r="A1182" t="str">
            <v>Railways</v>
          </cell>
          <cell r="B1182" t="str">
            <v>MTP R2</v>
          </cell>
          <cell r="C1182" t="str">
            <v>Projected Profit/Loss on YTD Sales</v>
          </cell>
          <cell r="D1182" t="str">
            <v>Apr</v>
          </cell>
          <cell r="F1182">
            <v>-16461.53</v>
          </cell>
        </row>
        <row r="1183">
          <cell r="A1183" t="str">
            <v>Railways</v>
          </cell>
          <cell r="B1183" t="str">
            <v>MTP R2</v>
          </cell>
          <cell r="C1183" t="str">
            <v>Cash and Bank Balance</v>
          </cell>
          <cell r="D1183" t="str">
            <v>Apr</v>
          </cell>
          <cell r="F1183">
            <v>0</v>
          </cell>
        </row>
        <row r="1184">
          <cell r="A1184" t="str">
            <v>Railways</v>
          </cell>
          <cell r="B1184" t="str">
            <v>MTP R2</v>
          </cell>
          <cell r="C1184" t="str">
            <v>Creditors-Suppliers-net of advance</v>
          </cell>
          <cell r="D1184" t="str">
            <v>Apr</v>
          </cell>
          <cell r="F1184">
            <v>11</v>
          </cell>
        </row>
        <row r="1185">
          <cell r="A1185" t="str">
            <v>Railways</v>
          </cell>
          <cell r="B1185" t="str">
            <v>MTP R2</v>
          </cell>
          <cell r="C1185" t="str">
            <v>Sub-Contractors-net of advance</v>
          </cell>
          <cell r="D1185" t="str">
            <v>Apr</v>
          </cell>
          <cell r="F1185">
            <v>30</v>
          </cell>
        </row>
        <row r="1186">
          <cell r="A1186" t="str">
            <v>Railways</v>
          </cell>
          <cell r="B1186" t="str">
            <v>MTP R2</v>
          </cell>
          <cell r="C1186" t="str">
            <v>Own</v>
          </cell>
          <cell r="D1186" t="str">
            <v>Apr</v>
          </cell>
          <cell r="F1186">
            <v>0</v>
          </cell>
        </row>
        <row r="1187">
          <cell r="A1187" t="str">
            <v>Railways</v>
          </cell>
          <cell r="B1187" t="str">
            <v>MTP R2</v>
          </cell>
          <cell r="C1187" t="str">
            <v>Outstide</v>
          </cell>
          <cell r="D1187" t="str">
            <v>Apr</v>
          </cell>
          <cell r="F1187">
            <v>15</v>
          </cell>
        </row>
        <row r="1188">
          <cell r="A1188" t="str">
            <v>Railways</v>
          </cell>
          <cell r="B1188" t="str">
            <v>MTP R2</v>
          </cell>
          <cell r="C1188" t="str">
            <v>Salaries and Wages Payable</v>
          </cell>
          <cell r="D1188" t="str">
            <v>Apr</v>
          </cell>
          <cell r="F1188">
            <v>0</v>
          </cell>
        </row>
        <row r="1189">
          <cell r="A1189" t="str">
            <v>Railways</v>
          </cell>
          <cell r="B1189" t="str">
            <v>MTP R2</v>
          </cell>
          <cell r="C1189" t="str">
            <v>Mobilisation Adv Outstanding</v>
          </cell>
          <cell r="D1189" t="str">
            <v>Apr</v>
          </cell>
          <cell r="F1189">
            <v>41.25</v>
          </cell>
        </row>
        <row r="1190">
          <cell r="A1190" t="str">
            <v>Railways</v>
          </cell>
          <cell r="B1190" t="str">
            <v>MTP R2</v>
          </cell>
          <cell r="C1190" t="str">
            <v>Bank Loan outstanding</v>
          </cell>
          <cell r="D1190" t="str">
            <v>Apr</v>
          </cell>
          <cell r="F1190">
            <v>0</v>
          </cell>
        </row>
        <row r="1191">
          <cell r="A1191" t="str">
            <v>Railways</v>
          </cell>
          <cell r="B1191" t="str">
            <v>MTP R2</v>
          </cell>
          <cell r="C1191" t="str">
            <v>HO funding</v>
          </cell>
          <cell r="D1191" t="str">
            <v>Apr</v>
          </cell>
          <cell r="F1191">
            <v>0</v>
          </cell>
        </row>
        <row r="1192">
          <cell r="A1192" t="str">
            <v>Railways</v>
          </cell>
          <cell r="B1192" t="str">
            <v>MTP R2</v>
          </cell>
          <cell r="C1192" t="str">
            <v>Debtors</v>
          </cell>
          <cell r="D1192" t="str">
            <v>May</v>
          </cell>
          <cell r="F1192">
            <v>5.7302999999999997</v>
          </cell>
        </row>
        <row r="1193">
          <cell r="A1193" t="str">
            <v>Railways</v>
          </cell>
          <cell r="B1193" t="str">
            <v>MTP R2</v>
          </cell>
          <cell r="C1193" t="str">
            <v>Work In Progress (increase/decrease)</v>
          </cell>
          <cell r="D1193" t="str">
            <v>May</v>
          </cell>
          <cell r="F1193">
            <v>90</v>
          </cell>
        </row>
        <row r="1194">
          <cell r="A1194" t="str">
            <v>Railways</v>
          </cell>
          <cell r="B1194" t="str">
            <v>MTP R2</v>
          </cell>
          <cell r="C1194" t="str">
            <v>Stock of Raw Materials</v>
          </cell>
          <cell r="D1194" t="str">
            <v>May</v>
          </cell>
          <cell r="F1194">
            <v>15</v>
          </cell>
        </row>
        <row r="1195">
          <cell r="A1195" t="str">
            <v>Railways</v>
          </cell>
          <cell r="B1195" t="str">
            <v>MTP R2</v>
          </cell>
          <cell r="C1195" t="str">
            <v>Retention(incl TDS)</v>
          </cell>
          <cell r="D1195" t="str">
            <v>May</v>
          </cell>
          <cell r="F1195">
            <v>-55.381799999999998</v>
          </cell>
        </row>
        <row r="1196">
          <cell r="A1196" t="str">
            <v>Railways</v>
          </cell>
          <cell r="B1196" t="str">
            <v>MTP R2</v>
          </cell>
          <cell r="C1196" t="str">
            <v>Projected Profit/Loss on YTD Sales</v>
          </cell>
          <cell r="D1196" t="str">
            <v>May</v>
          </cell>
          <cell r="F1196">
            <v>-19589.61</v>
          </cell>
        </row>
        <row r="1197">
          <cell r="A1197" t="str">
            <v>Railways</v>
          </cell>
          <cell r="B1197" t="str">
            <v>MTP R2</v>
          </cell>
          <cell r="C1197" t="str">
            <v>Cash and Bank Balance</v>
          </cell>
          <cell r="D1197" t="str">
            <v>May</v>
          </cell>
          <cell r="F1197">
            <v>0</v>
          </cell>
        </row>
        <row r="1198">
          <cell r="A1198" t="str">
            <v>Railways</v>
          </cell>
          <cell r="B1198" t="str">
            <v>MTP R2</v>
          </cell>
          <cell r="C1198" t="str">
            <v>Creditors-Suppliers-net of advance</v>
          </cell>
          <cell r="D1198" t="str">
            <v>May</v>
          </cell>
          <cell r="F1198">
            <v>11</v>
          </cell>
        </row>
        <row r="1199">
          <cell r="A1199" t="str">
            <v>Railways</v>
          </cell>
          <cell r="B1199" t="str">
            <v>MTP R2</v>
          </cell>
          <cell r="C1199" t="str">
            <v>Sub-Contractors-net of advance</v>
          </cell>
          <cell r="D1199" t="str">
            <v>May</v>
          </cell>
          <cell r="F1199">
            <v>30</v>
          </cell>
        </row>
        <row r="1200">
          <cell r="A1200" t="str">
            <v>Railways</v>
          </cell>
          <cell r="B1200" t="str">
            <v>MTP R2</v>
          </cell>
          <cell r="C1200" t="str">
            <v>Own</v>
          </cell>
          <cell r="D1200" t="str">
            <v>May</v>
          </cell>
          <cell r="F1200">
            <v>0</v>
          </cell>
        </row>
        <row r="1201">
          <cell r="A1201" t="str">
            <v>Railways</v>
          </cell>
          <cell r="B1201" t="str">
            <v>MTP R2</v>
          </cell>
          <cell r="C1201" t="str">
            <v>Outstide</v>
          </cell>
          <cell r="D1201" t="str">
            <v>May</v>
          </cell>
          <cell r="F1201">
            <v>15</v>
          </cell>
        </row>
        <row r="1202">
          <cell r="A1202" t="str">
            <v>Railways</v>
          </cell>
          <cell r="B1202" t="str">
            <v>MTP R2</v>
          </cell>
          <cell r="C1202" t="str">
            <v>Salaries and Wages Payable</v>
          </cell>
          <cell r="D1202" t="str">
            <v>May</v>
          </cell>
          <cell r="F1202">
            <v>0</v>
          </cell>
        </row>
        <row r="1203">
          <cell r="A1203" t="str">
            <v>Railways</v>
          </cell>
          <cell r="B1203" t="str">
            <v>MTP R2</v>
          </cell>
          <cell r="C1203" t="str">
            <v>Mobilisation Adv Outstanding</v>
          </cell>
          <cell r="D1203" t="str">
            <v>May</v>
          </cell>
          <cell r="F1203">
            <v>49.5</v>
          </cell>
        </row>
        <row r="1204">
          <cell r="A1204" t="str">
            <v>Railways</v>
          </cell>
          <cell r="B1204" t="str">
            <v>MTP R2</v>
          </cell>
          <cell r="C1204" t="str">
            <v>Bank Loan outstanding</v>
          </cell>
          <cell r="D1204" t="str">
            <v>May</v>
          </cell>
          <cell r="F1204">
            <v>0</v>
          </cell>
        </row>
        <row r="1205">
          <cell r="A1205" t="str">
            <v>Railways</v>
          </cell>
          <cell r="B1205" t="str">
            <v>MTP R2</v>
          </cell>
          <cell r="C1205" t="str">
            <v>HO funding</v>
          </cell>
          <cell r="D1205" t="str">
            <v>May</v>
          </cell>
          <cell r="F1205">
            <v>0</v>
          </cell>
        </row>
        <row r="1206">
          <cell r="A1206" t="str">
            <v>Railways</v>
          </cell>
          <cell r="B1206" t="str">
            <v>MTP R2</v>
          </cell>
          <cell r="C1206" t="str">
            <v>Debtors</v>
          </cell>
          <cell r="D1206" t="str">
            <v>June</v>
          </cell>
          <cell r="F1206">
            <v>5.7302999999999997</v>
          </cell>
        </row>
        <row r="1207">
          <cell r="A1207" t="str">
            <v>Railways</v>
          </cell>
          <cell r="B1207" t="str">
            <v>MTP R2</v>
          </cell>
          <cell r="C1207" t="str">
            <v>Work In Progress (increase/decrease)</v>
          </cell>
          <cell r="D1207" t="str">
            <v>June</v>
          </cell>
          <cell r="F1207">
            <v>105</v>
          </cell>
        </row>
        <row r="1208">
          <cell r="A1208" t="str">
            <v>Railways</v>
          </cell>
          <cell r="B1208" t="str">
            <v>MTP R2</v>
          </cell>
          <cell r="C1208" t="str">
            <v>Stock of Raw Materials</v>
          </cell>
          <cell r="D1208" t="str">
            <v>June</v>
          </cell>
          <cell r="F1208">
            <v>15</v>
          </cell>
        </row>
        <row r="1209">
          <cell r="A1209" t="str">
            <v>Railways</v>
          </cell>
          <cell r="B1209" t="str">
            <v>MTP R2</v>
          </cell>
          <cell r="C1209" t="str">
            <v>Retention(incl TDS)</v>
          </cell>
          <cell r="D1209" t="str">
            <v>June</v>
          </cell>
          <cell r="F1209">
            <v>-67.112099999999998</v>
          </cell>
        </row>
        <row r="1210">
          <cell r="A1210" t="str">
            <v>Railways</v>
          </cell>
          <cell r="B1210" t="str">
            <v>MTP R2</v>
          </cell>
          <cell r="C1210" t="str">
            <v>Projected Profit/Loss on YTD Sales</v>
          </cell>
          <cell r="D1210" t="str">
            <v>June</v>
          </cell>
          <cell r="F1210">
            <v>-22719.24</v>
          </cell>
        </row>
        <row r="1211">
          <cell r="A1211" t="str">
            <v>Railways</v>
          </cell>
          <cell r="B1211" t="str">
            <v>MTP R2</v>
          </cell>
          <cell r="C1211" t="str">
            <v>Cash and Bank Balance</v>
          </cell>
          <cell r="D1211" t="str">
            <v>June</v>
          </cell>
          <cell r="F1211">
            <v>0</v>
          </cell>
        </row>
        <row r="1212">
          <cell r="A1212" t="str">
            <v>Railways</v>
          </cell>
          <cell r="B1212" t="str">
            <v>MTP R2</v>
          </cell>
          <cell r="C1212" t="str">
            <v>Creditors-Suppliers-net of advance</v>
          </cell>
          <cell r="D1212" t="str">
            <v>June</v>
          </cell>
          <cell r="F1212">
            <v>11</v>
          </cell>
        </row>
        <row r="1213">
          <cell r="A1213" t="str">
            <v>Railways</v>
          </cell>
          <cell r="B1213" t="str">
            <v>MTP R2</v>
          </cell>
          <cell r="C1213" t="str">
            <v>Sub-Contractors-net of advance</v>
          </cell>
          <cell r="D1213" t="str">
            <v>June</v>
          </cell>
          <cell r="F1213">
            <v>30</v>
          </cell>
        </row>
        <row r="1214">
          <cell r="A1214" t="str">
            <v>Railways</v>
          </cell>
          <cell r="B1214" t="str">
            <v>MTP R2</v>
          </cell>
          <cell r="C1214" t="str">
            <v>Own</v>
          </cell>
          <cell r="D1214" t="str">
            <v>June</v>
          </cell>
          <cell r="F1214">
            <v>0</v>
          </cell>
        </row>
        <row r="1215">
          <cell r="A1215" t="str">
            <v>Railways</v>
          </cell>
          <cell r="B1215" t="str">
            <v>MTP R2</v>
          </cell>
          <cell r="C1215" t="str">
            <v>Outstide</v>
          </cell>
          <cell r="D1215" t="str">
            <v>June</v>
          </cell>
          <cell r="F1215">
            <v>15</v>
          </cell>
        </row>
        <row r="1216">
          <cell r="A1216" t="str">
            <v>Railways</v>
          </cell>
          <cell r="B1216" t="str">
            <v>MTP R2</v>
          </cell>
          <cell r="C1216" t="str">
            <v>Salaries and Wages Payable</v>
          </cell>
          <cell r="D1216" t="str">
            <v>June</v>
          </cell>
          <cell r="F1216">
            <v>0</v>
          </cell>
        </row>
        <row r="1217">
          <cell r="A1217" t="str">
            <v>Railways</v>
          </cell>
          <cell r="B1217" t="str">
            <v>MTP R2</v>
          </cell>
          <cell r="C1217" t="str">
            <v>Mobilisation Adv Outstanding</v>
          </cell>
          <cell r="D1217" t="str">
            <v>June</v>
          </cell>
          <cell r="F1217">
            <v>57.75</v>
          </cell>
        </row>
        <row r="1218">
          <cell r="A1218" t="str">
            <v>Railways</v>
          </cell>
          <cell r="B1218" t="str">
            <v>MTP R2</v>
          </cell>
          <cell r="C1218" t="str">
            <v>Bank Loan outstanding</v>
          </cell>
          <cell r="D1218" t="str">
            <v>June</v>
          </cell>
          <cell r="F1218">
            <v>0</v>
          </cell>
        </row>
        <row r="1219">
          <cell r="A1219" t="str">
            <v>Railways</v>
          </cell>
          <cell r="B1219" t="str">
            <v>MTP R2</v>
          </cell>
          <cell r="C1219" t="str">
            <v>HO funding</v>
          </cell>
          <cell r="D1219" t="str">
            <v>June</v>
          </cell>
          <cell r="F1219">
            <v>0</v>
          </cell>
        </row>
        <row r="1220">
          <cell r="A1220" t="str">
            <v>Railways</v>
          </cell>
          <cell r="B1220" t="str">
            <v>MTP R2</v>
          </cell>
          <cell r="C1220" t="str">
            <v>Debtors</v>
          </cell>
          <cell r="D1220" t="str">
            <v>July</v>
          </cell>
          <cell r="F1220">
            <v>5.7302999999999997</v>
          </cell>
        </row>
        <row r="1221">
          <cell r="A1221" t="str">
            <v>Railways</v>
          </cell>
          <cell r="B1221" t="str">
            <v>MTP R2</v>
          </cell>
          <cell r="C1221" t="str">
            <v>Work In Progress (increase/decrease)</v>
          </cell>
          <cell r="D1221" t="str">
            <v>July</v>
          </cell>
          <cell r="F1221">
            <v>120</v>
          </cell>
        </row>
        <row r="1222">
          <cell r="A1222" t="str">
            <v>Railways</v>
          </cell>
          <cell r="B1222" t="str">
            <v>MTP R2</v>
          </cell>
          <cell r="C1222" t="str">
            <v>Stock of Raw Materials</v>
          </cell>
          <cell r="D1222" t="str">
            <v>July</v>
          </cell>
          <cell r="F1222">
            <v>15</v>
          </cell>
        </row>
        <row r="1223">
          <cell r="A1223" t="str">
            <v>Railways</v>
          </cell>
          <cell r="B1223" t="str">
            <v>MTP R2</v>
          </cell>
          <cell r="C1223" t="str">
            <v>Retention(incl TDS)</v>
          </cell>
          <cell r="D1223" t="str">
            <v>July</v>
          </cell>
          <cell r="F1223">
            <v>-78.842399999999998</v>
          </cell>
        </row>
        <row r="1224">
          <cell r="A1224" t="str">
            <v>Railways</v>
          </cell>
          <cell r="B1224" t="str">
            <v>MTP R2</v>
          </cell>
          <cell r="C1224" t="str">
            <v>Projected Profit/Loss on YTD Sales</v>
          </cell>
          <cell r="D1224" t="str">
            <v>July</v>
          </cell>
          <cell r="F1224">
            <v>-25850.420000000002</v>
          </cell>
        </row>
        <row r="1225">
          <cell r="A1225" t="str">
            <v>Railways</v>
          </cell>
          <cell r="B1225" t="str">
            <v>MTP R2</v>
          </cell>
          <cell r="C1225" t="str">
            <v>Cash and Bank Balance</v>
          </cell>
          <cell r="D1225" t="str">
            <v>July</v>
          </cell>
          <cell r="F1225">
            <v>0</v>
          </cell>
        </row>
        <row r="1226">
          <cell r="A1226" t="str">
            <v>Railways</v>
          </cell>
          <cell r="B1226" t="str">
            <v>MTP R2</v>
          </cell>
          <cell r="C1226" t="str">
            <v>Creditors-Suppliers-net of advance</v>
          </cell>
          <cell r="D1226" t="str">
            <v>July</v>
          </cell>
          <cell r="F1226">
            <v>11</v>
          </cell>
        </row>
        <row r="1227">
          <cell r="A1227" t="str">
            <v>Railways</v>
          </cell>
          <cell r="B1227" t="str">
            <v>MTP R2</v>
          </cell>
          <cell r="C1227" t="str">
            <v>Sub-Contractors-net of advance</v>
          </cell>
          <cell r="D1227" t="str">
            <v>July</v>
          </cell>
          <cell r="F1227">
            <v>30</v>
          </cell>
        </row>
        <row r="1228">
          <cell r="A1228" t="str">
            <v>Railways</v>
          </cell>
          <cell r="B1228" t="str">
            <v>MTP R2</v>
          </cell>
          <cell r="C1228" t="str">
            <v>Own</v>
          </cell>
          <cell r="D1228" t="str">
            <v>July</v>
          </cell>
          <cell r="F1228">
            <v>0</v>
          </cell>
        </row>
        <row r="1229">
          <cell r="A1229" t="str">
            <v>Railways</v>
          </cell>
          <cell r="B1229" t="str">
            <v>MTP R2</v>
          </cell>
          <cell r="C1229" t="str">
            <v>Outstide</v>
          </cell>
          <cell r="D1229" t="str">
            <v>July</v>
          </cell>
          <cell r="F1229">
            <v>15</v>
          </cell>
        </row>
        <row r="1230">
          <cell r="A1230" t="str">
            <v>Railways</v>
          </cell>
          <cell r="B1230" t="str">
            <v>MTP R2</v>
          </cell>
          <cell r="C1230" t="str">
            <v>Salaries and Wages Payable</v>
          </cell>
          <cell r="D1230" t="str">
            <v>July</v>
          </cell>
          <cell r="F1230">
            <v>0</v>
          </cell>
        </row>
        <row r="1231">
          <cell r="A1231" t="str">
            <v>Railways</v>
          </cell>
          <cell r="B1231" t="str">
            <v>MTP R2</v>
          </cell>
          <cell r="C1231" t="str">
            <v>Mobilisation Adv Outstanding</v>
          </cell>
          <cell r="D1231" t="str">
            <v>July</v>
          </cell>
          <cell r="F1231">
            <v>66</v>
          </cell>
        </row>
        <row r="1232">
          <cell r="A1232" t="str">
            <v>Railways</v>
          </cell>
          <cell r="B1232" t="str">
            <v>MTP R2</v>
          </cell>
          <cell r="C1232" t="str">
            <v>Bank Loan outstanding</v>
          </cell>
          <cell r="D1232" t="str">
            <v>July</v>
          </cell>
          <cell r="F1232">
            <v>0</v>
          </cell>
        </row>
        <row r="1233">
          <cell r="A1233" t="str">
            <v>Railways</v>
          </cell>
          <cell r="B1233" t="str">
            <v>MTP R2</v>
          </cell>
          <cell r="C1233" t="str">
            <v>HO funding</v>
          </cell>
          <cell r="D1233" t="str">
            <v>July</v>
          </cell>
          <cell r="F1233">
            <v>0</v>
          </cell>
        </row>
        <row r="1234">
          <cell r="A1234" t="str">
            <v>Railways</v>
          </cell>
          <cell r="B1234" t="str">
            <v>MTP R2</v>
          </cell>
          <cell r="C1234" t="str">
            <v>Debtors</v>
          </cell>
          <cell r="D1234" t="str">
            <v>Aug</v>
          </cell>
          <cell r="F1234">
            <v>5.7302999999999997</v>
          </cell>
        </row>
        <row r="1235">
          <cell r="A1235" t="str">
            <v>Railways</v>
          </cell>
          <cell r="B1235" t="str">
            <v>MTP R2</v>
          </cell>
          <cell r="C1235" t="str">
            <v>Work In Progress (increase/decrease)</v>
          </cell>
          <cell r="D1235" t="str">
            <v>Aug</v>
          </cell>
          <cell r="F1235">
            <v>135</v>
          </cell>
        </row>
        <row r="1236">
          <cell r="A1236" t="str">
            <v>Railways</v>
          </cell>
          <cell r="B1236" t="str">
            <v>MTP R2</v>
          </cell>
          <cell r="C1236" t="str">
            <v>Stock of Raw Materials</v>
          </cell>
          <cell r="D1236" t="str">
            <v>Aug</v>
          </cell>
          <cell r="F1236">
            <v>15</v>
          </cell>
        </row>
        <row r="1237">
          <cell r="A1237" t="str">
            <v>Railways</v>
          </cell>
          <cell r="B1237" t="str">
            <v>MTP R2</v>
          </cell>
          <cell r="C1237" t="str">
            <v>Retention(incl TDS)</v>
          </cell>
          <cell r="D1237" t="str">
            <v>Aug</v>
          </cell>
          <cell r="F1237">
            <v>-90.572699999999998</v>
          </cell>
        </row>
        <row r="1238">
          <cell r="A1238" t="str">
            <v>Railways</v>
          </cell>
          <cell r="B1238" t="str">
            <v>MTP R2</v>
          </cell>
          <cell r="C1238" t="str">
            <v>Projected Profit/Loss on YTD Sales</v>
          </cell>
          <cell r="D1238" t="str">
            <v>Aug</v>
          </cell>
          <cell r="F1238">
            <v>-28983.15</v>
          </cell>
        </row>
        <row r="1239">
          <cell r="A1239" t="str">
            <v>Railways</v>
          </cell>
          <cell r="B1239" t="str">
            <v>MTP R2</v>
          </cell>
          <cell r="C1239" t="str">
            <v>Cash and Bank Balance</v>
          </cell>
          <cell r="D1239" t="str">
            <v>Aug</v>
          </cell>
          <cell r="F1239">
            <v>0</v>
          </cell>
        </row>
        <row r="1240">
          <cell r="A1240" t="str">
            <v>Railways</v>
          </cell>
          <cell r="B1240" t="str">
            <v>MTP R2</v>
          </cell>
          <cell r="C1240" t="str">
            <v>Creditors-Suppliers-net of advance</v>
          </cell>
          <cell r="D1240" t="str">
            <v>Aug</v>
          </cell>
          <cell r="F1240">
            <v>11</v>
          </cell>
        </row>
        <row r="1241">
          <cell r="A1241" t="str">
            <v>Railways</v>
          </cell>
          <cell r="B1241" t="str">
            <v>MTP R2</v>
          </cell>
          <cell r="C1241" t="str">
            <v>Sub-Contractors-net of advance</v>
          </cell>
          <cell r="D1241" t="str">
            <v>Aug</v>
          </cell>
          <cell r="F1241">
            <v>30</v>
          </cell>
        </row>
        <row r="1242">
          <cell r="A1242" t="str">
            <v>Railways</v>
          </cell>
          <cell r="B1242" t="str">
            <v>MTP R2</v>
          </cell>
          <cell r="C1242" t="str">
            <v>Own</v>
          </cell>
          <cell r="D1242" t="str">
            <v>Aug</v>
          </cell>
          <cell r="F1242">
            <v>0</v>
          </cell>
        </row>
        <row r="1243">
          <cell r="A1243" t="str">
            <v>Railways</v>
          </cell>
          <cell r="B1243" t="str">
            <v>MTP R2</v>
          </cell>
          <cell r="C1243" t="str">
            <v>Outstide</v>
          </cell>
          <cell r="D1243" t="str">
            <v>Aug</v>
          </cell>
          <cell r="F1243">
            <v>15</v>
          </cell>
        </row>
        <row r="1244">
          <cell r="A1244" t="str">
            <v>Railways</v>
          </cell>
          <cell r="B1244" t="str">
            <v>MTP R2</v>
          </cell>
          <cell r="C1244" t="str">
            <v>Salaries and Wages Payable</v>
          </cell>
          <cell r="D1244" t="str">
            <v>Aug</v>
          </cell>
          <cell r="F1244">
            <v>0</v>
          </cell>
        </row>
        <row r="1245">
          <cell r="A1245" t="str">
            <v>Railways</v>
          </cell>
          <cell r="B1245" t="str">
            <v>MTP R2</v>
          </cell>
          <cell r="C1245" t="str">
            <v>Mobilisation Adv Outstanding</v>
          </cell>
          <cell r="D1245" t="str">
            <v>Aug</v>
          </cell>
          <cell r="F1245">
            <v>74.25</v>
          </cell>
        </row>
        <row r="1246">
          <cell r="A1246" t="str">
            <v>Railways</v>
          </cell>
          <cell r="B1246" t="str">
            <v>MTP R2</v>
          </cell>
          <cell r="C1246" t="str">
            <v>Bank Loan outstanding</v>
          </cell>
          <cell r="D1246" t="str">
            <v>Aug</v>
          </cell>
          <cell r="F1246">
            <v>0</v>
          </cell>
        </row>
        <row r="1247">
          <cell r="A1247" t="str">
            <v>Railways</v>
          </cell>
          <cell r="B1247" t="str">
            <v>MTP R2</v>
          </cell>
          <cell r="C1247" t="str">
            <v>HO funding</v>
          </cell>
          <cell r="D1247" t="str">
            <v>Aug</v>
          </cell>
          <cell r="F1247">
            <v>0</v>
          </cell>
        </row>
        <row r="1248">
          <cell r="A1248" t="str">
            <v>Railways</v>
          </cell>
          <cell r="B1248" t="str">
            <v>MTP R2</v>
          </cell>
          <cell r="C1248" t="str">
            <v>Debtors</v>
          </cell>
          <cell r="D1248" t="str">
            <v>Sep</v>
          </cell>
          <cell r="F1248">
            <v>5.7302999999999997</v>
          </cell>
        </row>
        <row r="1249">
          <cell r="A1249" t="str">
            <v>Railways</v>
          </cell>
          <cell r="B1249" t="str">
            <v>MTP R2</v>
          </cell>
          <cell r="C1249" t="str">
            <v>Work In Progress (increase/decrease)</v>
          </cell>
          <cell r="D1249" t="str">
            <v>Sep</v>
          </cell>
          <cell r="F1249">
            <v>150</v>
          </cell>
        </row>
        <row r="1250">
          <cell r="A1250" t="str">
            <v>Railways</v>
          </cell>
          <cell r="B1250" t="str">
            <v>MTP R2</v>
          </cell>
          <cell r="C1250" t="str">
            <v>Stock of Raw Materials</v>
          </cell>
          <cell r="D1250" t="str">
            <v>Sep</v>
          </cell>
          <cell r="F1250">
            <v>15</v>
          </cell>
        </row>
        <row r="1251">
          <cell r="A1251" t="str">
            <v>Railways</v>
          </cell>
          <cell r="B1251" t="str">
            <v>MTP R2</v>
          </cell>
          <cell r="C1251" t="str">
            <v>Retention(incl TDS)</v>
          </cell>
          <cell r="D1251" t="str">
            <v>Sep</v>
          </cell>
          <cell r="F1251">
            <v>-102.303</v>
          </cell>
        </row>
        <row r="1252">
          <cell r="A1252" t="str">
            <v>Railways</v>
          </cell>
          <cell r="B1252" t="str">
            <v>MTP R2</v>
          </cell>
          <cell r="C1252" t="str">
            <v>Projected Profit/Loss on YTD Sales</v>
          </cell>
          <cell r="D1252" t="str">
            <v>Sep</v>
          </cell>
          <cell r="F1252">
            <v>-32117.43</v>
          </cell>
        </row>
        <row r="1253">
          <cell r="A1253" t="str">
            <v>Railways</v>
          </cell>
          <cell r="B1253" t="str">
            <v>MTP R2</v>
          </cell>
          <cell r="C1253" t="str">
            <v>Cash and Bank Balance</v>
          </cell>
          <cell r="D1253" t="str">
            <v>Sep</v>
          </cell>
          <cell r="F1253">
            <v>0</v>
          </cell>
        </row>
        <row r="1254">
          <cell r="A1254" t="str">
            <v>Railways</v>
          </cell>
          <cell r="B1254" t="str">
            <v>MTP R2</v>
          </cell>
          <cell r="C1254" t="str">
            <v>Creditors-Suppliers-net of advance</v>
          </cell>
          <cell r="D1254" t="str">
            <v>Sep</v>
          </cell>
          <cell r="F1254">
            <v>11</v>
          </cell>
        </row>
        <row r="1255">
          <cell r="A1255" t="str">
            <v>Railways</v>
          </cell>
          <cell r="B1255" t="str">
            <v>MTP R2</v>
          </cell>
          <cell r="C1255" t="str">
            <v>Sub-Contractors-net of advance</v>
          </cell>
          <cell r="D1255" t="str">
            <v>Sep</v>
          </cell>
          <cell r="F1255">
            <v>30</v>
          </cell>
        </row>
        <row r="1256">
          <cell r="A1256" t="str">
            <v>Railways</v>
          </cell>
          <cell r="B1256" t="str">
            <v>MTP R2</v>
          </cell>
          <cell r="C1256" t="str">
            <v>Own</v>
          </cell>
          <cell r="D1256" t="str">
            <v>Sep</v>
          </cell>
          <cell r="F1256">
            <v>0</v>
          </cell>
        </row>
        <row r="1257">
          <cell r="A1257" t="str">
            <v>Railways</v>
          </cell>
          <cell r="B1257" t="str">
            <v>MTP R2</v>
          </cell>
          <cell r="C1257" t="str">
            <v>Outstide</v>
          </cell>
          <cell r="D1257" t="str">
            <v>Sep</v>
          </cell>
          <cell r="F1257">
            <v>15</v>
          </cell>
        </row>
        <row r="1258">
          <cell r="A1258" t="str">
            <v>Railways</v>
          </cell>
          <cell r="B1258" t="str">
            <v>MTP R2</v>
          </cell>
          <cell r="C1258" t="str">
            <v>Salaries and Wages Payable</v>
          </cell>
          <cell r="D1258" t="str">
            <v>Sep</v>
          </cell>
          <cell r="F1258">
            <v>0</v>
          </cell>
        </row>
        <row r="1259">
          <cell r="A1259" t="str">
            <v>Railways</v>
          </cell>
          <cell r="B1259" t="str">
            <v>MTP R2</v>
          </cell>
          <cell r="C1259" t="str">
            <v>Mobilisation Adv Outstanding</v>
          </cell>
          <cell r="D1259" t="str">
            <v>Sep</v>
          </cell>
          <cell r="F1259">
            <v>82.5</v>
          </cell>
        </row>
        <row r="1260">
          <cell r="A1260" t="str">
            <v>Railways</v>
          </cell>
          <cell r="B1260" t="str">
            <v>MTP R2</v>
          </cell>
          <cell r="C1260" t="str">
            <v>Bank Loan outstanding</v>
          </cell>
          <cell r="D1260" t="str">
            <v>Sep</v>
          </cell>
          <cell r="F1260">
            <v>0</v>
          </cell>
        </row>
        <row r="1261">
          <cell r="A1261" t="str">
            <v>Railways</v>
          </cell>
          <cell r="B1261" t="str">
            <v>MTP R2</v>
          </cell>
          <cell r="C1261" t="str">
            <v>HO funding</v>
          </cell>
          <cell r="D1261" t="str">
            <v>Sep</v>
          </cell>
          <cell r="F1261">
            <v>0</v>
          </cell>
        </row>
        <row r="1262">
          <cell r="A1262" t="str">
            <v>Railways</v>
          </cell>
          <cell r="B1262" t="str">
            <v>MTP R2</v>
          </cell>
          <cell r="C1262" t="str">
            <v>Debtors</v>
          </cell>
          <cell r="D1262" t="str">
            <v>Oct</v>
          </cell>
          <cell r="F1262">
            <v>5.7302999999999997</v>
          </cell>
        </row>
        <row r="1263">
          <cell r="A1263" t="str">
            <v>Railways</v>
          </cell>
          <cell r="B1263" t="str">
            <v>MTP R2</v>
          </cell>
          <cell r="C1263" t="str">
            <v>Work In Progress (increase/decrease)</v>
          </cell>
          <cell r="D1263" t="str">
            <v>Oct</v>
          </cell>
          <cell r="F1263">
            <v>165</v>
          </cell>
        </row>
        <row r="1264">
          <cell r="A1264" t="str">
            <v>Railways</v>
          </cell>
          <cell r="B1264" t="str">
            <v>MTP R2</v>
          </cell>
          <cell r="C1264" t="str">
            <v>Stock of Raw Materials</v>
          </cell>
          <cell r="D1264" t="str">
            <v>Oct</v>
          </cell>
          <cell r="F1264">
            <v>15</v>
          </cell>
        </row>
        <row r="1265">
          <cell r="A1265" t="str">
            <v>Railways</v>
          </cell>
          <cell r="B1265" t="str">
            <v>MTP R2</v>
          </cell>
          <cell r="C1265" t="str">
            <v>Retention(incl TDS)</v>
          </cell>
          <cell r="D1265" t="str">
            <v>Oct</v>
          </cell>
          <cell r="F1265">
            <v>-114.0333</v>
          </cell>
        </row>
        <row r="1266">
          <cell r="A1266" t="str">
            <v>Railways</v>
          </cell>
          <cell r="B1266" t="str">
            <v>MTP R2</v>
          </cell>
          <cell r="C1266" t="str">
            <v>Projected Profit/Loss on YTD Sales</v>
          </cell>
          <cell r="D1266" t="str">
            <v>Oct</v>
          </cell>
          <cell r="F1266">
            <v>-35253.26</v>
          </cell>
        </row>
        <row r="1267">
          <cell r="A1267" t="str">
            <v>Railways</v>
          </cell>
          <cell r="B1267" t="str">
            <v>MTP R2</v>
          </cell>
          <cell r="C1267" t="str">
            <v>Cash and Bank Balance</v>
          </cell>
          <cell r="D1267" t="str">
            <v>Oct</v>
          </cell>
          <cell r="F1267">
            <v>0</v>
          </cell>
        </row>
        <row r="1268">
          <cell r="A1268" t="str">
            <v>Railways</v>
          </cell>
          <cell r="B1268" t="str">
            <v>MTP R2</v>
          </cell>
          <cell r="C1268" t="str">
            <v>Creditors-Suppliers-net of advance</v>
          </cell>
          <cell r="D1268" t="str">
            <v>Oct</v>
          </cell>
          <cell r="F1268">
            <v>11</v>
          </cell>
        </row>
        <row r="1269">
          <cell r="A1269" t="str">
            <v>Railways</v>
          </cell>
          <cell r="B1269" t="str">
            <v>MTP R2</v>
          </cell>
          <cell r="C1269" t="str">
            <v>Sub-Contractors-net of advance</v>
          </cell>
          <cell r="D1269" t="str">
            <v>Oct</v>
          </cell>
          <cell r="F1269">
            <v>30</v>
          </cell>
        </row>
        <row r="1270">
          <cell r="A1270" t="str">
            <v>Railways</v>
          </cell>
          <cell r="B1270" t="str">
            <v>MTP R2</v>
          </cell>
          <cell r="C1270" t="str">
            <v>Own</v>
          </cell>
          <cell r="D1270" t="str">
            <v>Oct</v>
          </cell>
          <cell r="F1270">
            <v>0</v>
          </cell>
        </row>
        <row r="1271">
          <cell r="A1271" t="str">
            <v>Railways</v>
          </cell>
          <cell r="B1271" t="str">
            <v>MTP R2</v>
          </cell>
          <cell r="C1271" t="str">
            <v>Outstide</v>
          </cell>
          <cell r="D1271" t="str">
            <v>Oct</v>
          </cell>
          <cell r="F1271">
            <v>15</v>
          </cell>
        </row>
        <row r="1272">
          <cell r="A1272" t="str">
            <v>Railways</v>
          </cell>
          <cell r="B1272" t="str">
            <v>MTP R2</v>
          </cell>
          <cell r="C1272" t="str">
            <v>Salaries and Wages Payable</v>
          </cell>
          <cell r="D1272" t="str">
            <v>Oct</v>
          </cell>
          <cell r="F1272">
            <v>0</v>
          </cell>
        </row>
        <row r="1273">
          <cell r="A1273" t="str">
            <v>Railways</v>
          </cell>
          <cell r="B1273" t="str">
            <v>MTP R2</v>
          </cell>
          <cell r="C1273" t="str">
            <v>Mobilisation Adv Outstanding</v>
          </cell>
          <cell r="D1273" t="str">
            <v>Oct</v>
          </cell>
          <cell r="F1273">
            <v>90.75</v>
          </cell>
        </row>
        <row r="1274">
          <cell r="A1274" t="str">
            <v>Railways</v>
          </cell>
          <cell r="B1274" t="str">
            <v>MTP R2</v>
          </cell>
          <cell r="C1274" t="str">
            <v>Bank Loan outstanding</v>
          </cell>
          <cell r="D1274" t="str">
            <v>Oct</v>
          </cell>
          <cell r="F1274">
            <v>0</v>
          </cell>
        </row>
        <row r="1275">
          <cell r="A1275" t="str">
            <v>Railways</v>
          </cell>
          <cell r="B1275" t="str">
            <v>MTP R2</v>
          </cell>
          <cell r="C1275" t="str">
            <v>HO funding</v>
          </cell>
          <cell r="D1275" t="str">
            <v>Oct</v>
          </cell>
          <cell r="F1275">
            <v>0</v>
          </cell>
        </row>
        <row r="1276">
          <cell r="A1276" t="str">
            <v>Railways</v>
          </cell>
          <cell r="B1276" t="str">
            <v>MTP R2</v>
          </cell>
          <cell r="C1276" t="str">
            <v>Debtors</v>
          </cell>
          <cell r="D1276" t="str">
            <v>Nov</v>
          </cell>
          <cell r="F1276">
            <v>5.7302999999999997</v>
          </cell>
        </row>
        <row r="1277">
          <cell r="A1277" t="str">
            <v>Railways</v>
          </cell>
          <cell r="B1277" t="str">
            <v>MTP R2</v>
          </cell>
          <cell r="C1277" t="str">
            <v>Work In Progress (increase/decrease)</v>
          </cell>
          <cell r="D1277" t="str">
            <v>Nov</v>
          </cell>
          <cell r="F1277">
            <v>180</v>
          </cell>
        </row>
        <row r="1278">
          <cell r="A1278" t="str">
            <v>Railways</v>
          </cell>
          <cell r="B1278" t="str">
            <v>MTP R2</v>
          </cell>
          <cell r="C1278" t="str">
            <v>Stock of Raw Materials</v>
          </cell>
          <cell r="D1278" t="str">
            <v>Nov</v>
          </cell>
          <cell r="F1278">
            <v>15</v>
          </cell>
        </row>
        <row r="1279">
          <cell r="A1279" t="str">
            <v>Railways</v>
          </cell>
          <cell r="B1279" t="str">
            <v>MTP R2</v>
          </cell>
          <cell r="C1279" t="str">
            <v>Retention(incl TDS)</v>
          </cell>
          <cell r="D1279" t="str">
            <v>Nov</v>
          </cell>
          <cell r="F1279">
            <v>-125.7636</v>
          </cell>
        </row>
        <row r="1280">
          <cell r="A1280" t="str">
            <v>Railways</v>
          </cell>
          <cell r="B1280" t="str">
            <v>MTP R2</v>
          </cell>
          <cell r="C1280" t="str">
            <v>Projected Profit/Loss on YTD Sales</v>
          </cell>
          <cell r="D1280" t="str">
            <v>Nov</v>
          </cell>
          <cell r="F1280">
            <v>-38390.630000000005</v>
          </cell>
        </row>
        <row r="1281">
          <cell r="A1281" t="str">
            <v>Railways</v>
          </cell>
          <cell r="B1281" t="str">
            <v>MTP R2</v>
          </cell>
          <cell r="C1281" t="str">
            <v>Cash and Bank Balance</v>
          </cell>
          <cell r="D1281" t="str">
            <v>Nov</v>
          </cell>
          <cell r="F1281">
            <v>0</v>
          </cell>
        </row>
        <row r="1282">
          <cell r="A1282" t="str">
            <v>Railways</v>
          </cell>
          <cell r="B1282" t="str">
            <v>MTP R2</v>
          </cell>
          <cell r="C1282" t="str">
            <v>Creditors-Suppliers-net of advance</v>
          </cell>
          <cell r="D1282" t="str">
            <v>Nov</v>
          </cell>
          <cell r="F1282">
            <v>11</v>
          </cell>
        </row>
        <row r="1283">
          <cell r="A1283" t="str">
            <v>Railways</v>
          </cell>
          <cell r="B1283" t="str">
            <v>MTP R2</v>
          </cell>
          <cell r="C1283" t="str">
            <v>Sub-Contractors-net of advance</v>
          </cell>
          <cell r="D1283" t="str">
            <v>Nov</v>
          </cell>
          <cell r="F1283">
            <v>30</v>
          </cell>
        </row>
        <row r="1284">
          <cell r="A1284" t="str">
            <v>Railways</v>
          </cell>
          <cell r="B1284" t="str">
            <v>MTP R2</v>
          </cell>
          <cell r="C1284" t="str">
            <v>Own</v>
          </cell>
          <cell r="D1284" t="str">
            <v>Nov</v>
          </cell>
          <cell r="F1284">
            <v>0</v>
          </cell>
        </row>
        <row r="1285">
          <cell r="A1285" t="str">
            <v>Railways</v>
          </cell>
          <cell r="B1285" t="str">
            <v>MTP R2</v>
          </cell>
          <cell r="C1285" t="str">
            <v>Outstide</v>
          </cell>
          <cell r="D1285" t="str">
            <v>Nov</v>
          </cell>
          <cell r="F1285">
            <v>15</v>
          </cell>
        </row>
        <row r="1286">
          <cell r="A1286" t="str">
            <v>Railways</v>
          </cell>
          <cell r="B1286" t="str">
            <v>MTP R2</v>
          </cell>
          <cell r="C1286" t="str">
            <v>Salaries and Wages Payable</v>
          </cell>
          <cell r="D1286" t="str">
            <v>Nov</v>
          </cell>
          <cell r="F1286">
            <v>0</v>
          </cell>
        </row>
        <row r="1287">
          <cell r="A1287" t="str">
            <v>Railways</v>
          </cell>
          <cell r="B1287" t="str">
            <v>MTP R2</v>
          </cell>
          <cell r="C1287" t="str">
            <v>Mobilisation Adv Outstanding</v>
          </cell>
          <cell r="D1287" t="str">
            <v>Nov</v>
          </cell>
          <cell r="F1287">
            <v>99</v>
          </cell>
        </row>
        <row r="1288">
          <cell r="A1288" t="str">
            <v>Railways</v>
          </cell>
          <cell r="B1288" t="str">
            <v>MTP R2</v>
          </cell>
          <cell r="C1288" t="str">
            <v>Bank Loan outstanding</v>
          </cell>
          <cell r="D1288" t="str">
            <v>Nov</v>
          </cell>
          <cell r="F1288">
            <v>0</v>
          </cell>
        </row>
        <row r="1289">
          <cell r="A1289" t="str">
            <v>Railways</v>
          </cell>
          <cell r="B1289" t="str">
            <v>MTP R2</v>
          </cell>
          <cell r="C1289" t="str">
            <v>HO funding</v>
          </cell>
          <cell r="D1289" t="str">
            <v>Nov</v>
          </cell>
          <cell r="F1289">
            <v>0</v>
          </cell>
        </row>
        <row r="1290">
          <cell r="A1290" t="str">
            <v>Railways</v>
          </cell>
          <cell r="B1290" t="str">
            <v>MTP R2</v>
          </cell>
          <cell r="C1290" t="str">
            <v>Debtors</v>
          </cell>
          <cell r="D1290" t="str">
            <v>Dec</v>
          </cell>
          <cell r="F1290">
            <v>5.7302999999999997</v>
          </cell>
        </row>
        <row r="1291">
          <cell r="A1291" t="str">
            <v>Railways</v>
          </cell>
          <cell r="B1291" t="str">
            <v>MTP R2</v>
          </cell>
          <cell r="C1291" t="str">
            <v>Work In Progress (increase/decrease)</v>
          </cell>
          <cell r="D1291" t="str">
            <v>Dec</v>
          </cell>
          <cell r="F1291">
            <v>195</v>
          </cell>
        </row>
        <row r="1292">
          <cell r="A1292" t="str">
            <v>Railways</v>
          </cell>
          <cell r="B1292" t="str">
            <v>MTP R2</v>
          </cell>
          <cell r="C1292" t="str">
            <v>Stock of Raw Materials</v>
          </cell>
          <cell r="D1292" t="str">
            <v>Dec</v>
          </cell>
          <cell r="F1292">
            <v>15</v>
          </cell>
        </row>
        <row r="1293">
          <cell r="A1293" t="str">
            <v>Railways</v>
          </cell>
          <cell r="B1293" t="str">
            <v>MTP R2</v>
          </cell>
          <cell r="C1293" t="str">
            <v>Retention(incl TDS)</v>
          </cell>
          <cell r="D1293" t="str">
            <v>Dec</v>
          </cell>
          <cell r="F1293">
            <v>-137.4939</v>
          </cell>
        </row>
        <row r="1294">
          <cell r="A1294" t="str">
            <v>Railways</v>
          </cell>
          <cell r="B1294" t="str">
            <v>MTP R2</v>
          </cell>
          <cell r="C1294" t="str">
            <v>Projected Profit/Loss on YTD Sales</v>
          </cell>
          <cell r="D1294" t="str">
            <v>Dec</v>
          </cell>
          <cell r="F1294">
            <v>-41529.560000000005</v>
          </cell>
        </row>
        <row r="1295">
          <cell r="A1295" t="str">
            <v>Railways</v>
          </cell>
          <cell r="B1295" t="str">
            <v>MTP R2</v>
          </cell>
          <cell r="C1295" t="str">
            <v>Cash and Bank Balance</v>
          </cell>
          <cell r="D1295" t="str">
            <v>Dec</v>
          </cell>
          <cell r="F1295">
            <v>0</v>
          </cell>
        </row>
        <row r="1296">
          <cell r="A1296" t="str">
            <v>Railways</v>
          </cell>
          <cell r="B1296" t="str">
            <v>MTP R2</v>
          </cell>
          <cell r="C1296" t="str">
            <v>Creditors-Suppliers-net of advance</v>
          </cell>
          <cell r="D1296" t="str">
            <v>Dec</v>
          </cell>
          <cell r="F1296">
            <v>11</v>
          </cell>
        </row>
        <row r="1297">
          <cell r="A1297" t="str">
            <v>Railways</v>
          </cell>
          <cell r="B1297" t="str">
            <v>MTP R2</v>
          </cell>
          <cell r="C1297" t="str">
            <v>Sub-Contractors-net of advance</v>
          </cell>
          <cell r="D1297" t="str">
            <v>Dec</v>
          </cell>
          <cell r="F1297">
            <v>30</v>
          </cell>
        </row>
        <row r="1298">
          <cell r="A1298" t="str">
            <v>Railways</v>
          </cell>
          <cell r="B1298" t="str">
            <v>MTP R2</v>
          </cell>
          <cell r="C1298" t="str">
            <v>Own</v>
          </cell>
          <cell r="D1298" t="str">
            <v>Dec</v>
          </cell>
          <cell r="F1298">
            <v>0</v>
          </cell>
        </row>
        <row r="1299">
          <cell r="A1299" t="str">
            <v>Railways</v>
          </cell>
          <cell r="B1299" t="str">
            <v>MTP R2</v>
          </cell>
          <cell r="C1299" t="str">
            <v>Outstide</v>
          </cell>
          <cell r="D1299" t="str">
            <v>Dec</v>
          </cell>
          <cell r="F1299">
            <v>15</v>
          </cell>
        </row>
        <row r="1300">
          <cell r="A1300" t="str">
            <v>Railways</v>
          </cell>
          <cell r="B1300" t="str">
            <v>MTP R2</v>
          </cell>
          <cell r="C1300" t="str">
            <v>Salaries and Wages Payable</v>
          </cell>
          <cell r="D1300" t="str">
            <v>Dec</v>
          </cell>
          <cell r="F1300">
            <v>0</v>
          </cell>
        </row>
        <row r="1301">
          <cell r="A1301" t="str">
            <v>Railways</v>
          </cell>
          <cell r="B1301" t="str">
            <v>MTP R2</v>
          </cell>
          <cell r="C1301" t="str">
            <v>Mobilisation Adv Outstanding</v>
          </cell>
          <cell r="D1301" t="str">
            <v>Dec</v>
          </cell>
          <cell r="F1301">
            <v>107.25</v>
          </cell>
        </row>
        <row r="1302">
          <cell r="A1302" t="str">
            <v>Railways</v>
          </cell>
          <cell r="B1302" t="str">
            <v>MTP R2</v>
          </cell>
          <cell r="C1302" t="str">
            <v>Bank Loan outstanding</v>
          </cell>
          <cell r="D1302" t="str">
            <v>Dec</v>
          </cell>
          <cell r="F1302">
            <v>0</v>
          </cell>
        </row>
        <row r="1303">
          <cell r="A1303" t="str">
            <v>Railways</v>
          </cell>
          <cell r="B1303" t="str">
            <v>MTP R2</v>
          </cell>
          <cell r="C1303" t="str">
            <v>HO funding</v>
          </cell>
          <cell r="D1303" t="str">
            <v>Dec</v>
          </cell>
          <cell r="F1303">
            <v>0</v>
          </cell>
        </row>
        <row r="1304">
          <cell r="A1304" t="str">
            <v>Railways</v>
          </cell>
          <cell r="B1304" t="str">
            <v>MTP R2</v>
          </cell>
          <cell r="C1304" t="str">
            <v>Debtors</v>
          </cell>
          <cell r="D1304" t="str">
            <v>Jan</v>
          </cell>
          <cell r="F1304">
            <v>5.7302999999999997</v>
          </cell>
        </row>
        <row r="1305">
          <cell r="A1305" t="str">
            <v>Railways</v>
          </cell>
          <cell r="B1305" t="str">
            <v>MTP R2</v>
          </cell>
          <cell r="C1305" t="str">
            <v>Work In Progress (increase/decrease)</v>
          </cell>
          <cell r="D1305" t="str">
            <v>Jan</v>
          </cell>
          <cell r="F1305">
            <v>210</v>
          </cell>
        </row>
        <row r="1306">
          <cell r="A1306" t="str">
            <v>Railways</v>
          </cell>
          <cell r="B1306" t="str">
            <v>MTP R2</v>
          </cell>
          <cell r="C1306" t="str">
            <v>Stock of Raw Materials</v>
          </cell>
          <cell r="D1306" t="str">
            <v>Jan</v>
          </cell>
          <cell r="F1306">
            <v>15</v>
          </cell>
        </row>
        <row r="1307">
          <cell r="A1307" t="str">
            <v>Railways</v>
          </cell>
          <cell r="B1307" t="str">
            <v>MTP R2</v>
          </cell>
          <cell r="C1307" t="str">
            <v>Retention(incl TDS)</v>
          </cell>
          <cell r="D1307" t="str">
            <v>Jan</v>
          </cell>
          <cell r="F1307">
            <v>-149.2242</v>
          </cell>
        </row>
        <row r="1308">
          <cell r="A1308" t="str">
            <v>Railways</v>
          </cell>
          <cell r="B1308" t="str">
            <v>MTP R2</v>
          </cell>
          <cell r="C1308" t="str">
            <v>Projected Profit/Loss on YTD Sales</v>
          </cell>
          <cell r="D1308" t="str">
            <v>Jan</v>
          </cell>
          <cell r="F1308">
            <v>-44670.040000000008</v>
          </cell>
        </row>
        <row r="1309">
          <cell r="A1309" t="str">
            <v>Railways</v>
          </cell>
          <cell r="B1309" t="str">
            <v>MTP R2</v>
          </cell>
          <cell r="C1309" t="str">
            <v>Cash and Bank Balance</v>
          </cell>
          <cell r="D1309" t="str">
            <v>Jan</v>
          </cell>
          <cell r="F1309">
            <v>0</v>
          </cell>
        </row>
        <row r="1310">
          <cell r="A1310" t="str">
            <v>Railways</v>
          </cell>
          <cell r="B1310" t="str">
            <v>MTP R2</v>
          </cell>
          <cell r="C1310" t="str">
            <v>Creditors-Suppliers-net of advance</v>
          </cell>
          <cell r="D1310" t="str">
            <v>Jan</v>
          </cell>
          <cell r="F1310">
            <v>11</v>
          </cell>
        </row>
        <row r="1311">
          <cell r="A1311" t="str">
            <v>Railways</v>
          </cell>
          <cell r="B1311" t="str">
            <v>MTP R2</v>
          </cell>
          <cell r="C1311" t="str">
            <v>Sub-Contractors-net of advance</v>
          </cell>
          <cell r="D1311" t="str">
            <v>Jan</v>
          </cell>
          <cell r="F1311">
            <v>30</v>
          </cell>
        </row>
        <row r="1312">
          <cell r="A1312" t="str">
            <v>Railways</v>
          </cell>
          <cell r="B1312" t="str">
            <v>MTP R2</v>
          </cell>
          <cell r="C1312" t="str">
            <v>Own</v>
          </cell>
          <cell r="D1312" t="str">
            <v>Jan</v>
          </cell>
          <cell r="F1312">
            <v>0</v>
          </cell>
        </row>
        <row r="1313">
          <cell r="A1313" t="str">
            <v>Railways</v>
          </cell>
          <cell r="B1313" t="str">
            <v>MTP R2</v>
          </cell>
          <cell r="C1313" t="str">
            <v>Outstide</v>
          </cell>
          <cell r="D1313" t="str">
            <v>Jan</v>
          </cell>
          <cell r="F1313">
            <v>15</v>
          </cell>
        </row>
        <row r="1314">
          <cell r="A1314" t="str">
            <v>Railways</v>
          </cell>
          <cell r="B1314" t="str">
            <v>MTP R2</v>
          </cell>
          <cell r="C1314" t="str">
            <v>Salaries and Wages Payable</v>
          </cell>
          <cell r="D1314" t="str">
            <v>Jan</v>
          </cell>
          <cell r="F1314">
            <v>0</v>
          </cell>
        </row>
        <row r="1315">
          <cell r="A1315" t="str">
            <v>Railways</v>
          </cell>
          <cell r="B1315" t="str">
            <v>MTP R2</v>
          </cell>
          <cell r="C1315" t="str">
            <v>Mobilisation Adv Outstanding</v>
          </cell>
          <cell r="D1315" t="str">
            <v>Jan</v>
          </cell>
          <cell r="F1315">
            <v>115.5</v>
          </cell>
        </row>
        <row r="1316">
          <cell r="A1316" t="str">
            <v>Railways</v>
          </cell>
          <cell r="B1316" t="str">
            <v>MTP R2</v>
          </cell>
          <cell r="C1316" t="str">
            <v>Bank Loan outstanding</v>
          </cell>
          <cell r="D1316" t="str">
            <v>Jan</v>
          </cell>
          <cell r="F1316">
            <v>0</v>
          </cell>
        </row>
        <row r="1317">
          <cell r="A1317" t="str">
            <v>Railways</v>
          </cell>
          <cell r="B1317" t="str">
            <v>MTP R2</v>
          </cell>
          <cell r="C1317" t="str">
            <v>HO funding</v>
          </cell>
          <cell r="D1317" t="str">
            <v>Jan</v>
          </cell>
          <cell r="F1317">
            <v>0</v>
          </cell>
        </row>
        <row r="1318">
          <cell r="A1318" t="str">
            <v>Railways</v>
          </cell>
          <cell r="B1318" t="str">
            <v>MTP R2</v>
          </cell>
          <cell r="C1318" t="str">
            <v>Debtors</v>
          </cell>
          <cell r="D1318" t="str">
            <v>Feb</v>
          </cell>
          <cell r="F1318">
            <v>5.7302999999999997</v>
          </cell>
        </row>
        <row r="1319">
          <cell r="A1319" t="str">
            <v>Railways</v>
          </cell>
          <cell r="B1319" t="str">
            <v>MTP R2</v>
          </cell>
          <cell r="C1319" t="str">
            <v>Work In Progress (increase/decrease)</v>
          </cell>
          <cell r="D1319" t="str">
            <v>Feb</v>
          </cell>
          <cell r="F1319">
            <v>225</v>
          </cell>
        </row>
        <row r="1320">
          <cell r="A1320" t="str">
            <v>Railways</v>
          </cell>
          <cell r="B1320" t="str">
            <v>MTP R2</v>
          </cell>
          <cell r="C1320" t="str">
            <v>Stock of Raw Materials</v>
          </cell>
          <cell r="D1320" t="str">
            <v>Feb</v>
          </cell>
          <cell r="F1320">
            <v>15</v>
          </cell>
        </row>
        <row r="1321">
          <cell r="A1321" t="str">
            <v>Railways</v>
          </cell>
          <cell r="B1321" t="str">
            <v>MTP R2</v>
          </cell>
          <cell r="C1321" t="str">
            <v>Retention(incl TDS)</v>
          </cell>
          <cell r="D1321" t="str">
            <v>Feb</v>
          </cell>
          <cell r="F1321">
            <v>-160.9545</v>
          </cell>
        </row>
        <row r="1322">
          <cell r="A1322" t="str">
            <v>Railways</v>
          </cell>
          <cell r="B1322" t="str">
            <v>MTP R2</v>
          </cell>
          <cell r="C1322" t="str">
            <v>Projected Profit/Loss on YTD Sales</v>
          </cell>
          <cell r="D1322" t="str">
            <v>Feb</v>
          </cell>
          <cell r="F1322">
            <v>-47812.060000000005</v>
          </cell>
        </row>
        <row r="1323">
          <cell r="A1323" t="str">
            <v>Railways</v>
          </cell>
          <cell r="B1323" t="str">
            <v>MTP R2</v>
          </cell>
          <cell r="C1323" t="str">
            <v>Cash and Bank Balance</v>
          </cell>
          <cell r="D1323" t="str">
            <v>Feb</v>
          </cell>
          <cell r="F1323">
            <v>0</v>
          </cell>
        </row>
        <row r="1324">
          <cell r="A1324" t="str">
            <v>Railways</v>
          </cell>
          <cell r="B1324" t="str">
            <v>MTP R2</v>
          </cell>
          <cell r="C1324" t="str">
            <v>Creditors-Suppliers-net of advance</v>
          </cell>
          <cell r="D1324" t="str">
            <v>Feb</v>
          </cell>
          <cell r="F1324">
            <v>11</v>
          </cell>
        </row>
        <row r="1325">
          <cell r="A1325" t="str">
            <v>Railways</v>
          </cell>
          <cell r="B1325" t="str">
            <v>MTP R2</v>
          </cell>
          <cell r="C1325" t="str">
            <v>Sub-Contractors-net of advance</v>
          </cell>
          <cell r="D1325" t="str">
            <v>Feb</v>
          </cell>
          <cell r="F1325">
            <v>30</v>
          </cell>
        </row>
        <row r="1326">
          <cell r="A1326" t="str">
            <v>Railways</v>
          </cell>
          <cell r="B1326" t="str">
            <v>MTP R2</v>
          </cell>
          <cell r="C1326" t="str">
            <v>Own</v>
          </cell>
          <cell r="D1326" t="str">
            <v>Feb</v>
          </cell>
          <cell r="F1326">
            <v>0</v>
          </cell>
        </row>
        <row r="1327">
          <cell r="A1327" t="str">
            <v>Railways</v>
          </cell>
          <cell r="B1327" t="str">
            <v>MTP R2</v>
          </cell>
          <cell r="C1327" t="str">
            <v>Outstide</v>
          </cell>
          <cell r="D1327" t="str">
            <v>Feb</v>
          </cell>
          <cell r="F1327">
            <v>15</v>
          </cell>
        </row>
        <row r="1328">
          <cell r="A1328" t="str">
            <v>Railways</v>
          </cell>
          <cell r="B1328" t="str">
            <v>MTP R2</v>
          </cell>
          <cell r="C1328" t="str">
            <v>Salaries and Wages Payable</v>
          </cell>
          <cell r="D1328" t="str">
            <v>Feb</v>
          </cell>
          <cell r="F1328">
            <v>0</v>
          </cell>
        </row>
        <row r="1329">
          <cell r="A1329" t="str">
            <v>Railways</v>
          </cell>
          <cell r="B1329" t="str">
            <v>MTP R2</v>
          </cell>
          <cell r="C1329" t="str">
            <v>Mobilisation Adv Outstanding</v>
          </cell>
          <cell r="D1329" t="str">
            <v>Feb</v>
          </cell>
          <cell r="F1329">
            <v>123.75</v>
          </cell>
        </row>
        <row r="1330">
          <cell r="A1330" t="str">
            <v>Railways</v>
          </cell>
          <cell r="B1330" t="str">
            <v>MTP R2</v>
          </cell>
          <cell r="C1330" t="str">
            <v>Bank Loan outstanding</v>
          </cell>
          <cell r="D1330" t="str">
            <v>Feb</v>
          </cell>
          <cell r="F1330">
            <v>0</v>
          </cell>
        </row>
        <row r="1331">
          <cell r="A1331" t="str">
            <v>Railways</v>
          </cell>
          <cell r="B1331" t="str">
            <v>MTP R2</v>
          </cell>
          <cell r="C1331" t="str">
            <v>HO funding</v>
          </cell>
          <cell r="D1331" t="str">
            <v>Feb</v>
          </cell>
          <cell r="F1331">
            <v>0</v>
          </cell>
        </row>
        <row r="1332">
          <cell r="A1332" t="str">
            <v>Railways</v>
          </cell>
          <cell r="B1332" t="str">
            <v>MTP R2</v>
          </cell>
          <cell r="C1332" t="str">
            <v>Debtors</v>
          </cell>
          <cell r="D1332" t="str">
            <v>Mar</v>
          </cell>
          <cell r="F1332">
            <v>5.7302999999999997</v>
          </cell>
        </row>
        <row r="1333">
          <cell r="A1333" t="str">
            <v>Railways</v>
          </cell>
          <cell r="B1333" t="str">
            <v>MTP R2</v>
          </cell>
          <cell r="C1333" t="str">
            <v>Work In Progress (increase/decrease)</v>
          </cell>
          <cell r="D1333" t="str">
            <v>Mar</v>
          </cell>
          <cell r="F1333">
            <v>240</v>
          </cell>
        </row>
        <row r="1334">
          <cell r="A1334" t="str">
            <v>Railways</v>
          </cell>
          <cell r="B1334" t="str">
            <v>MTP R2</v>
          </cell>
          <cell r="C1334" t="str">
            <v>Stock of Raw Materials</v>
          </cell>
          <cell r="D1334" t="str">
            <v>Mar</v>
          </cell>
          <cell r="F1334">
            <v>0</v>
          </cell>
        </row>
        <row r="1335">
          <cell r="A1335" t="str">
            <v>Railways</v>
          </cell>
          <cell r="B1335" t="str">
            <v>MTP R2</v>
          </cell>
          <cell r="C1335" t="str">
            <v>Retention(incl TDS)</v>
          </cell>
          <cell r="D1335" t="str">
            <v>Mar</v>
          </cell>
          <cell r="F1335">
            <v>-172.6848</v>
          </cell>
        </row>
        <row r="1336">
          <cell r="A1336" t="str">
            <v>Railways</v>
          </cell>
          <cell r="B1336" t="str">
            <v>MTP R2</v>
          </cell>
          <cell r="C1336" t="str">
            <v>Projected Profit/Loss on YTD Sales</v>
          </cell>
          <cell r="D1336" t="str">
            <v>Mar</v>
          </cell>
          <cell r="F1336">
            <v>-50955.640000000007</v>
          </cell>
        </row>
        <row r="1337">
          <cell r="A1337" t="str">
            <v>Railways</v>
          </cell>
          <cell r="B1337" t="str">
            <v>MTP R2</v>
          </cell>
          <cell r="C1337" t="str">
            <v>Cash and Bank Balance</v>
          </cell>
          <cell r="D1337" t="str">
            <v>Mar</v>
          </cell>
          <cell r="F1337">
            <v>0</v>
          </cell>
        </row>
        <row r="1338">
          <cell r="A1338" t="str">
            <v>Railways</v>
          </cell>
          <cell r="B1338" t="str">
            <v>MTP R2</v>
          </cell>
          <cell r="C1338" t="str">
            <v>Creditors-Suppliers-net of advance</v>
          </cell>
          <cell r="D1338" t="str">
            <v>Mar</v>
          </cell>
          <cell r="F1338">
            <v>11</v>
          </cell>
        </row>
        <row r="1339">
          <cell r="A1339" t="str">
            <v>Railways</v>
          </cell>
          <cell r="B1339" t="str">
            <v>MTP R2</v>
          </cell>
          <cell r="C1339" t="str">
            <v>Sub-Contractors-net of advance</v>
          </cell>
          <cell r="D1339" t="str">
            <v>Mar</v>
          </cell>
          <cell r="F1339">
            <v>30</v>
          </cell>
        </row>
        <row r="1340">
          <cell r="A1340" t="str">
            <v>Railways</v>
          </cell>
          <cell r="B1340" t="str">
            <v>MTP R2</v>
          </cell>
          <cell r="C1340" t="str">
            <v>Own</v>
          </cell>
          <cell r="D1340" t="str">
            <v>Mar</v>
          </cell>
          <cell r="F1340">
            <v>0</v>
          </cell>
        </row>
        <row r="1341">
          <cell r="A1341" t="str">
            <v>Railways</v>
          </cell>
          <cell r="B1341" t="str">
            <v>MTP R2</v>
          </cell>
          <cell r="C1341" t="str">
            <v>Outstide</v>
          </cell>
          <cell r="D1341" t="str">
            <v>Mar</v>
          </cell>
          <cell r="F1341">
            <v>15</v>
          </cell>
        </row>
        <row r="1342">
          <cell r="A1342" t="str">
            <v>Railways</v>
          </cell>
          <cell r="B1342" t="str">
            <v>MTP R2</v>
          </cell>
          <cell r="C1342" t="str">
            <v>Salaries and Wages Payable</v>
          </cell>
          <cell r="D1342" t="str">
            <v>Mar</v>
          </cell>
          <cell r="F1342">
            <v>0</v>
          </cell>
        </row>
        <row r="1343">
          <cell r="A1343" t="str">
            <v>Railways</v>
          </cell>
          <cell r="B1343" t="str">
            <v>MTP R2</v>
          </cell>
          <cell r="C1343" t="str">
            <v>Mobilisation Adv Outstanding</v>
          </cell>
          <cell r="D1343" t="str">
            <v>Mar</v>
          </cell>
          <cell r="F1343">
            <v>132</v>
          </cell>
        </row>
        <row r="1344">
          <cell r="A1344" t="str">
            <v>Railways</v>
          </cell>
          <cell r="B1344" t="str">
            <v>MTP R2</v>
          </cell>
          <cell r="C1344" t="str">
            <v>Bank Loan outstanding</v>
          </cell>
          <cell r="D1344" t="str">
            <v>Mar</v>
          </cell>
          <cell r="F1344">
            <v>0</v>
          </cell>
        </row>
        <row r="1345">
          <cell r="A1345" t="str">
            <v>Railways</v>
          </cell>
          <cell r="B1345" t="str">
            <v>MTP R2</v>
          </cell>
          <cell r="C1345" t="str">
            <v>HO funding</v>
          </cell>
          <cell r="D1345" t="str">
            <v>Mar</v>
          </cell>
          <cell r="F1345">
            <v>0</v>
          </cell>
        </row>
        <row r="1346">
          <cell r="A1346" t="str">
            <v>Power</v>
          </cell>
          <cell r="B1346" t="str">
            <v>GEPL</v>
          </cell>
          <cell r="C1346" t="str">
            <v>Debtors</v>
          </cell>
          <cell r="D1346" t="str">
            <v>Apr</v>
          </cell>
          <cell r="F1346">
            <v>69.179120000000012</v>
          </cell>
        </row>
        <row r="1347">
          <cell r="A1347" t="str">
            <v>Power</v>
          </cell>
          <cell r="B1347" t="str">
            <v>GEPL</v>
          </cell>
          <cell r="C1347" t="str">
            <v>Work In Progress (increase/decrease)</v>
          </cell>
          <cell r="D1347" t="str">
            <v>Apr</v>
          </cell>
          <cell r="F1347">
            <v>170</v>
          </cell>
        </row>
        <row r="1348">
          <cell r="A1348" t="str">
            <v>Power</v>
          </cell>
          <cell r="B1348" t="str">
            <v>GEPL</v>
          </cell>
          <cell r="C1348" t="str">
            <v>Stock of Raw Materials</v>
          </cell>
          <cell r="D1348" t="str">
            <v>Apr</v>
          </cell>
          <cell r="F1348">
            <v>119</v>
          </cell>
        </row>
        <row r="1349">
          <cell r="A1349" t="str">
            <v>Power</v>
          </cell>
          <cell r="B1349" t="str">
            <v>GEPL</v>
          </cell>
          <cell r="C1349" t="str">
            <v>Retention(incl TDS)</v>
          </cell>
          <cell r="D1349" t="str">
            <v>Apr</v>
          </cell>
          <cell r="F1349">
            <v>-350.09120000000001</v>
          </cell>
        </row>
        <row r="1350">
          <cell r="A1350" t="str">
            <v>Power</v>
          </cell>
          <cell r="B1350" t="str">
            <v>GEPL</v>
          </cell>
          <cell r="C1350" t="str">
            <v>Projected Profit/Loss on YTD Sales</v>
          </cell>
          <cell r="D1350" t="str">
            <v>Apr</v>
          </cell>
          <cell r="F1350">
            <v>-45186</v>
          </cell>
        </row>
        <row r="1351">
          <cell r="A1351" t="str">
            <v>Power</v>
          </cell>
          <cell r="B1351" t="str">
            <v>GEPL</v>
          </cell>
          <cell r="C1351" t="str">
            <v>Cash and Bank Balance</v>
          </cell>
          <cell r="D1351" t="str">
            <v>Apr</v>
          </cell>
          <cell r="F1351">
            <v>0</v>
          </cell>
        </row>
        <row r="1352">
          <cell r="A1352" t="str">
            <v>Power</v>
          </cell>
          <cell r="B1352" t="str">
            <v>GEPL</v>
          </cell>
          <cell r="C1352" t="str">
            <v>Creditors-Suppliers-net of advance</v>
          </cell>
          <cell r="D1352" t="str">
            <v>Apr</v>
          </cell>
          <cell r="F1352">
            <v>79</v>
          </cell>
        </row>
        <row r="1353">
          <cell r="A1353" t="str">
            <v>Power</v>
          </cell>
          <cell r="B1353" t="str">
            <v>GEPL</v>
          </cell>
          <cell r="C1353" t="str">
            <v>Sub-Contractors-net of advance</v>
          </cell>
          <cell r="D1353" t="str">
            <v>Apr</v>
          </cell>
          <cell r="F1353">
            <v>-238</v>
          </cell>
        </row>
        <row r="1354">
          <cell r="A1354" t="str">
            <v>Power</v>
          </cell>
          <cell r="B1354" t="str">
            <v>GEPL</v>
          </cell>
          <cell r="C1354" t="str">
            <v>Own</v>
          </cell>
          <cell r="D1354" t="str">
            <v>Apr</v>
          </cell>
          <cell r="F1354">
            <v>-238</v>
          </cell>
        </row>
        <row r="1355">
          <cell r="A1355" t="str">
            <v>Power</v>
          </cell>
          <cell r="B1355" t="str">
            <v>GEPL</v>
          </cell>
          <cell r="C1355" t="str">
            <v>Outstide</v>
          </cell>
          <cell r="D1355" t="str">
            <v>Apr</v>
          </cell>
          <cell r="F1355">
            <v>102</v>
          </cell>
        </row>
        <row r="1356">
          <cell r="A1356" t="str">
            <v>Power</v>
          </cell>
          <cell r="B1356" t="str">
            <v>GEPL</v>
          </cell>
          <cell r="C1356" t="str">
            <v>Salaries and Wages Payable</v>
          </cell>
          <cell r="D1356" t="str">
            <v>Apr</v>
          </cell>
          <cell r="F1356">
            <v>0</v>
          </cell>
        </row>
        <row r="1357">
          <cell r="A1357" t="str">
            <v>Power</v>
          </cell>
          <cell r="B1357" t="str">
            <v>GEPL</v>
          </cell>
          <cell r="C1357" t="str">
            <v>Mobilisation Adv Outstanding</v>
          </cell>
          <cell r="D1357" t="str">
            <v>Apr</v>
          </cell>
          <cell r="F1357">
            <v>425</v>
          </cell>
        </row>
        <row r="1358">
          <cell r="A1358" t="str">
            <v>Power</v>
          </cell>
          <cell r="B1358" t="str">
            <v>GEPL</v>
          </cell>
          <cell r="C1358" t="str">
            <v>Bank Loan outstanding</v>
          </cell>
          <cell r="D1358" t="str">
            <v>Apr</v>
          </cell>
          <cell r="F1358">
            <v>0</v>
          </cell>
        </row>
        <row r="1359">
          <cell r="A1359" t="str">
            <v>Power</v>
          </cell>
          <cell r="B1359" t="str">
            <v>GEPL</v>
          </cell>
          <cell r="C1359" t="str">
            <v>HO funding</v>
          </cell>
          <cell r="D1359" t="str">
            <v>Apr</v>
          </cell>
          <cell r="F1359">
            <v>0</v>
          </cell>
        </row>
        <row r="1360">
          <cell r="A1360" t="str">
            <v>Power</v>
          </cell>
          <cell r="B1360" t="str">
            <v>GEPL</v>
          </cell>
          <cell r="C1360" t="str">
            <v>Debtors</v>
          </cell>
          <cell r="D1360" t="str">
            <v>May</v>
          </cell>
          <cell r="F1360">
            <v>69.179120000000012</v>
          </cell>
        </row>
        <row r="1361">
          <cell r="A1361" t="str">
            <v>Power</v>
          </cell>
          <cell r="B1361" t="str">
            <v>GEPL</v>
          </cell>
          <cell r="C1361" t="str">
            <v>Work In Progress (increase/decrease)</v>
          </cell>
          <cell r="D1361" t="str">
            <v>May</v>
          </cell>
          <cell r="F1361">
            <v>204</v>
          </cell>
        </row>
        <row r="1362">
          <cell r="A1362" t="str">
            <v>Power</v>
          </cell>
          <cell r="B1362" t="str">
            <v>GEPL</v>
          </cell>
          <cell r="C1362" t="str">
            <v>Stock of Raw Materials</v>
          </cell>
          <cell r="D1362" t="str">
            <v>May</v>
          </cell>
          <cell r="F1362">
            <v>119</v>
          </cell>
        </row>
        <row r="1363">
          <cell r="A1363" t="str">
            <v>Power</v>
          </cell>
          <cell r="B1363" t="str">
            <v>GEPL</v>
          </cell>
          <cell r="C1363" t="str">
            <v>Retention(incl TDS)</v>
          </cell>
          <cell r="D1363" t="str">
            <v>May</v>
          </cell>
          <cell r="F1363">
            <v>-440.50944000000004</v>
          </cell>
        </row>
        <row r="1364">
          <cell r="A1364" t="str">
            <v>Power</v>
          </cell>
          <cell r="B1364" t="str">
            <v>GEPL</v>
          </cell>
          <cell r="C1364" t="str">
            <v>Projected Profit/Loss on YTD Sales</v>
          </cell>
          <cell r="D1364" t="str">
            <v>May</v>
          </cell>
          <cell r="F1364">
            <v>-54026</v>
          </cell>
        </row>
        <row r="1365">
          <cell r="A1365" t="str">
            <v>Power</v>
          </cell>
          <cell r="B1365" t="str">
            <v>GEPL</v>
          </cell>
          <cell r="C1365" t="str">
            <v>Cash and Bank Balance</v>
          </cell>
          <cell r="D1365" t="str">
            <v>May</v>
          </cell>
          <cell r="F1365">
            <v>0</v>
          </cell>
        </row>
        <row r="1366">
          <cell r="A1366" t="str">
            <v>Power</v>
          </cell>
          <cell r="B1366" t="str">
            <v>GEPL</v>
          </cell>
          <cell r="C1366" t="str">
            <v>Creditors-Suppliers-net of advance</v>
          </cell>
          <cell r="D1366" t="str">
            <v>May</v>
          </cell>
          <cell r="F1366">
            <v>79</v>
          </cell>
        </row>
        <row r="1367">
          <cell r="A1367" t="str">
            <v>Power</v>
          </cell>
          <cell r="B1367" t="str">
            <v>GEPL</v>
          </cell>
          <cell r="C1367" t="str">
            <v>Sub-Contractors-net of advance</v>
          </cell>
          <cell r="D1367" t="str">
            <v>May</v>
          </cell>
          <cell r="F1367">
            <v>-204</v>
          </cell>
        </row>
        <row r="1368">
          <cell r="A1368" t="str">
            <v>Power</v>
          </cell>
          <cell r="B1368" t="str">
            <v>GEPL</v>
          </cell>
          <cell r="C1368" t="str">
            <v>Own</v>
          </cell>
          <cell r="D1368" t="str">
            <v>May</v>
          </cell>
          <cell r="F1368">
            <v>-306</v>
          </cell>
        </row>
        <row r="1369">
          <cell r="A1369" t="str">
            <v>Power</v>
          </cell>
          <cell r="B1369" t="str">
            <v>GEPL</v>
          </cell>
          <cell r="C1369" t="str">
            <v>Outstide</v>
          </cell>
          <cell r="D1369" t="str">
            <v>May</v>
          </cell>
          <cell r="F1369">
            <v>102</v>
          </cell>
        </row>
        <row r="1370">
          <cell r="A1370" t="str">
            <v>Power</v>
          </cell>
          <cell r="B1370" t="str">
            <v>GEPL</v>
          </cell>
          <cell r="C1370" t="str">
            <v>Salaries and Wages Payable</v>
          </cell>
          <cell r="D1370" t="str">
            <v>May</v>
          </cell>
          <cell r="F1370">
            <v>0</v>
          </cell>
        </row>
        <row r="1371">
          <cell r="A1371" t="str">
            <v>Power</v>
          </cell>
          <cell r="B1371" t="str">
            <v>GEPL</v>
          </cell>
          <cell r="C1371" t="str">
            <v>Mobilisation Adv Outstanding</v>
          </cell>
          <cell r="D1371" t="str">
            <v>May</v>
          </cell>
          <cell r="F1371">
            <v>510</v>
          </cell>
        </row>
        <row r="1372">
          <cell r="A1372" t="str">
            <v>Power</v>
          </cell>
          <cell r="B1372" t="str">
            <v>GEPL</v>
          </cell>
          <cell r="C1372" t="str">
            <v>Bank Loan outstanding</v>
          </cell>
          <cell r="D1372" t="str">
            <v>May</v>
          </cell>
          <cell r="F1372">
            <v>0</v>
          </cell>
        </row>
        <row r="1373">
          <cell r="A1373" t="str">
            <v>Power</v>
          </cell>
          <cell r="B1373" t="str">
            <v>GEPL</v>
          </cell>
          <cell r="C1373" t="str">
            <v>HO funding</v>
          </cell>
          <cell r="D1373" t="str">
            <v>May</v>
          </cell>
          <cell r="F1373">
            <v>0</v>
          </cell>
        </row>
        <row r="1374">
          <cell r="A1374" t="str">
            <v>Power</v>
          </cell>
          <cell r="B1374" t="str">
            <v>GEPL</v>
          </cell>
          <cell r="C1374" t="str">
            <v>Debtors</v>
          </cell>
          <cell r="D1374" t="str">
            <v>June</v>
          </cell>
          <cell r="F1374">
            <v>69.179120000000012</v>
          </cell>
        </row>
        <row r="1375">
          <cell r="A1375" t="str">
            <v>Power</v>
          </cell>
          <cell r="B1375" t="str">
            <v>GEPL</v>
          </cell>
          <cell r="C1375" t="str">
            <v>Work In Progress (increase/decrease)</v>
          </cell>
          <cell r="D1375" t="str">
            <v>June</v>
          </cell>
          <cell r="F1375">
            <v>238</v>
          </cell>
        </row>
        <row r="1376">
          <cell r="A1376" t="str">
            <v>Power</v>
          </cell>
          <cell r="B1376" t="str">
            <v>GEPL</v>
          </cell>
          <cell r="C1376" t="str">
            <v>Stock of Raw Materials</v>
          </cell>
          <cell r="D1376" t="str">
            <v>June</v>
          </cell>
          <cell r="F1376">
            <v>119</v>
          </cell>
        </row>
        <row r="1377">
          <cell r="A1377" t="str">
            <v>Power</v>
          </cell>
          <cell r="B1377" t="str">
            <v>GEPL</v>
          </cell>
          <cell r="C1377" t="str">
            <v>Retention(incl TDS)</v>
          </cell>
          <cell r="D1377" t="str">
            <v>June</v>
          </cell>
          <cell r="F1377">
            <v>-530.92768000000001</v>
          </cell>
        </row>
        <row r="1378">
          <cell r="A1378" t="str">
            <v>Power</v>
          </cell>
          <cell r="B1378" t="str">
            <v>GEPL</v>
          </cell>
          <cell r="C1378" t="str">
            <v>Projected Profit/Loss on YTD Sales</v>
          </cell>
          <cell r="D1378" t="str">
            <v>June</v>
          </cell>
          <cell r="F1378">
            <v>-62866</v>
          </cell>
        </row>
        <row r="1379">
          <cell r="A1379" t="str">
            <v>Power</v>
          </cell>
          <cell r="B1379" t="str">
            <v>GEPL</v>
          </cell>
          <cell r="C1379" t="str">
            <v>Cash and Bank Balance</v>
          </cell>
          <cell r="D1379" t="str">
            <v>June</v>
          </cell>
          <cell r="F1379">
            <v>0</v>
          </cell>
        </row>
        <row r="1380">
          <cell r="A1380" t="str">
            <v>Power</v>
          </cell>
          <cell r="B1380" t="str">
            <v>GEPL</v>
          </cell>
          <cell r="C1380" t="str">
            <v>Creditors-Suppliers-net of advance</v>
          </cell>
          <cell r="D1380" t="str">
            <v>June</v>
          </cell>
          <cell r="F1380">
            <v>79</v>
          </cell>
        </row>
        <row r="1381">
          <cell r="A1381" t="str">
            <v>Power</v>
          </cell>
          <cell r="B1381" t="str">
            <v>GEPL</v>
          </cell>
          <cell r="C1381" t="str">
            <v>Sub-Contractors-net of advance</v>
          </cell>
          <cell r="D1381" t="str">
            <v>June</v>
          </cell>
          <cell r="F1381">
            <v>102</v>
          </cell>
        </row>
        <row r="1382">
          <cell r="A1382" t="str">
            <v>Power</v>
          </cell>
          <cell r="B1382" t="str">
            <v>GEPL</v>
          </cell>
          <cell r="C1382" t="str">
            <v>Own</v>
          </cell>
          <cell r="D1382" t="str">
            <v>June</v>
          </cell>
          <cell r="F1382">
            <v>-374</v>
          </cell>
        </row>
        <row r="1383">
          <cell r="A1383" t="str">
            <v>Power</v>
          </cell>
          <cell r="B1383" t="str">
            <v>GEPL</v>
          </cell>
          <cell r="C1383" t="str">
            <v>Outstide</v>
          </cell>
          <cell r="D1383" t="str">
            <v>June</v>
          </cell>
          <cell r="F1383">
            <v>102</v>
          </cell>
        </row>
        <row r="1384">
          <cell r="A1384" t="str">
            <v>Power</v>
          </cell>
          <cell r="B1384" t="str">
            <v>GEPL</v>
          </cell>
          <cell r="C1384" t="str">
            <v>Salaries and Wages Payable</v>
          </cell>
          <cell r="D1384" t="str">
            <v>June</v>
          </cell>
          <cell r="F1384">
            <v>0</v>
          </cell>
        </row>
        <row r="1385">
          <cell r="A1385" t="str">
            <v>Power</v>
          </cell>
          <cell r="B1385" t="str">
            <v>GEPL</v>
          </cell>
          <cell r="C1385" t="str">
            <v>Mobilisation Adv Outstanding</v>
          </cell>
          <cell r="D1385" t="str">
            <v>June</v>
          </cell>
          <cell r="F1385">
            <v>595</v>
          </cell>
        </row>
        <row r="1386">
          <cell r="A1386" t="str">
            <v>Power</v>
          </cell>
          <cell r="B1386" t="str">
            <v>GEPL</v>
          </cell>
          <cell r="C1386" t="str">
            <v>Bank Loan outstanding</v>
          </cell>
          <cell r="D1386" t="str">
            <v>June</v>
          </cell>
          <cell r="F1386">
            <v>0</v>
          </cell>
        </row>
        <row r="1387">
          <cell r="A1387" t="str">
            <v>Power</v>
          </cell>
          <cell r="B1387" t="str">
            <v>GEPL</v>
          </cell>
          <cell r="C1387" t="str">
            <v>HO funding</v>
          </cell>
          <cell r="D1387" t="str">
            <v>June</v>
          </cell>
          <cell r="F1387">
            <v>0</v>
          </cell>
        </row>
        <row r="1388">
          <cell r="A1388" t="str">
            <v>Power</v>
          </cell>
          <cell r="B1388" t="str">
            <v>GEPL</v>
          </cell>
          <cell r="C1388" t="str">
            <v>Debtors</v>
          </cell>
          <cell r="D1388" t="str">
            <v>July</v>
          </cell>
          <cell r="F1388">
            <v>69.179120000000012</v>
          </cell>
        </row>
        <row r="1389">
          <cell r="A1389" t="str">
            <v>Power</v>
          </cell>
          <cell r="B1389" t="str">
            <v>GEPL</v>
          </cell>
          <cell r="C1389" t="str">
            <v>Work In Progress (increase/decrease)</v>
          </cell>
          <cell r="D1389" t="str">
            <v>July</v>
          </cell>
          <cell r="F1389">
            <v>272</v>
          </cell>
        </row>
        <row r="1390">
          <cell r="A1390" t="str">
            <v>Power</v>
          </cell>
          <cell r="B1390" t="str">
            <v>GEPL</v>
          </cell>
          <cell r="C1390" t="str">
            <v>Stock of Raw Materials</v>
          </cell>
          <cell r="D1390" t="str">
            <v>July</v>
          </cell>
          <cell r="F1390">
            <v>119</v>
          </cell>
        </row>
        <row r="1391">
          <cell r="A1391" t="str">
            <v>Power</v>
          </cell>
          <cell r="B1391" t="str">
            <v>GEPL</v>
          </cell>
          <cell r="C1391" t="str">
            <v>Retention(incl TDS)</v>
          </cell>
          <cell r="D1391" t="str">
            <v>July</v>
          </cell>
          <cell r="F1391">
            <v>-621.34592000000009</v>
          </cell>
        </row>
        <row r="1392">
          <cell r="A1392" t="str">
            <v>Power</v>
          </cell>
          <cell r="B1392" t="str">
            <v>GEPL</v>
          </cell>
          <cell r="C1392" t="str">
            <v>Projected Profit/Loss on YTD Sales</v>
          </cell>
          <cell r="D1392" t="str">
            <v>July</v>
          </cell>
          <cell r="F1392">
            <v>-71706</v>
          </cell>
        </row>
        <row r="1393">
          <cell r="A1393" t="str">
            <v>Power</v>
          </cell>
          <cell r="B1393" t="str">
            <v>GEPL</v>
          </cell>
          <cell r="C1393" t="str">
            <v>Cash and Bank Balance</v>
          </cell>
          <cell r="D1393" t="str">
            <v>July</v>
          </cell>
          <cell r="F1393">
            <v>0</v>
          </cell>
        </row>
        <row r="1394">
          <cell r="A1394" t="str">
            <v>Power</v>
          </cell>
          <cell r="B1394" t="str">
            <v>GEPL</v>
          </cell>
          <cell r="C1394" t="str">
            <v>Creditors-Suppliers-net of advance</v>
          </cell>
          <cell r="D1394" t="str">
            <v>July</v>
          </cell>
          <cell r="F1394">
            <v>79</v>
          </cell>
        </row>
        <row r="1395">
          <cell r="A1395" t="str">
            <v>Power</v>
          </cell>
          <cell r="B1395" t="str">
            <v>GEPL</v>
          </cell>
          <cell r="C1395" t="str">
            <v>Sub-Contractors-net of advance</v>
          </cell>
          <cell r="D1395" t="str">
            <v>July</v>
          </cell>
          <cell r="F1395">
            <v>34</v>
          </cell>
        </row>
        <row r="1396">
          <cell r="A1396" t="str">
            <v>Power</v>
          </cell>
          <cell r="B1396" t="str">
            <v>GEPL</v>
          </cell>
          <cell r="C1396" t="str">
            <v>Own</v>
          </cell>
          <cell r="D1396" t="str">
            <v>July</v>
          </cell>
          <cell r="F1396">
            <v>-442</v>
          </cell>
        </row>
        <row r="1397">
          <cell r="A1397" t="str">
            <v>Power</v>
          </cell>
          <cell r="B1397" t="str">
            <v>GEPL</v>
          </cell>
          <cell r="C1397" t="str">
            <v>Outstide</v>
          </cell>
          <cell r="D1397" t="str">
            <v>July</v>
          </cell>
          <cell r="F1397">
            <v>102</v>
          </cell>
        </row>
        <row r="1398">
          <cell r="A1398" t="str">
            <v>Power</v>
          </cell>
          <cell r="B1398" t="str">
            <v>GEPL</v>
          </cell>
          <cell r="C1398" t="str">
            <v>Salaries and Wages Payable</v>
          </cell>
          <cell r="D1398" t="str">
            <v>July</v>
          </cell>
          <cell r="F1398">
            <v>0</v>
          </cell>
        </row>
        <row r="1399">
          <cell r="A1399" t="str">
            <v>Power</v>
          </cell>
          <cell r="B1399" t="str">
            <v>GEPL</v>
          </cell>
          <cell r="C1399" t="str">
            <v>Mobilisation Adv Outstanding</v>
          </cell>
          <cell r="D1399" t="str">
            <v>July</v>
          </cell>
          <cell r="F1399">
            <v>680</v>
          </cell>
        </row>
        <row r="1400">
          <cell r="A1400" t="str">
            <v>Power</v>
          </cell>
          <cell r="B1400" t="str">
            <v>GEPL</v>
          </cell>
          <cell r="C1400" t="str">
            <v>Bank Loan outstanding</v>
          </cell>
          <cell r="D1400" t="str">
            <v>July</v>
          </cell>
          <cell r="F1400">
            <v>0</v>
          </cell>
        </row>
        <row r="1401">
          <cell r="A1401" t="str">
            <v>Power</v>
          </cell>
          <cell r="B1401" t="str">
            <v>GEPL</v>
          </cell>
          <cell r="C1401" t="str">
            <v>HO funding</v>
          </cell>
          <cell r="D1401" t="str">
            <v>July</v>
          </cell>
          <cell r="F1401">
            <v>0</v>
          </cell>
        </row>
        <row r="1402">
          <cell r="A1402" t="str">
            <v>Power</v>
          </cell>
          <cell r="B1402" t="str">
            <v>GEPL</v>
          </cell>
          <cell r="C1402" t="str">
            <v>Debtors</v>
          </cell>
          <cell r="D1402" t="str">
            <v>Aug</v>
          </cell>
          <cell r="F1402">
            <v>69.179120000000012</v>
          </cell>
        </row>
        <row r="1403">
          <cell r="A1403" t="str">
            <v>Power</v>
          </cell>
          <cell r="B1403" t="str">
            <v>GEPL</v>
          </cell>
          <cell r="C1403" t="str">
            <v>Work In Progress (increase/decrease)</v>
          </cell>
          <cell r="D1403" t="str">
            <v>Aug</v>
          </cell>
          <cell r="F1403">
            <v>306</v>
          </cell>
        </row>
        <row r="1404">
          <cell r="A1404" t="str">
            <v>Power</v>
          </cell>
          <cell r="B1404" t="str">
            <v>GEPL</v>
          </cell>
          <cell r="C1404" t="str">
            <v>Stock of Raw Materials</v>
          </cell>
          <cell r="D1404" t="str">
            <v>Aug</v>
          </cell>
          <cell r="F1404">
            <v>119</v>
          </cell>
        </row>
        <row r="1405">
          <cell r="A1405" t="str">
            <v>Power</v>
          </cell>
          <cell r="B1405" t="str">
            <v>GEPL</v>
          </cell>
          <cell r="C1405" t="str">
            <v>Retention(incl TDS)</v>
          </cell>
          <cell r="D1405" t="str">
            <v>Aug</v>
          </cell>
          <cell r="F1405">
            <v>-711.76416000000006</v>
          </cell>
        </row>
        <row r="1406">
          <cell r="A1406" t="str">
            <v>Power</v>
          </cell>
          <cell r="B1406" t="str">
            <v>GEPL</v>
          </cell>
          <cell r="C1406" t="str">
            <v>Projected Profit/Loss on YTD Sales</v>
          </cell>
          <cell r="D1406" t="str">
            <v>Aug</v>
          </cell>
          <cell r="F1406">
            <v>-80546</v>
          </cell>
        </row>
        <row r="1407">
          <cell r="A1407" t="str">
            <v>Power</v>
          </cell>
          <cell r="B1407" t="str">
            <v>GEPL</v>
          </cell>
          <cell r="C1407" t="str">
            <v>Cash and Bank Balance</v>
          </cell>
          <cell r="D1407" t="str">
            <v>Aug</v>
          </cell>
          <cell r="F1407">
            <v>0</v>
          </cell>
        </row>
        <row r="1408">
          <cell r="A1408" t="str">
            <v>Power</v>
          </cell>
          <cell r="B1408" t="str">
            <v>GEPL</v>
          </cell>
          <cell r="C1408" t="str">
            <v>Creditors-Suppliers-net of advance</v>
          </cell>
          <cell r="D1408" t="str">
            <v>Aug</v>
          </cell>
          <cell r="F1408">
            <v>79</v>
          </cell>
        </row>
        <row r="1409">
          <cell r="A1409" t="str">
            <v>Power</v>
          </cell>
          <cell r="B1409" t="str">
            <v>GEPL</v>
          </cell>
          <cell r="C1409" t="str">
            <v>Sub-Contractors-net of advance</v>
          </cell>
          <cell r="D1409" t="str">
            <v>Aug</v>
          </cell>
          <cell r="F1409">
            <v>-34</v>
          </cell>
        </row>
        <row r="1410">
          <cell r="A1410" t="str">
            <v>Power</v>
          </cell>
          <cell r="B1410" t="str">
            <v>GEPL</v>
          </cell>
          <cell r="C1410" t="str">
            <v>Own</v>
          </cell>
          <cell r="D1410" t="str">
            <v>Aug</v>
          </cell>
          <cell r="F1410">
            <v>-510</v>
          </cell>
        </row>
        <row r="1411">
          <cell r="A1411" t="str">
            <v>Power</v>
          </cell>
          <cell r="B1411" t="str">
            <v>GEPL</v>
          </cell>
          <cell r="C1411" t="str">
            <v>Outstide</v>
          </cell>
          <cell r="D1411" t="str">
            <v>Aug</v>
          </cell>
          <cell r="F1411">
            <v>102</v>
          </cell>
        </row>
        <row r="1412">
          <cell r="A1412" t="str">
            <v>Power</v>
          </cell>
          <cell r="B1412" t="str">
            <v>GEPL</v>
          </cell>
          <cell r="C1412" t="str">
            <v>Salaries and Wages Payable</v>
          </cell>
          <cell r="D1412" t="str">
            <v>Aug</v>
          </cell>
          <cell r="F1412">
            <v>0</v>
          </cell>
        </row>
        <row r="1413">
          <cell r="A1413" t="str">
            <v>Power</v>
          </cell>
          <cell r="B1413" t="str">
            <v>GEPL</v>
          </cell>
          <cell r="C1413" t="str">
            <v>Mobilisation Adv Outstanding</v>
          </cell>
          <cell r="D1413" t="str">
            <v>Aug</v>
          </cell>
          <cell r="F1413">
            <v>765</v>
          </cell>
        </row>
        <row r="1414">
          <cell r="A1414" t="str">
            <v>Power</v>
          </cell>
          <cell r="B1414" t="str">
            <v>GEPL</v>
          </cell>
          <cell r="C1414" t="str">
            <v>Bank Loan outstanding</v>
          </cell>
          <cell r="D1414" t="str">
            <v>Aug</v>
          </cell>
          <cell r="F1414">
            <v>0</v>
          </cell>
        </row>
        <row r="1415">
          <cell r="A1415" t="str">
            <v>Power</v>
          </cell>
          <cell r="B1415" t="str">
            <v>GEPL</v>
          </cell>
          <cell r="C1415" t="str">
            <v>HO funding</v>
          </cell>
          <cell r="D1415" t="str">
            <v>Aug</v>
          </cell>
          <cell r="F1415">
            <v>0</v>
          </cell>
        </row>
        <row r="1416">
          <cell r="A1416" t="str">
            <v>Power</v>
          </cell>
          <cell r="B1416" t="str">
            <v>GEPL</v>
          </cell>
          <cell r="C1416" t="str">
            <v>Debtors</v>
          </cell>
          <cell r="D1416" t="str">
            <v>Sep</v>
          </cell>
          <cell r="F1416">
            <v>69.179120000000012</v>
          </cell>
        </row>
        <row r="1417">
          <cell r="A1417" t="str">
            <v>Power</v>
          </cell>
          <cell r="B1417" t="str">
            <v>GEPL</v>
          </cell>
          <cell r="C1417" t="str">
            <v>Work In Progress (increase/decrease)</v>
          </cell>
          <cell r="D1417" t="str">
            <v>Sep</v>
          </cell>
          <cell r="F1417">
            <v>340</v>
          </cell>
        </row>
        <row r="1418">
          <cell r="A1418" t="str">
            <v>Power</v>
          </cell>
          <cell r="B1418" t="str">
            <v>GEPL</v>
          </cell>
          <cell r="C1418" t="str">
            <v>Stock of Raw Materials</v>
          </cell>
          <cell r="D1418" t="str">
            <v>Sep</v>
          </cell>
          <cell r="F1418">
            <v>119</v>
          </cell>
        </row>
        <row r="1419">
          <cell r="A1419" t="str">
            <v>Power</v>
          </cell>
          <cell r="B1419" t="str">
            <v>GEPL</v>
          </cell>
          <cell r="C1419" t="str">
            <v>Retention(incl TDS)</v>
          </cell>
          <cell r="D1419" t="str">
            <v>Sep</v>
          </cell>
          <cell r="F1419">
            <v>-802.18240000000014</v>
          </cell>
        </row>
        <row r="1420">
          <cell r="A1420" t="str">
            <v>Power</v>
          </cell>
          <cell r="B1420" t="str">
            <v>GEPL</v>
          </cell>
          <cell r="C1420" t="str">
            <v>Projected Profit/Loss on YTD Sales</v>
          </cell>
          <cell r="D1420" t="str">
            <v>Sep</v>
          </cell>
          <cell r="F1420">
            <v>-89386</v>
          </cell>
        </row>
        <row r="1421">
          <cell r="A1421" t="str">
            <v>Power</v>
          </cell>
          <cell r="B1421" t="str">
            <v>GEPL</v>
          </cell>
          <cell r="C1421" t="str">
            <v>Cash and Bank Balance</v>
          </cell>
          <cell r="D1421" t="str">
            <v>Sep</v>
          </cell>
          <cell r="F1421">
            <v>0</v>
          </cell>
        </row>
        <row r="1422">
          <cell r="A1422" t="str">
            <v>Power</v>
          </cell>
          <cell r="B1422" t="str">
            <v>GEPL</v>
          </cell>
          <cell r="C1422" t="str">
            <v>Creditors-Suppliers-net of advance</v>
          </cell>
          <cell r="D1422" t="str">
            <v>Sep</v>
          </cell>
          <cell r="F1422">
            <v>79</v>
          </cell>
        </row>
        <row r="1423">
          <cell r="A1423" t="str">
            <v>Power</v>
          </cell>
          <cell r="B1423" t="str">
            <v>GEPL</v>
          </cell>
          <cell r="C1423" t="str">
            <v>Sub-Contractors-net of advance</v>
          </cell>
          <cell r="D1423" t="str">
            <v>Sep</v>
          </cell>
          <cell r="F1423">
            <v>-102</v>
          </cell>
        </row>
        <row r="1424">
          <cell r="A1424" t="str">
            <v>Power</v>
          </cell>
          <cell r="B1424" t="str">
            <v>GEPL</v>
          </cell>
          <cell r="C1424" t="str">
            <v>Own</v>
          </cell>
          <cell r="D1424" t="str">
            <v>Sep</v>
          </cell>
          <cell r="F1424">
            <v>-578</v>
          </cell>
        </row>
        <row r="1425">
          <cell r="A1425" t="str">
            <v>Power</v>
          </cell>
          <cell r="B1425" t="str">
            <v>GEPL</v>
          </cell>
          <cell r="C1425" t="str">
            <v>Outstide</v>
          </cell>
          <cell r="D1425" t="str">
            <v>Sep</v>
          </cell>
          <cell r="F1425">
            <v>102</v>
          </cell>
        </row>
        <row r="1426">
          <cell r="A1426" t="str">
            <v>Power</v>
          </cell>
          <cell r="B1426" t="str">
            <v>GEPL</v>
          </cell>
          <cell r="C1426" t="str">
            <v>Salaries and Wages Payable</v>
          </cell>
          <cell r="D1426" t="str">
            <v>Sep</v>
          </cell>
          <cell r="F1426">
            <v>0</v>
          </cell>
        </row>
        <row r="1427">
          <cell r="A1427" t="str">
            <v>Power</v>
          </cell>
          <cell r="B1427" t="str">
            <v>GEPL</v>
          </cell>
          <cell r="C1427" t="str">
            <v>Mobilisation Adv Outstanding</v>
          </cell>
          <cell r="D1427" t="str">
            <v>Sep</v>
          </cell>
          <cell r="F1427">
            <v>850</v>
          </cell>
        </row>
        <row r="1428">
          <cell r="A1428" t="str">
            <v>Power</v>
          </cell>
          <cell r="B1428" t="str">
            <v>GEPL</v>
          </cell>
          <cell r="C1428" t="str">
            <v>Bank Loan outstanding</v>
          </cell>
          <cell r="D1428" t="str">
            <v>Sep</v>
          </cell>
          <cell r="F1428">
            <v>0</v>
          </cell>
        </row>
        <row r="1429">
          <cell r="A1429" t="str">
            <v>Power</v>
          </cell>
          <cell r="B1429" t="str">
            <v>GEPL</v>
          </cell>
          <cell r="C1429" t="str">
            <v>HO funding</v>
          </cell>
          <cell r="D1429" t="str">
            <v>Sep</v>
          </cell>
          <cell r="F1429">
            <v>0</v>
          </cell>
        </row>
        <row r="1430">
          <cell r="A1430" t="str">
            <v>Power</v>
          </cell>
          <cell r="B1430" t="str">
            <v>GEPL</v>
          </cell>
          <cell r="C1430" t="str">
            <v>Debtors</v>
          </cell>
          <cell r="D1430" t="str">
            <v>Oct</v>
          </cell>
          <cell r="F1430">
            <v>69.179120000000012</v>
          </cell>
        </row>
        <row r="1431">
          <cell r="A1431" t="str">
            <v>Power</v>
          </cell>
          <cell r="B1431" t="str">
            <v>GEPL</v>
          </cell>
          <cell r="C1431" t="str">
            <v>Work In Progress (increase/decrease)</v>
          </cell>
          <cell r="D1431" t="str">
            <v>Oct</v>
          </cell>
          <cell r="F1431">
            <v>374</v>
          </cell>
        </row>
        <row r="1432">
          <cell r="A1432" t="str">
            <v>Power</v>
          </cell>
          <cell r="B1432" t="str">
            <v>GEPL</v>
          </cell>
          <cell r="C1432" t="str">
            <v>Stock of Raw Materials</v>
          </cell>
          <cell r="D1432" t="str">
            <v>Oct</v>
          </cell>
          <cell r="F1432">
            <v>119</v>
          </cell>
        </row>
        <row r="1433">
          <cell r="A1433" t="str">
            <v>Power</v>
          </cell>
          <cell r="B1433" t="str">
            <v>GEPL</v>
          </cell>
          <cell r="C1433" t="str">
            <v>Retention(incl TDS)</v>
          </cell>
          <cell r="D1433" t="str">
            <v>Oct</v>
          </cell>
          <cell r="F1433">
            <v>-892.60064000000011</v>
          </cell>
        </row>
        <row r="1434">
          <cell r="A1434" t="str">
            <v>Power</v>
          </cell>
          <cell r="B1434" t="str">
            <v>GEPL</v>
          </cell>
          <cell r="C1434" t="str">
            <v>Projected Profit/Loss on YTD Sales</v>
          </cell>
          <cell r="D1434" t="str">
            <v>Oct</v>
          </cell>
          <cell r="F1434">
            <v>-98226</v>
          </cell>
        </row>
        <row r="1435">
          <cell r="A1435" t="str">
            <v>Power</v>
          </cell>
          <cell r="B1435" t="str">
            <v>GEPL</v>
          </cell>
          <cell r="C1435" t="str">
            <v>Cash and Bank Balance</v>
          </cell>
          <cell r="D1435" t="str">
            <v>Oct</v>
          </cell>
          <cell r="F1435">
            <v>0</v>
          </cell>
        </row>
        <row r="1436">
          <cell r="A1436" t="str">
            <v>Power</v>
          </cell>
          <cell r="B1436" t="str">
            <v>GEPL</v>
          </cell>
          <cell r="C1436" t="str">
            <v>Creditors-Suppliers-net of advance</v>
          </cell>
          <cell r="D1436" t="str">
            <v>Oct</v>
          </cell>
          <cell r="F1436">
            <v>79</v>
          </cell>
        </row>
        <row r="1437">
          <cell r="A1437" t="str">
            <v>Power</v>
          </cell>
          <cell r="B1437" t="str">
            <v>GEPL</v>
          </cell>
          <cell r="C1437" t="str">
            <v>Sub-Contractors-net of advance</v>
          </cell>
          <cell r="D1437" t="str">
            <v>Oct</v>
          </cell>
          <cell r="F1437">
            <v>-170</v>
          </cell>
        </row>
        <row r="1438">
          <cell r="A1438" t="str">
            <v>Power</v>
          </cell>
          <cell r="B1438" t="str">
            <v>GEPL</v>
          </cell>
          <cell r="C1438" t="str">
            <v>Own</v>
          </cell>
          <cell r="D1438" t="str">
            <v>Oct</v>
          </cell>
          <cell r="F1438">
            <v>-646</v>
          </cell>
        </row>
        <row r="1439">
          <cell r="A1439" t="str">
            <v>Power</v>
          </cell>
          <cell r="B1439" t="str">
            <v>GEPL</v>
          </cell>
          <cell r="C1439" t="str">
            <v>Outstide</v>
          </cell>
          <cell r="D1439" t="str">
            <v>Oct</v>
          </cell>
          <cell r="F1439">
            <v>102</v>
          </cell>
        </row>
        <row r="1440">
          <cell r="A1440" t="str">
            <v>Power</v>
          </cell>
          <cell r="B1440" t="str">
            <v>GEPL</v>
          </cell>
          <cell r="C1440" t="str">
            <v>Salaries and Wages Payable</v>
          </cell>
          <cell r="D1440" t="str">
            <v>Oct</v>
          </cell>
          <cell r="F1440">
            <v>0</v>
          </cell>
        </row>
        <row r="1441">
          <cell r="A1441" t="str">
            <v>Power</v>
          </cell>
          <cell r="B1441" t="str">
            <v>GEPL</v>
          </cell>
          <cell r="C1441" t="str">
            <v>Mobilisation Adv Outstanding</v>
          </cell>
          <cell r="D1441" t="str">
            <v>Oct</v>
          </cell>
          <cell r="F1441">
            <v>935</v>
          </cell>
        </row>
        <row r="1442">
          <cell r="A1442" t="str">
            <v>Power</v>
          </cell>
          <cell r="B1442" t="str">
            <v>GEPL</v>
          </cell>
          <cell r="C1442" t="str">
            <v>Bank Loan outstanding</v>
          </cell>
          <cell r="D1442" t="str">
            <v>Oct</v>
          </cell>
          <cell r="F1442">
            <v>0</v>
          </cell>
        </row>
        <row r="1443">
          <cell r="A1443" t="str">
            <v>Power</v>
          </cell>
          <cell r="B1443" t="str">
            <v>GEPL</v>
          </cell>
          <cell r="C1443" t="str">
            <v>HO funding</v>
          </cell>
          <cell r="D1443" t="str">
            <v>Oct</v>
          </cell>
          <cell r="F1443">
            <v>0</v>
          </cell>
        </row>
        <row r="1444">
          <cell r="A1444" t="str">
            <v>Power</v>
          </cell>
          <cell r="B1444" t="str">
            <v>GEPL</v>
          </cell>
          <cell r="C1444" t="str">
            <v>Debtors</v>
          </cell>
          <cell r="D1444" t="str">
            <v>Nov</v>
          </cell>
          <cell r="F1444">
            <v>69.179120000000012</v>
          </cell>
        </row>
        <row r="1445">
          <cell r="A1445" t="str">
            <v>Power</v>
          </cell>
          <cell r="B1445" t="str">
            <v>GEPL</v>
          </cell>
          <cell r="C1445" t="str">
            <v>Work In Progress (increase/decrease)</v>
          </cell>
          <cell r="D1445" t="str">
            <v>Nov</v>
          </cell>
          <cell r="F1445">
            <v>408</v>
          </cell>
        </row>
        <row r="1446">
          <cell r="A1446" t="str">
            <v>Power</v>
          </cell>
          <cell r="B1446" t="str">
            <v>GEPL</v>
          </cell>
          <cell r="C1446" t="str">
            <v>Stock of Raw Materials</v>
          </cell>
          <cell r="D1446" t="str">
            <v>Nov</v>
          </cell>
          <cell r="F1446">
            <v>119</v>
          </cell>
        </row>
        <row r="1447">
          <cell r="A1447" t="str">
            <v>Power</v>
          </cell>
          <cell r="B1447" t="str">
            <v>GEPL</v>
          </cell>
          <cell r="C1447" t="str">
            <v>Retention(incl TDS)</v>
          </cell>
          <cell r="D1447" t="str">
            <v>Nov</v>
          </cell>
          <cell r="F1447">
            <v>-983.01888000000008</v>
          </cell>
        </row>
        <row r="1448">
          <cell r="A1448" t="str">
            <v>Power</v>
          </cell>
          <cell r="B1448" t="str">
            <v>GEPL</v>
          </cell>
          <cell r="C1448" t="str">
            <v>Projected Profit/Loss on YTD Sales</v>
          </cell>
          <cell r="D1448" t="str">
            <v>Nov</v>
          </cell>
          <cell r="F1448">
            <v>-107066</v>
          </cell>
        </row>
        <row r="1449">
          <cell r="A1449" t="str">
            <v>Power</v>
          </cell>
          <cell r="B1449" t="str">
            <v>GEPL</v>
          </cell>
          <cell r="C1449" t="str">
            <v>Cash and Bank Balance</v>
          </cell>
          <cell r="D1449" t="str">
            <v>Nov</v>
          </cell>
          <cell r="F1449">
            <v>0</v>
          </cell>
        </row>
        <row r="1450">
          <cell r="A1450" t="str">
            <v>Power</v>
          </cell>
          <cell r="B1450" t="str">
            <v>GEPL</v>
          </cell>
          <cell r="C1450" t="str">
            <v>Creditors-Suppliers-net of advance</v>
          </cell>
          <cell r="D1450" t="str">
            <v>Nov</v>
          </cell>
          <cell r="F1450">
            <v>79</v>
          </cell>
        </row>
        <row r="1451">
          <cell r="A1451" t="str">
            <v>Power</v>
          </cell>
          <cell r="B1451" t="str">
            <v>GEPL</v>
          </cell>
          <cell r="C1451" t="str">
            <v>Sub-Contractors-net of advance</v>
          </cell>
          <cell r="D1451" t="str">
            <v>Nov</v>
          </cell>
          <cell r="F1451">
            <v>-238</v>
          </cell>
        </row>
        <row r="1452">
          <cell r="A1452" t="str">
            <v>Power</v>
          </cell>
          <cell r="B1452" t="str">
            <v>GEPL</v>
          </cell>
          <cell r="C1452" t="str">
            <v>Own</v>
          </cell>
          <cell r="D1452" t="str">
            <v>Nov</v>
          </cell>
          <cell r="F1452">
            <v>-714</v>
          </cell>
        </row>
        <row r="1453">
          <cell r="A1453" t="str">
            <v>Power</v>
          </cell>
          <cell r="B1453" t="str">
            <v>GEPL</v>
          </cell>
          <cell r="C1453" t="str">
            <v>Outstide</v>
          </cell>
          <cell r="D1453" t="str">
            <v>Nov</v>
          </cell>
          <cell r="F1453">
            <v>102</v>
          </cell>
        </row>
        <row r="1454">
          <cell r="A1454" t="str">
            <v>Power</v>
          </cell>
          <cell r="B1454" t="str">
            <v>GEPL</v>
          </cell>
          <cell r="C1454" t="str">
            <v>Salaries and Wages Payable</v>
          </cell>
          <cell r="D1454" t="str">
            <v>Nov</v>
          </cell>
          <cell r="F1454">
            <v>0</v>
          </cell>
        </row>
        <row r="1455">
          <cell r="A1455" t="str">
            <v>Power</v>
          </cell>
          <cell r="B1455" t="str">
            <v>GEPL</v>
          </cell>
          <cell r="C1455" t="str">
            <v>Mobilisation Adv Outstanding</v>
          </cell>
          <cell r="D1455" t="str">
            <v>Nov</v>
          </cell>
          <cell r="F1455">
            <v>1020</v>
          </cell>
        </row>
        <row r="1456">
          <cell r="A1456" t="str">
            <v>Power</v>
          </cell>
          <cell r="B1456" t="str">
            <v>GEPL</v>
          </cell>
          <cell r="C1456" t="str">
            <v>Bank Loan outstanding</v>
          </cell>
          <cell r="D1456" t="str">
            <v>Nov</v>
          </cell>
          <cell r="F1456">
            <v>0</v>
          </cell>
        </row>
        <row r="1457">
          <cell r="A1457" t="str">
            <v>Power</v>
          </cell>
          <cell r="B1457" t="str">
            <v>GEPL</v>
          </cell>
          <cell r="C1457" t="str">
            <v>HO funding</v>
          </cell>
          <cell r="D1457" t="str">
            <v>Nov</v>
          </cell>
          <cell r="F1457">
            <v>0</v>
          </cell>
        </row>
        <row r="1458">
          <cell r="A1458" t="str">
            <v>Power</v>
          </cell>
          <cell r="B1458" t="str">
            <v>GEPL</v>
          </cell>
          <cell r="C1458" t="str">
            <v>Debtors</v>
          </cell>
          <cell r="D1458" t="str">
            <v>Dec</v>
          </cell>
          <cell r="F1458">
            <v>69.179120000000012</v>
          </cell>
        </row>
        <row r="1459">
          <cell r="A1459" t="str">
            <v>Power</v>
          </cell>
          <cell r="B1459" t="str">
            <v>GEPL</v>
          </cell>
          <cell r="C1459" t="str">
            <v>Work In Progress (increase/decrease)</v>
          </cell>
          <cell r="D1459" t="str">
            <v>Dec</v>
          </cell>
          <cell r="F1459">
            <v>442</v>
          </cell>
        </row>
        <row r="1460">
          <cell r="A1460" t="str">
            <v>Power</v>
          </cell>
          <cell r="B1460" t="str">
            <v>GEPL</v>
          </cell>
          <cell r="C1460" t="str">
            <v>Stock of Raw Materials</v>
          </cell>
          <cell r="D1460" t="str">
            <v>Dec</v>
          </cell>
          <cell r="F1460">
            <v>119</v>
          </cell>
        </row>
        <row r="1461">
          <cell r="A1461" t="str">
            <v>Power</v>
          </cell>
          <cell r="B1461" t="str">
            <v>GEPL</v>
          </cell>
          <cell r="C1461" t="str">
            <v>Retention(incl TDS)</v>
          </cell>
          <cell r="D1461" t="str">
            <v>Dec</v>
          </cell>
          <cell r="F1461">
            <v>-1073.43712</v>
          </cell>
        </row>
        <row r="1462">
          <cell r="A1462" t="str">
            <v>Power</v>
          </cell>
          <cell r="B1462" t="str">
            <v>GEPL</v>
          </cell>
          <cell r="C1462" t="str">
            <v>Projected Profit/Loss on YTD Sales</v>
          </cell>
          <cell r="D1462" t="str">
            <v>Dec</v>
          </cell>
          <cell r="F1462">
            <v>-115906</v>
          </cell>
        </row>
        <row r="1463">
          <cell r="A1463" t="str">
            <v>Power</v>
          </cell>
          <cell r="B1463" t="str">
            <v>GEPL</v>
          </cell>
          <cell r="C1463" t="str">
            <v>Cash and Bank Balance</v>
          </cell>
          <cell r="D1463" t="str">
            <v>Dec</v>
          </cell>
          <cell r="F1463">
            <v>0</v>
          </cell>
        </row>
        <row r="1464">
          <cell r="A1464" t="str">
            <v>Power</v>
          </cell>
          <cell r="B1464" t="str">
            <v>GEPL</v>
          </cell>
          <cell r="C1464" t="str">
            <v>Creditors-Suppliers-net of advance</v>
          </cell>
          <cell r="D1464" t="str">
            <v>Dec</v>
          </cell>
          <cell r="F1464">
            <v>79</v>
          </cell>
        </row>
        <row r="1465">
          <cell r="A1465" t="str">
            <v>Power</v>
          </cell>
          <cell r="B1465" t="str">
            <v>GEPL</v>
          </cell>
          <cell r="C1465" t="str">
            <v>Sub-Contractors-net of advance</v>
          </cell>
          <cell r="D1465" t="str">
            <v>Dec</v>
          </cell>
          <cell r="F1465">
            <v>-306</v>
          </cell>
        </row>
        <row r="1466">
          <cell r="A1466" t="str">
            <v>Power</v>
          </cell>
          <cell r="B1466" t="str">
            <v>GEPL</v>
          </cell>
          <cell r="C1466" t="str">
            <v>Own</v>
          </cell>
          <cell r="D1466" t="str">
            <v>Dec</v>
          </cell>
          <cell r="F1466">
            <v>-782</v>
          </cell>
        </row>
        <row r="1467">
          <cell r="A1467" t="str">
            <v>Power</v>
          </cell>
          <cell r="B1467" t="str">
            <v>GEPL</v>
          </cell>
          <cell r="C1467" t="str">
            <v>Outstide</v>
          </cell>
          <cell r="D1467" t="str">
            <v>Dec</v>
          </cell>
          <cell r="F1467">
            <v>102</v>
          </cell>
        </row>
        <row r="1468">
          <cell r="A1468" t="str">
            <v>Power</v>
          </cell>
          <cell r="B1468" t="str">
            <v>GEPL</v>
          </cell>
          <cell r="C1468" t="str">
            <v>Salaries and Wages Payable</v>
          </cell>
          <cell r="D1468" t="str">
            <v>Dec</v>
          </cell>
          <cell r="F1468">
            <v>0</v>
          </cell>
        </row>
        <row r="1469">
          <cell r="A1469" t="str">
            <v>Power</v>
          </cell>
          <cell r="B1469" t="str">
            <v>GEPL</v>
          </cell>
          <cell r="C1469" t="str">
            <v>Mobilisation Adv Outstanding</v>
          </cell>
          <cell r="D1469" t="str">
            <v>Dec</v>
          </cell>
          <cell r="F1469">
            <v>1105</v>
          </cell>
        </row>
        <row r="1470">
          <cell r="A1470" t="str">
            <v>Power</v>
          </cell>
          <cell r="B1470" t="str">
            <v>GEPL</v>
          </cell>
          <cell r="C1470" t="str">
            <v>Bank Loan outstanding</v>
          </cell>
          <cell r="D1470" t="str">
            <v>Dec</v>
          </cell>
          <cell r="F1470">
            <v>0</v>
          </cell>
        </row>
        <row r="1471">
          <cell r="A1471" t="str">
            <v>Power</v>
          </cell>
          <cell r="B1471" t="str">
            <v>GEPL</v>
          </cell>
          <cell r="C1471" t="str">
            <v>HO funding</v>
          </cell>
          <cell r="D1471" t="str">
            <v>Dec</v>
          </cell>
          <cell r="F1471">
            <v>0</v>
          </cell>
        </row>
        <row r="1472">
          <cell r="A1472" t="str">
            <v>Power</v>
          </cell>
          <cell r="B1472" t="str">
            <v>GEPL</v>
          </cell>
          <cell r="C1472" t="str">
            <v>Debtors</v>
          </cell>
          <cell r="D1472" t="str">
            <v>Jan</v>
          </cell>
          <cell r="F1472">
            <v>69.179120000000012</v>
          </cell>
        </row>
        <row r="1473">
          <cell r="A1473" t="str">
            <v>Power</v>
          </cell>
          <cell r="B1473" t="str">
            <v>GEPL</v>
          </cell>
          <cell r="C1473" t="str">
            <v>Work In Progress (increase/decrease)</v>
          </cell>
          <cell r="D1473" t="str">
            <v>Jan</v>
          </cell>
          <cell r="F1473">
            <v>476</v>
          </cell>
        </row>
        <row r="1474">
          <cell r="A1474" t="str">
            <v>Power</v>
          </cell>
          <cell r="B1474" t="str">
            <v>GEPL</v>
          </cell>
          <cell r="C1474" t="str">
            <v>Stock of Raw Materials</v>
          </cell>
          <cell r="D1474" t="str">
            <v>Jan</v>
          </cell>
          <cell r="F1474">
            <v>119</v>
          </cell>
        </row>
        <row r="1475">
          <cell r="A1475" t="str">
            <v>Power</v>
          </cell>
          <cell r="B1475" t="str">
            <v>GEPL</v>
          </cell>
          <cell r="C1475" t="str">
            <v>Retention(incl TDS)</v>
          </cell>
          <cell r="D1475" t="str">
            <v>Jan</v>
          </cell>
          <cell r="F1475">
            <v>-1163.85536</v>
          </cell>
        </row>
        <row r="1476">
          <cell r="A1476" t="str">
            <v>Power</v>
          </cell>
          <cell r="B1476" t="str">
            <v>GEPL</v>
          </cell>
          <cell r="C1476" t="str">
            <v>Projected Profit/Loss on YTD Sales</v>
          </cell>
          <cell r="D1476" t="str">
            <v>Jan</v>
          </cell>
          <cell r="F1476">
            <v>-124746</v>
          </cell>
        </row>
        <row r="1477">
          <cell r="A1477" t="str">
            <v>Power</v>
          </cell>
          <cell r="B1477" t="str">
            <v>GEPL</v>
          </cell>
          <cell r="C1477" t="str">
            <v>Cash and Bank Balance</v>
          </cell>
          <cell r="D1477" t="str">
            <v>Jan</v>
          </cell>
          <cell r="F1477">
            <v>0</v>
          </cell>
        </row>
        <row r="1478">
          <cell r="A1478" t="str">
            <v>Power</v>
          </cell>
          <cell r="B1478" t="str">
            <v>GEPL</v>
          </cell>
          <cell r="C1478" t="str">
            <v>Creditors-Suppliers-net of advance</v>
          </cell>
          <cell r="D1478" t="str">
            <v>Jan</v>
          </cell>
          <cell r="F1478">
            <v>79</v>
          </cell>
        </row>
        <row r="1479">
          <cell r="A1479" t="str">
            <v>Power</v>
          </cell>
          <cell r="B1479" t="str">
            <v>GEPL</v>
          </cell>
          <cell r="C1479" t="str">
            <v>Sub-Contractors-net of advance</v>
          </cell>
          <cell r="D1479" t="str">
            <v>Jan</v>
          </cell>
          <cell r="F1479">
            <v>-374</v>
          </cell>
        </row>
        <row r="1480">
          <cell r="A1480" t="str">
            <v>Power</v>
          </cell>
          <cell r="B1480" t="str">
            <v>GEPL</v>
          </cell>
          <cell r="C1480" t="str">
            <v>Own</v>
          </cell>
          <cell r="D1480" t="str">
            <v>Jan</v>
          </cell>
          <cell r="F1480">
            <v>-850</v>
          </cell>
        </row>
        <row r="1481">
          <cell r="A1481" t="str">
            <v>Power</v>
          </cell>
          <cell r="B1481" t="str">
            <v>GEPL</v>
          </cell>
          <cell r="C1481" t="str">
            <v>Outstide</v>
          </cell>
          <cell r="D1481" t="str">
            <v>Jan</v>
          </cell>
          <cell r="F1481">
            <v>102</v>
          </cell>
        </row>
        <row r="1482">
          <cell r="A1482" t="str">
            <v>Power</v>
          </cell>
          <cell r="B1482" t="str">
            <v>GEPL</v>
          </cell>
          <cell r="C1482" t="str">
            <v>Salaries and Wages Payable</v>
          </cell>
          <cell r="D1482" t="str">
            <v>Jan</v>
          </cell>
          <cell r="F1482">
            <v>0</v>
          </cell>
        </row>
        <row r="1483">
          <cell r="A1483" t="str">
            <v>Power</v>
          </cell>
          <cell r="B1483" t="str">
            <v>GEPL</v>
          </cell>
          <cell r="C1483" t="str">
            <v>Mobilisation Adv Outstanding</v>
          </cell>
          <cell r="D1483" t="str">
            <v>Jan</v>
          </cell>
          <cell r="F1483">
            <v>1190</v>
          </cell>
        </row>
        <row r="1484">
          <cell r="A1484" t="str">
            <v>Power</v>
          </cell>
          <cell r="B1484" t="str">
            <v>GEPL</v>
          </cell>
          <cell r="C1484" t="str">
            <v>Bank Loan outstanding</v>
          </cell>
          <cell r="D1484" t="str">
            <v>Jan</v>
          </cell>
          <cell r="F1484">
            <v>0</v>
          </cell>
        </row>
        <row r="1485">
          <cell r="A1485" t="str">
            <v>Power</v>
          </cell>
          <cell r="B1485" t="str">
            <v>GEPL</v>
          </cell>
          <cell r="C1485" t="str">
            <v>HO funding</v>
          </cell>
          <cell r="D1485" t="str">
            <v>Jan</v>
          </cell>
          <cell r="F1485">
            <v>0</v>
          </cell>
        </row>
        <row r="1486">
          <cell r="A1486" t="str">
            <v>Power</v>
          </cell>
          <cell r="B1486" t="str">
            <v>GEPL</v>
          </cell>
          <cell r="C1486" t="str">
            <v>Debtors</v>
          </cell>
          <cell r="D1486" t="str">
            <v>Feb</v>
          </cell>
          <cell r="F1486">
            <v>69.179120000000012</v>
          </cell>
        </row>
        <row r="1487">
          <cell r="A1487" t="str">
            <v>Power</v>
          </cell>
          <cell r="B1487" t="str">
            <v>GEPL</v>
          </cell>
          <cell r="C1487" t="str">
            <v>Work In Progress (increase/decrease)</v>
          </cell>
          <cell r="D1487" t="str">
            <v>Feb</v>
          </cell>
          <cell r="F1487">
            <v>510</v>
          </cell>
        </row>
        <row r="1488">
          <cell r="A1488" t="str">
            <v>Power</v>
          </cell>
          <cell r="B1488" t="str">
            <v>GEPL</v>
          </cell>
          <cell r="C1488" t="str">
            <v>Stock of Raw Materials</v>
          </cell>
          <cell r="D1488" t="str">
            <v>Feb</v>
          </cell>
          <cell r="F1488">
            <v>102</v>
          </cell>
        </row>
        <row r="1489">
          <cell r="A1489" t="str">
            <v>Power</v>
          </cell>
          <cell r="B1489" t="str">
            <v>GEPL</v>
          </cell>
          <cell r="C1489" t="str">
            <v>Retention(incl TDS)</v>
          </cell>
          <cell r="D1489" t="str">
            <v>Feb</v>
          </cell>
          <cell r="F1489">
            <v>-1254.2736</v>
          </cell>
        </row>
        <row r="1490">
          <cell r="A1490" t="str">
            <v>Power</v>
          </cell>
          <cell r="B1490" t="str">
            <v>GEPL</v>
          </cell>
          <cell r="C1490" t="str">
            <v>Projected Profit/Loss on YTD Sales</v>
          </cell>
          <cell r="D1490" t="str">
            <v>Feb</v>
          </cell>
          <cell r="F1490">
            <v>-133586</v>
          </cell>
        </row>
        <row r="1491">
          <cell r="A1491" t="str">
            <v>Power</v>
          </cell>
          <cell r="B1491" t="str">
            <v>GEPL</v>
          </cell>
          <cell r="C1491" t="str">
            <v>Cash and Bank Balance</v>
          </cell>
          <cell r="D1491" t="str">
            <v>Feb</v>
          </cell>
          <cell r="F1491">
            <v>0</v>
          </cell>
        </row>
        <row r="1492">
          <cell r="A1492" t="str">
            <v>Power</v>
          </cell>
          <cell r="B1492" t="str">
            <v>GEPL</v>
          </cell>
          <cell r="C1492" t="str">
            <v>Creditors-Suppliers-net of advance</v>
          </cell>
          <cell r="D1492" t="str">
            <v>Feb</v>
          </cell>
          <cell r="F1492">
            <v>79</v>
          </cell>
        </row>
        <row r="1493">
          <cell r="A1493" t="str">
            <v>Power</v>
          </cell>
          <cell r="B1493" t="str">
            <v>GEPL</v>
          </cell>
          <cell r="C1493" t="str">
            <v>Sub-Contractors-net of advance</v>
          </cell>
          <cell r="D1493" t="str">
            <v>Feb</v>
          </cell>
          <cell r="F1493">
            <v>-442</v>
          </cell>
        </row>
        <row r="1494">
          <cell r="A1494" t="str">
            <v>Power</v>
          </cell>
          <cell r="B1494" t="str">
            <v>GEPL</v>
          </cell>
          <cell r="C1494" t="str">
            <v>Own</v>
          </cell>
          <cell r="D1494" t="str">
            <v>Feb</v>
          </cell>
          <cell r="F1494">
            <v>-918</v>
          </cell>
        </row>
        <row r="1495">
          <cell r="A1495" t="str">
            <v>Power</v>
          </cell>
          <cell r="B1495" t="str">
            <v>GEPL</v>
          </cell>
          <cell r="C1495" t="str">
            <v>Outstide</v>
          </cell>
          <cell r="D1495" t="str">
            <v>Feb</v>
          </cell>
          <cell r="F1495">
            <v>102</v>
          </cell>
        </row>
        <row r="1496">
          <cell r="A1496" t="str">
            <v>Power</v>
          </cell>
          <cell r="B1496" t="str">
            <v>GEPL</v>
          </cell>
          <cell r="C1496" t="str">
            <v>Salaries and Wages Payable</v>
          </cell>
          <cell r="D1496" t="str">
            <v>Feb</v>
          </cell>
          <cell r="F1496">
            <v>0</v>
          </cell>
        </row>
        <row r="1497">
          <cell r="A1497" t="str">
            <v>Power</v>
          </cell>
          <cell r="B1497" t="str">
            <v>GEPL</v>
          </cell>
          <cell r="C1497" t="str">
            <v>Mobilisation Adv Outstanding</v>
          </cell>
          <cell r="D1497" t="str">
            <v>Feb</v>
          </cell>
          <cell r="F1497">
            <v>1275</v>
          </cell>
        </row>
        <row r="1498">
          <cell r="A1498" t="str">
            <v>Power</v>
          </cell>
          <cell r="B1498" t="str">
            <v>GEPL</v>
          </cell>
          <cell r="C1498" t="str">
            <v>Bank Loan outstanding</v>
          </cell>
          <cell r="D1498" t="str">
            <v>Feb</v>
          </cell>
          <cell r="F1498">
            <v>0</v>
          </cell>
        </row>
        <row r="1499">
          <cell r="A1499" t="str">
            <v>Power</v>
          </cell>
          <cell r="B1499" t="str">
            <v>GEPL</v>
          </cell>
          <cell r="C1499" t="str">
            <v>HO funding</v>
          </cell>
          <cell r="D1499" t="str">
            <v>Feb</v>
          </cell>
          <cell r="F1499">
            <v>0</v>
          </cell>
        </row>
        <row r="1500">
          <cell r="A1500" t="str">
            <v>Power</v>
          </cell>
          <cell r="B1500" t="str">
            <v>GEPL</v>
          </cell>
          <cell r="C1500" t="str">
            <v>Debtors</v>
          </cell>
          <cell r="D1500" t="str">
            <v>Mar</v>
          </cell>
          <cell r="F1500">
            <v>69.179120000000012</v>
          </cell>
        </row>
        <row r="1501">
          <cell r="A1501" t="str">
            <v>Power</v>
          </cell>
          <cell r="B1501" t="str">
            <v>GEPL</v>
          </cell>
          <cell r="C1501" t="str">
            <v>Work In Progress (increase/decrease)</v>
          </cell>
          <cell r="D1501" t="str">
            <v>Mar</v>
          </cell>
          <cell r="F1501">
            <v>544</v>
          </cell>
        </row>
        <row r="1502">
          <cell r="A1502" t="str">
            <v>Power</v>
          </cell>
          <cell r="B1502" t="str">
            <v>GEPL</v>
          </cell>
          <cell r="C1502" t="str">
            <v>Stock of Raw Materials</v>
          </cell>
          <cell r="D1502" t="str">
            <v>Mar</v>
          </cell>
          <cell r="F1502">
            <v>0</v>
          </cell>
        </row>
        <row r="1503">
          <cell r="A1503" t="str">
            <v>Power</v>
          </cell>
          <cell r="B1503" t="str">
            <v>GEPL</v>
          </cell>
          <cell r="C1503" t="str">
            <v>Retention(incl TDS)</v>
          </cell>
          <cell r="D1503" t="str">
            <v>Mar</v>
          </cell>
          <cell r="F1503">
            <v>-1344.69184</v>
          </cell>
        </row>
        <row r="1504">
          <cell r="A1504" t="str">
            <v>Power</v>
          </cell>
          <cell r="B1504" t="str">
            <v>GEPL</v>
          </cell>
          <cell r="C1504" t="str">
            <v>Projected Profit/Loss on YTD Sales</v>
          </cell>
          <cell r="D1504" t="str">
            <v>Mar</v>
          </cell>
          <cell r="F1504">
            <v>-142426</v>
          </cell>
        </row>
        <row r="1505">
          <cell r="A1505" t="str">
            <v>Power</v>
          </cell>
          <cell r="B1505" t="str">
            <v>GEPL</v>
          </cell>
          <cell r="C1505" t="str">
            <v>Cash and Bank Balance</v>
          </cell>
          <cell r="D1505" t="str">
            <v>Mar</v>
          </cell>
          <cell r="F1505">
            <v>0</v>
          </cell>
        </row>
        <row r="1506">
          <cell r="A1506" t="str">
            <v>Power</v>
          </cell>
          <cell r="B1506" t="str">
            <v>GEPL</v>
          </cell>
          <cell r="C1506" t="str">
            <v>Creditors-Suppliers-net of advance</v>
          </cell>
          <cell r="D1506" t="str">
            <v>Mar</v>
          </cell>
          <cell r="F1506">
            <v>66</v>
          </cell>
        </row>
        <row r="1507">
          <cell r="A1507" t="str">
            <v>Power</v>
          </cell>
          <cell r="B1507" t="str">
            <v>GEPL</v>
          </cell>
          <cell r="C1507" t="str">
            <v>Sub-Contractors-net of advance</v>
          </cell>
          <cell r="D1507" t="str">
            <v>Mar</v>
          </cell>
          <cell r="F1507">
            <v>-510</v>
          </cell>
        </row>
        <row r="1508">
          <cell r="A1508" t="str">
            <v>Power</v>
          </cell>
          <cell r="B1508" t="str">
            <v>GEPL</v>
          </cell>
          <cell r="C1508" t="str">
            <v>Own</v>
          </cell>
          <cell r="D1508" t="str">
            <v>Mar</v>
          </cell>
          <cell r="F1508">
            <v>-986</v>
          </cell>
        </row>
        <row r="1509">
          <cell r="A1509" t="str">
            <v>Power</v>
          </cell>
          <cell r="B1509" t="str">
            <v>GEPL</v>
          </cell>
          <cell r="C1509" t="str">
            <v>Outstide</v>
          </cell>
          <cell r="D1509" t="str">
            <v>Mar</v>
          </cell>
          <cell r="F1509">
            <v>102</v>
          </cell>
        </row>
        <row r="1510">
          <cell r="A1510" t="str">
            <v>Power</v>
          </cell>
          <cell r="B1510" t="str">
            <v>GEPL</v>
          </cell>
          <cell r="C1510" t="str">
            <v>Salaries and Wages Payable</v>
          </cell>
          <cell r="D1510" t="str">
            <v>Mar</v>
          </cell>
          <cell r="F1510">
            <v>0</v>
          </cell>
        </row>
        <row r="1511">
          <cell r="A1511" t="str">
            <v>Power</v>
          </cell>
          <cell r="B1511" t="str">
            <v>GEPL</v>
          </cell>
          <cell r="C1511" t="str">
            <v>Mobilisation Adv Outstanding</v>
          </cell>
          <cell r="D1511" t="str">
            <v>Mar</v>
          </cell>
          <cell r="F1511">
            <v>1360</v>
          </cell>
        </row>
        <row r="1512">
          <cell r="A1512" t="str">
            <v>Power</v>
          </cell>
          <cell r="B1512" t="str">
            <v>GEPL</v>
          </cell>
          <cell r="C1512" t="str">
            <v>Bank Loan outstanding</v>
          </cell>
          <cell r="D1512" t="str">
            <v>Mar</v>
          </cell>
          <cell r="F1512">
            <v>0</v>
          </cell>
        </row>
        <row r="1513">
          <cell r="A1513" t="str">
            <v>Power</v>
          </cell>
          <cell r="B1513" t="str">
            <v>GEPL</v>
          </cell>
          <cell r="C1513" t="str">
            <v>HO funding</v>
          </cell>
          <cell r="D1513" t="str">
            <v>Mar</v>
          </cell>
          <cell r="F1513">
            <v>0</v>
          </cell>
        </row>
        <row r="1514">
          <cell r="A1514" t="str">
            <v>Power</v>
          </cell>
          <cell r="B1514" t="str">
            <v>KPTCL</v>
          </cell>
          <cell r="C1514" t="str">
            <v>Debtors</v>
          </cell>
          <cell r="D1514" t="str">
            <v>Apr</v>
          </cell>
          <cell r="F1514">
            <v>69.179120000000012</v>
          </cell>
        </row>
        <row r="1515">
          <cell r="A1515" t="str">
            <v>Power</v>
          </cell>
          <cell r="B1515" t="str">
            <v>KPTCL</v>
          </cell>
          <cell r="C1515" t="str">
            <v>Work In Progress (increase/decrease)</v>
          </cell>
          <cell r="D1515" t="str">
            <v>Apr</v>
          </cell>
          <cell r="F1515">
            <v>170</v>
          </cell>
        </row>
        <row r="1516">
          <cell r="A1516" t="str">
            <v>Power</v>
          </cell>
          <cell r="B1516" t="str">
            <v>KPTCL</v>
          </cell>
          <cell r="C1516" t="str">
            <v>Stock of Raw Materials</v>
          </cell>
          <cell r="D1516" t="str">
            <v>Apr</v>
          </cell>
          <cell r="F1516">
            <v>119</v>
          </cell>
        </row>
        <row r="1517">
          <cell r="A1517" t="str">
            <v>Power</v>
          </cell>
          <cell r="B1517" t="str">
            <v>KPTCL</v>
          </cell>
          <cell r="C1517" t="str">
            <v>Retention(incl TDS)</v>
          </cell>
          <cell r="D1517" t="str">
            <v>Apr</v>
          </cell>
          <cell r="F1517">
            <v>-350.09120000000001</v>
          </cell>
        </row>
        <row r="1518">
          <cell r="A1518" t="str">
            <v>Power</v>
          </cell>
          <cell r="B1518" t="str">
            <v>KPTCL</v>
          </cell>
          <cell r="C1518" t="str">
            <v>Projected Profit/Loss on YTD Sales</v>
          </cell>
          <cell r="D1518" t="str">
            <v>Apr</v>
          </cell>
          <cell r="F1518">
            <v>-45186</v>
          </cell>
        </row>
        <row r="1519">
          <cell r="A1519" t="str">
            <v>Power</v>
          </cell>
          <cell r="B1519" t="str">
            <v>KPTCL</v>
          </cell>
          <cell r="C1519" t="str">
            <v>Cash and Bank Balance</v>
          </cell>
          <cell r="D1519" t="str">
            <v>Apr</v>
          </cell>
          <cell r="F1519">
            <v>0</v>
          </cell>
        </row>
        <row r="1520">
          <cell r="A1520" t="str">
            <v>Power</v>
          </cell>
          <cell r="B1520" t="str">
            <v>KPTCL</v>
          </cell>
          <cell r="C1520" t="str">
            <v>Creditors-Suppliers-net of advance</v>
          </cell>
          <cell r="D1520" t="str">
            <v>Apr</v>
          </cell>
          <cell r="F1520">
            <v>79</v>
          </cell>
        </row>
        <row r="1521">
          <cell r="A1521" t="str">
            <v>Power</v>
          </cell>
          <cell r="B1521" t="str">
            <v>KPTCL</v>
          </cell>
          <cell r="C1521" t="str">
            <v>Sub-Contractors-net of advance</v>
          </cell>
          <cell r="D1521" t="str">
            <v>Apr</v>
          </cell>
          <cell r="F1521">
            <v>-238</v>
          </cell>
        </row>
        <row r="1522">
          <cell r="A1522" t="str">
            <v>Power</v>
          </cell>
          <cell r="B1522" t="str">
            <v>KPTCL</v>
          </cell>
          <cell r="C1522" t="str">
            <v>Own</v>
          </cell>
          <cell r="D1522" t="str">
            <v>Apr</v>
          </cell>
          <cell r="F1522">
            <v>-238</v>
          </cell>
        </row>
        <row r="1523">
          <cell r="A1523" t="str">
            <v>Power</v>
          </cell>
          <cell r="B1523" t="str">
            <v>KPTCL</v>
          </cell>
          <cell r="C1523" t="str">
            <v>Outstide</v>
          </cell>
          <cell r="D1523" t="str">
            <v>Apr</v>
          </cell>
          <cell r="F1523">
            <v>102</v>
          </cell>
        </row>
        <row r="1524">
          <cell r="A1524" t="str">
            <v>Power</v>
          </cell>
          <cell r="B1524" t="str">
            <v>KPTCL</v>
          </cell>
          <cell r="C1524" t="str">
            <v>Salaries and Wages Payable</v>
          </cell>
          <cell r="D1524" t="str">
            <v>Apr</v>
          </cell>
          <cell r="F1524">
            <v>0</v>
          </cell>
        </row>
        <row r="1525">
          <cell r="A1525" t="str">
            <v>Power</v>
          </cell>
          <cell r="B1525" t="str">
            <v>KPTCL</v>
          </cell>
          <cell r="C1525" t="str">
            <v>Mobilisation Adv Outstanding</v>
          </cell>
          <cell r="D1525" t="str">
            <v>Apr</v>
          </cell>
          <cell r="F1525">
            <v>425</v>
          </cell>
        </row>
        <row r="1526">
          <cell r="A1526" t="str">
            <v>Power</v>
          </cell>
          <cell r="B1526" t="str">
            <v>KPTCL</v>
          </cell>
          <cell r="C1526" t="str">
            <v>Bank Loan outstanding</v>
          </cell>
          <cell r="D1526" t="str">
            <v>Apr</v>
          </cell>
          <cell r="F1526">
            <v>0</v>
          </cell>
        </row>
        <row r="1527">
          <cell r="A1527" t="str">
            <v>Power</v>
          </cell>
          <cell r="B1527" t="str">
            <v>KPTCL</v>
          </cell>
          <cell r="C1527" t="str">
            <v>HO funding</v>
          </cell>
          <cell r="D1527" t="str">
            <v>Apr</v>
          </cell>
          <cell r="F1527">
            <v>0</v>
          </cell>
        </row>
        <row r="1528">
          <cell r="A1528" t="str">
            <v>Power</v>
          </cell>
          <cell r="B1528" t="str">
            <v>KPTCL</v>
          </cell>
          <cell r="C1528" t="str">
            <v>Debtors</v>
          </cell>
          <cell r="D1528" t="str">
            <v>May</v>
          </cell>
          <cell r="F1528">
            <v>69.179120000000012</v>
          </cell>
        </row>
        <row r="1529">
          <cell r="A1529" t="str">
            <v>Power</v>
          </cell>
          <cell r="B1529" t="str">
            <v>KPTCL</v>
          </cell>
          <cell r="C1529" t="str">
            <v>Work In Progress (increase/decrease)</v>
          </cell>
          <cell r="D1529" t="str">
            <v>May</v>
          </cell>
          <cell r="F1529">
            <v>204</v>
          </cell>
        </row>
        <row r="1530">
          <cell r="A1530" t="str">
            <v>Power</v>
          </cell>
          <cell r="B1530" t="str">
            <v>KPTCL</v>
          </cell>
          <cell r="C1530" t="str">
            <v>Stock of Raw Materials</v>
          </cell>
          <cell r="D1530" t="str">
            <v>May</v>
          </cell>
          <cell r="F1530">
            <v>119</v>
          </cell>
        </row>
        <row r="1531">
          <cell r="A1531" t="str">
            <v>Power</v>
          </cell>
          <cell r="B1531" t="str">
            <v>KPTCL</v>
          </cell>
          <cell r="C1531" t="str">
            <v>Retention(incl TDS)</v>
          </cell>
          <cell r="D1531" t="str">
            <v>May</v>
          </cell>
          <cell r="F1531">
            <v>-440.50944000000004</v>
          </cell>
        </row>
        <row r="1532">
          <cell r="A1532" t="str">
            <v>Power</v>
          </cell>
          <cell r="B1532" t="str">
            <v>KPTCL</v>
          </cell>
          <cell r="C1532" t="str">
            <v>Projected Profit/Loss on YTD Sales</v>
          </cell>
          <cell r="D1532" t="str">
            <v>May</v>
          </cell>
          <cell r="F1532">
            <v>-54026</v>
          </cell>
        </row>
        <row r="1533">
          <cell r="A1533" t="str">
            <v>Power</v>
          </cell>
          <cell r="B1533" t="str">
            <v>KPTCL</v>
          </cell>
          <cell r="C1533" t="str">
            <v>Cash and Bank Balance</v>
          </cell>
          <cell r="D1533" t="str">
            <v>May</v>
          </cell>
          <cell r="F1533">
            <v>0</v>
          </cell>
        </row>
        <row r="1534">
          <cell r="A1534" t="str">
            <v>Power</v>
          </cell>
          <cell r="B1534" t="str">
            <v>KPTCL</v>
          </cell>
          <cell r="C1534" t="str">
            <v>Creditors-Suppliers-net of advance</v>
          </cell>
          <cell r="D1534" t="str">
            <v>May</v>
          </cell>
          <cell r="F1534">
            <v>79</v>
          </cell>
        </row>
        <row r="1535">
          <cell r="A1535" t="str">
            <v>Power</v>
          </cell>
          <cell r="B1535" t="str">
            <v>KPTCL</v>
          </cell>
          <cell r="C1535" t="str">
            <v>Sub-Contractors-net of advance</v>
          </cell>
          <cell r="D1535" t="str">
            <v>May</v>
          </cell>
          <cell r="F1535">
            <v>-204</v>
          </cell>
        </row>
        <row r="1536">
          <cell r="A1536" t="str">
            <v>Power</v>
          </cell>
          <cell r="B1536" t="str">
            <v>KPTCL</v>
          </cell>
          <cell r="C1536" t="str">
            <v>Own</v>
          </cell>
          <cell r="D1536" t="str">
            <v>May</v>
          </cell>
          <cell r="F1536">
            <v>-306</v>
          </cell>
        </row>
        <row r="1537">
          <cell r="A1537" t="str">
            <v>Power</v>
          </cell>
          <cell r="B1537" t="str">
            <v>KPTCL</v>
          </cell>
          <cell r="C1537" t="str">
            <v>Outstide</v>
          </cell>
          <cell r="D1537" t="str">
            <v>May</v>
          </cell>
          <cell r="F1537">
            <v>102</v>
          </cell>
        </row>
        <row r="1538">
          <cell r="A1538" t="str">
            <v>Power</v>
          </cell>
          <cell r="B1538" t="str">
            <v>KPTCL</v>
          </cell>
          <cell r="C1538" t="str">
            <v>Salaries and Wages Payable</v>
          </cell>
          <cell r="D1538" t="str">
            <v>May</v>
          </cell>
          <cell r="F1538">
            <v>0</v>
          </cell>
        </row>
        <row r="1539">
          <cell r="A1539" t="str">
            <v>Power</v>
          </cell>
          <cell r="B1539" t="str">
            <v>KPTCL</v>
          </cell>
          <cell r="C1539" t="str">
            <v>Mobilisation Adv Outstanding</v>
          </cell>
          <cell r="D1539" t="str">
            <v>May</v>
          </cell>
          <cell r="F1539">
            <v>510</v>
          </cell>
        </row>
        <row r="1540">
          <cell r="A1540" t="str">
            <v>Power</v>
          </cell>
          <cell r="B1540" t="str">
            <v>KPTCL</v>
          </cell>
          <cell r="C1540" t="str">
            <v>Bank Loan outstanding</v>
          </cell>
          <cell r="D1540" t="str">
            <v>May</v>
          </cell>
          <cell r="F1540">
            <v>0</v>
          </cell>
        </row>
        <row r="1541">
          <cell r="A1541" t="str">
            <v>Power</v>
          </cell>
          <cell r="B1541" t="str">
            <v>KPTCL</v>
          </cell>
          <cell r="C1541" t="str">
            <v>HO funding</v>
          </cell>
          <cell r="D1541" t="str">
            <v>May</v>
          </cell>
          <cell r="F1541">
            <v>0</v>
          </cell>
        </row>
        <row r="1542">
          <cell r="A1542" t="str">
            <v>Power</v>
          </cell>
          <cell r="B1542" t="str">
            <v>KPTCL</v>
          </cell>
          <cell r="C1542" t="str">
            <v>Debtors</v>
          </cell>
          <cell r="D1542" t="str">
            <v>June</v>
          </cell>
          <cell r="F1542">
            <v>69.179120000000012</v>
          </cell>
        </row>
        <row r="1543">
          <cell r="A1543" t="str">
            <v>Power</v>
          </cell>
          <cell r="B1543" t="str">
            <v>KPTCL</v>
          </cell>
          <cell r="C1543" t="str">
            <v>Work In Progress (increase/decrease)</v>
          </cell>
          <cell r="D1543" t="str">
            <v>June</v>
          </cell>
          <cell r="F1543">
            <v>238</v>
          </cell>
        </row>
        <row r="1544">
          <cell r="A1544" t="str">
            <v>Power</v>
          </cell>
          <cell r="B1544" t="str">
            <v>KPTCL</v>
          </cell>
          <cell r="C1544" t="str">
            <v>Stock of Raw Materials</v>
          </cell>
          <cell r="D1544" t="str">
            <v>June</v>
          </cell>
          <cell r="F1544">
            <v>119</v>
          </cell>
        </row>
        <row r="1545">
          <cell r="A1545" t="str">
            <v>Power</v>
          </cell>
          <cell r="B1545" t="str">
            <v>KPTCL</v>
          </cell>
          <cell r="C1545" t="str">
            <v>Retention(incl TDS)</v>
          </cell>
          <cell r="D1545" t="str">
            <v>June</v>
          </cell>
          <cell r="F1545">
            <v>-530.92768000000001</v>
          </cell>
        </row>
        <row r="1546">
          <cell r="A1546" t="str">
            <v>Power</v>
          </cell>
          <cell r="B1546" t="str">
            <v>KPTCL</v>
          </cell>
          <cell r="C1546" t="str">
            <v>Projected Profit/Loss on YTD Sales</v>
          </cell>
          <cell r="D1546" t="str">
            <v>June</v>
          </cell>
          <cell r="F1546">
            <v>-62866</v>
          </cell>
        </row>
        <row r="1547">
          <cell r="A1547" t="str">
            <v>Power</v>
          </cell>
          <cell r="B1547" t="str">
            <v>KPTCL</v>
          </cell>
          <cell r="C1547" t="str">
            <v>Cash and Bank Balance</v>
          </cell>
          <cell r="D1547" t="str">
            <v>June</v>
          </cell>
          <cell r="F1547">
            <v>0</v>
          </cell>
        </row>
        <row r="1548">
          <cell r="A1548" t="str">
            <v>Power</v>
          </cell>
          <cell r="B1548" t="str">
            <v>KPTCL</v>
          </cell>
          <cell r="C1548" t="str">
            <v>Creditors-Suppliers-net of advance</v>
          </cell>
          <cell r="D1548" t="str">
            <v>June</v>
          </cell>
          <cell r="F1548">
            <v>79</v>
          </cell>
        </row>
        <row r="1549">
          <cell r="A1549" t="str">
            <v>Power</v>
          </cell>
          <cell r="B1549" t="str">
            <v>KPTCL</v>
          </cell>
          <cell r="C1549" t="str">
            <v>Sub-Contractors-net of advance</v>
          </cell>
          <cell r="D1549" t="str">
            <v>June</v>
          </cell>
          <cell r="F1549">
            <v>102</v>
          </cell>
        </row>
        <row r="1550">
          <cell r="A1550" t="str">
            <v>Power</v>
          </cell>
          <cell r="B1550" t="str">
            <v>KPTCL</v>
          </cell>
          <cell r="C1550" t="str">
            <v>Own</v>
          </cell>
          <cell r="D1550" t="str">
            <v>June</v>
          </cell>
          <cell r="F1550">
            <v>-374</v>
          </cell>
        </row>
        <row r="1551">
          <cell r="A1551" t="str">
            <v>Power</v>
          </cell>
          <cell r="B1551" t="str">
            <v>KPTCL</v>
          </cell>
          <cell r="C1551" t="str">
            <v>Outstide</v>
          </cell>
          <cell r="D1551" t="str">
            <v>June</v>
          </cell>
          <cell r="F1551">
            <v>102</v>
          </cell>
        </row>
        <row r="1552">
          <cell r="A1552" t="str">
            <v>Power</v>
          </cell>
          <cell r="B1552" t="str">
            <v>KPTCL</v>
          </cell>
          <cell r="C1552" t="str">
            <v>Salaries and Wages Payable</v>
          </cell>
          <cell r="D1552" t="str">
            <v>June</v>
          </cell>
          <cell r="F1552">
            <v>0</v>
          </cell>
        </row>
        <row r="1553">
          <cell r="A1553" t="str">
            <v>Power</v>
          </cell>
          <cell r="B1553" t="str">
            <v>KPTCL</v>
          </cell>
          <cell r="C1553" t="str">
            <v>Mobilisation Adv Outstanding</v>
          </cell>
          <cell r="D1553" t="str">
            <v>June</v>
          </cell>
          <cell r="F1553">
            <v>595</v>
          </cell>
        </row>
        <row r="1554">
          <cell r="A1554" t="str">
            <v>Power</v>
          </cell>
          <cell r="B1554" t="str">
            <v>KPTCL</v>
          </cell>
          <cell r="C1554" t="str">
            <v>Bank Loan outstanding</v>
          </cell>
          <cell r="D1554" t="str">
            <v>June</v>
          </cell>
          <cell r="F1554">
            <v>0</v>
          </cell>
        </row>
        <row r="1555">
          <cell r="A1555" t="str">
            <v>Power</v>
          </cell>
          <cell r="B1555" t="str">
            <v>KPTCL</v>
          </cell>
          <cell r="C1555" t="str">
            <v>HO funding</v>
          </cell>
          <cell r="D1555" t="str">
            <v>June</v>
          </cell>
          <cell r="F1555">
            <v>0</v>
          </cell>
        </row>
        <row r="1556">
          <cell r="A1556" t="str">
            <v>Power</v>
          </cell>
          <cell r="B1556" t="str">
            <v>KPTCL</v>
          </cell>
          <cell r="C1556" t="str">
            <v>Debtors</v>
          </cell>
          <cell r="D1556" t="str">
            <v>July</v>
          </cell>
          <cell r="F1556">
            <v>69.179120000000012</v>
          </cell>
        </row>
        <row r="1557">
          <cell r="A1557" t="str">
            <v>Power</v>
          </cell>
          <cell r="B1557" t="str">
            <v>KPTCL</v>
          </cell>
          <cell r="C1557" t="str">
            <v>Work In Progress (increase/decrease)</v>
          </cell>
          <cell r="D1557" t="str">
            <v>July</v>
          </cell>
          <cell r="F1557">
            <v>272</v>
          </cell>
        </row>
        <row r="1558">
          <cell r="A1558" t="str">
            <v>Power</v>
          </cell>
          <cell r="B1558" t="str">
            <v>KPTCL</v>
          </cell>
          <cell r="C1558" t="str">
            <v>Stock of Raw Materials</v>
          </cell>
          <cell r="D1558" t="str">
            <v>July</v>
          </cell>
          <cell r="F1558">
            <v>119</v>
          </cell>
        </row>
        <row r="1559">
          <cell r="A1559" t="str">
            <v>Power</v>
          </cell>
          <cell r="B1559" t="str">
            <v>KPTCL</v>
          </cell>
          <cell r="C1559" t="str">
            <v>Retention(incl TDS)</v>
          </cell>
          <cell r="D1559" t="str">
            <v>July</v>
          </cell>
          <cell r="F1559">
            <v>-621.34592000000009</v>
          </cell>
        </row>
        <row r="1560">
          <cell r="A1560" t="str">
            <v>Power</v>
          </cell>
          <cell r="B1560" t="str">
            <v>KPTCL</v>
          </cell>
          <cell r="C1560" t="str">
            <v>Projected Profit/Loss on YTD Sales</v>
          </cell>
          <cell r="D1560" t="str">
            <v>July</v>
          </cell>
          <cell r="F1560">
            <v>-71706</v>
          </cell>
        </row>
        <row r="1561">
          <cell r="A1561" t="str">
            <v>Power</v>
          </cell>
          <cell r="B1561" t="str">
            <v>KPTCL</v>
          </cell>
          <cell r="C1561" t="str">
            <v>Cash and Bank Balance</v>
          </cell>
          <cell r="D1561" t="str">
            <v>July</v>
          </cell>
          <cell r="F1561">
            <v>0</v>
          </cell>
        </row>
        <row r="1562">
          <cell r="A1562" t="str">
            <v>Power</v>
          </cell>
          <cell r="B1562" t="str">
            <v>KPTCL</v>
          </cell>
          <cell r="C1562" t="str">
            <v>Creditors-Suppliers-net of advance</v>
          </cell>
          <cell r="D1562" t="str">
            <v>July</v>
          </cell>
          <cell r="F1562">
            <v>79</v>
          </cell>
        </row>
        <row r="1563">
          <cell r="A1563" t="str">
            <v>Power</v>
          </cell>
          <cell r="B1563" t="str">
            <v>KPTCL</v>
          </cell>
          <cell r="C1563" t="str">
            <v>Sub-Contractors-net of advance</v>
          </cell>
          <cell r="D1563" t="str">
            <v>July</v>
          </cell>
          <cell r="F1563">
            <v>34</v>
          </cell>
        </row>
        <row r="1564">
          <cell r="A1564" t="str">
            <v>Power</v>
          </cell>
          <cell r="B1564" t="str">
            <v>KPTCL</v>
          </cell>
          <cell r="C1564" t="str">
            <v>Own</v>
          </cell>
          <cell r="D1564" t="str">
            <v>July</v>
          </cell>
          <cell r="F1564">
            <v>-442</v>
          </cell>
        </row>
        <row r="1565">
          <cell r="A1565" t="str">
            <v>Power</v>
          </cell>
          <cell r="B1565" t="str">
            <v>KPTCL</v>
          </cell>
          <cell r="C1565" t="str">
            <v>Outstide</v>
          </cell>
          <cell r="D1565" t="str">
            <v>July</v>
          </cell>
          <cell r="F1565">
            <v>102</v>
          </cell>
        </row>
        <row r="1566">
          <cell r="A1566" t="str">
            <v>Power</v>
          </cell>
          <cell r="B1566" t="str">
            <v>KPTCL</v>
          </cell>
          <cell r="C1566" t="str">
            <v>Salaries and Wages Payable</v>
          </cell>
          <cell r="D1566" t="str">
            <v>July</v>
          </cell>
          <cell r="F1566">
            <v>0</v>
          </cell>
        </row>
        <row r="1567">
          <cell r="A1567" t="str">
            <v>Power</v>
          </cell>
          <cell r="B1567" t="str">
            <v>KPTCL</v>
          </cell>
          <cell r="C1567" t="str">
            <v>Mobilisation Adv Outstanding</v>
          </cell>
          <cell r="D1567" t="str">
            <v>July</v>
          </cell>
          <cell r="F1567">
            <v>680</v>
          </cell>
        </row>
        <row r="1568">
          <cell r="A1568" t="str">
            <v>Power</v>
          </cell>
          <cell r="B1568" t="str">
            <v>KPTCL</v>
          </cell>
          <cell r="C1568" t="str">
            <v>Bank Loan outstanding</v>
          </cell>
          <cell r="D1568" t="str">
            <v>July</v>
          </cell>
          <cell r="F1568">
            <v>0</v>
          </cell>
        </row>
        <row r="1569">
          <cell r="A1569" t="str">
            <v>Power</v>
          </cell>
          <cell r="B1569" t="str">
            <v>KPTCL</v>
          </cell>
          <cell r="C1569" t="str">
            <v>HO funding</v>
          </cell>
          <cell r="D1569" t="str">
            <v>July</v>
          </cell>
          <cell r="F1569">
            <v>0</v>
          </cell>
        </row>
        <row r="1570">
          <cell r="A1570" t="str">
            <v>Power</v>
          </cell>
          <cell r="B1570" t="str">
            <v>KPTCL</v>
          </cell>
          <cell r="C1570" t="str">
            <v>Debtors</v>
          </cell>
          <cell r="D1570" t="str">
            <v>Aug</v>
          </cell>
          <cell r="F1570">
            <v>69.179120000000012</v>
          </cell>
        </row>
        <row r="1571">
          <cell r="A1571" t="str">
            <v>Power</v>
          </cell>
          <cell r="B1571" t="str">
            <v>KPTCL</v>
          </cell>
          <cell r="C1571" t="str">
            <v>Work In Progress (increase/decrease)</v>
          </cell>
          <cell r="D1571" t="str">
            <v>Aug</v>
          </cell>
          <cell r="F1571">
            <v>306</v>
          </cell>
        </row>
        <row r="1572">
          <cell r="A1572" t="str">
            <v>Power</v>
          </cell>
          <cell r="B1572" t="str">
            <v>KPTCL</v>
          </cell>
          <cell r="C1572" t="str">
            <v>Stock of Raw Materials</v>
          </cell>
          <cell r="D1572" t="str">
            <v>Aug</v>
          </cell>
          <cell r="F1572">
            <v>119</v>
          </cell>
        </row>
        <row r="1573">
          <cell r="A1573" t="str">
            <v>Power</v>
          </cell>
          <cell r="B1573" t="str">
            <v>KPTCL</v>
          </cell>
          <cell r="C1573" t="str">
            <v>Retention(incl TDS)</v>
          </cell>
          <cell r="D1573" t="str">
            <v>Aug</v>
          </cell>
          <cell r="F1573">
            <v>-711.76416000000006</v>
          </cell>
        </row>
        <row r="1574">
          <cell r="A1574" t="str">
            <v>Power</v>
          </cell>
          <cell r="B1574" t="str">
            <v>KPTCL</v>
          </cell>
          <cell r="C1574" t="str">
            <v>Projected Profit/Loss on YTD Sales</v>
          </cell>
          <cell r="D1574" t="str">
            <v>Aug</v>
          </cell>
          <cell r="F1574">
            <v>-80546</v>
          </cell>
        </row>
        <row r="1575">
          <cell r="A1575" t="str">
            <v>Power</v>
          </cell>
          <cell r="B1575" t="str">
            <v>KPTCL</v>
          </cell>
          <cell r="C1575" t="str">
            <v>Cash and Bank Balance</v>
          </cell>
          <cell r="D1575" t="str">
            <v>Aug</v>
          </cell>
          <cell r="F1575">
            <v>0</v>
          </cell>
        </row>
        <row r="1576">
          <cell r="A1576" t="str">
            <v>Power</v>
          </cell>
          <cell r="B1576" t="str">
            <v>KPTCL</v>
          </cell>
          <cell r="C1576" t="str">
            <v>Creditors-Suppliers-net of advance</v>
          </cell>
          <cell r="D1576" t="str">
            <v>Aug</v>
          </cell>
          <cell r="F1576">
            <v>79</v>
          </cell>
        </row>
        <row r="1577">
          <cell r="A1577" t="str">
            <v>Power</v>
          </cell>
          <cell r="B1577" t="str">
            <v>KPTCL</v>
          </cell>
          <cell r="C1577" t="str">
            <v>Sub-Contractors-net of advance</v>
          </cell>
          <cell r="D1577" t="str">
            <v>Aug</v>
          </cell>
          <cell r="F1577">
            <v>-34</v>
          </cell>
        </row>
        <row r="1578">
          <cell r="A1578" t="str">
            <v>Power</v>
          </cell>
          <cell r="B1578" t="str">
            <v>KPTCL</v>
          </cell>
          <cell r="C1578" t="str">
            <v>Own</v>
          </cell>
          <cell r="D1578" t="str">
            <v>Aug</v>
          </cell>
          <cell r="F1578">
            <v>-510</v>
          </cell>
        </row>
        <row r="1579">
          <cell r="A1579" t="str">
            <v>Power</v>
          </cell>
          <cell r="B1579" t="str">
            <v>KPTCL</v>
          </cell>
          <cell r="C1579" t="str">
            <v>Outstide</v>
          </cell>
          <cell r="D1579" t="str">
            <v>Aug</v>
          </cell>
          <cell r="F1579">
            <v>102</v>
          </cell>
        </row>
        <row r="1580">
          <cell r="A1580" t="str">
            <v>Power</v>
          </cell>
          <cell r="B1580" t="str">
            <v>KPTCL</v>
          </cell>
          <cell r="C1580" t="str">
            <v>Salaries and Wages Payable</v>
          </cell>
          <cell r="D1580" t="str">
            <v>Aug</v>
          </cell>
          <cell r="F1580">
            <v>0</v>
          </cell>
        </row>
        <row r="1581">
          <cell r="A1581" t="str">
            <v>Power</v>
          </cell>
          <cell r="B1581" t="str">
            <v>KPTCL</v>
          </cell>
          <cell r="C1581" t="str">
            <v>Mobilisation Adv Outstanding</v>
          </cell>
          <cell r="D1581" t="str">
            <v>Aug</v>
          </cell>
          <cell r="F1581">
            <v>765</v>
          </cell>
        </row>
        <row r="1582">
          <cell r="A1582" t="str">
            <v>Power</v>
          </cell>
          <cell r="B1582" t="str">
            <v>KPTCL</v>
          </cell>
          <cell r="C1582" t="str">
            <v>Bank Loan outstanding</v>
          </cell>
          <cell r="D1582" t="str">
            <v>Aug</v>
          </cell>
          <cell r="F1582">
            <v>0</v>
          </cell>
        </row>
        <row r="1583">
          <cell r="A1583" t="str">
            <v>Power</v>
          </cell>
          <cell r="B1583" t="str">
            <v>KPTCL</v>
          </cell>
          <cell r="C1583" t="str">
            <v>HO funding</v>
          </cell>
          <cell r="D1583" t="str">
            <v>Aug</v>
          </cell>
          <cell r="F1583">
            <v>0</v>
          </cell>
        </row>
        <row r="1584">
          <cell r="A1584" t="str">
            <v>Power</v>
          </cell>
          <cell r="B1584" t="str">
            <v>KPTCL</v>
          </cell>
          <cell r="C1584" t="str">
            <v>Debtors</v>
          </cell>
          <cell r="D1584" t="str">
            <v>Sep</v>
          </cell>
          <cell r="F1584">
            <v>69.179120000000012</v>
          </cell>
        </row>
        <row r="1585">
          <cell r="A1585" t="str">
            <v>Power</v>
          </cell>
          <cell r="B1585" t="str">
            <v>KPTCL</v>
          </cell>
          <cell r="C1585" t="str">
            <v>Work In Progress (increase/decrease)</v>
          </cell>
          <cell r="D1585" t="str">
            <v>Sep</v>
          </cell>
          <cell r="F1585">
            <v>340</v>
          </cell>
        </row>
        <row r="1586">
          <cell r="A1586" t="str">
            <v>Power</v>
          </cell>
          <cell r="B1586" t="str">
            <v>KPTCL</v>
          </cell>
          <cell r="C1586" t="str">
            <v>Stock of Raw Materials</v>
          </cell>
          <cell r="D1586" t="str">
            <v>Sep</v>
          </cell>
          <cell r="F1586">
            <v>119</v>
          </cell>
        </row>
        <row r="1587">
          <cell r="A1587" t="str">
            <v>Power</v>
          </cell>
          <cell r="B1587" t="str">
            <v>KPTCL</v>
          </cell>
          <cell r="C1587" t="str">
            <v>Retention(incl TDS)</v>
          </cell>
          <cell r="D1587" t="str">
            <v>Sep</v>
          </cell>
          <cell r="F1587">
            <v>-802.18240000000014</v>
          </cell>
        </row>
        <row r="1588">
          <cell r="A1588" t="str">
            <v>Power</v>
          </cell>
          <cell r="B1588" t="str">
            <v>KPTCL</v>
          </cell>
          <cell r="C1588" t="str">
            <v>Projected Profit/Loss on YTD Sales</v>
          </cell>
          <cell r="D1588" t="str">
            <v>Sep</v>
          </cell>
          <cell r="F1588">
            <v>-89386</v>
          </cell>
        </row>
        <row r="1589">
          <cell r="A1589" t="str">
            <v>Power</v>
          </cell>
          <cell r="B1589" t="str">
            <v>KPTCL</v>
          </cell>
          <cell r="C1589" t="str">
            <v>Cash and Bank Balance</v>
          </cell>
          <cell r="D1589" t="str">
            <v>Sep</v>
          </cell>
          <cell r="F1589">
            <v>0</v>
          </cell>
        </row>
        <row r="1590">
          <cell r="A1590" t="str">
            <v>Power</v>
          </cell>
          <cell r="B1590" t="str">
            <v>KPTCL</v>
          </cell>
          <cell r="C1590" t="str">
            <v>Creditors-Suppliers-net of advance</v>
          </cell>
          <cell r="D1590" t="str">
            <v>Sep</v>
          </cell>
          <cell r="F1590">
            <v>79</v>
          </cell>
        </row>
        <row r="1591">
          <cell r="A1591" t="str">
            <v>Power</v>
          </cell>
          <cell r="B1591" t="str">
            <v>KPTCL</v>
          </cell>
          <cell r="C1591" t="str">
            <v>Sub-Contractors-net of advance</v>
          </cell>
          <cell r="D1591" t="str">
            <v>Sep</v>
          </cell>
          <cell r="F1591">
            <v>-102</v>
          </cell>
        </row>
        <row r="1592">
          <cell r="A1592" t="str">
            <v>Power</v>
          </cell>
          <cell r="B1592" t="str">
            <v>KPTCL</v>
          </cell>
          <cell r="C1592" t="str">
            <v>Own</v>
          </cell>
          <cell r="D1592" t="str">
            <v>Sep</v>
          </cell>
          <cell r="F1592">
            <v>-578</v>
          </cell>
        </row>
        <row r="1593">
          <cell r="A1593" t="str">
            <v>Power</v>
          </cell>
          <cell r="B1593" t="str">
            <v>KPTCL</v>
          </cell>
          <cell r="C1593" t="str">
            <v>Outstide</v>
          </cell>
          <cell r="D1593" t="str">
            <v>Sep</v>
          </cell>
          <cell r="F1593">
            <v>102</v>
          </cell>
        </row>
        <row r="1594">
          <cell r="A1594" t="str">
            <v>Power</v>
          </cell>
          <cell r="B1594" t="str">
            <v>KPTCL</v>
          </cell>
          <cell r="C1594" t="str">
            <v>Salaries and Wages Payable</v>
          </cell>
          <cell r="D1594" t="str">
            <v>Sep</v>
          </cell>
          <cell r="F1594">
            <v>0</v>
          </cell>
        </row>
        <row r="1595">
          <cell r="A1595" t="str">
            <v>Power</v>
          </cell>
          <cell r="B1595" t="str">
            <v>KPTCL</v>
          </cell>
          <cell r="C1595" t="str">
            <v>Mobilisation Adv Outstanding</v>
          </cell>
          <cell r="D1595" t="str">
            <v>Sep</v>
          </cell>
          <cell r="F1595">
            <v>850</v>
          </cell>
        </row>
        <row r="1596">
          <cell r="A1596" t="str">
            <v>Power</v>
          </cell>
          <cell r="B1596" t="str">
            <v>KPTCL</v>
          </cell>
          <cell r="C1596" t="str">
            <v>Bank Loan outstanding</v>
          </cell>
          <cell r="D1596" t="str">
            <v>Sep</v>
          </cell>
          <cell r="F1596">
            <v>0</v>
          </cell>
        </row>
        <row r="1597">
          <cell r="A1597" t="str">
            <v>Power</v>
          </cell>
          <cell r="B1597" t="str">
            <v>KPTCL</v>
          </cell>
          <cell r="C1597" t="str">
            <v>HO funding</v>
          </cell>
          <cell r="D1597" t="str">
            <v>Sep</v>
          </cell>
          <cell r="F1597">
            <v>0</v>
          </cell>
        </row>
        <row r="1598">
          <cell r="A1598" t="str">
            <v>Power</v>
          </cell>
          <cell r="B1598" t="str">
            <v>KPTCL</v>
          </cell>
          <cell r="C1598" t="str">
            <v>Debtors</v>
          </cell>
          <cell r="D1598" t="str">
            <v>Oct</v>
          </cell>
          <cell r="F1598">
            <v>69.179120000000012</v>
          </cell>
        </row>
        <row r="1599">
          <cell r="A1599" t="str">
            <v>Power</v>
          </cell>
          <cell r="B1599" t="str">
            <v>KPTCL</v>
          </cell>
          <cell r="C1599" t="str">
            <v>Work In Progress (increase/decrease)</v>
          </cell>
          <cell r="D1599" t="str">
            <v>Oct</v>
          </cell>
          <cell r="F1599">
            <v>374</v>
          </cell>
        </row>
        <row r="1600">
          <cell r="A1600" t="str">
            <v>Power</v>
          </cell>
          <cell r="B1600" t="str">
            <v>KPTCL</v>
          </cell>
          <cell r="C1600" t="str">
            <v>Stock of Raw Materials</v>
          </cell>
          <cell r="D1600" t="str">
            <v>Oct</v>
          </cell>
          <cell r="F1600">
            <v>119</v>
          </cell>
        </row>
        <row r="1601">
          <cell r="A1601" t="str">
            <v>Power</v>
          </cell>
          <cell r="B1601" t="str">
            <v>KPTCL</v>
          </cell>
          <cell r="C1601" t="str">
            <v>Retention(incl TDS)</v>
          </cell>
          <cell r="D1601" t="str">
            <v>Oct</v>
          </cell>
          <cell r="F1601">
            <v>-892.60064000000011</v>
          </cell>
        </row>
        <row r="1602">
          <cell r="A1602" t="str">
            <v>Power</v>
          </cell>
          <cell r="B1602" t="str">
            <v>KPTCL</v>
          </cell>
          <cell r="C1602" t="str">
            <v>Projected Profit/Loss on YTD Sales</v>
          </cell>
          <cell r="D1602" t="str">
            <v>Oct</v>
          </cell>
          <cell r="F1602">
            <v>-98226</v>
          </cell>
        </row>
        <row r="1603">
          <cell r="A1603" t="str">
            <v>Power</v>
          </cell>
          <cell r="B1603" t="str">
            <v>KPTCL</v>
          </cell>
          <cell r="C1603" t="str">
            <v>Cash and Bank Balance</v>
          </cell>
          <cell r="D1603" t="str">
            <v>Oct</v>
          </cell>
          <cell r="F1603">
            <v>0</v>
          </cell>
        </row>
        <row r="1604">
          <cell r="A1604" t="str">
            <v>Power</v>
          </cell>
          <cell r="B1604" t="str">
            <v>KPTCL</v>
          </cell>
          <cell r="C1604" t="str">
            <v>Creditors-Suppliers-net of advance</v>
          </cell>
          <cell r="D1604" t="str">
            <v>Oct</v>
          </cell>
          <cell r="F1604">
            <v>79</v>
          </cell>
        </row>
        <row r="1605">
          <cell r="A1605" t="str">
            <v>Power</v>
          </cell>
          <cell r="B1605" t="str">
            <v>KPTCL</v>
          </cell>
          <cell r="C1605" t="str">
            <v>Sub-Contractors-net of advance</v>
          </cell>
          <cell r="D1605" t="str">
            <v>Oct</v>
          </cell>
          <cell r="F1605">
            <v>-170</v>
          </cell>
        </row>
        <row r="1606">
          <cell r="A1606" t="str">
            <v>Power</v>
          </cell>
          <cell r="B1606" t="str">
            <v>KPTCL</v>
          </cell>
          <cell r="C1606" t="str">
            <v>Own</v>
          </cell>
          <cell r="D1606" t="str">
            <v>Oct</v>
          </cell>
          <cell r="F1606">
            <v>-646</v>
          </cell>
        </row>
        <row r="1607">
          <cell r="A1607" t="str">
            <v>Power</v>
          </cell>
          <cell r="B1607" t="str">
            <v>KPTCL</v>
          </cell>
          <cell r="C1607" t="str">
            <v>Outstide</v>
          </cell>
          <cell r="D1607" t="str">
            <v>Oct</v>
          </cell>
          <cell r="F1607">
            <v>102</v>
          </cell>
        </row>
        <row r="1608">
          <cell r="A1608" t="str">
            <v>Power</v>
          </cell>
          <cell r="B1608" t="str">
            <v>KPTCL</v>
          </cell>
          <cell r="C1608" t="str">
            <v>Salaries and Wages Payable</v>
          </cell>
          <cell r="D1608" t="str">
            <v>Oct</v>
          </cell>
          <cell r="F1608">
            <v>0</v>
          </cell>
        </row>
        <row r="1609">
          <cell r="A1609" t="str">
            <v>Power</v>
          </cell>
          <cell r="B1609" t="str">
            <v>KPTCL</v>
          </cell>
          <cell r="C1609" t="str">
            <v>Mobilisation Adv Outstanding</v>
          </cell>
          <cell r="D1609" t="str">
            <v>Oct</v>
          </cell>
          <cell r="F1609">
            <v>935</v>
          </cell>
        </row>
        <row r="1610">
          <cell r="A1610" t="str">
            <v>Power</v>
          </cell>
          <cell r="B1610" t="str">
            <v>KPTCL</v>
          </cell>
          <cell r="C1610" t="str">
            <v>Bank Loan outstanding</v>
          </cell>
          <cell r="D1610" t="str">
            <v>Oct</v>
          </cell>
          <cell r="F1610">
            <v>0</v>
          </cell>
        </row>
        <row r="1611">
          <cell r="A1611" t="str">
            <v>Power</v>
          </cell>
          <cell r="B1611" t="str">
            <v>KPTCL</v>
          </cell>
          <cell r="C1611" t="str">
            <v>HO funding</v>
          </cell>
          <cell r="D1611" t="str">
            <v>Oct</v>
          </cell>
          <cell r="F1611">
            <v>0</v>
          </cell>
        </row>
        <row r="1612">
          <cell r="A1612" t="str">
            <v>Power</v>
          </cell>
          <cell r="B1612" t="str">
            <v>KPTCL</v>
          </cell>
          <cell r="C1612" t="str">
            <v>Debtors</v>
          </cell>
          <cell r="D1612" t="str">
            <v>Nov</v>
          </cell>
          <cell r="F1612">
            <v>69.179120000000012</v>
          </cell>
        </row>
        <row r="1613">
          <cell r="A1613" t="str">
            <v>Power</v>
          </cell>
          <cell r="B1613" t="str">
            <v>KPTCL</v>
          </cell>
          <cell r="C1613" t="str">
            <v>Work In Progress (increase/decrease)</v>
          </cell>
          <cell r="D1613" t="str">
            <v>Nov</v>
          </cell>
          <cell r="F1613">
            <v>408</v>
          </cell>
        </row>
        <row r="1614">
          <cell r="A1614" t="str">
            <v>Power</v>
          </cell>
          <cell r="B1614" t="str">
            <v>KPTCL</v>
          </cell>
          <cell r="C1614" t="str">
            <v>Stock of Raw Materials</v>
          </cell>
          <cell r="D1614" t="str">
            <v>Nov</v>
          </cell>
          <cell r="F1614">
            <v>119</v>
          </cell>
        </row>
        <row r="1615">
          <cell r="A1615" t="str">
            <v>Power</v>
          </cell>
          <cell r="B1615" t="str">
            <v>KPTCL</v>
          </cell>
          <cell r="C1615" t="str">
            <v>Retention(incl TDS)</v>
          </cell>
          <cell r="D1615" t="str">
            <v>Nov</v>
          </cell>
          <cell r="F1615">
            <v>-983.01888000000008</v>
          </cell>
        </row>
        <row r="1616">
          <cell r="A1616" t="str">
            <v>Power</v>
          </cell>
          <cell r="B1616" t="str">
            <v>KPTCL</v>
          </cell>
          <cell r="C1616" t="str">
            <v>Projected Profit/Loss on YTD Sales</v>
          </cell>
          <cell r="D1616" t="str">
            <v>Nov</v>
          </cell>
          <cell r="F1616">
            <v>-107066</v>
          </cell>
        </row>
        <row r="1617">
          <cell r="A1617" t="str">
            <v>Power</v>
          </cell>
          <cell r="B1617" t="str">
            <v>KPTCL</v>
          </cell>
          <cell r="C1617" t="str">
            <v>Cash and Bank Balance</v>
          </cell>
          <cell r="D1617" t="str">
            <v>Nov</v>
          </cell>
          <cell r="F1617">
            <v>0</v>
          </cell>
        </row>
        <row r="1618">
          <cell r="A1618" t="str">
            <v>Power</v>
          </cell>
          <cell r="B1618" t="str">
            <v>KPTCL</v>
          </cell>
          <cell r="C1618" t="str">
            <v>Creditors-Suppliers-net of advance</v>
          </cell>
          <cell r="D1618" t="str">
            <v>Nov</v>
          </cell>
          <cell r="F1618">
            <v>79</v>
          </cell>
        </row>
        <row r="1619">
          <cell r="A1619" t="str">
            <v>Power</v>
          </cell>
          <cell r="B1619" t="str">
            <v>KPTCL</v>
          </cell>
          <cell r="C1619" t="str">
            <v>Sub-Contractors-net of advance</v>
          </cell>
          <cell r="D1619" t="str">
            <v>Nov</v>
          </cell>
          <cell r="F1619">
            <v>-238</v>
          </cell>
        </row>
        <row r="1620">
          <cell r="A1620" t="str">
            <v>Power</v>
          </cell>
          <cell r="B1620" t="str">
            <v>KPTCL</v>
          </cell>
          <cell r="C1620" t="str">
            <v>Own</v>
          </cell>
          <cell r="D1620" t="str">
            <v>Nov</v>
          </cell>
          <cell r="F1620">
            <v>-714</v>
          </cell>
        </row>
        <row r="1621">
          <cell r="A1621" t="str">
            <v>Power</v>
          </cell>
          <cell r="B1621" t="str">
            <v>KPTCL</v>
          </cell>
          <cell r="C1621" t="str">
            <v>Outstide</v>
          </cell>
          <cell r="D1621" t="str">
            <v>Nov</v>
          </cell>
          <cell r="F1621">
            <v>102</v>
          </cell>
        </row>
        <row r="1622">
          <cell r="A1622" t="str">
            <v>Power</v>
          </cell>
          <cell r="B1622" t="str">
            <v>KPTCL</v>
          </cell>
          <cell r="C1622" t="str">
            <v>Salaries and Wages Payable</v>
          </cell>
          <cell r="D1622" t="str">
            <v>Nov</v>
          </cell>
          <cell r="F1622">
            <v>0</v>
          </cell>
        </row>
        <row r="1623">
          <cell r="A1623" t="str">
            <v>Power</v>
          </cell>
          <cell r="B1623" t="str">
            <v>KPTCL</v>
          </cell>
          <cell r="C1623" t="str">
            <v>Mobilisation Adv Outstanding</v>
          </cell>
          <cell r="D1623" t="str">
            <v>Nov</v>
          </cell>
          <cell r="F1623">
            <v>1020</v>
          </cell>
        </row>
        <row r="1624">
          <cell r="A1624" t="str">
            <v>Power</v>
          </cell>
          <cell r="B1624" t="str">
            <v>KPTCL</v>
          </cell>
          <cell r="C1624" t="str">
            <v>Bank Loan outstanding</v>
          </cell>
          <cell r="D1624" t="str">
            <v>Nov</v>
          </cell>
          <cell r="F1624">
            <v>0</v>
          </cell>
        </row>
        <row r="1625">
          <cell r="A1625" t="str">
            <v>Power</v>
          </cell>
          <cell r="B1625" t="str">
            <v>KPTCL</v>
          </cell>
          <cell r="C1625" t="str">
            <v>HO funding</v>
          </cell>
          <cell r="D1625" t="str">
            <v>Nov</v>
          </cell>
          <cell r="F1625">
            <v>0</v>
          </cell>
        </row>
        <row r="1626">
          <cell r="A1626" t="str">
            <v>Power</v>
          </cell>
          <cell r="B1626" t="str">
            <v>KPTCL</v>
          </cell>
          <cell r="C1626" t="str">
            <v>Debtors</v>
          </cell>
          <cell r="D1626" t="str">
            <v>Dec</v>
          </cell>
          <cell r="F1626">
            <v>69.179120000000012</v>
          </cell>
        </row>
        <row r="1627">
          <cell r="A1627" t="str">
            <v>Power</v>
          </cell>
          <cell r="B1627" t="str">
            <v>KPTCL</v>
          </cell>
          <cell r="C1627" t="str">
            <v>Work In Progress (increase/decrease)</v>
          </cell>
          <cell r="D1627" t="str">
            <v>Dec</v>
          </cell>
          <cell r="F1627">
            <v>442</v>
          </cell>
        </row>
        <row r="1628">
          <cell r="A1628" t="str">
            <v>Power</v>
          </cell>
          <cell r="B1628" t="str">
            <v>KPTCL</v>
          </cell>
          <cell r="C1628" t="str">
            <v>Stock of Raw Materials</v>
          </cell>
          <cell r="D1628" t="str">
            <v>Dec</v>
          </cell>
          <cell r="F1628">
            <v>119</v>
          </cell>
        </row>
        <row r="1629">
          <cell r="A1629" t="str">
            <v>Power</v>
          </cell>
          <cell r="B1629" t="str">
            <v>KPTCL</v>
          </cell>
          <cell r="C1629" t="str">
            <v>Retention(incl TDS)</v>
          </cell>
          <cell r="D1629" t="str">
            <v>Dec</v>
          </cell>
          <cell r="F1629">
            <v>-1073.43712</v>
          </cell>
        </row>
        <row r="1630">
          <cell r="A1630" t="str">
            <v>Power</v>
          </cell>
          <cell r="B1630" t="str">
            <v>KPTCL</v>
          </cell>
          <cell r="C1630" t="str">
            <v>Projected Profit/Loss on YTD Sales</v>
          </cell>
          <cell r="D1630" t="str">
            <v>Dec</v>
          </cell>
          <cell r="F1630">
            <v>-115906</v>
          </cell>
        </row>
        <row r="1631">
          <cell r="A1631" t="str">
            <v>Power</v>
          </cell>
          <cell r="B1631" t="str">
            <v>KPTCL</v>
          </cell>
          <cell r="C1631" t="str">
            <v>Cash and Bank Balance</v>
          </cell>
          <cell r="D1631" t="str">
            <v>Dec</v>
          </cell>
          <cell r="F1631">
            <v>0</v>
          </cell>
        </row>
        <row r="1632">
          <cell r="A1632" t="str">
            <v>Power</v>
          </cell>
          <cell r="B1632" t="str">
            <v>KPTCL</v>
          </cell>
          <cell r="C1632" t="str">
            <v>Creditors-Suppliers-net of advance</v>
          </cell>
          <cell r="D1632" t="str">
            <v>Dec</v>
          </cell>
          <cell r="F1632">
            <v>79</v>
          </cell>
        </row>
        <row r="1633">
          <cell r="A1633" t="str">
            <v>Power</v>
          </cell>
          <cell r="B1633" t="str">
            <v>KPTCL</v>
          </cell>
          <cell r="C1633" t="str">
            <v>Sub-Contractors-net of advance</v>
          </cell>
          <cell r="D1633" t="str">
            <v>Dec</v>
          </cell>
          <cell r="F1633">
            <v>-306</v>
          </cell>
        </row>
        <row r="1634">
          <cell r="A1634" t="str">
            <v>Power</v>
          </cell>
          <cell r="B1634" t="str">
            <v>KPTCL</v>
          </cell>
          <cell r="C1634" t="str">
            <v>Own</v>
          </cell>
          <cell r="D1634" t="str">
            <v>Dec</v>
          </cell>
          <cell r="F1634">
            <v>-782</v>
          </cell>
        </row>
        <row r="1635">
          <cell r="A1635" t="str">
            <v>Power</v>
          </cell>
          <cell r="B1635" t="str">
            <v>KPTCL</v>
          </cell>
          <cell r="C1635" t="str">
            <v>Outstide</v>
          </cell>
          <cell r="D1635" t="str">
            <v>Dec</v>
          </cell>
          <cell r="F1635">
            <v>102</v>
          </cell>
        </row>
        <row r="1636">
          <cell r="A1636" t="str">
            <v>Power</v>
          </cell>
          <cell r="B1636" t="str">
            <v>KPTCL</v>
          </cell>
          <cell r="C1636" t="str">
            <v>Salaries and Wages Payable</v>
          </cell>
          <cell r="D1636" t="str">
            <v>Dec</v>
          </cell>
          <cell r="F1636">
            <v>0</v>
          </cell>
        </row>
        <row r="1637">
          <cell r="A1637" t="str">
            <v>Power</v>
          </cell>
          <cell r="B1637" t="str">
            <v>KPTCL</v>
          </cell>
          <cell r="C1637" t="str">
            <v>Mobilisation Adv Outstanding</v>
          </cell>
          <cell r="D1637" t="str">
            <v>Dec</v>
          </cell>
          <cell r="F1637">
            <v>1105</v>
          </cell>
        </row>
        <row r="1638">
          <cell r="A1638" t="str">
            <v>Power</v>
          </cell>
          <cell r="B1638" t="str">
            <v>KPTCL</v>
          </cell>
          <cell r="C1638" t="str">
            <v>Bank Loan outstanding</v>
          </cell>
          <cell r="D1638" t="str">
            <v>Dec</v>
          </cell>
          <cell r="F1638">
            <v>0</v>
          </cell>
        </row>
        <row r="1639">
          <cell r="A1639" t="str">
            <v>Power</v>
          </cell>
          <cell r="B1639" t="str">
            <v>KPTCL</v>
          </cell>
          <cell r="C1639" t="str">
            <v>HO funding</v>
          </cell>
          <cell r="D1639" t="str">
            <v>Dec</v>
          </cell>
          <cell r="F1639">
            <v>0</v>
          </cell>
        </row>
        <row r="1640">
          <cell r="A1640" t="str">
            <v>Power</v>
          </cell>
          <cell r="B1640" t="str">
            <v>KPTCL</v>
          </cell>
          <cell r="C1640" t="str">
            <v>Debtors</v>
          </cell>
          <cell r="D1640" t="str">
            <v>Jan</v>
          </cell>
          <cell r="F1640">
            <v>69.179120000000012</v>
          </cell>
        </row>
        <row r="1641">
          <cell r="A1641" t="str">
            <v>Power</v>
          </cell>
          <cell r="B1641" t="str">
            <v>KPTCL</v>
          </cell>
          <cell r="C1641" t="str">
            <v>Work In Progress (increase/decrease)</v>
          </cell>
          <cell r="D1641" t="str">
            <v>Jan</v>
          </cell>
          <cell r="F1641">
            <v>476</v>
          </cell>
        </row>
        <row r="1642">
          <cell r="A1642" t="str">
            <v>Power</v>
          </cell>
          <cell r="B1642" t="str">
            <v>KPTCL</v>
          </cell>
          <cell r="C1642" t="str">
            <v>Stock of Raw Materials</v>
          </cell>
          <cell r="D1642" t="str">
            <v>Jan</v>
          </cell>
          <cell r="F1642">
            <v>119</v>
          </cell>
        </row>
        <row r="1643">
          <cell r="A1643" t="str">
            <v>Power</v>
          </cell>
          <cell r="B1643" t="str">
            <v>KPTCL</v>
          </cell>
          <cell r="C1643" t="str">
            <v>Retention(incl TDS)</v>
          </cell>
          <cell r="D1643" t="str">
            <v>Jan</v>
          </cell>
          <cell r="F1643">
            <v>-1163.85536</v>
          </cell>
        </row>
        <row r="1644">
          <cell r="A1644" t="str">
            <v>Power</v>
          </cell>
          <cell r="B1644" t="str">
            <v>KPTCL</v>
          </cell>
          <cell r="C1644" t="str">
            <v>Projected Profit/Loss on YTD Sales</v>
          </cell>
          <cell r="D1644" t="str">
            <v>Jan</v>
          </cell>
          <cell r="F1644">
            <v>-124746</v>
          </cell>
        </row>
        <row r="1645">
          <cell r="A1645" t="str">
            <v>Power</v>
          </cell>
          <cell r="B1645" t="str">
            <v>KPTCL</v>
          </cell>
          <cell r="C1645" t="str">
            <v>Cash and Bank Balance</v>
          </cell>
          <cell r="D1645" t="str">
            <v>Jan</v>
          </cell>
          <cell r="F1645">
            <v>0</v>
          </cell>
        </row>
        <row r="1646">
          <cell r="A1646" t="str">
            <v>Power</v>
          </cell>
          <cell r="B1646" t="str">
            <v>KPTCL</v>
          </cell>
          <cell r="C1646" t="str">
            <v>Creditors-Suppliers-net of advance</v>
          </cell>
          <cell r="D1646" t="str">
            <v>Jan</v>
          </cell>
          <cell r="F1646">
            <v>79</v>
          </cell>
        </row>
        <row r="1647">
          <cell r="A1647" t="str">
            <v>Power</v>
          </cell>
          <cell r="B1647" t="str">
            <v>KPTCL</v>
          </cell>
          <cell r="C1647" t="str">
            <v>Sub-Contractors-net of advance</v>
          </cell>
          <cell r="D1647" t="str">
            <v>Jan</v>
          </cell>
          <cell r="F1647">
            <v>-374</v>
          </cell>
        </row>
        <row r="1648">
          <cell r="A1648" t="str">
            <v>Power</v>
          </cell>
          <cell r="B1648" t="str">
            <v>KPTCL</v>
          </cell>
          <cell r="C1648" t="str">
            <v>Own</v>
          </cell>
          <cell r="D1648" t="str">
            <v>Jan</v>
          </cell>
          <cell r="F1648">
            <v>-850</v>
          </cell>
        </row>
        <row r="1649">
          <cell r="A1649" t="str">
            <v>Power</v>
          </cell>
          <cell r="B1649" t="str">
            <v>KPTCL</v>
          </cell>
          <cell r="C1649" t="str">
            <v>Outstide</v>
          </cell>
          <cell r="D1649" t="str">
            <v>Jan</v>
          </cell>
          <cell r="F1649">
            <v>102</v>
          </cell>
        </row>
        <row r="1650">
          <cell r="A1650" t="str">
            <v>Power</v>
          </cell>
          <cell r="B1650" t="str">
            <v>KPTCL</v>
          </cell>
          <cell r="C1650" t="str">
            <v>Salaries and Wages Payable</v>
          </cell>
          <cell r="D1650" t="str">
            <v>Jan</v>
          </cell>
          <cell r="F1650">
            <v>0</v>
          </cell>
        </row>
        <row r="1651">
          <cell r="A1651" t="str">
            <v>Power</v>
          </cell>
          <cell r="B1651" t="str">
            <v>KPTCL</v>
          </cell>
          <cell r="C1651" t="str">
            <v>Mobilisation Adv Outstanding</v>
          </cell>
          <cell r="D1651" t="str">
            <v>Jan</v>
          </cell>
          <cell r="F1651">
            <v>1190</v>
          </cell>
        </row>
        <row r="1652">
          <cell r="A1652" t="str">
            <v>Power</v>
          </cell>
          <cell r="B1652" t="str">
            <v>KPTCL</v>
          </cell>
          <cell r="C1652" t="str">
            <v>Bank Loan outstanding</v>
          </cell>
          <cell r="D1652" t="str">
            <v>Jan</v>
          </cell>
          <cell r="F1652">
            <v>0</v>
          </cell>
        </row>
        <row r="1653">
          <cell r="A1653" t="str">
            <v>Power</v>
          </cell>
          <cell r="B1653" t="str">
            <v>KPTCL</v>
          </cell>
          <cell r="C1653" t="str">
            <v>HO funding</v>
          </cell>
          <cell r="D1653" t="str">
            <v>Jan</v>
          </cell>
          <cell r="F1653">
            <v>0</v>
          </cell>
        </row>
        <row r="1654">
          <cell r="A1654" t="str">
            <v>Power</v>
          </cell>
          <cell r="B1654" t="str">
            <v>KPTCL</v>
          </cell>
          <cell r="C1654" t="str">
            <v>Debtors</v>
          </cell>
          <cell r="D1654" t="str">
            <v>Feb</v>
          </cell>
          <cell r="F1654">
            <v>69.179120000000012</v>
          </cell>
        </row>
        <row r="1655">
          <cell r="A1655" t="str">
            <v>Power</v>
          </cell>
          <cell r="B1655" t="str">
            <v>KPTCL</v>
          </cell>
          <cell r="C1655" t="str">
            <v>Work In Progress (increase/decrease)</v>
          </cell>
          <cell r="D1655" t="str">
            <v>Feb</v>
          </cell>
          <cell r="F1655">
            <v>510</v>
          </cell>
        </row>
        <row r="1656">
          <cell r="A1656" t="str">
            <v>Power</v>
          </cell>
          <cell r="B1656" t="str">
            <v>KPTCL</v>
          </cell>
          <cell r="C1656" t="str">
            <v>Stock of Raw Materials</v>
          </cell>
          <cell r="D1656" t="str">
            <v>Feb</v>
          </cell>
          <cell r="F1656">
            <v>102</v>
          </cell>
        </row>
        <row r="1657">
          <cell r="A1657" t="str">
            <v>Power</v>
          </cell>
          <cell r="B1657" t="str">
            <v>KPTCL</v>
          </cell>
          <cell r="C1657" t="str">
            <v>Retention(incl TDS)</v>
          </cell>
          <cell r="D1657" t="str">
            <v>Feb</v>
          </cell>
          <cell r="F1657">
            <v>-1254.2736</v>
          </cell>
        </row>
        <row r="1658">
          <cell r="A1658" t="str">
            <v>Power</v>
          </cell>
          <cell r="B1658" t="str">
            <v>KPTCL</v>
          </cell>
          <cell r="C1658" t="str">
            <v>Projected Profit/Loss on YTD Sales</v>
          </cell>
          <cell r="D1658" t="str">
            <v>Feb</v>
          </cell>
          <cell r="F1658">
            <v>-133586</v>
          </cell>
        </row>
        <row r="1659">
          <cell r="A1659" t="str">
            <v>Power</v>
          </cell>
          <cell r="B1659" t="str">
            <v>KPTCL</v>
          </cell>
          <cell r="C1659" t="str">
            <v>Cash and Bank Balance</v>
          </cell>
          <cell r="D1659" t="str">
            <v>Feb</v>
          </cell>
          <cell r="F1659">
            <v>0</v>
          </cell>
        </row>
        <row r="1660">
          <cell r="A1660" t="str">
            <v>Power</v>
          </cell>
          <cell r="B1660" t="str">
            <v>KPTCL</v>
          </cell>
          <cell r="C1660" t="str">
            <v>Creditors-Suppliers-net of advance</v>
          </cell>
          <cell r="D1660" t="str">
            <v>Feb</v>
          </cell>
          <cell r="F1660">
            <v>79</v>
          </cell>
        </row>
        <row r="1661">
          <cell r="A1661" t="str">
            <v>Power</v>
          </cell>
          <cell r="B1661" t="str">
            <v>KPTCL</v>
          </cell>
          <cell r="C1661" t="str">
            <v>Sub-Contractors-net of advance</v>
          </cell>
          <cell r="D1661" t="str">
            <v>Feb</v>
          </cell>
          <cell r="F1661">
            <v>-442</v>
          </cell>
        </row>
        <row r="1662">
          <cell r="A1662" t="str">
            <v>Power</v>
          </cell>
          <cell r="B1662" t="str">
            <v>KPTCL</v>
          </cell>
          <cell r="C1662" t="str">
            <v>Own</v>
          </cell>
          <cell r="D1662" t="str">
            <v>Feb</v>
          </cell>
          <cell r="F1662">
            <v>-918</v>
          </cell>
        </row>
        <row r="1663">
          <cell r="A1663" t="str">
            <v>Power</v>
          </cell>
          <cell r="B1663" t="str">
            <v>KPTCL</v>
          </cell>
          <cell r="C1663" t="str">
            <v>Outstide</v>
          </cell>
          <cell r="D1663" t="str">
            <v>Feb</v>
          </cell>
          <cell r="F1663">
            <v>102</v>
          </cell>
        </row>
        <row r="1664">
          <cell r="A1664" t="str">
            <v>Power</v>
          </cell>
          <cell r="B1664" t="str">
            <v>KPTCL</v>
          </cell>
          <cell r="C1664" t="str">
            <v>Salaries and Wages Payable</v>
          </cell>
          <cell r="D1664" t="str">
            <v>Feb</v>
          </cell>
          <cell r="F1664">
            <v>0</v>
          </cell>
        </row>
        <row r="1665">
          <cell r="A1665" t="str">
            <v>Power</v>
          </cell>
          <cell r="B1665" t="str">
            <v>KPTCL</v>
          </cell>
          <cell r="C1665" t="str">
            <v>Mobilisation Adv Outstanding</v>
          </cell>
          <cell r="D1665" t="str">
            <v>Feb</v>
          </cell>
          <cell r="F1665">
            <v>1275</v>
          </cell>
        </row>
        <row r="1666">
          <cell r="A1666" t="str">
            <v>Power</v>
          </cell>
          <cell r="B1666" t="str">
            <v>KPTCL</v>
          </cell>
          <cell r="C1666" t="str">
            <v>Bank Loan outstanding</v>
          </cell>
          <cell r="D1666" t="str">
            <v>Feb</v>
          </cell>
          <cell r="F1666">
            <v>0</v>
          </cell>
        </row>
        <row r="1667">
          <cell r="A1667" t="str">
            <v>Power</v>
          </cell>
          <cell r="B1667" t="str">
            <v>KPTCL</v>
          </cell>
          <cell r="C1667" t="str">
            <v>HO funding</v>
          </cell>
          <cell r="D1667" t="str">
            <v>Feb</v>
          </cell>
          <cell r="F1667">
            <v>0</v>
          </cell>
        </row>
        <row r="1668">
          <cell r="A1668" t="str">
            <v>Power</v>
          </cell>
          <cell r="B1668" t="str">
            <v>KPTCL</v>
          </cell>
          <cell r="C1668" t="str">
            <v>Debtors</v>
          </cell>
          <cell r="D1668" t="str">
            <v>Mar</v>
          </cell>
          <cell r="F1668">
            <v>69.179120000000012</v>
          </cell>
        </row>
        <row r="1669">
          <cell r="A1669" t="str">
            <v>Power</v>
          </cell>
          <cell r="B1669" t="str">
            <v>KPTCL</v>
          </cell>
          <cell r="C1669" t="str">
            <v>Work In Progress (increase/decrease)</v>
          </cell>
          <cell r="D1669" t="str">
            <v>Mar</v>
          </cell>
          <cell r="F1669">
            <v>544</v>
          </cell>
        </row>
        <row r="1670">
          <cell r="A1670" t="str">
            <v>Power</v>
          </cell>
          <cell r="B1670" t="str">
            <v>KPTCL</v>
          </cell>
          <cell r="C1670" t="str">
            <v>Stock of Raw Materials</v>
          </cell>
          <cell r="D1670" t="str">
            <v>Mar</v>
          </cell>
          <cell r="F1670">
            <v>0</v>
          </cell>
        </row>
        <row r="1671">
          <cell r="A1671" t="str">
            <v>Power</v>
          </cell>
          <cell r="B1671" t="str">
            <v>KPTCL</v>
          </cell>
          <cell r="C1671" t="str">
            <v>Retention(incl TDS)</v>
          </cell>
          <cell r="D1671" t="str">
            <v>Mar</v>
          </cell>
          <cell r="F1671">
            <v>-1344.69184</v>
          </cell>
        </row>
        <row r="1672">
          <cell r="A1672" t="str">
            <v>Power</v>
          </cell>
          <cell r="B1672" t="str">
            <v>KPTCL</v>
          </cell>
          <cell r="C1672" t="str">
            <v>Projected Profit/Loss on YTD Sales</v>
          </cell>
          <cell r="D1672" t="str">
            <v>Mar</v>
          </cell>
          <cell r="F1672">
            <v>-142426</v>
          </cell>
        </row>
        <row r="1673">
          <cell r="A1673" t="str">
            <v>Power</v>
          </cell>
          <cell r="B1673" t="str">
            <v>KPTCL</v>
          </cell>
          <cell r="C1673" t="str">
            <v>Cash and Bank Balance</v>
          </cell>
          <cell r="D1673" t="str">
            <v>Mar</v>
          </cell>
          <cell r="F1673">
            <v>0</v>
          </cell>
        </row>
        <row r="1674">
          <cell r="A1674" t="str">
            <v>Power</v>
          </cell>
          <cell r="B1674" t="str">
            <v>KPTCL</v>
          </cell>
          <cell r="C1674" t="str">
            <v>Creditors-Suppliers-net of advance</v>
          </cell>
          <cell r="D1674" t="str">
            <v>Mar</v>
          </cell>
          <cell r="F1674">
            <v>66</v>
          </cell>
        </row>
        <row r="1675">
          <cell r="A1675" t="str">
            <v>Power</v>
          </cell>
          <cell r="B1675" t="str">
            <v>KPTCL</v>
          </cell>
          <cell r="C1675" t="str">
            <v>Sub-Contractors-net of advance</v>
          </cell>
          <cell r="D1675" t="str">
            <v>Mar</v>
          </cell>
          <cell r="F1675">
            <v>-510</v>
          </cell>
        </row>
        <row r="1676">
          <cell r="A1676" t="str">
            <v>Power</v>
          </cell>
          <cell r="B1676" t="str">
            <v>KPTCL</v>
          </cell>
          <cell r="C1676" t="str">
            <v>Own</v>
          </cell>
          <cell r="D1676" t="str">
            <v>Mar</v>
          </cell>
          <cell r="F1676">
            <v>-986</v>
          </cell>
        </row>
        <row r="1677">
          <cell r="A1677" t="str">
            <v>Power</v>
          </cell>
          <cell r="B1677" t="str">
            <v>KPTCL</v>
          </cell>
          <cell r="C1677" t="str">
            <v>Outstide</v>
          </cell>
          <cell r="D1677" t="str">
            <v>Mar</v>
          </cell>
          <cell r="F1677">
            <v>102</v>
          </cell>
        </row>
        <row r="1678">
          <cell r="A1678" t="str">
            <v>Power</v>
          </cell>
          <cell r="B1678" t="str">
            <v>KPTCL</v>
          </cell>
          <cell r="C1678" t="str">
            <v>Salaries and Wages Payable</v>
          </cell>
          <cell r="D1678" t="str">
            <v>Mar</v>
          </cell>
          <cell r="F1678">
            <v>0</v>
          </cell>
        </row>
        <row r="1679">
          <cell r="A1679" t="str">
            <v>Power</v>
          </cell>
          <cell r="B1679" t="str">
            <v>KPTCL</v>
          </cell>
          <cell r="C1679" t="str">
            <v>Mobilisation Adv Outstanding</v>
          </cell>
          <cell r="D1679" t="str">
            <v>Mar</v>
          </cell>
          <cell r="F1679">
            <v>1360</v>
          </cell>
        </row>
        <row r="1680">
          <cell r="A1680" t="str">
            <v>Power</v>
          </cell>
          <cell r="B1680" t="str">
            <v>KPTCL</v>
          </cell>
          <cell r="C1680" t="str">
            <v>Bank Loan outstanding</v>
          </cell>
          <cell r="D1680" t="str">
            <v>Mar</v>
          </cell>
          <cell r="F1680">
            <v>0</v>
          </cell>
        </row>
        <row r="1681">
          <cell r="A1681" t="str">
            <v>Power</v>
          </cell>
          <cell r="B1681" t="str">
            <v>KPTCL</v>
          </cell>
          <cell r="C1681" t="str">
            <v>HO funding</v>
          </cell>
          <cell r="D1681" t="str">
            <v>Mar</v>
          </cell>
          <cell r="F1681">
            <v>0</v>
          </cell>
        </row>
      </sheetData>
      <sheetData sheetId="14">
        <row r="2">
          <cell r="A2" t="str">
            <v>OilandGas</v>
          </cell>
          <cell r="B2" t="str">
            <v>GSPL</v>
          </cell>
          <cell r="C2" t="str">
            <v>Realisation against RA Bill</v>
          </cell>
          <cell r="E2">
            <v>31336000</v>
          </cell>
          <cell r="F2">
            <v>0</v>
          </cell>
          <cell r="G2">
            <v>347173000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</row>
        <row r="3">
          <cell r="A3" t="str">
            <v>OilandGas</v>
          </cell>
          <cell r="B3" t="str">
            <v>GSPL</v>
          </cell>
          <cell r="C3" t="str">
            <v>Realisitation of Mobilisation Advance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A4" t="str">
            <v>OilandGas</v>
          </cell>
          <cell r="B4" t="str">
            <v>GSPL</v>
          </cell>
          <cell r="C4" t="str">
            <v xml:space="preserve"> - Retention money from client(incl TDS)</v>
          </cell>
          <cell r="E4">
            <v>0</v>
          </cell>
          <cell r="F4">
            <v>0</v>
          </cell>
          <cell r="G4">
            <v>259859000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A5" t="str">
            <v>OilandGas</v>
          </cell>
          <cell r="B5" t="str">
            <v>GSPL</v>
          </cell>
          <cell r="C5" t="str">
            <v>Other Receipts</v>
          </cell>
          <cell r="E5">
            <v>570000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A6" t="str">
            <v>OilandGas</v>
          </cell>
          <cell r="B6" t="str">
            <v>GSPL</v>
          </cell>
          <cell r="C6" t="str">
            <v xml:space="preserve">Labour </v>
          </cell>
          <cell r="E6">
            <v>220000.00000000003</v>
          </cell>
          <cell r="F6">
            <v>180000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A7" t="str">
            <v>OilandGas</v>
          </cell>
          <cell r="B7" t="str">
            <v>GSPL</v>
          </cell>
          <cell r="C7" t="str">
            <v>Payment Suppliers(including Adv)</v>
          </cell>
          <cell r="E7">
            <v>27979000.000000004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A8" t="str">
            <v>OilandGas</v>
          </cell>
          <cell r="B8" t="str">
            <v>GSPL</v>
          </cell>
          <cell r="C8" t="str">
            <v>Sub contractor-(including Advance)</v>
          </cell>
          <cell r="E8">
            <v>97861000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A9" t="str">
            <v>OilandGas</v>
          </cell>
          <cell r="B9" t="str">
            <v>GSPL</v>
          </cell>
          <cell r="C9" t="str">
            <v>Out side Machinery Hire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A10" t="str">
            <v>OilandGas</v>
          </cell>
          <cell r="B10" t="str">
            <v>GSPL</v>
          </cell>
          <cell r="C10" t="str">
            <v>Diesel</v>
          </cell>
          <cell r="E10">
            <v>100000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A11" t="str">
            <v>OilandGas</v>
          </cell>
          <cell r="B11" t="str">
            <v>GSPL</v>
          </cell>
          <cell r="C11" t="str">
            <v>JV Share</v>
          </cell>
          <cell r="E11">
            <v>4100000</v>
          </cell>
          <cell r="F11">
            <v>7747000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A12" t="str">
            <v>OilandGas</v>
          </cell>
          <cell r="B12" t="str">
            <v>GSPL</v>
          </cell>
          <cell r="C12" t="str">
            <v>Plant Repairs &amp; Maintanance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>OilandGas</v>
          </cell>
          <cell r="B13" t="str">
            <v>GSPL</v>
          </cell>
          <cell r="C13" t="str">
            <v>VAT &amp; other Taxes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A14" t="str">
            <v>OilandGas</v>
          </cell>
          <cell r="B14" t="str">
            <v>GSPL</v>
          </cell>
          <cell r="C14" t="str">
            <v>Salaries</v>
          </cell>
          <cell r="E14">
            <v>748000</v>
          </cell>
          <cell r="F14">
            <v>515000.00000000006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>OilandGas</v>
          </cell>
          <cell r="B15" t="str">
            <v>GSPL</v>
          </cell>
          <cell r="C15" t="str">
            <v>Operating overhead</v>
          </cell>
          <cell r="E15">
            <v>650000</v>
          </cell>
          <cell r="F15">
            <v>650000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A16" t="str">
            <v>OilandGas</v>
          </cell>
          <cell r="B16" t="str">
            <v>GSPL</v>
          </cell>
          <cell r="C16" t="str">
            <v>Financial Expenses</v>
          </cell>
          <cell r="E16">
            <v>3065000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>OilandGas</v>
          </cell>
          <cell r="B17" t="str">
            <v>IOCL</v>
          </cell>
          <cell r="C17" t="str">
            <v>Realisation against RA Bill</v>
          </cell>
          <cell r="E17">
            <v>15388999.999999998</v>
          </cell>
          <cell r="F17">
            <v>415000.00000000006</v>
          </cell>
          <cell r="G17">
            <v>415000.00000000006</v>
          </cell>
          <cell r="H17">
            <v>415000.00000000006</v>
          </cell>
          <cell r="I17">
            <v>415000.00000000006</v>
          </cell>
          <cell r="J17">
            <v>415000.00000000006</v>
          </cell>
          <cell r="K17">
            <v>415000.00000000006</v>
          </cell>
          <cell r="L17">
            <v>415000.00000000006</v>
          </cell>
          <cell r="M17">
            <v>415000.00000000006</v>
          </cell>
          <cell r="N17">
            <v>0</v>
          </cell>
          <cell r="O17">
            <v>0</v>
          </cell>
          <cell r="P17">
            <v>0</v>
          </cell>
        </row>
        <row r="18">
          <cell r="A18" t="str">
            <v>OilandGas</v>
          </cell>
          <cell r="B18" t="str">
            <v>IOCL</v>
          </cell>
          <cell r="C18" t="str">
            <v>Realisitation of Mobilisation Advance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>OilandGas</v>
          </cell>
          <cell r="B19" t="str">
            <v>IOCL</v>
          </cell>
          <cell r="C19" t="str">
            <v xml:space="preserve"> - Retention money from client(incl TDS)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A20" t="str">
            <v>OilandGas</v>
          </cell>
          <cell r="B20" t="str">
            <v>IOCL</v>
          </cell>
          <cell r="C20" t="str">
            <v>Other Receipts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>OilandGas</v>
          </cell>
          <cell r="B21" t="str">
            <v>IOCL</v>
          </cell>
          <cell r="C21" t="str">
            <v xml:space="preserve">Labour 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A22" t="str">
            <v>OilandGas</v>
          </cell>
          <cell r="B22" t="str">
            <v>IOCL</v>
          </cell>
          <cell r="C22" t="str">
            <v>Payment Suppliers(including Adv)</v>
          </cell>
          <cell r="E22">
            <v>2098000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>OilandGas</v>
          </cell>
          <cell r="B23" t="str">
            <v>IOCL</v>
          </cell>
          <cell r="C23" t="str">
            <v>Sub contractor-(including Advance)</v>
          </cell>
          <cell r="E23">
            <v>17728000</v>
          </cell>
          <cell r="F23">
            <v>100000</v>
          </cell>
          <cell r="G23">
            <v>100000</v>
          </cell>
          <cell r="H23">
            <v>100000</v>
          </cell>
          <cell r="I23">
            <v>100000</v>
          </cell>
          <cell r="J23">
            <v>100000</v>
          </cell>
          <cell r="K23">
            <v>100000</v>
          </cell>
          <cell r="L23">
            <v>100000</v>
          </cell>
          <cell r="M23">
            <v>100000</v>
          </cell>
          <cell r="N23">
            <v>0</v>
          </cell>
          <cell r="O23">
            <v>0</v>
          </cell>
          <cell r="P23">
            <v>0</v>
          </cell>
        </row>
        <row r="24">
          <cell r="A24" t="str">
            <v>OilandGas</v>
          </cell>
          <cell r="B24" t="str">
            <v>IOCL</v>
          </cell>
          <cell r="C24" t="str">
            <v>Out side Machinery Hire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>OilandGas</v>
          </cell>
          <cell r="B25" t="str">
            <v>IOCL</v>
          </cell>
          <cell r="C25" t="str">
            <v>Diesel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A26" t="str">
            <v>OilandGas</v>
          </cell>
          <cell r="B26" t="str">
            <v>IOCL</v>
          </cell>
          <cell r="C26" t="str">
            <v>JV Share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A27" t="str">
            <v>OilandGas</v>
          </cell>
          <cell r="B27" t="str">
            <v>IOCL</v>
          </cell>
          <cell r="C27" t="str">
            <v>Plant Repairs &amp; Maintanance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A28" t="str">
            <v>OilandGas</v>
          </cell>
          <cell r="B28" t="str">
            <v>IOCL</v>
          </cell>
          <cell r="C28" t="str">
            <v>VAT &amp; other Taxes</v>
          </cell>
          <cell r="E28">
            <v>1363000</v>
          </cell>
          <cell r="F28">
            <v>17000</v>
          </cell>
          <cell r="G28">
            <v>17000</v>
          </cell>
          <cell r="H28">
            <v>17000</v>
          </cell>
          <cell r="I28">
            <v>17000</v>
          </cell>
          <cell r="J28">
            <v>17000</v>
          </cell>
          <cell r="K28">
            <v>17000</v>
          </cell>
          <cell r="L28">
            <v>17000</v>
          </cell>
          <cell r="M28">
            <v>17000</v>
          </cell>
          <cell r="N28">
            <v>0</v>
          </cell>
          <cell r="O28">
            <v>0</v>
          </cell>
          <cell r="P28">
            <v>0</v>
          </cell>
        </row>
        <row r="29">
          <cell r="A29" t="str">
            <v>OilandGas</v>
          </cell>
          <cell r="B29" t="str">
            <v>IOCL</v>
          </cell>
          <cell r="C29" t="str">
            <v>Salaries</v>
          </cell>
          <cell r="E29">
            <v>106000</v>
          </cell>
          <cell r="F29">
            <v>106000</v>
          </cell>
          <cell r="G29">
            <v>91000</v>
          </cell>
          <cell r="H29">
            <v>91000</v>
          </cell>
          <cell r="I29">
            <v>91000</v>
          </cell>
          <cell r="J29">
            <v>91000</v>
          </cell>
          <cell r="K29">
            <v>91000</v>
          </cell>
          <cell r="L29">
            <v>91000</v>
          </cell>
          <cell r="M29">
            <v>91000</v>
          </cell>
          <cell r="N29">
            <v>0</v>
          </cell>
          <cell r="O29">
            <v>0</v>
          </cell>
          <cell r="P29">
            <v>0</v>
          </cell>
        </row>
        <row r="30">
          <cell r="A30" t="str">
            <v>OilandGas</v>
          </cell>
          <cell r="B30" t="str">
            <v>IOCL</v>
          </cell>
          <cell r="C30" t="str">
            <v>Operating overhead</v>
          </cell>
          <cell r="E30">
            <v>45000</v>
          </cell>
          <cell r="F30">
            <v>45000</v>
          </cell>
          <cell r="G30">
            <v>45000</v>
          </cell>
          <cell r="H30">
            <v>45000</v>
          </cell>
          <cell r="I30">
            <v>45000</v>
          </cell>
          <cell r="J30">
            <v>45000</v>
          </cell>
          <cell r="K30">
            <v>45000</v>
          </cell>
          <cell r="L30">
            <v>45000</v>
          </cell>
          <cell r="M30">
            <v>45000</v>
          </cell>
          <cell r="N30">
            <v>0</v>
          </cell>
          <cell r="O30">
            <v>0</v>
          </cell>
          <cell r="P30">
            <v>0</v>
          </cell>
        </row>
        <row r="31">
          <cell r="A31" t="str">
            <v>OilandGas</v>
          </cell>
          <cell r="B31" t="str">
            <v>IOCL</v>
          </cell>
          <cell r="C31" t="str">
            <v>Financial Expenses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A32" t="str">
            <v>Buildings</v>
          </cell>
          <cell r="B32" t="str">
            <v>DGMAP CHENNAI</v>
          </cell>
          <cell r="C32" t="str">
            <v>Realisation against RA Bill</v>
          </cell>
          <cell r="E32">
            <v>1100000</v>
          </cell>
          <cell r="F32">
            <v>5000000</v>
          </cell>
          <cell r="G32">
            <v>10000000</v>
          </cell>
          <cell r="H32">
            <v>15000000</v>
          </cell>
          <cell r="I32">
            <v>20000000</v>
          </cell>
          <cell r="J32">
            <v>30000000</v>
          </cell>
          <cell r="K32">
            <v>30000000</v>
          </cell>
          <cell r="L32">
            <v>30000000</v>
          </cell>
          <cell r="M32">
            <v>40000000</v>
          </cell>
          <cell r="N32">
            <v>40000000</v>
          </cell>
          <cell r="O32">
            <v>20000000</v>
          </cell>
          <cell r="P32">
            <v>15000000</v>
          </cell>
        </row>
        <row r="33">
          <cell r="A33" t="str">
            <v>Buildings</v>
          </cell>
          <cell r="B33" t="str">
            <v>DGMAP CHENNAI</v>
          </cell>
          <cell r="C33" t="str">
            <v>Realisitation of Mobilisation Advance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A34" t="str">
            <v>Buildings</v>
          </cell>
          <cell r="B34" t="str">
            <v>DGMAP CHENNAI</v>
          </cell>
          <cell r="C34" t="str">
            <v xml:space="preserve"> - Retention money from client(incl TDS)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A35" t="str">
            <v>Buildings</v>
          </cell>
          <cell r="B35" t="str">
            <v>DGMAP CHENNAI</v>
          </cell>
          <cell r="C35" t="str">
            <v>Other Receipts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A36" t="str">
            <v>Buildings</v>
          </cell>
          <cell r="B36" t="str">
            <v>DGMAP CHENNAI</v>
          </cell>
          <cell r="C36" t="str">
            <v xml:space="preserve">Labour </v>
          </cell>
          <cell r="E36">
            <v>165000</v>
          </cell>
          <cell r="F36">
            <v>750000</v>
          </cell>
          <cell r="G36">
            <v>1500000</v>
          </cell>
          <cell r="H36">
            <v>2250000</v>
          </cell>
          <cell r="I36">
            <v>3000000</v>
          </cell>
          <cell r="J36">
            <v>4500000</v>
          </cell>
          <cell r="K36">
            <v>4500000</v>
          </cell>
          <cell r="L36">
            <v>4500000</v>
          </cell>
          <cell r="M36">
            <v>6000000</v>
          </cell>
          <cell r="N36">
            <v>6000000</v>
          </cell>
          <cell r="O36">
            <v>3000000</v>
          </cell>
          <cell r="P36">
            <v>2250000</v>
          </cell>
        </row>
        <row r="37">
          <cell r="A37" t="str">
            <v>Buildings</v>
          </cell>
          <cell r="B37" t="str">
            <v>DGMAP CHENNAI</v>
          </cell>
          <cell r="C37" t="str">
            <v>Payment Suppliers(including Adv)</v>
          </cell>
          <cell r="E37">
            <v>18193000</v>
          </cell>
          <cell r="F37">
            <v>3500000</v>
          </cell>
          <cell r="G37">
            <v>7000000</v>
          </cell>
          <cell r="H37">
            <v>10500000</v>
          </cell>
          <cell r="I37">
            <v>14000000</v>
          </cell>
          <cell r="J37">
            <v>18000000</v>
          </cell>
          <cell r="K37">
            <v>18000000</v>
          </cell>
          <cell r="L37">
            <v>18000000</v>
          </cell>
          <cell r="M37">
            <v>24000000</v>
          </cell>
          <cell r="N37">
            <v>24000000</v>
          </cell>
          <cell r="O37">
            <v>12000000</v>
          </cell>
          <cell r="P37">
            <v>9000000</v>
          </cell>
        </row>
        <row r="38">
          <cell r="A38" t="str">
            <v>Buildings</v>
          </cell>
          <cell r="B38" t="str">
            <v>DGMAP CHENNAI</v>
          </cell>
          <cell r="C38" t="str">
            <v>Sub contractor-(including Advance)</v>
          </cell>
          <cell r="E38">
            <v>934000</v>
          </cell>
          <cell r="F38">
            <v>1000000</v>
          </cell>
          <cell r="G38">
            <v>2000000</v>
          </cell>
          <cell r="H38">
            <v>3000000</v>
          </cell>
          <cell r="I38">
            <v>4000000</v>
          </cell>
          <cell r="J38">
            <v>6000000</v>
          </cell>
          <cell r="K38">
            <v>6000000</v>
          </cell>
          <cell r="L38">
            <v>6000000</v>
          </cell>
          <cell r="M38">
            <v>8000000</v>
          </cell>
          <cell r="N38">
            <v>8000000</v>
          </cell>
          <cell r="O38">
            <v>4000000</v>
          </cell>
          <cell r="P38">
            <v>3000000</v>
          </cell>
        </row>
        <row r="39">
          <cell r="A39" t="str">
            <v>Buildings</v>
          </cell>
          <cell r="B39" t="str">
            <v>DGMAP CHENNAI</v>
          </cell>
          <cell r="C39" t="str">
            <v>Out side Machinery Hire</v>
          </cell>
          <cell r="E39">
            <v>0</v>
          </cell>
          <cell r="F39">
            <v>300000</v>
          </cell>
          <cell r="G39">
            <v>600000</v>
          </cell>
          <cell r="H39">
            <v>900000</v>
          </cell>
          <cell r="I39">
            <v>1200000</v>
          </cell>
          <cell r="J39">
            <v>1800000</v>
          </cell>
          <cell r="K39">
            <v>1800000</v>
          </cell>
          <cell r="L39">
            <v>1800000</v>
          </cell>
          <cell r="M39">
            <v>2400000</v>
          </cell>
          <cell r="N39">
            <v>2400000</v>
          </cell>
          <cell r="O39">
            <v>1200000</v>
          </cell>
          <cell r="P39">
            <v>900000</v>
          </cell>
        </row>
        <row r="40">
          <cell r="A40" t="str">
            <v>Buildings</v>
          </cell>
          <cell r="B40" t="str">
            <v>DGMAP CHENNAI</v>
          </cell>
          <cell r="C40" t="str">
            <v>Diesel</v>
          </cell>
          <cell r="E40">
            <v>0</v>
          </cell>
          <cell r="F40">
            <v>100000</v>
          </cell>
          <cell r="G40">
            <v>200000</v>
          </cell>
          <cell r="H40">
            <v>300000</v>
          </cell>
          <cell r="I40">
            <v>400000</v>
          </cell>
          <cell r="J40">
            <v>600000</v>
          </cell>
          <cell r="K40">
            <v>600000</v>
          </cell>
          <cell r="L40">
            <v>600000</v>
          </cell>
          <cell r="M40">
            <v>800000</v>
          </cell>
          <cell r="N40">
            <v>800000</v>
          </cell>
          <cell r="O40">
            <v>400000</v>
          </cell>
          <cell r="P40">
            <v>300000</v>
          </cell>
        </row>
        <row r="41">
          <cell r="A41" t="str">
            <v>Buildings</v>
          </cell>
          <cell r="B41" t="str">
            <v>DGMAP CHENNAI</v>
          </cell>
          <cell r="C41" t="str">
            <v>JV Share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A42" t="str">
            <v>Buildings</v>
          </cell>
          <cell r="B42" t="str">
            <v>DGMAP CHENNAI</v>
          </cell>
          <cell r="C42" t="str">
            <v>Plant Repairs &amp; Maintanance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A43" t="str">
            <v>Buildings</v>
          </cell>
          <cell r="B43" t="str">
            <v>DGMAP CHENNAI</v>
          </cell>
          <cell r="C43" t="str">
            <v>VAT &amp; other Taxes</v>
          </cell>
          <cell r="E43">
            <v>0</v>
          </cell>
          <cell r="F43">
            <v>413300</v>
          </cell>
          <cell r="G43">
            <v>826600</v>
          </cell>
          <cell r="H43">
            <v>1239900</v>
          </cell>
          <cell r="I43">
            <v>1653200</v>
          </cell>
          <cell r="J43">
            <v>2479800</v>
          </cell>
          <cell r="K43">
            <v>2479800</v>
          </cell>
          <cell r="L43">
            <v>2479800</v>
          </cell>
          <cell r="M43">
            <v>3306400</v>
          </cell>
          <cell r="N43">
            <v>3306400</v>
          </cell>
          <cell r="O43">
            <v>1653200</v>
          </cell>
          <cell r="P43">
            <v>1239900</v>
          </cell>
        </row>
        <row r="44">
          <cell r="A44" t="str">
            <v>Buildings</v>
          </cell>
          <cell r="B44" t="str">
            <v>DGMAP CHENNAI</v>
          </cell>
          <cell r="C44" t="str">
            <v>Salaries</v>
          </cell>
          <cell r="E44">
            <v>300000</v>
          </cell>
          <cell r="F44">
            <v>650000</v>
          </cell>
          <cell r="G44">
            <v>650000</v>
          </cell>
          <cell r="H44">
            <v>650000</v>
          </cell>
          <cell r="I44">
            <v>650000</v>
          </cell>
          <cell r="J44">
            <v>650000</v>
          </cell>
          <cell r="K44">
            <v>650000</v>
          </cell>
          <cell r="L44">
            <v>650000</v>
          </cell>
          <cell r="M44">
            <v>650000</v>
          </cell>
          <cell r="N44">
            <v>650000</v>
          </cell>
          <cell r="O44">
            <v>650000</v>
          </cell>
          <cell r="P44">
            <v>650000</v>
          </cell>
        </row>
        <row r="45">
          <cell r="A45" t="str">
            <v>Buildings</v>
          </cell>
          <cell r="B45" t="str">
            <v>DGMAP CHENNAI</v>
          </cell>
          <cell r="C45" t="str">
            <v>Operating overhead</v>
          </cell>
          <cell r="E45">
            <v>0</v>
          </cell>
          <cell r="F45">
            <v>250000</v>
          </cell>
          <cell r="G45">
            <v>500000</v>
          </cell>
          <cell r="H45">
            <v>750000</v>
          </cell>
          <cell r="I45">
            <v>1000000</v>
          </cell>
          <cell r="J45">
            <v>1500000</v>
          </cell>
          <cell r="K45">
            <v>1500000</v>
          </cell>
          <cell r="L45">
            <v>1500000</v>
          </cell>
          <cell r="M45">
            <v>2000000</v>
          </cell>
          <cell r="N45">
            <v>2000000</v>
          </cell>
          <cell r="O45">
            <v>1000000</v>
          </cell>
          <cell r="P45">
            <v>750000</v>
          </cell>
        </row>
        <row r="46">
          <cell r="A46" t="str">
            <v>Buildings</v>
          </cell>
          <cell r="B46" t="str">
            <v>DGMAP CHENNAI</v>
          </cell>
          <cell r="C46" t="str">
            <v>Financial Expenses</v>
          </cell>
          <cell r="E46">
            <v>200000</v>
          </cell>
          <cell r="F46">
            <v>500000</v>
          </cell>
          <cell r="G46">
            <v>1000000</v>
          </cell>
          <cell r="H46">
            <v>1500000</v>
          </cell>
          <cell r="I46">
            <v>2000000</v>
          </cell>
          <cell r="J46">
            <v>3000000</v>
          </cell>
          <cell r="K46">
            <v>3000000</v>
          </cell>
          <cell r="L46">
            <v>3000000</v>
          </cell>
          <cell r="M46">
            <v>4000000</v>
          </cell>
          <cell r="N46">
            <v>4000000</v>
          </cell>
          <cell r="O46">
            <v>2000000</v>
          </cell>
          <cell r="P46">
            <v>1500000</v>
          </cell>
        </row>
        <row r="47">
          <cell r="A47" t="str">
            <v>Buildings</v>
          </cell>
          <cell r="B47" t="str">
            <v>NAVAC 9</v>
          </cell>
          <cell r="C47" t="str">
            <v>Realisation against RA Bill</v>
          </cell>
          <cell r="E47">
            <v>10000000</v>
          </cell>
          <cell r="F47">
            <v>15000000</v>
          </cell>
          <cell r="G47">
            <v>15000000</v>
          </cell>
          <cell r="H47">
            <v>10000000</v>
          </cell>
          <cell r="I47">
            <v>10000000</v>
          </cell>
          <cell r="J47">
            <v>25000000</v>
          </cell>
          <cell r="K47">
            <v>26500000</v>
          </cell>
          <cell r="L47">
            <v>27500000</v>
          </cell>
          <cell r="M47">
            <v>30000000</v>
          </cell>
          <cell r="N47">
            <v>32500000</v>
          </cell>
          <cell r="O47">
            <v>28500000</v>
          </cell>
          <cell r="P47">
            <v>25000000</v>
          </cell>
        </row>
        <row r="48">
          <cell r="A48" t="str">
            <v>Buildings</v>
          </cell>
          <cell r="B48" t="str">
            <v>NAVAC 9</v>
          </cell>
          <cell r="C48" t="str">
            <v>Realisitation of Mobilisation Advance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A49" t="str">
            <v>Buildings</v>
          </cell>
          <cell r="B49" t="str">
            <v>NAVAC 9</v>
          </cell>
          <cell r="C49" t="str">
            <v xml:space="preserve"> - Retention money from client(incl TDS)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A50" t="str">
            <v>Buildings</v>
          </cell>
          <cell r="B50" t="str">
            <v>NAVAC 9</v>
          </cell>
          <cell r="C50" t="str">
            <v>Other Receipts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A51" t="str">
            <v>Buildings</v>
          </cell>
          <cell r="B51" t="str">
            <v>NAVAC 9</v>
          </cell>
          <cell r="C51" t="str">
            <v xml:space="preserve">Labour </v>
          </cell>
          <cell r="E51">
            <v>1500000</v>
          </cell>
          <cell r="F51">
            <v>2250000</v>
          </cell>
          <cell r="G51">
            <v>1800000</v>
          </cell>
          <cell r="H51">
            <v>1100000</v>
          </cell>
          <cell r="I51">
            <v>1000000</v>
          </cell>
          <cell r="J51">
            <v>2750000</v>
          </cell>
          <cell r="K51">
            <v>2915000</v>
          </cell>
          <cell r="L51">
            <v>2750000</v>
          </cell>
          <cell r="M51">
            <v>3000000</v>
          </cell>
          <cell r="N51">
            <v>3250000</v>
          </cell>
          <cell r="O51">
            <v>2850000</v>
          </cell>
          <cell r="P51">
            <v>2500000</v>
          </cell>
        </row>
        <row r="52">
          <cell r="A52" t="str">
            <v>Buildings</v>
          </cell>
          <cell r="B52" t="str">
            <v>NAVAC 9</v>
          </cell>
          <cell r="C52" t="str">
            <v>Payment Suppliers(including Adv)</v>
          </cell>
          <cell r="E52">
            <v>5500000.0000000009</v>
          </cell>
          <cell r="F52">
            <v>8549999.9999999981</v>
          </cell>
          <cell r="G52">
            <v>8250000</v>
          </cell>
          <cell r="H52">
            <v>5600000.0000000009</v>
          </cell>
          <cell r="I52">
            <v>5500000.0000000009</v>
          </cell>
          <cell r="J52">
            <v>13750000</v>
          </cell>
          <cell r="K52">
            <v>13250000</v>
          </cell>
          <cell r="L52">
            <v>13475000</v>
          </cell>
          <cell r="M52">
            <v>14400000</v>
          </cell>
          <cell r="N52">
            <v>15600000</v>
          </cell>
          <cell r="O52">
            <v>13394999.999999998</v>
          </cell>
          <cell r="P52">
            <v>12000000</v>
          </cell>
        </row>
        <row r="53">
          <cell r="A53" t="str">
            <v>Buildings</v>
          </cell>
          <cell r="B53" t="str">
            <v>NAVAC 9</v>
          </cell>
          <cell r="C53" t="str">
            <v>Sub contractor-(including Advance)</v>
          </cell>
          <cell r="E53">
            <v>1300000</v>
          </cell>
          <cell r="F53">
            <v>1950000</v>
          </cell>
          <cell r="G53">
            <v>1950000</v>
          </cell>
          <cell r="H53">
            <v>1300000</v>
          </cell>
          <cell r="I53">
            <v>1300000</v>
          </cell>
          <cell r="J53">
            <v>3000000</v>
          </cell>
          <cell r="K53">
            <v>3179999.9999999995</v>
          </cell>
          <cell r="L53">
            <v>3300000</v>
          </cell>
          <cell r="M53">
            <v>3600000</v>
          </cell>
          <cell r="N53">
            <v>3900000</v>
          </cell>
          <cell r="O53">
            <v>3419999.9999999995</v>
          </cell>
          <cell r="P53">
            <v>3000000</v>
          </cell>
        </row>
        <row r="54">
          <cell r="A54" t="str">
            <v>Buildings</v>
          </cell>
          <cell r="B54" t="str">
            <v>NAVAC 9</v>
          </cell>
          <cell r="C54" t="str">
            <v>Out side Machinery Hire</v>
          </cell>
          <cell r="E54">
            <v>550000</v>
          </cell>
          <cell r="F54">
            <v>550000</v>
          </cell>
          <cell r="G54">
            <v>550000</v>
          </cell>
          <cell r="H54">
            <v>550000</v>
          </cell>
          <cell r="I54">
            <v>550000</v>
          </cell>
          <cell r="J54">
            <v>550000</v>
          </cell>
          <cell r="K54">
            <v>500000</v>
          </cell>
          <cell r="L54">
            <v>500000</v>
          </cell>
          <cell r="M54">
            <v>500000</v>
          </cell>
          <cell r="N54">
            <v>500000</v>
          </cell>
          <cell r="O54">
            <v>400000</v>
          </cell>
          <cell r="P54">
            <v>400000</v>
          </cell>
        </row>
        <row r="55">
          <cell r="A55" t="str">
            <v>Buildings</v>
          </cell>
          <cell r="B55" t="str">
            <v>NAVAC 9</v>
          </cell>
          <cell r="C55" t="str">
            <v>Diesel</v>
          </cell>
          <cell r="E55">
            <v>200000</v>
          </cell>
          <cell r="F55">
            <v>250000</v>
          </cell>
          <cell r="G55">
            <v>300000</v>
          </cell>
          <cell r="H55">
            <v>300000</v>
          </cell>
          <cell r="I55">
            <v>300000</v>
          </cell>
          <cell r="J55">
            <v>300000</v>
          </cell>
          <cell r="K55">
            <v>300000</v>
          </cell>
          <cell r="L55">
            <v>300000</v>
          </cell>
          <cell r="M55">
            <v>250000</v>
          </cell>
          <cell r="N55">
            <v>250000</v>
          </cell>
          <cell r="O55">
            <v>250000</v>
          </cell>
          <cell r="P55">
            <v>250000</v>
          </cell>
        </row>
        <row r="56">
          <cell r="A56" t="str">
            <v>Buildings</v>
          </cell>
          <cell r="B56" t="str">
            <v>NAVAC 9</v>
          </cell>
          <cell r="C56" t="str">
            <v>JV Share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A57" t="str">
            <v>Buildings</v>
          </cell>
          <cell r="B57" t="str">
            <v>NAVAC 9</v>
          </cell>
          <cell r="C57" t="str">
            <v>Plant Repairs &amp; Maintanance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A58" t="str">
            <v>Buildings</v>
          </cell>
          <cell r="B58" t="str">
            <v>NAVAC 9</v>
          </cell>
          <cell r="C58" t="str">
            <v>VAT &amp; other Taxes</v>
          </cell>
          <cell r="E58">
            <v>826600</v>
          </cell>
          <cell r="F58">
            <v>1239900</v>
          </cell>
          <cell r="G58">
            <v>1239900</v>
          </cell>
          <cell r="H58">
            <v>826600</v>
          </cell>
          <cell r="I58">
            <v>826600</v>
          </cell>
          <cell r="J58">
            <v>2066500</v>
          </cell>
          <cell r="K58">
            <v>2190490</v>
          </cell>
          <cell r="L58">
            <v>2273150</v>
          </cell>
          <cell r="M58">
            <v>2479800</v>
          </cell>
          <cell r="N58">
            <v>2686450</v>
          </cell>
          <cell r="O58">
            <v>2355810</v>
          </cell>
          <cell r="P58">
            <v>2066500</v>
          </cell>
        </row>
        <row r="59">
          <cell r="A59" t="str">
            <v>Buildings</v>
          </cell>
          <cell r="B59" t="str">
            <v>NAVAC 9</v>
          </cell>
          <cell r="C59" t="str">
            <v>Salaries</v>
          </cell>
          <cell r="E59">
            <v>600000</v>
          </cell>
          <cell r="F59">
            <v>600000</v>
          </cell>
          <cell r="G59">
            <v>600000</v>
          </cell>
          <cell r="H59">
            <v>600000</v>
          </cell>
          <cell r="I59">
            <v>600000</v>
          </cell>
          <cell r="J59">
            <v>600000</v>
          </cell>
          <cell r="K59">
            <v>600000</v>
          </cell>
          <cell r="L59">
            <v>600000</v>
          </cell>
          <cell r="M59">
            <v>550000</v>
          </cell>
          <cell r="N59">
            <v>550000</v>
          </cell>
          <cell r="O59">
            <v>550000</v>
          </cell>
          <cell r="P59">
            <v>550000</v>
          </cell>
        </row>
        <row r="60">
          <cell r="A60" t="str">
            <v>Buildings</v>
          </cell>
          <cell r="B60" t="str">
            <v>NAVAC 9</v>
          </cell>
          <cell r="C60" t="str">
            <v>Operating overhead</v>
          </cell>
          <cell r="E60">
            <v>200000</v>
          </cell>
          <cell r="F60">
            <v>200000</v>
          </cell>
          <cell r="G60">
            <v>200000</v>
          </cell>
          <cell r="H60">
            <v>200000</v>
          </cell>
          <cell r="I60">
            <v>200000</v>
          </cell>
          <cell r="J60">
            <v>200000</v>
          </cell>
          <cell r="K60">
            <v>200000</v>
          </cell>
          <cell r="L60">
            <v>200000</v>
          </cell>
          <cell r="M60">
            <v>200000</v>
          </cell>
          <cell r="N60">
            <v>200000</v>
          </cell>
          <cell r="O60">
            <v>200000</v>
          </cell>
          <cell r="P60">
            <v>200000</v>
          </cell>
        </row>
        <row r="61">
          <cell r="A61" t="str">
            <v>Buildings</v>
          </cell>
          <cell r="B61" t="str">
            <v>NAVAC 9</v>
          </cell>
          <cell r="C61" t="str">
            <v>Financial Expenses</v>
          </cell>
          <cell r="E61">
            <v>800000</v>
          </cell>
          <cell r="F61">
            <v>1200000</v>
          </cell>
          <cell r="G61">
            <v>1200000</v>
          </cell>
          <cell r="H61">
            <v>800000</v>
          </cell>
          <cell r="I61">
            <v>800000</v>
          </cell>
          <cell r="J61">
            <v>2000000</v>
          </cell>
          <cell r="K61">
            <v>2120000</v>
          </cell>
          <cell r="L61">
            <v>2200000</v>
          </cell>
          <cell r="M61">
            <v>2400000</v>
          </cell>
          <cell r="N61">
            <v>2600000</v>
          </cell>
          <cell r="O61">
            <v>2280000</v>
          </cell>
          <cell r="P61">
            <v>2000000</v>
          </cell>
        </row>
        <row r="62">
          <cell r="A62" t="str">
            <v>Buildings</v>
          </cell>
          <cell r="B62" t="str">
            <v>NAVAV 11</v>
          </cell>
          <cell r="C62" t="str">
            <v>Realisation against RA Bill</v>
          </cell>
          <cell r="E62">
            <v>5000000</v>
          </cell>
          <cell r="F62">
            <v>8000000</v>
          </cell>
          <cell r="G62">
            <v>10000000</v>
          </cell>
          <cell r="H62">
            <v>8000000</v>
          </cell>
          <cell r="I62">
            <v>8000000</v>
          </cell>
          <cell r="J62">
            <v>9000000</v>
          </cell>
          <cell r="K62">
            <v>10000000</v>
          </cell>
          <cell r="L62">
            <v>12500000</v>
          </cell>
          <cell r="M62">
            <v>12000000</v>
          </cell>
          <cell r="N62">
            <v>10000000</v>
          </cell>
          <cell r="O62">
            <v>0</v>
          </cell>
          <cell r="P62">
            <v>0</v>
          </cell>
        </row>
        <row r="63">
          <cell r="A63" t="str">
            <v>Buildings</v>
          </cell>
          <cell r="B63" t="str">
            <v>NAVAV 11</v>
          </cell>
          <cell r="C63" t="str">
            <v>Realisitation of Mobilisation Advance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A64" t="str">
            <v>Buildings</v>
          </cell>
          <cell r="B64" t="str">
            <v>NAVAV 11</v>
          </cell>
          <cell r="C64" t="str">
            <v xml:space="preserve"> - Retention money from client(incl TDS)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A65" t="str">
            <v>Buildings</v>
          </cell>
          <cell r="B65" t="str">
            <v>NAVAV 11</v>
          </cell>
          <cell r="C65" t="str">
            <v>Other Receipts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A66" t="str">
            <v>Buildings</v>
          </cell>
          <cell r="B66" t="str">
            <v>NAVAV 11</v>
          </cell>
          <cell r="C66" t="str">
            <v xml:space="preserve">Labour </v>
          </cell>
          <cell r="E66">
            <v>750000</v>
          </cell>
          <cell r="F66">
            <v>1200000</v>
          </cell>
          <cell r="G66">
            <v>1200000</v>
          </cell>
          <cell r="H66">
            <v>880000.00000000012</v>
          </cell>
          <cell r="I66">
            <v>800000</v>
          </cell>
          <cell r="J66">
            <v>900000</v>
          </cell>
          <cell r="K66">
            <v>1000000</v>
          </cell>
          <cell r="L66">
            <v>1250000</v>
          </cell>
          <cell r="M66">
            <v>1200000</v>
          </cell>
          <cell r="N66">
            <v>1000000</v>
          </cell>
          <cell r="O66">
            <v>0</v>
          </cell>
          <cell r="P66">
            <v>0</v>
          </cell>
        </row>
        <row r="67">
          <cell r="A67" t="str">
            <v>Buildings</v>
          </cell>
          <cell r="B67" t="str">
            <v>NAVAV 11</v>
          </cell>
          <cell r="C67" t="str">
            <v>Payment Suppliers(including Adv)</v>
          </cell>
          <cell r="E67">
            <v>2750000.0000000005</v>
          </cell>
          <cell r="F67">
            <v>4559999.9999999991</v>
          </cell>
          <cell r="G67">
            <v>5500000.0000000009</v>
          </cell>
          <cell r="H67">
            <v>4480000</v>
          </cell>
          <cell r="I67">
            <v>4480000</v>
          </cell>
          <cell r="J67">
            <v>5040000.0000000009</v>
          </cell>
          <cell r="K67">
            <v>5300000</v>
          </cell>
          <cell r="L67">
            <v>6500000</v>
          </cell>
          <cell r="M67">
            <v>6120000</v>
          </cell>
          <cell r="N67">
            <v>5000000</v>
          </cell>
          <cell r="O67">
            <v>0</v>
          </cell>
          <cell r="P67">
            <v>0</v>
          </cell>
        </row>
        <row r="68">
          <cell r="A68" t="str">
            <v>Buildings</v>
          </cell>
          <cell r="B68" t="str">
            <v>NAVAV 11</v>
          </cell>
          <cell r="C68" t="str">
            <v>Sub contractor-(including Advance)</v>
          </cell>
          <cell r="E68">
            <v>650000</v>
          </cell>
          <cell r="F68">
            <v>1040000</v>
          </cell>
          <cell r="G68">
            <v>1300000</v>
          </cell>
          <cell r="H68">
            <v>1040000</v>
          </cell>
          <cell r="I68">
            <v>1040000</v>
          </cell>
          <cell r="J68">
            <v>1080000</v>
          </cell>
          <cell r="K68">
            <v>1000000</v>
          </cell>
          <cell r="L68">
            <v>1250000</v>
          </cell>
          <cell r="M68">
            <v>1200000</v>
          </cell>
          <cell r="N68">
            <v>1000000</v>
          </cell>
          <cell r="O68">
            <v>0</v>
          </cell>
          <cell r="P68">
            <v>0</v>
          </cell>
        </row>
        <row r="69">
          <cell r="A69" t="str">
            <v>Buildings</v>
          </cell>
          <cell r="B69" t="str">
            <v>NAVAV 11</v>
          </cell>
          <cell r="C69" t="str">
            <v>Out side Machinery Hire</v>
          </cell>
          <cell r="E69">
            <v>350000</v>
          </cell>
          <cell r="F69">
            <v>350000</v>
          </cell>
          <cell r="G69">
            <v>350000</v>
          </cell>
          <cell r="H69">
            <v>350000</v>
          </cell>
          <cell r="I69">
            <v>350000</v>
          </cell>
          <cell r="J69">
            <v>350000</v>
          </cell>
          <cell r="K69">
            <v>350000</v>
          </cell>
          <cell r="L69">
            <v>350000</v>
          </cell>
          <cell r="M69">
            <v>350000</v>
          </cell>
          <cell r="N69">
            <v>350000</v>
          </cell>
          <cell r="O69">
            <v>350000</v>
          </cell>
          <cell r="P69">
            <v>350000</v>
          </cell>
        </row>
        <row r="70">
          <cell r="A70" t="str">
            <v>Buildings</v>
          </cell>
          <cell r="B70" t="str">
            <v>NAVAV 11</v>
          </cell>
          <cell r="C70" t="str">
            <v>Diesel</v>
          </cell>
          <cell r="E70">
            <v>100000</v>
          </cell>
          <cell r="F70">
            <v>200000</v>
          </cell>
          <cell r="G70">
            <v>200000</v>
          </cell>
          <cell r="H70">
            <v>200000</v>
          </cell>
          <cell r="I70">
            <v>200000</v>
          </cell>
          <cell r="J70">
            <v>200000</v>
          </cell>
          <cell r="K70">
            <v>200000</v>
          </cell>
          <cell r="L70">
            <v>200000</v>
          </cell>
          <cell r="M70">
            <v>200000</v>
          </cell>
          <cell r="N70">
            <v>200000</v>
          </cell>
          <cell r="O70">
            <v>200000</v>
          </cell>
          <cell r="P70">
            <v>200000</v>
          </cell>
        </row>
        <row r="71">
          <cell r="A71" t="str">
            <v>Buildings</v>
          </cell>
          <cell r="B71" t="str">
            <v>NAVAV 11</v>
          </cell>
          <cell r="C71" t="str">
            <v>JV Share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A72" t="str">
            <v>Buildings</v>
          </cell>
          <cell r="B72" t="str">
            <v>NAVAV 11</v>
          </cell>
          <cell r="C72" t="str">
            <v>Plant Repairs &amp; Maintanance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A73" t="str">
            <v>Buildings</v>
          </cell>
          <cell r="B73" t="str">
            <v>NAVAV 11</v>
          </cell>
          <cell r="C73" t="str">
            <v>VAT &amp; other Taxes</v>
          </cell>
          <cell r="E73">
            <v>413300</v>
          </cell>
          <cell r="F73">
            <v>661280</v>
          </cell>
          <cell r="G73">
            <v>826600</v>
          </cell>
          <cell r="H73">
            <v>661280</v>
          </cell>
          <cell r="I73">
            <v>661280</v>
          </cell>
          <cell r="J73">
            <v>743940</v>
          </cell>
          <cell r="K73">
            <v>826600</v>
          </cell>
          <cell r="L73">
            <v>1033250</v>
          </cell>
          <cell r="M73">
            <v>991920</v>
          </cell>
          <cell r="N73">
            <v>826600</v>
          </cell>
          <cell r="O73">
            <v>0</v>
          </cell>
          <cell r="P73">
            <v>0</v>
          </cell>
        </row>
        <row r="74">
          <cell r="A74" t="str">
            <v>Buildings</v>
          </cell>
          <cell r="B74" t="str">
            <v>NAVAV 11</v>
          </cell>
          <cell r="C74" t="str">
            <v>Salaries</v>
          </cell>
          <cell r="E74">
            <v>300000</v>
          </cell>
          <cell r="F74">
            <v>300000</v>
          </cell>
          <cell r="G74">
            <v>300000</v>
          </cell>
          <cell r="H74">
            <v>300000</v>
          </cell>
          <cell r="I74">
            <v>300000</v>
          </cell>
          <cell r="J74">
            <v>300000</v>
          </cell>
          <cell r="K74">
            <v>300000</v>
          </cell>
          <cell r="L74">
            <v>300000</v>
          </cell>
          <cell r="M74">
            <v>300000</v>
          </cell>
          <cell r="N74">
            <v>300000</v>
          </cell>
          <cell r="O74">
            <v>300000</v>
          </cell>
          <cell r="P74">
            <v>300000</v>
          </cell>
        </row>
        <row r="75">
          <cell r="A75" t="str">
            <v>Buildings</v>
          </cell>
          <cell r="B75" t="str">
            <v>NAVAV 11</v>
          </cell>
          <cell r="C75" t="str">
            <v>Operating overhead</v>
          </cell>
          <cell r="E75">
            <v>100000</v>
          </cell>
          <cell r="F75">
            <v>150000</v>
          </cell>
          <cell r="G75">
            <v>150000</v>
          </cell>
          <cell r="H75">
            <v>150000</v>
          </cell>
          <cell r="I75">
            <v>150000</v>
          </cell>
          <cell r="J75">
            <v>150000</v>
          </cell>
          <cell r="K75">
            <v>150000</v>
          </cell>
          <cell r="L75">
            <v>150000</v>
          </cell>
          <cell r="M75">
            <v>150000</v>
          </cell>
          <cell r="N75">
            <v>150000</v>
          </cell>
          <cell r="O75">
            <v>150000</v>
          </cell>
          <cell r="P75">
            <v>150000</v>
          </cell>
        </row>
        <row r="76">
          <cell r="A76" t="str">
            <v>Buildings</v>
          </cell>
          <cell r="B76" t="str">
            <v>NAVAV 11</v>
          </cell>
          <cell r="C76" t="str">
            <v>Financial Expenses</v>
          </cell>
          <cell r="E76">
            <v>400000</v>
          </cell>
          <cell r="F76">
            <v>640000</v>
          </cell>
          <cell r="G76">
            <v>800000</v>
          </cell>
          <cell r="H76">
            <v>640000</v>
          </cell>
          <cell r="I76">
            <v>640000</v>
          </cell>
          <cell r="J76">
            <v>720000</v>
          </cell>
          <cell r="K76">
            <v>800000</v>
          </cell>
          <cell r="L76">
            <v>1000000</v>
          </cell>
          <cell r="M76">
            <v>960000</v>
          </cell>
          <cell r="N76">
            <v>800000</v>
          </cell>
          <cell r="O76">
            <v>0</v>
          </cell>
          <cell r="P76">
            <v>0</v>
          </cell>
        </row>
        <row r="77">
          <cell r="A77" t="str">
            <v>Buildings</v>
          </cell>
          <cell r="B77" t="str">
            <v>RITES KANPUR</v>
          </cell>
          <cell r="C77" t="str">
            <v>Realisation against RA Bill</v>
          </cell>
          <cell r="E77">
            <v>6000000</v>
          </cell>
          <cell r="F77">
            <v>3000000</v>
          </cell>
          <cell r="G77">
            <v>0</v>
          </cell>
          <cell r="H77">
            <v>14000000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A78" t="str">
            <v>Buildings</v>
          </cell>
          <cell r="B78" t="str">
            <v>RITES KANPUR</v>
          </cell>
          <cell r="C78" t="str">
            <v>Realisitation of Mobilisation Advance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A79" t="str">
            <v>Buildings</v>
          </cell>
          <cell r="B79" t="str">
            <v>RITES KANPUR</v>
          </cell>
          <cell r="C79" t="str">
            <v xml:space="preserve"> - Retention money from client(incl TDS)</v>
          </cell>
          <cell r="E79">
            <v>0</v>
          </cell>
          <cell r="F79">
            <v>0</v>
          </cell>
          <cell r="G79">
            <v>0</v>
          </cell>
          <cell r="H79">
            <v>17700000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A80" t="str">
            <v>Buildings</v>
          </cell>
          <cell r="B80" t="str">
            <v>RITES KANPUR</v>
          </cell>
          <cell r="C80" t="str">
            <v>Other Receipts</v>
          </cell>
          <cell r="E80">
            <v>9000000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A81" t="str">
            <v>Buildings</v>
          </cell>
          <cell r="B81" t="str">
            <v>RITES KANPUR</v>
          </cell>
          <cell r="C81" t="str">
            <v xml:space="preserve">Labour 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A82" t="str">
            <v>Buildings</v>
          </cell>
          <cell r="B82" t="str">
            <v>RITES KANPUR</v>
          </cell>
          <cell r="C82" t="str">
            <v>Payment Suppliers(including Adv)</v>
          </cell>
          <cell r="E82">
            <v>8100000</v>
          </cell>
          <cell r="F82">
            <v>900000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A83" t="str">
            <v>Buildings</v>
          </cell>
          <cell r="B83" t="str">
            <v>RITES KANPUR</v>
          </cell>
          <cell r="C83" t="str">
            <v>Sub contractor-(including Advance)</v>
          </cell>
          <cell r="E83">
            <v>600000</v>
          </cell>
          <cell r="F83">
            <v>300000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Buildings</v>
          </cell>
          <cell r="B84" t="str">
            <v>RITES KANPUR</v>
          </cell>
          <cell r="C84" t="str">
            <v>Out side Machinery Hire</v>
          </cell>
          <cell r="E84">
            <v>270000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Buildings</v>
          </cell>
          <cell r="B85" t="str">
            <v>RITES KANPUR</v>
          </cell>
          <cell r="C85" t="str">
            <v>Diesel</v>
          </cell>
          <cell r="E85">
            <v>50000</v>
          </cell>
          <cell r="F85">
            <v>50000</v>
          </cell>
          <cell r="G85">
            <v>50000</v>
          </cell>
          <cell r="H85">
            <v>50000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Buildings</v>
          </cell>
          <cell r="B86" t="str">
            <v>RITES KANPUR</v>
          </cell>
          <cell r="C86" t="str">
            <v>JV Share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A87" t="str">
            <v>Buildings</v>
          </cell>
          <cell r="B87" t="str">
            <v>RITES KANPUR</v>
          </cell>
          <cell r="C87" t="str">
            <v>Plant Repairs &amp; Maintanance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A88" t="str">
            <v>Buildings</v>
          </cell>
          <cell r="B88" t="str">
            <v>RITES KANPUR</v>
          </cell>
          <cell r="C88" t="str">
            <v>VAT &amp; other Taxes</v>
          </cell>
          <cell r="E88">
            <v>281969.99999999994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A89" t="str">
            <v>Buildings</v>
          </cell>
          <cell r="B89" t="str">
            <v>RITES KANPUR</v>
          </cell>
          <cell r="C89" t="str">
            <v>Salaries</v>
          </cell>
          <cell r="E89">
            <v>600000</v>
          </cell>
          <cell r="F89">
            <v>400000</v>
          </cell>
          <cell r="G89">
            <v>400000</v>
          </cell>
          <cell r="H89">
            <v>400000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A90" t="str">
            <v>Buildings</v>
          </cell>
          <cell r="B90" t="str">
            <v>RITES KANPUR</v>
          </cell>
          <cell r="C90" t="str">
            <v>Operating overhead</v>
          </cell>
          <cell r="E90">
            <v>225000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A91" t="str">
            <v>Buildings</v>
          </cell>
          <cell r="B91" t="str">
            <v>RITES KANPUR</v>
          </cell>
          <cell r="C91" t="str">
            <v>Financial Expenses</v>
          </cell>
          <cell r="E91">
            <v>450000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A92" t="str">
            <v>Buildings</v>
          </cell>
          <cell r="B92" t="str">
            <v>DGMAP LUCKNOW</v>
          </cell>
          <cell r="C92" t="str">
            <v>Realisation against RA Bill</v>
          </cell>
          <cell r="E92">
            <v>10000000</v>
          </cell>
          <cell r="F92">
            <v>18000000</v>
          </cell>
          <cell r="G92">
            <v>20000000</v>
          </cell>
          <cell r="H92">
            <v>20000000</v>
          </cell>
          <cell r="I92">
            <v>17000000</v>
          </cell>
          <cell r="J92">
            <v>10000000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A93" t="str">
            <v>Buildings</v>
          </cell>
          <cell r="B93" t="str">
            <v>DGMAP LUCKNOW</v>
          </cell>
          <cell r="C93" t="str">
            <v>Realisitation of Mobilisation Advance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Buildings</v>
          </cell>
          <cell r="B94" t="str">
            <v>DGMAP LUCKNOW</v>
          </cell>
          <cell r="C94" t="str">
            <v xml:space="preserve"> - Retention money from client(incl TDS)</v>
          </cell>
          <cell r="E94">
            <v>27200000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6400000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>Buildings</v>
          </cell>
          <cell r="B95" t="str">
            <v>DGMAP LUCKNOW</v>
          </cell>
          <cell r="C95" t="str">
            <v>Other Receipts</v>
          </cell>
          <cell r="E95">
            <v>6000000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Buildings</v>
          </cell>
          <cell r="B96" t="str">
            <v>DGMAP LUCKNOW</v>
          </cell>
          <cell r="C96" t="str">
            <v xml:space="preserve">Labour </v>
          </cell>
          <cell r="E96">
            <v>2000000</v>
          </cell>
          <cell r="F96">
            <v>2700000</v>
          </cell>
          <cell r="G96">
            <v>3000000</v>
          </cell>
          <cell r="H96">
            <v>3600000</v>
          </cell>
          <cell r="I96">
            <v>5525000</v>
          </cell>
          <cell r="J96">
            <v>1000000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A97" t="str">
            <v>Buildings</v>
          </cell>
          <cell r="B97" t="str">
            <v>DGMAP LUCKNOW</v>
          </cell>
          <cell r="C97" t="str">
            <v>Payment Suppliers(including Adv)</v>
          </cell>
          <cell r="E97">
            <v>4700000</v>
          </cell>
          <cell r="F97">
            <v>7259999.9999999991</v>
          </cell>
          <cell r="G97">
            <v>5400000</v>
          </cell>
          <cell r="H97">
            <v>5400000</v>
          </cell>
          <cell r="I97">
            <v>3940000</v>
          </cell>
          <cell r="J97">
            <v>2500000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A98" t="str">
            <v>Buildings</v>
          </cell>
          <cell r="B98" t="str">
            <v>DGMAP LUCKNOW</v>
          </cell>
          <cell r="C98" t="str">
            <v>Sub contractor-(including Advance)</v>
          </cell>
          <cell r="E98">
            <v>2500000</v>
          </cell>
          <cell r="F98">
            <v>4500000</v>
          </cell>
          <cell r="G98">
            <v>5000000</v>
          </cell>
          <cell r="H98">
            <v>5000000</v>
          </cell>
          <cell r="I98">
            <v>4250000</v>
          </cell>
          <cell r="J98">
            <v>3000000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A99" t="str">
            <v>Buildings</v>
          </cell>
          <cell r="B99" t="str">
            <v>DGMAP LUCKNOW</v>
          </cell>
          <cell r="C99" t="str">
            <v>Out side Machinery Hire</v>
          </cell>
          <cell r="E99">
            <v>600000</v>
          </cell>
          <cell r="F99">
            <v>1080000</v>
          </cell>
          <cell r="G99">
            <v>1200000</v>
          </cell>
          <cell r="H99">
            <v>1200000</v>
          </cell>
          <cell r="I99">
            <v>1019999.9999999999</v>
          </cell>
          <cell r="J99">
            <v>400000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Buildings</v>
          </cell>
          <cell r="B100" t="str">
            <v>DGMAP LUCKNOW</v>
          </cell>
          <cell r="C100" t="str">
            <v>Diesel</v>
          </cell>
          <cell r="E100">
            <v>250000</v>
          </cell>
          <cell r="F100">
            <v>250000</v>
          </cell>
          <cell r="G100">
            <v>250000</v>
          </cell>
          <cell r="H100">
            <v>250000</v>
          </cell>
          <cell r="I100">
            <v>250000</v>
          </cell>
          <cell r="J100">
            <v>250000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 t="str">
            <v>Buildings</v>
          </cell>
          <cell r="B101" t="str">
            <v>DGMAP LUCKNOW</v>
          </cell>
          <cell r="C101" t="str">
            <v>JV Share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A102" t="str">
            <v>Buildings</v>
          </cell>
          <cell r="B102" t="str">
            <v>DGMAP LUCKNOW</v>
          </cell>
          <cell r="C102" t="str">
            <v>Plant Repairs &amp; Maintanance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A103" t="str">
            <v>Buildings</v>
          </cell>
          <cell r="B103" t="str">
            <v>DGMAP LUCKNOW</v>
          </cell>
          <cell r="C103" t="str">
            <v>VAT &amp; other Taxes</v>
          </cell>
          <cell r="E103">
            <v>626599.99999999988</v>
          </cell>
          <cell r="F103">
            <v>1127879.9999999998</v>
          </cell>
          <cell r="G103">
            <v>1253199.9999999998</v>
          </cell>
          <cell r="H103">
            <v>1253199.9999999998</v>
          </cell>
          <cell r="I103">
            <v>1065219.9999999998</v>
          </cell>
          <cell r="J103">
            <v>626599.99999999988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A104" t="str">
            <v>Buildings</v>
          </cell>
          <cell r="B104" t="str">
            <v>DGMAP LUCKNOW</v>
          </cell>
          <cell r="C104" t="str">
            <v>Salaries</v>
          </cell>
          <cell r="E104">
            <v>650000</v>
          </cell>
          <cell r="F104">
            <v>700000</v>
          </cell>
          <cell r="G104">
            <v>550000</v>
          </cell>
          <cell r="H104">
            <v>550000</v>
          </cell>
          <cell r="I104">
            <v>550000</v>
          </cell>
          <cell r="J104">
            <v>550000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A105" t="str">
            <v>Buildings</v>
          </cell>
          <cell r="B105" t="str">
            <v>DGMAP LUCKNOW</v>
          </cell>
          <cell r="C105" t="str">
            <v>Operating overhead</v>
          </cell>
          <cell r="E105">
            <v>200000</v>
          </cell>
          <cell r="F105">
            <v>250000</v>
          </cell>
          <cell r="G105">
            <v>250000</v>
          </cell>
          <cell r="H105">
            <v>250000</v>
          </cell>
          <cell r="I105">
            <v>250000</v>
          </cell>
          <cell r="J105">
            <v>250000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>Buildings</v>
          </cell>
          <cell r="B106" t="str">
            <v>DGMAP LUCKNOW</v>
          </cell>
          <cell r="C106" t="str">
            <v>Financial Expenses</v>
          </cell>
          <cell r="E106">
            <v>1700000</v>
          </cell>
          <cell r="F106">
            <v>1980000</v>
          </cell>
          <cell r="G106">
            <v>2100000</v>
          </cell>
          <cell r="H106">
            <v>2000000</v>
          </cell>
          <cell r="I106">
            <v>2170000</v>
          </cell>
          <cell r="J106">
            <v>2000000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Buildings</v>
          </cell>
          <cell r="B107" t="str">
            <v>JAMMU</v>
          </cell>
          <cell r="C107" t="str">
            <v>Realisation against RA Bill</v>
          </cell>
          <cell r="E107">
            <v>18000000</v>
          </cell>
          <cell r="F107">
            <v>30000000</v>
          </cell>
          <cell r="G107">
            <v>33500000</v>
          </cell>
          <cell r="H107">
            <v>33500000</v>
          </cell>
          <cell r="I107">
            <v>41500000</v>
          </cell>
          <cell r="J107">
            <v>45000000</v>
          </cell>
          <cell r="K107">
            <v>55000000</v>
          </cell>
          <cell r="L107">
            <v>57500000</v>
          </cell>
          <cell r="M107">
            <v>59000000</v>
          </cell>
          <cell r="N107">
            <v>60000000</v>
          </cell>
          <cell r="O107">
            <v>62500000</v>
          </cell>
          <cell r="P107">
            <v>62500000</v>
          </cell>
        </row>
        <row r="108">
          <cell r="A108" t="str">
            <v>Buildings</v>
          </cell>
          <cell r="B108" t="str">
            <v>JAMMU</v>
          </cell>
          <cell r="C108" t="str">
            <v>Realisitation of Mobilisation Advance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 t="str">
            <v>Buildings</v>
          </cell>
          <cell r="B109" t="str">
            <v>JAMMU</v>
          </cell>
          <cell r="C109" t="str">
            <v xml:space="preserve"> - Retention money from client(incl TDS)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A110" t="str">
            <v>Buildings</v>
          </cell>
          <cell r="B110" t="str">
            <v>JAMMU</v>
          </cell>
          <cell r="C110" t="str">
            <v>Other Receipts</v>
          </cell>
          <cell r="E110">
            <v>26800000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A111" t="str">
            <v>Buildings</v>
          </cell>
          <cell r="B111" t="str">
            <v>JAMMU</v>
          </cell>
          <cell r="C111" t="str">
            <v xml:space="preserve">Labour </v>
          </cell>
          <cell r="E111">
            <v>1980000</v>
          </cell>
          <cell r="F111">
            <v>3900000</v>
          </cell>
          <cell r="G111">
            <v>4355000</v>
          </cell>
          <cell r="H111">
            <v>4355000</v>
          </cell>
          <cell r="I111">
            <v>5395000</v>
          </cell>
          <cell r="J111">
            <v>5850000</v>
          </cell>
          <cell r="K111">
            <v>7150000</v>
          </cell>
          <cell r="L111">
            <v>7475000</v>
          </cell>
          <cell r="M111">
            <v>7670000</v>
          </cell>
          <cell r="N111">
            <v>7800000</v>
          </cell>
          <cell r="O111">
            <v>8125000</v>
          </cell>
          <cell r="P111">
            <v>8125000</v>
          </cell>
        </row>
        <row r="112">
          <cell r="A112" t="str">
            <v>Buildings</v>
          </cell>
          <cell r="B112" t="str">
            <v>JAMMU</v>
          </cell>
          <cell r="C112" t="str">
            <v>Payment Suppliers(including Adv)</v>
          </cell>
          <cell r="E112">
            <v>3240000</v>
          </cell>
          <cell r="F112">
            <v>6400000</v>
          </cell>
          <cell r="G112">
            <v>8030000</v>
          </cell>
          <cell r="H112">
            <v>8030000</v>
          </cell>
          <cell r="I112">
            <v>8470000</v>
          </cell>
          <cell r="J112">
            <v>9450000</v>
          </cell>
          <cell r="K112">
            <v>11549999.999999998</v>
          </cell>
          <cell r="L112">
            <v>12074999.999999998</v>
          </cell>
          <cell r="M112">
            <v>12390000</v>
          </cell>
          <cell r="N112">
            <v>12599999.999999998</v>
          </cell>
          <cell r="O112">
            <v>13125000</v>
          </cell>
          <cell r="P112">
            <v>13125000</v>
          </cell>
        </row>
        <row r="113">
          <cell r="A113" t="str">
            <v>Buildings</v>
          </cell>
          <cell r="B113" t="str">
            <v>JAMMU</v>
          </cell>
          <cell r="C113" t="str">
            <v>Sub contractor-(including Advance)</v>
          </cell>
          <cell r="E113">
            <v>6425999.9999999991</v>
          </cell>
          <cell r="F113">
            <v>10710000</v>
          </cell>
          <cell r="G113">
            <v>11959499.999999998</v>
          </cell>
          <cell r="H113">
            <v>11959499.999999998</v>
          </cell>
          <cell r="I113">
            <v>14815500</v>
          </cell>
          <cell r="J113">
            <v>16065000</v>
          </cell>
          <cell r="K113">
            <v>19635000</v>
          </cell>
          <cell r="L113">
            <v>20527500</v>
          </cell>
          <cell r="M113">
            <v>21063000</v>
          </cell>
          <cell r="N113">
            <v>21420000</v>
          </cell>
          <cell r="O113">
            <v>22312500</v>
          </cell>
          <cell r="P113">
            <v>22312500</v>
          </cell>
        </row>
        <row r="114">
          <cell r="A114" t="str">
            <v>Buildings</v>
          </cell>
          <cell r="B114" t="str">
            <v>JAMMU</v>
          </cell>
          <cell r="C114" t="str">
            <v>Out side Machinery Hire</v>
          </cell>
          <cell r="E114">
            <v>1100000</v>
          </cell>
          <cell r="F114">
            <v>1100000</v>
          </cell>
          <cell r="G114">
            <v>1100000</v>
          </cell>
          <cell r="H114">
            <v>1100000</v>
          </cell>
          <cell r="I114">
            <v>1100000</v>
          </cell>
          <cell r="J114">
            <v>1100000</v>
          </cell>
          <cell r="K114">
            <v>900000</v>
          </cell>
          <cell r="L114">
            <v>900000</v>
          </cell>
          <cell r="M114">
            <v>800000</v>
          </cell>
          <cell r="N114">
            <v>800000</v>
          </cell>
          <cell r="O114">
            <v>700000</v>
          </cell>
          <cell r="P114">
            <v>700000</v>
          </cell>
        </row>
        <row r="115">
          <cell r="A115" t="str">
            <v>Buildings</v>
          </cell>
          <cell r="B115" t="str">
            <v>JAMMU</v>
          </cell>
          <cell r="C115" t="str">
            <v>Diesel</v>
          </cell>
          <cell r="E115">
            <v>270000</v>
          </cell>
          <cell r="F115">
            <v>350000</v>
          </cell>
          <cell r="G115">
            <v>350000</v>
          </cell>
          <cell r="H115">
            <v>350000</v>
          </cell>
          <cell r="I115">
            <v>350000</v>
          </cell>
          <cell r="J115">
            <v>350000</v>
          </cell>
          <cell r="K115">
            <v>350000</v>
          </cell>
          <cell r="L115">
            <v>350000</v>
          </cell>
          <cell r="M115">
            <v>350000</v>
          </cell>
          <cell r="N115">
            <v>350000</v>
          </cell>
          <cell r="O115">
            <v>350000</v>
          </cell>
          <cell r="P115">
            <v>350000</v>
          </cell>
        </row>
        <row r="116">
          <cell r="A116" t="str">
            <v>Buildings</v>
          </cell>
          <cell r="B116" t="str">
            <v>JAMMU</v>
          </cell>
          <cell r="C116" t="str">
            <v>JV Share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A117" t="str">
            <v>Buildings</v>
          </cell>
          <cell r="B117" t="str">
            <v>JAMMU</v>
          </cell>
          <cell r="C117" t="str">
            <v>Plant Repairs &amp; Maintanance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Buildings</v>
          </cell>
          <cell r="B118" t="str">
            <v>JAMMU</v>
          </cell>
          <cell r="C118" t="str">
            <v>VAT &amp; other Taxes</v>
          </cell>
          <cell r="E118">
            <v>1919880.0000000002</v>
          </cell>
          <cell r="F118">
            <v>3199800</v>
          </cell>
          <cell r="G118">
            <v>3573110.0000000005</v>
          </cell>
          <cell r="H118">
            <v>3573110.0000000005</v>
          </cell>
          <cell r="I118">
            <v>4426390</v>
          </cell>
          <cell r="J118">
            <v>4799700</v>
          </cell>
          <cell r="K118">
            <v>5866300</v>
          </cell>
          <cell r="L118">
            <v>6132950</v>
          </cell>
          <cell r="M118">
            <v>6292940</v>
          </cell>
          <cell r="N118">
            <v>6399600</v>
          </cell>
          <cell r="O118">
            <v>6666250.0000000009</v>
          </cell>
          <cell r="P118">
            <v>6666250.0000000009</v>
          </cell>
        </row>
        <row r="119">
          <cell r="A119" t="str">
            <v>Buildings</v>
          </cell>
          <cell r="B119" t="str">
            <v>JAMMU</v>
          </cell>
          <cell r="C119" t="str">
            <v>Salaries</v>
          </cell>
          <cell r="E119">
            <v>550000</v>
          </cell>
          <cell r="F119">
            <v>550000</v>
          </cell>
          <cell r="G119">
            <v>550000</v>
          </cell>
          <cell r="H119">
            <v>550000</v>
          </cell>
          <cell r="I119">
            <v>550000</v>
          </cell>
          <cell r="J119">
            <v>550000</v>
          </cell>
          <cell r="K119">
            <v>550000</v>
          </cell>
          <cell r="L119">
            <v>550000</v>
          </cell>
          <cell r="M119">
            <v>550000</v>
          </cell>
          <cell r="N119">
            <v>550000</v>
          </cell>
          <cell r="O119">
            <v>550000</v>
          </cell>
          <cell r="P119">
            <v>550000</v>
          </cell>
        </row>
        <row r="120">
          <cell r="A120" t="str">
            <v>Buildings</v>
          </cell>
          <cell r="B120" t="str">
            <v>JAMMU</v>
          </cell>
          <cell r="C120" t="str">
            <v>Operating overhead</v>
          </cell>
          <cell r="E120">
            <v>360000</v>
          </cell>
          <cell r="F120">
            <v>600000</v>
          </cell>
          <cell r="G120">
            <v>670000</v>
          </cell>
          <cell r="H120">
            <v>670000</v>
          </cell>
          <cell r="I120">
            <v>830000.00000000012</v>
          </cell>
          <cell r="J120">
            <v>900000</v>
          </cell>
          <cell r="K120">
            <v>1100000</v>
          </cell>
          <cell r="L120">
            <v>1150000</v>
          </cell>
          <cell r="M120">
            <v>1180000</v>
          </cell>
          <cell r="N120">
            <v>1200000</v>
          </cell>
          <cell r="O120">
            <v>1250000</v>
          </cell>
          <cell r="P120">
            <v>1250000</v>
          </cell>
        </row>
        <row r="121">
          <cell r="A121" t="str">
            <v>Buildings</v>
          </cell>
          <cell r="B121" t="str">
            <v>JAMMU</v>
          </cell>
          <cell r="C121" t="str">
            <v>Financial Expenses</v>
          </cell>
          <cell r="E121">
            <v>180000</v>
          </cell>
          <cell r="F121">
            <v>1800000</v>
          </cell>
          <cell r="G121">
            <v>1835000.0000000002</v>
          </cell>
          <cell r="H121">
            <v>1835000.0000000002</v>
          </cell>
          <cell r="I121">
            <v>1914999.9999999998</v>
          </cell>
          <cell r="J121">
            <v>1950000</v>
          </cell>
          <cell r="K121">
            <v>2050000</v>
          </cell>
          <cell r="L121">
            <v>2075000</v>
          </cell>
          <cell r="M121">
            <v>2089999.9999999998</v>
          </cell>
          <cell r="N121">
            <v>2100000</v>
          </cell>
          <cell r="O121">
            <v>2125000</v>
          </cell>
          <cell r="P121">
            <v>2125000</v>
          </cell>
        </row>
        <row r="122">
          <cell r="A122" t="str">
            <v>Buildings</v>
          </cell>
          <cell r="B122" t="str">
            <v>VAL</v>
          </cell>
          <cell r="C122" t="str">
            <v>Realisation against RA Bill</v>
          </cell>
          <cell r="E122">
            <v>58403421.17992001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A123" t="str">
            <v>Buildings</v>
          </cell>
          <cell r="B123" t="str">
            <v>VAL</v>
          </cell>
          <cell r="C123" t="str">
            <v>Realisitation of Mobilisation Advance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 t="str">
            <v>Buildings</v>
          </cell>
          <cell r="B124" t="str">
            <v>VAL</v>
          </cell>
          <cell r="C124" t="str">
            <v xml:space="preserve"> - Retention money from client(incl TDS)</v>
          </cell>
          <cell r="E124">
            <v>0</v>
          </cell>
          <cell r="F124">
            <v>0</v>
          </cell>
          <cell r="G124">
            <v>0</v>
          </cell>
          <cell r="H124">
            <v>21151031.600000001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A125" t="str">
            <v>Buildings</v>
          </cell>
          <cell r="B125" t="str">
            <v>VAL</v>
          </cell>
          <cell r="C125" t="str">
            <v>Other Receipts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A126" t="str">
            <v>Buildings</v>
          </cell>
          <cell r="B126" t="str">
            <v>VAL</v>
          </cell>
          <cell r="C126" t="str">
            <v xml:space="preserve">Labour 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A127" t="str">
            <v>Buildings</v>
          </cell>
          <cell r="B127" t="str">
            <v>VAL</v>
          </cell>
          <cell r="C127" t="str">
            <v>Payment Suppliers(including Adv)</v>
          </cell>
          <cell r="E127">
            <v>62038464.659999996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A128" t="str">
            <v>Buildings</v>
          </cell>
          <cell r="B128" t="str">
            <v>VAL</v>
          </cell>
          <cell r="C128" t="str">
            <v>Sub contractor-(including Advance)</v>
          </cell>
          <cell r="E128">
            <v>14806235.060000001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A129" t="str">
            <v>Buildings</v>
          </cell>
          <cell r="B129" t="str">
            <v>VAL</v>
          </cell>
          <cell r="C129" t="str">
            <v>Out side Machinery Hire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Buildings</v>
          </cell>
          <cell r="B130" t="str">
            <v>VAL</v>
          </cell>
          <cell r="C130" t="str">
            <v>Diesel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 t="str">
            <v>Buildings</v>
          </cell>
          <cell r="B131" t="str">
            <v>VAL</v>
          </cell>
          <cell r="C131" t="str">
            <v>JV Share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 t="str">
            <v>Buildings</v>
          </cell>
          <cell r="B132" t="str">
            <v>VAL</v>
          </cell>
          <cell r="C132" t="str">
            <v>Plant Repairs &amp; Maintanance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Buildings</v>
          </cell>
          <cell r="B133" t="str">
            <v>VAL</v>
          </cell>
          <cell r="C133" t="str">
            <v>VAT &amp; other Taxes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Buildings</v>
          </cell>
          <cell r="B134" t="str">
            <v>VAL</v>
          </cell>
          <cell r="C134" t="str">
            <v>Salaries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A135" t="str">
            <v>Buildings</v>
          </cell>
          <cell r="B135" t="str">
            <v>VAL</v>
          </cell>
          <cell r="C135" t="str">
            <v>Operating overhead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A136" t="str">
            <v>Buildings</v>
          </cell>
          <cell r="B136" t="str">
            <v>VAL</v>
          </cell>
          <cell r="C136" t="str">
            <v>Financial Expenses</v>
          </cell>
          <cell r="E136">
            <v>220491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A137" t="str">
            <v>Buildings</v>
          </cell>
          <cell r="B137" t="str">
            <v>JSW BELLARY</v>
          </cell>
          <cell r="C137" t="str">
            <v>Realisation against RA Bill</v>
          </cell>
          <cell r="E137">
            <v>26300000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A138" t="str">
            <v>Buildings</v>
          </cell>
          <cell r="B138" t="str">
            <v>JSW BELLARY</v>
          </cell>
          <cell r="C138" t="str">
            <v>Realisitation of Mobilisation Advance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 t="str">
            <v>Buildings</v>
          </cell>
          <cell r="B139" t="str">
            <v>JSW BELLARY</v>
          </cell>
          <cell r="C139" t="str">
            <v xml:space="preserve"> - Retention money from client(incl TDS)</v>
          </cell>
          <cell r="E139">
            <v>0</v>
          </cell>
          <cell r="F139">
            <v>8500000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A140" t="str">
            <v>Buildings</v>
          </cell>
          <cell r="B140" t="str">
            <v>JSW BELLARY</v>
          </cell>
          <cell r="C140" t="str">
            <v>Other Receipts</v>
          </cell>
          <cell r="E140">
            <v>32800000</v>
          </cell>
          <cell r="F140">
            <v>10000000</v>
          </cell>
          <cell r="G140">
            <v>10000000</v>
          </cell>
          <cell r="H140">
            <v>10000000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A141" t="str">
            <v>Buildings</v>
          </cell>
          <cell r="B141" t="str">
            <v>JSW BELLARY</v>
          </cell>
          <cell r="C141" t="str">
            <v xml:space="preserve">Labour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A142" t="str">
            <v>Buildings</v>
          </cell>
          <cell r="B142" t="str">
            <v>JSW BELLARY</v>
          </cell>
          <cell r="C142" t="str">
            <v>Payment Suppliers(including Adv)</v>
          </cell>
          <cell r="E142">
            <v>32800000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A143" t="str">
            <v>Buildings</v>
          </cell>
          <cell r="B143" t="str">
            <v>JSW BELLARY</v>
          </cell>
          <cell r="C143" t="str">
            <v>Sub contractor-(including Advance)</v>
          </cell>
          <cell r="E143">
            <v>17500000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A144" t="str">
            <v>Buildings</v>
          </cell>
          <cell r="B144" t="str">
            <v>JSW BELLARY</v>
          </cell>
          <cell r="C144" t="str">
            <v>Out side Machinery Hire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A145" t="str">
            <v>Buildings</v>
          </cell>
          <cell r="B145" t="str">
            <v>JSW BELLARY</v>
          </cell>
          <cell r="C145" t="str">
            <v>Diesel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Buildings</v>
          </cell>
          <cell r="B146" t="str">
            <v>JSW BELLARY</v>
          </cell>
          <cell r="C146" t="str">
            <v>JV Share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A147" t="str">
            <v>Buildings</v>
          </cell>
          <cell r="B147" t="str">
            <v>JSW BELLARY</v>
          </cell>
          <cell r="C147" t="str">
            <v>Plant Repairs &amp; Maintanance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Buildings</v>
          </cell>
          <cell r="B148" t="str">
            <v>JSW BELLARY</v>
          </cell>
          <cell r="C148" t="str">
            <v>VAT &amp; other Taxes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A149" t="str">
            <v>Buildings</v>
          </cell>
          <cell r="B149" t="str">
            <v>JSW BELLARY</v>
          </cell>
          <cell r="C149" t="str">
            <v>Salaries</v>
          </cell>
          <cell r="E149">
            <v>300000</v>
          </cell>
          <cell r="F149">
            <v>300000</v>
          </cell>
          <cell r="G149">
            <v>300000</v>
          </cell>
          <cell r="H149">
            <v>300000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A150" t="str">
            <v>Buildings</v>
          </cell>
          <cell r="B150" t="str">
            <v>JSW BELLARY</v>
          </cell>
          <cell r="C150" t="str">
            <v>Operating overhead</v>
          </cell>
          <cell r="E150">
            <v>100000</v>
          </cell>
          <cell r="F150">
            <v>100000</v>
          </cell>
          <cell r="G150">
            <v>100000</v>
          </cell>
          <cell r="H150">
            <v>100000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A151" t="str">
            <v>Buildings</v>
          </cell>
          <cell r="B151" t="str">
            <v>JSW BELLARY</v>
          </cell>
          <cell r="C151" t="str">
            <v>Financial Expenses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A152" t="str">
            <v>Buildings</v>
          </cell>
          <cell r="B152" t="str">
            <v>JSW RATNAGIRI</v>
          </cell>
          <cell r="C152" t="str">
            <v>Realisation against RA Bill</v>
          </cell>
          <cell r="E152">
            <v>2300000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A153" t="str">
            <v>Buildings</v>
          </cell>
          <cell r="B153" t="str">
            <v>JSW RATNAGIRI</v>
          </cell>
          <cell r="C153" t="str">
            <v>Realisitation of Mobilisation Advance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A154" t="str">
            <v>Buildings</v>
          </cell>
          <cell r="B154" t="str">
            <v>JSW RATNAGIRI</v>
          </cell>
          <cell r="C154" t="str">
            <v xml:space="preserve"> - Retention money from client(incl TDS)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A155" t="str">
            <v>Buildings</v>
          </cell>
          <cell r="B155" t="str">
            <v>JSW RATNAGIRI</v>
          </cell>
          <cell r="C155" t="str">
            <v>Other Receipts</v>
          </cell>
          <cell r="E155">
            <v>0</v>
          </cell>
          <cell r="F155">
            <v>4000000</v>
          </cell>
          <cell r="G155">
            <v>4000000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6">
          <cell r="A156" t="str">
            <v>Buildings</v>
          </cell>
          <cell r="B156" t="str">
            <v>JSW RATNAGIRI</v>
          </cell>
          <cell r="C156" t="str">
            <v xml:space="preserve">Labour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A157" t="str">
            <v>Buildings</v>
          </cell>
          <cell r="B157" t="str">
            <v>JSW RATNAGIRI</v>
          </cell>
          <cell r="C157" t="str">
            <v>Payment Suppliers(including Adv)</v>
          </cell>
          <cell r="E157">
            <v>1250000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8">
          <cell r="A158" t="str">
            <v>Buildings</v>
          </cell>
          <cell r="B158" t="str">
            <v>JSW RATNAGIRI</v>
          </cell>
          <cell r="C158" t="str">
            <v>Sub contractor-(including Advance)</v>
          </cell>
          <cell r="E158">
            <v>2400000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A159" t="str">
            <v>Buildings</v>
          </cell>
          <cell r="B159" t="str">
            <v>JSW RATNAGIRI</v>
          </cell>
          <cell r="C159" t="str">
            <v>Out side Machinery Hire</v>
          </cell>
          <cell r="E159">
            <v>600000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A160" t="str">
            <v>Buildings</v>
          </cell>
          <cell r="B160" t="str">
            <v>JSW RATNAGIRI</v>
          </cell>
          <cell r="C160" t="str">
            <v>Diesel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</row>
        <row r="161">
          <cell r="A161" t="str">
            <v>Buildings</v>
          </cell>
          <cell r="B161" t="str">
            <v>JSW RATNAGIRI</v>
          </cell>
          <cell r="C161" t="str">
            <v>JV Share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A162" t="str">
            <v>Buildings</v>
          </cell>
          <cell r="B162" t="str">
            <v>JSW RATNAGIRI</v>
          </cell>
          <cell r="C162" t="str">
            <v>Plant Repairs &amp; Maintanance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3">
          <cell r="A163" t="str">
            <v>Buildings</v>
          </cell>
          <cell r="B163" t="str">
            <v>JSW RATNAGIRI</v>
          </cell>
          <cell r="C163" t="str">
            <v>VAT &amp; other Taxes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A164" t="str">
            <v>Buildings</v>
          </cell>
          <cell r="B164" t="str">
            <v>JSW RATNAGIRI</v>
          </cell>
          <cell r="C164" t="str">
            <v>Salaries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A165" t="str">
            <v>Buildings</v>
          </cell>
          <cell r="B165" t="str">
            <v>JSW RATNAGIRI</v>
          </cell>
          <cell r="C165" t="str">
            <v>Operating overhead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A166" t="str">
            <v>Buildings</v>
          </cell>
          <cell r="B166" t="str">
            <v>JSW RATNAGIRI</v>
          </cell>
          <cell r="C166" t="str">
            <v>Financial Expenses</v>
          </cell>
          <cell r="E166">
            <v>500000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A167" t="str">
            <v>Buildings</v>
          </cell>
          <cell r="B167" t="str">
            <v>IIT C2</v>
          </cell>
          <cell r="C167" t="str">
            <v>Realisation against RA Bill</v>
          </cell>
          <cell r="E167">
            <v>5700000</v>
          </cell>
          <cell r="F167">
            <v>3950000</v>
          </cell>
          <cell r="G167">
            <v>3750000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Buildings</v>
          </cell>
          <cell r="B168" t="str">
            <v>IIT C2</v>
          </cell>
          <cell r="C168" t="str">
            <v>Realisitation of Mobilisation Advance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A169" t="str">
            <v>Buildings</v>
          </cell>
          <cell r="B169" t="str">
            <v>IIT C2</v>
          </cell>
          <cell r="C169" t="str">
            <v xml:space="preserve"> - Retention money from client(incl TDS)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8500000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A170" t="str">
            <v>Buildings</v>
          </cell>
          <cell r="B170" t="str">
            <v>IIT C2</v>
          </cell>
          <cell r="C170" t="str">
            <v>Other Receipts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10500000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 t="str">
            <v>Buildings</v>
          </cell>
          <cell r="B171" t="str">
            <v>IIT C2</v>
          </cell>
          <cell r="C171" t="str">
            <v xml:space="preserve">Labour 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2">
          <cell r="A172" t="str">
            <v>Buildings</v>
          </cell>
          <cell r="B172" t="str">
            <v>IIT C2</v>
          </cell>
          <cell r="C172" t="str">
            <v>Payment Suppliers(including Adv)</v>
          </cell>
          <cell r="E172">
            <v>6845000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A173" t="str">
            <v>Buildings</v>
          </cell>
          <cell r="B173" t="str">
            <v>IIT C2</v>
          </cell>
          <cell r="C173" t="str">
            <v>Sub contractor-(including Advance)</v>
          </cell>
          <cell r="E173">
            <v>2100000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A174" t="str">
            <v>Buildings</v>
          </cell>
          <cell r="B174" t="str">
            <v>IIT C2</v>
          </cell>
          <cell r="C174" t="str">
            <v>Out side Machinery Hire</v>
          </cell>
          <cell r="E174">
            <v>1200000</v>
          </cell>
          <cell r="F174">
            <v>50000</v>
          </cell>
          <cell r="G174">
            <v>50000</v>
          </cell>
          <cell r="H174">
            <v>50000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A175" t="str">
            <v>Buildings</v>
          </cell>
          <cell r="B175" t="str">
            <v>IIT C2</v>
          </cell>
          <cell r="C175" t="str">
            <v>Diesel</v>
          </cell>
          <cell r="E175">
            <v>10000</v>
          </cell>
          <cell r="F175">
            <v>10000</v>
          </cell>
          <cell r="G175">
            <v>10000</v>
          </cell>
          <cell r="H175">
            <v>10000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A176" t="str">
            <v>Buildings</v>
          </cell>
          <cell r="B176" t="str">
            <v>IIT C2</v>
          </cell>
          <cell r="C176" t="str">
            <v>JV Share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A177" t="str">
            <v>Buildings</v>
          </cell>
          <cell r="B177" t="str">
            <v>IIT C2</v>
          </cell>
          <cell r="C177" t="str">
            <v>Plant Repairs &amp; Maintanance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A178" t="str">
            <v>Buildings</v>
          </cell>
          <cell r="B178" t="str">
            <v>IIT C2</v>
          </cell>
          <cell r="C178" t="str">
            <v>VAT &amp; other Taxes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A179" t="str">
            <v>Buildings</v>
          </cell>
          <cell r="B179" t="str">
            <v>IIT C2</v>
          </cell>
          <cell r="C179" t="str">
            <v>Salaries</v>
          </cell>
          <cell r="E179">
            <v>500000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A180" t="str">
            <v>Buildings</v>
          </cell>
          <cell r="B180" t="str">
            <v>IIT C2</v>
          </cell>
          <cell r="C180" t="str">
            <v>Operating overhead</v>
          </cell>
          <cell r="E180">
            <v>426000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A181" t="str">
            <v>Buildings</v>
          </cell>
          <cell r="B181" t="str">
            <v>IIT C2</v>
          </cell>
          <cell r="C181" t="str">
            <v>Financial Expenses</v>
          </cell>
          <cell r="E181">
            <v>0</v>
          </cell>
          <cell r="F181">
            <v>0</v>
          </cell>
          <cell r="G181">
            <v>0</v>
          </cell>
          <cell r="H181">
            <v>19000000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2">
          <cell r="A182" t="str">
            <v>Buildings</v>
          </cell>
          <cell r="B182" t="str">
            <v>IIT SC</v>
          </cell>
          <cell r="C182" t="str">
            <v>Realisation against RA Bill</v>
          </cell>
          <cell r="E182">
            <v>1700000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</row>
        <row r="183">
          <cell r="A183" t="str">
            <v>Buildings</v>
          </cell>
          <cell r="B183" t="str">
            <v>IIT SC</v>
          </cell>
          <cell r="C183" t="str">
            <v>Realisitation of Mobilisation Advance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A184" t="str">
            <v>Buildings</v>
          </cell>
          <cell r="B184" t="str">
            <v>IIT SC</v>
          </cell>
          <cell r="C184" t="str">
            <v xml:space="preserve"> - Retention money from client(incl TDS)</v>
          </cell>
          <cell r="E184">
            <v>0</v>
          </cell>
          <cell r="F184">
            <v>0</v>
          </cell>
          <cell r="G184">
            <v>1000000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A185" t="str">
            <v>Buildings</v>
          </cell>
          <cell r="B185" t="str">
            <v>IIT SC</v>
          </cell>
          <cell r="C185" t="str">
            <v>Other Receipts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 t="str">
            <v>Buildings</v>
          </cell>
          <cell r="B186" t="str">
            <v>IIT SC</v>
          </cell>
          <cell r="C186" t="str">
            <v xml:space="preserve">Labour 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A187" t="str">
            <v>Buildings</v>
          </cell>
          <cell r="B187" t="str">
            <v>IIT SC</v>
          </cell>
          <cell r="C187" t="str">
            <v>Payment Suppliers(including Adv)</v>
          </cell>
          <cell r="E187">
            <v>5690000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A188" t="str">
            <v>Buildings</v>
          </cell>
          <cell r="B188" t="str">
            <v>IIT SC</v>
          </cell>
          <cell r="C188" t="str">
            <v>Sub contractor-(including Advance)</v>
          </cell>
          <cell r="E188">
            <v>51000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A189" t="str">
            <v>Buildings</v>
          </cell>
          <cell r="B189" t="str">
            <v>IIT SC</v>
          </cell>
          <cell r="C189" t="str">
            <v>Out side Machinery Hire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A190" t="str">
            <v>Buildings</v>
          </cell>
          <cell r="B190" t="str">
            <v>IIT SC</v>
          </cell>
          <cell r="C190" t="str">
            <v>Diesel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A191" t="str">
            <v>Buildings</v>
          </cell>
          <cell r="B191" t="str">
            <v>IIT SC</v>
          </cell>
          <cell r="C191" t="str">
            <v>JV Share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A192" t="str">
            <v>Buildings</v>
          </cell>
          <cell r="B192" t="str">
            <v>IIT SC</v>
          </cell>
          <cell r="C192" t="str">
            <v>Plant Repairs &amp; Maintanance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A193" t="str">
            <v>Buildings</v>
          </cell>
          <cell r="B193" t="str">
            <v>IIT SC</v>
          </cell>
          <cell r="C193" t="str">
            <v>VAT &amp; other Taxes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A194" t="str">
            <v>Buildings</v>
          </cell>
          <cell r="B194" t="str">
            <v>IIT SC</v>
          </cell>
          <cell r="C194" t="str">
            <v>Salaries</v>
          </cell>
          <cell r="E194">
            <v>0</v>
          </cell>
          <cell r="F194">
            <v>600000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 t="str">
            <v>Buildings</v>
          </cell>
          <cell r="B195" t="str">
            <v>IIT SC</v>
          </cell>
          <cell r="C195" t="str">
            <v>Operating overhead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A196" t="str">
            <v>Buildings</v>
          </cell>
          <cell r="B196" t="str">
            <v>IIT SC</v>
          </cell>
          <cell r="C196" t="str">
            <v>Financial Expenses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A197" t="str">
            <v>Buildings</v>
          </cell>
          <cell r="B197" t="str">
            <v>IIT G2</v>
          </cell>
          <cell r="C197" t="str">
            <v>Realisation against RA Bill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A198" t="str">
            <v>Buildings</v>
          </cell>
          <cell r="B198" t="str">
            <v>IIT G2</v>
          </cell>
          <cell r="C198" t="str">
            <v>Realisitation of Mobilisation Advance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A199" t="str">
            <v>Buildings</v>
          </cell>
          <cell r="B199" t="str">
            <v>IIT G2</v>
          </cell>
          <cell r="C199" t="str">
            <v xml:space="preserve"> - Retention money from client(incl TDS)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A200" t="str">
            <v>Buildings</v>
          </cell>
          <cell r="B200" t="str">
            <v>IIT G2</v>
          </cell>
          <cell r="C200" t="str">
            <v>Other Receipts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A201" t="str">
            <v>Buildings</v>
          </cell>
          <cell r="B201" t="str">
            <v>IIT G2</v>
          </cell>
          <cell r="C201" t="str">
            <v xml:space="preserve">Labour 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 t="str">
            <v>Buildings</v>
          </cell>
          <cell r="B202" t="str">
            <v>IIT G2</v>
          </cell>
          <cell r="C202" t="str">
            <v>Payment Suppliers(including Adv)</v>
          </cell>
          <cell r="E202">
            <v>95000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A203" t="str">
            <v>Buildings</v>
          </cell>
          <cell r="B203" t="str">
            <v>IIT G2</v>
          </cell>
          <cell r="C203" t="str">
            <v>Sub contractor-(including Advance)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A204" t="str">
            <v>Buildings</v>
          </cell>
          <cell r="B204" t="str">
            <v>IIT G2</v>
          </cell>
          <cell r="C204" t="str">
            <v>Out side Machinery Hire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A205" t="str">
            <v>Buildings</v>
          </cell>
          <cell r="B205" t="str">
            <v>IIT G2</v>
          </cell>
          <cell r="C205" t="str">
            <v>Diesel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</row>
        <row r="206">
          <cell r="A206" t="str">
            <v>Buildings</v>
          </cell>
          <cell r="B206" t="str">
            <v>IIT G2</v>
          </cell>
          <cell r="C206" t="str">
            <v>JV Share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</row>
        <row r="207">
          <cell r="A207" t="str">
            <v>Buildings</v>
          </cell>
          <cell r="B207" t="str">
            <v>IIT G2</v>
          </cell>
          <cell r="C207" t="str">
            <v>Plant Repairs &amp; Maintanance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 t="str">
            <v>Buildings</v>
          </cell>
          <cell r="B208" t="str">
            <v>IIT G2</v>
          </cell>
          <cell r="C208" t="str">
            <v>VAT &amp; other Taxes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A209" t="str">
            <v>Buildings</v>
          </cell>
          <cell r="B209" t="str">
            <v>IIT G2</v>
          </cell>
          <cell r="C209" t="str">
            <v>Salaries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 t="str">
            <v>Buildings</v>
          </cell>
          <cell r="B210" t="str">
            <v>IIT G2</v>
          </cell>
          <cell r="C210" t="str">
            <v>Operating overhead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A211" t="str">
            <v>Buildings</v>
          </cell>
          <cell r="B211" t="str">
            <v>IIT G2</v>
          </cell>
          <cell r="C211" t="str">
            <v>Financial Expenses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</row>
        <row r="212">
          <cell r="A212" t="str">
            <v>Buildings</v>
          </cell>
          <cell r="B212" t="str">
            <v>RELIANCE CS3</v>
          </cell>
          <cell r="C212" t="str">
            <v>Realisation against RA Bill</v>
          </cell>
          <cell r="E212">
            <v>2539000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A213" t="str">
            <v>Buildings</v>
          </cell>
          <cell r="B213" t="str">
            <v>RELIANCE CS3</v>
          </cell>
          <cell r="C213" t="str">
            <v>Realisitation of Mobilisation Advance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A214" t="str">
            <v>Buildings</v>
          </cell>
          <cell r="B214" t="str">
            <v>RELIANCE CS3</v>
          </cell>
          <cell r="C214" t="str">
            <v xml:space="preserve"> - Retention money from client(incl TDS)</v>
          </cell>
          <cell r="E214">
            <v>3660000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A215" t="str">
            <v>Buildings</v>
          </cell>
          <cell r="B215" t="str">
            <v>RELIANCE CS3</v>
          </cell>
          <cell r="C215" t="str">
            <v>Other Receipts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 t="str">
            <v>Buildings</v>
          </cell>
          <cell r="B216" t="str">
            <v>RELIANCE CS3</v>
          </cell>
          <cell r="C216" t="str">
            <v xml:space="preserve">Labour 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A217" t="str">
            <v>Buildings</v>
          </cell>
          <cell r="B217" t="str">
            <v>RELIANCE CS3</v>
          </cell>
          <cell r="C217" t="str">
            <v>Payment Suppliers(including Adv)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A218" t="str">
            <v>Buildings</v>
          </cell>
          <cell r="B218" t="str">
            <v>RELIANCE CS3</v>
          </cell>
          <cell r="C218" t="str">
            <v>Sub contractor-(including Advance)</v>
          </cell>
          <cell r="E218">
            <v>161000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A219" t="str">
            <v>Buildings</v>
          </cell>
          <cell r="B219" t="str">
            <v>RELIANCE CS3</v>
          </cell>
          <cell r="C219" t="str">
            <v>Out side Machinery Hire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 t="str">
            <v>Buildings</v>
          </cell>
          <cell r="B220" t="str">
            <v>RELIANCE CS3</v>
          </cell>
          <cell r="C220" t="str">
            <v>Diesel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A221" t="str">
            <v>Buildings</v>
          </cell>
          <cell r="B221" t="str">
            <v>RELIANCE CS3</v>
          </cell>
          <cell r="C221" t="str">
            <v>JV Share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A222" t="str">
            <v>Buildings</v>
          </cell>
          <cell r="B222" t="str">
            <v>RELIANCE CS3</v>
          </cell>
          <cell r="C222" t="str">
            <v>Plant Repairs &amp; Maintanance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 t="str">
            <v>Buildings</v>
          </cell>
          <cell r="B223" t="str">
            <v>RELIANCE CS3</v>
          </cell>
          <cell r="C223" t="str">
            <v>VAT &amp; other Taxes</v>
          </cell>
          <cell r="E223">
            <v>171000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A224" t="str">
            <v>Buildings</v>
          </cell>
          <cell r="B224" t="str">
            <v>RELIANCE CS3</v>
          </cell>
          <cell r="C224" t="str">
            <v>Salaries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 t="str">
            <v>Buildings</v>
          </cell>
          <cell r="B225" t="str">
            <v>RELIANCE CS3</v>
          </cell>
          <cell r="C225" t="str">
            <v>Operating overhead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A226" t="str">
            <v>Buildings</v>
          </cell>
          <cell r="B226" t="str">
            <v>RELIANCE CS3</v>
          </cell>
          <cell r="C226" t="str">
            <v>Financial Expenses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A227" t="str">
            <v>Buildings</v>
          </cell>
          <cell r="B227" t="str">
            <v>RELIANCE CS6</v>
          </cell>
          <cell r="C227" t="str">
            <v>Realisation against RA Bill</v>
          </cell>
          <cell r="E227">
            <v>7665000.0000000009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 t="str">
            <v>Buildings</v>
          </cell>
          <cell r="B228" t="str">
            <v>RELIANCE CS6</v>
          </cell>
          <cell r="C228" t="str">
            <v>Realisitation of Mobilisation Advance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A229" t="str">
            <v>Buildings</v>
          </cell>
          <cell r="B229" t="str">
            <v>RELIANCE CS6</v>
          </cell>
          <cell r="C229" t="str">
            <v xml:space="preserve"> - Retention money from client(incl TDS)</v>
          </cell>
          <cell r="E229">
            <v>3840000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A230" t="str">
            <v>Buildings</v>
          </cell>
          <cell r="B230" t="str">
            <v>RELIANCE CS6</v>
          </cell>
          <cell r="C230" t="str">
            <v>Other Receipts</v>
          </cell>
          <cell r="E230">
            <v>8145000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 t="str">
            <v>Buildings</v>
          </cell>
          <cell r="B231" t="str">
            <v>RELIANCE CS6</v>
          </cell>
          <cell r="C231" t="str">
            <v xml:space="preserve">Labour 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A232" t="str">
            <v>Buildings</v>
          </cell>
          <cell r="B232" t="str">
            <v>RELIANCE CS6</v>
          </cell>
          <cell r="C232" t="str">
            <v>Payment Suppliers(including Adv)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A233" t="str">
            <v>Buildings</v>
          </cell>
          <cell r="B233" t="str">
            <v>RELIANCE CS6</v>
          </cell>
          <cell r="C233" t="str">
            <v>Sub contractor-(including Advance)</v>
          </cell>
          <cell r="E233">
            <v>1785000.0000000002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 t="str">
            <v>Buildings</v>
          </cell>
          <cell r="B234" t="str">
            <v>RELIANCE CS6</v>
          </cell>
          <cell r="C234" t="str">
            <v>Out side Machinery Hire</v>
          </cell>
          <cell r="E234">
            <v>600000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A235" t="str">
            <v>Buildings</v>
          </cell>
          <cell r="B235" t="str">
            <v>RELIANCE CS6</v>
          </cell>
          <cell r="C235" t="str">
            <v>Diesel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A236" t="str">
            <v>Buildings</v>
          </cell>
          <cell r="B236" t="str">
            <v>RELIANCE CS6</v>
          </cell>
          <cell r="C236" t="str">
            <v>JV Share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 t="str">
            <v>Buildings</v>
          </cell>
          <cell r="B237" t="str">
            <v>RELIANCE CS6</v>
          </cell>
          <cell r="C237" t="str">
            <v>Plant Repairs &amp; Maintanance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A238" t="str">
            <v>Buildings</v>
          </cell>
          <cell r="B238" t="str">
            <v>RELIANCE CS6</v>
          </cell>
          <cell r="C238" t="str">
            <v>VAT &amp; other Taxes</v>
          </cell>
          <cell r="E238">
            <v>1062000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A239" t="str">
            <v>Buildings</v>
          </cell>
          <cell r="B239" t="str">
            <v>RELIANCE CS6</v>
          </cell>
          <cell r="C239" t="str">
            <v>Salaries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A240" t="str">
            <v>Buildings</v>
          </cell>
          <cell r="B240" t="str">
            <v>RELIANCE CS6</v>
          </cell>
          <cell r="C240" t="str">
            <v>Operating overhead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A241" t="str">
            <v>Buildings</v>
          </cell>
          <cell r="B241" t="str">
            <v>RELIANCE CS6</v>
          </cell>
          <cell r="C241" t="str">
            <v>Financial Expenses</v>
          </cell>
          <cell r="E241">
            <v>7800000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 t="str">
            <v>Buildings</v>
          </cell>
          <cell r="B242" t="str">
            <v>RELIANCE CS5</v>
          </cell>
          <cell r="C242" t="str">
            <v>Realisation against RA Bill</v>
          </cell>
          <cell r="E242">
            <v>5192000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A243" t="str">
            <v>Buildings</v>
          </cell>
          <cell r="B243" t="str">
            <v>RELIANCE CS5</v>
          </cell>
          <cell r="C243" t="str">
            <v>Realisitation of Mobilisation Advance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A244" t="str">
            <v>Buildings</v>
          </cell>
          <cell r="B244" t="str">
            <v>RELIANCE CS5</v>
          </cell>
          <cell r="C244" t="str">
            <v xml:space="preserve"> - Retention money from client(incl TDS)</v>
          </cell>
          <cell r="E244">
            <v>1989999.9999999998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A245" t="str">
            <v>Buildings</v>
          </cell>
          <cell r="B245" t="str">
            <v>RELIANCE CS5</v>
          </cell>
          <cell r="C245" t="str">
            <v>Other Receipts</v>
          </cell>
          <cell r="E245">
            <v>0</v>
          </cell>
          <cell r="F245">
            <v>4000000</v>
          </cell>
          <cell r="G245">
            <v>4000000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 t="str">
            <v>Buildings</v>
          </cell>
          <cell r="B246" t="str">
            <v>RELIANCE CS5</v>
          </cell>
          <cell r="C246" t="str">
            <v xml:space="preserve">Labour 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A247" t="str">
            <v>Buildings</v>
          </cell>
          <cell r="B247" t="str">
            <v>RELIANCE CS5</v>
          </cell>
          <cell r="C247" t="str">
            <v>Payment Suppliers(including Adv)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A248" t="str">
            <v>Buildings</v>
          </cell>
          <cell r="B248" t="str">
            <v>RELIANCE CS5</v>
          </cell>
          <cell r="C248" t="str">
            <v>Sub contractor-(including Advance)</v>
          </cell>
          <cell r="E248">
            <v>113999.99999999999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A249" t="str">
            <v>Buildings</v>
          </cell>
          <cell r="B249" t="str">
            <v>RELIANCE CS5</v>
          </cell>
          <cell r="C249" t="str">
            <v>Out side Machinery Hire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 t="str">
            <v>Buildings</v>
          </cell>
          <cell r="B250" t="str">
            <v>RELIANCE CS5</v>
          </cell>
          <cell r="C250" t="str">
            <v>Diesel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A251" t="str">
            <v>Buildings</v>
          </cell>
          <cell r="B251" t="str">
            <v>RELIANCE CS5</v>
          </cell>
          <cell r="C251" t="str">
            <v>JV Share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 t="str">
            <v>Buildings</v>
          </cell>
          <cell r="B252" t="str">
            <v>RELIANCE CS5</v>
          </cell>
          <cell r="C252" t="str">
            <v>Plant Repairs &amp; Maintanance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A253" t="str">
            <v>Buildings</v>
          </cell>
          <cell r="B253" t="str">
            <v>RELIANCE CS5</v>
          </cell>
          <cell r="C253" t="str">
            <v>VAT &amp; other Taxes</v>
          </cell>
          <cell r="E253">
            <v>269000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 t="str">
            <v>Buildings</v>
          </cell>
          <cell r="B254" t="str">
            <v>RELIANCE CS5</v>
          </cell>
          <cell r="C254" t="str">
            <v>Salaries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A255" t="str">
            <v>Buildings</v>
          </cell>
          <cell r="B255" t="str">
            <v>RELIANCE CS5</v>
          </cell>
          <cell r="C255" t="str">
            <v>Operating overhead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A256" t="str">
            <v>Buildings</v>
          </cell>
          <cell r="B256" t="str">
            <v>RELIANCE CS5</v>
          </cell>
          <cell r="C256" t="str">
            <v>Financial Expenses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A257" t="str">
            <v>Buildings</v>
          </cell>
          <cell r="B257" t="str">
            <v>SCT POCHARAM</v>
          </cell>
          <cell r="C257" t="str">
            <v>Realisation against RA Bill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 t="str">
            <v>Buildings</v>
          </cell>
          <cell r="B258" t="str">
            <v>SCT POCHARAM</v>
          </cell>
          <cell r="C258" t="str">
            <v>Realisitation of Mobilisation Advance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A259" t="str">
            <v>Buildings</v>
          </cell>
          <cell r="B259" t="str">
            <v>SCT POCHARAM</v>
          </cell>
          <cell r="C259" t="str">
            <v xml:space="preserve"> - Retention money from client(incl TDS)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A260" t="str">
            <v>Buildings</v>
          </cell>
          <cell r="B260" t="str">
            <v>SCT POCHARAM</v>
          </cell>
          <cell r="C260" t="str">
            <v>Other Receipts</v>
          </cell>
          <cell r="E260">
            <v>0</v>
          </cell>
          <cell r="F260">
            <v>4000000</v>
          </cell>
          <cell r="G260">
            <v>4000000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 t="str">
            <v>Buildings</v>
          </cell>
          <cell r="B261" t="str">
            <v>SCT POCHARAM</v>
          </cell>
          <cell r="C261" t="str">
            <v xml:space="preserve">Labour 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A262" t="str">
            <v>Buildings</v>
          </cell>
          <cell r="B262" t="str">
            <v>SCT POCHARAM</v>
          </cell>
          <cell r="C262" t="str">
            <v>Payment Suppliers(including Adv)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A263" t="str">
            <v>Buildings</v>
          </cell>
          <cell r="B263" t="str">
            <v>SCT POCHARAM</v>
          </cell>
          <cell r="C263" t="str">
            <v>Sub contractor-(including Advance)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A264" t="str">
            <v>Buildings</v>
          </cell>
          <cell r="B264" t="str">
            <v>SCT POCHARAM</v>
          </cell>
          <cell r="C264" t="str">
            <v>Out side Machinery Hire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 t="str">
            <v>Buildings</v>
          </cell>
          <cell r="B265" t="str">
            <v>SCT POCHARAM</v>
          </cell>
          <cell r="C265" t="str">
            <v>Diesel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A266" t="str">
            <v>Buildings</v>
          </cell>
          <cell r="B266" t="str">
            <v>SCT POCHARAM</v>
          </cell>
          <cell r="C266" t="str">
            <v>JV Share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>Buildings</v>
          </cell>
          <cell r="B267" t="str">
            <v>SCT POCHARAM</v>
          </cell>
          <cell r="C267" t="str">
            <v>Plant Repairs &amp; Maintanance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 t="str">
            <v>Buildings</v>
          </cell>
          <cell r="B268" t="str">
            <v>SCT POCHARAM</v>
          </cell>
          <cell r="C268" t="str">
            <v>VAT &amp; other Taxes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A269" t="str">
            <v>Buildings</v>
          </cell>
          <cell r="B269" t="str">
            <v>SCT POCHARAM</v>
          </cell>
          <cell r="C269" t="str">
            <v>Salaries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 t="str">
            <v>Buildings</v>
          </cell>
          <cell r="B270" t="str">
            <v>SCT POCHARAM</v>
          </cell>
          <cell r="C270" t="str">
            <v>Operating overhead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A271" t="str">
            <v>Buildings</v>
          </cell>
          <cell r="B271" t="str">
            <v>SCT POCHARAM</v>
          </cell>
          <cell r="C271" t="str">
            <v>Financial Expenses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 t="str">
            <v>Buildings</v>
          </cell>
          <cell r="B272" t="str">
            <v>HIRCO</v>
          </cell>
          <cell r="C272" t="str">
            <v>Realisation against RA Bill</v>
          </cell>
          <cell r="E272">
            <v>18200000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A273" t="str">
            <v>Buildings</v>
          </cell>
          <cell r="B273" t="str">
            <v>HIRCO</v>
          </cell>
          <cell r="C273" t="str">
            <v>Realisitation of Mobilisation Advance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 t="str">
            <v>Buildings</v>
          </cell>
          <cell r="B274" t="str">
            <v>HIRCO</v>
          </cell>
          <cell r="C274" t="str">
            <v xml:space="preserve"> - Retention money from client(incl TDS)</v>
          </cell>
          <cell r="E274">
            <v>0</v>
          </cell>
          <cell r="F274">
            <v>5400000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</row>
        <row r="275">
          <cell r="A275" t="str">
            <v>Buildings</v>
          </cell>
          <cell r="B275" t="str">
            <v>HIRCO</v>
          </cell>
          <cell r="C275" t="str">
            <v>Other Receipts</v>
          </cell>
          <cell r="E275">
            <v>0</v>
          </cell>
          <cell r="F275">
            <v>80000000</v>
          </cell>
          <cell r="G275">
            <v>0</v>
          </cell>
          <cell r="H275">
            <v>0</v>
          </cell>
          <cell r="I275">
            <v>100000000</v>
          </cell>
          <cell r="J275">
            <v>100000000</v>
          </cell>
          <cell r="K275">
            <v>100000000</v>
          </cell>
          <cell r="L275">
            <v>100000000</v>
          </cell>
          <cell r="M275">
            <v>100000000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 t="str">
            <v>Buildings</v>
          </cell>
          <cell r="B276" t="str">
            <v>HIRCO</v>
          </cell>
          <cell r="C276" t="str">
            <v xml:space="preserve">Labour </v>
          </cell>
          <cell r="E276">
            <v>100000</v>
          </cell>
          <cell r="F276">
            <v>100000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A277" t="str">
            <v>Buildings</v>
          </cell>
          <cell r="B277" t="str">
            <v>HIRCO</v>
          </cell>
          <cell r="C277" t="str">
            <v>Payment Suppliers(including Adv)</v>
          </cell>
          <cell r="E277">
            <v>45000000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 t="str">
            <v>Buildings</v>
          </cell>
          <cell r="B278" t="str">
            <v>HIRCO</v>
          </cell>
          <cell r="C278" t="str">
            <v>Sub contractor-(including Advance)</v>
          </cell>
          <cell r="E278">
            <v>2000000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A279" t="str">
            <v>Buildings</v>
          </cell>
          <cell r="B279" t="str">
            <v>HIRCO</v>
          </cell>
          <cell r="C279" t="str">
            <v>Out side Machinery Hire</v>
          </cell>
          <cell r="E279">
            <v>50000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 t="str">
            <v>Buildings</v>
          </cell>
          <cell r="B280" t="str">
            <v>HIRCO</v>
          </cell>
          <cell r="C280" t="str">
            <v>Diesel</v>
          </cell>
          <cell r="E280">
            <v>100000</v>
          </cell>
          <cell r="F280">
            <v>100000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A281" t="str">
            <v>Buildings</v>
          </cell>
          <cell r="B281" t="str">
            <v>HIRCO</v>
          </cell>
          <cell r="C281" t="str">
            <v>JV Share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 t="str">
            <v>Buildings</v>
          </cell>
          <cell r="B282" t="str">
            <v>HIRCO</v>
          </cell>
          <cell r="C282" t="str">
            <v>Plant Repairs &amp; Maintanance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A283" t="str">
            <v>Buildings</v>
          </cell>
          <cell r="B283" t="str">
            <v>HIRCO</v>
          </cell>
          <cell r="C283" t="str">
            <v>VAT &amp; other Taxes</v>
          </cell>
          <cell r="E283">
            <v>1504412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 t="str">
            <v>Buildings</v>
          </cell>
          <cell r="B284" t="str">
            <v>HIRCO</v>
          </cell>
          <cell r="C284" t="str">
            <v>Salaries</v>
          </cell>
          <cell r="E284">
            <v>500000</v>
          </cell>
          <cell r="F284">
            <v>400000</v>
          </cell>
          <cell r="G284">
            <v>400000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A285" t="str">
            <v>Buildings</v>
          </cell>
          <cell r="B285" t="str">
            <v>HIRCO</v>
          </cell>
          <cell r="C285" t="str">
            <v>Operating overhead</v>
          </cell>
          <cell r="E285">
            <v>500000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 t="str">
            <v>Buildings</v>
          </cell>
          <cell r="B286" t="str">
            <v>HIRCO</v>
          </cell>
          <cell r="C286" t="str">
            <v>Financial Expenses</v>
          </cell>
          <cell r="E286">
            <v>1000000</v>
          </cell>
          <cell r="F286">
            <v>500000</v>
          </cell>
          <cell r="G286">
            <v>300000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A287" t="str">
            <v>Buildings</v>
          </cell>
          <cell r="B287" t="str">
            <v>E MALL</v>
          </cell>
          <cell r="C287" t="str">
            <v>Realisation against RA Bill</v>
          </cell>
          <cell r="E287">
            <v>24502000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 t="str">
            <v>Buildings</v>
          </cell>
          <cell r="B288" t="str">
            <v>E MALL</v>
          </cell>
          <cell r="C288" t="str">
            <v>Realisitation of Mobilisation Advance</v>
          </cell>
          <cell r="E288">
            <v>-20400000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A289" t="str">
            <v>Buildings</v>
          </cell>
          <cell r="B289" t="str">
            <v>E MALL</v>
          </cell>
          <cell r="C289" t="str">
            <v xml:space="preserve"> - Retention money from client(incl TDS)</v>
          </cell>
          <cell r="E289">
            <v>1713500.0000000002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 t="str">
            <v>Buildings</v>
          </cell>
          <cell r="B290" t="str">
            <v>E MALL</v>
          </cell>
          <cell r="C290" t="str">
            <v>Other Receipts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10000000</v>
          </cell>
          <cell r="J290">
            <v>10000000</v>
          </cell>
          <cell r="K290">
            <v>10000000</v>
          </cell>
          <cell r="L290">
            <v>2000000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</row>
        <row r="291">
          <cell r="A291" t="str">
            <v>Buildings</v>
          </cell>
          <cell r="B291" t="str">
            <v>E MALL</v>
          </cell>
          <cell r="C291" t="str">
            <v xml:space="preserve">Labour 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 t="str">
            <v>Buildings</v>
          </cell>
          <cell r="B292" t="str">
            <v>E MALL</v>
          </cell>
          <cell r="C292" t="str">
            <v>Payment Suppliers(including Adv)</v>
          </cell>
          <cell r="E292">
            <v>849000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A293" t="str">
            <v>Buildings</v>
          </cell>
          <cell r="B293" t="str">
            <v>E MALL</v>
          </cell>
          <cell r="C293" t="str">
            <v>Sub contractor-(including Advance)</v>
          </cell>
          <cell r="E293">
            <v>1083000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A294" t="str">
            <v>Buildings</v>
          </cell>
          <cell r="B294" t="str">
            <v>E MALL</v>
          </cell>
          <cell r="C294" t="str">
            <v>Out side Machinery Hire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A295" t="str">
            <v>Buildings</v>
          </cell>
          <cell r="B295" t="str">
            <v>E MALL</v>
          </cell>
          <cell r="C295" t="str">
            <v>Diesel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 t="str">
            <v>Buildings</v>
          </cell>
          <cell r="B296" t="str">
            <v>E MALL</v>
          </cell>
          <cell r="C296" t="str">
            <v>JV Share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A297" t="str">
            <v>Buildings</v>
          </cell>
          <cell r="B297" t="str">
            <v>E MALL</v>
          </cell>
          <cell r="C297" t="str">
            <v>Plant Repairs &amp; Maintanance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A298" t="str">
            <v>Buildings</v>
          </cell>
          <cell r="B298" t="str">
            <v>E MALL</v>
          </cell>
          <cell r="C298" t="str">
            <v>VAT &amp; other Taxes</v>
          </cell>
          <cell r="E298">
            <v>290000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A299" t="str">
            <v>Buildings</v>
          </cell>
          <cell r="B299" t="str">
            <v>E MALL</v>
          </cell>
          <cell r="C299" t="str">
            <v>Salaries</v>
          </cell>
          <cell r="E299">
            <v>618000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 t="str">
            <v>Buildings</v>
          </cell>
          <cell r="B300" t="str">
            <v>E MALL</v>
          </cell>
          <cell r="C300" t="str">
            <v>Operating overhead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A301" t="str">
            <v>Buildings</v>
          </cell>
          <cell r="B301" t="str">
            <v>E MALL</v>
          </cell>
          <cell r="C301" t="str">
            <v>Financial Expenses</v>
          </cell>
          <cell r="E301">
            <v>861000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A302" t="str">
            <v>Buildings</v>
          </cell>
          <cell r="B302" t="str">
            <v>NEULAND</v>
          </cell>
          <cell r="C302" t="str">
            <v>Realisation against RA Bill</v>
          </cell>
          <cell r="E302">
            <v>30139999.999999996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 t="str">
            <v>Buildings</v>
          </cell>
          <cell r="B303" t="str">
            <v>NEULAND</v>
          </cell>
          <cell r="C303" t="str">
            <v>Realisitation of Mobilisation Advance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A304" t="str">
            <v>Buildings</v>
          </cell>
          <cell r="B304" t="str">
            <v>NEULAND</v>
          </cell>
          <cell r="C304" t="str">
            <v xml:space="preserve"> - Retention money from client(incl TDS)</v>
          </cell>
          <cell r="E304">
            <v>0</v>
          </cell>
          <cell r="F304">
            <v>4677000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A305" t="str">
            <v>Buildings</v>
          </cell>
          <cell r="B305" t="str">
            <v>NEULAND</v>
          </cell>
          <cell r="C305" t="str">
            <v>Other Receipts</v>
          </cell>
          <cell r="E305">
            <v>908000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A306" t="str">
            <v>Buildings</v>
          </cell>
          <cell r="B306" t="str">
            <v>NEULAND</v>
          </cell>
          <cell r="C306" t="str">
            <v xml:space="preserve">Labour 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A307" t="str">
            <v>Buildings</v>
          </cell>
          <cell r="B307" t="str">
            <v>NEULAND</v>
          </cell>
          <cell r="C307" t="str">
            <v>Payment Suppliers(including Adv)</v>
          </cell>
          <cell r="E307">
            <v>6208000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A308" t="str">
            <v>Buildings</v>
          </cell>
          <cell r="B308" t="str">
            <v>NEULAND</v>
          </cell>
          <cell r="C308" t="str">
            <v>Sub contractor-(including Advance)</v>
          </cell>
          <cell r="E308">
            <v>1939000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A309" t="str">
            <v>Buildings</v>
          </cell>
          <cell r="B309" t="str">
            <v>NEULAND</v>
          </cell>
          <cell r="C309" t="str">
            <v>Out side Machinery Hire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 t="str">
            <v>Buildings</v>
          </cell>
          <cell r="B310" t="str">
            <v>NEULAND</v>
          </cell>
          <cell r="C310" t="str">
            <v>Diesel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A311" t="str">
            <v>Buildings</v>
          </cell>
          <cell r="B311" t="str">
            <v>NEULAND</v>
          </cell>
          <cell r="C311" t="str">
            <v>JV Share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 t="str">
            <v>Buildings</v>
          </cell>
          <cell r="B312" t="str">
            <v>NEULAND</v>
          </cell>
          <cell r="C312" t="str">
            <v>Plant Repairs &amp; Maintanance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A313" t="str">
            <v>Buildings</v>
          </cell>
          <cell r="B313" t="str">
            <v>NEULAND</v>
          </cell>
          <cell r="C313" t="str">
            <v>VAT &amp; other Taxes</v>
          </cell>
          <cell r="E313">
            <v>1359000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A314" t="str">
            <v>Buildings</v>
          </cell>
          <cell r="B314" t="str">
            <v>NEULAND</v>
          </cell>
          <cell r="C314" t="str">
            <v>Salaries</v>
          </cell>
          <cell r="E314">
            <v>772000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 t="str">
            <v>Buildings</v>
          </cell>
          <cell r="B315" t="str">
            <v>NEULAND</v>
          </cell>
          <cell r="C315" t="str">
            <v>Operating overhead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A316" t="str">
            <v>Buildings</v>
          </cell>
          <cell r="B316" t="str">
            <v>NEULAND</v>
          </cell>
          <cell r="C316" t="str">
            <v>Financial Expenses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A317" t="str">
            <v>Buildings</v>
          </cell>
          <cell r="B317" t="str">
            <v>SEZ</v>
          </cell>
          <cell r="C317" t="str">
            <v>Realisation against RA Bill</v>
          </cell>
          <cell r="E317">
            <v>7709000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 t="str">
            <v>Buildings</v>
          </cell>
          <cell r="B318" t="str">
            <v>SEZ</v>
          </cell>
          <cell r="C318" t="str">
            <v>Realisitation of Mobilisation Advance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</row>
        <row r="319">
          <cell r="A319" t="str">
            <v>Buildings</v>
          </cell>
          <cell r="B319" t="str">
            <v>SEZ</v>
          </cell>
          <cell r="C319" t="str">
            <v xml:space="preserve"> - Retention money from client(incl TDS)</v>
          </cell>
          <cell r="E319">
            <v>5184000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 t="str">
            <v>Buildings</v>
          </cell>
          <cell r="B320" t="str">
            <v>SEZ</v>
          </cell>
          <cell r="C320" t="str">
            <v>Other Receipts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</row>
        <row r="321">
          <cell r="A321" t="str">
            <v>Buildings</v>
          </cell>
          <cell r="B321" t="str">
            <v>SEZ</v>
          </cell>
          <cell r="C321" t="str">
            <v xml:space="preserve">Labour 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A322" t="str">
            <v>Buildings</v>
          </cell>
          <cell r="B322" t="str">
            <v>SEZ</v>
          </cell>
          <cell r="C322" t="str">
            <v>Payment Suppliers(including Adv)</v>
          </cell>
          <cell r="E322">
            <v>7636000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A323" t="str">
            <v>Buildings</v>
          </cell>
          <cell r="B323" t="str">
            <v>SEZ</v>
          </cell>
          <cell r="C323" t="str">
            <v>Sub contractor-(including Advance)</v>
          </cell>
          <cell r="E323">
            <v>2297000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 t="str">
            <v>Buildings</v>
          </cell>
          <cell r="B324" t="str">
            <v>SEZ</v>
          </cell>
          <cell r="C324" t="str">
            <v>Out side Machinery Hire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</row>
        <row r="325">
          <cell r="A325" t="str">
            <v>Buildings</v>
          </cell>
          <cell r="B325" t="str">
            <v>SEZ</v>
          </cell>
          <cell r="C325" t="str">
            <v>Diesel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 t="str">
            <v>Buildings</v>
          </cell>
          <cell r="B326" t="str">
            <v>SEZ</v>
          </cell>
          <cell r="C326" t="str">
            <v>JV Share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 t="str">
            <v>Buildings</v>
          </cell>
          <cell r="B327" t="str">
            <v>SEZ</v>
          </cell>
          <cell r="C327" t="str">
            <v>Plant Repairs &amp; Maintanance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</row>
        <row r="328">
          <cell r="A328" t="str">
            <v>Buildings</v>
          </cell>
          <cell r="B328" t="str">
            <v>SEZ</v>
          </cell>
          <cell r="C328" t="str">
            <v>VAT &amp; other Taxes</v>
          </cell>
          <cell r="E328">
            <v>176000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</row>
        <row r="329">
          <cell r="A329" t="str">
            <v>Buildings</v>
          </cell>
          <cell r="B329" t="str">
            <v>SEZ</v>
          </cell>
          <cell r="C329" t="str">
            <v>Salaries</v>
          </cell>
          <cell r="E329">
            <v>1675000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</row>
        <row r="330">
          <cell r="A330" t="str">
            <v>Buildings</v>
          </cell>
          <cell r="B330" t="str">
            <v>SEZ</v>
          </cell>
          <cell r="C330" t="str">
            <v>Operating overhead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</row>
        <row r="331">
          <cell r="A331" t="str">
            <v>Buildings</v>
          </cell>
          <cell r="B331" t="str">
            <v>SEZ</v>
          </cell>
          <cell r="C331" t="str">
            <v>Financial Expenses</v>
          </cell>
          <cell r="E331">
            <v>1219000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</row>
        <row r="332">
          <cell r="A332" t="str">
            <v>Buildings</v>
          </cell>
          <cell r="B332" t="str">
            <v>HILLCOUNTY</v>
          </cell>
          <cell r="C332" t="str">
            <v>Realisation against RA Bill</v>
          </cell>
          <cell r="E332">
            <v>436038000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</row>
        <row r="333">
          <cell r="A333" t="str">
            <v>Buildings</v>
          </cell>
          <cell r="B333" t="str">
            <v>HILLCOUNTY</v>
          </cell>
          <cell r="C333" t="str">
            <v>Realisitation of Mobilisation Advance</v>
          </cell>
          <cell r="E333">
            <v>-153100000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</row>
        <row r="334">
          <cell r="A334" t="str">
            <v>Buildings</v>
          </cell>
          <cell r="B334" t="str">
            <v>HILLCOUNTY</v>
          </cell>
          <cell r="C334" t="str">
            <v xml:space="preserve"> - Retention money from client(incl TDS)</v>
          </cell>
          <cell r="E334">
            <v>175647000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A335" t="str">
            <v>Buildings</v>
          </cell>
          <cell r="B335" t="str">
            <v>HILLCOUNTY</v>
          </cell>
          <cell r="C335" t="str">
            <v>Other Receipts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</row>
        <row r="336">
          <cell r="A336" t="str">
            <v>Buildings</v>
          </cell>
          <cell r="B336" t="str">
            <v>HILLCOUNTY</v>
          </cell>
          <cell r="C336" t="str">
            <v xml:space="preserve">Labour 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A337" t="str">
            <v>Buildings</v>
          </cell>
          <cell r="B337" t="str">
            <v>HILLCOUNTY</v>
          </cell>
          <cell r="C337" t="str">
            <v>Payment Suppliers(including Adv)</v>
          </cell>
          <cell r="E337">
            <v>94014000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</row>
        <row r="338">
          <cell r="A338" t="str">
            <v>Buildings</v>
          </cell>
          <cell r="B338" t="str">
            <v>HILLCOUNTY</v>
          </cell>
          <cell r="C338" t="str">
            <v>Sub contractor-(including Advance)</v>
          </cell>
          <cell r="E338">
            <v>96952000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</row>
        <row r="339">
          <cell r="A339" t="str">
            <v>Buildings</v>
          </cell>
          <cell r="B339" t="str">
            <v>HILLCOUNTY</v>
          </cell>
          <cell r="C339" t="str">
            <v>Out side Machinery Hire</v>
          </cell>
          <cell r="E339">
            <v>600000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</row>
        <row r="340">
          <cell r="A340" t="str">
            <v>Buildings</v>
          </cell>
          <cell r="B340" t="str">
            <v>HILLCOUNTY</v>
          </cell>
          <cell r="C340" t="str">
            <v>Diesel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</row>
        <row r="341">
          <cell r="A341" t="str">
            <v>Buildings</v>
          </cell>
          <cell r="B341" t="str">
            <v>HILLCOUNTY</v>
          </cell>
          <cell r="C341" t="str">
            <v>JV Share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</row>
        <row r="342">
          <cell r="A342" t="str">
            <v>Buildings</v>
          </cell>
          <cell r="B342" t="str">
            <v>HILLCOUNTY</v>
          </cell>
          <cell r="C342" t="str">
            <v>Plant Repairs &amp; Maintanance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</row>
        <row r="343">
          <cell r="A343" t="str">
            <v>Buildings</v>
          </cell>
          <cell r="B343" t="str">
            <v>HILLCOUNTY</v>
          </cell>
          <cell r="C343" t="str">
            <v>VAT &amp; other Taxes</v>
          </cell>
          <cell r="E343">
            <v>43376000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</row>
        <row r="344">
          <cell r="A344" t="str">
            <v>Buildings</v>
          </cell>
          <cell r="B344" t="str">
            <v>HILLCOUNTY</v>
          </cell>
          <cell r="C344" t="str">
            <v>Salaries</v>
          </cell>
          <cell r="E344">
            <v>12849000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>Buildings</v>
          </cell>
          <cell r="B345" t="str">
            <v>HILLCOUNTY</v>
          </cell>
          <cell r="C345" t="str">
            <v>Operating overhead</v>
          </cell>
          <cell r="E345">
            <v>700000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 t="str">
            <v>Buildings</v>
          </cell>
          <cell r="B346" t="str">
            <v>HILLCOUNTY</v>
          </cell>
          <cell r="C346" t="str">
            <v>Financial Expenses</v>
          </cell>
          <cell r="E346">
            <v>17505000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</row>
        <row r="347">
          <cell r="A347" t="str">
            <v>Buildings</v>
          </cell>
          <cell r="B347" t="str">
            <v>WAREHOUSE</v>
          </cell>
          <cell r="C347" t="str">
            <v>Realisation against RA Bill</v>
          </cell>
          <cell r="E347">
            <v>205925000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</row>
        <row r="348">
          <cell r="A348" t="str">
            <v>Buildings</v>
          </cell>
          <cell r="B348" t="str">
            <v>WAREHOUSE</v>
          </cell>
          <cell r="C348" t="str">
            <v>Realisitation of Mobilisation Advance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</row>
        <row r="349">
          <cell r="A349" t="str">
            <v>Buildings</v>
          </cell>
          <cell r="B349" t="str">
            <v>WAREHOUSE</v>
          </cell>
          <cell r="C349" t="str">
            <v xml:space="preserve"> - Retention money from client(incl TDS)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0">
          <cell r="A350" t="str">
            <v>Buildings</v>
          </cell>
          <cell r="B350" t="str">
            <v>WAREHOUSE</v>
          </cell>
          <cell r="C350" t="str">
            <v>Other Receipts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</row>
        <row r="351">
          <cell r="A351" t="str">
            <v>Buildings</v>
          </cell>
          <cell r="B351" t="str">
            <v>WAREHOUSE</v>
          </cell>
          <cell r="C351" t="str">
            <v xml:space="preserve">Labour 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</row>
        <row r="352">
          <cell r="A352" t="str">
            <v>Buildings</v>
          </cell>
          <cell r="B352" t="str">
            <v>WAREHOUSE</v>
          </cell>
          <cell r="C352" t="str">
            <v>Payment Suppliers(including Adv)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A353" t="str">
            <v>Buildings</v>
          </cell>
          <cell r="B353" t="str">
            <v>WAREHOUSE</v>
          </cell>
          <cell r="C353" t="str">
            <v>Sub contractor-(including Advance)</v>
          </cell>
          <cell r="E353">
            <v>64000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 t="str">
            <v>Buildings</v>
          </cell>
          <cell r="B354" t="str">
            <v>WAREHOUSE</v>
          </cell>
          <cell r="C354" t="str">
            <v>Out side Machinery Hire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 t="str">
            <v>Buildings</v>
          </cell>
          <cell r="B355" t="str">
            <v>WAREHOUSE</v>
          </cell>
          <cell r="C355" t="str">
            <v>Diesel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 t="str">
            <v>Buildings</v>
          </cell>
          <cell r="B356" t="str">
            <v>WAREHOUSE</v>
          </cell>
          <cell r="C356" t="str">
            <v>JV Share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 t="str">
            <v>Buildings</v>
          </cell>
          <cell r="B357" t="str">
            <v>WAREHOUSE</v>
          </cell>
          <cell r="C357" t="str">
            <v>Plant Repairs &amp; Maintanance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</row>
        <row r="358">
          <cell r="A358" t="str">
            <v>Buildings</v>
          </cell>
          <cell r="B358" t="str">
            <v>WAREHOUSE</v>
          </cell>
          <cell r="C358" t="str">
            <v>VAT &amp; other Taxes</v>
          </cell>
          <cell r="E358">
            <v>17000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 t="str">
            <v>Buildings</v>
          </cell>
          <cell r="B359" t="str">
            <v>WAREHOUSE</v>
          </cell>
          <cell r="C359" t="str">
            <v>Salaries</v>
          </cell>
          <cell r="E359">
            <v>154000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</row>
        <row r="360">
          <cell r="A360" t="str">
            <v>Buildings</v>
          </cell>
          <cell r="B360" t="str">
            <v>WAREHOUSE</v>
          </cell>
          <cell r="C360" t="str">
            <v>Operating overhead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 t="str">
            <v>Buildings</v>
          </cell>
          <cell r="B361" t="str">
            <v>WAREHOUSE</v>
          </cell>
          <cell r="C361" t="str">
            <v>Financial Expenses</v>
          </cell>
          <cell r="E361">
            <v>205700000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</row>
        <row r="362">
          <cell r="A362" t="str">
            <v>Buildings</v>
          </cell>
          <cell r="B362" t="str">
            <v>NCS SUGARS</v>
          </cell>
          <cell r="C362" t="str">
            <v>Realisation against RA Bill</v>
          </cell>
          <cell r="E362">
            <v>2985000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</row>
        <row r="363">
          <cell r="A363" t="str">
            <v>Buildings</v>
          </cell>
          <cell r="B363" t="str">
            <v>NCS SUGARS</v>
          </cell>
          <cell r="C363" t="str">
            <v>Realisitation of Mobilisation Advance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</row>
        <row r="364">
          <cell r="A364" t="str">
            <v>Buildings</v>
          </cell>
          <cell r="B364" t="str">
            <v>NCS SUGARS</v>
          </cell>
          <cell r="C364" t="str">
            <v xml:space="preserve"> - Retention money from client(incl TDS)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</row>
        <row r="365">
          <cell r="A365" t="str">
            <v>Buildings</v>
          </cell>
          <cell r="B365" t="str">
            <v>NCS SUGARS</v>
          </cell>
          <cell r="C365" t="str">
            <v>Other Receipts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</row>
        <row r="366">
          <cell r="A366" t="str">
            <v>Buildings</v>
          </cell>
          <cell r="B366" t="str">
            <v>NCS SUGARS</v>
          </cell>
          <cell r="C366" t="str">
            <v xml:space="preserve">Labour 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</row>
        <row r="367">
          <cell r="A367" t="str">
            <v>Buildings</v>
          </cell>
          <cell r="B367" t="str">
            <v>NCS SUGARS</v>
          </cell>
          <cell r="C367" t="str">
            <v>Payment Suppliers(including Adv)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</row>
        <row r="368">
          <cell r="A368" t="str">
            <v>Buildings</v>
          </cell>
          <cell r="B368" t="str">
            <v>NCS SUGARS</v>
          </cell>
          <cell r="C368" t="str">
            <v>Sub contractor-(including Advance)</v>
          </cell>
          <cell r="E368">
            <v>1141000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</row>
        <row r="369">
          <cell r="A369" t="str">
            <v>Buildings</v>
          </cell>
          <cell r="B369" t="str">
            <v>NCS SUGARS</v>
          </cell>
          <cell r="C369" t="str">
            <v>Out side Machinery Hire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</row>
        <row r="370">
          <cell r="A370" t="str">
            <v>Buildings</v>
          </cell>
          <cell r="B370" t="str">
            <v>NCS SUGARS</v>
          </cell>
          <cell r="C370" t="str">
            <v>Diesel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</row>
        <row r="371">
          <cell r="A371" t="str">
            <v>Buildings</v>
          </cell>
          <cell r="B371" t="str">
            <v>NCS SUGARS</v>
          </cell>
          <cell r="C371" t="str">
            <v>JV Share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A372" t="str">
            <v>Buildings</v>
          </cell>
          <cell r="B372" t="str">
            <v>NCS SUGARS</v>
          </cell>
          <cell r="C372" t="str">
            <v>Plant Repairs &amp; Maintanance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A373" t="str">
            <v>Buildings</v>
          </cell>
          <cell r="B373" t="str">
            <v>NCS SUGARS</v>
          </cell>
          <cell r="C373" t="str">
            <v>VAT &amp; other Taxes</v>
          </cell>
          <cell r="E373">
            <v>574000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Buildings</v>
          </cell>
          <cell r="B374" t="str">
            <v>NCS SUGARS</v>
          </cell>
          <cell r="C374" t="str">
            <v>Salaries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 t="str">
            <v>Buildings</v>
          </cell>
          <cell r="B375" t="str">
            <v>NCS SUGARS</v>
          </cell>
          <cell r="C375" t="str">
            <v>Operating overhead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</row>
        <row r="376">
          <cell r="A376" t="str">
            <v>Buildings</v>
          </cell>
          <cell r="B376" t="str">
            <v>NCS SUGARS</v>
          </cell>
          <cell r="C376" t="str">
            <v>Financial Expenses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</row>
        <row r="377">
          <cell r="A377" t="str">
            <v>Buildings</v>
          </cell>
          <cell r="B377" t="str">
            <v>SRSR MCO</v>
          </cell>
          <cell r="C377" t="str">
            <v>Realisation against RA Bill</v>
          </cell>
          <cell r="E377">
            <v>5670000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</row>
        <row r="378">
          <cell r="A378" t="str">
            <v>Buildings</v>
          </cell>
          <cell r="B378" t="str">
            <v>SRSR MCO</v>
          </cell>
          <cell r="C378" t="str">
            <v>Realisitation of Mobilisation Advance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</row>
        <row r="379">
          <cell r="A379" t="str">
            <v>Buildings</v>
          </cell>
          <cell r="B379" t="str">
            <v>SRSR MCO</v>
          </cell>
          <cell r="C379" t="str">
            <v xml:space="preserve"> - Retention money from client(incl TDS)</v>
          </cell>
          <cell r="E379">
            <v>529000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</row>
        <row r="380">
          <cell r="A380" t="str">
            <v>Buildings</v>
          </cell>
          <cell r="B380" t="str">
            <v>SRSR MCO</v>
          </cell>
          <cell r="C380" t="str">
            <v>Other Receipts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</row>
        <row r="381">
          <cell r="A381" t="str">
            <v>Buildings</v>
          </cell>
          <cell r="B381" t="str">
            <v>SRSR MCO</v>
          </cell>
          <cell r="C381" t="str">
            <v xml:space="preserve">Labour 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</row>
        <row r="382">
          <cell r="A382" t="str">
            <v>Buildings</v>
          </cell>
          <cell r="B382" t="str">
            <v>SRSR MCO</v>
          </cell>
          <cell r="C382" t="str">
            <v>Payment Suppliers(including Adv)</v>
          </cell>
          <cell r="E382">
            <v>175000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A383" t="str">
            <v>Buildings</v>
          </cell>
          <cell r="B383" t="str">
            <v>SRSR MCO</v>
          </cell>
          <cell r="C383" t="str">
            <v>Sub contractor-(including Advance)</v>
          </cell>
          <cell r="E383">
            <v>1345000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Buildings</v>
          </cell>
          <cell r="B384" t="str">
            <v>SRSR MCO</v>
          </cell>
          <cell r="C384" t="str">
            <v>Out side Machinery Hire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 t="str">
            <v>Buildings</v>
          </cell>
          <cell r="B385" t="str">
            <v>SRSR MCO</v>
          </cell>
          <cell r="C385" t="str">
            <v>Diesel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</row>
        <row r="386">
          <cell r="A386" t="str">
            <v>Buildings</v>
          </cell>
          <cell r="B386" t="str">
            <v>SRSR MCO</v>
          </cell>
          <cell r="C386" t="str">
            <v>JV Share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 t="str">
            <v>Buildings</v>
          </cell>
          <cell r="B387" t="str">
            <v>SRSR MCO</v>
          </cell>
          <cell r="C387" t="str">
            <v>Plant Repairs &amp; Maintanance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</row>
        <row r="388">
          <cell r="A388" t="str">
            <v>Buildings</v>
          </cell>
          <cell r="B388" t="str">
            <v>SRSR MCO</v>
          </cell>
          <cell r="C388" t="str">
            <v>VAT &amp; other Taxes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</row>
        <row r="389">
          <cell r="A389" t="str">
            <v>Buildings</v>
          </cell>
          <cell r="B389" t="str">
            <v>SRSR MCO</v>
          </cell>
          <cell r="C389" t="str">
            <v>Salaries</v>
          </cell>
          <cell r="E389">
            <v>96000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</row>
        <row r="390">
          <cell r="A390" t="str">
            <v>Buildings</v>
          </cell>
          <cell r="B390" t="str">
            <v>SRSR MCO</v>
          </cell>
          <cell r="C390" t="str">
            <v>Operating overhead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 t="str">
            <v>Buildings</v>
          </cell>
          <cell r="B391" t="str">
            <v>SRSR MCO</v>
          </cell>
          <cell r="C391" t="str">
            <v>Financial Expenses</v>
          </cell>
          <cell r="E391">
            <v>4600000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</row>
        <row r="392">
          <cell r="A392" t="str">
            <v>Irrigation</v>
          </cell>
          <cell r="B392" t="str">
            <v>HO</v>
          </cell>
          <cell r="C392" t="str">
            <v>Salaries</v>
          </cell>
          <cell r="E392">
            <v>2475591.1999999997</v>
          </cell>
          <cell r="F392">
            <v>2475591.1999999997</v>
          </cell>
          <cell r="G392">
            <v>2475591.1999999997</v>
          </cell>
          <cell r="H392">
            <v>2500091.1119999997</v>
          </cell>
          <cell r="I392">
            <v>2500091.1119999997</v>
          </cell>
          <cell r="J392">
            <v>2500091.1119999997</v>
          </cell>
          <cell r="K392">
            <v>3077091.1119999997</v>
          </cell>
          <cell r="L392">
            <v>2867091.1119999997</v>
          </cell>
          <cell r="M392">
            <v>2707091.1119999997</v>
          </cell>
          <cell r="N392">
            <v>2707091.1119999997</v>
          </cell>
          <cell r="O392">
            <v>2707091.1119999997</v>
          </cell>
          <cell r="P392">
            <v>2707091.1119999997</v>
          </cell>
        </row>
        <row r="393">
          <cell r="A393" t="str">
            <v>Irrigation</v>
          </cell>
          <cell r="B393" t="str">
            <v>HO</v>
          </cell>
          <cell r="C393" t="str">
            <v>Operating overhead</v>
          </cell>
          <cell r="E393">
            <v>452738</v>
          </cell>
          <cell r="F393">
            <v>452738</v>
          </cell>
          <cell r="G393">
            <v>452738</v>
          </cell>
          <cell r="H393">
            <v>452738</v>
          </cell>
          <cell r="I393">
            <v>452738</v>
          </cell>
          <cell r="J393">
            <v>452738</v>
          </cell>
          <cell r="K393">
            <v>452738</v>
          </cell>
          <cell r="L393">
            <v>452738</v>
          </cell>
          <cell r="M393">
            <v>452738</v>
          </cell>
          <cell r="N393">
            <v>452738</v>
          </cell>
          <cell r="O393">
            <v>452738</v>
          </cell>
          <cell r="P393">
            <v>452738</v>
          </cell>
        </row>
        <row r="394">
          <cell r="A394" t="str">
            <v>Irrigation</v>
          </cell>
          <cell r="B394" t="str">
            <v>B TO B</v>
          </cell>
          <cell r="C394" t="str">
            <v>Realisation against RA Bill</v>
          </cell>
          <cell r="E394">
            <v>275918224.55172414</v>
          </cell>
          <cell r="F394">
            <v>521754000</v>
          </cell>
          <cell r="G394">
            <v>531672000</v>
          </cell>
          <cell r="H394">
            <v>543050000</v>
          </cell>
          <cell r="I394">
            <v>529206500</v>
          </cell>
          <cell r="J394">
            <v>274064000</v>
          </cell>
          <cell r="K394">
            <v>262830500</v>
          </cell>
          <cell r="L394">
            <v>261405000</v>
          </cell>
          <cell r="M394">
            <v>534885000</v>
          </cell>
          <cell r="N394">
            <v>554641500</v>
          </cell>
          <cell r="O394">
            <v>531543000</v>
          </cell>
          <cell r="P394">
            <v>510065900</v>
          </cell>
        </row>
        <row r="395">
          <cell r="A395" t="str">
            <v>Irrigation</v>
          </cell>
          <cell r="B395" t="str">
            <v>B TO B</v>
          </cell>
          <cell r="C395" t="str">
            <v>Realisation against Escalation / Claims</v>
          </cell>
        </row>
        <row r="396">
          <cell r="A396" t="str">
            <v>Irrigation</v>
          </cell>
          <cell r="B396" t="str">
            <v>B TO B</v>
          </cell>
          <cell r="C396" t="str">
            <v>Realisitation of Mobilisation Advance</v>
          </cell>
        </row>
        <row r="397">
          <cell r="A397" t="str">
            <v>Irrigation</v>
          </cell>
          <cell r="B397" t="str">
            <v>B TO B</v>
          </cell>
          <cell r="C397" t="str">
            <v>Plant Advance</v>
          </cell>
        </row>
        <row r="398">
          <cell r="A398" t="str">
            <v>Irrigation</v>
          </cell>
          <cell r="B398" t="str">
            <v>B TO B</v>
          </cell>
          <cell r="C398" t="str">
            <v>Mat Advance</v>
          </cell>
        </row>
        <row r="399">
          <cell r="A399" t="str">
            <v>Irrigation</v>
          </cell>
          <cell r="B399" t="str">
            <v>B TO B</v>
          </cell>
          <cell r="C399" t="str">
            <v xml:space="preserve"> - Retention money from client(incl TDS)</v>
          </cell>
        </row>
        <row r="400">
          <cell r="A400" t="str">
            <v>Irrigation</v>
          </cell>
          <cell r="B400" t="str">
            <v>B TO B</v>
          </cell>
          <cell r="C400" t="str">
            <v>Other Receipts</v>
          </cell>
        </row>
        <row r="401">
          <cell r="A401" t="str">
            <v>Irrigation</v>
          </cell>
          <cell r="B401" t="str">
            <v>B TO B</v>
          </cell>
          <cell r="C401" t="str">
            <v xml:space="preserve">Labour </v>
          </cell>
        </row>
        <row r="402">
          <cell r="A402" t="str">
            <v>Irrigation</v>
          </cell>
          <cell r="B402" t="str">
            <v>B TO B</v>
          </cell>
          <cell r="C402" t="str">
            <v>Payment Suppliers(including Adv)</v>
          </cell>
        </row>
        <row r="403">
          <cell r="A403" t="str">
            <v>Irrigation</v>
          </cell>
          <cell r="B403" t="str">
            <v>B TO B</v>
          </cell>
          <cell r="C403" t="str">
            <v>Diesel</v>
          </cell>
        </row>
        <row r="404">
          <cell r="A404" t="str">
            <v>Irrigation</v>
          </cell>
          <cell r="B404" t="str">
            <v>B TO B</v>
          </cell>
          <cell r="C404" t="str">
            <v>Out side Machinery Hire</v>
          </cell>
        </row>
        <row r="405">
          <cell r="A405" t="str">
            <v>Irrigation</v>
          </cell>
          <cell r="B405" t="str">
            <v>B TO B</v>
          </cell>
          <cell r="C405" t="str">
            <v>Own Machinery Hire</v>
          </cell>
        </row>
        <row r="406">
          <cell r="A406" t="str">
            <v>Irrigation</v>
          </cell>
          <cell r="B406" t="str">
            <v>B TO B</v>
          </cell>
          <cell r="C406" t="str">
            <v>Sub contractor-(including Advance)</v>
          </cell>
          <cell r="E406">
            <v>258538787.33969653</v>
          </cell>
          <cell r="F406">
            <v>487167781.60000002</v>
          </cell>
          <cell r="G406">
            <v>496203601.60000002</v>
          </cell>
          <cell r="H406">
            <v>506763521.60000002</v>
          </cell>
          <cell r="I406">
            <v>493486256.60000002</v>
          </cell>
          <cell r="J406">
            <v>254525279.59999999</v>
          </cell>
          <cell r="K406">
            <v>244990955.80000001</v>
          </cell>
          <cell r="L406">
            <v>244314260.80000001</v>
          </cell>
          <cell r="M406">
            <v>501585734.19999999</v>
          </cell>
          <cell r="N406">
            <v>520215264.19999999</v>
          </cell>
          <cell r="O406">
            <v>499217640.39999998</v>
          </cell>
          <cell r="P406">
            <v>479092881.24000001</v>
          </cell>
        </row>
        <row r="407">
          <cell r="A407" t="str">
            <v>Irrigation</v>
          </cell>
          <cell r="B407" t="str">
            <v>B TO B</v>
          </cell>
          <cell r="C407" t="str">
            <v>JV Share</v>
          </cell>
        </row>
        <row r="408">
          <cell r="A408" t="str">
            <v>Irrigation</v>
          </cell>
          <cell r="B408" t="str">
            <v>B TO B</v>
          </cell>
          <cell r="C408" t="str">
            <v>Plant Repairs &amp; Maintanance</v>
          </cell>
        </row>
        <row r="409">
          <cell r="A409" t="str">
            <v>Irrigation</v>
          </cell>
          <cell r="B409" t="str">
            <v>B TO B</v>
          </cell>
          <cell r="C409" t="str">
            <v>Other Direct Over Heads</v>
          </cell>
        </row>
        <row r="410">
          <cell r="A410" t="str">
            <v>Irrigation</v>
          </cell>
          <cell r="B410" t="str">
            <v>B TO B</v>
          </cell>
          <cell r="C410" t="str">
            <v>VAT &amp; other Taxes</v>
          </cell>
          <cell r="E410">
            <v>6252306.9683420686</v>
          </cell>
          <cell r="F410">
            <v>11822945.640000001</v>
          </cell>
          <cell r="G410">
            <v>12047687.52</v>
          </cell>
          <cell r="H410">
            <v>12305513</v>
          </cell>
          <cell r="I410">
            <v>11991819.289999999</v>
          </cell>
          <cell r="J410">
            <v>6210290.2400000002</v>
          </cell>
          <cell r="K410">
            <v>5955739.1299999999</v>
          </cell>
          <cell r="L410">
            <v>5923437.2999999998</v>
          </cell>
          <cell r="M410">
            <v>12120494.1</v>
          </cell>
          <cell r="N410">
            <v>12568176.390000001</v>
          </cell>
          <cell r="O410">
            <v>12044764.379999999</v>
          </cell>
          <cell r="P410">
            <v>11558093.294</v>
          </cell>
        </row>
        <row r="411">
          <cell r="A411" t="str">
            <v>Irrigation</v>
          </cell>
          <cell r="B411" t="str">
            <v>B TO B</v>
          </cell>
          <cell r="C411" t="str">
            <v>Salaries</v>
          </cell>
        </row>
        <row r="412">
          <cell r="A412" t="str">
            <v>Irrigation</v>
          </cell>
          <cell r="B412" t="str">
            <v>B TO B</v>
          </cell>
          <cell r="C412" t="str">
            <v>Operating overhead</v>
          </cell>
        </row>
        <row r="413">
          <cell r="A413" t="str">
            <v>Irrigation</v>
          </cell>
          <cell r="B413" t="str">
            <v>B TO B</v>
          </cell>
          <cell r="C413" t="str">
            <v>Financial Expenses</v>
          </cell>
        </row>
        <row r="414">
          <cell r="A414" t="str">
            <v>Irrigation</v>
          </cell>
          <cell r="B414" t="str">
            <v>ISLMC</v>
          </cell>
          <cell r="C414" t="str">
            <v>Realisation against RA Bill</v>
          </cell>
          <cell r="E414">
            <v>39232925.386170976</v>
          </cell>
          <cell r="F414">
            <v>35604743.984069936</v>
          </cell>
          <cell r="G414">
            <v>58469991.316489734</v>
          </cell>
          <cell r="H414">
            <v>37123427.432944462</v>
          </cell>
          <cell r="I414">
            <v>14110824.099295104</v>
          </cell>
          <cell r="J414">
            <v>8401477.4632365126</v>
          </cell>
          <cell r="K414">
            <v>9700966.0504730884</v>
          </cell>
          <cell r="L414">
            <v>40035022.05351261</v>
          </cell>
          <cell r="M414">
            <v>44736373.401039526</v>
          </cell>
          <cell r="N414">
            <v>71512754.978461847</v>
          </cell>
          <cell r="O414">
            <v>78466359.348695457</v>
          </cell>
          <cell r="P414">
            <v>73475406.472441152</v>
          </cell>
        </row>
        <row r="415">
          <cell r="A415" t="str">
            <v>Irrigation</v>
          </cell>
          <cell r="B415" t="str">
            <v>ISLMC</v>
          </cell>
          <cell r="C415" t="str">
            <v>Realisation against Escalation / Claims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</row>
        <row r="416">
          <cell r="A416" t="str">
            <v>Irrigation</v>
          </cell>
          <cell r="B416" t="str">
            <v>ISLMC</v>
          </cell>
          <cell r="C416" t="str">
            <v>Realisitation of Mobilisation Advance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</row>
        <row r="417">
          <cell r="A417" t="str">
            <v>Irrigation</v>
          </cell>
          <cell r="B417" t="str">
            <v>ISLMC</v>
          </cell>
          <cell r="C417" t="str">
            <v>Plant Advance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</row>
        <row r="418">
          <cell r="A418" t="str">
            <v>Irrigation</v>
          </cell>
          <cell r="B418" t="str">
            <v>ISLMC</v>
          </cell>
          <cell r="C418" t="str">
            <v>Mat Advance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</row>
        <row r="419">
          <cell r="A419" t="str">
            <v>Irrigation</v>
          </cell>
          <cell r="B419" t="str">
            <v>ISLMC</v>
          </cell>
          <cell r="C419" t="str">
            <v xml:space="preserve"> - Retention money from client(incl TDS)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</row>
        <row r="420">
          <cell r="A420" t="str">
            <v>Irrigation</v>
          </cell>
          <cell r="B420" t="str">
            <v>ISLMC</v>
          </cell>
          <cell r="C420" t="str">
            <v>Other Receipts</v>
          </cell>
          <cell r="E420">
            <v>15000000</v>
          </cell>
          <cell r="F420">
            <v>0</v>
          </cell>
          <cell r="G420">
            <v>5000000</v>
          </cell>
          <cell r="H420">
            <v>10000000</v>
          </cell>
          <cell r="I420">
            <v>5000000</v>
          </cell>
          <cell r="J420">
            <v>0</v>
          </cell>
          <cell r="K420">
            <v>5000000</v>
          </cell>
          <cell r="L420">
            <v>0</v>
          </cell>
          <cell r="M420">
            <v>0</v>
          </cell>
          <cell r="N420">
            <v>5000000</v>
          </cell>
          <cell r="O420">
            <v>5000000</v>
          </cell>
          <cell r="P420">
            <v>5000000</v>
          </cell>
        </row>
        <row r="421">
          <cell r="A421" t="str">
            <v>Irrigation</v>
          </cell>
          <cell r="B421" t="str">
            <v>ISLMC</v>
          </cell>
          <cell r="C421" t="str">
            <v xml:space="preserve">Labour </v>
          </cell>
          <cell r="E421">
            <v>1234777.5991666862</v>
          </cell>
          <cell r="F421">
            <v>1302726.5062688608</v>
          </cell>
          <cell r="G421">
            <v>1192994.701354105</v>
          </cell>
          <cell r="H421">
            <v>672168.12321967457</v>
          </cell>
          <cell r="I421">
            <v>290642.84999999998</v>
          </cell>
          <cell r="J421">
            <v>149769</v>
          </cell>
          <cell r="K421">
            <v>408023.98660983721</v>
          </cell>
          <cell r="L421">
            <v>692434.32321967452</v>
          </cell>
          <cell r="M421">
            <v>1045745.7281344305</v>
          </cell>
          <cell r="N421">
            <v>1287877.8830491863</v>
          </cell>
          <cell r="O421">
            <v>1439261.0196590237</v>
          </cell>
          <cell r="P421">
            <v>1700063.456268861</v>
          </cell>
        </row>
        <row r="422">
          <cell r="A422" t="str">
            <v>Irrigation</v>
          </cell>
          <cell r="B422" t="str">
            <v>ISLMC</v>
          </cell>
          <cell r="C422" t="str">
            <v>Payment Suppliers(including Adv)</v>
          </cell>
          <cell r="E422">
            <v>27239137.623869386</v>
          </cell>
          <cell r="F422">
            <v>30629454.811076686</v>
          </cell>
          <cell r="G422">
            <v>21102219.992417149</v>
          </cell>
          <cell r="H422">
            <v>13121903.342065224</v>
          </cell>
          <cell r="I422">
            <v>7085199.0004955102</v>
          </cell>
          <cell r="J422">
            <v>4932390.4474142436</v>
          </cell>
          <cell r="K422">
            <v>11235011.629773479</v>
          </cell>
          <cell r="L422">
            <v>18304314.584703747</v>
          </cell>
          <cell r="M422">
            <v>24573490.599261258</v>
          </cell>
          <cell r="N422">
            <v>30521375.701153085</v>
          </cell>
          <cell r="O422">
            <v>34595228.45268108</v>
          </cell>
          <cell r="P422">
            <v>39498695.594714478</v>
          </cell>
        </row>
        <row r="423">
          <cell r="A423" t="str">
            <v>Irrigation</v>
          </cell>
          <cell r="B423" t="str">
            <v>ISLMC</v>
          </cell>
          <cell r="C423" t="str">
            <v>Diesel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</row>
        <row r="424">
          <cell r="A424" t="str">
            <v>Irrigation</v>
          </cell>
          <cell r="B424" t="str">
            <v>ISLMC</v>
          </cell>
          <cell r="C424" t="str">
            <v>Out side Machinery Hire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</row>
        <row r="425">
          <cell r="A425" t="str">
            <v>Irrigation</v>
          </cell>
          <cell r="B425" t="str">
            <v>ISLMC</v>
          </cell>
          <cell r="C425" t="str">
            <v>Own Machinery Hire</v>
          </cell>
          <cell r="E425">
            <v>4400000</v>
          </cell>
          <cell r="F425">
            <v>4400000</v>
          </cell>
          <cell r="G425">
            <v>4400000</v>
          </cell>
          <cell r="H425">
            <v>4200000</v>
          </cell>
          <cell r="I425">
            <v>4200000</v>
          </cell>
          <cell r="J425">
            <v>4200000</v>
          </cell>
          <cell r="K425">
            <v>4200000</v>
          </cell>
          <cell r="L425">
            <v>4400000</v>
          </cell>
          <cell r="M425">
            <v>4400000</v>
          </cell>
          <cell r="N425">
            <v>4400000</v>
          </cell>
          <cell r="O425">
            <v>4400000</v>
          </cell>
          <cell r="P425">
            <v>4400000</v>
          </cell>
        </row>
        <row r="426">
          <cell r="A426" t="str">
            <v>Irrigation</v>
          </cell>
          <cell r="B426" t="str">
            <v>ISLMC</v>
          </cell>
          <cell r="C426" t="str">
            <v>Sub contractor-(including Advance)</v>
          </cell>
          <cell r="E426">
            <v>6912569.7746354323</v>
          </cell>
          <cell r="F426">
            <v>8550672.7682027481</v>
          </cell>
          <cell r="G426">
            <v>11524842.545878282</v>
          </cell>
          <cell r="H426">
            <v>7225060.227964838</v>
          </cell>
          <cell r="I426">
            <v>2226909.0559280007</v>
          </cell>
          <cell r="J426">
            <v>2673616.2986297226</v>
          </cell>
          <cell r="K426">
            <v>2052479.0115556521</v>
          </cell>
          <cell r="L426">
            <v>8690830.8710436802</v>
          </cell>
          <cell r="M426">
            <v>9788548.5817069914</v>
          </cell>
          <cell r="N426">
            <v>14695030.823457992</v>
          </cell>
          <cell r="O426">
            <v>15731458.736995196</v>
          </cell>
          <cell r="P426">
            <v>15971162.390012197</v>
          </cell>
        </row>
        <row r="427">
          <cell r="A427" t="str">
            <v>Irrigation</v>
          </cell>
          <cell r="B427" t="str">
            <v>ISLMC</v>
          </cell>
          <cell r="C427" t="str">
            <v>JV Share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</row>
        <row r="428">
          <cell r="A428" t="str">
            <v>Irrigation</v>
          </cell>
          <cell r="B428" t="str">
            <v>ISLMC</v>
          </cell>
          <cell r="C428" t="str">
            <v>Plant Repairs &amp; Maintanance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</row>
        <row r="429">
          <cell r="A429" t="str">
            <v>Irrigation</v>
          </cell>
          <cell r="B429" t="str">
            <v>ISLMC</v>
          </cell>
          <cell r="C429" t="str">
            <v>Other Direct Over Heads</v>
          </cell>
          <cell r="E429">
            <v>1311582.0493092248</v>
          </cell>
          <cell r="F429">
            <v>1458190.4842383438</v>
          </cell>
          <cell r="G429">
            <v>1387381.3167477096</v>
          </cell>
          <cell r="H429">
            <v>839807.38121535094</v>
          </cell>
          <cell r="I429">
            <v>414105.72895384615</v>
          </cell>
          <cell r="J429">
            <v>217567.72562637366</v>
          </cell>
          <cell r="K429">
            <v>530693.8808867964</v>
          </cell>
          <cell r="L429">
            <v>881815.61609007628</v>
          </cell>
          <cell r="M429">
            <v>1302010.1852158753</v>
          </cell>
          <cell r="N429">
            <v>1560695.920341674</v>
          </cell>
          <cell r="O429">
            <v>1718570.5526702285</v>
          </cell>
          <cell r="P429">
            <v>2035397.3596185637</v>
          </cell>
        </row>
        <row r="430">
          <cell r="A430" t="str">
            <v>Irrigation</v>
          </cell>
          <cell r="B430" t="str">
            <v>ISLMC</v>
          </cell>
          <cell r="C430" t="str">
            <v>VAT &amp; other Taxes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</row>
        <row r="431">
          <cell r="A431" t="str">
            <v>Irrigation</v>
          </cell>
          <cell r="B431" t="str">
            <v>ISLMC</v>
          </cell>
          <cell r="C431" t="str">
            <v>Salaries</v>
          </cell>
          <cell r="E431">
            <v>2450000</v>
          </cell>
          <cell r="F431">
            <v>2450000</v>
          </cell>
          <cell r="G431">
            <v>2450000</v>
          </cell>
          <cell r="H431">
            <v>2450000</v>
          </cell>
          <cell r="I431">
            <v>2205000</v>
          </cell>
          <cell r="J431">
            <v>1960000.0000000002</v>
          </cell>
          <cell r="K431">
            <v>1960000.0000000002</v>
          </cell>
          <cell r="L431">
            <v>1960000.0000000002</v>
          </cell>
          <cell r="M431">
            <v>2205000</v>
          </cell>
          <cell r="N431">
            <v>2205000</v>
          </cell>
          <cell r="O431">
            <v>2205000</v>
          </cell>
          <cell r="P431">
            <v>2205000</v>
          </cell>
        </row>
        <row r="432">
          <cell r="A432" t="str">
            <v>Irrigation</v>
          </cell>
          <cell r="B432" t="str">
            <v>ISLMC</v>
          </cell>
          <cell r="C432" t="str">
            <v>Operating overhead</v>
          </cell>
          <cell r="E432">
            <v>9537214.4371940158</v>
          </cell>
          <cell r="F432">
            <v>8767351.1725503355</v>
          </cell>
          <cell r="G432">
            <v>10915794.940531136</v>
          </cell>
          <cell r="H432">
            <v>7108723.5420049932</v>
          </cell>
          <cell r="I432">
            <v>3020691.6047231997</v>
          </cell>
          <cell r="J432">
            <v>1996465.1371295999</v>
          </cell>
          <cell r="K432">
            <v>2227310.4165504002</v>
          </cell>
          <cell r="L432">
            <v>7615948.4567496972</v>
          </cell>
          <cell r="M432">
            <v>8451111.4401992969</v>
          </cell>
          <cell r="N432">
            <v>13207752.897330241</v>
          </cell>
          <cell r="O432">
            <v>14443013.260210242</v>
          </cell>
          <cell r="P432">
            <v>13556404.541510334</v>
          </cell>
        </row>
        <row r="433">
          <cell r="A433" t="str">
            <v>Irrigation</v>
          </cell>
          <cell r="B433" t="str">
            <v>ISLMC</v>
          </cell>
          <cell r="C433" t="str">
            <v>Financial Expenses</v>
          </cell>
        </row>
        <row r="434">
          <cell r="A434" t="str">
            <v>Irrigation</v>
          </cell>
          <cell r="B434" t="str">
            <v>UDAYASAMUDRAM</v>
          </cell>
          <cell r="C434" t="str">
            <v>Realisation against RA Bill</v>
          </cell>
          <cell r="E434">
            <v>102398509.37544614</v>
          </cell>
          <cell r="F434">
            <v>11688701.905726647</v>
          </cell>
          <cell r="G434">
            <v>12242758.674425667</v>
          </cell>
          <cell r="H434">
            <v>10857616.752678115</v>
          </cell>
          <cell r="I434">
            <v>7855737.5721375421</v>
          </cell>
          <cell r="J434">
            <v>12492467.490817022</v>
          </cell>
          <cell r="K434">
            <v>18942404.645742245</v>
          </cell>
          <cell r="L434">
            <v>22823618.393984072</v>
          </cell>
          <cell r="M434">
            <v>49935531.869233444</v>
          </cell>
          <cell r="N434">
            <v>66266074.734566331</v>
          </cell>
          <cell r="O434">
            <v>90953713.617472559</v>
          </cell>
          <cell r="P434">
            <v>76896261.622876927</v>
          </cell>
        </row>
        <row r="435">
          <cell r="A435" t="str">
            <v>Irrigation</v>
          </cell>
          <cell r="B435" t="str">
            <v>UDAYASAMUDRAM</v>
          </cell>
          <cell r="C435" t="str">
            <v>Realisation against Escalation / Claims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</row>
        <row r="436">
          <cell r="A436" t="str">
            <v>Irrigation</v>
          </cell>
          <cell r="B436" t="str">
            <v>UDAYASAMUDRAM</v>
          </cell>
          <cell r="C436" t="str">
            <v>Realisitation of Mobilisation Advance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</row>
        <row r="437">
          <cell r="A437" t="str">
            <v>Irrigation</v>
          </cell>
          <cell r="B437" t="str">
            <v>UDAYASAMUDRAM</v>
          </cell>
          <cell r="C437" t="str">
            <v>Plant Advance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</row>
        <row r="438">
          <cell r="A438" t="str">
            <v>Irrigation</v>
          </cell>
          <cell r="B438" t="str">
            <v>UDAYASAMUDRAM</v>
          </cell>
          <cell r="C438" t="str">
            <v>Mat Advance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</row>
        <row r="439">
          <cell r="A439" t="str">
            <v>Irrigation</v>
          </cell>
          <cell r="B439" t="str">
            <v>UDAYASAMUDRAM</v>
          </cell>
          <cell r="C439" t="str">
            <v xml:space="preserve"> - Retention money from client(incl TDS)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A440" t="str">
            <v>Irrigation</v>
          </cell>
          <cell r="B440" t="str">
            <v>UDAYASAMUDRAM</v>
          </cell>
          <cell r="C440" t="str">
            <v>Other Receipts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Irrigation</v>
          </cell>
          <cell r="B441" t="str">
            <v>UDAYASAMUDRAM</v>
          </cell>
          <cell r="C441" t="str">
            <v xml:space="preserve">Labour 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22144</v>
          </cell>
          <cell r="L441">
            <v>259401.14285714284</v>
          </cell>
          <cell r="M441">
            <v>435366.8571428571</v>
          </cell>
          <cell r="N441">
            <v>1303609.3714285716</v>
          </cell>
          <cell r="O441">
            <v>1184506.2857142857</v>
          </cell>
          <cell r="P441">
            <v>1013879.6479999999</v>
          </cell>
        </row>
        <row r="442">
          <cell r="A442" t="str">
            <v>Irrigation</v>
          </cell>
          <cell r="B442" t="str">
            <v>UDAYASAMUDRAM</v>
          </cell>
          <cell r="C442" t="str">
            <v>Payment Suppliers(including Adv)</v>
          </cell>
          <cell r="E442">
            <v>822096</v>
          </cell>
          <cell r="F442">
            <v>1096128</v>
          </cell>
          <cell r="G442">
            <v>1096128</v>
          </cell>
          <cell r="H442">
            <v>926228.15999999992</v>
          </cell>
          <cell r="I442">
            <v>378164.16</v>
          </cell>
          <cell r="J442">
            <v>2004373.0649609359</v>
          </cell>
          <cell r="K442">
            <v>4123464.9754933002</v>
          </cell>
          <cell r="L442">
            <v>4658523.3526962865</v>
          </cell>
          <cell r="M442">
            <v>9823998.4267840106</v>
          </cell>
          <cell r="N442">
            <v>22947555.223192234</v>
          </cell>
          <cell r="O442">
            <v>30582411.844079211</v>
          </cell>
          <cell r="P442">
            <v>0</v>
          </cell>
        </row>
        <row r="443">
          <cell r="A443" t="str">
            <v>Irrigation</v>
          </cell>
          <cell r="B443" t="str">
            <v>UDAYASAMUDRAM</v>
          </cell>
          <cell r="C443" t="str">
            <v>Diesel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</row>
        <row r="444">
          <cell r="A444" t="str">
            <v>Irrigation</v>
          </cell>
          <cell r="B444" t="str">
            <v>UDAYASAMUDRAM</v>
          </cell>
          <cell r="C444" t="str">
            <v>Out side Machinery Hire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A445" t="str">
            <v>Irrigation</v>
          </cell>
          <cell r="B445" t="str">
            <v>UDAYASAMUDRAM</v>
          </cell>
          <cell r="C445" t="str">
            <v>Own Machinery Hire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839893.7259428571</v>
          </cell>
          <cell r="M445">
            <v>2663212.9238496805</v>
          </cell>
          <cell r="N445">
            <v>3596934.7034608535</v>
          </cell>
          <cell r="O445">
            <v>4300799.945814617</v>
          </cell>
          <cell r="P445">
            <v>6901509.3626910485</v>
          </cell>
        </row>
        <row r="446">
          <cell r="A446" t="str">
            <v>Irrigation</v>
          </cell>
          <cell r="B446" t="str">
            <v>UDAYASAMUDRAM</v>
          </cell>
          <cell r="C446" t="str">
            <v>Sub contractor-(including Advance)</v>
          </cell>
          <cell r="E446">
            <v>7646078.6416639984</v>
          </cell>
          <cell r="F446">
            <v>11423600.483328</v>
          </cell>
          <cell r="G446">
            <v>10726285.923328001</v>
          </cell>
          <cell r="H446">
            <v>9701572.3233280014</v>
          </cell>
          <cell r="I446">
            <v>9887284.0262963213</v>
          </cell>
          <cell r="J446">
            <v>12325295.039999999</v>
          </cell>
          <cell r="K446">
            <v>19614487.469824001</v>
          </cell>
          <cell r="L446">
            <v>21518166.98016512</v>
          </cell>
          <cell r="M446">
            <v>50067888.386162207</v>
          </cell>
          <cell r="N446">
            <v>54973726.422520511</v>
          </cell>
          <cell r="O446">
            <v>57402890.780269422</v>
          </cell>
          <cell r="P446">
            <v>163443156.67338696</v>
          </cell>
        </row>
        <row r="447">
          <cell r="A447" t="str">
            <v>Irrigation</v>
          </cell>
          <cell r="B447" t="str">
            <v>UDAYASAMUDRAM</v>
          </cell>
          <cell r="C447" t="str">
            <v>JV Share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</row>
        <row r="448">
          <cell r="A448" t="str">
            <v>Irrigation</v>
          </cell>
          <cell r="B448" t="str">
            <v>UDAYASAMUDRAM</v>
          </cell>
          <cell r="C448" t="str">
            <v>Plant Repairs &amp; Maintanance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</row>
        <row r="449">
          <cell r="A449" t="str">
            <v>Irrigation</v>
          </cell>
          <cell r="B449" t="str">
            <v>UDAYASAMUDRAM</v>
          </cell>
          <cell r="C449" t="str">
            <v>Other Direct Over Heads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</row>
        <row r="450">
          <cell r="A450" t="str">
            <v>Irrigation</v>
          </cell>
          <cell r="B450" t="str">
            <v>UDAYASAMUDRAM</v>
          </cell>
          <cell r="C450" t="str">
            <v>VAT &amp; other Taxes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</row>
        <row r="451">
          <cell r="A451" t="str">
            <v>Irrigation</v>
          </cell>
          <cell r="B451" t="str">
            <v>UDAYASAMUDRAM</v>
          </cell>
          <cell r="C451" t="str">
            <v>Salaries</v>
          </cell>
          <cell r="E451">
            <v>1591600</v>
          </cell>
          <cell r="F451">
            <v>1591600</v>
          </cell>
          <cell r="G451">
            <v>1591600</v>
          </cell>
          <cell r="H451">
            <v>1924313.5999999999</v>
          </cell>
          <cell r="I451">
            <v>1924313.5999999999</v>
          </cell>
          <cell r="J451">
            <v>1924313.5999999999</v>
          </cell>
          <cell r="K451">
            <v>1924313.5999999999</v>
          </cell>
          <cell r="L451">
            <v>1924313.5999999999</v>
          </cell>
          <cell r="M451">
            <v>1924313.5999999999</v>
          </cell>
          <cell r="N451">
            <v>1924313.5999999999</v>
          </cell>
          <cell r="O451">
            <v>1924313.5999999999</v>
          </cell>
          <cell r="P451">
            <v>1924313.5999999999</v>
          </cell>
        </row>
        <row r="452">
          <cell r="A452" t="str">
            <v>Irrigation</v>
          </cell>
          <cell r="B452" t="str">
            <v>UDAYASAMUDRAM</v>
          </cell>
          <cell r="C452" t="str">
            <v>Operating overhead</v>
          </cell>
          <cell r="E452">
            <v>2466816.19924676</v>
          </cell>
          <cell r="F452">
            <v>1905555.5770167543</v>
          </cell>
          <cell r="G452">
            <v>2398130.1983547728</v>
          </cell>
          <cell r="H452">
            <v>2535469.6450097249</v>
          </cell>
          <cell r="I452">
            <v>1105370.3710528864</v>
          </cell>
          <cell r="J452">
            <v>1517199.2148373681</v>
          </cell>
          <cell r="K452">
            <v>2945880.4277725304</v>
          </cell>
          <cell r="L452">
            <v>3262007.334775893</v>
          </cell>
          <cell r="M452">
            <v>7096983.5437107095</v>
          </cell>
          <cell r="N452">
            <v>9606568.2582192924</v>
          </cell>
          <cell r="O452">
            <v>14168392.62078291</v>
          </cell>
          <cell r="P452">
            <v>11211084.725906447</v>
          </cell>
        </row>
        <row r="453">
          <cell r="A453" t="str">
            <v>Irrigation</v>
          </cell>
          <cell r="B453" t="str">
            <v>UDAYASAMUDRAM</v>
          </cell>
          <cell r="C453" t="str">
            <v>Financial Expenses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</row>
        <row r="454">
          <cell r="A454" t="str">
            <v>Irrigation</v>
          </cell>
          <cell r="B454" t="str">
            <v>KP DAMS</v>
          </cell>
          <cell r="C454" t="str">
            <v>Realisation against RA Bill</v>
          </cell>
          <cell r="E454">
            <v>9645878.8276329339</v>
          </cell>
          <cell r="F454">
            <v>27849067.05689932</v>
          </cell>
          <cell r="G454">
            <v>35987656.341572732</v>
          </cell>
          <cell r="H454">
            <v>33439488.312357027</v>
          </cell>
          <cell r="I454">
            <v>29327290.014048293</v>
          </cell>
          <cell r="J454">
            <v>25381861.940274887</v>
          </cell>
          <cell r="K454">
            <v>22947710.209828369</v>
          </cell>
          <cell r="L454">
            <v>15954074.922766443</v>
          </cell>
          <cell r="M454">
            <v>6735050</v>
          </cell>
        </row>
        <row r="455">
          <cell r="A455" t="str">
            <v>Irrigation</v>
          </cell>
          <cell r="B455" t="str">
            <v>KP DAMS</v>
          </cell>
          <cell r="C455" t="str">
            <v>Realisation against Escalation / Claims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</row>
        <row r="456">
          <cell r="A456" t="str">
            <v>Irrigation</v>
          </cell>
          <cell r="B456" t="str">
            <v>KP DAMS</v>
          </cell>
          <cell r="C456" t="str">
            <v>Realisitation of Mobilisation Advance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 t="str">
            <v>Irrigation</v>
          </cell>
          <cell r="B457" t="str">
            <v>KP DAMS</v>
          </cell>
          <cell r="C457" t="str">
            <v>Plant Advance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</row>
        <row r="458">
          <cell r="A458" t="str">
            <v>Irrigation</v>
          </cell>
          <cell r="B458" t="str">
            <v>KP DAMS</v>
          </cell>
          <cell r="C458" t="str">
            <v>Mat Advance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 t="str">
            <v>Irrigation</v>
          </cell>
          <cell r="B459" t="str">
            <v>KP DAMS</v>
          </cell>
          <cell r="C459" t="str">
            <v xml:space="preserve"> - Retention money from client(incl TDS)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</row>
        <row r="460">
          <cell r="A460" t="str">
            <v>Irrigation</v>
          </cell>
          <cell r="B460" t="str">
            <v>KP DAMS</v>
          </cell>
          <cell r="C460" t="str">
            <v>Other Receipts</v>
          </cell>
        </row>
        <row r="461">
          <cell r="A461" t="str">
            <v>Irrigation</v>
          </cell>
          <cell r="B461" t="str">
            <v>KP DAMS</v>
          </cell>
          <cell r="C461" t="str">
            <v xml:space="preserve">Labour </v>
          </cell>
        </row>
        <row r="462">
          <cell r="A462" t="str">
            <v>Irrigation</v>
          </cell>
          <cell r="B462" t="str">
            <v>KP DAMS</v>
          </cell>
          <cell r="C462" t="str">
            <v>Payment Suppliers(including Adv)</v>
          </cell>
        </row>
        <row r="463">
          <cell r="A463" t="str">
            <v>Irrigation</v>
          </cell>
          <cell r="B463" t="str">
            <v>KP DAMS</v>
          </cell>
          <cell r="C463" t="str">
            <v>Diesel</v>
          </cell>
        </row>
        <row r="464">
          <cell r="A464" t="str">
            <v>Irrigation</v>
          </cell>
          <cell r="B464" t="str">
            <v>KP DAMS</v>
          </cell>
          <cell r="C464" t="str">
            <v>Out side Machinery Hire</v>
          </cell>
        </row>
        <row r="465">
          <cell r="A465" t="str">
            <v>Irrigation</v>
          </cell>
          <cell r="B465" t="str">
            <v>KP DAMS</v>
          </cell>
          <cell r="C465" t="str">
            <v>Own Machinery Hire</v>
          </cell>
        </row>
        <row r="466">
          <cell r="A466" t="str">
            <v>Irrigation</v>
          </cell>
          <cell r="B466" t="str">
            <v>KP DAMS</v>
          </cell>
          <cell r="C466" t="str">
            <v>Sub contractor-(including Advance)</v>
          </cell>
        </row>
        <row r="467">
          <cell r="A467" t="str">
            <v>Irrigation</v>
          </cell>
          <cell r="B467" t="str">
            <v>KP DAMS</v>
          </cell>
          <cell r="C467" t="str">
            <v>JV Share</v>
          </cell>
        </row>
        <row r="468">
          <cell r="A468" t="str">
            <v>Irrigation</v>
          </cell>
          <cell r="B468" t="str">
            <v>KP DAMS</v>
          </cell>
          <cell r="C468" t="str">
            <v>Plant Repairs &amp; Maintanance</v>
          </cell>
        </row>
        <row r="469">
          <cell r="A469" t="str">
            <v>Irrigation</v>
          </cell>
          <cell r="B469" t="str">
            <v>KP DAMS</v>
          </cell>
          <cell r="C469" t="str">
            <v>Other Direct Over Heads</v>
          </cell>
          <cell r="E469">
            <v>34179726.3026006</v>
          </cell>
          <cell r="F469">
            <v>41170054.575237699</v>
          </cell>
          <cell r="G469">
            <v>38362693.415553756</v>
          </cell>
          <cell r="H469">
            <v>38588012.859259091</v>
          </cell>
          <cell r="I469">
            <v>33969685.978526756</v>
          </cell>
          <cell r="J469">
            <v>30172230.889343832</v>
          </cell>
          <cell r="K469">
            <v>20741614.839387022</v>
          </cell>
          <cell r="L469">
            <v>9667500.7904029302</v>
          </cell>
          <cell r="M469">
            <v>5097673.2481410261</v>
          </cell>
        </row>
        <row r="470">
          <cell r="A470" t="str">
            <v>Irrigation</v>
          </cell>
          <cell r="B470" t="str">
            <v>KP DAMS</v>
          </cell>
          <cell r="C470" t="str">
            <v>VAT &amp; other Taxes</v>
          </cell>
        </row>
        <row r="471">
          <cell r="A471" t="str">
            <v>Irrigation</v>
          </cell>
          <cell r="B471" t="str">
            <v>KP DAMS</v>
          </cell>
          <cell r="C471" t="str">
            <v>Salaries</v>
          </cell>
        </row>
        <row r="472">
          <cell r="A472" t="str">
            <v>Irrigation</v>
          </cell>
          <cell r="B472" t="str">
            <v>KP DAMS</v>
          </cell>
          <cell r="C472" t="str">
            <v>Operating overhead</v>
          </cell>
          <cell r="E472">
            <v>2902738.5011732094</v>
          </cell>
          <cell r="F472">
            <v>3331158.7009106539</v>
          </cell>
          <cell r="G472">
            <v>3149324.5826888275</v>
          </cell>
          <cell r="H472">
            <v>2833452.7690545274</v>
          </cell>
          <cell r="I472">
            <v>2525680.0058217365</v>
          </cell>
          <cell r="J472">
            <v>2378422.5587418429</v>
          </cell>
          <cell r="K472">
            <v>1893569.6086730566</v>
          </cell>
          <cell r="L472">
            <v>1271598.24360325</v>
          </cell>
          <cell r="M472">
            <v>1156918.2064780132</v>
          </cell>
        </row>
        <row r="473">
          <cell r="A473" t="str">
            <v>Irrigation</v>
          </cell>
          <cell r="B473" t="str">
            <v>KP DAMS</v>
          </cell>
          <cell r="C473" t="str">
            <v>Financial Expenses</v>
          </cell>
        </row>
        <row r="474">
          <cell r="A474" t="str">
            <v>Irrigation</v>
          </cell>
          <cell r="B474" t="str">
            <v>TADIPUDI</v>
          </cell>
          <cell r="C474" t="str">
            <v>Realisation against RA Bill</v>
          </cell>
          <cell r="E474">
            <v>32099713.776670091</v>
          </cell>
          <cell r="F474">
            <v>53691671.281209558</v>
          </cell>
          <cell r="G474">
            <v>54465441.764898539</v>
          </cell>
          <cell r="H474">
            <v>49347422.876648046</v>
          </cell>
          <cell r="I474">
            <v>26854227.849103533</v>
          </cell>
          <cell r="J474">
            <v>2394583.9384466242</v>
          </cell>
          <cell r="K474">
            <v>13984393.115272582</v>
          </cell>
          <cell r="L474">
            <v>68483472.17833285</v>
          </cell>
          <cell r="M474">
            <v>67716984.690232724</v>
          </cell>
          <cell r="N474">
            <v>101478509.40958229</v>
          </cell>
          <cell r="O474">
            <v>0</v>
          </cell>
          <cell r="P474">
            <v>0</v>
          </cell>
        </row>
        <row r="475">
          <cell r="A475" t="str">
            <v>Irrigation</v>
          </cell>
          <cell r="B475" t="str">
            <v>TADIPUDI</v>
          </cell>
          <cell r="C475" t="str">
            <v>Realisation against Escalation / Claims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</row>
        <row r="476">
          <cell r="A476" t="str">
            <v>Irrigation</v>
          </cell>
          <cell r="B476" t="str">
            <v>TADIPUDI</v>
          </cell>
          <cell r="C476" t="str">
            <v>Realisitation of Mobilisation Advance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A477" t="str">
            <v>Irrigation</v>
          </cell>
          <cell r="B477" t="str">
            <v>TADIPUDI</v>
          </cell>
          <cell r="C477" t="str">
            <v>Plant Advance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 t="str">
            <v>Irrigation</v>
          </cell>
          <cell r="B478" t="str">
            <v>TADIPUDI</v>
          </cell>
          <cell r="C478" t="str">
            <v>Mat Advance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</row>
        <row r="479">
          <cell r="A479" t="str">
            <v>Irrigation</v>
          </cell>
          <cell r="B479" t="str">
            <v>TADIPUDI</v>
          </cell>
          <cell r="C479" t="str">
            <v xml:space="preserve"> - Retention money from client(incl TDS)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</row>
        <row r="480">
          <cell r="A480" t="str">
            <v>Irrigation</v>
          </cell>
          <cell r="B480" t="str">
            <v>TADIPUDI</v>
          </cell>
          <cell r="C480" t="str">
            <v>Other Receipts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74984000</v>
          </cell>
          <cell r="O480">
            <v>0</v>
          </cell>
          <cell r="P480">
            <v>0</v>
          </cell>
        </row>
        <row r="481">
          <cell r="A481" t="str">
            <v>Irrigation</v>
          </cell>
          <cell r="B481" t="str">
            <v>TADIPUDI</v>
          </cell>
          <cell r="C481" t="str">
            <v xml:space="preserve">Labour </v>
          </cell>
          <cell r="E481">
            <v>707690.72475181567</v>
          </cell>
          <cell r="F481">
            <v>833318.49143680814</v>
          </cell>
          <cell r="G481">
            <v>819506.77035480156</v>
          </cell>
          <cell r="H481">
            <v>593702.08533226117</v>
          </cell>
          <cell r="I481">
            <v>232148.07963753742</v>
          </cell>
          <cell r="J481">
            <v>142086.16446271958</v>
          </cell>
          <cell r="K481">
            <v>547350.039852613</v>
          </cell>
          <cell r="L481">
            <v>868611.31826464471</v>
          </cell>
          <cell r="M481">
            <v>927328.3071046737</v>
          </cell>
          <cell r="N481">
            <v>499982.09353600477</v>
          </cell>
          <cell r="O481">
            <v>0</v>
          </cell>
          <cell r="P481">
            <v>0</v>
          </cell>
        </row>
        <row r="482">
          <cell r="A482" t="str">
            <v>Irrigation</v>
          </cell>
          <cell r="B482" t="str">
            <v>TADIPUDI</v>
          </cell>
          <cell r="C482" t="str">
            <v>Payment Suppliers(including Adv)</v>
          </cell>
          <cell r="E482">
            <v>17200707.102950491</v>
          </cell>
          <cell r="F482">
            <v>18101549.98561383</v>
          </cell>
          <cell r="G482">
            <v>14646370.869513776</v>
          </cell>
          <cell r="H482">
            <v>6693479.0171542037</v>
          </cell>
          <cell r="I482">
            <v>4039711.5596342734</v>
          </cell>
          <cell r="J482">
            <v>14094581.026378296</v>
          </cell>
          <cell r="K482">
            <v>22389482.449905213</v>
          </cell>
          <cell r="L482">
            <v>25188914.896777399</v>
          </cell>
          <cell r="M482">
            <v>13885147.396734672</v>
          </cell>
          <cell r="N482">
            <v>0</v>
          </cell>
          <cell r="O482">
            <v>0</v>
          </cell>
          <cell r="P482">
            <v>0</v>
          </cell>
        </row>
        <row r="483">
          <cell r="A483" t="str">
            <v>Irrigation</v>
          </cell>
          <cell r="B483" t="str">
            <v>TADIPUDI</v>
          </cell>
          <cell r="C483" t="str">
            <v>Diesel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</row>
        <row r="484">
          <cell r="A484" t="str">
            <v>Irrigation</v>
          </cell>
          <cell r="B484" t="str">
            <v>TADIPUDI</v>
          </cell>
          <cell r="C484" t="str">
            <v>Out side Machinery Hire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A485" t="str">
            <v>Irrigation</v>
          </cell>
          <cell r="B485" t="str">
            <v>TADIPUDI</v>
          </cell>
          <cell r="C485" t="str">
            <v>Own Machinery Hire</v>
          </cell>
          <cell r="E485">
            <v>3920557.5928743333</v>
          </cell>
          <cell r="F485">
            <v>5335040.376529675</v>
          </cell>
          <cell r="G485">
            <v>5326718.0836621635</v>
          </cell>
          <cell r="H485">
            <v>4843486.7983890735</v>
          </cell>
          <cell r="I485">
            <v>2270173.0252445657</v>
          </cell>
          <cell r="J485">
            <v>362755.24386509694</v>
          </cell>
          <cell r="K485">
            <v>1068932.0132925913</v>
          </cell>
          <cell r="L485">
            <v>5205305.5311270701</v>
          </cell>
          <cell r="M485">
            <v>4906907.561482395</v>
          </cell>
          <cell r="N485">
            <v>5448772.2645818377</v>
          </cell>
          <cell r="O485">
            <v>0</v>
          </cell>
          <cell r="P485">
            <v>0</v>
          </cell>
        </row>
        <row r="486">
          <cell r="A486" t="str">
            <v>Irrigation</v>
          </cell>
          <cell r="B486" t="str">
            <v>TADIPUDI</v>
          </cell>
          <cell r="C486" t="str">
            <v>Sub contractor-(including Advance)</v>
          </cell>
          <cell r="E486">
            <v>7875493.3164351732</v>
          </cell>
          <cell r="F486">
            <v>14650839.92591143</v>
          </cell>
          <cell r="G486">
            <v>17500702.095299654</v>
          </cell>
          <cell r="H486">
            <v>13118765.226556631</v>
          </cell>
          <cell r="I486">
            <v>12872158.638652259</v>
          </cell>
          <cell r="J486">
            <v>1533238.1943320185</v>
          </cell>
          <cell r="K486">
            <v>5470649.9507529475</v>
          </cell>
          <cell r="L486">
            <v>12382097.058063913</v>
          </cell>
          <cell r="M486">
            <v>12770242.982255794</v>
          </cell>
          <cell r="N486">
            <v>13829260.839190215</v>
          </cell>
          <cell r="O486">
            <v>500000</v>
          </cell>
          <cell r="P486">
            <v>0</v>
          </cell>
        </row>
        <row r="487">
          <cell r="A487" t="str">
            <v>Irrigation</v>
          </cell>
          <cell r="B487" t="str">
            <v>TADIPUDI</v>
          </cell>
          <cell r="C487" t="str">
            <v>JV Share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A488" t="str">
            <v>Irrigation</v>
          </cell>
          <cell r="B488" t="str">
            <v>TADIPUDI</v>
          </cell>
          <cell r="C488" t="str">
            <v>Plant Repairs &amp; Maintanance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A489" t="str">
            <v>Irrigation</v>
          </cell>
          <cell r="B489" t="str">
            <v>TADIPUDI</v>
          </cell>
          <cell r="C489" t="str">
            <v>Other Direct Over Heads</v>
          </cell>
          <cell r="E489">
            <v>4092979.3078507967</v>
          </cell>
          <cell r="F489">
            <v>4606032.1585258869</v>
          </cell>
          <cell r="G489">
            <v>4290770.5937283263</v>
          </cell>
          <cell r="H489">
            <v>2858663.3170302766</v>
          </cell>
          <cell r="I489">
            <v>962709.23105361266</v>
          </cell>
          <cell r="J489">
            <v>615798.43026319682</v>
          </cell>
          <cell r="K489">
            <v>2554727.989087672</v>
          </cell>
          <cell r="L489">
            <v>4018761.2051711287</v>
          </cell>
          <cell r="M489">
            <v>4039865.6315875808</v>
          </cell>
          <cell r="N489">
            <v>2104629.7533227727</v>
          </cell>
          <cell r="O489">
            <v>0</v>
          </cell>
          <cell r="P489">
            <v>0</v>
          </cell>
        </row>
        <row r="490">
          <cell r="A490" t="str">
            <v>Irrigation</v>
          </cell>
          <cell r="B490" t="str">
            <v>TADIPUDI</v>
          </cell>
          <cell r="C490" t="str">
            <v>VAT &amp; other Taxes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 t="str">
            <v>Irrigation</v>
          </cell>
          <cell r="B491" t="str">
            <v>TADIPUDI</v>
          </cell>
          <cell r="C491" t="str">
            <v>Salaries</v>
          </cell>
          <cell r="E491">
            <v>2000000</v>
          </cell>
          <cell r="F491">
            <v>2000000</v>
          </cell>
          <cell r="G491">
            <v>1900000</v>
          </cell>
          <cell r="H491">
            <v>1900000</v>
          </cell>
          <cell r="I491">
            <v>1900000</v>
          </cell>
          <cell r="J491">
            <v>1900000</v>
          </cell>
          <cell r="K491">
            <v>1900000</v>
          </cell>
          <cell r="L491">
            <v>1900000</v>
          </cell>
          <cell r="M491">
            <v>1900000</v>
          </cell>
          <cell r="N491">
            <v>1900000</v>
          </cell>
          <cell r="O491">
            <v>0</v>
          </cell>
          <cell r="P491">
            <v>0</v>
          </cell>
        </row>
        <row r="492">
          <cell r="A492" t="str">
            <v>Irrigation</v>
          </cell>
          <cell r="B492" t="str">
            <v>TADIPUDI</v>
          </cell>
          <cell r="C492" t="str">
            <v>Operating overhead</v>
          </cell>
          <cell r="E492">
            <v>6816816.5085420813</v>
          </cell>
          <cell r="F492">
            <v>7520357.3149292096</v>
          </cell>
          <cell r="G492">
            <v>6606713.989133385</v>
          </cell>
          <cell r="H492">
            <v>3682868.5557086263</v>
          </cell>
          <cell r="I492">
            <v>884006.82416952029</v>
          </cell>
          <cell r="J492">
            <v>3710202.4752323618</v>
          </cell>
          <cell r="K492">
            <v>8596408.8301116675</v>
          </cell>
          <cell r="L492">
            <v>8358701.4004375823</v>
          </cell>
          <cell r="M492">
            <v>43584816.314554654</v>
          </cell>
          <cell r="N492">
            <v>0</v>
          </cell>
          <cell r="O492">
            <v>0</v>
          </cell>
          <cell r="P492">
            <v>0</v>
          </cell>
        </row>
        <row r="493">
          <cell r="A493" t="str">
            <v>Irrigation</v>
          </cell>
          <cell r="B493" t="str">
            <v>TADIPUDI</v>
          </cell>
          <cell r="C493" t="str">
            <v>Financial Expenses</v>
          </cell>
        </row>
        <row r="494">
          <cell r="A494" t="str">
            <v>Irrigation</v>
          </cell>
          <cell r="B494" t="str">
            <v>LINGALA</v>
          </cell>
          <cell r="C494" t="str">
            <v>Realisation against RA Bill</v>
          </cell>
          <cell r="E494">
            <v>30210524.781721957</v>
          </cell>
          <cell r="F494">
            <v>32684384.302993558</v>
          </cell>
          <cell r="G494">
            <v>35148173.530109569</v>
          </cell>
          <cell r="H494">
            <v>51614191.401095465</v>
          </cell>
          <cell r="I494">
            <v>51614191.401095472</v>
          </cell>
          <cell r="J494">
            <v>57384626.616460219</v>
          </cell>
          <cell r="K494">
            <v>63189736.734331362</v>
          </cell>
          <cell r="L494">
            <v>54638234.971117467</v>
          </cell>
          <cell r="M494">
            <v>62371799.51417058</v>
          </cell>
          <cell r="N494">
            <v>40506553.068489738</v>
          </cell>
          <cell r="O494">
            <v>46942157.352748662</v>
          </cell>
          <cell r="P494">
            <v>50704778.524171196</v>
          </cell>
        </row>
        <row r="495">
          <cell r="A495" t="str">
            <v>Irrigation</v>
          </cell>
          <cell r="B495" t="str">
            <v>LINGALA</v>
          </cell>
          <cell r="C495" t="str">
            <v>Realisation against Escalation / Claims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</row>
        <row r="496">
          <cell r="A496" t="str">
            <v>Irrigation</v>
          </cell>
          <cell r="B496" t="str">
            <v>LINGALA</v>
          </cell>
          <cell r="C496" t="str">
            <v>Realisitation of Mobilisation Advance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</row>
        <row r="497">
          <cell r="A497" t="str">
            <v>Irrigation</v>
          </cell>
          <cell r="B497" t="str">
            <v>LINGALA</v>
          </cell>
          <cell r="C497" t="str">
            <v>Plant Advance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 t="str">
            <v>Irrigation</v>
          </cell>
          <cell r="B498" t="str">
            <v>LINGALA</v>
          </cell>
          <cell r="C498" t="str">
            <v>Mat Advance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</row>
        <row r="499">
          <cell r="A499" t="str">
            <v>Irrigation</v>
          </cell>
          <cell r="B499" t="str">
            <v>LINGALA</v>
          </cell>
          <cell r="C499" t="str">
            <v xml:space="preserve"> - Retention money from client(incl TDS)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</row>
        <row r="500">
          <cell r="A500" t="str">
            <v>Irrigation</v>
          </cell>
          <cell r="B500" t="str">
            <v>LINGALA</v>
          </cell>
          <cell r="C500" t="str">
            <v>Other Receipts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</row>
        <row r="501">
          <cell r="A501" t="str">
            <v>Irrigation</v>
          </cell>
          <cell r="B501" t="str">
            <v>LINGALA</v>
          </cell>
          <cell r="C501" t="str">
            <v xml:space="preserve">Labour </v>
          </cell>
          <cell r="E501">
            <v>854757.32000000007</v>
          </cell>
          <cell r="F501">
            <v>854757.32000000007</v>
          </cell>
          <cell r="G501">
            <v>846436.44000000006</v>
          </cell>
          <cell r="H501">
            <v>1132346.4400000002</v>
          </cell>
          <cell r="I501">
            <v>1132346.4400000002</v>
          </cell>
          <cell r="J501">
            <v>1059834.1400000001</v>
          </cell>
          <cell r="K501">
            <v>1132720.6400000001</v>
          </cell>
          <cell r="L501">
            <v>1188280.0000000002</v>
          </cell>
          <cell r="M501">
            <v>1266280.0000000002</v>
          </cell>
          <cell r="N501">
            <v>1266678.3400000001</v>
          </cell>
          <cell r="O501">
            <v>1463367.2000000002</v>
          </cell>
          <cell r="P501">
            <v>403000</v>
          </cell>
        </row>
        <row r="502">
          <cell r="A502" t="str">
            <v>Irrigation</v>
          </cell>
          <cell r="B502" t="str">
            <v>LINGALA</v>
          </cell>
          <cell r="C502" t="str">
            <v>Payment Suppliers(including Adv)</v>
          </cell>
          <cell r="E502">
            <v>10143806</v>
          </cell>
          <cell r="F502">
            <v>10336306</v>
          </cell>
          <cell r="G502">
            <v>10274745</v>
          </cell>
          <cell r="H502">
            <v>14625041</v>
          </cell>
          <cell r="I502">
            <v>14625041</v>
          </cell>
          <cell r="J502">
            <v>14383319</v>
          </cell>
          <cell r="K502">
            <v>19830544</v>
          </cell>
          <cell r="L502">
            <v>18397127</v>
          </cell>
          <cell r="M502">
            <v>19515055</v>
          </cell>
          <cell r="N502">
            <v>18685354</v>
          </cell>
          <cell r="O502">
            <v>22117819</v>
          </cell>
          <cell r="P502">
            <v>21353686</v>
          </cell>
        </row>
        <row r="503">
          <cell r="A503" t="str">
            <v>Irrigation</v>
          </cell>
          <cell r="B503" t="str">
            <v>LINGALA</v>
          </cell>
          <cell r="C503" t="str">
            <v>Diesel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 t="str">
            <v>Irrigation</v>
          </cell>
          <cell r="B504" t="str">
            <v>LINGALA</v>
          </cell>
          <cell r="C504" t="str">
            <v>Out side Machinery Hire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</row>
        <row r="505">
          <cell r="A505" t="str">
            <v>Irrigation</v>
          </cell>
          <cell r="B505" t="str">
            <v>LINGALA</v>
          </cell>
          <cell r="C505" t="str">
            <v>Own Machinery Hire</v>
          </cell>
          <cell r="E505">
            <v>2560488.9859844358</v>
          </cell>
          <cell r="F505">
            <v>3674988.9859844358</v>
          </cell>
          <cell r="G505">
            <v>3612270.8134863814</v>
          </cell>
          <cell r="H505">
            <v>5226264.7629027246</v>
          </cell>
          <cell r="I505">
            <v>5226264.7629027246</v>
          </cell>
          <cell r="J505">
            <v>5664264.7629027236</v>
          </cell>
          <cell r="K505">
            <v>5622875.4213852137</v>
          </cell>
          <cell r="L505">
            <v>6309747.1673151748</v>
          </cell>
          <cell r="M505">
            <v>7816833.1673151758</v>
          </cell>
          <cell r="N505">
            <v>2970253.3564241244</v>
          </cell>
          <cell r="O505">
            <v>3452714.8757976652</v>
          </cell>
          <cell r="P505">
            <v>4048749.9999999995</v>
          </cell>
        </row>
        <row r="506">
          <cell r="A506" t="str">
            <v>Irrigation</v>
          </cell>
          <cell r="B506" t="str">
            <v>LINGALA</v>
          </cell>
          <cell r="C506" t="str">
            <v>Sub contractor-(including Advance)</v>
          </cell>
          <cell r="E506">
            <v>16338229.782691866</v>
          </cell>
          <cell r="F506">
            <v>16338229.782691866</v>
          </cell>
          <cell r="G506">
            <v>16338229.782691866</v>
          </cell>
          <cell r="H506">
            <v>27652308.845599554</v>
          </cell>
          <cell r="I506">
            <v>27652308.845599554</v>
          </cell>
          <cell r="J506">
            <v>27557822.183371514</v>
          </cell>
          <cell r="K506">
            <v>32216308.320807572</v>
          </cell>
          <cell r="L506">
            <v>29066912.567815103</v>
          </cell>
          <cell r="M506">
            <v>33766695.035582289</v>
          </cell>
          <cell r="N506">
            <v>20311695.0355823</v>
          </cell>
          <cell r="O506">
            <v>24460122.215947829</v>
          </cell>
          <cell r="P506">
            <v>26704664.442031834</v>
          </cell>
        </row>
        <row r="507">
          <cell r="A507" t="str">
            <v>Irrigation</v>
          </cell>
          <cell r="B507" t="str">
            <v>LINGALA</v>
          </cell>
          <cell r="C507" t="str">
            <v>JV Share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 t="str">
            <v>Irrigation</v>
          </cell>
          <cell r="B508" t="str">
            <v>LINGALA</v>
          </cell>
          <cell r="C508" t="str">
            <v>Plant Repairs &amp; Maintanance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</row>
        <row r="509">
          <cell r="A509" t="str">
            <v>Irrigation</v>
          </cell>
          <cell r="B509" t="str">
            <v>LINGALA</v>
          </cell>
          <cell r="C509" t="str">
            <v>Other Direct Over Heads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 t="str">
            <v>Irrigation</v>
          </cell>
          <cell r="B510" t="str">
            <v>LINGALA</v>
          </cell>
          <cell r="C510" t="str">
            <v>VAT &amp; other Taxes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</row>
        <row r="511">
          <cell r="A511" t="str">
            <v>Irrigation</v>
          </cell>
          <cell r="B511" t="str">
            <v>LINGALA</v>
          </cell>
          <cell r="C511" t="str">
            <v>Salaries</v>
          </cell>
          <cell r="E511">
            <v>2832000</v>
          </cell>
          <cell r="F511">
            <v>2432000</v>
          </cell>
          <cell r="G511">
            <v>2428000</v>
          </cell>
          <cell r="H511">
            <v>2215000</v>
          </cell>
          <cell r="I511">
            <v>2018000</v>
          </cell>
          <cell r="J511">
            <v>2018000</v>
          </cell>
          <cell r="K511">
            <v>1817000.0000000002</v>
          </cell>
          <cell r="L511">
            <v>1817000.0000000002</v>
          </cell>
          <cell r="M511">
            <v>1542000</v>
          </cell>
          <cell r="N511">
            <v>1358000</v>
          </cell>
          <cell r="O511">
            <v>807000</v>
          </cell>
          <cell r="P511">
            <v>504000</v>
          </cell>
        </row>
        <row r="512">
          <cell r="A512" t="str">
            <v>Irrigation</v>
          </cell>
          <cell r="B512" t="str">
            <v>LINGALA</v>
          </cell>
          <cell r="C512" t="str">
            <v>Operating overhead</v>
          </cell>
          <cell r="E512">
            <v>11012939.951176101</v>
          </cell>
          <cell r="F512">
            <v>14549262.318880646</v>
          </cell>
          <cell r="G512">
            <v>11646413.497562099</v>
          </cell>
          <cell r="H512">
            <v>15516591.895313144</v>
          </cell>
          <cell r="I512">
            <v>15029341.895313144</v>
          </cell>
          <cell r="J512">
            <v>16238966.982869752</v>
          </cell>
          <cell r="K512">
            <v>17859568.095111974</v>
          </cell>
          <cell r="L512">
            <v>15597835.779814426</v>
          </cell>
          <cell r="M512">
            <v>17282718.101104807</v>
          </cell>
          <cell r="N512">
            <v>12928498.00618948</v>
          </cell>
          <cell r="O512">
            <v>13903035.764574526</v>
          </cell>
          <cell r="P512">
            <v>14757269.444466474</v>
          </cell>
        </row>
        <row r="513">
          <cell r="A513" t="str">
            <v>Irrigation</v>
          </cell>
          <cell r="B513" t="str">
            <v>LINGALA</v>
          </cell>
          <cell r="C513" t="str">
            <v>Financial Expenses</v>
          </cell>
        </row>
        <row r="514">
          <cell r="A514" t="str">
            <v>Irrigation</v>
          </cell>
          <cell r="B514" t="str">
            <v>GNSS</v>
          </cell>
          <cell r="C514" t="str">
            <v>Realisation against RA Bill</v>
          </cell>
          <cell r="E514">
            <v>29717577.829147387</v>
          </cell>
          <cell r="F514">
            <v>43977971.71911107</v>
          </cell>
          <cell r="G514">
            <v>44032176.404825352</v>
          </cell>
          <cell r="H514">
            <v>28607281.484825369</v>
          </cell>
          <cell r="I514">
            <v>29417050.040174503</v>
          </cell>
          <cell r="J514">
            <v>31469170.040174499</v>
          </cell>
          <cell r="K514">
            <v>22888675.983031634</v>
          </cell>
          <cell r="L514">
            <v>12032640.120883919</v>
          </cell>
          <cell r="M514">
            <v>14177635.983031636</v>
          </cell>
          <cell r="N514">
            <v>10464899.007594669</v>
          </cell>
          <cell r="O514">
            <v>0</v>
          </cell>
          <cell r="P514">
            <v>0</v>
          </cell>
        </row>
        <row r="515">
          <cell r="A515" t="str">
            <v>Irrigation</v>
          </cell>
          <cell r="B515" t="str">
            <v>GNSS</v>
          </cell>
          <cell r="C515" t="str">
            <v>Realisation against Escalation / Claims</v>
          </cell>
          <cell r="E515">
            <v>0</v>
          </cell>
          <cell r="F515">
            <v>5000000</v>
          </cell>
          <cell r="G515">
            <v>0</v>
          </cell>
          <cell r="H515">
            <v>5000000</v>
          </cell>
          <cell r="I515">
            <v>0</v>
          </cell>
          <cell r="J515">
            <v>5000000</v>
          </cell>
          <cell r="K515">
            <v>0</v>
          </cell>
          <cell r="L515">
            <v>10000000</v>
          </cell>
          <cell r="M515">
            <v>0</v>
          </cell>
          <cell r="N515">
            <v>75103000</v>
          </cell>
          <cell r="O515">
            <v>0</v>
          </cell>
          <cell r="P515">
            <v>0</v>
          </cell>
        </row>
        <row r="516">
          <cell r="A516" t="str">
            <v>Irrigation</v>
          </cell>
          <cell r="B516" t="str">
            <v>GNSS</v>
          </cell>
          <cell r="C516" t="str">
            <v>Realisitation of Mobilisation Advance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</row>
        <row r="517">
          <cell r="A517" t="str">
            <v>Irrigation</v>
          </cell>
          <cell r="B517" t="str">
            <v>GNSS</v>
          </cell>
          <cell r="C517" t="str">
            <v>Plant Advance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 t="str">
            <v>Irrigation</v>
          </cell>
          <cell r="B518" t="str">
            <v>GNSS</v>
          </cell>
          <cell r="C518" t="str">
            <v>Mat Advance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</row>
        <row r="519">
          <cell r="A519" t="str">
            <v>Irrigation</v>
          </cell>
          <cell r="B519" t="str">
            <v>GNSS</v>
          </cell>
          <cell r="C519" t="str">
            <v xml:space="preserve"> - Retention money from client(incl TDS)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 t="str">
            <v>Irrigation</v>
          </cell>
          <cell r="B520" t="str">
            <v>GNSS</v>
          </cell>
          <cell r="C520" t="str">
            <v>Other Receipts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</row>
        <row r="521">
          <cell r="A521" t="str">
            <v>Irrigation</v>
          </cell>
          <cell r="B521" t="str">
            <v>GNSS</v>
          </cell>
          <cell r="C521" t="str">
            <v xml:space="preserve">Labour </v>
          </cell>
          <cell r="E521">
            <v>90277.777777777781</v>
          </cell>
          <cell r="F521">
            <v>96298.888888888876</v>
          </cell>
          <cell r="G521">
            <v>90138.888888888876</v>
          </cell>
          <cell r="H521">
            <v>70000</v>
          </cell>
          <cell r="I521">
            <v>80000</v>
          </cell>
          <cell r="J521">
            <v>80000</v>
          </cell>
          <cell r="K521">
            <v>80000</v>
          </cell>
          <cell r="L521">
            <v>80000</v>
          </cell>
          <cell r="M521">
            <v>80000</v>
          </cell>
          <cell r="N521">
            <v>73460</v>
          </cell>
          <cell r="O521">
            <v>0</v>
          </cell>
          <cell r="P521">
            <v>0</v>
          </cell>
        </row>
        <row r="522">
          <cell r="A522" t="str">
            <v>Irrigation</v>
          </cell>
          <cell r="B522" t="str">
            <v>GNSS</v>
          </cell>
          <cell r="C522" t="str">
            <v>Payment Suppliers(including Adv)</v>
          </cell>
          <cell r="E522">
            <v>14933055.122112</v>
          </cell>
          <cell r="F522">
            <v>12519412.048</v>
          </cell>
          <cell r="G522">
            <v>11325951.48</v>
          </cell>
          <cell r="H522">
            <v>12081014.912</v>
          </cell>
          <cell r="I522">
            <v>12081014.912</v>
          </cell>
          <cell r="J522">
            <v>12081014.912</v>
          </cell>
          <cell r="K522">
            <v>12081014.912</v>
          </cell>
          <cell r="L522">
            <v>11587203.427472001</v>
          </cell>
          <cell r="M522">
            <v>5546695.9714720007</v>
          </cell>
          <cell r="N522">
            <v>0</v>
          </cell>
          <cell r="O522">
            <v>0</v>
          </cell>
          <cell r="P522">
            <v>0</v>
          </cell>
        </row>
        <row r="523">
          <cell r="A523" t="str">
            <v>Irrigation</v>
          </cell>
          <cell r="B523" t="str">
            <v>GNSS</v>
          </cell>
          <cell r="C523" t="str">
            <v>Diesel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</row>
        <row r="524">
          <cell r="A524" t="str">
            <v>Irrigation</v>
          </cell>
          <cell r="B524" t="str">
            <v>GNSS</v>
          </cell>
          <cell r="C524" t="str">
            <v>Out side Machinery Hire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</row>
        <row r="525">
          <cell r="A525" t="str">
            <v>Irrigation</v>
          </cell>
          <cell r="B525" t="str">
            <v>GNSS</v>
          </cell>
          <cell r="C525" t="str">
            <v>Own Machinery Hire</v>
          </cell>
          <cell r="E525">
            <v>1627122.3611111115</v>
          </cell>
          <cell r="F525">
            <v>1274001.1805555555</v>
          </cell>
          <cell r="G525">
            <v>1218561.1805555555</v>
          </cell>
          <cell r="H525">
            <v>630000</v>
          </cell>
          <cell r="I525">
            <v>720000</v>
          </cell>
          <cell r="J525">
            <v>720000</v>
          </cell>
          <cell r="K525">
            <v>720000</v>
          </cell>
          <cell r="L525">
            <v>720000</v>
          </cell>
          <cell r="M525">
            <v>720000</v>
          </cell>
          <cell r="N525">
            <v>661140</v>
          </cell>
          <cell r="O525">
            <v>0</v>
          </cell>
          <cell r="P525">
            <v>0</v>
          </cell>
        </row>
        <row r="526">
          <cell r="A526" t="str">
            <v>Irrigation</v>
          </cell>
          <cell r="B526" t="str">
            <v>GNSS</v>
          </cell>
          <cell r="C526" t="str">
            <v>Sub contractor-(including Advance)</v>
          </cell>
          <cell r="E526">
            <v>8143294.1487744562</v>
          </cell>
          <cell r="F526">
            <v>16810551.454483442</v>
          </cell>
          <cell r="G526">
            <v>19079534.930565573</v>
          </cell>
          <cell r="H526">
            <v>18924534.930565577</v>
          </cell>
          <cell r="I526">
            <v>19484534.930565573</v>
          </cell>
          <cell r="J526">
            <v>21571357.077039413</v>
          </cell>
          <cell r="K526">
            <v>11642704.502319189</v>
          </cell>
          <cell r="L526">
            <v>9716664.1633491572</v>
          </cell>
          <cell r="M526">
            <v>11642704.502319191</v>
          </cell>
          <cell r="N526">
            <v>5396516.7969753481</v>
          </cell>
          <cell r="O526">
            <v>0</v>
          </cell>
          <cell r="P526">
            <v>0</v>
          </cell>
        </row>
        <row r="527">
          <cell r="A527" t="str">
            <v>Irrigation</v>
          </cell>
          <cell r="B527" t="str">
            <v>GNSS</v>
          </cell>
          <cell r="C527" t="str">
            <v>JV Share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</row>
        <row r="528">
          <cell r="A528" t="str">
            <v>Irrigation</v>
          </cell>
          <cell r="B528" t="str">
            <v>GNSS</v>
          </cell>
          <cell r="C528" t="str">
            <v>Plant Repairs &amp; Maintanance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</row>
        <row r="529">
          <cell r="A529" t="str">
            <v>Irrigation</v>
          </cell>
          <cell r="B529" t="str">
            <v>GNSS</v>
          </cell>
          <cell r="C529" t="str">
            <v>Other Direct Over Heads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 t="str">
            <v>Irrigation</v>
          </cell>
          <cell r="B530" t="str">
            <v>GNSS</v>
          </cell>
          <cell r="C530" t="str">
            <v>VAT &amp; other Taxes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</row>
        <row r="531">
          <cell r="A531" t="str">
            <v>Irrigation</v>
          </cell>
          <cell r="B531" t="str">
            <v>GNSS</v>
          </cell>
          <cell r="C531" t="str">
            <v>Salaries</v>
          </cell>
          <cell r="E531">
            <v>2500000</v>
          </cell>
          <cell r="F531">
            <v>2000000</v>
          </cell>
          <cell r="G531">
            <v>2000000</v>
          </cell>
          <cell r="H531">
            <v>1800000</v>
          </cell>
          <cell r="I531">
            <v>1800000</v>
          </cell>
          <cell r="J531">
            <v>1600000</v>
          </cell>
          <cell r="K531">
            <v>1600000</v>
          </cell>
          <cell r="L531">
            <v>1500000</v>
          </cell>
          <cell r="M531">
            <v>1500000</v>
          </cell>
          <cell r="N531">
            <v>1000000</v>
          </cell>
          <cell r="O531">
            <v>600000</v>
          </cell>
          <cell r="P531">
            <v>0</v>
          </cell>
        </row>
        <row r="532">
          <cell r="A532" t="str">
            <v>Irrigation</v>
          </cell>
          <cell r="B532" t="str">
            <v>GNSS</v>
          </cell>
          <cell r="C532" t="str">
            <v>Operating overhead</v>
          </cell>
          <cell r="E532">
            <v>10045650.927992892</v>
          </cell>
          <cell r="F532">
            <v>14749639.457709847</v>
          </cell>
          <cell r="G532">
            <v>12474810.817483049</v>
          </cell>
          <cell r="H532">
            <v>6636068.3174830554</v>
          </cell>
          <cell r="I532">
            <v>6563225.2937275255</v>
          </cell>
          <cell r="J532">
            <v>6925725.2937275255</v>
          </cell>
          <cell r="K532">
            <v>5354103.8651560955</v>
          </cell>
          <cell r="L532">
            <v>3254971.3683531373</v>
          </cell>
          <cell r="M532">
            <v>3527103.8651560955</v>
          </cell>
          <cell r="N532">
            <v>2837925.1474918816</v>
          </cell>
          <cell r="O532">
            <v>1280000</v>
          </cell>
          <cell r="P532">
            <v>0</v>
          </cell>
        </row>
        <row r="533">
          <cell r="A533" t="str">
            <v>Irrigation</v>
          </cell>
          <cell r="B533" t="str">
            <v>GNSS</v>
          </cell>
          <cell r="C533" t="str">
            <v>Financial Expenses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</row>
        <row r="534">
          <cell r="A534" t="str">
            <v>Irrigation</v>
          </cell>
          <cell r="B534" t="str">
            <v>BHUPATHIPALEM</v>
          </cell>
          <cell r="C534" t="str">
            <v>Realisation against RA Bill</v>
          </cell>
          <cell r="E534">
            <v>35160750.436978213</v>
          </cell>
          <cell r="F534">
            <v>43535451.346229494</v>
          </cell>
          <cell r="G534">
            <v>37133500.3391167</v>
          </cell>
          <cell r="H534">
            <v>35500895.735889845</v>
          </cell>
          <cell r="I534">
            <v>11946097.754060723</v>
          </cell>
          <cell r="J534">
            <v>17697226.316710006</v>
          </cell>
          <cell r="K534">
            <v>22141112.9933074</v>
          </cell>
          <cell r="L534">
            <v>19494194.916231927</v>
          </cell>
          <cell r="M534">
            <v>18877223.528101124</v>
          </cell>
          <cell r="N534">
            <v>14191265.898658158</v>
          </cell>
          <cell r="O534">
            <v>0</v>
          </cell>
          <cell r="P534">
            <v>0</v>
          </cell>
        </row>
        <row r="535">
          <cell r="A535" t="str">
            <v>Irrigation</v>
          </cell>
          <cell r="B535" t="str">
            <v>BHUPATHIPALEM</v>
          </cell>
          <cell r="C535" t="str">
            <v>Realisation against Escalation / Claims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</row>
        <row r="536">
          <cell r="A536" t="str">
            <v>Irrigation</v>
          </cell>
          <cell r="B536" t="str">
            <v>BHUPATHIPALEM</v>
          </cell>
          <cell r="C536" t="str">
            <v>Realisitation of Mobilisation Advance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7">
          <cell r="A537" t="str">
            <v>Irrigation</v>
          </cell>
          <cell r="B537" t="str">
            <v>BHUPATHIPALEM</v>
          </cell>
          <cell r="C537" t="str">
            <v>Plant Advance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</row>
        <row r="538">
          <cell r="A538" t="str">
            <v>Irrigation</v>
          </cell>
          <cell r="B538" t="str">
            <v>BHUPATHIPALEM</v>
          </cell>
          <cell r="C538" t="str">
            <v>Mat Advance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Irrigation</v>
          </cell>
          <cell r="B539" t="str">
            <v>BHUPATHIPALEM</v>
          </cell>
          <cell r="C539" t="str">
            <v xml:space="preserve"> - Retention money from client(incl TDS)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</row>
        <row r="540">
          <cell r="A540" t="str">
            <v>Irrigation</v>
          </cell>
          <cell r="B540" t="str">
            <v>BHUPATHIPALEM</v>
          </cell>
          <cell r="C540" t="str">
            <v>Other Receipts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</row>
        <row r="541">
          <cell r="A541" t="str">
            <v>Irrigation</v>
          </cell>
          <cell r="B541" t="str">
            <v>BHUPATHIPALEM</v>
          </cell>
          <cell r="C541" t="str">
            <v xml:space="preserve">Labour </v>
          </cell>
          <cell r="E541">
            <v>993574.16645228723</v>
          </cell>
          <cell r="F541">
            <v>640964.32652997167</v>
          </cell>
          <cell r="G541">
            <v>608550.41601828882</v>
          </cell>
          <cell r="H541">
            <v>373060.66042101657</v>
          </cell>
          <cell r="I541">
            <v>447516.13033528795</v>
          </cell>
          <cell r="J541">
            <v>611470.10438591056</v>
          </cell>
          <cell r="K541">
            <v>200601.46977515091</v>
          </cell>
          <cell r="L541">
            <v>199066.55583776927</v>
          </cell>
          <cell r="M541">
            <v>129610.02051503403</v>
          </cell>
          <cell r="N541">
            <v>0</v>
          </cell>
          <cell r="O541">
            <v>0</v>
          </cell>
          <cell r="P541">
            <v>0</v>
          </cell>
        </row>
        <row r="542">
          <cell r="A542" t="str">
            <v>Irrigation</v>
          </cell>
          <cell r="B542" t="str">
            <v>BHUPATHIPALEM</v>
          </cell>
          <cell r="C542" t="str">
            <v>Payment Suppliers(including Adv)</v>
          </cell>
          <cell r="E542">
            <v>25581329</v>
          </cell>
          <cell r="F542">
            <v>18378145</v>
          </cell>
          <cell r="G542">
            <v>16681395</v>
          </cell>
          <cell r="H542">
            <v>8393792</v>
          </cell>
          <cell r="I542">
            <v>12964558</v>
          </cell>
          <cell r="J542">
            <v>17299020</v>
          </cell>
          <cell r="K542">
            <v>7661107</v>
          </cell>
          <cell r="L542">
            <v>7274049</v>
          </cell>
          <cell r="M542">
            <v>5403061</v>
          </cell>
          <cell r="N542">
            <v>0</v>
          </cell>
          <cell r="O542">
            <v>0</v>
          </cell>
          <cell r="P542">
            <v>0</v>
          </cell>
        </row>
        <row r="543">
          <cell r="A543" t="str">
            <v>Irrigation</v>
          </cell>
          <cell r="B543" t="str">
            <v>BHUPATHIPALEM</v>
          </cell>
          <cell r="C543" t="str">
            <v>Diesel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A544" t="str">
            <v>Irrigation</v>
          </cell>
          <cell r="B544" t="str">
            <v>BHUPATHIPALEM</v>
          </cell>
          <cell r="C544" t="str">
            <v>Out side Machinery Hire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</row>
        <row r="545">
          <cell r="A545" t="str">
            <v>Irrigation</v>
          </cell>
          <cell r="B545" t="str">
            <v>BHUPATHIPALEM</v>
          </cell>
          <cell r="C545" t="str">
            <v>Own Machinery Hire</v>
          </cell>
          <cell r="E545">
            <v>4170086.4097424834</v>
          </cell>
          <cell r="F545">
            <v>4546528.2806455418</v>
          </cell>
          <cell r="G545">
            <v>2350232.5104995938</v>
          </cell>
          <cell r="H545">
            <v>2204546.5388882295</v>
          </cell>
          <cell r="I545">
            <v>1119626.3567849516</v>
          </cell>
          <cell r="J545">
            <v>1194371.0749107127</v>
          </cell>
          <cell r="K545">
            <v>1747996.3346225056</v>
          </cell>
          <cell r="L545">
            <v>926059.66613129433</v>
          </cell>
          <cell r="M545">
            <v>734142.90762217552</v>
          </cell>
          <cell r="N545">
            <v>395647.01601581642</v>
          </cell>
          <cell r="O545">
            <v>0</v>
          </cell>
          <cell r="P545">
            <v>0</v>
          </cell>
        </row>
        <row r="546">
          <cell r="A546" t="str">
            <v>Irrigation</v>
          </cell>
          <cell r="B546" t="str">
            <v>BHUPATHIPALEM</v>
          </cell>
          <cell r="C546" t="str">
            <v>Sub contractor-(including Advance)</v>
          </cell>
          <cell r="E546">
            <v>5098849.7584502883</v>
          </cell>
          <cell r="F546">
            <v>8963926.0679785926</v>
          </cell>
          <cell r="G546">
            <v>13213798.341734629</v>
          </cell>
          <cell r="H546">
            <v>12767716.256430756</v>
          </cell>
          <cell r="I546">
            <v>2246962.0680031152</v>
          </cell>
          <cell r="J546">
            <v>4340312.8047490008</v>
          </cell>
          <cell r="K546">
            <v>4697545.886261398</v>
          </cell>
          <cell r="L546">
            <v>8153174.6000720393</v>
          </cell>
          <cell r="M546">
            <v>8507437.9499451816</v>
          </cell>
          <cell r="N546">
            <v>7157849.2367371982</v>
          </cell>
          <cell r="O546">
            <v>0</v>
          </cell>
          <cell r="P546">
            <v>0</v>
          </cell>
        </row>
        <row r="547">
          <cell r="A547" t="str">
            <v>Irrigation</v>
          </cell>
          <cell r="B547" t="str">
            <v>BHUPATHIPALEM</v>
          </cell>
          <cell r="C547" t="str">
            <v>JV Share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</row>
        <row r="548">
          <cell r="A548" t="str">
            <v>Irrigation</v>
          </cell>
          <cell r="B548" t="str">
            <v>BHUPATHIPALEM</v>
          </cell>
          <cell r="C548" t="str">
            <v>Plant Repairs &amp; Maintanance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</row>
        <row r="549">
          <cell r="A549" t="str">
            <v>Irrigation</v>
          </cell>
          <cell r="B549" t="str">
            <v>BHUPATHIPALEM</v>
          </cell>
          <cell r="C549" t="str">
            <v>Other Direct Over Heads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</row>
        <row r="550">
          <cell r="A550" t="str">
            <v>Irrigation</v>
          </cell>
          <cell r="B550" t="str">
            <v>BHUPATHIPALEM</v>
          </cell>
          <cell r="C550" t="str">
            <v>VAT &amp; other Taxes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</row>
        <row r="551">
          <cell r="A551" t="str">
            <v>Irrigation</v>
          </cell>
          <cell r="B551" t="str">
            <v>BHUPATHIPALEM</v>
          </cell>
          <cell r="C551" t="str">
            <v>Salaries</v>
          </cell>
          <cell r="E551">
            <v>1340067.72</v>
          </cell>
          <cell r="F551">
            <v>1340067.72</v>
          </cell>
          <cell r="G551">
            <v>1310067.7200000002</v>
          </cell>
          <cell r="H551">
            <v>1198000.7200000002</v>
          </cell>
          <cell r="I551">
            <v>1155305.6800000002</v>
          </cell>
          <cell r="J551">
            <v>1155305.6800000002</v>
          </cell>
          <cell r="K551">
            <v>1185305.6800000002</v>
          </cell>
          <cell r="L551">
            <v>1185305.6800000002</v>
          </cell>
          <cell r="M551">
            <v>1185305.6800000002</v>
          </cell>
          <cell r="N551">
            <v>0</v>
          </cell>
          <cell r="O551">
            <v>0</v>
          </cell>
          <cell r="P551">
            <v>0</v>
          </cell>
        </row>
        <row r="552">
          <cell r="A552" t="str">
            <v>Irrigation</v>
          </cell>
          <cell r="B552" t="str">
            <v>BHUPATHIPALEM</v>
          </cell>
          <cell r="C552" t="str">
            <v>Operating overhead</v>
          </cell>
          <cell r="E552">
            <v>2642294.0599649996</v>
          </cell>
          <cell r="F552">
            <v>3862370.0374979991</v>
          </cell>
          <cell r="G552">
            <v>3067001.9303653999</v>
          </cell>
          <cell r="H552">
            <v>2941176.4490462495</v>
          </cell>
          <cell r="I552">
            <v>1586492.4188780002</v>
          </cell>
          <cell r="J552">
            <v>1941667.3977500005</v>
          </cell>
          <cell r="K552">
            <v>2216110.463885</v>
          </cell>
          <cell r="L552">
            <v>2147643.5787579999</v>
          </cell>
          <cell r="M552">
            <v>2089541.0050879999</v>
          </cell>
          <cell r="N552">
            <v>1800148.2565339999</v>
          </cell>
          <cell r="O552">
            <v>0</v>
          </cell>
          <cell r="P552">
            <v>0</v>
          </cell>
        </row>
        <row r="553">
          <cell r="A553" t="str">
            <v>Irrigation</v>
          </cell>
          <cell r="B553" t="str">
            <v>BHUPATHIPALEM</v>
          </cell>
          <cell r="C553" t="str">
            <v>Financial Expenses</v>
          </cell>
        </row>
        <row r="554">
          <cell r="A554" t="str">
            <v>Irrigation</v>
          </cell>
          <cell r="B554" t="str">
            <v>GVMC</v>
          </cell>
          <cell r="C554" t="str">
            <v>Realisation against RA Bill</v>
          </cell>
        </row>
        <row r="555">
          <cell r="A555" t="str">
            <v>Irrigation</v>
          </cell>
          <cell r="B555" t="str">
            <v>GVMC</v>
          </cell>
          <cell r="C555" t="str">
            <v>Realisation against Escalation / Claims</v>
          </cell>
        </row>
        <row r="556">
          <cell r="A556" t="str">
            <v>Irrigation</v>
          </cell>
          <cell r="B556" t="str">
            <v>GVMC</v>
          </cell>
          <cell r="C556" t="str">
            <v>Realisitation of Mobilisation Advance</v>
          </cell>
        </row>
        <row r="557">
          <cell r="A557" t="str">
            <v>Irrigation</v>
          </cell>
          <cell r="B557" t="str">
            <v>GVMC</v>
          </cell>
          <cell r="C557" t="str">
            <v>Plant Advance</v>
          </cell>
        </row>
        <row r="558">
          <cell r="A558" t="str">
            <v>Irrigation</v>
          </cell>
          <cell r="B558" t="str">
            <v>GVMC</v>
          </cell>
          <cell r="C558" t="str">
            <v>Mat Advance</v>
          </cell>
        </row>
        <row r="559">
          <cell r="A559" t="str">
            <v>Irrigation</v>
          </cell>
          <cell r="B559" t="str">
            <v>GVMC</v>
          </cell>
          <cell r="C559" t="str">
            <v xml:space="preserve"> - Retention money from client(incl TDS)</v>
          </cell>
        </row>
        <row r="560">
          <cell r="A560" t="str">
            <v>Irrigation</v>
          </cell>
          <cell r="B560" t="str">
            <v>GVMC</v>
          </cell>
          <cell r="C560" t="str">
            <v>Other Receipts</v>
          </cell>
        </row>
        <row r="561">
          <cell r="A561" t="str">
            <v>Irrigation</v>
          </cell>
          <cell r="B561" t="str">
            <v>GVMC</v>
          </cell>
          <cell r="C561" t="str">
            <v xml:space="preserve">Labour </v>
          </cell>
        </row>
        <row r="562">
          <cell r="A562" t="str">
            <v>Irrigation</v>
          </cell>
          <cell r="B562" t="str">
            <v>GVMC</v>
          </cell>
          <cell r="C562" t="str">
            <v>Payment Suppliers(including Adv)</v>
          </cell>
        </row>
        <row r="563">
          <cell r="A563" t="str">
            <v>Irrigation</v>
          </cell>
          <cell r="B563" t="str">
            <v>GVMC</v>
          </cell>
          <cell r="C563" t="str">
            <v>Diesel</v>
          </cell>
        </row>
        <row r="564">
          <cell r="A564" t="str">
            <v>Irrigation</v>
          </cell>
          <cell r="B564" t="str">
            <v>GVMC</v>
          </cell>
          <cell r="C564" t="str">
            <v>Out side Machinery Hire</v>
          </cell>
        </row>
        <row r="565">
          <cell r="A565" t="str">
            <v>Irrigation</v>
          </cell>
          <cell r="B565" t="str">
            <v>GVMC</v>
          </cell>
          <cell r="C565" t="str">
            <v>Own Machinery Hire</v>
          </cell>
        </row>
        <row r="566">
          <cell r="A566" t="str">
            <v>Irrigation</v>
          </cell>
          <cell r="B566" t="str">
            <v>GVMC</v>
          </cell>
          <cell r="C566" t="str">
            <v>Sub contractor-(including Advance)</v>
          </cell>
        </row>
        <row r="567">
          <cell r="A567" t="str">
            <v>Irrigation</v>
          </cell>
          <cell r="B567" t="str">
            <v>GVMC</v>
          </cell>
          <cell r="C567" t="str">
            <v>JV Share</v>
          </cell>
        </row>
        <row r="568">
          <cell r="A568" t="str">
            <v>Irrigation</v>
          </cell>
          <cell r="B568" t="str">
            <v>GVMC</v>
          </cell>
          <cell r="C568" t="str">
            <v>Plant Repairs &amp; Maintanance</v>
          </cell>
        </row>
        <row r="569">
          <cell r="A569" t="str">
            <v>Irrigation</v>
          </cell>
          <cell r="B569" t="str">
            <v>GVMC</v>
          </cell>
          <cell r="C569" t="str">
            <v>Other Direct Over Heads</v>
          </cell>
        </row>
        <row r="570">
          <cell r="A570" t="str">
            <v>Irrigation</v>
          </cell>
          <cell r="B570" t="str">
            <v>GVMC</v>
          </cell>
          <cell r="C570" t="str">
            <v>VAT &amp; other Taxes</v>
          </cell>
        </row>
        <row r="571">
          <cell r="A571" t="str">
            <v>Irrigation</v>
          </cell>
          <cell r="B571" t="str">
            <v>GVMC</v>
          </cell>
          <cell r="C571" t="str">
            <v>Salaries</v>
          </cell>
        </row>
        <row r="572">
          <cell r="A572" t="str">
            <v>Irrigation</v>
          </cell>
          <cell r="B572" t="str">
            <v>GVMC</v>
          </cell>
          <cell r="C572" t="str">
            <v>Operating overhead</v>
          </cell>
        </row>
        <row r="573">
          <cell r="A573" t="str">
            <v>Irrigation</v>
          </cell>
          <cell r="B573" t="str">
            <v>GVMC</v>
          </cell>
          <cell r="C573" t="str">
            <v>Financial Expenses</v>
          </cell>
        </row>
        <row r="574">
          <cell r="A574" t="str">
            <v>Power</v>
          </cell>
          <cell r="B574" t="str">
            <v>KPTCL</v>
          </cell>
          <cell r="C574" t="str">
            <v>Realisation against RA Bill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</row>
        <row r="575">
          <cell r="A575" t="str">
            <v>Power</v>
          </cell>
          <cell r="B575" t="str">
            <v>KPTCL</v>
          </cell>
          <cell r="C575" t="str">
            <v>Realisation against Escalation / Claims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</row>
        <row r="576">
          <cell r="A576" t="str">
            <v>Power</v>
          </cell>
          <cell r="B576" t="str">
            <v>KPTCL</v>
          </cell>
          <cell r="C576" t="str">
            <v>Realisitation of Mobilisation Advance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</row>
        <row r="577">
          <cell r="A577" t="str">
            <v>Power</v>
          </cell>
          <cell r="B577" t="str">
            <v>KPTCL</v>
          </cell>
          <cell r="C577" t="str">
            <v>Plant Advance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</row>
        <row r="578">
          <cell r="A578" t="str">
            <v>Power</v>
          </cell>
          <cell r="B578" t="str">
            <v>KPTCL</v>
          </cell>
          <cell r="C578" t="str">
            <v>Mat Advance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</row>
        <row r="579">
          <cell r="A579" t="str">
            <v>Power</v>
          </cell>
          <cell r="B579" t="str">
            <v>KPTCL</v>
          </cell>
          <cell r="C579" t="str">
            <v xml:space="preserve"> - Retention money from client(incl TDS)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</row>
        <row r="580">
          <cell r="A580" t="str">
            <v>Power</v>
          </cell>
          <cell r="B580" t="str">
            <v>KPTCL</v>
          </cell>
          <cell r="C580" t="str">
            <v>Other Receipts</v>
          </cell>
          <cell r="E580">
            <v>17906000</v>
          </cell>
          <cell r="F580">
            <v>20130000</v>
          </cell>
          <cell r="G580">
            <v>25015000</v>
          </cell>
          <cell r="H580">
            <v>29608999.999999996</v>
          </cell>
          <cell r="I580">
            <v>43267572</v>
          </cell>
          <cell r="J580">
            <v>10627670</v>
          </cell>
        </row>
        <row r="581">
          <cell r="A581" t="str">
            <v>Power</v>
          </cell>
          <cell r="B581" t="str">
            <v>KPTCL</v>
          </cell>
          <cell r="C581" t="str">
            <v xml:space="preserve">Labour 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</row>
        <row r="582">
          <cell r="A582" t="str">
            <v>Power</v>
          </cell>
          <cell r="B582" t="str">
            <v>KPTCL</v>
          </cell>
          <cell r="C582" t="str">
            <v>Payment Suppliers(including Adv)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</row>
        <row r="583">
          <cell r="A583" t="str">
            <v>Power</v>
          </cell>
          <cell r="B583" t="str">
            <v>KPTCL</v>
          </cell>
          <cell r="C583" t="str">
            <v>Diesel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</row>
        <row r="584">
          <cell r="A584" t="str">
            <v>Power</v>
          </cell>
          <cell r="B584" t="str">
            <v>KPTCL</v>
          </cell>
          <cell r="C584" t="str">
            <v>Out side Machinery Hire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</row>
        <row r="585">
          <cell r="A585" t="str">
            <v>Power</v>
          </cell>
          <cell r="B585" t="str">
            <v>KPTCL</v>
          </cell>
          <cell r="C585" t="str">
            <v>Own Machinery Hire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</row>
        <row r="586">
          <cell r="A586" t="str">
            <v>Power</v>
          </cell>
          <cell r="B586" t="str">
            <v>KPTCL</v>
          </cell>
          <cell r="C586" t="str">
            <v>Sub contractor-(including Advance)</v>
          </cell>
          <cell r="E586">
            <v>5000000</v>
          </cell>
          <cell r="F586">
            <v>5000000</v>
          </cell>
          <cell r="G586">
            <v>2000000</v>
          </cell>
          <cell r="H586">
            <v>4500000</v>
          </cell>
          <cell r="I586">
            <v>4000000</v>
          </cell>
          <cell r="J586">
            <v>0</v>
          </cell>
        </row>
        <row r="587">
          <cell r="A587" t="str">
            <v>Power</v>
          </cell>
          <cell r="B587" t="str">
            <v>KPTCL</v>
          </cell>
          <cell r="C587" t="str">
            <v>JV Share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</row>
        <row r="588">
          <cell r="A588" t="str">
            <v>Power</v>
          </cell>
          <cell r="B588" t="str">
            <v>KPTCL</v>
          </cell>
          <cell r="C588" t="str">
            <v>Plant Repairs &amp; Maintanance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</row>
        <row r="589">
          <cell r="A589" t="str">
            <v>Power</v>
          </cell>
          <cell r="B589" t="str">
            <v>KPTCL</v>
          </cell>
          <cell r="C589" t="str">
            <v>Other Direct Over Heads</v>
          </cell>
          <cell r="E589">
            <v>200000</v>
          </cell>
          <cell r="F589">
            <v>200000</v>
          </cell>
          <cell r="G589">
            <v>200000</v>
          </cell>
          <cell r="H589">
            <v>200000</v>
          </cell>
          <cell r="I589">
            <v>200000</v>
          </cell>
          <cell r="J589">
            <v>200000</v>
          </cell>
        </row>
        <row r="590">
          <cell r="A590" t="str">
            <v>Power</v>
          </cell>
          <cell r="B590" t="str">
            <v>KPTCL</v>
          </cell>
          <cell r="C590" t="str">
            <v>VAT &amp; other Taxes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</row>
        <row r="591">
          <cell r="A591" t="str">
            <v>Power</v>
          </cell>
          <cell r="B591" t="str">
            <v>KPTCL</v>
          </cell>
          <cell r="C591" t="str">
            <v>Salaries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A592" t="str">
            <v>Power</v>
          </cell>
          <cell r="B592" t="str">
            <v>KPTCL</v>
          </cell>
          <cell r="C592" t="str">
            <v>Operating overhead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</row>
        <row r="593">
          <cell r="A593" t="str">
            <v>Power</v>
          </cell>
          <cell r="B593" t="str">
            <v>KPTCL</v>
          </cell>
          <cell r="C593" t="str">
            <v>Financial Expenses</v>
          </cell>
        </row>
        <row r="594">
          <cell r="A594" t="str">
            <v>Power</v>
          </cell>
          <cell r="B594" t="str">
            <v>GESCOMM</v>
          </cell>
          <cell r="C594" t="str">
            <v>Realisation against RA Bill</v>
          </cell>
          <cell r="E594">
            <v>0</v>
          </cell>
          <cell r="F594">
            <v>0</v>
          </cell>
          <cell r="G594">
            <v>9000000</v>
          </cell>
          <cell r="H594">
            <v>17910000</v>
          </cell>
          <cell r="I594">
            <v>0</v>
          </cell>
          <cell r="J594">
            <v>0</v>
          </cell>
          <cell r="K594">
            <v>0</v>
          </cell>
        </row>
        <row r="595">
          <cell r="A595" t="str">
            <v>Power</v>
          </cell>
          <cell r="B595" t="str">
            <v>GESCOMM</v>
          </cell>
          <cell r="C595" t="str">
            <v>Realisation against Escalation / Claims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</row>
        <row r="596">
          <cell r="A596" t="str">
            <v>Power</v>
          </cell>
          <cell r="B596" t="str">
            <v>GESCOMM</v>
          </cell>
          <cell r="C596" t="str">
            <v>Realisitation of Mobilisation Advance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</row>
        <row r="597">
          <cell r="A597" t="str">
            <v>Power</v>
          </cell>
          <cell r="B597" t="str">
            <v>GESCOMM</v>
          </cell>
          <cell r="C597" t="str">
            <v>Plant Advance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</row>
        <row r="598">
          <cell r="A598" t="str">
            <v>Power</v>
          </cell>
          <cell r="B598" t="str">
            <v>GESCOMM</v>
          </cell>
          <cell r="C598" t="str">
            <v>Mat Advance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</row>
        <row r="599">
          <cell r="A599" t="str">
            <v>Power</v>
          </cell>
          <cell r="B599" t="str">
            <v>GESCOMM</v>
          </cell>
          <cell r="C599" t="str">
            <v xml:space="preserve"> - Retention money from client(incl TDS)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</row>
        <row r="600">
          <cell r="A600" t="str">
            <v>Power</v>
          </cell>
          <cell r="B600" t="str">
            <v>GESCOMM</v>
          </cell>
          <cell r="C600" t="str">
            <v>Other Receipts</v>
          </cell>
          <cell r="E600">
            <v>17299280</v>
          </cell>
          <cell r="F600">
            <v>17200000</v>
          </cell>
          <cell r="G600">
            <v>13897999.999999998</v>
          </cell>
          <cell r="H600">
            <v>6330000.0000000009</v>
          </cell>
          <cell r="I600">
            <v>37423775</v>
          </cell>
          <cell r="J600">
            <v>47282039</v>
          </cell>
          <cell r="K600">
            <v>13044816</v>
          </cell>
        </row>
        <row r="601">
          <cell r="A601" t="str">
            <v>Power</v>
          </cell>
          <cell r="B601" t="str">
            <v>GESCOMM</v>
          </cell>
          <cell r="C601" t="str">
            <v xml:space="preserve">Labour 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</row>
        <row r="602">
          <cell r="A602" t="str">
            <v>Power</v>
          </cell>
          <cell r="B602" t="str">
            <v>GESCOMM</v>
          </cell>
          <cell r="C602" t="str">
            <v>Payment Suppliers(including Adv)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</row>
        <row r="603">
          <cell r="A603" t="str">
            <v>Power</v>
          </cell>
          <cell r="B603" t="str">
            <v>GESCOMM</v>
          </cell>
          <cell r="C603" t="str">
            <v>Diesel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</row>
        <row r="604">
          <cell r="A604" t="str">
            <v>Power</v>
          </cell>
          <cell r="B604" t="str">
            <v>GESCOMM</v>
          </cell>
          <cell r="C604" t="str">
            <v>Out side Machinery Hire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</row>
        <row r="605">
          <cell r="A605" t="str">
            <v>Power</v>
          </cell>
          <cell r="B605" t="str">
            <v>GESCOMM</v>
          </cell>
          <cell r="C605" t="str">
            <v>Own Machinery Hire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</row>
        <row r="606">
          <cell r="A606" t="str">
            <v>Power</v>
          </cell>
          <cell r="B606" t="str">
            <v>GESCOMM</v>
          </cell>
          <cell r="C606" t="str">
            <v>Sub contractor-(including Advance)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</row>
        <row r="607">
          <cell r="A607" t="str">
            <v>Power</v>
          </cell>
          <cell r="B607" t="str">
            <v>GESCOMM</v>
          </cell>
          <cell r="C607" t="str">
            <v>JV Share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</row>
        <row r="608">
          <cell r="A608" t="str">
            <v>Power</v>
          </cell>
          <cell r="B608" t="str">
            <v>GESCOMM</v>
          </cell>
          <cell r="C608" t="str">
            <v>Plant Repairs &amp; Maintanance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</row>
        <row r="609">
          <cell r="A609" t="str">
            <v>Power</v>
          </cell>
          <cell r="B609" t="str">
            <v>GESCOMM</v>
          </cell>
          <cell r="C609" t="str">
            <v>Other Direct Over Heads</v>
          </cell>
          <cell r="E609">
            <v>2000000</v>
          </cell>
          <cell r="F609">
            <v>2000000</v>
          </cell>
          <cell r="G609">
            <v>2000000</v>
          </cell>
          <cell r="H609">
            <v>2000000</v>
          </cell>
          <cell r="I609">
            <v>2000000</v>
          </cell>
          <cell r="J609">
            <v>2000000</v>
          </cell>
          <cell r="K609">
            <v>13044816</v>
          </cell>
        </row>
        <row r="610">
          <cell r="A610" t="str">
            <v>Power</v>
          </cell>
          <cell r="B610" t="str">
            <v>GESCOMM</v>
          </cell>
          <cell r="C610" t="str">
            <v>VAT &amp; other Taxes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</row>
        <row r="611">
          <cell r="A611" t="str">
            <v>Power</v>
          </cell>
          <cell r="B611" t="str">
            <v>GESCOMM</v>
          </cell>
          <cell r="C611" t="str">
            <v>Salaries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</row>
        <row r="612">
          <cell r="A612" t="str">
            <v>Power</v>
          </cell>
          <cell r="B612" t="str">
            <v>GESCOMM</v>
          </cell>
          <cell r="C612" t="str">
            <v>Operating overhead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</row>
        <row r="613">
          <cell r="A613" t="str">
            <v>Power</v>
          </cell>
          <cell r="B613" t="str">
            <v>GESCOMM</v>
          </cell>
          <cell r="C613" t="str">
            <v>Financial Expenses</v>
          </cell>
        </row>
        <row r="614">
          <cell r="A614" t="str">
            <v>Power</v>
          </cell>
          <cell r="B614" t="str">
            <v>NCL</v>
          </cell>
          <cell r="C614" t="str">
            <v>Realisation against RA Bill</v>
          </cell>
          <cell r="E614">
            <v>0</v>
          </cell>
          <cell r="F614">
            <v>4500000</v>
          </cell>
          <cell r="G614">
            <v>13500000</v>
          </cell>
          <cell r="H614">
            <v>13500000</v>
          </cell>
          <cell r="I614">
            <v>13500000</v>
          </cell>
          <cell r="J614">
            <v>0</v>
          </cell>
          <cell r="K614">
            <v>5000000</v>
          </cell>
        </row>
        <row r="615">
          <cell r="A615" t="str">
            <v>Power</v>
          </cell>
          <cell r="B615" t="str">
            <v>NCL</v>
          </cell>
          <cell r="C615" t="str">
            <v>Realisation against Escalation / Claims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</row>
        <row r="616">
          <cell r="A616" t="str">
            <v>Power</v>
          </cell>
          <cell r="B616" t="str">
            <v>NCL</v>
          </cell>
          <cell r="C616" t="str">
            <v>Realisitation of Mobilisation Advance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</row>
        <row r="617">
          <cell r="A617" t="str">
            <v>Power</v>
          </cell>
          <cell r="B617" t="str">
            <v>NCL</v>
          </cell>
          <cell r="C617" t="str">
            <v>Plant Advance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</row>
        <row r="618">
          <cell r="A618" t="str">
            <v>Power</v>
          </cell>
          <cell r="B618" t="str">
            <v>NCL</v>
          </cell>
          <cell r="C618" t="str">
            <v>Mat Advance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</row>
        <row r="619">
          <cell r="A619" t="str">
            <v>Power</v>
          </cell>
          <cell r="B619" t="str">
            <v>NCL</v>
          </cell>
          <cell r="C619" t="str">
            <v xml:space="preserve"> - Retention money from client(incl TDS)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</row>
        <row r="620">
          <cell r="A620" t="str">
            <v>Power</v>
          </cell>
          <cell r="B620" t="str">
            <v>NCL</v>
          </cell>
          <cell r="C620" t="str">
            <v>Other Receipts</v>
          </cell>
          <cell r="E620">
            <v>8900000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</row>
        <row r="621">
          <cell r="A621" t="str">
            <v>Power</v>
          </cell>
          <cell r="B621" t="str">
            <v>NCL</v>
          </cell>
          <cell r="C621" t="str">
            <v xml:space="preserve">Labour 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</row>
        <row r="622">
          <cell r="A622" t="str">
            <v>Power</v>
          </cell>
          <cell r="B622" t="str">
            <v>NCL</v>
          </cell>
          <cell r="C622" t="str">
            <v>Payment Suppliers(including Adv)</v>
          </cell>
          <cell r="E622">
            <v>6000000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</row>
        <row r="623">
          <cell r="A623" t="str">
            <v>Power</v>
          </cell>
          <cell r="B623" t="str">
            <v>NCL</v>
          </cell>
          <cell r="C623" t="str">
            <v>Diesel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</row>
        <row r="624">
          <cell r="A624" t="str">
            <v>Power</v>
          </cell>
          <cell r="B624" t="str">
            <v>NCL</v>
          </cell>
          <cell r="C624" t="str">
            <v>Out side Machinery Hire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</row>
        <row r="625">
          <cell r="A625" t="str">
            <v>Power</v>
          </cell>
          <cell r="B625" t="str">
            <v>NCL</v>
          </cell>
          <cell r="C625" t="str">
            <v>Own Machinery Hire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</row>
        <row r="626">
          <cell r="A626" t="str">
            <v>Power</v>
          </cell>
          <cell r="B626" t="str">
            <v>NCL</v>
          </cell>
          <cell r="C626" t="str">
            <v>Sub contractor-(including Advance)</v>
          </cell>
          <cell r="E626">
            <v>0</v>
          </cell>
          <cell r="F626">
            <v>4000000</v>
          </cell>
          <cell r="G626">
            <v>14400000</v>
          </cell>
          <cell r="H626">
            <v>14400000</v>
          </cell>
          <cell r="I626">
            <v>14400000</v>
          </cell>
          <cell r="J626">
            <v>0</v>
          </cell>
          <cell r="K626">
            <v>0</v>
          </cell>
        </row>
        <row r="627">
          <cell r="A627" t="str">
            <v>Power</v>
          </cell>
          <cell r="B627" t="str">
            <v>NCL</v>
          </cell>
          <cell r="C627" t="str">
            <v>JV Share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</row>
        <row r="628">
          <cell r="A628" t="str">
            <v>Power</v>
          </cell>
          <cell r="B628" t="str">
            <v>NCL</v>
          </cell>
          <cell r="C628" t="str">
            <v>Plant Repairs &amp; Maintanance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</row>
        <row r="629">
          <cell r="A629" t="str">
            <v>Power</v>
          </cell>
          <cell r="B629" t="str">
            <v>NCL</v>
          </cell>
          <cell r="C629" t="str">
            <v>Other Direct Over Heads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</row>
        <row r="630">
          <cell r="A630" t="str">
            <v>Power</v>
          </cell>
          <cell r="B630" t="str">
            <v>NCL</v>
          </cell>
          <cell r="C630" t="str">
            <v>VAT &amp; other Taxes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</row>
        <row r="631">
          <cell r="A631" t="str">
            <v>Power</v>
          </cell>
          <cell r="B631" t="str">
            <v>NCL</v>
          </cell>
          <cell r="C631" t="str">
            <v>Salaries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</row>
        <row r="632">
          <cell r="A632" t="str">
            <v>Power</v>
          </cell>
          <cell r="B632" t="str">
            <v>NCL</v>
          </cell>
          <cell r="C632" t="str">
            <v>Operating overhead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</row>
        <row r="633">
          <cell r="A633" t="str">
            <v>Power</v>
          </cell>
          <cell r="B633" t="str">
            <v>NCL</v>
          </cell>
          <cell r="C633" t="str">
            <v>Financial Expenses</v>
          </cell>
        </row>
        <row r="634">
          <cell r="A634" t="str">
            <v>Power</v>
          </cell>
          <cell r="B634" t="str">
            <v>APNPDCL</v>
          </cell>
          <cell r="C634" t="str">
            <v>Realisation against RA Bill</v>
          </cell>
        </row>
        <row r="635">
          <cell r="A635" t="str">
            <v>Power</v>
          </cell>
          <cell r="B635" t="str">
            <v>APNPDCL</v>
          </cell>
          <cell r="C635" t="str">
            <v>Realisation against Escalation / Claims</v>
          </cell>
        </row>
        <row r="636">
          <cell r="A636" t="str">
            <v>Power</v>
          </cell>
          <cell r="B636" t="str">
            <v>APNPDCL</v>
          </cell>
          <cell r="C636" t="str">
            <v>Realisitation of Mobilisation Advance</v>
          </cell>
        </row>
        <row r="637">
          <cell r="A637" t="str">
            <v>Power</v>
          </cell>
          <cell r="B637" t="str">
            <v>APNPDCL</v>
          </cell>
          <cell r="C637" t="str">
            <v>Plant Advance</v>
          </cell>
        </row>
        <row r="638">
          <cell r="A638" t="str">
            <v>Power</v>
          </cell>
          <cell r="B638" t="str">
            <v>APNPDCL</v>
          </cell>
          <cell r="C638" t="str">
            <v>Mat Advance</v>
          </cell>
        </row>
        <row r="639">
          <cell r="A639" t="str">
            <v>Power</v>
          </cell>
          <cell r="B639" t="str">
            <v>APNPDCL</v>
          </cell>
          <cell r="C639" t="str">
            <v xml:space="preserve"> - Retention money from client(incl TDS)</v>
          </cell>
        </row>
        <row r="640">
          <cell r="A640" t="str">
            <v>Power</v>
          </cell>
          <cell r="B640" t="str">
            <v>APNPDCL</v>
          </cell>
          <cell r="C640" t="str">
            <v>Other Receipts</v>
          </cell>
        </row>
        <row r="641">
          <cell r="A641" t="str">
            <v>Power</v>
          </cell>
          <cell r="B641" t="str">
            <v>APNPDCL</v>
          </cell>
          <cell r="C641" t="str">
            <v xml:space="preserve">Labour </v>
          </cell>
        </row>
        <row r="642">
          <cell r="A642" t="str">
            <v>Power</v>
          </cell>
          <cell r="B642" t="str">
            <v>APNPDCL</v>
          </cell>
          <cell r="C642" t="str">
            <v>Payment Suppliers(including Adv)</v>
          </cell>
        </row>
        <row r="643">
          <cell r="A643" t="str">
            <v>Power</v>
          </cell>
          <cell r="B643" t="str">
            <v>APNPDCL</v>
          </cell>
          <cell r="C643" t="str">
            <v>Diesel</v>
          </cell>
        </row>
        <row r="644">
          <cell r="A644" t="str">
            <v>Power</v>
          </cell>
          <cell r="B644" t="str">
            <v>APNPDCL</v>
          </cell>
          <cell r="C644" t="str">
            <v>Out side Machinery Hire</v>
          </cell>
        </row>
        <row r="645">
          <cell r="A645" t="str">
            <v>Power</v>
          </cell>
          <cell r="B645" t="str">
            <v>APNPDCL</v>
          </cell>
          <cell r="C645" t="str">
            <v>Own Machinery Hire</v>
          </cell>
        </row>
        <row r="646">
          <cell r="A646" t="str">
            <v>Power</v>
          </cell>
          <cell r="B646" t="str">
            <v>APNPDCL</v>
          </cell>
          <cell r="C646" t="str">
            <v>Sub contractor-(including Advance)</v>
          </cell>
        </row>
        <row r="647">
          <cell r="A647" t="str">
            <v>Power</v>
          </cell>
          <cell r="B647" t="str">
            <v>APNPDCL</v>
          </cell>
          <cell r="C647" t="str">
            <v>JV Share</v>
          </cell>
        </row>
        <row r="648">
          <cell r="A648" t="str">
            <v>Power</v>
          </cell>
          <cell r="B648" t="str">
            <v>APNPDCL</v>
          </cell>
          <cell r="C648" t="str">
            <v>Plant Repairs &amp; Maintanance</v>
          </cell>
        </row>
        <row r="649">
          <cell r="A649" t="str">
            <v>Power</v>
          </cell>
          <cell r="B649" t="str">
            <v>APNPDCL</v>
          </cell>
          <cell r="C649" t="str">
            <v>Other Direct Over Heads</v>
          </cell>
        </row>
        <row r="650">
          <cell r="A650" t="str">
            <v>Power</v>
          </cell>
          <cell r="B650" t="str">
            <v>APNPDCL</v>
          </cell>
          <cell r="C650" t="str">
            <v>VAT &amp; other Taxes</v>
          </cell>
        </row>
        <row r="651">
          <cell r="A651" t="str">
            <v>Power</v>
          </cell>
          <cell r="B651" t="str">
            <v>APNPDCL</v>
          </cell>
          <cell r="C651" t="str">
            <v>Salaries</v>
          </cell>
        </row>
        <row r="652">
          <cell r="A652" t="str">
            <v>Power</v>
          </cell>
          <cell r="B652" t="str">
            <v>APNPDCL</v>
          </cell>
          <cell r="C652" t="str">
            <v>Operating overhead</v>
          </cell>
        </row>
        <row r="653">
          <cell r="A653" t="str">
            <v>Power</v>
          </cell>
          <cell r="B653" t="str">
            <v>APNPDCL</v>
          </cell>
          <cell r="C653" t="str">
            <v>Financial Expenses</v>
          </cell>
        </row>
        <row r="654">
          <cell r="A654" t="str">
            <v>Power</v>
          </cell>
          <cell r="B654" t="str">
            <v>AP TRANSCO</v>
          </cell>
          <cell r="C654" t="str">
            <v>Realisation against RA Bill</v>
          </cell>
          <cell r="E654">
            <v>0</v>
          </cell>
          <cell r="F654">
            <v>0</v>
          </cell>
          <cell r="G654">
            <v>0</v>
          </cell>
          <cell r="H654">
            <v>54500000</v>
          </cell>
          <cell r="I654">
            <v>146100000</v>
          </cell>
          <cell r="J654">
            <v>150100000</v>
          </cell>
          <cell r="K654">
            <v>135400000</v>
          </cell>
          <cell r="L654">
            <v>117700000</v>
          </cell>
          <cell r="M654">
            <v>71000000</v>
          </cell>
          <cell r="N654">
            <v>16500000</v>
          </cell>
          <cell r="O654">
            <v>16500000</v>
          </cell>
          <cell r="P654">
            <v>30800000</v>
          </cell>
        </row>
        <row r="655">
          <cell r="A655" t="str">
            <v>Power</v>
          </cell>
          <cell r="B655" t="str">
            <v>AP TRANSCO</v>
          </cell>
          <cell r="C655" t="str">
            <v>Realisation against Escalation / Claims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</row>
        <row r="656">
          <cell r="A656" t="str">
            <v>Power</v>
          </cell>
          <cell r="B656" t="str">
            <v>AP TRANSCO</v>
          </cell>
          <cell r="C656" t="str">
            <v>Realisitation of Mobilisation Advance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</row>
        <row r="657">
          <cell r="A657" t="str">
            <v>Power</v>
          </cell>
          <cell r="B657" t="str">
            <v>AP TRANSCO</v>
          </cell>
          <cell r="C657" t="str">
            <v>Plant Advance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</row>
        <row r="658">
          <cell r="A658" t="str">
            <v>Power</v>
          </cell>
          <cell r="B658" t="str">
            <v>AP TRANSCO</v>
          </cell>
          <cell r="C658" t="str">
            <v>Mat Advance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</row>
        <row r="659">
          <cell r="A659" t="str">
            <v>Power</v>
          </cell>
          <cell r="B659" t="str">
            <v>AP TRANSCO</v>
          </cell>
          <cell r="C659" t="str">
            <v xml:space="preserve"> - Retention money from client(incl TDS)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</row>
        <row r="660">
          <cell r="A660" t="str">
            <v>Power</v>
          </cell>
          <cell r="B660" t="str">
            <v>AP TRANSCO</v>
          </cell>
          <cell r="C660" t="str">
            <v>Other Receipts</v>
          </cell>
          <cell r="E660">
            <v>30000000</v>
          </cell>
          <cell r="F660">
            <v>70000000</v>
          </cell>
          <cell r="G660">
            <v>68200000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</row>
        <row r="661">
          <cell r="A661" t="str">
            <v>Power</v>
          </cell>
          <cell r="B661" t="str">
            <v>AP TRANSCO</v>
          </cell>
          <cell r="C661" t="str">
            <v xml:space="preserve">Labour 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</row>
        <row r="662">
          <cell r="A662" t="str">
            <v>Power</v>
          </cell>
          <cell r="B662" t="str">
            <v>AP TRANSCO</v>
          </cell>
          <cell r="C662" t="str">
            <v>Payment Suppliers(including Adv)</v>
          </cell>
          <cell r="E662">
            <v>217000000</v>
          </cell>
          <cell r="F662">
            <v>90990000</v>
          </cell>
          <cell r="G662">
            <v>80280000</v>
          </cell>
          <cell r="H662">
            <v>82350000</v>
          </cell>
          <cell r="I662">
            <v>67050000</v>
          </cell>
          <cell r="J662">
            <v>27900000</v>
          </cell>
          <cell r="K662">
            <v>10350000</v>
          </cell>
          <cell r="L662">
            <v>12150000</v>
          </cell>
          <cell r="M662">
            <v>13140000</v>
          </cell>
          <cell r="N662">
            <v>0</v>
          </cell>
          <cell r="O662">
            <v>0</v>
          </cell>
          <cell r="P662">
            <v>0</v>
          </cell>
        </row>
        <row r="663">
          <cell r="A663" t="str">
            <v>Power</v>
          </cell>
          <cell r="B663" t="str">
            <v>AP TRANSCO</v>
          </cell>
          <cell r="C663" t="str">
            <v>Diesel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</row>
        <row r="664">
          <cell r="A664" t="str">
            <v>Power</v>
          </cell>
          <cell r="B664" t="str">
            <v>AP TRANSCO</v>
          </cell>
          <cell r="C664" t="str">
            <v>Out side Machinery Hire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</row>
        <row r="665">
          <cell r="A665" t="str">
            <v>Power</v>
          </cell>
          <cell r="B665" t="str">
            <v>AP TRANSCO</v>
          </cell>
          <cell r="C665" t="str">
            <v>Own Machinery Hire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A666" t="str">
            <v>Power</v>
          </cell>
          <cell r="B666" t="str">
            <v>AP TRANSCO</v>
          </cell>
          <cell r="C666" t="str">
            <v>Sub contractor-(including Advance)</v>
          </cell>
          <cell r="E666">
            <v>30000000</v>
          </cell>
          <cell r="F666">
            <v>18375000</v>
          </cell>
          <cell r="G666">
            <v>39875000</v>
          </cell>
          <cell r="H666">
            <v>56925000</v>
          </cell>
          <cell r="I666">
            <v>48150000</v>
          </cell>
          <cell r="J666">
            <v>43375000</v>
          </cell>
          <cell r="K666">
            <v>40800000</v>
          </cell>
          <cell r="L666">
            <v>13750000</v>
          </cell>
          <cell r="M666">
            <v>3500000</v>
          </cell>
          <cell r="N666">
            <v>0</v>
          </cell>
          <cell r="O666">
            <v>16950000</v>
          </cell>
          <cell r="P666">
            <v>0</v>
          </cell>
        </row>
        <row r="667">
          <cell r="A667" t="str">
            <v>Power</v>
          </cell>
          <cell r="B667" t="str">
            <v>AP TRANSCO</v>
          </cell>
          <cell r="C667" t="str">
            <v>JV Share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</row>
        <row r="668">
          <cell r="A668" t="str">
            <v>Power</v>
          </cell>
          <cell r="B668" t="str">
            <v>AP TRANSCO</v>
          </cell>
          <cell r="C668" t="str">
            <v>Plant Repairs &amp; Maintanance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</row>
        <row r="669">
          <cell r="A669" t="str">
            <v>Power</v>
          </cell>
          <cell r="B669" t="str">
            <v>AP TRANSCO</v>
          </cell>
          <cell r="C669" t="str">
            <v>Other Direct Over Heads</v>
          </cell>
          <cell r="E669">
            <v>545000</v>
          </cell>
          <cell r="F669">
            <v>1461000</v>
          </cell>
          <cell r="G669">
            <v>1501000</v>
          </cell>
          <cell r="H669">
            <v>1354000</v>
          </cell>
          <cell r="I669">
            <v>1177000</v>
          </cell>
          <cell r="J669">
            <v>700100</v>
          </cell>
          <cell r="K669">
            <v>165000</v>
          </cell>
          <cell r="L669">
            <v>165000</v>
          </cell>
          <cell r="M669">
            <v>166000</v>
          </cell>
          <cell r="N669">
            <v>0</v>
          </cell>
          <cell r="O669">
            <v>0</v>
          </cell>
          <cell r="P669">
            <v>152000</v>
          </cell>
        </row>
        <row r="670">
          <cell r="A670" t="str">
            <v>Power</v>
          </cell>
          <cell r="B670" t="str">
            <v>AP TRANSCO</v>
          </cell>
          <cell r="C670" t="str">
            <v>VAT &amp; other Taxes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</row>
        <row r="671">
          <cell r="A671" t="str">
            <v>Power</v>
          </cell>
          <cell r="B671" t="str">
            <v>AP TRANSCO</v>
          </cell>
          <cell r="C671" t="str">
            <v>Salaries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</row>
        <row r="672">
          <cell r="A672" t="str">
            <v>Power</v>
          </cell>
          <cell r="B672" t="str">
            <v>AP TRANSCO</v>
          </cell>
          <cell r="C672" t="str">
            <v>Operating overhead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</row>
        <row r="673">
          <cell r="A673" t="str">
            <v>Power</v>
          </cell>
          <cell r="B673" t="str">
            <v>AP TRANSCO</v>
          </cell>
          <cell r="C673" t="str">
            <v>Financial Expenses</v>
          </cell>
        </row>
        <row r="674">
          <cell r="A674" t="str">
            <v>Power</v>
          </cell>
          <cell r="B674" t="str">
            <v>CHINDWARA</v>
          </cell>
          <cell r="C674" t="str">
            <v>Realisation against RA Bill</v>
          </cell>
          <cell r="E674">
            <v>27239999.999999996</v>
          </cell>
          <cell r="F674">
            <v>48512000</v>
          </cell>
          <cell r="G674">
            <v>57548000</v>
          </cell>
          <cell r="H674">
            <v>90006000</v>
          </cell>
          <cell r="I674">
            <v>100400000</v>
          </cell>
          <cell r="J674">
            <v>95880000</v>
          </cell>
          <cell r="K674">
            <v>56370000.000000007</v>
          </cell>
          <cell r="L674">
            <v>78920000</v>
          </cell>
          <cell r="M674">
            <v>55320000.000000007</v>
          </cell>
          <cell r="N674">
            <v>0</v>
          </cell>
          <cell r="O674">
            <v>0</v>
          </cell>
          <cell r="P674">
            <v>0</v>
          </cell>
        </row>
        <row r="675">
          <cell r="A675" t="str">
            <v>Power</v>
          </cell>
          <cell r="B675" t="str">
            <v>CHINDWARA</v>
          </cell>
          <cell r="C675" t="str">
            <v>Realisation against Escalation / Claims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</row>
        <row r="676">
          <cell r="A676" t="str">
            <v>Power</v>
          </cell>
          <cell r="B676" t="str">
            <v>CHINDWARA</v>
          </cell>
          <cell r="C676" t="str">
            <v>Realisitation of Mobilisation Advance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 t="str">
            <v>Power</v>
          </cell>
          <cell r="B677" t="str">
            <v>CHINDWARA</v>
          </cell>
          <cell r="C677" t="str">
            <v>Plant Advance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</row>
        <row r="678">
          <cell r="A678" t="str">
            <v>Power</v>
          </cell>
          <cell r="B678" t="str">
            <v>CHINDWARA</v>
          </cell>
          <cell r="C678" t="str">
            <v>Mat Advance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</row>
        <row r="679">
          <cell r="A679" t="str">
            <v>Power</v>
          </cell>
          <cell r="B679" t="str">
            <v>CHINDWARA</v>
          </cell>
          <cell r="C679" t="str">
            <v xml:space="preserve"> - Retention money from client(incl TDS)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</row>
        <row r="680">
          <cell r="A680" t="str">
            <v>Power</v>
          </cell>
          <cell r="B680" t="str">
            <v>CHINDWARA</v>
          </cell>
          <cell r="C680" t="str">
            <v>Other Receipts</v>
          </cell>
          <cell r="E680">
            <v>0</v>
          </cell>
          <cell r="F680">
            <v>24512500</v>
          </cell>
          <cell r="G680">
            <v>24512500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</row>
        <row r="681">
          <cell r="A681" t="str">
            <v>Power</v>
          </cell>
          <cell r="B681" t="str">
            <v>CHINDWARA</v>
          </cell>
          <cell r="C681" t="str">
            <v xml:space="preserve">Labour 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</row>
        <row r="682">
          <cell r="A682" t="str">
            <v>Power</v>
          </cell>
          <cell r="B682" t="str">
            <v>CHINDWARA</v>
          </cell>
          <cell r="C682" t="str">
            <v>Payment Suppliers(including Adv)</v>
          </cell>
          <cell r="E682">
            <v>30998500</v>
          </cell>
          <cell r="F682">
            <v>48698500</v>
          </cell>
          <cell r="G682">
            <v>54025000</v>
          </cell>
          <cell r="H682">
            <v>73670000</v>
          </cell>
          <cell r="I682">
            <v>67500000</v>
          </cell>
          <cell r="J682">
            <v>74107000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</row>
        <row r="683">
          <cell r="A683" t="str">
            <v>Power</v>
          </cell>
          <cell r="B683" t="str">
            <v>CHINDWARA</v>
          </cell>
          <cell r="C683" t="str">
            <v>Diesel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</row>
        <row r="684">
          <cell r="A684" t="str">
            <v>Power</v>
          </cell>
          <cell r="B684" t="str">
            <v>CHINDWARA</v>
          </cell>
          <cell r="C684" t="str">
            <v>Out side Machinery Hire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</row>
        <row r="685">
          <cell r="A685" t="str">
            <v>Power</v>
          </cell>
          <cell r="B685" t="str">
            <v>CHINDWARA</v>
          </cell>
          <cell r="C685" t="str">
            <v>Own Machinery Hire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</row>
        <row r="686">
          <cell r="A686" t="str">
            <v>Power</v>
          </cell>
          <cell r="B686" t="str">
            <v>CHINDWARA</v>
          </cell>
          <cell r="C686" t="str">
            <v>Sub contractor-(including Advance)</v>
          </cell>
          <cell r="E686">
            <v>5400000</v>
          </cell>
          <cell r="F686">
            <v>7200000</v>
          </cell>
          <cell r="G686">
            <v>10800000</v>
          </cell>
          <cell r="H686">
            <v>10800000</v>
          </cell>
          <cell r="I686">
            <v>10800000</v>
          </cell>
          <cell r="J686">
            <v>10800000</v>
          </cell>
          <cell r="K686">
            <v>3492000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</row>
        <row r="687">
          <cell r="A687" t="str">
            <v>Power</v>
          </cell>
          <cell r="B687" t="str">
            <v>CHINDWARA</v>
          </cell>
          <cell r="C687" t="str">
            <v>JV Share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</row>
        <row r="688">
          <cell r="A688" t="str">
            <v>Power</v>
          </cell>
          <cell r="B688" t="str">
            <v>CHINDWARA</v>
          </cell>
          <cell r="C688" t="str">
            <v>Plant Repairs &amp; Maintanance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</row>
        <row r="689">
          <cell r="A689" t="str">
            <v>Power</v>
          </cell>
          <cell r="B689" t="str">
            <v>CHINDWARA</v>
          </cell>
          <cell r="C689" t="str">
            <v>Other Direct Over Heads</v>
          </cell>
          <cell r="E689">
            <v>334500</v>
          </cell>
          <cell r="F689">
            <v>334500</v>
          </cell>
          <cell r="G689">
            <v>334500</v>
          </cell>
          <cell r="H689">
            <v>334500</v>
          </cell>
          <cell r="I689">
            <v>334500</v>
          </cell>
          <cell r="J689">
            <v>334500</v>
          </cell>
          <cell r="K689">
            <v>334500</v>
          </cell>
          <cell r="L689">
            <v>334500</v>
          </cell>
          <cell r="M689">
            <v>334500</v>
          </cell>
          <cell r="N689">
            <v>334500</v>
          </cell>
          <cell r="O689">
            <v>334500</v>
          </cell>
          <cell r="P689">
            <v>334500</v>
          </cell>
        </row>
        <row r="690">
          <cell r="A690" t="str">
            <v>Power</v>
          </cell>
          <cell r="B690" t="str">
            <v>CHINDWARA</v>
          </cell>
          <cell r="C690" t="str">
            <v>VAT &amp; other Taxes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 t="str">
            <v>Power</v>
          </cell>
          <cell r="B691" t="str">
            <v>CHINDWARA</v>
          </cell>
          <cell r="C691" t="str">
            <v>Salaries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</row>
        <row r="692">
          <cell r="A692" t="str">
            <v>Power</v>
          </cell>
          <cell r="B692" t="str">
            <v>CHINDWARA</v>
          </cell>
          <cell r="C692" t="str">
            <v>Operating overhead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</row>
        <row r="693">
          <cell r="A693" t="str">
            <v>Power</v>
          </cell>
          <cell r="B693" t="str">
            <v>CHINDWARA</v>
          </cell>
          <cell r="C693" t="str">
            <v>Financial Expenses</v>
          </cell>
        </row>
        <row r="694">
          <cell r="A694" t="str">
            <v>Power</v>
          </cell>
          <cell r="B694" t="str">
            <v>UJJAIN</v>
          </cell>
          <cell r="C694" t="str">
            <v>Realisation against RA Bill</v>
          </cell>
        </row>
        <row r="695">
          <cell r="A695" t="str">
            <v>Power</v>
          </cell>
          <cell r="B695" t="str">
            <v>UJJAIN</v>
          </cell>
          <cell r="C695" t="str">
            <v>Realisation against Escalation / Claims</v>
          </cell>
        </row>
        <row r="696">
          <cell r="A696" t="str">
            <v>Power</v>
          </cell>
          <cell r="B696" t="str">
            <v>UJJAIN</v>
          </cell>
          <cell r="C696" t="str">
            <v>Realisitation of Mobilisation Advance</v>
          </cell>
        </row>
        <row r="697">
          <cell r="A697" t="str">
            <v>Power</v>
          </cell>
          <cell r="B697" t="str">
            <v>UJJAIN</v>
          </cell>
          <cell r="C697" t="str">
            <v>Plant Advance</v>
          </cell>
        </row>
        <row r="698">
          <cell r="A698" t="str">
            <v>Power</v>
          </cell>
          <cell r="B698" t="str">
            <v>UJJAIN</v>
          </cell>
          <cell r="C698" t="str">
            <v>Mat Advance</v>
          </cell>
        </row>
        <row r="699">
          <cell r="A699" t="str">
            <v>Power</v>
          </cell>
          <cell r="B699" t="str">
            <v>UJJAIN</v>
          </cell>
          <cell r="C699" t="str">
            <v xml:space="preserve"> - Retention money from client(incl TDS)</v>
          </cell>
        </row>
        <row r="700">
          <cell r="A700" t="str">
            <v>Power</v>
          </cell>
          <cell r="B700" t="str">
            <v>UJJAIN</v>
          </cell>
          <cell r="C700" t="str">
            <v>Other Receipts</v>
          </cell>
        </row>
        <row r="701">
          <cell r="A701" t="str">
            <v>Power</v>
          </cell>
          <cell r="B701" t="str">
            <v>UJJAIN</v>
          </cell>
          <cell r="C701" t="str">
            <v xml:space="preserve">Labour </v>
          </cell>
        </row>
        <row r="702">
          <cell r="A702" t="str">
            <v>Power</v>
          </cell>
          <cell r="B702" t="str">
            <v>UJJAIN</v>
          </cell>
          <cell r="C702" t="str">
            <v>Payment Suppliers(including Adv)</v>
          </cell>
        </row>
        <row r="703">
          <cell r="A703" t="str">
            <v>Power</v>
          </cell>
          <cell r="B703" t="str">
            <v>UJJAIN</v>
          </cell>
          <cell r="C703" t="str">
            <v>Diesel</v>
          </cell>
        </row>
        <row r="704">
          <cell r="A704" t="str">
            <v>Power</v>
          </cell>
          <cell r="B704" t="str">
            <v>UJJAIN</v>
          </cell>
          <cell r="C704" t="str">
            <v>Out side Machinery Hire</v>
          </cell>
        </row>
        <row r="705">
          <cell r="A705" t="str">
            <v>Power</v>
          </cell>
          <cell r="B705" t="str">
            <v>UJJAIN</v>
          </cell>
          <cell r="C705" t="str">
            <v>Own Machinery Hire</v>
          </cell>
        </row>
        <row r="706">
          <cell r="A706" t="str">
            <v>Power</v>
          </cell>
          <cell r="B706" t="str">
            <v>UJJAIN</v>
          </cell>
          <cell r="C706" t="str">
            <v>Sub contractor-(including Advance)</v>
          </cell>
        </row>
        <row r="707">
          <cell r="A707" t="str">
            <v>Power</v>
          </cell>
          <cell r="B707" t="str">
            <v>UJJAIN</v>
          </cell>
          <cell r="C707" t="str">
            <v>JV Share</v>
          </cell>
        </row>
        <row r="708">
          <cell r="A708" t="str">
            <v>Power</v>
          </cell>
          <cell r="B708" t="str">
            <v>UJJAIN</v>
          </cell>
          <cell r="C708" t="str">
            <v>Plant Repairs &amp; Maintanance</v>
          </cell>
        </row>
        <row r="709">
          <cell r="A709" t="str">
            <v>Power</v>
          </cell>
          <cell r="B709" t="str">
            <v>UJJAIN</v>
          </cell>
          <cell r="C709" t="str">
            <v>Other Direct Over Heads</v>
          </cell>
        </row>
        <row r="710">
          <cell r="A710" t="str">
            <v>Power</v>
          </cell>
          <cell r="B710" t="str">
            <v>UJJAIN</v>
          </cell>
          <cell r="C710" t="str">
            <v>VAT &amp; other Taxes</v>
          </cell>
        </row>
        <row r="711">
          <cell r="A711" t="str">
            <v>Power</v>
          </cell>
          <cell r="B711" t="str">
            <v>UJJAIN</v>
          </cell>
          <cell r="C711" t="str">
            <v>Salaries</v>
          </cell>
        </row>
        <row r="712">
          <cell r="A712" t="str">
            <v>Power</v>
          </cell>
          <cell r="B712" t="str">
            <v>UJJAIN</v>
          </cell>
          <cell r="C712" t="str">
            <v>Operating overhead</v>
          </cell>
        </row>
        <row r="713">
          <cell r="A713" t="str">
            <v>Power</v>
          </cell>
          <cell r="B713" t="str">
            <v>UJJAIN</v>
          </cell>
          <cell r="C713" t="str">
            <v>Financial Expenses</v>
          </cell>
        </row>
        <row r="714">
          <cell r="A714" t="str">
            <v>Power</v>
          </cell>
          <cell r="B714" t="str">
            <v>JAIPUR</v>
          </cell>
          <cell r="C714" t="str">
            <v>Realisation against RA Bill</v>
          </cell>
          <cell r="E714">
            <v>0</v>
          </cell>
          <cell r="F714">
            <v>16500000</v>
          </cell>
          <cell r="G714">
            <v>22000000.000000004</v>
          </cell>
          <cell r="H714">
            <v>27500000</v>
          </cell>
          <cell r="I714">
            <v>19250000.000000004</v>
          </cell>
          <cell r="J714">
            <v>35500000</v>
          </cell>
          <cell r="K714">
            <v>43180000</v>
          </cell>
          <cell r="L714">
            <v>48750000</v>
          </cell>
          <cell r="M714">
            <v>45500000</v>
          </cell>
          <cell r="N714">
            <v>106915000.00000001</v>
          </cell>
          <cell r="O714">
            <v>41750000</v>
          </cell>
          <cell r="P714">
            <v>43655000.000000015</v>
          </cell>
        </row>
        <row r="715">
          <cell r="A715" t="str">
            <v>Power</v>
          </cell>
          <cell r="B715" t="str">
            <v>JAIPUR</v>
          </cell>
          <cell r="C715" t="str">
            <v>Realisation against Escalation / Claims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</row>
        <row r="716">
          <cell r="A716" t="str">
            <v>Power</v>
          </cell>
          <cell r="B716" t="str">
            <v>JAIPUR</v>
          </cell>
          <cell r="C716" t="str">
            <v>Realisitation of Mobilisation Advance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</row>
        <row r="717">
          <cell r="A717" t="str">
            <v>Power</v>
          </cell>
          <cell r="B717" t="str">
            <v>JAIPUR</v>
          </cell>
          <cell r="C717" t="str">
            <v>Plant Advance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</row>
        <row r="718">
          <cell r="A718" t="str">
            <v>Power</v>
          </cell>
          <cell r="B718" t="str">
            <v>JAIPUR</v>
          </cell>
          <cell r="C718" t="str">
            <v>Mat Advance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</row>
        <row r="719">
          <cell r="A719" t="str">
            <v>Power</v>
          </cell>
          <cell r="B719" t="str">
            <v>JAIPUR</v>
          </cell>
          <cell r="C719" t="str">
            <v xml:space="preserve"> - Retention money from client(incl TDS)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</row>
        <row r="720">
          <cell r="A720" t="str">
            <v>Power</v>
          </cell>
          <cell r="B720" t="str">
            <v>JAIPUR</v>
          </cell>
          <cell r="C720" t="str">
            <v>Other Receipts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</row>
        <row r="721">
          <cell r="A721" t="str">
            <v>Power</v>
          </cell>
          <cell r="B721" t="str">
            <v>JAIPUR</v>
          </cell>
          <cell r="C721" t="str">
            <v xml:space="preserve">Labour 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</row>
        <row r="722">
          <cell r="A722" t="str">
            <v>Power</v>
          </cell>
          <cell r="B722" t="str">
            <v>JAIPUR</v>
          </cell>
          <cell r="C722" t="str">
            <v>Payment Suppliers(including Adv)</v>
          </cell>
          <cell r="E722">
            <v>22968000</v>
          </cell>
          <cell r="F722">
            <v>30624000</v>
          </cell>
          <cell r="G722">
            <v>38280000</v>
          </cell>
          <cell r="H722">
            <v>26796000.000000004</v>
          </cell>
          <cell r="I722">
            <v>30624000</v>
          </cell>
          <cell r="J722">
            <v>28786560.000000004</v>
          </cell>
          <cell r="K722">
            <v>45936000</v>
          </cell>
          <cell r="L722">
            <v>38280000</v>
          </cell>
          <cell r="M722">
            <v>27025680</v>
          </cell>
          <cell r="N722">
            <v>26796000.000000004</v>
          </cell>
          <cell r="O722">
            <v>22968000</v>
          </cell>
          <cell r="P722">
            <v>5818560.0000000009</v>
          </cell>
        </row>
        <row r="723">
          <cell r="A723" t="str">
            <v>Power</v>
          </cell>
          <cell r="B723" t="str">
            <v>JAIPUR</v>
          </cell>
          <cell r="C723" t="str">
            <v>Diesel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</row>
        <row r="724">
          <cell r="A724" t="str">
            <v>Power</v>
          </cell>
          <cell r="B724" t="str">
            <v>JAIPUR</v>
          </cell>
          <cell r="C724" t="str">
            <v>Out side Machinery Hire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</row>
        <row r="725">
          <cell r="A725" t="str">
            <v>Power</v>
          </cell>
          <cell r="B725" t="str">
            <v>JAIPUR</v>
          </cell>
          <cell r="C725" t="str">
            <v>Own Machinery Hire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</row>
        <row r="726">
          <cell r="A726" t="str">
            <v>Power</v>
          </cell>
          <cell r="B726" t="str">
            <v>JAIPUR</v>
          </cell>
          <cell r="C726" t="str">
            <v>Sub contractor-(including Advance)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</row>
        <row r="727">
          <cell r="A727" t="str">
            <v>Power</v>
          </cell>
          <cell r="B727" t="str">
            <v>JAIPUR</v>
          </cell>
          <cell r="C727" t="str">
            <v>JV Share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</row>
        <row r="728">
          <cell r="A728" t="str">
            <v>Power</v>
          </cell>
          <cell r="B728" t="str">
            <v>JAIPUR</v>
          </cell>
          <cell r="C728" t="str">
            <v>Plant Repairs &amp; Maintanance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</row>
        <row r="729">
          <cell r="A729" t="str">
            <v>Power</v>
          </cell>
          <cell r="B729" t="str">
            <v>JAIPUR</v>
          </cell>
          <cell r="C729" t="str">
            <v>Other Direct Over Heads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</row>
        <row r="730">
          <cell r="A730" t="str">
            <v>Power</v>
          </cell>
          <cell r="B730" t="str">
            <v>JAIPUR</v>
          </cell>
          <cell r="C730" t="str">
            <v>VAT &amp; other Taxes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</row>
        <row r="731">
          <cell r="A731" t="str">
            <v>Power</v>
          </cell>
          <cell r="B731" t="str">
            <v>JAIPUR</v>
          </cell>
          <cell r="C731" t="str">
            <v>Salaries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</row>
        <row r="732">
          <cell r="A732" t="str">
            <v>Power</v>
          </cell>
          <cell r="B732" t="str">
            <v>JAIPUR</v>
          </cell>
          <cell r="C732" t="str">
            <v>Operating overhead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</row>
        <row r="733">
          <cell r="A733" t="str">
            <v>Power</v>
          </cell>
          <cell r="B733" t="str">
            <v>JAIPUR</v>
          </cell>
          <cell r="C733" t="str">
            <v>Financial Expenses</v>
          </cell>
        </row>
        <row r="734">
          <cell r="A734" t="str">
            <v>Power</v>
          </cell>
          <cell r="B734" t="str">
            <v>JAJPUR PKG B</v>
          </cell>
          <cell r="C734" t="str">
            <v>Realisation against RA Bill</v>
          </cell>
          <cell r="E734">
            <v>0</v>
          </cell>
          <cell r="F734">
            <v>681000</v>
          </cell>
          <cell r="G734">
            <v>9431000</v>
          </cell>
          <cell r="H734">
            <v>29989000</v>
          </cell>
          <cell r="I734">
            <v>28016000.000000004</v>
          </cell>
          <cell r="J734">
            <v>32308000</v>
          </cell>
          <cell r="K734">
            <v>33850000</v>
          </cell>
          <cell r="L734">
            <v>42253000</v>
          </cell>
          <cell r="M734">
            <v>56921000</v>
          </cell>
          <cell r="N734">
            <v>55699000</v>
          </cell>
          <cell r="O734">
            <v>55532000.000000007</v>
          </cell>
          <cell r="P734">
            <v>67867000</v>
          </cell>
        </row>
        <row r="735">
          <cell r="A735" t="str">
            <v>Power</v>
          </cell>
          <cell r="B735" t="str">
            <v>JAJPUR PKG B</v>
          </cell>
          <cell r="C735" t="str">
            <v>Realisation against Escalation / Claims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</row>
        <row r="736">
          <cell r="A736" t="str">
            <v>Power</v>
          </cell>
          <cell r="B736" t="str">
            <v>JAJPUR PKG B</v>
          </cell>
          <cell r="C736" t="str">
            <v>Realisitation of Mobilisation Advance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</row>
        <row r="737">
          <cell r="A737" t="str">
            <v>Power</v>
          </cell>
          <cell r="B737" t="str">
            <v>JAJPUR PKG B</v>
          </cell>
          <cell r="C737" t="str">
            <v>Plant Advance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</row>
        <row r="738">
          <cell r="A738" t="str">
            <v>Power</v>
          </cell>
          <cell r="B738" t="str">
            <v>JAJPUR PKG B</v>
          </cell>
          <cell r="C738" t="str">
            <v>Mat Advance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</row>
        <row r="739">
          <cell r="A739" t="str">
            <v>Power</v>
          </cell>
          <cell r="B739" t="str">
            <v>JAJPUR PKG B</v>
          </cell>
          <cell r="C739" t="str">
            <v xml:space="preserve"> - Retention money from client(incl TDS)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</row>
        <row r="740">
          <cell r="A740" t="str">
            <v>Power</v>
          </cell>
          <cell r="B740" t="str">
            <v>JAJPUR PKG B</v>
          </cell>
          <cell r="C740" t="str">
            <v>Other Receipts</v>
          </cell>
          <cell r="E740">
            <v>6937000</v>
          </cell>
          <cell r="F740">
            <v>3090000</v>
          </cell>
          <cell r="G740">
            <v>13147000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</row>
        <row r="741">
          <cell r="A741" t="str">
            <v>Power</v>
          </cell>
          <cell r="B741" t="str">
            <v>JAJPUR PKG B</v>
          </cell>
          <cell r="C741" t="str">
            <v xml:space="preserve">Labour 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</row>
        <row r="742">
          <cell r="A742" t="str">
            <v>Power</v>
          </cell>
          <cell r="B742" t="str">
            <v>JAJPUR PKG B</v>
          </cell>
          <cell r="C742" t="str">
            <v>Payment Suppliers(including Adv)</v>
          </cell>
          <cell r="E742">
            <v>17251000.000000004</v>
          </cell>
          <cell r="F742">
            <v>25030000</v>
          </cell>
          <cell r="G742">
            <v>26252000</v>
          </cell>
          <cell r="H742">
            <v>30141000.000000004</v>
          </cell>
          <cell r="I742">
            <v>23919000</v>
          </cell>
          <cell r="J742">
            <v>26447000.000000004</v>
          </cell>
          <cell r="K742">
            <v>29752000</v>
          </cell>
          <cell r="L742">
            <v>36947000</v>
          </cell>
          <cell r="M742">
            <v>51726000</v>
          </cell>
          <cell r="N742">
            <v>50949000</v>
          </cell>
          <cell r="O742">
            <v>46281000</v>
          </cell>
          <cell r="P742">
            <v>57949000</v>
          </cell>
        </row>
        <row r="743">
          <cell r="A743" t="str">
            <v>Power</v>
          </cell>
          <cell r="B743" t="str">
            <v>JAJPUR PKG B</v>
          </cell>
          <cell r="C743" t="str">
            <v>Diesel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</row>
        <row r="744">
          <cell r="A744" t="str">
            <v>Power</v>
          </cell>
          <cell r="B744" t="str">
            <v>JAJPUR PKG B</v>
          </cell>
          <cell r="C744" t="str">
            <v>Out side Machinery Hire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</row>
        <row r="745">
          <cell r="A745" t="str">
            <v>Power</v>
          </cell>
          <cell r="B745" t="str">
            <v>JAJPUR PKG B</v>
          </cell>
          <cell r="C745" t="str">
            <v>Own Machinery Hire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</row>
        <row r="746">
          <cell r="A746" t="str">
            <v>Power</v>
          </cell>
          <cell r="B746" t="str">
            <v>JAJPUR PKG B</v>
          </cell>
          <cell r="C746" t="str">
            <v>Sub contractor-(including Advance)</v>
          </cell>
          <cell r="E746">
            <v>142000</v>
          </cell>
          <cell r="F746">
            <v>2030999.9999999998</v>
          </cell>
          <cell r="G746">
            <v>6376000</v>
          </cell>
          <cell r="H746">
            <v>7320000</v>
          </cell>
          <cell r="I746">
            <v>5809000</v>
          </cell>
          <cell r="J746">
            <v>6423000</v>
          </cell>
          <cell r="K746">
            <v>7226000.0000000009</v>
          </cell>
          <cell r="L746">
            <v>8973000</v>
          </cell>
          <cell r="M746">
            <v>12562000</v>
          </cell>
          <cell r="N746">
            <v>12373000</v>
          </cell>
          <cell r="O746">
            <v>11240000</v>
          </cell>
          <cell r="P746">
            <v>14072999.999999998</v>
          </cell>
        </row>
        <row r="747">
          <cell r="A747" t="str">
            <v>Power</v>
          </cell>
          <cell r="B747" t="str">
            <v>JAJPUR PKG B</v>
          </cell>
          <cell r="C747" t="str">
            <v>JV Share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</row>
        <row r="748">
          <cell r="A748" t="str">
            <v>Power</v>
          </cell>
          <cell r="B748" t="str">
            <v>JAJPUR PKG B</v>
          </cell>
          <cell r="C748" t="str">
            <v>Plant Repairs &amp; Maintanance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</row>
        <row r="749">
          <cell r="A749" t="str">
            <v>Power</v>
          </cell>
          <cell r="B749" t="str">
            <v>JAJPUR PKG B</v>
          </cell>
          <cell r="C749" t="str">
            <v>Other Direct Over Heads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</row>
        <row r="750">
          <cell r="A750" t="str">
            <v>Power</v>
          </cell>
          <cell r="B750" t="str">
            <v>JAJPUR PKG B</v>
          </cell>
          <cell r="C750" t="str">
            <v>VAT &amp; other Taxes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</row>
        <row r="751">
          <cell r="A751" t="str">
            <v>Power</v>
          </cell>
          <cell r="B751" t="str">
            <v>JAJPUR PKG B</v>
          </cell>
          <cell r="C751" t="str">
            <v>Salaries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</row>
        <row r="752">
          <cell r="A752" t="str">
            <v>Power</v>
          </cell>
          <cell r="B752" t="str">
            <v>JAJPUR PKG B</v>
          </cell>
          <cell r="C752" t="str">
            <v>Operating overhead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</row>
        <row r="753">
          <cell r="A753" t="str">
            <v>Power</v>
          </cell>
          <cell r="B753" t="str">
            <v>JAJPUR PKG B</v>
          </cell>
          <cell r="C753" t="str">
            <v>Financial Expenses</v>
          </cell>
        </row>
        <row r="754">
          <cell r="A754" t="str">
            <v>Power</v>
          </cell>
          <cell r="B754" t="str">
            <v>JAJPUR PKG C</v>
          </cell>
          <cell r="C754" t="str">
            <v>Realisation against RA Bill</v>
          </cell>
          <cell r="E754">
            <v>0</v>
          </cell>
          <cell r="F754">
            <v>544000</v>
          </cell>
          <cell r="G754">
            <v>7544000</v>
          </cell>
          <cell r="H754">
            <v>23986000</v>
          </cell>
          <cell r="I754">
            <v>22409000</v>
          </cell>
          <cell r="J754">
            <v>25842000</v>
          </cell>
          <cell r="K754">
            <v>27075000</v>
          </cell>
          <cell r="L754">
            <v>33797000</v>
          </cell>
          <cell r="M754">
            <v>45529000</v>
          </cell>
          <cell r="N754">
            <v>44551000</v>
          </cell>
          <cell r="O754">
            <v>44418000</v>
          </cell>
          <cell r="P754">
            <v>54283000.000000007</v>
          </cell>
        </row>
        <row r="755">
          <cell r="A755" t="str">
            <v>Power</v>
          </cell>
          <cell r="B755" t="str">
            <v>JAJPUR PKG C</v>
          </cell>
          <cell r="C755" t="str">
            <v>Realisation against Escalation / Claims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</row>
        <row r="756">
          <cell r="A756" t="str">
            <v>Power</v>
          </cell>
          <cell r="B756" t="str">
            <v>JAJPUR PKG C</v>
          </cell>
          <cell r="C756" t="str">
            <v>Realisitation of Mobilisation Advance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</row>
        <row r="757">
          <cell r="A757" t="str">
            <v>Power</v>
          </cell>
          <cell r="B757" t="str">
            <v>JAJPUR PKG C</v>
          </cell>
          <cell r="C757" t="str">
            <v>Plant Advance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</row>
        <row r="758">
          <cell r="A758" t="str">
            <v>Power</v>
          </cell>
          <cell r="B758" t="str">
            <v>JAJPUR PKG C</v>
          </cell>
          <cell r="C758" t="str">
            <v>Mat Advance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</row>
        <row r="759">
          <cell r="A759" t="str">
            <v>Power</v>
          </cell>
          <cell r="B759" t="str">
            <v>JAJPUR PKG C</v>
          </cell>
          <cell r="C759" t="str">
            <v xml:space="preserve"> - Retention money from client(incl TDS)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</row>
        <row r="760">
          <cell r="A760" t="str">
            <v>Power</v>
          </cell>
          <cell r="B760" t="str">
            <v>JAJPUR PKG C</v>
          </cell>
          <cell r="C760" t="str">
            <v>Other Receipts</v>
          </cell>
          <cell r="E760">
            <v>3565000</v>
          </cell>
          <cell r="F760">
            <v>2218000</v>
          </cell>
          <cell r="G760">
            <v>17972000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</row>
        <row r="761">
          <cell r="A761" t="str">
            <v>Power</v>
          </cell>
          <cell r="B761" t="str">
            <v>JAJPUR PKG C</v>
          </cell>
          <cell r="C761" t="str">
            <v xml:space="preserve">Labour 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</row>
        <row r="762">
          <cell r="A762" t="str">
            <v>Power</v>
          </cell>
          <cell r="B762" t="str">
            <v>JAJPUR PKG C</v>
          </cell>
          <cell r="C762" t="str">
            <v>Payment Suppliers(including Adv)</v>
          </cell>
          <cell r="E762">
            <v>13798999.999999998</v>
          </cell>
          <cell r="F762">
            <v>20020000</v>
          </cell>
          <cell r="G762">
            <v>20998000</v>
          </cell>
          <cell r="H762">
            <v>24109000</v>
          </cell>
          <cell r="I762">
            <v>19131000</v>
          </cell>
          <cell r="J762">
            <v>21153000</v>
          </cell>
          <cell r="K762">
            <v>23798000</v>
          </cell>
          <cell r="L762">
            <v>29552999.999999996</v>
          </cell>
          <cell r="M762">
            <v>41374000</v>
          </cell>
          <cell r="N762">
            <v>40751000</v>
          </cell>
          <cell r="O762">
            <v>37019000</v>
          </cell>
          <cell r="P762">
            <v>46351000</v>
          </cell>
        </row>
        <row r="763">
          <cell r="A763" t="str">
            <v>Power</v>
          </cell>
          <cell r="B763" t="str">
            <v>JAJPUR PKG C</v>
          </cell>
          <cell r="C763" t="str">
            <v>Diesel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</row>
        <row r="764">
          <cell r="A764" t="str">
            <v>Power</v>
          </cell>
          <cell r="B764" t="str">
            <v>JAJPUR PKG C</v>
          </cell>
          <cell r="C764" t="str">
            <v>Out side Machinery Hire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</row>
        <row r="765">
          <cell r="A765" t="str">
            <v>Power</v>
          </cell>
          <cell r="B765" t="str">
            <v>JAJPUR PKG C</v>
          </cell>
          <cell r="C765" t="str">
            <v>Own Machinery Hire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</row>
        <row r="766">
          <cell r="A766" t="str">
            <v>Power</v>
          </cell>
          <cell r="B766" t="str">
            <v>JAJPUR PKG C</v>
          </cell>
          <cell r="C766" t="str">
            <v>Sub contractor-(including Advance)</v>
          </cell>
          <cell r="E766">
            <v>112999.99999999999</v>
          </cell>
          <cell r="F766">
            <v>1623999.9999999998</v>
          </cell>
          <cell r="G766">
            <v>5099000</v>
          </cell>
          <cell r="H766">
            <v>5855000</v>
          </cell>
          <cell r="I766">
            <v>4646000</v>
          </cell>
          <cell r="J766">
            <v>5137000</v>
          </cell>
          <cell r="K766">
            <v>5779000</v>
          </cell>
          <cell r="L766">
            <v>7177000</v>
          </cell>
          <cell r="M766">
            <v>10048000</v>
          </cell>
          <cell r="N766">
            <v>9897000</v>
          </cell>
          <cell r="O766">
            <v>8990000</v>
          </cell>
          <cell r="P766">
            <v>11257000</v>
          </cell>
        </row>
        <row r="767">
          <cell r="A767" t="str">
            <v>Power</v>
          </cell>
          <cell r="B767" t="str">
            <v>JAJPUR PKG C</v>
          </cell>
          <cell r="C767" t="str">
            <v>JV Share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</row>
        <row r="768">
          <cell r="A768" t="str">
            <v>Power</v>
          </cell>
          <cell r="B768" t="str">
            <v>JAJPUR PKG C</v>
          </cell>
          <cell r="C768" t="str">
            <v>Plant Repairs &amp; Maintanance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</row>
        <row r="769">
          <cell r="A769" t="str">
            <v>Power</v>
          </cell>
          <cell r="B769" t="str">
            <v>JAJPUR PKG C</v>
          </cell>
          <cell r="C769" t="str">
            <v>Other Direct Over Heads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</row>
        <row r="770">
          <cell r="A770" t="str">
            <v>Power</v>
          </cell>
          <cell r="B770" t="str">
            <v>JAJPUR PKG C</v>
          </cell>
          <cell r="C770" t="str">
            <v>VAT &amp; other Taxes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</row>
        <row r="771">
          <cell r="A771" t="str">
            <v>Power</v>
          </cell>
          <cell r="B771" t="str">
            <v>JAJPUR PKG C</v>
          </cell>
          <cell r="C771" t="str">
            <v>Salaries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</row>
        <row r="772">
          <cell r="A772" t="str">
            <v>Power</v>
          </cell>
          <cell r="B772" t="str">
            <v>JAJPUR PKG C</v>
          </cell>
          <cell r="C772" t="str">
            <v>Operating overhead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</row>
        <row r="773">
          <cell r="A773" t="str">
            <v>Power</v>
          </cell>
          <cell r="B773" t="str">
            <v>JAJPUR PKG C</v>
          </cell>
          <cell r="C773" t="str">
            <v>Financial Expenses</v>
          </cell>
        </row>
        <row r="774">
          <cell r="A774" t="str">
            <v>Power</v>
          </cell>
          <cell r="B774" t="str">
            <v>KUDRA PKG B</v>
          </cell>
          <cell r="C774" t="str">
            <v>Realisation against RA Bill</v>
          </cell>
          <cell r="E774">
            <v>166.58758499374926</v>
          </cell>
          <cell r="F774">
            <v>295224.99999999994</v>
          </cell>
          <cell r="G774">
            <v>3352467.4999999995</v>
          </cell>
          <cell r="H774">
            <v>9664812.4999999981</v>
          </cell>
          <cell r="I774">
            <v>11938069.999999998</v>
          </cell>
          <cell r="J774">
            <v>9125354.9999999981</v>
          </cell>
          <cell r="K774">
            <v>11846770</v>
          </cell>
          <cell r="L774">
            <v>13729037.499999998</v>
          </cell>
          <cell r="M774">
            <v>15644337.5</v>
          </cell>
          <cell r="N774">
            <v>16581184.999999996</v>
          </cell>
          <cell r="O774">
            <v>20672307.5</v>
          </cell>
          <cell r="P774">
            <v>29103710.000000007</v>
          </cell>
        </row>
        <row r="775">
          <cell r="A775" t="str">
            <v>Power</v>
          </cell>
          <cell r="B775" t="str">
            <v>KUDRA PKG B</v>
          </cell>
          <cell r="C775" t="str">
            <v>Realisation against Escalation / Claims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</row>
        <row r="776">
          <cell r="A776" t="str">
            <v>Power</v>
          </cell>
          <cell r="B776" t="str">
            <v>KUDRA PKG B</v>
          </cell>
          <cell r="C776" t="str">
            <v>Realisitation of Mobilisation Advance</v>
          </cell>
          <cell r="E776">
            <v>47799000</v>
          </cell>
          <cell r="F776">
            <v>5795000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</row>
        <row r="777">
          <cell r="A777" t="str">
            <v>Power</v>
          </cell>
          <cell r="B777" t="str">
            <v>KUDRA PKG B</v>
          </cell>
          <cell r="C777" t="str">
            <v>Plant Advance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</row>
        <row r="778">
          <cell r="A778" t="str">
            <v>Power</v>
          </cell>
          <cell r="B778" t="str">
            <v>KUDRA PKG B</v>
          </cell>
          <cell r="C778" t="str">
            <v>Mat Advance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</row>
        <row r="779">
          <cell r="A779" t="str">
            <v>Power</v>
          </cell>
          <cell r="B779" t="str">
            <v>KUDRA PKG B</v>
          </cell>
          <cell r="C779" t="str">
            <v xml:space="preserve"> - Retention money from client(incl TDS)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</row>
        <row r="780">
          <cell r="A780" t="str">
            <v>Power</v>
          </cell>
          <cell r="B780" t="str">
            <v>KUDRA PKG B</v>
          </cell>
          <cell r="C780" t="str">
            <v>Other Receipts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</row>
        <row r="781">
          <cell r="A781" t="str">
            <v>Power</v>
          </cell>
          <cell r="B781" t="str">
            <v>KUDRA PKG B</v>
          </cell>
          <cell r="C781" t="str">
            <v xml:space="preserve">Labour 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</row>
        <row r="782">
          <cell r="A782" t="str">
            <v>Power</v>
          </cell>
          <cell r="B782" t="str">
            <v>KUDRA PKG B</v>
          </cell>
          <cell r="C782" t="str">
            <v>Payment Suppliers(including Adv)</v>
          </cell>
          <cell r="E782">
            <v>302000</v>
          </cell>
          <cell r="F782">
            <v>3191000</v>
          </cell>
          <cell r="G782">
            <v>9840000</v>
          </cell>
          <cell r="H782">
            <v>10947000</v>
          </cell>
          <cell r="I782">
            <v>6609999.9999999991</v>
          </cell>
          <cell r="J782">
            <v>10353000</v>
          </cell>
          <cell r="K782">
            <v>11735000</v>
          </cell>
          <cell r="L782">
            <v>14023000.000000002</v>
          </cell>
          <cell r="M782">
            <v>14385000</v>
          </cell>
          <cell r="N782">
            <v>18236000</v>
          </cell>
          <cell r="O782">
            <v>25218000</v>
          </cell>
          <cell r="P782">
            <v>22577000</v>
          </cell>
        </row>
        <row r="783">
          <cell r="A783" t="str">
            <v>Power</v>
          </cell>
          <cell r="B783" t="str">
            <v>KUDRA PKG B</v>
          </cell>
          <cell r="C783" t="str">
            <v>Diesel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</row>
        <row r="784">
          <cell r="A784" t="str">
            <v>Power</v>
          </cell>
          <cell r="B784" t="str">
            <v>KUDRA PKG B</v>
          </cell>
          <cell r="C784" t="str">
            <v>Out side Machinery Hire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</row>
        <row r="785">
          <cell r="A785" t="str">
            <v>Power</v>
          </cell>
          <cell r="B785" t="str">
            <v>KUDRA PKG B</v>
          </cell>
          <cell r="C785" t="str">
            <v>Own Machinery Hire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</row>
        <row r="786">
          <cell r="A786" t="str">
            <v>Power</v>
          </cell>
          <cell r="B786" t="str">
            <v>KUDRA PKG B</v>
          </cell>
          <cell r="C786" t="str">
            <v>Sub contractor-(including Advance)</v>
          </cell>
          <cell r="E786">
            <v>4772000</v>
          </cell>
          <cell r="F786">
            <v>273000</v>
          </cell>
          <cell r="G786">
            <v>390000</v>
          </cell>
          <cell r="H786">
            <v>990000</v>
          </cell>
          <cell r="I786">
            <v>1293000</v>
          </cell>
          <cell r="J786">
            <v>1613000</v>
          </cell>
          <cell r="K786">
            <v>1581000</v>
          </cell>
          <cell r="L786">
            <v>1413000</v>
          </cell>
          <cell r="M786">
            <v>1569000</v>
          </cell>
          <cell r="N786">
            <v>2010000.0000000002</v>
          </cell>
          <cell r="O786">
            <v>3754000</v>
          </cell>
          <cell r="P786">
            <v>5093000</v>
          </cell>
        </row>
        <row r="787">
          <cell r="A787" t="str">
            <v>Power</v>
          </cell>
          <cell r="B787" t="str">
            <v>KUDRA PKG B</v>
          </cell>
          <cell r="C787" t="str">
            <v>JV Share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</row>
        <row r="788">
          <cell r="A788" t="str">
            <v>Power</v>
          </cell>
          <cell r="B788" t="str">
            <v>KUDRA PKG B</v>
          </cell>
          <cell r="C788" t="str">
            <v>Plant Repairs &amp; Maintanance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</row>
        <row r="789">
          <cell r="A789" t="str">
            <v>Power</v>
          </cell>
          <cell r="B789" t="str">
            <v>KUDRA PKG B</v>
          </cell>
          <cell r="C789" t="str">
            <v>Other Direct Over Heads</v>
          </cell>
          <cell r="E789">
            <v>15910</v>
          </cell>
          <cell r="F789">
            <v>105890</v>
          </cell>
          <cell r="G789">
            <v>176839.99999999997</v>
          </cell>
          <cell r="H789">
            <v>79040</v>
          </cell>
          <cell r="I789">
            <v>145570</v>
          </cell>
          <cell r="J789">
            <v>151440</v>
          </cell>
          <cell r="K789">
            <v>190410</v>
          </cell>
          <cell r="L789">
            <v>188909.99999999997</v>
          </cell>
          <cell r="M789">
            <v>217950</v>
          </cell>
          <cell r="N789">
            <v>343450</v>
          </cell>
          <cell r="O789">
            <v>406180</v>
          </cell>
          <cell r="P789">
            <v>190530</v>
          </cell>
        </row>
        <row r="790">
          <cell r="A790" t="str">
            <v>Power</v>
          </cell>
          <cell r="B790" t="str">
            <v>KUDRA PKG B</v>
          </cell>
          <cell r="C790" t="str">
            <v>VAT &amp; other Taxes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</row>
        <row r="791">
          <cell r="A791" t="str">
            <v>Power</v>
          </cell>
          <cell r="B791" t="str">
            <v>KUDRA PKG B</v>
          </cell>
          <cell r="C791" t="str">
            <v>Salaries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</row>
        <row r="792">
          <cell r="A792" t="str">
            <v>Power</v>
          </cell>
          <cell r="B792" t="str">
            <v>KUDRA PKG B</v>
          </cell>
          <cell r="C792" t="str">
            <v>Operating overhead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</row>
        <row r="793">
          <cell r="A793" t="str">
            <v>Power</v>
          </cell>
          <cell r="B793" t="str">
            <v>KUDRA PKG B</v>
          </cell>
          <cell r="C793" t="str">
            <v>Financial Expenses</v>
          </cell>
        </row>
        <row r="794">
          <cell r="A794" t="str">
            <v>Power</v>
          </cell>
          <cell r="B794" t="str">
            <v>MIDNAPUR PKG A</v>
          </cell>
          <cell r="C794" t="str">
            <v>Realisation against RA Bill</v>
          </cell>
          <cell r="E794">
            <v>0</v>
          </cell>
          <cell r="F794">
            <v>0</v>
          </cell>
          <cell r="G794">
            <v>3945969.9999999991</v>
          </cell>
          <cell r="H794">
            <v>18954420</v>
          </cell>
          <cell r="I794">
            <v>27485392.499999996</v>
          </cell>
          <cell r="J794">
            <v>18743602.500000004</v>
          </cell>
          <cell r="K794">
            <v>22491977.5</v>
          </cell>
          <cell r="L794">
            <v>29477997.499999996</v>
          </cell>
          <cell r="M794">
            <v>34369692.5</v>
          </cell>
          <cell r="N794">
            <v>32390839.999999996</v>
          </cell>
          <cell r="O794">
            <v>38162739.999999993</v>
          </cell>
          <cell r="P794">
            <v>52770462.5</v>
          </cell>
        </row>
        <row r="795">
          <cell r="A795" t="str">
            <v>Power</v>
          </cell>
          <cell r="B795" t="str">
            <v>MIDNAPUR PKG A</v>
          </cell>
          <cell r="C795" t="str">
            <v>Realisation against Escalation / Claims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</row>
        <row r="796">
          <cell r="A796" t="str">
            <v>Power</v>
          </cell>
          <cell r="B796" t="str">
            <v>MIDNAPUR PKG A</v>
          </cell>
          <cell r="C796" t="str">
            <v>Realisitation of Mobilisation Advance</v>
          </cell>
          <cell r="E796">
            <v>101260485.8853384</v>
          </cell>
          <cell r="F796">
            <v>7233000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</row>
        <row r="797">
          <cell r="A797" t="str">
            <v>Power</v>
          </cell>
          <cell r="B797" t="str">
            <v>MIDNAPUR PKG A</v>
          </cell>
          <cell r="C797" t="str">
            <v>Plant Advance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</row>
        <row r="798">
          <cell r="A798" t="str">
            <v>Power</v>
          </cell>
          <cell r="B798" t="str">
            <v>MIDNAPUR PKG A</v>
          </cell>
          <cell r="C798" t="str">
            <v>Mat Advance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</row>
        <row r="799">
          <cell r="A799" t="str">
            <v>Power</v>
          </cell>
          <cell r="B799" t="str">
            <v>MIDNAPUR PKG A</v>
          </cell>
          <cell r="C799" t="str">
            <v xml:space="preserve"> - Retention money from client(incl TDS)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</row>
        <row r="800">
          <cell r="A800" t="str">
            <v>Power</v>
          </cell>
          <cell r="B800" t="str">
            <v>MIDNAPUR PKG A</v>
          </cell>
          <cell r="C800" t="str">
            <v>Other Receipts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</row>
        <row r="801">
          <cell r="A801" t="str">
            <v>Power</v>
          </cell>
          <cell r="B801" t="str">
            <v>MIDNAPUR PKG A</v>
          </cell>
          <cell r="C801" t="str">
            <v xml:space="preserve">Labour 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</row>
        <row r="802">
          <cell r="A802" t="str">
            <v>Power</v>
          </cell>
          <cell r="B802" t="str">
            <v>MIDNAPUR PKG A</v>
          </cell>
          <cell r="C802" t="str">
            <v>Payment Suppliers(including Adv)</v>
          </cell>
          <cell r="E802">
            <v>0</v>
          </cell>
          <cell r="F802">
            <v>4070000.0000000005</v>
          </cell>
          <cell r="G802">
            <v>19939000</v>
          </cell>
          <cell r="H802">
            <v>28277999.999999996</v>
          </cell>
          <cell r="I802">
            <v>15034000</v>
          </cell>
          <cell r="J802">
            <v>21230000</v>
          </cell>
          <cell r="K802">
            <v>27493000</v>
          </cell>
          <cell r="L802">
            <v>32277000</v>
          </cell>
          <cell r="M802">
            <v>28998000</v>
          </cell>
          <cell r="N802">
            <v>35323000</v>
          </cell>
          <cell r="O802">
            <v>48964000</v>
          </cell>
          <cell r="P802">
            <v>46335000</v>
          </cell>
        </row>
        <row r="803">
          <cell r="A803" t="str">
            <v>Power</v>
          </cell>
          <cell r="B803" t="str">
            <v>MIDNAPUR PKG A</v>
          </cell>
          <cell r="C803" t="str">
            <v>Diesel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</row>
        <row r="804">
          <cell r="A804" t="str">
            <v>Power</v>
          </cell>
          <cell r="B804" t="str">
            <v>MIDNAPUR PKG A</v>
          </cell>
          <cell r="C804" t="str">
            <v>Out side Machinery Hire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</row>
        <row r="805">
          <cell r="A805" t="str">
            <v>Power</v>
          </cell>
          <cell r="B805" t="str">
            <v>MIDNAPUR PKG A</v>
          </cell>
          <cell r="C805" t="str">
            <v>Own Machinery Hire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</row>
        <row r="806">
          <cell r="A806" t="str">
            <v>Power</v>
          </cell>
          <cell r="B806" t="str">
            <v>MIDNAPUR PKG A</v>
          </cell>
          <cell r="C806" t="str">
            <v>Sub contractor-(including Advance)</v>
          </cell>
          <cell r="E806">
            <v>5987000</v>
          </cell>
          <cell r="F806">
            <v>0</v>
          </cell>
          <cell r="G806">
            <v>349000</v>
          </cell>
          <cell r="H806">
            <v>396000</v>
          </cell>
          <cell r="I806">
            <v>802000</v>
          </cell>
          <cell r="J806">
            <v>1387000</v>
          </cell>
          <cell r="K806">
            <v>1787000</v>
          </cell>
          <cell r="L806">
            <v>1930000</v>
          </cell>
          <cell r="M806">
            <v>1830999.9999999998</v>
          </cell>
          <cell r="N806">
            <v>2051000.0000000002</v>
          </cell>
          <cell r="O806">
            <v>4311000</v>
          </cell>
          <cell r="P806">
            <v>4687000</v>
          </cell>
        </row>
        <row r="807">
          <cell r="A807" t="str">
            <v>Power</v>
          </cell>
          <cell r="B807" t="str">
            <v>MIDNAPUR PKG A</v>
          </cell>
          <cell r="C807" t="str">
            <v>JV Share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</row>
        <row r="808">
          <cell r="A808" t="str">
            <v>Power</v>
          </cell>
          <cell r="B808" t="str">
            <v>MIDNAPUR PKG A</v>
          </cell>
          <cell r="C808" t="str">
            <v>Plant Repairs &amp; Maintanance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</row>
        <row r="809">
          <cell r="A809" t="str">
            <v>Power</v>
          </cell>
          <cell r="B809" t="str">
            <v>MIDNAPUR PKG A</v>
          </cell>
          <cell r="C809" t="str">
            <v>Other Direct Over Heads</v>
          </cell>
          <cell r="E809">
            <v>0</v>
          </cell>
          <cell r="F809">
            <v>168560</v>
          </cell>
          <cell r="G809">
            <v>425820.00000000006</v>
          </cell>
          <cell r="H809">
            <v>168230</v>
          </cell>
          <cell r="I809">
            <v>256530</v>
          </cell>
          <cell r="J809">
            <v>323700</v>
          </cell>
          <cell r="K809">
            <v>433589.99999999994</v>
          </cell>
          <cell r="L809">
            <v>373020</v>
          </cell>
          <cell r="M809">
            <v>382150</v>
          </cell>
          <cell r="N809">
            <v>652760.00000000012</v>
          </cell>
          <cell r="O809">
            <v>646430</v>
          </cell>
          <cell r="P809">
            <v>571990</v>
          </cell>
        </row>
        <row r="810">
          <cell r="A810" t="str">
            <v>Power</v>
          </cell>
          <cell r="B810" t="str">
            <v>MIDNAPUR PKG A</v>
          </cell>
          <cell r="C810" t="str">
            <v>VAT &amp; other Taxes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</row>
        <row r="811">
          <cell r="A811" t="str">
            <v>Power</v>
          </cell>
          <cell r="B811" t="str">
            <v>MIDNAPUR PKG A</v>
          </cell>
          <cell r="C811" t="str">
            <v>Salaries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</row>
        <row r="812">
          <cell r="A812" t="str">
            <v>Power</v>
          </cell>
          <cell r="B812" t="str">
            <v>MIDNAPUR PKG A</v>
          </cell>
          <cell r="C812" t="str">
            <v>Operating overhead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</row>
        <row r="813">
          <cell r="A813" t="str">
            <v>Power</v>
          </cell>
          <cell r="B813" t="str">
            <v>MIDNAPUR PKG A</v>
          </cell>
          <cell r="C813" t="str">
            <v>Financial Expenses</v>
          </cell>
        </row>
        <row r="814">
          <cell r="A814" t="str">
            <v>Power</v>
          </cell>
          <cell r="B814" t="str">
            <v>MIDNAPUR PKG B</v>
          </cell>
          <cell r="C814" t="str">
            <v>Realisation against RA Bill</v>
          </cell>
          <cell r="E814">
            <v>0</v>
          </cell>
          <cell r="F814">
            <v>0</v>
          </cell>
          <cell r="G814">
            <v>339815</v>
          </cell>
          <cell r="H814">
            <v>13770157.5</v>
          </cell>
          <cell r="I814">
            <v>33619840</v>
          </cell>
          <cell r="J814">
            <v>21836215</v>
          </cell>
          <cell r="K814">
            <v>18447855</v>
          </cell>
          <cell r="L814">
            <v>25918212.5</v>
          </cell>
          <cell r="M814">
            <v>32462685</v>
          </cell>
          <cell r="N814">
            <v>28142432.5</v>
          </cell>
          <cell r="O814">
            <v>33076439.999999996</v>
          </cell>
          <cell r="P814">
            <v>50241105</v>
          </cell>
        </row>
        <row r="815">
          <cell r="A815" t="str">
            <v>Power</v>
          </cell>
          <cell r="B815" t="str">
            <v>MIDNAPUR PKG B</v>
          </cell>
          <cell r="C815" t="str">
            <v>Realisation against Escalation / Claims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</row>
        <row r="816">
          <cell r="A816" t="str">
            <v>Power</v>
          </cell>
          <cell r="B816" t="str">
            <v>MIDNAPUR PKG B</v>
          </cell>
          <cell r="C816" t="str">
            <v>Realisitation of Mobilisation Advance</v>
          </cell>
          <cell r="E816">
            <v>94365194.321087986</v>
          </cell>
          <cell r="F816">
            <v>6837000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</row>
        <row r="817">
          <cell r="A817" t="str">
            <v>Power</v>
          </cell>
          <cell r="B817" t="str">
            <v>MIDNAPUR PKG B</v>
          </cell>
          <cell r="C817" t="str">
            <v>Plant Advance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</row>
        <row r="818">
          <cell r="A818" t="str">
            <v>Power</v>
          </cell>
          <cell r="B818" t="str">
            <v>MIDNAPUR PKG B</v>
          </cell>
          <cell r="C818" t="str">
            <v>Mat Advance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</row>
        <row r="819">
          <cell r="A819" t="str">
            <v>Power</v>
          </cell>
          <cell r="B819" t="str">
            <v>MIDNAPUR PKG B</v>
          </cell>
          <cell r="C819" t="str">
            <v xml:space="preserve"> - Retention money from client(incl TDS)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</row>
        <row r="820">
          <cell r="A820" t="str">
            <v>Power</v>
          </cell>
          <cell r="B820" t="str">
            <v>MIDNAPUR PKG B</v>
          </cell>
          <cell r="C820" t="str">
            <v>Other Receipts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</row>
        <row r="821">
          <cell r="A821" t="str">
            <v>Power</v>
          </cell>
          <cell r="B821" t="str">
            <v>MIDNAPUR PKG B</v>
          </cell>
          <cell r="C821" t="str">
            <v xml:space="preserve">Labour 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</row>
        <row r="822">
          <cell r="A822" t="str">
            <v>Power</v>
          </cell>
          <cell r="B822" t="str">
            <v>MIDNAPUR PKG B</v>
          </cell>
          <cell r="C822" t="str">
            <v>Payment Suppliers(including Adv)</v>
          </cell>
          <cell r="E822">
            <v>0</v>
          </cell>
          <cell r="F822">
            <v>350000</v>
          </cell>
          <cell r="G822">
            <v>13713000</v>
          </cell>
          <cell r="H822">
            <v>35810000</v>
          </cell>
          <cell r="I822">
            <v>17730000</v>
          </cell>
          <cell r="J822">
            <v>16144000</v>
          </cell>
          <cell r="K822">
            <v>23927000</v>
          </cell>
          <cell r="L822">
            <v>30419000</v>
          </cell>
          <cell r="M822">
            <v>24569000</v>
          </cell>
          <cell r="N822">
            <v>31488000</v>
          </cell>
          <cell r="O822">
            <v>44530000</v>
          </cell>
          <cell r="P822">
            <v>53703000</v>
          </cell>
        </row>
        <row r="823">
          <cell r="A823" t="str">
            <v>Power</v>
          </cell>
          <cell r="B823" t="str">
            <v>MIDNAPUR PKG B</v>
          </cell>
          <cell r="C823" t="str">
            <v>Diesel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</row>
        <row r="824">
          <cell r="A824" t="str">
            <v>Power</v>
          </cell>
          <cell r="B824" t="str">
            <v>MIDNAPUR PKG B</v>
          </cell>
          <cell r="C824" t="str">
            <v>Out side Machinery Hire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</row>
        <row r="825">
          <cell r="A825" t="str">
            <v>Power</v>
          </cell>
          <cell r="B825" t="str">
            <v>MIDNAPUR PKG B</v>
          </cell>
          <cell r="C825" t="str">
            <v>Own Machinery Hire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</row>
        <row r="826">
          <cell r="A826" t="str">
            <v>Power</v>
          </cell>
          <cell r="B826" t="str">
            <v>MIDNAPUR PKG B</v>
          </cell>
          <cell r="C826" t="str">
            <v>Sub contractor-(including Advance)</v>
          </cell>
          <cell r="E826">
            <v>5698000</v>
          </cell>
          <cell r="F826">
            <v>0</v>
          </cell>
          <cell r="G826">
            <v>593000</v>
          </cell>
          <cell r="H826">
            <v>1276000</v>
          </cell>
          <cell r="I826">
            <v>811999.99999999988</v>
          </cell>
          <cell r="J826">
            <v>1418000</v>
          </cell>
          <cell r="K826">
            <v>2132000</v>
          </cell>
          <cell r="L826">
            <v>2592000</v>
          </cell>
          <cell r="M826">
            <v>1709000</v>
          </cell>
          <cell r="N826">
            <v>1682000</v>
          </cell>
          <cell r="O826">
            <v>5569000</v>
          </cell>
          <cell r="P826">
            <v>3740999.9999999995</v>
          </cell>
        </row>
        <row r="827">
          <cell r="A827" t="str">
            <v>Power</v>
          </cell>
          <cell r="B827" t="str">
            <v>MIDNAPUR PKG B</v>
          </cell>
          <cell r="C827" t="str">
            <v>JV Share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</row>
        <row r="828">
          <cell r="A828" t="str">
            <v>Power</v>
          </cell>
          <cell r="B828" t="str">
            <v>MIDNAPUR PKG B</v>
          </cell>
          <cell r="C828" t="str">
            <v>Plant Repairs &amp; Maintanance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</row>
        <row r="829">
          <cell r="A829" t="str">
            <v>Power</v>
          </cell>
          <cell r="B829" t="str">
            <v>MIDNAPUR PKG B</v>
          </cell>
          <cell r="C829" t="str">
            <v>Other Direct Over Heads</v>
          </cell>
          <cell r="E829">
            <v>0</v>
          </cell>
          <cell r="F829">
            <v>21900</v>
          </cell>
          <cell r="G829">
            <v>532870</v>
          </cell>
          <cell r="H829">
            <v>239530.00000000003</v>
          </cell>
          <cell r="I829">
            <v>194450</v>
          </cell>
          <cell r="J829">
            <v>264589.99999999994</v>
          </cell>
          <cell r="K829">
            <v>440600.00000000006</v>
          </cell>
          <cell r="L829">
            <v>292090.00000000006</v>
          </cell>
          <cell r="M829">
            <v>376820</v>
          </cell>
          <cell r="N829">
            <v>506839.99999999994</v>
          </cell>
          <cell r="O829">
            <v>821720</v>
          </cell>
          <cell r="P829">
            <v>417890.00000000006</v>
          </cell>
        </row>
        <row r="830">
          <cell r="A830" t="str">
            <v>Power</v>
          </cell>
          <cell r="B830" t="str">
            <v>MIDNAPUR PKG B</v>
          </cell>
          <cell r="C830" t="str">
            <v>VAT &amp; other Taxes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</row>
        <row r="831">
          <cell r="A831" t="str">
            <v>Power</v>
          </cell>
          <cell r="B831" t="str">
            <v>MIDNAPUR PKG B</v>
          </cell>
          <cell r="C831" t="str">
            <v>Salaries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</row>
        <row r="832">
          <cell r="A832" t="str">
            <v>Power</v>
          </cell>
          <cell r="B832" t="str">
            <v>MIDNAPUR PKG B</v>
          </cell>
          <cell r="C832" t="str">
            <v>Operating overhead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</row>
        <row r="833">
          <cell r="A833" t="str">
            <v>Power</v>
          </cell>
          <cell r="B833" t="str">
            <v>MIDNAPUR PKG B</v>
          </cell>
          <cell r="C833" t="str">
            <v>Financial Expenses</v>
          </cell>
        </row>
        <row r="834">
          <cell r="A834" t="str">
            <v>Power</v>
          </cell>
          <cell r="B834" t="str">
            <v>SUNDARGARH PKG A</v>
          </cell>
          <cell r="C834" t="str">
            <v>Realisation against RA Bill</v>
          </cell>
          <cell r="E834">
            <v>0</v>
          </cell>
          <cell r="F834">
            <v>-83660.499999999869</v>
          </cell>
          <cell r="G834">
            <v>4214317.5</v>
          </cell>
          <cell r="H834">
            <v>11720225</v>
          </cell>
          <cell r="I834">
            <v>9444087.5</v>
          </cell>
          <cell r="J834">
            <v>8316902.5000000009</v>
          </cell>
          <cell r="K834">
            <v>11408269.999999998</v>
          </cell>
          <cell r="L834">
            <v>14076042.5</v>
          </cell>
          <cell r="M834">
            <v>18414940</v>
          </cell>
          <cell r="N834">
            <v>16355942.5</v>
          </cell>
          <cell r="O834">
            <v>18923755</v>
          </cell>
          <cell r="P834">
            <v>29384765</v>
          </cell>
        </row>
        <row r="835">
          <cell r="A835" t="str">
            <v>Power</v>
          </cell>
          <cell r="B835" t="str">
            <v>SUNDARGARH PKG A</v>
          </cell>
          <cell r="C835" t="str">
            <v>Realisation against Escalation / Claims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</row>
        <row r="836">
          <cell r="A836" t="str">
            <v>Power</v>
          </cell>
          <cell r="B836" t="str">
            <v>SUNDARGARH PKG A</v>
          </cell>
          <cell r="C836" t="str">
            <v>Realisitation of Mobilisation Advance</v>
          </cell>
          <cell r="E836">
            <v>45883109.997600004</v>
          </cell>
          <cell r="F836">
            <v>6429275.5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</row>
        <row r="837">
          <cell r="A837" t="str">
            <v>Power</v>
          </cell>
          <cell r="B837" t="str">
            <v>SUNDARGARH PKG A</v>
          </cell>
          <cell r="C837" t="str">
            <v>Plant Advance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</row>
        <row r="838">
          <cell r="A838" t="str">
            <v>Power</v>
          </cell>
          <cell r="B838" t="str">
            <v>SUNDARGARH PKG A</v>
          </cell>
          <cell r="C838" t="str">
            <v>Mat Advance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</row>
        <row r="839">
          <cell r="A839" t="str">
            <v>Power</v>
          </cell>
          <cell r="B839" t="str">
            <v>SUNDARGARH PKG A</v>
          </cell>
          <cell r="C839" t="str">
            <v xml:space="preserve"> - Retention money from client(incl TDS)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</row>
        <row r="840">
          <cell r="A840" t="str">
            <v>Power</v>
          </cell>
          <cell r="B840" t="str">
            <v>SUNDARGARH PKG A</v>
          </cell>
          <cell r="C840" t="str">
            <v>Other Receipts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</row>
        <row r="841">
          <cell r="A841" t="str">
            <v>Power</v>
          </cell>
          <cell r="B841" t="str">
            <v>SUNDARGARH PKG A</v>
          </cell>
          <cell r="C841" t="str">
            <v xml:space="preserve">Labour 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</row>
        <row r="842">
          <cell r="A842" t="str">
            <v>Power</v>
          </cell>
          <cell r="B842" t="str">
            <v>SUNDARGARH PKG A</v>
          </cell>
          <cell r="C842" t="str">
            <v>Payment Suppliers(including Adv)</v>
          </cell>
          <cell r="E842">
            <v>56999.999999999993</v>
          </cell>
          <cell r="F842">
            <v>4287000</v>
          </cell>
          <cell r="G842">
            <v>11722000</v>
          </cell>
          <cell r="H842">
            <v>6297000.0000000009</v>
          </cell>
          <cell r="I842">
            <v>6260000</v>
          </cell>
          <cell r="J842">
            <v>9134000</v>
          </cell>
          <cell r="K842">
            <v>11954999.999999998</v>
          </cell>
          <cell r="L842">
            <v>16326000</v>
          </cell>
          <cell r="M842">
            <v>14426000</v>
          </cell>
          <cell r="N842">
            <v>15832999.999999998</v>
          </cell>
          <cell r="O842">
            <v>26183000</v>
          </cell>
          <cell r="P842">
            <v>15919999.999999998</v>
          </cell>
        </row>
        <row r="843">
          <cell r="A843" t="str">
            <v>Power</v>
          </cell>
          <cell r="B843" t="str">
            <v>SUNDARGARH PKG A</v>
          </cell>
          <cell r="C843" t="str">
            <v>Diesel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</row>
        <row r="844">
          <cell r="A844" t="str">
            <v>Power</v>
          </cell>
          <cell r="B844" t="str">
            <v>SUNDARGARH PKG A</v>
          </cell>
          <cell r="C844" t="str">
            <v>Out side Machinery Hire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</row>
        <row r="845">
          <cell r="A845" t="str">
            <v>Power</v>
          </cell>
          <cell r="B845" t="str">
            <v>SUNDARGARH PKG A</v>
          </cell>
          <cell r="C845" t="str">
            <v>Own Machinery Hire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</row>
        <row r="846">
          <cell r="A846" t="str">
            <v>Power</v>
          </cell>
          <cell r="B846" t="str">
            <v>SUNDARGARH PKG A</v>
          </cell>
          <cell r="C846" t="str">
            <v>Sub contractor-(including Advance)</v>
          </cell>
          <cell r="E846">
            <v>5192000</v>
          </cell>
          <cell r="F846">
            <v>44000</v>
          </cell>
          <cell r="G846">
            <v>1007000</v>
          </cell>
          <cell r="H846">
            <v>1943000</v>
          </cell>
          <cell r="I846">
            <v>1610000.0000000002</v>
          </cell>
          <cell r="J846">
            <v>2238000</v>
          </cell>
          <cell r="K846">
            <v>1860000.0000000002</v>
          </cell>
          <cell r="L846">
            <v>2113000</v>
          </cell>
          <cell r="M846">
            <v>1276000</v>
          </cell>
          <cell r="N846">
            <v>1975000</v>
          </cell>
          <cell r="O846">
            <v>4221000</v>
          </cell>
          <cell r="P846">
            <v>4302000</v>
          </cell>
        </row>
        <row r="847">
          <cell r="A847" t="str">
            <v>Power</v>
          </cell>
          <cell r="B847" t="str">
            <v>SUNDARGARH PKG A</v>
          </cell>
          <cell r="C847" t="str">
            <v>JV Share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</row>
        <row r="848">
          <cell r="A848" t="str">
            <v>Power</v>
          </cell>
          <cell r="B848" t="str">
            <v>SUNDARGARH PKG A</v>
          </cell>
          <cell r="C848" t="str">
            <v>Plant Repairs &amp; Maintanance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</row>
        <row r="849">
          <cell r="A849" t="str">
            <v>Power</v>
          </cell>
          <cell r="B849" t="str">
            <v>SUNDARGARH PKG A</v>
          </cell>
          <cell r="C849" t="str">
            <v>Other Direct Over Heads</v>
          </cell>
          <cell r="E849">
            <v>2890</v>
          </cell>
          <cell r="F849">
            <v>181310.00000000003</v>
          </cell>
          <cell r="G849">
            <v>108079.99999999997</v>
          </cell>
          <cell r="H849">
            <v>84770.000000000015</v>
          </cell>
          <cell r="I849">
            <v>135680</v>
          </cell>
          <cell r="J849">
            <v>147610.00000000003</v>
          </cell>
          <cell r="K849">
            <v>225220.00000000003</v>
          </cell>
          <cell r="L849">
            <v>217360</v>
          </cell>
          <cell r="M849">
            <v>142020</v>
          </cell>
          <cell r="N849">
            <v>426860</v>
          </cell>
          <cell r="O849">
            <v>251840.00000000003</v>
          </cell>
          <cell r="P849">
            <v>241490.00000000003</v>
          </cell>
        </row>
        <row r="850">
          <cell r="A850" t="str">
            <v>Power</v>
          </cell>
          <cell r="B850" t="str">
            <v>SUNDARGARH PKG A</v>
          </cell>
          <cell r="C850" t="str">
            <v>VAT &amp; other Taxes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</row>
        <row r="851">
          <cell r="A851" t="str">
            <v>Power</v>
          </cell>
          <cell r="B851" t="str">
            <v>SUNDARGARH PKG A</v>
          </cell>
          <cell r="C851" t="str">
            <v>Salaries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</row>
        <row r="852">
          <cell r="A852" t="str">
            <v>Power</v>
          </cell>
          <cell r="B852" t="str">
            <v>SUNDARGARH PKG A</v>
          </cell>
          <cell r="C852" t="str">
            <v>Operating overhead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</row>
        <row r="853">
          <cell r="A853" t="str">
            <v>Power</v>
          </cell>
          <cell r="B853" t="str">
            <v>SUNDARGARH PKG A</v>
          </cell>
          <cell r="C853" t="str">
            <v>Financial Expenses</v>
          </cell>
        </row>
        <row r="854">
          <cell r="A854" t="str">
            <v>Power</v>
          </cell>
          <cell r="B854" t="str">
            <v>SUNDARGARH PKG D</v>
          </cell>
          <cell r="C854" t="str">
            <v>Realisation against RA Bill</v>
          </cell>
          <cell r="E854">
            <v>0</v>
          </cell>
          <cell r="F854">
            <v>0</v>
          </cell>
          <cell r="G854">
            <v>1671880.0000000002</v>
          </cell>
          <cell r="H854">
            <v>8389454.9999999981</v>
          </cell>
          <cell r="I854">
            <v>13187147.499999998</v>
          </cell>
          <cell r="J854">
            <v>9309979.9999999981</v>
          </cell>
          <cell r="K854">
            <v>8966860</v>
          </cell>
          <cell r="L854">
            <v>12063690</v>
          </cell>
          <cell r="M854">
            <v>14144497.499999996</v>
          </cell>
          <cell r="N854">
            <v>13877909.999999996</v>
          </cell>
          <cell r="O854">
            <v>18091572.499999996</v>
          </cell>
          <cell r="P854">
            <v>23876582.5</v>
          </cell>
        </row>
        <row r="855">
          <cell r="A855" t="str">
            <v>Power</v>
          </cell>
          <cell r="B855" t="str">
            <v>SUNDARGARH PKG D</v>
          </cell>
          <cell r="C855" t="str">
            <v>Realisation against Escalation / Claims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</row>
        <row r="856">
          <cell r="A856" t="str">
            <v>Power</v>
          </cell>
          <cell r="B856" t="str">
            <v>SUNDARGARH PKG D</v>
          </cell>
          <cell r="C856" t="str">
            <v>Realisitation of Mobilisation Advance</v>
          </cell>
          <cell r="E856">
            <v>0</v>
          </cell>
          <cell r="F856">
            <v>42729519.273359992</v>
          </cell>
          <cell r="G856">
            <v>5144000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</row>
        <row r="857">
          <cell r="A857" t="str">
            <v>Power</v>
          </cell>
          <cell r="B857" t="str">
            <v>SUNDARGARH PKG D</v>
          </cell>
          <cell r="C857" t="str">
            <v>Plant Advance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</row>
        <row r="858">
          <cell r="A858" t="str">
            <v>Power</v>
          </cell>
          <cell r="B858" t="str">
            <v>SUNDARGARH PKG D</v>
          </cell>
          <cell r="C858" t="str">
            <v>Mat Advance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</row>
        <row r="859">
          <cell r="A859" t="str">
            <v>Power</v>
          </cell>
          <cell r="B859" t="str">
            <v>SUNDARGARH PKG D</v>
          </cell>
          <cell r="C859" t="str">
            <v xml:space="preserve"> - Retention money from client(incl TDS)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</row>
        <row r="860">
          <cell r="A860" t="str">
            <v>Power</v>
          </cell>
          <cell r="B860" t="str">
            <v>SUNDARGARH PKG D</v>
          </cell>
          <cell r="C860" t="str">
            <v>Other Receipts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</row>
        <row r="861">
          <cell r="A861" t="str">
            <v>Power</v>
          </cell>
          <cell r="B861" t="str">
            <v>SUNDARGARH PKG D</v>
          </cell>
          <cell r="C861" t="str">
            <v xml:space="preserve">Labour 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</row>
        <row r="862">
          <cell r="A862" t="str">
            <v>Power</v>
          </cell>
          <cell r="B862" t="str">
            <v>SUNDARGARH PKG D</v>
          </cell>
          <cell r="C862" t="str">
            <v>Payment Suppliers(including Adv)</v>
          </cell>
          <cell r="E862">
            <v>0</v>
          </cell>
          <cell r="F862">
            <v>1696000</v>
          </cell>
          <cell r="G862">
            <v>8605000</v>
          </cell>
          <cell r="H862">
            <v>13262000</v>
          </cell>
          <cell r="I862">
            <v>7683000</v>
          </cell>
          <cell r="J862">
            <v>7750000</v>
          </cell>
          <cell r="K862">
            <v>10654999.999999998</v>
          </cell>
          <cell r="L862">
            <v>11524000</v>
          </cell>
          <cell r="M862">
            <v>11724000</v>
          </cell>
          <cell r="N862">
            <v>16688999.999999998</v>
          </cell>
          <cell r="O862">
            <v>19348000</v>
          </cell>
          <cell r="P862">
            <v>20881000</v>
          </cell>
        </row>
        <row r="863">
          <cell r="A863" t="str">
            <v>Power</v>
          </cell>
          <cell r="B863" t="str">
            <v>SUNDARGARH PKG D</v>
          </cell>
          <cell r="C863" t="str">
            <v>Diesel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</row>
        <row r="864">
          <cell r="A864" t="str">
            <v>Power</v>
          </cell>
          <cell r="B864" t="str">
            <v>SUNDARGARH PKG D</v>
          </cell>
          <cell r="C864" t="str">
            <v>Out side Machinery Hire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</row>
        <row r="865">
          <cell r="A865" t="str">
            <v>Power</v>
          </cell>
          <cell r="B865" t="str">
            <v>SUNDARGARH PKG D</v>
          </cell>
          <cell r="C865" t="str">
            <v>Own Machinery Hire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</row>
        <row r="866">
          <cell r="A866" t="str">
            <v>Power</v>
          </cell>
          <cell r="B866" t="str">
            <v>SUNDARGARH PKG D</v>
          </cell>
          <cell r="C866" t="str">
            <v>Sub contractor-(including Advance)</v>
          </cell>
          <cell r="E866">
            <v>4199000</v>
          </cell>
          <cell r="F866">
            <v>0</v>
          </cell>
          <cell r="G866">
            <v>224000.00000000003</v>
          </cell>
          <cell r="H866">
            <v>339000</v>
          </cell>
          <cell r="I866">
            <v>361000</v>
          </cell>
          <cell r="J866">
            <v>719000</v>
          </cell>
          <cell r="K866">
            <v>1243000</v>
          </cell>
          <cell r="L866">
            <v>2148000</v>
          </cell>
          <cell r="M866">
            <v>1347000</v>
          </cell>
          <cell r="N866">
            <v>1321000</v>
          </cell>
          <cell r="O866">
            <v>3659000.0000000005</v>
          </cell>
          <cell r="P866">
            <v>2319000</v>
          </cell>
        </row>
        <row r="867">
          <cell r="A867" t="str">
            <v>Power</v>
          </cell>
          <cell r="B867" t="str">
            <v>SUNDARGARH PKG D</v>
          </cell>
          <cell r="C867" t="str">
            <v>JV Share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</row>
        <row r="868">
          <cell r="A868" t="str">
            <v>Power</v>
          </cell>
          <cell r="B868" t="str">
            <v>SUNDARGARH PKG D</v>
          </cell>
          <cell r="C868" t="str">
            <v>Plant Repairs &amp; Maintanance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</row>
        <row r="869">
          <cell r="A869" t="str">
            <v>Power</v>
          </cell>
          <cell r="B869" t="str">
            <v>SUNDARGARH PKG D</v>
          </cell>
          <cell r="C869" t="str">
            <v>Other Direct Over Heads</v>
          </cell>
          <cell r="E869">
            <v>0</v>
          </cell>
          <cell r="F869">
            <v>72309.999999999985</v>
          </cell>
          <cell r="G869">
            <v>194370</v>
          </cell>
          <cell r="H869">
            <v>103680</v>
          </cell>
          <cell r="I869">
            <v>93050.000000000015</v>
          </cell>
          <cell r="J869">
            <v>139100.00000000003</v>
          </cell>
          <cell r="K869">
            <v>179209.99999999997</v>
          </cell>
          <cell r="L869">
            <v>138980</v>
          </cell>
          <cell r="M869">
            <v>215190</v>
          </cell>
          <cell r="N869">
            <v>271130</v>
          </cell>
          <cell r="O869">
            <v>305190</v>
          </cell>
          <cell r="P869">
            <v>263270</v>
          </cell>
        </row>
        <row r="870">
          <cell r="A870" t="str">
            <v>Power</v>
          </cell>
          <cell r="B870" t="str">
            <v>SUNDARGARH PKG D</v>
          </cell>
          <cell r="C870" t="str">
            <v>VAT &amp; other Taxes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</row>
        <row r="871">
          <cell r="A871" t="str">
            <v>Power</v>
          </cell>
          <cell r="B871" t="str">
            <v>SUNDARGARH PKG D</v>
          </cell>
          <cell r="C871" t="str">
            <v>Salaries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</row>
        <row r="872">
          <cell r="A872" t="str">
            <v>Power</v>
          </cell>
          <cell r="B872" t="str">
            <v>SUNDARGARH PKG D</v>
          </cell>
          <cell r="C872" t="str">
            <v>Operating overhead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</row>
        <row r="873">
          <cell r="A873" t="str">
            <v>Power</v>
          </cell>
          <cell r="B873" t="str">
            <v>SUNDARGARH PKG D</v>
          </cell>
          <cell r="C873" t="str">
            <v>Financial Expenses</v>
          </cell>
        </row>
        <row r="874">
          <cell r="A874" t="str">
            <v>Power</v>
          </cell>
          <cell r="B874" t="str">
            <v>AKOLA</v>
          </cell>
          <cell r="C874" t="str">
            <v>Realisation against RA Bill</v>
          </cell>
          <cell r="E874">
            <v>0</v>
          </cell>
          <cell r="F874">
            <v>0</v>
          </cell>
          <cell r="G874">
            <v>0</v>
          </cell>
          <cell r="H874">
            <v>11765016.77513238</v>
          </cell>
          <cell r="I874">
            <v>19734983.224867616</v>
          </cell>
          <cell r="J874">
            <v>28800000</v>
          </cell>
          <cell r="K874">
            <v>29700000</v>
          </cell>
          <cell r="L874">
            <v>31500000</v>
          </cell>
          <cell r="M874">
            <v>36000000</v>
          </cell>
          <cell r="N874">
            <v>45000000</v>
          </cell>
          <cell r="O874">
            <v>54000000</v>
          </cell>
          <cell r="P874">
            <v>103500000</v>
          </cell>
        </row>
        <row r="875">
          <cell r="A875" t="str">
            <v>Power</v>
          </cell>
          <cell r="B875" t="str">
            <v>AKOLA</v>
          </cell>
          <cell r="C875" t="str">
            <v>Realisation against Escalation / Claims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</row>
        <row r="876">
          <cell r="A876" t="str">
            <v>Power</v>
          </cell>
          <cell r="B876" t="str">
            <v>AKOLA</v>
          </cell>
          <cell r="C876" t="str">
            <v>Realisitation of Mobilisation Advance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</row>
        <row r="877">
          <cell r="A877" t="str">
            <v>Power</v>
          </cell>
          <cell r="B877" t="str">
            <v>AKOLA</v>
          </cell>
          <cell r="C877" t="str">
            <v>Plant Advance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</row>
        <row r="878">
          <cell r="A878" t="str">
            <v>Power</v>
          </cell>
          <cell r="B878" t="str">
            <v>AKOLA</v>
          </cell>
          <cell r="C878" t="str">
            <v>Mat Advance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</row>
        <row r="879">
          <cell r="A879" t="str">
            <v>Power</v>
          </cell>
          <cell r="B879" t="str">
            <v>AKOLA</v>
          </cell>
          <cell r="C879" t="str">
            <v xml:space="preserve"> - Retention money from client(incl TDS)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</row>
        <row r="880">
          <cell r="A880" t="str">
            <v>Power</v>
          </cell>
          <cell r="B880" t="str">
            <v>AKOLA</v>
          </cell>
          <cell r="C880" t="str">
            <v>Other Receipts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</row>
        <row r="881">
          <cell r="A881" t="str">
            <v>Power</v>
          </cell>
          <cell r="B881" t="str">
            <v>AKOLA</v>
          </cell>
          <cell r="C881" t="str">
            <v xml:space="preserve">Labour 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</row>
        <row r="882">
          <cell r="A882" t="str">
            <v>Power</v>
          </cell>
          <cell r="B882" t="str">
            <v>AKOLA</v>
          </cell>
          <cell r="C882" t="str">
            <v>Payment Suppliers(including Adv)</v>
          </cell>
          <cell r="E882">
            <v>4294231.1229233192</v>
          </cell>
          <cell r="F882">
            <v>11805320.748615544</v>
          </cell>
          <cell r="G882">
            <v>18580721.711332981</v>
          </cell>
          <cell r="H882">
            <v>26024500</v>
          </cell>
          <cell r="I882">
            <v>24601000</v>
          </cell>
          <cell r="J882">
            <v>26827499.999999996</v>
          </cell>
          <cell r="K882">
            <v>35405000</v>
          </cell>
          <cell r="L882">
            <v>39055000</v>
          </cell>
          <cell r="M882">
            <v>47632500</v>
          </cell>
          <cell r="N882">
            <v>35587500</v>
          </cell>
          <cell r="O882">
            <v>0</v>
          </cell>
          <cell r="P882">
            <v>0</v>
          </cell>
        </row>
        <row r="883">
          <cell r="A883" t="str">
            <v>Power</v>
          </cell>
          <cell r="B883" t="str">
            <v>AKOLA</v>
          </cell>
          <cell r="C883" t="str">
            <v>Diesel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</row>
        <row r="884">
          <cell r="A884" t="str">
            <v>Power</v>
          </cell>
          <cell r="B884" t="str">
            <v>AKOLA</v>
          </cell>
          <cell r="C884" t="str">
            <v>Out side Machinery Hire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</row>
        <row r="885">
          <cell r="A885" t="str">
            <v>Power</v>
          </cell>
          <cell r="B885" t="str">
            <v>AKOLA</v>
          </cell>
          <cell r="C885" t="str">
            <v>Own Machinery Hire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</row>
        <row r="886">
          <cell r="A886" t="str">
            <v>Power</v>
          </cell>
          <cell r="B886" t="str">
            <v>AKOLA</v>
          </cell>
          <cell r="C886" t="str">
            <v>Sub contractor-(including Advance)</v>
          </cell>
          <cell r="E886">
            <v>0</v>
          </cell>
          <cell r="F886">
            <v>1176501.6775132378</v>
          </cell>
          <cell r="G886">
            <v>1973498.3224867615</v>
          </cell>
          <cell r="H886">
            <v>2879999.9999999995</v>
          </cell>
          <cell r="I886">
            <v>2970000</v>
          </cell>
          <cell r="J886">
            <v>3150000</v>
          </cell>
          <cell r="K886">
            <v>3600000</v>
          </cell>
          <cell r="L886">
            <v>4500000</v>
          </cell>
          <cell r="M886">
            <v>5400000</v>
          </cell>
          <cell r="N886">
            <v>6750000</v>
          </cell>
          <cell r="O886">
            <v>0</v>
          </cell>
          <cell r="P886">
            <v>0</v>
          </cell>
        </row>
        <row r="887">
          <cell r="A887" t="str">
            <v>Power</v>
          </cell>
          <cell r="B887" t="str">
            <v>AKOLA</v>
          </cell>
          <cell r="C887" t="str">
            <v>JV Share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</row>
        <row r="888">
          <cell r="A888" t="str">
            <v>Power</v>
          </cell>
          <cell r="B888" t="str">
            <v>AKOLA</v>
          </cell>
          <cell r="C888" t="str">
            <v>Plant Repairs &amp; Maintanance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</row>
        <row r="889">
          <cell r="A889" t="str">
            <v>Power</v>
          </cell>
          <cell r="B889" t="str">
            <v>AKOLA</v>
          </cell>
          <cell r="C889" t="str">
            <v>Other Direct Over Heads</v>
          </cell>
          <cell r="E889">
            <v>0</v>
          </cell>
          <cell r="F889">
            <v>1268007.3635420455</v>
          </cell>
          <cell r="G889">
            <v>2126992.6364579545</v>
          </cell>
          <cell r="H889">
            <v>3104000</v>
          </cell>
          <cell r="I889">
            <v>3201000</v>
          </cell>
          <cell r="J889">
            <v>3395000.0000000005</v>
          </cell>
          <cell r="K889">
            <v>3880000.0000000005</v>
          </cell>
          <cell r="L889">
            <v>4850000</v>
          </cell>
          <cell r="M889">
            <v>5820000</v>
          </cell>
          <cell r="N889">
            <v>7275000</v>
          </cell>
          <cell r="O889">
            <v>0</v>
          </cell>
          <cell r="P889">
            <v>0</v>
          </cell>
        </row>
        <row r="890">
          <cell r="A890" t="str">
            <v>Power</v>
          </cell>
          <cell r="B890" t="str">
            <v>AKOLA</v>
          </cell>
          <cell r="C890" t="str">
            <v>VAT &amp; other Taxes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</row>
        <row r="891">
          <cell r="A891" t="str">
            <v>Power</v>
          </cell>
          <cell r="B891" t="str">
            <v>AKOLA</v>
          </cell>
          <cell r="C891" t="str">
            <v>Salaries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</row>
        <row r="892">
          <cell r="A892" t="str">
            <v>Power</v>
          </cell>
          <cell r="B892" t="str">
            <v>AKOLA</v>
          </cell>
          <cell r="C892" t="str">
            <v>Operating overhead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</row>
        <row r="893">
          <cell r="A893" t="str">
            <v>Power</v>
          </cell>
          <cell r="B893" t="str">
            <v>AKOLA</v>
          </cell>
          <cell r="C893" t="str">
            <v>Financial Expenses</v>
          </cell>
        </row>
        <row r="894">
          <cell r="A894" t="str">
            <v>Power</v>
          </cell>
          <cell r="B894" t="str">
            <v>NASHIK</v>
          </cell>
          <cell r="C894" t="str">
            <v>Realisation against RA Bill</v>
          </cell>
          <cell r="F894">
            <v>0</v>
          </cell>
          <cell r="G894">
            <v>0</v>
          </cell>
          <cell r="H894">
            <v>0</v>
          </cell>
          <cell r="I894">
            <v>27000000</v>
          </cell>
          <cell r="J894">
            <v>18000000</v>
          </cell>
          <cell r="K894">
            <v>27000000</v>
          </cell>
          <cell r="L894">
            <v>63000000</v>
          </cell>
          <cell r="M894">
            <v>27000000</v>
          </cell>
          <cell r="N894">
            <v>36000000</v>
          </cell>
          <cell r="O894">
            <v>117000000</v>
          </cell>
          <cell r="P894">
            <v>54000000</v>
          </cell>
        </row>
        <row r="895">
          <cell r="A895" t="str">
            <v>Power</v>
          </cell>
          <cell r="B895" t="str">
            <v>NASHIK</v>
          </cell>
          <cell r="C895" t="str">
            <v>Realisation against Escalation / Claims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</row>
        <row r="896">
          <cell r="A896" t="str">
            <v>Power</v>
          </cell>
          <cell r="B896" t="str">
            <v>NASHIK</v>
          </cell>
          <cell r="C896" t="str">
            <v>Realisitation of Mobilisation Advance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</row>
        <row r="897">
          <cell r="A897" t="str">
            <v>Power</v>
          </cell>
          <cell r="B897" t="str">
            <v>NASHIK</v>
          </cell>
          <cell r="C897" t="str">
            <v>Plant Advance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</row>
        <row r="898">
          <cell r="A898" t="str">
            <v>Power</v>
          </cell>
          <cell r="B898" t="str">
            <v>NASHIK</v>
          </cell>
          <cell r="C898" t="str">
            <v>Mat Advance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</row>
        <row r="899">
          <cell r="A899" t="str">
            <v>Power</v>
          </cell>
          <cell r="B899" t="str">
            <v>NASHIK</v>
          </cell>
          <cell r="C899" t="str">
            <v xml:space="preserve"> - Retention money from client(incl TDS)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</row>
        <row r="900">
          <cell r="A900" t="str">
            <v>Power</v>
          </cell>
          <cell r="B900" t="str">
            <v>NASHIK</v>
          </cell>
          <cell r="C900" t="str">
            <v>Other Receipts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</row>
        <row r="901">
          <cell r="A901" t="str">
            <v>Power</v>
          </cell>
          <cell r="B901" t="str">
            <v>NASHIK</v>
          </cell>
          <cell r="C901" t="str">
            <v xml:space="preserve">Labour 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</row>
        <row r="902">
          <cell r="A902" t="str">
            <v>Power</v>
          </cell>
          <cell r="B902" t="str">
            <v>NASHIK</v>
          </cell>
          <cell r="C902" t="str">
            <v>Payment Suppliers(including Adv)</v>
          </cell>
          <cell r="E902">
            <v>0</v>
          </cell>
          <cell r="F902">
            <v>7187250</v>
          </cell>
          <cell r="G902">
            <v>18139250</v>
          </cell>
          <cell r="H902">
            <v>16085749.999999998</v>
          </cell>
          <cell r="I902">
            <v>30118000</v>
          </cell>
          <cell r="J902">
            <v>38332000</v>
          </cell>
          <cell r="K902">
            <v>22930750</v>
          </cell>
          <cell r="L902">
            <v>48941750</v>
          </cell>
          <cell r="M902">
            <v>72214750</v>
          </cell>
          <cell r="N902">
            <v>50653000</v>
          </cell>
          <cell r="O902">
            <v>112771374.99999999</v>
          </cell>
          <cell r="P902">
            <v>317265750</v>
          </cell>
        </row>
        <row r="903">
          <cell r="A903" t="str">
            <v>Power</v>
          </cell>
          <cell r="B903" t="str">
            <v>NASHIK</v>
          </cell>
          <cell r="C903" t="str">
            <v>Diesel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</row>
        <row r="904">
          <cell r="A904" t="str">
            <v>Power</v>
          </cell>
          <cell r="B904" t="str">
            <v>NASHIK</v>
          </cell>
          <cell r="C904" t="str">
            <v>Out side Machinery Hire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</row>
        <row r="905">
          <cell r="A905" t="str">
            <v>Power</v>
          </cell>
          <cell r="B905" t="str">
            <v>NASHIK</v>
          </cell>
          <cell r="C905" t="str">
            <v>Own Machinery Hire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</row>
        <row r="906">
          <cell r="A906" t="str">
            <v>Power</v>
          </cell>
          <cell r="B906" t="str">
            <v>NASHIK</v>
          </cell>
          <cell r="C906" t="str">
            <v>Sub contractor-(including Advance)</v>
          </cell>
          <cell r="E906">
            <v>0</v>
          </cell>
          <cell r="F906">
            <v>0</v>
          </cell>
          <cell r="G906">
            <v>2709000</v>
          </cell>
          <cell r="H906">
            <v>1806000.0000000002</v>
          </cell>
          <cell r="I906">
            <v>2709000</v>
          </cell>
          <cell r="J906">
            <v>6321000</v>
          </cell>
          <cell r="K906">
            <v>2709000</v>
          </cell>
          <cell r="L906">
            <v>3612000.0000000005</v>
          </cell>
          <cell r="M906">
            <v>11739000</v>
          </cell>
          <cell r="N906">
            <v>5418000</v>
          </cell>
          <cell r="O906">
            <v>9030000.0000000019</v>
          </cell>
          <cell r="P906">
            <v>25735500</v>
          </cell>
        </row>
        <row r="907">
          <cell r="A907" t="str">
            <v>Power</v>
          </cell>
          <cell r="B907" t="str">
            <v>NASHIK</v>
          </cell>
          <cell r="C907" t="str">
            <v>JV Share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</row>
        <row r="908">
          <cell r="A908" t="str">
            <v>Power</v>
          </cell>
          <cell r="B908" t="str">
            <v>NASHIK</v>
          </cell>
          <cell r="C908" t="str">
            <v>Plant Repairs &amp; Maintanance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</row>
        <row r="909">
          <cell r="A909" t="str">
            <v>Power</v>
          </cell>
          <cell r="B909" t="str">
            <v>NASHIK</v>
          </cell>
          <cell r="C909" t="str">
            <v>Other Direct Over Heads</v>
          </cell>
          <cell r="E909">
            <v>4147250.0000000005</v>
          </cell>
          <cell r="F909">
            <v>4147250.0000000005</v>
          </cell>
          <cell r="G909">
            <v>8294500.0000000009</v>
          </cell>
          <cell r="H909">
            <v>8294500.0000000009</v>
          </cell>
          <cell r="I909">
            <v>8294500.0000000009</v>
          </cell>
          <cell r="J909">
            <v>8294500.0000000009</v>
          </cell>
          <cell r="K909">
            <v>8294500.0000000009</v>
          </cell>
          <cell r="L909">
            <v>8294500.0000000009</v>
          </cell>
          <cell r="M909">
            <v>8294500.0000000009</v>
          </cell>
          <cell r="N909">
            <v>8294500.0000000009</v>
          </cell>
          <cell r="O909">
            <v>8294500.0000000009</v>
          </cell>
          <cell r="P909">
            <v>8294500.0000000009</v>
          </cell>
        </row>
        <row r="910">
          <cell r="A910" t="str">
            <v>Power</v>
          </cell>
          <cell r="B910" t="str">
            <v>NASHIK</v>
          </cell>
          <cell r="C910" t="str">
            <v>VAT &amp; other Taxes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</row>
        <row r="911">
          <cell r="A911" t="str">
            <v>Power</v>
          </cell>
          <cell r="B911" t="str">
            <v>NASHIK</v>
          </cell>
          <cell r="C911" t="str">
            <v>Salaries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</row>
        <row r="912">
          <cell r="A912" t="str">
            <v>Power</v>
          </cell>
          <cell r="B912" t="str">
            <v>NASHIK</v>
          </cell>
          <cell r="C912" t="str">
            <v>Operating overhead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</row>
        <row r="913">
          <cell r="A913" t="str">
            <v>Power</v>
          </cell>
          <cell r="B913" t="str">
            <v>NASHIK</v>
          </cell>
          <cell r="C913" t="str">
            <v>Financial Expenses</v>
          </cell>
        </row>
        <row r="914">
          <cell r="A914" t="str">
            <v>Power</v>
          </cell>
          <cell r="B914" t="str">
            <v>LATHUR</v>
          </cell>
          <cell r="C914" t="str">
            <v>Realisation against RA Bill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18000000</v>
          </cell>
          <cell r="J914">
            <v>18000000</v>
          </cell>
          <cell r="K914">
            <v>27000000</v>
          </cell>
          <cell r="L914">
            <v>45000000</v>
          </cell>
          <cell r="M914">
            <v>27000000</v>
          </cell>
          <cell r="N914">
            <v>36000000</v>
          </cell>
          <cell r="O914">
            <v>72000000</v>
          </cell>
          <cell r="P914">
            <v>54000000</v>
          </cell>
        </row>
        <row r="915">
          <cell r="A915" t="str">
            <v>Power</v>
          </cell>
          <cell r="B915" t="str">
            <v>LATHUR</v>
          </cell>
          <cell r="C915" t="str">
            <v>Realisation against Escalation / Claims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</row>
        <row r="916">
          <cell r="A916" t="str">
            <v>Power</v>
          </cell>
          <cell r="B916" t="str">
            <v>LATHUR</v>
          </cell>
          <cell r="C916" t="str">
            <v>Realisitation of Mobilisation Advance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</row>
        <row r="917">
          <cell r="A917" t="str">
            <v>Power</v>
          </cell>
          <cell r="B917" t="str">
            <v>LATHUR</v>
          </cell>
          <cell r="C917" t="str">
            <v>Plant Advance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</row>
        <row r="918">
          <cell r="A918" t="str">
            <v>Power</v>
          </cell>
          <cell r="B918" t="str">
            <v>LATHUR</v>
          </cell>
          <cell r="C918" t="str">
            <v>Mat Advance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</row>
        <row r="919">
          <cell r="A919" t="str">
            <v>Power</v>
          </cell>
          <cell r="B919" t="str">
            <v>LATHUR</v>
          </cell>
          <cell r="C919" t="str">
            <v xml:space="preserve"> - Retention money from client(incl TDS)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</row>
        <row r="920">
          <cell r="A920" t="str">
            <v>Power</v>
          </cell>
          <cell r="B920" t="str">
            <v>LATHUR</v>
          </cell>
          <cell r="C920" t="str">
            <v>Other Receipts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</row>
        <row r="921">
          <cell r="A921" t="str">
            <v>Power</v>
          </cell>
          <cell r="B921" t="str">
            <v>LATHUR</v>
          </cell>
          <cell r="C921" t="str">
            <v xml:space="preserve">Labour 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</row>
        <row r="922">
          <cell r="A922" t="str">
            <v>Power</v>
          </cell>
          <cell r="B922" t="str">
            <v>LATHUR</v>
          </cell>
          <cell r="C922" t="str">
            <v>Payment Suppliers(including Adv)</v>
          </cell>
          <cell r="E922">
            <v>0</v>
          </cell>
          <cell r="F922">
            <v>4778900</v>
          </cell>
          <cell r="G922">
            <v>13654000</v>
          </cell>
          <cell r="H922">
            <v>16043449.999999998</v>
          </cell>
          <cell r="I922">
            <v>25259900</v>
          </cell>
          <cell r="J922">
            <v>29356099.999999996</v>
          </cell>
          <cell r="K922">
            <v>22870450</v>
          </cell>
          <cell r="L922">
            <v>36865799.999999993</v>
          </cell>
          <cell r="M922">
            <v>49837100</v>
          </cell>
          <cell r="N922">
            <v>50519800</v>
          </cell>
          <cell r="O922">
            <v>95748674.999999985</v>
          </cell>
          <cell r="P922">
            <v>249526849.99999997</v>
          </cell>
        </row>
        <row r="923">
          <cell r="A923" t="str">
            <v>Power</v>
          </cell>
          <cell r="B923" t="str">
            <v>LATHUR</v>
          </cell>
          <cell r="C923" t="str">
            <v>Diesel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</row>
        <row r="924">
          <cell r="A924" t="str">
            <v>Power</v>
          </cell>
          <cell r="B924" t="str">
            <v>LATHUR</v>
          </cell>
          <cell r="C924" t="str">
            <v>Out side Machinery Hire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</row>
        <row r="925">
          <cell r="A925" t="str">
            <v>Power</v>
          </cell>
          <cell r="B925" t="str">
            <v>LATHUR</v>
          </cell>
          <cell r="C925" t="str">
            <v>Own Machinery Hire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</row>
        <row r="926">
          <cell r="A926" t="str">
            <v>Power</v>
          </cell>
          <cell r="B926" t="str">
            <v>LATHUR</v>
          </cell>
          <cell r="C926" t="str">
            <v>Sub contractor-(including Advance)</v>
          </cell>
          <cell r="E926">
            <v>0</v>
          </cell>
          <cell r="F926">
            <v>0</v>
          </cell>
          <cell r="G926">
            <v>1830000</v>
          </cell>
          <cell r="H926">
            <v>1830000</v>
          </cell>
          <cell r="I926">
            <v>2745000</v>
          </cell>
          <cell r="J926">
            <v>4575000</v>
          </cell>
          <cell r="K926">
            <v>2745000</v>
          </cell>
          <cell r="L926">
            <v>3660000</v>
          </cell>
          <cell r="M926">
            <v>7320000</v>
          </cell>
          <cell r="N926">
            <v>5490000</v>
          </cell>
          <cell r="O926">
            <v>9150000</v>
          </cell>
          <cell r="P926">
            <v>19672500</v>
          </cell>
        </row>
        <row r="927">
          <cell r="A927" t="str">
            <v>Power</v>
          </cell>
          <cell r="B927" t="str">
            <v>LATHUR</v>
          </cell>
          <cell r="C927" t="str">
            <v>JV Share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</row>
        <row r="928">
          <cell r="A928" t="str">
            <v>Power</v>
          </cell>
          <cell r="B928" t="str">
            <v>LATHUR</v>
          </cell>
          <cell r="C928" t="str">
            <v>Plant Repairs &amp; Maintanance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</row>
        <row r="929">
          <cell r="A929" t="str">
            <v>Power</v>
          </cell>
          <cell r="B929" t="str">
            <v>LATHUR</v>
          </cell>
          <cell r="C929" t="str">
            <v>Other Direct Over Heads</v>
          </cell>
          <cell r="E929">
            <v>3380874.9999999995</v>
          </cell>
          <cell r="F929">
            <v>3380874.9999999995</v>
          </cell>
          <cell r="G929">
            <v>6761749.9999999991</v>
          </cell>
          <cell r="H929">
            <v>6761749.9999999991</v>
          </cell>
          <cell r="I929">
            <v>6761749.9999999991</v>
          </cell>
          <cell r="J929">
            <v>6761749.9999999991</v>
          </cell>
          <cell r="K929">
            <v>6761749.9999999991</v>
          </cell>
          <cell r="L929">
            <v>6761749.9999999991</v>
          </cell>
          <cell r="M929">
            <v>6761749.9999999991</v>
          </cell>
          <cell r="N929">
            <v>6761749.9999999991</v>
          </cell>
          <cell r="O929">
            <v>6761749.9999999991</v>
          </cell>
          <cell r="P929">
            <v>6761749.9999999991</v>
          </cell>
        </row>
        <row r="930">
          <cell r="A930" t="str">
            <v>Power</v>
          </cell>
          <cell r="B930" t="str">
            <v>LATHUR</v>
          </cell>
          <cell r="C930" t="str">
            <v>VAT &amp; other Taxes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</row>
        <row r="931">
          <cell r="A931" t="str">
            <v>Power</v>
          </cell>
          <cell r="B931" t="str">
            <v>LATHUR</v>
          </cell>
          <cell r="C931" t="str">
            <v>Salaries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</row>
        <row r="932">
          <cell r="A932" t="str">
            <v>Power</v>
          </cell>
          <cell r="B932" t="str">
            <v>LATHUR</v>
          </cell>
          <cell r="C932" t="str">
            <v>Operating overhead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</row>
        <row r="933">
          <cell r="A933" t="str">
            <v>Power</v>
          </cell>
          <cell r="B933" t="str">
            <v>LATHUR</v>
          </cell>
          <cell r="C933" t="str">
            <v>Financial Expenses</v>
          </cell>
        </row>
        <row r="934">
          <cell r="A934" t="str">
            <v>Road</v>
          </cell>
          <cell r="B934" t="str">
            <v>EHP</v>
          </cell>
          <cell r="C934" t="str">
            <v>Realisation against RA Bill</v>
          </cell>
          <cell r="E934">
            <v>71166242.267249569</v>
          </cell>
          <cell r="F934">
            <v>78463827.876770586</v>
          </cell>
          <cell r="G934">
            <v>66140037.667689629</v>
          </cell>
          <cell r="H934">
            <v>66748628.419982016</v>
          </cell>
          <cell r="I934">
            <v>38230535.269632153</v>
          </cell>
          <cell r="J934">
            <v>3782829.4450151334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</row>
        <row r="935">
          <cell r="A935" t="str">
            <v>Road</v>
          </cell>
          <cell r="B935" t="str">
            <v>EHP</v>
          </cell>
          <cell r="C935" t="str">
            <v>Realisation against Escalation / Claims</v>
          </cell>
          <cell r="E935">
            <v>0</v>
          </cell>
          <cell r="F935">
            <v>0</v>
          </cell>
          <cell r="G935">
            <v>224000000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</row>
        <row r="936">
          <cell r="A936" t="str">
            <v>Road</v>
          </cell>
          <cell r="B936" t="str">
            <v>EHP</v>
          </cell>
          <cell r="C936" t="str">
            <v>Other Receipts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200000000</v>
          </cell>
          <cell r="N936">
            <v>0</v>
          </cell>
          <cell r="O936">
            <v>0</v>
          </cell>
          <cell r="P936">
            <v>0</v>
          </cell>
        </row>
        <row r="937">
          <cell r="A937" t="str">
            <v>Road</v>
          </cell>
          <cell r="B937" t="str">
            <v>EHP</v>
          </cell>
          <cell r="C937" t="str">
            <v>Realisitation of Mobilisation Advance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</row>
        <row r="938">
          <cell r="A938" t="str">
            <v>Road</v>
          </cell>
          <cell r="B938" t="str">
            <v>EHP</v>
          </cell>
          <cell r="C938" t="str">
            <v xml:space="preserve"> - Retention money from client(incl TDS)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56000000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</row>
        <row r="939">
          <cell r="A939" t="str">
            <v>Road</v>
          </cell>
          <cell r="B939" t="str">
            <v>EHP</v>
          </cell>
          <cell r="C939" t="str">
            <v>Other Receipts</v>
          </cell>
          <cell r="E939">
            <v>84300000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</row>
        <row r="940">
          <cell r="A940" t="str">
            <v>Road</v>
          </cell>
          <cell r="B940" t="str">
            <v>EHP</v>
          </cell>
          <cell r="C940" t="str">
            <v xml:space="preserve">Labour </v>
          </cell>
          <cell r="E940">
            <v>10390203.436525641</v>
          </cell>
          <cell r="F940">
            <v>11241780.332760282</v>
          </cell>
          <cell r="G940">
            <v>10875347.846758081</v>
          </cell>
          <cell r="H940">
            <v>10998833.990579357</v>
          </cell>
          <cell r="I940">
            <v>9256403.742259616</v>
          </cell>
          <cell r="J940">
            <v>3859290.6225556647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</row>
        <row r="941">
          <cell r="A941" t="str">
            <v>Road</v>
          </cell>
          <cell r="B941" t="str">
            <v>EHP</v>
          </cell>
          <cell r="C941" t="str">
            <v>Payment Suppliers(including Adv)</v>
          </cell>
          <cell r="E941">
            <v>55988976.650922827</v>
          </cell>
          <cell r="F941">
            <v>60577810.666639626</v>
          </cell>
          <cell r="G941">
            <v>58603241.060928702</v>
          </cell>
          <cell r="H941">
            <v>56000000</v>
          </cell>
          <cell r="I941">
            <v>56000000</v>
          </cell>
          <cell r="J941">
            <v>22000000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</row>
        <row r="942">
          <cell r="A942" t="str">
            <v>Road</v>
          </cell>
          <cell r="B942" t="str">
            <v>EHP</v>
          </cell>
          <cell r="C942" t="str">
            <v>Sub contractor-(including Advance)</v>
          </cell>
          <cell r="E942">
            <v>16841276.208176602</v>
          </cell>
          <cell r="F942">
            <v>18221580.4350961</v>
          </cell>
          <cell r="G942">
            <v>17627637.232144199</v>
          </cell>
          <cell r="H942">
            <v>17827793.49170943</v>
          </cell>
          <cell r="I942">
            <v>16000000</v>
          </cell>
          <cell r="J942">
            <v>9500000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</row>
        <row r="943">
          <cell r="A943" t="str">
            <v>Road</v>
          </cell>
          <cell r="B943" t="str">
            <v>EHP</v>
          </cell>
          <cell r="C943" t="str">
            <v>Out side Machinery Hire</v>
          </cell>
          <cell r="E943">
            <v>991499.99999999988</v>
          </cell>
          <cell r="F943">
            <v>743500</v>
          </cell>
          <cell r="G943">
            <v>743500</v>
          </cell>
          <cell r="H943">
            <v>743500</v>
          </cell>
          <cell r="I943">
            <v>659500</v>
          </cell>
          <cell r="J943">
            <v>659500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</row>
        <row r="944">
          <cell r="A944" t="str">
            <v>Road</v>
          </cell>
          <cell r="B944" t="str">
            <v>EHP</v>
          </cell>
          <cell r="C944" t="str">
            <v>Diesel</v>
          </cell>
          <cell r="E944">
            <v>362594.4</v>
          </cell>
          <cell r="F944">
            <v>173414.2</v>
          </cell>
          <cell r="G944">
            <v>137894.70000000001</v>
          </cell>
          <cell r="H944">
            <v>222666.45</v>
          </cell>
          <cell r="I944">
            <v>201311.99999999997</v>
          </cell>
          <cell r="J944">
            <v>140009.70000000001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</row>
        <row r="945">
          <cell r="A945" t="str">
            <v>Road</v>
          </cell>
          <cell r="B945" t="str">
            <v>EHP</v>
          </cell>
          <cell r="C945" t="str">
            <v>JV Share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</row>
        <row r="946">
          <cell r="A946" t="str">
            <v>Road</v>
          </cell>
          <cell r="B946" t="str">
            <v>EHP</v>
          </cell>
          <cell r="C946" t="str">
            <v>Plant Repairs &amp; Maintanance</v>
          </cell>
          <cell r="E946">
            <v>100000</v>
          </cell>
          <cell r="F946">
            <v>100000</v>
          </cell>
          <cell r="G946">
            <v>100000</v>
          </cell>
          <cell r="H946">
            <v>100000</v>
          </cell>
          <cell r="I946">
            <v>90000</v>
          </cell>
          <cell r="J946">
            <v>80000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</row>
        <row r="947">
          <cell r="A947" t="str">
            <v>Road</v>
          </cell>
          <cell r="B947" t="str">
            <v>EHP</v>
          </cell>
          <cell r="C947" t="str">
            <v>VAT &amp; other Taxes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</row>
        <row r="948">
          <cell r="A948" t="str">
            <v>Road</v>
          </cell>
          <cell r="B948" t="str">
            <v>EHP</v>
          </cell>
          <cell r="C948" t="str">
            <v>Salaries</v>
          </cell>
          <cell r="E948">
            <v>1800000</v>
          </cell>
          <cell r="F948">
            <v>1600000</v>
          </cell>
          <cell r="G948">
            <v>1600000</v>
          </cell>
          <cell r="H948">
            <v>1400000</v>
          </cell>
          <cell r="I948">
            <v>1400000</v>
          </cell>
          <cell r="J948">
            <v>1400000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</row>
        <row r="949">
          <cell r="A949" t="str">
            <v>Road</v>
          </cell>
          <cell r="B949" t="str">
            <v>EHP</v>
          </cell>
          <cell r="C949" t="str">
            <v>Operating overhead</v>
          </cell>
          <cell r="E949">
            <v>2291600</v>
          </cell>
          <cell r="F949">
            <v>2181100</v>
          </cell>
          <cell r="G949">
            <v>1950600</v>
          </cell>
          <cell r="H949">
            <v>1644000.0000000002</v>
          </cell>
          <cell r="I949">
            <v>1355000</v>
          </cell>
          <cell r="J949">
            <v>1037500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</row>
        <row r="950">
          <cell r="A950" t="str">
            <v>Road</v>
          </cell>
          <cell r="B950" t="str">
            <v>EHP</v>
          </cell>
          <cell r="C950" t="str">
            <v>Other Direct Over Heads</v>
          </cell>
          <cell r="E950">
            <v>99900000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25700000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</row>
        <row r="951">
          <cell r="A951" t="str">
            <v>Road</v>
          </cell>
          <cell r="B951" t="str">
            <v>AS 17</v>
          </cell>
          <cell r="C951" t="str">
            <v>Realisation against RA Bill</v>
          </cell>
          <cell r="E951">
            <v>71028000</v>
          </cell>
          <cell r="F951">
            <v>97998883.327645376</v>
          </cell>
          <cell r="G951">
            <v>54143678.618859261</v>
          </cell>
          <cell r="H951">
            <v>38999949.517649665</v>
          </cell>
          <cell r="I951">
            <v>43839949.517649665</v>
          </cell>
          <cell r="J951">
            <v>36828595.148346215</v>
          </cell>
          <cell r="K951">
            <v>62856232.410854883</v>
          </cell>
          <cell r="L951">
            <v>75500000</v>
          </cell>
          <cell r="M951">
            <v>89500000</v>
          </cell>
          <cell r="N951">
            <v>95500000</v>
          </cell>
          <cell r="O951">
            <v>105500000</v>
          </cell>
          <cell r="P951">
            <v>103110901.81903628</v>
          </cell>
        </row>
        <row r="952">
          <cell r="A952" t="str">
            <v>Road</v>
          </cell>
          <cell r="B952" t="str">
            <v>AS 17</v>
          </cell>
          <cell r="C952" t="str">
            <v>Realisation against Escalation / Claims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</row>
        <row r="953">
          <cell r="A953" t="str">
            <v>Road</v>
          </cell>
          <cell r="B953" t="str">
            <v>AS 17</v>
          </cell>
          <cell r="C953" t="str">
            <v>Other Receipts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</row>
        <row r="954">
          <cell r="A954" t="str">
            <v>Road</v>
          </cell>
          <cell r="B954" t="str">
            <v>AS 17</v>
          </cell>
          <cell r="C954" t="str">
            <v>Realisitation of Mobilisation Advance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</row>
        <row r="955">
          <cell r="A955" t="str">
            <v>Road</v>
          </cell>
          <cell r="B955" t="str">
            <v>AS 17</v>
          </cell>
          <cell r="C955" t="str">
            <v xml:space="preserve"> - Retention money from client(incl TDS)</v>
          </cell>
          <cell r="E955">
            <v>50000000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</row>
        <row r="956">
          <cell r="A956" t="str">
            <v>Road</v>
          </cell>
          <cell r="B956" t="str">
            <v>AS 17</v>
          </cell>
          <cell r="C956" t="str">
            <v>Other Receipts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7590000.0000000009</v>
          </cell>
          <cell r="K956">
            <v>19933000</v>
          </cell>
          <cell r="L956">
            <v>4485000</v>
          </cell>
          <cell r="M956">
            <v>8981000</v>
          </cell>
          <cell r="N956">
            <v>0</v>
          </cell>
          <cell r="O956">
            <v>0</v>
          </cell>
          <cell r="P956">
            <v>0</v>
          </cell>
        </row>
        <row r="957">
          <cell r="A957" t="str">
            <v>Road</v>
          </cell>
          <cell r="B957" t="str">
            <v>AS 17</v>
          </cell>
          <cell r="C957" t="str">
            <v xml:space="preserve">Labour 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</row>
        <row r="958">
          <cell r="A958" t="str">
            <v>Road</v>
          </cell>
          <cell r="B958" t="str">
            <v>AS 17</v>
          </cell>
          <cell r="C958" t="str">
            <v>Payment Suppliers(including Adv)</v>
          </cell>
          <cell r="E958">
            <v>58042663.531025469</v>
          </cell>
          <cell r="F958">
            <v>45532541.291930087</v>
          </cell>
          <cell r="G958">
            <v>26457885.414233975</v>
          </cell>
          <cell r="H958">
            <v>21224882.638201982</v>
          </cell>
          <cell r="I958">
            <v>21631315.662919614</v>
          </cell>
          <cell r="J958">
            <v>33188158.530591842</v>
          </cell>
          <cell r="K958">
            <v>50334366.640914686</v>
          </cell>
          <cell r="L958">
            <v>60443667.290131249</v>
          </cell>
          <cell r="M958">
            <v>70648511.85851939</v>
          </cell>
          <cell r="N958">
            <v>66255725.621256918</v>
          </cell>
          <cell r="O958">
            <v>62825012.564305142</v>
          </cell>
          <cell r="P958">
            <v>61817223.40073666</v>
          </cell>
        </row>
        <row r="959">
          <cell r="A959" t="str">
            <v>Road</v>
          </cell>
          <cell r="B959" t="str">
            <v>AS 17</v>
          </cell>
          <cell r="C959" t="str">
            <v>Sub contractor-(including Advance)</v>
          </cell>
          <cell r="E959">
            <v>7659270.8156934325</v>
          </cell>
          <cell r="F959">
            <v>4327074.2960212287</v>
          </cell>
          <cell r="G959">
            <v>3171205.3386364514</v>
          </cell>
          <cell r="H959">
            <v>3171205.3386364514</v>
          </cell>
          <cell r="I959">
            <v>3420472.8251966224</v>
          </cell>
          <cell r="J959">
            <v>5606293.208994248</v>
          </cell>
          <cell r="K959">
            <v>7720708.7199577894</v>
          </cell>
          <cell r="L959">
            <v>7850450.3788027503</v>
          </cell>
          <cell r="M959">
            <v>10163692.653829014</v>
          </cell>
          <cell r="N959">
            <v>14382966.315171234</v>
          </cell>
          <cell r="O959">
            <v>14931338.536678342</v>
          </cell>
          <cell r="P959">
            <v>10894778.62201475</v>
          </cell>
        </row>
        <row r="960">
          <cell r="A960" t="str">
            <v>Road</v>
          </cell>
          <cell r="B960" t="str">
            <v>AS 17</v>
          </cell>
          <cell r="C960" t="str">
            <v>Out side Machinery Hire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</row>
        <row r="961">
          <cell r="A961" t="str">
            <v>Road</v>
          </cell>
          <cell r="B961" t="str">
            <v>AS 17</v>
          </cell>
          <cell r="C961" t="str">
            <v>Diesel</v>
          </cell>
          <cell r="E961">
            <v>8200000</v>
          </cell>
          <cell r="F961">
            <v>8200000</v>
          </cell>
          <cell r="G961">
            <v>8200000</v>
          </cell>
          <cell r="H961">
            <v>8200000</v>
          </cell>
          <cell r="I961">
            <v>8200000</v>
          </cell>
          <cell r="J961">
            <v>8200000</v>
          </cell>
          <cell r="K961">
            <v>8200000</v>
          </cell>
          <cell r="L961">
            <v>8200000</v>
          </cell>
          <cell r="M961">
            <v>8200000</v>
          </cell>
          <cell r="N961">
            <v>8200000</v>
          </cell>
          <cell r="O961">
            <v>8200000</v>
          </cell>
          <cell r="P961">
            <v>8200000</v>
          </cell>
        </row>
        <row r="962">
          <cell r="A962" t="str">
            <v>Road</v>
          </cell>
          <cell r="B962" t="str">
            <v>AS 17</v>
          </cell>
          <cell r="C962" t="str">
            <v>JV Share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</row>
        <row r="963">
          <cell r="A963" t="str">
            <v>Road</v>
          </cell>
          <cell r="B963" t="str">
            <v>AS 17</v>
          </cell>
          <cell r="C963" t="str">
            <v>Plant Repairs &amp; Maintanance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</row>
        <row r="964">
          <cell r="A964" t="str">
            <v>Road</v>
          </cell>
          <cell r="B964" t="str">
            <v>AS 17</v>
          </cell>
          <cell r="C964" t="str">
            <v>VAT &amp; other Taxes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</row>
        <row r="965">
          <cell r="A965" t="str">
            <v>Road</v>
          </cell>
          <cell r="B965" t="str">
            <v>AS 17</v>
          </cell>
          <cell r="C965" t="str">
            <v>Salaries</v>
          </cell>
          <cell r="E965">
            <v>3719499.9999999995</v>
          </cell>
          <cell r="F965">
            <v>3719499.9999999995</v>
          </cell>
          <cell r="G965">
            <v>3719499.9999999995</v>
          </cell>
          <cell r="H965">
            <v>3719499.9999999995</v>
          </cell>
          <cell r="I965">
            <v>3719499.9999999995</v>
          </cell>
          <cell r="J965">
            <v>3719499.9999999995</v>
          </cell>
          <cell r="K965">
            <v>3719499.9999999995</v>
          </cell>
          <cell r="L965">
            <v>3719499.9999999995</v>
          </cell>
          <cell r="M965">
            <v>3719499.9999999995</v>
          </cell>
          <cell r="N965">
            <v>1094000.0000000002</v>
          </cell>
          <cell r="O965">
            <v>1094000.0000000002</v>
          </cell>
          <cell r="P965">
            <v>1094000.0000000002</v>
          </cell>
        </row>
        <row r="966">
          <cell r="A966" t="str">
            <v>Road</v>
          </cell>
          <cell r="B966" t="str">
            <v>AS 17</v>
          </cell>
          <cell r="C966" t="str">
            <v>Operating overhead</v>
          </cell>
          <cell r="E966">
            <v>4189000</v>
          </cell>
          <cell r="F966">
            <v>3189000</v>
          </cell>
          <cell r="G966">
            <v>3189000</v>
          </cell>
          <cell r="H966">
            <v>3189000</v>
          </cell>
          <cell r="I966">
            <v>5388999.9999999991</v>
          </cell>
          <cell r="J966">
            <v>2749000</v>
          </cell>
          <cell r="K966">
            <v>2649000</v>
          </cell>
          <cell r="L966">
            <v>2549000</v>
          </cell>
          <cell r="M966">
            <v>2549000</v>
          </cell>
          <cell r="N966">
            <v>1849000.0000000002</v>
          </cell>
          <cell r="O966">
            <v>1849000.0000000002</v>
          </cell>
          <cell r="P966">
            <v>1749000.0000000002</v>
          </cell>
        </row>
        <row r="967">
          <cell r="A967" t="str">
            <v>Road</v>
          </cell>
          <cell r="B967" t="str">
            <v>AS 17</v>
          </cell>
          <cell r="C967" t="str">
            <v>Other Direct Over Heads</v>
          </cell>
          <cell r="E967">
            <v>10641459.922010683</v>
          </cell>
          <cell r="F967">
            <v>8204149.3322172388</v>
          </cell>
          <cell r="G967">
            <v>7531192.8207426406</v>
          </cell>
          <cell r="H967">
            <v>7781832.8207426406</v>
          </cell>
          <cell r="I967">
            <v>7418748.9655521009</v>
          </cell>
          <cell r="J967">
            <v>8766593.3877577148</v>
          </cell>
          <cell r="K967">
            <v>10164773.093535373</v>
          </cell>
          <cell r="L967">
            <v>11150681.714124044</v>
          </cell>
          <cell r="M967">
            <v>12292186.007124059</v>
          </cell>
          <cell r="N967">
            <v>9855391.2283502594</v>
          </cell>
          <cell r="O967">
            <v>10170869.433308659</v>
          </cell>
          <cell r="P967">
            <v>7931186.8589125667</v>
          </cell>
        </row>
        <row r="968">
          <cell r="A968" t="str">
            <v>Road</v>
          </cell>
          <cell r="B968" t="str">
            <v>AS 19</v>
          </cell>
          <cell r="C968" t="str">
            <v>Realisation against RA Bill</v>
          </cell>
          <cell r="E968">
            <v>25000000</v>
          </cell>
          <cell r="F968">
            <v>32500000</v>
          </cell>
          <cell r="G968">
            <v>22500000</v>
          </cell>
          <cell r="H968">
            <v>22500000</v>
          </cell>
          <cell r="I968">
            <v>22500000</v>
          </cell>
          <cell r="J968">
            <v>22500000</v>
          </cell>
          <cell r="K968">
            <v>35000000</v>
          </cell>
          <cell r="L968">
            <v>45000000</v>
          </cell>
          <cell r="M968">
            <v>52500000</v>
          </cell>
          <cell r="N968">
            <v>65000000</v>
          </cell>
          <cell r="O968">
            <v>75000000</v>
          </cell>
          <cell r="P968">
            <v>80000000</v>
          </cell>
        </row>
        <row r="969">
          <cell r="A969" t="str">
            <v>Road</v>
          </cell>
          <cell r="B969" t="str">
            <v>AS 19</v>
          </cell>
          <cell r="C969" t="str">
            <v>Realisation against Escalation / Claims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</row>
        <row r="970">
          <cell r="A970" t="str">
            <v>Road</v>
          </cell>
          <cell r="B970" t="str">
            <v>AS 19</v>
          </cell>
          <cell r="C970" t="str">
            <v>Other Receipts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</row>
        <row r="971">
          <cell r="A971" t="str">
            <v>Road</v>
          </cell>
          <cell r="B971" t="str">
            <v>AS 19</v>
          </cell>
          <cell r="C971" t="str">
            <v>Realisitation of Mobilisation Advance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</row>
        <row r="972">
          <cell r="A972" t="str">
            <v>Road</v>
          </cell>
          <cell r="B972" t="str">
            <v>AS 19</v>
          </cell>
          <cell r="C972" t="str">
            <v xml:space="preserve"> - Retention money from client(incl TDS)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</row>
        <row r="973">
          <cell r="A973" t="str">
            <v>Road</v>
          </cell>
          <cell r="B973" t="str">
            <v>AS 19</v>
          </cell>
          <cell r="C973" t="str">
            <v>Other Receipts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</row>
        <row r="974">
          <cell r="A974" t="str">
            <v>Road</v>
          </cell>
          <cell r="B974" t="str">
            <v>AS 19</v>
          </cell>
          <cell r="C974" t="str">
            <v xml:space="preserve">Labour </v>
          </cell>
          <cell r="E974">
            <v>2200000</v>
          </cell>
          <cell r="F974">
            <v>2200000</v>
          </cell>
          <cell r="G974">
            <v>2200000</v>
          </cell>
          <cell r="H974">
            <v>2200000</v>
          </cell>
          <cell r="I974">
            <v>2200000</v>
          </cell>
          <cell r="J974">
            <v>2200000</v>
          </cell>
          <cell r="K974">
            <v>2200000</v>
          </cell>
          <cell r="L974">
            <v>2200000</v>
          </cell>
          <cell r="M974">
            <v>2200000</v>
          </cell>
          <cell r="N974">
            <v>1800000</v>
          </cell>
          <cell r="O974">
            <v>1800000</v>
          </cell>
          <cell r="P974">
            <v>1800000</v>
          </cell>
        </row>
        <row r="975">
          <cell r="A975" t="str">
            <v>Road</v>
          </cell>
          <cell r="B975" t="str">
            <v>AS 19</v>
          </cell>
          <cell r="C975" t="str">
            <v>Payment Suppliers(including Adv)</v>
          </cell>
          <cell r="E975">
            <v>23700000</v>
          </cell>
          <cell r="F975">
            <v>11500000</v>
          </cell>
          <cell r="G975">
            <v>14000000</v>
          </cell>
          <cell r="H975">
            <v>10000000</v>
          </cell>
          <cell r="I975">
            <v>9400000</v>
          </cell>
          <cell r="J975">
            <v>9500000</v>
          </cell>
          <cell r="K975">
            <v>14800000</v>
          </cell>
          <cell r="L975">
            <v>19800000</v>
          </cell>
          <cell r="M975">
            <v>24400000</v>
          </cell>
          <cell r="N975">
            <v>31000000</v>
          </cell>
          <cell r="O975">
            <v>36300000</v>
          </cell>
          <cell r="P975">
            <v>43000000</v>
          </cell>
        </row>
        <row r="976">
          <cell r="A976" t="str">
            <v>Road</v>
          </cell>
          <cell r="B976" t="str">
            <v>AS 19</v>
          </cell>
          <cell r="C976" t="str">
            <v>Sub contractor-(including Advance)</v>
          </cell>
          <cell r="E976">
            <v>8014000</v>
          </cell>
          <cell r="F976">
            <v>2500000</v>
          </cell>
          <cell r="G976">
            <v>3250000</v>
          </cell>
          <cell r="H976">
            <v>2250000</v>
          </cell>
          <cell r="I976">
            <v>2250000</v>
          </cell>
          <cell r="J976">
            <v>2250000</v>
          </cell>
          <cell r="K976">
            <v>2250000</v>
          </cell>
          <cell r="L976">
            <v>3500000</v>
          </cell>
          <cell r="M976">
            <v>4500000</v>
          </cell>
          <cell r="N976">
            <v>5250000</v>
          </cell>
          <cell r="O976">
            <v>6500000</v>
          </cell>
          <cell r="P976">
            <v>7500000</v>
          </cell>
        </row>
        <row r="977">
          <cell r="A977" t="str">
            <v>Road</v>
          </cell>
          <cell r="B977" t="str">
            <v>AS 19</v>
          </cell>
          <cell r="C977" t="str">
            <v>Out side Machinery Hire</v>
          </cell>
          <cell r="E977">
            <v>1315000</v>
          </cell>
          <cell r="F977">
            <v>1300000</v>
          </cell>
          <cell r="G977">
            <v>916000</v>
          </cell>
          <cell r="H977">
            <v>916000</v>
          </cell>
          <cell r="I977">
            <v>916000</v>
          </cell>
          <cell r="J977">
            <v>916000</v>
          </cell>
          <cell r="K977">
            <v>916000</v>
          </cell>
          <cell r="L977">
            <v>916000</v>
          </cell>
          <cell r="M977">
            <v>916000</v>
          </cell>
          <cell r="N977">
            <v>916000</v>
          </cell>
          <cell r="O977">
            <v>916000</v>
          </cell>
          <cell r="P977">
            <v>916000</v>
          </cell>
        </row>
        <row r="978">
          <cell r="A978" t="str">
            <v>Road</v>
          </cell>
          <cell r="B978" t="str">
            <v>AS 19</v>
          </cell>
          <cell r="C978" t="str">
            <v>Diesel</v>
          </cell>
          <cell r="E978">
            <v>4000000</v>
          </cell>
          <cell r="F978">
            <v>4000000</v>
          </cell>
          <cell r="G978">
            <v>3000000</v>
          </cell>
          <cell r="H978">
            <v>3000000</v>
          </cell>
          <cell r="I978">
            <v>3000000</v>
          </cell>
          <cell r="J978">
            <v>3000000</v>
          </cell>
          <cell r="K978">
            <v>4500000</v>
          </cell>
          <cell r="L978">
            <v>5000000</v>
          </cell>
          <cell r="M978">
            <v>5000000</v>
          </cell>
          <cell r="N978">
            <v>5500000</v>
          </cell>
          <cell r="O978">
            <v>5500000</v>
          </cell>
          <cell r="P978">
            <v>5500000</v>
          </cell>
        </row>
        <row r="979">
          <cell r="A979" t="str">
            <v>Road</v>
          </cell>
          <cell r="B979" t="str">
            <v>AS 19</v>
          </cell>
          <cell r="C979" t="str">
            <v>JV Share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</row>
        <row r="980">
          <cell r="A980" t="str">
            <v>Road</v>
          </cell>
          <cell r="B980" t="str">
            <v>AS 19</v>
          </cell>
          <cell r="C980" t="str">
            <v>Plant Repairs &amp; Maintanance</v>
          </cell>
          <cell r="E980">
            <v>200000</v>
          </cell>
          <cell r="F980">
            <v>200000</v>
          </cell>
          <cell r="G980">
            <v>200000</v>
          </cell>
          <cell r="H980">
            <v>150000</v>
          </cell>
          <cell r="I980">
            <v>150000</v>
          </cell>
          <cell r="J980">
            <v>150000</v>
          </cell>
          <cell r="K980">
            <v>400000</v>
          </cell>
          <cell r="L980">
            <v>400000</v>
          </cell>
          <cell r="M980">
            <v>300000</v>
          </cell>
          <cell r="N980">
            <v>200000</v>
          </cell>
          <cell r="O980">
            <v>200000</v>
          </cell>
          <cell r="P980">
            <v>150000</v>
          </cell>
        </row>
        <row r="981">
          <cell r="A981" t="str">
            <v>Road</v>
          </cell>
          <cell r="B981" t="str">
            <v>AS 19</v>
          </cell>
          <cell r="C981" t="str">
            <v>VAT &amp; other Taxes</v>
          </cell>
          <cell r="E981">
            <v>800000</v>
          </cell>
          <cell r="F981">
            <v>200000</v>
          </cell>
          <cell r="G981">
            <v>100000</v>
          </cell>
          <cell r="H981">
            <v>0</v>
          </cell>
          <cell r="I981">
            <v>100000</v>
          </cell>
          <cell r="J981">
            <v>150000</v>
          </cell>
          <cell r="K981">
            <v>300000</v>
          </cell>
          <cell r="L981">
            <v>300000</v>
          </cell>
          <cell r="M981">
            <v>1400000</v>
          </cell>
          <cell r="N981">
            <v>500000</v>
          </cell>
          <cell r="O981">
            <v>500000</v>
          </cell>
          <cell r="P981">
            <v>800000</v>
          </cell>
        </row>
        <row r="982">
          <cell r="A982" t="str">
            <v>Road</v>
          </cell>
          <cell r="B982" t="str">
            <v>AS 19</v>
          </cell>
          <cell r="C982" t="str">
            <v>Salaries</v>
          </cell>
          <cell r="E982">
            <v>1300000</v>
          </cell>
          <cell r="F982">
            <v>1300000</v>
          </cell>
          <cell r="G982">
            <v>1300000</v>
          </cell>
          <cell r="H982">
            <v>1300000</v>
          </cell>
          <cell r="I982">
            <v>1300000</v>
          </cell>
          <cell r="J982">
            <v>1300000</v>
          </cell>
          <cell r="K982">
            <v>1300000</v>
          </cell>
          <cell r="L982">
            <v>1300000</v>
          </cell>
          <cell r="M982">
            <v>1300000</v>
          </cell>
          <cell r="N982">
            <v>1100000</v>
          </cell>
          <cell r="O982">
            <v>1100000</v>
          </cell>
          <cell r="P982">
            <v>1100000</v>
          </cell>
        </row>
        <row r="983">
          <cell r="A983" t="str">
            <v>Road</v>
          </cell>
          <cell r="B983" t="str">
            <v>AS 19</v>
          </cell>
          <cell r="C983" t="str">
            <v>Operating overhead</v>
          </cell>
          <cell r="E983">
            <v>1700000</v>
          </cell>
          <cell r="F983">
            <v>1700000</v>
          </cell>
          <cell r="G983">
            <v>1500000</v>
          </cell>
          <cell r="H983">
            <v>1500000</v>
          </cell>
          <cell r="I983">
            <v>1500000</v>
          </cell>
          <cell r="J983">
            <v>1500000</v>
          </cell>
          <cell r="K983">
            <v>1500000</v>
          </cell>
          <cell r="L983">
            <v>1600000</v>
          </cell>
          <cell r="M983">
            <v>1600000</v>
          </cell>
          <cell r="N983">
            <v>1400000</v>
          </cell>
          <cell r="O983">
            <v>1400000</v>
          </cell>
          <cell r="P983">
            <v>1400000</v>
          </cell>
        </row>
        <row r="984">
          <cell r="A984" t="str">
            <v>Road</v>
          </cell>
          <cell r="B984" t="str">
            <v>AS 19</v>
          </cell>
          <cell r="C984" t="str">
            <v>Other Direct Over Heads</v>
          </cell>
          <cell r="E984">
            <v>700000</v>
          </cell>
          <cell r="F984">
            <v>700000</v>
          </cell>
          <cell r="G984">
            <v>700000</v>
          </cell>
          <cell r="H984">
            <v>700000</v>
          </cell>
          <cell r="I984">
            <v>700000</v>
          </cell>
          <cell r="J984">
            <v>700000</v>
          </cell>
          <cell r="K984">
            <v>700000</v>
          </cell>
          <cell r="L984">
            <v>700000</v>
          </cell>
          <cell r="M984">
            <v>700000</v>
          </cell>
          <cell r="N984">
            <v>700000</v>
          </cell>
          <cell r="O984">
            <v>700000</v>
          </cell>
          <cell r="P984">
            <v>700000</v>
          </cell>
        </row>
        <row r="985">
          <cell r="A985" t="str">
            <v>Road</v>
          </cell>
          <cell r="B985" t="str">
            <v>CG 1</v>
          </cell>
          <cell r="C985" t="str">
            <v>Realisation against RA Bill</v>
          </cell>
          <cell r="E985">
            <v>39377500</v>
          </cell>
          <cell r="F985">
            <v>49210000</v>
          </cell>
          <cell r="G985">
            <v>42560000</v>
          </cell>
          <cell r="H985">
            <v>34274100</v>
          </cell>
          <cell r="I985">
            <v>15274099.999999998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</row>
        <row r="986">
          <cell r="A986" t="str">
            <v>Road</v>
          </cell>
          <cell r="B986" t="str">
            <v>CG 1</v>
          </cell>
          <cell r="C986" t="str">
            <v>Realisation against Escalation / Claims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</row>
        <row r="987">
          <cell r="A987" t="str">
            <v>Road</v>
          </cell>
          <cell r="B987" t="str">
            <v>CG 1</v>
          </cell>
          <cell r="C987" t="str">
            <v>Other Receipts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</row>
        <row r="988">
          <cell r="A988" t="str">
            <v>Road</v>
          </cell>
          <cell r="B988" t="str">
            <v>CG 1</v>
          </cell>
          <cell r="C988" t="str">
            <v>Realisitation of Mobilisation Advance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</row>
        <row r="989">
          <cell r="A989" t="str">
            <v>Road</v>
          </cell>
          <cell r="B989" t="str">
            <v>CG 1</v>
          </cell>
          <cell r="C989" t="str">
            <v xml:space="preserve"> - Retention money from client(incl TDS)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</row>
        <row r="990">
          <cell r="A990" t="str">
            <v>Road</v>
          </cell>
          <cell r="B990" t="str">
            <v>CG 1</v>
          </cell>
          <cell r="C990" t="str">
            <v>Other Receipts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</row>
        <row r="991">
          <cell r="A991" t="str">
            <v>Road</v>
          </cell>
          <cell r="B991" t="str">
            <v>CG 1</v>
          </cell>
          <cell r="C991" t="str">
            <v xml:space="preserve">Labour 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</row>
        <row r="992">
          <cell r="A992" t="str">
            <v>Road</v>
          </cell>
          <cell r="B992" t="str">
            <v>CG 1</v>
          </cell>
          <cell r="C992" t="str">
            <v>Payment Suppliers(including Adv)</v>
          </cell>
          <cell r="E992">
            <v>17100000</v>
          </cell>
          <cell r="F992">
            <v>14500000</v>
          </cell>
          <cell r="G992">
            <v>14500000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</row>
        <row r="993">
          <cell r="A993" t="str">
            <v>Road</v>
          </cell>
          <cell r="B993" t="str">
            <v>CG 1</v>
          </cell>
          <cell r="C993" t="str">
            <v>Sub contractor-(including Advance)</v>
          </cell>
          <cell r="E993">
            <v>2534793.333333333</v>
          </cell>
          <cell r="F993">
            <v>5861666.666666667</v>
          </cell>
          <cell r="G993">
            <v>8709766.666666666</v>
          </cell>
          <cell r="H993">
            <v>8997400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</row>
        <row r="994">
          <cell r="A994" t="str">
            <v>Road</v>
          </cell>
          <cell r="B994" t="str">
            <v>CG 1</v>
          </cell>
          <cell r="C994" t="str">
            <v>Out side Machinery Hire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</row>
        <row r="995">
          <cell r="A995" t="str">
            <v>Road</v>
          </cell>
          <cell r="B995" t="str">
            <v>CG 1</v>
          </cell>
          <cell r="C995" t="str">
            <v>Diesel</v>
          </cell>
          <cell r="E995">
            <v>6208173.279813786</v>
          </cell>
          <cell r="F995">
            <v>3245262.1214083964</v>
          </cell>
          <cell r="G995">
            <v>2607195.0497668525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</row>
        <row r="996">
          <cell r="A996" t="str">
            <v>Road</v>
          </cell>
          <cell r="B996" t="str">
            <v>CG 1</v>
          </cell>
          <cell r="C996" t="str">
            <v>JV Share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</row>
        <row r="997">
          <cell r="A997" t="str">
            <v>Road</v>
          </cell>
          <cell r="B997" t="str">
            <v>CG 1</v>
          </cell>
          <cell r="C997" t="str">
            <v>Plant Repairs &amp; Maintanance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</row>
        <row r="998">
          <cell r="A998" t="str">
            <v>Road</v>
          </cell>
          <cell r="B998" t="str">
            <v>CG 1</v>
          </cell>
          <cell r="C998" t="str">
            <v>VAT &amp; other Taxes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</row>
        <row r="999">
          <cell r="A999" t="str">
            <v>Road</v>
          </cell>
          <cell r="B999" t="str">
            <v>CG 1</v>
          </cell>
          <cell r="C999" t="str">
            <v>Salaries</v>
          </cell>
          <cell r="E999">
            <v>2819159.9999999995</v>
          </cell>
          <cell r="F999">
            <v>2208728</v>
          </cell>
          <cell r="G999">
            <v>1904728</v>
          </cell>
          <cell r="H999">
            <v>1000000</v>
          </cell>
          <cell r="I999">
            <v>500000</v>
          </cell>
          <cell r="J999">
            <v>500000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</row>
        <row r="1000">
          <cell r="A1000" t="str">
            <v>Road</v>
          </cell>
          <cell r="B1000" t="str">
            <v>CG 1</v>
          </cell>
          <cell r="C1000" t="str">
            <v>Operating overhead</v>
          </cell>
          <cell r="E1000">
            <v>712000</v>
          </cell>
          <cell r="F1000">
            <v>570000</v>
          </cell>
          <cell r="G1000">
            <v>570000</v>
          </cell>
          <cell r="H1000">
            <v>285000</v>
          </cell>
          <cell r="I1000">
            <v>142000</v>
          </cell>
          <cell r="J1000">
            <v>71000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</row>
        <row r="1001">
          <cell r="A1001" t="str">
            <v>Road</v>
          </cell>
          <cell r="B1001" t="str">
            <v>CG 1</v>
          </cell>
          <cell r="C1001" t="str">
            <v>Other Direct Over Heads</v>
          </cell>
          <cell r="E1001">
            <v>750000</v>
          </cell>
          <cell r="F1001">
            <v>750000</v>
          </cell>
          <cell r="G1001">
            <v>500000</v>
          </cell>
          <cell r="H1001">
            <v>500000</v>
          </cell>
          <cell r="I1001">
            <v>500000</v>
          </cell>
          <cell r="J1001">
            <v>500000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</row>
        <row r="1002">
          <cell r="A1002" t="str">
            <v>Road</v>
          </cell>
          <cell r="B1002" t="str">
            <v>CG 2</v>
          </cell>
          <cell r="C1002" t="str">
            <v>Realisation against RA Bill</v>
          </cell>
          <cell r="E1002">
            <v>0</v>
          </cell>
          <cell r="F1002">
            <v>26000000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</row>
        <row r="1003">
          <cell r="A1003" t="str">
            <v>Road</v>
          </cell>
          <cell r="B1003" t="str">
            <v>CG 2</v>
          </cell>
          <cell r="C1003" t="str">
            <v>Realisation against Escalation / Claims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</row>
        <row r="1004">
          <cell r="A1004" t="str">
            <v>Road</v>
          </cell>
          <cell r="B1004" t="str">
            <v>CG 2</v>
          </cell>
          <cell r="C1004" t="str">
            <v>Other Receipts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</row>
        <row r="1005">
          <cell r="A1005" t="str">
            <v>Road</v>
          </cell>
          <cell r="B1005" t="str">
            <v>CG 2</v>
          </cell>
          <cell r="C1005" t="str">
            <v>Realisitation of Mobilisation Advance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</row>
        <row r="1006">
          <cell r="A1006" t="str">
            <v>Road</v>
          </cell>
          <cell r="B1006" t="str">
            <v>CG 2</v>
          </cell>
          <cell r="C1006" t="str">
            <v xml:space="preserve"> - Retention money from client(incl TDS)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</row>
        <row r="1007">
          <cell r="A1007" t="str">
            <v>Road</v>
          </cell>
          <cell r="B1007" t="str">
            <v>CG 2</v>
          </cell>
          <cell r="C1007" t="str">
            <v>Other Receipts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</row>
        <row r="1008">
          <cell r="A1008" t="str">
            <v>Road</v>
          </cell>
          <cell r="B1008" t="str">
            <v>CG 2</v>
          </cell>
          <cell r="C1008" t="str">
            <v xml:space="preserve">Labour 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</row>
        <row r="1009">
          <cell r="A1009" t="str">
            <v>Road</v>
          </cell>
          <cell r="B1009" t="str">
            <v>CG 2</v>
          </cell>
          <cell r="C1009" t="str">
            <v>Payment Suppliers(including Adv)</v>
          </cell>
          <cell r="E1009">
            <v>300000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</row>
        <row r="1010">
          <cell r="A1010" t="str">
            <v>Road</v>
          </cell>
          <cell r="B1010" t="str">
            <v>CG 2</v>
          </cell>
          <cell r="C1010" t="str">
            <v>Sub contractor-(including Advance)</v>
          </cell>
          <cell r="E1010">
            <v>1501000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</row>
        <row r="1011">
          <cell r="A1011" t="str">
            <v>Road</v>
          </cell>
          <cell r="B1011" t="str">
            <v>CG 2</v>
          </cell>
          <cell r="C1011" t="str">
            <v>Out side Machinery Hire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</row>
        <row r="1012">
          <cell r="A1012" t="str">
            <v>Road</v>
          </cell>
          <cell r="B1012" t="str">
            <v>CG 2</v>
          </cell>
          <cell r="C1012" t="str">
            <v>Diesel</v>
          </cell>
          <cell r="E1012">
            <v>604000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</row>
        <row r="1013">
          <cell r="A1013" t="str">
            <v>Road</v>
          </cell>
          <cell r="B1013" t="str">
            <v>CG 2</v>
          </cell>
          <cell r="C1013" t="str">
            <v>JV Share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</row>
        <row r="1014">
          <cell r="A1014" t="str">
            <v>Road</v>
          </cell>
          <cell r="B1014" t="str">
            <v>CG 2</v>
          </cell>
          <cell r="C1014" t="str">
            <v>Plant Repairs &amp; Maintanance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</row>
        <row r="1015">
          <cell r="A1015" t="str">
            <v>Road</v>
          </cell>
          <cell r="B1015" t="str">
            <v>CG 2</v>
          </cell>
          <cell r="C1015" t="str">
            <v>VAT &amp; other Taxes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</row>
        <row r="1016">
          <cell r="A1016" t="str">
            <v>Road</v>
          </cell>
          <cell r="B1016" t="str">
            <v>CG 2</v>
          </cell>
          <cell r="C1016" t="str">
            <v>Salaries</v>
          </cell>
          <cell r="E1016">
            <v>300000</v>
          </cell>
          <cell r="F1016">
            <v>125000</v>
          </cell>
          <cell r="G1016">
            <v>25000</v>
          </cell>
          <cell r="H1016">
            <v>25000</v>
          </cell>
          <cell r="I1016">
            <v>25000</v>
          </cell>
          <cell r="J1016">
            <v>25000</v>
          </cell>
          <cell r="K1016">
            <v>25000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</row>
        <row r="1017">
          <cell r="A1017" t="str">
            <v>Road</v>
          </cell>
          <cell r="B1017" t="str">
            <v>CG 2</v>
          </cell>
          <cell r="C1017" t="str">
            <v>Operating overhead</v>
          </cell>
          <cell r="E1017">
            <v>5000</v>
          </cell>
          <cell r="F1017">
            <v>5000</v>
          </cell>
          <cell r="G1017">
            <v>25000</v>
          </cell>
          <cell r="H1017">
            <v>25000</v>
          </cell>
          <cell r="I1017">
            <v>25000</v>
          </cell>
          <cell r="J1017">
            <v>25000</v>
          </cell>
          <cell r="K1017">
            <v>25000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</row>
        <row r="1018">
          <cell r="A1018" t="str">
            <v>Road</v>
          </cell>
          <cell r="B1018" t="str">
            <v>CG 2</v>
          </cell>
          <cell r="C1018" t="str">
            <v>Other Direct Over Heads</v>
          </cell>
          <cell r="E1018">
            <v>12000</v>
          </cell>
          <cell r="F1018">
            <v>10000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</row>
        <row r="1019">
          <cell r="A1019" t="str">
            <v>Road</v>
          </cell>
          <cell r="B1019" t="str">
            <v>MEERUT</v>
          </cell>
          <cell r="C1019" t="str">
            <v>Realisation against RA Bill</v>
          </cell>
          <cell r="E1019">
            <v>0</v>
          </cell>
          <cell r="F1019">
            <v>44663909.936171032</v>
          </cell>
          <cell r="G1019">
            <v>44663909.936171032</v>
          </cell>
          <cell r="H1019">
            <v>44663909.936171032</v>
          </cell>
          <cell r="I1019">
            <v>20694223.054796342</v>
          </cell>
          <cell r="J1019">
            <v>20694223.054796342</v>
          </cell>
          <cell r="K1019">
            <v>20694223.054796342</v>
          </cell>
          <cell r="L1019">
            <v>62082669.164389029</v>
          </cell>
          <cell r="M1019">
            <v>62082669.164389029</v>
          </cell>
          <cell r="N1019">
            <v>76181727.620316014</v>
          </cell>
          <cell r="O1019">
            <v>55487504.565519668</v>
          </cell>
          <cell r="P1019">
            <v>56420063.571797326</v>
          </cell>
        </row>
        <row r="1020">
          <cell r="A1020" t="str">
            <v>Road</v>
          </cell>
          <cell r="B1020" t="str">
            <v>MEERUT</v>
          </cell>
          <cell r="C1020" t="str">
            <v>Realisation against Escalation / Claims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</row>
        <row r="1021">
          <cell r="A1021" t="str">
            <v>Road</v>
          </cell>
          <cell r="B1021" t="str">
            <v>MEERUT</v>
          </cell>
          <cell r="C1021" t="str">
            <v>Other Receipts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</row>
        <row r="1022">
          <cell r="A1022" t="str">
            <v>Road</v>
          </cell>
          <cell r="B1022" t="str">
            <v>MEERUT</v>
          </cell>
          <cell r="C1022" t="str">
            <v>Realisitation of Mobilisation Advance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</row>
        <row r="1023">
          <cell r="A1023" t="str">
            <v>Road</v>
          </cell>
          <cell r="B1023" t="str">
            <v>MEERUT</v>
          </cell>
          <cell r="C1023" t="str">
            <v xml:space="preserve"> - Retention money from client(incl TDS)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</row>
        <row r="1024">
          <cell r="A1024" t="str">
            <v>Road</v>
          </cell>
          <cell r="B1024" t="str">
            <v>MEERUT</v>
          </cell>
          <cell r="C1024" t="str">
            <v>Other Receipts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</row>
        <row r="1025">
          <cell r="A1025" t="str">
            <v>Road</v>
          </cell>
          <cell r="B1025" t="str">
            <v>MEERUT</v>
          </cell>
          <cell r="C1025" t="str">
            <v xml:space="preserve">Labour 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</row>
        <row r="1026">
          <cell r="A1026" t="str">
            <v>Road</v>
          </cell>
          <cell r="B1026" t="str">
            <v>MEERUT</v>
          </cell>
          <cell r="C1026" t="str">
            <v>Payment Suppliers(including Adv)</v>
          </cell>
          <cell r="E1026">
            <v>25246396.906865634</v>
          </cell>
          <cell r="F1026">
            <v>30953969.06865637</v>
          </cell>
          <cell r="G1026">
            <v>30953969.06865637</v>
          </cell>
          <cell r="H1026">
            <v>29341745.615223549</v>
          </cell>
          <cell r="I1026">
            <v>14831734.534328185</v>
          </cell>
          <cell r="J1026">
            <v>14831734.534328185</v>
          </cell>
          <cell r="K1026">
            <v>17798081.441193823</v>
          </cell>
          <cell r="L1026">
            <v>44495203.602984563</v>
          </cell>
          <cell r="M1026">
            <v>44495203.602984563</v>
          </cell>
          <cell r="N1026">
            <v>43012030.149551742</v>
          </cell>
          <cell r="O1026">
            <v>29663469.06865637</v>
          </cell>
          <cell r="P1026">
            <v>29442787.273201827</v>
          </cell>
        </row>
        <row r="1027">
          <cell r="A1027" t="str">
            <v>Road</v>
          </cell>
          <cell r="B1027" t="str">
            <v>MEERUT</v>
          </cell>
          <cell r="C1027" t="str">
            <v>Sub contractor-(including Advance)</v>
          </cell>
          <cell r="E1027">
            <v>19282000</v>
          </cell>
          <cell r="F1027">
            <v>31031805.981857497</v>
          </cell>
          <cell r="G1027">
            <v>31031805.981857497</v>
          </cell>
          <cell r="H1027">
            <v>31031805.981857497</v>
          </cell>
          <cell r="I1027">
            <v>13713884.657595415</v>
          </cell>
          <cell r="J1027">
            <v>13713884.657595415</v>
          </cell>
          <cell r="K1027">
            <v>13713884.657595415</v>
          </cell>
          <cell r="L1027">
            <v>41141653.972786248</v>
          </cell>
          <cell r="M1027">
            <v>41141653.972786248</v>
          </cell>
          <cell r="N1027">
            <v>39293258.00966125</v>
          </cell>
          <cell r="O1027">
            <v>25579373.352065828</v>
          </cell>
          <cell r="P1027">
            <v>26972899.427065831</v>
          </cell>
        </row>
        <row r="1028">
          <cell r="A1028" t="str">
            <v>Road</v>
          </cell>
          <cell r="B1028" t="str">
            <v>MEERUT</v>
          </cell>
          <cell r="C1028" t="str">
            <v>Out side Machinery Hire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</row>
        <row r="1029">
          <cell r="A1029" t="str">
            <v>Road</v>
          </cell>
          <cell r="B1029" t="str">
            <v>MEERUT</v>
          </cell>
          <cell r="C1029" t="str">
            <v>Diesel</v>
          </cell>
          <cell r="E1029">
            <v>4214941.9628193816</v>
          </cell>
          <cell r="F1029">
            <v>4214941.9628193816</v>
          </cell>
          <cell r="G1029">
            <v>4214941.9628193816</v>
          </cell>
          <cell r="H1029">
            <v>2107470.9814096908</v>
          </cell>
          <cell r="I1029">
            <v>2107470.9814096908</v>
          </cell>
          <cell r="J1029">
            <v>2107470.9814096908</v>
          </cell>
          <cell r="K1029">
            <v>6322412.944229071</v>
          </cell>
          <cell r="L1029">
            <v>6322412.944229071</v>
          </cell>
          <cell r="M1029">
            <v>6322412.944229071</v>
          </cell>
          <cell r="N1029">
            <v>4214941.9628193816</v>
          </cell>
          <cell r="O1029">
            <v>4214941.9628193816</v>
          </cell>
          <cell r="P1029">
            <v>4214941.9628193816</v>
          </cell>
        </row>
        <row r="1030">
          <cell r="A1030" t="str">
            <v>Road</v>
          </cell>
          <cell r="B1030" t="str">
            <v>MEERUT</v>
          </cell>
          <cell r="C1030" t="str">
            <v>JV Share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</row>
        <row r="1031">
          <cell r="A1031" t="str">
            <v>Road</v>
          </cell>
          <cell r="B1031" t="str">
            <v>MEERUT</v>
          </cell>
          <cell r="C1031" t="str">
            <v>Plant Repairs &amp; Maintanance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</row>
        <row r="1032">
          <cell r="A1032" t="str">
            <v>Road</v>
          </cell>
          <cell r="B1032" t="str">
            <v>MEERUT</v>
          </cell>
          <cell r="C1032" t="str">
            <v>VAT &amp; other Taxes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</row>
        <row r="1033">
          <cell r="A1033" t="str">
            <v>Road</v>
          </cell>
          <cell r="B1033" t="str">
            <v>MEERUT</v>
          </cell>
          <cell r="C1033" t="str">
            <v>Salaries</v>
          </cell>
          <cell r="E1033">
            <v>3075000</v>
          </cell>
          <cell r="F1033">
            <v>3075000</v>
          </cell>
          <cell r="G1033">
            <v>3075000</v>
          </cell>
          <cell r="H1033">
            <v>3075000</v>
          </cell>
          <cell r="I1033">
            <v>3075000</v>
          </cell>
          <cell r="J1033">
            <v>3075000</v>
          </cell>
          <cell r="K1033">
            <v>3075000</v>
          </cell>
          <cell r="L1033">
            <v>3075000</v>
          </cell>
          <cell r="M1033">
            <v>3075000</v>
          </cell>
          <cell r="N1033">
            <v>3075000</v>
          </cell>
          <cell r="O1033">
            <v>3075000</v>
          </cell>
          <cell r="P1033">
            <v>3075000</v>
          </cell>
        </row>
        <row r="1034">
          <cell r="A1034" t="str">
            <v>Road</v>
          </cell>
          <cell r="B1034" t="str">
            <v>MEERUT</v>
          </cell>
          <cell r="C1034" t="str">
            <v>Operating overhead</v>
          </cell>
          <cell r="E1034">
            <v>1628000</v>
          </cell>
          <cell r="F1034">
            <v>1628000</v>
          </cell>
          <cell r="G1034">
            <v>1628000</v>
          </cell>
          <cell r="H1034">
            <v>1628000</v>
          </cell>
          <cell r="I1034">
            <v>1628000</v>
          </cell>
          <cell r="J1034">
            <v>1628000</v>
          </cell>
          <cell r="K1034">
            <v>1628000</v>
          </cell>
          <cell r="L1034">
            <v>1628000</v>
          </cell>
          <cell r="M1034">
            <v>1628000</v>
          </cell>
          <cell r="N1034">
            <v>1628000</v>
          </cell>
          <cell r="O1034">
            <v>1628000</v>
          </cell>
          <cell r="P1034">
            <v>1628000</v>
          </cell>
        </row>
        <row r="1035">
          <cell r="A1035" t="str">
            <v>Road</v>
          </cell>
          <cell r="B1035" t="str">
            <v>MEERUT</v>
          </cell>
          <cell r="C1035" t="str">
            <v>Other Direct Over Heads</v>
          </cell>
          <cell r="E1035">
            <v>540714.56206959707</v>
          </cell>
          <cell r="F1035">
            <v>540714.56206959707</v>
          </cell>
          <cell r="G1035">
            <v>540714.56206959707</v>
          </cell>
          <cell r="H1035">
            <v>270357.28103479854</v>
          </cell>
          <cell r="I1035">
            <v>270357.28103479854</v>
          </cell>
          <cell r="J1035">
            <v>270357.28103479854</v>
          </cell>
          <cell r="K1035">
            <v>811071.84310439567</v>
          </cell>
          <cell r="L1035">
            <v>811071.84310439567</v>
          </cell>
          <cell r="M1035">
            <v>23727738.50977106</v>
          </cell>
          <cell r="N1035">
            <v>23457381.228736263</v>
          </cell>
          <cell r="O1035">
            <v>23457381.228736263</v>
          </cell>
          <cell r="P1035">
            <v>23457381.228736263</v>
          </cell>
        </row>
        <row r="1036">
          <cell r="A1036" t="str">
            <v>Road</v>
          </cell>
          <cell r="B1036" t="str">
            <v>PONDY</v>
          </cell>
          <cell r="C1036" t="str">
            <v>Realisation against RA Bill</v>
          </cell>
          <cell r="E1036">
            <v>49298700.247512966</v>
          </cell>
          <cell r="F1036">
            <v>75478449.307062581</v>
          </cell>
          <cell r="G1036">
            <v>146187881.71391869</v>
          </cell>
          <cell r="H1036">
            <v>137619236.06786379</v>
          </cell>
          <cell r="I1036">
            <v>158376269.08735067</v>
          </cell>
          <cell r="J1036">
            <v>191366971.93008265</v>
          </cell>
          <cell r="K1036">
            <v>214700706.75307688</v>
          </cell>
          <cell r="L1036">
            <v>57999228.993908763</v>
          </cell>
          <cell r="M1036">
            <v>53413171.811490528</v>
          </cell>
          <cell r="N1036">
            <v>148694773.92848361</v>
          </cell>
          <cell r="O1036">
            <v>134798994.67823884</v>
          </cell>
          <cell r="P1036">
            <v>0</v>
          </cell>
        </row>
        <row r="1037">
          <cell r="A1037" t="str">
            <v>Road</v>
          </cell>
          <cell r="B1037" t="str">
            <v>PONDY</v>
          </cell>
          <cell r="C1037" t="str">
            <v>Realisation against Escalation / Claims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</row>
        <row r="1038">
          <cell r="A1038" t="str">
            <v>Road</v>
          </cell>
          <cell r="B1038" t="str">
            <v>PONDY</v>
          </cell>
          <cell r="C1038" t="str">
            <v>Other Receipts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</row>
        <row r="1039">
          <cell r="A1039" t="str">
            <v>Road</v>
          </cell>
          <cell r="B1039" t="str">
            <v>PONDY</v>
          </cell>
          <cell r="C1039" t="str">
            <v>Realisitation of Mobilisation Advance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</row>
        <row r="1040">
          <cell r="A1040" t="str">
            <v>Road</v>
          </cell>
          <cell r="B1040" t="str">
            <v>PONDY</v>
          </cell>
          <cell r="C1040" t="str">
            <v xml:space="preserve"> - Retention money from client(incl TDS)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106046271.32153799</v>
          </cell>
        </row>
        <row r="1041">
          <cell r="A1041" t="str">
            <v>Road</v>
          </cell>
          <cell r="B1041" t="str">
            <v>PONDY</v>
          </cell>
          <cell r="C1041" t="str">
            <v>Other Receipts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</row>
        <row r="1042">
          <cell r="A1042" t="str">
            <v>Road</v>
          </cell>
          <cell r="B1042" t="str">
            <v>PONDY</v>
          </cell>
          <cell r="C1042" t="str">
            <v xml:space="preserve">Labour </v>
          </cell>
          <cell r="E1042">
            <v>1632204.0244700329</v>
          </cell>
          <cell r="F1042">
            <v>2145580.7680980121</v>
          </cell>
          <cell r="G1042">
            <v>2279497.4675859995</v>
          </cell>
          <cell r="H1042">
            <v>2430201.2373123332</v>
          </cell>
          <cell r="I1042">
            <v>2430201.2373123332</v>
          </cell>
          <cell r="J1042">
            <v>2373111.1083734967</v>
          </cell>
          <cell r="K1042">
            <v>1538411.5986460731</v>
          </cell>
          <cell r="L1042">
            <v>1513983.1137556524</v>
          </cell>
          <cell r="M1042">
            <v>2028018.2545239369</v>
          </cell>
          <cell r="N1042">
            <v>1311531.8678462016</v>
          </cell>
          <cell r="O1042">
            <v>600000</v>
          </cell>
          <cell r="P1042">
            <v>300000</v>
          </cell>
        </row>
        <row r="1043">
          <cell r="A1043" t="str">
            <v>Road</v>
          </cell>
          <cell r="B1043" t="str">
            <v>PONDY</v>
          </cell>
          <cell r="C1043" t="str">
            <v>Payment Suppliers(including Adv)</v>
          </cell>
          <cell r="E1043">
            <v>25472411.1404396</v>
          </cell>
          <cell r="F1043">
            <v>51199977.096736439</v>
          </cell>
          <cell r="G1043">
            <v>69501184.137900323</v>
          </cell>
          <cell r="H1043">
            <v>70050155.994097739</v>
          </cell>
          <cell r="I1043">
            <v>69370965.483928353</v>
          </cell>
          <cell r="J1043">
            <v>67729148.06825085</v>
          </cell>
          <cell r="K1043">
            <v>24879117.390036307</v>
          </cell>
          <cell r="L1043">
            <v>9835379.5688514337</v>
          </cell>
          <cell r="M1043">
            <v>43676563.894333467</v>
          </cell>
          <cell r="N1043">
            <v>50974116.87964084</v>
          </cell>
          <cell r="O1043">
            <v>12402895.93724579</v>
          </cell>
          <cell r="P1043">
            <v>0</v>
          </cell>
        </row>
        <row r="1044">
          <cell r="A1044" t="str">
            <v>Road</v>
          </cell>
          <cell r="B1044" t="str">
            <v>PONDY</v>
          </cell>
          <cell r="C1044" t="str">
            <v>Sub contractor-(including Advance)</v>
          </cell>
          <cell r="E1044">
            <v>4112919.9049999998</v>
          </cell>
          <cell r="F1044">
            <v>9796028.4553963766</v>
          </cell>
          <cell r="G1044">
            <v>9007375.6511891279</v>
          </cell>
          <cell r="H1044">
            <v>32536648.40317101</v>
          </cell>
          <cell r="I1044">
            <v>39626848.403171003</v>
          </cell>
          <cell r="J1044">
            <v>62058808.40317101</v>
          </cell>
          <cell r="K1044">
            <v>62058808.40317101</v>
          </cell>
          <cell r="L1044">
            <v>67325548.403171003</v>
          </cell>
          <cell r="M1044">
            <v>21702827.100792751</v>
          </cell>
          <cell r="N1044">
            <v>21161228.700792752</v>
          </cell>
          <cell r="O1044">
            <v>67718789.580973953</v>
          </cell>
          <cell r="P1044">
            <v>63653880.24000001</v>
          </cell>
        </row>
        <row r="1045">
          <cell r="A1045" t="str">
            <v>Road</v>
          </cell>
          <cell r="B1045" t="str">
            <v>PONDY</v>
          </cell>
          <cell r="C1045" t="str">
            <v>Out side Machinery Hire</v>
          </cell>
          <cell r="E1045">
            <v>0</v>
          </cell>
          <cell r="F1045">
            <v>200000</v>
          </cell>
          <cell r="G1045">
            <v>200000</v>
          </cell>
          <cell r="H1045">
            <v>200000</v>
          </cell>
          <cell r="I1045">
            <v>200000</v>
          </cell>
          <cell r="J1045">
            <v>200000</v>
          </cell>
          <cell r="K1045">
            <v>200000</v>
          </cell>
          <cell r="L1045">
            <v>200000</v>
          </cell>
          <cell r="M1045">
            <v>200000</v>
          </cell>
          <cell r="N1045">
            <v>200000</v>
          </cell>
          <cell r="O1045">
            <v>0</v>
          </cell>
          <cell r="P1045">
            <v>0</v>
          </cell>
        </row>
        <row r="1046">
          <cell r="A1046" t="str">
            <v>Road</v>
          </cell>
          <cell r="B1046" t="str">
            <v>PONDY</v>
          </cell>
          <cell r="C1046" t="str">
            <v>Diesel</v>
          </cell>
          <cell r="E1046">
            <v>6492035.5097812507</v>
          </cell>
          <cell r="F1046">
            <v>15729466.949625004</v>
          </cell>
          <cell r="G1046">
            <v>16419662.777375001</v>
          </cell>
          <cell r="H1046">
            <v>16276837.130125003</v>
          </cell>
          <cell r="I1046">
            <v>16276837.130125003</v>
          </cell>
          <cell r="J1046">
            <v>14016336.307545001</v>
          </cell>
          <cell r="K1046">
            <v>4593879.1756000007</v>
          </cell>
          <cell r="L1046">
            <v>3817331.0863402006</v>
          </cell>
          <cell r="M1046">
            <v>3970071.3063440006</v>
          </cell>
          <cell r="N1046">
            <v>3716117.9351725006</v>
          </cell>
          <cell r="O1046">
            <v>0</v>
          </cell>
          <cell r="P1046">
            <v>0</v>
          </cell>
        </row>
        <row r="1047">
          <cell r="A1047" t="str">
            <v>Road</v>
          </cell>
          <cell r="B1047" t="str">
            <v>PONDY</v>
          </cell>
          <cell r="C1047" t="str">
            <v>JV Share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</row>
        <row r="1048">
          <cell r="A1048" t="str">
            <v>Road</v>
          </cell>
          <cell r="B1048" t="str">
            <v>PONDY</v>
          </cell>
          <cell r="C1048" t="str">
            <v>Plant Repairs &amp; Maintanance</v>
          </cell>
          <cell r="E1048">
            <v>199500</v>
          </cell>
          <cell r="F1048">
            <v>199500</v>
          </cell>
          <cell r="G1048">
            <v>199500</v>
          </cell>
          <cell r="H1048">
            <v>199500</v>
          </cell>
          <cell r="I1048">
            <v>199500</v>
          </cell>
          <cell r="J1048">
            <v>199500</v>
          </cell>
          <cell r="K1048">
            <v>199500</v>
          </cell>
          <cell r="L1048">
            <v>199500</v>
          </cell>
          <cell r="M1048">
            <v>199500</v>
          </cell>
          <cell r="N1048">
            <v>199500</v>
          </cell>
          <cell r="O1048">
            <v>199500</v>
          </cell>
          <cell r="P1048">
            <v>0</v>
          </cell>
        </row>
        <row r="1049">
          <cell r="A1049" t="str">
            <v>Road</v>
          </cell>
          <cell r="B1049" t="str">
            <v>PONDY</v>
          </cell>
          <cell r="C1049" t="str">
            <v>VAT &amp; other Taxes</v>
          </cell>
          <cell r="E1049">
            <v>1076759.5555555555</v>
          </cell>
          <cell r="F1049">
            <v>4476759.555555556</v>
          </cell>
          <cell r="G1049">
            <v>4476759.555555556</v>
          </cell>
          <cell r="H1049">
            <v>4476759.555555556</v>
          </cell>
          <cell r="I1049">
            <v>4476759.555555556</v>
          </cell>
          <cell r="J1049">
            <v>4476759.555555556</v>
          </cell>
          <cell r="K1049">
            <v>4476759.555555556</v>
          </cell>
          <cell r="L1049">
            <v>4476759.555555556</v>
          </cell>
          <cell r="M1049">
            <v>4476759.555555556</v>
          </cell>
          <cell r="N1049">
            <v>3400000</v>
          </cell>
          <cell r="O1049">
            <v>3400000</v>
          </cell>
          <cell r="P1049">
            <v>0</v>
          </cell>
        </row>
        <row r="1050">
          <cell r="A1050" t="str">
            <v>Road</v>
          </cell>
          <cell r="B1050" t="str">
            <v>PONDY</v>
          </cell>
          <cell r="C1050" t="str">
            <v>Salaries</v>
          </cell>
          <cell r="E1050">
            <v>3687328</v>
          </cell>
          <cell r="F1050">
            <v>2587328</v>
          </cell>
          <cell r="G1050">
            <v>2587328</v>
          </cell>
          <cell r="H1050">
            <v>2587328</v>
          </cell>
          <cell r="I1050">
            <v>2587328</v>
          </cell>
          <cell r="J1050">
            <v>2587328</v>
          </cell>
          <cell r="K1050">
            <v>2587328</v>
          </cell>
          <cell r="L1050">
            <v>2587328</v>
          </cell>
          <cell r="M1050">
            <v>2587328</v>
          </cell>
          <cell r="N1050">
            <v>2587328</v>
          </cell>
          <cell r="O1050">
            <v>743776.00000000012</v>
          </cell>
          <cell r="P1050">
            <v>743776.00000000012</v>
          </cell>
        </row>
        <row r="1051">
          <cell r="A1051" t="str">
            <v>Road</v>
          </cell>
          <cell r="B1051" t="str">
            <v>PONDY</v>
          </cell>
          <cell r="C1051" t="str">
            <v>Operating overhead</v>
          </cell>
          <cell r="E1051">
            <v>2637150.0000000009</v>
          </cell>
          <cell r="F1051">
            <v>2637150.0000000009</v>
          </cell>
          <cell r="G1051">
            <v>2637150.0000000009</v>
          </cell>
          <cell r="H1051">
            <v>2564650.0000000005</v>
          </cell>
          <cell r="I1051">
            <v>2564650.0000000005</v>
          </cell>
          <cell r="J1051">
            <v>2564650.0000000005</v>
          </cell>
          <cell r="K1051">
            <v>2614650</v>
          </cell>
          <cell r="L1051">
            <v>2331316.666666667</v>
          </cell>
          <cell r="M1051">
            <v>2275761.111111111</v>
          </cell>
          <cell r="N1051">
            <v>2088724.0740740737</v>
          </cell>
          <cell r="O1051">
            <v>1704895.3703703703</v>
          </cell>
          <cell r="P1051">
            <v>1536332.8703703696</v>
          </cell>
        </row>
        <row r="1052">
          <cell r="A1052" t="str">
            <v>Road</v>
          </cell>
          <cell r="B1052" t="str">
            <v>PONDY</v>
          </cell>
          <cell r="C1052" t="str">
            <v>Other Direct Over Heads</v>
          </cell>
          <cell r="E1052">
            <v>71666.666666666672</v>
          </cell>
          <cell r="F1052">
            <v>71666.666666666672</v>
          </cell>
          <cell r="G1052">
            <v>71666.666666666672</v>
          </cell>
          <cell r="H1052">
            <v>71666.666666666672</v>
          </cell>
          <cell r="I1052">
            <v>71666.666666666672</v>
          </cell>
          <cell r="J1052">
            <v>71666.666666666672</v>
          </cell>
          <cell r="K1052">
            <v>71666.666666666672</v>
          </cell>
          <cell r="L1052">
            <v>71666.666666666672</v>
          </cell>
          <cell r="M1052">
            <v>71666.666666666672</v>
          </cell>
          <cell r="N1052">
            <v>71666.666666666672</v>
          </cell>
          <cell r="O1052">
            <v>71666.666666666672</v>
          </cell>
          <cell r="P1052">
            <v>71666.666666666672</v>
          </cell>
        </row>
        <row r="1053">
          <cell r="A1053" t="str">
            <v>Road</v>
          </cell>
          <cell r="B1053" t="str">
            <v>SALEM</v>
          </cell>
          <cell r="C1053" t="str">
            <v>Realisation against RA Bill</v>
          </cell>
          <cell r="E1053">
            <v>12300000</v>
          </cell>
          <cell r="F1053">
            <v>8112699.9999999991</v>
          </cell>
          <cell r="G1053">
            <v>40401246</v>
          </cell>
          <cell r="H1053">
            <v>77928785.833147064</v>
          </cell>
          <cell r="I1053">
            <v>77204066.698800012</v>
          </cell>
          <cell r="J1053">
            <v>80696542.424678072</v>
          </cell>
          <cell r="K1053">
            <v>58345080.737825662</v>
          </cell>
          <cell r="L1053">
            <v>57474422.593176723</v>
          </cell>
          <cell r="M1053">
            <v>103662964.04006143</v>
          </cell>
          <cell r="N1053">
            <v>105045710.47601767</v>
          </cell>
          <cell r="O1053">
            <v>107007186.77579811</v>
          </cell>
          <cell r="P1053">
            <v>115868944.85474215</v>
          </cell>
        </row>
        <row r="1054">
          <cell r="A1054" t="str">
            <v>Road</v>
          </cell>
          <cell r="B1054" t="str">
            <v>SALEM</v>
          </cell>
          <cell r="C1054" t="str">
            <v>Realisation against Escalation / Claims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</row>
        <row r="1055">
          <cell r="A1055" t="str">
            <v>Road</v>
          </cell>
          <cell r="B1055" t="str">
            <v>SALEM</v>
          </cell>
          <cell r="C1055" t="str">
            <v>Other Receipts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</row>
        <row r="1056">
          <cell r="A1056" t="str">
            <v>Road</v>
          </cell>
          <cell r="B1056" t="str">
            <v>SALEM</v>
          </cell>
          <cell r="C1056" t="str">
            <v>Realisitation of Mobilisation Advance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</row>
        <row r="1057">
          <cell r="A1057" t="str">
            <v>Road</v>
          </cell>
          <cell r="B1057" t="str">
            <v>SALEM</v>
          </cell>
          <cell r="C1057" t="str">
            <v xml:space="preserve"> - Retention money from client(incl TDS)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</row>
        <row r="1058">
          <cell r="A1058" t="str">
            <v>Road</v>
          </cell>
          <cell r="B1058" t="str">
            <v>SALEM</v>
          </cell>
          <cell r="C1058" t="str">
            <v>Other Receipts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</row>
        <row r="1059">
          <cell r="A1059" t="str">
            <v>Road</v>
          </cell>
          <cell r="B1059" t="str">
            <v>SALEM</v>
          </cell>
          <cell r="C1059" t="str">
            <v xml:space="preserve">Labour </v>
          </cell>
          <cell r="E1059">
            <v>2540000</v>
          </cell>
          <cell r="F1059">
            <v>2018000</v>
          </cell>
          <cell r="G1059">
            <v>2480577.6847799998</v>
          </cell>
          <cell r="H1059">
            <v>2551644.5412599999</v>
          </cell>
          <cell r="I1059">
            <v>2884694.0281864</v>
          </cell>
          <cell r="J1059">
            <v>3527786.2368885996</v>
          </cell>
          <cell r="K1059">
            <v>3544830.4568888</v>
          </cell>
          <cell r="L1059">
            <v>3194182.0323422002</v>
          </cell>
          <cell r="M1059">
            <v>3183449.9931363999</v>
          </cell>
          <cell r="N1059">
            <v>3794008.3051979998</v>
          </cell>
          <cell r="O1059">
            <v>3903241.4591288003</v>
          </cell>
          <cell r="P1059">
            <v>3720466.5395889003</v>
          </cell>
        </row>
        <row r="1060">
          <cell r="A1060" t="str">
            <v>Road</v>
          </cell>
          <cell r="B1060" t="str">
            <v>SALEM</v>
          </cell>
          <cell r="C1060" t="str">
            <v>Payment Suppliers(including Adv)</v>
          </cell>
          <cell r="E1060">
            <v>29446999.999999996</v>
          </cell>
          <cell r="F1060">
            <v>53326986.008503594</v>
          </cell>
          <cell r="G1060">
            <v>51908079.335354134</v>
          </cell>
          <cell r="H1060">
            <v>51466433.333687484</v>
          </cell>
          <cell r="I1060">
            <v>63226471.699673414</v>
          </cell>
          <cell r="J1060">
            <v>64120418.462111309</v>
          </cell>
          <cell r="K1060">
            <v>36553322.075733975</v>
          </cell>
          <cell r="L1060">
            <v>35444422.850642994</v>
          </cell>
          <cell r="M1060">
            <v>64410951.133576386</v>
          </cell>
          <cell r="N1060">
            <v>70094174.021317422</v>
          </cell>
          <cell r="O1060">
            <v>63497596.522594452</v>
          </cell>
          <cell r="P1060">
            <v>74355927.849209875</v>
          </cell>
        </row>
        <row r="1061">
          <cell r="A1061" t="str">
            <v>Road</v>
          </cell>
          <cell r="B1061" t="str">
            <v>SALEM</v>
          </cell>
          <cell r="C1061" t="str">
            <v>Sub contractor-(including Advance)</v>
          </cell>
          <cell r="E1061">
            <v>6237000</v>
          </cell>
          <cell r="F1061">
            <v>6409472.9598542433</v>
          </cell>
          <cell r="G1061">
            <v>6894341.8956265058</v>
          </cell>
          <cell r="H1061">
            <v>7069027.0894560907</v>
          </cell>
          <cell r="I1061">
            <v>8534572.9009231124</v>
          </cell>
          <cell r="J1061">
            <v>12984457.646254171</v>
          </cell>
          <cell r="K1061">
            <v>13067608.583698837</v>
          </cell>
          <cell r="L1061">
            <v>5739931.606596712</v>
          </cell>
          <cell r="M1061">
            <v>5731451.2466836041</v>
          </cell>
          <cell r="N1061">
            <v>13384275.924678942</v>
          </cell>
          <cell r="O1061">
            <v>14205095.355775498</v>
          </cell>
          <cell r="P1061">
            <v>10010764.257606309</v>
          </cell>
        </row>
        <row r="1062">
          <cell r="A1062" t="str">
            <v>Road</v>
          </cell>
          <cell r="B1062" t="str">
            <v>SALEM</v>
          </cell>
          <cell r="C1062" t="str">
            <v>Out side Machinery Hire</v>
          </cell>
          <cell r="E1062">
            <v>600000</v>
          </cell>
          <cell r="F1062">
            <v>971602.95395725814</v>
          </cell>
          <cell r="G1062">
            <v>1066110.6498256391</v>
          </cell>
          <cell r="H1062">
            <v>1043357.5053572583</v>
          </cell>
          <cell r="I1062">
            <v>1195925.4382628577</v>
          </cell>
          <cell r="J1062">
            <v>1660176.7366297222</v>
          </cell>
          <cell r="K1062">
            <v>1658311.3456116859</v>
          </cell>
          <cell r="L1062">
            <v>905514.46832659771</v>
          </cell>
          <cell r="M1062">
            <v>899282.90263699554</v>
          </cell>
          <cell r="N1062">
            <v>1762367.8586816422</v>
          </cell>
          <cell r="O1062">
            <v>1833951.8723187339</v>
          </cell>
          <cell r="P1062">
            <v>1274410.4179205936</v>
          </cell>
        </row>
        <row r="1063">
          <cell r="A1063" t="str">
            <v>Road</v>
          </cell>
          <cell r="B1063" t="str">
            <v>SALEM</v>
          </cell>
          <cell r="C1063" t="str">
            <v>Diesel</v>
          </cell>
          <cell r="E1063">
            <v>5976000</v>
          </cell>
          <cell r="F1063">
            <v>11526932.217360001</v>
          </cell>
          <cell r="G1063">
            <v>11419734.49512</v>
          </cell>
          <cell r="H1063">
            <v>11936328.338236799</v>
          </cell>
          <cell r="I1063">
            <v>15333434.842663197</v>
          </cell>
          <cell r="J1063">
            <v>15537965.482665598</v>
          </cell>
          <cell r="K1063">
            <v>8630184.3881064001</v>
          </cell>
          <cell r="L1063">
            <v>8501399.9176368006</v>
          </cell>
          <cell r="M1063">
            <v>15828099.662375996</v>
          </cell>
          <cell r="N1063">
            <v>17138897.509545602</v>
          </cell>
          <cell r="O1063">
            <v>14945598.4750668</v>
          </cell>
          <cell r="P1063">
            <v>16495026.517525679</v>
          </cell>
        </row>
        <row r="1064">
          <cell r="A1064" t="str">
            <v>Road</v>
          </cell>
          <cell r="B1064" t="str">
            <v>SALEM</v>
          </cell>
          <cell r="C1064" t="str">
            <v>JV Share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</row>
        <row r="1065">
          <cell r="A1065" t="str">
            <v>Road</v>
          </cell>
          <cell r="B1065" t="str">
            <v>SALEM</v>
          </cell>
          <cell r="C1065" t="str">
            <v>Plant Repairs &amp; Maintanance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</row>
        <row r="1066">
          <cell r="A1066" t="str">
            <v>Road</v>
          </cell>
          <cell r="B1066" t="str">
            <v>SALEM</v>
          </cell>
          <cell r="C1066" t="str">
            <v>VAT &amp; other Taxes</v>
          </cell>
          <cell r="E1066">
            <v>498000.00000000006</v>
          </cell>
          <cell r="F1066">
            <v>960577.68478000001</v>
          </cell>
          <cell r="G1066">
            <v>951644.54125999997</v>
          </cell>
          <cell r="H1066">
            <v>994694.02818640007</v>
          </cell>
          <cell r="I1066">
            <v>1277786.2368886</v>
          </cell>
          <cell r="J1066">
            <v>1294830.4568888</v>
          </cell>
          <cell r="K1066">
            <v>719182.03234220005</v>
          </cell>
          <cell r="L1066">
            <v>708449.99313640001</v>
          </cell>
          <cell r="M1066">
            <v>1319008.3051979998</v>
          </cell>
          <cell r="N1066">
            <v>1428241.4591288001</v>
          </cell>
          <cell r="O1066">
            <v>1245466.5395889003</v>
          </cell>
          <cell r="P1066">
            <v>1374585.54312714</v>
          </cell>
        </row>
        <row r="1067">
          <cell r="A1067" t="str">
            <v>Road</v>
          </cell>
          <cell r="B1067" t="str">
            <v>SALEM</v>
          </cell>
          <cell r="C1067" t="str">
            <v>Salaries</v>
          </cell>
          <cell r="E1067">
            <v>2660000</v>
          </cell>
          <cell r="F1067">
            <v>2660000</v>
          </cell>
          <cell r="G1067">
            <v>4104000</v>
          </cell>
          <cell r="H1067">
            <v>4104000</v>
          </cell>
          <cell r="I1067">
            <v>4104000</v>
          </cell>
          <cell r="J1067">
            <v>5700000</v>
          </cell>
          <cell r="K1067">
            <v>5700000</v>
          </cell>
          <cell r="L1067">
            <v>5700000</v>
          </cell>
          <cell r="M1067">
            <v>6840000.0000000009</v>
          </cell>
          <cell r="N1067">
            <v>6840000.0000000009</v>
          </cell>
          <cell r="O1067">
            <v>6840000.0000000009</v>
          </cell>
          <cell r="P1067">
            <v>6840000.0000000009</v>
          </cell>
        </row>
        <row r="1068">
          <cell r="A1068" t="str">
            <v>Road</v>
          </cell>
          <cell r="B1068" t="str">
            <v>SALEM</v>
          </cell>
          <cell r="C1068" t="str">
            <v>Operating overhead</v>
          </cell>
          <cell r="E1068">
            <v>2146700</v>
          </cell>
          <cell r="F1068">
            <v>2146700</v>
          </cell>
          <cell r="G1068">
            <v>2362900</v>
          </cell>
          <cell r="H1068">
            <v>2327900</v>
          </cell>
          <cell r="I1068">
            <v>2332900</v>
          </cell>
          <cell r="J1068">
            <v>2493900</v>
          </cell>
          <cell r="K1068">
            <v>2822900</v>
          </cell>
          <cell r="L1068">
            <v>2822900</v>
          </cell>
          <cell r="M1068">
            <v>3282900</v>
          </cell>
          <cell r="N1068">
            <v>2842900</v>
          </cell>
          <cell r="O1068">
            <v>2847900</v>
          </cell>
          <cell r="P1068">
            <v>2972900</v>
          </cell>
        </row>
        <row r="1069">
          <cell r="A1069" t="str">
            <v>Road</v>
          </cell>
          <cell r="B1069" t="str">
            <v>SALEM</v>
          </cell>
          <cell r="C1069" t="str">
            <v>Other Direct Over Heads</v>
          </cell>
          <cell r="E1069">
            <v>727196.36111111112</v>
          </cell>
          <cell r="F1069">
            <v>727196.36111111112</v>
          </cell>
          <cell r="G1069">
            <v>827196.36111111112</v>
          </cell>
          <cell r="H1069">
            <v>827196.36111111112</v>
          </cell>
          <cell r="I1069">
            <v>827196.36111111112</v>
          </cell>
          <cell r="J1069">
            <v>827196.36111111112</v>
          </cell>
          <cell r="K1069">
            <v>827196.36111111112</v>
          </cell>
          <cell r="L1069">
            <v>827196.36111111112</v>
          </cell>
          <cell r="M1069">
            <v>827196.36111111112</v>
          </cell>
          <cell r="N1069">
            <v>827196.36111111112</v>
          </cell>
          <cell r="O1069">
            <v>827196.36111111112</v>
          </cell>
          <cell r="P1069">
            <v>827196.36111111112</v>
          </cell>
        </row>
        <row r="1070">
          <cell r="A1070" t="str">
            <v>Road</v>
          </cell>
          <cell r="B1070" t="str">
            <v>ORR</v>
          </cell>
          <cell r="C1070" t="str">
            <v>Realisation against RA Bill</v>
          </cell>
          <cell r="E1070">
            <v>60991999.999999993</v>
          </cell>
          <cell r="F1070">
            <v>208086000</v>
          </cell>
          <cell r="G1070">
            <v>203312000</v>
          </cell>
          <cell r="H1070">
            <v>202373000</v>
          </cell>
          <cell r="I1070">
            <v>206361000</v>
          </cell>
          <cell r="J1070">
            <v>209569000</v>
          </cell>
          <cell r="K1070">
            <v>202134000</v>
          </cell>
          <cell r="L1070">
            <v>205977000</v>
          </cell>
          <cell r="M1070">
            <v>223917999.99999997</v>
          </cell>
          <cell r="N1070">
            <v>288097000</v>
          </cell>
          <cell r="O1070">
            <v>276844000</v>
          </cell>
          <cell r="P1070">
            <v>0</v>
          </cell>
        </row>
        <row r="1071">
          <cell r="A1071" t="str">
            <v>Road</v>
          </cell>
          <cell r="B1071" t="str">
            <v>ORR</v>
          </cell>
          <cell r="C1071" t="str">
            <v>Realisation against Escalation / Claims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</row>
        <row r="1072">
          <cell r="A1072" t="str">
            <v>Road</v>
          </cell>
          <cell r="B1072" t="str">
            <v>ORR</v>
          </cell>
          <cell r="C1072" t="str">
            <v>Other Receipts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</row>
        <row r="1073">
          <cell r="A1073" t="str">
            <v>Road</v>
          </cell>
          <cell r="B1073" t="str">
            <v>ORR</v>
          </cell>
          <cell r="C1073" t="str">
            <v>Realisitation of Mobilisation Advance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</row>
        <row r="1074">
          <cell r="A1074" t="str">
            <v>Road</v>
          </cell>
          <cell r="B1074" t="str">
            <v>ORR</v>
          </cell>
          <cell r="C1074" t="str">
            <v xml:space="preserve"> - Retention money from client(incl TDS)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</row>
        <row r="1075">
          <cell r="A1075" t="str">
            <v>Road</v>
          </cell>
          <cell r="B1075" t="str">
            <v>ORR</v>
          </cell>
          <cell r="C1075" t="str">
            <v>Other Receipts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</row>
        <row r="1076">
          <cell r="A1076" t="str">
            <v>Road</v>
          </cell>
          <cell r="B1076" t="str">
            <v>ORR</v>
          </cell>
          <cell r="C1076" t="str">
            <v xml:space="preserve">Labour </v>
          </cell>
          <cell r="E1076">
            <v>2600000</v>
          </cell>
          <cell r="F1076">
            <v>2600000</v>
          </cell>
          <cell r="G1076">
            <v>2600000</v>
          </cell>
          <cell r="H1076">
            <v>2600000</v>
          </cell>
          <cell r="I1076">
            <v>2600000</v>
          </cell>
          <cell r="J1076">
            <v>2600000</v>
          </cell>
          <cell r="K1076">
            <v>2600000</v>
          </cell>
          <cell r="L1076">
            <v>2600000</v>
          </cell>
          <cell r="M1076">
            <v>2600000</v>
          </cell>
          <cell r="N1076">
            <v>2600000</v>
          </cell>
          <cell r="O1076">
            <v>2600000</v>
          </cell>
          <cell r="P1076">
            <v>0</v>
          </cell>
        </row>
        <row r="1077">
          <cell r="A1077" t="str">
            <v>Road</v>
          </cell>
          <cell r="B1077" t="str">
            <v>ORR</v>
          </cell>
          <cell r="C1077" t="str">
            <v>Payment Suppliers(including Adv)</v>
          </cell>
          <cell r="E1077">
            <v>10800000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</row>
        <row r="1078">
          <cell r="A1078" t="str">
            <v>Road</v>
          </cell>
          <cell r="B1078" t="str">
            <v>ORR</v>
          </cell>
          <cell r="C1078" t="str">
            <v>Sub contractor-(including Advance)</v>
          </cell>
          <cell r="E1078">
            <v>20546000</v>
          </cell>
          <cell r="F1078">
            <v>79876000</v>
          </cell>
          <cell r="G1078">
            <v>79544000</v>
          </cell>
          <cell r="H1078">
            <v>79388000</v>
          </cell>
          <cell r="I1078">
            <v>81487000</v>
          </cell>
          <cell r="J1078">
            <v>82779000</v>
          </cell>
          <cell r="K1078">
            <v>84271000</v>
          </cell>
          <cell r="L1078">
            <v>68988000</v>
          </cell>
          <cell r="M1078">
            <v>84411000</v>
          </cell>
          <cell r="N1078">
            <v>97151000</v>
          </cell>
          <cell r="O1078">
            <v>80901000</v>
          </cell>
          <cell r="P1078">
            <v>0</v>
          </cell>
        </row>
        <row r="1079">
          <cell r="A1079" t="str">
            <v>Road</v>
          </cell>
          <cell r="B1079" t="str">
            <v>ORR</v>
          </cell>
          <cell r="C1079" t="str">
            <v>Out side Machinery Hire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</row>
        <row r="1080">
          <cell r="A1080" t="str">
            <v>Road</v>
          </cell>
          <cell r="B1080" t="str">
            <v>ORR</v>
          </cell>
          <cell r="C1080" t="str">
            <v>Diesel</v>
          </cell>
          <cell r="E1080">
            <v>101316000</v>
          </cell>
          <cell r="F1080">
            <v>96713000</v>
          </cell>
          <cell r="G1080">
            <v>95786000</v>
          </cell>
          <cell r="H1080">
            <v>97381000</v>
          </cell>
          <cell r="I1080">
            <v>96799000</v>
          </cell>
          <cell r="J1080">
            <v>90581000</v>
          </cell>
          <cell r="K1080">
            <v>103168000</v>
          </cell>
          <cell r="L1080">
            <v>104261999.99999999</v>
          </cell>
          <cell r="M1080">
            <v>136331000</v>
          </cell>
          <cell r="N1080">
            <v>166040000</v>
          </cell>
          <cell r="O1080">
            <v>0</v>
          </cell>
          <cell r="P1080">
            <v>0</v>
          </cell>
        </row>
        <row r="1081">
          <cell r="A1081" t="str">
            <v>Road</v>
          </cell>
          <cell r="B1081" t="str">
            <v>ORR</v>
          </cell>
          <cell r="C1081" t="str">
            <v>JV Share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</row>
        <row r="1082">
          <cell r="A1082" t="str">
            <v>Road</v>
          </cell>
          <cell r="B1082" t="str">
            <v>ORR</v>
          </cell>
          <cell r="C1082" t="str">
            <v>Plant Repairs &amp; Maintanance</v>
          </cell>
          <cell r="E1082">
            <v>12620000</v>
          </cell>
          <cell r="F1082">
            <v>10800000</v>
          </cell>
          <cell r="G1082">
            <v>10800000</v>
          </cell>
          <cell r="H1082">
            <v>10800000</v>
          </cell>
          <cell r="I1082">
            <v>10800000</v>
          </cell>
          <cell r="J1082">
            <v>10800000</v>
          </cell>
          <cell r="K1082">
            <v>10800000</v>
          </cell>
          <cell r="L1082">
            <v>10800000</v>
          </cell>
          <cell r="M1082">
            <v>10800000</v>
          </cell>
          <cell r="N1082">
            <v>10800000</v>
          </cell>
          <cell r="O1082">
            <v>0</v>
          </cell>
          <cell r="P1082">
            <v>0</v>
          </cell>
        </row>
        <row r="1083">
          <cell r="A1083" t="str">
            <v>Road</v>
          </cell>
          <cell r="B1083" t="str">
            <v>ORR</v>
          </cell>
          <cell r="C1083" t="str">
            <v>VAT &amp; other Taxes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</row>
        <row r="1084">
          <cell r="A1084" t="str">
            <v>Road</v>
          </cell>
          <cell r="B1084" t="str">
            <v>ORR</v>
          </cell>
          <cell r="C1084" t="str">
            <v>Salaries</v>
          </cell>
          <cell r="E1084">
            <v>2500000</v>
          </cell>
          <cell r="F1084">
            <v>2500000</v>
          </cell>
          <cell r="G1084">
            <v>2500000</v>
          </cell>
          <cell r="H1084">
            <v>2500000</v>
          </cell>
          <cell r="I1084">
            <v>2500000</v>
          </cell>
          <cell r="J1084">
            <v>2500000</v>
          </cell>
          <cell r="K1084">
            <v>2500000</v>
          </cell>
          <cell r="L1084">
            <v>2500000</v>
          </cell>
          <cell r="M1084">
            <v>2500000</v>
          </cell>
          <cell r="N1084">
            <v>2500000</v>
          </cell>
          <cell r="O1084">
            <v>2500000</v>
          </cell>
          <cell r="P1084">
            <v>0</v>
          </cell>
        </row>
        <row r="1085">
          <cell r="A1085" t="str">
            <v>Road</v>
          </cell>
          <cell r="B1085" t="str">
            <v>ORR</v>
          </cell>
          <cell r="C1085" t="str">
            <v>Operating overhead</v>
          </cell>
          <cell r="E1085">
            <v>22517000</v>
          </cell>
          <cell r="F1085">
            <v>22398000</v>
          </cell>
          <cell r="G1085">
            <v>22374000</v>
          </cell>
          <cell r="H1085">
            <v>22474000</v>
          </cell>
          <cell r="I1085">
            <v>22555000</v>
          </cell>
          <cell r="J1085">
            <v>22368000</v>
          </cell>
          <cell r="K1085">
            <v>22464000</v>
          </cell>
          <cell r="L1085">
            <v>22914000</v>
          </cell>
          <cell r="M1085">
            <v>20524000</v>
          </cell>
          <cell r="N1085">
            <v>20241000</v>
          </cell>
          <cell r="O1085">
            <v>0</v>
          </cell>
          <cell r="P1085">
            <v>0</v>
          </cell>
        </row>
        <row r="1086">
          <cell r="A1086" t="str">
            <v>Road</v>
          </cell>
          <cell r="B1086" t="str">
            <v>ORR</v>
          </cell>
          <cell r="C1086" t="str">
            <v>Other Direct Over Heads</v>
          </cell>
          <cell r="E1086">
            <v>5000000</v>
          </cell>
          <cell r="F1086">
            <v>5000000</v>
          </cell>
          <cell r="G1086">
            <v>5000000</v>
          </cell>
          <cell r="H1086">
            <v>5000000</v>
          </cell>
          <cell r="I1086">
            <v>5000000</v>
          </cell>
          <cell r="J1086">
            <v>5000000</v>
          </cell>
          <cell r="K1086">
            <v>5000000</v>
          </cell>
          <cell r="L1086">
            <v>5000000</v>
          </cell>
          <cell r="M1086">
            <v>5000000</v>
          </cell>
          <cell r="N1086">
            <v>5000000</v>
          </cell>
          <cell r="O1086">
            <v>0</v>
          </cell>
          <cell r="P1086">
            <v>0</v>
          </cell>
        </row>
        <row r="1087">
          <cell r="A1087" t="str">
            <v>Road</v>
          </cell>
          <cell r="B1087" t="str">
            <v>TRICHY</v>
          </cell>
          <cell r="C1087" t="str">
            <v>Realisation against RA Bill</v>
          </cell>
          <cell r="E1087">
            <v>39604599.549014002</v>
          </cell>
          <cell r="F1087">
            <v>24840123.361023992</v>
          </cell>
          <cell r="G1087">
            <v>21098342.372420002</v>
          </cell>
          <cell r="H1087">
            <v>15371048.246659998</v>
          </cell>
          <cell r="I1087">
            <v>38139383.369382001</v>
          </cell>
          <cell r="J1087">
            <v>37201086.896818012</v>
          </cell>
          <cell r="K1087">
            <v>25521176.599884</v>
          </cell>
          <cell r="L1087">
            <v>10827666.672499999</v>
          </cell>
          <cell r="M1087">
            <v>7465990.9385000002</v>
          </cell>
          <cell r="N1087">
            <v>33113900.993269995</v>
          </cell>
          <cell r="O1087">
            <v>46921921.290130012</v>
          </cell>
          <cell r="P1087">
            <v>49935909.962225012</v>
          </cell>
        </row>
        <row r="1088">
          <cell r="A1088" t="str">
            <v>Road</v>
          </cell>
          <cell r="B1088" t="str">
            <v>TRICHY</v>
          </cell>
          <cell r="C1088" t="str">
            <v>Realisation against Escalation / Claims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</row>
        <row r="1089">
          <cell r="A1089" t="str">
            <v>Road</v>
          </cell>
          <cell r="B1089" t="str">
            <v>TRICHY</v>
          </cell>
          <cell r="C1089" t="str">
            <v>Other Receipts</v>
          </cell>
          <cell r="E1089">
            <v>100000</v>
          </cell>
          <cell r="F1089">
            <v>100000</v>
          </cell>
          <cell r="G1089">
            <v>100000</v>
          </cell>
          <cell r="H1089">
            <v>100000</v>
          </cell>
          <cell r="I1089">
            <v>100000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</row>
        <row r="1090">
          <cell r="A1090" t="str">
            <v>Road</v>
          </cell>
          <cell r="B1090" t="str">
            <v>TRICHY</v>
          </cell>
          <cell r="C1090" t="str">
            <v>Realisitation of Mobilisation Advance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</row>
        <row r="1091">
          <cell r="A1091" t="str">
            <v>Road</v>
          </cell>
          <cell r="B1091" t="str">
            <v>TRICHY</v>
          </cell>
          <cell r="C1091" t="str">
            <v xml:space="preserve"> - Retention money from client(incl TDS)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</row>
        <row r="1092">
          <cell r="A1092" t="str">
            <v>Road</v>
          </cell>
          <cell r="B1092" t="str">
            <v>TRICHY</v>
          </cell>
          <cell r="C1092" t="str">
            <v>Other Receipts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</row>
        <row r="1093">
          <cell r="A1093" t="str">
            <v>Road</v>
          </cell>
          <cell r="B1093" t="str">
            <v>TRICHY</v>
          </cell>
          <cell r="C1093" t="str">
            <v xml:space="preserve">Labour </v>
          </cell>
          <cell r="E1093">
            <v>222463.15960677655</v>
          </cell>
          <cell r="F1093">
            <v>153188.23160681321</v>
          </cell>
          <cell r="G1093">
            <v>99151.078506300342</v>
          </cell>
          <cell r="H1093">
            <v>470302.51358814555</v>
          </cell>
          <cell r="I1093">
            <v>408727.09399425349</v>
          </cell>
          <cell r="J1093">
            <v>303199.20535262802</v>
          </cell>
          <cell r="K1093">
            <v>-1739.3229166666747</v>
          </cell>
          <cell r="L1093">
            <v>-70920.156249999985</v>
          </cell>
          <cell r="M1093">
            <v>210339.11502976192</v>
          </cell>
          <cell r="N1093">
            <v>398357.57820677647</v>
          </cell>
          <cell r="O1093">
            <v>395346.95261153841</v>
          </cell>
          <cell r="P1093">
            <v>292390.53787939559</v>
          </cell>
        </row>
        <row r="1094">
          <cell r="A1094" t="str">
            <v>Road</v>
          </cell>
          <cell r="B1094" t="str">
            <v>TRICHY</v>
          </cell>
          <cell r="C1094" t="str">
            <v>Payment Suppliers(including Adv)</v>
          </cell>
          <cell r="E1094">
            <v>25649155.506206959</v>
          </cell>
          <cell r="F1094">
            <v>16435702.646972539</v>
          </cell>
          <cell r="G1094">
            <v>10726762.114889197</v>
          </cell>
          <cell r="H1094">
            <v>34043084.956138156</v>
          </cell>
          <cell r="I1094">
            <v>33156419.085316133</v>
          </cell>
          <cell r="J1094">
            <v>19558949.934602886</v>
          </cell>
          <cell r="K1094">
            <v>4651961.1607820513</v>
          </cell>
          <cell r="L1094">
            <v>2380238.5499487189</v>
          </cell>
          <cell r="M1094">
            <v>22602645.023191117</v>
          </cell>
          <cell r="N1094">
            <v>36246055.251814641</v>
          </cell>
          <cell r="O1094">
            <v>36208396.739980131</v>
          </cell>
          <cell r="P1094">
            <v>39633746.506036073</v>
          </cell>
        </row>
        <row r="1095">
          <cell r="A1095" t="str">
            <v>Road</v>
          </cell>
          <cell r="B1095" t="str">
            <v>TRICHY</v>
          </cell>
          <cell r="C1095" t="str">
            <v>Sub contractor-(including Advance)</v>
          </cell>
          <cell r="E1095">
            <v>16764297.096666666</v>
          </cell>
          <cell r="F1095">
            <v>2319489.7208333341</v>
          </cell>
          <cell r="G1095">
            <v>2333591.7041666661</v>
          </cell>
          <cell r="H1095">
            <v>889049.80124999979</v>
          </cell>
          <cell r="I1095">
            <v>3590602.3904166664</v>
          </cell>
          <cell r="J1095">
            <v>3600773.935833334</v>
          </cell>
          <cell r="K1095">
            <v>4011783.8666666662</v>
          </cell>
          <cell r="L1095">
            <v>1644072.9999999998</v>
          </cell>
          <cell r="M1095">
            <v>-343132.88166666671</v>
          </cell>
          <cell r="N1095">
            <v>1208096.2983333329</v>
          </cell>
          <cell r="O1095">
            <v>3458098.2124999999</v>
          </cell>
          <cell r="P1095">
            <v>3196979.5658333339</v>
          </cell>
        </row>
        <row r="1096">
          <cell r="A1096" t="str">
            <v>Road</v>
          </cell>
          <cell r="B1096" t="str">
            <v>TRICHY</v>
          </cell>
          <cell r="C1096" t="str">
            <v>Out side Machinery Hire</v>
          </cell>
          <cell r="E1096">
            <v>494527.25999999983</v>
          </cell>
          <cell r="F1096">
            <v>423564.86249999999</v>
          </cell>
          <cell r="G1096">
            <v>314947.46249999991</v>
          </cell>
          <cell r="H1096">
            <v>746746.02375000005</v>
          </cell>
          <cell r="I1096">
            <v>728951.35125000007</v>
          </cell>
          <cell r="J1096">
            <v>489499.59750000003</v>
          </cell>
          <cell r="K1096">
            <v>183026.25</v>
          </cell>
          <cell r="L1096">
            <v>132023.25</v>
          </cell>
          <cell r="M1096">
            <v>521150.71499999991</v>
          </cell>
          <cell r="N1096">
            <v>785304.58500000008</v>
          </cell>
          <cell r="O1096">
            <v>776372.51250000019</v>
          </cell>
          <cell r="P1096">
            <v>809893.79249999998</v>
          </cell>
        </row>
        <row r="1097">
          <cell r="A1097" t="str">
            <v>Road</v>
          </cell>
          <cell r="B1097" t="str">
            <v>TRICHY</v>
          </cell>
          <cell r="C1097" t="str">
            <v>Diesel</v>
          </cell>
          <cell r="E1097">
            <v>3956218.0799999987</v>
          </cell>
          <cell r="F1097">
            <v>3388518.9</v>
          </cell>
          <cell r="G1097">
            <v>2519579.6999999993</v>
          </cell>
          <cell r="H1097">
            <v>5973968.1900000004</v>
          </cell>
          <cell r="I1097">
            <v>5831610.8100000005</v>
          </cell>
          <cell r="J1097">
            <v>3915996.7800000003</v>
          </cell>
          <cell r="K1097">
            <v>1464210</v>
          </cell>
          <cell r="L1097">
            <v>1056186</v>
          </cell>
          <cell r="M1097">
            <v>4169205.7199999993</v>
          </cell>
          <cell r="N1097">
            <v>6282436.6800000006</v>
          </cell>
          <cell r="O1097">
            <v>6210980.1000000015</v>
          </cell>
          <cell r="P1097">
            <v>6479150.3399999999</v>
          </cell>
        </row>
        <row r="1098">
          <cell r="A1098" t="str">
            <v>Road</v>
          </cell>
          <cell r="B1098" t="str">
            <v>TRICHY</v>
          </cell>
          <cell r="C1098" t="str">
            <v>JV Share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</row>
        <row r="1099">
          <cell r="A1099" t="str">
            <v>Road</v>
          </cell>
          <cell r="B1099" t="str">
            <v>TRICHY</v>
          </cell>
          <cell r="C1099" t="str">
            <v>Plant Repairs &amp; Maintanance</v>
          </cell>
          <cell r="E1099">
            <v>1000000</v>
          </cell>
          <cell r="F1099">
            <v>1000000</v>
          </cell>
          <cell r="G1099">
            <v>1000000</v>
          </cell>
          <cell r="H1099">
            <v>1000000</v>
          </cell>
          <cell r="I1099">
            <v>1000000</v>
          </cell>
          <cell r="J1099">
            <v>1000000</v>
          </cell>
          <cell r="K1099">
            <v>1000000</v>
          </cell>
          <cell r="L1099">
            <v>1000000</v>
          </cell>
          <cell r="M1099">
            <v>1000000</v>
          </cell>
          <cell r="N1099">
            <v>1000000</v>
          </cell>
          <cell r="O1099">
            <v>500000</v>
          </cell>
          <cell r="P1099">
            <v>500000</v>
          </cell>
        </row>
        <row r="1100">
          <cell r="A1100" t="str">
            <v>Road</v>
          </cell>
          <cell r="B1100" t="str">
            <v>TRICHY</v>
          </cell>
          <cell r="C1100" t="str">
            <v>VAT &amp; other Taxes</v>
          </cell>
          <cell r="E1100">
            <v>508054.51999999979</v>
          </cell>
          <cell r="F1100">
            <v>-633870.27500000014</v>
          </cell>
          <cell r="G1100">
            <v>629894.92499999981</v>
          </cell>
          <cell r="H1100">
            <v>1493492.0475000001</v>
          </cell>
          <cell r="I1100">
            <v>1457902.7025000001</v>
          </cell>
          <cell r="J1100">
            <v>978999.19500000007</v>
          </cell>
          <cell r="K1100">
            <v>366052.5</v>
          </cell>
          <cell r="L1100">
            <v>264046.5</v>
          </cell>
          <cell r="M1100">
            <v>1042301.4299999998</v>
          </cell>
          <cell r="N1100">
            <v>1570609.1700000002</v>
          </cell>
          <cell r="O1100">
            <v>1552745.0250000004</v>
          </cell>
          <cell r="P1100">
            <v>1619787.585</v>
          </cell>
        </row>
        <row r="1101">
          <cell r="A1101" t="str">
            <v>Road</v>
          </cell>
          <cell r="B1101" t="str">
            <v>TRICHY</v>
          </cell>
          <cell r="C1101" t="str">
            <v>Salaries</v>
          </cell>
          <cell r="E1101">
            <v>1300000</v>
          </cell>
          <cell r="F1101">
            <v>1300000</v>
          </cell>
          <cell r="G1101">
            <v>1300000</v>
          </cell>
          <cell r="H1101">
            <v>1300000</v>
          </cell>
          <cell r="I1101">
            <v>1300000</v>
          </cell>
          <cell r="J1101">
            <v>1300000</v>
          </cell>
          <cell r="K1101">
            <v>1300000</v>
          </cell>
          <cell r="L1101">
            <v>1300000</v>
          </cell>
          <cell r="M1101">
            <v>1300000</v>
          </cell>
          <cell r="N1101">
            <v>1300000</v>
          </cell>
          <cell r="O1101">
            <v>1300000</v>
          </cell>
          <cell r="P1101">
            <v>1300000</v>
          </cell>
        </row>
        <row r="1102">
          <cell r="A1102" t="str">
            <v>Road</v>
          </cell>
          <cell r="B1102" t="str">
            <v>TRICHY</v>
          </cell>
          <cell r="C1102" t="str">
            <v>Operating overhead</v>
          </cell>
          <cell r="E1102">
            <v>1000000</v>
          </cell>
          <cell r="F1102">
            <v>1000000</v>
          </cell>
          <cell r="G1102">
            <v>1000000</v>
          </cell>
          <cell r="H1102">
            <v>1000000</v>
          </cell>
          <cell r="I1102">
            <v>1000000</v>
          </cell>
          <cell r="J1102">
            <v>1000000</v>
          </cell>
          <cell r="K1102">
            <v>1000000</v>
          </cell>
          <cell r="L1102">
            <v>1000000</v>
          </cell>
          <cell r="M1102">
            <v>1000000</v>
          </cell>
          <cell r="N1102">
            <v>1000000</v>
          </cell>
          <cell r="O1102">
            <v>1000000</v>
          </cell>
          <cell r="P1102">
            <v>1000000</v>
          </cell>
        </row>
        <row r="1103">
          <cell r="A1103" t="str">
            <v>Road</v>
          </cell>
          <cell r="B1103" t="str">
            <v>TRICHY</v>
          </cell>
          <cell r="C1103" t="str">
            <v>Other Direct Over Heads</v>
          </cell>
          <cell r="E1103">
            <v>800000</v>
          </cell>
          <cell r="F1103">
            <v>800000</v>
          </cell>
          <cell r="G1103">
            <v>800000</v>
          </cell>
          <cell r="H1103">
            <v>800000</v>
          </cell>
          <cell r="I1103">
            <v>800000</v>
          </cell>
          <cell r="J1103">
            <v>800000</v>
          </cell>
          <cell r="K1103">
            <v>800000</v>
          </cell>
          <cell r="L1103">
            <v>800000</v>
          </cell>
          <cell r="M1103">
            <v>800000</v>
          </cell>
          <cell r="N1103">
            <v>800000</v>
          </cell>
          <cell r="O1103">
            <v>800000</v>
          </cell>
          <cell r="P1103">
            <v>800000</v>
          </cell>
        </row>
        <row r="1104">
          <cell r="A1104" t="str">
            <v>Road</v>
          </cell>
          <cell r="B1104" t="str">
            <v>NICE</v>
          </cell>
          <cell r="C1104" t="str">
            <v>Realisation against RA Bill</v>
          </cell>
          <cell r="E1104">
            <v>20000000</v>
          </cell>
          <cell r="F1104">
            <v>20000000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</row>
        <row r="1105">
          <cell r="A1105" t="str">
            <v>Road</v>
          </cell>
          <cell r="B1105" t="str">
            <v>NICE</v>
          </cell>
          <cell r="C1105" t="str">
            <v>Realisation against Escalation / Claims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</row>
        <row r="1106">
          <cell r="A1106" t="str">
            <v>Road</v>
          </cell>
          <cell r="B1106" t="str">
            <v>NICE</v>
          </cell>
          <cell r="C1106" t="str">
            <v>Other Receipts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</row>
        <row r="1107">
          <cell r="A1107" t="str">
            <v>Road</v>
          </cell>
          <cell r="B1107" t="str">
            <v>NICE</v>
          </cell>
          <cell r="C1107" t="str">
            <v>Realisitation of Mobilisation Advance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</row>
        <row r="1108">
          <cell r="A1108" t="str">
            <v>Road</v>
          </cell>
          <cell r="B1108" t="str">
            <v>NICE</v>
          </cell>
          <cell r="C1108" t="str">
            <v xml:space="preserve"> - Retention money from client(incl TDS)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</row>
        <row r="1109">
          <cell r="A1109" t="str">
            <v>Road</v>
          </cell>
          <cell r="B1109" t="str">
            <v>NICE</v>
          </cell>
          <cell r="C1109" t="str">
            <v>Other Receipts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</row>
        <row r="1110">
          <cell r="A1110" t="str">
            <v>Road</v>
          </cell>
          <cell r="B1110" t="str">
            <v>NICE</v>
          </cell>
          <cell r="C1110" t="str">
            <v xml:space="preserve">Labour </v>
          </cell>
          <cell r="E1110">
            <v>250000</v>
          </cell>
          <cell r="F1110">
            <v>150000</v>
          </cell>
          <cell r="G1110">
            <v>50000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</row>
        <row r="1111">
          <cell r="A1111" t="str">
            <v>Road</v>
          </cell>
          <cell r="B1111" t="str">
            <v>NICE</v>
          </cell>
          <cell r="C1111" t="str">
            <v>Payment Suppliers(including Adv)</v>
          </cell>
          <cell r="E1111">
            <v>450000</v>
          </cell>
          <cell r="F1111">
            <v>350000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</row>
        <row r="1112">
          <cell r="A1112" t="str">
            <v>Road</v>
          </cell>
          <cell r="B1112" t="str">
            <v>NICE</v>
          </cell>
          <cell r="C1112" t="str">
            <v>Sub contractor-(including Advance)</v>
          </cell>
          <cell r="E1112">
            <v>4957000</v>
          </cell>
          <cell r="F1112">
            <v>450000</v>
          </cell>
          <cell r="G1112">
            <v>200000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</row>
        <row r="1113">
          <cell r="A1113" t="str">
            <v>Road</v>
          </cell>
          <cell r="B1113" t="str">
            <v>NICE</v>
          </cell>
          <cell r="C1113" t="str">
            <v>Out side Machinery Hire</v>
          </cell>
          <cell r="E1113">
            <v>175000</v>
          </cell>
          <cell r="F1113">
            <v>125000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</row>
        <row r="1114">
          <cell r="A1114" t="str">
            <v>Road</v>
          </cell>
          <cell r="B1114" t="str">
            <v>NICE</v>
          </cell>
          <cell r="C1114" t="str">
            <v>Diesel</v>
          </cell>
          <cell r="E1114">
            <v>50000</v>
          </cell>
          <cell r="F1114">
            <v>50000</v>
          </cell>
          <cell r="G1114">
            <v>50000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</row>
        <row r="1115">
          <cell r="A1115" t="str">
            <v>Road</v>
          </cell>
          <cell r="B1115" t="str">
            <v>NICE</v>
          </cell>
          <cell r="C1115" t="str">
            <v>JV Share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</row>
        <row r="1116">
          <cell r="A1116" t="str">
            <v>Road</v>
          </cell>
          <cell r="B1116" t="str">
            <v>NICE</v>
          </cell>
          <cell r="C1116" t="str">
            <v>Plant Repairs &amp; Maintanance</v>
          </cell>
          <cell r="E1116">
            <v>145000</v>
          </cell>
          <cell r="F1116">
            <v>75000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</row>
        <row r="1117">
          <cell r="A1117" t="str">
            <v>Road</v>
          </cell>
          <cell r="B1117" t="str">
            <v>NICE</v>
          </cell>
          <cell r="C1117" t="str">
            <v>VAT &amp; other Taxes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</row>
        <row r="1118">
          <cell r="A1118" t="str">
            <v>Road</v>
          </cell>
          <cell r="B1118" t="str">
            <v>NICE</v>
          </cell>
          <cell r="C1118" t="str">
            <v>Salaries</v>
          </cell>
          <cell r="E1118">
            <v>590000</v>
          </cell>
          <cell r="F1118">
            <v>300000</v>
          </cell>
          <cell r="G1118">
            <v>200000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</row>
        <row r="1119">
          <cell r="A1119" t="str">
            <v>Road</v>
          </cell>
          <cell r="B1119" t="str">
            <v>NICE</v>
          </cell>
          <cell r="C1119" t="str">
            <v>Operating overhead</v>
          </cell>
          <cell r="E1119">
            <v>92400</v>
          </cell>
          <cell r="F1119">
            <v>80400</v>
          </cell>
          <cell r="G1119">
            <v>78400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</row>
        <row r="1120">
          <cell r="A1120" t="str">
            <v>Road</v>
          </cell>
          <cell r="B1120" t="str">
            <v>NICE</v>
          </cell>
          <cell r="C1120" t="str">
            <v>Other Direct Over Heads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</row>
        <row r="1121">
          <cell r="A1121" t="str">
            <v>Road</v>
          </cell>
          <cell r="B1121" t="str">
            <v>BDA</v>
          </cell>
          <cell r="C1121" t="str">
            <v>Realisation against RA Bill</v>
          </cell>
          <cell r="E1121">
            <v>0</v>
          </cell>
          <cell r="F1121">
            <v>8773400</v>
          </cell>
          <cell r="G1121">
            <v>0</v>
          </cell>
          <cell r="H1121">
            <v>9373400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</row>
        <row r="1122">
          <cell r="A1122" t="str">
            <v>Road</v>
          </cell>
          <cell r="B1122" t="str">
            <v>BDA</v>
          </cell>
          <cell r="C1122" t="str">
            <v>Realisation against Escalation / Claims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</row>
        <row r="1123">
          <cell r="A1123" t="str">
            <v>Road</v>
          </cell>
          <cell r="B1123" t="str">
            <v>BDA</v>
          </cell>
          <cell r="C1123" t="str">
            <v>Other Receipts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</row>
        <row r="1124">
          <cell r="A1124" t="str">
            <v>Road</v>
          </cell>
          <cell r="B1124" t="str">
            <v>BDA</v>
          </cell>
          <cell r="C1124" t="str">
            <v>Realisitation of Mobilisation Advance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</row>
        <row r="1125">
          <cell r="A1125" t="str">
            <v>Road</v>
          </cell>
          <cell r="B1125" t="str">
            <v>BDA</v>
          </cell>
          <cell r="C1125" t="str">
            <v xml:space="preserve"> - Retention money from client(incl TDS)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</row>
        <row r="1126">
          <cell r="A1126" t="str">
            <v>Road</v>
          </cell>
          <cell r="B1126" t="str">
            <v>BDA</v>
          </cell>
          <cell r="C1126" t="str">
            <v>Other Receipts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</row>
        <row r="1127">
          <cell r="A1127" t="str">
            <v>Road</v>
          </cell>
          <cell r="B1127" t="str">
            <v>BDA</v>
          </cell>
          <cell r="C1127" t="str">
            <v xml:space="preserve">Labour </v>
          </cell>
          <cell r="E1127">
            <v>250000</v>
          </cell>
          <cell r="F1127">
            <v>250000</v>
          </cell>
          <cell r="G1127">
            <v>150000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</row>
        <row r="1128">
          <cell r="A1128" t="str">
            <v>Road</v>
          </cell>
          <cell r="B1128" t="str">
            <v>BDA</v>
          </cell>
          <cell r="C1128" t="str">
            <v>Payment Suppliers(including Adv)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</row>
        <row r="1129">
          <cell r="A1129" t="str">
            <v>Road</v>
          </cell>
          <cell r="B1129" t="str">
            <v>BDA</v>
          </cell>
          <cell r="C1129" t="str">
            <v>Sub contractor-(including Advance)</v>
          </cell>
          <cell r="E1129">
            <v>0</v>
          </cell>
          <cell r="F1129">
            <v>2300000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</row>
        <row r="1130">
          <cell r="A1130" t="str">
            <v>Road</v>
          </cell>
          <cell r="B1130" t="str">
            <v>BDA</v>
          </cell>
          <cell r="C1130" t="str">
            <v>Out side Machinery Hire</v>
          </cell>
          <cell r="E1130">
            <v>293000</v>
          </cell>
          <cell r="F1130">
            <v>193000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</row>
        <row r="1131">
          <cell r="A1131" t="str">
            <v>Road</v>
          </cell>
          <cell r="B1131" t="str">
            <v>BDA</v>
          </cell>
          <cell r="C1131" t="str">
            <v>Diesel</v>
          </cell>
          <cell r="E1131">
            <v>42000</v>
          </cell>
          <cell r="F1131">
            <v>42000</v>
          </cell>
          <cell r="G1131">
            <v>42000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</row>
        <row r="1132">
          <cell r="A1132" t="str">
            <v>Road</v>
          </cell>
          <cell r="B1132" t="str">
            <v>BDA</v>
          </cell>
          <cell r="C1132" t="str">
            <v>JV Share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</row>
        <row r="1133">
          <cell r="A1133" t="str">
            <v>Road</v>
          </cell>
          <cell r="B1133" t="str">
            <v>BDA</v>
          </cell>
          <cell r="C1133" t="str">
            <v>Plant Repairs &amp; Maintanance</v>
          </cell>
          <cell r="E1133">
            <v>55000.000000000007</v>
          </cell>
          <cell r="F1133">
            <v>55000.000000000007</v>
          </cell>
          <cell r="G1133">
            <v>55000.000000000007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</row>
        <row r="1134">
          <cell r="A1134" t="str">
            <v>Road</v>
          </cell>
          <cell r="B1134" t="str">
            <v>BDA</v>
          </cell>
          <cell r="C1134" t="str">
            <v>VAT &amp; other Taxes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</row>
        <row r="1135">
          <cell r="A1135" t="str">
            <v>Road</v>
          </cell>
          <cell r="B1135" t="str">
            <v>BDA</v>
          </cell>
          <cell r="C1135" t="str">
            <v>Salaries</v>
          </cell>
          <cell r="E1135">
            <v>583000</v>
          </cell>
          <cell r="F1135">
            <v>583000</v>
          </cell>
          <cell r="G1135">
            <v>178000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</row>
        <row r="1136">
          <cell r="A1136" t="str">
            <v>Road</v>
          </cell>
          <cell r="B1136" t="str">
            <v>BDA</v>
          </cell>
          <cell r="C1136" t="str">
            <v>Operating overhead</v>
          </cell>
          <cell r="E1136">
            <v>250000</v>
          </cell>
          <cell r="F1136">
            <v>250000</v>
          </cell>
          <cell r="G1136">
            <v>150000</v>
          </cell>
          <cell r="H1136">
            <v>100000</v>
          </cell>
          <cell r="I1136">
            <v>100000</v>
          </cell>
          <cell r="J1136">
            <v>100000</v>
          </cell>
          <cell r="K1136">
            <v>100000</v>
          </cell>
          <cell r="L1136">
            <v>100000</v>
          </cell>
          <cell r="M1136">
            <v>100000</v>
          </cell>
          <cell r="N1136">
            <v>100000</v>
          </cell>
          <cell r="O1136">
            <v>100000</v>
          </cell>
          <cell r="P1136">
            <v>100000</v>
          </cell>
        </row>
        <row r="1137">
          <cell r="A1137" t="str">
            <v>Road</v>
          </cell>
          <cell r="B1137" t="str">
            <v>BDA</v>
          </cell>
          <cell r="C1137" t="str">
            <v>Other Direct Over Heads</v>
          </cell>
          <cell r="E1137">
            <v>0</v>
          </cell>
          <cell r="F1137">
            <v>250000</v>
          </cell>
        </row>
        <row r="1138">
          <cell r="A1138" t="str">
            <v>Railways</v>
          </cell>
          <cell r="B1138" t="str">
            <v>BMRC</v>
          </cell>
          <cell r="C1138" t="str">
            <v>Realisation against RA Bill</v>
          </cell>
          <cell r="E1138">
            <v>11790000</v>
          </cell>
          <cell r="F1138">
            <v>39455000</v>
          </cell>
          <cell r="G1138">
            <v>50965000</v>
          </cell>
          <cell r="H1138">
            <v>41153000</v>
          </cell>
          <cell r="I1138">
            <v>33812000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</row>
        <row r="1139">
          <cell r="A1139" t="str">
            <v>Railways</v>
          </cell>
          <cell r="B1139" t="str">
            <v>BMRC</v>
          </cell>
          <cell r="C1139" t="str">
            <v>Realisitation of Mobilisation Advance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</row>
        <row r="1140">
          <cell r="A1140" t="str">
            <v>Railways</v>
          </cell>
          <cell r="B1140" t="str">
            <v>BMRC</v>
          </cell>
          <cell r="C1140" t="str">
            <v xml:space="preserve"> - Retention money from client(incl TDS)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</row>
        <row r="1141">
          <cell r="A1141" t="str">
            <v>Railways</v>
          </cell>
          <cell r="B1141" t="str">
            <v>BMRC</v>
          </cell>
          <cell r="C1141" t="str">
            <v>Other Receipts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</row>
        <row r="1142">
          <cell r="A1142" t="str">
            <v>Railways</v>
          </cell>
          <cell r="B1142" t="str">
            <v>BMRC</v>
          </cell>
          <cell r="C1142" t="str">
            <v xml:space="preserve">Labour 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</row>
        <row r="1143">
          <cell r="A1143" t="str">
            <v>Railways</v>
          </cell>
          <cell r="B1143" t="str">
            <v>BMRC</v>
          </cell>
          <cell r="C1143" t="str">
            <v>Payment Suppliers(including Adv)</v>
          </cell>
          <cell r="E1143">
            <v>5125000</v>
          </cell>
          <cell r="F1143">
            <v>4850000</v>
          </cell>
          <cell r="G1143">
            <v>4850000</v>
          </cell>
          <cell r="H1143">
            <v>75000</v>
          </cell>
          <cell r="I1143">
            <v>25000</v>
          </cell>
          <cell r="J1143">
            <v>25000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</row>
        <row r="1144">
          <cell r="A1144" t="str">
            <v>Railways</v>
          </cell>
          <cell r="B1144" t="str">
            <v>BMRC</v>
          </cell>
          <cell r="C1144" t="str">
            <v>Sub contractor-(including Advance)</v>
          </cell>
          <cell r="E1144">
            <v>7522000</v>
          </cell>
          <cell r="F1144">
            <v>31220999.999999996</v>
          </cell>
          <cell r="G1144">
            <v>40820000</v>
          </cell>
          <cell r="H1144">
            <v>32480000</v>
          </cell>
          <cell r="I1144">
            <v>26239999.999999996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</row>
        <row r="1145">
          <cell r="A1145" t="str">
            <v>Railways</v>
          </cell>
          <cell r="B1145" t="str">
            <v>BMRC</v>
          </cell>
          <cell r="C1145" t="str">
            <v>Out side Machinery Hire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</row>
        <row r="1146">
          <cell r="A1146" t="str">
            <v>Railways</v>
          </cell>
          <cell r="B1146" t="str">
            <v>BMRC</v>
          </cell>
          <cell r="C1146" t="str">
            <v>Diesel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</row>
        <row r="1147">
          <cell r="A1147" t="str">
            <v>Railways</v>
          </cell>
          <cell r="B1147" t="str">
            <v>BMRC</v>
          </cell>
          <cell r="C1147" t="str">
            <v>JV Share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</row>
        <row r="1148">
          <cell r="A1148" t="str">
            <v>Railways</v>
          </cell>
          <cell r="B1148" t="str">
            <v>BMRC</v>
          </cell>
          <cell r="C1148" t="str">
            <v>Plant Repairs &amp; Maintanance</v>
          </cell>
          <cell r="E1148">
            <v>100000</v>
          </cell>
          <cell r="F1148">
            <v>0</v>
          </cell>
          <cell r="G1148">
            <v>100000</v>
          </cell>
          <cell r="H1148">
            <v>0</v>
          </cell>
          <cell r="I1148">
            <v>100000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</row>
        <row r="1149">
          <cell r="A1149" t="str">
            <v>Railways</v>
          </cell>
          <cell r="B1149" t="str">
            <v>BMRC</v>
          </cell>
          <cell r="C1149" t="str">
            <v>VAT &amp; other Taxes</v>
          </cell>
          <cell r="E1149">
            <v>471600</v>
          </cell>
          <cell r="F1149">
            <v>1578200</v>
          </cell>
          <cell r="G1149">
            <v>2038600</v>
          </cell>
          <cell r="H1149">
            <v>1646119.9999999998</v>
          </cell>
          <cell r="I1149">
            <v>1352480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</row>
        <row r="1150">
          <cell r="A1150" t="str">
            <v>Railways</v>
          </cell>
          <cell r="B1150" t="str">
            <v>BMRC</v>
          </cell>
          <cell r="C1150" t="str">
            <v>Salaries</v>
          </cell>
          <cell r="E1150">
            <v>610000</v>
          </cell>
          <cell r="F1150">
            <v>610000</v>
          </cell>
          <cell r="G1150">
            <v>610000</v>
          </cell>
          <cell r="H1150">
            <v>610000</v>
          </cell>
          <cell r="I1150">
            <v>610000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</row>
        <row r="1151">
          <cell r="A1151" t="str">
            <v>Railways</v>
          </cell>
          <cell r="B1151" t="str">
            <v>BMRC</v>
          </cell>
          <cell r="C1151" t="str">
            <v>Operating overhead</v>
          </cell>
          <cell r="E1151">
            <v>557000</v>
          </cell>
          <cell r="F1151">
            <v>765000</v>
          </cell>
          <cell r="G1151">
            <v>765000</v>
          </cell>
          <cell r="H1151">
            <v>500000</v>
          </cell>
          <cell r="I1151">
            <v>500000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</row>
        <row r="1152">
          <cell r="A1152" t="str">
            <v>Railways</v>
          </cell>
          <cell r="B1152" t="str">
            <v>BMRC</v>
          </cell>
          <cell r="C1152" t="str">
            <v>Other Direct Over Heads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</row>
        <row r="1153">
          <cell r="A1153" t="str">
            <v>Railways</v>
          </cell>
          <cell r="B1153" t="str">
            <v>CTR JV</v>
          </cell>
          <cell r="C1153" t="str">
            <v>Realisation against RA Bill</v>
          </cell>
          <cell r="E1153">
            <v>35783670</v>
          </cell>
          <cell r="F1153">
            <v>35783670</v>
          </cell>
          <cell r="G1153">
            <v>41288850</v>
          </cell>
          <cell r="H1153">
            <v>41288850</v>
          </cell>
          <cell r="I1153">
            <v>41288850</v>
          </cell>
          <cell r="J1153">
            <v>30278490</v>
          </cell>
          <cell r="K1153">
            <v>24773310</v>
          </cell>
          <cell r="L1153">
            <v>24773310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</row>
        <row r="1154">
          <cell r="A1154" t="str">
            <v>Railways</v>
          </cell>
          <cell r="B1154" t="str">
            <v>CTR JV</v>
          </cell>
          <cell r="C1154" t="str">
            <v>Realisitation of Mobilisation Advance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</row>
        <row r="1155">
          <cell r="A1155" t="str">
            <v>Railways</v>
          </cell>
          <cell r="B1155" t="str">
            <v>CTR JV</v>
          </cell>
          <cell r="C1155" t="str">
            <v xml:space="preserve"> - Retention money from client(incl TDS)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</row>
        <row r="1156">
          <cell r="A1156" t="str">
            <v>Railways</v>
          </cell>
          <cell r="B1156" t="str">
            <v>CTR JV</v>
          </cell>
          <cell r="C1156" t="str">
            <v>Other Receipts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</row>
        <row r="1157">
          <cell r="A1157" t="str">
            <v>Railways</v>
          </cell>
          <cell r="B1157" t="str">
            <v>CTR JV</v>
          </cell>
          <cell r="C1157" t="str">
            <v xml:space="preserve">Labour 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</row>
        <row r="1158">
          <cell r="A1158" t="str">
            <v>Railways</v>
          </cell>
          <cell r="B1158" t="str">
            <v>CTR JV</v>
          </cell>
          <cell r="C1158" t="str">
            <v>Payment Suppliers(including Adv)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</row>
        <row r="1159">
          <cell r="A1159" t="str">
            <v>Railways</v>
          </cell>
          <cell r="B1159" t="str">
            <v>CTR JV</v>
          </cell>
          <cell r="C1159" t="str">
            <v>Sub contractor-(including Advance)</v>
          </cell>
          <cell r="E1159">
            <v>25795674.476</v>
          </cell>
          <cell r="F1159">
            <v>25795674.476</v>
          </cell>
          <cell r="G1159">
            <v>29764239.77999999</v>
          </cell>
          <cell r="H1159">
            <v>29764239.77999999</v>
          </cell>
          <cell r="I1159">
            <v>29764239.77999999</v>
          </cell>
          <cell r="J1159">
            <v>21827109.172000002</v>
          </cell>
          <cell r="K1159">
            <v>17858543.867999997</v>
          </cell>
          <cell r="L1159">
            <v>17983872.423999999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</row>
        <row r="1160">
          <cell r="A1160" t="str">
            <v>Railways</v>
          </cell>
          <cell r="B1160" t="str">
            <v>CTR JV</v>
          </cell>
          <cell r="C1160" t="str">
            <v>Out side Machinery Hire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</row>
        <row r="1161">
          <cell r="A1161" t="str">
            <v>Railways</v>
          </cell>
          <cell r="B1161" t="str">
            <v>CTR JV</v>
          </cell>
          <cell r="C1161" t="str">
            <v>Diesel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</row>
        <row r="1162">
          <cell r="A1162" t="str">
            <v>Railways</v>
          </cell>
          <cell r="B1162" t="str">
            <v>CTR JV</v>
          </cell>
          <cell r="C1162" t="str">
            <v>JV Share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</row>
        <row r="1163">
          <cell r="A1163" t="str">
            <v>Railways</v>
          </cell>
          <cell r="B1163" t="str">
            <v>CTR JV</v>
          </cell>
          <cell r="C1163" t="str">
            <v>Plant Repairs &amp; Maintanance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</row>
        <row r="1164">
          <cell r="A1164" t="str">
            <v>Railways</v>
          </cell>
          <cell r="B1164" t="str">
            <v>CTR JV</v>
          </cell>
          <cell r="C1164" t="str">
            <v>VAT &amp; other Taxes</v>
          </cell>
          <cell r="E1164">
            <v>309548.093712</v>
          </cell>
          <cell r="F1164">
            <v>309548.093712</v>
          </cell>
          <cell r="G1164">
            <v>357170.87735999987</v>
          </cell>
          <cell r="H1164">
            <v>357170.87735999987</v>
          </cell>
          <cell r="I1164">
            <v>357170.87735999987</v>
          </cell>
          <cell r="J1164">
            <v>261925.31006400005</v>
          </cell>
          <cell r="K1164">
            <v>214302.52641599998</v>
          </cell>
          <cell r="L1164">
            <v>215806.46908799998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</row>
        <row r="1165">
          <cell r="A1165" t="str">
            <v>Railways</v>
          </cell>
          <cell r="B1165" t="str">
            <v>CTR JV</v>
          </cell>
          <cell r="C1165" t="str">
            <v>Salaries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</row>
        <row r="1166">
          <cell r="A1166" t="str">
            <v>Railways</v>
          </cell>
          <cell r="B1166" t="str">
            <v>CTR JV</v>
          </cell>
          <cell r="C1166" t="str">
            <v>Operating overhead</v>
          </cell>
          <cell r="E1166">
            <v>624000</v>
          </cell>
          <cell r="F1166">
            <v>624000</v>
          </cell>
          <cell r="G1166">
            <v>726000</v>
          </cell>
          <cell r="H1166">
            <v>624000</v>
          </cell>
          <cell r="I1166">
            <v>522000</v>
          </cell>
          <cell r="J1166">
            <v>422000</v>
          </cell>
          <cell r="K1166">
            <v>320000</v>
          </cell>
          <cell r="L1166">
            <v>320000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</row>
        <row r="1167">
          <cell r="A1167" t="str">
            <v>Railways</v>
          </cell>
          <cell r="B1167" t="str">
            <v>CTR JV</v>
          </cell>
          <cell r="C1167" t="str">
            <v>Other Direct Over Heads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</row>
        <row r="1168">
          <cell r="A1168" t="str">
            <v>Railways</v>
          </cell>
          <cell r="B1168" t="str">
            <v>LANJIGARH</v>
          </cell>
          <cell r="C1168" t="str">
            <v>Realisation against RA Bill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</row>
        <row r="1169">
          <cell r="A1169" t="str">
            <v>Railways</v>
          </cell>
          <cell r="B1169" t="str">
            <v>LANJIGARH</v>
          </cell>
          <cell r="C1169" t="str">
            <v>Realisitation of Mobilisation Advance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</row>
        <row r="1170">
          <cell r="A1170" t="str">
            <v>Railways</v>
          </cell>
          <cell r="B1170" t="str">
            <v>LANJIGARH</v>
          </cell>
          <cell r="C1170" t="str">
            <v xml:space="preserve"> - Retention money from client(incl TDS)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</row>
        <row r="1171">
          <cell r="A1171" t="str">
            <v>Railways</v>
          </cell>
          <cell r="B1171" t="str">
            <v>LANJIGARH</v>
          </cell>
          <cell r="C1171" t="str">
            <v>Other Receipts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</row>
        <row r="1172">
          <cell r="A1172" t="str">
            <v>Railways</v>
          </cell>
          <cell r="B1172" t="str">
            <v>LANJIGARH</v>
          </cell>
          <cell r="C1172" t="str">
            <v xml:space="preserve">Labour 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</row>
        <row r="1173">
          <cell r="A1173" t="str">
            <v>Railways</v>
          </cell>
          <cell r="B1173" t="str">
            <v>LANJIGARH</v>
          </cell>
          <cell r="C1173" t="str">
            <v>Payment Suppliers(including Adv)</v>
          </cell>
          <cell r="E1173">
            <v>0</v>
          </cell>
          <cell r="F1173">
            <v>2957000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</row>
        <row r="1174">
          <cell r="A1174" t="str">
            <v>Railways</v>
          </cell>
          <cell r="B1174" t="str">
            <v>LANJIGARH</v>
          </cell>
          <cell r="C1174" t="str">
            <v>Sub contractor-(including Advance)</v>
          </cell>
          <cell r="E1174">
            <v>0</v>
          </cell>
          <cell r="F1174">
            <v>3645000.0000000005</v>
          </cell>
          <cell r="G1174">
            <v>0</v>
          </cell>
          <cell r="H1174">
            <v>3800000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</row>
        <row r="1175">
          <cell r="A1175" t="str">
            <v>Railways</v>
          </cell>
          <cell r="B1175" t="str">
            <v>LANJIGARH</v>
          </cell>
          <cell r="C1175" t="str">
            <v>Out side Machinery Hire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</row>
        <row r="1176">
          <cell r="A1176" t="str">
            <v>Railways</v>
          </cell>
          <cell r="B1176" t="str">
            <v>LANJIGARH</v>
          </cell>
          <cell r="C1176" t="str">
            <v>Diesel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</row>
        <row r="1177">
          <cell r="A1177" t="str">
            <v>Railways</v>
          </cell>
          <cell r="B1177" t="str">
            <v>LANJIGARH</v>
          </cell>
          <cell r="C1177" t="str">
            <v>JV Share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</row>
        <row r="1178">
          <cell r="A1178" t="str">
            <v>Railways</v>
          </cell>
          <cell r="B1178" t="str">
            <v>LANJIGARH</v>
          </cell>
          <cell r="C1178" t="str">
            <v>Plant Repairs &amp; Maintanance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</row>
        <row r="1179">
          <cell r="A1179" t="str">
            <v>Railways</v>
          </cell>
          <cell r="B1179" t="str">
            <v>LANJIGARH</v>
          </cell>
          <cell r="C1179" t="str">
            <v>VAT &amp; other Taxes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</row>
        <row r="1180">
          <cell r="A1180" t="str">
            <v>Railways</v>
          </cell>
          <cell r="B1180" t="str">
            <v>LANJIGARH</v>
          </cell>
          <cell r="C1180" t="str">
            <v>Salaries</v>
          </cell>
          <cell r="E1180">
            <v>400000</v>
          </cell>
          <cell r="F1180">
            <v>400000</v>
          </cell>
          <cell r="G1180">
            <v>400000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</row>
        <row r="1181">
          <cell r="A1181" t="str">
            <v>Railways</v>
          </cell>
          <cell r="B1181" t="str">
            <v>LANJIGARH</v>
          </cell>
          <cell r="C1181" t="str">
            <v>Operating overhead</v>
          </cell>
          <cell r="E1181">
            <v>1087000</v>
          </cell>
          <cell r="F1181">
            <v>287000</v>
          </cell>
          <cell r="G1181">
            <v>200000</v>
          </cell>
          <cell r="H1181">
            <v>200000</v>
          </cell>
          <cell r="I1181">
            <v>200000</v>
          </cell>
          <cell r="J1181">
            <v>200000</v>
          </cell>
          <cell r="K1181">
            <v>200000</v>
          </cell>
          <cell r="L1181">
            <v>200000</v>
          </cell>
          <cell r="M1181">
            <v>200000</v>
          </cell>
          <cell r="N1181">
            <v>200000</v>
          </cell>
          <cell r="O1181">
            <v>200000</v>
          </cell>
          <cell r="P1181">
            <v>200000</v>
          </cell>
        </row>
        <row r="1182">
          <cell r="A1182" t="str">
            <v>Railways</v>
          </cell>
          <cell r="B1182" t="str">
            <v>LANJIGARH</v>
          </cell>
          <cell r="C1182" t="str">
            <v>Other Direct Over Heads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</row>
        <row r="1183">
          <cell r="A1183" t="str">
            <v>Railways</v>
          </cell>
          <cell r="B1183" t="str">
            <v>MRT 2</v>
          </cell>
          <cell r="C1183" t="str">
            <v>Realisation against RA Bill</v>
          </cell>
          <cell r="E1183">
            <v>19378000</v>
          </cell>
          <cell r="F1183">
            <v>15221000</v>
          </cell>
          <cell r="G1183">
            <v>14305000.000000002</v>
          </cell>
          <cell r="H1183">
            <v>14303000</v>
          </cell>
          <cell r="I1183">
            <v>13593000</v>
          </cell>
          <cell r="J1183">
            <v>13253000</v>
          </cell>
          <cell r="K1183">
            <v>574000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</row>
        <row r="1184">
          <cell r="A1184" t="str">
            <v>Railways</v>
          </cell>
          <cell r="B1184" t="str">
            <v>MRT 2</v>
          </cell>
          <cell r="C1184" t="str">
            <v>Realisitation of Mobilisation Advance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</row>
        <row r="1185">
          <cell r="A1185" t="str">
            <v>Railways</v>
          </cell>
          <cell r="B1185" t="str">
            <v>MRT 2</v>
          </cell>
          <cell r="C1185" t="str">
            <v xml:space="preserve"> - Retention money from client(incl TDS)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8300000</v>
          </cell>
          <cell r="O1185">
            <v>0</v>
          </cell>
          <cell r="P1185">
            <v>0</v>
          </cell>
        </row>
        <row r="1186">
          <cell r="A1186" t="str">
            <v>Railways</v>
          </cell>
          <cell r="B1186" t="str">
            <v>MRT 2</v>
          </cell>
          <cell r="C1186" t="str">
            <v>Other Receipts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</row>
        <row r="1187">
          <cell r="A1187" t="str">
            <v>Railways</v>
          </cell>
          <cell r="B1187" t="str">
            <v>MRT 2</v>
          </cell>
          <cell r="C1187" t="str">
            <v xml:space="preserve">Labour 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</row>
        <row r="1188">
          <cell r="A1188" t="str">
            <v>Railways</v>
          </cell>
          <cell r="B1188" t="str">
            <v>MRT 2</v>
          </cell>
          <cell r="C1188" t="str">
            <v>Payment Suppliers(including Adv)</v>
          </cell>
          <cell r="E1188">
            <v>17734000</v>
          </cell>
          <cell r="F1188">
            <v>13077000.000000002</v>
          </cell>
          <cell r="G1188">
            <v>11574000</v>
          </cell>
          <cell r="H1188">
            <v>12674000</v>
          </cell>
          <cell r="I1188">
            <v>11594000</v>
          </cell>
          <cell r="J1188">
            <v>11162000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</row>
        <row r="1189">
          <cell r="A1189" t="str">
            <v>Railways</v>
          </cell>
          <cell r="B1189" t="str">
            <v>MRT 2</v>
          </cell>
          <cell r="C1189" t="str">
            <v>Sub contractor-(including Advance)</v>
          </cell>
          <cell r="E1189">
            <v>724000</v>
          </cell>
          <cell r="F1189">
            <v>636000</v>
          </cell>
          <cell r="G1189">
            <v>595000</v>
          </cell>
          <cell r="H1189">
            <v>595000</v>
          </cell>
          <cell r="I1189">
            <v>595000</v>
          </cell>
          <cell r="J1189">
            <v>595000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</row>
        <row r="1190">
          <cell r="A1190" t="str">
            <v>Railways</v>
          </cell>
          <cell r="B1190" t="str">
            <v>MRT 2</v>
          </cell>
          <cell r="C1190" t="str">
            <v>Out side Machinery Hire</v>
          </cell>
          <cell r="E1190">
            <v>353000</v>
          </cell>
          <cell r="F1190">
            <v>353000</v>
          </cell>
          <cell r="G1190">
            <v>353000</v>
          </cell>
          <cell r="H1190">
            <v>353000</v>
          </cell>
          <cell r="I1190">
            <v>353000</v>
          </cell>
          <cell r="J1190">
            <v>353000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</row>
        <row r="1191">
          <cell r="A1191" t="str">
            <v>Railways</v>
          </cell>
          <cell r="B1191" t="str">
            <v>MRT 2</v>
          </cell>
          <cell r="C1191" t="str">
            <v>Diesel</v>
          </cell>
          <cell r="E1191">
            <v>150000</v>
          </cell>
          <cell r="F1191">
            <v>150000</v>
          </cell>
          <cell r="G1191">
            <v>150000</v>
          </cell>
          <cell r="H1191">
            <v>150000</v>
          </cell>
          <cell r="I1191">
            <v>150000</v>
          </cell>
          <cell r="J1191">
            <v>150000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</row>
        <row r="1192">
          <cell r="A1192" t="str">
            <v>Railways</v>
          </cell>
          <cell r="B1192" t="str">
            <v>MRT 2</v>
          </cell>
          <cell r="C1192" t="str">
            <v>JV Share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</row>
        <row r="1193">
          <cell r="A1193" t="str">
            <v>Railways</v>
          </cell>
          <cell r="B1193" t="str">
            <v>MRT 2</v>
          </cell>
          <cell r="C1193" t="str">
            <v>Plant Repairs &amp; Maintanance</v>
          </cell>
          <cell r="E1193">
            <v>20000</v>
          </cell>
          <cell r="F1193">
            <v>20000</v>
          </cell>
          <cell r="G1193">
            <v>20000</v>
          </cell>
          <cell r="H1193">
            <v>20000</v>
          </cell>
          <cell r="I1193">
            <v>20000</v>
          </cell>
          <cell r="J1193">
            <v>20000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</row>
        <row r="1194">
          <cell r="A1194" t="str">
            <v>Railways</v>
          </cell>
          <cell r="B1194" t="str">
            <v>MRT 2</v>
          </cell>
          <cell r="C1194" t="str">
            <v>VAT &amp; other Taxes</v>
          </cell>
          <cell r="E1194">
            <v>387560</v>
          </cell>
          <cell r="F1194">
            <v>304420</v>
          </cell>
          <cell r="G1194">
            <v>286100</v>
          </cell>
          <cell r="H1194">
            <v>286060</v>
          </cell>
          <cell r="I1194">
            <v>271860.00000000006</v>
          </cell>
          <cell r="J1194">
            <v>265060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</row>
        <row r="1195">
          <cell r="A1195" t="str">
            <v>Railways</v>
          </cell>
          <cell r="B1195" t="str">
            <v>MRT 2</v>
          </cell>
          <cell r="C1195" t="str">
            <v>Salaries</v>
          </cell>
          <cell r="E1195">
            <v>393000</v>
          </cell>
          <cell r="F1195">
            <v>393000</v>
          </cell>
          <cell r="G1195">
            <v>323000.00000000006</v>
          </cell>
          <cell r="H1195">
            <v>393000</v>
          </cell>
          <cell r="I1195">
            <v>493000</v>
          </cell>
          <cell r="J1195">
            <v>493000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</row>
        <row r="1196">
          <cell r="A1196" t="str">
            <v>Railways</v>
          </cell>
          <cell r="B1196" t="str">
            <v>MRT 2</v>
          </cell>
          <cell r="C1196" t="str">
            <v>Operating overhead</v>
          </cell>
          <cell r="E1196">
            <v>250000</v>
          </cell>
          <cell r="F1196">
            <v>250000</v>
          </cell>
          <cell r="G1196">
            <v>250000</v>
          </cell>
          <cell r="H1196">
            <v>250000</v>
          </cell>
          <cell r="I1196">
            <v>250000</v>
          </cell>
          <cell r="J1196">
            <v>250000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</row>
        <row r="1197">
          <cell r="A1197" t="str">
            <v>Railways</v>
          </cell>
          <cell r="B1197" t="str">
            <v>MRT 2</v>
          </cell>
          <cell r="C1197" t="str">
            <v>Other Direct Over Heads</v>
          </cell>
          <cell r="E1197">
            <v>41400</v>
          </cell>
          <cell r="F1197">
            <v>35600</v>
          </cell>
          <cell r="G1197">
            <v>57899.999999999993</v>
          </cell>
          <cell r="H1197">
            <v>48000</v>
          </cell>
          <cell r="I1197">
            <v>19000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</row>
        <row r="1198">
          <cell r="A1198" t="str">
            <v>Railways</v>
          </cell>
          <cell r="B1198" t="str">
            <v>MRT 1</v>
          </cell>
          <cell r="C1198" t="str">
            <v>Realisation against RA Bill</v>
          </cell>
          <cell r="E1198">
            <v>9887000</v>
          </cell>
          <cell r="F1198">
            <v>9340000</v>
          </cell>
          <cell r="G1198">
            <v>9384000</v>
          </cell>
          <cell r="H1198">
            <v>8996000</v>
          </cell>
          <cell r="I1198">
            <v>8596000</v>
          </cell>
          <cell r="J1198">
            <v>7462000</v>
          </cell>
          <cell r="K1198">
            <v>5334000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</row>
        <row r="1199">
          <cell r="A1199" t="str">
            <v>Railways</v>
          </cell>
          <cell r="B1199" t="str">
            <v>MRT 1</v>
          </cell>
          <cell r="C1199" t="str">
            <v>Realisitation of Mobilisation Advance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</row>
        <row r="1200">
          <cell r="A1200" t="str">
            <v>Railways</v>
          </cell>
          <cell r="B1200" t="str">
            <v>MRT 1</v>
          </cell>
          <cell r="C1200" t="str">
            <v xml:space="preserve"> - Retention money from client(incl TDS)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11400000</v>
          </cell>
          <cell r="P1200">
            <v>0</v>
          </cell>
        </row>
        <row r="1201">
          <cell r="A1201" t="str">
            <v>Railways</v>
          </cell>
          <cell r="B1201" t="str">
            <v>MRT 1</v>
          </cell>
          <cell r="C1201" t="str">
            <v>Other Receipts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</row>
        <row r="1202">
          <cell r="A1202" t="str">
            <v>Railways</v>
          </cell>
          <cell r="B1202" t="str">
            <v>MRT 1</v>
          </cell>
          <cell r="C1202" t="str">
            <v xml:space="preserve">Labour 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</row>
        <row r="1203">
          <cell r="A1203" t="str">
            <v>Railways</v>
          </cell>
          <cell r="B1203" t="str">
            <v>MRT 1</v>
          </cell>
          <cell r="C1203" t="str">
            <v>Payment Suppliers(including Adv)</v>
          </cell>
          <cell r="E1203">
            <v>7573999.9999999991</v>
          </cell>
          <cell r="F1203">
            <v>8194000</v>
          </cell>
          <cell r="G1203">
            <v>7315000.0000000009</v>
          </cell>
          <cell r="H1203">
            <v>6870999.9999999991</v>
          </cell>
          <cell r="I1203">
            <v>6377000</v>
          </cell>
          <cell r="J1203">
            <v>4805000</v>
          </cell>
          <cell r="K1203">
            <v>3068000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</row>
        <row r="1204">
          <cell r="A1204" t="str">
            <v>Railways</v>
          </cell>
          <cell r="B1204" t="str">
            <v>MRT 1</v>
          </cell>
          <cell r="C1204" t="str">
            <v>Sub contractor-(including Advance)</v>
          </cell>
          <cell r="E1204">
            <v>381000</v>
          </cell>
          <cell r="F1204">
            <v>381000</v>
          </cell>
          <cell r="G1204">
            <v>394000</v>
          </cell>
          <cell r="H1204">
            <v>394000</v>
          </cell>
          <cell r="I1204">
            <v>367000</v>
          </cell>
          <cell r="J1204">
            <v>289000</v>
          </cell>
          <cell r="K1204">
            <v>204999.99999999997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</row>
        <row r="1205">
          <cell r="A1205" t="str">
            <v>Railways</v>
          </cell>
          <cell r="B1205" t="str">
            <v>MRT 1</v>
          </cell>
          <cell r="C1205" t="str">
            <v>Out side Machinery Hire</v>
          </cell>
          <cell r="E1205">
            <v>353000</v>
          </cell>
          <cell r="F1205">
            <v>353000</v>
          </cell>
          <cell r="G1205">
            <v>353000</v>
          </cell>
          <cell r="H1205">
            <v>353000</v>
          </cell>
          <cell r="I1205">
            <v>353000</v>
          </cell>
          <cell r="J1205">
            <v>353000</v>
          </cell>
          <cell r="K1205">
            <v>353000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</row>
        <row r="1206">
          <cell r="A1206" t="str">
            <v>Railways</v>
          </cell>
          <cell r="B1206" t="str">
            <v>MRT 1</v>
          </cell>
          <cell r="C1206" t="str">
            <v>Diesel</v>
          </cell>
          <cell r="E1206">
            <v>150000</v>
          </cell>
          <cell r="F1206">
            <v>150000</v>
          </cell>
          <cell r="G1206">
            <v>150000</v>
          </cell>
          <cell r="H1206">
            <v>150000</v>
          </cell>
          <cell r="I1206">
            <v>150000</v>
          </cell>
          <cell r="J1206">
            <v>150000</v>
          </cell>
          <cell r="K1206">
            <v>150000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</row>
        <row r="1207">
          <cell r="A1207" t="str">
            <v>Railways</v>
          </cell>
          <cell r="B1207" t="str">
            <v>MRT 1</v>
          </cell>
          <cell r="C1207" t="str">
            <v>JV Share</v>
          </cell>
          <cell r="E1207">
            <v>319350.10000000003</v>
          </cell>
          <cell r="F1207">
            <v>301682.00000000006</v>
          </cell>
          <cell r="G1207">
            <v>303103.2</v>
          </cell>
          <cell r="H1207">
            <v>290570.80000000005</v>
          </cell>
          <cell r="I1207">
            <v>277650.80000000005</v>
          </cell>
          <cell r="J1207">
            <v>241022.6</v>
          </cell>
          <cell r="K1207">
            <v>172288.2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</row>
        <row r="1208">
          <cell r="A1208" t="str">
            <v>Railways</v>
          </cell>
          <cell r="B1208" t="str">
            <v>MRT 1</v>
          </cell>
          <cell r="C1208" t="str">
            <v>Plant Repairs &amp; Maintanance</v>
          </cell>
          <cell r="E1208">
            <v>90000</v>
          </cell>
          <cell r="F1208">
            <v>90000</v>
          </cell>
          <cell r="G1208">
            <v>90000</v>
          </cell>
          <cell r="H1208">
            <v>90000</v>
          </cell>
          <cell r="I1208">
            <v>90000</v>
          </cell>
          <cell r="J1208">
            <v>90000</v>
          </cell>
          <cell r="K1208">
            <v>90000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</row>
        <row r="1209">
          <cell r="A1209" t="str">
            <v>Railways</v>
          </cell>
          <cell r="B1209" t="str">
            <v>MRT 1</v>
          </cell>
          <cell r="C1209" t="str">
            <v>VAT &amp; other Taxes</v>
          </cell>
          <cell r="E1209">
            <v>197740</v>
          </cell>
          <cell r="F1209">
            <v>186800</v>
          </cell>
          <cell r="G1209">
            <v>187680</v>
          </cell>
          <cell r="H1209">
            <v>179920</v>
          </cell>
          <cell r="I1209">
            <v>171919.99999999997</v>
          </cell>
          <cell r="J1209">
            <v>149240.00000000003</v>
          </cell>
          <cell r="K1209">
            <v>106680.00000000001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</row>
        <row r="1210">
          <cell r="A1210" t="str">
            <v>Railways</v>
          </cell>
          <cell r="B1210" t="str">
            <v>MRT 1</v>
          </cell>
          <cell r="C1210" t="str">
            <v>Salaries</v>
          </cell>
          <cell r="E1210">
            <v>576000</v>
          </cell>
          <cell r="F1210">
            <v>576000</v>
          </cell>
          <cell r="G1210">
            <v>576000</v>
          </cell>
          <cell r="H1210">
            <v>576000</v>
          </cell>
          <cell r="I1210">
            <v>576000</v>
          </cell>
          <cell r="J1210">
            <v>576000</v>
          </cell>
          <cell r="K1210">
            <v>576000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</row>
        <row r="1211">
          <cell r="A1211" t="str">
            <v>Railways</v>
          </cell>
          <cell r="B1211" t="str">
            <v>MRT 1</v>
          </cell>
          <cell r="C1211" t="str">
            <v>Operating overhead</v>
          </cell>
          <cell r="E1211">
            <v>610000</v>
          </cell>
          <cell r="F1211">
            <v>610000</v>
          </cell>
          <cell r="G1211">
            <v>610000</v>
          </cell>
          <cell r="H1211">
            <v>610000</v>
          </cell>
          <cell r="I1211">
            <v>610000</v>
          </cell>
          <cell r="J1211">
            <v>610000</v>
          </cell>
          <cell r="K1211">
            <v>610000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</row>
        <row r="1212">
          <cell r="A1212" t="str">
            <v>Railways</v>
          </cell>
          <cell r="B1212" t="str">
            <v>MRT 1</v>
          </cell>
          <cell r="C1212" t="str">
            <v>Other Direct Over Heads</v>
          </cell>
          <cell r="E1212">
            <v>75000</v>
          </cell>
          <cell r="F1212">
            <v>75000</v>
          </cell>
          <cell r="G1212">
            <v>75000</v>
          </cell>
          <cell r="H1212">
            <v>75000</v>
          </cell>
          <cell r="I1212">
            <v>75000</v>
          </cell>
          <cell r="J1212">
            <v>75000</v>
          </cell>
          <cell r="K1212">
            <v>75000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</row>
        <row r="1213">
          <cell r="A1213" t="str">
            <v>Power</v>
          </cell>
          <cell r="B1213" t="str">
            <v>HO</v>
          </cell>
          <cell r="C1213" t="str">
            <v>Salaries</v>
          </cell>
          <cell r="E1213">
            <v>955350</v>
          </cell>
          <cell r="F1213">
            <v>955350</v>
          </cell>
          <cell r="G1213">
            <v>955350</v>
          </cell>
          <cell r="H1213">
            <v>955350</v>
          </cell>
          <cell r="I1213">
            <v>955350</v>
          </cell>
          <cell r="J1213">
            <v>955350</v>
          </cell>
          <cell r="K1213">
            <v>955350</v>
          </cell>
          <cell r="L1213">
            <v>955350</v>
          </cell>
          <cell r="M1213">
            <v>955350</v>
          </cell>
          <cell r="N1213">
            <v>955350</v>
          </cell>
          <cell r="O1213">
            <v>955350</v>
          </cell>
          <cell r="P1213">
            <v>955350</v>
          </cell>
        </row>
        <row r="1214">
          <cell r="A1214" t="str">
            <v>Power</v>
          </cell>
          <cell r="B1214" t="str">
            <v>HO</v>
          </cell>
          <cell r="C1214" t="str">
            <v>Operating overhead</v>
          </cell>
          <cell r="E1214">
            <v>1273800</v>
          </cell>
          <cell r="F1214">
            <v>1273800</v>
          </cell>
          <cell r="G1214">
            <v>1273800</v>
          </cell>
          <cell r="H1214">
            <v>1273800</v>
          </cell>
          <cell r="I1214">
            <v>1273800</v>
          </cell>
          <cell r="J1214">
            <v>1273800</v>
          </cell>
          <cell r="K1214">
            <v>1273800</v>
          </cell>
          <cell r="L1214">
            <v>1273800</v>
          </cell>
          <cell r="M1214">
            <v>1273800</v>
          </cell>
          <cell r="N1214">
            <v>1273800</v>
          </cell>
          <cell r="O1214">
            <v>1273800</v>
          </cell>
          <cell r="P1214">
            <v>1273800</v>
          </cell>
        </row>
        <row r="1215">
          <cell r="A1215" t="str">
            <v>Road</v>
          </cell>
          <cell r="B1215" t="str">
            <v>HO</v>
          </cell>
          <cell r="C1215" t="str">
            <v>Salaries</v>
          </cell>
          <cell r="E1215">
            <v>1700000</v>
          </cell>
          <cell r="F1215">
            <v>1689999.9999999998</v>
          </cell>
          <cell r="G1215">
            <v>1650000</v>
          </cell>
          <cell r="H1215">
            <v>1630000</v>
          </cell>
          <cell r="I1215">
            <v>1630000</v>
          </cell>
          <cell r="J1215">
            <v>1610000.0000000002</v>
          </cell>
          <cell r="K1215">
            <v>1610000.0000000002</v>
          </cell>
          <cell r="L1215">
            <v>1590000</v>
          </cell>
          <cell r="M1215">
            <v>1580000</v>
          </cell>
          <cell r="N1215">
            <v>1577000</v>
          </cell>
          <cell r="O1215">
            <v>1560000</v>
          </cell>
          <cell r="P1215">
            <v>1570000</v>
          </cell>
        </row>
        <row r="1216">
          <cell r="A1216" t="str">
            <v>Road</v>
          </cell>
          <cell r="B1216" t="str">
            <v>HO</v>
          </cell>
          <cell r="C1216" t="str">
            <v>Operating overhead</v>
          </cell>
          <cell r="E1216">
            <v>125000</v>
          </cell>
          <cell r="F1216">
            <v>125000</v>
          </cell>
          <cell r="G1216">
            <v>110000.00000000001</v>
          </cell>
          <cell r="H1216">
            <v>130000</v>
          </cell>
          <cell r="I1216">
            <v>120000</v>
          </cell>
          <cell r="J1216">
            <v>100000</v>
          </cell>
          <cell r="K1216">
            <v>110000.00000000001</v>
          </cell>
          <cell r="L1216">
            <v>95000</v>
          </cell>
          <cell r="M1216">
            <v>90000</v>
          </cell>
          <cell r="N1216">
            <v>88000</v>
          </cell>
          <cell r="O1216">
            <v>77000</v>
          </cell>
          <cell r="P1216">
            <v>80000</v>
          </cell>
        </row>
      </sheetData>
      <sheetData sheetId="15">
        <row r="2">
          <cell r="A2" t="str">
            <v>Road</v>
          </cell>
          <cell r="B2" t="str">
            <v>AS17</v>
          </cell>
          <cell r="C2" t="str">
            <v>Administrative Expenses</v>
          </cell>
          <cell r="E2" t="str">
            <v>Apr</v>
          </cell>
          <cell r="F2">
            <v>1853</v>
          </cell>
        </row>
        <row r="3">
          <cell r="A3" t="str">
            <v>Road</v>
          </cell>
          <cell r="B3" t="str">
            <v>AS17</v>
          </cell>
          <cell r="C3" t="str">
            <v>Business Development</v>
          </cell>
          <cell r="E3" t="str">
            <v>Apr</v>
          </cell>
          <cell r="F3">
            <v>255</v>
          </cell>
        </row>
        <row r="4">
          <cell r="A4" t="str">
            <v>Road</v>
          </cell>
          <cell r="B4" t="str">
            <v>AS17</v>
          </cell>
          <cell r="C4" t="str">
            <v>Communication Expenses</v>
          </cell>
          <cell r="E4" t="str">
            <v>Apr</v>
          </cell>
          <cell r="F4">
            <v>1173</v>
          </cell>
        </row>
        <row r="5">
          <cell r="A5" t="str">
            <v>Road</v>
          </cell>
          <cell r="B5" t="str">
            <v>AS17</v>
          </cell>
          <cell r="C5" t="str">
            <v>Travel Expenses</v>
          </cell>
          <cell r="E5" t="str">
            <v>Apr</v>
          </cell>
          <cell r="F5">
            <v>323</v>
          </cell>
        </row>
        <row r="6">
          <cell r="A6" t="str">
            <v>Road</v>
          </cell>
          <cell r="B6" t="str">
            <v>AS17</v>
          </cell>
          <cell r="C6" t="str">
            <v>Financial Expenses</v>
          </cell>
          <cell r="E6" t="str">
            <v>Apr</v>
          </cell>
          <cell r="F6">
            <v>340</v>
          </cell>
        </row>
        <row r="7">
          <cell r="A7" t="str">
            <v>Road</v>
          </cell>
          <cell r="B7" t="str">
            <v>AS17</v>
          </cell>
          <cell r="C7" t="str">
            <v>Depreciation</v>
          </cell>
          <cell r="E7" t="str">
            <v>Apr</v>
          </cell>
          <cell r="F7">
            <v>177.39</v>
          </cell>
        </row>
        <row r="8">
          <cell r="A8" t="str">
            <v>Road</v>
          </cell>
          <cell r="B8" t="str">
            <v>AS17</v>
          </cell>
          <cell r="C8" t="str">
            <v>Interest</v>
          </cell>
          <cell r="E8" t="str">
            <v>Apr</v>
          </cell>
          <cell r="F8">
            <v>17</v>
          </cell>
        </row>
        <row r="9">
          <cell r="A9" t="str">
            <v>Road</v>
          </cell>
          <cell r="B9" t="str">
            <v>AS17</v>
          </cell>
          <cell r="C9" t="str">
            <v>Other Income</v>
          </cell>
          <cell r="E9" t="str">
            <v>Apr</v>
          </cell>
          <cell r="F9">
            <v>238</v>
          </cell>
        </row>
        <row r="10">
          <cell r="A10" t="str">
            <v>Road</v>
          </cell>
          <cell r="B10" t="str">
            <v>AS17</v>
          </cell>
          <cell r="C10" t="str">
            <v>Administrative Expenses</v>
          </cell>
          <cell r="E10" t="str">
            <v>May</v>
          </cell>
          <cell r="F10">
            <v>1853</v>
          </cell>
        </row>
        <row r="11">
          <cell r="A11" t="str">
            <v>Road</v>
          </cell>
          <cell r="B11" t="str">
            <v>AS17</v>
          </cell>
          <cell r="C11" t="str">
            <v>Business Development</v>
          </cell>
          <cell r="E11" t="str">
            <v>May</v>
          </cell>
          <cell r="F11">
            <v>255</v>
          </cell>
        </row>
        <row r="12">
          <cell r="A12" t="str">
            <v>Road</v>
          </cell>
          <cell r="B12" t="str">
            <v>AS17</v>
          </cell>
          <cell r="C12" t="str">
            <v>Communication Expenses</v>
          </cell>
          <cell r="E12" t="str">
            <v>May</v>
          </cell>
          <cell r="F12">
            <v>1173</v>
          </cell>
        </row>
        <row r="13">
          <cell r="A13" t="str">
            <v>Road</v>
          </cell>
          <cell r="B13" t="str">
            <v>AS17</v>
          </cell>
          <cell r="C13" t="str">
            <v>Travel Expenses</v>
          </cell>
          <cell r="E13" t="str">
            <v>May</v>
          </cell>
          <cell r="F13">
            <v>323</v>
          </cell>
        </row>
        <row r="14">
          <cell r="A14" t="str">
            <v>Road</v>
          </cell>
          <cell r="B14" t="str">
            <v>AS17</v>
          </cell>
          <cell r="C14" t="str">
            <v>Financial Expenses</v>
          </cell>
          <cell r="E14" t="str">
            <v>May</v>
          </cell>
          <cell r="F14">
            <v>340</v>
          </cell>
        </row>
        <row r="15">
          <cell r="A15" t="str">
            <v>Road</v>
          </cell>
          <cell r="B15" t="str">
            <v>AS17</v>
          </cell>
          <cell r="C15" t="str">
            <v>Depreciation</v>
          </cell>
          <cell r="E15" t="str">
            <v>May</v>
          </cell>
          <cell r="F15">
            <v>179.14999999999998</v>
          </cell>
        </row>
        <row r="16">
          <cell r="A16" t="str">
            <v>Road</v>
          </cell>
          <cell r="B16" t="str">
            <v>AS17</v>
          </cell>
          <cell r="C16" t="str">
            <v>Interest</v>
          </cell>
          <cell r="E16" t="str">
            <v>May</v>
          </cell>
          <cell r="F16">
            <v>17</v>
          </cell>
        </row>
        <row r="17">
          <cell r="A17" t="str">
            <v>Road</v>
          </cell>
          <cell r="B17" t="str">
            <v>AS17</v>
          </cell>
          <cell r="C17" t="str">
            <v>Other Income</v>
          </cell>
          <cell r="E17" t="str">
            <v>May</v>
          </cell>
          <cell r="F17">
            <v>238</v>
          </cell>
        </row>
        <row r="18">
          <cell r="A18" t="str">
            <v>Road</v>
          </cell>
          <cell r="B18" t="str">
            <v>AS17</v>
          </cell>
          <cell r="C18" t="str">
            <v>Administrative Expenses</v>
          </cell>
          <cell r="E18" t="str">
            <v>June</v>
          </cell>
          <cell r="F18">
            <v>1853</v>
          </cell>
        </row>
        <row r="19">
          <cell r="A19" t="str">
            <v>Road</v>
          </cell>
          <cell r="B19" t="str">
            <v>AS17</v>
          </cell>
          <cell r="C19" t="str">
            <v>Business Development</v>
          </cell>
          <cell r="E19" t="str">
            <v>June</v>
          </cell>
          <cell r="F19">
            <v>255</v>
          </cell>
        </row>
        <row r="20">
          <cell r="A20" t="str">
            <v>Road</v>
          </cell>
          <cell r="B20" t="str">
            <v>AS17</v>
          </cell>
          <cell r="C20" t="str">
            <v>Communication Expenses</v>
          </cell>
          <cell r="E20" t="str">
            <v>June</v>
          </cell>
          <cell r="F20">
            <v>1173</v>
          </cell>
        </row>
        <row r="21">
          <cell r="A21" t="str">
            <v>Road</v>
          </cell>
          <cell r="B21" t="str">
            <v>AS17</v>
          </cell>
          <cell r="C21" t="str">
            <v>Travel Expenses</v>
          </cell>
          <cell r="E21" t="str">
            <v>June</v>
          </cell>
          <cell r="F21">
            <v>323</v>
          </cell>
        </row>
        <row r="22">
          <cell r="A22" t="str">
            <v>Road</v>
          </cell>
          <cell r="B22" t="str">
            <v>AS17</v>
          </cell>
          <cell r="C22" t="str">
            <v>Financial Expenses</v>
          </cell>
          <cell r="E22" t="str">
            <v>June</v>
          </cell>
          <cell r="F22">
            <v>340</v>
          </cell>
        </row>
        <row r="23">
          <cell r="A23" t="str">
            <v>Road</v>
          </cell>
          <cell r="B23" t="str">
            <v>AS17</v>
          </cell>
          <cell r="C23" t="str">
            <v>Depreciation</v>
          </cell>
          <cell r="E23" t="str">
            <v>June</v>
          </cell>
          <cell r="F23">
            <v>180.91</v>
          </cell>
        </row>
        <row r="24">
          <cell r="A24" t="str">
            <v>Road</v>
          </cell>
          <cell r="B24" t="str">
            <v>AS17</v>
          </cell>
          <cell r="C24" t="str">
            <v>Interest</v>
          </cell>
          <cell r="E24" t="str">
            <v>June</v>
          </cell>
          <cell r="F24">
            <v>17</v>
          </cell>
        </row>
        <row r="25">
          <cell r="A25" t="str">
            <v>Road</v>
          </cell>
          <cell r="B25" t="str">
            <v>AS17</v>
          </cell>
          <cell r="C25" t="str">
            <v>Other Income</v>
          </cell>
          <cell r="E25" t="str">
            <v>June</v>
          </cell>
          <cell r="F25">
            <v>238</v>
          </cell>
        </row>
        <row r="26">
          <cell r="A26" t="str">
            <v>Road</v>
          </cell>
          <cell r="B26" t="str">
            <v>AS17</v>
          </cell>
          <cell r="C26" t="str">
            <v>Administrative Expenses</v>
          </cell>
          <cell r="E26" t="str">
            <v>July</v>
          </cell>
          <cell r="F26">
            <v>1853</v>
          </cell>
        </row>
        <row r="27">
          <cell r="A27" t="str">
            <v>Road</v>
          </cell>
          <cell r="B27" t="str">
            <v>AS17</v>
          </cell>
          <cell r="C27" t="str">
            <v>Business Development</v>
          </cell>
          <cell r="E27" t="str">
            <v>July</v>
          </cell>
          <cell r="F27">
            <v>255</v>
          </cell>
        </row>
        <row r="28">
          <cell r="A28" t="str">
            <v>Road</v>
          </cell>
          <cell r="B28" t="str">
            <v>AS17</v>
          </cell>
          <cell r="C28" t="str">
            <v>Communication Expenses</v>
          </cell>
          <cell r="E28" t="str">
            <v>July</v>
          </cell>
          <cell r="F28">
            <v>1173</v>
          </cell>
        </row>
        <row r="29">
          <cell r="A29" t="str">
            <v>Road</v>
          </cell>
          <cell r="B29" t="str">
            <v>AS17</v>
          </cell>
          <cell r="C29" t="str">
            <v>Travel Expenses</v>
          </cell>
          <cell r="E29" t="str">
            <v>July</v>
          </cell>
          <cell r="F29">
            <v>323</v>
          </cell>
        </row>
        <row r="30">
          <cell r="A30" t="str">
            <v>Road</v>
          </cell>
          <cell r="B30" t="str">
            <v>AS17</v>
          </cell>
          <cell r="C30" t="str">
            <v>Financial Expenses</v>
          </cell>
          <cell r="E30" t="str">
            <v>July</v>
          </cell>
          <cell r="F30">
            <v>340</v>
          </cell>
        </row>
        <row r="31">
          <cell r="A31" t="str">
            <v>Road</v>
          </cell>
          <cell r="B31" t="str">
            <v>AS17</v>
          </cell>
          <cell r="C31" t="str">
            <v>Depreciation</v>
          </cell>
          <cell r="E31" t="str">
            <v>July</v>
          </cell>
          <cell r="F31">
            <v>182.67</v>
          </cell>
        </row>
        <row r="32">
          <cell r="A32" t="str">
            <v>Road</v>
          </cell>
          <cell r="B32" t="str">
            <v>AS17</v>
          </cell>
          <cell r="C32" t="str">
            <v>Interest</v>
          </cell>
          <cell r="E32" t="str">
            <v>July</v>
          </cell>
          <cell r="F32">
            <v>17</v>
          </cell>
        </row>
        <row r="33">
          <cell r="A33" t="str">
            <v>Road</v>
          </cell>
          <cell r="B33" t="str">
            <v>AS17</v>
          </cell>
          <cell r="C33" t="str">
            <v>Other Income</v>
          </cell>
          <cell r="E33" t="str">
            <v>July</v>
          </cell>
          <cell r="F33">
            <v>238</v>
          </cell>
        </row>
        <row r="34">
          <cell r="A34" t="str">
            <v>Road</v>
          </cell>
          <cell r="B34" t="str">
            <v>AS17</v>
          </cell>
          <cell r="C34" t="str">
            <v>Administrative Expenses</v>
          </cell>
          <cell r="E34" t="str">
            <v>Aug</v>
          </cell>
          <cell r="F34">
            <v>1853</v>
          </cell>
        </row>
        <row r="35">
          <cell r="A35" t="str">
            <v>Road</v>
          </cell>
          <cell r="B35" t="str">
            <v>AS17</v>
          </cell>
          <cell r="C35" t="str">
            <v>Business Development</v>
          </cell>
          <cell r="E35" t="str">
            <v>Aug</v>
          </cell>
          <cell r="F35">
            <v>255</v>
          </cell>
        </row>
        <row r="36">
          <cell r="A36" t="str">
            <v>Road</v>
          </cell>
          <cell r="B36" t="str">
            <v>AS17</v>
          </cell>
          <cell r="C36" t="str">
            <v>Communication Expenses</v>
          </cell>
          <cell r="E36" t="str">
            <v>Aug</v>
          </cell>
          <cell r="F36">
            <v>1173</v>
          </cell>
        </row>
        <row r="37">
          <cell r="A37" t="str">
            <v>Road</v>
          </cell>
          <cell r="B37" t="str">
            <v>AS17</v>
          </cell>
          <cell r="C37" t="str">
            <v>Travel Expenses</v>
          </cell>
          <cell r="E37" t="str">
            <v>Aug</v>
          </cell>
          <cell r="F37">
            <v>323</v>
          </cell>
        </row>
        <row r="38">
          <cell r="A38" t="str">
            <v>Road</v>
          </cell>
          <cell r="B38" t="str">
            <v>AS17</v>
          </cell>
          <cell r="C38" t="str">
            <v>Financial Expenses</v>
          </cell>
          <cell r="E38" t="str">
            <v>Aug</v>
          </cell>
          <cell r="F38">
            <v>340</v>
          </cell>
        </row>
        <row r="39">
          <cell r="A39" t="str">
            <v>Road</v>
          </cell>
          <cell r="B39" t="str">
            <v>AS17</v>
          </cell>
          <cell r="C39" t="str">
            <v>Depreciation</v>
          </cell>
          <cell r="E39" t="str">
            <v>Aug</v>
          </cell>
          <cell r="F39">
            <v>184.42</v>
          </cell>
        </row>
        <row r="40">
          <cell r="A40" t="str">
            <v>Road</v>
          </cell>
          <cell r="B40" t="str">
            <v>AS17</v>
          </cell>
          <cell r="C40" t="str">
            <v>Interest</v>
          </cell>
          <cell r="E40" t="str">
            <v>Aug</v>
          </cell>
          <cell r="F40">
            <v>17</v>
          </cell>
        </row>
        <row r="41">
          <cell r="A41" t="str">
            <v>Road</v>
          </cell>
          <cell r="B41" t="str">
            <v>AS17</v>
          </cell>
          <cell r="C41" t="str">
            <v>Other Income</v>
          </cell>
          <cell r="E41" t="str">
            <v>Aug</v>
          </cell>
          <cell r="F41">
            <v>238</v>
          </cell>
        </row>
        <row r="42">
          <cell r="A42" t="str">
            <v>Road</v>
          </cell>
          <cell r="B42" t="str">
            <v>AS17</v>
          </cell>
          <cell r="C42" t="str">
            <v>Administrative Expenses</v>
          </cell>
          <cell r="E42" t="str">
            <v>Sep</v>
          </cell>
          <cell r="F42">
            <v>1853</v>
          </cell>
        </row>
        <row r="43">
          <cell r="A43" t="str">
            <v>Road</v>
          </cell>
          <cell r="B43" t="str">
            <v>AS17</v>
          </cell>
          <cell r="C43" t="str">
            <v>Business Development</v>
          </cell>
          <cell r="E43" t="str">
            <v>Sep</v>
          </cell>
          <cell r="F43">
            <v>255</v>
          </cell>
        </row>
        <row r="44">
          <cell r="A44" t="str">
            <v>Road</v>
          </cell>
          <cell r="B44" t="str">
            <v>AS17</v>
          </cell>
          <cell r="C44" t="str">
            <v>Communication Expenses</v>
          </cell>
          <cell r="E44" t="str">
            <v>Sep</v>
          </cell>
          <cell r="F44">
            <v>1173</v>
          </cell>
        </row>
        <row r="45">
          <cell r="A45" t="str">
            <v>Road</v>
          </cell>
          <cell r="B45" t="str">
            <v>AS17</v>
          </cell>
          <cell r="C45" t="str">
            <v>Travel Expenses</v>
          </cell>
          <cell r="E45" t="str">
            <v>Sep</v>
          </cell>
          <cell r="F45">
            <v>323</v>
          </cell>
        </row>
        <row r="46">
          <cell r="A46" t="str">
            <v>Road</v>
          </cell>
          <cell r="B46" t="str">
            <v>AS17</v>
          </cell>
          <cell r="C46" t="str">
            <v>Financial Expenses</v>
          </cell>
          <cell r="E46" t="str">
            <v>Sep</v>
          </cell>
          <cell r="F46">
            <v>340</v>
          </cell>
        </row>
        <row r="47">
          <cell r="A47" t="str">
            <v>Road</v>
          </cell>
          <cell r="B47" t="str">
            <v>AS17</v>
          </cell>
          <cell r="C47" t="str">
            <v>Depreciation</v>
          </cell>
          <cell r="E47" t="str">
            <v>Sep</v>
          </cell>
          <cell r="F47">
            <v>186.17</v>
          </cell>
        </row>
        <row r="48">
          <cell r="A48" t="str">
            <v>Road</v>
          </cell>
          <cell r="B48" t="str">
            <v>AS17</v>
          </cell>
          <cell r="C48" t="str">
            <v>Interest</v>
          </cell>
          <cell r="E48" t="str">
            <v>Sep</v>
          </cell>
          <cell r="F48">
            <v>17</v>
          </cell>
        </row>
        <row r="49">
          <cell r="A49" t="str">
            <v>Road</v>
          </cell>
          <cell r="B49" t="str">
            <v>AS17</v>
          </cell>
          <cell r="C49" t="str">
            <v>Other Income</v>
          </cell>
          <cell r="E49" t="str">
            <v>Sep</v>
          </cell>
          <cell r="F49">
            <v>238</v>
          </cell>
        </row>
        <row r="50">
          <cell r="A50" t="str">
            <v>Road</v>
          </cell>
          <cell r="B50" t="str">
            <v>AS17</v>
          </cell>
          <cell r="C50" t="str">
            <v>Administrative Expenses</v>
          </cell>
          <cell r="E50" t="str">
            <v>Oct</v>
          </cell>
          <cell r="F50">
            <v>1853</v>
          </cell>
        </row>
        <row r="51">
          <cell r="A51" t="str">
            <v>Road</v>
          </cell>
          <cell r="B51" t="str">
            <v>AS17</v>
          </cell>
          <cell r="C51" t="str">
            <v>Business Development</v>
          </cell>
          <cell r="E51" t="str">
            <v>Oct</v>
          </cell>
          <cell r="F51">
            <v>255</v>
          </cell>
        </row>
        <row r="52">
          <cell r="A52" t="str">
            <v>Road</v>
          </cell>
          <cell r="B52" t="str">
            <v>AS17</v>
          </cell>
          <cell r="C52" t="str">
            <v>Communication Expenses</v>
          </cell>
          <cell r="E52" t="str">
            <v>Oct</v>
          </cell>
          <cell r="F52">
            <v>1173</v>
          </cell>
        </row>
        <row r="53">
          <cell r="A53" t="str">
            <v>Road</v>
          </cell>
          <cell r="B53" t="str">
            <v>AS17</v>
          </cell>
          <cell r="C53" t="str">
            <v>Travel Expenses</v>
          </cell>
          <cell r="E53" t="str">
            <v>Oct</v>
          </cell>
          <cell r="F53">
            <v>323</v>
          </cell>
        </row>
        <row r="54">
          <cell r="A54" t="str">
            <v>Road</v>
          </cell>
          <cell r="B54" t="str">
            <v>AS17</v>
          </cell>
          <cell r="C54" t="str">
            <v>Financial Expenses</v>
          </cell>
          <cell r="E54" t="str">
            <v>Oct</v>
          </cell>
          <cell r="F54">
            <v>340</v>
          </cell>
        </row>
        <row r="55">
          <cell r="A55" t="str">
            <v>Road</v>
          </cell>
          <cell r="B55" t="str">
            <v>AS17</v>
          </cell>
          <cell r="C55" t="str">
            <v>Depreciation</v>
          </cell>
          <cell r="E55" t="str">
            <v>Oct</v>
          </cell>
          <cell r="F55">
            <v>187.94</v>
          </cell>
        </row>
        <row r="56">
          <cell r="A56" t="str">
            <v>Road</v>
          </cell>
          <cell r="B56" t="str">
            <v>AS17</v>
          </cell>
          <cell r="C56" t="str">
            <v>Interest</v>
          </cell>
          <cell r="E56" t="str">
            <v>Oct</v>
          </cell>
          <cell r="F56">
            <v>17</v>
          </cell>
        </row>
        <row r="57">
          <cell r="A57" t="str">
            <v>Road</v>
          </cell>
          <cell r="B57" t="str">
            <v>AS17</v>
          </cell>
          <cell r="C57" t="str">
            <v>Other Income</v>
          </cell>
          <cell r="E57" t="str">
            <v>Oct</v>
          </cell>
          <cell r="F57">
            <v>238</v>
          </cell>
        </row>
        <row r="58">
          <cell r="A58" t="str">
            <v>Road</v>
          </cell>
          <cell r="B58" t="str">
            <v>AS17</v>
          </cell>
          <cell r="C58" t="str">
            <v>Administrative Expenses</v>
          </cell>
          <cell r="E58" t="str">
            <v>Nov</v>
          </cell>
          <cell r="F58">
            <v>1853</v>
          </cell>
        </row>
        <row r="59">
          <cell r="A59" t="str">
            <v>Road</v>
          </cell>
          <cell r="B59" t="str">
            <v>AS17</v>
          </cell>
          <cell r="C59" t="str">
            <v>Business Development</v>
          </cell>
          <cell r="E59" t="str">
            <v>Nov</v>
          </cell>
          <cell r="F59">
            <v>255</v>
          </cell>
        </row>
        <row r="60">
          <cell r="A60" t="str">
            <v>Road</v>
          </cell>
          <cell r="B60" t="str">
            <v>AS17</v>
          </cell>
          <cell r="C60" t="str">
            <v>Communication Expenses</v>
          </cell>
          <cell r="E60" t="str">
            <v>Nov</v>
          </cell>
          <cell r="F60">
            <v>1173</v>
          </cell>
        </row>
        <row r="61">
          <cell r="A61" t="str">
            <v>Road</v>
          </cell>
          <cell r="B61" t="str">
            <v>AS17</v>
          </cell>
          <cell r="C61" t="str">
            <v>Travel Expenses</v>
          </cell>
          <cell r="E61" t="str">
            <v>Nov</v>
          </cell>
          <cell r="F61">
            <v>323</v>
          </cell>
        </row>
        <row r="62">
          <cell r="A62" t="str">
            <v>Road</v>
          </cell>
          <cell r="B62" t="str">
            <v>AS17</v>
          </cell>
          <cell r="C62" t="str">
            <v>Financial Expenses</v>
          </cell>
          <cell r="E62" t="str">
            <v>Nov</v>
          </cell>
          <cell r="F62">
            <v>340</v>
          </cell>
        </row>
        <row r="63">
          <cell r="A63" t="str">
            <v>Road</v>
          </cell>
          <cell r="B63" t="str">
            <v>AS17</v>
          </cell>
          <cell r="C63" t="str">
            <v>Depreciation</v>
          </cell>
          <cell r="E63" t="str">
            <v>Nov</v>
          </cell>
          <cell r="F63">
            <v>189.69</v>
          </cell>
        </row>
        <row r="64">
          <cell r="A64" t="str">
            <v>Road</v>
          </cell>
          <cell r="B64" t="str">
            <v>AS17</v>
          </cell>
          <cell r="C64" t="str">
            <v>Interest</v>
          </cell>
          <cell r="E64" t="str">
            <v>Nov</v>
          </cell>
          <cell r="F64">
            <v>17</v>
          </cell>
        </row>
        <row r="65">
          <cell r="A65" t="str">
            <v>Road</v>
          </cell>
          <cell r="B65" t="str">
            <v>AS17</v>
          </cell>
          <cell r="C65" t="str">
            <v>Other Income</v>
          </cell>
          <cell r="E65" t="str">
            <v>Nov</v>
          </cell>
          <cell r="F65">
            <v>238</v>
          </cell>
        </row>
        <row r="66">
          <cell r="A66" t="str">
            <v>Road</v>
          </cell>
          <cell r="B66" t="str">
            <v>AS17</v>
          </cell>
          <cell r="C66" t="str">
            <v>Administrative Expenses</v>
          </cell>
          <cell r="E66" t="str">
            <v>Dec</v>
          </cell>
          <cell r="F66">
            <v>1853</v>
          </cell>
        </row>
        <row r="67">
          <cell r="A67" t="str">
            <v>Road</v>
          </cell>
          <cell r="B67" t="str">
            <v>AS17</v>
          </cell>
          <cell r="C67" t="str">
            <v>Business Development</v>
          </cell>
          <cell r="E67" t="str">
            <v>Dec</v>
          </cell>
          <cell r="F67">
            <v>255</v>
          </cell>
        </row>
        <row r="68">
          <cell r="A68" t="str">
            <v>Road</v>
          </cell>
          <cell r="B68" t="str">
            <v>AS17</v>
          </cell>
          <cell r="C68" t="str">
            <v>Communication Expenses</v>
          </cell>
          <cell r="E68" t="str">
            <v>Dec</v>
          </cell>
          <cell r="F68">
            <v>1173</v>
          </cell>
        </row>
        <row r="69">
          <cell r="A69" t="str">
            <v>Road</v>
          </cell>
          <cell r="B69" t="str">
            <v>AS17</v>
          </cell>
          <cell r="C69" t="str">
            <v>Travel Expenses</v>
          </cell>
          <cell r="E69" t="str">
            <v>Dec</v>
          </cell>
          <cell r="F69">
            <v>323</v>
          </cell>
        </row>
        <row r="70">
          <cell r="A70" t="str">
            <v>Road</v>
          </cell>
          <cell r="B70" t="str">
            <v>AS17</v>
          </cell>
          <cell r="C70" t="str">
            <v>Financial Expenses</v>
          </cell>
          <cell r="E70" t="str">
            <v>Dec</v>
          </cell>
          <cell r="F70">
            <v>340</v>
          </cell>
        </row>
        <row r="71">
          <cell r="A71" t="str">
            <v>Road</v>
          </cell>
          <cell r="B71" t="str">
            <v>AS17</v>
          </cell>
          <cell r="C71" t="str">
            <v>Depreciation</v>
          </cell>
          <cell r="E71" t="str">
            <v>Dec</v>
          </cell>
          <cell r="F71">
            <v>191.45</v>
          </cell>
        </row>
        <row r="72">
          <cell r="A72" t="str">
            <v>Road</v>
          </cell>
          <cell r="B72" t="str">
            <v>AS17</v>
          </cell>
          <cell r="C72" t="str">
            <v>Interest</v>
          </cell>
          <cell r="E72" t="str">
            <v>Dec</v>
          </cell>
          <cell r="F72">
            <v>17</v>
          </cell>
        </row>
        <row r="73">
          <cell r="A73" t="str">
            <v>Road</v>
          </cell>
          <cell r="B73" t="str">
            <v>AS17</v>
          </cell>
          <cell r="C73" t="str">
            <v>Other Income</v>
          </cell>
          <cell r="E73" t="str">
            <v>Dec</v>
          </cell>
          <cell r="F73">
            <v>238</v>
          </cell>
        </row>
        <row r="74">
          <cell r="A74" t="str">
            <v>Road</v>
          </cell>
          <cell r="B74" t="str">
            <v>AS17</v>
          </cell>
          <cell r="C74" t="str">
            <v>Administrative Expenses</v>
          </cell>
          <cell r="E74" t="str">
            <v>Jan</v>
          </cell>
          <cell r="F74">
            <v>1853</v>
          </cell>
        </row>
        <row r="75">
          <cell r="A75" t="str">
            <v>Road</v>
          </cell>
          <cell r="B75" t="str">
            <v>AS17</v>
          </cell>
          <cell r="C75" t="str">
            <v>Business Development</v>
          </cell>
          <cell r="E75" t="str">
            <v>Jan</v>
          </cell>
          <cell r="F75">
            <v>255</v>
          </cell>
        </row>
        <row r="76">
          <cell r="A76" t="str">
            <v>Road</v>
          </cell>
          <cell r="B76" t="str">
            <v>AS17</v>
          </cell>
          <cell r="C76" t="str">
            <v>Communication Expenses</v>
          </cell>
          <cell r="E76" t="str">
            <v>Jan</v>
          </cell>
          <cell r="F76">
            <v>1173</v>
          </cell>
        </row>
        <row r="77">
          <cell r="A77" t="str">
            <v>Road</v>
          </cell>
          <cell r="B77" t="str">
            <v>AS17</v>
          </cell>
          <cell r="C77" t="str">
            <v>Travel Expenses</v>
          </cell>
          <cell r="E77" t="str">
            <v>Jan</v>
          </cell>
          <cell r="F77">
            <v>323</v>
          </cell>
        </row>
        <row r="78">
          <cell r="A78" t="str">
            <v>Road</v>
          </cell>
          <cell r="B78" t="str">
            <v>AS17</v>
          </cell>
          <cell r="C78" t="str">
            <v>Financial Expenses</v>
          </cell>
          <cell r="E78" t="str">
            <v>Jan</v>
          </cell>
          <cell r="F78">
            <v>340</v>
          </cell>
        </row>
        <row r="79">
          <cell r="A79" t="str">
            <v>Road</v>
          </cell>
          <cell r="B79" t="str">
            <v>AS17</v>
          </cell>
          <cell r="C79" t="str">
            <v>Depreciation</v>
          </cell>
          <cell r="E79" t="str">
            <v>Jan</v>
          </cell>
          <cell r="F79">
            <v>193.2</v>
          </cell>
        </row>
        <row r="80">
          <cell r="A80" t="str">
            <v>Road</v>
          </cell>
          <cell r="B80" t="str">
            <v>AS17</v>
          </cell>
          <cell r="C80" t="str">
            <v>Interest</v>
          </cell>
          <cell r="E80" t="str">
            <v>Jan</v>
          </cell>
          <cell r="F80">
            <v>17</v>
          </cell>
        </row>
        <row r="81">
          <cell r="A81" t="str">
            <v>Road</v>
          </cell>
          <cell r="B81" t="str">
            <v>AS17</v>
          </cell>
          <cell r="C81" t="str">
            <v>Other Income</v>
          </cell>
          <cell r="E81" t="str">
            <v>Jan</v>
          </cell>
          <cell r="F81">
            <v>238</v>
          </cell>
        </row>
        <row r="82">
          <cell r="A82" t="str">
            <v>Road</v>
          </cell>
          <cell r="B82" t="str">
            <v>AS17</v>
          </cell>
          <cell r="C82" t="str">
            <v>Administrative Expenses</v>
          </cell>
          <cell r="E82" t="str">
            <v>Feb</v>
          </cell>
          <cell r="F82">
            <v>1853</v>
          </cell>
        </row>
        <row r="83">
          <cell r="A83" t="str">
            <v>Road</v>
          </cell>
          <cell r="B83" t="str">
            <v>AS17</v>
          </cell>
          <cell r="C83" t="str">
            <v>Business Development</v>
          </cell>
          <cell r="E83" t="str">
            <v>Feb</v>
          </cell>
          <cell r="F83">
            <v>255</v>
          </cell>
        </row>
        <row r="84">
          <cell r="A84" t="str">
            <v>Road</v>
          </cell>
          <cell r="B84" t="str">
            <v>AS17</v>
          </cell>
          <cell r="C84" t="str">
            <v>Communication Expenses</v>
          </cell>
          <cell r="E84" t="str">
            <v>Feb</v>
          </cell>
          <cell r="F84">
            <v>1173</v>
          </cell>
        </row>
        <row r="85">
          <cell r="A85" t="str">
            <v>Road</v>
          </cell>
          <cell r="B85" t="str">
            <v>AS17</v>
          </cell>
          <cell r="C85" t="str">
            <v>Travel Expenses</v>
          </cell>
          <cell r="E85" t="str">
            <v>Feb</v>
          </cell>
          <cell r="F85">
            <v>323</v>
          </cell>
        </row>
        <row r="86">
          <cell r="A86" t="str">
            <v>Road</v>
          </cell>
          <cell r="B86" t="str">
            <v>AS17</v>
          </cell>
          <cell r="C86" t="str">
            <v>Financial Expenses</v>
          </cell>
          <cell r="E86" t="str">
            <v>Feb</v>
          </cell>
          <cell r="F86">
            <v>340</v>
          </cell>
        </row>
        <row r="87">
          <cell r="A87" t="str">
            <v>Road</v>
          </cell>
          <cell r="B87" t="str">
            <v>AS17</v>
          </cell>
          <cell r="C87" t="str">
            <v>Depreciation</v>
          </cell>
          <cell r="E87" t="str">
            <v>Feb</v>
          </cell>
          <cell r="F87">
            <v>194.96</v>
          </cell>
        </row>
        <row r="88">
          <cell r="A88" t="str">
            <v>Road</v>
          </cell>
          <cell r="B88" t="str">
            <v>AS17</v>
          </cell>
          <cell r="C88" t="str">
            <v>Interest</v>
          </cell>
          <cell r="E88" t="str">
            <v>Feb</v>
          </cell>
          <cell r="F88">
            <v>17</v>
          </cell>
        </row>
        <row r="89">
          <cell r="A89" t="str">
            <v>Road</v>
          </cell>
          <cell r="B89" t="str">
            <v>AS17</v>
          </cell>
          <cell r="C89" t="str">
            <v>Other Income</v>
          </cell>
          <cell r="E89" t="str">
            <v>Feb</v>
          </cell>
          <cell r="F89">
            <v>238</v>
          </cell>
        </row>
        <row r="90">
          <cell r="A90" t="str">
            <v>Road</v>
          </cell>
          <cell r="B90" t="str">
            <v>AS17</v>
          </cell>
          <cell r="C90" t="str">
            <v>Administrative Expenses</v>
          </cell>
          <cell r="E90" t="str">
            <v>Mar</v>
          </cell>
          <cell r="F90">
            <v>1853</v>
          </cell>
        </row>
        <row r="91">
          <cell r="A91" t="str">
            <v>Road</v>
          </cell>
          <cell r="B91" t="str">
            <v>AS17</v>
          </cell>
          <cell r="C91" t="str">
            <v>Business Development</v>
          </cell>
          <cell r="E91" t="str">
            <v>Mar</v>
          </cell>
          <cell r="F91">
            <v>255</v>
          </cell>
        </row>
        <row r="92">
          <cell r="A92" t="str">
            <v>Road</v>
          </cell>
          <cell r="B92" t="str">
            <v>AS17</v>
          </cell>
          <cell r="C92" t="str">
            <v>Communication Expenses</v>
          </cell>
          <cell r="E92" t="str">
            <v>Mar</v>
          </cell>
          <cell r="F92">
            <v>1173</v>
          </cell>
        </row>
        <row r="93">
          <cell r="A93" t="str">
            <v>Road</v>
          </cell>
          <cell r="B93" t="str">
            <v>AS17</v>
          </cell>
          <cell r="C93" t="str">
            <v>Travel Expenses</v>
          </cell>
          <cell r="E93" t="str">
            <v>Mar</v>
          </cell>
          <cell r="F93">
            <v>323</v>
          </cell>
        </row>
        <row r="94">
          <cell r="A94" t="str">
            <v>Road</v>
          </cell>
          <cell r="B94" t="str">
            <v>AS17</v>
          </cell>
          <cell r="C94" t="str">
            <v>Financial Expenses</v>
          </cell>
          <cell r="E94" t="str">
            <v>Mar</v>
          </cell>
          <cell r="F94">
            <v>340</v>
          </cell>
        </row>
        <row r="95">
          <cell r="A95" t="str">
            <v>Road</v>
          </cell>
          <cell r="B95" t="str">
            <v>AS17</v>
          </cell>
          <cell r="C95" t="str">
            <v>Depreciation</v>
          </cell>
          <cell r="E95" t="str">
            <v>Mar</v>
          </cell>
          <cell r="F95">
            <v>196.72</v>
          </cell>
        </row>
        <row r="96">
          <cell r="A96" t="str">
            <v>Road</v>
          </cell>
          <cell r="B96" t="str">
            <v>AS17</v>
          </cell>
          <cell r="C96" t="str">
            <v>Interest</v>
          </cell>
          <cell r="E96" t="str">
            <v>Mar</v>
          </cell>
          <cell r="F96">
            <v>17</v>
          </cell>
        </row>
        <row r="97">
          <cell r="A97" t="str">
            <v>Road</v>
          </cell>
          <cell r="B97" t="str">
            <v>AS17</v>
          </cell>
          <cell r="C97" t="str">
            <v>Other Income</v>
          </cell>
          <cell r="E97" t="str">
            <v>Mar</v>
          </cell>
          <cell r="F97">
            <v>238</v>
          </cell>
        </row>
        <row r="98">
          <cell r="A98" t="str">
            <v>Road</v>
          </cell>
          <cell r="B98" t="str">
            <v>AS19</v>
          </cell>
          <cell r="C98" t="str">
            <v>Administrative Expenses</v>
          </cell>
          <cell r="E98" t="str">
            <v>Apr</v>
          </cell>
          <cell r="F98">
            <v>2071</v>
          </cell>
        </row>
        <row r="99">
          <cell r="A99" t="str">
            <v>Road</v>
          </cell>
          <cell r="B99" t="str">
            <v>AS19</v>
          </cell>
          <cell r="C99" t="str">
            <v>Business Development</v>
          </cell>
          <cell r="E99" t="str">
            <v>Apr</v>
          </cell>
          <cell r="F99">
            <v>285</v>
          </cell>
        </row>
        <row r="100">
          <cell r="A100" t="str">
            <v>Road</v>
          </cell>
          <cell r="B100" t="str">
            <v>AS19</v>
          </cell>
          <cell r="C100" t="str">
            <v>Communication Expenses</v>
          </cell>
          <cell r="E100" t="str">
            <v>Apr</v>
          </cell>
          <cell r="F100">
            <v>1463</v>
          </cell>
        </row>
        <row r="101">
          <cell r="A101" t="str">
            <v>Road</v>
          </cell>
          <cell r="B101" t="str">
            <v>AS19</v>
          </cell>
          <cell r="C101" t="str">
            <v>Travel Expenses</v>
          </cell>
          <cell r="E101" t="str">
            <v>Apr</v>
          </cell>
          <cell r="F101">
            <v>361</v>
          </cell>
        </row>
        <row r="102">
          <cell r="A102" t="str">
            <v>Road</v>
          </cell>
          <cell r="B102" t="str">
            <v>AS19</v>
          </cell>
          <cell r="C102" t="str">
            <v>Financial Expenses</v>
          </cell>
          <cell r="E102" t="str">
            <v>Apr</v>
          </cell>
          <cell r="F102">
            <v>380</v>
          </cell>
        </row>
        <row r="103">
          <cell r="A103" t="str">
            <v>Road</v>
          </cell>
          <cell r="B103" t="str">
            <v>AS19</v>
          </cell>
          <cell r="C103" t="str">
            <v>Depreciation</v>
          </cell>
          <cell r="E103" t="str">
            <v>Apr</v>
          </cell>
          <cell r="F103">
            <v>198.26999999999998</v>
          </cell>
        </row>
        <row r="104">
          <cell r="A104" t="str">
            <v>Road</v>
          </cell>
          <cell r="B104" t="str">
            <v>AS19</v>
          </cell>
          <cell r="C104" t="str">
            <v>Interest</v>
          </cell>
          <cell r="E104" t="str">
            <v>Apr</v>
          </cell>
          <cell r="F104">
            <v>19</v>
          </cell>
        </row>
        <row r="105">
          <cell r="A105" t="str">
            <v>Road</v>
          </cell>
          <cell r="B105" t="str">
            <v>AS19</v>
          </cell>
          <cell r="C105" t="str">
            <v>Other Income</v>
          </cell>
          <cell r="E105" t="str">
            <v>Apr</v>
          </cell>
          <cell r="F105">
            <v>323</v>
          </cell>
        </row>
        <row r="106">
          <cell r="A106" t="str">
            <v>Road</v>
          </cell>
          <cell r="B106" t="str">
            <v>AS19</v>
          </cell>
          <cell r="C106" t="str">
            <v>Administrative Expenses</v>
          </cell>
          <cell r="E106" t="str">
            <v>May</v>
          </cell>
          <cell r="F106">
            <v>2071</v>
          </cell>
        </row>
        <row r="107">
          <cell r="A107" t="str">
            <v>Road</v>
          </cell>
          <cell r="B107" t="str">
            <v>AS19</v>
          </cell>
          <cell r="C107" t="str">
            <v>Business Development</v>
          </cell>
          <cell r="E107" t="str">
            <v>May</v>
          </cell>
          <cell r="F107">
            <v>285</v>
          </cell>
        </row>
        <row r="108">
          <cell r="A108" t="str">
            <v>Road</v>
          </cell>
          <cell r="B108" t="str">
            <v>AS19</v>
          </cell>
          <cell r="C108" t="str">
            <v>Communication Expenses</v>
          </cell>
          <cell r="E108" t="str">
            <v>May</v>
          </cell>
          <cell r="F108">
            <v>1463</v>
          </cell>
        </row>
        <row r="109">
          <cell r="A109" t="str">
            <v>Road</v>
          </cell>
          <cell r="B109" t="str">
            <v>AS19</v>
          </cell>
          <cell r="C109" t="str">
            <v>Travel Expenses</v>
          </cell>
          <cell r="E109" t="str">
            <v>May</v>
          </cell>
          <cell r="F109">
            <v>361</v>
          </cell>
        </row>
        <row r="110">
          <cell r="A110" t="str">
            <v>Road</v>
          </cell>
          <cell r="B110" t="str">
            <v>AS19</v>
          </cell>
          <cell r="C110" t="str">
            <v>Financial Expenses</v>
          </cell>
          <cell r="E110" t="str">
            <v>May</v>
          </cell>
          <cell r="F110">
            <v>380</v>
          </cell>
        </row>
        <row r="111">
          <cell r="A111" t="str">
            <v>Road</v>
          </cell>
          <cell r="B111" t="str">
            <v>AS19</v>
          </cell>
          <cell r="C111" t="str">
            <v>Depreciation</v>
          </cell>
          <cell r="E111" t="str">
            <v>May</v>
          </cell>
          <cell r="F111">
            <v>200.23</v>
          </cell>
        </row>
        <row r="112">
          <cell r="A112" t="str">
            <v>Road</v>
          </cell>
          <cell r="B112" t="str">
            <v>AS19</v>
          </cell>
          <cell r="C112" t="str">
            <v>Interest</v>
          </cell>
          <cell r="E112" t="str">
            <v>May</v>
          </cell>
          <cell r="F112">
            <v>19</v>
          </cell>
        </row>
        <row r="113">
          <cell r="A113" t="str">
            <v>Road</v>
          </cell>
          <cell r="B113" t="str">
            <v>AS19</v>
          </cell>
          <cell r="C113" t="str">
            <v>Other Income</v>
          </cell>
          <cell r="E113" t="str">
            <v>May</v>
          </cell>
          <cell r="F113">
            <v>323</v>
          </cell>
        </row>
        <row r="114">
          <cell r="A114" t="str">
            <v>Road</v>
          </cell>
          <cell r="B114" t="str">
            <v>AS19</v>
          </cell>
          <cell r="C114" t="str">
            <v>Administrative Expenses</v>
          </cell>
          <cell r="E114" t="str">
            <v>June</v>
          </cell>
          <cell r="F114">
            <v>2071</v>
          </cell>
        </row>
        <row r="115">
          <cell r="A115" t="str">
            <v>Road</v>
          </cell>
          <cell r="B115" t="str">
            <v>AS19</v>
          </cell>
          <cell r="C115" t="str">
            <v>Business Development</v>
          </cell>
          <cell r="E115" t="str">
            <v>June</v>
          </cell>
          <cell r="F115">
            <v>285</v>
          </cell>
        </row>
        <row r="116">
          <cell r="A116" t="str">
            <v>Road</v>
          </cell>
          <cell r="B116" t="str">
            <v>AS19</v>
          </cell>
          <cell r="C116" t="str">
            <v>Communication Expenses</v>
          </cell>
          <cell r="E116" t="str">
            <v>June</v>
          </cell>
          <cell r="F116">
            <v>1463</v>
          </cell>
        </row>
        <row r="117">
          <cell r="A117" t="str">
            <v>Road</v>
          </cell>
          <cell r="B117" t="str">
            <v>AS19</v>
          </cell>
          <cell r="C117" t="str">
            <v>Travel Expenses</v>
          </cell>
          <cell r="E117" t="str">
            <v>June</v>
          </cell>
          <cell r="F117">
            <v>361</v>
          </cell>
        </row>
        <row r="118">
          <cell r="A118" t="str">
            <v>Road</v>
          </cell>
          <cell r="B118" t="str">
            <v>AS19</v>
          </cell>
          <cell r="C118" t="str">
            <v>Financial Expenses</v>
          </cell>
          <cell r="E118" t="str">
            <v>June</v>
          </cell>
          <cell r="F118">
            <v>380</v>
          </cell>
        </row>
        <row r="119">
          <cell r="A119" t="str">
            <v>Road</v>
          </cell>
          <cell r="B119" t="str">
            <v>AS19</v>
          </cell>
          <cell r="C119" t="str">
            <v>Depreciation</v>
          </cell>
          <cell r="E119" t="str">
            <v>June</v>
          </cell>
          <cell r="F119">
            <v>202.19</v>
          </cell>
        </row>
        <row r="120">
          <cell r="A120" t="str">
            <v>Road</v>
          </cell>
          <cell r="B120" t="str">
            <v>AS19</v>
          </cell>
          <cell r="C120" t="str">
            <v>Interest</v>
          </cell>
          <cell r="E120" t="str">
            <v>June</v>
          </cell>
          <cell r="F120">
            <v>19</v>
          </cell>
        </row>
        <row r="121">
          <cell r="A121" t="str">
            <v>Road</v>
          </cell>
          <cell r="B121" t="str">
            <v>AS19</v>
          </cell>
          <cell r="C121" t="str">
            <v>Other Income</v>
          </cell>
          <cell r="E121" t="str">
            <v>June</v>
          </cell>
          <cell r="F121">
            <v>323</v>
          </cell>
        </row>
        <row r="122">
          <cell r="A122" t="str">
            <v>Road</v>
          </cell>
          <cell r="B122" t="str">
            <v>AS19</v>
          </cell>
          <cell r="C122" t="str">
            <v>Administrative Expenses</v>
          </cell>
          <cell r="E122" t="str">
            <v>July</v>
          </cell>
          <cell r="F122">
            <v>2071</v>
          </cell>
        </row>
        <row r="123">
          <cell r="A123" t="str">
            <v>Road</v>
          </cell>
          <cell r="B123" t="str">
            <v>AS19</v>
          </cell>
          <cell r="C123" t="str">
            <v>Business Development</v>
          </cell>
          <cell r="E123" t="str">
            <v>July</v>
          </cell>
          <cell r="F123">
            <v>285</v>
          </cell>
        </row>
        <row r="124">
          <cell r="A124" t="str">
            <v>Road</v>
          </cell>
          <cell r="B124" t="str">
            <v>AS19</v>
          </cell>
          <cell r="C124" t="str">
            <v>Communication Expenses</v>
          </cell>
          <cell r="E124" t="str">
            <v>July</v>
          </cell>
          <cell r="F124">
            <v>1463</v>
          </cell>
        </row>
        <row r="125">
          <cell r="A125" t="str">
            <v>Road</v>
          </cell>
          <cell r="B125" t="str">
            <v>AS19</v>
          </cell>
          <cell r="C125" t="str">
            <v>Travel Expenses</v>
          </cell>
          <cell r="E125" t="str">
            <v>July</v>
          </cell>
          <cell r="F125">
            <v>361</v>
          </cell>
        </row>
        <row r="126">
          <cell r="A126" t="str">
            <v>Road</v>
          </cell>
          <cell r="B126" t="str">
            <v>AS19</v>
          </cell>
          <cell r="C126" t="str">
            <v>Financial Expenses</v>
          </cell>
          <cell r="E126" t="str">
            <v>July</v>
          </cell>
          <cell r="F126">
            <v>380</v>
          </cell>
        </row>
        <row r="127">
          <cell r="A127" t="str">
            <v>Road</v>
          </cell>
          <cell r="B127" t="str">
            <v>AS19</v>
          </cell>
          <cell r="C127" t="str">
            <v>Depreciation</v>
          </cell>
          <cell r="E127" t="str">
            <v>July</v>
          </cell>
          <cell r="F127">
            <v>204.15</v>
          </cell>
        </row>
        <row r="128">
          <cell r="A128" t="str">
            <v>Road</v>
          </cell>
          <cell r="B128" t="str">
            <v>AS19</v>
          </cell>
          <cell r="C128" t="str">
            <v>Interest</v>
          </cell>
          <cell r="E128" t="str">
            <v>July</v>
          </cell>
          <cell r="F128">
            <v>19</v>
          </cell>
        </row>
        <row r="129">
          <cell r="A129" t="str">
            <v>Road</v>
          </cell>
          <cell r="B129" t="str">
            <v>AS19</v>
          </cell>
          <cell r="C129" t="str">
            <v>Other Income</v>
          </cell>
          <cell r="E129" t="str">
            <v>July</v>
          </cell>
          <cell r="F129">
            <v>323</v>
          </cell>
        </row>
        <row r="130">
          <cell r="A130" t="str">
            <v>Road</v>
          </cell>
          <cell r="B130" t="str">
            <v>AS19</v>
          </cell>
          <cell r="C130" t="str">
            <v>Administrative Expenses</v>
          </cell>
          <cell r="E130" t="str">
            <v>Aug</v>
          </cell>
          <cell r="F130">
            <v>2071</v>
          </cell>
        </row>
        <row r="131">
          <cell r="A131" t="str">
            <v>Road</v>
          </cell>
          <cell r="B131" t="str">
            <v>AS19</v>
          </cell>
          <cell r="C131" t="str">
            <v>Business Development</v>
          </cell>
          <cell r="E131" t="str">
            <v>Aug</v>
          </cell>
          <cell r="F131">
            <v>285</v>
          </cell>
        </row>
        <row r="132">
          <cell r="A132" t="str">
            <v>Road</v>
          </cell>
          <cell r="B132" t="str">
            <v>AS19</v>
          </cell>
          <cell r="C132" t="str">
            <v>Communication Expenses</v>
          </cell>
          <cell r="E132" t="str">
            <v>Aug</v>
          </cell>
          <cell r="F132">
            <v>1463</v>
          </cell>
        </row>
        <row r="133">
          <cell r="A133" t="str">
            <v>Road</v>
          </cell>
          <cell r="B133" t="str">
            <v>AS19</v>
          </cell>
          <cell r="C133" t="str">
            <v>Travel Expenses</v>
          </cell>
          <cell r="E133" t="str">
            <v>Aug</v>
          </cell>
          <cell r="F133">
            <v>361</v>
          </cell>
        </row>
        <row r="134">
          <cell r="A134" t="str">
            <v>Road</v>
          </cell>
          <cell r="B134" t="str">
            <v>AS19</v>
          </cell>
          <cell r="C134" t="str">
            <v>Financial Expenses</v>
          </cell>
          <cell r="E134" t="str">
            <v>Aug</v>
          </cell>
          <cell r="F134">
            <v>380</v>
          </cell>
        </row>
        <row r="135">
          <cell r="A135" t="str">
            <v>Road</v>
          </cell>
          <cell r="B135" t="str">
            <v>AS19</v>
          </cell>
          <cell r="C135" t="str">
            <v>Depreciation</v>
          </cell>
          <cell r="E135" t="str">
            <v>Aug</v>
          </cell>
          <cell r="F135">
            <v>206.12</v>
          </cell>
        </row>
        <row r="136">
          <cell r="A136" t="str">
            <v>Road</v>
          </cell>
          <cell r="B136" t="str">
            <v>AS19</v>
          </cell>
          <cell r="C136" t="str">
            <v>Interest</v>
          </cell>
          <cell r="E136" t="str">
            <v>Aug</v>
          </cell>
          <cell r="F136">
            <v>19</v>
          </cell>
        </row>
        <row r="137">
          <cell r="A137" t="str">
            <v>Road</v>
          </cell>
          <cell r="B137" t="str">
            <v>AS19</v>
          </cell>
          <cell r="C137" t="str">
            <v>Other Income</v>
          </cell>
          <cell r="E137" t="str">
            <v>Aug</v>
          </cell>
          <cell r="F137">
            <v>323</v>
          </cell>
        </row>
        <row r="138">
          <cell r="A138" t="str">
            <v>Road</v>
          </cell>
          <cell r="B138" t="str">
            <v>AS19</v>
          </cell>
          <cell r="C138" t="str">
            <v>Administrative Expenses</v>
          </cell>
          <cell r="E138" t="str">
            <v>Sep</v>
          </cell>
          <cell r="F138">
            <v>2071</v>
          </cell>
        </row>
        <row r="139">
          <cell r="A139" t="str">
            <v>Road</v>
          </cell>
          <cell r="B139" t="str">
            <v>AS19</v>
          </cell>
          <cell r="C139" t="str">
            <v>Business Development</v>
          </cell>
          <cell r="E139" t="str">
            <v>Sep</v>
          </cell>
          <cell r="F139">
            <v>285</v>
          </cell>
        </row>
        <row r="140">
          <cell r="A140" t="str">
            <v>Road</v>
          </cell>
          <cell r="B140" t="str">
            <v>AS19</v>
          </cell>
          <cell r="C140" t="str">
            <v>Communication Expenses</v>
          </cell>
          <cell r="E140" t="str">
            <v>Sep</v>
          </cell>
          <cell r="F140">
            <v>1463</v>
          </cell>
        </row>
        <row r="141">
          <cell r="A141" t="str">
            <v>Road</v>
          </cell>
          <cell r="B141" t="str">
            <v>AS19</v>
          </cell>
          <cell r="C141" t="str">
            <v>Travel Expenses</v>
          </cell>
          <cell r="E141" t="str">
            <v>Sep</v>
          </cell>
          <cell r="F141">
            <v>361</v>
          </cell>
        </row>
        <row r="142">
          <cell r="A142" t="str">
            <v>Road</v>
          </cell>
          <cell r="B142" t="str">
            <v>AS19</v>
          </cell>
          <cell r="C142" t="str">
            <v>Financial Expenses</v>
          </cell>
          <cell r="E142" t="str">
            <v>Sep</v>
          </cell>
          <cell r="F142">
            <v>380</v>
          </cell>
        </row>
        <row r="143">
          <cell r="A143" t="str">
            <v>Road</v>
          </cell>
          <cell r="B143" t="str">
            <v>AS19</v>
          </cell>
          <cell r="C143" t="str">
            <v>Depreciation</v>
          </cell>
          <cell r="E143" t="str">
            <v>Sep</v>
          </cell>
          <cell r="F143">
            <v>208.08</v>
          </cell>
        </row>
        <row r="144">
          <cell r="A144" t="str">
            <v>Road</v>
          </cell>
          <cell r="B144" t="str">
            <v>AS19</v>
          </cell>
          <cell r="C144" t="str">
            <v>Interest</v>
          </cell>
          <cell r="E144" t="str">
            <v>Sep</v>
          </cell>
          <cell r="F144">
            <v>19</v>
          </cell>
        </row>
        <row r="145">
          <cell r="A145" t="str">
            <v>Road</v>
          </cell>
          <cell r="B145" t="str">
            <v>AS19</v>
          </cell>
          <cell r="C145" t="str">
            <v>Other Income</v>
          </cell>
          <cell r="E145" t="str">
            <v>Sep</v>
          </cell>
          <cell r="F145">
            <v>323</v>
          </cell>
        </row>
        <row r="146">
          <cell r="A146" t="str">
            <v>Road</v>
          </cell>
          <cell r="B146" t="str">
            <v>AS19</v>
          </cell>
          <cell r="C146" t="str">
            <v>Administrative Expenses</v>
          </cell>
          <cell r="E146" t="str">
            <v>Oct</v>
          </cell>
          <cell r="F146">
            <v>2071</v>
          </cell>
        </row>
        <row r="147">
          <cell r="A147" t="str">
            <v>Road</v>
          </cell>
          <cell r="B147" t="str">
            <v>AS19</v>
          </cell>
          <cell r="C147" t="str">
            <v>Business Development</v>
          </cell>
          <cell r="E147" t="str">
            <v>Oct</v>
          </cell>
          <cell r="F147">
            <v>285</v>
          </cell>
        </row>
        <row r="148">
          <cell r="A148" t="str">
            <v>Road</v>
          </cell>
          <cell r="B148" t="str">
            <v>AS19</v>
          </cell>
          <cell r="C148" t="str">
            <v>Communication Expenses</v>
          </cell>
          <cell r="E148" t="str">
            <v>Oct</v>
          </cell>
          <cell r="F148">
            <v>1463</v>
          </cell>
        </row>
        <row r="149">
          <cell r="A149" t="str">
            <v>Road</v>
          </cell>
          <cell r="B149" t="str">
            <v>AS19</v>
          </cell>
          <cell r="C149" t="str">
            <v>Travel Expenses</v>
          </cell>
          <cell r="E149" t="str">
            <v>Oct</v>
          </cell>
          <cell r="F149">
            <v>361</v>
          </cell>
        </row>
        <row r="150">
          <cell r="A150" t="str">
            <v>Road</v>
          </cell>
          <cell r="B150" t="str">
            <v>AS19</v>
          </cell>
          <cell r="C150" t="str">
            <v>Financial Expenses</v>
          </cell>
          <cell r="E150" t="str">
            <v>Oct</v>
          </cell>
          <cell r="F150">
            <v>380</v>
          </cell>
        </row>
        <row r="151">
          <cell r="A151" t="str">
            <v>Road</v>
          </cell>
          <cell r="B151" t="str">
            <v>AS19</v>
          </cell>
          <cell r="C151" t="str">
            <v>Depreciation</v>
          </cell>
          <cell r="E151" t="str">
            <v>Oct</v>
          </cell>
          <cell r="F151">
            <v>210.05</v>
          </cell>
        </row>
        <row r="152">
          <cell r="A152" t="str">
            <v>Road</v>
          </cell>
          <cell r="B152" t="str">
            <v>AS19</v>
          </cell>
          <cell r="C152" t="str">
            <v>Interest</v>
          </cell>
          <cell r="E152" t="str">
            <v>Oct</v>
          </cell>
          <cell r="F152">
            <v>19</v>
          </cell>
        </row>
        <row r="153">
          <cell r="A153" t="str">
            <v>Road</v>
          </cell>
          <cell r="B153" t="str">
            <v>AS19</v>
          </cell>
          <cell r="C153" t="str">
            <v>Other Income</v>
          </cell>
          <cell r="E153" t="str">
            <v>Oct</v>
          </cell>
          <cell r="F153">
            <v>323</v>
          </cell>
        </row>
        <row r="154">
          <cell r="A154" t="str">
            <v>Road</v>
          </cell>
          <cell r="B154" t="str">
            <v>AS19</v>
          </cell>
          <cell r="C154" t="str">
            <v>Administrative Expenses</v>
          </cell>
          <cell r="E154" t="str">
            <v>Nov</v>
          </cell>
          <cell r="F154">
            <v>2071</v>
          </cell>
        </row>
        <row r="155">
          <cell r="A155" t="str">
            <v>Road</v>
          </cell>
          <cell r="B155" t="str">
            <v>AS19</v>
          </cell>
          <cell r="C155" t="str">
            <v>Business Development</v>
          </cell>
          <cell r="E155" t="str">
            <v>Nov</v>
          </cell>
          <cell r="F155">
            <v>285</v>
          </cell>
        </row>
        <row r="156">
          <cell r="A156" t="str">
            <v>Road</v>
          </cell>
          <cell r="B156" t="str">
            <v>AS19</v>
          </cell>
          <cell r="C156" t="str">
            <v>Communication Expenses</v>
          </cell>
          <cell r="E156" t="str">
            <v>Nov</v>
          </cell>
          <cell r="F156">
            <v>1463</v>
          </cell>
        </row>
        <row r="157">
          <cell r="A157" t="str">
            <v>Road</v>
          </cell>
          <cell r="B157" t="str">
            <v>AS19</v>
          </cell>
          <cell r="C157" t="str">
            <v>Travel Expenses</v>
          </cell>
          <cell r="E157" t="str">
            <v>Nov</v>
          </cell>
          <cell r="F157">
            <v>361</v>
          </cell>
        </row>
        <row r="158">
          <cell r="A158" t="str">
            <v>Road</v>
          </cell>
          <cell r="B158" t="str">
            <v>AS19</v>
          </cell>
          <cell r="C158" t="str">
            <v>Financial Expenses</v>
          </cell>
          <cell r="E158" t="str">
            <v>Nov</v>
          </cell>
          <cell r="F158">
            <v>380</v>
          </cell>
        </row>
        <row r="159">
          <cell r="A159" t="str">
            <v>Road</v>
          </cell>
          <cell r="B159" t="str">
            <v>AS19</v>
          </cell>
          <cell r="C159" t="str">
            <v>Depreciation</v>
          </cell>
          <cell r="E159" t="str">
            <v>Nov</v>
          </cell>
          <cell r="F159">
            <v>211.99999999999997</v>
          </cell>
        </row>
        <row r="160">
          <cell r="A160" t="str">
            <v>Road</v>
          </cell>
          <cell r="B160" t="str">
            <v>AS19</v>
          </cell>
          <cell r="C160" t="str">
            <v>Interest</v>
          </cell>
          <cell r="E160" t="str">
            <v>Nov</v>
          </cell>
          <cell r="F160">
            <v>19</v>
          </cell>
        </row>
        <row r="161">
          <cell r="A161" t="str">
            <v>Road</v>
          </cell>
          <cell r="B161" t="str">
            <v>AS19</v>
          </cell>
          <cell r="C161" t="str">
            <v>Other Income</v>
          </cell>
          <cell r="E161" t="str">
            <v>Nov</v>
          </cell>
          <cell r="F161">
            <v>323</v>
          </cell>
        </row>
        <row r="162">
          <cell r="A162" t="str">
            <v>Road</v>
          </cell>
          <cell r="B162" t="str">
            <v>AS19</v>
          </cell>
          <cell r="C162" t="str">
            <v>Administrative Expenses</v>
          </cell>
          <cell r="E162" t="str">
            <v>Dec</v>
          </cell>
          <cell r="F162">
            <v>2071</v>
          </cell>
        </row>
        <row r="163">
          <cell r="A163" t="str">
            <v>Road</v>
          </cell>
          <cell r="B163" t="str">
            <v>AS19</v>
          </cell>
          <cell r="C163" t="str">
            <v>Business Development</v>
          </cell>
          <cell r="E163" t="str">
            <v>Dec</v>
          </cell>
          <cell r="F163">
            <v>285</v>
          </cell>
        </row>
        <row r="164">
          <cell r="A164" t="str">
            <v>Road</v>
          </cell>
          <cell r="B164" t="str">
            <v>AS19</v>
          </cell>
          <cell r="C164" t="str">
            <v>Communication Expenses</v>
          </cell>
          <cell r="E164" t="str">
            <v>Dec</v>
          </cell>
          <cell r="F164">
            <v>1463</v>
          </cell>
        </row>
        <row r="165">
          <cell r="A165" t="str">
            <v>Road</v>
          </cell>
          <cell r="B165" t="str">
            <v>AS19</v>
          </cell>
          <cell r="C165" t="str">
            <v>Travel Expenses</v>
          </cell>
          <cell r="E165" t="str">
            <v>Dec</v>
          </cell>
          <cell r="F165">
            <v>361</v>
          </cell>
        </row>
        <row r="166">
          <cell r="A166" t="str">
            <v>Road</v>
          </cell>
          <cell r="B166" t="str">
            <v>AS19</v>
          </cell>
          <cell r="C166" t="str">
            <v>Financial Expenses</v>
          </cell>
          <cell r="E166" t="str">
            <v>Dec</v>
          </cell>
          <cell r="F166">
            <v>380</v>
          </cell>
        </row>
        <row r="167">
          <cell r="A167" t="str">
            <v>Road</v>
          </cell>
          <cell r="B167" t="str">
            <v>AS19</v>
          </cell>
          <cell r="C167" t="str">
            <v>Depreciation</v>
          </cell>
          <cell r="E167" t="str">
            <v>Dec</v>
          </cell>
          <cell r="F167">
            <v>213.96999999999997</v>
          </cell>
        </row>
        <row r="168">
          <cell r="A168" t="str">
            <v>Road</v>
          </cell>
          <cell r="B168" t="str">
            <v>AS19</v>
          </cell>
          <cell r="C168" t="str">
            <v>Interest</v>
          </cell>
          <cell r="E168" t="str">
            <v>Dec</v>
          </cell>
          <cell r="F168">
            <v>19</v>
          </cell>
        </row>
        <row r="169">
          <cell r="A169" t="str">
            <v>Road</v>
          </cell>
          <cell r="B169" t="str">
            <v>AS19</v>
          </cell>
          <cell r="C169" t="str">
            <v>Other Income</v>
          </cell>
          <cell r="E169" t="str">
            <v>Dec</v>
          </cell>
          <cell r="F169">
            <v>323</v>
          </cell>
        </row>
        <row r="170">
          <cell r="A170" t="str">
            <v>Road</v>
          </cell>
          <cell r="B170" t="str">
            <v>AS19</v>
          </cell>
          <cell r="C170" t="str">
            <v>Administrative Expenses</v>
          </cell>
          <cell r="E170" t="str">
            <v>Jan</v>
          </cell>
          <cell r="F170">
            <v>2071</v>
          </cell>
        </row>
        <row r="171">
          <cell r="A171" t="str">
            <v>Road</v>
          </cell>
          <cell r="B171" t="str">
            <v>AS19</v>
          </cell>
          <cell r="C171" t="str">
            <v>Business Development</v>
          </cell>
          <cell r="E171" t="str">
            <v>Jan</v>
          </cell>
          <cell r="F171">
            <v>285</v>
          </cell>
        </row>
        <row r="172">
          <cell r="A172" t="str">
            <v>Road</v>
          </cell>
          <cell r="B172" t="str">
            <v>AS19</v>
          </cell>
          <cell r="C172" t="str">
            <v>Communication Expenses</v>
          </cell>
          <cell r="E172" t="str">
            <v>Jan</v>
          </cell>
          <cell r="F172">
            <v>1463</v>
          </cell>
        </row>
        <row r="173">
          <cell r="A173" t="str">
            <v>Road</v>
          </cell>
          <cell r="B173" t="str">
            <v>AS19</v>
          </cell>
          <cell r="C173" t="str">
            <v>Travel Expenses</v>
          </cell>
          <cell r="E173" t="str">
            <v>Jan</v>
          </cell>
          <cell r="F173">
            <v>361</v>
          </cell>
        </row>
        <row r="174">
          <cell r="A174" t="str">
            <v>Road</v>
          </cell>
          <cell r="B174" t="str">
            <v>AS19</v>
          </cell>
          <cell r="C174" t="str">
            <v>Financial Expenses</v>
          </cell>
          <cell r="E174" t="str">
            <v>Jan</v>
          </cell>
          <cell r="F174">
            <v>380</v>
          </cell>
        </row>
        <row r="175">
          <cell r="A175" t="str">
            <v>Road</v>
          </cell>
          <cell r="B175" t="str">
            <v>AS19</v>
          </cell>
          <cell r="C175" t="str">
            <v>Depreciation</v>
          </cell>
          <cell r="E175" t="str">
            <v>Jan</v>
          </cell>
          <cell r="F175">
            <v>215.92999999999998</v>
          </cell>
        </row>
        <row r="176">
          <cell r="A176" t="str">
            <v>Road</v>
          </cell>
          <cell r="B176" t="str">
            <v>AS19</v>
          </cell>
          <cell r="C176" t="str">
            <v>Interest</v>
          </cell>
          <cell r="E176" t="str">
            <v>Jan</v>
          </cell>
          <cell r="F176">
            <v>19</v>
          </cell>
        </row>
        <row r="177">
          <cell r="A177" t="str">
            <v>Road</v>
          </cell>
          <cell r="B177" t="str">
            <v>AS19</v>
          </cell>
          <cell r="C177" t="str">
            <v>Other Income</v>
          </cell>
          <cell r="E177" t="str">
            <v>Jan</v>
          </cell>
          <cell r="F177">
            <v>323</v>
          </cell>
        </row>
        <row r="178">
          <cell r="A178" t="str">
            <v>Road</v>
          </cell>
          <cell r="B178" t="str">
            <v>AS19</v>
          </cell>
          <cell r="C178" t="str">
            <v>Administrative Expenses</v>
          </cell>
          <cell r="E178" t="str">
            <v>Feb</v>
          </cell>
          <cell r="F178">
            <v>2071</v>
          </cell>
        </row>
        <row r="179">
          <cell r="A179" t="str">
            <v>Road</v>
          </cell>
          <cell r="B179" t="str">
            <v>AS19</v>
          </cell>
          <cell r="C179" t="str">
            <v>Business Development</v>
          </cell>
          <cell r="E179" t="str">
            <v>Feb</v>
          </cell>
          <cell r="F179">
            <v>285</v>
          </cell>
        </row>
        <row r="180">
          <cell r="A180" t="str">
            <v>Road</v>
          </cell>
          <cell r="B180" t="str">
            <v>AS19</v>
          </cell>
          <cell r="C180" t="str">
            <v>Communication Expenses</v>
          </cell>
          <cell r="E180" t="str">
            <v>Feb</v>
          </cell>
          <cell r="F180">
            <v>1463</v>
          </cell>
        </row>
        <row r="181">
          <cell r="A181" t="str">
            <v>Road</v>
          </cell>
          <cell r="B181" t="str">
            <v>AS19</v>
          </cell>
          <cell r="C181" t="str">
            <v>Travel Expenses</v>
          </cell>
          <cell r="E181" t="str">
            <v>Feb</v>
          </cell>
          <cell r="F181">
            <v>361</v>
          </cell>
        </row>
        <row r="182">
          <cell r="A182" t="str">
            <v>Road</v>
          </cell>
          <cell r="B182" t="str">
            <v>AS19</v>
          </cell>
          <cell r="C182" t="str">
            <v>Financial Expenses</v>
          </cell>
          <cell r="E182" t="str">
            <v>Feb</v>
          </cell>
          <cell r="F182">
            <v>380</v>
          </cell>
        </row>
        <row r="183">
          <cell r="A183" t="str">
            <v>Road</v>
          </cell>
          <cell r="B183" t="str">
            <v>AS19</v>
          </cell>
          <cell r="C183" t="str">
            <v>Depreciation</v>
          </cell>
          <cell r="E183" t="str">
            <v>Feb</v>
          </cell>
          <cell r="F183">
            <v>217.89999999999998</v>
          </cell>
        </row>
        <row r="184">
          <cell r="A184" t="str">
            <v>Road</v>
          </cell>
          <cell r="B184" t="str">
            <v>AS19</v>
          </cell>
          <cell r="C184" t="str">
            <v>Interest</v>
          </cell>
          <cell r="E184" t="str">
            <v>Feb</v>
          </cell>
          <cell r="F184">
            <v>19</v>
          </cell>
        </row>
        <row r="185">
          <cell r="A185" t="str">
            <v>Road</v>
          </cell>
          <cell r="B185" t="str">
            <v>AS19</v>
          </cell>
          <cell r="C185" t="str">
            <v>Other Income</v>
          </cell>
          <cell r="E185" t="str">
            <v>Feb</v>
          </cell>
          <cell r="F185">
            <v>323</v>
          </cell>
        </row>
        <row r="186">
          <cell r="A186" t="str">
            <v>Road</v>
          </cell>
          <cell r="B186" t="str">
            <v>AS19</v>
          </cell>
          <cell r="C186" t="str">
            <v>Administrative Expenses</v>
          </cell>
          <cell r="E186" t="str">
            <v>Mar</v>
          </cell>
          <cell r="F186">
            <v>2071</v>
          </cell>
        </row>
        <row r="187">
          <cell r="A187" t="str">
            <v>Road</v>
          </cell>
          <cell r="B187" t="str">
            <v>AS19</v>
          </cell>
          <cell r="C187" t="str">
            <v>Business Development</v>
          </cell>
          <cell r="E187" t="str">
            <v>Mar</v>
          </cell>
          <cell r="F187">
            <v>285</v>
          </cell>
        </row>
        <row r="188">
          <cell r="A188" t="str">
            <v>Road</v>
          </cell>
          <cell r="B188" t="str">
            <v>AS19</v>
          </cell>
          <cell r="C188" t="str">
            <v>Communication Expenses</v>
          </cell>
          <cell r="E188" t="str">
            <v>Mar</v>
          </cell>
          <cell r="F188">
            <v>1463</v>
          </cell>
        </row>
        <row r="189">
          <cell r="A189" t="str">
            <v>Road</v>
          </cell>
          <cell r="B189" t="str">
            <v>AS19</v>
          </cell>
          <cell r="C189" t="str">
            <v>Travel Expenses</v>
          </cell>
          <cell r="E189" t="str">
            <v>Mar</v>
          </cell>
          <cell r="F189">
            <v>361</v>
          </cell>
        </row>
        <row r="190">
          <cell r="A190" t="str">
            <v>Road</v>
          </cell>
          <cell r="B190" t="str">
            <v>AS19</v>
          </cell>
          <cell r="C190" t="str">
            <v>Financial Expenses</v>
          </cell>
          <cell r="E190" t="str">
            <v>Mar</v>
          </cell>
          <cell r="F190">
            <v>380</v>
          </cell>
        </row>
        <row r="191">
          <cell r="A191" t="str">
            <v>Road</v>
          </cell>
          <cell r="B191" t="str">
            <v>AS19</v>
          </cell>
          <cell r="C191" t="str">
            <v>Depreciation</v>
          </cell>
          <cell r="E191" t="str">
            <v>Mar</v>
          </cell>
          <cell r="F191">
            <v>219.85</v>
          </cell>
        </row>
        <row r="192">
          <cell r="A192" t="str">
            <v>Road</v>
          </cell>
          <cell r="B192" t="str">
            <v>AS19</v>
          </cell>
          <cell r="C192" t="str">
            <v>Interest</v>
          </cell>
          <cell r="E192" t="str">
            <v>Mar</v>
          </cell>
          <cell r="F192">
            <v>19</v>
          </cell>
        </row>
        <row r="193">
          <cell r="A193" t="str">
            <v>Road</v>
          </cell>
          <cell r="B193" t="str">
            <v>AS19</v>
          </cell>
          <cell r="C193" t="str">
            <v>Other Income</v>
          </cell>
          <cell r="E193" t="str">
            <v>Mar</v>
          </cell>
          <cell r="F193">
            <v>323</v>
          </cell>
        </row>
        <row r="194">
          <cell r="A194" t="str">
            <v>Irrigation</v>
          </cell>
          <cell r="B194" t="str">
            <v>GNSS</v>
          </cell>
          <cell r="C194" t="str">
            <v>Administrative Expenses</v>
          </cell>
          <cell r="E194" t="str">
            <v>Apr</v>
          </cell>
          <cell r="F194">
            <v>2180</v>
          </cell>
        </row>
        <row r="195">
          <cell r="A195" t="str">
            <v>Irrigation</v>
          </cell>
          <cell r="B195" t="str">
            <v>GNSS</v>
          </cell>
          <cell r="C195" t="str">
            <v>Business Development</v>
          </cell>
          <cell r="E195" t="str">
            <v>Apr</v>
          </cell>
          <cell r="F195">
            <v>300</v>
          </cell>
        </row>
        <row r="196">
          <cell r="A196" t="str">
            <v>Irrigation</v>
          </cell>
          <cell r="B196" t="str">
            <v>GNSS</v>
          </cell>
          <cell r="C196" t="str">
            <v>Communication Expenses</v>
          </cell>
          <cell r="E196" t="str">
            <v>Apr</v>
          </cell>
          <cell r="F196">
            <v>1620</v>
          </cell>
        </row>
        <row r="197">
          <cell r="A197" t="str">
            <v>Irrigation</v>
          </cell>
          <cell r="B197" t="str">
            <v>GNSS</v>
          </cell>
          <cell r="C197" t="str">
            <v>Travel Expenses</v>
          </cell>
          <cell r="E197" t="str">
            <v>Apr</v>
          </cell>
          <cell r="F197">
            <v>380</v>
          </cell>
        </row>
        <row r="198">
          <cell r="A198" t="str">
            <v>Irrigation</v>
          </cell>
          <cell r="B198" t="str">
            <v>GNSS</v>
          </cell>
          <cell r="C198" t="str">
            <v>Financial Expenses</v>
          </cell>
          <cell r="E198" t="str">
            <v>Apr</v>
          </cell>
          <cell r="F198">
            <v>400</v>
          </cell>
        </row>
        <row r="199">
          <cell r="A199" t="str">
            <v>Irrigation</v>
          </cell>
          <cell r="B199" t="str">
            <v>GNSS</v>
          </cell>
          <cell r="C199" t="str">
            <v>Depreciation</v>
          </cell>
          <cell r="E199" t="str">
            <v>Apr</v>
          </cell>
          <cell r="F199">
            <v>208.70999999999998</v>
          </cell>
        </row>
        <row r="200">
          <cell r="A200" t="str">
            <v>Irrigation</v>
          </cell>
          <cell r="B200" t="str">
            <v>GNSS</v>
          </cell>
          <cell r="C200" t="str">
            <v>Interest</v>
          </cell>
          <cell r="E200" t="str">
            <v>Apr</v>
          </cell>
          <cell r="F200">
            <v>20</v>
          </cell>
        </row>
        <row r="201">
          <cell r="A201" t="str">
            <v>Irrigation</v>
          </cell>
          <cell r="B201" t="str">
            <v>GNSS</v>
          </cell>
          <cell r="C201" t="str">
            <v>Other Income</v>
          </cell>
          <cell r="E201" t="str">
            <v>Apr</v>
          </cell>
          <cell r="F201">
            <v>340</v>
          </cell>
        </row>
        <row r="202">
          <cell r="A202" t="str">
            <v>Irrigation</v>
          </cell>
          <cell r="B202" t="str">
            <v>GNSS</v>
          </cell>
          <cell r="C202" t="str">
            <v>Administrative Expenses</v>
          </cell>
          <cell r="E202" t="str">
            <v>May</v>
          </cell>
          <cell r="F202">
            <v>2180</v>
          </cell>
        </row>
        <row r="203">
          <cell r="A203" t="str">
            <v>Irrigation</v>
          </cell>
          <cell r="B203" t="str">
            <v>GNSS</v>
          </cell>
          <cell r="C203" t="str">
            <v>Business Development</v>
          </cell>
          <cell r="E203" t="str">
            <v>May</v>
          </cell>
          <cell r="F203">
            <v>300</v>
          </cell>
        </row>
        <row r="204">
          <cell r="A204" t="str">
            <v>Irrigation</v>
          </cell>
          <cell r="B204" t="str">
            <v>GNSS</v>
          </cell>
          <cell r="C204" t="str">
            <v>Communication Expenses</v>
          </cell>
          <cell r="E204" t="str">
            <v>May</v>
          </cell>
          <cell r="F204">
            <v>1620</v>
          </cell>
        </row>
        <row r="205">
          <cell r="A205" t="str">
            <v>Irrigation</v>
          </cell>
          <cell r="B205" t="str">
            <v>GNSS</v>
          </cell>
          <cell r="C205" t="str">
            <v>Travel Expenses</v>
          </cell>
          <cell r="E205" t="str">
            <v>May</v>
          </cell>
          <cell r="F205">
            <v>380</v>
          </cell>
        </row>
        <row r="206">
          <cell r="A206" t="str">
            <v>Irrigation</v>
          </cell>
          <cell r="B206" t="str">
            <v>GNSS</v>
          </cell>
          <cell r="C206" t="str">
            <v>Financial Expenses</v>
          </cell>
          <cell r="E206" t="str">
            <v>May</v>
          </cell>
          <cell r="F206">
            <v>400</v>
          </cell>
        </row>
        <row r="207">
          <cell r="A207" t="str">
            <v>Irrigation</v>
          </cell>
          <cell r="B207" t="str">
            <v>GNSS</v>
          </cell>
          <cell r="C207" t="str">
            <v>Depreciation</v>
          </cell>
          <cell r="E207" t="str">
            <v>May</v>
          </cell>
          <cell r="F207">
            <v>210.77</v>
          </cell>
        </row>
        <row r="208">
          <cell r="A208" t="str">
            <v>Irrigation</v>
          </cell>
          <cell r="B208" t="str">
            <v>GNSS</v>
          </cell>
          <cell r="C208" t="str">
            <v>Interest</v>
          </cell>
          <cell r="E208" t="str">
            <v>May</v>
          </cell>
          <cell r="F208">
            <v>20</v>
          </cell>
        </row>
        <row r="209">
          <cell r="A209" t="str">
            <v>Irrigation</v>
          </cell>
          <cell r="B209" t="str">
            <v>GNSS</v>
          </cell>
          <cell r="C209" t="str">
            <v>Other Income</v>
          </cell>
          <cell r="E209" t="str">
            <v>May</v>
          </cell>
          <cell r="F209">
            <v>340</v>
          </cell>
        </row>
        <row r="210">
          <cell r="A210" t="str">
            <v>Irrigation</v>
          </cell>
          <cell r="B210" t="str">
            <v>GNSS</v>
          </cell>
          <cell r="C210" t="str">
            <v>Administrative Expenses</v>
          </cell>
          <cell r="E210" t="str">
            <v>June</v>
          </cell>
          <cell r="F210">
            <v>2180</v>
          </cell>
        </row>
        <row r="211">
          <cell r="A211" t="str">
            <v>Irrigation</v>
          </cell>
          <cell r="B211" t="str">
            <v>GNSS</v>
          </cell>
          <cell r="C211" t="str">
            <v>Business Development</v>
          </cell>
          <cell r="E211" t="str">
            <v>June</v>
          </cell>
          <cell r="F211">
            <v>300</v>
          </cell>
        </row>
        <row r="212">
          <cell r="A212" t="str">
            <v>Irrigation</v>
          </cell>
          <cell r="B212" t="str">
            <v>GNSS</v>
          </cell>
          <cell r="C212" t="str">
            <v>Communication Expenses</v>
          </cell>
          <cell r="E212" t="str">
            <v>June</v>
          </cell>
          <cell r="F212">
            <v>1620</v>
          </cell>
        </row>
        <row r="213">
          <cell r="A213" t="str">
            <v>Irrigation</v>
          </cell>
          <cell r="B213" t="str">
            <v>GNSS</v>
          </cell>
          <cell r="C213" t="str">
            <v>Travel Expenses</v>
          </cell>
          <cell r="E213" t="str">
            <v>June</v>
          </cell>
          <cell r="F213">
            <v>380</v>
          </cell>
        </row>
        <row r="214">
          <cell r="A214" t="str">
            <v>Irrigation</v>
          </cell>
          <cell r="B214" t="str">
            <v>GNSS</v>
          </cell>
          <cell r="C214" t="str">
            <v>Financial Expenses</v>
          </cell>
          <cell r="E214" t="str">
            <v>June</v>
          </cell>
          <cell r="F214">
            <v>400</v>
          </cell>
        </row>
        <row r="215">
          <cell r="A215" t="str">
            <v>Irrigation</v>
          </cell>
          <cell r="B215" t="str">
            <v>GNSS</v>
          </cell>
          <cell r="C215" t="str">
            <v>Depreciation</v>
          </cell>
          <cell r="E215" t="str">
            <v>June</v>
          </cell>
          <cell r="F215">
            <v>212.84</v>
          </cell>
        </row>
        <row r="216">
          <cell r="A216" t="str">
            <v>Irrigation</v>
          </cell>
          <cell r="B216" t="str">
            <v>GNSS</v>
          </cell>
          <cell r="C216" t="str">
            <v>Interest</v>
          </cell>
          <cell r="E216" t="str">
            <v>June</v>
          </cell>
          <cell r="F216">
            <v>20</v>
          </cell>
        </row>
        <row r="217">
          <cell r="A217" t="str">
            <v>Irrigation</v>
          </cell>
          <cell r="B217" t="str">
            <v>GNSS</v>
          </cell>
          <cell r="C217" t="str">
            <v>Other Income</v>
          </cell>
          <cell r="E217" t="str">
            <v>June</v>
          </cell>
          <cell r="F217">
            <v>340</v>
          </cell>
        </row>
        <row r="218">
          <cell r="A218" t="str">
            <v>Irrigation</v>
          </cell>
          <cell r="B218" t="str">
            <v>GNSS</v>
          </cell>
          <cell r="C218" t="str">
            <v>Administrative Expenses</v>
          </cell>
          <cell r="E218" t="str">
            <v>July</v>
          </cell>
          <cell r="F218">
            <v>2180</v>
          </cell>
        </row>
        <row r="219">
          <cell r="A219" t="str">
            <v>Irrigation</v>
          </cell>
          <cell r="B219" t="str">
            <v>GNSS</v>
          </cell>
          <cell r="C219" t="str">
            <v>Business Development</v>
          </cell>
          <cell r="E219" t="str">
            <v>July</v>
          </cell>
          <cell r="F219">
            <v>300</v>
          </cell>
        </row>
        <row r="220">
          <cell r="A220" t="str">
            <v>Irrigation</v>
          </cell>
          <cell r="B220" t="str">
            <v>GNSS</v>
          </cell>
          <cell r="C220" t="str">
            <v>Communication Expenses</v>
          </cell>
          <cell r="E220" t="str">
            <v>July</v>
          </cell>
          <cell r="F220">
            <v>1620</v>
          </cell>
        </row>
        <row r="221">
          <cell r="A221" t="str">
            <v>Irrigation</v>
          </cell>
          <cell r="B221" t="str">
            <v>GNSS</v>
          </cell>
          <cell r="C221" t="str">
            <v>Travel Expenses</v>
          </cell>
          <cell r="E221" t="str">
            <v>July</v>
          </cell>
          <cell r="F221">
            <v>380</v>
          </cell>
        </row>
        <row r="222">
          <cell r="A222" t="str">
            <v>Irrigation</v>
          </cell>
          <cell r="B222" t="str">
            <v>GNSS</v>
          </cell>
          <cell r="C222" t="str">
            <v>Financial Expenses</v>
          </cell>
          <cell r="E222" t="str">
            <v>July</v>
          </cell>
          <cell r="F222">
            <v>400</v>
          </cell>
        </row>
        <row r="223">
          <cell r="A223" t="str">
            <v>Irrigation</v>
          </cell>
          <cell r="B223" t="str">
            <v>GNSS</v>
          </cell>
          <cell r="C223" t="str">
            <v>Depreciation</v>
          </cell>
          <cell r="E223" t="str">
            <v>July</v>
          </cell>
          <cell r="F223">
            <v>214.89999999999998</v>
          </cell>
        </row>
        <row r="224">
          <cell r="A224" t="str">
            <v>Irrigation</v>
          </cell>
          <cell r="B224" t="str">
            <v>GNSS</v>
          </cell>
          <cell r="C224" t="str">
            <v>Interest</v>
          </cell>
          <cell r="E224" t="str">
            <v>July</v>
          </cell>
          <cell r="F224">
            <v>20</v>
          </cell>
        </row>
        <row r="225">
          <cell r="A225" t="str">
            <v>Irrigation</v>
          </cell>
          <cell r="B225" t="str">
            <v>GNSS</v>
          </cell>
          <cell r="C225" t="str">
            <v>Other Income</v>
          </cell>
          <cell r="E225" t="str">
            <v>July</v>
          </cell>
          <cell r="F225">
            <v>340</v>
          </cell>
        </row>
        <row r="226">
          <cell r="A226" t="str">
            <v>Irrigation</v>
          </cell>
          <cell r="B226" t="str">
            <v>GNSS</v>
          </cell>
          <cell r="C226" t="str">
            <v>Administrative Expenses</v>
          </cell>
          <cell r="E226" t="str">
            <v>Aug</v>
          </cell>
          <cell r="F226">
            <v>2180</v>
          </cell>
        </row>
        <row r="227">
          <cell r="A227" t="str">
            <v>Irrigation</v>
          </cell>
          <cell r="B227" t="str">
            <v>GNSS</v>
          </cell>
          <cell r="C227" t="str">
            <v>Business Development</v>
          </cell>
          <cell r="E227" t="str">
            <v>Aug</v>
          </cell>
          <cell r="F227">
            <v>300</v>
          </cell>
        </row>
        <row r="228">
          <cell r="A228" t="str">
            <v>Irrigation</v>
          </cell>
          <cell r="B228" t="str">
            <v>GNSS</v>
          </cell>
          <cell r="C228" t="str">
            <v>Communication Expenses</v>
          </cell>
          <cell r="E228" t="str">
            <v>Aug</v>
          </cell>
          <cell r="F228">
            <v>1620</v>
          </cell>
        </row>
        <row r="229">
          <cell r="A229" t="str">
            <v>Irrigation</v>
          </cell>
          <cell r="B229" t="str">
            <v>GNSS</v>
          </cell>
          <cell r="C229" t="str">
            <v>Travel Expenses</v>
          </cell>
          <cell r="E229" t="str">
            <v>Aug</v>
          </cell>
          <cell r="F229">
            <v>380</v>
          </cell>
        </row>
        <row r="230">
          <cell r="A230" t="str">
            <v>Irrigation</v>
          </cell>
          <cell r="B230" t="str">
            <v>GNSS</v>
          </cell>
          <cell r="C230" t="str">
            <v>Financial Expenses</v>
          </cell>
          <cell r="E230" t="str">
            <v>Aug</v>
          </cell>
          <cell r="F230">
            <v>400</v>
          </cell>
        </row>
        <row r="231">
          <cell r="A231" t="str">
            <v>Irrigation</v>
          </cell>
          <cell r="B231" t="str">
            <v>GNSS</v>
          </cell>
          <cell r="C231" t="str">
            <v>Depreciation</v>
          </cell>
          <cell r="E231" t="str">
            <v>Aug</v>
          </cell>
          <cell r="F231">
            <v>216.97</v>
          </cell>
        </row>
        <row r="232">
          <cell r="A232" t="str">
            <v>Irrigation</v>
          </cell>
          <cell r="B232" t="str">
            <v>GNSS</v>
          </cell>
          <cell r="C232" t="str">
            <v>Interest</v>
          </cell>
          <cell r="E232" t="str">
            <v>Aug</v>
          </cell>
          <cell r="F232">
            <v>20</v>
          </cell>
        </row>
        <row r="233">
          <cell r="A233" t="str">
            <v>Irrigation</v>
          </cell>
          <cell r="B233" t="str">
            <v>GNSS</v>
          </cell>
          <cell r="C233" t="str">
            <v>Other Income</v>
          </cell>
          <cell r="E233" t="str">
            <v>Aug</v>
          </cell>
          <cell r="F233">
            <v>340</v>
          </cell>
        </row>
        <row r="234">
          <cell r="A234" t="str">
            <v>Irrigation</v>
          </cell>
          <cell r="B234" t="str">
            <v>GNSS</v>
          </cell>
          <cell r="C234" t="str">
            <v>Administrative Expenses</v>
          </cell>
          <cell r="E234" t="str">
            <v>Sep</v>
          </cell>
          <cell r="F234">
            <v>2180</v>
          </cell>
        </row>
        <row r="235">
          <cell r="A235" t="str">
            <v>Irrigation</v>
          </cell>
          <cell r="B235" t="str">
            <v>GNSS</v>
          </cell>
          <cell r="C235" t="str">
            <v>Business Development</v>
          </cell>
          <cell r="E235" t="str">
            <v>Sep</v>
          </cell>
          <cell r="F235">
            <v>300</v>
          </cell>
        </row>
        <row r="236">
          <cell r="A236" t="str">
            <v>Irrigation</v>
          </cell>
          <cell r="B236" t="str">
            <v>GNSS</v>
          </cell>
          <cell r="C236" t="str">
            <v>Communication Expenses</v>
          </cell>
          <cell r="E236" t="str">
            <v>Sep</v>
          </cell>
          <cell r="F236">
            <v>1620</v>
          </cell>
        </row>
        <row r="237">
          <cell r="A237" t="str">
            <v>Irrigation</v>
          </cell>
          <cell r="B237" t="str">
            <v>GNSS</v>
          </cell>
          <cell r="C237" t="str">
            <v>Travel Expenses</v>
          </cell>
          <cell r="E237" t="str">
            <v>Sep</v>
          </cell>
          <cell r="F237">
            <v>380</v>
          </cell>
        </row>
        <row r="238">
          <cell r="A238" t="str">
            <v>Irrigation</v>
          </cell>
          <cell r="B238" t="str">
            <v>GNSS</v>
          </cell>
          <cell r="C238" t="str">
            <v>Financial Expenses</v>
          </cell>
          <cell r="E238" t="str">
            <v>Sep</v>
          </cell>
          <cell r="F238">
            <v>400</v>
          </cell>
        </row>
        <row r="239">
          <cell r="A239" t="str">
            <v>Irrigation</v>
          </cell>
          <cell r="B239" t="str">
            <v>GNSS</v>
          </cell>
          <cell r="C239" t="str">
            <v>Depreciation</v>
          </cell>
          <cell r="E239" t="str">
            <v>Sep</v>
          </cell>
          <cell r="F239">
            <v>219.03</v>
          </cell>
        </row>
        <row r="240">
          <cell r="A240" t="str">
            <v>Irrigation</v>
          </cell>
          <cell r="B240" t="str">
            <v>GNSS</v>
          </cell>
          <cell r="C240" t="str">
            <v>Interest</v>
          </cell>
          <cell r="E240" t="str">
            <v>Sep</v>
          </cell>
          <cell r="F240">
            <v>20</v>
          </cell>
        </row>
        <row r="241">
          <cell r="A241" t="str">
            <v>Irrigation</v>
          </cell>
          <cell r="B241" t="str">
            <v>GNSS</v>
          </cell>
          <cell r="C241" t="str">
            <v>Other Income</v>
          </cell>
          <cell r="E241" t="str">
            <v>Sep</v>
          </cell>
          <cell r="F241">
            <v>340</v>
          </cell>
        </row>
        <row r="242">
          <cell r="A242" t="str">
            <v>Irrigation</v>
          </cell>
          <cell r="B242" t="str">
            <v>GNSS</v>
          </cell>
          <cell r="C242" t="str">
            <v>Administrative Expenses</v>
          </cell>
          <cell r="E242" t="str">
            <v>Oct</v>
          </cell>
          <cell r="F242">
            <v>2180</v>
          </cell>
        </row>
        <row r="243">
          <cell r="A243" t="str">
            <v>Irrigation</v>
          </cell>
          <cell r="B243" t="str">
            <v>GNSS</v>
          </cell>
          <cell r="C243" t="str">
            <v>Business Development</v>
          </cell>
          <cell r="E243" t="str">
            <v>Oct</v>
          </cell>
          <cell r="F243">
            <v>300</v>
          </cell>
        </row>
        <row r="244">
          <cell r="A244" t="str">
            <v>Irrigation</v>
          </cell>
          <cell r="B244" t="str">
            <v>GNSS</v>
          </cell>
          <cell r="C244" t="str">
            <v>Communication Expenses</v>
          </cell>
          <cell r="E244" t="str">
            <v>Oct</v>
          </cell>
          <cell r="F244">
            <v>1620</v>
          </cell>
        </row>
        <row r="245">
          <cell r="A245" t="str">
            <v>Irrigation</v>
          </cell>
          <cell r="B245" t="str">
            <v>GNSS</v>
          </cell>
          <cell r="C245" t="str">
            <v>Travel Expenses</v>
          </cell>
          <cell r="E245" t="str">
            <v>Oct</v>
          </cell>
          <cell r="F245">
            <v>380</v>
          </cell>
        </row>
        <row r="246">
          <cell r="A246" t="str">
            <v>Irrigation</v>
          </cell>
          <cell r="B246" t="str">
            <v>GNSS</v>
          </cell>
          <cell r="C246" t="str">
            <v>Financial Expenses</v>
          </cell>
          <cell r="E246" t="str">
            <v>Oct</v>
          </cell>
          <cell r="F246">
            <v>400</v>
          </cell>
        </row>
        <row r="247">
          <cell r="A247" t="str">
            <v>Irrigation</v>
          </cell>
          <cell r="B247" t="str">
            <v>GNSS</v>
          </cell>
          <cell r="C247" t="str">
            <v>Depreciation</v>
          </cell>
          <cell r="E247" t="str">
            <v>Oct</v>
          </cell>
          <cell r="F247">
            <v>221.1</v>
          </cell>
        </row>
        <row r="248">
          <cell r="A248" t="str">
            <v>Irrigation</v>
          </cell>
          <cell r="B248" t="str">
            <v>GNSS</v>
          </cell>
          <cell r="C248" t="str">
            <v>Interest</v>
          </cell>
          <cell r="E248" t="str">
            <v>Oct</v>
          </cell>
          <cell r="F248">
            <v>20</v>
          </cell>
        </row>
        <row r="249">
          <cell r="A249" t="str">
            <v>Irrigation</v>
          </cell>
          <cell r="B249" t="str">
            <v>GNSS</v>
          </cell>
          <cell r="C249" t="str">
            <v>Other Income</v>
          </cell>
          <cell r="E249" t="str">
            <v>Oct</v>
          </cell>
          <cell r="F249">
            <v>340</v>
          </cell>
        </row>
        <row r="250">
          <cell r="A250" t="str">
            <v>Irrigation</v>
          </cell>
          <cell r="B250" t="str">
            <v>GNSS</v>
          </cell>
          <cell r="C250" t="str">
            <v>Administrative Expenses</v>
          </cell>
          <cell r="E250" t="str">
            <v>Nov</v>
          </cell>
          <cell r="F250">
            <v>2180</v>
          </cell>
        </row>
        <row r="251">
          <cell r="A251" t="str">
            <v>Irrigation</v>
          </cell>
          <cell r="B251" t="str">
            <v>GNSS</v>
          </cell>
          <cell r="C251" t="str">
            <v>Business Development</v>
          </cell>
          <cell r="E251" t="str">
            <v>Nov</v>
          </cell>
          <cell r="F251">
            <v>300</v>
          </cell>
        </row>
        <row r="252">
          <cell r="A252" t="str">
            <v>Irrigation</v>
          </cell>
          <cell r="B252" t="str">
            <v>GNSS</v>
          </cell>
          <cell r="C252" t="str">
            <v>Communication Expenses</v>
          </cell>
          <cell r="E252" t="str">
            <v>Nov</v>
          </cell>
          <cell r="F252">
            <v>1620</v>
          </cell>
        </row>
        <row r="253">
          <cell r="A253" t="str">
            <v>Irrigation</v>
          </cell>
          <cell r="B253" t="str">
            <v>GNSS</v>
          </cell>
          <cell r="C253" t="str">
            <v>Travel Expenses</v>
          </cell>
          <cell r="E253" t="str">
            <v>Nov</v>
          </cell>
          <cell r="F253">
            <v>380</v>
          </cell>
        </row>
        <row r="254">
          <cell r="A254" t="str">
            <v>Irrigation</v>
          </cell>
          <cell r="B254" t="str">
            <v>GNSS</v>
          </cell>
          <cell r="C254" t="str">
            <v>Financial Expenses</v>
          </cell>
          <cell r="E254" t="str">
            <v>Nov</v>
          </cell>
          <cell r="F254">
            <v>400</v>
          </cell>
        </row>
        <row r="255">
          <cell r="A255" t="str">
            <v>Irrigation</v>
          </cell>
          <cell r="B255" t="str">
            <v>GNSS</v>
          </cell>
          <cell r="C255" t="str">
            <v>Depreciation</v>
          </cell>
          <cell r="E255" t="str">
            <v>Nov</v>
          </cell>
          <cell r="F255">
            <v>223.18</v>
          </cell>
        </row>
        <row r="256">
          <cell r="A256" t="str">
            <v>Irrigation</v>
          </cell>
          <cell r="B256" t="str">
            <v>GNSS</v>
          </cell>
          <cell r="C256" t="str">
            <v>Interest</v>
          </cell>
          <cell r="E256" t="str">
            <v>Nov</v>
          </cell>
          <cell r="F256">
            <v>20</v>
          </cell>
        </row>
        <row r="257">
          <cell r="A257" t="str">
            <v>Irrigation</v>
          </cell>
          <cell r="B257" t="str">
            <v>GNSS</v>
          </cell>
          <cell r="C257" t="str">
            <v>Other Income</v>
          </cell>
          <cell r="E257" t="str">
            <v>Nov</v>
          </cell>
          <cell r="F257">
            <v>340</v>
          </cell>
        </row>
        <row r="258">
          <cell r="A258" t="str">
            <v>Irrigation</v>
          </cell>
          <cell r="B258" t="str">
            <v>GNSS</v>
          </cell>
          <cell r="C258" t="str">
            <v>Administrative Expenses</v>
          </cell>
          <cell r="E258" t="str">
            <v>Dec</v>
          </cell>
          <cell r="F258">
            <v>2180</v>
          </cell>
        </row>
        <row r="259">
          <cell r="A259" t="str">
            <v>Irrigation</v>
          </cell>
          <cell r="B259" t="str">
            <v>GNSS</v>
          </cell>
          <cell r="C259" t="str">
            <v>Business Development</v>
          </cell>
          <cell r="E259" t="str">
            <v>Dec</v>
          </cell>
          <cell r="F259">
            <v>300</v>
          </cell>
        </row>
        <row r="260">
          <cell r="A260" t="str">
            <v>Irrigation</v>
          </cell>
          <cell r="B260" t="str">
            <v>GNSS</v>
          </cell>
          <cell r="C260" t="str">
            <v>Communication Expenses</v>
          </cell>
          <cell r="E260" t="str">
            <v>Dec</v>
          </cell>
          <cell r="F260">
            <v>1620</v>
          </cell>
        </row>
        <row r="261">
          <cell r="A261" t="str">
            <v>Irrigation</v>
          </cell>
          <cell r="B261" t="str">
            <v>GNSS</v>
          </cell>
          <cell r="C261" t="str">
            <v>Travel Expenses</v>
          </cell>
          <cell r="E261" t="str">
            <v>Dec</v>
          </cell>
          <cell r="F261">
            <v>380</v>
          </cell>
        </row>
        <row r="262">
          <cell r="A262" t="str">
            <v>Irrigation</v>
          </cell>
          <cell r="B262" t="str">
            <v>GNSS</v>
          </cell>
          <cell r="C262" t="str">
            <v>Financial Expenses</v>
          </cell>
          <cell r="E262" t="str">
            <v>Dec</v>
          </cell>
          <cell r="F262">
            <v>400</v>
          </cell>
        </row>
        <row r="263">
          <cell r="A263" t="str">
            <v>Irrigation</v>
          </cell>
          <cell r="B263" t="str">
            <v>GNSS</v>
          </cell>
          <cell r="C263" t="str">
            <v>Depreciation</v>
          </cell>
          <cell r="E263" t="str">
            <v>Dec</v>
          </cell>
          <cell r="F263">
            <v>225.23999999999998</v>
          </cell>
        </row>
        <row r="264">
          <cell r="A264" t="str">
            <v>Irrigation</v>
          </cell>
          <cell r="B264" t="str">
            <v>GNSS</v>
          </cell>
          <cell r="C264" t="str">
            <v>Interest</v>
          </cell>
          <cell r="E264" t="str">
            <v>Dec</v>
          </cell>
          <cell r="F264">
            <v>20</v>
          </cell>
        </row>
        <row r="265">
          <cell r="A265" t="str">
            <v>Irrigation</v>
          </cell>
          <cell r="B265" t="str">
            <v>GNSS</v>
          </cell>
          <cell r="C265" t="str">
            <v>Other Income</v>
          </cell>
          <cell r="E265" t="str">
            <v>Dec</v>
          </cell>
          <cell r="F265">
            <v>340</v>
          </cell>
        </row>
        <row r="266">
          <cell r="A266" t="str">
            <v>Irrigation</v>
          </cell>
          <cell r="B266" t="str">
            <v>GNSS</v>
          </cell>
          <cell r="C266" t="str">
            <v>Administrative Expenses</v>
          </cell>
          <cell r="E266" t="str">
            <v>Jan</v>
          </cell>
          <cell r="F266">
            <v>2180</v>
          </cell>
        </row>
        <row r="267">
          <cell r="A267" t="str">
            <v>Irrigation</v>
          </cell>
          <cell r="B267" t="str">
            <v>GNSS</v>
          </cell>
          <cell r="C267" t="str">
            <v>Business Development</v>
          </cell>
          <cell r="E267" t="str">
            <v>Jan</v>
          </cell>
          <cell r="F267">
            <v>300</v>
          </cell>
        </row>
        <row r="268">
          <cell r="A268" t="str">
            <v>Irrigation</v>
          </cell>
          <cell r="B268" t="str">
            <v>GNSS</v>
          </cell>
          <cell r="C268" t="str">
            <v>Communication Expenses</v>
          </cell>
          <cell r="E268" t="str">
            <v>Jan</v>
          </cell>
          <cell r="F268">
            <v>1620</v>
          </cell>
        </row>
        <row r="269">
          <cell r="A269" t="str">
            <v>Irrigation</v>
          </cell>
          <cell r="B269" t="str">
            <v>GNSS</v>
          </cell>
          <cell r="C269" t="str">
            <v>Travel Expenses</v>
          </cell>
          <cell r="E269" t="str">
            <v>Jan</v>
          </cell>
          <cell r="F269">
            <v>380</v>
          </cell>
        </row>
        <row r="270">
          <cell r="A270" t="str">
            <v>Irrigation</v>
          </cell>
          <cell r="B270" t="str">
            <v>GNSS</v>
          </cell>
          <cell r="C270" t="str">
            <v>Financial Expenses</v>
          </cell>
          <cell r="E270" t="str">
            <v>Jan</v>
          </cell>
          <cell r="F270">
            <v>400</v>
          </cell>
        </row>
        <row r="271">
          <cell r="A271" t="str">
            <v>Irrigation</v>
          </cell>
          <cell r="B271" t="str">
            <v>GNSS</v>
          </cell>
          <cell r="C271" t="str">
            <v>Depreciation</v>
          </cell>
          <cell r="E271" t="str">
            <v>Jan</v>
          </cell>
          <cell r="F271">
            <v>227.31</v>
          </cell>
        </row>
        <row r="272">
          <cell r="A272" t="str">
            <v>Irrigation</v>
          </cell>
          <cell r="B272" t="str">
            <v>GNSS</v>
          </cell>
          <cell r="C272" t="str">
            <v>Interest</v>
          </cell>
          <cell r="E272" t="str">
            <v>Jan</v>
          </cell>
          <cell r="F272">
            <v>20</v>
          </cell>
        </row>
        <row r="273">
          <cell r="A273" t="str">
            <v>Irrigation</v>
          </cell>
          <cell r="B273" t="str">
            <v>GNSS</v>
          </cell>
          <cell r="C273" t="str">
            <v>Other Income</v>
          </cell>
          <cell r="E273" t="str">
            <v>Jan</v>
          </cell>
          <cell r="F273">
            <v>340</v>
          </cell>
        </row>
        <row r="274">
          <cell r="A274" t="str">
            <v>Irrigation</v>
          </cell>
          <cell r="B274" t="str">
            <v>GNSS</v>
          </cell>
          <cell r="C274" t="str">
            <v>Administrative Expenses</v>
          </cell>
          <cell r="E274" t="str">
            <v>Feb</v>
          </cell>
          <cell r="F274">
            <v>2180</v>
          </cell>
        </row>
        <row r="275">
          <cell r="A275" t="str">
            <v>Irrigation</v>
          </cell>
          <cell r="B275" t="str">
            <v>GNSS</v>
          </cell>
          <cell r="C275" t="str">
            <v>Business Development</v>
          </cell>
          <cell r="E275" t="str">
            <v>Feb</v>
          </cell>
          <cell r="F275">
            <v>300</v>
          </cell>
        </row>
        <row r="276">
          <cell r="A276" t="str">
            <v>Irrigation</v>
          </cell>
          <cell r="B276" t="str">
            <v>GNSS</v>
          </cell>
          <cell r="C276" t="str">
            <v>Communication Expenses</v>
          </cell>
          <cell r="E276" t="str">
            <v>Feb</v>
          </cell>
          <cell r="F276">
            <v>1620</v>
          </cell>
        </row>
        <row r="277">
          <cell r="A277" t="str">
            <v>Irrigation</v>
          </cell>
          <cell r="B277" t="str">
            <v>GNSS</v>
          </cell>
          <cell r="C277" t="str">
            <v>Travel Expenses</v>
          </cell>
          <cell r="E277" t="str">
            <v>Feb</v>
          </cell>
          <cell r="F277">
            <v>380</v>
          </cell>
        </row>
        <row r="278">
          <cell r="A278" t="str">
            <v>Irrigation</v>
          </cell>
          <cell r="B278" t="str">
            <v>GNSS</v>
          </cell>
          <cell r="C278" t="str">
            <v>Financial Expenses</v>
          </cell>
          <cell r="E278" t="str">
            <v>Feb</v>
          </cell>
          <cell r="F278">
            <v>400</v>
          </cell>
        </row>
        <row r="279">
          <cell r="A279" t="str">
            <v>Irrigation</v>
          </cell>
          <cell r="B279" t="str">
            <v>GNSS</v>
          </cell>
          <cell r="C279" t="str">
            <v>Depreciation</v>
          </cell>
          <cell r="E279" t="str">
            <v>Feb</v>
          </cell>
          <cell r="F279">
            <v>229.37</v>
          </cell>
        </row>
        <row r="280">
          <cell r="A280" t="str">
            <v>Irrigation</v>
          </cell>
          <cell r="B280" t="str">
            <v>GNSS</v>
          </cell>
          <cell r="C280" t="str">
            <v>Interest</v>
          </cell>
          <cell r="E280" t="str">
            <v>Feb</v>
          </cell>
          <cell r="F280">
            <v>20</v>
          </cell>
        </row>
        <row r="281">
          <cell r="A281" t="str">
            <v>Irrigation</v>
          </cell>
          <cell r="B281" t="str">
            <v>GNSS</v>
          </cell>
          <cell r="C281" t="str">
            <v>Other Income</v>
          </cell>
          <cell r="E281" t="str">
            <v>Feb</v>
          </cell>
          <cell r="F281">
            <v>340</v>
          </cell>
        </row>
        <row r="282">
          <cell r="A282" t="str">
            <v>Irrigation</v>
          </cell>
          <cell r="B282" t="str">
            <v>GNSS</v>
          </cell>
          <cell r="C282" t="str">
            <v>Administrative Expenses</v>
          </cell>
          <cell r="E282" t="str">
            <v>Mar</v>
          </cell>
          <cell r="F282">
            <v>2180</v>
          </cell>
        </row>
        <row r="283">
          <cell r="A283" t="str">
            <v>Irrigation</v>
          </cell>
          <cell r="B283" t="str">
            <v>GNSS</v>
          </cell>
          <cell r="C283" t="str">
            <v>Business Development</v>
          </cell>
          <cell r="E283" t="str">
            <v>Mar</v>
          </cell>
          <cell r="F283">
            <v>300</v>
          </cell>
        </row>
        <row r="284">
          <cell r="A284" t="str">
            <v>Irrigation</v>
          </cell>
          <cell r="B284" t="str">
            <v>GNSS</v>
          </cell>
          <cell r="C284" t="str">
            <v>Communication Expenses</v>
          </cell>
          <cell r="E284" t="str">
            <v>Mar</v>
          </cell>
          <cell r="F284">
            <v>1620</v>
          </cell>
        </row>
        <row r="285">
          <cell r="A285" t="str">
            <v>Irrigation</v>
          </cell>
          <cell r="B285" t="str">
            <v>GNSS</v>
          </cell>
          <cell r="C285" t="str">
            <v>Travel Expenses</v>
          </cell>
          <cell r="E285" t="str">
            <v>Mar</v>
          </cell>
          <cell r="F285">
            <v>380</v>
          </cell>
        </row>
        <row r="286">
          <cell r="A286" t="str">
            <v>Irrigation</v>
          </cell>
          <cell r="B286" t="str">
            <v>GNSS</v>
          </cell>
          <cell r="C286" t="str">
            <v>Financial Expenses</v>
          </cell>
          <cell r="E286" t="str">
            <v>Mar</v>
          </cell>
          <cell r="F286">
            <v>400</v>
          </cell>
        </row>
        <row r="287">
          <cell r="A287" t="str">
            <v>Irrigation</v>
          </cell>
          <cell r="B287" t="str">
            <v>GNSS</v>
          </cell>
          <cell r="C287" t="str">
            <v>Depreciation</v>
          </cell>
          <cell r="E287" t="str">
            <v>Mar</v>
          </cell>
          <cell r="F287">
            <v>231.44</v>
          </cell>
        </row>
        <row r="288">
          <cell r="A288" t="str">
            <v>Irrigation</v>
          </cell>
          <cell r="B288" t="str">
            <v>GNSS</v>
          </cell>
          <cell r="C288" t="str">
            <v>Interest</v>
          </cell>
          <cell r="E288" t="str">
            <v>Mar</v>
          </cell>
          <cell r="F288">
            <v>20</v>
          </cell>
        </row>
        <row r="289">
          <cell r="A289" t="str">
            <v>Irrigation</v>
          </cell>
          <cell r="B289" t="str">
            <v>GNSS</v>
          </cell>
          <cell r="C289" t="str">
            <v>Other Income</v>
          </cell>
          <cell r="E289" t="str">
            <v>Mar</v>
          </cell>
          <cell r="F289">
            <v>340</v>
          </cell>
        </row>
        <row r="290">
          <cell r="A290" t="str">
            <v>Irrigation</v>
          </cell>
          <cell r="B290" t="str">
            <v>ISLMC</v>
          </cell>
          <cell r="C290" t="str">
            <v>Administrative Expenses</v>
          </cell>
          <cell r="E290" t="str">
            <v>Apr</v>
          </cell>
          <cell r="F290">
            <v>2180</v>
          </cell>
        </row>
        <row r="291">
          <cell r="A291" t="str">
            <v>Irrigation</v>
          </cell>
          <cell r="B291" t="str">
            <v>ISLMC</v>
          </cell>
          <cell r="C291" t="str">
            <v>Business Development</v>
          </cell>
          <cell r="E291" t="str">
            <v>Apr</v>
          </cell>
          <cell r="F291">
            <v>300</v>
          </cell>
        </row>
        <row r="292">
          <cell r="A292" t="str">
            <v>Irrigation</v>
          </cell>
          <cell r="B292" t="str">
            <v>ISLMC</v>
          </cell>
          <cell r="C292" t="str">
            <v>Communication Expenses</v>
          </cell>
          <cell r="E292" t="str">
            <v>Apr</v>
          </cell>
          <cell r="F292">
            <v>1620</v>
          </cell>
        </row>
        <row r="293">
          <cell r="A293" t="str">
            <v>Irrigation</v>
          </cell>
          <cell r="B293" t="str">
            <v>ISLMC</v>
          </cell>
          <cell r="C293" t="str">
            <v>Travel Expenses</v>
          </cell>
          <cell r="E293" t="str">
            <v>Apr</v>
          </cell>
          <cell r="F293">
            <v>380</v>
          </cell>
        </row>
        <row r="294">
          <cell r="A294" t="str">
            <v>Irrigation</v>
          </cell>
          <cell r="B294" t="str">
            <v>ISLMC</v>
          </cell>
          <cell r="C294" t="str">
            <v>Financial Expenses</v>
          </cell>
          <cell r="E294" t="str">
            <v>Apr</v>
          </cell>
          <cell r="F294">
            <v>400</v>
          </cell>
        </row>
        <row r="295">
          <cell r="A295" t="str">
            <v>Irrigation</v>
          </cell>
          <cell r="B295" t="str">
            <v>ISLMC</v>
          </cell>
          <cell r="C295" t="str">
            <v>Depreciation</v>
          </cell>
          <cell r="E295" t="str">
            <v>Apr</v>
          </cell>
          <cell r="F295">
            <v>208.70999999999998</v>
          </cell>
        </row>
        <row r="296">
          <cell r="A296" t="str">
            <v>Irrigation</v>
          </cell>
          <cell r="B296" t="str">
            <v>ISLMC</v>
          </cell>
          <cell r="C296" t="str">
            <v>Interest</v>
          </cell>
          <cell r="E296" t="str">
            <v>Apr</v>
          </cell>
          <cell r="F296">
            <v>20</v>
          </cell>
        </row>
        <row r="297">
          <cell r="A297" t="str">
            <v>Irrigation</v>
          </cell>
          <cell r="B297" t="str">
            <v>ISLMC</v>
          </cell>
          <cell r="C297" t="str">
            <v>Other Income</v>
          </cell>
          <cell r="E297" t="str">
            <v>Apr</v>
          </cell>
          <cell r="F297">
            <v>340</v>
          </cell>
        </row>
        <row r="298">
          <cell r="A298" t="str">
            <v>Irrigation</v>
          </cell>
          <cell r="B298" t="str">
            <v>ISLMC</v>
          </cell>
          <cell r="C298" t="str">
            <v>Administrative Expenses</v>
          </cell>
          <cell r="E298" t="str">
            <v>May</v>
          </cell>
          <cell r="F298">
            <v>2180</v>
          </cell>
        </row>
        <row r="299">
          <cell r="A299" t="str">
            <v>Irrigation</v>
          </cell>
          <cell r="B299" t="str">
            <v>ISLMC</v>
          </cell>
          <cell r="C299" t="str">
            <v>Business Development</v>
          </cell>
          <cell r="E299" t="str">
            <v>May</v>
          </cell>
          <cell r="F299">
            <v>300</v>
          </cell>
        </row>
        <row r="300">
          <cell r="A300" t="str">
            <v>Irrigation</v>
          </cell>
          <cell r="B300" t="str">
            <v>ISLMC</v>
          </cell>
          <cell r="C300" t="str">
            <v>Communication Expenses</v>
          </cell>
          <cell r="E300" t="str">
            <v>May</v>
          </cell>
          <cell r="F300">
            <v>1620</v>
          </cell>
        </row>
        <row r="301">
          <cell r="A301" t="str">
            <v>Irrigation</v>
          </cell>
          <cell r="B301" t="str">
            <v>ISLMC</v>
          </cell>
          <cell r="C301" t="str">
            <v>Travel Expenses</v>
          </cell>
          <cell r="E301" t="str">
            <v>May</v>
          </cell>
          <cell r="F301">
            <v>380</v>
          </cell>
        </row>
        <row r="302">
          <cell r="A302" t="str">
            <v>Irrigation</v>
          </cell>
          <cell r="B302" t="str">
            <v>ISLMC</v>
          </cell>
          <cell r="C302" t="str">
            <v>Financial Expenses</v>
          </cell>
          <cell r="E302" t="str">
            <v>May</v>
          </cell>
          <cell r="F302">
            <v>400</v>
          </cell>
        </row>
        <row r="303">
          <cell r="A303" t="str">
            <v>Irrigation</v>
          </cell>
          <cell r="B303" t="str">
            <v>ISLMC</v>
          </cell>
          <cell r="C303" t="str">
            <v>Depreciation</v>
          </cell>
          <cell r="E303" t="str">
            <v>May</v>
          </cell>
          <cell r="F303">
            <v>210.77</v>
          </cell>
        </row>
        <row r="304">
          <cell r="A304" t="str">
            <v>Irrigation</v>
          </cell>
          <cell r="B304" t="str">
            <v>ISLMC</v>
          </cell>
          <cell r="C304" t="str">
            <v>Interest</v>
          </cell>
          <cell r="E304" t="str">
            <v>May</v>
          </cell>
          <cell r="F304">
            <v>20</v>
          </cell>
        </row>
        <row r="305">
          <cell r="A305" t="str">
            <v>Irrigation</v>
          </cell>
          <cell r="B305" t="str">
            <v>ISLMC</v>
          </cell>
          <cell r="C305" t="str">
            <v>Other Income</v>
          </cell>
          <cell r="E305" t="str">
            <v>May</v>
          </cell>
          <cell r="F305">
            <v>340</v>
          </cell>
        </row>
        <row r="306">
          <cell r="A306" t="str">
            <v>Irrigation</v>
          </cell>
          <cell r="B306" t="str">
            <v>ISLMC</v>
          </cell>
          <cell r="C306" t="str">
            <v>Administrative Expenses</v>
          </cell>
          <cell r="E306" t="str">
            <v>June</v>
          </cell>
          <cell r="F306">
            <v>2180</v>
          </cell>
        </row>
        <row r="307">
          <cell r="A307" t="str">
            <v>Irrigation</v>
          </cell>
          <cell r="B307" t="str">
            <v>ISLMC</v>
          </cell>
          <cell r="C307" t="str">
            <v>Business Development</v>
          </cell>
          <cell r="E307" t="str">
            <v>June</v>
          </cell>
          <cell r="F307">
            <v>300</v>
          </cell>
        </row>
        <row r="308">
          <cell r="A308" t="str">
            <v>Irrigation</v>
          </cell>
          <cell r="B308" t="str">
            <v>ISLMC</v>
          </cell>
          <cell r="C308" t="str">
            <v>Communication Expenses</v>
          </cell>
          <cell r="E308" t="str">
            <v>June</v>
          </cell>
          <cell r="F308">
            <v>1620</v>
          </cell>
        </row>
        <row r="309">
          <cell r="A309" t="str">
            <v>Irrigation</v>
          </cell>
          <cell r="B309" t="str">
            <v>ISLMC</v>
          </cell>
          <cell r="C309" t="str">
            <v>Travel Expenses</v>
          </cell>
          <cell r="E309" t="str">
            <v>June</v>
          </cell>
          <cell r="F309">
            <v>380</v>
          </cell>
        </row>
        <row r="310">
          <cell r="A310" t="str">
            <v>Irrigation</v>
          </cell>
          <cell r="B310" t="str">
            <v>ISLMC</v>
          </cell>
          <cell r="C310" t="str">
            <v>Financial Expenses</v>
          </cell>
          <cell r="E310" t="str">
            <v>June</v>
          </cell>
          <cell r="F310">
            <v>400</v>
          </cell>
        </row>
        <row r="311">
          <cell r="A311" t="str">
            <v>Irrigation</v>
          </cell>
          <cell r="B311" t="str">
            <v>ISLMC</v>
          </cell>
          <cell r="C311" t="str">
            <v>Depreciation</v>
          </cell>
          <cell r="E311" t="str">
            <v>June</v>
          </cell>
          <cell r="F311">
            <v>212.84</v>
          </cell>
        </row>
        <row r="312">
          <cell r="A312" t="str">
            <v>Irrigation</v>
          </cell>
          <cell r="B312" t="str">
            <v>ISLMC</v>
          </cell>
          <cell r="C312" t="str">
            <v>Interest</v>
          </cell>
          <cell r="E312" t="str">
            <v>June</v>
          </cell>
          <cell r="F312">
            <v>20</v>
          </cell>
        </row>
        <row r="313">
          <cell r="A313" t="str">
            <v>Irrigation</v>
          </cell>
          <cell r="B313" t="str">
            <v>ISLMC</v>
          </cell>
          <cell r="C313" t="str">
            <v>Other Income</v>
          </cell>
          <cell r="E313" t="str">
            <v>June</v>
          </cell>
          <cell r="F313">
            <v>340</v>
          </cell>
        </row>
        <row r="314">
          <cell r="A314" t="str">
            <v>Irrigation</v>
          </cell>
          <cell r="B314" t="str">
            <v>ISLMC</v>
          </cell>
          <cell r="C314" t="str">
            <v>Administrative Expenses</v>
          </cell>
          <cell r="E314" t="str">
            <v>July</v>
          </cell>
          <cell r="F314">
            <v>2180</v>
          </cell>
        </row>
        <row r="315">
          <cell r="A315" t="str">
            <v>Irrigation</v>
          </cell>
          <cell r="B315" t="str">
            <v>ISLMC</v>
          </cell>
          <cell r="C315" t="str">
            <v>Business Development</v>
          </cell>
          <cell r="E315" t="str">
            <v>July</v>
          </cell>
          <cell r="F315">
            <v>300</v>
          </cell>
        </row>
        <row r="316">
          <cell r="A316" t="str">
            <v>Irrigation</v>
          </cell>
          <cell r="B316" t="str">
            <v>ISLMC</v>
          </cell>
          <cell r="C316" t="str">
            <v>Communication Expenses</v>
          </cell>
          <cell r="E316" t="str">
            <v>July</v>
          </cell>
          <cell r="F316">
            <v>1620</v>
          </cell>
        </row>
        <row r="317">
          <cell r="A317" t="str">
            <v>Irrigation</v>
          </cell>
          <cell r="B317" t="str">
            <v>ISLMC</v>
          </cell>
          <cell r="C317" t="str">
            <v>Travel Expenses</v>
          </cell>
          <cell r="E317" t="str">
            <v>July</v>
          </cell>
          <cell r="F317">
            <v>380</v>
          </cell>
        </row>
        <row r="318">
          <cell r="A318" t="str">
            <v>Irrigation</v>
          </cell>
          <cell r="B318" t="str">
            <v>ISLMC</v>
          </cell>
          <cell r="C318" t="str">
            <v>Financial Expenses</v>
          </cell>
          <cell r="E318" t="str">
            <v>July</v>
          </cell>
          <cell r="F318">
            <v>400</v>
          </cell>
        </row>
        <row r="319">
          <cell r="A319" t="str">
            <v>Irrigation</v>
          </cell>
          <cell r="B319" t="str">
            <v>ISLMC</v>
          </cell>
          <cell r="C319" t="str">
            <v>Depreciation</v>
          </cell>
          <cell r="E319" t="str">
            <v>July</v>
          </cell>
          <cell r="F319">
            <v>214.89999999999998</v>
          </cell>
        </row>
        <row r="320">
          <cell r="A320" t="str">
            <v>Irrigation</v>
          </cell>
          <cell r="B320" t="str">
            <v>ISLMC</v>
          </cell>
          <cell r="C320" t="str">
            <v>Interest</v>
          </cell>
          <cell r="E320" t="str">
            <v>July</v>
          </cell>
          <cell r="F320">
            <v>20</v>
          </cell>
        </row>
        <row r="321">
          <cell r="A321" t="str">
            <v>Irrigation</v>
          </cell>
          <cell r="B321" t="str">
            <v>ISLMC</v>
          </cell>
          <cell r="C321" t="str">
            <v>Other Income</v>
          </cell>
          <cell r="E321" t="str">
            <v>July</v>
          </cell>
          <cell r="F321">
            <v>340</v>
          </cell>
        </row>
        <row r="322">
          <cell r="A322" t="str">
            <v>Irrigation</v>
          </cell>
          <cell r="B322" t="str">
            <v>ISLMC</v>
          </cell>
          <cell r="C322" t="str">
            <v>Administrative Expenses</v>
          </cell>
          <cell r="E322" t="str">
            <v>Aug</v>
          </cell>
          <cell r="F322">
            <v>2180</v>
          </cell>
        </row>
        <row r="323">
          <cell r="A323" t="str">
            <v>Irrigation</v>
          </cell>
          <cell r="B323" t="str">
            <v>ISLMC</v>
          </cell>
          <cell r="C323" t="str">
            <v>Business Development</v>
          </cell>
          <cell r="E323" t="str">
            <v>Aug</v>
          </cell>
          <cell r="F323">
            <v>300</v>
          </cell>
        </row>
        <row r="324">
          <cell r="A324" t="str">
            <v>Irrigation</v>
          </cell>
          <cell r="B324" t="str">
            <v>ISLMC</v>
          </cell>
          <cell r="C324" t="str">
            <v>Communication Expenses</v>
          </cell>
          <cell r="E324" t="str">
            <v>Aug</v>
          </cell>
          <cell r="F324">
            <v>1620</v>
          </cell>
        </row>
        <row r="325">
          <cell r="A325" t="str">
            <v>Irrigation</v>
          </cell>
          <cell r="B325" t="str">
            <v>ISLMC</v>
          </cell>
          <cell r="C325" t="str">
            <v>Travel Expenses</v>
          </cell>
          <cell r="E325" t="str">
            <v>Aug</v>
          </cell>
          <cell r="F325">
            <v>380</v>
          </cell>
        </row>
        <row r="326">
          <cell r="A326" t="str">
            <v>Irrigation</v>
          </cell>
          <cell r="B326" t="str">
            <v>ISLMC</v>
          </cell>
          <cell r="C326" t="str">
            <v>Financial Expenses</v>
          </cell>
          <cell r="E326" t="str">
            <v>Aug</v>
          </cell>
          <cell r="F326">
            <v>400</v>
          </cell>
        </row>
        <row r="327">
          <cell r="A327" t="str">
            <v>Irrigation</v>
          </cell>
          <cell r="B327" t="str">
            <v>ISLMC</v>
          </cell>
          <cell r="C327" t="str">
            <v>Depreciation</v>
          </cell>
          <cell r="E327" t="str">
            <v>Aug</v>
          </cell>
          <cell r="F327">
            <v>216.97</v>
          </cell>
        </row>
        <row r="328">
          <cell r="A328" t="str">
            <v>Irrigation</v>
          </cell>
          <cell r="B328" t="str">
            <v>ISLMC</v>
          </cell>
          <cell r="C328" t="str">
            <v>Interest</v>
          </cell>
          <cell r="E328" t="str">
            <v>Aug</v>
          </cell>
          <cell r="F328">
            <v>20</v>
          </cell>
        </row>
        <row r="329">
          <cell r="A329" t="str">
            <v>Irrigation</v>
          </cell>
          <cell r="B329" t="str">
            <v>ISLMC</v>
          </cell>
          <cell r="C329" t="str">
            <v>Other Income</v>
          </cell>
          <cell r="E329" t="str">
            <v>Aug</v>
          </cell>
          <cell r="F329">
            <v>340</v>
          </cell>
        </row>
        <row r="330">
          <cell r="A330" t="str">
            <v>Irrigation</v>
          </cell>
          <cell r="B330" t="str">
            <v>ISLMC</v>
          </cell>
          <cell r="C330" t="str">
            <v>Administrative Expenses</v>
          </cell>
          <cell r="E330" t="str">
            <v>Sep</v>
          </cell>
          <cell r="F330">
            <v>2180</v>
          </cell>
        </row>
        <row r="331">
          <cell r="A331" t="str">
            <v>Irrigation</v>
          </cell>
          <cell r="B331" t="str">
            <v>ISLMC</v>
          </cell>
          <cell r="C331" t="str">
            <v>Business Development</v>
          </cell>
          <cell r="E331" t="str">
            <v>Sep</v>
          </cell>
          <cell r="F331">
            <v>300</v>
          </cell>
        </row>
        <row r="332">
          <cell r="A332" t="str">
            <v>Irrigation</v>
          </cell>
          <cell r="B332" t="str">
            <v>ISLMC</v>
          </cell>
          <cell r="C332" t="str">
            <v>Communication Expenses</v>
          </cell>
          <cell r="E332" t="str">
            <v>Sep</v>
          </cell>
          <cell r="F332">
            <v>1620</v>
          </cell>
        </row>
        <row r="333">
          <cell r="A333" t="str">
            <v>Irrigation</v>
          </cell>
          <cell r="B333" t="str">
            <v>ISLMC</v>
          </cell>
          <cell r="C333" t="str">
            <v>Travel Expenses</v>
          </cell>
          <cell r="E333" t="str">
            <v>Sep</v>
          </cell>
          <cell r="F333">
            <v>380</v>
          </cell>
        </row>
        <row r="334">
          <cell r="A334" t="str">
            <v>Irrigation</v>
          </cell>
          <cell r="B334" t="str">
            <v>ISLMC</v>
          </cell>
          <cell r="C334" t="str">
            <v>Financial Expenses</v>
          </cell>
          <cell r="E334" t="str">
            <v>Sep</v>
          </cell>
          <cell r="F334">
            <v>400</v>
          </cell>
        </row>
        <row r="335">
          <cell r="A335" t="str">
            <v>Irrigation</v>
          </cell>
          <cell r="B335" t="str">
            <v>ISLMC</v>
          </cell>
          <cell r="C335" t="str">
            <v>Depreciation</v>
          </cell>
          <cell r="E335" t="str">
            <v>Sep</v>
          </cell>
          <cell r="F335">
            <v>219.03</v>
          </cell>
        </row>
        <row r="336">
          <cell r="A336" t="str">
            <v>Irrigation</v>
          </cell>
          <cell r="B336" t="str">
            <v>ISLMC</v>
          </cell>
          <cell r="C336" t="str">
            <v>Interest</v>
          </cell>
          <cell r="E336" t="str">
            <v>Sep</v>
          </cell>
          <cell r="F336">
            <v>20</v>
          </cell>
        </row>
        <row r="337">
          <cell r="A337" t="str">
            <v>Irrigation</v>
          </cell>
          <cell r="B337" t="str">
            <v>ISLMC</v>
          </cell>
          <cell r="C337" t="str">
            <v>Other Income</v>
          </cell>
          <cell r="E337" t="str">
            <v>Sep</v>
          </cell>
          <cell r="F337">
            <v>340</v>
          </cell>
        </row>
        <row r="338">
          <cell r="A338" t="str">
            <v>Irrigation</v>
          </cell>
          <cell r="B338" t="str">
            <v>ISLMC</v>
          </cell>
          <cell r="C338" t="str">
            <v>Administrative Expenses</v>
          </cell>
          <cell r="E338" t="str">
            <v>Oct</v>
          </cell>
          <cell r="F338">
            <v>2180</v>
          </cell>
        </row>
        <row r="339">
          <cell r="A339" t="str">
            <v>Irrigation</v>
          </cell>
          <cell r="B339" t="str">
            <v>ISLMC</v>
          </cell>
          <cell r="C339" t="str">
            <v>Business Development</v>
          </cell>
          <cell r="E339" t="str">
            <v>Oct</v>
          </cell>
          <cell r="F339">
            <v>300</v>
          </cell>
        </row>
        <row r="340">
          <cell r="A340" t="str">
            <v>Irrigation</v>
          </cell>
          <cell r="B340" t="str">
            <v>ISLMC</v>
          </cell>
          <cell r="C340" t="str">
            <v>Communication Expenses</v>
          </cell>
          <cell r="E340" t="str">
            <v>Oct</v>
          </cell>
          <cell r="F340">
            <v>1620</v>
          </cell>
        </row>
        <row r="341">
          <cell r="A341" t="str">
            <v>Irrigation</v>
          </cell>
          <cell r="B341" t="str">
            <v>ISLMC</v>
          </cell>
          <cell r="C341" t="str">
            <v>Travel Expenses</v>
          </cell>
          <cell r="E341" t="str">
            <v>Oct</v>
          </cell>
          <cell r="F341">
            <v>380</v>
          </cell>
        </row>
        <row r="342">
          <cell r="A342" t="str">
            <v>Irrigation</v>
          </cell>
          <cell r="B342" t="str">
            <v>ISLMC</v>
          </cell>
          <cell r="C342" t="str">
            <v>Financial Expenses</v>
          </cell>
          <cell r="E342" t="str">
            <v>Oct</v>
          </cell>
          <cell r="F342">
            <v>400</v>
          </cell>
        </row>
        <row r="343">
          <cell r="A343" t="str">
            <v>Irrigation</v>
          </cell>
          <cell r="B343" t="str">
            <v>ISLMC</v>
          </cell>
          <cell r="C343" t="str">
            <v>Depreciation</v>
          </cell>
          <cell r="E343" t="str">
            <v>Oct</v>
          </cell>
          <cell r="F343">
            <v>221.1</v>
          </cell>
        </row>
        <row r="344">
          <cell r="A344" t="str">
            <v>Irrigation</v>
          </cell>
          <cell r="B344" t="str">
            <v>ISLMC</v>
          </cell>
          <cell r="C344" t="str">
            <v>Interest</v>
          </cell>
          <cell r="E344" t="str">
            <v>Oct</v>
          </cell>
          <cell r="F344">
            <v>20</v>
          </cell>
        </row>
        <row r="345">
          <cell r="A345" t="str">
            <v>Irrigation</v>
          </cell>
          <cell r="B345" t="str">
            <v>ISLMC</v>
          </cell>
          <cell r="C345" t="str">
            <v>Other Income</v>
          </cell>
          <cell r="E345" t="str">
            <v>Oct</v>
          </cell>
          <cell r="F345">
            <v>340</v>
          </cell>
        </row>
        <row r="346">
          <cell r="A346" t="str">
            <v>Irrigation</v>
          </cell>
          <cell r="B346" t="str">
            <v>ISLMC</v>
          </cell>
          <cell r="C346" t="str">
            <v>Administrative Expenses</v>
          </cell>
          <cell r="E346" t="str">
            <v>Nov</v>
          </cell>
          <cell r="F346">
            <v>2180</v>
          </cell>
        </row>
        <row r="347">
          <cell r="A347" t="str">
            <v>Irrigation</v>
          </cell>
          <cell r="B347" t="str">
            <v>ISLMC</v>
          </cell>
          <cell r="C347" t="str">
            <v>Business Development</v>
          </cell>
          <cell r="E347" t="str">
            <v>Nov</v>
          </cell>
          <cell r="F347">
            <v>300</v>
          </cell>
        </row>
        <row r="348">
          <cell r="A348" t="str">
            <v>Irrigation</v>
          </cell>
          <cell r="B348" t="str">
            <v>ISLMC</v>
          </cell>
          <cell r="C348" t="str">
            <v>Communication Expenses</v>
          </cell>
          <cell r="E348" t="str">
            <v>Nov</v>
          </cell>
          <cell r="F348">
            <v>1620</v>
          </cell>
        </row>
        <row r="349">
          <cell r="A349" t="str">
            <v>Irrigation</v>
          </cell>
          <cell r="B349" t="str">
            <v>ISLMC</v>
          </cell>
          <cell r="C349" t="str">
            <v>Travel Expenses</v>
          </cell>
          <cell r="E349" t="str">
            <v>Nov</v>
          </cell>
          <cell r="F349">
            <v>380</v>
          </cell>
        </row>
        <row r="350">
          <cell r="A350" t="str">
            <v>Irrigation</v>
          </cell>
          <cell r="B350" t="str">
            <v>ISLMC</v>
          </cell>
          <cell r="C350" t="str">
            <v>Financial Expenses</v>
          </cell>
          <cell r="E350" t="str">
            <v>Nov</v>
          </cell>
          <cell r="F350">
            <v>400</v>
          </cell>
        </row>
        <row r="351">
          <cell r="A351" t="str">
            <v>Irrigation</v>
          </cell>
          <cell r="B351" t="str">
            <v>ISLMC</v>
          </cell>
          <cell r="C351" t="str">
            <v>Depreciation</v>
          </cell>
          <cell r="E351" t="str">
            <v>Nov</v>
          </cell>
          <cell r="F351">
            <v>223.18</v>
          </cell>
        </row>
        <row r="352">
          <cell r="A352" t="str">
            <v>Irrigation</v>
          </cell>
          <cell r="B352" t="str">
            <v>ISLMC</v>
          </cell>
          <cell r="C352" t="str">
            <v>Interest</v>
          </cell>
          <cell r="E352" t="str">
            <v>Nov</v>
          </cell>
          <cell r="F352">
            <v>20</v>
          </cell>
        </row>
        <row r="353">
          <cell r="A353" t="str">
            <v>Irrigation</v>
          </cell>
          <cell r="B353" t="str">
            <v>ISLMC</v>
          </cell>
          <cell r="C353" t="str">
            <v>Other Income</v>
          </cell>
          <cell r="E353" t="str">
            <v>Nov</v>
          </cell>
          <cell r="F353">
            <v>340</v>
          </cell>
        </row>
        <row r="354">
          <cell r="A354" t="str">
            <v>Irrigation</v>
          </cell>
          <cell r="B354" t="str">
            <v>ISLMC</v>
          </cell>
          <cell r="C354" t="str">
            <v>Administrative Expenses</v>
          </cell>
          <cell r="E354" t="str">
            <v>Dec</v>
          </cell>
          <cell r="F354">
            <v>2180</v>
          </cell>
        </row>
        <row r="355">
          <cell r="A355" t="str">
            <v>Irrigation</v>
          </cell>
          <cell r="B355" t="str">
            <v>ISLMC</v>
          </cell>
          <cell r="C355" t="str">
            <v>Business Development</v>
          </cell>
          <cell r="E355" t="str">
            <v>Dec</v>
          </cell>
          <cell r="F355">
            <v>300</v>
          </cell>
        </row>
        <row r="356">
          <cell r="A356" t="str">
            <v>Irrigation</v>
          </cell>
          <cell r="B356" t="str">
            <v>ISLMC</v>
          </cell>
          <cell r="C356" t="str">
            <v>Communication Expenses</v>
          </cell>
          <cell r="E356" t="str">
            <v>Dec</v>
          </cell>
          <cell r="F356">
            <v>1620</v>
          </cell>
        </row>
        <row r="357">
          <cell r="A357" t="str">
            <v>Irrigation</v>
          </cell>
          <cell r="B357" t="str">
            <v>ISLMC</v>
          </cell>
          <cell r="C357" t="str">
            <v>Travel Expenses</v>
          </cell>
          <cell r="E357" t="str">
            <v>Dec</v>
          </cell>
          <cell r="F357">
            <v>380</v>
          </cell>
        </row>
        <row r="358">
          <cell r="A358" t="str">
            <v>Irrigation</v>
          </cell>
          <cell r="B358" t="str">
            <v>ISLMC</v>
          </cell>
          <cell r="C358" t="str">
            <v>Financial Expenses</v>
          </cell>
          <cell r="E358" t="str">
            <v>Dec</v>
          </cell>
          <cell r="F358">
            <v>400</v>
          </cell>
        </row>
        <row r="359">
          <cell r="A359" t="str">
            <v>Irrigation</v>
          </cell>
          <cell r="B359" t="str">
            <v>ISLMC</v>
          </cell>
          <cell r="C359" t="str">
            <v>Depreciation</v>
          </cell>
          <cell r="E359" t="str">
            <v>Dec</v>
          </cell>
          <cell r="F359">
            <v>225.23999999999998</v>
          </cell>
        </row>
        <row r="360">
          <cell r="A360" t="str">
            <v>Irrigation</v>
          </cell>
          <cell r="B360" t="str">
            <v>ISLMC</v>
          </cell>
          <cell r="C360" t="str">
            <v>Interest</v>
          </cell>
          <cell r="E360" t="str">
            <v>Dec</v>
          </cell>
          <cell r="F360">
            <v>20</v>
          </cell>
        </row>
        <row r="361">
          <cell r="A361" t="str">
            <v>Irrigation</v>
          </cell>
          <cell r="B361" t="str">
            <v>ISLMC</v>
          </cell>
          <cell r="C361" t="str">
            <v>Other Income</v>
          </cell>
          <cell r="E361" t="str">
            <v>Dec</v>
          </cell>
          <cell r="F361">
            <v>340</v>
          </cell>
        </row>
        <row r="362">
          <cell r="A362" t="str">
            <v>Irrigation</v>
          </cell>
          <cell r="B362" t="str">
            <v>ISLMC</v>
          </cell>
          <cell r="C362" t="str">
            <v>Administrative Expenses</v>
          </cell>
          <cell r="E362" t="str">
            <v>Jan</v>
          </cell>
          <cell r="F362">
            <v>2180</v>
          </cell>
        </row>
        <row r="363">
          <cell r="A363" t="str">
            <v>Irrigation</v>
          </cell>
          <cell r="B363" t="str">
            <v>ISLMC</v>
          </cell>
          <cell r="C363" t="str">
            <v>Business Development</v>
          </cell>
          <cell r="E363" t="str">
            <v>Jan</v>
          </cell>
          <cell r="F363">
            <v>300</v>
          </cell>
        </row>
        <row r="364">
          <cell r="A364" t="str">
            <v>Irrigation</v>
          </cell>
          <cell r="B364" t="str">
            <v>ISLMC</v>
          </cell>
          <cell r="C364" t="str">
            <v>Communication Expenses</v>
          </cell>
          <cell r="E364" t="str">
            <v>Jan</v>
          </cell>
          <cell r="F364">
            <v>1620</v>
          </cell>
        </row>
        <row r="365">
          <cell r="A365" t="str">
            <v>Irrigation</v>
          </cell>
          <cell r="B365" t="str">
            <v>ISLMC</v>
          </cell>
          <cell r="C365" t="str">
            <v>Travel Expenses</v>
          </cell>
          <cell r="E365" t="str">
            <v>Jan</v>
          </cell>
          <cell r="F365">
            <v>380</v>
          </cell>
        </row>
        <row r="366">
          <cell r="A366" t="str">
            <v>Irrigation</v>
          </cell>
          <cell r="B366" t="str">
            <v>ISLMC</v>
          </cell>
          <cell r="C366" t="str">
            <v>Financial Expenses</v>
          </cell>
          <cell r="E366" t="str">
            <v>Jan</v>
          </cell>
          <cell r="F366">
            <v>400</v>
          </cell>
        </row>
        <row r="367">
          <cell r="A367" t="str">
            <v>Irrigation</v>
          </cell>
          <cell r="B367" t="str">
            <v>ISLMC</v>
          </cell>
          <cell r="C367" t="str">
            <v>Depreciation</v>
          </cell>
          <cell r="E367" t="str">
            <v>Jan</v>
          </cell>
          <cell r="F367">
            <v>227.31</v>
          </cell>
        </row>
        <row r="368">
          <cell r="A368" t="str">
            <v>Irrigation</v>
          </cell>
          <cell r="B368" t="str">
            <v>ISLMC</v>
          </cell>
          <cell r="C368" t="str">
            <v>Interest</v>
          </cell>
          <cell r="E368" t="str">
            <v>Jan</v>
          </cell>
          <cell r="F368">
            <v>20</v>
          </cell>
        </row>
        <row r="369">
          <cell r="A369" t="str">
            <v>Irrigation</v>
          </cell>
          <cell r="B369" t="str">
            <v>ISLMC</v>
          </cell>
          <cell r="C369" t="str">
            <v>Other Income</v>
          </cell>
          <cell r="E369" t="str">
            <v>Jan</v>
          </cell>
          <cell r="F369">
            <v>340</v>
          </cell>
        </row>
        <row r="370">
          <cell r="A370" t="str">
            <v>Irrigation</v>
          </cell>
          <cell r="B370" t="str">
            <v>ISLMC</v>
          </cell>
          <cell r="C370" t="str">
            <v>Administrative Expenses</v>
          </cell>
          <cell r="E370" t="str">
            <v>Feb</v>
          </cell>
          <cell r="F370">
            <v>2180</v>
          </cell>
        </row>
        <row r="371">
          <cell r="A371" t="str">
            <v>Irrigation</v>
          </cell>
          <cell r="B371" t="str">
            <v>ISLMC</v>
          </cell>
          <cell r="C371" t="str">
            <v>Business Development</v>
          </cell>
          <cell r="E371" t="str">
            <v>Feb</v>
          </cell>
          <cell r="F371">
            <v>300</v>
          </cell>
        </row>
        <row r="372">
          <cell r="A372" t="str">
            <v>Irrigation</v>
          </cell>
          <cell r="B372" t="str">
            <v>ISLMC</v>
          </cell>
          <cell r="C372" t="str">
            <v>Communication Expenses</v>
          </cell>
          <cell r="E372" t="str">
            <v>Feb</v>
          </cell>
          <cell r="F372">
            <v>1620</v>
          </cell>
        </row>
        <row r="373">
          <cell r="A373" t="str">
            <v>Irrigation</v>
          </cell>
          <cell r="B373" t="str">
            <v>ISLMC</v>
          </cell>
          <cell r="C373" t="str">
            <v>Travel Expenses</v>
          </cell>
          <cell r="E373" t="str">
            <v>Feb</v>
          </cell>
          <cell r="F373">
            <v>380</v>
          </cell>
        </row>
        <row r="374">
          <cell r="A374" t="str">
            <v>Irrigation</v>
          </cell>
          <cell r="B374" t="str">
            <v>ISLMC</v>
          </cell>
          <cell r="C374" t="str">
            <v>Financial Expenses</v>
          </cell>
          <cell r="E374" t="str">
            <v>Feb</v>
          </cell>
          <cell r="F374">
            <v>400</v>
          </cell>
        </row>
        <row r="375">
          <cell r="A375" t="str">
            <v>Irrigation</v>
          </cell>
          <cell r="B375" t="str">
            <v>ISLMC</v>
          </cell>
          <cell r="C375" t="str">
            <v>Depreciation</v>
          </cell>
          <cell r="E375" t="str">
            <v>Feb</v>
          </cell>
          <cell r="F375">
            <v>229.37</v>
          </cell>
        </row>
        <row r="376">
          <cell r="A376" t="str">
            <v>Irrigation</v>
          </cell>
          <cell r="B376" t="str">
            <v>ISLMC</v>
          </cell>
          <cell r="C376" t="str">
            <v>Interest</v>
          </cell>
          <cell r="E376" t="str">
            <v>Feb</v>
          </cell>
          <cell r="F376">
            <v>20</v>
          </cell>
        </row>
        <row r="377">
          <cell r="A377" t="str">
            <v>Irrigation</v>
          </cell>
          <cell r="B377" t="str">
            <v>ISLMC</v>
          </cell>
          <cell r="C377" t="str">
            <v>Other Income</v>
          </cell>
          <cell r="E377" t="str">
            <v>Feb</v>
          </cell>
          <cell r="F377">
            <v>340</v>
          </cell>
        </row>
        <row r="378">
          <cell r="A378" t="str">
            <v>Irrigation</v>
          </cell>
          <cell r="B378" t="str">
            <v>ISLMC</v>
          </cell>
          <cell r="C378" t="str">
            <v>Administrative Expenses</v>
          </cell>
          <cell r="E378" t="str">
            <v>Mar</v>
          </cell>
          <cell r="F378">
            <v>2180</v>
          </cell>
        </row>
        <row r="379">
          <cell r="A379" t="str">
            <v>Irrigation</v>
          </cell>
          <cell r="B379" t="str">
            <v>ISLMC</v>
          </cell>
          <cell r="C379" t="str">
            <v>Business Development</v>
          </cell>
          <cell r="E379" t="str">
            <v>Mar</v>
          </cell>
          <cell r="F379">
            <v>300</v>
          </cell>
        </row>
        <row r="380">
          <cell r="A380" t="str">
            <v>Irrigation</v>
          </cell>
          <cell r="B380" t="str">
            <v>ISLMC</v>
          </cell>
          <cell r="C380" t="str">
            <v>Communication Expenses</v>
          </cell>
          <cell r="E380" t="str">
            <v>Mar</v>
          </cell>
          <cell r="F380">
            <v>1620</v>
          </cell>
        </row>
        <row r="381">
          <cell r="A381" t="str">
            <v>Irrigation</v>
          </cell>
          <cell r="B381" t="str">
            <v>ISLMC</v>
          </cell>
          <cell r="C381" t="str">
            <v>Travel Expenses</v>
          </cell>
          <cell r="E381" t="str">
            <v>Mar</v>
          </cell>
          <cell r="F381">
            <v>380</v>
          </cell>
        </row>
        <row r="382">
          <cell r="A382" t="str">
            <v>Irrigation</v>
          </cell>
          <cell r="B382" t="str">
            <v>ISLMC</v>
          </cell>
          <cell r="C382" t="str">
            <v>Financial Expenses</v>
          </cell>
          <cell r="E382" t="str">
            <v>Mar</v>
          </cell>
          <cell r="F382">
            <v>400</v>
          </cell>
        </row>
        <row r="383">
          <cell r="A383" t="str">
            <v>Irrigation</v>
          </cell>
          <cell r="B383" t="str">
            <v>ISLMC</v>
          </cell>
          <cell r="C383" t="str">
            <v>Depreciation</v>
          </cell>
          <cell r="E383" t="str">
            <v>Mar</v>
          </cell>
          <cell r="F383">
            <v>231.44</v>
          </cell>
        </row>
        <row r="384">
          <cell r="A384" t="str">
            <v>Irrigation</v>
          </cell>
          <cell r="B384" t="str">
            <v>ISLMC</v>
          </cell>
          <cell r="C384" t="str">
            <v>Interest</v>
          </cell>
          <cell r="E384" t="str">
            <v>Mar</v>
          </cell>
          <cell r="F384">
            <v>20</v>
          </cell>
        </row>
        <row r="385">
          <cell r="A385" t="str">
            <v>Irrigation</v>
          </cell>
          <cell r="B385" t="str">
            <v>ISLMC</v>
          </cell>
          <cell r="C385" t="str">
            <v>Other Income</v>
          </cell>
          <cell r="E385" t="str">
            <v>Mar</v>
          </cell>
          <cell r="F385">
            <v>340</v>
          </cell>
        </row>
        <row r="386">
          <cell r="A386" t="str">
            <v>Buildings</v>
          </cell>
          <cell r="B386" t="str">
            <v>HC</v>
          </cell>
          <cell r="C386" t="str">
            <v>Administrative Expenses</v>
          </cell>
          <cell r="E386" t="str">
            <v>Apr</v>
          </cell>
          <cell r="F386">
            <v>2400</v>
          </cell>
        </row>
        <row r="387">
          <cell r="A387" t="str">
            <v>Buildings</v>
          </cell>
          <cell r="B387" t="str">
            <v>HC</v>
          </cell>
          <cell r="C387" t="str">
            <v>Business Development</v>
          </cell>
          <cell r="E387" t="str">
            <v>Apr</v>
          </cell>
          <cell r="F387">
            <v>256</v>
          </cell>
        </row>
        <row r="388">
          <cell r="A388" t="str">
            <v>Buildings</v>
          </cell>
          <cell r="B388" t="str">
            <v>HC</v>
          </cell>
          <cell r="C388" t="str">
            <v>Communication Expenses</v>
          </cell>
          <cell r="E388" t="str">
            <v>Apr</v>
          </cell>
          <cell r="F388">
            <v>4128</v>
          </cell>
        </row>
        <row r="389">
          <cell r="A389" t="str">
            <v>Buildings</v>
          </cell>
          <cell r="B389" t="str">
            <v>HC</v>
          </cell>
          <cell r="C389" t="str">
            <v>Travel Expenses</v>
          </cell>
          <cell r="E389" t="str">
            <v>Apr</v>
          </cell>
          <cell r="F389">
            <v>512</v>
          </cell>
        </row>
        <row r="390">
          <cell r="A390" t="str">
            <v>Buildings</v>
          </cell>
          <cell r="B390" t="str">
            <v>HC</v>
          </cell>
          <cell r="C390" t="str">
            <v>Financial Expenses</v>
          </cell>
          <cell r="E390" t="str">
            <v>Apr</v>
          </cell>
          <cell r="F390">
            <v>416</v>
          </cell>
        </row>
        <row r="391">
          <cell r="A391" t="str">
            <v>Buildings</v>
          </cell>
          <cell r="B391" t="str">
            <v>HC</v>
          </cell>
          <cell r="C391" t="str">
            <v>Depreciation</v>
          </cell>
          <cell r="E391" t="str">
            <v>Apr</v>
          </cell>
          <cell r="F391">
            <v>333.93</v>
          </cell>
        </row>
        <row r="392">
          <cell r="A392" t="str">
            <v>Buildings</v>
          </cell>
          <cell r="B392" t="str">
            <v>HC</v>
          </cell>
          <cell r="C392" t="str">
            <v>Interest</v>
          </cell>
          <cell r="E392" t="str">
            <v>Apr</v>
          </cell>
          <cell r="F392">
            <v>32</v>
          </cell>
        </row>
        <row r="393">
          <cell r="A393" t="str">
            <v>Buildings</v>
          </cell>
          <cell r="B393" t="str">
            <v>HC</v>
          </cell>
          <cell r="C393" t="str">
            <v>Other Income</v>
          </cell>
          <cell r="E393" t="str">
            <v>Apr</v>
          </cell>
          <cell r="F393">
            <v>416</v>
          </cell>
        </row>
        <row r="394">
          <cell r="A394" t="str">
            <v>Buildings</v>
          </cell>
          <cell r="B394" t="str">
            <v>HC</v>
          </cell>
          <cell r="C394" t="str">
            <v>Administrative Expenses</v>
          </cell>
          <cell r="E394" t="str">
            <v>May</v>
          </cell>
          <cell r="F394">
            <v>2400</v>
          </cell>
        </row>
        <row r="395">
          <cell r="A395" t="str">
            <v>Buildings</v>
          </cell>
          <cell r="B395" t="str">
            <v>HC</v>
          </cell>
          <cell r="C395" t="str">
            <v>Business Development</v>
          </cell>
          <cell r="E395" t="str">
            <v>May</v>
          </cell>
          <cell r="F395">
            <v>256</v>
          </cell>
        </row>
        <row r="396">
          <cell r="A396" t="str">
            <v>Buildings</v>
          </cell>
          <cell r="B396" t="str">
            <v>HC</v>
          </cell>
          <cell r="C396" t="str">
            <v>Communication Expenses</v>
          </cell>
          <cell r="E396" t="str">
            <v>May</v>
          </cell>
          <cell r="F396">
            <v>4128</v>
          </cell>
        </row>
        <row r="397">
          <cell r="A397" t="str">
            <v>Buildings</v>
          </cell>
          <cell r="B397" t="str">
            <v>HC</v>
          </cell>
          <cell r="C397" t="str">
            <v>Travel Expenses</v>
          </cell>
          <cell r="E397" t="str">
            <v>May</v>
          </cell>
          <cell r="F397">
            <v>512</v>
          </cell>
        </row>
        <row r="398">
          <cell r="A398" t="str">
            <v>Buildings</v>
          </cell>
          <cell r="B398" t="str">
            <v>HC</v>
          </cell>
          <cell r="C398" t="str">
            <v>Financial Expenses</v>
          </cell>
          <cell r="E398" t="str">
            <v>May</v>
          </cell>
          <cell r="F398">
            <v>416</v>
          </cell>
        </row>
        <row r="399">
          <cell r="A399" t="str">
            <v>Buildings</v>
          </cell>
          <cell r="B399" t="str">
            <v>HC</v>
          </cell>
          <cell r="C399" t="str">
            <v>Depreciation</v>
          </cell>
          <cell r="E399" t="str">
            <v>May</v>
          </cell>
          <cell r="F399">
            <v>337.23</v>
          </cell>
        </row>
        <row r="400">
          <cell r="A400" t="str">
            <v>Buildings</v>
          </cell>
          <cell r="B400" t="str">
            <v>HC</v>
          </cell>
          <cell r="C400" t="str">
            <v>Interest</v>
          </cell>
          <cell r="E400" t="str">
            <v>May</v>
          </cell>
          <cell r="F400">
            <v>32</v>
          </cell>
        </row>
        <row r="401">
          <cell r="A401" t="str">
            <v>Buildings</v>
          </cell>
          <cell r="B401" t="str">
            <v>HC</v>
          </cell>
          <cell r="C401" t="str">
            <v>Other Income</v>
          </cell>
          <cell r="E401" t="str">
            <v>May</v>
          </cell>
          <cell r="F401">
            <v>416</v>
          </cell>
        </row>
        <row r="402">
          <cell r="A402" t="str">
            <v>Buildings</v>
          </cell>
          <cell r="B402" t="str">
            <v>HC</v>
          </cell>
          <cell r="C402" t="str">
            <v>Administrative Expenses</v>
          </cell>
          <cell r="E402" t="str">
            <v>June</v>
          </cell>
          <cell r="F402">
            <v>2400</v>
          </cell>
        </row>
        <row r="403">
          <cell r="A403" t="str">
            <v>Buildings</v>
          </cell>
          <cell r="B403" t="str">
            <v>HC</v>
          </cell>
          <cell r="C403" t="str">
            <v>Business Development</v>
          </cell>
          <cell r="E403" t="str">
            <v>June</v>
          </cell>
          <cell r="F403">
            <v>256</v>
          </cell>
        </row>
        <row r="404">
          <cell r="A404" t="str">
            <v>Buildings</v>
          </cell>
          <cell r="B404" t="str">
            <v>HC</v>
          </cell>
          <cell r="C404" t="str">
            <v>Communication Expenses</v>
          </cell>
          <cell r="E404" t="str">
            <v>June</v>
          </cell>
          <cell r="F404">
            <v>4128</v>
          </cell>
        </row>
        <row r="405">
          <cell r="A405" t="str">
            <v>Buildings</v>
          </cell>
          <cell r="B405" t="str">
            <v>HC</v>
          </cell>
          <cell r="C405" t="str">
            <v>Travel Expenses</v>
          </cell>
          <cell r="E405" t="str">
            <v>June</v>
          </cell>
          <cell r="F405">
            <v>512</v>
          </cell>
        </row>
        <row r="406">
          <cell r="A406" t="str">
            <v>Buildings</v>
          </cell>
          <cell r="B406" t="str">
            <v>HC</v>
          </cell>
          <cell r="C406" t="str">
            <v>Financial Expenses</v>
          </cell>
          <cell r="E406" t="str">
            <v>June</v>
          </cell>
          <cell r="F406">
            <v>416</v>
          </cell>
        </row>
        <row r="407">
          <cell r="A407" t="str">
            <v>Buildings</v>
          </cell>
          <cell r="B407" t="str">
            <v>HC</v>
          </cell>
          <cell r="C407" t="str">
            <v>Depreciation</v>
          </cell>
          <cell r="E407" t="str">
            <v>June</v>
          </cell>
          <cell r="F407">
            <v>340.54</v>
          </cell>
        </row>
        <row r="408">
          <cell r="A408" t="str">
            <v>Buildings</v>
          </cell>
          <cell r="B408" t="str">
            <v>HC</v>
          </cell>
          <cell r="C408" t="str">
            <v>Interest</v>
          </cell>
          <cell r="E408" t="str">
            <v>June</v>
          </cell>
          <cell r="F408">
            <v>32</v>
          </cell>
        </row>
        <row r="409">
          <cell r="A409" t="str">
            <v>Buildings</v>
          </cell>
          <cell r="B409" t="str">
            <v>HC</v>
          </cell>
          <cell r="C409" t="str">
            <v>Other Income</v>
          </cell>
          <cell r="E409" t="str">
            <v>June</v>
          </cell>
          <cell r="F409">
            <v>416</v>
          </cell>
        </row>
        <row r="410">
          <cell r="A410" t="str">
            <v>Buildings</v>
          </cell>
          <cell r="B410" t="str">
            <v>HC</v>
          </cell>
          <cell r="C410" t="str">
            <v>Administrative Expenses</v>
          </cell>
          <cell r="E410" t="str">
            <v>July</v>
          </cell>
          <cell r="F410">
            <v>2400</v>
          </cell>
        </row>
        <row r="411">
          <cell r="A411" t="str">
            <v>Buildings</v>
          </cell>
          <cell r="B411" t="str">
            <v>HC</v>
          </cell>
          <cell r="C411" t="str">
            <v>Business Development</v>
          </cell>
          <cell r="E411" t="str">
            <v>July</v>
          </cell>
          <cell r="F411">
            <v>256</v>
          </cell>
        </row>
        <row r="412">
          <cell r="A412" t="str">
            <v>Buildings</v>
          </cell>
          <cell r="B412" t="str">
            <v>HC</v>
          </cell>
          <cell r="C412" t="str">
            <v>Communication Expenses</v>
          </cell>
          <cell r="E412" t="str">
            <v>July</v>
          </cell>
          <cell r="F412">
            <v>4128</v>
          </cell>
        </row>
        <row r="413">
          <cell r="A413" t="str">
            <v>Buildings</v>
          </cell>
          <cell r="B413" t="str">
            <v>HC</v>
          </cell>
          <cell r="C413" t="str">
            <v>Travel Expenses</v>
          </cell>
          <cell r="E413" t="str">
            <v>July</v>
          </cell>
          <cell r="F413">
            <v>512</v>
          </cell>
        </row>
        <row r="414">
          <cell r="A414" t="str">
            <v>Buildings</v>
          </cell>
          <cell r="B414" t="str">
            <v>HC</v>
          </cell>
          <cell r="C414" t="str">
            <v>Financial Expenses</v>
          </cell>
          <cell r="E414" t="str">
            <v>July</v>
          </cell>
          <cell r="F414">
            <v>416</v>
          </cell>
        </row>
        <row r="415">
          <cell r="A415" t="str">
            <v>Buildings</v>
          </cell>
          <cell r="B415" t="str">
            <v>HC</v>
          </cell>
          <cell r="C415" t="str">
            <v>Depreciation</v>
          </cell>
          <cell r="E415" t="str">
            <v>July</v>
          </cell>
          <cell r="F415">
            <v>343.85</v>
          </cell>
        </row>
        <row r="416">
          <cell r="A416" t="str">
            <v>Buildings</v>
          </cell>
          <cell r="B416" t="str">
            <v>HC</v>
          </cell>
          <cell r="C416" t="str">
            <v>Interest</v>
          </cell>
          <cell r="E416" t="str">
            <v>July</v>
          </cell>
          <cell r="F416">
            <v>32</v>
          </cell>
        </row>
        <row r="417">
          <cell r="A417" t="str">
            <v>Buildings</v>
          </cell>
          <cell r="B417" t="str">
            <v>HC</v>
          </cell>
          <cell r="C417" t="str">
            <v>Other Income</v>
          </cell>
          <cell r="E417" t="str">
            <v>July</v>
          </cell>
          <cell r="F417">
            <v>416</v>
          </cell>
        </row>
        <row r="418">
          <cell r="A418" t="str">
            <v>Buildings</v>
          </cell>
          <cell r="B418" t="str">
            <v>HC</v>
          </cell>
          <cell r="C418" t="str">
            <v>Administrative Expenses</v>
          </cell>
          <cell r="E418" t="str">
            <v>Aug</v>
          </cell>
          <cell r="F418">
            <v>2400</v>
          </cell>
        </row>
        <row r="419">
          <cell r="A419" t="str">
            <v>Buildings</v>
          </cell>
          <cell r="B419" t="str">
            <v>HC</v>
          </cell>
          <cell r="C419" t="str">
            <v>Business Development</v>
          </cell>
          <cell r="E419" t="str">
            <v>Aug</v>
          </cell>
          <cell r="F419">
            <v>256</v>
          </cell>
        </row>
        <row r="420">
          <cell r="A420" t="str">
            <v>Buildings</v>
          </cell>
          <cell r="B420" t="str">
            <v>HC</v>
          </cell>
          <cell r="C420" t="str">
            <v>Communication Expenses</v>
          </cell>
          <cell r="E420" t="str">
            <v>Aug</v>
          </cell>
          <cell r="F420">
            <v>4128</v>
          </cell>
        </row>
        <row r="421">
          <cell r="A421" t="str">
            <v>Buildings</v>
          </cell>
          <cell r="B421" t="str">
            <v>HC</v>
          </cell>
          <cell r="C421" t="str">
            <v>Travel Expenses</v>
          </cell>
          <cell r="E421" t="str">
            <v>Aug</v>
          </cell>
          <cell r="F421">
            <v>512</v>
          </cell>
        </row>
        <row r="422">
          <cell r="A422" t="str">
            <v>Buildings</v>
          </cell>
          <cell r="B422" t="str">
            <v>HC</v>
          </cell>
          <cell r="C422" t="str">
            <v>Financial Expenses</v>
          </cell>
          <cell r="E422" t="str">
            <v>Aug</v>
          </cell>
          <cell r="F422">
            <v>416</v>
          </cell>
        </row>
        <row r="423">
          <cell r="A423" t="str">
            <v>Buildings</v>
          </cell>
          <cell r="B423" t="str">
            <v>HC</v>
          </cell>
          <cell r="C423" t="str">
            <v>Depreciation</v>
          </cell>
          <cell r="E423" t="str">
            <v>Aug</v>
          </cell>
          <cell r="F423">
            <v>347.16</v>
          </cell>
        </row>
        <row r="424">
          <cell r="A424" t="str">
            <v>Buildings</v>
          </cell>
          <cell r="B424" t="str">
            <v>HC</v>
          </cell>
          <cell r="C424" t="str">
            <v>Interest</v>
          </cell>
          <cell r="E424" t="str">
            <v>Aug</v>
          </cell>
          <cell r="F424">
            <v>32</v>
          </cell>
        </row>
        <row r="425">
          <cell r="A425" t="str">
            <v>Buildings</v>
          </cell>
          <cell r="B425" t="str">
            <v>HC</v>
          </cell>
          <cell r="C425" t="str">
            <v>Other Income</v>
          </cell>
          <cell r="E425" t="str">
            <v>Aug</v>
          </cell>
          <cell r="F425">
            <v>416</v>
          </cell>
        </row>
        <row r="426">
          <cell r="A426" t="str">
            <v>Buildings</v>
          </cell>
          <cell r="B426" t="str">
            <v>HC</v>
          </cell>
          <cell r="C426" t="str">
            <v>Administrative Expenses</v>
          </cell>
          <cell r="E426" t="str">
            <v>Sep</v>
          </cell>
          <cell r="F426">
            <v>2400</v>
          </cell>
        </row>
        <row r="427">
          <cell r="A427" t="str">
            <v>Buildings</v>
          </cell>
          <cell r="B427" t="str">
            <v>HC</v>
          </cell>
          <cell r="C427" t="str">
            <v>Business Development</v>
          </cell>
          <cell r="E427" t="str">
            <v>Sep</v>
          </cell>
          <cell r="F427">
            <v>256</v>
          </cell>
        </row>
        <row r="428">
          <cell r="A428" t="str">
            <v>Buildings</v>
          </cell>
          <cell r="B428" t="str">
            <v>HC</v>
          </cell>
          <cell r="C428" t="str">
            <v>Communication Expenses</v>
          </cell>
          <cell r="E428" t="str">
            <v>Sep</v>
          </cell>
          <cell r="F428">
            <v>4128</v>
          </cell>
        </row>
        <row r="429">
          <cell r="A429" t="str">
            <v>Buildings</v>
          </cell>
          <cell r="B429" t="str">
            <v>HC</v>
          </cell>
          <cell r="C429" t="str">
            <v>Travel Expenses</v>
          </cell>
          <cell r="E429" t="str">
            <v>Sep</v>
          </cell>
          <cell r="F429">
            <v>512</v>
          </cell>
        </row>
        <row r="430">
          <cell r="A430" t="str">
            <v>Buildings</v>
          </cell>
          <cell r="B430" t="str">
            <v>HC</v>
          </cell>
          <cell r="C430" t="str">
            <v>Financial Expenses</v>
          </cell>
          <cell r="E430" t="str">
            <v>Sep</v>
          </cell>
          <cell r="F430">
            <v>416</v>
          </cell>
        </row>
        <row r="431">
          <cell r="A431" t="str">
            <v>Buildings</v>
          </cell>
          <cell r="B431" t="str">
            <v>HC</v>
          </cell>
          <cell r="C431" t="str">
            <v>Depreciation</v>
          </cell>
          <cell r="E431" t="str">
            <v>Sep</v>
          </cell>
          <cell r="F431">
            <v>350.45000000000005</v>
          </cell>
        </row>
        <row r="432">
          <cell r="A432" t="str">
            <v>Buildings</v>
          </cell>
          <cell r="B432" t="str">
            <v>HC</v>
          </cell>
          <cell r="C432" t="str">
            <v>Interest</v>
          </cell>
          <cell r="E432" t="str">
            <v>Sep</v>
          </cell>
          <cell r="F432">
            <v>32</v>
          </cell>
        </row>
        <row r="433">
          <cell r="A433" t="str">
            <v>Buildings</v>
          </cell>
          <cell r="B433" t="str">
            <v>HC</v>
          </cell>
          <cell r="C433" t="str">
            <v>Other Income</v>
          </cell>
          <cell r="E433" t="str">
            <v>Sep</v>
          </cell>
          <cell r="F433">
            <v>416</v>
          </cell>
        </row>
        <row r="434">
          <cell r="A434" t="str">
            <v>Buildings</v>
          </cell>
          <cell r="B434" t="str">
            <v>HC</v>
          </cell>
          <cell r="C434" t="str">
            <v>Administrative Expenses</v>
          </cell>
          <cell r="E434" t="str">
            <v>Oct</v>
          </cell>
          <cell r="F434">
            <v>2400</v>
          </cell>
        </row>
        <row r="435">
          <cell r="A435" t="str">
            <v>Buildings</v>
          </cell>
          <cell r="B435" t="str">
            <v>HC</v>
          </cell>
          <cell r="C435" t="str">
            <v>Business Development</v>
          </cell>
          <cell r="E435" t="str">
            <v>Oct</v>
          </cell>
          <cell r="F435">
            <v>256</v>
          </cell>
        </row>
        <row r="436">
          <cell r="A436" t="str">
            <v>Buildings</v>
          </cell>
          <cell r="B436" t="str">
            <v>HC</v>
          </cell>
          <cell r="C436" t="str">
            <v>Communication Expenses</v>
          </cell>
          <cell r="E436" t="str">
            <v>Oct</v>
          </cell>
          <cell r="F436">
            <v>4128</v>
          </cell>
        </row>
        <row r="437">
          <cell r="A437" t="str">
            <v>Buildings</v>
          </cell>
          <cell r="B437" t="str">
            <v>HC</v>
          </cell>
          <cell r="C437" t="str">
            <v>Travel Expenses</v>
          </cell>
          <cell r="E437" t="str">
            <v>Oct</v>
          </cell>
          <cell r="F437">
            <v>512</v>
          </cell>
        </row>
        <row r="438">
          <cell r="A438" t="str">
            <v>Buildings</v>
          </cell>
          <cell r="B438" t="str">
            <v>HC</v>
          </cell>
          <cell r="C438" t="str">
            <v>Financial Expenses</v>
          </cell>
          <cell r="E438" t="str">
            <v>Oct</v>
          </cell>
          <cell r="F438">
            <v>416</v>
          </cell>
        </row>
        <row r="439">
          <cell r="A439" t="str">
            <v>Buildings</v>
          </cell>
          <cell r="B439" t="str">
            <v>HC</v>
          </cell>
          <cell r="C439" t="str">
            <v>Depreciation</v>
          </cell>
          <cell r="E439" t="str">
            <v>Oct</v>
          </cell>
          <cell r="F439">
            <v>353.76</v>
          </cell>
        </row>
        <row r="440">
          <cell r="A440" t="str">
            <v>Buildings</v>
          </cell>
          <cell r="B440" t="str">
            <v>HC</v>
          </cell>
          <cell r="C440" t="str">
            <v>Interest</v>
          </cell>
          <cell r="E440" t="str">
            <v>Oct</v>
          </cell>
          <cell r="F440">
            <v>32</v>
          </cell>
        </row>
        <row r="441">
          <cell r="A441" t="str">
            <v>Buildings</v>
          </cell>
          <cell r="B441" t="str">
            <v>HC</v>
          </cell>
          <cell r="C441" t="str">
            <v>Other Income</v>
          </cell>
          <cell r="E441" t="str">
            <v>Oct</v>
          </cell>
          <cell r="F441">
            <v>416</v>
          </cell>
        </row>
        <row r="442">
          <cell r="A442" t="str">
            <v>Buildings</v>
          </cell>
          <cell r="B442" t="str">
            <v>HC</v>
          </cell>
          <cell r="C442" t="str">
            <v>Administrative Expenses</v>
          </cell>
          <cell r="E442" t="str">
            <v>Nov</v>
          </cell>
          <cell r="F442">
            <v>2400</v>
          </cell>
        </row>
        <row r="443">
          <cell r="A443" t="str">
            <v>Buildings</v>
          </cell>
          <cell r="B443" t="str">
            <v>HC</v>
          </cell>
          <cell r="C443" t="str">
            <v>Business Development</v>
          </cell>
          <cell r="E443" t="str">
            <v>Nov</v>
          </cell>
          <cell r="F443">
            <v>256</v>
          </cell>
        </row>
        <row r="444">
          <cell r="A444" t="str">
            <v>Buildings</v>
          </cell>
          <cell r="B444" t="str">
            <v>HC</v>
          </cell>
          <cell r="C444" t="str">
            <v>Communication Expenses</v>
          </cell>
          <cell r="E444" t="str">
            <v>Nov</v>
          </cell>
          <cell r="F444">
            <v>4128</v>
          </cell>
        </row>
        <row r="445">
          <cell r="A445" t="str">
            <v>Buildings</v>
          </cell>
          <cell r="B445" t="str">
            <v>HC</v>
          </cell>
          <cell r="C445" t="str">
            <v>Travel Expenses</v>
          </cell>
          <cell r="E445" t="str">
            <v>Nov</v>
          </cell>
          <cell r="F445">
            <v>512</v>
          </cell>
        </row>
        <row r="446">
          <cell r="A446" t="str">
            <v>Buildings</v>
          </cell>
          <cell r="B446" t="str">
            <v>HC</v>
          </cell>
          <cell r="C446" t="str">
            <v>Financial Expenses</v>
          </cell>
          <cell r="E446" t="str">
            <v>Nov</v>
          </cell>
          <cell r="F446">
            <v>416</v>
          </cell>
        </row>
        <row r="447">
          <cell r="A447" t="str">
            <v>Buildings</v>
          </cell>
          <cell r="B447" t="str">
            <v>HC</v>
          </cell>
          <cell r="C447" t="str">
            <v>Depreciation</v>
          </cell>
          <cell r="E447" t="str">
            <v>Nov</v>
          </cell>
          <cell r="F447">
            <v>357.07</v>
          </cell>
        </row>
        <row r="448">
          <cell r="A448" t="str">
            <v>Buildings</v>
          </cell>
          <cell r="B448" t="str">
            <v>HC</v>
          </cell>
          <cell r="C448" t="str">
            <v>Interest</v>
          </cell>
          <cell r="E448" t="str">
            <v>Nov</v>
          </cell>
          <cell r="F448">
            <v>32</v>
          </cell>
        </row>
        <row r="449">
          <cell r="A449" t="str">
            <v>Buildings</v>
          </cell>
          <cell r="B449" t="str">
            <v>HC</v>
          </cell>
          <cell r="C449" t="str">
            <v>Other Income</v>
          </cell>
          <cell r="E449" t="str">
            <v>Nov</v>
          </cell>
          <cell r="F449">
            <v>416</v>
          </cell>
        </row>
        <row r="450">
          <cell r="A450" t="str">
            <v>Buildings</v>
          </cell>
          <cell r="B450" t="str">
            <v>HC</v>
          </cell>
          <cell r="C450" t="str">
            <v>Administrative Expenses</v>
          </cell>
          <cell r="E450" t="str">
            <v>Dec</v>
          </cell>
          <cell r="F450">
            <v>2400</v>
          </cell>
        </row>
        <row r="451">
          <cell r="A451" t="str">
            <v>Buildings</v>
          </cell>
          <cell r="B451" t="str">
            <v>HC</v>
          </cell>
          <cell r="C451" t="str">
            <v>Business Development</v>
          </cell>
          <cell r="E451" t="str">
            <v>Dec</v>
          </cell>
          <cell r="F451">
            <v>256</v>
          </cell>
        </row>
        <row r="452">
          <cell r="A452" t="str">
            <v>Buildings</v>
          </cell>
          <cell r="B452" t="str">
            <v>HC</v>
          </cell>
          <cell r="C452" t="str">
            <v>Communication Expenses</v>
          </cell>
          <cell r="E452" t="str">
            <v>Dec</v>
          </cell>
          <cell r="F452">
            <v>4128</v>
          </cell>
        </row>
        <row r="453">
          <cell r="A453" t="str">
            <v>Buildings</v>
          </cell>
          <cell r="B453" t="str">
            <v>HC</v>
          </cell>
          <cell r="C453" t="str">
            <v>Travel Expenses</v>
          </cell>
          <cell r="E453" t="str">
            <v>Dec</v>
          </cell>
          <cell r="F453">
            <v>512</v>
          </cell>
        </row>
        <row r="454">
          <cell r="A454" t="str">
            <v>Buildings</v>
          </cell>
          <cell r="B454" t="str">
            <v>HC</v>
          </cell>
          <cell r="C454" t="str">
            <v>Financial Expenses</v>
          </cell>
          <cell r="E454" t="str">
            <v>Dec</v>
          </cell>
          <cell r="F454">
            <v>416</v>
          </cell>
        </row>
        <row r="455">
          <cell r="A455" t="str">
            <v>Buildings</v>
          </cell>
          <cell r="B455" t="str">
            <v>HC</v>
          </cell>
          <cell r="C455" t="str">
            <v>Depreciation</v>
          </cell>
          <cell r="E455" t="str">
            <v>Dec</v>
          </cell>
          <cell r="F455">
            <v>360.37</v>
          </cell>
        </row>
        <row r="456">
          <cell r="A456" t="str">
            <v>Buildings</v>
          </cell>
          <cell r="B456" t="str">
            <v>HC</v>
          </cell>
          <cell r="C456" t="str">
            <v>Interest</v>
          </cell>
          <cell r="E456" t="str">
            <v>Dec</v>
          </cell>
          <cell r="F456">
            <v>32</v>
          </cell>
        </row>
        <row r="457">
          <cell r="A457" t="str">
            <v>Buildings</v>
          </cell>
          <cell r="B457" t="str">
            <v>HC</v>
          </cell>
          <cell r="C457" t="str">
            <v>Other Income</v>
          </cell>
          <cell r="E457" t="str">
            <v>Dec</v>
          </cell>
          <cell r="F457">
            <v>416</v>
          </cell>
        </row>
        <row r="458">
          <cell r="A458" t="str">
            <v>Buildings</v>
          </cell>
          <cell r="B458" t="str">
            <v>HC</v>
          </cell>
          <cell r="C458" t="str">
            <v>Administrative Expenses</v>
          </cell>
          <cell r="E458" t="str">
            <v>Jan</v>
          </cell>
          <cell r="F458">
            <v>2400</v>
          </cell>
        </row>
        <row r="459">
          <cell r="A459" t="str">
            <v>Buildings</v>
          </cell>
          <cell r="B459" t="str">
            <v>HC</v>
          </cell>
          <cell r="C459" t="str">
            <v>Business Development</v>
          </cell>
          <cell r="E459" t="str">
            <v>Jan</v>
          </cell>
          <cell r="F459">
            <v>256</v>
          </cell>
        </row>
        <row r="460">
          <cell r="A460" t="str">
            <v>Buildings</v>
          </cell>
          <cell r="B460" t="str">
            <v>HC</v>
          </cell>
          <cell r="C460" t="str">
            <v>Communication Expenses</v>
          </cell>
          <cell r="E460" t="str">
            <v>Jan</v>
          </cell>
          <cell r="F460">
            <v>4128</v>
          </cell>
        </row>
        <row r="461">
          <cell r="A461" t="str">
            <v>Buildings</v>
          </cell>
          <cell r="B461" t="str">
            <v>HC</v>
          </cell>
          <cell r="C461" t="str">
            <v>Travel Expenses</v>
          </cell>
          <cell r="E461" t="str">
            <v>Jan</v>
          </cell>
          <cell r="F461">
            <v>512</v>
          </cell>
        </row>
        <row r="462">
          <cell r="A462" t="str">
            <v>Buildings</v>
          </cell>
          <cell r="B462" t="str">
            <v>HC</v>
          </cell>
          <cell r="C462" t="str">
            <v>Financial Expenses</v>
          </cell>
          <cell r="E462" t="str">
            <v>Jan</v>
          </cell>
          <cell r="F462">
            <v>416</v>
          </cell>
        </row>
        <row r="463">
          <cell r="A463" t="str">
            <v>Buildings</v>
          </cell>
          <cell r="B463" t="str">
            <v>HC</v>
          </cell>
          <cell r="C463" t="str">
            <v>Depreciation</v>
          </cell>
          <cell r="E463" t="str">
            <v>Jan</v>
          </cell>
          <cell r="F463">
            <v>363.68</v>
          </cell>
        </row>
        <row r="464">
          <cell r="A464" t="str">
            <v>Buildings</v>
          </cell>
          <cell r="B464" t="str">
            <v>HC</v>
          </cell>
          <cell r="C464" t="str">
            <v>Interest</v>
          </cell>
          <cell r="E464" t="str">
            <v>Jan</v>
          </cell>
          <cell r="F464">
            <v>32</v>
          </cell>
        </row>
        <row r="465">
          <cell r="A465" t="str">
            <v>Buildings</v>
          </cell>
          <cell r="B465" t="str">
            <v>HC</v>
          </cell>
          <cell r="C465" t="str">
            <v>Other Income</v>
          </cell>
          <cell r="E465" t="str">
            <v>Jan</v>
          </cell>
          <cell r="F465">
            <v>416</v>
          </cell>
        </row>
        <row r="466">
          <cell r="A466" t="str">
            <v>Buildings</v>
          </cell>
          <cell r="B466" t="str">
            <v>HC</v>
          </cell>
          <cell r="C466" t="str">
            <v>Administrative Expenses</v>
          </cell>
          <cell r="E466" t="str">
            <v>Feb</v>
          </cell>
          <cell r="F466">
            <v>2400</v>
          </cell>
        </row>
        <row r="467">
          <cell r="A467" t="str">
            <v>Buildings</v>
          </cell>
          <cell r="B467" t="str">
            <v>HC</v>
          </cell>
          <cell r="C467" t="str">
            <v>Business Development</v>
          </cell>
          <cell r="E467" t="str">
            <v>Feb</v>
          </cell>
          <cell r="F467">
            <v>256</v>
          </cell>
        </row>
        <row r="468">
          <cell r="A468" t="str">
            <v>Buildings</v>
          </cell>
          <cell r="B468" t="str">
            <v>HC</v>
          </cell>
          <cell r="C468" t="str">
            <v>Communication Expenses</v>
          </cell>
          <cell r="E468" t="str">
            <v>Feb</v>
          </cell>
          <cell r="F468">
            <v>4128</v>
          </cell>
        </row>
        <row r="469">
          <cell r="A469" t="str">
            <v>Buildings</v>
          </cell>
          <cell r="B469" t="str">
            <v>HC</v>
          </cell>
          <cell r="C469" t="str">
            <v>Travel Expenses</v>
          </cell>
          <cell r="E469" t="str">
            <v>Feb</v>
          </cell>
          <cell r="F469">
            <v>512</v>
          </cell>
        </row>
        <row r="470">
          <cell r="A470" t="str">
            <v>Buildings</v>
          </cell>
          <cell r="B470" t="str">
            <v>HC</v>
          </cell>
          <cell r="C470" t="str">
            <v>Financial Expenses</v>
          </cell>
          <cell r="E470" t="str">
            <v>Feb</v>
          </cell>
          <cell r="F470">
            <v>416</v>
          </cell>
        </row>
        <row r="471">
          <cell r="A471" t="str">
            <v>Buildings</v>
          </cell>
          <cell r="B471" t="str">
            <v>HC</v>
          </cell>
          <cell r="C471" t="str">
            <v>Depreciation</v>
          </cell>
          <cell r="E471" t="str">
            <v>Feb</v>
          </cell>
          <cell r="F471">
            <v>366.99</v>
          </cell>
        </row>
        <row r="472">
          <cell r="A472" t="str">
            <v>Buildings</v>
          </cell>
          <cell r="B472" t="str">
            <v>HC</v>
          </cell>
          <cell r="C472" t="str">
            <v>Interest</v>
          </cell>
          <cell r="E472" t="str">
            <v>Feb</v>
          </cell>
          <cell r="F472">
            <v>32</v>
          </cell>
        </row>
        <row r="473">
          <cell r="A473" t="str">
            <v>Buildings</v>
          </cell>
          <cell r="B473" t="str">
            <v>HC</v>
          </cell>
          <cell r="C473" t="str">
            <v>Other Income</v>
          </cell>
          <cell r="E473" t="str">
            <v>Feb</v>
          </cell>
          <cell r="F473">
            <v>416</v>
          </cell>
        </row>
        <row r="474">
          <cell r="A474" t="str">
            <v>Buildings</v>
          </cell>
          <cell r="B474" t="str">
            <v>HC</v>
          </cell>
          <cell r="C474" t="str">
            <v>Administrative Expenses</v>
          </cell>
          <cell r="E474" t="str">
            <v>Mar</v>
          </cell>
          <cell r="F474">
            <v>2400</v>
          </cell>
        </row>
        <row r="475">
          <cell r="A475" t="str">
            <v>Buildings</v>
          </cell>
          <cell r="B475" t="str">
            <v>HC</v>
          </cell>
          <cell r="C475" t="str">
            <v>Business Development</v>
          </cell>
          <cell r="E475" t="str">
            <v>Mar</v>
          </cell>
          <cell r="F475">
            <v>256</v>
          </cell>
        </row>
        <row r="476">
          <cell r="A476" t="str">
            <v>Buildings</v>
          </cell>
          <cell r="B476" t="str">
            <v>HC</v>
          </cell>
          <cell r="C476" t="str">
            <v>Communication Expenses</v>
          </cell>
          <cell r="E476" t="str">
            <v>Mar</v>
          </cell>
          <cell r="F476">
            <v>4128</v>
          </cell>
        </row>
        <row r="477">
          <cell r="A477" t="str">
            <v>Buildings</v>
          </cell>
          <cell r="B477" t="str">
            <v>HC</v>
          </cell>
          <cell r="C477" t="str">
            <v>Travel Expenses</v>
          </cell>
          <cell r="E477" t="str">
            <v>Mar</v>
          </cell>
          <cell r="F477">
            <v>512</v>
          </cell>
        </row>
        <row r="478">
          <cell r="A478" t="str">
            <v>Buildings</v>
          </cell>
          <cell r="B478" t="str">
            <v>HC</v>
          </cell>
          <cell r="C478" t="str">
            <v>Financial Expenses</v>
          </cell>
          <cell r="E478" t="str">
            <v>Mar</v>
          </cell>
          <cell r="F478">
            <v>416</v>
          </cell>
        </row>
        <row r="479">
          <cell r="A479" t="str">
            <v>Buildings</v>
          </cell>
          <cell r="B479" t="str">
            <v>HC</v>
          </cell>
          <cell r="C479" t="str">
            <v>Depreciation</v>
          </cell>
          <cell r="E479" t="str">
            <v>Mar</v>
          </cell>
          <cell r="F479">
            <v>370.29</v>
          </cell>
        </row>
        <row r="480">
          <cell r="A480" t="str">
            <v>Buildings</v>
          </cell>
          <cell r="B480" t="str">
            <v>HC</v>
          </cell>
          <cell r="C480" t="str">
            <v>Interest</v>
          </cell>
          <cell r="E480" t="str">
            <v>Mar</v>
          </cell>
          <cell r="F480">
            <v>32</v>
          </cell>
        </row>
        <row r="481">
          <cell r="A481" t="str">
            <v>Buildings</v>
          </cell>
          <cell r="B481" t="str">
            <v>HC</v>
          </cell>
          <cell r="C481" t="str">
            <v>Other Income</v>
          </cell>
          <cell r="E481" t="str">
            <v>Mar</v>
          </cell>
          <cell r="F481">
            <v>416</v>
          </cell>
        </row>
        <row r="482">
          <cell r="A482" t="str">
            <v>Buildings</v>
          </cell>
          <cell r="B482" t="str">
            <v>Neuland</v>
          </cell>
          <cell r="C482" t="str">
            <v>Administrative Expenses</v>
          </cell>
          <cell r="E482" t="str">
            <v>Apr</v>
          </cell>
          <cell r="F482">
            <v>2400</v>
          </cell>
        </row>
        <row r="483">
          <cell r="A483" t="str">
            <v>Buildings</v>
          </cell>
          <cell r="B483" t="str">
            <v>Neuland</v>
          </cell>
          <cell r="C483" t="str">
            <v>Business Development</v>
          </cell>
          <cell r="E483" t="str">
            <v>Apr</v>
          </cell>
          <cell r="F483">
            <v>256</v>
          </cell>
        </row>
        <row r="484">
          <cell r="A484" t="str">
            <v>Buildings</v>
          </cell>
          <cell r="B484" t="str">
            <v>Neuland</v>
          </cell>
          <cell r="C484" t="str">
            <v>Communication Expenses</v>
          </cell>
          <cell r="E484" t="str">
            <v>Apr</v>
          </cell>
          <cell r="F484">
            <v>4128</v>
          </cell>
        </row>
        <row r="485">
          <cell r="A485" t="str">
            <v>Buildings</v>
          </cell>
          <cell r="B485" t="str">
            <v>Neuland</v>
          </cell>
          <cell r="C485" t="str">
            <v>Travel Expenses</v>
          </cell>
          <cell r="E485" t="str">
            <v>Apr</v>
          </cell>
          <cell r="F485">
            <v>512</v>
          </cell>
        </row>
        <row r="486">
          <cell r="A486" t="str">
            <v>Buildings</v>
          </cell>
          <cell r="B486" t="str">
            <v>Neuland</v>
          </cell>
          <cell r="C486" t="str">
            <v>Financial Expenses</v>
          </cell>
          <cell r="E486" t="str">
            <v>Apr</v>
          </cell>
          <cell r="F486">
            <v>416</v>
          </cell>
        </row>
        <row r="487">
          <cell r="A487" t="str">
            <v>Buildings</v>
          </cell>
          <cell r="B487" t="str">
            <v>Neuland</v>
          </cell>
          <cell r="C487" t="str">
            <v>Depreciation</v>
          </cell>
          <cell r="E487" t="str">
            <v>Apr</v>
          </cell>
          <cell r="F487">
            <v>333.93</v>
          </cell>
        </row>
        <row r="488">
          <cell r="A488" t="str">
            <v>Buildings</v>
          </cell>
          <cell r="B488" t="str">
            <v>Neuland</v>
          </cell>
          <cell r="C488" t="str">
            <v>Interest</v>
          </cell>
          <cell r="E488" t="str">
            <v>Apr</v>
          </cell>
          <cell r="F488">
            <v>32</v>
          </cell>
        </row>
        <row r="489">
          <cell r="A489" t="str">
            <v>Buildings</v>
          </cell>
          <cell r="B489" t="str">
            <v>Neuland</v>
          </cell>
          <cell r="C489" t="str">
            <v>Other Income</v>
          </cell>
          <cell r="E489" t="str">
            <v>Apr</v>
          </cell>
          <cell r="F489">
            <v>416</v>
          </cell>
        </row>
        <row r="490">
          <cell r="A490" t="str">
            <v>Buildings</v>
          </cell>
          <cell r="B490" t="str">
            <v>Neuland</v>
          </cell>
          <cell r="C490" t="str">
            <v>Administrative Expenses</v>
          </cell>
          <cell r="E490" t="str">
            <v>May</v>
          </cell>
          <cell r="F490">
            <v>2400</v>
          </cell>
        </row>
        <row r="491">
          <cell r="A491" t="str">
            <v>Buildings</v>
          </cell>
          <cell r="B491" t="str">
            <v>Neuland</v>
          </cell>
          <cell r="C491" t="str">
            <v>Business Development</v>
          </cell>
          <cell r="E491" t="str">
            <v>May</v>
          </cell>
          <cell r="F491">
            <v>256</v>
          </cell>
        </row>
        <row r="492">
          <cell r="A492" t="str">
            <v>Buildings</v>
          </cell>
          <cell r="B492" t="str">
            <v>Neuland</v>
          </cell>
          <cell r="C492" t="str">
            <v>Communication Expenses</v>
          </cell>
          <cell r="E492" t="str">
            <v>May</v>
          </cell>
          <cell r="F492">
            <v>4128</v>
          </cell>
        </row>
        <row r="493">
          <cell r="A493" t="str">
            <v>Buildings</v>
          </cell>
          <cell r="B493" t="str">
            <v>Neuland</v>
          </cell>
          <cell r="C493" t="str">
            <v>Travel Expenses</v>
          </cell>
          <cell r="E493" t="str">
            <v>May</v>
          </cell>
          <cell r="F493">
            <v>512</v>
          </cell>
        </row>
        <row r="494">
          <cell r="A494" t="str">
            <v>Buildings</v>
          </cell>
          <cell r="B494" t="str">
            <v>Neuland</v>
          </cell>
          <cell r="C494" t="str">
            <v>Financial Expenses</v>
          </cell>
          <cell r="E494" t="str">
            <v>May</v>
          </cell>
          <cell r="F494">
            <v>416</v>
          </cell>
        </row>
        <row r="495">
          <cell r="A495" t="str">
            <v>Buildings</v>
          </cell>
          <cell r="B495" t="str">
            <v>Neuland</v>
          </cell>
          <cell r="C495" t="str">
            <v>Depreciation</v>
          </cell>
          <cell r="E495" t="str">
            <v>May</v>
          </cell>
          <cell r="F495">
            <v>337.23</v>
          </cell>
        </row>
        <row r="496">
          <cell r="A496" t="str">
            <v>Buildings</v>
          </cell>
          <cell r="B496" t="str">
            <v>Neuland</v>
          </cell>
          <cell r="C496" t="str">
            <v>Interest</v>
          </cell>
          <cell r="E496" t="str">
            <v>May</v>
          </cell>
          <cell r="F496">
            <v>32</v>
          </cell>
        </row>
        <row r="497">
          <cell r="A497" t="str">
            <v>Buildings</v>
          </cell>
          <cell r="B497" t="str">
            <v>Neuland</v>
          </cell>
          <cell r="C497" t="str">
            <v>Other Income</v>
          </cell>
          <cell r="E497" t="str">
            <v>May</v>
          </cell>
          <cell r="F497">
            <v>416</v>
          </cell>
        </row>
        <row r="498">
          <cell r="A498" t="str">
            <v>Buildings</v>
          </cell>
          <cell r="B498" t="str">
            <v>Neuland</v>
          </cell>
          <cell r="C498" t="str">
            <v>Administrative Expenses</v>
          </cell>
          <cell r="E498" t="str">
            <v>June</v>
          </cell>
          <cell r="F498">
            <v>2400</v>
          </cell>
        </row>
        <row r="499">
          <cell r="A499" t="str">
            <v>Buildings</v>
          </cell>
          <cell r="B499" t="str">
            <v>Neuland</v>
          </cell>
          <cell r="C499" t="str">
            <v>Business Development</v>
          </cell>
          <cell r="E499" t="str">
            <v>June</v>
          </cell>
          <cell r="F499">
            <v>256</v>
          </cell>
        </row>
        <row r="500">
          <cell r="A500" t="str">
            <v>Buildings</v>
          </cell>
          <cell r="B500" t="str">
            <v>Neuland</v>
          </cell>
          <cell r="C500" t="str">
            <v>Communication Expenses</v>
          </cell>
          <cell r="E500" t="str">
            <v>June</v>
          </cell>
          <cell r="F500">
            <v>4128</v>
          </cell>
        </row>
        <row r="501">
          <cell r="A501" t="str">
            <v>Buildings</v>
          </cell>
          <cell r="B501" t="str">
            <v>Neuland</v>
          </cell>
          <cell r="C501" t="str">
            <v>Travel Expenses</v>
          </cell>
          <cell r="E501" t="str">
            <v>June</v>
          </cell>
          <cell r="F501">
            <v>512</v>
          </cell>
        </row>
        <row r="502">
          <cell r="A502" t="str">
            <v>Buildings</v>
          </cell>
          <cell r="B502" t="str">
            <v>Neuland</v>
          </cell>
          <cell r="C502" t="str">
            <v>Financial Expenses</v>
          </cell>
          <cell r="E502" t="str">
            <v>June</v>
          </cell>
          <cell r="F502">
            <v>416</v>
          </cell>
        </row>
        <row r="503">
          <cell r="A503" t="str">
            <v>Buildings</v>
          </cell>
          <cell r="B503" t="str">
            <v>Neuland</v>
          </cell>
          <cell r="C503" t="str">
            <v>Depreciation</v>
          </cell>
          <cell r="E503" t="str">
            <v>June</v>
          </cell>
          <cell r="F503">
            <v>340.54</v>
          </cell>
        </row>
        <row r="504">
          <cell r="A504" t="str">
            <v>Buildings</v>
          </cell>
          <cell r="B504" t="str">
            <v>Neuland</v>
          </cell>
          <cell r="C504" t="str">
            <v>Interest</v>
          </cell>
          <cell r="E504" t="str">
            <v>June</v>
          </cell>
          <cell r="F504">
            <v>32</v>
          </cell>
        </row>
        <row r="505">
          <cell r="A505" t="str">
            <v>Buildings</v>
          </cell>
          <cell r="B505" t="str">
            <v>Neuland</v>
          </cell>
          <cell r="C505" t="str">
            <v>Other Income</v>
          </cell>
          <cell r="E505" t="str">
            <v>June</v>
          </cell>
          <cell r="F505">
            <v>416</v>
          </cell>
        </row>
        <row r="506">
          <cell r="A506" t="str">
            <v>Buildings</v>
          </cell>
          <cell r="B506" t="str">
            <v>Neuland</v>
          </cell>
          <cell r="C506" t="str">
            <v>Administrative Expenses</v>
          </cell>
          <cell r="E506" t="str">
            <v>July</v>
          </cell>
          <cell r="F506">
            <v>2400</v>
          </cell>
        </row>
        <row r="507">
          <cell r="A507" t="str">
            <v>Buildings</v>
          </cell>
          <cell r="B507" t="str">
            <v>Neuland</v>
          </cell>
          <cell r="C507" t="str">
            <v>Business Development</v>
          </cell>
          <cell r="E507" t="str">
            <v>July</v>
          </cell>
          <cell r="F507">
            <v>256</v>
          </cell>
        </row>
        <row r="508">
          <cell r="A508" t="str">
            <v>Buildings</v>
          </cell>
          <cell r="B508" t="str">
            <v>Neuland</v>
          </cell>
          <cell r="C508" t="str">
            <v>Communication Expenses</v>
          </cell>
          <cell r="E508" t="str">
            <v>July</v>
          </cell>
          <cell r="F508">
            <v>4128</v>
          </cell>
        </row>
        <row r="509">
          <cell r="A509" t="str">
            <v>Buildings</v>
          </cell>
          <cell r="B509" t="str">
            <v>Neuland</v>
          </cell>
          <cell r="C509" t="str">
            <v>Travel Expenses</v>
          </cell>
          <cell r="E509" t="str">
            <v>July</v>
          </cell>
          <cell r="F509">
            <v>512</v>
          </cell>
        </row>
        <row r="510">
          <cell r="A510" t="str">
            <v>Buildings</v>
          </cell>
          <cell r="B510" t="str">
            <v>Neuland</v>
          </cell>
          <cell r="C510" t="str">
            <v>Financial Expenses</v>
          </cell>
          <cell r="E510" t="str">
            <v>July</v>
          </cell>
          <cell r="F510">
            <v>416</v>
          </cell>
        </row>
        <row r="511">
          <cell r="A511" t="str">
            <v>Buildings</v>
          </cell>
          <cell r="B511" t="str">
            <v>Neuland</v>
          </cell>
          <cell r="C511" t="str">
            <v>Depreciation</v>
          </cell>
          <cell r="E511" t="str">
            <v>July</v>
          </cell>
          <cell r="F511">
            <v>343.85</v>
          </cell>
        </row>
        <row r="512">
          <cell r="A512" t="str">
            <v>Buildings</v>
          </cell>
          <cell r="B512" t="str">
            <v>Neuland</v>
          </cell>
          <cell r="C512" t="str">
            <v>Interest</v>
          </cell>
          <cell r="E512" t="str">
            <v>July</v>
          </cell>
          <cell r="F512">
            <v>32</v>
          </cell>
        </row>
        <row r="513">
          <cell r="A513" t="str">
            <v>Buildings</v>
          </cell>
          <cell r="B513" t="str">
            <v>Neuland</v>
          </cell>
          <cell r="C513" t="str">
            <v>Other Income</v>
          </cell>
          <cell r="E513" t="str">
            <v>July</v>
          </cell>
          <cell r="F513">
            <v>416</v>
          </cell>
        </row>
        <row r="514">
          <cell r="A514" t="str">
            <v>Buildings</v>
          </cell>
          <cell r="B514" t="str">
            <v>Neuland</v>
          </cell>
          <cell r="C514" t="str">
            <v>Administrative Expenses</v>
          </cell>
          <cell r="E514" t="str">
            <v>Aug</v>
          </cell>
          <cell r="F514">
            <v>2400</v>
          </cell>
        </row>
        <row r="515">
          <cell r="A515" t="str">
            <v>Buildings</v>
          </cell>
          <cell r="B515" t="str">
            <v>Neuland</v>
          </cell>
          <cell r="C515" t="str">
            <v>Business Development</v>
          </cell>
          <cell r="E515" t="str">
            <v>Aug</v>
          </cell>
          <cell r="F515">
            <v>256</v>
          </cell>
        </row>
        <row r="516">
          <cell r="A516" t="str">
            <v>Buildings</v>
          </cell>
          <cell r="B516" t="str">
            <v>Neuland</v>
          </cell>
          <cell r="C516" t="str">
            <v>Communication Expenses</v>
          </cell>
          <cell r="E516" t="str">
            <v>Aug</v>
          </cell>
          <cell r="F516">
            <v>4128</v>
          </cell>
        </row>
        <row r="517">
          <cell r="A517" t="str">
            <v>Buildings</v>
          </cell>
          <cell r="B517" t="str">
            <v>Neuland</v>
          </cell>
          <cell r="C517" t="str">
            <v>Travel Expenses</v>
          </cell>
          <cell r="E517" t="str">
            <v>Aug</v>
          </cell>
          <cell r="F517">
            <v>512</v>
          </cell>
        </row>
        <row r="518">
          <cell r="A518" t="str">
            <v>Buildings</v>
          </cell>
          <cell r="B518" t="str">
            <v>Neuland</v>
          </cell>
          <cell r="C518" t="str">
            <v>Financial Expenses</v>
          </cell>
          <cell r="E518" t="str">
            <v>Aug</v>
          </cell>
          <cell r="F518">
            <v>416</v>
          </cell>
        </row>
        <row r="519">
          <cell r="A519" t="str">
            <v>Buildings</v>
          </cell>
          <cell r="B519" t="str">
            <v>Neuland</v>
          </cell>
          <cell r="C519" t="str">
            <v>Depreciation</v>
          </cell>
          <cell r="E519" t="str">
            <v>Aug</v>
          </cell>
          <cell r="F519">
            <v>347.16</v>
          </cell>
        </row>
        <row r="520">
          <cell r="A520" t="str">
            <v>Buildings</v>
          </cell>
          <cell r="B520" t="str">
            <v>Neuland</v>
          </cell>
          <cell r="C520" t="str">
            <v>Interest</v>
          </cell>
          <cell r="E520" t="str">
            <v>Aug</v>
          </cell>
          <cell r="F520">
            <v>32</v>
          </cell>
        </row>
        <row r="521">
          <cell r="A521" t="str">
            <v>Buildings</v>
          </cell>
          <cell r="B521" t="str">
            <v>Neuland</v>
          </cell>
          <cell r="C521" t="str">
            <v>Other Income</v>
          </cell>
          <cell r="E521" t="str">
            <v>Aug</v>
          </cell>
          <cell r="F521">
            <v>416</v>
          </cell>
        </row>
        <row r="522">
          <cell r="A522" t="str">
            <v>Buildings</v>
          </cell>
          <cell r="B522" t="str">
            <v>Neuland</v>
          </cell>
          <cell r="C522" t="str">
            <v>Administrative Expenses</v>
          </cell>
          <cell r="E522" t="str">
            <v>Sep</v>
          </cell>
          <cell r="F522">
            <v>2400</v>
          </cell>
        </row>
        <row r="523">
          <cell r="A523" t="str">
            <v>Buildings</v>
          </cell>
          <cell r="B523" t="str">
            <v>Neuland</v>
          </cell>
          <cell r="C523" t="str">
            <v>Business Development</v>
          </cell>
          <cell r="E523" t="str">
            <v>Sep</v>
          </cell>
          <cell r="F523">
            <v>256</v>
          </cell>
        </row>
        <row r="524">
          <cell r="A524" t="str">
            <v>Buildings</v>
          </cell>
          <cell r="B524" t="str">
            <v>Neuland</v>
          </cell>
          <cell r="C524" t="str">
            <v>Communication Expenses</v>
          </cell>
          <cell r="E524" t="str">
            <v>Sep</v>
          </cell>
          <cell r="F524">
            <v>4128</v>
          </cell>
        </row>
        <row r="525">
          <cell r="A525" t="str">
            <v>Buildings</v>
          </cell>
          <cell r="B525" t="str">
            <v>Neuland</v>
          </cell>
          <cell r="C525" t="str">
            <v>Travel Expenses</v>
          </cell>
          <cell r="E525" t="str">
            <v>Sep</v>
          </cell>
          <cell r="F525">
            <v>512</v>
          </cell>
        </row>
        <row r="526">
          <cell r="A526" t="str">
            <v>Buildings</v>
          </cell>
          <cell r="B526" t="str">
            <v>Neuland</v>
          </cell>
          <cell r="C526" t="str">
            <v>Financial Expenses</v>
          </cell>
          <cell r="E526" t="str">
            <v>Sep</v>
          </cell>
          <cell r="F526">
            <v>416</v>
          </cell>
        </row>
        <row r="527">
          <cell r="A527" t="str">
            <v>Buildings</v>
          </cell>
          <cell r="B527" t="str">
            <v>Neuland</v>
          </cell>
          <cell r="C527" t="str">
            <v>Depreciation</v>
          </cell>
          <cell r="E527" t="str">
            <v>Sep</v>
          </cell>
          <cell r="F527">
            <v>350.45000000000005</v>
          </cell>
        </row>
        <row r="528">
          <cell r="A528" t="str">
            <v>Buildings</v>
          </cell>
          <cell r="B528" t="str">
            <v>Neuland</v>
          </cell>
          <cell r="C528" t="str">
            <v>Interest</v>
          </cell>
          <cell r="E528" t="str">
            <v>Sep</v>
          </cell>
          <cell r="F528">
            <v>32</v>
          </cell>
        </row>
        <row r="529">
          <cell r="A529" t="str">
            <v>Buildings</v>
          </cell>
          <cell r="B529" t="str">
            <v>Neuland</v>
          </cell>
          <cell r="C529" t="str">
            <v>Other Income</v>
          </cell>
          <cell r="E529" t="str">
            <v>Sep</v>
          </cell>
          <cell r="F529">
            <v>416</v>
          </cell>
        </row>
        <row r="530">
          <cell r="A530" t="str">
            <v>Buildings</v>
          </cell>
          <cell r="B530" t="str">
            <v>Neuland</v>
          </cell>
          <cell r="C530" t="str">
            <v>Administrative Expenses</v>
          </cell>
          <cell r="E530" t="str">
            <v>Oct</v>
          </cell>
          <cell r="F530">
            <v>2400</v>
          </cell>
        </row>
        <row r="531">
          <cell r="A531" t="str">
            <v>Buildings</v>
          </cell>
          <cell r="B531" t="str">
            <v>Neuland</v>
          </cell>
          <cell r="C531" t="str">
            <v>Business Development</v>
          </cell>
          <cell r="E531" t="str">
            <v>Oct</v>
          </cell>
          <cell r="F531">
            <v>256</v>
          </cell>
        </row>
        <row r="532">
          <cell r="A532" t="str">
            <v>Buildings</v>
          </cell>
          <cell r="B532" t="str">
            <v>Neuland</v>
          </cell>
          <cell r="C532" t="str">
            <v>Communication Expenses</v>
          </cell>
          <cell r="E532" t="str">
            <v>Oct</v>
          </cell>
          <cell r="F532">
            <v>4128</v>
          </cell>
        </row>
        <row r="533">
          <cell r="A533" t="str">
            <v>Buildings</v>
          </cell>
          <cell r="B533" t="str">
            <v>Neuland</v>
          </cell>
          <cell r="C533" t="str">
            <v>Travel Expenses</v>
          </cell>
          <cell r="E533" t="str">
            <v>Oct</v>
          </cell>
          <cell r="F533">
            <v>512</v>
          </cell>
        </row>
        <row r="534">
          <cell r="A534" t="str">
            <v>Buildings</v>
          </cell>
          <cell r="B534" t="str">
            <v>Neuland</v>
          </cell>
          <cell r="C534" t="str">
            <v>Financial Expenses</v>
          </cell>
          <cell r="E534" t="str">
            <v>Oct</v>
          </cell>
          <cell r="F534">
            <v>416</v>
          </cell>
        </row>
        <row r="535">
          <cell r="A535" t="str">
            <v>Buildings</v>
          </cell>
          <cell r="B535" t="str">
            <v>Neuland</v>
          </cell>
          <cell r="C535" t="str">
            <v>Depreciation</v>
          </cell>
          <cell r="E535" t="str">
            <v>Oct</v>
          </cell>
          <cell r="F535">
            <v>353.76</v>
          </cell>
        </row>
        <row r="536">
          <cell r="A536" t="str">
            <v>Buildings</v>
          </cell>
          <cell r="B536" t="str">
            <v>Neuland</v>
          </cell>
          <cell r="C536" t="str">
            <v>Interest</v>
          </cell>
          <cell r="E536" t="str">
            <v>Oct</v>
          </cell>
          <cell r="F536">
            <v>32</v>
          </cell>
        </row>
        <row r="537">
          <cell r="A537" t="str">
            <v>Buildings</v>
          </cell>
          <cell r="B537" t="str">
            <v>Neuland</v>
          </cell>
          <cell r="C537" t="str">
            <v>Other Income</v>
          </cell>
          <cell r="E537" t="str">
            <v>Oct</v>
          </cell>
          <cell r="F537">
            <v>416</v>
          </cell>
        </row>
        <row r="538">
          <cell r="A538" t="str">
            <v>Buildings</v>
          </cell>
          <cell r="B538" t="str">
            <v>Neuland</v>
          </cell>
          <cell r="C538" t="str">
            <v>Administrative Expenses</v>
          </cell>
          <cell r="E538" t="str">
            <v>Nov</v>
          </cell>
          <cell r="F538">
            <v>2400</v>
          </cell>
        </row>
        <row r="539">
          <cell r="A539" t="str">
            <v>Buildings</v>
          </cell>
          <cell r="B539" t="str">
            <v>Neuland</v>
          </cell>
          <cell r="C539" t="str">
            <v>Business Development</v>
          </cell>
          <cell r="E539" t="str">
            <v>Nov</v>
          </cell>
          <cell r="F539">
            <v>256</v>
          </cell>
        </row>
        <row r="540">
          <cell r="A540" t="str">
            <v>Buildings</v>
          </cell>
          <cell r="B540" t="str">
            <v>Neuland</v>
          </cell>
          <cell r="C540" t="str">
            <v>Communication Expenses</v>
          </cell>
          <cell r="E540" t="str">
            <v>Nov</v>
          </cell>
          <cell r="F540">
            <v>4128</v>
          </cell>
        </row>
        <row r="541">
          <cell r="A541" t="str">
            <v>Buildings</v>
          </cell>
          <cell r="B541" t="str">
            <v>Neuland</v>
          </cell>
          <cell r="C541" t="str">
            <v>Travel Expenses</v>
          </cell>
          <cell r="E541" t="str">
            <v>Nov</v>
          </cell>
          <cell r="F541">
            <v>512</v>
          </cell>
        </row>
        <row r="542">
          <cell r="A542" t="str">
            <v>Buildings</v>
          </cell>
          <cell r="B542" t="str">
            <v>Neuland</v>
          </cell>
          <cell r="C542" t="str">
            <v>Financial Expenses</v>
          </cell>
          <cell r="E542" t="str">
            <v>Nov</v>
          </cell>
          <cell r="F542">
            <v>416</v>
          </cell>
        </row>
        <row r="543">
          <cell r="A543" t="str">
            <v>Buildings</v>
          </cell>
          <cell r="B543" t="str">
            <v>Neuland</v>
          </cell>
          <cell r="C543" t="str">
            <v>Depreciation</v>
          </cell>
          <cell r="E543" t="str">
            <v>Nov</v>
          </cell>
          <cell r="F543">
            <v>357.07</v>
          </cell>
        </row>
        <row r="544">
          <cell r="A544" t="str">
            <v>Buildings</v>
          </cell>
          <cell r="B544" t="str">
            <v>Neuland</v>
          </cell>
          <cell r="C544" t="str">
            <v>Interest</v>
          </cell>
          <cell r="E544" t="str">
            <v>Nov</v>
          </cell>
          <cell r="F544">
            <v>32</v>
          </cell>
        </row>
        <row r="545">
          <cell r="A545" t="str">
            <v>Buildings</v>
          </cell>
          <cell r="B545" t="str">
            <v>Neuland</v>
          </cell>
          <cell r="C545" t="str">
            <v>Other Income</v>
          </cell>
          <cell r="E545" t="str">
            <v>Nov</v>
          </cell>
          <cell r="F545">
            <v>416</v>
          </cell>
        </row>
        <row r="546">
          <cell r="A546" t="str">
            <v>Buildings</v>
          </cell>
          <cell r="B546" t="str">
            <v>Neuland</v>
          </cell>
          <cell r="C546" t="str">
            <v>Administrative Expenses</v>
          </cell>
          <cell r="E546" t="str">
            <v>Dec</v>
          </cell>
          <cell r="F546">
            <v>2400</v>
          </cell>
        </row>
        <row r="547">
          <cell r="A547" t="str">
            <v>Buildings</v>
          </cell>
          <cell r="B547" t="str">
            <v>Neuland</v>
          </cell>
          <cell r="C547" t="str">
            <v>Business Development</v>
          </cell>
          <cell r="E547" t="str">
            <v>Dec</v>
          </cell>
          <cell r="F547">
            <v>256</v>
          </cell>
        </row>
        <row r="548">
          <cell r="A548" t="str">
            <v>Buildings</v>
          </cell>
          <cell r="B548" t="str">
            <v>Neuland</v>
          </cell>
          <cell r="C548" t="str">
            <v>Communication Expenses</v>
          </cell>
          <cell r="E548" t="str">
            <v>Dec</v>
          </cell>
          <cell r="F548">
            <v>4128</v>
          </cell>
        </row>
        <row r="549">
          <cell r="A549" t="str">
            <v>Buildings</v>
          </cell>
          <cell r="B549" t="str">
            <v>Neuland</v>
          </cell>
          <cell r="C549" t="str">
            <v>Travel Expenses</v>
          </cell>
          <cell r="E549" t="str">
            <v>Dec</v>
          </cell>
          <cell r="F549">
            <v>512</v>
          </cell>
        </row>
        <row r="550">
          <cell r="A550" t="str">
            <v>Buildings</v>
          </cell>
          <cell r="B550" t="str">
            <v>Neuland</v>
          </cell>
          <cell r="C550" t="str">
            <v>Financial Expenses</v>
          </cell>
          <cell r="E550" t="str">
            <v>Dec</v>
          </cell>
          <cell r="F550">
            <v>416</v>
          </cell>
        </row>
        <row r="551">
          <cell r="A551" t="str">
            <v>Buildings</v>
          </cell>
          <cell r="B551" t="str">
            <v>Neuland</v>
          </cell>
          <cell r="C551" t="str">
            <v>Depreciation</v>
          </cell>
          <cell r="E551" t="str">
            <v>Dec</v>
          </cell>
          <cell r="F551">
            <v>360.37</v>
          </cell>
        </row>
        <row r="552">
          <cell r="A552" t="str">
            <v>Buildings</v>
          </cell>
          <cell r="B552" t="str">
            <v>Neuland</v>
          </cell>
          <cell r="C552" t="str">
            <v>Interest</v>
          </cell>
          <cell r="E552" t="str">
            <v>Dec</v>
          </cell>
          <cell r="F552">
            <v>32</v>
          </cell>
        </row>
        <row r="553">
          <cell r="A553" t="str">
            <v>Buildings</v>
          </cell>
          <cell r="B553" t="str">
            <v>Neuland</v>
          </cell>
          <cell r="C553" t="str">
            <v>Other Income</v>
          </cell>
          <cell r="E553" t="str">
            <v>Dec</v>
          </cell>
          <cell r="F553">
            <v>416</v>
          </cell>
        </row>
        <row r="554">
          <cell r="A554" t="str">
            <v>Buildings</v>
          </cell>
          <cell r="B554" t="str">
            <v>Neuland</v>
          </cell>
          <cell r="C554" t="str">
            <v>Administrative Expenses</v>
          </cell>
          <cell r="E554" t="str">
            <v>Jan</v>
          </cell>
          <cell r="F554">
            <v>2400</v>
          </cell>
        </row>
        <row r="555">
          <cell r="A555" t="str">
            <v>Buildings</v>
          </cell>
          <cell r="B555" t="str">
            <v>Neuland</v>
          </cell>
          <cell r="C555" t="str">
            <v>Business Development</v>
          </cell>
          <cell r="E555" t="str">
            <v>Jan</v>
          </cell>
          <cell r="F555">
            <v>256</v>
          </cell>
        </row>
        <row r="556">
          <cell r="A556" t="str">
            <v>Buildings</v>
          </cell>
          <cell r="B556" t="str">
            <v>Neuland</v>
          </cell>
          <cell r="C556" t="str">
            <v>Communication Expenses</v>
          </cell>
          <cell r="E556" t="str">
            <v>Jan</v>
          </cell>
          <cell r="F556">
            <v>4128</v>
          </cell>
        </row>
        <row r="557">
          <cell r="A557" t="str">
            <v>Buildings</v>
          </cell>
          <cell r="B557" t="str">
            <v>Neuland</v>
          </cell>
          <cell r="C557" t="str">
            <v>Travel Expenses</v>
          </cell>
          <cell r="E557" t="str">
            <v>Jan</v>
          </cell>
          <cell r="F557">
            <v>512</v>
          </cell>
        </row>
        <row r="558">
          <cell r="A558" t="str">
            <v>Buildings</v>
          </cell>
          <cell r="B558" t="str">
            <v>Neuland</v>
          </cell>
          <cell r="C558" t="str">
            <v>Financial Expenses</v>
          </cell>
          <cell r="E558" t="str">
            <v>Jan</v>
          </cell>
          <cell r="F558">
            <v>416</v>
          </cell>
        </row>
        <row r="559">
          <cell r="A559" t="str">
            <v>Buildings</v>
          </cell>
          <cell r="B559" t="str">
            <v>Neuland</v>
          </cell>
          <cell r="C559" t="str">
            <v>Depreciation</v>
          </cell>
          <cell r="E559" t="str">
            <v>Jan</v>
          </cell>
          <cell r="F559">
            <v>363.68</v>
          </cell>
        </row>
        <row r="560">
          <cell r="A560" t="str">
            <v>Buildings</v>
          </cell>
          <cell r="B560" t="str">
            <v>Neuland</v>
          </cell>
          <cell r="C560" t="str">
            <v>Interest</v>
          </cell>
          <cell r="E560" t="str">
            <v>Jan</v>
          </cell>
          <cell r="F560">
            <v>32</v>
          </cell>
        </row>
        <row r="561">
          <cell r="A561" t="str">
            <v>Buildings</v>
          </cell>
          <cell r="B561" t="str">
            <v>Neuland</v>
          </cell>
          <cell r="C561" t="str">
            <v>Other Income</v>
          </cell>
          <cell r="E561" t="str">
            <v>Jan</v>
          </cell>
          <cell r="F561">
            <v>416</v>
          </cell>
        </row>
        <row r="562">
          <cell r="A562" t="str">
            <v>Buildings</v>
          </cell>
          <cell r="B562" t="str">
            <v>Neuland</v>
          </cell>
          <cell r="C562" t="str">
            <v>Administrative Expenses</v>
          </cell>
          <cell r="E562" t="str">
            <v>Feb</v>
          </cell>
          <cell r="F562">
            <v>2400</v>
          </cell>
        </row>
        <row r="563">
          <cell r="A563" t="str">
            <v>Buildings</v>
          </cell>
          <cell r="B563" t="str">
            <v>Neuland</v>
          </cell>
          <cell r="C563" t="str">
            <v>Business Development</v>
          </cell>
          <cell r="E563" t="str">
            <v>Feb</v>
          </cell>
          <cell r="F563">
            <v>256</v>
          </cell>
        </row>
        <row r="564">
          <cell r="A564" t="str">
            <v>Buildings</v>
          </cell>
          <cell r="B564" t="str">
            <v>Neuland</v>
          </cell>
          <cell r="C564" t="str">
            <v>Communication Expenses</v>
          </cell>
          <cell r="E564" t="str">
            <v>Feb</v>
          </cell>
          <cell r="F564">
            <v>4128</v>
          </cell>
        </row>
        <row r="565">
          <cell r="A565" t="str">
            <v>Buildings</v>
          </cell>
          <cell r="B565" t="str">
            <v>Neuland</v>
          </cell>
          <cell r="C565" t="str">
            <v>Travel Expenses</v>
          </cell>
          <cell r="E565" t="str">
            <v>Feb</v>
          </cell>
          <cell r="F565">
            <v>512</v>
          </cell>
        </row>
        <row r="566">
          <cell r="A566" t="str">
            <v>Buildings</v>
          </cell>
          <cell r="B566" t="str">
            <v>Neuland</v>
          </cell>
          <cell r="C566" t="str">
            <v>Financial Expenses</v>
          </cell>
          <cell r="E566" t="str">
            <v>Feb</v>
          </cell>
          <cell r="F566">
            <v>416</v>
          </cell>
        </row>
        <row r="567">
          <cell r="A567" t="str">
            <v>Buildings</v>
          </cell>
          <cell r="B567" t="str">
            <v>Neuland</v>
          </cell>
          <cell r="C567" t="str">
            <v>Depreciation</v>
          </cell>
          <cell r="E567" t="str">
            <v>Feb</v>
          </cell>
          <cell r="F567">
            <v>366.99</v>
          </cell>
        </row>
        <row r="568">
          <cell r="A568" t="str">
            <v>Buildings</v>
          </cell>
          <cell r="B568" t="str">
            <v>Neuland</v>
          </cell>
          <cell r="C568" t="str">
            <v>Interest</v>
          </cell>
          <cell r="E568" t="str">
            <v>Feb</v>
          </cell>
          <cell r="F568">
            <v>32</v>
          </cell>
        </row>
        <row r="569">
          <cell r="A569" t="str">
            <v>Buildings</v>
          </cell>
          <cell r="B569" t="str">
            <v>Neuland</v>
          </cell>
          <cell r="C569" t="str">
            <v>Other Income</v>
          </cell>
          <cell r="E569" t="str">
            <v>Feb</v>
          </cell>
          <cell r="F569">
            <v>416</v>
          </cell>
        </row>
        <row r="570">
          <cell r="A570" t="str">
            <v>Buildings</v>
          </cell>
          <cell r="B570" t="str">
            <v>Neuland</v>
          </cell>
          <cell r="C570" t="str">
            <v>Administrative Expenses</v>
          </cell>
          <cell r="E570" t="str">
            <v>Mar</v>
          </cell>
          <cell r="F570">
            <v>2400</v>
          </cell>
        </row>
        <row r="571">
          <cell r="A571" t="str">
            <v>Buildings</v>
          </cell>
          <cell r="B571" t="str">
            <v>Neuland</v>
          </cell>
          <cell r="C571" t="str">
            <v>Business Development</v>
          </cell>
          <cell r="E571" t="str">
            <v>Mar</v>
          </cell>
          <cell r="F571">
            <v>256</v>
          </cell>
        </row>
        <row r="572">
          <cell r="A572" t="str">
            <v>Buildings</v>
          </cell>
          <cell r="B572" t="str">
            <v>Neuland</v>
          </cell>
          <cell r="C572" t="str">
            <v>Communication Expenses</v>
          </cell>
          <cell r="E572" t="str">
            <v>Mar</v>
          </cell>
          <cell r="F572">
            <v>4128</v>
          </cell>
        </row>
        <row r="573">
          <cell r="A573" t="str">
            <v>Buildings</v>
          </cell>
          <cell r="B573" t="str">
            <v>Neuland</v>
          </cell>
          <cell r="C573" t="str">
            <v>Travel Expenses</v>
          </cell>
          <cell r="E573" t="str">
            <v>Mar</v>
          </cell>
          <cell r="F573">
            <v>512</v>
          </cell>
        </row>
        <row r="574">
          <cell r="A574" t="str">
            <v>Buildings</v>
          </cell>
          <cell r="B574" t="str">
            <v>Neuland</v>
          </cell>
          <cell r="C574" t="str">
            <v>Financial Expenses</v>
          </cell>
          <cell r="E574" t="str">
            <v>Mar</v>
          </cell>
          <cell r="F574">
            <v>416</v>
          </cell>
        </row>
        <row r="575">
          <cell r="A575" t="str">
            <v>Buildings</v>
          </cell>
          <cell r="B575" t="str">
            <v>Neuland</v>
          </cell>
          <cell r="C575" t="str">
            <v>Depreciation</v>
          </cell>
          <cell r="E575" t="str">
            <v>Mar</v>
          </cell>
          <cell r="F575">
            <v>370.29</v>
          </cell>
        </row>
        <row r="576">
          <cell r="A576" t="str">
            <v>Buildings</v>
          </cell>
          <cell r="B576" t="str">
            <v>Neuland</v>
          </cell>
          <cell r="C576" t="str">
            <v>Interest</v>
          </cell>
          <cell r="E576" t="str">
            <v>Mar</v>
          </cell>
          <cell r="F576">
            <v>32</v>
          </cell>
        </row>
        <row r="577">
          <cell r="A577" t="str">
            <v>Buildings</v>
          </cell>
          <cell r="B577" t="str">
            <v>Neuland</v>
          </cell>
          <cell r="C577" t="str">
            <v>Other Income</v>
          </cell>
          <cell r="E577" t="str">
            <v>Mar</v>
          </cell>
          <cell r="F577">
            <v>416</v>
          </cell>
        </row>
        <row r="578">
          <cell r="A578" t="str">
            <v>Railways</v>
          </cell>
          <cell r="B578" t="str">
            <v>MTP  R1</v>
          </cell>
          <cell r="C578" t="str">
            <v>Administrative Expenses</v>
          </cell>
          <cell r="E578" t="str">
            <v>Apr</v>
          </cell>
          <cell r="F578">
            <v>1635</v>
          </cell>
        </row>
        <row r="579">
          <cell r="A579" t="str">
            <v>Buildings</v>
          </cell>
          <cell r="B579" t="str">
            <v>MTP  R1</v>
          </cell>
          <cell r="C579" t="str">
            <v>Business Development</v>
          </cell>
          <cell r="E579" t="str">
            <v>Apr</v>
          </cell>
          <cell r="F579">
            <v>120</v>
          </cell>
        </row>
        <row r="580">
          <cell r="A580" t="str">
            <v>Buildings</v>
          </cell>
          <cell r="B580" t="str">
            <v>MTP  R1</v>
          </cell>
          <cell r="C580" t="str">
            <v>Communication Expenses</v>
          </cell>
          <cell r="E580" t="str">
            <v>Apr</v>
          </cell>
          <cell r="F580">
            <v>915</v>
          </cell>
        </row>
        <row r="581">
          <cell r="A581" t="str">
            <v>Buildings</v>
          </cell>
          <cell r="B581" t="str">
            <v>MTP  R1</v>
          </cell>
          <cell r="C581" t="str">
            <v>Travel Expenses</v>
          </cell>
          <cell r="E581" t="str">
            <v>Apr</v>
          </cell>
          <cell r="F581">
            <v>240</v>
          </cell>
        </row>
        <row r="582">
          <cell r="A582" t="str">
            <v>Buildings</v>
          </cell>
          <cell r="B582" t="str">
            <v>MTP  R1</v>
          </cell>
          <cell r="C582" t="str">
            <v>Financial Expenses</v>
          </cell>
          <cell r="E582" t="str">
            <v>Apr</v>
          </cell>
          <cell r="F582">
            <v>195</v>
          </cell>
        </row>
        <row r="583">
          <cell r="A583" t="str">
            <v>Buildings</v>
          </cell>
          <cell r="B583" t="str">
            <v>MTP  R1</v>
          </cell>
          <cell r="C583" t="str">
            <v>Depreciation</v>
          </cell>
          <cell r="E583" t="str">
            <v>Apr</v>
          </cell>
          <cell r="F583">
            <v>156.53</v>
          </cell>
        </row>
        <row r="584">
          <cell r="A584" t="str">
            <v>Buildings</v>
          </cell>
          <cell r="B584" t="str">
            <v>MTP  R1</v>
          </cell>
          <cell r="C584" t="str">
            <v>Interest</v>
          </cell>
          <cell r="E584" t="str">
            <v>Apr</v>
          </cell>
          <cell r="F584">
            <v>15</v>
          </cell>
        </row>
        <row r="585">
          <cell r="A585" t="str">
            <v>Buildings</v>
          </cell>
          <cell r="B585" t="str">
            <v>MTP  R1</v>
          </cell>
          <cell r="C585" t="str">
            <v>Other Income</v>
          </cell>
          <cell r="E585" t="str">
            <v>Apr</v>
          </cell>
          <cell r="F585">
            <v>195</v>
          </cell>
        </row>
        <row r="586">
          <cell r="A586" t="str">
            <v>Buildings</v>
          </cell>
          <cell r="B586" t="str">
            <v>MTP  R1</v>
          </cell>
          <cell r="C586" t="str">
            <v>Administrative Expenses</v>
          </cell>
          <cell r="E586" t="str">
            <v>May</v>
          </cell>
          <cell r="F586">
            <v>1635</v>
          </cell>
        </row>
        <row r="587">
          <cell r="A587" t="str">
            <v>Buildings</v>
          </cell>
          <cell r="B587" t="str">
            <v>MTP  R1</v>
          </cell>
          <cell r="C587" t="str">
            <v>Business Development</v>
          </cell>
          <cell r="E587" t="str">
            <v>May</v>
          </cell>
          <cell r="F587">
            <v>120</v>
          </cell>
        </row>
        <row r="588">
          <cell r="A588" t="str">
            <v>Buildings</v>
          </cell>
          <cell r="B588" t="str">
            <v>MTP  R1</v>
          </cell>
          <cell r="C588" t="str">
            <v>Communication Expenses</v>
          </cell>
          <cell r="E588" t="str">
            <v>May</v>
          </cell>
          <cell r="F588">
            <v>915</v>
          </cell>
        </row>
        <row r="589">
          <cell r="A589" t="str">
            <v>Buildings</v>
          </cell>
          <cell r="B589" t="str">
            <v>MTP  R1</v>
          </cell>
          <cell r="C589" t="str">
            <v>Travel Expenses</v>
          </cell>
          <cell r="E589" t="str">
            <v>May</v>
          </cell>
          <cell r="F589">
            <v>240</v>
          </cell>
        </row>
        <row r="590">
          <cell r="A590" t="str">
            <v>Buildings</v>
          </cell>
          <cell r="B590" t="str">
            <v>MTP  R1</v>
          </cell>
          <cell r="C590" t="str">
            <v>Financial Expenses</v>
          </cell>
          <cell r="E590" t="str">
            <v>May</v>
          </cell>
          <cell r="F590">
            <v>195</v>
          </cell>
        </row>
        <row r="591">
          <cell r="A591" t="str">
            <v>Buildings</v>
          </cell>
          <cell r="B591" t="str">
            <v>MTP  R1</v>
          </cell>
          <cell r="C591" t="str">
            <v>Depreciation</v>
          </cell>
          <cell r="E591" t="str">
            <v>May</v>
          </cell>
          <cell r="F591">
            <v>158.07999999999998</v>
          </cell>
        </row>
        <row r="592">
          <cell r="A592" t="str">
            <v>Buildings</v>
          </cell>
          <cell r="B592" t="str">
            <v>MTP  R1</v>
          </cell>
          <cell r="C592" t="str">
            <v>Interest</v>
          </cell>
          <cell r="E592" t="str">
            <v>May</v>
          </cell>
          <cell r="F592">
            <v>15</v>
          </cell>
        </row>
        <row r="593">
          <cell r="A593" t="str">
            <v>Buildings</v>
          </cell>
          <cell r="B593" t="str">
            <v>MTP  R1</v>
          </cell>
          <cell r="C593" t="str">
            <v>Other Income</v>
          </cell>
          <cell r="E593" t="str">
            <v>May</v>
          </cell>
          <cell r="F593">
            <v>195</v>
          </cell>
        </row>
        <row r="594">
          <cell r="A594" t="str">
            <v>Buildings</v>
          </cell>
          <cell r="B594" t="str">
            <v>MTP  R1</v>
          </cell>
          <cell r="C594" t="str">
            <v>Administrative Expenses</v>
          </cell>
          <cell r="E594" t="str">
            <v>June</v>
          </cell>
          <cell r="F594">
            <v>1635</v>
          </cell>
        </row>
        <row r="595">
          <cell r="A595" t="str">
            <v>Buildings</v>
          </cell>
          <cell r="B595" t="str">
            <v>MTP  R1</v>
          </cell>
          <cell r="C595" t="str">
            <v>Business Development</v>
          </cell>
          <cell r="E595" t="str">
            <v>June</v>
          </cell>
          <cell r="F595">
            <v>120</v>
          </cell>
        </row>
        <row r="596">
          <cell r="A596" t="str">
            <v>Buildings</v>
          </cell>
          <cell r="B596" t="str">
            <v>MTP  R1</v>
          </cell>
          <cell r="C596" t="str">
            <v>Communication Expenses</v>
          </cell>
          <cell r="E596" t="str">
            <v>June</v>
          </cell>
          <cell r="F596">
            <v>915</v>
          </cell>
        </row>
        <row r="597">
          <cell r="A597" t="str">
            <v>Buildings</v>
          </cell>
          <cell r="B597" t="str">
            <v>MTP  R1</v>
          </cell>
          <cell r="C597" t="str">
            <v>Travel Expenses</v>
          </cell>
          <cell r="E597" t="str">
            <v>June</v>
          </cell>
          <cell r="F597">
            <v>240</v>
          </cell>
        </row>
        <row r="598">
          <cell r="A598" t="str">
            <v>Buildings</v>
          </cell>
          <cell r="B598" t="str">
            <v>MTP  R1</v>
          </cell>
          <cell r="C598" t="str">
            <v>Financial Expenses</v>
          </cell>
          <cell r="E598" t="str">
            <v>June</v>
          </cell>
          <cell r="F598">
            <v>195</v>
          </cell>
        </row>
        <row r="599">
          <cell r="A599" t="str">
            <v>Buildings</v>
          </cell>
          <cell r="B599" t="str">
            <v>MTP  R1</v>
          </cell>
          <cell r="C599" t="str">
            <v>Depreciation</v>
          </cell>
          <cell r="E599" t="str">
            <v>June</v>
          </cell>
          <cell r="F599">
            <v>159.63</v>
          </cell>
        </row>
        <row r="600">
          <cell r="A600" t="str">
            <v>Buildings</v>
          </cell>
          <cell r="B600" t="str">
            <v>MTP  R1</v>
          </cell>
          <cell r="C600" t="str">
            <v>Interest</v>
          </cell>
          <cell r="E600" t="str">
            <v>June</v>
          </cell>
          <cell r="F600">
            <v>15</v>
          </cell>
        </row>
        <row r="601">
          <cell r="A601" t="str">
            <v>Buildings</v>
          </cell>
          <cell r="B601" t="str">
            <v>MTP  R1</v>
          </cell>
          <cell r="C601" t="str">
            <v>Other Income</v>
          </cell>
          <cell r="E601" t="str">
            <v>June</v>
          </cell>
          <cell r="F601">
            <v>195</v>
          </cell>
        </row>
        <row r="602">
          <cell r="A602" t="str">
            <v>Buildings</v>
          </cell>
          <cell r="B602" t="str">
            <v>MTP  R1</v>
          </cell>
          <cell r="C602" t="str">
            <v>Administrative Expenses</v>
          </cell>
          <cell r="E602" t="str">
            <v>July</v>
          </cell>
          <cell r="F602">
            <v>1635</v>
          </cell>
        </row>
        <row r="603">
          <cell r="A603" t="str">
            <v>Buildings</v>
          </cell>
          <cell r="B603" t="str">
            <v>MTP  R1</v>
          </cell>
          <cell r="C603" t="str">
            <v>Business Development</v>
          </cell>
          <cell r="E603" t="str">
            <v>July</v>
          </cell>
          <cell r="F603">
            <v>120</v>
          </cell>
        </row>
        <row r="604">
          <cell r="A604" t="str">
            <v>Buildings</v>
          </cell>
          <cell r="B604" t="str">
            <v>MTP  R1</v>
          </cell>
          <cell r="C604" t="str">
            <v>Communication Expenses</v>
          </cell>
          <cell r="E604" t="str">
            <v>July</v>
          </cell>
          <cell r="F604">
            <v>915</v>
          </cell>
        </row>
        <row r="605">
          <cell r="A605" t="str">
            <v>Buildings</v>
          </cell>
          <cell r="B605" t="str">
            <v>MTP  R1</v>
          </cell>
          <cell r="C605" t="str">
            <v>Travel Expenses</v>
          </cell>
          <cell r="E605" t="str">
            <v>July</v>
          </cell>
          <cell r="F605">
            <v>240</v>
          </cell>
        </row>
        <row r="606">
          <cell r="A606" t="str">
            <v>Buildings</v>
          </cell>
          <cell r="B606" t="str">
            <v>MTP  R1</v>
          </cell>
          <cell r="C606" t="str">
            <v>Financial Expenses</v>
          </cell>
          <cell r="E606" t="str">
            <v>July</v>
          </cell>
          <cell r="F606">
            <v>195</v>
          </cell>
        </row>
        <row r="607">
          <cell r="A607" t="str">
            <v>Buildings</v>
          </cell>
          <cell r="B607" t="str">
            <v>MTP  R1</v>
          </cell>
          <cell r="C607" t="str">
            <v>Depreciation</v>
          </cell>
          <cell r="E607" t="str">
            <v>July</v>
          </cell>
          <cell r="F607">
            <v>161.18</v>
          </cell>
        </row>
        <row r="608">
          <cell r="A608" t="str">
            <v>Buildings</v>
          </cell>
          <cell r="B608" t="str">
            <v>MTP  R1</v>
          </cell>
          <cell r="C608" t="str">
            <v>Interest</v>
          </cell>
          <cell r="E608" t="str">
            <v>July</v>
          </cell>
          <cell r="F608">
            <v>15</v>
          </cell>
        </row>
        <row r="609">
          <cell r="A609" t="str">
            <v>Buildings</v>
          </cell>
          <cell r="B609" t="str">
            <v>MTP  R1</v>
          </cell>
          <cell r="C609" t="str">
            <v>Other Income</v>
          </cell>
          <cell r="E609" t="str">
            <v>July</v>
          </cell>
          <cell r="F609">
            <v>195</v>
          </cell>
        </row>
        <row r="610">
          <cell r="A610" t="str">
            <v>Buildings</v>
          </cell>
          <cell r="B610" t="str">
            <v>MTP  R1</v>
          </cell>
          <cell r="C610" t="str">
            <v>Administrative Expenses</v>
          </cell>
          <cell r="E610" t="str">
            <v>Aug</v>
          </cell>
          <cell r="F610">
            <v>1635</v>
          </cell>
        </row>
        <row r="611">
          <cell r="A611" t="str">
            <v>Buildings</v>
          </cell>
          <cell r="B611" t="str">
            <v>MTP  R1</v>
          </cell>
          <cell r="C611" t="str">
            <v>Business Development</v>
          </cell>
          <cell r="E611" t="str">
            <v>Aug</v>
          </cell>
          <cell r="F611">
            <v>120</v>
          </cell>
        </row>
        <row r="612">
          <cell r="A612" t="str">
            <v>Buildings</v>
          </cell>
          <cell r="B612" t="str">
            <v>MTP  R1</v>
          </cell>
          <cell r="C612" t="str">
            <v>Communication Expenses</v>
          </cell>
          <cell r="E612" t="str">
            <v>Aug</v>
          </cell>
          <cell r="F612">
            <v>915</v>
          </cell>
        </row>
        <row r="613">
          <cell r="A613" t="str">
            <v>Buildings</v>
          </cell>
          <cell r="B613" t="str">
            <v>MTP  R1</v>
          </cell>
          <cell r="C613" t="str">
            <v>Travel Expenses</v>
          </cell>
          <cell r="E613" t="str">
            <v>Aug</v>
          </cell>
          <cell r="F613">
            <v>240</v>
          </cell>
        </row>
        <row r="614">
          <cell r="A614" t="str">
            <v>Buildings</v>
          </cell>
          <cell r="B614" t="str">
            <v>MTP  R1</v>
          </cell>
          <cell r="C614" t="str">
            <v>Financial Expenses</v>
          </cell>
          <cell r="E614" t="str">
            <v>Aug</v>
          </cell>
          <cell r="F614">
            <v>195</v>
          </cell>
        </row>
        <row r="615">
          <cell r="A615" t="str">
            <v>Buildings</v>
          </cell>
          <cell r="B615" t="str">
            <v>MTP  R1</v>
          </cell>
          <cell r="C615" t="str">
            <v>Depreciation</v>
          </cell>
          <cell r="E615" t="str">
            <v>Aug</v>
          </cell>
          <cell r="F615">
            <v>162.72999999999999</v>
          </cell>
        </row>
        <row r="616">
          <cell r="A616" t="str">
            <v>Buildings</v>
          </cell>
          <cell r="B616" t="str">
            <v>MTP  R1</v>
          </cell>
          <cell r="C616" t="str">
            <v>Interest</v>
          </cell>
          <cell r="E616" t="str">
            <v>Aug</v>
          </cell>
          <cell r="F616">
            <v>15</v>
          </cell>
        </row>
        <row r="617">
          <cell r="A617" t="str">
            <v>Buildings</v>
          </cell>
          <cell r="B617" t="str">
            <v>MTP  R1</v>
          </cell>
          <cell r="C617" t="str">
            <v>Other Income</v>
          </cell>
          <cell r="E617" t="str">
            <v>Aug</v>
          </cell>
          <cell r="F617">
            <v>195</v>
          </cell>
        </row>
        <row r="618">
          <cell r="A618" t="str">
            <v>Buildings</v>
          </cell>
          <cell r="B618" t="str">
            <v>MTP  R1</v>
          </cell>
          <cell r="C618" t="str">
            <v>Administrative Expenses</v>
          </cell>
          <cell r="E618" t="str">
            <v>Sep</v>
          </cell>
          <cell r="F618">
            <v>1635</v>
          </cell>
        </row>
        <row r="619">
          <cell r="A619" t="str">
            <v>Buildings</v>
          </cell>
          <cell r="B619" t="str">
            <v>MTP  R1</v>
          </cell>
          <cell r="C619" t="str">
            <v>Business Development</v>
          </cell>
          <cell r="E619" t="str">
            <v>Sep</v>
          </cell>
          <cell r="F619">
            <v>120</v>
          </cell>
        </row>
        <row r="620">
          <cell r="A620" t="str">
            <v>Buildings</v>
          </cell>
          <cell r="B620" t="str">
            <v>MTP  R1</v>
          </cell>
          <cell r="C620" t="str">
            <v>Communication Expenses</v>
          </cell>
          <cell r="E620" t="str">
            <v>Sep</v>
          </cell>
          <cell r="F620">
            <v>915</v>
          </cell>
        </row>
        <row r="621">
          <cell r="A621" t="str">
            <v>Buildings</v>
          </cell>
          <cell r="B621" t="str">
            <v>MTP  R1</v>
          </cell>
          <cell r="C621" t="str">
            <v>Travel Expenses</v>
          </cell>
          <cell r="E621" t="str">
            <v>Sep</v>
          </cell>
          <cell r="F621">
            <v>240</v>
          </cell>
        </row>
        <row r="622">
          <cell r="A622" t="str">
            <v>Buildings</v>
          </cell>
          <cell r="B622" t="str">
            <v>MTP  R1</v>
          </cell>
          <cell r="C622" t="str">
            <v>Financial Expenses</v>
          </cell>
          <cell r="E622" t="str">
            <v>Sep</v>
          </cell>
          <cell r="F622">
            <v>195</v>
          </cell>
        </row>
        <row r="623">
          <cell r="A623" t="str">
            <v>Buildings</v>
          </cell>
          <cell r="B623" t="str">
            <v>MTP  R1</v>
          </cell>
          <cell r="C623" t="str">
            <v>Depreciation</v>
          </cell>
          <cell r="E623" t="str">
            <v>Sep</v>
          </cell>
          <cell r="F623">
            <v>164.28</v>
          </cell>
        </row>
        <row r="624">
          <cell r="A624" t="str">
            <v>Buildings</v>
          </cell>
          <cell r="B624" t="str">
            <v>MTP  R1</v>
          </cell>
          <cell r="C624" t="str">
            <v>Interest</v>
          </cell>
          <cell r="E624" t="str">
            <v>Sep</v>
          </cell>
          <cell r="F624">
            <v>15</v>
          </cell>
        </row>
        <row r="625">
          <cell r="A625" t="str">
            <v>Buildings</v>
          </cell>
          <cell r="B625" t="str">
            <v>MTP  R1</v>
          </cell>
          <cell r="C625" t="str">
            <v>Other Income</v>
          </cell>
          <cell r="E625" t="str">
            <v>Sep</v>
          </cell>
          <cell r="F625">
            <v>195</v>
          </cell>
        </row>
        <row r="626">
          <cell r="A626" t="str">
            <v>Buildings</v>
          </cell>
          <cell r="B626" t="str">
            <v>MTP  R1</v>
          </cell>
          <cell r="C626" t="str">
            <v>Administrative Expenses</v>
          </cell>
          <cell r="E626" t="str">
            <v>Oct</v>
          </cell>
          <cell r="F626">
            <v>1635</v>
          </cell>
        </row>
        <row r="627">
          <cell r="A627" t="str">
            <v>Buildings</v>
          </cell>
          <cell r="B627" t="str">
            <v>MTP  R1</v>
          </cell>
          <cell r="C627" t="str">
            <v>Business Development</v>
          </cell>
          <cell r="E627" t="str">
            <v>Oct</v>
          </cell>
          <cell r="F627">
            <v>120</v>
          </cell>
        </row>
        <row r="628">
          <cell r="A628" t="str">
            <v>Buildings</v>
          </cell>
          <cell r="B628" t="str">
            <v>MTP  R1</v>
          </cell>
          <cell r="C628" t="str">
            <v>Communication Expenses</v>
          </cell>
          <cell r="E628" t="str">
            <v>Oct</v>
          </cell>
          <cell r="F628">
            <v>915</v>
          </cell>
        </row>
        <row r="629">
          <cell r="A629" t="str">
            <v>Buildings</v>
          </cell>
          <cell r="B629" t="str">
            <v>MTP  R1</v>
          </cell>
          <cell r="C629" t="str">
            <v>Travel Expenses</v>
          </cell>
          <cell r="E629" t="str">
            <v>Oct</v>
          </cell>
          <cell r="F629">
            <v>240</v>
          </cell>
        </row>
        <row r="630">
          <cell r="A630" t="str">
            <v>Buildings</v>
          </cell>
          <cell r="B630" t="str">
            <v>MTP  R1</v>
          </cell>
          <cell r="C630" t="str">
            <v>Financial Expenses</v>
          </cell>
          <cell r="E630" t="str">
            <v>Oct</v>
          </cell>
          <cell r="F630">
            <v>195</v>
          </cell>
        </row>
        <row r="631">
          <cell r="A631" t="str">
            <v>Buildings</v>
          </cell>
          <cell r="B631" t="str">
            <v>MTP  R1</v>
          </cell>
          <cell r="C631" t="str">
            <v>Depreciation</v>
          </cell>
          <cell r="E631" t="str">
            <v>Oct</v>
          </cell>
          <cell r="F631">
            <v>165.82999999999998</v>
          </cell>
        </row>
        <row r="632">
          <cell r="A632" t="str">
            <v>Buildings</v>
          </cell>
          <cell r="B632" t="str">
            <v>MTP  R1</v>
          </cell>
          <cell r="C632" t="str">
            <v>Interest</v>
          </cell>
          <cell r="E632" t="str">
            <v>Oct</v>
          </cell>
          <cell r="F632">
            <v>15</v>
          </cell>
        </row>
        <row r="633">
          <cell r="A633" t="str">
            <v>Buildings</v>
          </cell>
          <cell r="B633" t="str">
            <v>MTP  R1</v>
          </cell>
          <cell r="C633" t="str">
            <v>Other Income</v>
          </cell>
          <cell r="E633" t="str">
            <v>Oct</v>
          </cell>
          <cell r="F633">
            <v>195</v>
          </cell>
        </row>
        <row r="634">
          <cell r="A634" t="str">
            <v>Buildings</v>
          </cell>
          <cell r="B634" t="str">
            <v>MTP  R1</v>
          </cell>
          <cell r="C634" t="str">
            <v>Administrative Expenses</v>
          </cell>
          <cell r="E634" t="str">
            <v>Nov</v>
          </cell>
          <cell r="F634">
            <v>1635</v>
          </cell>
        </row>
        <row r="635">
          <cell r="A635" t="str">
            <v>Buildings</v>
          </cell>
          <cell r="B635" t="str">
            <v>MTP  R1</v>
          </cell>
          <cell r="C635" t="str">
            <v>Business Development</v>
          </cell>
          <cell r="E635" t="str">
            <v>Nov</v>
          </cell>
          <cell r="F635">
            <v>120</v>
          </cell>
        </row>
        <row r="636">
          <cell r="A636" t="str">
            <v>Buildings</v>
          </cell>
          <cell r="B636" t="str">
            <v>MTP  R1</v>
          </cell>
          <cell r="C636" t="str">
            <v>Communication Expenses</v>
          </cell>
          <cell r="E636" t="str">
            <v>Nov</v>
          </cell>
          <cell r="F636">
            <v>915</v>
          </cell>
        </row>
        <row r="637">
          <cell r="A637" t="str">
            <v>Buildings</v>
          </cell>
          <cell r="B637" t="str">
            <v>MTP  R1</v>
          </cell>
          <cell r="C637" t="str">
            <v>Travel Expenses</v>
          </cell>
          <cell r="E637" t="str">
            <v>Nov</v>
          </cell>
          <cell r="F637">
            <v>240</v>
          </cell>
        </row>
        <row r="638">
          <cell r="A638" t="str">
            <v>Buildings</v>
          </cell>
          <cell r="B638" t="str">
            <v>MTP  R1</v>
          </cell>
          <cell r="C638" t="str">
            <v>Financial Expenses</v>
          </cell>
          <cell r="E638" t="str">
            <v>Nov</v>
          </cell>
          <cell r="F638">
            <v>195</v>
          </cell>
        </row>
        <row r="639">
          <cell r="A639" t="str">
            <v>Buildings</v>
          </cell>
          <cell r="B639" t="str">
            <v>MTP  R1</v>
          </cell>
          <cell r="C639" t="str">
            <v>Depreciation</v>
          </cell>
          <cell r="E639" t="str">
            <v>Nov</v>
          </cell>
          <cell r="F639">
            <v>167.37</v>
          </cell>
        </row>
        <row r="640">
          <cell r="A640" t="str">
            <v>Buildings</v>
          </cell>
          <cell r="B640" t="str">
            <v>MTP  R1</v>
          </cell>
          <cell r="C640" t="str">
            <v>Interest</v>
          </cell>
          <cell r="E640" t="str">
            <v>Nov</v>
          </cell>
          <cell r="F640">
            <v>15</v>
          </cell>
        </row>
        <row r="641">
          <cell r="A641" t="str">
            <v>Buildings</v>
          </cell>
          <cell r="B641" t="str">
            <v>MTP  R1</v>
          </cell>
          <cell r="C641" t="str">
            <v>Other Income</v>
          </cell>
          <cell r="E641" t="str">
            <v>Nov</v>
          </cell>
          <cell r="F641">
            <v>195</v>
          </cell>
        </row>
        <row r="642">
          <cell r="A642" t="str">
            <v>Buildings</v>
          </cell>
          <cell r="B642" t="str">
            <v>MTP  R1</v>
          </cell>
          <cell r="C642" t="str">
            <v>Administrative Expenses</v>
          </cell>
          <cell r="E642" t="str">
            <v>Dec</v>
          </cell>
          <cell r="F642">
            <v>1635</v>
          </cell>
        </row>
        <row r="643">
          <cell r="A643" t="str">
            <v>Buildings</v>
          </cell>
          <cell r="B643" t="str">
            <v>MTP  R1</v>
          </cell>
          <cell r="C643" t="str">
            <v>Business Development</v>
          </cell>
          <cell r="E643" t="str">
            <v>Dec</v>
          </cell>
          <cell r="F643">
            <v>120</v>
          </cell>
        </row>
        <row r="644">
          <cell r="A644" t="str">
            <v>Buildings</v>
          </cell>
          <cell r="B644" t="str">
            <v>MTP  R1</v>
          </cell>
          <cell r="C644" t="str">
            <v>Communication Expenses</v>
          </cell>
          <cell r="E644" t="str">
            <v>Dec</v>
          </cell>
          <cell r="F644">
            <v>915</v>
          </cell>
        </row>
        <row r="645">
          <cell r="A645" t="str">
            <v>Buildings</v>
          </cell>
          <cell r="B645" t="str">
            <v>MTP  R1</v>
          </cell>
          <cell r="C645" t="str">
            <v>Travel Expenses</v>
          </cell>
          <cell r="E645" t="str">
            <v>Dec</v>
          </cell>
          <cell r="F645">
            <v>240</v>
          </cell>
        </row>
        <row r="646">
          <cell r="A646" t="str">
            <v>Buildings</v>
          </cell>
          <cell r="B646" t="str">
            <v>MTP  R1</v>
          </cell>
          <cell r="C646" t="str">
            <v>Financial Expenses</v>
          </cell>
          <cell r="E646" t="str">
            <v>Dec</v>
          </cell>
          <cell r="F646">
            <v>195</v>
          </cell>
        </row>
        <row r="647">
          <cell r="A647" t="str">
            <v>Buildings</v>
          </cell>
          <cell r="B647" t="str">
            <v>MTP  R1</v>
          </cell>
          <cell r="C647" t="str">
            <v>Depreciation</v>
          </cell>
          <cell r="E647" t="str">
            <v>Dec</v>
          </cell>
          <cell r="F647">
            <v>168.93</v>
          </cell>
        </row>
        <row r="648">
          <cell r="A648" t="str">
            <v>Buildings</v>
          </cell>
          <cell r="B648" t="str">
            <v>MTP  R1</v>
          </cell>
          <cell r="C648" t="str">
            <v>Interest</v>
          </cell>
          <cell r="E648" t="str">
            <v>Dec</v>
          </cell>
          <cell r="F648">
            <v>15</v>
          </cell>
        </row>
        <row r="649">
          <cell r="A649" t="str">
            <v>Buildings</v>
          </cell>
          <cell r="B649" t="str">
            <v>MTP  R1</v>
          </cell>
          <cell r="C649" t="str">
            <v>Other Income</v>
          </cell>
          <cell r="E649" t="str">
            <v>Dec</v>
          </cell>
          <cell r="F649">
            <v>195</v>
          </cell>
        </row>
        <row r="650">
          <cell r="A650" t="str">
            <v>Buildings</v>
          </cell>
          <cell r="B650" t="str">
            <v>MTP  R1</v>
          </cell>
          <cell r="C650" t="str">
            <v>Administrative Expenses</v>
          </cell>
          <cell r="E650" t="str">
            <v>Jan</v>
          </cell>
          <cell r="F650">
            <v>1635</v>
          </cell>
        </row>
        <row r="651">
          <cell r="A651" t="str">
            <v>Buildings</v>
          </cell>
          <cell r="B651" t="str">
            <v>MTP  R1</v>
          </cell>
          <cell r="C651" t="str">
            <v>Business Development</v>
          </cell>
          <cell r="E651" t="str">
            <v>Jan</v>
          </cell>
          <cell r="F651">
            <v>120</v>
          </cell>
        </row>
        <row r="652">
          <cell r="A652" t="str">
            <v>Buildings</v>
          </cell>
          <cell r="B652" t="str">
            <v>MTP  R1</v>
          </cell>
          <cell r="C652" t="str">
            <v>Communication Expenses</v>
          </cell>
          <cell r="E652" t="str">
            <v>Jan</v>
          </cell>
          <cell r="F652">
            <v>915</v>
          </cell>
        </row>
        <row r="653">
          <cell r="A653" t="str">
            <v>Buildings</v>
          </cell>
          <cell r="B653" t="str">
            <v>MTP  R1</v>
          </cell>
          <cell r="C653" t="str">
            <v>Travel Expenses</v>
          </cell>
          <cell r="E653" t="str">
            <v>Jan</v>
          </cell>
          <cell r="F653">
            <v>240</v>
          </cell>
        </row>
        <row r="654">
          <cell r="A654" t="str">
            <v>Buildings</v>
          </cell>
          <cell r="B654" t="str">
            <v>MTP  R1</v>
          </cell>
          <cell r="C654" t="str">
            <v>Financial Expenses</v>
          </cell>
          <cell r="E654" t="str">
            <v>Jan</v>
          </cell>
          <cell r="F654">
            <v>195</v>
          </cell>
        </row>
        <row r="655">
          <cell r="A655" t="str">
            <v>Buildings</v>
          </cell>
          <cell r="B655" t="str">
            <v>MTP  R1</v>
          </cell>
          <cell r="C655" t="str">
            <v>Depreciation</v>
          </cell>
          <cell r="E655" t="str">
            <v>Jan</v>
          </cell>
          <cell r="F655">
            <v>170.48</v>
          </cell>
        </row>
        <row r="656">
          <cell r="A656" t="str">
            <v>Buildings</v>
          </cell>
          <cell r="B656" t="str">
            <v>MTP  R1</v>
          </cell>
          <cell r="C656" t="str">
            <v>Interest</v>
          </cell>
          <cell r="E656" t="str">
            <v>Jan</v>
          </cell>
          <cell r="F656">
            <v>15</v>
          </cell>
        </row>
        <row r="657">
          <cell r="A657" t="str">
            <v>Buildings</v>
          </cell>
          <cell r="B657" t="str">
            <v>MTP  R1</v>
          </cell>
          <cell r="C657" t="str">
            <v>Other Income</v>
          </cell>
          <cell r="E657" t="str">
            <v>Jan</v>
          </cell>
          <cell r="F657">
            <v>195</v>
          </cell>
        </row>
        <row r="658">
          <cell r="A658" t="str">
            <v>Buildings</v>
          </cell>
          <cell r="B658" t="str">
            <v>MTP  R1</v>
          </cell>
          <cell r="C658" t="str">
            <v>Administrative Expenses</v>
          </cell>
          <cell r="E658" t="str">
            <v>Feb</v>
          </cell>
          <cell r="F658">
            <v>1635</v>
          </cell>
        </row>
        <row r="659">
          <cell r="A659" t="str">
            <v>Buildings</v>
          </cell>
          <cell r="B659" t="str">
            <v>MTP  R1</v>
          </cell>
          <cell r="C659" t="str">
            <v>Business Development</v>
          </cell>
          <cell r="E659" t="str">
            <v>Feb</v>
          </cell>
          <cell r="F659">
            <v>120</v>
          </cell>
        </row>
        <row r="660">
          <cell r="A660" t="str">
            <v>Buildings</v>
          </cell>
          <cell r="B660" t="str">
            <v>MTP  R1</v>
          </cell>
          <cell r="C660" t="str">
            <v>Communication Expenses</v>
          </cell>
          <cell r="E660" t="str">
            <v>Feb</v>
          </cell>
          <cell r="F660">
            <v>915</v>
          </cell>
        </row>
        <row r="661">
          <cell r="A661" t="str">
            <v>Buildings</v>
          </cell>
          <cell r="B661" t="str">
            <v>MTP  R1</v>
          </cell>
          <cell r="C661" t="str">
            <v>Travel Expenses</v>
          </cell>
          <cell r="E661" t="str">
            <v>Feb</v>
          </cell>
          <cell r="F661">
            <v>240</v>
          </cell>
        </row>
        <row r="662">
          <cell r="A662" t="str">
            <v>Buildings</v>
          </cell>
          <cell r="B662" t="str">
            <v>MTP  R1</v>
          </cell>
          <cell r="C662" t="str">
            <v>Financial Expenses</v>
          </cell>
          <cell r="E662" t="str">
            <v>Feb</v>
          </cell>
          <cell r="F662">
            <v>195</v>
          </cell>
        </row>
        <row r="663">
          <cell r="A663" t="str">
            <v>Buildings</v>
          </cell>
          <cell r="B663" t="str">
            <v>MTP  R1</v>
          </cell>
          <cell r="C663" t="str">
            <v>Depreciation</v>
          </cell>
          <cell r="E663" t="str">
            <v>Feb</v>
          </cell>
          <cell r="F663">
            <v>172.01999999999998</v>
          </cell>
        </row>
        <row r="664">
          <cell r="A664" t="str">
            <v>Buildings</v>
          </cell>
          <cell r="B664" t="str">
            <v>MTP  R1</v>
          </cell>
          <cell r="C664" t="str">
            <v>Interest</v>
          </cell>
          <cell r="E664" t="str">
            <v>Feb</v>
          </cell>
          <cell r="F664">
            <v>15</v>
          </cell>
        </row>
        <row r="665">
          <cell r="A665" t="str">
            <v>Buildings</v>
          </cell>
          <cell r="B665" t="str">
            <v>MTP  R1</v>
          </cell>
          <cell r="C665" t="str">
            <v>Other Income</v>
          </cell>
          <cell r="E665" t="str">
            <v>Feb</v>
          </cell>
          <cell r="F665">
            <v>195</v>
          </cell>
        </row>
        <row r="666">
          <cell r="A666" t="str">
            <v>Buildings</v>
          </cell>
          <cell r="B666" t="str">
            <v>MTP  R1</v>
          </cell>
          <cell r="C666" t="str">
            <v>Administrative Expenses</v>
          </cell>
          <cell r="E666" t="str">
            <v>Mar</v>
          </cell>
          <cell r="F666">
            <v>1635</v>
          </cell>
        </row>
        <row r="667">
          <cell r="A667" t="str">
            <v>Buildings</v>
          </cell>
          <cell r="B667" t="str">
            <v>MTP  R1</v>
          </cell>
          <cell r="C667" t="str">
            <v>Business Development</v>
          </cell>
          <cell r="E667" t="str">
            <v>Mar</v>
          </cell>
          <cell r="F667">
            <v>120</v>
          </cell>
        </row>
        <row r="668">
          <cell r="A668" t="str">
            <v>Buildings</v>
          </cell>
          <cell r="B668" t="str">
            <v>MTP  R1</v>
          </cell>
          <cell r="C668" t="str">
            <v>Communication Expenses</v>
          </cell>
          <cell r="E668" t="str">
            <v>Mar</v>
          </cell>
          <cell r="F668">
            <v>915</v>
          </cell>
        </row>
        <row r="669">
          <cell r="A669" t="str">
            <v>Buildings</v>
          </cell>
          <cell r="B669" t="str">
            <v>MTP  R1</v>
          </cell>
          <cell r="C669" t="str">
            <v>Travel Expenses</v>
          </cell>
          <cell r="E669" t="str">
            <v>Mar</v>
          </cell>
          <cell r="F669">
            <v>240</v>
          </cell>
        </row>
        <row r="670">
          <cell r="A670" t="str">
            <v>Buildings</v>
          </cell>
          <cell r="B670" t="str">
            <v>MTP  R1</v>
          </cell>
          <cell r="C670" t="str">
            <v>Financial Expenses</v>
          </cell>
          <cell r="E670" t="str">
            <v>Mar</v>
          </cell>
          <cell r="F670">
            <v>195</v>
          </cell>
        </row>
        <row r="671">
          <cell r="A671" t="str">
            <v>Buildings</v>
          </cell>
          <cell r="B671" t="str">
            <v>MTP  R1</v>
          </cell>
          <cell r="C671" t="str">
            <v>Depreciation</v>
          </cell>
          <cell r="E671" t="str">
            <v>Mar</v>
          </cell>
          <cell r="F671">
            <v>173.57999999999998</v>
          </cell>
        </row>
        <row r="672">
          <cell r="A672" t="str">
            <v>Buildings</v>
          </cell>
          <cell r="B672" t="str">
            <v>MTP  R1</v>
          </cell>
          <cell r="C672" t="str">
            <v>Interest</v>
          </cell>
          <cell r="E672" t="str">
            <v>Mar</v>
          </cell>
          <cell r="F672">
            <v>15</v>
          </cell>
        </row>
        <row r="673">
          <cell r="A673" t="str">
            <v>Buildings</v>
          </cell>
          <cell r="B673" t="str">
            <v>MTP  R1</v>
          </cell>
          <cell r="C673" t="str">
            <v>Other Income</v>
          </cell>
          <cell r="E673" t="str">
            <v>Mar</v>
          </cell>
          <cell r="F673">
            <v>195</v>
          </cell>
        </row>
        <row r="674">
          <cell r="A674" t="str">
            <v>Railways</v>
          </cell>
          <cell r="B674" t="str">
            <v>MTP  R2</v>
          </cell>
          <cell r="C674" t="str">
            <v>Administrative Expenses</v>
          </cell>
          <cell r="E674" t="str">
            <v>Apr</v>
          </cell>
          <cell r="F674">
            <v>1635</v>
          </cell>
        </row>
        <row r="675">
          <cell r="A675" t="str">
            <v>Buildings</v>
          </cell>
          <cell r="B675" t="str">
            <v>MTP  R2</v>
          </cell>
          <cell r="C675" t="str">
            <v>Business Development</v>
          </cell>
          <cell r="E675" t="str">
            <v>Apr</v>
          </cell>
          <cell r="F675">
            <v>120</v>
          </cell>
        </row>
        <row r="676">
          <cell r="A676" t="str">
            <v>Buildings</v>
          </cell>
          <cell r="B676" t="str">
            <v>MTP  R2</v>
          </cell>
          <cell r="C676" t="str">
            <v>Communication Expenses</v>
          </cell>
          <cell r="E676" t="str">
            <v>Apr</v>
          </cell>
          <cell r="F676">
            <v>915</v>
          </cell>
        </row>
        <row r="677">
          <cell r="A677" t="str">
            <v>Buildings</v>
          </cell>
          <cell r="B677" t="str">
            <v>MTP  R2</v>
          </cell>
          <cell r="C677" t="str">
            <v>Travel Expenses</v>
          </cell>
          <cell r="E677" t="str">
            <v>Apr</v>
          </cell>
          <cell r="F677">
            <v>240</v>
          </cell>
        </row>
        <row r="678">
          <cell r="A678" t="str">
            <v>Buildings</v>
          </cell>
          <cell r="B678" t="str">
            <v>MTP  R2</v>
          </cell>
          <cell r="C678" t="str">
            <v>Financial Expenses</v>
          </cell>
          <cell r="E678" t="str">
            <v>Apr</v>
          </cell>
          <cell r="F678">
            <v>195</v>
          </cell>
        </row>
        <row r="679">
          <cell r="A679" t="str">
            <v>Buildings</v>
          </cell>
          <cell r="B679" t="str">
            <v>MTP  R2</v>
          </cell>
          <cell r="C679" t="str">
            <v>Depreciation</v>
          </cell>
          <cell r="E679" t="str">
            <v>Apr</v>
          </cell>
          <cell r="F679">
            <v>156.53</v>
          </cell>
        </row>
        <row r="680">
          <cell r="A680" t="str">
            <v>Buildings</v>
          </cell>
          <cell r="B680" t="str">
            <v>MTP  R2</v>
          </cell>
          <cell r="C680" t="str">
            <v>Interest</v>
          </cell>
          <cell r="E680" t="str">
            <v>Apr</v>
          </cell>
          <cell r="F680">
            <v>15</v>
          </cell>
        </row>
        <row r="681">
          <cell r="A681" t="str">
            <v>Buildings</v>
          </cell>
          <cell r="B681" t="str">
            <v>MTP  R2</v>
          </cell>
          <cell r="C681" t="str">
            <v>Other Income</v>
          </cell>
          <cell r="E681" t="str">
            <v>Apr</v>
          </cell>
          <cell r="F681">
            <v>195</v>
          </cell>
        </row>
        <row r="682">
          <cell r="A682" t="str">
            <v>Buildings</v>
          </cell>
          <cell r="B682" t="str">
            <v>MTP  R2</v>
          </cell>
          <cell r="C682" t="str">
            <v>Administrative Expenses</v>
          </cell>
          <cell r="E682" t="str">
            <v>May</v>
          </cell>
          <cell r="F682">
            <v>1635</v>
          </cell>
        </row>
        <row r="683">
          <cell r="A683" t="str">
            <v>Buildings</v>
          </cell>
          <cell r="B683" t="str">
            <v>MTP  R2</v>
          </cell>
          <cell r="C683" t="str">
            <v>Business Development</v>
          </cell>
          <cell r="E683" t="str">
            <v>May</v>
          </cell>
          <cell r="F683">
            <v>120</v>
          </cell>
        </row>
        <row r="684">
          <cell r="A684" t="str">
            <v>Buildings</v>
          </cell>
          <cell r="B684" t="str">
            <v>MTP  R2</v>
          </cell>
          <cell r="C684" t="str">
            <v>Communication Expenses</v>
          </cell>
          <cell r="E684" t="str">
            <v>May</v>
          </cell>
          <cell r="F684">
            <v>915</v>
          </cell>
        </row>
        <row r="685">
          <cell r="A685" t="str">
            <v>Buildings</v>
          </cell>
          <cell r="B685" t="str">
            <v>MTP  R2</v>
          </cell>
          <cell r="C685" t="str">
            <v>Travel Expenses</v>
          </cell>
          <cell r="E685" t="str">
            <v>May</v>
          </cell>
          <cell r="F685">
            <v>240</v>
          </cell>
        </row>
        <row r="686">
          <cell r="A686" t="str">
            <v>Buildings</v>
          </cell>
          <cell r="B686" t="str">
            <v>MTP  R2</v>
          </cell>
          <cell r="C686" t="str">
            <v>Financial Expenses</v>
          </cell>
          <cell r="E686" t="str">
            <v>May</v>
          </cell>
          <cell r="F686">
            <v>195</v>
          </cell>
        </row>
        <row r="687">
          <cell r="A687" t="str">
            <v>Buildings</v>
          </cell>
          <cell r="B687" t="str">
            <v>MTP  R2</v>
          </cell>
          <cell r="C687" t="str">
            <v>Depreciation</v>
          </cell>
          <cell r="E687" t="str">
            <v>May</v>
          </cell>
          <cell r="F687">
            <v>158.07999999999998</v>
          </cell>
        </row>
        <row r="688">
          <cell r="A688" t="str">
            <v>Buildings</v>
          </cell>
          <cell r="B688" t="str">
            <v>MTP  R2</v>
          </cell>
          <cell r="C688" t="str">
            <v>Interest</v>
          </cell>
          <cell r="E688" t="str">
            <v>May</v>
          </cell>
          <cell r="F688">
            <v>15</v>
          </cell>
        </row>
        <row r="689">
          <cell r="A689" t="str">
            <v>Buildings</v>
          </cell>
          <cell r="B689" t="str">
            <v>MTP  R2</v>
          </cell>
          <cell r="C689" t="str">
            <v>Other Income</v>
          </cell>
          <cell r="E689" t="str">
            <v>May</v>
          </cell>
          <cell r="F689">
            <v>195</v>
          </cell>
        </row>
        <row r="690">
          <cell r="A690" t="str">
            <v>Buildings</v>
          </cell>
          <cell r="B690" t="str">
            <v>MTP  R2</v>
          </cell>
          <cell r="C690" t="str">
            <v>Administrative Expenses</v>
          </cell>
          <cell r="E690" t="str">
            <v>June</v>
          </cell>
          <cell r="F690">
            <v>1635</v>
          </cell>
        </row>
        <row r="691">
          <cell r="A691" t="str">
            <v>Buildings</v>
          </cell>
          <cell r="B691" t="str">
            <v>MTP  R2</v>
          </cell>
          <cell r="C691" t="str">
            <v>Business Development</v>
          </cell>
          <cell r="E691" t="str">
            <v>June</v>
          </cell>
          <cell r="F691">
            <v>120</v>
          </cell>
        </row>
        <row r="692">
          <cell r="A692" t="str">
            <v>Buildings</v>
          </cell>
          <cell r="B692" t="str">
            <v>MTP  R2</v>
          </cell>
          <cell r="C692" t="str">
            <v>Communication Expenses</v>
          </cell>
          <cell r="E692" t="str">
            <v>June</v>
          </cell>
          <cell r="F692">
            <v>915</v>
          </cell>
        </row>
        <row r="693">
          <cell r="A693" t="str">
            <v>Buildings</v>
          </cell>
          <cell r="B693" t="str">
            <v>MTP  R2</v>
          </cell>
          <cell r="C693" t="str">
            <v>Travel Expenses</v>
          </cell>
          <cell r="E693" t="str">
            <v>June</v>
          </cell>
          <cell r="F693">
            <v>240</v>
          </cell>
        </row>
        <row r="694">
          <cell r="A694" t="str">
            <v>Buildings</v>
          </cell>
          <cell r="B694" t="str">
            <v>MTP  R2</v>
          </cell>
          <cell r="C694" t="str">
            <v>Financial Expenses</v>
          </cell>
          <cell r="E694" t="str">
            <v>June</v>
          </cell>
          <cell r="F694">
            <v>195</v>
          </cell>
        </row>
        <row r="695">
          <cell r="A695" t="str">
            <v>Buildings</v>
          </cell>
          <cell r="B695" t="str">
            <v>MTP  R2</v>
          </cell>
          <cell r="C695" t="str">
            <v>Depreciation</v>
          </cell>
          <cell r="E695" t="str">
            <v>June</v>
          </cell>
          <cell r="F695">
            <v>159.63</v>
          </cell>
        </row>
        <row r="696">
          <cell r="A696" t="str">
            <v>Buildings</v>
          </cell>
          <cell r="B696" t="str">
            <v>MTP  R2</v>
          </cell>
          <cell r="C696" t="str">
            <v>Interest</v>
          </cell>
          <cell r="E696" t="str">
            <v>June</v>
          </cell>
          <cell r="F696">
            <v>15</v>
          </cell>
        </row>
        <row r="697">
          <cell r="A697" t="str">
            <v>Buildings</v>
          </cell>
          <cell r="B697" t="str">
            <v>MTP  R2</v>
          </cell>
          <cell r="C697" t="str">
            <v>Other Income</v>
          </cell>
          <cell r="E697" t="str">
            <v>June</v>
          </cell>
          <cell r="F697">
            <v>195</v>
          </cell>
        </row>
        <row r="698">
          <cell r="A698" t="str">
            <v>Buildings</v>
          </cell>
          <cell r="B698" t="str">
            <v>MTP  R2</v>
          </cell>
          <cell r="C698" t="str">
            <v>Administrative Expenses</v>
          </cell>
          <cell r="E698" t="str">
            <v>July</v>
          </cell>
          <cell r="F698">
            <v>1635</v>
          </cell>
        </row>
        <row r="699">
          <cell r="A699" t="str">
            <v>Buildings</v>
          </cell>
          <cell r="B699" t="str">
            <v>MTP  R2</v>
          </cell>
          <cell r="C699" t="str">
            <v>Business Development</v>
          </cell>
          <cell r="E699" t="str">
            <v>July</v>
          </cell>
          <cell r="F699">
            <v>120</v>
          </cell>
        </row>
        <row r="700">
          <cell r="A700" t="str">
            <v>Buildings</v>
          </cell>
          <cell r="B700" t="str">
            <v>MTP  R2</v>
          </cell>
          <cell r="C700" t="str">
            <v>Communication Expenses</v>
          </cell>
          <cell r="E700" t="str">
            <v>July</v>
          </cell>
          <cell r="F700">
            <v>915</v>
          </cell>
        </row>
        <row r="701">
          <cell r="A701" t="str">
            <v>Buildings</v>
          </cell>
          <cell r="B701" t="str">
            <v>MTP  R2</v>
          </cell>
          <cell r="C701" t="str">
            <v>Travel Expenses</v>
          </cell>
          <cell r="E701" t="str">
            <v>July</v>
          </cell>
          <cell r="F701">
            <v>240</v>
          </cell>
        </row>
        <row r="702">
          <cell r="A702" t="str">
            <v>Buildings</v>
          </cell>
          <cell r="B702" t="str">
            <v>MTP  R2</v>
          </cell>
          <cell r="C702" t="str">
            <v>Financial Expenses</v>
          </cell>
          <cell r="E702" t="str">
            <v>July</v>
          </cell>
          <cell r="F702">
            <v>195</v>
          </cell>
        </row>
        <row r="703">
          <cell r="A703" t="str">
            <v>Buildings</v>
          </cell>
          <cell r="B703" t="str">
            <v>MTP  R2</v>
          </cell>
          <cell r="C703" t="str">
            <v>Depreciation</v>
          </cell>
          <cell r="E703" t="str">
            <v>July</v>
          </cell>
          <cell r="F703">
            <v>161.18</v>
          </cell>
        </row>
        <row r="704">
          <cell r="A704" t="str">
            <v>Buildings</v>
          </cell>
          <cell r="B704" t="str">
            <v>MTP  R2</v>
          </cell>
          <cell r="C704" t="str">
            <v>Interest</v>
          </cell>
          <cell r="E704" t="str">
            <v>July</v>
          </cell>
          <cell r="F704">
            <v>15</v>
          </cell>
        </row>
        <row r="705">
          <cell r="A705" t="str">
            <v>Buildings</v>
          </cell>
          <cell r="B705" t="str">
            <v>MTP  R2</v>
          </cell>
          <cell r="C705" t="str">
            <v>Other Income</v>
          </cell>
          <cell r="E705" t="str">
            <v>July</v>
          </cell>
          <cell r="F705">
            <v>195</v>
          </cell>
        </row>
        <row r="706">
          <cell r="A706" t="str">
            <v>Buildings</v>
          </cell>
          <cell r="B706" t="str">
            <v>MTP  R2</v>
          </cell>
          <cell r="C706" t="str">
            <v>Administrative Expenses</v>
          </cell>
          <cell r="E706" t="str">
            <v>Aug</v>
          </cell>
          <cell r="F706">
            <v>1635</v>
          </cell>
        </row>
        <row r="707">
          <cell r="A707" t="str">
            <v>Buildings</v>
          </cell>
          <cell r="B707" t="str">
            <v>MTP  R2</v>
          </cell>
          <cell r="C707" t="str">
            <v>Business Development</v>
          </cell>
          <cell r="E707" t="str">
            <v>Aug</v>
          </cell>
          <cell r="F707">
            <v>120</v>
          </cell>
        </row>
        <row r="708">
          <cell r="A708" t="str">
            <v>Buildings</v>
          </cell>
          <cell r="B708" t="str">
            <v>MTP  R2</v>
          </cell>
          <cell r="C708" t="str">
            <v>Communication Expenses</v>
          </cell>
          <cell r="E708" t="str">
            <v>Aug</v>
          </cell>
          <cell r="F708">
            <v>915</v>
          </cell>
        </row>
        <row r="709">
          <cell r="A709" t="str">
            <v>Buildings</v>
          </cell>
          <cell r="B709" t="str">
            <v>MTP  R2</v>
          </cell>
          <cell r="C709" t="str">
            <v>Travel Expenses</v>
          </cell>
          <cell r="E709" t="str">
            <v>Aug</v>
          </cell>
          <cell r="F709">
            <v>240</v>
          </cell>
        </row>
        <row r="710">
          <cell r="A710" t="str">
            <v>Buildings</v>
          </cell>
          <cell r="B710" t="str">
            <v>MTP  R2</v>
          </cell>
          <cell r="C710" t="str">
            <v>Financial Expenses</v>
          </cell>
          <cell r="E710" t="str">
            <v>Aug</v>
          </cell>
          <cell r="F710">
            <v>195</v>
          </cell>
        </row>
        <row r="711">
          <cell r="A711" t="str">
            <v>Buildings</v>
          </cell>
          <cell r="B711" t="str">
            <v>MTP  R2</v>
          </cell>
          <cell r="C711" t="str">
            <v>Depreciation</v>
          </cell>
          <cell r="E711" t="str">
            <v>Aug</v>
          </cell>
          <cell r="F711">
            <v>162.72999999999999</v>
          </cell>
        </row>
        <row r="712">
          <cell r="A712" t="str">
            <v>Buildings</v>
          </cell>
          <cell r="B712" t="str">
            <v>MTP  R2</v>
          </cell>
          <cell r="C712" t="str">
            <v>Interest</v>
          </cell>
          <cell r="E712" t="str">
            <v>Aug</v>
          </cell>
          <cell r="F712">
            <v>15</v>
          </cell>
        </row>
        <row r="713">
          <cell r="A713" t="str">
            <v>Buildings</v>
          </cell>
          <cell r="B713" t="str">
            <v>MTP  R2</v>
          </cell>
          <cell r="C713" t="str">
            <v>Other Income</v>
          </cell>
          <cell r="E713" t="str">
            <v>Aug</v>
          </cell>
          <cell r="F713">
            <v>195</v>
          </cell>
        </row>
        <row r="714">
          <cell r="A714" t="str">
            <v>Buildings</v>
          </cell>
          <cell r="B714" t="str">
            <v>MTP  R2</v>
          </cell>
          <cell r="C714" t="str">
            <v>Administrative Expenses</v>
          </cell>
          <cell r="E714" t="str">
            <v>Sep</v>
          </cell>
          <cell r="F714">
            <v>1635</v>
          </cell>
        </row>
        <row r="715">
          <cell r="A715" t="str">
            <v>Buildings</v>
          </cell>
          <cell r="B715" t="str">
            <v>MTP  R2</v>
          </cell>
          <cell r="C715" t="str">
            <v>Business Development</v>
          </cell>
          <cell r="E715" t="str">
            <v>Sep</v>
          </cell>
          <cell r="F715">
            <v>120</v>
          </cell>
        </row>
        <row r="716">
          <cell r="A716" t="str">
            <v>Buildings</v>
          </cell>
          <cell r="B716" t="str">
            <v>MTP  R2</v>
          </cell>
          <cell r="C716" t="str">
            <v>Communication Expenses</v>
          </cell>
          <cell r="E716" t="str">
            <v>Sep</v>
          </cell>
          <cell r="F716">
            <v>915</v>
          </cell>
        </row>
        <row r="717">
          <cell r="A717" t="str">
            <v>Buildings</v>
          </cell>
          <cell r="B717" t="str">
            <v>MTP  R2</v>
          </cell>
          <cell r="C717" t="str">
            <v>Travel Expenses</v>
          </cell>
          <cell r="E717" t="str">
            <v>Sep</v>
          </cell>
          <cell r="F717">
            <v>240</v>
          </cell>
        </row>
        <row r="718">
          <cell r="A718" t="str">
            <v>Buildings</v>
          </cell>
          <cell r="B718" t="str">
            <v>MTP  R2</v>
          </cell>
          <cell r="C718" t="str">
            <v>Financial Expenses</v>
          </cell>
          <cell r="E718" t="str">
            <v>Sep</v>
          </cell>
          <cell r="F718">
            <v>195</v>
          </cell>
        </row>
        <row r="719">
          <cell r="A719" t="str">
            <v>Buildings</v>
          </cell>
          <cell r="B719" t="str">
            <v>MTP  R2</v>
          </cell>
          <cell r="C719" t="str">
            <v>Depreciation</v>
          </cell>
          <cell r="E719" t="str">
            <v>Sep</v>
          </cell>
          <cell r="F719">
            <v>164.28</v>
          </cell>
        </row>
        <row r="720">
          <cell r="A720" t="str">
            <v>Buildings</v>
          </cell>
          <cell r="B720" t="str">
            <v>MTP  R2</v>
          </cell>
          <cell r="C720" t="str">
            <v>Interest</v>
          </cell>
          <cell r="E720" t="str">
            <v>Sep</v>
          </cell>
          <cell r="F720">
            <v>15</v>
          </cell>
        </row>
        <row r="721">
          <cell r="A721" t="str">
            <v>Buildings</v>
          </cell>
          <cell r="B721" t="str">
            <v>MTP  R2</v>
          </cell>
          <cell r="C721" t="str">
            <v>Other Income</v>
          </cell>
          <cell r="E721" t="str">
            <v>Sep</v>
          </cell>
          <cell r="F721">
            <v>195</v>
          </cell>
        </row>
        <row r="722">
          <cell r="A722" t="str">
            <v>Buildings</v>
          </cell>
          <cell r="B722" t="str">
            <v>MTP  R2</v>
          </cell>
          <cell r="C722" t="str">
            <v>Administrative Expenses</v>
          </cell>
          <cell r="E722" t="str">
            <v>Oct</v>
          </cell>
          <cell r="F722">
            <v>1635</v>
          </cell>
        </row>
        <row r="723">
          <cell r="A723" t="str">
            <v>Buildings</v>
          </cell>
          <cell r="B723" t="str">
            <v>MTP  R2</v>
          </cell>
          <cell r="C723" t="str">
            <v>Business Development</v>
          </cell>
          <cell r="E723" t="str">
            <v>Oct</v>
          </cell>
          <cell r="F723">
            <v>120</v>
          </cell>
        </row>
        <row r="724">
          <cell r="A724" t="str">
            <v>Buildings</v>
          </cell>
          <cell r="B724" t="str">
            <v>MTP  R2</v>
          </cell>
          <cell r="C724" t="str">
            <v>Communication Expenses</v>
          </cell>
          <cell r="E724" t="str">
            <v>Oct</v>
          </cell>
          <cell r="F724">
            <v>915</v>
          </cell>
        </row>
        <row r="725">
          <cell r="A725" t="str">
            <v>Buildings</v>
          </cell>
          <cell r="B725" t="str">
            <v>MTP  R2</v>
          </cell>
          <cell r="C725" t="str">
            <v>Travel Expenses</v>
          </cell>
          <cell r="E725" t="str">
            <v>Oct</v>
          </cell>
          <cell r="F725">
            <v>240</v>
          </cell>
        </row>
        <row r="726">
          <cell r="A726" t="str">
            <v>Buildings</v>
          </cell>
          <cell r="B726" t="str">
            <v>MTP  R2</v>
          </cell>
          <cell r="C726" t="str">
            <v>Financial Expenses</v>
          </cell>
          <cell r="E726" t="str">
            <v>Oct</v>
          </cell>
          <cell r="F726">
            <v>195</v>
          </cell>
        </row>
        <row r="727">
          <cell r="A727" t="str">
            <v>Buildings</v>
          </cell>
          <cell r="B727" t="str">
            <v>MTP  R2</v>
          </cell>
          <cell r="C727" t="str">
            <v>Depreciation</v>
          </cell>
          <cell r="E727" t="str">
            <v>Oct</v>
          </cell>
          <cell r="F727">
            <v>165.82999999999998</v>
          </cell>
        </row>
        <row r="728">
          <cell r="A728" t="str">
            <v>Buildings</v>
          </cell>
          <cell r="B728" t="str">
            <v>MTP  R2</v>
          </cell>
          <cell r="C728" t="str">
            <v>Interest</v>
          </cell>
          <cell r="E728" t="str">
            <v>Oct</v>
          </cell>
          <cell r="F728">
            <v>15</v>
          </cell>
        </row>
        <row r="729">
          <cell r="A729" t="str">
            <v>Buildings</v>
          </cell>
          <cell r="B729" t="str">
            <v>MTP  R2</v>
          </cell>
          <cell r="C729" t="str">
            <v>Other Income</v>
          </cell>
          <cell r="E729" t="str">
            <v>Oct</v>
          </cell>
          <cell r="F729">
            <v>195</v>
          </cell>
        </row>
        <row r="730">
          <cell r="A730" t="str">
            <v>Buildings</v>
          </cell>
          <cell r="B730" t="str">
            <v>MTP  R2</v>
          </cell>
          <cell r="C730" t="str">
            <v>Administrative Expenses</v>
          </cell>
          <cell r="E730" t="str">
            <v>Nov</v>
          </cell>
          <cell r="F730">
            <v>1635</v>
          </cell>
        </row>
        <row r="731">
          <cell r="A731" t="str">
            <v>Buildings</v>
          </cell>
          <cell r="B731" t="str">
            <v>MTP  R2</v>
          </cell>
          <cell r="C731" t="str">
            <v>Business Development</v>
          </cell>
          <cell r="E731" t="str">
            <v>Nov</v>
          </cell>
          <cell r="F731">
            <v>120</v>
          </cell>
        </row>
        <row r="732">
          <cell r="A732" t="str">
            <v>Buildings</v>
          </cell>
          <cell r="B732" t="str">
            <v>MTP  R2</v>
          </cell>
          <cell r="C732" t="str">
            <v>Communication Expenses</v>
          </cell>
          <cell r="E732" t="str">
            <v>Nov</v>
          </cell>
          <cell r="F732">
            <v>915</v>
          </cell>
        </row>
        <row r="733">
          <cell r="A733" t="str">
            <v>Buildings</v>
          </cell>
          <cell r="B733" t="str">
            <v>MTP  R2</v>
          </cell>
          <cell r="C733" t="str">
            <v>Travel Expenses</v>
          </cell>
          <cell r="E733" t="str">
            <v>Nov</v>
          </cell>
          <cell r="F733">
            <v>240</v>
          </cell>
        </row>
        <row r="734">
          <cell r="A734" t="str">
            <v>Buildings</v>
          </cell>
          <cell r="B734" t="str">
            <v>MTP  R2</v>
          </cell>
          <cell r="C734" t="str">
            <v>Financial Expenses</v>
          </cell>
          <cell r="E734" t="str">
            <v>Nov</v>
          </cell>
          <cell r="F734">
            <v>195</v>
          </cell>
        </row>
        <row r="735">
          <cell r="A735" t="str">
            <v>Buildings</v>
          </cell>
          <cell r="B735" t="str">
            <v>MTP  R2</v>
          </cell>
          <cell r="C735" t="str">
            <v>Depreciation</v>
          </cell>
          <cell r="E735" t="str">
            <v>Nov</v>
          </cell>
          <cell r="F735">
            <v>167.37</v>
          </cell>
        </row>
        <row r="736">
          <cell r="A736" t="str">
            <v>Buildings</v>
          </cell>
          <cell r="B736" t="str">
            <v>MTP  R2</v>
          </cell>
          <cell r="C736" t="str">
            <v>Interest</v>
          </cell>
          <cell r="E736" t="str">
            <v>Nov</v>
          </cell>
          <cell r="F736">
            <v>15</v>
          </cell>
        </row>
        <row r="737">
          <cell r="A737" t="str">
            <v>Buildings</v>
          </cell>
          <cell r="B737" t="str">
            <v>MTP  R2</v>
          </cell>
          <cell r="C737" t="str">
            <v>Other Income</v>
          </cell>
          <cell r="E737" t="str">
            <v>Nov</v>
          </cell>
          <cell r="F737">
            <v>195</v>
          </cell>
        </row>
        <row r="738">
          <cell r="A738" t="str">
            <v>Buildings</v>
          </cell>
          <cell r="B738" t="str">
            <v>MTP  R2</v>
          </cell>
          <cell r="C738" t="str">
            <v>Administrative Expenses</v>
          </cell>
          <cell r="E738" t="str">
            <v>Dec</v>
          </cell>
          <cell r="F738">
            <v>1635</v>
          </cell>
        </row>
        <row r="739">
          <cell r="A739" t="str">
            <v>Buildings</v>
          </cell>
          <cell r="B739" t="str">
            <v>MTP  R2</v>
          </cell>
          <cell r="C739" t="str">
            <v>Business Development</v>
          </cell>
          <cell r="E739" t="str">
            <v>Dec</v>
          </cell>
          <cell r="F739">
            <v>120</v>
          </cell>
        </row>
        <row r="740">
          <cell r="A740" t="str">
            <v>Buildings</v>
          </cell>
          <cell r="B740" t="str">
            <v>MTP  R2</v>
          </cell>
          <cell r="C740" t="str">
            <v>Communication Expenses</v>
          </cell>
          <cell r="E740" t="str">
            <v>Dec</v>
          </cell>
          <cell r="F740">
            <v>915</v>
          </cell>
        </row>
        <row r="741">
          <cell r="A741" t="str">
            <v>Buildings</v>
          </cell>
          <cell r="B741" t="str">
            <v>MTP  R2</v>
          </cell>
          <cell r="C741" t="str">
            <v>Travel Expenses</v>
          </cell>
          <cell r="E741" t="str">
            <v>Dec</v>
          </cell>
          <cell r="F741">
            <v>240</v>
          </cell>
        </row>
        <row r="742">
          <cell r="A742" t="str">
            <v>Buildings</v>
          </cell>
          <cell r="B742" t="str">
            <v>MTP  R2</v>
          </cell>
          <cell r="C742" t="str">
            <v>Financial Expenses</v>
          </cell>
          <cell r="E742" t="str">
            <v>Dec</v>
          </cell>
          <cell r="F742">
            <v>195</v>
          </cell>
        </row>
        <row r="743">
          <cell r="A743" t="str">
            <v>Buildings</v>
          </cell>
          <cell r="B743" t="str">
            <v>MTP  R2</v>
          </cell>
          <cell r="C743" t="str">
            <v>Depreciation</v>
          </cell>
          <cell r="E743" t="str">
            <v>Dec</v>
          </cell>
          <cell r="F743">
            <v>168.93</v>
          </cell>
        </row>
        <row r="744">
          <cell r="A744" t="str">
            <v>Buildings</v>
          </cell>
          <cell r="B744" t="str">
            <v>MTP  R2</v>
          </cell>
          <cell r="C744" t="str">
            <v>Interest</v>
          </cell>
          <cell r="E744" t="str">
            <v>Dec</v>
          </cell>
          <cell r="F744">
            <v>15</v>
          </cell>
        </row>
        <row r="745">
          <cell r="A745" t="str">
            <v>Buildings</v>
          </cell>
          <cell r="B745" t="str">
            <v>MTP  R2</v>
          </cell>
          <cell r="C745" t="str">
            <v>Other Income</v>
          </cell>
          <cell r="E745" t="str">
            <v>Dec</v>
          </cell>
          <cell r="F745">
            <v>195</v>
          </cell>
        </row>
        <row r="746">
          <cell r="A746" t="str">
            <v>Buildings</v>
          </cell>
          <cell r="B746" t="str">
            <v>MTP  R2</v>
          </cell>
          <cell r="C746" t="str">
            <v>Administrative Expenses</v>
          </cell>
          <cell r="E746" t="str">
            <v>Jan</v>
          </cell>
          <cell r="F746">
            <v>1635</v>
          </cell>
        </row>
        <row r="747">
          <cell r="A747" t="str">
            <v>Buildings</v>
          </cell>
          <cell r="B747" t="str">
            <v>MTP  R2</v>
          </cell>
          <cell r="C747" t="str">
            <v>Business Development</v>
          </cell>
          <cell r="E747" t="str">
            <v>Jan</v>
          </cell>
          <cell r="F747">
            <v>120</v>
          </cell>
        </row>
        <row r="748">
          <cell r="A748" t="str">
            <v>Buildings</v>
          </cell>
          <cell r="B748" t="str">
            <v>MTP  R2</v>
          </cell>
          <cell r="C748" t="str">
            <v>Communication Expenses</v>
          </cell>
          <cell r="E748" t="str">
            <v>Jan</v>
          </cell>
          <cell r="F748">
            <v>915</v>
          </cell>
        </row>
        <row r="749">
          <cell r="A749" t="str">
            <v>Buildings</v>
          </cell>
          <cell r="B749" t="str">
            <v>MTP  R2</v>
          </cell>
          <cell r="C749" t="str">
            <v>Travel Expenses</v>
          </cell>
          <cell r="E749" t="str">
            <v>Jan</v>
          </cell>
          <cell r="F749">
            <v>240</v>
          </cell>
        </row>
        <row r="750">
          <cell r="A750" t="str">
            <v>Buildings</v>
          </cell>
          <cell r="B750" t="str">
            <v>MTP  R2</v>
          </cell>
          <cell r="C750" t="str">
            <v>Financial Expenses</v>
          </cell>
          <cell r="E750" t="str">
            <v>Jan</v>
          </cell>
          <cell r="F750">
            <v>195</v>
          </cell>
        </row>
        <row r="751">
          <cell r="A751" t="str">
            <v>Buildings</v>
          </cell>
          <cell r="B751" t="str">
            <v>MTP  R2</v>
          </cell>
          <cell r="C751" t="str">
            <v>Depreciation</v>
          </cell>
          <cell r="E751" t="str">
            <v>Jan</v>
          </cell>
          <cell r="F751">
            <v>170.48</v>
          </cell>
        </row>
        <row r="752">
          <cell r="A752" t="str">
            <v>Buildings</v>
          </cell>
          <cell r="B752" t="str">
            <v>MTP  R2</v>
          </cell>
          <cell r="C752" t="str">
            <v>Interest</v>
          </cell>
          <cell r="E752" t="str">
            <v>Jan</v>
          </cell>
          <cell r="F752">
            <v>15</v>
          </cell>
        </row>
        <row r="753">
          <cell r="A753" t="str">
            <v>Buildings</v>
          </cell>
          <cell r="B753" t="str">
            <v>MTP  R2</v>
          </cell>
          <cell r="C753" t="str">
            <v>Other Income</v>
          </cell>
          <cell r="E753" t="str">
            <v>Jan</v>
          </cell>
          <cell r="F753">
            <v>195</v>
          </cell>
        </row>
        <row r="754">
          <cell r="A754" t="str">
            <v>Buildings</v>
          </cell>
          <cell r="B754" t="str">
            <v>MTP  R2</v>
          </cell>
          <cell r="C754" t="str">
            <v>Administrative Expenses</v>
          </cell>
          <cell r="E754" t="str">
            <v>Feb</v>
          </cell>
          <cell r="F754">
            <v>1635</v>
          </cell>
        </row>
        <row r="755">
          <cell r="A755" t="str">
            <v>Buildings</v>
          </cell>
          <cell r="B755" t="str">
            <v>MTP  R2</v>
          </cell>
          <cell r="C755" t="str">
            <v>Business Development</v>
          </cell>
          <cell r="E755" t="str">
            <v>Feb</v>
          </cell>
          <cell r="F755">
            <v>120</v>
          </cell>
        </row>
        <row r="756">
          <cell r="A756" t="str">
            <v>Buildings</v>
          </cell>
          <cell r="B756" t="str">
            <v>MTP  R2</v>
          </cell>
          <cell r="C756" t="str">
            <v>Communication Expenses</v>
          </cell>
          <cell r="E756" t="str">
            <v>Feb</v>
          </cell>
          <cell r="F756">
            <v>915</v>
          </cell>
        </row>
        <row r="757">
          <cell r="A757" t="str">
            <v>Buildings</v>
          </cell>
          <cell r="B757" t="str">
            <v>MTP  R2</v>
          </cell>
          <cell r="C757" t="str">
            <v>Travel Expenses</v>
          </cell>
          <cell r="E757" t="str">
            <v>Feb</v>
          </cell>
          <cell r="F757">
            <v>240</v>
          </cell>
        </row>
        <row r="758">
          <cell r="A758" t="str">
            <v>Buildings</v>
          </cell>
          <cell r="B758" t="str">
            <v>MTP  R2</v>
          </cell>
          <cell r="C758" t="str">
            <v>Financial Expenses</v>
          </cell>
          <cell r="E758" t="str">
            <v>Feb</v>
          </cell>
          <cell r="F758">
            <v>195</v>
          </cell>
        </row>
        <row r="759">
          <cell r="A759" t="str">
            <v>Buildings</v>
          </cell>
          <cell r="B759" t="str">
            <v>MTP  R2</v>
          </cell>
          <cell r="C759" t="str">
            <v>Depreciation</v>
          </cell>
          <cell r="E759" t="str">
            <v>Feb</v>
          </cell>
          <cell r="F759">
            <v>172.01999999999998</v>
          </cell>
        </row>
        <row r="760">
          <cell r="A760" t="str">
            <v>Buildings</v>
          </cell>
          <cell r="B760" t="str">
            <v>MTP  R2</v>
          </cell>
          <cell r="C760" t="str">
            <v>Interest</v>
          </cell>
          <cell r="E760" t="str">
            <v>Feb</v>
          </cell>
          <cell r="F760">
            <v>15</v>
          </cell>
        </row>
        <row r="761">
          <cell r="A761" t="str">
            <v>Buildings</v>
          </cell>
          <cell r="B761" t="str">
            <v>MTP  R2</v>
          </cell>
          <cell r="C761" t="str">
            <v>Other Income</v>
          </cell>
          <cell r="E761" t="str">
            <v>Feb</v>
          </cell>
          <cell r="F761">
            <v>195</v>
          </cell>
        </row>
        <row r="762">
          <cell r="A762" t="str">
            <v>Buildings</v>
          </cell>
          <cell r="B762" t="str">
            <v>MTP  R2</v>
          </cell>
          <cell r="C762" t="str">
            <v>Administrative Expenses</v>
          </cell>
          <cell r="E762" t="str">
            <v>Mar</v>
          </cell>
          <cell r="F762">
            <v>1635</v>
          </cell>
        </row>
        <row r="763">
          <cell r="A763" t="str">
            <v>Buildings</v>
          </cell>
          <cell r="B763" t="str">
            <v>MTP  R2</v>
          </cell>
          <cell r="C763" t="str">
            <v>Business Development</v>
          </cell>
          <cell r="E763" t="str">
            <v>Mar</v>
          </cell>
          <cell r="F763">
            <v>2398</v>
          </cell>
        </row>
        <row r="764">
          <cell r="A764" t="str">
            <v>Buildings</v>
          </cell>
          <cell r="B764" t="str">
            <v>MTP  R2</v>
          </cell>
          <cell r="C764" t="str">
            <v>Communication Expenses</v>
          </cell>
          <cell r="E764" t="str">
            <v>Mar</v>
          </cell>
          <cell r="F764">
            <v>176</v>
          </cell>
        </row>
        <row r="765">
          <cell r="A765" t="str">
            <v>Buildings</v>
          </cell>
          <cell r="B765" t="str">
            <v>MTP  R2</v>
          </cell>
          <cell r="C765" t="str">
            <v>Travel Expenses</v>
          </cell>
          <cell r="E765" t="str">
            <v>Mar</v>
          </cell>
          <cell r="F765">
            <v>1958</v>
          </cell>
        </row>
        <row r="766">
          <cell r="A766" t="str">
            <v>Buildings</v>
          </cell>
          <cell r="B766" t="str">
            <v>MTP  R2</v>
          </cell>
          <cell r="C766" t="str">
            <v>Financial Expenses</v>
          </cell>
          <cell r="E766" t="str">
            <v>Mar</v>
          </cell>
          <cell r="F766">
            <v>352</v>
          </cell>
        </row>
        <row r="767">
          <cell r="A767" t="str">
            <v>Buildings</v>
          </cell>
          <cell r="B767" t="str">
            <v>MTP  R2</v>
          </cell>
          <cell r="C767" t="str">
            <v>Depreciation</v>
          </cell>
          <cell r="E767" t="str">
            <v>Mar</v>
          </cell>
          <cell r="F767">
            <v>154</v>
          </cell>
        </row>
        <row r="768">
          <cell r="A768" t="str">
            <v>Buildings</v>
          </cell>
          <cell r="B768" t="str">
            <v>MTP  R2</v>
          </cell>
          <cell r="C768" t="str">
            <v>Interest</v>
          </cell>
          <cell r="E768" t="str">
            <v>Mar</v>
          </cell>
          <cell r="F768">
            <v>0</v>
          </cell>
        </row>
        <row r="769">
          <cell r="A769" t="str">
            <v>Buildings</v>
          </cell>
          <cell r="B769" t="str">
            <v>MTP  R2</v>
          </cell>
          <cell r="C769" t="str">
            <v>Other Income</v>
          </cell>
          <cell r="E769" t="str">
            <v>Mar</v>
          </cell>
          <cell r="F769">
            <v>22</v>
          </cell>
        </row>
        <row r="770">
          <cell r="A770" t="str">
            <v>SSU</v>
          </cell>
          <cell r="B770" t="str">
            <v>CFA</v>
          </cell>
          <cell r="C770" t="str">
            <v>Administrative Expenses</v>
          </cell>
          <cell r="E770" t="str">
            <v>Apr</v>
          </cell>
          <cell r="F770">
            <v>286</v>
          </cell>
        </row>
        <row r="771">
          <cell r="A771" t="str">
            <v>SSU</v>
          </cell>
          <cell r="B771" t="str">
            <v>CFA</v>
          </cell>
          <cell r="C771" t="str">
            <v>Business Development</v>
          </cell>
          <cell r="E771" t="str">
            <v>Apr</v>
          </cell>
          <cell r="F771">
            <v>176</v>
          </cell>
        </row>
        <row r="772">
          <cell r="A772" t="str">
            <v>SSU</v>
          </cell>
          <cell r="B772" t="str">
            <v>CFA</v>
          </cell>
          <cell r="C772" t="str">
            <v>Communication Expenses</v>
          </cell>
          <cell r="E772" t="str">
            <v>Apr</v>
          </cell>
          <cell r="F772">
            <v>1958</v>
          </cell>
        </row>
        <row r="773">
          <cell r="A773" t="str">
            <v>SSU</v>
          </cell>
          <cell r="B773" t="str">
            <v>CFA</v>
          </cell>
          <cell r="C773" t="str">
            <v>Travel Expenses</v>
          </cell>
          <cell r="E773" t="str">
            <v>Apr</v>
          </cell>
          <cell r="F773">
            <v>352</v>
          </cell>
        </row>
        <row r="774">
          <cell r="A774" t="str">
            <v>SSU</v>
          </cell>
          <cell r="B774" t="str">
            <v>CFA</v>
          </cell>
          <cell r="C774" t="str">
            <v>Financial Expenses</v>
          </cell>
          <cell r="E774" t="str">
            <v>Apr</v>
          </cell>
          <cell r="F774">
            <v>154</v>
          </cell>
        </row>
        <row r="775">
          <cell r="A775" t="str">
            <v>SSU</v>
          </cell>
          <cell r="B775" t="str">
            <v>CFA</v>
          </cell>
          <cell r="C775" t="str">
            <v>Depreciation</v>
          </cell>
          <cell r="E775" t="str">
            <v>Apr</v>
          </cell>
          <cell r="F775">
            <v>0</v>
          </cell>
        </row>
        <row r="776">
          <cell r="A776" t="str">
            <v>SSU</v>
          </cell>
          <cell r="B776" t="str">
            <v>CFA</v>
          </cell>
          <cell r="C776" t="str">
            <v>Interest</v>
          </cell>
          <cell r="E776" t="str">
            <v>Apr</v>
          </cell>
          <cell r="F776">
            <v>22</v>
          </cell>
        </row>
        <row r="777">
          <cell r="A777" t="str">
            <v>SSU</v>
          </cell>
          <cell r="B777" t="str">
            <v>CFA</v>
          </cell>
          <cell r="C777" t="str">
            <v>Other Income</v>
          </cell>
          <cell r="E777" t="str">
            <v>Apr</v>
          </cell>
          <cell r="F777">
            <v>286</v>
          </cell>
        </row>
        <row r="778">
          <cell r="A778" t="str">
            <v>SSU</v>
          </cell>
          <cell r="B778" t="str">
            <v>CFA</v>
          </cell>
          <cell r="C778" t="str">
            <v>Administrative Expenses</v>
          </cell>
          <cell r="E778" t="str">
            <v>May</v>
          </cell>
          <cell r="F778">
            <v>2398</v>
          </cell>
        </row>
        <row r="779">
          <cell r="A779" t="str">
            <v>SSU</v>
          </cell>
          <cell r="B779" t="str">
            <v>CFA</v>
          </cell>
          <cell r="C779" t="str">
            <v>Business Development</v>
          </cell>
          <cell r="E779" t="str">
            <v>May</v>
          </cell>
          <cell r="F779">
            <v>176</v>
          </cell>
        </row>
        <row r="780">
          <cell r="A780" t="str">
            <v>SSU</v>
          </cell>
          <cell r="B780" t="str">
            <v>CFA</v>
          </cell>
          <cell r="C780" t="str">
            <v>Communication Expenses</v>
          </cell>
          <cell r="E780" t="str">
            <v>May</v>
          </cell>
          <cell r="F780">
            <v>1958</v>
          </cell>
        </row>
        <row r="781">
          <cell r="A781" t="str">
            <v>SSU</v>
          </cell>
          <cell r="B781" t="str">
            <v>CFA</v>
          </cell>
          <cell r="C781" t="str">
            <v>Travel Expenses</v>
          </cell>
          <cell r="E781" t="str">
            <v>May</v>
          </cell>
          <cell r="F781">
            <v>352</v>
          </cell>
        </row>
        <row r="782">
          <cell r="A782" t="str">
            <v>SSU</v>
          </cell>
          <cell r="B782" t="str">
            <v>CFA</v>
          </cell>
          <cell r="C782" t="str">
            <v>Financial Expenses</v>
          </cell>
          <cell r="E782" t="str">
            <v>May</v>
          </cell>
          <cell r="F782">
            <v>154</v>
          </cell>
        </row>
        <row r="783">
          <cell r="A783" t="str">
            <v>SSU</v>
          </cell>
          <cell r="B783" t="str">
            <v>CFA</v>
          </cell>
          <cell r="C783" t="str">
            <v>Depreciation</v>
          </cell>
          <cell r="E783" t="str">
            <v>May</v>
          </cell>
          <cell r="F783">
            <v>0</v>
          </cell>
        </row>
        <row r="784">
          <cell r="A784" t="str">
            <v>SSU</v>
          </cell>
          <cell r="B784" t="str">
            <v>CFA</v>
          </cell>
          <cell r="C784" t="str">
            <v>Interest</v>
          </cell>
          <cell r="E784" t="str">
            <v>May</v>
          </cell>
          <cell r="F784">
            <v>22</v>
          </cell>
        </row>
        <row r="785">
          <cell r="A785" t="str">
            <v>SSU</v>
          </cell>
          <cell r="B785" t="str">
            <v>CFA</v>
          </cell>
          <cell r="C785" t="str">
            <v>Other Income</v>
          </cell>
          <cell r="E785" t="str">
            <v>May</v>
          </cell>
          <cell r="F785">
            <v>286</v>
          </cell>
        </row>
        <row r="786">
          <cell r="A786" t="str">
            <v>SSU</v>
          </cell>
          <cell r="B786" t="str">
            <v>CFA</v>
          </cell>
          <cell r="C786" t="str">
            <v>Administrative Expenses</v>
          </cell>
          <cell r="E786" t="str">
            <v>June</v>
          </cell>
          <cell r="F786">
            <v>2398</v>
          </cell>
        </row>
        <row r="787">
          <cell r="A787" t="str">
            <v>SSU</v>
          </cell>
          <cell r="B787" t="str">
            <v>CFA</v>
          </cell>
          <cell r="C787" t="str">
            <v>Business Development</v>
          </cell>
          <cell r="E787" t="str">
            <v>June</v>
          </cell>
          <cell r="F787">
            <v>176</v>
          </cell>
        </row>
        <row r="788">
          <cell r="A788" t="str">
            <v>SSU</v>
          </cell>
          <cell r="B788" t="str">
            <v>CFA</v>
          </cell>
          <cell r="C788" t="str">
            <v>Communication Expenses</v>
          </cell>
          <cell r="E788" t="str">
            <v>June</v>
          </cell>
          <cell r="F788">
            <v>1958</v>
          </cell>
        </row>
        <row r="789">
          <cell r="A789" t="str">
            <v>SSU</v>
          </cell>
          <cell r="B789" t="str">
            <v>CFA</v>
          </cell>
          <cell r="C789" t="str">
            <v>Travel Expenses</v>
          </cell>
          <cell r="E789" t="str">
            <v>June</v>
          </cell>
          <cell r="F789">
            <v>352</v>
          </cell>
        </row>
        <row r="790">
          <cell r="A790" t="str">
            <v>SSU</v>
          </cell>
          <cell r="B790" t="str">
            <v>CFA</v>
          </cell>
          <cell r="C790" t="str">
            <v>Financial Expenses</v>
          </cell>
          <cell r="E790" t="str">
            <v>June</v>
          </cell>
          <cell r="F790">
            <v>154</v>
          </cell>
        </row>
        <row r="791">
          <cell r="A791" t="str">
            <v>SSU</v>
          </cell>
          <cell r="B791" t="str">
            <v>CFA</v>
          </cell>
          <cell r="C791" t="str">
            <v>Depreciation</v>
          </cell>
          <cell r="E791" t="str">
            <v>June</v>
          </cell>
          <cell r="F791">
            <v>0</v>
          </cell>
        </row>
        <row r="792">
          <cell r="A792" t="str">
            <v>SSU</v>
          </cell>
          <cell r="B792" t="str">
            <v>CFA</v>
          </cell>
          <cell r="C792" t="str">
            <v>Interest</v>
          </cell>
          <cell r="E792" t="str">
            <v>June</v>
          </cell>
          <cell r="F792">
            <v>22</v>
          </cell>
        </row>
        <row r="793">
          <cell r="A793" t="str">
            <v>SSU</v>
          </cell>
          <cell r="B793" t="str">
            <v>CFA</v>
          </cell>
          <cell r="C793" t="str">
            <v>Other Income</v>
          </cell>
          <cell r="E793" t="str">
            <v>June</v>
          </cell>
          <cell r="F793">
            <v>286</v>
          </cell>
        </row>
        <row r="794">
          <cell r="A794" t="str">
            <v>SSU</v>
          </cell>
          <cell r="B794" t="str">
            <v>CFA</v>
          </cell>
          <cell r="C794" t="str">
            <v>Administrative Expenses</v>
          </cell>
          <cell r="E794" t="str">
            <v>July</v>
          </cell>
          <cell r="F794">
            <v>2398</v>
          </cell>
        </row>
        <row r="795">
          <cell r="A795" t="str">
            <v>SSU</v>
          </cell>
          <cell r="B795" t="str">
            <v>CFA</v>
          </cell>
          <cell r="C795" t="str">
            <v>Business Development</v>
          </cell>
          <cell r="E795" t="str">
            <v>July</v>
          </cell>
          <cell r="F795">
            <v>176</v>
          </cell>
        </row>
        <row r="796">
          <cell r="A796" t="str">
            <v>SSU</v>
          </cell>
          <cell r="B796" t="str">
            <v>CFA</v>
          </cell>
          <cell r="C796" t="str">
            <v>Communication Expenses</v>
          </cell>
          <cell r="E796" t="str">
            <v>July</v>
          </cell>
          <cell r="F796">
            <v>1958</v>
          </cell>
        </row>
        <row r="797">
          <cell r="A797" t="str">
            <v>SSU</v>
          </cell>
          <cell r="B797" t="str">
            <v>CFA</v>
          </cell>
          <cell r="C797" t="str">
            <v>Travel Expenses</v>
          </cell>
          <cell r="E797" t="str">
            <v>July</v>
          </cell>
          <cell r="F797">
            <v>352</v>
          </cell>
        </row>
        <row r="798">
          <cell r="A798" t="str">
            <v>SSU</v>
          </cell>
          <cell r="B798" t="str">
            <v>CFA</v>
          </cell>
          <cell r="C798" t="str">
            <v>Financial Expenses</v>
          </cell>
          <cell r="E798" t="str">
            <v>July</v>
          </cell>
          <cell r="F798">
            <v>154</v>
          </cell>
        </row>
        <row r="799">
          <cell r="A799" t="str">
            <v>SSU</v>
          </cell>
          <cell r="B799" t="str">
            <v>CFA</v>
          </cell>
          <cell r="C799" t="str">
            <v>Depreciation</v>
          </cell>
          <cell r="E799" t="str">
            <v>July</v>
          </cell>
          <cell r="F799">
            <v>0</v>
          </cell>
        </row>
        <row r="800">
          <cell r="A800" t="str">
            <v>SSU</v>
          </cell>
          <cell r="B800" t="str">
            <v>CFA</v>
          </cell>
          <cell r="C800" t="str">
            <v>Interest</v>
          </cell>
          <cell r="E800" t="str">
            <v>July</v>
          </cell>
          <cell r="F800">
            <v>22</v>
          </cell>
        </row>
        <row r="801">
          <cell r="A801" t="str">
            <v>SSU</v>
          </cell>
          <cell r="B801" t="str">
            <v>CFA</v>
          </cell>
          <cell r="C801" t="str">
            <v>Other Income</v>
          </cell>
          <cell r="E801" t="str">
            <v>July</v>
          </cell>
          <cell r="F801">
            <v>286</v>
          </cell>
        </row>
        <row r="802">
          <cell r="A802" t="str">
            <v>SSU</v>
          </cell>
          <cell r="B802" t="str">
            <v>CFA</v>
          </cell>
          <cell r="C802" t="str">
            <v>Administrative Expenses</v>
          </cell>
          <cell r="E802" t="str">
            <v>Aug</v>
          </cell>
          <cell r="F802">
            <v>2398</v>
          </cell>
        </row>
        <row r="803">
          <cell r="A803" t="str">
            <v>SSU</v>
          </cell>
          <cell r="B803" t="str">
            <v>CFA</v>
          </cell>
          <cell r="C803" t="str">
            <v>Business Development</v>
          </cell>
          <cell r="E803" t="str">
            <v>Aug</v>
          </cell>
          <cell r="F803">
            <v>176</v>
          </cell>
        </row>
        <row r="804">
          <cell r="A804" t="str">
            <v>SSU</v>
          </cell>
          <cell r="B804" t="str">
            <v>CFA</v>
          </cell>
          <cell r="C804" t="str">
            <v>Communication Expenses</v>
          </cell>
          <cell r="E804" t="str">
            <v>Aug</v>
          </cell>
          <cell r="F804">
            <v>1958</v>
          </cell>
        </row>
        <row r="805">
          <cell r="A805" t="str">
            <v>SSU</v>
          </cell>
          <cell r="B805" t="str">
            <v>CFA</v>
          </cell>
          <cell r="C805" t="str">
            <v>Travel Expenses</v>
          </cell>
          <cell r="E805" t="str">
            <v>Aug</v>
          </cell>
          <cell r="F805">
            <v>352</v>
          </cell>
        </row>
        <row r="806">
          <cell r="A806" t="str">
            <v>SSU</v>
          </cell>
          <cell r="B806" t="str">
            <v>CFA</v>
          </cell>
          <cell r="C806" t="str">
            <v>Financial Expenses</v>
          </cell>
          <cell r="E806" t="str">
            <v>Aug</v>
          </cell>
          <cell r="F806">
            <v>154</v>
          </cell>
        </row>
        <row r="807">
          <cell r="A807" t="str">
            <v>SSU</v>
          </cell>
          <cell r="B807" t="str">
            <v>CFA</v>
          </cell>
          <cell r="C807" t="str">
            <v>Depreciation</v>
          </cell>
          <cell r="E807" t="str">
            <v>Aug</v>
          </cell>
          <cell r="F807">
            <v>0</v>
          </cell>
        </row>
        <row r="808">
          <cell r="A808" t="str">
            <v>SSU</v>
          </cell>
          <cell r="B808" t="str">
            <v>CFA</v>
          </cell>
          <cell r="C808" t="str">
            <v>Interest</v>
          </cell>
          <cell r="E808" t="str">
            <v>Aug</v>
          </cell>
          <cell r="F808">
            <v>22</v>
          </cell>
        </row>
        <row r="809">
          <cell r="A809" t="str">
            <v>SSU</v>
          </cell>
          <cell r="B809" t="str">
            <v>CFA</v>
          </cell>
          <cell r="C809" t="str">
            <v>Other Income</v>
          </cell>
          <cell r="E809" t="str">
            <v>Aug</v>
          </cell>
          <cell r="F809">
            <v>286</v>
          </cell>
        </row>
        <row r="810">
          <cell r="A810" t="str">
            <v>SSU</v>
          </cell>
          <cell r="B810" t="str">
            <v>CFA</v>
          </cell>
          <cell r="C810" t="str">
            <v>Administrative Expenses</v>
          </cell>
          <cell r="E810" t="str">
            <v>Sep</v>
          </cell>
          <cell r="F810">
            <v>2398</v>
          </cell>
        </row>
        <row r="811">
          <cell r="A811" t="str">
            <v>SSU</v>
          </cell>
          <cell r="B811" t="str">
            <v>CFA</v>
          </cell>
          <cell r="C811" t="str">
            <v>Business Development</v>
          </cell>
          <cell r="E811" t="str">
            <v>Sep</v>
          </cell>
          <cell r="F811">
            <v>176</v>
          </cell>
        </row>
        <row r="812">
          <cell r="A812" t="str">
            <v>SSU</v>
          </cell>
          <cell r="B812" t="str">
            <v>CFA</v>
          </cell>
          <cell r="C812" t="str">
            <v>Communication Expenses</v>
          </cell>
          <cell r="E812" t="str">
            <v>Sep</v>
          </cell>
          <cell r="F812">
            <v>1958</v>
          </cell>
        </row>
        <row r="813">
          <cell r="A813" t="str">
            <v>SSU</v>
          </cell>
          <cell r="B813" t="str">
            <v>CFA</v>
          </cell>
          <cell r="C813" t="str">
            <v>Travel Expenses</v>
          </cell>
          <cell r="E813" t="str">
            <v>Sep</v>
          </cell>
          <cell r="F813">
            <v>352</v>
          </cell>
        </row>
        <row r="814">
          <cell r="A814" t="str">
            <v>SSU</v>
          </cell>
          <cell r="B814" t="str">
            <v>CFA</v>
          </cell>
          <cell r="C814" t="str">
            <v>Financial Expenses</v>
          </cell>
          <cell r="E814" t="str">
            <v>Sep</v>
          </cell>
          <cell r="F814">
            <v>154</v>
          </cell>
        </row>
        <row r="815">
          <cell r="A815" t="str">
            <v>SSU</v>
          </cell>
          <cell r="B815" t="str">
            <v>CFA</v>
          </cell>
          <cell r="C815" t="str">
            <v>Depreciation</v>
          </cell>
          <cell r="E815" t="str">
            <v>Sep</v>
          </cell>
          <cell r="F815">
            <v>0</v>
          </cell>
        </row>
        <row r="816">
          <cell r="A816" t="str">
            <v>SSU</v>
          </cell>
          <cell r="B816" t="str">
            <v>CFA</v>
          </cell>
          <cell r="C816" t="str">
            <v>Interest</v>
          </cell>
          <cell r="E816" t="str">
            <v>Sep</v>
          </cell>
          <cell r="F816">
            <v>22</v>
          </cell>
        </row>
        <row r="817">
          <cell r="A817" t="str">
            <v>SSU</v>
          </cell>
          <cell r="B817" t="str">
            <v>CFA</v>
          </cell>
          <cell r="C817" t="str">
            <v>Other Income</v>
          </cell>
          <cell r="E817" t="str">
            <v>Sep</v>
          </cell>
          <cell r="F817">
            <v>286</v>
          </cell>
        </row>
        <row r="818">
          <cell r="A818" t="str">
            <v>SSU</v>
          </cell>
          <cell r="B818" t="str">
            <v>CFA</v>
          </cell>
          <cell r="C818" t="str">
            <v>Administrative Expenses</v>
          </cell>
          <cell r="E818" t="str">
            <v>Oct</v>
          </cell>
          <cell r="F818">
            <v>2398</v>
          </cell>
        </row>
        <row r="819">
          <cell r="A819" t="str">
            <v>SSU</v>
          </cell>
          <cell r="B819" t="str">
            <v>CFA</v>
          </cell>
          <cell r="C819" t="str">
            <v>Business Development</v>
          </cell>
          <cell r="E819" t="str">
            <v>Oct</v>
          </cell>
          <cell r="F819">
            <v>176</v>
          </cell>
        </row>
        <row r="820">
          <cell r="A820" t="str">
            <v>SSU</v>
          </cell>
          <cell r="B820" t="str">
            <v>CFA</v>
          </cell>
          <cell r="C820" t="str">
            <v>Communication Expenses</v>
          </cell>
          <cell r="E820" t="str">
            <v>Oct</v>
          </cell>
          <cell r="F820">
            <v>1958</v>
          </cell>
        </row>
        <row r="821">
          <cell r="A821" t="str">
            <v>SSU</v>
          </cell>
          <cell r="B821" t="str">
            <v>CFA</v>
          </cell>
          <cell r="C821" t="str">
            <v>Travel Expenses</v>
          </cell>
          <cell r="E821" t="str">
            <v>Oct</v>
          </cell>
          <cell r="F821">
            <v>352</v>
          </cell>
        </row>
        <row r="822">
          <cell r="A822" t="str">
            <v>SSU</v>
          </cell>
          <cell r="B822" t="str">
            <v>CFA</v>
          </cell>
          <cell r="C822" t="str">
            <v>Financial Expenses</v>
          </cell>
          <cell r="E822" t="str">
            <v>Oct</v>
          </cell>
          <cell r="F822">
            <v>154</v>
          </cell>
        </row>
        <row r="823">
          <cell r="A823" t="str">
            <v>SSU</v>
          </cell>
          <cell r="B823" t="str">
            <v>CFA</v>
          </cell>
          <cell r="C823" t="str">
            <v>Depreciation</v>
          </cell>
          <cell r="E823" t="str">
            <v>Oct</v>
          </cell>
          <cell r="F823">
            <v>0</v>
          </cell>
        </row>
        <row r="824">
          <cell r="A824" t="str">
            <v>SSU</v>
          </cell>
          <cell r="B824" t="str">
            <v>CFA</v>
          </cell>
          <cell r="C824" t="str">
            <v>Interest</v>
          </cell>
          <cell r="E824" t="str">
            <v>Oct</v>
          </cell>
          <cell r="F824">
            <v>22</v>
          </cell>
        </row>
        <row r="825">
          <cell r="A825" t="str">
            <v>SSU</v>
          </cell>
          <cell r="B825" t="str">
            <v>CFA</v>
          </cell>
          <cell r="C825" t="str">
            <v>Other Income</v>
          </cell>
          <cell r="E825" t="str">
            <v>Oct</v>
          </cell>
          <cell r="F825">
            <v>286</v>
          </cell>
        </row>
        <row r="826">
          <cell r="A826" t="str">
            <v>SSU</v>
          </cell>
          <cell r="B826" t="str">
            <v>CFA</v>
          </cell>
          <cell r="C826" t="str">
            <v>Administrative Expenses</v>
          </cell>
          <cell r="E826" t="str">
            <v>Nov</v>
          </cell>
          <cell r="F826">
            <v>2398</v>
          </cell>
        </row>
        <row r="827">
          <cell r="A827" t="str">
            <v>SSU</v>
          </cell>
          <cell r="B827" t="str">
            <v>CFA</v>
          </cell>
          <cell r="C827" t="str">
            <v>Business Development</v>
          </cell>
          <cell r="E827" t="str">
            <v>Nov</v>
          </cell>
          <cell r="F827">
            <v>176</v>
          </cell>
        </row>
        <row r="828">
          <cell r="A828" t="str">
            <v>SSU</v>
          </cell>
          <cell r="B828" t="str">
            <v>CFA</v>
          </cell>
          <cell r="C828" t="str">
            <v>Communication Expenses</v>
          </cell>
          <cell r="E828" t="str">
            <v>Nov</v>
          </cell>
          <cell r="F828">
            <v>1958</v>
          </cell>
        </row>
        <row r="829">
          <cell r="A829" t="str">
            <v>SSU</v>
          </cell>
          <cell r="B829" t="str">
            <v>CFA</v>
          </cell>
          <cell r="C829" t="str">
            <v>Travel Expenses</v>
          </cell>
          <cell r="E829" t="str">
            <v>Nov</v>
          </cell>
          <cell r="F829">
            <v>352</v>
          </cell>
        </row>
        <row r="830">
          <cell r="A830" t="str">
            <v>SSU</v>
          </cell>
          <cell r="B830" t="str">
            <v>CFA</v>
          </cell>
          <cell r="C830" t="str">
            <v>Financial Expenses</v>
          </cell>
          <cell r="E830" t="str">
            <v>Nov</v>
          </cell>
          <cell r="F830">
            <v>154</v>
          </cell>
        </row>
        <row r="831">
          <cell r="A831" t="str">
            <v>SSU</v>
          </cell>
          <cell r="B831" t="str">
            <v>CFA</v>
          </cell>
          <cell r="C831" t="str">
            <v>Depreciation</v>
          </cell>
          <cell r="E831" t="str">
            <v>Nov</v>
          </cell>
          <cell r="F831">
            <v>0</v>
          </cell>
        </row>
        <row r="832">
          <cell r="A832" t="str">
            <v>SSU</v>
          </cell>
          <cell r="B832" t="str">
            <v>CFA</v>
          </cell>
          <cell r="C832" t="str">
            <v>Interest</v>
          </cell>
          <cell r="E832" t="str">
            <v>Nov</v>
          </cell>
          <cell r="F832">
            <v>22</v>
          </cell>
        </row>
        <row r="833">
          <cell r="A833" t="str">
            <v>SSU</v>
          </cell>
          <cell r="B833" t="str">
            <v>CFA</v>
          </cell>
          <cell r="C833" t="str">
            <v>Other Income</v>
          </cell>
          <cell r="E833" t="str">
            <v>Nov</v>
          </cell>
          <cell r="F833">
            <v>286</v>
          </cell>
        </row>
        <row r="834">
          <cell r="A834" t="str">
            <v>SSU</v>
          </cell>
          <cell r="B834" t="str">
            <v>CFA</v>
          </cell>
          <cell r="C834" t="str">
            <v>Administrative Expenses</v>
          </cell>
          <cell r="E834" t="str">
            <v>Dec</v>
          </cell>
          <cell r="F834">
            <v>2398</v>
          </cell>
        </row>
        <row r="835">
          <cell r="A835" t="str">
            <v>SSU</v>
          </cell>
          <cell r="B835" t="str">
            <v>CFA</v>
          </cell>
          <cell r="C835" t="str">
            <v>Business Development</v>
          </cell>
          <cell r="E835" t="str">
            <v>Dec</v>
          </cell>
          <cell r="F835">
            <v>176</v>
          </cell>
        </row>
        <row r="836">
          <cell r="A836" t="str">
            <v>SSU</v>
          </cell>
          <cell r="B836" t="str">
            <v>CFA</v>
          </cell>
          <cell r="C836" t="str">
            <v>Communication Expenses</v>
          </cell>
          <cell r="E836" t="str">
            <v>Dec</v>
          </cell>
          <cell r="F836">
            <v>1958</v>
          </cell>
        </row>
        <row r="837">
          <cell r="A837" t="str">
            <v>SSU</v>
          </cell>
          <cell r="B837" t="str">
            <v>CFA</v>
          </cell>
          <cell r="C837" t="str">
            <v>Travel Expenses</v>
          </cell>
          <cell r="E837" t="str">
            <v>Dec</v>
          </cell>
          <cell r="F837">
            <v>352</v>
          </cell>
        </row>
        <row r="838">
          <cell r="A838" t="str">
            <v>SSU</v>
          </cell>
          <cell r="B838" t="str">
            <v>CFA</v>
          </cell>
          <cell r="C838" t="str">
            <v>Financial Expenses</v>
          </cell>
          <cell r="E838" t="str">
            <v>Dec</v>
          </cell>
          <cell r="F838">
            <v>154</v>
          </cell>
        </row>
        <row r="839">
          <cell r="A839" t="str">
            <v>SSU</v>
          </cell>
          <cell r="B839" t="str">
            <v>CFA</v>
          </cell>
          <cell r="C839" t="str">
            <v>Depreciation</v>
          </cell>
          <cell r="E839" t="str">
            <v>Dec</v>
          </cell>
          <cell r="F839">
            <v>0</v>
          </cell>
        </row>
        <row r="840">
          <cell r="A840" t="str">
            <v>SSU</v>
          </cell>
          <cell r="B840" t="str">
            <v>CFA</v>
          </cell>
          <cell r="C840" t="str">
            <v>Interest</v>
          </cell>
          <cell r="E840" t="str">
            <v>Dec</v>
          </cell>
          <cell r="F840">
            <v>22</v>
          </cell>
        </row>
        <row r="841">
          <cell r="A841" t="str">
            <v>SSU</v>
          </cell>
          <cell r="B841" t="str">
            <v>CFA</v>
          </cell>
          <cell r="C841" t="str">
            <v>Other Income</v>
          </cell>
          <cell r="E841" t="str">
            <v>Dec</v>
          </cell>
          <cell r="F841">
            <v>286</v>
          </cell>
        </row>
        <row r="842">
          <cell r="A842" t="str">
            <v>SSU</v>
          </cell>
          <cell r="B842" t="str">
            <v>CFA</v>
          </cell>
          <cell r="C842" t="str">
            <v>Administrative Expenses</v>
          </cell>
          <cell r="E842" t="str">
            <v>Jan</v>
          </cell>
          <cell r="F842">
            <v>2398</v>
          </cell>
        </row>
        <row r="843">
          <cell r="A843" t="str">
            <v>SSU</v>
          </cell>
          <cell r="B843" t="str">
            <v>CFA</v>
          </cell>
          <cell r="C843" t="str">
            <v>Business Development</v>
          </cell>
          <cell r="E843" t="str">
            <v>Jan</v>
          </cell>
          <cell r="F843">
            <v>176</v>
          </cell>
        </row>
        <row r="844">
          <cell r="A844" t="str">
            <v>SSU</v>
          </cell>
          <cell r="B844" t="str">
            <v>CFA</v>
          </cell>
          <cell r="C844" t="str">
            <v>Communication Expenses</v>
          </cell>
          <cell r="E844" t="str">
            <v>Jan</v>
          </cell>
          <cell r="F844">
            <v>1958</v>
          </cell>
        </row>
        <row r="845">
          <cell r="A845" t="str">
            <v>SSU</v>
          </cell>
          <cell r="B845" t="str">
            <v>CFA</v>
          </cell>
          <cell r="C845" t="str">
            <v>Travel Expenses</v>
          </cell>
          <cell r="E845" t="str">
            <v>Jan</v>
          </cell>
          <cell r="F845">
            <v>352</v>
          </cell>
        </row>
        <row r="846">
          <cell r="A846" t="str">
            <v>SSU</v>
          </cell>
          <cell r="B846" t="str">
            <v>CFA</v>
          </cell>
          <cell r="C846" t="str">
            <v>Financial Expenses</v>
          </cell>
          <cell r="E846" t="str">
            <v>Jan</v>
          </cell>
          <cell r="F846">
            <v>154</v>
          </cell>
        </row>
        <row r="847">
          <cell r="A847" t="str">
            <v>SSU</v>
          </cell>
          <cell r="B847" t="str">
            <v>CFA</v>
          </cell>
          <cell r="C847" t="str">
            <v>Depreciation</v>
          </cell>
          <cell r="E847" t="str">
            <v>Jan</v>
          </cell>
          <cell r="F847">
            <v>0</v>
          </cell>
        </row>
        <row r="848">
          <cell r="A848" t="str">
            <v>SSU</v>
          </cell>
          <cell r="B848" t="str">
            <v>CFA</v>
          </cell>
          <cell r="C848" t="str">
            <v>Interest</v>
          </cell>
          <cell r="E848" t="str">
            <v>Jan</v>
          </cell>
          <cell r="F848">
            <v>22</v>
          </cell>
        </row>
        <row r="849">
          <cell r="A849" t="str">
            <v>SSU</v>
          </cell>
          <cell r="B849" t="str">
            <v>CFA</v>
          </cell>
          <cell r="C849" t="str">
            <v>Other Income</v>
          </cell>
          <cell r="E849" t="str">
            <v>Jan</v>
          </cell>
          <cell r="F849">
            <v>286</v>
          </cell>
        </row>
        <row r="850">
          <cell r="A850" t="str">
            <v>SSU</v>
          </cell>
          <cell r="B850" t="str">
            <v>CFA</v>
          </cell>
          <cell r="C850" t="str">
            <v>Administrative Expenses</v>
          </cell>
          <cell r="E850" t="str">
            <v>Feb</v>
          </cell>
          <cell r="F850">
            <v>2398</v>
          </cell>
        </row>
        <row r="851">
          <cell r="A851" t="str">
            <v>SSU</v>
          </cell>
          <cell r="B851" t="str">
            <v>CFA</v>
          </cell>
          <cell r="C851" t="str">
            <v>Business Development</v>
          </cell>
          <cell r="E851" t="str">
            <v>Feb</v>
          </cell>
          <cell r="F851">
            <v>176</v>
          </cell>
        </row>
        <row r="852">
          <cell r="A852" t="str">
            <v>SSU</v>
          </cell>
          <cell r="B852" t="str">
            <v>CFA</v>
          </cell>
          <cell r="C852" t="str">
            <v>Communication Expenses</v>
          </cell>
          <cell r="E852" t="str">
            <v>Feb</v>
          </cell>
          <cell r="F852">
            <v>1958</v>
          </cell>
        </row>
        <row r="853">
          <cell r="A853" t="str">
            <v>SSU</v>
          </cell>
          <cell r="B853" t="str">
            <v>CFA</v>
          </cell>
          <cell r="C853" t="str">
            <v>Travel Expenses</v>
          </cell>
          <cell r="E853" t="str">
            <v>Feb</v>
          </cell>
          <cell r="F853">
            <v>352</v>
          </cell>
        </row>
        <row r="854">
          <cell r="A854" t="str">
            <v>SSU</v>
          </cell>
          <cell r="B854" t="str">
            <v>CFA</v>
          </cell>
          <cell r="C854" t="str">
            <v>Financial Expenses</v>
          </cell>
          <cell r="E854" t="str">
            <v>Feb</v>
          </cell>
          <cell r="F854">
            <v>154</v>
          </cell>
        </row>
        <row r="855">
          <cell r="A855" t="str">
            <v>SSU</v>
          </cell>
          <cell r="B855" t="str">
            <v>CFA</v>
          </cell>
          <cell r="C855" t="str">
            <v>Depreciation</v>
          </cell>
          <cell r="E855" t="str">
            <v>Feb</v>
          </cell>
          <cell r="F855">
            <v>0</v>
          </cell>
        </row>
        <row r="856">
          <cell r="A856" t="str">
            <v>SSU</v>
          </cell>
          <cell r="B856" t="str">
            <v>CFA</v>
          </cell>
          <cell r="C856" t="str">
            <v>Interest</v>
          </cell>
          <cell r="E856" t="str">
            <v>Feb</v>
          </cell>
          <cell r="F856">
            <v>22</v>
          </cell>
        </row>
        <row r="857">
          <cell r="A857" t="str">
            <v>SSU</v>
          </cell>
          <cell r="B857" t="str">
            <v>CFA</v>
          </cell>
          <cell r="C857" t="str">
            <v>Other Income</v>
          </cell>
          <cell r="E857" t="str">
            <v>Feb</v>
          </cell>
          <cell r="F857">
            <v>286</v>
          </cell>
        </row>
        <row r="858">
          <cell r="A858" t="str">
            <v>SSU</v>
          </cell>
          <cell r="B858" t="str">
            <v>CFA</v>
          </cell>
          <cell r="C858" t="str">
            <v>Administrative Expenses</v>
          </cell>
          <cell r="E858" t="str">
            <v>Mar</v>
          </cell>
          <cell r="F858">
            <v>2398</v>
          </cell>
        </row>
        <row r="859">
          <cell r="A859" t="str">
            <v>SSU</v>
          </cell>
          <cell r="B859" t="str">
            <v>CFA</v>
          </cell>
          <cell r="C859" t="str">
            <v>Business Development</v>
          </cell>
          <cell r="E859" t="str">
            <v>Mar</v>
          </cell>
          <cell r="F859">
            <v>176</v>
          </cell>
        </row>
        <row r="860">
          <cell r="A860" t="str">
            <v>SSU</v>
          </cell>
          <cell r="B860" t="str">
            <v>CFA</v>
          </cell>
          <cell r="C860" t="str">
            <v>Communication Expenses</v>
          </cell>
          <cell r="E860" t="str">
            <v>Mar</v>
          </cell>
          <cell r="F860">
            <v>1958</v>
          </cell>
        </row>
        <row r="861">
          <cell r="A861" t="str">
            <v>SSU</v>
          </cell>
          <cell r="B861" t="str">
            <v>CFA</v>
          </cell>
          <cell r="C861" t="str">
            <v>Travel Expenses</v>
          </cell>
          <cell r="E861" t="str">
            <v>Mar</v>
          </cell>
          <cell r="F861">
            <v>352</v>
          </cell>
        </row>
        <row r="862">
          <cell r="A862" t="str">
            <v>SSU</v>
          </cell>
          <cell r="B862" t="str">
            <v>CFA</v>
          </cell>
          <cell r="C862" t="str">
            <v>Financial Expenses</v>
          </cell>
          <cell r="E862" t="str">
            <v>Mar</v>
          </cell>
          <cell r="F862">
            <v>154</v>
          </cell>
        </row>
        <row r="863">
          <cell r="A863" t="str">
            <v>SSU</v>
          </cell>
          <cell r="B863" t="str">
            <v>CFA</v>
          </cell>
          <cell r="C863" t="str">
            <v>Depreciation</v>
          </cell>
          <cell r="E863" t="str">
            <v>Mar</v>
          </cell>
          <cell r="F863">
            <v>0</v>
          </cell>
        </row>
        <row r="864">
          <cell r="A864" t="str">
            <v>SSU</v>
          </cell>
          <cell r="B864" t="str">
            <v>CFA</v>
          </cell>
          <cell r="C864" t="str">
            <v>Interest</v>
          </cell>
          <cell r="E864" t="str">
            <v>Mar</v>
          </cell>
          <cell r="F864">
            <v>22</v>
          </cell>
        </row>
        <row r="865">
          <cell r="A865" t="str">
            <v>SSU</v>
          </cell>
          <cell r="B865" t="str">
            <v>CFA</v>
          </cell>
          <cell r="C865" t="str">
            <v>Other Income</v>
          </cell>
          <cell r="E865" t="str">
            <v>Mar</v>
          </cell>
          <cell r="F865">
            <v>286</v>
          </cell>
        </row>
        <row r="866">
          <cell r="A866" t="str">
            <v>SSU</v>
          </cell>
          <cell r="B866" t="str">
            <v>CORP COM</v>
          </cell>
          <cell r="C866" t="str">
            <v>Administrative Expenses</v>
          </cell>
          <cell r="E866" t="str">
            <v>Apr</v>
          </cell>
          <cell r="F866">
            <v>286</v>
          </cell>
        </row>
        <row r="867">
          <cell r="A867" t="str">
            <v>SSU</v>
          </cell>
          <cell r="B867" t="str">
            <v>CORP COM</v>
          </cell>
          <cell r="C867" t="str">
            <v>Business Development</v>
          </cell>
          <cell r="E867" t="str">
            <v>Apr</v>
          </cell>
          <cell r="F867">
            <v>176</v>
          </cell>
        </row>
        <row r="868">
          <cell r="A868" t="str">
            <v>SSU</v>
          </cell>
          <cell r="B868" t="str">
            <v>CORP COM</v>
          </cell>
          <cell r="C868" t="str">
            <v>Communication Expenses</v>
          </cell>
          <cell r="E868" t="str">
            <v>Apr</v>
          </cell>
          <cell r="F868">
            <v>1958</v>
          </cell>
        </row>
        <row r="869">
          <cell r="A869" t="str">
            <v>SSU</v>
          </cell>
          <cell r="B869" t="str">
            <v>CORP COM</v>
          </cell>
          <cell r="C869" t="str">
            <v>Travel Expenses</v>
          </cell>
          <cell r="E869" t="str">
            <v>Apr</v>
          </cell>
          <cell r="F869">
            <v>352</v>
          </cell>
        </row>
        <row r="870">
          <cell r="A870" t="str">
            <v>SSU</v>
          </cell>
          <cell r="B870" t="str">
            <v>CORP COM</v>
          </cell>
          <cell r="C870" t="str">
            <v>Financial Expenses</v>
          </cell>
          <cell r="E870" t="str">
            <v>Apr</v>
          </cell>
          <cell r="F870">
            <v>154</v>
          </cell>
        </row>
        <row r="871">
          <cell r="A871" t="str">
            <v>SSU</v>
          </cell>
          <cell r="B871" t="str">
            <v>CORP COM</v>
          </cell>
          <cell r="C871" t="str">
            <v>Depreciation</v>
          </cell>
          <cell r="E871" t="str">
            <v>Apr</v>
          </cell>
          <cell r="F871">
            <v>0</v>
          </cell>
        </row>
        <row r="872">
          <cell r="A872" t="str">
            <v>SSU</v>
          </cell>
          <cell r="B872" t="str">
            <v>CORP COM</v>
          </cell>
          <cell r="C872" t="str">
            <v>Interest</v>
          </cell>
          <cell r="E872" t="str">
            <v>Apr</v>
          </cell>
          <cell r="F872">
            <v>22</v>
          </cell>
        </row>
        <row r="873">
          <cell r="A873" t="str">
            <v>SSU</v>
          </cell>
          <cell r="B873" t="str">
            <v>CORP COM</v>
          </cell>
          <cell r="C873" t="str">
            <v>Other Income</v>
          </cell>
          <cell r="E873" t="str">
            <v>Apr</v>
          </cell>
          <cell r="F873">
            <v>286</v>
          </cell>
        </row>
        <row r="874">
          <cell r="A874" t="str">
            <v>SSU</v>
          </cell>
          <cell r="B874" t="str">
            <v>CORP COM</v>
          </cell>
          <cell r="C874" t="str">
            <v>Administrative Expenses</v>
          </cell>
          <cell r="E874" t="str">
            <v>May</v>
          </cell>
          <cell r="F874">
            <v>2398</v>
          </cell>
        </row>
        <row r="875">
          <cell r="A875" t="str">
            <v>SSU</v>
          </cell>
          <cell r="B875" t="str">
            <v>CORP COM</v>
          </cell>
          <cell r="C875" t="str">
            <v>Business Development</v>
          </cell>
          <cell r="E875" t="str">
            <v>May</v>
          </cell>
          <cell r="F875">
            <v>176</v>
          </cell>
        </row>
        <row r="876">
          <cell r="A876" t="str">
            <v>SSU</v>
          </cell>
          <cell r="B876" t="str">
            <v>CORP COM</v>
          </cell>
          <cell r="C876" t="str">
            <v>Communication Expenses</v>
          </cell>
          <cell r="E876" t="str">
            <v>May</v>
          </cell>
          <cell r="F876">
            <v>1958</v>
          </cell>
        </row>
        <row r="877">
          <cell r="A877" t="str">
            <v>SSU</v>
          </cell>
          <cell r="B877" t="str">
            <v>CORP COM</v>
          </cell>
          <cell r="C877" t="str">
            <v>Travel Expenses</v>
          </cell>
          <cell r="E877" t="str">
            <v>May</v>
          </cell>
          <cell r="F877">
            <v>352</v>
          </cell>
        </row>
        <row r="878">
          <cell r="A878" t="str">
            <v>SSU</v>
          </cell>
          <cell r="B878" t="str">
            <v>CORP COM</v>
          </cell>
          <cell r="C878" t="str">
            <v>Financial Expenses</v>
          </cell>
          <cell r="E878" t="str">
            <v>May</v>
          </cell>
          <cell r="F878">
            <v>154</v>
          </cell>
        </row>
        <row r="879">
          <cell r="A879" t="str">
            <v>SSU</v>
          </cell>
          <cell r="B879" t="str">
            <v>CORP COM</v>
          </cell>
          <cell r="C879" t="str">
            <v>Depreciation</v>
          </cell>
          <cell r="E879" t="str">
            <v>May</v>
          </cell>
          <cell r="F879">
            <v>0</v>
          </cell>
        </row>
        <row r="880">
          <cell r="A880" t="str">
            <v>SSU</v>
          </cell>
          <cell r="B880" t="str">
            <v>CORP COM</v>
          </cell>
          <cell r="C880" t="str">
            <v>Interest</v>
          </cell>
          <cell r="E880" t="str">
            <v>May</v>
          </cell>
          <cell r="F880">
            <v>22</v>
          </cell>
        </row>
        <row r="881">
          <cell r="A881" t="str">
            <v>SSU</v>
          </cell>
          <cell r="B881" t="str">
            <v>CORP COM</v>
          </cell>
          <cell r="C881" t="str">
            <v>Other Income</v>
          </cell>
          <cell r="E881" t="str">
            <v>May</v>
          </cell>
          <cell r="F881">
            <v>286</v>
          </cell>
        </row>
        <row r="882">
          <cell r="A882" t="str">
            <v>SSU</v>
          </cell>
          <cell r="B882" t="str">
            <v>CORP COM</v>
          </cell>
          <cell r="C882" t="str">
            <v>Administrative Expenses</v>
          </cell>
          <cell r="E882" t="str">
            <v>June</v>
          </cell>
          <cell r="F882">
            <v>2398</v>
          </cell>
        </row>
        <row r="883">
          <cell r="A883" t="str">
            <v>SSU</v>
          </cell>
          <cell r="B883" t="str">
            <v>CORP COM</v>
          </cell>
          <cell r="C883" t="str">
            <v>Business Development</v>
          </cell>
          <cell r="E883" t="str">
            <v>June</v>
          </cell>
          <cell r="F883">
            <v>176</v>
          </cell>
        </row>
        <row r="884">
          <cell r="A884" t="str">
            <v>SSU</v>
          </cell>
          <cell r="B884" t="str">
            <v>CORP COM</v>
          </cell>
          <cell r="C884" t="str">
            <v>Communication Expenses</v>
          </cell>
          <cell r="E884" t="str">
            <v>June</v>
          </cell>
          <cell r="F884">
            <v>1958</v>
          </cell>
        </row>
        <row r="885">
          <cell r="A885" t="str">
            <v>SSU</v>
          </cell>
          <cell r="B885" t="str">
            <v>CORP COM</v>
          </cell>
          <cell r="C885" t="str">
            <v>Travel Expenses</v>
          </cell>
          <cell r="E885" t="str">
            <v>June</v>
          </cell>
          <cell r="F885">
            <v>352</v>
          </cell>
        </row>
        <row r="886">
          <cell r="A886" t="str">
            <v>SSU</v>
          </cell>
          <cell r="B886" t="str">
            <v>CORP COM</v>
          </cell>
          <cell r="C886" t="str">
            <v>Financial Expenses</v>
          </cell>
          <cell r="E886" t="str">
            <v>June</v>
          </cell>
          <cell r="F886">
            <v>154</v>
          </cell>
        </row>
        <row r="887">
          <cell r="A887" t="str">
            <v>SSU</v>
          </cell>
          <cell r="B887" t="str">
            <v>CORP COM</v>
          </cell>
          <cell r="C887" t="str">
            <v>Depreciation</v>
          </cell>
          <cell r="E887" t="str">
            <v>June</v>
          </cell>
          <cell r="F887">
            <v>0</v>
          </cell>
        </row>
        <row r="888">
          <cell r="A888" t="str">
            <v>SSU</v>
          </cell>
          <cell r="B888" t="str">
            <v>CORP COM</v>
          </cell>
          <cell r="C888" t="str">
            <v>Interest</v>
          </cell>
          <cell r="E888" t="str">
            <v>June</v>
          </cell>
          <cell r="F888">
            <v>22</v>
          </cell>
        </row>
        <row r="889">
          <cell r="A889" t="str">
            <v>SSU</v>
          </cell>
          <cell r="B889" t="str">
            <v>CORP COM</v>
          </cell>
          <cell r="C889" t="str">
            <v>Other Income</v>
          </cell>
          <cell r="E889" t="str">
            <v>June</v>
          </cell>
          <cell r="F889">
            <v>286</v>
          </cell>
        </row>
        <row r="890">
          <cell r="A890" t="str">
            <v>SSU</v>
          </cell>
          <cell r="B890" t="str">
            <v>CORP COM</v>
          </cell>
          <cell r="C890" t="str">
            <v>Administrative Expenses</v>
          </cell>
          <cell r="E890" t="str">
            <v>July</v>
          </cell>
          <cell r="F890">
            <v>2398</v>
          </cell>
        </row>
        <row r="891">
          <cell r="A891" t="str">
            <v>SSU</v>
          </cell>
          <cell r="B891" t="str">
            <v>CORP COM</v>
          </cell>
          <cell r="C891" t="str">
            <v>Business Development</v>
          </cell>
          <cell r="E891" t="str">
            <v>July</v>
          </cell>
          <cell r="F891">
            <v>176</v>
          </cell>
        </row>
        <row r="892">
          <cell r="A892" t="str">
            <v>SSU</v>
          </cell>
          <cell r="B892" t="str">
            <v>CORP COM</v>
          </cell>
          <cell r="C892" t="str">
            <v>Communication Expenses</v>
          </cell>
          <cell r="E892" t="str">
            <v>July</v>
          </cell>
          <cell r="F892">
            <v>1958</v>
          </cell>
        </row>
        <row r="893">
          <cell r="A893" t="str">
            <v>SSU</v>
          </cell>
          <cell r="B893" t="str">
            <v>CORP COM</v>
          </cell>
          <cell r="C893" t="str">
            <v>Travel Expenses</v>
          </cell>
          <cell r="E893" t="str">
            <v>July</v>
          </cell>
          <cell r="F893">
            <v>352</v>
          </cell>
        </row>
        <row r="894">
          <cell r="A894" t="str">
            <v>SSU</v>
          </cell>
          <cell r="B894" t="str">
            <v>CORP COM</v>
          </cell>
          <cell r="C894" t="str">
            <v>Financial Expenses</v>
          </cell>
          <cell r="E894" t="str">
            <v>July</v>
          </cell>
          <cell r="F894">
            <v>154</v>
          </cell>
        </row>
        <row r="895">
          <cell r="A895" t="str">
            <v>SSU</v>
          </cell>
          <cell r="B895" t="str">
            <v>CORP COM</v>
          </cell>
          <cell r="C895" t="str">
            <v>Depreciation</v>
          </cell>
          <cell r="E895" t="str">
            <v>July</v>
          </cell>
          <cell r="F895">
            <v>0</v>
          </cell>
        </row>
        <row r="896">
          <cell r="A896" t="str">
            <v>SSU</v>
          </cell>
          <cell r="B896" t="str">
            <v>CORP COM</v>
          </cell>
          <cell r="C896" t="str">
            <v>Interest</v>
          </cell>
          <cell r="E896" t="str">
            <v>July</v>
          </cell>
          <cell r="F896">
            <v>22</v>
          </cell>
        </row>
        <row r="897">
          <cell r="A897" t="str">
            <v>SSU</v>
          </cell>
          <cell r="B897" t="str">
            <v>CORP COM</v>
          </cell>
          <cell r="C897" t="str">
            <v>Other Income</v>
          </cell>
          <cell r="E897" t="str">
            <v>July</v>
          </cell>
          <cell r="F897">
            <v>286</v>
          </cell>
        </row>
        <row r="898">
          <cell r="A898" t="str">
            <v>SSU</v>
          </cell>
          <cell r="B898" t="str">
            <v>CORP COM</v>
          </cell>
          <cell r="C898" t="str">
            <v>Administrative Expenses</v>
          </cell>
          <cell r="E898" t="str">
            <v>Aug</v>
          </cell>
          <cell r="F898">
            <v>2398</v>
          </cell>
        </row>
        <row r="899">
          <cell r="A899" t="str">
            <v>SSU</v>
          </cell>
          <cell r="B899" t="str">
            <v>CORP COM</v>
          </cell>
          <cell r="C899" t="str">
            <v>Business Development</v>
          </cell>
          <cell r="E899" t="str">
            <v>Aug</v>
          </cell>
          <cell r="F899">
            <v>176</v>
          </cell>
        </row>
        <row r="900">
          <cell r="A900" t="str">
            <v>SSU</v>
          </cell>
          <cell r="B900" t="str">
            <v>CORP COM</v>
          </cell>
          <cell r="C900" t="str">
            <v>Communication Expenses</v>
          </cell>
          <cell r="E900" t="str">
            <v>Aug</v>
          </cell>
          <cell r="F900">
            <v>1958</v>
          </cell>
        </row>
        <row r="901">
          <cell r="A901" t="str">
            <v>SSU</v>
          </cell>
          <cell r="B901" t="str">
            <v>CORP COM</v>
          </cell>
          <cell r="C901" t="str">
            <v>Travel Expenses</v>
          </cell>
          <cell r="E901" t="str">
            <v>Aug</v>
          </cell>
          <cell r="F901">
            <v>352</v>
          </cell>
        </row>
        <row r="902">
          <cell r="A902" t="str">
            <v>SSU</v>
          </cell>
          <cell r="B902" t="str">
            <v>CORP COM</v>
          </cell>
          <cell r="C902" t="str">
            <v>Financial Expenses</v>
          </cell>
          <cell r="E902" t="str">
            <v>Aug</v>
          </cell>
          <cell r="F902">
            <v>154</v>
          </cell>
        </row>
        <row r="903">
          <cell r="A903" t="str">
            <v>SSU</v>
          </cell>
          <cell r="B903" t="str">
            <v>CORP COM</v>
          </cell>
          <cell r="C903" t="str">
            <v>Depreciation</v>
          </cell>
          <cell r="E903" t="str">
            <v>Aug</v>
          </cell>
          <cell r="F903">
            <v>0</v>
          </cell>
        </row>
        <row r="904">
          <cell r="A904" t="str">
            <v>SSU</v>
          </cell>
          <cell r="B904" t="str">
            <v>CORP COM</v>
          </cell>
          <cell r="C904" t="str">
            <v>Interest</v>
          </cell>
          <cell r="E904" t="str">
            <v>Aug</v>
          </cell>
          <cell r="F904">
            <v>22</v>
          </cell>
        </row>
        <row r="905">
          <cell r="A905" t="str">
            <v>SSU</v>
          </cell>
          <cell r="B905" t="str">
            <v>CORP COM</v>
          </cell>
          <cell r="C905" t="str">
            <v>Other Income</v>
          </cell>
          <cell r="E905" t="str">
            <v>Aug</v>
          </cell>
          <cell r="F905">
            <v>286</v>
          </cell>
        </row>
        <row r="906">
          <cell r="A906" t="str">
            <v>SSU</v>
          </cell>
          <cell r="B906" t="str">
            <v>CORP COM</v>
          </cell>
          <cell r="C906" t="str">
            <v>Administrative Expenses</v>
          </cell>
          <cell r="E906" t="str">
            <v>Sep</v>
          </cell>
          <cell r="F906">
            <v>2398</v>
          </cell>
        </row>
        <row r="907">
          <cell r="A907" t="str">
            <v>SSU</v>
          </cell>
          <cell r="B907" t="str">
            <v>CORP COM</v>
          </cell>
          <cell r="C907" t="str">
            <v>Business Development</v>
          </cell>
          <cell r="E907" t="str">
            <v>Sep</v>
          </cell>
          <cell r="F907">
            <v>176</v>
          </cell>
        </row>
        <row r="908">
          <cell r="A908" t="str">
            <v>SSU</v>
          </cell>
          <cell r="B908" t="str">
            <v>CORP COM</v>
          </cell>
          <cell r="C908" t="str">
            <v>Communication Expenses</v>
          </cell>
          <cell r="E908" t="str">
            <v>Sep</v>
          </cell>
          <cell r="F908">
            <v>1958</v>
          </cell>
        </row>
        <row r="909">
          <cell r="A909" t="str">
            <v>SSU</v>
          </cell>
          <cell r="B909" t="str">
            <v>CORP COM</v>
          </cell>
          <cell r="C909" t="str">
            <v>Travel Expenses</v>
          </cell>
          <cell r="E909" t="str">
            <v>Sep</v>
          </cell>
          <cell r="F909">
            <v>352</v>
          </cell>
        </row>
        <row r="910">
          <cell r="A910" t="str">
            <v>SSU</v>
          </cell>
          <cell r="B910" t="str">
            <v>CORP COM</v>
          </cell>
          <cell r="C910" t="str">
            <v>Financial Expenses</v>
          </cell>
          <cell r="E910" t="str">
            <v>Sep</v>
          </cell>
          <cell r="F910">
            <v>154</v>
          </cell>
        </row>
        <row r="911">
          <cell r="A911" t="str">
            <v>SSU</v>
          </cell>
          <cell r="B911" t="str">
            <v>CORP COM</v>
          </cell>
          <cell r="C911" t="str">
            <v>Depreciation</v>
          </cell>
          <cell r="E911" t="str">
            <v>Sep</v>
          </cell>
          <cell r="F911">
            <v>0</v>
          </cell>
        </row>
        <row r="912">
          <cell r="A912" t="str">
            <v>SSU</v>
          </cell>
          <cell r="B912" t="str">
            <v>CORP COM</v>
          </cell>
          <cell r="C912" t="str">
            <v>Interest</v>
          </cell>
          <cell r="E912" t="str">
            <v>Sep</v>
          </cell>
          <cell r="F912">
            <v>22</v>
          </cell>
        </row>
        <row r="913">
          <cell r="A913" t="str">
            <v>SSU</v>
          </cell>
          <cell r="B913" t="str">
            <v>CORP COM</v>
          </cell>
          <cell r="C913" t="str">
            <v>Other Income</v>
          </cell>
          <cell r="E913" t="str">
            <v>Sep</v>
          </cell>
          <cell r="F913">
            <v>286</v>
          </cell>
        </row>
        <row r="914">
          <cell r="A914" t="str">
            <v>SSU</v>
          </cell>
          <cell r="B914" t="str">
            <v>CORP COM</v>
          </cell>
          <cell r="C914" t="str">
            <v>Administrative Expenses</v>
          </cell>
          <cell r="E914" t="str">
            <v>Oct</v>
          </cell>
          <cell r="F914">
            <v>2398</v>
          </cell>
        </row>
        <row r="915">
          <cell r="A915" t="str">
            <v>SSU</v>
          </cell>
          <cell r="B915" t="str">
            <v>CORP COM</v>
          </cell>
          <cell r="C915" t="str">
            <v>Business Development</v>
          </cell>
          <cell r="E915" t="str">
            <v>Oct</v>
          </cell>
          <cell r="F915">
            <v>176</v>
          </cell>
        </row>
        <row r="916">
          <cell r="A916" t="str">
            <v>SSU</v>
          </cell>
          <cell r="B916" t="str">
            <v>CORP COM</v>
          </cell>
          <cell r="C916" t="str">
            <v>Communication Expenses</v>
          </cell>
          <cell r="E916" t="str">
            <v>Oct</v>
          </cell>
          <cell r="F916">
            <v>1958</v>
          </cell>
        </row>
        <row r="917">
          <cell r="A917" t="str">
            <v>SSU</v>
          </cell>
          <cell r="B917" t="str">
            <v>CORP COM</v>
          </cell>
          <cell r="C917" t="str">
            <v>Travel Expenses</v>
          </cell>
          <cell r="E917" t="str">
            <v>Oct</v>
          </cell>
          <cell r="F917">
            <v>352</v>
          </cell>
        </row>
        <row r="918">
          <cell r="A918" t="str">
            <v>SSU</v>
          </cell>
          <cell r="B918" t="str">
            <v>CORP COM</v>
          </cell>
          <cell r="C918" t="str">
            <v>Financial Expenses</v>
          </cell>
          <cell r="E918" t="str">
            <v>Oct</v>
          </cell>
          <cell r="F918">
            <v>154</v>
          </cell>
        </row>
        <row r="919">
          <cell r="A919" t="str">
            <v>SSU</v>
          </cell>
          <cell r="B919" t="str">
            <v>CORP COM</v>
          </cell>
          <cell r="C919" t="str">
            <v>Depreciation</v>
          </cell>
          <cell r="E919" t="str">
            <v>Oct</v>
          </cell>
          <cell r="F919">
            <v>0</v>
          </cell>
        </row>
        <row r="920">
          <cell r="A920" t="str">
            <v>SSU</v>
          </cell>
          <cell r="B920" t="str">
            <v>CORP COM</v>
          </cell>
          <cell r="C920" t="str">
            <v>Interest</v>
          </cell>
          <cell r="E920" t="str">
            <v>Oct</v>
          </cell>
          <cell r="F920">
            <v>22</v>
          </cell>
        </row>
        <row r="921">
          <cell r="A921" t="str">
            <v>SSU</v>
          </cell>
          <cell r="B921" t="str">
            <v>CORP COM</v>
          </cell>
          <cell r="C921" t="str">
            <v>Other Income</v>
          </cell>
          <cell r="E921" t="str">
            <v>Oct</v>
          </cell>
          <cell r="F921">
            <v>286</v>
          </cell>
        </row>
        <row r="922">
          <cell r="A922" t="str">
            <v>SSU</v>
          </cell>
          <cell r="B922" t="str">
            <v>CORP COM</v>
          </cell>
          <cell r="C922" t="str">
            <v>Administrative Expenses</v>
          </cell>
          <cell r="E922" t="str">
            <v>Nov</v>
          </cell>
          <cell r="F922">
            <v>2398</v>
          </cell>
        </row>
        <row r="923">
          <cell r="A923" t="str">
            <v>SSU</v>
          </cell>
          <cell r="B923" t="str">
            <v>CORP COM</v>
          </cell>
          <cell r="C923" t="str">
            <v>Business Development</v>
          </cell>
          <cell r="E923" t="str">
            <v>Nov</v>
          </cell>
          <cell r="F923">
            <v>176</v>
          </cell>
        </row>
        <row r="924">
          <cell r="A924" t="str">
            <v>SSU</v>
          </cell>
          <cell r="B924" t="str">
            <v>CORP COM</v>
          </cell>
          <cell r="C924" t="str">
            <v>Communication Expenses</v>
          </cell>
          <cell r="E924" t="str">
            <v>Nov</v>
          </cell>
          <cell r="F924">
            <v>1958</v>
          </cell>
        </row>
        <row r="925">
          <cell r="A925" t="str">
            <v>SSU</v>
          </cell>
          <cell r="B925" t="str">
            <v>CORP COM</v>
          </cell>
          <cell r="C925" t="str">
            <v>Travel Expenses</v>
          </cell>
          <cell r="E925" t="str">
            <v>Nov</v>
          </cell>
          <cell r="F925">
            <v>352</v>
          </cell>
        </row>
        <row r="926">
          <cell r="A926" t="str">
            <v>SSU</v>
          </cell>
          <cell r="B926" t="str">
            <v>CORP COM</v>
          </cell>
          <cell r="C926" t="str">
            <v>Financial Expenses</v>
          </cell>
          <cell r="E926" t="str">
            <v>Nov</v>
          </cell>
          <cell r="F926">
            <v>154</v>
          </cell>
        </row>
        <row r="927">
          <cell r="A927" t="str">
            <v>SSU</v>
          </cell>
          <cell r="B927" t="str">
            <v>CORP COM</v>
          </cell>
          <cell r="C927" t="str">
            <v>Depreciation</v>
          </cell>
          <cell r="E927" t="str">
            <v>Nov</v>
          </cell>
          <cell r="F927">
            <v>0</v>
          </cell>
        </row>
        <row r="928">
          <cell r="A928" t="str">
            <v>SSU</v>
          </cell>
          <cell r="B928" t="str">
            <v>CORP COM</v>
          </cell>
          <cell r="C928" t="str">
            <v>Interest</v>
          </cell>
          <cell r="E928" t="str">
            <v>Nov</v>
          </cell>
          <cell r="F928">
            <v>22</v>
          </cell>
        </row>
        <row r="929">
          <cell r="A929" t="str">
            <v>SSU</v>
          </cell>
          <cell r="B929" t="str">
            <v>CORP COM</v>
          </cell>
          <cell r="C929" t="str">
            <v>Other Income</v>
          </cell>
          <cell r="E929" t="str">
            <v>Nov</v>
          </cell>
          <cell r="F929">
            <v>286</v>
          </cell>
        </row>
        <row r="930">
          <cell r="A930" t="str">
            <v>SSU</v>
          </cell>
          <cell r="B930" t="str">
            <v>CORP COM</v>
          </cell>
          <cell r="C930" t="str">
            <v>Administrative Expenses</v>
          </cell>
          <cell r="E930" t="str">
            <v>Dec</v>
          </cell>
          <cell r="F930">
            <v>2398</v>
          </cell>
        </row>
        <row r="931">
          <cell r="A931" t="str">
            <v>SSU</v>
          </cell>
          <cell r="B931" t="str">
            <v>CORP COM</v>
          </cell>
          <cell r="C931" t="str">
            <v>Business Development</v>
          </cell>
          <cell r="E931" t="str">
            <v>Dec</v>
          </cell>
          <cell r="F931">
            <v>176</v>
          </cell>
        </row>
        <row r="932">
          <cell r="A932" t="str">
            <v>SSU</v>
          </cell>
          <cell r="B932" t="str">
            <v>CORP COM</v>
          </cell>
          <cell r="C932" t="str">
            <v>Communication Expenses</v>
          </cell>
          <cell r="E932" t="str">
            <v>Dec</v>
          </cell>
          <cell r="F932">
            <v>1958</v>
          </cell>
        </row>
        <row r="933">
          <cell r="A933" t="str">
            <v>SSU</v>
          </cell>
          <cell r="B933" t="str">
            <v>CORP COM</v>
          </cell>
          <cell r="C933" t="str">
            <v>Travel Expenses</v>
          </cell>
          <cell r="E933" t="str">
            <v>Dec</v>
          </cell>
          <cell r="F933">
            <v>352</v>
          </cell>
        </row>
        <row r="934">
          <cell r="A934" t="str">
            <v>SSU</v>
          </cell>
          <cell r="B934" t="str">
            <v>CORP COM</v>
          </cell>
          <cell r="C934" t="str">
            <v>Financial Expenses</v>
          </cell>
          <cell r="E934" t="str">
            <v>Dec</v>
          </cell>
          <cell r="F934">
            <v>154</v>
          </cell>
        </row>
        <row r="935">
          <cell r="A935" t="str">
            <v>SSU</v>
          </cell>
          <cell r="B935" t="str">
            <v>CORP COM</v>
          </cell>
          <cell r="C935" t="str">
            <v>Depreciation</v>
          </cell>
          <cell r="E935" t="str">
            <v>Dec</v>
          </cell>
          <cell r="F935">
            <v>0</v>
          </cell>
        </row>
        <row r="936">
          <cell r="A936" t="str">
            <v>SSU</v>
          </cell>
          <cell r="B936" t="str">
            <v>CORP COM</v>
          </cell>
          <cell r="C936" t="str">
            <v>Interest</v>
          </cell>
          <cell r="E936" t="str">
            <v>Dec</v>
          </cell>
          <cell r="F936">
            <v>22</v>
          </cell>
        </row>
        <row r="937">
          <cell r="A937" t="str">
            <v>SSU</v>
          </cell>
          <cell r="B937" t="str">
            <v>CORP COM</v>
          </cell>
          <cell r="C937" t="str">
            <v>Other Income</v>
          </cell>
          <cell r="E937" t="str">
            <v>Dec</v>
          </cell>
          <cell r="F937">
            <v>286</v>
          </cell>
        </row>
        <row r="938">
          <cell r="A938" t="str">
            <v>SSU</v>
          </cell>
          <cell r="B938" t="str">
            <v>CORP COM</v>
          </cell>
          <cell r="C938" t="str">
            <v>Administrative Expenses</v>
          </cell>
          <cell r="E938" t="str">
            <v>Jan</v>
          </cell>
          <cell r="F938">
            <v>2398</v>
          </cell>
        </row>
        <row r="939">
          <cell r="A939" t="str">
            <v>SSU</v>
          </cell>
          <cell r="B939" t="str">
            <v>CORP COM</v>
          </cell>
          <cell r="C939" t="str">
            <v>Business Development</v>
          </cell>
          <cell r="E939" t="str">
            <v>Jan</v>
          </cell>
          <cell r="F939">
            <v>176</v>
          </cell>
        </row>
        <row r="940">
          <cell r="A940" t="str">
            <v>SSU</v>
          </cell>
          <cell r="B940" t="str">
            <v>CORP COM</v>
          </cell>
          <cell r="C940" t="str">
            <v>Communication Expenses</v>
          </cell>
          <cell r="E940" t="str">
            <v>Jan</v>
          </cell>
          <cell r="F940">
            <v>1958</v>
          </cell>
        </row>
        <row r="941">
          <cell r="A941" t="str">
            <v>SSU</v>
          </cell>
          <cell r="B941" t="str">
            <v>CORP COM</v>
          </cell>
          <cell r="C941" t="str">
            <v>Travel Expenses</v>
          </cell>
          <cell r="E941" t="str">
            <v>Jan</v>
          </cell>
          <cell r="F941">
            <v>352</v>
          </cell>
        </row>
        <row r="942">
          <cell r="A942" t="str">
            <v>SSU</v>
          </cell>
          <cell r="B942" t="str">
            <v>CORP COM</v>
          </cell>
          <cell r="C942" t="str">
            <v>Financial Expenses</v>
          </cell>
          <cell r="E942" t="str">
            <v>Jan</v>
          </cell>
          <cell r="F942">
            <v>154</v>
          </cell>
        </row>
        <row r="943">
          <cell r="A943" t="str">
            <v>SSU</v>
          </cell>
          <cell r="B943" t="str">
            <v>CORP COM</v>
          </cell>
          <cell r="C943" t="str">
            <v>Depreciation</v>
          </cell>
          <cell r="E943" t="str">
            <v>Jan</v>
          </cell>
          <cell r="F943">
            <v>0</v>
          </cell>
        </row>
        <row r="944">
          <cell r="A944" t="str">
            <v>SSU</v>
          </cell>
          <cell r="B944" t="str">
            <v>CORP COM</v>
          </cell>
          <cell r="C944" t="str">
            <v>Interest</v>
          </cell>
          <cell r="E944" t="str">
            <v>Jan</v>
          </cell>
          <cell r="F944">
            <v>22</v>
          </cell>
        </row>
        <row r="945">
          <cell r="A945" t="str">
            <v>SSU</v>
          </cell>
          <cell r="B945" t="str">
            <v>CORP COM</v>
          </cell>
          <cell r="C945" t="str">
            <v>Other Income</v>
          </cell>
          <cell r="E945" t="str">
            <v>Jan</v>
          </cell>
          <cell r="F945">
            <v>286</v>
          </cell>
        </row>
        <row r="946">
          <cell r="A946" t="str">
            <v>SSU</v>
          </cell>
          <cell r="B946" t="str">
            <v>CORP COM</v>
          </cell>
          <cell r="C946" t="str">
            <v>Administrative Expenses</v>
          </cell>
          <cell r="E946" t="str">
            <v>Feb</v>
          </cell>
          <cell r="F946">
            <v>2398</v>
          </cell>
        </row>
        <row r="947">
          <cell r="A947" t="str">
            <v>SSU</v>
          </cell>
          <cell r="B947" t="str">
            <v>CORP COM</v>
          </cell>
          <cell r="C947" t="str">
            <v>Business Development</v>
          </cell>
          <cell r="E947" t="str">
            <v>Feb</v>
          </cell>
          <cell r="F947">
            <v>176</v>
          </cell>
        </row>
        <row r="948">
          <cell r="A948" t="str">
            <v>SSU</v>
          </cell>
          <cell r="B948" t="str">
            <v>CORP COM</v>
          </cell>
          <cell r="C948" t="str">
            <v>Communication Expenses</v>
          </cell>
          <cell r="E948" t="str">
            <v>Feb</v>
          </cell>
          <cell r="F948">
            <v>1958</v>
          </cell>
        </row>
        <row r="949">
          <cell r="A949" t="str">
            <v>SSU</v>
          </cell>
          <cell r="B949" t="str">
            <v>CORP COM</v>
          </cell>
          <cell r="C949" t="str">
            <v>Travel Expenses</v>
          </cell>
          <cell r="E949" t="str">
            <v>Feb</v>
          </cell>
          <cell r="F949">
            <v>352</v>
          </cell>
        </row>
        <row r="950">
          <cell r="A950" t="str">
            <v>SSU</v>
          </cell>
          <cell r="B950" t="str">
            <v>CORP COM</v>
          </cell>
          <cell r="C950" t="str">
            <v>Financial Expenses</v>
          </cell>
          <cell r="E950" t="str">
            <v>Feb</v>
          </cell>
          <cell r="F950">
            <v>154</v>
          </cell>
        </row>
        <row r="951">
          <cell r="A951" t="str">
            <v>SSU</v>
          </cell>
          <cell r="B951" t="str">
            <v>CORP COM</v>
          </cell>
          <cell r="C951" t="str">
            <v>Depreciation</v>
          </cell>
          <cell r="E951" t="str">
            <v>Feb</v>
          </cell>
          <cell r="F951">
            <v>0</v>
          </cell>
        </row>
        <row r="952">
          <cell r="A952" t="str">
            <v>SSU</v>
          </cell>
          <cell r="B952" t="str">
            <v>CORP COM</v>
          </cell>
          <cell r="C952" t="str">
            <v>Interest</v>
          </cell>
          <cell r="E952" t="str">
            <v>Feb</v>
          </cell>
          <cell r="F952">
            <v>22</v>
          </cell>
        </row>
        <row r="953">
          <cell r="A953" t="str">
            <v>SSU</v>
          </cell>
          <cell r="B953" t="str">
            <v>CORP COM</v>
          </cell>
          <cell r="C953" t="str">
            <v>Other Income</v>
          </cell>
          <cell r="E953" t="str">
            <v>Feb</v>
          </cell>
          <cell r="F953">
            <v>286</v>
          </cell>
        </row>
        <row r="954">
          <cell r="A954" t="str">
            <v>SSU</v>
          </cell>
          <cell r="B954" t="str">
            <v>CORP COM</v>
          </cell>
          <cell r="C954" t="str">
            <v>Administrative Expenses</v>
          </cell>
          <cell r="E954" t="str">
            <v>Mar</v>
          </cell>
          <cell r="F954">
            <v>2398</v>
          </cell>
        </row>
        <row r="955">
          <cell r="A955" t="str">
            <v>SSU</v>
          </cell>
          <cell r="B955" t="str">
            <v>CORP COM</v>
          </cell>
          <cell r="C955" t="str">
            <v>Business Development</v>
          </cell>
          <cell r="E955" t="str">
            <v>Mar</v>
          </cell>
          <cell r="F955">
            <v>176</v>
          </cell>
        </row>
        <row r="956">
          <cell r="A956" t="str">
            <v>SSU</v>
          </cell>
          <cell r="B956" t="str">
            <v>CORP COM</v>
          </cell>
          <cell r="C956" t="str">
            <v>Communication Expenses</v>
          </cell>
          <cell r="E956" t="str">
            <v>Mar</v>
          </cell>
          <cell r="F956">
            <v>1958</v>
          </cell>
        </row>
        <row r="957">
          <cell r="A957" t="str">
            <v>SSU</v>
          </cell>
          <cell r="B957" t="str">
            <v>CORP COM</v>
          </cell>
          <cell r="C957" t="str">
            <v>Travel Expenses</v>
          </cell>
          <cell r="E957" t="str">
            <v>Mar</v>
          </cell>
          <cell r="F957">
            <v>352</v>
          </cell>
        </row>
        <row r="958">
          <cell r="A958" t="str">
            <v>SSU</v>
          </cell>
          <cell r="B958" t="str">
            <v>CORP COM</v>
          </cell>
          <cell r="C958" t="str">
            <v>Financial Expenses</v>
          </cell>
          <cell r="E958" t="str">
            <v>Mar</v>
          </cell>
          <cell r="F958">
            <v>154</v>
          </cell>
        </row>
        <row r="959">
          <cell r="A959" t="str">
            <v>SSU</v>
          </cell>
          <cell r="B959" t="str">
            <v>CORP COM</v>
          </cell>
          <cell r="C959" t="str">
            <v>Depreciation</v>
          </cell>
          <cell r="E959" t="str">
            <v>Mar</v>
          </cell>
          <cell r="F959">
            <v>0</v>
          </cell>
        </row>
        <row r="960">
          <cell r="A960" t="str">
            <v>SSU</v>
          </cell>
          <cell r="B960" t="str">
            <v>CORP COM</v>
          </cell>
          <cell r="C960" t="str">
            <v>Interest</v>
          </cell>
          <cell r="E960" t="str">
            <v>Mar</v>
          </cell>
          <cell r="F960">
            <v>22</v>
          </cell>
        </row>
        <row r="961">
          <cell r="A961" t="str">
            <v>SSU</v>
          </cell>
          <cell r="B961" t="str">
            <v>CORP COM</v>
          </cell>
          <cell r="C961" t="str">
            <v>Other Income</v>
          </cell>
          <cell r="E961" t="str">
            <v>Mar</v>
          </cell>
          <cell r="F961">
            <v>286</v>
          </cell>
        </row>
        <row r="962">
          <cell r="A962" t="str">
            <v>Power</v>
          </cell>
          <cell r="B962" t="str">
            <v>GEPL</v>
          </cell>
          <cell r="C962" t="str">
            <v>Administrative Expenses</v>
          </cell>
          <cell r="E962" t="str">
            <v>Apr</v>
          </cell>
          <cell r="F962">
            <v>3706</v>
          </cell>
        </row>
        <row r="963">
          <cell r="A963" t="str">
            <v>Power</v>
          </cell>
          <cell r="B963" t="str">
            <v>GEPL</v>
          </cell>
          <cell r="C963" t="str">
            <v>Business Development</v>
          </cell>
          <cell r="E963" t="str">
            <v>Apr</v>
          </cell>
          <cell r="F963">
            <v>272</v>
          </cell>
        </row>
        <row r="964">
          <cell r="A964" t="str">
            <v>Power</v>
          </cell>
          <cell r="B964" t="str">
            <v>GEPL</v>
          </cell>
          <cell r="C964" t="str">
            <v>Communication Expenses</v>
          </cell>
          <cell r="E964" t="str">
            <v>Apr</v>
          </cell>
          <cell r="F964">
            <v>4658</v>
          </cell>
        </row>
        <row r="965">
          <cell r="A965" t="str">
            <v>Power</v>
          </cell>
          <cell r="B965" t="str">
            <v>GEPL</v>
          </cell>
          <cell r="C965" t="str">
            <v>Travel Expenses</v>
          </cell>
          <cell r="E965" t="str">
            <v>Apr</v>
          </cell>
          <cell r="F965">
            <v>544</v>
          </cell>
        </row>
        <row r="966">
          <cell r="A966" t="str">
            <v>Power</v>
          </cell>
          <cell r="B966" t="str">
            <v>GEPL</v>
          </cell>
          <cell r="C966" t="str">
            <v>Financial Expenses</v>
          </cell>
          <cell r="E966" t="str">
            <v>Apr</v>
          </cell>
          <cell r="F966">
            <v>374</v>
          </cell>
        </row>
        <row r="967">
          <cell r="A967" t="str">
            <v>Power</v>
          </cell>
          <cell r="B967" t="str">
            <v>GEPL</v>
          </cell>
          <cell r="C967" t="str">
            <v>Depreciation</v>
          </cell>
          <cell r="E967" t="str">
            <v>Apr</v>
          </cell>
          <cell r="F967">
            <v>0</v>
          </cell>
        </row>
        <row r="968">
          <cell r="A968" t="str">
            <v>Power</v>
          </cell>
          <cell r="B968" t="str">
            <v>GEPL</v>
          </cell>
          <cell r="C968" t="str">
            <v>Interest</v>
          </cell>
          <cell r="E968" t="str">
            <v>Apr</v>
          </cell>
          <cell r="F968">
            <v>34</v>
          </cell>
        </row>
        <row r="969">
          <cell r="A969" t="str">
            <v>Power</v>
          </cell>
          <cell r="B969" t="str">
            <v>GEPL</v>
          </cell>
          <cell r="C969" t="str">
            <v>Other Income</v>
          </cell>
          <cell r="E969" t="str">
            <v>Apr</v>
          </cell>
          <cell r="F969">
            <v>442</v>
          </cell>
        </row>
        <row r="970">
          <cell r="A970" t="str">
            <v>Power</v>
          </cell>
          <cell r="B970" t="str">
            <v>GEPL</v>
          </cell>
          <cell r="C970" t="str">
            <v>Administrative Expenses</v>
          </cell>
          <cell r="E970" t="str">
            <v>May</v>
          </cell>
          <cell r="F970">
            <v>3706</v>
          </cell>
        </row>
        <row r="971">
          <cell r="A971" t="str">
            <v>Power</v>
          </cell>
          <cell r="B971" t="str">
            <v>GEPL</v>
          </cell>
          <cell r="C971" t="str">
            <v>Business Development</v>
          </cell>
          <cell r="E971" t="str">
            <v>May</v>
          </cell>
          <cell r="F971">
            <v>272</v>
          </cell>
        </row>
        <row r="972">
          <cell r="A972" t="str">
            <v>Power</v>
          </cell>
          <cell r="B972" t="str">
            <v>GEPL</v>
          </cell>
          <cell r="C972" t="str">
            <v>Communication Expenses</v>
          </cell>
          <cell r="E972" t="str">
            <v>May</v>
          </cell>
          <cell r="F972">
            <v>4658</v>
          </cell>
        </row>
        <row r="973">
          <cell r="A973" t="str">
            <v>Power</v>
          </cell>
          <cell r="B973" t="str">
            <v>GEPL</v>
          </cell>
          <cell r="C973" t="str">
            <v>Travel Expenses</v>
          </cell>
          <cell r="E973" t="str">
            <v>May</v>
          </cell>
          <cell r="F973">
            <v>544</v>
          </cell>
        </row>
        <row r="974">
          <cell r="A974" t="str">
            <v>Power</v>
          </cell>
          <cell r="B974" t="str">
            <v>GEPL</v>
          </cell>
          <cell r="C974" t="str">
            <v>Financial Expenses</v>
          </cell>
          <cell r="E974" t="str">
            <v>May</v>
          </cell>
          <cell r="F974">
            <v>374</v>
          </cell>
        </row>
        <row r="975">
          <cell r="A975" t="str">
            <v>Power</v>
          </cell>
          <cell r="B975" t="str">
            <v>GEPL</v>
          </cell>
          <cell r="C975" t="str">
            <v>Depreciation</v>
          </cell>
          <cell r="E975" t="str">
            <v>May</v>
          </cell>
          <cell r="F975">
            <v>0</v>
          </cell>
        </row>
        <row r="976">
          <cell r="A976" t="str">
            <v>Power</v>
          </cell>
          <cell r="B976" t="str">
            <v>GEPL</v>
          </cell>
          <cell r="C976" t="str">
            <v>Interest</v>
          </cell>
          <cell r="E976" t="str">
            <v>May</v>
          </cell>
          <cell r="F976">
            <v>34</v>
          </cell>
        </row>
        <row r="977">
          <cell r="A977" t="str">
            <v>Power</v>
          </cell>
          <cell r="B977" t="str">
            <v>GEPL</v>
          </cell>
          <cell r="C977" t="str">
            <v>Other Income</v>
          </cell>
          <cell r="E977" t="str">
            <v>May</v>
          </cell>
          <cell r="F977">
            <v>442</v>
          </cell>
        </row>
        <row r="978">
          <cell r="A978" t="str">
            <v>Power</v>
          </cell>
          <cell r="B978" t="str">
            <v>GEPL</v>
          </cell>
          <cell r="C978" t="str">
            <v>Administrative Expenses</v>
          </cell>
          <cell r="E978" t="str">
            <v>June</v>
          </cell>
          <cell r="F978">
            <v>3706</v>
          </cell>
        </row>
        <row r="979">
          <cell r="A979" t="str">
            <v>Power</v>
          </cell>
          <cell r="B979" t="str">
            <v>GEPL</v>
          </cell>
          <cell r="C979" t="str">
            <v>Business Development</v>
          </cell>
          <cell r="E979" t="str">
            <v>June</v>
          </cell>
          <cell r="F979">
            <v>272</v>
          </cell>
        </row>
        <row r="980">
          <cell r="A980" t="str">
            <v>Power</v>
          </cell>
          <cell r="B980" t="str">
            <v>GEPL</v>
          </cell>
          <cell r="C980" t="str">
            <v>Communication Expenses</v>
          </cell>
          <cell r="E980" t="str">
            <v>June</v>
          </cell>
          <cell r="F980">
            <v>4658</v>
          </cell>
        </row>
        <row r="981">
          <cell r="A981" t="str">
            <v>Power</v>
          </cell>
          <cell r="B981" t="str">
            <v>GEPL</v>
          </cell>
          <cell r="C981" t="str">
            <v>Travel Expenses</v>
          </cell>
          <cell r="E981" t="str">
            <v>June</v>
          </cell>
          <cell r="F981">
            <v>544</v>
          </cell>
        </row>
        <row r="982">
          <cell r="A982" t="str">
            <v>Power</v>
          </cell>
          <cell r="B982" t="str">
            <v>GEPL</v>
          </cell>
          <cell r="C982" t="str">
            <v>Financial Expenses</v>
          </cell>
          <cell r="E982" t="str">
            <v>June</v>
          </cell>
          <cell r="F982">
            <v>374</v>
          </cell>
        </row>
        <row r="983">
          <cell r="A983" t="str">
            <v>Power</v>
          </cell>
          <cell r="B983" t="str">
            <v>GEPL</v>
          </cell>
          <cell r="C983" t="str">
            <v>Depreciation</v>
          </cell>
          <cell r="E983" t="str">
            <v>June</v>
          </cell>
          <cell r="F983">
            <v>0</v>
          </cell>
        </row>
        <row r="984">
          <cell r="A984" t="str">
            <v>Power</v>
          </cell>
          <cell r="B984" t="str">
            <v>GEPL</v>
          </cell>
          <cell r="C984" t="str">
            <v>Interest</v>
          </cell>
          <cell r="E984" t="str">
            <v>June</v>
          </cell>
          <cell r="F984">
            <v>34</v>
          </cell>
        </row>
        <row r="985">
          <cell r="A985" t="str">
            <v>Power</v>
          </cell>
          <cell r="B985" t="str">
            <v>GEPL</v>
          </cell>
          <cell r="C985" t="str">
            <v>Other Income</v>
          </cell>
          <cell r="E985" t="str">
            <v>June</v>
          </cell>
          <cell r="F985">
            <v>442</v>
          </cell>
        </row>
        <row r="986">
          <cell r="A986" t="str">
            <v>Power</v>
          </cell>
          <cell r="B986" t="str">
            <v>GEPL</v>
          </cell>
          <cell r="C986" t="str">
            <v>Administrative Expenses</v>
          </cell>
          <cell r="E986" t="str">
            <v>July</v>
          </cell>
          <cell r="F986">
            <v>0</v>
          </cell>
        </row>
        <row r="987">
          <cell r="A987" t="str">
            <v>Power</v>
          </cell>
          <cell r="B987" t="str">
            <v>GEPL</v>
          </cell>
          <cell r="C987" t="str">
            <v>Business Development</v>
          </cell>
          <cell r="E987" t="str">
            <v>July</v>
          </cell>
          <cell r="F987">
            <v>0</v>
          </cell>
        </row>
        <row r="988">
          <cell r="A988" t="str">
            <v>Power</v>
          </cell>
          <cell r="B988" t="str">
            <v>GEPL</v>
          </cell>
          <cell r="C988" t="str">
            <v>Communication Expenses</v>
          </cell>
          <cell r="E988" t="str">
            <v>July</v>
          </cell>
          <cell r="F988">
            <v>0</v>
          </cell>
        </row>
        <row r="989">
          <cell r="A989" t="str">
            <v>Power</v>
          </cell>
          <cell r="B989" t="str">
            <v>GEPL</v>
          </cell>
          <cell r="C989" t="str">
            <v>Travel Expenses</v>
          </cell>
          <cell r="E989" t="str">
            <v>July</v>
          </cell>
          <cell r="F989">
            <v>0</v>
          </cell>
        </row>
        <row r="990">
          <cell r="A990" t="str">
            <v>Power</v>
          </cell>
          <cell r="B990" t="str">
            <v>GEPL</v>
          </cell>
          <cell r="C990" t="str">
            <v>Financial Expenses</v>
          </cell>
          <cell r="E990" t="str">
            <v>July</v>
          </cell>
          <cell r="F990">
            <v>0</v>
          </cell>
        </row>
        <row r="991">
          <cell r="A991" t="str">
            <v>Power</v>
          </cell>
          <cell r="B991" t="str">
            <v>GEPL</v>
          </cell>
          <cell r="C991" t="str">
            <v>Depreciation</v>
          </cell>
          <cell r="E991" t="str">
            <v>July</v>
          </cell>
          <cell r="F991">
            <v>0</v>
          </cell>
        </row>
        <row r="992">
          <cell r="A992" t="str">
            <v>Power</v>
          </cell>
          <cell r="B992" t="str">
            <v>GEPL</v>
          </cell>
          <cell r="C992" t="str">
            <v>Interest</v>
          </cell>
          <cell r="E992" t="str">
            <v>July</v>
          </cell>
          <cell r="F992">
            <v>0</v>
          </cell>
        </row>
        <row r="993">
          <cell r="A993" t="str">
            <v>Power</v>
          </cell>
          <cell r="B993" t="str">
            <v>GEPL</v>
          </cell>
          <cell r="C993" t="str">
            <v>Other Income</v>
          </cell>
          <cell r="E993" t="str">
            <v>July</v>
          </cell>
          <cell r="F993">
            <v>0</v>
          </cell>
        </row>
        <row r="994">
          <cell r="A994" t="str">
            <v>Power</v>
          </cell>
          <cell r="B994" t="str">
            <v>GEPL</v>
          </cell>
          <cell r="C994" t="str">
            <v>Administrative Expenses</v>
          </cell>
          <cell r="E994" t="str">
            <v>Aug</v>
          </cell>
          <cell r="F994">
            <v>3706</v>
          </cell>
        </row>
        <row r="995">
          <cell r="A995" t="str">
            <v>Power</v>
          </cell>
          <cell r="B995" t="str">
            <v>GEPL</v>
          </cell>
          <cell r="C995" t="str">
            <v>Business Development</v>
          </cell>
          <cell r="E995" t="str">
            <v>Aug</v>
          </cell>
          <cell r="F995">
            <v>272</v>
          </cell>
        </row>
        <row r="996">
          <cell r="A996" t="str">
            <v>Power</v>
          </cell>
          <cell r="B996" t="str">
            <v>GEPL</v>
          </cell>
          <cell r="C996" t="str">
            <v>Communication Expenses</v>
          </cell>
          <cell r="E996" t="str">
            <v>Aug</v>
          </cell>
          <cell r="F996">
            <v>4658</v>
          </cell>
        </row>
        <row r="997">
          <cell r="A997" t="str">
            <v>Power</v>
          </cell>
          <cell r="B997" t="str">
            <v>GEPL</v>
          </cell>
          <cell r="C997" t="str">
            <v>Travel Expenses</v>
          </cell>
          <cell r="E997" t="str">
            <v>Aug</v>
          </cell>
          <cell r="F997">
            <v>544</v>
          </cell>
        </row>
        <row r="998">
          <cell r="A998" t="str">
            <v>Power</v>
          </cell>
          <cell r="B998" t="str">
            <v>GEPL</v>
          </cell>
          <cell r="C998" t="str">
            <v>Financial Expenses</v>
          </cell>
          <cell r="E998" t="str">
            <v>Aug</v>
          </cell>
          <cell r="F998">
            <v>374</v>
          </cell>
        </row>
        <row r="999">
          <cell r="A999" t="str">
            <v>Power</v>
          </cell>
          <cell r="B999" t="str">
            <v>GEPL</v>
          </cell>
          <cell r="C999" t="str">
            <v>Depreciation</v>
          </cell>
          <cell r="E999" t="str">
            <v>Aug</v>
          </cell>
          <cell r="F999">
            <v>0</v>
          </cell>
        </row>
        <row r="1000">
          <cell r="A1000" t="str">
            <v>Power</v>
          </cell>
          <cell r="B1000" t="str">
            <v>GEPL</v>
          </cell>
          <cell r="C1000" t="str">
            <v>Interest</v>
          </cell>
          <cell r="E1000" t="str">
            <v>Aug</v>
          </cell>
          <cell r="F1000">
            <v>34</v>
          </cell>
        </row>
        <row r="1001">
          <cell r="A1001" t="str">
            <v>Power</v>
          </cell>
          <cell r="B1001" t="str">
            <v>GEPL</v>
          </cell>
          <cell r="C1001" t="str">
            <v>Other Income</v>
          </cell>
          <cell r="E1001" t="str">
            <v>Aug</v>
          </cell>
          <cell r="F1001">
            <v>442</v>
          </cell>
        </row>
        <row r="1002">
          <cell r="A1002" t="str">
            <v>Power</v>
          </cell>
          <cell r="B1002" t="str">
            <v>GEPL</v>
          </cell>
          <cell r="C1002" t="str">
            <v>Administrative Expenses</v>
          </cell>
          <cell r="E1002" t="str">
            <v>Sep</v>
          </cell>
          <cell r="F1002">
            <v>3706</v>
          </cell>
        </row>
        <row r="1003">
          <cell r="A1003" t="str">
            <v>Power</v>
          </cell>
          <cell r="B1003" t="str">
            <v>GEPL</v>
          </cell>
          <cell r="C1003" t="str">
            <v>Business Development</v>
          </cell>
          <cell r="E1003" t="str">
            <v>Sep</v>
          </cell>
          <cell r="F1003">
            <v>272</v>
          </cell>
        </row>
        <row r="1004">
          <cell r="A1004" t="str">
            <v>Power</v>
          </cell>
          <cell r="B1004" t="str">
            <v>GEPL</v>
          </cell>
          <cell r="C1004" t="str">
            <v>Communication Expenses</v>
          </cell>
          <cell r="E1004" t="str">
            <v>Sep</v>
          </cell>
          <cell r="F1004">
            <v>4658</v>
          </cell>
        </row>
        <row r="1005">
          <cell r="A1005" t="str">
            <v>Power</v>
          </cell>
          <cell r="B1005" t="str">
            <v>GEPL</v>
          </cell>
          <cell r="C1005" t="str">
            <v>Travel Expenses</v>
          </cell>
          <cell r="E1005" t="str">
            <v>Sep</v>
          </cell>
          <cell r="F1005">
            <v>544</v>
          </cell>
        </row>
        <row r="1006">
          <cell r="A1006" t="str">
            <v>Power</v>
          </cell>
          <cell r="B1006" t="str">
            <v>GEPL</v>
          </cell>
          <cell r="C1006" t="str">
            <v>Financial Expenses</v>
          </cell>
          <cell r="E1006" t="str">
            <v>Sep</v>
          </cell>
          <cell r="F1006">
            <v>374</v>
          </cell>
        </row>
        <row r="1007">
          <cell r="A1007" t="str">
            <v>Power</v>
          </cell>
          <cell r="B1007" t="str">
            <v>GEPL</v>
          </cell>
          <cell r="C1007" t="str">
            <v>Depreciation</v>
          </cell>
          <cell r="E1007" t="str">
            <v>Sep</v>
          </cell>
          <cell r="F1007">
            <v>0</v>
          </cell>
        </row>
        <row r="1008">
          <cell r="A1008" t="str">
            <v>Power</v>
          </cell>
          <cell r="B1008" t="str">
            <v>GEPL</v>
          </cell>
          <cell r="C1008" t="str">
            <v>Interest</v>
          </cell>
          <cell r="E1008" t="str">
            <v>Sep</v>
          </cell>
          <cell r="F1008">
            <v>34</v>
          </cell>
        </row>
        <row r="1009">
          <cell r="A1009" t="str">
            <v>Power</v>
          </cell>
          <cell r="B1009" t="str">
            <v>GEPL</v>
          </cell>
          <cell r="C1009" t="str">
            <v>Other Income</v>
          </cell>
          <cell r="E1009" t="str">
            <v>Sep</v>
          </cell>
          <cell r="F1009">
            <v>442</v>
          </cell>
        </row>
        <row r="1010">
          <cell r="A1010" t="str">
            <v>Power</v>
          </cell>
          <cell r="B1010" t="str">
            <v>GEPL</v>
          </cell>
          <cell r="C1010" t="str">
            <v>Administrative Expenses</v>
          </cell>
          <cell r="E1010" t="str">
            <v>Oct</v>
          </cell>
          <cell r="F1010">
            <v>3706</v>
          </cell>
        </row>
        <row r="1011">
          <cell r="A1011" t="str">
            <v>Power</v>
          </cell>
          <cell r="B1011" t="str">
            <v>GEPL</v>
          </cell>
          <cell r="C1011" t="str">
            <v>Business Development</v>
          </cell>
          <cell r="E1011" t="str">
            <v>Oct</v>
          </cell>
          <cell r="F1011">
            <v>272</v>
          </cell>
        </row>
        <row r="1012">
          <cell r="A1012" t="str">
            <v>Power</v>
          </cell>
          <cell r="B1012" t="str">
            <v>GEPL</v>
          </cell>
          <cell r="C1012" t="str">
            <v>Communication Expenses</v>
          </cell>
          <cell r="E1012" t="str">
            <v>Oct</v>
          </cell>
          <cell r="F1012">
            <v>4658</v>
          </cell>
        </row>
        <row r="1013">
          <cell r="A1013" t="str">
            <v>Power</v>
          </cell>
          <cell r="B1013" t="str">
            <v>GEPL</v>
          </cell>
          <cell r="C1013" t="str">
            <v>Travel Expenses</v>
          </cell>
          <cell r="E1013" t="str">
            <v>Oct</v>
          </cell>
          <cell r="F1013">
            <v>544</v>
          </cell>
        </row>
        <row r="1014">
          <cell r="A1014" t="str">
            <v>Power</v>
          </cell>
          <cell r="B1014" t="str">
            <v>GEPL</v>
          </cell>
          <cell r="C1014" t="str">
            <v>Financial Expenses</v>
          </cell>
          <cell r="E1014" t="str">
            <v>Oct</v>
          </cell>
          <cell r="F1014">
            <v>374</v>
          </cell>
        </row>
        <row r="1015">
          <cell r="A1015" t="str">
            <v>Power</v>
          </cell>
          <cell r="B1015" t="str">
            <v>GEPL</v>
          </cell>
          <cell r="C1015" t="str">
            <v>Depreciation</v>
          </cell>
          <cell r="E1015" t="str">
            <v>Oct</v>
          </cell>
          <cell r="F1015">
            <v>0</v>
          </cell>
        </row>
        <row r="1016">
          <cell r="A1016" t="str">
            <v>Power</v>
          </cell>
          <cell r="B1016" t="str">
            <v>GEPL</v>
          </cell>
          <cell r="C1016" t="str">
            <v>Interest</v>
          </cell>
          <cell r="E1016" t="str">
            <v>Oct</v>
          </cell>
          <cell r="F1016">
            <v>34</v>
          </cell>
        </row>
        <row r="1017">
          <cell r="A1017" t="str">
            <v>Power</v>
          </cell>
          <cell r="B1017" t="str">
            <v>GEPL</v>
          </cell>
          <cell r="C1017" t="str">
            <v>Other Income</v>
          </cell>
          <cell r="E1017" t="str">
            <v>Oct</v>
          </cell>
          <cell r="F1017">
            <v>442</v>
          </cell>
        </row>
        <row r="1018">
          <cell r="A1018" t="str">
            <v>Power</v>
          </cell>
          <cell r="B1018" t="str">
            <v>GEPL</v>
          </cell>
          <cell r="C1018" t="str">
            <v>Administrative Expenses</v>
          </cell>
          <cell r="E1018" t="str">
            <v>Nov</v>
          </cell>
          <cell r="F1018">
            <v>3706</v>
          </cell>
        </row>
        <row r="1019">
          <cell r="A1019" t="str">
            <v>Power</v>
          </cell>
          <cell r="B1019" t="str">
            <v>GEPL</v>
          </cell>
          <cell r="C1019" t="str">
            <v>Business Development</v>
          </cell>
          <cell r="E1019" t="str">
            <v>Nov</v>
          </cell>
          <cell r="F1019">
            <v>272</v>
          </cell>
        </row>
        <row r="1020">
          <cell r="A1020" t="str">
            <v>Power</v>
          </cell>
          <cell r="B1020" t="str">
            <v>GEPL</v>
          </cell>
          <cell r="C1020" t="str">
            <v>Communication Expenses</v>
          </cell>
          <cell r="E1020" t="str">
            <v>Nov</v>
          </cell>
          <cell r="F1020">
            <v>4658</v>
          </cell>
        </row>
        <row r="1021">
          <cell r="A1021" t="str">
            <v>Power</v>
          </cell>
          <cell r="B1021" t="str">
            <v>GEPL</v>
          </cell>
          <cell r="C1021" t="str">
            <v>Travel Expenses</v>
          </cell>
          <cell r="E1021" t="str">
            <v>Nov</v>
          </cell>
          <cell r="F1021">
            <v>544</v>
          </cell>
        </row>
        <row r="1022">
          <cell r="A1022" t="str">
            <v>Power</v>
          </cell>
          <cell r="B1022" t="str">
            <v>GEPL</v>
          </cell>
          <cell r="C1022" t="str">
            <v>Financial Expenses</v>
          </cell>
          <cell r="E1022" t="str">
            <v>Nov</v>
          </cell>
          <cell r="F1022">
            <v>374</v>
          </cell>
        </row>
        <row r="1023">
          <cell r="A1023" t="str">
            <v>Power</v>
          </cell>
          <cell r="B1023" t="str">
            <v>GEPL</v>
          </cell>
          <cell r="C1023" t="str">
            <v>Depreciation</v>
          </cell>
          <cell r="E1023" t="str">
            <v>Nov</v>
          </cell>
          <cell r="F1023">
            <v>0</v>
          </cell>
        </row>
        <row r="1024">
          <cell r="A1024" t="str">
            <v>Power</v>
          </cell>
          <cell r="B1024" t="str">
            <v>GEPL</v>
          </cell>
          <cell r="C1024" t="str">
            <v>Interest</v>
          </cell>
          <cell r="E1024" t="str">
            <v>Nov</v>
          </cell>
          <cell r="F1024">
            <v>34</v>
          </cell>
        </row>
        <row r="1025">
          <cell r="A1025" t="str">
            <v>Power</v>
          </cell>
          <cell r="B1025" t="str">
            <v>GEPL</v>
          </cell>
          <cell r="C1025" t="str">
            <v>Other Income</v>
          </cell>
          <cell r="E1025" t="str">
            <v>Nov</v>
          </cell>
          <cell r="F1025">
            <v>442</v>
          </cell>
        </row>
        <row r="1026">
          <cell r="A1026" t="str">
            <v>Power</v>
          </cell>
          <cell r="B1026" t="str">
            <v>GEPL</v>
          </cell>
          <cell r="C1026" t="str">
            <v>Administrative Expenses</v>
          </cell>
          <cell r="E1026" t="str">
            <v>Dec</v>
          </cell>
          <cell r="F1026">
            <v>3706</v>
          </cell>
        </row>
        <row r="1027">
          <cell r="A1027" t="str">
            <v>Power</v>
          </cell>
          <cell r="B1027" t="str">
            <v>GEPL</v>
          </cell>
          <cell r="C1027" t="str">
            <v>Business Development</v>
          </cell>
          <cell r="E1027" t="str">
            <v>Dec</v>
          </cell>
          <cell r="F1027">
            <v>272</v>
          </cell>
        </row>
        <row r="1028">
          <cell r="A1028" t="str">
            <v>Power</v>
          </cell>
          <cell r="B1028" t="str">
            <v>GEPL</v>
          </cell>
          <cell r="C1028" t="str">
            <v>Communication Expenses</v>
          </cell>
          <cell r="E1028" t="str">
            <v>Dec</v>
          </cell>
          <cell r="F1028">
            <v>4658</v>
          </cell>
        </row>
        <row r="1029">
          <cell r="A1029" t="str">
            <v>Power</v>
          </cell>
          <cell r="B1029" t="str">
            <v>GEPL</v>
          </cell>
          <cell r="C1029" t="str">
            <v>Travel Expenses</v>
          </cell>
          <cell r="E1029" t="str">
            <v>Dec</v>
          </cell>
          <cell r="F1029">
            <v>544</v>
          </cell>
        </row>
        <row r="1030">
          <cell r="A1030" t="str">
            <v>Power</v>
          </cell>
          <cell r="B1030" t="str">
            <v>GEPL</v>
          </cell>
          <cell r="C1030" t="str">
            <v>Financial Expenses</v>
          </cell>
          <cell r="E1030" t="str">
            <v>Dec</v>
          </cell>
          <cell r="F1030">
            <v>374</v>
          </cell>
        </row>
        <row r="1031">
          <cell r="A1031" t="str">
            <v>Power</v>
          </cell>
          <cell r="B1031" t="str">
            <v>GEPL</v>
          </cell>
          <cell r="C1031" t="str">
            <v>Depreciation</v>
          </cell>
          <cell r="E1031" t="str">
            <v>Dec</v>
          </cell>
          <cell r="F1031">
            <v>0</v>
          </cell>
        </row>
        <row r="1032">
          <cell r="A1032" t="str">
            <v>Power</v>
          </cell>
          <cell r="B1032" t="str">
            <v>GEPL</v>
          </cell>
          <cell r="C1032" t="str">
            <v>Interest</v>
          </cell>
          <cell r="E1032" t="str">
            <v>Dec</v>
          </cell>
          <cell r="F1032">
            <v>34</v>
          </cell>
        </row>
        <row r="1033">
          <cell r="A1033" t="str">
            <v>Power</v>
          </cell>
          <cell r="B1033" t="str">
            <v>GEPL</v>
          </cell>
          <cell r="C1033" t="str">
            <v>Other Income</v>
          </cell>
          <cell r="E1033" t="str">
            <v>Dec</v>
          </cell>
          <cell r="F1033">
            <v>442</v>
          </cell>
        </row>
        <row r="1034">
          <cell r="A1034" t="str">
            <v>Power</v>
          </cell>
          <cell r="B1034" t="str">
            <v>GEPL</v>
          </cell>
          <cell r="C1034" t="str">
            <v>Administrative Expenses</v>
          </cell>
          <cell r="E1034" t="str">
            <v>Jan</v>
          </cell>
          <cell r="F1034">
            <v>0</v>
          </cell>
        </row>
        <row r="1035">
          <cell r="A1035" t="str">
            <v>Power</v>
          </cell>
          <cell r="B1035" t="str">
            <v>GEPL</v>
          </cell>
          <cell r="C1035" t="str">
            <v>Business Development</v>
          </cell>
          <cell r="E1035" t="str">
            <v>Jan</v>
          </cell>
          <cell r="F1035">
            <v>0</v>
          </cell>
        </row>
        <row r="1036">
          <cell r="A1036" t="str">
            <v>Power</v>
          </cell>
          <cell r="B1036" t="str">
            <v>GEPL</v>
          </cell>
          <cell r="C1036" t="str">
            <v>Communication Expenses</v>
          </cell>
          <cell r="E1036" t="str">
            <v>Jan</v>
          </cell>
          <cell r="F1036">
            <v>0</v>
          </cell>
        </row>
        <row r="1037">
          <cell r="A1037" t="str">
            <v>Power</v>
          </cell>
          <cell r="B1037" t="str">
            <v>GEPL</v>
          </cell>
          <cell r="C1037" t="str">
            <v>Travel Expenses</v>
          </cell>
          <cell r="E1037" t="str">
            <v>Jan</v>
          </cell>
          <cell r="F1037">
            <v>0</v>
          </cell>
        </row>
        <row r="1038">
          <cell r="A1038" t="str">
            <v>Power</v>
          </cell>
          <cell r="B1038" t="str">
            <v>GEPL</v>
          </cell>
          <cell r="C1038" t="str">
            <v>Financial Expenses</v>
          </cell>
          <cell r="E1038" t="str">
            <v>Jan</v>
          </cell>
          <cell r="F1038">
            <v>0</v>
          </cell>
        </row>
        <row r="1039">
          <cell r="A1039" t="str">
            <v>Power</v>
          </cell>
          <cell r="B1039" t="str">
            <v>GEPL</v>
          </cell>
          <cell r="C1039" t="str">
            <v>Depreciation</v>
          </cell>
          <cell r="E1039" t="str">
            <v>Jan</v>
          </cell>
          <cell r="F1039">
            <v>0</v>
          </cell>
        </row>
        <row r="1040">
          <cell r="A1040" t="str">
            <v>Power</v>
          </cell>
          <cell r="B1040" t="str">
            <v>GEPL</v>
          </cell>
          <cell r="C1040" t="str">
            <v>Interest</v>
          </cell>
          <cell r="E1040" t="str">
            <v>Jan</v>
          </cell>
          <cell r="F1040">
            <v>0</v>
          </cell>
        </row>
        <row r="1041">
          <cell r="A1041" t="str">
            <v>Power</v>
          </cell>
          <cell r="B1041" t="str">
            <v>GEPL</v>
          </cell>
          <cell r="C1041" t="str">
            <v>Other Income</v>
          </cell>
          <cell r="E1041" t="str">
            <v>Jan</v>
          </cell>
          <cell r="F1041">
            <v>0</v>
          </cell>
        </row>
        <row r="1042">
          <cell r="A1042" t="str">
            <v>Power</v>
          </cell>
          <cell r="B1042" t="str">
            <v>GEPL</v>
          </cell>
          <cell r="C1042" t="str">
            <v>Administrative Expenses</v>
          </cell>
          <cell r="E1042" t="str">
            <v>Feb</v>
          </cell>
          <cell r="F1042">
            <v>3706</v>
          </cell>
        </row>
        <row r="1043">
          <cell r="A1043" t="str">
            <v>Power</v>
          </cell>
          <cell r="B1043" t="str">
            <v>GEPL</v>
          </cell>
          <cell r="C1043" t="str">
            <v>Business Development</v>
          </cell>
          <cell r="E1043" t="str">
            <v>Feb</v>
          </cell>
          <cell r="F1043">
            <v>272</v>
          </cell>
        </row>
        <row r="1044">
          <cell r="A1044" t="str">
            <v>Power</v>
          </cell>
          <cell r="B1044" t="str">
            <v>GEPL</v>
          </cell>
          <cell r="C1044" t="str">
            <v>Communication Expenses</v>
          </cell>
          <cell r="E1044" t="str">
            <v>Feb</v>
          </cell>
          <cell r="F1044">
            <v>4658</v>
          </cell>
        </row>
        <row r="1045">
          <cell r="A1045" t="str">
            <v>Power</v>
          </cell>
          <cell r="B1045" t="str">
            <v>GEPL</v>
          </cell>
          <cell r="C1045" t="str">
            <v>Travel Expenses</v>
          </cell>
          <cell r="E1045" t="str">
            <v>Feb</v>
          </cell>
          <cell r="F1045">
            <v>544</v>
          </cell>
        </row>
        <row r="1046">
          <cell r="A1046" t="str">
            <v>Power</v>
          </cell>
          <cell r="B1046" t="str">
            <v>GEPL</v>
          </cell>
          <cell r="C1046" t="str">
            <v>Financial Expenses</v>
          </cell>
          <cell r="E1046" t="str">
            <v>Feb</v>
          </cell>
          <cell r="F1046">
            <v>374</v>
          </cell>
        </row>
        <row r="1047">
          <cell r="A1047" t="str">
            <v>Power</v>
          </cell>
          <cell r="B1047" t="str">
            <v>GEPL</v>
          </cell>
          <cell r="C1047" t="str">
            <v>Depreciation</v>
          </cell>
          <cell r="E1047" t="str">
            <v>Feb</v>
          </cell>
          <cell r="F1047">
            <v>0</v>
          </cell>
        </row>
        <row r="1048">
          <cell r="A1048" t="str">
            <v>Power</v>
          </cell>
          <cell r="B1048" t="str">
            <v>GEPL</v>
          </cell>
          <cell r="C1048" t="str">
            <v>Interest</v>
          </cell>
          <cell r="E1048" t="str">
            <v>Feb</v>
          </cell>
          <cell r="F1048">
            <v>34</v>
          </cell>
        </row>
        <row r="1049">
          <cell r="A1049" t="str">
            <v>Power</v>
          </cell>
          <cell r="B1049" t="str">
            <v>GEPL</v>
          </cell>
          <cell r="C1049" t="str">
            <v>Other Income</v>
          </cell>
          <cell r="E1049" t="str">
            <v>Feb</v>
          </cell>
          <cell r="F1049">
            <v>442</v>
          </cell>
        </row>
        <row r="1050">
          <cell r="A1050" t="str">
            <v>Power</v>
          </cell>
          <cell r="B1050" t="str">
            <v>GEPL</v>
          </cell>
          <cell r="C1050" t="str">
            <v>Administrative Expenses</v>
          </cell>
          <cell r="E1050" t="str">
            <v>Mar</v>
          </cell>
          <cell r="F1050">
            <v>3706</v>
          </cell>
        </row>
        <row r="1051">
          <cell r="A1051" t="str">
            <v>Power</v>
          </cell>
          <cell r="B1051" t="str">
            <v>GEPL</v>
          </cell>
          <cell r="C1051" t="str">
            <v>Business Development</v>
          </cell>
          <cell r="E1051" t="str">
            <v>Mar</v>
          </cell>
          <cell r="F1051">
            <v>272</v>
          </cell>
        </row>
        <row r="1052">
          <cell r="A1052" t="str">
            <v>Power</v>
          </cell>
          <cell r="B1052" t="str">
            <v>GEPL</v>
          </cell>
          <cell r="C1052" t="str">
            <v>Communication Expenses</v>
          </cell>
          <cell r="E1052" t="str">
            <v>Mar</v>
          </cell>
          <cell r="F1052">
            <v>4658</v>
          </cell>
        </row>
        <row r="1053">
          <cell r="A1053" t="str">
            <v>Power</v>
          </cell>
          <cell r="B1053" t="str">
            <v>GEPL</v>
          </cell>
          <cell r="C1053" t="str">
            <v>Travel Expenses</v>
          </cell>
          <cell r="E1053" t="str">
            <v>Mar</v>
          </cell>
          <cell r="F1053">
            <v>544</v>
          </cell>
        </row>
        <row r="1054">
          <cell r="A1054" t="str">
            <v>Power</v>
          </cell>
          <cell r="B1054" t="str">
            <v>GEPL</v>
          </cell>
          <cell r="C1054" t="str">
            <v>Financial Expenses</v>
          </cell>
          <cell r="E1054" t="str">
            <v>Mar</v>
          </cell>
          <cell r="F1054">
            <v>374</v>
          </cell>
        </row>
        <row r="1055">
          <cell r="A1055" t="str">
            <v>Power</v>
          </cell>
          <cell r="B1055" t="str">
            <v>GEPL</v>
          </cell>
          <cell r="C1055" t="str">
            <v>Depreciation</v>
          </cell>
          <cell r="E1055" t="str">
            <v>Mar</v>
          </cell>
          <cell r="F1055">
            <v>0</v>
          </cell>
        </row>
        <row r="1056">
          <cell r="A1056" t="str">
            <v>Power</v>
          </cell>
          <cell r="B1056" t="str">
            <v>GEPL</v>
          </cell>
          <cell r="C1056" t="str">
            <v>Interest</v>
          </cell>
          <cell r="E1056" t="str">
            <v>Mar</v>
          </cell>
          <cell r="F1056">
            <v>34</v>
          </cell>
        </row>
        <row r="1057">
          <cell r="A1057" t="str">
            <v>Power</v>
          </cell>
          <cell r="B1057" t="str">
            <v>GEPL</v>
          </cell>
          <cell r="C1057" t="str">
            <v>Other Income</v>
          </cell>
          <cell r="E1057" t="str">
            <v>Mar</v>
          </cell>
          <cell r="F1057">
            <v>442</v>
          </cell>
        </row>
        <row r="1058">
          <cell r="A1058" t="str">
            <v>Power</v>
          </cell>
          <cell r="B1058" t="str">
            <v>KPTCL</v>
          </cell>
          <cell r="C1058" t="str">
            <v>Administrative Expenses</v>
          </cell>
          <cell r="E1058" t="str">
            <v>Apr</v>
          </cell>
          <cell r="F1058">
            <v>3706</v>
          </cell>
        </row>
        <row r="1059">
          <cell r="A1059" t="str">
            <v>Power</v>
          </cell>
          <cell r="B1059" t="str">
            <v>KPTCL</v>
          </cell>
          <cell r="C1059" t="str">
            <v>Business Development</v>
          </cell>
          <cell r="E1059" t="str">
            <v>Apr</v>
          </cell>
          <cell r="F1059">
            <v>272</v>
          </cell>
        </row>
        <row r="1060">
          <cell r="A1060" t="str">
            <v>Power</v>
          </cell>
          <cell r="B1060" t="str">
            <v>KPTCL</v>
          </cell>
          <cell r="C1060" t="str">
            <v>Communication Expenses</v>
          </cell>
          <cell r="E1060" t="str">
            <v>Apr</v>
          </cell>
          <cell r="F1060">
            <v>4658</v>
          </cell>
        </row>
        <row r="1061">
          <cell r="A1061" t="str">
            <v>Power</v>
          </cell>
          <cell r="B1061" t="str">
            <v>KPTCL</v>
          </cell>
          <cell r="C1061" t="str">
            <v>Travel Expenses</v>
          </cell>
          <cell r="E1061" t="str">
            <v>Apr</v>
          </cell>
          <cell r="F1061">
            <v>544</v>
          </cell>
        </row>
        <row r="1062">
          <cell r="A1062" t="str">
            <v>Power</v>
          </cell>
          <cell r="B1062" t="str">
            <v>KPTCL</v>
          </cell>
          <cell r="C1062" t="str">
            <v>Financial Expenses</v>
          </cell>
          <cell r="E1062" t="str">
            <v>Apr</v>
          </cell>
          <cell r="F1062">
            <v>374</v>
          </cell>
        </row>
        <row r="1063">
          <cell r="A1063" t="str">
            <v>Power</v>
          </cell>
          <cell r="B1063" t="str">
            <v>KPTCL</v>
          </cell>
          <cell r="C1063" t="str">
            <v>Depreciation</v>
          </cell>
          <cell r="E1063" t="str">
            <v>Apr</v>
          </cell>
          <cell r="F1063">
            <v>0</v>
          </cell>
        </row>
        <row r="1064">
          <cell r="A1064" t="str">
            <v>Power</v>
          </cell>
          <cell r="B1064" t="str">
            <v>KPTCL</v>
          </cell>
          <cell r="C1064" t="str">
            <v>Interest</v>
          </cell>
          <cell r="E1064" t="str">
            <v>Apr</v>
          </cell>
          <cell r="F1064">
            <v>34</v>
          </cell>
        </row>
        <row r="1065">
          <cell r="A1065" t="str">
            <v>Power</v>
          </cell>
          <cell r="B1065" t="str">
            <v>KPTCL</v>
          </cell>
          <cell r="C1065" t="str">
            <v>Other Income</v>
          </cell>
          <cell r="E1065" t="str">
            <v>Apr</v>
          </cell>
          <cell r="F1065">
            <v>442</v>
          </cell>
        </row>
        <row r="1066">
          <cell r="A1066" t="str">
            <v>Power</v>
          </cell>
          <cell r="B1066" t="str">
            <v>KPTCL</v>
          </cell>
          <cell r="C1066" t="str">
            <v>Administrative Expenses</v>
          </cell>
          <cell r="E1066" t="str">
            <v>May</v>
          </cell>
          <cell r="F1066">
            <v>3706</v>
          </cell>
        </row>
        <row r="1067">
          <cell r="A1067" t="str">
            <v>Power</v>
          </cell>
          <cell r="B1067" t="str">
            <v>KPTCL</v>
          </cell>
          <cell r="C1067" t="str">
            <v>Business Development</v>
          </cell>
          <cell r="E1067" t="str">
            <v>May</v>
          </cell>
          <cell r="F1067">
            <v>272</v>
          </cell>
        </row>
        <row r="1068">
          <cell r="A1068" t="str">
            <v>Power</v>
          </cell>
          <cell r="B1068" t="str">
            <v>KPTCL</v>
          </cell>
          <cell r="C1068" t="str">
            <v>Communication Expenses</v>
          </cell>
          <cell r="E1068" t="str">
            <v>May</v>
          </cell>
          <cell r="F1068">
            <v>4658</v>
          </cell>
        </row>
        <row r="1069">
          <cell r="A1069" t="str">
            <v>Power</v>
          </cell>
          <cell r="B1069" t="str">
            <v>KPTCL</v>
          </cell>
          <cell r="C1069" t="str">
            <v>Travel Expenses</v>
          </cell>
          <cell r="E1069" t="str">
            <v>May</v>
          </cell>
          <cell r="F1069">
            <v>544</v>
          </cell>
        </row>
        <row r="1070">
          <cell r="A1070" t="str">
            <v>Power</v>
          </cell>
          <cell r="B1070" t="str">
            <v>KPTCL</v>
          </cell>
          <cell r="C1070" t="str">
            <v>Financial Expenses</v>
          </cell>
          <cell r="E1070" t="str">
            <v>May</v>
          </cell>
          <cell r="F1070">
            <v>374</v>
          </cell>
        </row>
        <row r="1071">
          <cell r="A1071" t="str">
            <v>Power</v>
          </cell>
          <cell r="B1071" t="str">
            <v>KPTCL</v>
          </cell>
          <cell r="C1071" t="str">
            <v>Depreciation</v>
          </cell>
          <cell r="E1071" t="str">
            <v>May</v>
          </cell>
          <cell r="F1071">
            <v>0</v>
          </cell>
        </row>
        <row r="1072">
          <cell r="A1072" t="str">
            <v>Power</v>
          </cell>
          <cell r="B1072" t="str">
            <v>KPTCL</v>
          </cell>
          <cell r="C1072" t="str">
            <v>Interest</v>
          </cell>
          <cell r="E1072" t="str">
            <v>May</v>
          </cell>
          <cell r="F1072">
            <v>34</v>
          </cell>
        </row>
        <row r="1073">
          <cell r="A1073" t="str">
            <v>Power</v>
          </cell>
          <cell r="B1073" t="str">
            <v>KPTCL</v>
          </cell>
          <cell r="C1073" t="str">
            <v>Other Income</v>
          </cell>
          <cell r="E1073" t="str">
            <v>May</v>
          </cell>
          <cell r="F1073">
            <v>442</v>
          </cell>
        </row>
        <row r="1074">
          <cell r="A1074" t="str">
            <v>Power</v>
          </cell>
          <cell r="B1074" t="str">
            <v>KPTCL</v>
          </cell>
          <cell r="C1074" t="str">
            <v>Administrative Expenses</v>
          </cell>
          <cell r="E1074" t="str">
            <v>June</v>
          </cell>
          <cell r="F1074">
            <v>3706</v>
          </cell>
        </row>
        <row r="1075">
          <cell r="A1075" t="str">
            <v>Power</v>
          </cell>
          <cell r="B1075" t="str">
            <v>KPTCL</v>
          </cell>
          <cell r="C1075" t="str">
            <v>Business Development</v>
          </cell>
          <cell r="E1075" t="str">
            <v>June</v>
          </cell>
          <cell r="F1075">
            <v>272</v>
          </cell>
        </row>
        <row r="1076">
          <cell r="A1076" t="str">
            <v>Power</v>
          </cell>
          <cell r="B1076" t="str">
            <v>KPTCL</v>
          </cell>
          <cell r="C1076" t="str">
            <v>Communication Expenses</v>
          </cell>
          <cell r="E1076" t="str">
            <v>June</v>
          </cell>
          <cell r="F1076">
            <v>4658</v>
          </cell>
        </row>
        <row r="1077">
          <cell r="A1077" t="str">
            <v>Power</v>
          </cell>
          <cell r="B1077" t="str">
            <v>KPTCL</v>
          </cell>
          <cell r="C1077" t="str">
            <v>Travel Expenses</v>
          </cell>
          <cell r="E1077" t="str">
            <v>June</v>
          </cell>
          <cell r="F1077">
            <v>544</v>
          </cell>
        </row>
        <row r="1078">
          <cell r="A1078" t="str">
            <v>Power</v>
          </cell>
          <cell r="B1078" t="str">
            <v>KPTCL</v>
          </cell>
          <cell r="C1078" t="str">
            <v>Financial Expenses</v>
          </cell>
          <cell r="E1078" t="str">
            <v>June</v>
          </cell>
          <cell r="F1078">
            <v>374</v>
          </cell>
        </row>
        <row r="1079">
          <cell r="A1079" t="str">
            <v>Power</v>
          </cell>
          <cell r="B1079" t="str">
            <v>KPTCL</v>
          </cell>
          <cell r="C1079" t="str">
            <v>Depreciation</v>
          </cell>
          <cell r="E1079" t="str">
            <v>June</v>
          </cell>
          <cell r="F1079">
            <v>0</v>
          </cell>
        </row>
        <row r="1080">
          <cell r="A1080" t="str">
            <v>Power</v>
          </cell>
          <cell r="B1080" t="str">
            <v>KPTCL</v>
          </cell>
          <cell r="C1080" t="str">
            <v>Interest</v>
          </cell>
          <cell r="E1080" t="str">
            <v>June</v>
          </cell>
          <cell r="F1080">
            <v>34</v>
          </cell>
        </row>
        <row r="1081">
          <cell r="A1081" t="str">
            <v>Power</v>
          </cell>
          <cell r="B1081" t="str">
            <v>KPTCL</v>
          </cell>
          <cell r="C1081" t="str">
            <v>Other Income</v>
          </cell>
          <cell r="E1081" t="str">
            <v>June</v>
          </cell>
          <cell r="F1081">
            <v>442</v>
          </cell>
        </row>
        <row r="1082">
          <cell r="A1082" t="str">
            <v>Power</v>
          </cell>
          <cell r="B1082" t="str">
            <v>KPTCL</v>
          </cell>
          <cell r="C1082" t="str">
            <v>Administrative Expenses</v>
          </cell>
          <cell r="E1082" t="str">
            <v>July</v>
          </cell>
          <cell r="F1082">
            <v>0</v>
          </cell>
        </row>
        <row r="1083">
          <cell r="A1083" t="str">
            <v>Power</v>
          </cell>
          <cell r="B1083" t="str">
            <v>KPTCL</v>
          </cell>
          <cell r="C1083" t="str">
            <v>Business Development</v>
          </cell>
          <cell r="E1083" t="str">
            <v>July</v>
          </cell>
          <cell r="F1083">
            <v>0</v>
          </cell>
        </row>
        <row r="1084">
          <cell r="A1084" t="str">
            <v>Power</v>
          </cell>
          <cell r="B1084" t="str">
            <v>KPTCL</v>
          </cell>
          <cell r="C1084" t="str">
            <v>Communication Expenses</v>
          </cell>
          <cell r="E1084" t="str">
            <v>July</v>
          </cell>
          <cell r="F1084">
            <v>0</v>
          </cell>
        </row>
        <row r="1085">
          <cell r="A1085" t="str">
            <v>Power</v>
          </cell>
          <cell r="B1085" t="str">
            <v>KPTCL</v>
          </cell>
          <cell r="C1085" t="str">
            <v>Travel Expenses</v>
          </cell>
          <cell r="E1085" t="str">
            <v>July</v>
          </cell>
          <cell r="F1085">
            <v>0</v>
          </cell>
        </row>
        <row r="1086">
          <cell r="A1086" t="str">
            <v>Power</v>
          </cell>
          <cell r="B1086" t="str">
            <v>KPTCL</v>
          </cell>
          <cell r="C1086" t="str">
            <v>Financial Expenses</v>
          </cell>
          <cell r="E1086" t="str">
            <v>July</v>
          </cell>
          <cell r="F1086">
            <v>0</v>
          </cell>
        </row>
        <row r="1087">
          <cell r="A1087" t="str">
            <v>Power</v>
          </cell>
          <cell r="B1087" t="str">
            <v>KPTCL</v>
          </cell>
          <cell r="C1087" t="str">
            <v>Depreciation</v>
          </cell>
          <cell r="E1087" t="str">
            <v>July</v>
          </cell>
          <cell r="F1087">
            <v>0</v>
          </cell>
        </row>
        <row r="1088">
          <cell r="A1088" t="str">
            <v>Power</v>
          </cell>
          <cell r="B1088" t="str">
            <v>KPTCL</v>
          </cell>
          <cell r="C1088" t="str">
            <v>Interest</v>
          </cell>
          <cell r="E1088" t="str">
            <v>July</v>
          </cell>
          <cell r="F1088">
            <v>0</v>
          </cell>
        </row>
        <row r="1089">
          <cell r="A1089" t="str">
            <v>Power</v>
          </cell>
          <cell r="B1089" t="str">
            <v>KPTCL</v>
          </cell>
          <cell r="C1089" t="str">
            <v>Other Income</v>
          </cell>
          <cell r="E1089" t="str">
            <v>July</v>
          </cell>
          <cell r="F1089">
            <v>0</v>
          </cell>
        </row>
        <row r="1090">
          <cell r="A1090" t="str">
            <v>Power</v>
          </cell>
          <cell r="B1090" t="str">
            <v>KPTCL</v>
          </cell>
          <cell r="C1090" t="str">
            <v>Administrative Expenses</v>
          </cell>
          <cell r="E1090" t="str">
            <v>Aug</v>
          </cell>
          <cell r="F1090">
            <v>3706</v>
          </cell>
        </row>
        <row r="1091">
          <cell r="A1091" t="str">
            <v>Power</v>
          </cell>
          <cell r="B1091" t="str">
            <v>KPTCL</v>
          </cell>
          <cell r="C1091" t="str">
            <v>Business Development</v>
          </cell>
          <cell r="E1091" t="str">
            <v>Aug</v>
          </cell>
          <cell r="F1091">
            <v>272</v>
          </cell>
        </row>
        <row r="1092">
          <cell r="A1092" t="str">
            <v>Power</v>
          </cell>
          <cell r="B1092" t="str">
            <v>KPTCL</v>
          </cell>
          <cell r="C1092" t="str">
            <v>Communication Expenses</v>
          </cell>
          <cell r="E1092" t="str">
            <v>Aug</v>
          </cell>
          <cell r="F1092">
            <v>4658</v>
          </cell>
        </row>
        <row r="1093">
          <cell r="A1093" t="str">
            <v>Power</v>
          </cell>
          <cell r="B1093" t="str">
            <v>KPTCL</v>
          </cell>
          <cell r="C1093" t="str">
            <v>Travel Expenses</v>
          </cell>
          <cell r="E1093" t="str">
            <v>Aug</v>
          </cell>
          <cell r="F1093">
            <v>544</v>
          </cell>
        </row>
        <row r="1094">
          <cell r="A1094" t="str">
            <v>Power</v>
          </cell>
          <cell r="B1094" t="str">
            <v>KPTCL</v>
          </cell>
          <cell r="C1094" t="str">
            <v>Financial Expenses</v>
          </cell>
          <cell r="E1094" t="str">
            <v>Aug</v>
          </cell>
          <cell r="F1094">
            <v>374</v>
          </cell>
        </row>
        <row r="1095">
          <cell r="A1095" t="str">
            <v>Power</v>
          </cell>
          <cell r="B1095" t="str">
            <v>KPTCL</v>
          </cell>
          <cell r="C1095" t="str">
            <v>Depreciation</v>
          </cell>
          <cell r="E1095" t="str">
            <v>Aug</v>
          </cell>
          <cell r="F1095">
            <v>0</v>
          </cell>
        </row>
        <row r="1096">
          <cell r="A1096" t="str">
            <v>Power</v>
          </cell>
          <cell r="B1096" t="str">
            <v>KPTCL</v>
          </cell>
          <cell r="C1096" t="str">
            <v>Interest</v>
          </cell>
          <cell r="E1096" t="str">
            <v>Aug</v>
          </cell>
          <cell r="F1096">
            <v>34</v>
          </cell>
        </row>
        <row r="1097">
          <cell r="A1097" t="str">
            <v>Power</v>
          </cell>
          <cell r="B1097" t="str">
            <v>KPTCL</v>
          </cell>
          <cell r="C1097" t="str">
            <v>Other Income</v>
          </cell>
          <cell r="E1097" t="str">
            <v>Aug</v>
          </cell>
          <cell r="F1097">
            <v>442</v>
          </cell>
        </row>
        <row r="1098">
          <cell r="A1098" t="str">
            <v>Power</v>
          </cell>
          <cell r="B1098" t="str">
            <v>KPTCL</v>
          </cell>
          <cell r="C1098" t="str">
            <v>Administrative Expenses</v>
          </cell>
          <cell r="E1098" t="str">
            <v>Sep</v>
          </cell>
          <cell r="F1098">
            <v>3706</v>
          </cell>
        </row>
        <row r="1099">
          <cell r="A1099" t="str">
            <v>Power</v>
          </cell>
          <cell r="B1099" t="str">
            <v>KPTCL</v>
          </cell>
          <cell r="C1099" t="str">
            <v>Business Development</v>
          </cell>
          <cell r="E1099" t="str">
            <v>Sep</v>
          </cell>
          <cell r="F1099">
            <v>272</v>
          </cell>
        </row>
        <row r="1100">
          <cell r="A1100" t="str">
            <v>Power</v>
          </cell>
          <cell r="B1100" t="str">
            <v>KPTCL</v>
          </cell>
          <cell r="C1100" t="str">
            <v>Communication Expenses</v>
          </cell>
          <cell r="E1100" t="str">
            <v>Sep</v>
          </cell>
          <cell r="F1100">
            <v>4658</v>
          </cell>
        </row>
        <row r="1101">
          <cell r="A1101" t="str">
            <v>Power</v>
          </cell>
          <cell r="B1101" t="str">
            <v>KPTCL</v>
          </cell>
          <cell r="C1101" t="str">
            <v>Travel Expenses</v>
          </cell>
          <cell r="E1101" t="str">
            <v>Sep</v>
          </cell>
          <cell r="F1101">
            <v>544</v>
          </cell>
        </row>
        <row r="1102">
          <cell r="A1102" t="str">
            <v>Power</v>
          </cell>
          <cell r="B1102" t="str">
            <v>KPTCL</v>
          </cell>
          <cell r="C1102" t="str">
            <v>Financial Expenses</v>
          </cell>
          <cell r="E1102" t="str">
            <v>Sep</v>
          </cell>
          <cell r="F1102">
            <v>374</v>
          </cell>
        </row>
        <row r="1103">
          <cell r="A1103" t="str">
            <v>Power</v>
          </cell>
          <cell r="B1103" t="str">
            <v>KPTCL</v>
          </cell>
          <cell r="C1103" t="str">
            <v>Depreciation</v>
          </cell>
          <cell r="E1103" t="str">
            <v>Sep</v>
          </cell>
          <cell r="F1103">
            <v>0</v>
          </cell>
        </row>
        <row r="1104">
          <cell r="A1104" t="str">
            <v>Power</v>
          </cell>
          <cell r="B1104" t="str">
            <v>KPTCL</v>
          </cell>
          <cell r="C1104" t="str">
            <v>Interest</v>
          </cell>
          <cell r="E1104" t="str">
            <v>Sep</v>
          </cell>
          <cell r="F1104">
            <v>34</v>
          </cell>
        </row>
        <row r="1105">
          <cell r="A1105" t="str">
            <v>Power</v>
          </cell>
          <cell r="B1105" t="str">
            <v>KPTCL</v>
          </cell>
          <cell r="C1105" t="str">
            <v>Other Income</v>
          </cell>
          <cell r="E1105" t="str">
            <v>Sep</v>
          </cell>
          <cell r="F1105">
            <v>442</v>
          </cell>
        </row>
        <row r="1106">
          <cell r="A1106" t="str">
            <v>Power</v>
          </cell>
          <cell r="B1106" t="str">
            <v>KPTCL</v>
          </cell>
          <cell r="C1106" t="str">
            <v>Administrative Expenses</v>
          </cell>
          <cell r="E1106" t="str">
            <v>Oct</v>
          </cell>
          <cell r="F1106">
            <v>3706</v>
          </cell>
        </row>
        <row r="1107">
          <cell r="A1107" t="str">
            <v>Power</v>
          </cell>
          <cell r="B1107" t="str">
            <v>KPTCL</v>
          </cell>
          <cell r="C1107" t="str">
            <v>Business Development</v>
          </cell>
          <cell r="E1107" t="str">
            <v>Oct</v>
          </cell>
          <cell r="F1107">
            <v>272</v>
          </cell>
        </row>
        <row r="1108">
          <cell r="A1108" t="str">
            <v>Power</v>
          </cell>
          <cell r="B1108" t="str">
            <v>KPTCL</v>
          </cell>
          <cell r="C1108" t="str">
            <v>Communication Expenses</v>
          </cell>
          <cell r="E1108" t="str">
            <v>Oct</v>
          </cell>
          <cell r="F1108">
            <v>4658</v>
          </cell>
        </row>
        <row r="1109">
          <cell r="A1109" t="str">
            <v>Power</v>
          </cell>
          <cell r="B1109" t="str">
            <v>KPTCL</v>
          </cell>
          <cell r="C1109" t="str">
            <v>Travel Expenses</v>
          </cell>
          <cell r="E1109" t="str">
            <v>Oct</v>
          </cell>
          <cell r="F1109">
            <v>544</v>
          </cell>
        </row>
        <row r="1110">
          <cell r="A1110" t="str">
            <v>Power</v>
          </cell>
          <cell r="B1110" t="str">
            <v>KPTCL</v>
          </cell>
          <cell r="C1110" t="str">
            <v>Financial Expenses</v>
          </cell>
          <cell r="E1110" t="str">
            <v>Oct</v>
          </cell>
          <cell r="F1110">
            <v>374</v>
          </cell>
        </row>
        <row r="1111">
          <cell r="A1111" t="str">
            <v>Power</v>
          </cell>
          <cell r="B1111" t="str">
            <v>KPTCL</v>
          </cell>
          <cell r="C1111" t="str">
            <v>Depreciation</v>
          </cell>
          <cell r="E1111" t="str">
            <v>Oct</v>
          </cell>
          <cell r="F1111">
            <v>0</v>
          </cell>
        </row>
        <row r="1112">
          <cell r="A1112" t="str">
            <v>Power</v>
          </cell>
          <cell r="B1112" t="str">
            <v>KPTCL</v>
          </cell>
          <cell r="C1112" t="str">
            <v>Interest</v>
          </cell>
          <cell r="E1112" t="str">
            <v>Oct</v>
          </cell>
          <cell r="F1112">
            <v>34</v>
          </cell>
        </row>
        <row r="1113">
          <cell r="A1113" t="str">
            <v>Power</v>
          </cell>
          <cell r="B1113" t="str">
            <v>KPTCL</v>
          </cell>
          <cell r="C1113" t="str">
            <v>Other Income</v>
          </cell>
          <cell r="E1113" t="str">
            <v>Oct</v>
          </cell>
          <cell r="F1113">
            <v>442</v>
          </cell>
        </row>
        <row r="1114">
          <cell r="A1114" t="str">
            <v>Power</v>
          </cell>
          <cell r="B1114" t="str">
            <v>KPTCL</v>
          </cell>
          <cell r="C1114" t="str">
            <v>Administrative Expenses</v>
          </cell>
          <cell r="E1114" t="str">
            <v>Nov</v>
          </cell>
          <cell r="F1114">
            <v>3706</v>
          </cell>
        </row>
        <row r="1115">
          <cell r="A1115" t="str">
            <v>Power</v>
          </cell>
          <cell r="B1115" t="str">
            <v>KPTCL</v>
          </cell>
          <cell r="C1115" t="str">
            <v>Business Development</v>
          </cell>
          <cell r="E1115" t="str">
            <v>Nov</v>
          </cell>
          <cell r="F1115">
            <v>272</v>
          </cell>
        </row>
        <row r="1116">
          <cell r="A1116" t="str">
            <v>Power</v>
          </cell>
          <cell r="B1116" t="str">
            <v>KPTCL</v>
          </cell>
          <cell r="C1116" t="str">
            <v>Communication Expenses</v>
          </cell>
          <cell r="E1116" t="str">
            <v>Nov</v>
          </cell>
          <cell r="F1116">
            <v>4658</v>
          </cell>
        </row>
        <row r="1117">
          <cell r="A1117" t="str">
            <v>Power</v>
          </cell>
          <cell r="B1117" t="str">
            <v>KPTCL</v>
          </cell>
          <cell r="C1117" t="str">
            <v>Travel Expenses</v>
          </cell>
          <cell r="E1117" t="str">
            <v>Nov</v>
          </cell>
          <cell r="F1117">
            <v>544</v>
          </cell>
        </row>
        <row r="1118">
          <cell r="A1118" t="str">
            <v>Power</v>
          </cell>
          <cell r="B1118" t="str">
            <v>KPTCL</v>
          </cell>
          <cell r="C1118" t="str">
            <v>Financial Expenses</v>
          </cell>
          <cell r="E1118" t="str">
            <v>Nov</v>
          </cell>
          <cell r="F1118">
            <v>374</v>
          </cell>
        </row>
        <row r="1119">
          <cell r="A1119" t="str">
            <v>Power</v>
          </cell>
          <cell r="B1119" t="str">
            <v>KPTCL</v>
          </cell>
          <cell r="C1119" t="str">
            <v>Depreciation</v>
          </cell>
          <cell r="E1119" t="str">
            <v>Nov</v>
          </cell>
          <cell r="F1119">
            <v>0</v>
          </cell>
        </row>
        <row r="1120">
          <cell r="A1120" t="str">
            <v>Power</v>
          </cell>
          <cell r="B1120" t="str">
            <v>KPTCL</v>
          </cell>
          <cell r="C1120" t="str">
            <v>Interest</v>
          </cell>
          <cell r="E1120" t="str">
            <v>Nov</v>
          </cell>
          <cell r="F1120">
            <v>34</v>
          </cell>
        </row>
        <row r="1121">
          <cell r="A1121" t="str">
            <v>Power</v>
          </cell>
          <cell r="B1121" t="str">
            <v>KPTCL</v>
          </cell>
          <cell r="C1121" t="str">
            <v>Other Income</v>
          </cell>
          <cell r="E1121" t="str">
            <v>Nov</v>
          </cell>
          <cell r="F1121">
            <v>442</v>
          </cell>
        </row>
        <row r="1122">
          <cell r="A1122" t="str">
            <v>Power</v>
          </cell>
          <cell r="B1122" t="str">
            <v>KPTCL</v>
          </cell>
          <cell r="C1122" t="str">
            <v>Administrative Expenses</v>
          </cell>
          <cell r="E1122" t="str">
            <v>Dec</v>
          </cell>
          <cell r="F1122">
            <v>3706</v>
          </cell>
        </row>
        <row r="1123">
          <cell r="A1123" t="str">
            <v>Power</v>
          </cell>
          <cell r="B1123" t="str">
            <v>KPTCL</v>
          </cell>
          <cell r="C1123" t="str">
            <v>Business Development</v>
          </cell>
          <cell r="E1123" t="str">
            <v>Dec</v>
          </cell>
          <cell r="F1123">
            <v>272</v>
          </cell>
        </row>
        <row r="1124">
          <cell r="A1124" t="str">
            <v>Power</v>
          </cell>
          <cell r="B1124" t="str">
            <v>KPTCL</v>
          </cell>
          <cell r="C1124" t="str">
            <v>Communication Expenses</v>
          </cell>
          <cell r="E1124" t="str">
            <v>Dec</v>
          </cell>
          <cell r="F1124">
            <v>4658</v>
          </cell>
        </row>
        <row r="1125">
          <cell r="A1125" t="str">
            <v>Power</v>
          </cell>
          <cell r="B1125" t="str">
            <v>KPTCL</v>
          </cell>
          <cell r="C1125" t="str">
            <v>Travel Expenses</v>
          </cell>
          <cell r="E1125" t="str">
            <v>Dec</v>
          </cell>
          <cell r="F1125">
            <v>544</v>
          </cell>
        </row>
        <row r="1126">
          <cell r="A1126" t="str">
            <v>Power</v>
          </cell>
          <cell r="B1126" t="str">
            <v>KPTCL</v>
          </cell>
          <cell r="C1126" t="str">
            <v>Financial Expenses</v>
          </cell>
          <cell r="E1126" t="str">
            <v>Dec</v>
          </cell>
          <cell r="F1126">
            <v>374</v>
          </cell>
        </row>
        <row r="1127">
          <cell r="A1127" t="str">
            <v>Power</v>
          </cell>
          <cell r="B1127" t="str">
            <v>KPTCL</v>
          </cell>
          <cell r="C1127" t="str">
            <v>Depreciation</v>
          </cell>
          <cell r="E1127" t="str">
            <v>Dec</v>
          </cell>
          <cell r="F1127">
            <v>0</v>
          </cell>
        </row>
        <row r="1128">
          <cell r="A1128" t="str">
            <v>Power</v>
          </cell>
          <cell r="B1128" t="str">
            <v>KPTCL</v>
          </cell>
          <cell r="C1128" t="str">
            <v>Interest</v>
          </cell>
          <cell r="E1128" t="str">
            <v>Dec</v>
          </cell>
          <cell r="F1128">
            <v>34</v>
          </cell>
        </row>
        <row r="1129">
          <cell r="A1129" t="str">
            <v>Power</v>
          </cell>
          <cell r="B1129" t="str">
            <v>KPTCL</v>
          </cell>
          <cell r="C1129" t="str">
            <v>Other Income</v>
          </cell>
          <cell r="E1129" t="str">
            <v>Dec</v>
          </cell>
          <cell r="F1129">
            <v>442</v>
          </cell>
        </row>
        <row r="1130">
          <cell r="A1130" t="str">
            <v>Power</v>
          </cell>
          <cell r="B1130" t="str">
            <v>KPTCL</v>
          </cell>
          <cell r="C1130" t="str">
            <v>Administrative Expenses</v>
          </cell>
          <cell r="E1130" t="str">
            <v>Jan</v>
          </cell>
          <cell r="F1130">
            <v>0</v>
          </cell>
        </row>
        <row r="1131">
          <cell r="A1131" t="str">
            <v>Power</v>
          </cell>
          <cell r="B1131" t="str">
            <v>KPTCL</v>
          </cell>
          <cell r="C1131" t="str">
            <v>Business Development</v>
          </cell>
          <cell r="E1131" t="str">
            <v>Jan</v>
          </cell>
          <cell r="F1131">
            <v>0</v>
          </cell>
        </row>
        <row r="1132">
          <cell r="A1132" t="str">
            <v>Power</v>
          </cell>
          <cell r="B1132" t="str">
            <v>KPTCL</v>
          </cell>
          <cell r="C1132" t="str">
            <v>Communication Expenses</v>
          </cell>
          <cell r="E1132" t="str">
            <v>Jan</v>
          </cell>
          <cell r="F1132">
            <v>0</v>
          </cell>
        </row>
        <row r="1133">
          <cell r="A1133" t="str">
            <v>Power</v>
          </cell>
          <cell r="B1133" t="str">
            <v>KPTCL</v>
          </cell>
          <cell r="C1133" t="str">
            <v>Travel Expenses</v>
          </cell>
          <cell r="E1133" t="str">
            <v>Jan</v>
          </cell>
          <cell r="F1133">
            <v>0</v>
          </cell>
        </row>
        <row r="1134">
          <cell r="A1134" t="str">
            <v>Power</v>
          </cell>
          <cell r="B1134" t="str">
            <v>KPTCL</v>
          </cell>
          <cell r="C1134" t="str">
            <v>Financial Expenses</v>
          </cell>
          <cell r="E1134" t="str">
            <v>Jan</v>
          </cell>
          <cell r="F1134">
            <v>0</v>
          </cell>
        </row>
        <row r="1135">
          <cell r="A1135" t="str">
            <v>Power</v>
          </cell>
          <cell r="B1135" t="str">
            <v>KPTCL</v>
          </cell>
          <cell r="C1135" t="str">
            <v>Depreciation</v>
          </cell>
          <cell r="E1135" t="str">
            <v>Jan</v>
          </cell>
          <cell r="F1135">
            <v>0</v>
          </cell>
        </row>
        <row r="1136">
          <cell r="A1136" t="str">
            <v>Power</v>
          </cell>
          <cell r="B1136" t="str">
            <v>KPTCL</v>
          </cell>
          <cell r="C1136" t="str">
            <v>Interest</v>
          </cell>
          <cell r="E1136" t="str">
            <v>Jan</v>
          </cell>
          <cell r="F1136">
            <v>0</v>
          </cell>
        </row>
        <row r="1137">
          <cell r="A1137" t="str">
            <v>Power</v>
          </cell>
          <cell r="B1137" t="str">
            <v>KPTCL</v>
          </cell>
          <cell r="C1137" t="str">
            <v>Other Income</v>
          </cell>
          <cell r="E1137" t="str">
            <v>Jan</v>
          </cell>
          <cell r="F1137">
            <v>0</v>
          </cell>
        </row>
        <row r="1138">
          <cell r="A1138" t="str">
            <v>Power</v>
          </cell>
          <cell r="B1138" t="str">
            <v>KPTCL</v>
          </cell>
          <cell r="C1138" t="str">
            <v>Administrative Expenses</v>
          </cell>
          <cell r="E1138" t="str">
            <v>Feb</v>
          </cell>
          <cell r="F1138">
            <v>3706</v>
          </cell>
        </row>
        <row r="1139">
          <cell r="A1139" t="str">
            <v>Power</v>
          </cell>
          <cell r="B1139" t="str">
            <v>KPTCL</v>
          </cell>
          <cell r="C1139" t="str">
            <v>Business Development</v>
          </cell>
          <cell r="E1139" t="str">
            <v>Feb</v>
          </cell>
          <cell r="F1139">
            <v>272</v>
          </cell>
        </row>
        <row r="1140">
          <cell r="A1140" t="str">
            <v>Power</v>
          </cell>
          <cell r="B1140" t="str">
            <v>KPTCL</v>
          </cell>
          <cell r="C1140" t="str">
            <v>Communication Expenses</v>
          </cell>
          <cell r="E1140" t="str">
            <v>Feb</v>
          </cell>
          <cell r="F1140">
            <v>4658</v>
          </cell>
        </row>
        <row r="1141">
          <cell r="A1141" t="str">
            <v>Power</v>
          </cell>
          <cell r="B1141" t="str">
            <v>KPTCL</v>
          </cell>
          <cell r="C1141" t="str">
            <v>Travel Expenses</v>
          </cell>
          <cell r="E1141" t="str">
            <v>Feb</v>
          </cell>
          <cell r="F1141">
            <v>544</v>
          </cell>
        </row>
        <row r="1142">
          <cell r="A1142" t="str">
            <v>Power</v>
          </cell>
          <cell r="B1142" t="str">
            <v>KPTCL</v>
          </cell>
          <cell r="C1142" t="str">
            <v>Financial Expenses</v>
          </cell>
          <cell r="E1142" t="str">
            <v>Feb</v>
          </cell>
          <cell r="F1142">
            <v>374</v>
          </cell>
        </row>
        <row r="1143">
          <cell r="A1143" t="str">
            <v>Power</v>
          </cell>
          <cell r="B1143" t="str">
            <v>KPTCL</v>
          </cell>
          <cell r="C1143" t="str">
            <v>Depreciation</v>
          </cell>
          <cell r="E1143" t="str">
            <v>Feb</v>
          </cell>
          <cell r="F1143">
            <v>0</v>
          </cell>
        </row>
        <row r="1144">
          <cell r="A1144" t="str">
            <v>Power</v>
          </cell>
          <cell r="B1144" t="str">
            <v>KPTCL</v>
          </cell>
          <cell r="C1144" t="str">
            <v>Interest</v>
          </cell>
          <cell r="E1144" t="str">
            <v>Feb</v>
          </cell>
          <cell r="F1144">
            <v>34</v>
          </cell>
        </row>
        <row r="1145">
          <cell r="A1145" t="str">
            <v>Power</v>
          </cell>
          <cell r="B1145" t="str">
            <v>KPTCL</v>
          </cell>
          <cell r="C1145" t="str">
            <v>Other Income</v>
          </cell>
          <cell r="E1145" t="str">
            <v>Feb</v>
          </cell>
          <cell r="F1145">
            <v>442</v>
          </cell>
        </row>
        <row r="1146">
          <cell r="A1146" t="str">
            <v>Power</v>
          </cell>
          <cell r="B1146" t="str">
            <v>KPTCL</v>
          </cell>
          <cell r="C1146" t="str">
            <v>Administrative Expenses</v>
          </cell>
          <cell r="E1146" t="str">
            <v>Mar</v>
          </cell>
          <cell r="F1146">
            <v>3706</v>
          </cell>
        </row>
        <row r="1147">
          <cell r="A1147" t="str">
            <v>Power</v>
          </cell>
          <cell r="B1147" t="str">
            <v>KPTCL</v>
          </cell>
          <cell r="C1147" t="str">
            <v>Business Development</v>
          </cell>
          <cell r="E1147" t="str">
            <v>Mar</v>
          </cell>
          <cell r="F1147">
            <v>272</v>
          </cell>
        </row>
        <row r="1148">
          <cell r="A1148" t="str">
            <v>Power</v>
          </cell>
          <cell r="B1148" t="str">
            <v>KPTCL</v>
          </cell>
          <cell r="C1148" t="str">
            <v>Communication Expenses</v>
          </cell>
          <cell r="E1148" t="str">
            <v>Mar</v>
          </cell>
          <cell r="F1148">
            <v>4658</v>
          </cell>
        </row>
        <row r="1149">
          <cell r="A1149" t="str">
            <v>Power</v>
          </cell>
          <cell r="B1149" t="str">
            <v>KPTCL</v>
          </cell>
          <cell r="C1149" t="str">
            <v>Travel Expenses</v>
          </cell>
          <cell r="E1149" t="str">
            <v>Mar</v>
          </cell>
          <cell r="F1149">
            <v>544</v>
          </cell>
        </row>
        <row r="1150">
          <cell r="A1150" t="str">
            <v>Power</v>
          </cell>
          <cell r="B1150" t="str">
            <v>KPTCL</v>
          </cell>
          <cell r="C1150" t="str">
            <v>Financial Expenses</v>
          </cell>
          <cell r="E1150" t="str">
            <v>Mar</v>
          </cell>
          <cell r="F1150">
            <v>374</v>
          </cell>
        </row>
        <row r="1151">
          <cell r="A1151" t="str">
            <v>Power</v>
          </cell>
          <cell r="B1151" t="str">
            <v>KPTCL</v>
          </cell>
          <cell r="C1151" t="str">
            <v>Depreciation</v>
          </cell>
          <cell r="E1151" t="str">
            <v>Mar</v>
          </cell>
          <cell r="F1151">
            <v>0</v>
          </cell>
        </row>
        <row r="1152">
          <cell r="A1152" t="str">
            <v>Power</v>
          </cell>
          <cell r="B1152" t="str">
            <v>KPTCL</v>
          </cell>
          <cell r="C1152" t="str">
            <v>Interest</v>
          </cell>
          <cell r="E1152" t="str">
            <v>Mar</v>
          </cell>
          <cell r="F1152">
            <v>34</v>
          </cell>
        </row>
        <row r="1153">
          <cell r="A1153" t="str">
            <v>Power</v>
          </cell>
          <cell r="B1153" t="str">
            <v>KPTCL</v>
          </cell>
          <cell r="C1153" t="str">
            <v>Other Income</v>
          </cell>
          <cell r="E1153" t="str">
            <v>Mar</v>
          </cell>
          <cell r="F1153">
            <v>442</v>
          </cell>
        </row>
      </sheetData>
      <sheetData sheetId="16">
        <row r="2">
          <cell r="A2" t="str">
            <v>Road</v>
          </cell>
          <cell r="B2" t="str">
            <v>AS17</v>
          </cell>
          <cell r="Q2">
            <v>7520082</v>
          </cell>
        </row>
        <row r="3">
          <cell r="A3" t="str">
            <v>Road</v>
          </cell>
          <cell r="B3" t="str">
            <v>AS17</v>
          </cell>
          <cell r="Q3">
            <v>5400118.9500000002</v>
          </cell>
        </row>
        <row r="4">
          <cell r="A4" t="str">
            <v>Road</v>
          </cell>
          <cell r="B4" t="str">
            <v>AS17</v>
          </cell>
          <cell r="Q4">
            <v>1098502</v>
          </cell>
        </row>
        <row r="5">
          <cell r="A5" t="str">
            <v>Road</v>
          </cell>
          <cell r="B5" t="str">
            <v>AS17</v>
          </cell>
          <cell r="Q5">
            <v>831674</v>
          </cell>
        </row>
        <row r="6">
          <cell r="A6" t="str">
            <v>Road</v>
          </cell>
          <cell r="B6" t="str">
            <v>AS17</v>
          </cell>
          <cell r="Q6">
            <v>1127956</v>
          </cell>
        </row>
        <row r="7">
          <cell r="A7" t="str">
            <v>Road</v>
          </cell>
          <cell r="B7" t="str">
            <v>AS17</v>
          </cell>
          <cell r="Q7">
            <v>1279206</v>
          </cell>
        </row>
        <row r="8">
          <cell r="A8" t="str">
            <v>Road</v>
          </cell>
          <cell r="B8" t="str">
            <v>AS17</v>
          </cell>
          <cell r="Q8">
            <v>7700830</v>
          </cell>
        </row>
        <row r="9">
          <cell r="A9" t="str">
            <v>Road</v>
          </cell>
          <cell r="B9" t="str">
            <v>AS17</v>
          </cell>
          <cell r="Q9">
            <v>1693454</v>
          </cell>
        </row>
        <row r="10">
          <cell r="A10" t="str">
            <v>Road</v>
          </cell>
          <cell r="B10" t="str">
            <v>AS17</v>
          </cell>
          <cell r="Q10">
            <v>641750</v>
          </cell>
        </row>
        <row r="11">
          <cell r="A11" t="str">
            <v>Road</v>
          </cell>
          <cell r="B11" t="str">
            <v>AS17</v>
          </cell>
          <cell r="Q11">
            <v>641750</v>
          </cell>
        </row>
        <row r="12">
          <cell r="A12" t="str">
            <v>Road</v>
          </cell>
          <cell r="B12" t="str">
            <v>AS17</v>
          </cell>
          <cell r="Q12">
            <v>2840411</v>
          </cell>
        </row>
        <row r="13">
          <cell r="A13" t="str">
            <v>Road</v>
          </cell>
          <cell r="B13" t="str">
            <v>AS17</v>
          </cell>
          <cell r="Q13">
            <v>1500878</v>
          </cell>
        </row>
        <row r="14">
          <cell r="A14" t="str">
            <v>Road</v>
          </cell>
          <cell r="B14" t="str">
            <v>AS17</v>
          </cell>
          <cell r="Q14">
            <v>407926</v>
          </cell>
        </row>
        <row r="15">
          <cell r="A15" t="str">
            <v>Road</v>
          </cell>
          <cell r="B15" t="str">
            <v>AS17</v>
          </cell>
          <cell r="Q15">
            <v>166345</v>
          </cell>
        </row>
        <row r="16">
          <cell r="A16" t="str">
            <v>Road</v>
          </cell>
          <cell r="B16" t="str">
            <v>AS17</v>
          </cell>
          <cell r="Q16">
            <v>166345</v>
          </cell>
        </row>
        <row r="17">
          <cell r="A17" t="str">
            <v>Road</v>
          </cell>
          <cell r="B17" t="str">
            <v>AS17</v>
          </cell>
          <cell r="Q17">
            <v>1035971.5</v>
          </cell>
        </row>
        <row r="18">
          <cell r="A18" t="str">
            <v>Road</v>
          </cell>
          <cell r="B18" t="str">
            <v>AS17</v>
          </cell>
          <cell r="Q18">
            <v>1035971.5</v>
          </cell>
        </row>
        <row r="19">
          <cell r="A19" t="str">
            <v>Road</v>
          </cell>
          <cell r="B19" t="str">
            <v>AS17</v>
          </cell>
          <cell r="Q19">
            <v>2078577.6</v>
          </cell>
        </row>
        <row r="20">
          <cell r="A20" t="str">
            <v>Road</v>
          </cell>
          <cell r="B20" t="str">
            <v>AS17</v>
          </cell>
          <cell r="Q20">
            <v>47380</v>
          </cell>
        </row>
        <row r="21">
          <cell r="A21" t="str">
            <v>Road</v>
          </cell>
          <cell r="B21" t="str">
            <v>AS17</v>
          </cell>
          <cell r="Q21">
            <v>647400</v>
          </cell>
        </row>
        <row r="22">
          <cell r="A22" t="str">
            <v>Road</v>
          </cell>
          <cell r="B22" t="str">
            <v>AS17</v>
          </cell>
          <cell r="Q22">
            <v>647400</v>
          </cell>
        </row>
        <row r="23">
          <cell r="A23" t="str">
            <v>Road</v>
          </cell>
          <cell r="B23" t="str">
            <v>AS17</v>
          </cell>
          <cell r="Q23">
            <v>436250</v>
          </cell>
        </row>
        <row r="24">
          <cell r="A24" t="str">
            <v>Road</v>
          </cell>
          <cell r="B24" t="str">
            <v>AS17</v>
          </cell>
          <cell r="Q24">
            <v>436250</v>
          </cell>
        </row>
        <row r="25">
          <cell r="A25" t="str">
            <v>Road</v>
          </cell>
          <cell r="B25" t="str">
            <v>AS17</v>
          </cell>
          <cell r="Q25">
            <v>1375721</v>
          </cell>
        </row>
        <row r="26">
          <cell r="A26" t="str">
            <v>Road</v>
          </cell>
          <cell r="B26" t="str">
            <v>AS17</v>
          </cell>
          <cell r="Q26">
            <v>62396511.020000003</v>
          </cell>
        </row>
        <row r="27">
          <cell r="A27" t="str">
            <v>Road</v>
          </cell>
          <cell r="B27" t="str">
            <v>AS17</v>
          </cell>
          <cell r="Q27">
            <v>104000</v>
          </cell>
        </row>
        <row r="28">
          <cell r="A28" t="str">
            <v>Road</v>
          </cell>
          <cell r="B28" t="str">
            <v>AS17</v>
          </cell>
          <cell r="Q28">
            <v>7462273</v>
          </cell>
        </row>
        <row r="29">
          <cell r="A29" t="str">
            <v>Road</v>
          </cell>
          <cell r="B29" t="str">
            <v>AS17</v>
          </cell>
          <cell r="Q29">
            <v>1810421</v>
          </cell>
        </row>
        <row r="30">
          <cell r="A30" t="str">
            <v>Road</v>
          </cell>
          <cell r="B30" t="str">
            <v>AS17</v>
          </cell>
          <cell r="Q30">
            <v>1810421</v>
          </cell>
        </row>
        <row r="31">
          <cell r="A31" t="str">
            <v>Road</v>
          </cell>
          <cell r="B31" t="str">
            <v>AS17</v>
          </cell>
          <cell r="Q31">
            <v>1810421</v>
          </cell>
        </row>
        <row r="32">
          <cell r="A32" t="str">
            <v>Road</v>
          </cell>
          <cell r="B32" t="str">
            <v>AS17</v>
          </cell>
          <cell r="Q32">
            <v>1810421</v>
          </cell>
        </row>
        <row r="33">
          <cell r="A33" t="str">
            <v>Road</v>
          </cell>
          <cell r="B33" t="str">
            <v>AS17</v>
          </cell>
          <cell r="Q33">
            <v>1810421</v>
          </cell>
        </row>
        <row r="34">
          <cell r="A34" t="str">
            <v>Road</v>
          </cell>
          <cell r="B34" t="str">
            <v>AS17</v>
          </cell>
          <cell r="Q34">
            <v>1810421</v>
          </cell>
        </row>
        <row r="35">
          <cell r="A35" t="str">
            <v>Road</v>
          </cell>
          <cell r="B35" t="str">
            <v>AS17</v>
          </cell>
          <cell r="Q35">
            <v>1423871</v>
          </cell>
        </row>
        <row r="36">
          <cell r="A36" t="str">
            <v>Road</v>
          </cell>
          <cell r="B36" t="str">
            <v>AS17</v>
          </cell>
          <cell r="Q36">
            <v>1423871</v>
          </cell>
        </row>
        <row r="37">
          <cell r="A37" t="str">
            <v>Road</v>
          </cell>
          <cell r="B37" t="str">
            <v>AS17</v>
          </cell>
          <cell r="Q37">
            <v>3670209.25</v>
          </cell>
        </row>
        <row r="38">
          <cell r="A38" t="str">
            <v>Road</v>
          </cell>
          <cell r="B38" t="str">
            <v>AS17</v>
          </cell>
          <cell r="Q38">
            <v>1785617</v>
          </cell>
        </row>
        <row r="39">
          <cell r="A39" t="str">
            <v>Road</v>
          </cell>
          <cell r="B39" t="str">
            <v>AS17</v>
          </cell>
          <cell r="Q39">
            <v>1785617</v>
          </cell>
        </row>
        <row r="40">
          <cell r="A40" t="str">
            <v>Road</v>
          </cell>
          <cell r="B40" t="str">
            <v>AS17</v>
          </cell>
          <cell r="Q40">
            <v>1785617</v>
          </cell>
        </row>
        <row r="41">
          <cell r="A41" t="str">
            <v>Road</v>
          </cell>
          <cell r="B41" t="str">
            <v>AS17</v>
          </cell>
          <cell r="Q41">
            <v>1785617</v>
          </cell>
        </row>
        <row r="42">
          <cell r="A42" t="str">
            <v>Road</v>
          </cell>
          <cell r="B42" t="str">
            <v>AS17</v>
          </cell>
          <cell r="Q42">
            <v>1785617</v>
          </cell>
        </row>
        <row r="43">
          <cell r="A43" t="str">
            <v>Road</v>
          </cell>
          <cell r="B43" t="str">
            <v>AS17</v>
          </cell>
          <cell r="Q43">
            <v>1785617</v>
          </cell>
        </row>
        <row r="44">
          <cell r="A44" t="str">
            <v>Road</v>
          </cell>
          <cell r="B44" t="str">
            <v>AS17</v>
          </cell>
          <cell r="Q44">
            <v>1785617</v>
          </cell>
        </row>
        <row r="45">
          <cell r="A45" t="str">
            <v>Road</v>
          </cell>
          <cell r="B45" t="str">
            <v>AS17</v>
          </cell>
          <cell r="Q45">
            <v>1785617</v>
          </cell>
        </row>
        <row r="46">
          <cell r="A46" t="str">
            <v>Road</v>
          </cell>
          <cell r="B46" t="str">
            <v>AS17</v>
          </cell>
          <cell r="Q46">
            <v>1785617</v>
          </cell>
        </row>
        <row r="47">
          <cell r="A47" t="str">
            <v>Road</v>
          </cell>
          <cell r="B47" t="str">
            <v>AS17</v>
          </cell>
          <cell r="Q47">
            <v>162333.15</v>
          </cell>
        </row>
        <row r="48">
          <cell r="A48" t="str">
            <v>Road</v>
          </cell>
          <cell r="B48" t="str">
            <v>AS17</v>
          </cell>
          <cell r="Q48">
            <v>164712</v>
          </cell>
        </row>
        <row r="49">
          <cell r="A49" t="str">
            <v>Road</v>
          </cell>
          <cell r="B49" t="str">
            <v>AS17</v>
          </cell>
          <cell r="Q49">
            <v>4732984.4000000004</v>
          </cell>
        </row>
        <row r="50">
          <cell r="A50" t="str">
            <v>Road</v>
          </cell>
          <cell r="B50" t="str">
            <v>AS17</v>
          </cell>
          <cell r="Q50">
            <v>4732984.4000000004</v>
          </cell>
        </row>
        <row r="51">
          <cell r="A51" t="str">
            <v>Road</v>
          </cell>
          <cell r="B51" t="str">
            <v>AS17</v>
          </cell>
          <cell r="Q51">
            <v>1768118</v>
          </cell>
        </row>
        <row r="52">
          <cell r="A52" t="str">
            <v>Road</v>
          </cell>
          <cell r="B52" t="str">
            <v>AS17</v>
          </cell>
          <cell r="Q52">
            <v>1768118</v>
          </cell>
        </row>
        <row r="53">
          <cell r="A53" t="str">
            <v>Road</v>
          </cell>
          <cell r="B53" t="str">
            <v>AS17</v>
          </cell>
          <cell r="Q53">
            <v>1768118</v>
          </cell>
        </row>
        <row r="54">
          <cell r="A54" t="str">
            <v>Road</v>
          </cell>
          <cell r="B54" t="str">
            <v>AS17</v>
          </cell>
          <cell r="Q54">
            <v>1768118</v>
          </cell>
        </row>
        <row r="55">
          <cell r="A55" t="str">
            <v>Road</v>
          </cell>
          <cell r="B55" t="str">
            <v>AS17</v>
          </cell>
          <cell r="Q55">
            <v>1768118</v>
          </cell>
        </row>
        <row r="56">
          <cell r="A56" t="str">
            <v>Road</v>
          </cell>
          <cell r="B56" t="str">
            <v>AS17</v>
          </cell>
          <cell r="Q56">
            <v>1768118</v>
          </cell>
        </row>
        <row r="57">
          <cell r="A57" t="str">
            <v>Road</v>
          </cell>
          <cell r="B57" t="str">
            <v>AS17</v>
          </cell>
          <cell r="Q57">
            <v>1768118</v>
          </cell>
        </row>
        <row r="58">
          <cell r="A58" t="str">
            <v>Road</v>
          </cell>
          <cell r="B58" t="str">
            <v>AS17</v>
          </cell>
          <cell r="Q58">
            <v>1768118</v>
          </cell>
        </row>
        <row r="59">
          <cell r="A59" t="str">
            <v>Road</v>
          </cell>
          <cell r="B59" t="str">
            <v>AS17</v>
          </cell>
          <cell r="Q59">
            <v>1537151</v>
          </cell>
        </row>
        <row r="60">
          <cell r="A60" t="str">
            <v>Road</v>
          </cell>
          <cell r="B60" t="str">
            <v>AS17</v>
          </cell>
          <cell r="Q60">
            <v>1768118</v>
          </cell>
        </row>
        <row r="61">
          <cell r="A61" t="str">
            <v>Road</v>
          </cell>
          <cell r="B61" t="str">
            <v>AS17</v>
          </cell>
          <cell r="Q61">
            <v>1287712</v>
          </cell>
        </row>
        <row r="62">
          <cell r="A62" t="str">
            <v>Road</v>
          </cell>
          <cell r="B62" t="str">
            <v>AS17</v>
          </cell>
          <cell r="Q62">
            <v>2123547</v>
          </cell>
        </row>
        <row r="63">
          <cell r="A63" t="str">
            <v>Road</v>
          </cell>
          <cell r="B63" t="str">
            <v>AS17</v>
          </cell>
          <cell r="Q63">
            <v>13757511</v>
          </cell>
        </row>
        <row r="64">
          <cell r="A64" t="str">
            <v>Road</v>
          </cell>
          <cell r="B64" t="str">
            <v>AS17</v>
          </cell>
          <cell r="Q64">
            <v>1187566</v>
          </cell>
        </row>
        <row r="65">
          <cell r="A65" t="str">
            <v>Road</v>
          </cell>
          <cell r="B65" t="str">
            <v>AS17</v>
          </cell>
          <cell r="Q65">
            <v>2494479</v>
          </cell>
        </row>
        <row r="66">
          <cell r="A66" t="str">
            <v>Road</v>
          </cell>
          <cell r="B66" t="str">
            <v>AS17</v>
          </cell>
          <cell r="Q66">
            <v>726224</v>
          </cell>
        </row>
        <row r="67">
          <cell r="A67" t="str">
            <v>Road</v>
          </cell>
          <cell r="B67" t="str">
            <v>AS17</v>
          </cell>
          <cell r="Q67">
            <v>726224</v>
          </cell>
        </row>
        <row r="68">
          <cell r="A68" t="str">
            <v>Road</v>
          </cell>
          <cell r="B68" t="str">
            <v>AS17</v>
          </cell>
          <cell r="Q68">
            <v>2748899.6</v>
          </cell>
        </row>
        <row r="69">
          <cell r="A69" t="str">
            <v>Road</v>
          </cell>
          <cell r="B69" t="str">
            <v>AS17</v>
          </cell>
          <cell r="Q69">
            <v>1164914</v>
          </cell>
        </row>
        <row r="70">
          <cell r="A70" t="str">
            <v>Road</v>
          </cell>
          <cell r="B70" t="str">
            <v>AS17</v>
          </cell>
          <cell r="Q70">
            <v>1164914</v>
          </cell>
        </row>
        <row r="71">
          <cell r="A71" t="str">
            <v>Road</v>
          </cell>
          <cell r="B71" t="str">
            <v>AS17</v>
          </cell>
          <cell r="Q71">
            <v>1164914</v>
          </cell>
        </row>
        <row r="72">
          <cell r="A72" t="str">
            <v>Road</v>
          </cell>
          <cell r="B72" t="str">
            <v>AS17</v>
          </cell>
          <cell r="Q72">
            <v>1164914</v>
          </cell>
        </row>
        <row r="73">
          <cell r="A73" t="str">
            <v>Road</v>
          </cell>
          <cell r="B73" t="str">
            <v>AS17</v>
          </cell>
          <cell r="Q73">
            <v>1164914</v>
          </cell>
        </row>
        <row r="74">
          <cell r="A74" t="str">
            <v>Road</v>
          </cell>
          <cell r="B74" t="str">
            <v>AS17</v>
          </cell>
          <cell r="Q74">
            <v>642948</v>
          </cell>
        </row>
        <row r="75">
          <cell r="A75" t="str">
            <v>Road</v>
          </cell>
          <cell r="B75" t="str">
            <v>AS17</v>
          </cell>
          <cell r="Q75">
            <v>720697</v>
          </cell>
        </row>
        <row r="76">
          <cell r="A76" t="str">
            <v>Road</v>
          </cell>
          <cell r="B76" t="str">
            <v>AS17</v>
          </cell>
          <cell r="Q76">
            <v>785676</v>
          </cell>
        </row>
        <row r="77">
          <cell r="A77" t="str">
            <v>Road</v>
          </cell>
          <cell r="B77" t="str">
            <v>AS17</v>
          </cell>
          <cell r="Q77">
            <v>442493</v>
          </cell>
        </row>
        <row r="78">
          <cell r="A78" t="str">
            <v>Road</v>
          </cell>
          <cell r="B78" t="str">
            <v>AS17</v>
          </cell>
          <cell r="Q78">
            <v>715272.75</v>
          </cell>
        </row>
        <row r="79">
          <cell r="A79" t="str">
            <v>Road</v>
          </cell>
          <cell r="B79" t="str">
            <v>AS17</v>
          </cell>
          <cell r="Q79">
            <v>321382</v>
          </cell>
        </row>
        <row r="80">
          <cell r="A80" t="str">
            <v>Road</v>
          </cell>
          <cell r="B80" t="str">
            <v>AS17</v>
          </cell>
          <cell r="Q80">
            <v>321382</v>
          </cell>
        </row>
        <row r="81">
          <cell r="A81" t="str">
            <v>Road</v>
          </cell>
          <cell r="B81" t="str">
            <v>AS17</v>
          </cell>
          <cell r="Q81">
            <v>504600</v>
          </cell>
        </row>
        <row r="82">
          <cell r="A82" t="str">
            <v>Road</v>
          </cell>
          <cell r="B82" t="str">
            <v>AS17</v>
          </cell>
          <cell r="Q82">
            <v>1075473</v>
          </cell>
        </row>
        <row r="83">
          <cell r="A83" t="str">
            <v>Road</v>
          </cell>
          <cell r="B83" t="str">
            <v>AS17</v>
          </cell>
          <cell r="Q83">
            <v>50752</v>
          </cell>
        </row>
        <row r="84">
          <cell r="A84" t="str">
            <v>Road</v>
          </cell>
          <cell r="B84" t="str">
            <v>AS17</v>
          </cell>
          <cell r="Q84">
            <v>4992388.8900000006</v>
          </cell>
        </row>
        <row r="85">
          <cell r="A85" t="str">
            <v>Road</v>
          </cell>
          <cell r="B85" t="str">
            <v>AS17</v>
          </cell>
          <cell r="Q85">
            <v>5314044.5</v>
          </cell>
        </row>
        <row r="86">
          <cell r="A86" t="str">
            <v>Road</v>
          </cell>
          <cell r="B86" t="str">
            <v>AS17</v>
          </cell>
          <cell r="Q86">
            <v>398900</v>
          </cell>
        </row>
        <row r="87">
          <cell r="A87" t="str">
            <v>Road</v>
          </cell>
          <cell r="B87" t="str">
            <v>AS17</v>
          </cell>
          <cell r="Q87">
            <v>1583672</v>
          </cell>
        </row>
        <row r="88">
          <cell r="A88" t="str">
            <v>Road</v>
          </cell>
          <cell r="B88" t="str">
            <v>AS17</v>
          </cell>
          <cell r="Q88">
            <v>742200</v>
          </cell>
        </row>
        <row r="89">
          <cell r="A89" t="str">
            <v>Road</v>
          </cell>
          <cell r="B89" t="str">
            <v>AS17</v>
          </cell>
          <cell r="Q89">
            <v>12232181.800000001</v>
          </cell>
        </row>
        <row r="90">
          <cell r="A90" t="str">
            <v>Road</v>
          </cell>
          <cell r="B90" t="str">
            <v>AS17</v>
          </cell>
          <cell r="Q90">
            <v>2184709.92</v>
          </cell>
        </row>
        <row r="91">
          <cell r="A91" t="str">
            <v>Road</v>
          </cell>
          <cell r="B91" t="str">
            <v>AS17</v>
          </cell>
          <cell r="Q91">
            <v>5366175.5299999993</v>
          </cell>
        </row>
        <row r="92">
          <cell r="A92" t="str">
            <v>Road</v>
          </cell>
          <cell r="B92" t="str">
            <v>AS17</v>
          </cell>
          <cell r="Q92">
            <v>1294736</v>
          </cell>
        </row>
        <row r="93">
          <cell r="A93" t="str">
            <v>Road</v>
          </cell>
          <cell r="B93" t="str">
            <v>AS17</v>
          </cell>
          <cell r="Q93">
            <v>3130400</v>
          </cell>
        </row>
        <row r="94">
          <cell r="A94" t="str">
            <v>Road</v>
          </cell>
          <cell r="B94" t="str">
            <v>AS17</v>
          </cell>
          <cell r="Q94">
            <v>1668724</v>
          </cell>
        </row>
        <row r="95">
          <cell r="A95" t="str">
            <v>Road</v>
          </cell>
          <cell r="B95" t="str">
            <v>AS17</v>
          </cell>
          <cell r="Q95">
            <v>1668724</v>
          </cell>
        </row>
        <row r="96">
          <cell r="A96" t="str">
            <v>Road</v>
          </cell>
          <cell r="B96" t="str">
            <v>AS17</v>
          </cell>
          <cell r="Q96">
            <v>1668724</v>
          </cell>
        </row>
        <row r="97">
          <cell r="A97" t="str">
            <v>Road</v>
          </cell>
          <cell r="B97" t="str">
            <v>AS17</v>
          </cell>
          <cell r="Q97">
            <v>4368099.2</v>
          </cell>
        </row>
        <row r="98">
          <cell r="A98" t="str">
            <v>Road</v>
          </cell>
          <cell r="B98" t="str">
            <v>AS17</v>
          </cell>
          <cell r="Q98">
            <v>751800</v>
          </cell>
        </row>
        <row r="99">
          <cell r="A99" t="str">
            <v>Road</v>
          </cell>
          <cell r="B99" t="str">
            <v>AS17</v>
          </cell>
          <cell r="Q99">
            <v>4368099.2</v>
          </cell>
        </row>
        <row r="100">
          <cell r="A100" t="str">
            <v>Road</v>
          </cell>
          <cell r="B100" t="str">
            <v>AS17</v>
          </cell>
          <cell r="Q100">
            <v>1026033.48</v>
          </cell>
        </row>
        <row r="101">
          <cell r="A101" t="str">
            <v>Road</v>
          </cell>
          <cell r="B101" t="str">
            <v>AS17</v>
          </cell>
          <cell r="Q101">
            <v>1026033.48</v>
          </cell>
        </row>
        <row r="102">
          <cell r="A102" t="str">
            <v>Road</v>
          </cell>
          <cell r="B102" t="str">
            <v>AS17</v>
          </cell>
          <cell r="Q102">
            <v>1026033.48</v>
          </cell>
        </row>
        <row r="103">
          <cell r="A103" t="str">
            <v>Road</v>
          </cell>
          <cell r="B103" t="str">
            <v>AS17</v>
          </cell>
          <cell r="Q103">
            <v>1026033.48</v>
          </cell>
        </row>
        <row r="104">
          <cell r="A104" t="str">
            <v>Road</v>
          </cell>
          <cell r="B104" t="str">
            <v>AS17</v>
          </cell>
          <cell r="Q104">
            <v>1358453</v>
          </cell>
        </row>
        <row r="105">
          <cell r="A105" t="str">
            <v>Road</v>
          </cell>
          <cell r="B105" t="str">
            <v>AS17</v>
          </cell>
          <cell r="Q105">
            <v>1358453</v>
          </cell>
        </row>
        <row r="106">
          <cell r="A106" t="str">
            <v>Road</v>
          </cell>
          <cell r="B106" t="str">
            <v>AS17</v>
          </cell>
          <cell r="Q106">
            <v>1358453</v>
          </cell>
        </row>
        <row r="107">
          <cell r="A107" t="str">
            <v>Road</v>
          </cell>
          <cell r="B107" t="str">
            <v>AS17</v>
          </cell>
          <cell r="Q107">
            <v>1358453</v>
          </cell>
        </row>
        <row r="108">
          <cell r="A108" t="str">
            <v>Road</v>
          </cell>
          <cell r="B108" t="str">
            <v>AS17</v>
          </cell>
          <cell r="Q108">
            <v>398900</v>
          </cell>
        </row>
        <row r="109">
          <cell r="A109" t="str">
            <v>Road</v>
          </cell>
          <cell r="B109" t="str">
            <v>AS17</v>
          </cell>
          <cell r="Q109">
            <v>2008152.2</v>
          </cell>
        </row>
        <row r="110">
          <cell r="A110" t="str">
            <v>Road</v>
          </cell>
          <cell r="B110" t="str">
            <v>AS17</v>
          </cell>
          <cell r="Q110">
            <v>2150152.2000000002</v>
          </cell>
        </row>
        <row r="111">
          <cell r="A111" t="str">
            <v>Road</v>
          </cell>
          <cell r="B111" t="str">
            <v>AS17</v>
          </cell>
          <cell r="Q111">
            <v>47794526.539999999</v>
          </cell>
        </row>
        <row r="112">
          <cell r="A112" t="str">
            <v>Road</v>
          </cell>
          <cell r="B112" t="str">
            <v>AS17</v>
          </cell>
          <cell r="Q112">
            <v>1131496</v>
          </cell>
        </row>
        <row r="113">
          <cell r="A113" t="str">
            <v>Road</v>
          </cell>
          <cell r="B113" t="str">
            <v>AS17</v>
          </cell>
          <cell r="Q113">
            <v>1131496</v>
          </cell>
        </row>
        <row r="114">
          <cell r="A114" t="str">
            <v>Road</v>
          </cell>
          <cell r="B114" t="str">
            <v>AS17</v>
          </cell>
          <cell r="Q114">
            <v>1131496</v>
          </cell>
        </row>
        <row r="115">
          <cell r="A115" t="str">
            <v>Road</v>
          </cell>
          <cell r="B115" t="str">
            <v>AS17</v>
          </cell>
          <cell r="Q115">
            <v>1660941</v>
          </cell>
        </row>
        <row r="116">
          <cell r="A116" t="str">
            <v>Road</v>
          </cell>
          <cell r="B116" t="str">
            <v>AS17</v>
          </cell>
          <cell r="Q116">
            <v>1660941</v>
          </cell>
        </row>
        <row r="117">
          <cell r="A117" t="str">
            <v>Road</v>
          </cell>
          <cell r="B117" t="str">
            <v>AS17</v>
          </cell>
          <cell r="Q117">
            <v>1660941</v>
          </cell>
        </row>
        <row r="118">
          <cell r="A118" t="str">
            <v>Road</v>
          </cell>
          <cell r="B118" t="str">
            <v>AS17</v>
          </cell>
          <cell r="Q118">
            <v>1289600</v>
          </cell>
        </row>
        <row r="119">
          <cell r="A119" t="str">
            <v>Road</v>
          </cell>
          <cell r="B119" t="str">
            <v>AS17</v>
          </cell>
          <cell r="Q119">
            <v>271118</v>
          </cell>
        </row>
        <row r="120">
          <cell r="A120" t="str">
            <v>Road</v>
          </cell>
          <cell r="B120" t="str">
            <v>AS17</v>
          </cell>
          <cell r="Q120">
            <v>3154310</v>
          </cell>
        </row>
        <row r="121">
          <cell r="A121" t="str">
            <v>Road</v>
          </cell>
          <cell r="B121" t="str">
            <v>AS17</v>
          </cell>
          <cell r="Q121">
            <v>5634733.4000000004</v>
          </cell>
        </row>
        <row r="122">
          <cell r="A122" t="str">
            <v>Road</v>
          </cell>
          <cell r="B122" t="str">
            <v>AS17</v>
          </cell>
          <cell r="Q122">
            <v>74250</v>
          </cell>
        </row>
        <row r="123">
          <cell r="A123" t="str">
            <v>Road</v>
          </cell>
          <cell r="B123" t="str">
            <v>AS17</v>
          </cell>
          <cell r="Q123">
            <v>74249</v>
          </cell>
        </row>
        <row r="124">
          <cell r="A124" t="str">
            <v>Road</v>
          </cell>
          <cell r="B124" t="str">
            <v>AS17</v>
          </cell>
          <cell r="Q124">
            <v>74250</v>
          </cell>
        </row>
        <row r="125">
          <cell r="A125" t="str">
            <v>Road</v>
          </cell>
          <cell r="B125" t="str">
            <v>AS17</v>
          </cell>
          <cell r="Q125">
            <v>4430415.8</v>
          </cell>
        </row>
        <row r="126">
          <cell r="A126" t="str">
            <v>Road</v>
          </cell>
          <cell r="B126" t="str">
            <v>AS17</v>
          </cell>
          <cell r="Q126">
            <v>1239106.6000000001</v>
          </cell>
        </row>
        <row r="127">
          <cell r="A127" t="str">
            <v>Road</v>
          </cell>
          <cell r="B127" t="str">
            <v>AS17</v>
          </cell>
          <cell r="Q127">
            <v>491600</v>
          </cell>
        </row>
        <row r="128">
          <cell r="A128" t="str">
            <v>Road</v>
          </cell>
          <cell r="B128" t="str">
            <v>AS17</v>
          </cell>
          <cell r="Q128">
            <v>2166944.2000000002</v>
          </cell>
        </row>
        <row r="129">
          <cell r="A129" t="str">
            <v>Road</v>
          </cell>
          <cell r="B129" t="str">
            <v>AS17</v>
          </cell>
          <cell r="Q129">
            <v>300000</v>
          </cell>
        </row>
        <row r="130">
          <cell r="A130" t="str">
            <v>Road</v>
          </cell>
          <cell r="B130" t="str">
            <v>AS17</v>
          </cell>
          <cell r="Q130">
            <v>510000</v>
          </cell>
        </row>
        <row r="131">
          <cell r="A131" t="str">
            <v>Road</v>
          </cell>
          <cell r="B131" t="str">
            <v>AS17</v>
          </cell>
          <cell r="Q131">
            <v>674016</v>
          </cell>
        </row>
        <row r="132">
          <cell r="A132" t="str">
            <v>Road</v>
          </cell>
          <cell r="B132" t="str">
            <v>AS17</v>
          </cell>
          <cell r="Q132">
            <v>3136640</v>
          </cell>
        </row>
        <row r="133">
          <cell r="A133" t="str">
            <v>Road</v>
          </cell>
          <cell r="B133" t="str">
            <v>AS17</v>
          </cell>
          <cell r="Q133">
            <v>21186</v>
          </cell>
        </row>
        <row r="134">
          <cell r="A134" t="str">
            <v>Road</v>
          </cell>
          <cell r="B134" t="str">
            <v>AS17</v>
          </cell>
          <cell r="Q134">
            <v>21186</v>
          </cell>
        </row>
        <row r="135">
          <cell r="A135" t="str">
            <v>Road</v>
          </cell>
          <cell r="B135" t="str">
            <v>AS17</v>
          </cell>
          <cell r="Q135">
            <v>21186</v>
          </cell>
        </row>
        <row r="136">
          <cell r="A136" t="str">
            <v>Road</v>
          </cell>
          <cell r="B136" t="str">
            <v>AS17</v>
          </cell>
          <cell r="Q136">
            <v>21186.25</v>
          </cell>
        </row>
        <row r="137">
          <cell r="A137" t="str">
            <v>Road</v>
          </cell>
          <cell r="B137" t="str">
            <v>AS17</v>
          </cell>
          <cell r="Q137">
            <v>17438</v>
          </cell>
        </row>
        <row r="138">
          <cell r="A138" t="str">
            <v>Road</v>
          </cell>
          <cell r="B138" t="str">
            <v>AS17</v>
          </cell>
          <cell r="Q138">
            <v>19900</v>
          </cell>
        </row>
        <row r="139">
          <cell r="A139" t="str">
            <v>Road</v>
          </cell>
          <cell r="B139" t="str">
            <v>AS17</v>
          </cell>
          <cell r="Q139">
            <v>17800</v>
          </cell>
        </row>
        <row r="140">
          <cell r="A140" t="str">
            <v>Road</v>
          </cell>
          <cell r="B140" t="str">
            <v>AS17</v>
          </cell>
          <cell r="Q140">
            <v>17800</v>
          </cell>
        </row>
        <row r="141">
          <cell r="A141" t="str">
            <v>Road</v>
          </cell>
          <cell r="B141" t="str">
            <v>AS17</v>
          </cell>
          <cell r="Q141">
            <v>22380</v>
          </cell>
        </row>
        <row r="142">
          <cell r="A142" t="str">
            <v>Road</v>
          </cell>
          <cell r="B142" t="str">
            <v>AS17</v>
          </cell>
          <cell r="Q142">
            <v>6738</v>
          </cell>
        </row>
        <row r="143">
          <cell r="A143" t="str">
            <v>Road</v>
          </cell>
          <cell r="B143" t="str">
            <v>AS17</v>
          </cell>
          <cell r="Q143">
            <v>6738</v>
          </cell>
        </row>
        <row r="144">
          <cell r="A144" t="str">
            <v>Road</v>
          </cell>
          <cell r="B144" t="str">
            <v>AS17</v>
          </cell>
          <cell r="Q144">
            <v>37700</v>
          </cell>
        </row>
        <row r="145">
          <cell r="A145" t="str">
            <v>Road</v>
          </cell>
          <cell r="B145" t="str">
            <v>AS17</v>
          </cell>
          <cell r="Q145">
            <v>37700</v>
          </cell>
        </row>
        <row r="146">
          <cell r="A146" t="str">
            <v>Road</v>
          </cell>
          <cell r="B146" t="str">
            <v>AS17</v>
          </cell>
          <cell r="Q146">
            <v>23500</v>
          </cell>
        </row>
        <row r="147">
          <cell r="A147" t="str">
            <v>Road</v>
          </cell>
          <cell r="B147" t="str">
            <v>AS17</v>
          </cell>
          <cell r="Q147">
            <v>23500</v>
          </cell>
        </row>
        <row r="148">
          <cell r="A148" t="str">
            <v>Road</v>
          </cell>
          <cell r="B148" t="str">
            <v>AS17</v>
          </cell>
          <cell r="Q148">
            <v>224500</v>
          </cell>
        </row>
        <row r="149">
          <cell r="A149" t="str">
            <v>Road</v>
          </cell>
          <cell r="B149" t="str">
            <v>AS17</v>
          </cell>
          <cell r="Q149">
            <v>45000</v>
          </cell>
        </row>
        <row r="150">
          <cell r="A150" t="str">
            <v>Road</v>
          </cell>
          <cell r="B150" t="str">
            <v>AS17</v>
          </cell>
          <cell r="Q150">
            <v>45000</v>
          </cell>
        </row>
        <row r="151">
          <cell r="A151" t="str">
            <v>Road</v>
          </cell>
          <cell r="B151" t="str">
            <v>AS17</v>
          </cell>
          <cell r="Q151">
            <v>846448</v>
          </cell>
        </row>
        <row r="152">
          <cell r="A152" t="str">
            <v>Road</v>
          </cell>
          <cell r="B152" t="str">
            <v>AS17</v>
          </cell>
          <cell r="Q152">
            <v>719750</v>
          </cell>
        </row>
        <row r="153">
          <cell r="A153" t="str">
            <v>Road</v>
          </cell>
          <cell r="B153" t="str">
            <v>AS17</v>
          </cell>
          <cell r="Q153">
            <v>303339</v>
          </cell>
        </row>
        <row r="154">
          <cell r="A154" t="str">
            <v>Road</v>
          </cell>
          <cell r="B154" t="str">
            <v>AS17</v>
          </cell>
          <cell r="Q154">
            <v>35090</v>
          </cell>
        </row>
        <row r="155">
          <cell r="A155" t="str">
            <v>Road</v>
          </cell>
          <cell r="B155" t="str">
            <v>AS17</v>
          </cell>
          <cell r="Q155">
            <v>913358</v>
          </cell>
        </row>
        <row r="156">
          <cell r="A156" t="str">
            <v>Road</v>
          </cell>
          <cell r="B156" t="str">
            <v>AS19</v>
          </cell>
          <cell r="Q156">
            <v>5400117.9500000002</v>
          </cell>
        </row>
        <row r="157">
          <cell r="A157" t="str">
            <v>Road</v>
          </cell>
          <cell r="B157" t="str">
            <v>AS19</v>
          </cell>
          <cell r="Q157">
            <v>59529</v>
          </cell>
        </row>
        <row r="158">
          <cell r="A158" t="str">
            <v>Road</v>
          </cell>
          <cell r="B158" t="str">
            <v>AS19</v>
          </cell>
          <cell r="Q158">
            <v>982971</v>
          </cell>
        </row>
        <row r="159">
          <cell r="A159" t="str">
            <v>Road</v>
          </cell>
          <cell r="B159" t="str">
            <v>AS19</v>
          </cell>
          <cell r="Q159">
            <v>7656451</v>
          </cell>
        </row>
        <row r="160">
          <cell r="A160" t="str">
            <v>Road</v>
          </cell>
          <cell r="B160" t="str">
            <v>AS19</v>
          </cell>
          <cell r="Q160">
            <v>647400</v>
          </cell>
        </row>
        <row r="161">
          <cell r="A161" t="str">
            <v>Road</v>
          </cell>
          <cell r="B161" t="str">
            <v>AS19</v>
          </cell>
          <cell r="Q161">
            <v>65283275.829999998</v>
          </cell>
        </row>
        <row r="162">
          <cell r="A162" t="str">
            <v>Road</v>
          </cell>
          <cell r="B162" t="str">
            <v>AS19</v>
          </cell>
          <cell r="Q162">
            <v>2157930</v>
          </cell>
        </row>
        <row r="163">
          <cell r="A163" t="str">
            <v>Road</v>
          </cell>
          <cell r="B163" t="str">
            <v>AS19</v>
          </cell>
          <cell r="Q163">
            <v>641700</v>
          </cell>
        </row>
        <row r="164">
          <cell r="A164" t="str">
            <v>Road</v>
          </cell>
          <cell r="B164" t="str">
            <v>AS19</v>
          </cell>
          <cell r="Q164">
            <v>647400</v>
          </cell>
        </row>
        <row r="165">
          <cell r="A165" t="str">
            <v>Road</v>
          </cell>
          <cell r="B165" t="str">
            <v>AS19</v>
          </cell>
          <cell r="Q165">
            <v>641750</v>
          </cell>
        </row>
        <row r="166">
          <cell r="A166" t="str">
            <v>Road</v>
          </cell>
          <cell r="B166" t="str">
            <v>AS19</v>
          </cell>
          <cell r="Q166">
            <v>1560913</v>
          </cell>
        </row>
        <row r="167">
          <cell r="A167" t="str">
            <v>Road</v>
          </cell>
          <cell r="B167" t="str">
            <v>AS19</v>
          </cell>
          <cell r="Q167">
            <v>2840411</v>
          </cell>
        </row>
        <row r="168">
          <cell r="A168" t="str">
            <v>Road</v>
          </cell>
          <cell r="B168" t="str">
            <v>AS19</v>
          </cell>
          <cell r="Q168">
            <v>407926</v>
          </cell>
        </row>
        <row r="169">
          <cell r="A169" t="str">
            <v>Road</v>
          </cell>
          <cell r="B169" t="str">
            <v>AS19</v>
          </cell>
          <cell r="Q169">
            <v>166345</v>
          </cell>
        </row>
        <row r="170">
          <cell r="A170" t="str">
            <v>Road</v>
          </cell>
          <cell r="B170" t="str">
            <v>AS19</v>
          </cell>
          <cell r="Q170">
            <v>166345</v>
          </cell>
        </row>
        <row r="171">
          <cell r="A171" t="str">
            <v>Road</v>
          </cell>
          <cell r="B171" t="str">
            <v>AS19</v>
          </cell>
          <cell r="Q171">
            <v>166345</v>
          </cell>
        </row>
        <row r="172">
          <cell r="A172" t="str">
            <v>Road</v>
          </cell>
          <cell r="B172" t="str">
            <v>AS19</v>
          </cell>
          <cell r="Q172">
            <v>1004801.5</v>
          </cell>
        </row>
        <row r="173">
          <cell r="A173" t="str">
            <v>Road</v>
          </cell>
          <cell r="B173" t="str">
            <v>AS19</v>
          </cell>
          <cell r="Q173">
            <v>1004801.5</v>
          </cell>
        </row>
        <row r="174">
          <cell r="A174" t="str">
            <v>Road</v>
          </cell>
          <cell r="B174" t="str">
            <v>AS19</v>
          </cell>
          <cell r="Q174">
            <v>22900</v>
          </cell>
        </row>
        <row r="175">
          <cell r="A175" t="str">
            <v>Road</v>
          </cell>
          <cell r="B175" t="str">
            <v>AS19</v>
          </cell>
          <cell r="Q175">
            <v>22900</v>
          </cell>
        </row>
        <row r="176">
          <cell r="A176" t="str">
            <v>Road</v>
          </cell>
          <cell r="B176" t="str">
            <v>AS19</v>
          </cell>
          <cell r="Q176">
            <v>22900</v>
          </cell>
        </row>
        <row r="177">
          <cell r="A177" t="str">
            <v>Road</v>
          </cell>
          <cell r="B177" t="str">
            <v>AS19</v>
          </cell>
          <cell r="Q177">
            <v>22900</v>
          </cell>
        </row>
        <row r="178">
          <cell r="A178" t="str">
            <v>Road</v>
          </cell>
          <cell r="B178" t="str">
            <v>AS19</v>
          </cell>
          <cell r="Q178">
            <v>1338014</v>
          </cell>
        </row>
        <row r="179">
          <cell r="A179" t="str">
            <v>Road</v>
          </cell>
          <cell r="B179" t="str">
            <v>AS19</v>
          </cell>
          <cell r="Q179">
            <v>756646</v>
          </cell>
        </row>
        <row r="180">
          <cell r="A180" t="str">
            <v>Road</v>
          </cell>
          <cell r="B180" t="str">
            <v>AS19</v>
          </cell>
          <cell r="Q180">
            <v>1199485.6299999999</v>
          </cell>
        </row>
        <row r="181">
          <cell r="A181" t="str">
            <v>Road</v>
          </cell>
          <cell r="B181" t="str">
            <v>AS19</v>
          </cell>
          <cell r="Q181">
            <v>1198186.6299999999</v>
          </cell>
        </row>
        <row r="182">
          <cell r="A182" t="str">
            <v>Road</v>
          </cell>
          <cell r="B182" t="str">
            <v>AS19</v>
          </cell>
          <cell r="Q182">
            <v>1198186.6299999999</v>
          </cell>
        </row>
        <row r="183">
          <cell r="A183" t="str">
            <v>Road</v>
          </cell>
          <cell r="B183" t="str">
            <v>AS19</v>
          </cell>
          <cell r="Q183">
            <v>734160.63</v>
          </cell>
        </row>
        <row r="184">
          <cell r="A184" t="str">
            <v>Road</v>
          </cell>
          <cell r="B184" t="str">
            <v>AS19</v>
          </cell>
          <cell r="Q184">
            <v>1199485.6299999999</v>
          </cell>
        </row>
        <row r="185">
          <cell r="A185" t="str">
            <v>Road</v>
          </cell>
          <cell r="B185" t="str">
            <v>AS19</v>
          </cell>
          <cell r="Q185">
            <v>1812498.03</v>
          </cell>
        </row>
        <row r="186">
          <cell r="A186" t="str">
            <v>Road</v>
          </cell>
          <cell r="B186" t="str">
            <v>AS19</v>
          </cell>
          <cell r="Q186">
            <v>1812498.03</v>
          </cell>
        </row>
        <row r="187">
          <cell r="A187" t="str">
            <v>Road</v>
          </cell>
          <cell r="B187" t="str">
            <v>AS19</v>
          </cell>
          <cell r="Q187">
            <v>1812498.03</v>
          </cell>
        </row>
        <row r="188">
          <cell r="A188" t="str">
            <v>Road</v>
          </cell>
          <cell r="B188" t="str">
            <v>AS19</v>
          </cell>
          <cell r="Q188">
            <v>1445485.88</v>
          </cell>
        </row>
        <row r="189">
          <cell r="A189" t="str">
            <v>Road</v>
          </cell>
          <cell r="B189" t="str">
            <v>AS19</v>
          </cell>
          <cell r="Q189">
            <v>1445485.88</v>
          </cell>
        </row>
        <row r="190">
          <cell r="A190" t="str">
            <v>Road</v>
          </cell>
          <cell r="B190" t="str">
            <v>AS19</v>
          </cell>
          <cell r="Q190">
            <v>1812498.03</v>
          </cell>
        </row>
        <row r="191">
          <cell r="A191" t="str">
            <v>Road</v>
          </cell>
          <cell r="B191" t="str">
            <v>AS19</v>
          </cell>
          <cell r="Q191">
            <v>1812498.03</v>
          </cell>
        </row>
        <row r="192">
          <cell r="A192" t="str">
            <v>Road</v>
          </cell>
          <cell r="B192" t="str">
            <v>AS19</v>
          </cell>
          <cell r="Q192">
            <v>1812498.03</v>
          </cell>
        </row>
        <row r="193">
          <cell r="A193" t="str">
            <v>Road</v>
          </cell>
          <cell r="B193" t="str">
            <v>AS19</v>
          </cell>
          <cell r="Q193">
            <v>1812498.03</v>
          </cell>
        </row>
        <row r="194">
          <cell r="A194" t="str">
            <v>Road</v>
          </cell>
          <cell r="B194" t="str">
            <v>AS19</v>
          </cell>
          <cell r="Q194">
            <v>1812498.03</v>
          </cell>
        </row>
        <row r="195">
          <cell r="A195" t="str">
            <v>Road</v>
          </cell>
          <cell r="B195" t="str">
            <v>AS19</v>
          </cell>
          <cell r="Q195">
            <v>1812498.03</v>
          </cell>
        </row>
        <row r="196">
          <cell r="A196" t="str">
            <v>Road</v>
          </cell>
          <cell r="B196" t="str">
            <v>AS19</v>
          </cell>
          <cell r="Q196">
            <v>1812498.03</v>
          </cell>
        </row>
        <row r="197">
          <cell r="A197" t="str">
            <v>Road</v>
          </cell>
          <cell r="B197" t="str">
            <v>AS19</v>
          </cell>
          <cell r="Q197">
            <v>1812498.03</v>
          </cell>
        </row>
        <row r="198">
          <cell r="A198" t="str">
            <v>Road</v>
          </cell>
          <cell r="B198" t="str">
            <v>AS19</v>
          </cell>
          <cell r="Q198">
            <v>1812498.03</v>
          </cell>
        </row>
        <row r="199">
          <cell r="A199" t="str">
            <v>Road</v>
          </cell>
          <cell r="B199" t="str">
            <v>AS19</v>
          </cell>
          <cell r="Q199">
            <v>1812498.03</v>
          </cell>
        </row>
        <row r="200">
          <cell r="A200" t="str">
            <v>Road</v>
          </cell>
          <cell r="B200" t="str">
            <v>AS19</v>
          </cell>
          <cell r="Q200">
            <v>1812498.08</v>
          </cell>
        </row>
        <row r="201">
          <cell r="A201" t="str">
            <v>Road</v>
          </cell>
          <cell r="B201" t="str">
            <v>AS19</v>
          </cell>
          <cell r="Q201">
            <v>1812498.08</v>
          </cell>
        </row>
        <row r="202">
          <cell r="A202" t="str">
            <v>Road</v>
          </cell>
          <cell r="B202" t="str">
            <v>AS19</v>
          </cell>
          <cell r="Q202">
            <v>1812498.08</v>
          </cell>
        </row>
        <row r="203">
          <cell r="A203" t="str">
            <v>Road</v>
          </cell>
          <cell r="B203" t="str">
            <v>AS19</v>
          </cell>
          <cell r="Q203">
            <v>3670209.25</v>
          </cell>
        </row>
        <row r="204">
          <cell r="A204" t="str">
            <v>Road</v>
          </cell>
          <cell r="B204" t="str">
            <v>AS19</v>
          </cell>
          <cell r="Q204">
            <v>164751</v>
          </cell>
        </row>
        <row r="205">
          <cell r="A205" t="str">
            <v>Road</v>
          </cell>
          <cell r="B205" t="str">
            <v>AS19</v>
          </cell>
          <cell r="Q205">
            <v>3080528</v>
          </cell>
        </row>
        <row r="206">
          <cell r="A206" t="str">
            <v>Road</v>
          </cell>
          <cell r="B206" t="str">
            <v>AS19</v>
          </cell>
          <cell r="Q206">
            <v>2411056</v>
          </cell>
        </row>
        <row r="207">
          <cell r="A207" t="str">
            <v>Road</v>
          </cell>
          <cell r="B207" t="str">
            <v>AS19</v>
          </cell>
          <cell r="Q207">
            <v>2188611</v>
          </cell>
        </row>
        <row r="208">
          <cell r="A208" t="str">
            <v>Road</v>
          </cell>
          <cell r="B208" t="str">
            <v>AS19</v>
          </cell>
          <cell r="Q208">
            <v>544710</v>
          </cell>
        </row>
        <row r="209">
          <cell r="A209" t="str">
            <v>Road</v>
          </cell>
          <cell r="B209" t="str">
            <v>AS19</v>
          </cell>
          <cell r="Q209">
            <v>577600</v>
          </cell>
        </row>
        <row r="210">
          <cell r="A210" t="str">
            <v>Road</v>
          </cell>
          <cell r="B210" t="str">
            <v>AS19</v>
          </cell>
          <cell r="Q210">
            <v>2491274</v>
          </cell>
        </row>
        <row r="211">
          <cell r="A211" t="str">
            <v>Road</v>
          </cell>
          <cell r="B211" t="str">
            <v>AS19</v>
          </cell>
          <cell r="Q211">
            <v>2063787</v>
          </cell>
        </row>
        <row r="212">
          <cell r="A212" t="str">
            <v>Road</v>
          </cell>
          <cell r="B212" t="str">
            <v>AS19</v>
          </cell>
          <cell r="Q212">
            <v>2063787</v>
          </cell>
        </row>
        <row r="213">
          <cell r="A213" t="str">
            <v>Road</v>
          </cell>
          <cell r="B213" t="str">
            <v>AS19</v>
          </cell>
          <cell r="Q213">
            <v>1148838</v>
          </cell>
        </row>
        <row r="214">
          <cell r="A214" t="str">
            <v>Road</v>
          </cell>
          <cell r="B214" t="str">
            <v>AS19</v>
          </cell>
          <cell r="Q214">
            <v>2130694</v>
          </cell>
        </row>
        <row r="215">
          <cell r="A215" t="str">
            <v>Road</v>
          </cell>
          <cell r="B215" t="str">
            <v>AS19</v>
          </cell>
          <cell r="Q215">
            <v>4423312.68</v>
          </cell>
        </row>
        <row r="216">
          <cell r="A216" t="str">
            <v>Road</v>
          </cell>
          <cell r="B216" t="str">
            <v>AS19</v>
          </cell>
          <cell r="Q216">
            <v>750737.75</v>
          </cell>
        </row>
        <row r="217">
          <cell r="A217" t="str">
            <v>Road</v>
          </cell>
          <cell r="B217" t="str">
            <v>AS19</v>
          </cell>
          <cell r="Q217">
            <v>750735.75</v>
          </cell>
        </row>
        <row r="218">
          <cell r="A218" t="str">
            <v>Road</v>
          </cell>
          <cell r="B218" t="str">
            <v>AS19</v>
          </cell>
          <cell r="Q218">
            <v>857817.69</v>
          </cell>
        </row>
        <row r="219">
          <cell r="A219" t="str">
            <v>Road</v>
          </cell>
          <cell r="B219" t="str">
            <v>AS19</v>
          </cell>
          <cell r="Q219">
            <v>13539716</v>
          </cell>
        </row>
        <row r="220">
          <cell r="A220" t="str">
            <v>Road</v>
          </cell>
          <cell r="B220" t="str">
            <v>AS19</v>
          </cell>
          <cell r="Q220">
            <v>2014332.71</v>
          </cell>
        </row>
        <row r="221">
          <cell r="A221" t="str">
            <v>Road</v>
          </cell>
          <cell r="B221" t="str">
            <v>AS19</v>
          </cell>
          <cell r="Q221">
            <v>2752560.4</v>
          </cell>
        </row>
        <row r="222">
          <cell r="A222" t="str">
            <v>Road</v>
          </cell>
          <cell r="B222" t="str">
            <v>AS19</v>
          </cell>
          <cell r="Q222">
            <v>642948</v>
          </cell>
        </row>
        <row r="223">
          <cell r="A223" t="str">
            <v>Road</v>
          </cell>
          <cell r="B223" t="str">
            <v>AS19</v>
          </cell>
          <cell r="Q223">
            <v>642948</v>
          </cell>
        </row>
        <row r="224">
          <cell r="A224" t="str">
            <v>Road</v>
          </cell>
          <cell r="B224" t="str">
            <v>AS19</v>
          </cell>
          <cell r="Q224">
            <v>4321395.2</v>
          </cell>
        </row>
        <row r="225">
          <cell r="A225" t="str">
            <v>Road</v>
          </cell>
          <cell r="B225" t="str">
            <v>AS19</v>
          </cell>
          <cell r="Q225">
            <v>734091</v>
          </cell>
        </row>
        <row r="226">
          <cell r="A226" t="str">
            <v>Road</v>
          </cell>
          <cell r="B226" t="str">
            <v>AS19</v>
          </cell>
          <cell r="Q226">
            <v>431600</v>
          </cell>
        </row>
        <row r="227">
          <cell r="A227" t="str">
            <v>Road</v>
          </cell>
          <cell r="B227" t="str">
            <v>AS19</v>
          </cell>
          <cell r="Q227">
            <v>50752</v>
          </cell>
        </row>
        <row r="228">
          <cell r="A228" t="str">
            <v>Road</v>
          </cell>
          <cell r="B228" t="str">
            <v>AS19</v>
          </cell>
          <cell r="Q228">
            <v>1324595</v>
          </cell>
        </row>
        <row r="229">
          <cell r="A229" t="str">
            <v>Road</v>
          </cell>
          <cell r="B229" t="str">
            <v>AS19</v>
          </cell>
          <cell r="Q229">
            <v>1324595</v>
          </cell>
        </row>
        <row r="230">
          <cell r="A230" t="str">
            <v>Road</v>
          </cell>
          <cell r="B230" t="str">
            <v>AS19</v>
          </cell>
          <cell r="Q230">
            <v>1348185</v>
          </cell>
        </row>
        <row r="231">
          <cell r="A231" t="str">
            <v>Road</v>
          </cell>
          <cell r="B231" t="str">
            <v>AS19</v>
          </cell>
          <cell r="Q231">
            <v>1348185</v>
          </cell>
        </row>
        <row r="232">
          <cell r="A232" t="str">
            <v>Road</v>
          </cell>
          <cell r="B232" t="str">
            <v>AS19</v>
          </cell>
          <cell r="Q232">
            <v>1775047</v>
          </cell>
        </row>
        <row r="233">
          <cell r="A233" t="str">
            <v>Road</v>
          </cell>
          <cell r="B233" t="str">
            <v>AS19</v>
          </cell>
          <cell r="Q233">
            <v>1775047</v>
          </cell>
        </row>
        <row r="234">
          <cell r="A234" t="str">
            <v>Road</v>
          </cell>
          <cell r="B234" t="str">
            <v>AS19</v>
          </cell>
          <cell r="Q234">
            <v>1775047</v>
          </cell>
        </row>
        <row r="235">
          <cell r="A235" t="str">
            <v>Road</v>
          </cell>
          <cell r="B235" t="str">
            <v>AS19</v>
          </cell>
          <cell r="Q235">
            <v>1775047</v>
          </cell>
        </row>
        <row r="236">
          <cell r="A236" t="str">
            <v>Road</v>
          </cell>
          <cell r="B236" t="str">
            <v>AS19</v>
          </cell>
          <cell r="Q236">
            <v>1775047</v>
          </cell>
        </row>
        <row r="237">
          <cell r="A237" t="str">
            <v>Road</v>
          </cell>
          <cell r="B237" t="str">
            <v>AS19</v>
          </cell>
          <cell r="Q237">
            <v>1775047</v>
          </cell>
        </row>
        <row r="238">
          <cell r="A238" t="str">
            <v>Road</v>
          </cell>
          <cell r="B238" t="str">
            <v>AS19</v>
          </cell>
          <cell r="Q238">
            <v>1775047</v>
          </cell>
        </row>
        <row r="239">
          <cell r="A239" t="str">
            <v>Road</v>
          </cell>
          <cell r="B239" t="str">
            <v>AS19</v>
          </cell>
          <cell r="Q239">
            <v>1775047</v>
          </cell>
        </row>
        <row r="240">
          <cell r="A240" t="str">
            <v>Road</v>
          </cell>
          <cell r="B240" t="str">
            <v>AS19</v>
          </cell>
          <cell r="Q240">
            <v>1775047</v>
          </cell>
        </row>
        <row r="241">
          <cell r="A241" t="str">
            <v>Road</v>
          </cell>
          <cell r="B241" t="str">
            <v>AS19</v>
          </cell>
          <cell r="Q241">
            <v>1775047</v>
          </cell>
        </row>
        <row r="242">
          <cell r="A242" t="str">
            <v>Road</v>
          </cell>
          <cell r="B242" t="str">
            <v>AS19</v>
          </cell>
          <cell r="Q242">
            <v>4992388.0999999996</v>
          </cell>
        </row>
        <row r="243">
          <cell r="A243" t="str">
            <v>Road</v>
          </cell>
          <cell r="B243" t="str">
            <v>AS19</v>
          </cell>
          <cell r="Q243">
            <v>1581494</v>
          </cell>
        </row>
        <row r="244">
          <cell r="A244" t="str">
            <v>Road</v>
          </cell>
          <cell r="B244" t="str">
            <v>AS19</v>
          </cell>
          <cell r="Q244">
            <v>12250664.66</v>
          </cell>
        </row>
        <row r="245">
          <cell r="A245" t="str">
            <v>Road</v>
          </cell>
          <cell r="B245" t="str">
            <v>AS19</v>
          </cell>
          <cell r="Q245">
            <v>5309535.5</v>
          </cell>
        </row>
        <row r="246">
          <cell r="A246" t="str">
            <v>Road</v>
          </cell>
          <cell r="B246" t="str">
            <v>AS19</v>
          </cell>
          <cell r="Q246">
            <v>5366175.5299999993</v>
          </cell>
        </row>
        <row r="247">
          <cell r="A247" t="str">
            <v>Road</v>
          </cell>
          <cell r="B247" t="str">
            <v>AS19</v>
          </cell>
          <cell r="Q247">
            <v>1668724</v>
          </cell>
        </row>
        <row r="248">
          <cell r="A248" t="str">
            <v>Road</v>
          </cell>
          <cell r="B248" t="str">
            <v>AS19</v>
          </cell>
          <cell r="Q248">
            <v>1723473.25</v>
          </cell>
        </row>
        <row r="249">
          <cell r="A249" t="str">
            <v>Road</v>
          </cell>
          <cell r="B249" t="str">
            <v>AS19</v>
          </cell>
          <cell r="Q249">
            <v>1723473.25</v>
          </cell>
        </row>
        <row r="250">
          <cell r="A250" t="str">
            <v>Road</v>
          </cell>
          <cell r="B250" t="str">
            <v>AS19</v>
          </cell>
          <cell r="Q250">
            <v>1723473.25</v>
          </cell>
        </row>
        <row r="251">
          <cell r="A251" t="str">
            <v>Road</v>
          </cell>
          <cell r="B251" t="str">
            <v>AS19</v>
          </cell>
          <cell r="Q251">
            <v>1723473.25</v>
          </cell>
        </row>
        <row r="252">
          <cell r="A252" t="str">
            <v>Road</v>
          </cell>
          <cell r="B252" t="str">
            <v>AS19</v>
          </cell>
          <cell r="Q252">
            <v>1723473.25</v>
          </cell>
        </row>
        <row r="253">
          <cell r="A253" t="str">
            <v>Road</v>
          </cell>
          <cell r="B253" t="str">
            <v>AS19</v>
          </cell>
          <cell r="Q253">
            <v>1723267.25</v>
          </cell>
        </row>
        <row r="254">
          <cell r="A254" t="str">
            <v>Road</v>
          </cell>
          <cell r="B254" t="str">
            <v>AS19</v>
          </cell>
          <cell r="Q254">
            <v>1723266.25</v>
          </cell>
        </row>
        <row r="255">
          <cell r="A255" t="str">
            <v>Road</v>
          </cell>
          <cell r="B255" t="str">
            <v>AS19</v>
          </cell>
          <cell r="Q255">
            <v>1723266.25</v>
          </cell>
        </row>
        <row r="256">
          <cell r="A256" t="str">
            <v>Road</v>
          </cell>
          <cell r="B256" t="str">
            <v>AS19</v>
          </cell>
          <cell r="Q256">
            <v>1723266.25</v>
          </cell>
        </row>
        <row r="257">
          <cell r="A257" t="str">
            <v>Road</v>
          </cell>
          <cell r="B257" t="str">
            <v>AS19</v>
          </cell>
          <cell r="Q257">
            <v>1723266.25</v>
          </cell>
        </row>
        <row r="258">
          <cell r="A258" t="str">
            <v>Road</v>
          </cell>
          <cell r="B258" t="str">
            <v>AS19</v>
          </cell>
          <cell r="Q258">
            <v>11935</v>
          </cell>
        </row>
        <row r="259">
          <cell r="A259" t="str">
            <v>Road</v>
          </cell>
          <cell r="B259" t="str">
            <v>AS19</v>
          </cell>
          <cell r="Q259">
            <v>828920</v>
          </cell>
        </row>
        <row r="260">
          <cell r="A260" t="str">
            <v>Road</v>
          </cell>
          <cell r="B260" t="str">
            <v>AS19</v>
          </cell>
          <cell r="Q260">
            <v>762044</v>
          </cell>
        </row>
        <row r="261">
          <cell r="A261" t="str">
            <v>Road</v>
          </cell>
          <cell r="B261" t="str">
            <v>AS19</v>
          </cell>
          <cell r="Q261">
            <v>4388099.2</v>
          </cell>
        </row>
        <row r="262">
          <cell r="A262" t="str">
            <v>Road</v>
          </cell>
          <cell r="B262" t="str">
            <v>AS19</v>
          </cell>
          <cell r="Q262">
            <v>1026033.48</v>
          </cell>
        </row>
        <row r="263">
          <cell r="A263" t="str">
            <v>Road</v>
          </cell>
          <cell r="B263" t="str">
            <v>AS19</v>
          </cell>
          <cell r="Q263">
            <v>1026033.48</v>
          </cell>
        </row>
        <row r="264">
          <cell r="A264" t="str">
            <v>Road</v>
          </cell>
          <cell r="B264" t="str">
            <v>AS19</v>
          </cell>
          <cell r="Q264">
            <v>1026033.48</v>
          </cell>
        </row>
        <row r="265">
          <cell r="A265" t="str">
            <v>Road</v>
          </cell>
          <cell r="B265" t="str">
            <v>AS19</v>
          </cell>
          <cell r="Q265">
            <v>1026033.48</v>
          </cell>
        </row>
        <row r="266">
          <cell r="A266" t="str">
            <v>Road</v>
          </cell>
          <cell r="B266" t="str">
            <v>AS19</v>
          </cell>
          <cell r="Q266">
            <v>4388099.2</v>
          </cell>
        </row>
        <row r="267">
          <cell r="A267" t="str">
            <v>Road</v>
          </cell>
          <cell r="B267" t="str">
            <v>AS19</v>
          </cell>
          <cell r="Q267">
            <v>395900</v>
          </cell>
        </row>
        <row r="268">
          <cell r="A268" t="str">
            <v>Road</v>
          </cell>
          <cell r="B268" t="str">
            <v>AS19</v>
          </cell>
          <cell r="Q268">
            <v>395900</v>
          </cell>
        </row>
        <row r="269">
          <cell r="A269" t="str">
            <v>Road</v>
          </cell>
          <cell r="B269" t="str">
            <v>AS19</v>
          </cell>
          <cell r="Q269">
            <v>1075472.92</v>
          </cell>
        </row>
        <row r="270">
          <cell r="A270" t="str">
            <v>Road</v>
          </cell>
          <cell r="B270" t="str">
            <v>AS19</v>
          </cell>
          <cell r="Q270">
            <v>2008152.2</v>
          </cell>
        </row>
        <row r="271">
          <cell r="A271" t="str">
            <v>Road</v>
          </cell>
          <cell r="B271" t="str">
            <v>AS19</v>
          </cell>
          <cell r="Q271">
            <v>2145152.2000000002</v>
          </cell>
        </row>
        <row r="272">
          <cell r="A272" t="str">
            <v>Road</v>
          </cell>
          <cell r="B272" t="str">
            <v>AS19</v>
          </cell>
          <cell r="Q272">
            <v>1130374</v>
          </cell>
        </row>
        <row r="273">
          <cell r="A273" t="str">
            <v>Road</v>
          </cell>
          <cell r="B273" t="str">
            <v>AS19</v>
          </cell>
          <cell r="Q273">
            <v>1131496</v>
          </cell>
        </row>
        <row r="274">
          <cell r="A274" t="str">
            <v>Road</v>
          </cell>
          <cell r="B274" t="str">
            <v>AS19</v>
          </cell>
          <cell r="Q274">
            <v>1131496</v>
          </cell>
        </row>
        <row r="275">
          <cell r="A275" t="str">
            <v>Road</v>
          </cell>
          <cell r="B275" t="str">
            <v>AS19</v>
          </cell>
          <cell r="Q275">
            <v>1659940</v>
          </cell>
        </row>
        <row r="276">
          <cell r="A276" t="str">
            <v>Road</v>
          </cell>
          <cell r="B276" t="str">
            <v>AS19</v>
          </cell>
          <cell r="Q276">
            <v>1659940</v>
          </cell>
        </row>
        <row r="277">
          <cell r="A277" t="str">
            <v>Road</v>
          </cell>
          <cell r="B277" t="str">
            <v>AS19</v>
          </cell>
          <cell r="Q277">
            <v>1659940</v>
          </cell>
        </row>
        <row r="278">
          <cell r="A278" t="str">
            <v>Road</v>
          </cell>
          <cell r="B278" t="str">
            <v>AS19</v>
          </cell>
          <cell r="Q278">
            <v>1668724</v>
          </cell>
        </row>
        <row r="279">
          <cell r="A279" t="str">
            <v>Road</v>
          </cell>
          <cell r="B279" t="str">
            <v>AS19</v>
          </cell>
          <cell r="Q279">
            <v>1276229.57</v>
          </cell>
        </row>
        <row r="280">
          <cell r="A280" t="str">
            <v>Road</v>
          </cell>
          <cell r="B280" t="str">
            <v>AS19</v>
          </cell>
          <cell r="Q280">
            <v>1294736</v>
          </cell>
        </row>
        <row r="281">
          <cell r="A281" t="str">
            <v>Road</v>
          </cell>
          <cell r="B281" t="str">
            <v>AS19</v>
          </cell>
          <cell r="Q281">
            <v>272118</v>
          </cell>
        </row>
        <row r="282">
          <cell r="A282" t="str">
            <v>Road</v>
          </cell>
          <cell r="B282" t="str">
            <v>AS19</v>
          </cell>
          <cell r="Q282">
            <v>3199433</v>
          </cell>
        </row>
        <row r="283">
          <cell r="A283" t="str">
            <v>Road</v>
          </cell>
          <cell r="B283" t="str">
            <v>AS19</v>
          </cell>
          <cell r="Q283">
            <v>5634733.4000000004</v>
          </cell>
        </row>
        <row r="284">
          <cell r="A284" t="str">
            <v>Road</v>
          </cell>
          <cell r="B284" t="str">
            <v>AS19</v>
          </cell>
          <cell r="Q284">
            <v>678416</v>
          </cell>
        </row>
        <row r="285">
          <cell r="A285" t="str">
            <v>Road</v>
          </cell>
          <cell r="B285" t="str">
            <v>AS19</v>
          </cell>
          <cell r="Q285">
            <v>74249</v>
          </cell>
        </row>
        <row r="286">
          <cell r="A286" t="str">
            <v>Road</v>
          </cell>
          <cell r="B286" t="str">
            <v>AS19</v>
          </cell>
          <cell r="Q286">
            <v>74249</v>
          </cell>
        </row>
        <row r="287">
          <cell r="A287" t="str">
            <v>Road</v>
          </cell>
          <cell r="B287" t="str">
            <v>AS19</v>
          </cell>
          <cell r="Q287">
            <v>74250</v>
          </cell>
        </row>
        <row r="288">
          <cell r="A288" t="str">
            <v>Road</v>
          </cell>
          <cell r="B288" t="str">
            <v>AS19</v>
          </cell>
          <cell r="Q288">
            <v>4426415.8</v>
          </cell>
        </row>
        <row r="289">
          <cell r="A289" t="str">
            <v>Road</v>
          </cell>
          <cell r="B289" t="str">
            <v>AS19</v>
          </cell>
          <cell r="Q289">
            <v>47698845.5</v>
          </cell>
        </row>
        <row r="290">
          <cell r="A290" t="str">
            <v>Road</v>
          </cell>
          <cell r="B290" t="str">
            <v>AS19</v>
          </cell>
          <cell r="Q290">
            <v>2194958.2000000002</v>
          </cell>
        </row>
        <row r="291">
          <cell r="A291" t="str">
            <v>Road</v>
          </cell>
          <cell r="B291" t="str">
            <v>AS19</v>
          </cell>
          <cell r="Q291">
            <v>315398</v>
          </cell>
        </row>
        <row r="292">
          <cell r="A292" t="str">
            <v>Road</v>
          </cell>
          <cell r="B292" t="str">
            <v>AS19</v>
          </cell>
          <cell r="Q292">
            <v>42306</v>
          </cell>
        </row>
        <row r="293">
          <cell r="A293" t="str">
            <v>Road</v>
          </cell>
          <cell r="B293" t="str">
            <v>AS19</v>
          </cell>
          <cell r="Q293">
            <v>42306</v>
          </cell>
        </row>
        <row r="294">
          <cell r="A294" t="str">
            <v>Road</v>
          </cell>
          <cell r="B294" t="str">
            <v>AS19</v>
          </cell>
          <cell r="Q294">
            <v>42306</v>
          </cell>
        </row>
        <row r="295">
          <cell r="A295" t="str">
            <v>Road</v>
          </cell>
          <cell r="B295" t="str">
            <v>AS19</v>
          </cell>
          <cell r="Q295">
            <v>381246</v>
          </cell>
        </row>
        <row r="296">
          <cell r="A296" t="str">
            <v>Road</v>
          </cell>
          <cell r="B296" t="str">
            <v>AS19</v>
          </cell>
          <cell r="Q296">
            <v>52200</v>
          </cell>
        </row>
        <row r="297">
          <cell r="A297" t="str">
            <v>Road</v>
          </cell>
          <cell r="B297" t="str">
            <v>AS19</v>
          </cell>
          <cell r="Q297">
            <v>1200315.8</v>
          </cell>
        </row>
        <row r="298">
          <cell r="A298" t="str">
            <v>Road</v>
          </cell>
          <cell r="B298" t="str">
            <v>AS19</v>
          </cell>
          <cell r="Q298">
            <v>12007</v>
          </cell>
        </row>
        <row r="299">
          <cell r="A299" t="str">
            <v>Road</v>
          </cell>
          <cell r="B299" t="str">
            <v>AS19</v>
          </cell>
          <cell r="Q299">
            <v>36750</v>
          </cell>
        </row>
        <row r="300">
          <cell r="A300" t="str">
            <v>Road</v>
          </cell>
          <cell r="B300" t="str">
            <v>AS19</v>
          </cell>
          <cell r="Q300">
            <v>10880</v>
          </cell>
        </row>
        <row r="301">
          <cell r="A301" t="str">
            <v>Road</v>
          </cell>
          <cell r="B301" t="str">
            <v>AS19</v>
          </cell>
          <cell r="Q301">
            <v>9387</v>
          </cell>
        </row>
        <row r="302">
          <cell r="A302" t="str">
            <v>Road</v>
          </cell>
          <cell r="B302" t="str">
            <v>AS19</v>
          </cell>
          <cell r="Q302">
            <v>9387</v>
          </cell>
        </row>
        <row r="303">
          <cell r="A303" t="str">
            <v>Road</v>
          </cell>
          <cell r="B303" t="str">
            <v>AS19</v>
          </cell>
          <cell r="Q303">
            <v>9387</v>
          </cell>
        </row>
        <row r="304">
          <cell r="A304" t="str">
            <v>Road</v>
          </cell>
          <cell r="B304" t="str">
            <v>AS19</v>
          </cell>
          <cell r="Q304">
            <v>9386.75</v>
          </cell>
        </row>
        <row r="305">
          <cell r="A305" t="str">
            <v>Road</v>
          </cell>
          <cell r="B305" t="str">
            <v>AS19</v>
          </cell>
          <cell r="Q305">
            <v>26200</v>
          </cell>
        </row>
        <row r="306">
          <cell r="A306" t="str">
            <v>Road</v>
          </cell>
          <cell r="B306" t="str">
            <v>AS19</v>
          </cell>
          <cell r="Q306">
            <v>26200</v>
          </cell>
        </row>
        <row r="307">
          <cell r="A307" t="str">
            <v>Road</v>
          </cell>
          <cell r="B307" t="str">
            <v>AS19</v>
          </cell>
          <cell r="Q307">
            <v>312000</v>
          </cell>
        </row>
        <row r="308">
          <cell r="A308" t="str">
            <v>Road</v>
          </cell>
          <cell r="B308" t="str">
            <v>AS19</v>
          </cell>
          <cell r="Q308">
            <v>26200</v>
          </cell>
        </row>
        <row r="309">
          <cell r="A309" t="str">
            <v>Road</v>
          </cell>
          <cell r="B309" t="str">
            <v>AS19</v>
          </cell>
          <cell r="Q309">
            <v>2788</v>
          </cell>
        </row>
        <row r="310">
          <cell r="A310" t="str">
            <v>Road</v>
          </cell>
          <cell r="B310" t="str">
            <v>AS19</v>
          </cell>
          <cell r="Q310">
            <v>19329</v>
          </cell>
        </row>
        <row r="311">
          <cell r="A311" t="str">
            <v>Road</v>
          </cell>
          <cell r="B311" t="str">
            <v>AS19</v>
          </cell>
          <cell r="Q311">
            <v>16401</v>
          </cell>
        </row>
        <row r="312">
          <cell r="A312" t="str">
            <v>Road</v>
          </cell>
          <cell r="B312" t="str">
            <v>AS19</v>
          </cell>
          <cell r="Q312">
            <v>8900</v>
          </cell>
        </row>
        <row r="313">
          <cell r="A313" t="str">
            <v>Road</v>
          </cell>
          <cell r="B313" t="str">
            <v>AS19</v>
          </cell>
          <cell r="Q313">
            <v>8900</v>
          </cell>
        </row>
        <row r="314">
          <cell r="A314" t="str">
            <v>Road</v>
          </cell>
          <cell r="B314" t="str">
            <v>AS19</v>
          </cell>
          <cell r="Q314">
            <v>8900</v>
          </cell>
        </row>
        <row r="315">
          <cell r="A315" t="str">
            <v>Road</v>
          </cell>
          <cell r="B315" t="str">
            <v>AS19</v>
          </cell>
          <cell r="Q315">
            <v>8900</v>
          </cell>
        </row>
        <row r="316">
          <cell r="A316" t="str">
            <v>Road</v>
          </cell>
          <cell r="B316" t="str">
            <v>AS19</v>
          </cell>
          <cell r="Q316">
            <v>11911</v>
          </cell>
        </row>
        <row r="317">
          <cell r="A317" t="str">
            <v>Road</v>
          </cell>
          <cell r="B317" t="str">
            <v>AS19</v>
          </cell>
          <cell r="Q317">
            <v>25500</v>
          </cell>
        </row>
        <row r="318">
          <cell r="A318" t="str">
            <v>Road</v>
          </cell>
          <cell r="B318" t="str">
            <v>AS19</v>
          </cell>
          <cell r="Q318">
            <v>25500</v>
          </cell>
        </row>
        <row r="319">
          <cell r="A319" t="str">
            <v>Road</v>
          </cell>
          <cell r="B319" t="str">
            <v>AS19</v>
          </cell>
          <cell r="Q319">
            <v>22299</v>
          </cell>
        </row>
        <row r="320">
          <cell r="A320" t="str">
            <v>Road</v>
          </cell>
          <cell r="B320" t="str">
            <v>AS19</v>
          </cell>
          <cell r="Q320">
            <v>22299</v>
          </cell>
        </row>
        <row r="321">
          <cell r="A321" t="str">
            <v>Road</v>
          </cell>
          <cell r="B321" t="str">
            <v>AS19</v>
          </cell>
          <cell r="Q321">
            <v>22298.67</v>
          </cell>
        </row>
        <row r="322">
          <cell r="A322" t="str">
            <v>Road</v>
          </cell>
          <cell r="B322" t="str">
            <v>AS19</v>
          </cell>
          <cell r="Q322">
            <v>2891200</v>
          </cell>
        </row>
        <row r="323">
          <cell r="A323" t="str">
            <v>Road</v>
          </cell>
          <cell r="B323" t="str">
            <v>AS19</v>
          </cell>
          <cell r="Q323">
            <v>2891200</v>
          </cell>
        </row>
        <row r="324">
          <cell r="A324" t="str">
            <v>Road</v>
          </cell>
          <cell r="B324" t="str">
            <v>AS19</v>
          </cell>
          <cell r="Q324">
            <v>25500</v>
          </cell>
        </row>
        <row r="325">
          <cell r="A325" t="str">
            <v>Road</v>
          </cell>
          <cell r="B325" t="str">
            <v>AS19</v>
          </cell>
          <cell r="Q325">
            <v>1243170</v>
          </cell>
        </row>
        <row r="326">
          <cell r="A326" t="str">
            <v>Road</v>
          </cell>
          <cell r="B326" t="str">
            <v>AS19</v>
          </cell>
          <cell r="Q326">
            <v>5633242</v>
          </cell>
        </row>
        <row r="327">
          <cell r="A327" t="str">
            <v>Road</v>
          </cell>
          <cell r="B327" t="str">
            <v>AS19</v>
          </cell>
          <cell r="Q327">
            <v>134500.25</v>
          </cell>
        </row>
        <row r="328">
          <cell r="A328" t="str">
            <v>Road</v>
          </cell>
          <cell r="B328" t="str">
            <v>AS19</v>
          </cell>
          <cell r="Q328">
            <v>49600</v>
          </cell>
        </row>
        <row r="329">
          <cell r="A329" t="str">
            <v>Road</v>
          </cell>
          <cell r="B329" t="str">
            <v>AS19</v>
          </cell>
          <cell r="Q329">
            <v>126700</v>
          </cell>
        </row>
        <row r="330">
          <cell r="A330" t="str">
            <v>Road</v>
          </cell>
          <cell r="B330" t="str">
            <v>AS19</v>
          </cell>
          <cell r="Q330">
            <v>24934</v>
          </cell>
        </row>
        <row r="331">
          <cell r="A331" t="str">
            <v>Road</v>
          </cell>
          <cell r="B331" t="str">
            <v>AS19</v>
          </cell>
          <cell r="Q331">
            <v>24950</v>
          </cell>
        </row>
        <row r="332">
          <cell r="A332" t="str">
            <v>Road</v>
          </cell>
          <cell r="B332" t="str">
            <v>AS19</v>
          </cell>
          <cell r="Q332">
            <v>24934</v>
          </cell>
        </row>
        <row r="333">
          <cell r="A333" t="str">
            <v>Road</v>
          </cell>
          <cell r="B333" t="str">
            <v>AS19</v>
          </cell>
          <cell r="Q333">
            <v>24934</v>
          </cell>
        </row>
        <row r="334">
          <cell r="A334" t="str">
            <v>Road</v>
          </cell>
          <cell r="B334" t="str">
            <v>AS19</v>
          </cell>
          <cell r="Q334">
            <v>147800</v>
          </cell>
        </row>
        <row r="335">
          <cell r="A335" t="str">
            <v>Road</v>
          </cell>
          <cell r="B335" t="str">
            <v>AS19</v>
          </cell>
          <cell r="Q335">
            <v>25390196.800000001</v>
          </cell>
        </row>
        <row r="336">
          <cell r="A336" t="str">
            <v>Road</v>
          </cell>
          <cell r="B336" t="str">
            <v>BDA</v>
          </cell>
          <cell r="Q336">
            <v>120500</v>
          </cell>
        </row>
        <row r="337">
          <cell r="A337" t="str">
            <v>Road</v>
          </cell>
          <cell r="B337" t="str">
            <v>BDA</v>
          </cell>
          <cell r="Q337">
            <v>389852</v>
          </cell>
        </row>
        <row r="338">
          <cell r="A338" t="str">
            <v>Road</v>
          </cell>
          <cell r="B338" t="str">
            <v>BDA</v>
          </cell>
          <cell r="Q338">
            <v>389852</v>
          </cell>
        </row>
        <row r="339">
          <cell r="A339" t="str">
            <v>Road</v>
          </cell>
          <cell r="B339" t="str">
            <v>BDA</v>
          </cell>
          <cell r="Q339">
            <v>74812.5</v>
          </cell>
        </row>
        <row r="340">
          <cell r="A340" t="str">
            <v>Road</v>
          </cell>
          <cell r="B340" t="str">
            <v>BDA</v>
          </cell>
          <cell r="Q340">
            <v>623872</v>
          </cell>
        </row>
        <row r="341">
          <cell r="A341" t="str">
            <v>Road</v>
          </cell>
          <cell r="B341" t="str">
            <v>BDA</v>
          </cell>
          <cell r="Q341">
            <v>724496.75</v>
          </cell>
        </row>
        <row r="342">
          <cell r="A342" t="str">
            <v>Road</v>
          </cell>
          <cell r="B342" t="str">
            <v>BDA</v>
          </cell>
          <cell r="Q342">
            <v>654432</v>
          </cell>
        </row>
        <row r="343">
          <cell r="A343" t="str">
            <v>Road</v>
          </cell>
          <cell r="B343" t="str">
            <v>BDA</v>
          </cell>
          <cell r="Q343">
            <v>2163894</v>
          </cell>
        </row>
        <row r="344">
          <cell r="A344" t="str">
            <v>Road</v>
          </cell>
          <cell r="B344" t="str">
            <v>BDA</v>
          </cell>
          <cell r="Q344">
            <v>1339638</v>
          </cell>
        </row>
        <row r="345">
          <cell r="A345" t="str">
            <v>Road</v>
          </cell>
          <cell r="B345" t="str">
            <v>BDA</v>
          </cell>
          <cell r="Q345">
            <v>1339638</v>
          </cell>
        </row>
        <row r="346">
          <cell r="A346" t="str">
            <v>Road</v>
          </cell>
          <cell r="B346" t="str">
            <v>BDA</v>
          </cell>
          <cell r="Q346">
            <v>977179.48</v>
          </cell>
        </row>
        <row r="347">
          <cell r="A347" t="str">
            <v>Road</v>
          </cell>
          <cell r="B347" t="str">
            <v>BDA</v>
          </cell>
          <cell r="Q347">
            <v>973129.48</v>
          </cell>
        </row>
        <row r="348">
          <cell r="A348" t="str">
            <v>Road</v>
          </cell>
          <cell r="B348" t="str">
            <v>BDA</v>
          </cell>
          <cell r="Q348">
            <v>1339638</v>
          </cell>
        </row>
        <row r="349">
          <cell r="A349" t="str">
            <v>Road</v>
          </cell>
          <cell r="B349" t="str">
            <v>BDA</v>
          </cell>
          <cell r="Q349">
            <v>1339638</v>
          </cell>
        </row>
        <row r="350">
          <cell r="A350" t="str">
            <v>Road</v>
          </cell>
          <cell r="B350" t="str">
            <v>BDA</v>
          </cell>
          <cell r="Q350">
            <v>1168173</v>
          </cell>
        </row>
        <row r="351">
          <cell r="A351" t="str">
            <v>Road</v>
          </cell>
          <cell r="B351" t="str">
            <v>BDA</v>
          </cell>
          <cell r="Q351">
            <v>977179.48</v>
          </cell>
        </row>
        <row r="352">
          <cell r="A352" t="str">
            <v>Road</v>
          </cell>
          <cell r="B352" t="str">
            <v>BDA</v>
          </cell>
          <cell r="Q352">
            <v>973129.48</v>
          </cell>
        </row>
        <row r="353">
          <cell r="A353" t="str">
            <v>Road</v>
          </cell>
          <cell r="B353" t="str">
            <v>BDA</v>
          </cell>
          <cell r="Q353">
            <v>2936303.8</v>
          </cell>
        </row>
        <row r="354">
          <cell r="A354" t="str">
            <v>Road</v>
          </cell>
          <cell r="B354" t="str">
            <v>BDA</v>
          </cell>
          <cell r="Q354">
            <v>618000</v>
          </cell>
        </row>
        <row r="355">
          <cell r="A355" t="str">
            <v>Road</v>
          </cell>
          <cell r="B355" t="str">
            <v>BDA</v>
          </cell>
          <cell r="Q355">
            <v>67600</v>
          </cell>
        </row>
        <row r="356">
          <cell r="A356" t="str">
            <v>Road</v>
          </cell>
          <cell r="B356" t="str">
            <v>BDA</v>
          </cell>
          <cell r="Q356">
            <v>67600</v>
          </cell>
        </row>
        <row r="357">
          <cell r="A357" t="str">
            <v>Road</v>
          </cell>
          <cell r="B357" t="str">
            <v>BDA</v>
          </cell>
          <cell r="Q357">
            <v>48193173</v>
          </cell>
        </row>
        <row r="358">
          <cell r="A358" t="str">
            <v>Road</v>
          </cell>
          <cell r="B358" t="str">
            <v>BDA</v>
          </cell>
          <cell r="Q358">
            <v>4222987.5999999996</v>
          </cell>
        </row>
        <row r="359">
          <cell r="A359" t="str">
            <v>Road</v>
          </cell>
          <cell r="B359" t="str">
            <v>BDA</v>
          </cell>
          <cell r="Q359">
            <v>190000</v>
          </cell>
        </row>
        <row r="360">
          <cell r="A360" t="str">
            <v>Road</v>
          </cell>
          <cell r="B360" t="str">
            <v>BDA</v>
          </cell>
          <cell r="Q360">
            <v>1268169</v>
          </cell>
        </row>
        <row r="361">
          <cell r="A361" t="str">
            <v>Road</v>
          </cell>
          <cell r="B361" t="str">
            <v>BDA</v>
          </cell>
          <cell r="Q361">
            <v>1268169</v>
          </cell>
        </row>
        <row r="362">
          <cell r="A362" t="str">
            <v>Road</v>
          </cell>
          <cell r="B362" t="str">
            <v>BDA</v>
          </cell>
          <cell r="Q362">
            <v>1554641.6</v>
          </cell>
        </row>
        <row r="363">
          <cell r="A363" t="str">
            <v>Road</v>
          </cell>
          <cell r="B363" t="str">
            <v>BDA</v>
          </cell>
          <cell r="Q363">
            <v>1551613</v>
          </cell>
        </row>
        <row r="364">
          <cell r="A364" t="str">
            <v>Road</v>
          </cell>
          <cell r="B364" t="str">
            <v>BDA</v>
          </cell>
          <cell r="Q364">
            <v>1551613</v>
          </cell>
        </row>
        <row r="365">
          <cell r="A365" t="str">
            <v>Road</v>
          </cell>
          <cell r="B365" t="str">
            <v>BDA</v>
          </cell>
          <cell r="Q365">
            <v>1551613</v>
          </cell>
        </row>
        <row r="366">
          <cell r="A366" t="str">
            <v>Road</v>
          </cell>
          <cell r="B366" t="str">
            <v>BDA</v>
          </cell>
          <cell r="Q366">
            <v>1551613</v>
          </cell>
        </row>
        <row r="367">
          <cell r="A367" t="str">
            <v>Road</v>
          </cell>
          <cell r="B367" t="str">
            <v>BDA</v>
          </cell>
          <cell r="Q367">
            <v>1551614</v>
          </cell>
        </row>
        <row r="368">
          <cell r="A368" t="str">
            <v>Road</v>
          </cell>
          <cell r="B368" t="str">
            <v>BDA</v>
          </cell>
          <cell r="Q368">
            <v>1551614</v>
          </cell>
        </row>
        <row r="369">
          <cell r="A369" t="str">
            <v>Road</v>
          </cell>
          <cell r="B369" t="str">
            <v>BDA</v>
          </cell>
          <cell r="Q369">
            <v>771682</v>
          </cell>
        </row>
        <row r="370">
          <cell r="A370" t="str">
            <v>Road</v>
          </cell>
          <cell r="B370" t="str">
            <v>BDA</v>
          </cell>
          <cell r="Q370">
            <v>746340</v>
          </cell>
        </row>
        <row r="371">
          <cell r="A371" t="str">
            <v>Road</v>
          </cell>
          <cell r="B371" t="str">
            <v>BDA</v>
          </cell>
          <cell r="Q371">
            <v>2209830</v>
          </cell>
        </row>
        <row r="372">
          <cell r="A372" t="str">
            <v>Road</v>
          </cell>
          <cell r="B372" t="str">
            <v>BDA</v>
          </cell>
          <cell r="Q372">
            <v>2488693</v>
          </cell>
        </row>
        <row r="373">
          <cell r="A373" t="str">
            <v>Road</v>
          </cell>
          <cell r="B373" t="str">
            <v>BDA</v>
          </cell>
          <cell r="Q373">
            <v>2303494</v>
          </cell>
        </row>
        <row r="374">
          <cell r="A374" t="str">
            <v>Road</v>
          </cell>
          <cell r="B374" t="str">
            <v>BDA</v>
          </cell>
          <cell r="Q374">
            <v>3354680</v>
          </cell>
        </row>
        <row r="375">
          <cell r="A375" t="str">
            <v>Road</v>
          </cell>
          <cell r="B375" t="str">
            <v>BDA</v>
          </cell>
          <cell r="Q375">
            <v>520000</v>
          </cell>
        </row>
        <row r="376">
          <cell r="A376" t="str">
            <v>Road</v>
          </cell>
          <cell r="B376" t="str">
            <v>BDA</v>
          </cell>
          <cell r="Q376">
            <v>300000</v>
          </cell>
        </row>
        <row r="377">
          <cell r="A377" t="str">
            <v>Road</v>
          </cell>
          <cell r="B377" t="str">
            <v>BDA</v>
          </cell>
          <cell r="Q377">
            <v>80585</v>
          </cell>
        </row>
        <row r="378">
          <cell r="A378" t="str">
            <v>Road</v>
          </cell>
          <cell r="B378" t="str">
            <v>BDA</v>
          </cell>
          <cell r="Q378">
            <v>510000</v>
          </cell>
        </row>
        <row r="379">
          <cell r="A379" t="str">
            <v>Road</v>
          </cell>
          <cell r="B379" t="str">
            <v>BDA</v>
          </cell>
          <cell r="Q379">
            <v>546000</v>
          </cell>
        </row>
        <row r="380">
          <cell r="A380" t="str">
            <v>Road</v>
          </cell>
          <cell r="B380" t="str">
            <v>BDA</v>
          </cell>
          <cell r="Q380">
            <v>50652.55</v>
          </cell>
        </row>
        <row r="381">
          <cell r="A381" t="str">
            <v>Road</v>
          </cell>
          <cell r="B381" t="str">
            <v>BDA</v>
          </cell>
          <cell r="Q381">
            <v>2024199</v>
          </cell>
        </row>
        <row r="382">
          <cell r="A382" t="str">
            <v>Road</v>
          </cell>
          <cell r="B382" t="str">
            <v>BDA</v>
          </cell>
          <cell r="Q382">
            <v>3818342</v>
          </cell>
        </row>
        <row r="383">
          <cell r="A383" t="str">
            <v>Road</v>
          </cell>
          <cell r="B383" t="str">
            <v>BDA</v>
          </cell>
          <cell r="Q383">
            <v>5472982</v>
          </cell>
        </row>
        <row r="384">
          <cell r="A384" t="str">
            <v>Road</v>
          </cell>
          <cell r="B384" t="str">
            <v>BDA</v>
          </cell>
          <cell r="Q384">
            <v>23920</v>
          </cell>
        </row>
        <row r="385">
          <cell r="A385" t="str">
            <v>Road</v>
          </cell>
          <cell r="B385" t="str">
            <v>BDA</v>
          </cell>
          <cell r="Q385">
            <v>2801734.5</v>
          </cell>
        </row>
        <row r="386">
          <cell r="A386" t="str">
            <v>Road</v>
          </cell>
          <cell r="B386" t="str">
            <v>BDA</v>
          </cell>
          <cell r="Q386">
            <v>2801734.5</v>
          </cell>
        </row>
        <row r="387">
          <cell r="A387" t="str">
            <v>Road</v>
          </cell>
          <cell r="B387" t="str">
            <v>BDA</v>
          </cell>
          <cell r="Q387">
            <v>453280</v>
          </cell>
        </row>
        <row r="388">
          <cell r="A388" t="str">
            <v>Road</v>
          </cell>
          <cell r="B388" t="str">
            <v>BDA</v>
          </cell>
          <cell r="Q388">
            <v>398372</v>
          </cell>
        </row>
        <row r="389">
          <cell r="A389" t="str">
            <v>Road</v>
          </cell>
          <cell r="B389" t="str">
            <v>BDA</v>
          </cell>
          <cell r="Q389">
            <v>296800</v>
          </cell>
        </row>
        <row r="390">
          <cell r="A390" t="str">
            <v>Road</v>
          </cell>
          <cell r="B390" t="str">
            <v>CG1</v>
          </cell>
          <cell r="Q390">
            <v>717000</v>
          </cell>
        </row>
        <row r="391">
          <cell r="A391" t="str">
            <v>Road</v>
          </cell>
          <cell r="B391" t="str">
            <v>CG1</v>
          </cell>
          <cell r="Q391">
            <v>500625</v>
          </cell>
        </row>
        <row r="392">
          <cell r="A392" t="str">
            <v>Road</v>
          </cell>
          <cell r="B392" t="str">
            <v>CG1</v>
          </cell>
          <cell r="Q392">
            <v>166345</v>
          </cell>
        </row>
        <row r="393">
          <cell r="A393" t="str">
            <v>Road</v>
          </cell>
          <cell r="B393" t="str">
            <v>CG1</v>
          </cell>
          <cell r="Q393">
            <v>2133610</v>
          </cell>
        </row>
        <row r="394">
          <cell r="A394" t="str">
            <v>Road</v>
          </cell>
          <cell r="B394" t="str">
            <v>CG1</v>
          </cell>
          <cell r="Q394">
            <v>3686431</v>
          </cell>
        </row>
        <row r="395">
          <cell r="A395" t="str">
            <v>Road</v>
          </cell>
          <cell r="B395" t="str">
            <v>CG1</v>
          </cell>
          <cell r="Q395">
            <v>3599848</v>
          </cell>
        </row>
        <row r="396">
          <cell r="A396" t="str">
            <v>Road</v>
          </cell>
          <cell r="B396" t="str">
            <v>CG1</v>
          </cell>
          <cell r="Q396">
            <v>71176</v>
          </cell>
        </row>
        <row r="397">
          <cell r="A397" t="str">
            <v>Road</v>
          </cell>
          <cell r="B397" t="str">
            <v>CG1</v>
          </cell>
          <cell r="Q397">
            <v>386239</v>
          </cell>
        </row>
        <row r="398">
          <cell r="A398" t="str">
            <v>Road</v>
          </cell>
          <cell r="B398" t="str">
            <v>CG1</v>
          </cell>
          <cell r="Q398">
            <v>113300</v>
          </cell>
        </row>
        <row r="399">
          <cell r="A399" t="str">
            <v>Road</v>
          </cell>
          <cell r="B399" t="str">
            <v>CG1</v>
          </cell>
          <cell r="Q399">
            <v>734161</v>
          </cell>
        </row>
        <row r="400">
          <cell r="A400" t="str">
            <v>Road</v>
          </cell>
          <cell r="B400" t="str">
            <v>CG1</v>
          </cell>
          <cell r="Q400">
            <v>1858164</v>
          </cell>
        </row>
        <row r="401">
          <cell r="A401" t="str">
            <v>Road</v>
          </cell>
          <cell r="B401" t="str">
            <v>CG1</v>
          </cell>
          <cell r="Q401">
            <v>163968</v>
          </cell>
        </row>
        <row r="402">
          <cell r="A402" t="str">
            <v>Road</v>
          </cell>
          <cell r="B402" t="str">
            <v>CG1</v>
          </cell>
          <cell r="Q402">
            <v>2458287</v>
          </cell>
        </row>
        <row r="403">
          <cell r="A403" t="str">
            <v>Road</v>
          </cell>
          <cell r="B403" t="str">
            <v>CG1</v>
          </cell>
          <cell r="Q403">
            <v>952977</v>
          </cell>
        </row>
        <row r="404">
          <cell r="A404" t="str">
            <v>Road</v>
          </cell>
          <cell r="B404" t="str">
            <v>CG1</v>
          </cell>
          <cell r="Q404">
            <v>952977</v>
          </cell>
        </row>
        <row r="405">
          <cell r="A405" t="str">
            <v>Road</v>
          </cell>
          <cell r="B405" t="str">
            <v>CG1</v>
          </cell>
          <cell r="Q405">
            <v>952977</v>
          </cell>
        </row>
        <row r="406">
          <cell r="A406" t="str">
            <v>Road</v>
          </cell>
          <cell r="B406" t="str">
            <v>CG1</v>
          </cell>
          <cell r="Q406">
            <v>24873846</v>
          </cell>
        </row>
        <row r="407">
          <cell r="A407" t="str">
            <v>Road</v>
          </cell>
          <cell r="B407" t="str">
            <v>CG1</v>
          </cell>
          <cell r="Q407">
            <v>74701</v>
          </cell>
        </row>
        <row r="408">
          <cell r="A408" t="str">
            <v>Road</v>
          </cell>
          <cell r="B408" t="str">
            <v>CG1</v>
          </cell>
          <cell r="Q408">
            <v>310756</v>
          </cell>
        </row>
        <row r="409">
          <cell r="A409" t="str">
            <v>Road</v>
          </cell>
          <cell r="B409" t="str">
            <v>CG1</v>
          </cell>
          <cell r="Q409">
            <v>310756</v>
          </cell>
        </row>
        <row r="410">
          <cell r="A410" t="str">
            <v>Road</v>
          </cell>
          <cell r="B410" t="str">
            <v>CG1</v>
          </cell>
          <cell r="Q410">
            <v>136750</v>
          </cell>
        </row>
        <row r="411">
          <cell r="A411" t="str">
            <v>Road</v>
          </cell>
          <cell r="B411" t="str">
            <v>CG1</v>
          </cell>
          <cell r="Q411">
            <v>136750</v>
          </cell>
        </row>
        <row r="412">
          <cell r="A412" t="str">
            <v>Road</v>
          </cell>
          <cell r="B412" t="str">
            <v>CG1</v>
          </cell>
          <cell r="Q412">
            <v>952926</v>
          </cell>
        </row>
        <row r="413">
          <cell r="A413" t="str">
            <v>Road</v>
          </cell>
          <cell r="B413" t="str">
            <v>CG1</v>
          </cell>
          <cell r="Q413">
            <v>952926</v>
          </cell>
        </row>
        <row r="414">
          <cell r="A414" t="str">
            <v>Road</v>
          </cell>
          <cell r="B414" t="str">
            <v>CG1</v>
          </cell>
          <cell r="Q414">
            <v>952926</v>
          </cell>
        </row>
        <row r="415">
          <cell r="A415" t="str">
            <v>Road</v>
          </cell>
          <cell r="B415" t="str">
            <v>CG1</v>
          </cell>
          <cell r="Q415">
            <v>952926</v>
          </cell>
        </row>
        <row r="416">
          <cell r="A416" t="str">
            <v>Road</v>
          </cell>
          <cell r="B416" t="str">
            <v>CG1</v>
          </cell>
          <cell r="Q416">
            <v>952928</v>
          </cell>
        </row>
        <row r="417">
          <cell r="A417" t="str">
            <v>Road</v>
          </cell>
          <cell r="B417" t="str">
            <v>CG1</v>
          </cell>
          <cell r="Q417">
            <v>0</v>
          </cell>
        </row>
        <row r="418">
          <cell r="A418" t="str">
            <v>Road</v>
          </cell>
          <cell r="B418" t="str">
            <v>CG1</v>
          </cell>
          <cell r="Q418">
            <v>952926</v>
          </cell>
        </row>
        <row r="419">
          <cell r="A419" t="str">
            <v>Road</v>
          </cell>
          <cell r="B419" t="str">
            <v>CG1</v>
          </cell>
          <cell r="Q419">
            <v>952926</v>
          </cell>
        </row>
        <row r="420">
          <cell r="A420" t="str">
            <v>Road</v>
          </cell>
          <cell r="B420" t="str">
            <v>CG1</v>
          </cell>
          <cell r="Q420">
            <v>952926</v>
          </cell>
        </row>
        <row r="421">
          <cell r="A421" t="str">
            <v>Road</v>
          </cell>
          <cell r="B421" t="str">
            <v>CG1</v>
          </cell>
          <cell r="Q421">
            <v>952926</v>
          </cell>
        </row>
        <row r="422">
          <cell r="A422" t="str">
            <v>Road</v>
          </cell>
          <cell r="B422" t="str">
            <v>CG1</v>
          </cell>
          <cell r="Q422">
            <v>952926</v>
          </cell>
        </row>
        <row r="423">
          <cell r="A423" t="str">
            <v>Road</v>
          </cell>
          <cell r="B423" t="str">
            <v>CG1</v>
          </cell>
          <cell r="Q423">
            <v>952926</v>
          </cell>
        </row>
        <row r="424">
          <cell r="A424" t="str">
            <v>Road</v>
          </cell>
          <cell r="B424" t="str">
            <v>CG1</v>
          </cell>
          <cell r="Q424">
            <v>952926</v>
          </cell>
        </row>
        <row r="425">
          <cell r="A425" t="str">
            <v>Road</v>
          </cell>
          <cell r="B425" t="str">
            <v>CG1</v>
          </cell>
          <cell r="Q425">
            <v>952926</v>
          </cell>
        </row>
        <row r="426">
          <cell r="A426" t="str">
            <v>Road</v>
          </cell>
          <cell r="B426" t="str">
            <v>CG1</v>
          </cell>
          <cell r="Q426">
            <v>952926</v>
          </cell>
        </row>
        <row r="427">
          <cell r="A427" t="str">
            <v>Road</v>
          </cell>
          <cell r="B427" t="str">
            <v>CG1</v>
          </cell>
          <cell r="Q427">
            <v>952926</v>
          </cell>
        </row>
        <row r="428">
          <cell r="A428" t="str">
            <v>Road</v>
          </cell>
          <cell r="B428" t="str">
            <v>CG1</v>
          </cell>
          <cell r="Q428">
            <v>952926</v>
          </cell>
        </row>
        <row r="429">
          <cell r="A429" t="str">
            <v>Road</v>
          </cell>
          <cell r="B429" t="str">
            <v>CG1</v>
          </cell>
          <cell r="Q429">
            <v>952926</v>
          </cell>
        </row>
        <row r="430">
          <cell r="A430" t="str">
            <v>Road</v>
          </cell>
          <cell r="B430" t="str">
            <v>CG1</v>
          </cell>
          <cell r="Q430">
            <v>952926</v>
          </cell>
        </row>
        <row r="431">
          <cell r="A431" t="str">
            <v>Road</v>
          </cell>
          <cell r="B431" t="str">
            <v>CG1</v>
          </cell>
          <cell r="Q431">
            <v>952926</v>
          </cell>
        </row>
        <row r="432">
          <cell r="A432" t="str">
            <v>Road</v>
          </cell>
          <cell r="B432" t="str">
            <v>CG1</v>
          </cell>
          <cell r="Q432">
            <v>952926</v>
          </cell>
        </row>
        <row r="433">
          <cell r="A433" t="str">
            <v>Road</v>
          </cell>
          <cell r="B433" t="str">
            <v>CG1</v>
          </cell>
          <cell r="Q433">
            <v>1322132</v>
          </cell>
        </row>
        <row r="434">
          <cell r="A434" t="str">
            <v>Road</v>
          </cell>
          <cell r="B434" t="str">
            <v>CG1</v>
          </cell>
          <cell r="Q434">
            <v>2183611</v>
          </cell>
        </row>
        <row r="435">
          <cell r="A435" t="str">
            <v>Road</v>
          </cell>
          <cell r="B435" t="str">
            <v>CG1</v>
          </cell>
          <cell r="Q435">
            <v>1302161.8799999999</v>
          </cell>
        </row>
        <row r="436">
          <cell r="A436" t="str">
            <v>Road</v>
          </cell>
          <cell r="B436" t="str">
            <v>CG1</v>
          </cell>
          <cell r="Q436">
            <v>2320568</v>
          </cell>
        </row>
        <row r="437">
          <cell r="A437" t="str">
            <v>Road</v>
          </cell>
          <cell r="B437" t="str">
            <v>CG1</v>
          </cell>
          <cell r="Q437">
            <v>544710</v>
          </cell>
        </row>
        <row r="438">
          <cell r="A438" t="str">
            <v>Road</v>
          </cell>
          <cell r="B438" t="str">
            <v>CG1</v>
          </cell>
          <cell r="Q438">
            <v>544710</v>
          </cell>
        </row>
        <row r="439">
          <cell r="A439" t="str">
            <v>Road</v>
          </cell>
          <cell r="B439" t="str">
            <v>CG1</v>
          </cell>
          <cell r="Q439">
            <v>0</v>
          </cell>
        </row>
        <row r="440">
          <cell r="A440" t="str">
            <v>Road</v>
          </cell>
          <cell r="B440" t="str">
            <v>CG1</v>
          </cell>
          <cell r="Q440">
            <v>724496.75</v>
          </cell>
        </row>
        <row r="441">
          <cell r="A441" t="str">
            <v>Road</v>
          </cell>
          <cell r="B441" t="str">
            <v>CG1</v>
          </cell>
          <cell r="Q441">
            <v>11115</v>
          </cell>
        </row>
        <row r="442">
          <cell r="A442" t="str">
            <v>Road</v>
          </cell>
          <cell r="B442" t="str">
            <v>CG1</v>
          </cell>
          <cell r="Q442">
            <v>724496.75</v>
          </cell>
        </row>
        <row r="443">
          <cell r="A443" t="str">
            <v>Road</v>
          </cell>
          <cell r="B443" t="str">
            <v>CG1</v>
          </cell>
          <cell r="Q443">
            <v>724496.75</v>
          </cell>
        </row>
        <row r="444">
          <cell r="A444" t="str">
            <v>Road</v>
          </cell>
          <cell r="B444" t="str">
            <v>CG1</v>
          </cell>
          <cell r="Q444">
            <v>1165195</v>
          </cell>
        </row>
        <row r="445">
          <cell r="A445" t="str">
            <v>Road</v>
          </cell>
          <cell r="B445" t="str">
            <v>CG1</v>
          </cell>
          <cell r="Q445">
            <v>1165196</v>
          </cell>
        </row>
        <row r="446">
          <cell r="A446" t="str">
            <v>Road</v>
          </cell>
          <cell r="B446" t="str">
            <v>CG1</v>
          </cell>
          <cell r="Q446">
            <v>1165196</v>
          </cell>
        </row>
        <row r="447">
          <cell r="A447" t="str">
            <v>Road</v>
          </cell>
          <cell r="B447" t="str">
            <v>CG1</v>
          </cell>
          <cell r="Q447">
            <v>1165196</v>
          </cell>
        </row>
        <row r="448">
          <cell r="A448" t="str">
            <v>Road</v>
          </cell>
          <cell r="B448" t="str">
            <v>CG1</v>
          </cell>
          <cell r="Q448">
            <v>4096029.1</v>
          </cell>
        </row>
        <row r="449">
          <cell r="A449" t="str">
            <v>Road</v>
          </cell>
          <cell r="B449" t="str">
            <v>CG1</v>
          </cell>
          <cell r="Q449">
            <v>4273127</v>
          </cell>
        </row>
        <row r="450">
          <cell r="A450" t="str">
            <v>Road</v>
          </cell>
          <cell r="B450" t="str">
            <v>CG1</v>
          </cell>
          <cell r="Q450">
            <v>544710</v>
          </cell>
        </row>
        <row r="451">
          <cell r="A451" t="str">
            <v>Road</v>
          </cell>
          <cell r="B451" t="str">
            <v>CG1</v>
          </cell>
          <cell r="Q451">
            <v>353322</v>
          </cell>
        </row>
        <row r="452">
          <cell r="A452" t="str">
            <v>Road</v>
          </cell>
          <cell r="B452" t="str">
            <v>CG1</v>
          </cell>
          <cell r="Q452">
            <v>2573509</v>
          </cell>
        </row>
        <row r="453">
          <cell r="A453" t="str">
            <v>Road</v>
          </cell>
          <cell r="B453" t="str">
            <v>CG1</v>
          </cell>
          <cell r="Q453">
            <v>1801445</v>
          </cell>
        </row>
        <row r="454">
          <cell r="A454" t="str">
            <v>Road</v>
          </cell>
          <cell r="B454" t="str">
            <v>CG1</v>
          </cell>
          <cell r="Q454">
            <v>4276904.68</v>
          </cell>
        </row>
        <row r="455">
          <cell r="A455" t="str">
            <v>Road</v>
          </cell>
          <cell r="B455" t="str">
            <v>CG1</v>
          </cell>
          <cell r="Q455">
            <v>609669.5</v>
          </cell>
        </row>
        <row r="456">
          <cell r="A456" t="str">
            <v>Road</v>
          </cell>
          <cell r="B456" t="str">
            <v>CG1</v>
          </cell>
          <cell r="Q456">
            <v>620948</v>
          </cell>
        </row>
        <row r="457">
          <cell r="A457" t="str">
            <v>Road</v>
          </cell>
          <cell r="B457" t="str">
            <v>CG1</v>
          </cell>
          <cell r="Q457">
            <v>18779900</v>
          </cell>
        </row>
        <row r="458">
          <cell r="A458" t="str">
            <v>Road</v>
          </cell>
          <cell r="B458" t="str">
            <v>CG1</v>
          </cell>
          <cell r="Q458">
            <v>718295</v>
          </cell>
        </row>
        <row r="459">
          <cell r="A459" t="str">
            <v>Road</v>
          </cell>
          <cell r="B459" t="str">
            <v>CG1</v>
          </cell>
          <cell r="Q459">
            <v>618000</v>
          </cell>
        </row>
        <row r="460">
          <cell r="A460" t="str">
            <v>Road</v>
          </cell>
          <cell r="B460" t="str">
            <v>CG1</v>
          </cell>
          <cell r="Q460">
            <v>238314.5</v>
          </cell>
        </row>
        <row r="461">
          <cell r="A461" t="str">
            <v>Road</v>
          </cell>
          <cell r="B461" t="str">
            <v>CG1</v>
          </cell>
          <cell r="Q461">
            <v>2665062.3999999999</v>
          </cell>
        </row>
        <row r="462">
          <cell r="A462" t="str">
            <v>Road</v>
          </cell>
          <cell r="B462" t="str">
            <v>CG1</v>
          </cell>
          <cell r="Q462">
            <v>1729718</v>
          </cell>
        </row>
        <row r="463">
          <cell r="A463" t="str">
            <v>Road</v>
          </cell>
          <cell r="B463" t="str">
            <v>CG1</v>
          </cell>
          <cell r="Q463">
            <v>1729718</v>
          </cell>
        </row>
        <row r="464">
          <cell r="A464" t="str">
            <v>Road</v>
          </cell>
          <cell r="B464" t="str">
            <v>CG1</v>
          </cell>
          <cell r="Q464">
            <v>1729718</v>
          </cell>
        </row>
        <row r="465">
          <cell r="A465" t="str">
            <v>Road</v>
          </cell>
          <cell r="B465" t="str">
            <v>CG1</v>
          </cell>
          <cell r="Q465">
            <v>1729718</v>
          </cell>
        </row>
        <row r="466">
          <cell r="A466" t="str">
            <v>Road</v>
          </cell>
          <cell r="B466" t="str">
            <v>CG1</v>
          </cell>
          <cell r="Q466">
            <v>1729718</v>
          </cell>
        </row>
        <row r="467">
          <cell r="A467" t="str">
            <v>Road</v>
          </cell>
          <cell r="B467" t="str">
            <v>CG1</v>
          </cell>
          <cell r="Q467">
            <v>4241447.2</v>
          </cell>
        </row>
        <row r="468">
          <cell r="A468" t="str">
            <v>Road</v>
          </cell>
          <cell r="B468" t="str">
            <v>CG1</v>
          </cell>
          <cell r="Q468">
            <v>4211947.2</v>
          </cell>
        </row>
        <row r="469">
          <cell r="A469" t="str">
            <v>Road</v>
          </cell>
          <cell r="B469" t="str">
            <v>CG1</v>
          </cell>
          <cell r="Q469">
            <v>553000</v>
          </cell>
        </row>
        <row r="470">
          <cell r="A470" t="str">
            <v>Road</v>
          </cell>
          <cell r="B470" t="str">
            <v>CG1</v>
          </cell>
          <cell r="Q470">
            <v>1248000</v>
          </cell>
        </row>
        <row r="471">
          <cell r="A471" t="str">
            <v>Road</v>
          </cell>
          <cell r="B471" t="str">
            <v>CG1</v>
          </cell>
          <cell r="Q471">
            <v>2082273</v>
          </cell>
        </row>
        <row r="472">
          <cell r="A472" t="str">
            <v>Road</v>
          </cell>
          <cell r="B472" t="str">
            <v>CG1</v>
          </cell>
          <cell r="Q472">
            <v>2034722.2</v>
          </cell>
        </row>
        <row r="473">
          <cell r="A473" t="str">
            <v>Road</v>
          </cell>
          <cell r="B473" t="str">
            <v>CG1</v>
          </cell>
          <cell r="Q473">
            <v>446100</v>
          </cell>
        </row>
        <row r="474">
          <cell r="A474" t="str">
            <v>Road</v>
          </cell>
          <cell r="B474" t="str">
            <v>CG1</v>
          </cell>
          <cell r="Q474">
            <v>391495.52</v>
          </cell>
        </row>
        <row r="475">
          <cell r="A475" t="str">
            <v>Road</v>
          </cell>
          <cell r="B475" t="str">
            <v>CG1</v>
          </cell>
          <cell r="Q475">
            <v>79695</v>
          </cell>
        </row>
        <row r="476">
          <cell r="A476" t="str">
            <v>Road</v>
          </cell>
          <cell r="B476" t="str">
            <v>CG1</v>
          </cell>
          <cell r="Q476">
            <v>16800.16</v>
          </cell>
        </row>
        <row r="477">
          <cell r="A477" t="str">
            <v>Road</v>
          </cell>
          <cell r="B477" t="str">
            <v>CG1</v>
          </cell>
          <cell r="Q477">
            <v>31428.799999999999</v>
          </cell>
        </row>
        <row r="478">
          <cell r="A478" t="str">
            <v>Road</v>
          </cell>
          <cell r="B478" t="str">
            <v>CG1</v>
          </cell>
          <cell r="Q478">
            <v>11250</v>
          </cell>
        </row>
        <row r="479">
          <cell r="A479" t="str">
            <v>Road</v>
          </cell>
          <cell r="B479" t="str">
            <v>CG1</v>
          </cell>
          <cell r="Q479">
            <v>12600</v>
          </cell>
        </row>
        <row r="480">
          <cell r="A480" t="str">
            <v>Road</v>
          </cell>
          <cell r="B480" t="str">
            <v>CG1</v>
          </cell>
          <cell r="Q480">
            <v>39375</v>
          </cell>
        </row>
        <row r="481">
          <cell r="A481" t="str">
            <v>Road</v>
          </cell>
          <cell r="B481" t="str">
            <v>CG2</v>
          </cell>
          <cell r="Q481">
            <v>590625</v>
          </cell>
        </row>
        <row r="482">
          <cell r="A482" t="str">
            <v>Road</v>
          </cell>
          <cell r="B482" t="str">
            <v>CG2</v>
          </cell>
          <cell r="Q482">
            <v>46436</v>
          </cell>
        </row>
        <row r="483">
          <cell r="A483" t="str">
            <v>Road</v>
          </cell>
          <cell r="B483" t="str">
            <v>CG2</v>
          </cell>
          <cell r="Q483">
            <v>119600</v>
          </cell>
        </row>
        <row r="484">
          <cell r="A484" t="str">
            <v>Road</v>
          </cell>
          <cell r="B484" t="str">
            <v>CG2</v>
          </cell>
          <cell r="Q484">
            <v>372926</v>
          </cell>
        </row>
        <row r="485">
          <cell r="A485" t="str">
            <v>Road</v>
          </cell>
          <cell r="B485" t="str">
            <v>CG2</v>
          </cell>
          <cell r="Q485">
            <v>1301497</v>
          </cell>
        </row>
        <row r="486">
          <cell r="A486" t="str">
            <v>Road</v>
          </cell>
          <cell r="B486" t="str">
            <v>CG2</v>
          </cell>
          <cell r="Q486">
            <v>74740</v>
          </cell>
        </row>
        <row r="487">
          <cell r="A487" t="str">
            <v>Road</v>
          </cell>
          <cell r="B487" t="str">
            <v>CG2</v>
          </cell>
          <cell r="Q487">
            <v>29128031</v>
          </cell>
        </row>
        <row r="488">
          <cell r="A488" t="str">
            <v>Road</v>
          </cell>
          <cell r="B488" t="str">
            <v>CG2</v>
          </cell>
          <cell r="Q488">
            <v>0</v>
          </cell>
        </row>
        <row r="489">
          <cell r="A489" t="str">
            <v>Road</v>
          </cell>
          <cell r="B489" t="str">
            <v>CG2</v>
          </cell>
          <cell r="Q489">
            <v>717000</v>
          </cell>
        </row>
        <row r="490">
          <cell r="A490" t="str">
            <v>Road</v>
          </cell>
          <cell r="B490" t="str">
            <v>CG2</v>
          </cell>
          <cell r="Q490">
            <v>3669691</v>
          </cell>
        </row>
        <row r="491">
          <cell r="A491" t="str">
            <v>Road</v>
          </cell>
          <cell r="B491" t="str">
            <v>CG2</v>
          </cell>
          <cell r="Q491">
            <v>27802553</v>
          </cell>
        </row>
        <row r="492">
          <cell r="A492" t="str">
            <v>Road</v>
          </cell>
          <cell r="B492" t="str">
            <v>CG2</v>
          </cell>
          <cell r="Q492">
            <v>2249125</v>
          </cell>
        </row>
        <row r="493">
          <cell r="A493" t="str">
            <v>Road</v>
          </cell>
          <cell r="B493" t="str">
            <v>CG2</v>
          </cell>
          <cell r="Q493">
            <v>609669.5</v>
          </cell>
        </row>
        <row r="494">
          <cell r="A494" t="str">
            <v>Road</v>
          </cell>
          <cell r="B494" t="str">
            <v>CG2</v>
          </cell>
          <cell r="Q494">
            <v>5003665</v>
          </cell>
        </row>
        <row r="495">
          <cell r="A495" t="str">
            <v>Road</v>
          </cell>
          <cell r="B495" t="str">
            <v>CG2</v>
          </cell>
          <cell r="Q495">
            <v>718296</v>
          </cell>
        </row>
        <row r="496">
          <cell r="A496" t="str">
            <v>Road</v>
          </cell>
          <cell r="B496" t="str">
            <v>CG2</v>
          </cell>
          <cell r="Q496">
            <v>238314.5</v>
          </cell>
        </row>
        <row r="497">
          <cell r="A497" t="str">
            <v>Road</v>
          </cell>
          <cell r="B497" t="str">
            <v>CG2</v>
          </cell>
          <cell r="Q497">
            <v>79040</v>
          </cell>
        </row>
        <row r="498">
          <cell r="A498" t="str">
            <v>Road</v>
          </cell>
          <cell r="B498" t="str">
            <v>CG2</v>
          </cell>
          <cell r="Q498">
            <v>1025215</v>
          </cell>
        </row>
        <row r="499">
          <cell r="A499" t="str">
            <v>Road</v>
          </cell>
          <cell r="B499" t="str">
            <v>CG2</v>
          </cell>
          <cell r="Q499">
            <v>10374</v>
          </cell>
        </row>
        <row r="500">
          <cell r="A500" t="str">
            <v>Road</v>
          </cell>
          <cell r="B500" t="str">
            <v>CG2</v>
          </cell>
          <cell r="Q500">
            <v>5730</v>
          </cell>
        </row>
        <row r="501">
          <cell r="A501" t="str">
            <v>Road</v>
          </cell>
          <cell r="B501" t="str">
            <v>CG2</v>
          </cell>
          <cell r="Q501">
            <v>118125</v>
          </cell>
        </row>
        <row r="502">
          <cell r="A502" t="str">
            <v>Road</v>
          </cell>
          <cell r="B502" t="str">
            <v>CG2</v>
          </cell>
          <cell r="Q502">
            <v>118125</v>
          </cell>
        </row>
        <row r="503">
          <cell r="A503" t="str">
            <v>Road</v>
          </cell>
          <cell r="B503" t="str">
            <v>CG2</v>
          </cell>
          <cell r="Q503">
            <v>489600</v>
          </cell>
        </row>
        <row r="504">
          <cell r="A504" t="str">
            <v>Road</v>
          </cell>
          <cell r="B504" t="str">
            <v>Manvi</v>
          </cell>
          <cell r="Q504">
            <v>528217</v>
          </cell>
        </row>
        <row r="505">
          <cell r="A505" t="str">
            <v>Road</v>
          </cell>
          <cell r="B505" t="str">
            <v>Manvi</v>
          </cell>
          <cell r="Q505">
            <v>350000</v>
          </cell>
        </row>
        <row r="506">
          <cell r="A506" t="str">
            <v>Road</v>
          </cell>
          <cell r="B506" t="str">
            <v>Manvi</v>
          </cell>
          <cell r="Q506">
            <v>746340</v>
          </cell>
        </row>
        <row r="507">
          <cell r="A507" t="str">
            <v>Road</v>
          </cell>
          <cell r="B507" t="str">
            <v>Manvi</v>
          </cell>
          <cell r="Q507">
            <v>709513</v>
          </cell>
        </row>
        <row r="508">
          <cell r="A508" t="str">
            <v>Road</v>
          </cell>
          <cell r="B508" t="str">
            <v>Manvi</v>
          </cell>
          <cell r="Q508">
            <v>709513</v>
          </cell>
        </row>
        <row r="509">
          <cell r="A509" t="str">
            <v>Road</v>
          </cell>
          <cell r="B509" t="str">
            <v>Manvi</v>
          </cell>
          <cell r="Q509">
            <v>441381</v>
          </cell>
        </row>
        <row r="510">
          <cell r="A510" t="str">
            <v>Road</v>
          </cell>
          <cell r="B510" t="str">
            <v>Manvi</v>
          </cell>
          <cell r="Q510">
            <v>441381</v>
          </cell>
        </row>
        <row r="511">
          <cell r="A511" t="str">
            <v>Road</v>
          </cell>
          <cell r="B511" t="str">
            <v>Manvi</v>
          </cell>
          <cell r="Q511">
            <v>709512</v>
          </cell>
        </row>
        <row r="512">
          <cell r="A512" t="str">
            <v>Road</v>
          </cell>
          <cell r="B512" t="str">
            <v>Manvi</v>
          </cell>
          <cell r="Q512">
            <v>709513</v>
          </cell>
        </row>
        <row r="513">
          <cell r="A513" t="str">
            <v>Road</v>
          </cell>
          <cell r="B513" t="str">
            <v>Manvi</v>
          </cell>
          <cell r="Q513">
            <v>709512</v>
          </cell>
        </row>
        <row r="514">
          <cell r="A514" t="str">
            <v>Road</v>
          </cell>
          <cell r="B514" t="str">
            <v>Manvi</v>
          </cell>
          <cell r="Q514">
            <v>746340</v>
          </cell>
        </row>
        <row r="515">
          <cell r="A515" t="str">
            <v>Road</v>
          </cell>
          <cell r="B515" t="str">
            <v>Manvi</v>
          </cell>
          <cell r="Q515">
            <v>746340</v>
          </cell>
        </row>
        <row r="516">
          <cell r="A516" t="str">
            <v>Road</v>
          </cell>
          <cell r="B516" t="str">
            <v>Manvi</v>
          </cell>
          <cell r="Q516">
            <v>3394735</v>
          </cell>
        </row>
        <row r="517">
          <cell r="A517" t="str">
            <v>Road</v>
          </cell>
          <cell r="B517" t="str">
            <v>Manvi</v>
          </cell>
          <cell r="Q517">
            <v>3895480</v>
          </cell>
        </row>
        <row r="518">
          <cell r="A518" t="str">
            <v>Road</v>
          </cell>
          <cell r="B518" t="str">
            <v>Manvi</v>
          </cell>
          <cell r="Q518">
            <v>1171580</v>
          </cell>
        </row>
        <row r="519">
          <cell r="A519" t="str">
            <v>Road</v>
          </cell>
          <cell r="B519" t="str">
            <v>Manvi</v>
          </cell>
          <cell r="Q519">
            <v>9129254</v>
          </cell>
        </row>
        <row r="520">
          <cell r="A520" t="str">
            <v>Road</v>
          </cell>
          <cell r="B520" t="str">
            <v>Manvi</v>
          </cell>
          <cell r="Q520">
            <v>1</v>
          </cell>
        </row>
        <row r="521">
          <cell r="A521" t="str">
            <v>Road</v>
          </cell>
          <cell r="B521" t="str">
            <v>Manvi</v>
          </cell>
          <cell r="Q521">
            <v>82587</v>
          </cell>
        </row>
        <row r="522">
          <cell r="A522" t="str">
            <v>Road</v>
          </cell>
          <cell r="B522" t="str">
            <v>Manvi</v>
          </cell>
          <cell r="Q522">
            <v>91936</v>
          </cell>
        </row>
        <row r="523">
          <cell r="A523" t="str">
            <v>Road</v>
          </cell>
          <cell r="B523" t="str">
            <v>BEHP</v>
          </cell>
          <cell r="Q523">
            <v>90225</v>
          </cell>
        </row>
        <row r="524">
          <cell r="A524" t="str">
            <v>Road</v>
          </cell>
          <cell r="B524" t="str">
            <v>BEHP</v>
          </cell>
          <cell r="Q524">
            <v>90225</v>
          </cell>
        </row>
        <row r="525">
          <cell r="A525" t="str">
            <v>Road</v>
          </cell>
          <cell r="B525" t="str">
            <v>BEHP</v>
          </cell>
          <cell r="Q525">
            <v>108596</v>
          </cell>
        </row>
        <row r="526">
          <cell r="A526" t="str">
            <v>Road</v>
          </cell>
          <cell r="B526" t="str">
            <v>BEHP</v>
          </cell>
          <cell r="Q526">
            <v>322372</v>
          </cell>
        </row>
        <row r="527">
          <cell r="A527" t="str">
            <v>Road</v>
          </cell>
          <cell r="B527" t="str">
            <v>BEHP</v>
          </cell>
          <cell r="Q527">
            <v>444700</v>
          </cell>
        </row>
        <row r="528">
          <cell r="A528" t="str">
            <v>Road</v>
          </cell>
          <cell r="B528" t="str">
            <v>BEHP</v>
          </cell>
          <cell r="Q528">
            <v>75660</v>
          </cell>
        </row>
        <row r="529">
          <cell r="A529" t="str">
            <v>Road</v>
          </cell>
          <cell r="B529" t="str">
            <v>BEHP</v>
          </cell>
          <cell r="Q529">
            <v>75660</v>
          </cell>
        </row>
        <row r="530">
          <cell r="A530" t="str">
            <v>Road</v>
          </cell>
          <cell r="B530" t="str">
            <v>BEHP</v>
          </cell>
          <cell r="Q530">
            <v>277942.40000000002</v>
          </cell>
        </row>
        <row r="531">
          <cell r="A531" t="str">
            <v>Road</v>
          </cell>
          <cell r="B531" t="str">
            <v>BEHP</v>
          </cell>
          <cell r="Q531">
            <v>1293750</v>
          </cell>
        </row>
        <row r="532">
          <cell r="A532" t="str">
            <v>Road</v>
          </cell>
          <cell r="B532" t="str">
            <v>BEHP</v>
          </cell>
          <cell r="Q532">
            <v>123750</v>
          </cell>
        </row>
        <row r="533">
          <cell r="A533" t="str">
            <v>Road</v>
          </cell>
          <cell r="B533" t="str">
            <v>BEHP</v>
          </cell>
          <cell r="Q533">
            <v>9562.5</v>
          </cell>
        </row>
        <row r="534">
          <cell r="A534" t="str">
            <v>Road</v>
          </cell>
          <cell r="B534" t="str">
            <v>BEHP</v>
          </cell>
          <cell r="Q534">
            <v>25287.599999999999</v>
          </cell>
        </row>
        <row r="535">
          <cell r="A535" t="str">
            <v>Road</v>
          </cell>
          <cell r="B535" t="str">
            <v>BEHP</v>
          </cell>
          <cell r="Q535">
            <v>25287.599999999999</v>
          </cell>
        </row>
        <row r="536">
          <cell r="A536" t="str">
            <v>Road</v>
          </cell>
          <cell r="B536" t="str">
            <v>BEHP</v>
          </cell>
          <cell r="Q536">
            <v>446665</v>
          </cell>
        </row>
        <row r="537">
          <cell r="A537" t="str">
            <v>Road</v>
          </cell>
          <cell r="B537" t="str">
            <v>BEHP</v>
          </cell>
          <cell r="Q537">
            <v>25209.599999999999</v>
          </cell>
        </row>
        <row r="538">
          <cell r="A538" t="str">
            <v>Road</v>
          </cell>
          <cell r="B538" t="str">
            <v>BEHP</v>
          </cell>
          <cell r="Q538">
            <v>25209.599999999999</v>
          </cell>
        </row>
        <row r="539">
          <cell r="A539" t="str">
            <v>Road</v>
          </cell>
          <cell r="B539" t="str">
            <v>BEHP</v>
          </cell>
          <cell r="Q539">
            <v>25209.599999999999</v>
          </cell>
        </row>
        <row r="540">
          <cell r="A540" t="str">
            <v>Road</v>
          </cell>
          <cell r="B540" t="str">
            <v>BEHP</v>
          </cell>
          <cell r="Q540">
            <v>75660</v>
          </cell>
        </row>
        <row r="541">
          <cell r="A541" t="str">
            <v>Road</v>
          </cell>
          <cell r="B541" t="str">
            <v>BEHP</v>
          </cell>
          <cell r="Q541">
            <v>75660</v>
          </cell>
        </row>
        <row r="542">
          <cell r="A542" t="str">
            <v>Road</v>
          </cell>
          <cell r="B542" t="str">
            <v>BEHP</v>
          </cell>
          <cell r="Q542">
            <v>65572</v>
          </cell>
        </row>
        <row r="543">
          <cell r="A543" t="str">
            <v>Road</v>
          </cell>
          <cell r="B543" t="str">
            <v>BEHP</v>
          </cell>
          <cell r="Q543">
            <v>65572</v>
          </cell>
        </row>
        <row r="544">
          <cell r="A544" t="str">
            <v>Road</v>
          </cell>
          <cell r="B544" t="str">
            <v>BEHP</v>
          </cell>
          <cell r="Q544">
            <v>65572</v>
          </cell>
        </row>
        <row r="545">
          <cell r="A545" t="str">
            <v>Road</v>
          </cell>
          <cell r="B545" t="str">
            <v>BEHP</v>
          </cell>
          <cell r="Q545">
            <v>65572</v>
          </cell>
        </row>
        <row r="546">
          <cell r="A546" t="str">
            <v>Road</v>
          </cell>
          <cell r="B546" t="str">
            <v>BEHP</v>
          </cell>
          <cell r="Q546">
            <v>64563.199999999997</v>
          </cell>
        </row>
        <row r="547">
          <cell r="A547" t="str">
            <v>Road</v>
          </cell>
          <cell r="B547" t="str">
            <v>BEHP</v>
          </cell>
          <cell r="Q547">
            <v>64563.199999999997</v>
          </cell>
        </row>
        <row r="548">
          <cell r="A548" t="str">
            <v>Road</v>
          </cell>
          <cell r="B548" t="str">
            <v>BEHP</v>
          </cell>
          <cell r="Q548">
            <v>64563.199999999997</v>
          </cell>
        </row>
        <row r="549">
          <cell r="A549" t="str">
            <v>Road</v>
          </cell>
          <cell r="B549" t="str">
            <v>BEHP</v>
          </cell>
          <cell r="Q549">
            <v>64563.199999999997</v>
          </cell>
        </row>
        <row r="550">
          <cell r="A550" t="str">
            <v>Road</v>
          </cell>
          <cell r="B550" t="str">
            <v>BEHP</v>
          </cell>
          <cell r="Q550">
            <v>282464</v>
          </cell>
        </row>
        <row r="551">
          <cell r="A551" t="str">
            <v>Road</v>
          </cell>
          <cell r="B551" t="str">
            <v>BEHP</v>
          </cell>
          <cell r="Q551">
            <v>282464</v>
          </cell>
        </row>
        <row r="552">
          <cell r="A552" t="str">
            <v>Road</v>
          </cell>
          <cell r="B552" t="str">
            <v>BEHP</v>
          </cell>
          <cell r="Q552">
            <v>1012500</v>
          </cell>
        </row>
        <row r="553">
          <cell r="A553" t="str">
            <v>Road</v>
          </cell>
          <cell r="B553" t="str">
            <v>BEHP</v>
          </cell>
          <cell r="Q553">
            <v>223283</v>
          </cell>
        </row>
        <row r="554">
          <cell r="A554" t="str">
            <v>Road</v>
          </cell>
          <cell r="B554" t="str">
            <v>BEHP</v>
          </cell>
          <cell r="Q554">
            <v>66560</v>
          </cell>
        </row>
        <row r="555">
          <cell r="A555" t="str">
            <v>Road</v>
          </cell>
          <cell r="B555" t="str">
            <v>BEHP</v>
          </cell>
          <cell r="Q555">
            <v>66560</v>
          </cell>
        </row>
        <row r="556">
          <cell r="A556" t="str">
            <v>Road</v>
          </cell>
          <cell r="B556" t="str">
            <v>BEHP</v>
          </cell>
          <cell r="Q556">
            <v>150000</v>
          </cell>
        </row>
        <row r="557">
          <cell r="A557" t="str">
            <v>Road</v>
          </cell>
          <cell r="B557" t="str">
            <v>BEHP</v>
          </cell>
          <cell r="Q557">
            <v>26012.5</v>
          </cell>
        </row>
        <row r="558">
          <cell r="A558" t="str">
            <v>Road</v>
          </cell>
          <cell r="B558" t="str">
            <v>BEHP</v>
          </cell>
          <cell r="Q558">
            <v>26012.5</v>
          </cell>
        </row>
        <row r="559">
          <cell r="A559" t="str">
            <v>Road</v>
          </cell>
          <cell r="B559" t="str">
            <v>BEHP</v>
          </cell>
          <cell r="Q559">
            <v>50478.75</v>
          </cell>
        </row>
        <row r="560">
          <cell r="A560" t="str">
            <v>Road</v>
          </cell>
          <cell r="B560" t="str">
            <v>BEHP</v>
          </cell>
          <cell r="Q560">
            <v>49410</v>
          </cell>
        </row>
        <row r="561">
          <cell r="A561" t="str">
            <v>Road</v>
          </cell>
          <cell r="B561" t="str">
            <v>BEHP</v>
          </cell>
          <cell r="Q561">
            <v>25092.6</v>
          </cell>
        </row>
        <row r="562">
          <cell r="A562" t="str">
            <v>Road</v>
          </cell>
          <cell r="B562" t="str">
            <v>BEHP</v>
          </cell>
          <cell r="Q562">
            <v>25092.6</v>
          </cell>
        </row>
        <row r="563">
          <cell r="A563" t="str">
            <v>Road</v>
          </cell>
          <cell r="B563" t="str">
            <v>BEHP</v>
          </cell>
          <cell r="Q563">
            <v>25092.6</v>
          </cell>
        </row>
        <row r="564">
          <cell r="A564" t="str">
            <v>Road</v>
          </cell>
          <cell r="B564" t="str">
            <v>BEHP</v>
          </cell>
          <cell r="Q564">
            <v>25092.6</v>
          </cell>
        </row>
        <row r="565">
          <cell r="A565" t="str">
            <v>Road</v>
          </cell>
          <cell r="B565" t="str">
            <v>BEHP</v>
          </cell>
          <cell r="Q565">
            <v>491021.68999999994</v>
          </cell>
        </row>
        <row r="566">
          <cell r="A566" t="str">
            <v>Road</v>
          </cell>
          <cell r="B566" t="str">
            <v>BEHP</v>
          </cell>
          <cell r="Q566">
            <v>491021.68999999994</v>
          </cell>
        </row>
        <row r="567">
          <cell r="A567" t="str">
            <v>Road</v>
          </cell>
          <cell r="B567" t="str">
            <v>BEHP</v>
          </cell>
          <cell r="Q567">
            <v>203840</v>
          </cell>
        </row>
        <row r="568">
          <cell r="A568" t="str">
            <v>Road</v>
          </cell>
          <cell r="B568" t="str">
            <v>BEHP</v>
          </cell>
          <cell r="Q568">
            <v>193100</v>
          </cell>
        </row>
        <row r="569">
          <cell r="A569" t="str">
            <v>Road</v>
          </cell>
          <cell r="B569" t="str">
            <v>BEHP</v>
          </cell>
          <cell r="Q569">
            <v>151168</v>
          </cell>
        </row>
        <row r="570">
          <cell r="A570" t="str">
            <v>Road</v>
          </cell>
          <cell r="B570" t="str">
            <v>BEHP</v>
          </cell>
          <cell r="Q570">
            <v>65920</v>
          </cell>
        </row>
        <row r="571">
          <cell r="A571" t="str">
            <v>Road</v>
          </cell>
          <cell r="B571" t="str">
            <v>BEHP</v>
          </cell>
          <cell r="Q571">
            <v>65920</v>
          </cell>
        </row>
        <row r="572">
          <cell r="A572" t="str">
            <v>Road</v>
          </cell>
          <cell r="B572" t="str">
            <v>BEHP</v>
          </cell>
          <cell r="Q572">
            <v>48410</v>
          </cell>
        </row>
        <row r="573">
          <cell r="A573" t="str">
            <v>Road</v>
          </cell>
          <cell r="B573" t="str">
            <v>BEHP</v>
          </cell>
          <cell r="Q573">
            <v>48410</v>
          </cell>
        </row>
        <row r="574">
          <cell r="A574" t="str">
            <v>Road</v>
          </cell>
          <cell r="B574" t="str">
            <v>BEHP</v>
          </cell>
          <cell r="Q574">
            <v>72100</v>
          </cell>
        </row>
        <row r="575">
          <cell r="A575" t="str">
            <v>Road</v>
          </cell>
          <cell r="B575" t="str">
            <v>BEHP</v>
          </cell>
          <cell r="Q575">
            <v>214291.5</v>
          </cell>
        </row>
        <row r="576">
          <cell r="A576" t="str">
            <v>Road</v>
          </cell>
          <cell r="B576" t="str">
            <v>BEHP</v>
          </cell>
          <cell r="Q576">
            <v>15868293</v>
          </cell>
        </row>
        <row r="577">
          <cell r="A577" t="str">
            <v>Road</v>
          </cell>
          <cell r="B577" t="str">
            <v>BEHP</v>
          </cell>
          <cell r="Q577">
            <v>398219</v>
          </cell>
        </row>
        <row r="578">
          <cell r="A578" t="str">
            <v>Road</v>
          </cell>
          <cell r="B578" t="str">
            <v>BEHP</v>
          </cell>
          <cell r="Q578">
            <v>77010</v>
          </cell>
        </row>
        <row r="579">
          <cell r="A579" t="str">
            <v>Road</v>
          </cell>
          <cell r="B579" t="str">
            <v>BEHP</v>
          </cell>
          <cell r="Q579">
            <v>48236.2</v>
          </cell>
        </row>
        <row r="580">
          <cell r="A580" t="str">
            <v>Road</v>
          </cell>
          <cell r="B580" t="str">
            <v>BEHP</v>
          </cell>
          <cell r="Q580">
            <v>48236.2</v>
          </cell>
        </row>
        <row r="581">
          <cell r="A581" t="str">
            <v>Road</v>
          </cell>
          <cell r="B581" t="str">
            <v>BEHP</v>
          </cell>
          <cell r="Q581">
            <v>151700</v>
          </cell>
        </row>
        <row r="582">
          <cell r="A582" t="str">
            <v>Road</v>
          </cell>
          <cell r="B582" t="str">
            <v>BEHP</v>
          </cell>
          <cell r="Q582">
            <v>152010</v>
          </cell>
        </row>
        <row r="583">
          <cell r="A583" t="str">
            <v>Road</v>
          </cell>
          <cell r="B583" t="str">
            <v>BEHP</v>
          </cell>
          <cell r="Q583">
            <v>48236.2</v>
          </cell>
        </row>
        <row r="584">
          <cell r="A584" t="str">
            <v>Road</v>
          </cell>
          <cell r="B584" t="str">
            <v>BEHP</v>
          </cell>
          <cell r="Q584">
            <v>48236.2</v>
          </cell>
        </row>
        <row r="585">
          <cell r="A585" t="str">
            <v>Road</v>
          </cell>
          <cell r="B585" t="str">
            <v>BEHP</v>
          </cell>
          <cell r="Q585">
            <v>80996.2</v>
          </cell>
        </row>
        <row r="586">
          <cell r="A586" t="str">
            <v>Road</v>
          </cell>
          <cell r="B586" t="str">
            <v>BEHP</v>
          </cell>
          <cell r="Q586">
            <v>80996.2</v>
          </cell>
        </row>
        <row r="587">
          <cell r="A587" t="str">
            <v>Road</v>
          </cell>
          <cell r="B587" t="str">
            <v>BEHP</v>
          </cell>
          <cell r="Q587">
            <v>135000</v>
          </cell>
        </row>
        <row r="588">
          <cell r="A588" t="str">
            <v>Road</v>
          </cell>
          <cell r="B588" t="str">
            <v>BEHP</v>
          </cell>
          <cell r="Q588">
            <v>131973</v>
          </cell>
        </row>
        <row r="589">
          <cell r="A589" t="str">
            <v>Road</v>
          </cell>
          <cell r="B589" t="str">
            <v>BEHP</v>
          </cell>
          <cell r="Q589">
            <v>802323.2</v>
          </cell>
        </row>
        <row r="590">
          <cell r="A590" t="str">
            <v>Road</v>
          </cell>
          <cell r="B590" t="str">
            <v>BEHP</v>
          </cell>
          <cell r="Q590">
            <v>1059472.92</v>
          </cell>
        </row>
        <row r="591">
          <cell r="A591" t="str">
            <v>Road</v>
          </cell>
          <cell r="B591" t="str">
            <v>BEHP</v>
          </cell>
          <cell r="Q591">
            <v>1923390</v>
          </cell>
        </row>
        <row r="592">
          <cell r="A592" t="str">
            <v>Road</v>
          </cell>
          <cell r="B592" t="str">
            <v>BEHP</v>
          </cell>
          <cell r="Q592">
            <v>1160773.6000000001</v>
          </cell>
        </row>
        <row r="593">
          <cell r="A593" t="str">
            <v>Road</v>
          </cell>
          <cell r="B593" t="str">
            <v>BEHP</v>
          </cell>
          <cell r="Q593">
            <v>1900130</v>
          </cell>
        </row>
        <row r="594">
          <cell r="A594" t="str">
            <v>Road</v>
          </cell>
          <cell r="B594" t="str">
            <v>BEHP</v>
          </cell>
          <cell r="Q594">
            <v>396900</v>
          </cell>
        </row>
        <row r="595">
          <cell r="A595" t="str">
            <v>Road</v>
          </cell>
          <cell r="B595" t="str">
            <v>BEHP</v>
          </cell>
          <cell r="Q595">
            <v>396900</v>
          </cell>
        </row>
        <row r="596">
          <cell r="A596" t="str">
            <v>Road</v>
          </cell>
          <cell r="B596" t="str">
            <v>BEHP</v>
          </cell>
          <cell r="Q596">
            <v>13605902.800000001</v>
          </cell>
        </row>
        <row r="597">
          <cell r="A597" t="str">
            <v>Road</v>
          </cell>
          <cell r="B597" t="str">
            <v>BEHP</v>
          </cell>
          <cell r="Q597">
            <v>1579390.08</v>
          </cell>
        </row>
        <row r="598">
          <cell r="A598" t="str">
            <v>Road</v>
          </cell>
          <cell r="B598" t="str">
            <v>BEHP</v>
          </cell>
          <cell r="Q598">
            <v>1579391.08</v>
          </cell>
        </row>
        <row r="599">
          <cell r="A599" t="str">
            <v>Road</v>
          </cell>
          <cell r="B599" t="str">
            <v>BEHP</v>
          </cell>
          <cell r="Q599">
            <v>66393.600000000006</v>
          </cell>
        </row>
        <row r="600">
          <cell r="A600" t="str">
            <v>Road</v>
          </cell>
          <cell r="B600" t="str">
            <v>BEHP</v>
          </cell>
          <cell r="Q600">
            <v>9845.68</v>
          </cell>
        </row>
        <row r="601">
          <cell r="A601" t="str">
            <v>Road</v>
          </cell>
          <cell r="B601" t="str">
            <v>BEHP</v>
          </cell>
          <cell r="Q601">
            <v>9845.68</v>
          </cell>
        </row>
        <row r="602">
          <cell r="A602" t="str">
            <v>Road</v>
          </cell>
          <cell r="B602" t="str">
            <v>BEHP</v>
          </cell>
          <cell r="Q602">
            <v>9845.68</v>
          </cell>
        </row>
        <row r="603">
          <cell r="A603" t="str">
            <v>Road</v>
          </cell>
          <cell r="B603" t="str">
            <v>BEHP</v>
          </cell>
          <cell r="Q603">
            <v>9845.68</v>
          </cell>
        </row>
        <row r="604">
          <cell r="A604" t="str">
            <v>Road</v>
          </cell>
          <cell r="B604" t="str">
            <v>BEHP</v>
          </cell>
          <cell r="Q604">
            <v>55134.559999999998</v>
          </cell>
        </row>
        <row r="605">
          <cell r="A605" t="str">
            <v>Road</v>
          </cell>
          <cell r="B605" t="str">
            <v>BEHP</v>
          </cell>
          <cell r="Q605">
            <v>55134.559999999998</v>
          </cell>
        </row>
        <row r="606">
          <cell r="A606" t="str">
            <v>Road</v>
          </cell>
          <cell r="B606" t="str">
            <v>BEHP</v>
          </cell>
          <cell r="Q606">
            <v>55134.559999999998</v>
          </cell>
        </row>
        <row r="607">
          <cell r="A607" t="str">
            <v>Road</v>
          </cell>
          <cell r="B607" t="str">
            <v>BEHP</v>
          </cell>
          <cell r="Q607">
            <v>55134.559999999998</v>
          </cell>
        </row>
        <row r="608">
          <cell r="A608" t="str">
            <v>Road</v>
          </cell>
          <cell r="B608" t="str">
            <v>BEHP</v>
          </cell>
          <cell r="Q608">
            <v>196909.44</v>
          </cell>
        </row>
        <row r="609">
          <cell r="A609" t="str">
            <v>Road</v>
          </cell>
          <cell r="B609" t="str">
            <v>BEHP</v>
          </cell>
          <cell r="Q609">
            <v>1268466.6000000001</v>
          </cell>
        </row>
        <row r="610">
          <cell r="A610" t="str">
            <v>Road</v>
          </cell>
          <cell r="B610" t="str">
            <v>BEHP</v>
          </cell>
          <cell r="Q610">
            <v>67600</v>
          </cell>
        </row>
        <row r="611">
          <cell r="A611" t="str">
            <v>Road</v>
          </cell>
          <cell r="B611" t="str">
            <v>BEHP</v>
          </cell>
          <cell r="Q611">
            <v>67600</v>
          </cell>
        </row>
        <row r="612">
          <cell r="A612" t="str">
            <v>Road</v>
          </cell>
          <cell r="B612" t="str">
            <v>BEHP</v>
          </cell>
          <cell r="Q612">
            <v>319105</v>
          </cell>
        </row>
        <row r="613">
          <cell r="A613" t="str">
            <v>Road</v>
          </cell>
          <cell r="B613" t="str">
            <v>BEHP</v>
          </cell>
          <cell r="Q613">
            <v>671969.01</v>
          </cell>
        </row>
        <row r="614">
          <cell r="A614" t="str">
            <v>Road</v>
          </cell>
          <cell r="B614" t="str">
            <v>BEHP</v>
          </cell>
          <cell r="Q614">
            <v>671968.99</v>
          </cell>
        </row>
        <row r="615">
          <cell r="A615" t="str">
            <v>Road</v>
          </cell>
          <cell r="B615" t="str">
            <v>BEHP</v>
          </cell>
          <cell r="Q615">
            <v>25225</v>
          </cell>
        </row>
        <row r="616">
          <cell r="A616" t="str">
            <v>Road</v>
          </cell>
          <cell r="B616" t="str">
            <v>BEHP</v>
          </cell>
          <cell r="Q616">
            <v>25225</v>
          </cell>
        </row>
        <row r="617">
          <cell r="A617" t="str">
            <v>Road</v>
          </cell>
          <cell r="B617" t="str">
            <v>BEHP</v>
          </cell>
          <cell r="Q617">
            <v>241945</v>
          </cell>
        </row>
        <row r="618">
          <cell r="A618" t="str">
            <v>Road</v>
          </cell>
          <cell r="B618" t="str">
            <v>BEHP</v>
          </cell>
          <cell r="Q618">
            <v>241946</v>
          </cell>
        </row>
        <row r="619">
          <cell r="A619" t="str">
            <v>Road</v>
          </cell>
          <cell r="B619" t="str">
            <v>BEHP</v>
          </cell>
          <cell r="Q619">
            <v>319105</v>
          </cell>
        </row>
        <row r="620">
          <cell r="A620" t="str">
            <v>Road</v>
          </cell>
          <cell r="B620" t="str">
            <v>BEHP</v>
          </cell>
          <cell r="Q620">
            <v>215000</v>
          </cell>
        </row>
        <row r="621">
          <cell r="A621" t="str">
            <v>Road</v>
          </cell>
          <cell r="B621" t="str">
            <v>BEHP</v>
          </cell>
          <cell r="Q621">
            <v>4300200.72</v>
          </cell>
        </row>
        <row r="622">
          <cell r="A622" t="str">
            <v>Road</v>
          </cell>
          <cell r="B622" t="str">
            <v>BEHP</v>
          </cell>
          <cell r="Q622">
            <v>435488</v>
          </cell>
        </row>
        <row r="623">
          <cell r="A623" t="str">
            <v>Road</v>
          </cell>
          <cell r="B623" t="str">
            <v>BEHP</v>
          </cell>
          <cell r="Q623">
            <v>14456</v>
          </cell>
        </row>
        <row r="624">
          <cell r="A624" t="str">
            <v>Road</v>
          </cell>
          <cell r="B624" t="str">
            <v>BEHP</v>
          </cell>
          <cell r="Q624">
            <v>14456</v>
          </cell>
        </row>
        <row r="625">
          <cell r="A625" t="str">
            <v>Road</v>
          </cell>
          <cell r="B625" t="str">
            <v>BEHP</v>
          </cell>
          <cell r="Q625">
            <v>453108</v>
          </cell>
        </row>
        <row r="626">
          <cell r="A626" t="str">
            <v>Road</v>
          </cell>
          <cell r="B626" t="str">
            <v>BEHP</v>
          </cell>
          <cell r="Q626">
            <v>1935565</v>
          </cell>
        </row>
        <row r="627">
          <cell r="A627" t="str">
            <v>Road</v>
          </cell>
          <cell r="B627" t="str">
            <v>BEHP</v>
          </cell>
          <cell r="Q627">
            <v>3649536</v>
          </cell>
        </row>
        <row r="628">
          <cell r="A628" t="str">
            <v>Road</v>
          </cell>
          <cell r="B628" t="str">
            <v>BEHP</v>
          </cell>
          <cell r="Q628">
            <v>60934</v>
          </cell>
        </row>
        <row r="629">
          <cell r="A629" t="str">
            <v>Road</v>
          </cell>
          <cell r="B629" t="str">
            <v>BEHP</v>
          </cell>
          <cell r="Q629">
            <v>967782</v>
          </cell>
        </row>
        <row r="630">
          <cell r="A630" t="str">
            <v>Road</v>
          </cell>
          <cell r="B630" t="str">
            <v>BEHP</v>
          </cell>
          <cell r="Q630">
            <v>15746</v>
          </cell>
        </row>
        <row r="631">
          <cell r="A631" t="str">
            <v>Road</v>
          </cell>
          <cell r="B631" t="str">
            <v>BEHP</v>
          </cell>
          <cell r="Q631">
            <v>44018</v>
          </cell>
        </row>
        <row r="632">
          <cell r="A632" t="str">
            <v>Road</v>
          </cell>
          <cell r="B632" t="str">
            <v>BEHP</v>
          </cell>
          <cell r="Q632">
            <v>37440</v>
          </cell>
        </row>
        <row r="633">
          <cell r="A633" t="str">
            <v>Road</v>
          </cell>
          <cell r="B633" t="str">
            <v>BEHP</v>
          </cell>
          <cell r="Q633">
            <v>21450</v>
          </cell>
        </row>
        <row r="634">
          <cell r="A634" t="str">
            <v>Road</v>
          </cell>
          <cell r="B634" t="str">
            <v>BEHP</v>
          </cell>
          <cell r="Q634">
            <v>21450</v>
          </cell>
        </row>
        <row r="635">
          <cell r="A635" t="str">
            <v>Road</v>
          </cell>
          <cell r="B635" t="str">
            <v>BEHP</v>
          </cell>
          <cell r="Q635">
            <v>38813</v>
          </cell>
        </row>
        <row r="636">
          <cell r="A636" t="str">
            <v>Road</v>
          </cell>
          <cell r="B636" t="str">
            <v>BEHP</v>
          </cell>
          <cell r="Q636">
            <v>38812.5</v>
          </cell>
        </row>
        <row r="637">
          <cell r="A637" t="str">
            <v>Road</v>
          </cell>
          <cell r="B637" t="str">
            <v>BEHP</v>
          </cell>
          <cell r="Q637">
            <v>27970</v>
          </cell>
        </row>
        <row r="638">
          <cell r="A638" t="str">
            <v>Road</v>
          </cell>
          <cell r="B638" t="str">
            <v>BEHP</v>
          </cell>
          <cell r="Q638">
            <v>59410</v>
          </cell>
        </row>
        <row r="639">
          <cell r="A639" t="str">
            <v>Road</v>
          </cell>
          <cell r="B639" t="str">
            <v>BEHP</v>
          </cell>
          <cell r="Q639">
            <v>9675</v>
          </cell>
        </row>
        <row r="640">
          <cell r="A640" t="str">
            <v>Road</v>
          </cell>
          <cell r="B640" t="str">
            <v>BEHP</v>
          </cell>
          <cell r="Q640">
            <v>6869</v>
          </cell>
        </row>
        <row r="641">
          <cell r="A641" t="str">
            <v>Road</v>
          </cell>
          <cell r="B641" t="str">
            <v>BEHP</v>
          </cell>
          <cell r="Q641">
            <v>6869</v>
          </cell>
        </row>
        <row r="642">
          <cell r="A642" t="str">
            <v>Road</v>
          </cell>
          <cell r="B642" t="str">
            <v>BEHP</v>
          </cell>
          <cell r="Q642">
            <v>6869</v>
          </cell>
        </row>
        <row r="643">
          <cell r="A643" t="str">
            <v>Road</v>
          </cell>
          <cell r="B643" t="str">
            <v>BEHP</v>
          </cell>
          <cell r="Q643">
            <v>6868.75</v>
          </cell>
        </row>
        <row r="644">
          <cell r="A644" t="str">
            <v>Road</v>
          </cell>
          <cell r="B644" t="str">
            <v>BEHP</v>
          </cell>
          <cell r="Q644">
            <v>6869</v>
          </cell>
        </row>
        <row r="645">
          <cell r="A645" t="str">
            <v>Road</v>
          </cell>
          <cell r="B645" t="str">
            <v>BEHP</v>
          </cell>
          <cell r="Q645">
            <v>6869</v>
          </cell>
        </row>
        <row r="646">
          <cell r="A646" t="str">
            <v>Road</v>
          </cell>
          <cell r="B646" t="str">
            <v>BEHP</v>
          </cell>
          <cell r="Q646">
            <v>6869</v>
          </cell>
        </row>
        <row r="647">
          <cell r="A647" t="str">
            <v>Road</v>
          </cell>
          <cell r="B647" t="str">
            <v>BEHP</v>
          </cell>
          <cell r="Q647">
            <v>6868.75</v>
          </cell>
        </row>
        <row r="648">
          <cell r="A648" t="str">
            <v>Road</v>
          </cell>
          <cell r="B648" t="str">
            <v>BEHP</v>
          </cell>
          <cell r="Q648">
            <v>15074</v>
          </cell>
        </row>
        <row r="649">
          <cell r="A649" t="str">
            <v>Road</v>
          </cell>
          <cell r="B649" t="str">
            <v>BEHP</v>
          </cell>
          <cell r="Q649">
            <v>4212</v>
          </cell>
        </row>
        <row r="650">
          <cell r="A650" t="str">
            <v>Road</v>
          </cell>
          <cell r="B650" t="str">
            <v>BEHP</v>
          </cell>
          <cell r="Q650">
            <v>11856</v>
          </cell>
        </row>
        <row r="651">
          <cell r="A651" t="str">
            <v>Road</v>
          </cell>
          <cell r="B651" t="str">
            <v>BEHP</v>
          </cell>
          <cell r="Q651">
            <v>4212</v>
          </cell>
        </row>
        <row r="652">
          <cell r="A652" t="str">
            <v>Road</v>
          </cell>
          <cell r="B652" t="str">
            <v>BEHP</v>
          </cell>
          <cell r="Q652">
            <v>11856</v>
          </cell>
        </row>
        <row r="653">
          <cell r="A653" t="str">
            <v>Road</v>
          </cell>
          <cell r="B653" t="str">
            <v>BEHP</v>
          </cell>
          <cell r="Q653">
            <v>11813</v>
          </cell>
        </row>
        <row r="654">
          <cell r="A654" t="str">
            <v>Road</v>
          </cell>
          <cell r="B654" t="str">
            <v>BEHP</v>
          </cell>
          <cell r="Q654">
            <v>11812.5</v>
          </cell>
        </row>
        <row r="655">
          <cell r="A655" t="str">
            <v>Road</v>
          </cell>
          <cell r="B655" t="str">
            <v>BEHP</v>
          </cell>
          <cell r="Q655">
            <v>10688</v>
          </cell>
        </row>
        <row r="656">
          <cell r="A656" t="str">
            <v>Road</v>
          </cell>
          <cell r="B656" t="str">
            <v>BEHP</v>
          </cell>
          <cell r="Q656">
            <v>216372</v>
          </cell>
        </row>
        <row r="657">
          <cell r="A657" t="str">
            <v>Road</v>
          </cell>
          <cell r="B657" t="str">
            <v>BEHP</v>
          </cell>
          <cell r="Q657">
            <v>84375</v>
          </cell>
        </row>
        <row r="658">
          <cell r="A658" t="str">
            <v>Road</v>
          </cell>
          <cell r="B658" t="str">
            <v>BEHP</v>
          </cell>
          <cell r="Q658">
            <v>71102</v>
          </cell>
        </row>
        <row r="659">
          <cell r="A659" t="str">
            <v>Road</v>
          </cell>
          <cell r="B659" t="str">
            <v>BEHP</v>
          </cell>
          <cell r="Q659">
            <v>71102</v>
          </cell>
        </row>
        <row r="660">
          <cell r="A660" t="str">
            <v>Road</v>
          </cell>
          <cell r="B660" t="str">
            <v>BEHP</v>
          </cell>
          <cell r="Q660">
            <v>71102</v>
          </cell>
        </row>
        <row r="661">
          <cell r="A661" t="str">
            <v>Road</v>
          </cell>
          <cell r="B661" t="str">
            <v>BEHP</v>
          </cell>
          <cell r="Q661">
            <v>71101.75</v>
          </cell>
        </row>
        <row r="662">
          <cell r="A662" t="str">
            <v>Road</v>
          </cell>
          <cell r="B662" t="str">
            <v>BEHP</v>
          </cell>
          <cell r="Q662">
            <v>508561</v>
          </cell>
        </row>
        <row r="663">
          <cell r="A663" t="str">
            <v>Road</v>
          </cell>
          <cell r="B663" t="str">
            <v>BEHP</v>
          </cell>
          <cell r="Q663">
            <v>157376.95999999999</v>
          </cell>
        </row>
        <row r="664">
          <cell r="A664" t="str">
            <v>Road</v>
          </cell>
          <cell r="B664" t="str">
            <v>BEHP</v>
          </cell>
          <cell r="Q664">
            <v>59280</v>
          </cell>
        </row>
        <row r="665">
          <cell r="A665" t="str">
            <v>Road</v>
          </cell>
          <cell r="B665" t="str">
            <v>BEHP</v>
          </cell>
          <cell r="Q665">
            <v>59280</v>
          </cell>
        </row>
        <row r="666">
          <cell r="A666" t="str">
            <v>Road</v>
          </cell>
          <cell r="B666" t="str">
            <v>BEHP</v>
          </cell>
          <cell r="Q666">
            <v>458951</v>
          </cell>
        </row>
        <row r="667">
          <cell r="A667" t="str">
            <v>Road</v>
          </cell>
          <cell r="B667" t="str">
            <v>BEHP</v>
          </cell>
          <cell r="Q667">
            <v>23625</v>
          </cell>
        </row>
        <row r="668">
          <cell r="A668" t="str">
            <v>Road</v>
          </cell>
          <cell r="B668" t="str">
            <v>BEHP</v>
          </cell>
          <cell r="Q668">
            <v>2042732</v>
          </cell>
        </row>
        <row r="669">
          <cell r="A669" t="str">
            <v>Road</v>
          </cell>
          <cell r="B669" t="str">
            <v>BEHP</v>
          </cell>
          <cell r="Q669">
            <v>11860642.859999999</v>
          </cell>
        </row>
        <row r="670">
          <cell r="A670" t="str">
            <v>Road</v>
          </cell>
          <cell r="B670" t="str">
            <v>BEHP</v>
          </cell>
          <cell r="Q670">
            <v>1440000</v>
          </cell>
        </row>
        <row r="671">
          <cell r="A671" t="str">
            <v>Road</v>
          </cell>
          <cell r="B671" t="str">
            <v>Meerut</v>
          </cell>
          <cell r="Q671">
            <v>913358</v>
          </cell>
        </row>
        <row r="672">
          <cell r="A672" t="str">
            <v>Road</v>
          </cell>
          <cell r="B672" t="str">
            <v>Meerut</v>
          </cell>
          <cell r="Q672">
            <v>164968</v>
          </cell>
        </row>
        <row r="673">
          <cell r="A673" t="str">
            <v>Road</v>
          </cell>
          <cell r="B673" t="str">
            <v>Meerut</v>
          </cell>
          <cell r="Q673">
            <v>1763701.64</v>
          </cell>
        </row>
        <row r="674">
          <cell r="A674" t="str">
            <v>Road</v>
          </cell>
          <cell r="B674" t="str">
            <v>Meerut</v>
          </cell>
          <cell r="Q674">
            <v>1763701.64</v>
          </cell>
        </row>
        <row r="675">
          <cell r="A675" t="str">
            <v>Road</v>
          </cell>
          <cell r="B675" t="str">
            <v>Meerut</v>
          </cell>
          <cell r="Q675">
            <v>1763701.64</v>
          </cell>
        </row>
        <row r="676">
          <cell r="A676" t="str">
            <v>Road</v>
          </cell>
          <cell r="B676" t="str">
            <v>Meerut</v>
          </cell>
          <cell r="Q676">
            <v>1763701.64</v>
          </cell>
        </row>
        <row r="677">
          <cell r="A677" t="str">
            <v>Road</v>
          </cell>
          <cell r="B677" t="str">
            <v>Meerut</v>
          </cell>
          <cell r="Q677">
            <v>1763701.64</v>
          </cell>
        </row>
        <row r="678">
          <cell r="A678" t="str">
            <v>Road</v>
          </cell>
          <cell r="B678" t="str">
            <v>Meerut</v>
          </cell>
          <cell r="Q678">
            <v>737397</v>
          </cell>
        </row>
        <row r="679">
          <cell r="A679" t="str">
            <v>Road</v>
          </cell>
          <cell r="B679" t="str">
            <v>Meerut</v>
          </cell>
          <cell r="Q679">
            <v>350000</v>
          </cell>
        </row>
        <row r="680">
          <cell r="A680" t="str">
            <v>Road</v>
          </cell>
          <cell r="B680" t="str">
            <v>Meerut</v>
          </cell>
          <cell r="Q680">
            <v>3625710</v>
          </cell>
        </row>
        <row r="681">
          <cell r="A681" t="str">
            <v>Road</v>
          </cell>
          <cell r="B681" t="str">
            <v>Meerut</v>
          </cell>
          <cell r="Q681">
            <v>16146169.77</v>
          </cell>
        </row>
        <row r="682">
          <cell r="A682" t="str">
            <v>Road</v>
          </cell>
          <cell r="B682" t="str">
            <v>Meerut</v>
          </cell>
          <cell r="Q682">
            <v>1168296</v>
          </cell>
        </row>
        <row r="683">
          <cell r="A683" t="str">
            <v>Road</v>
          </cell>
          <cell r="B683" t="str">
            <v>Meerut</v>
          </cell>
          <cell r="Q683">
            <v>382550</v>
          </cell>
        </row>
        <row r="684">
          <cell r="A684" t="str">
            <v>Road</v>
          </cell>
          <cell r="B684" t="str">
            <v>Meerut</v>
          </cell>
          <cell r="Q684">
            <v>29666757</v>
          </cell>
        </row>
        <row r="685">
          <cell r="A685" t="str">
            <v>Road</v>
          </cell>
          <cell r="B685" t="str">
            <v>Meerut</v>
          </cell>
          <cell r="Q685">
            <v>1301385</v>
          </cell>
        </row>
        <row r="686">
          <cell r="A686" t="str">
            <v>Road</v>
          </cell>
          <cell r="B686" t="str">
            <v>Meerut</v>
          </cell>
          <cell r="Q686">
            <v>2476589</v>
          </cell>
        </row>
        <row r="687">
          <cell r="A687" t="str">
            <v>Road</v>
          </cell>
          <cell r="B687" t="str">
            <v>Meerut</v>
          </cell>
          <cell r="Q687">
            <v>747063</v>
          </cell>
        </row>
        <row r="688">
          <cell r="A688" t="str">
            <v>Road</v>
          </cell>
          <cell r="B688" t="str">
            <v>Meerut</v>
          </cell>
          <cell r="Q688">
            <v>2133611</v>
          </cell>
        </row>
        <row r="689">
          <cell r="A689" t="str">
            <v>Road</v>
          </cell>
          <cell r="B689" t="str">
            <v>Meerut</v>
          </cell>
          <cell r="Q689">
            <v>2153611</v>
          </cell>
        </row>
        <row r="690">
          <cell r="A690" t="str">
            <v>Road</v>
          </cell>
          <cell r="B690" t="str">
            <v>Meerut</v>
          </cell>
          <cell r="Q690">
            <v>544710</v>
          </cell>
        </row>
        <row r="691">
          <cell r="A691" t="str">
            <v>Road</v>
          </cell>
          <cell r="B691" t="str">
            <v>Meerut</v>
          </cell>
          <cell r="Q691">
            <v>727509.63</v>
          </cell>
        </row>
        <row r="692">
          <cell r="A692" t="str">
            <v>Road</v>
          </cell>
          <cell r="B692" t="str">
            <v>Meerut</v>
          </cell>
          <cell r="Q692">
            <v>726224</v>
          </cell>
        </row>
        <row r="693">
          <cell r="A693" t="str">
            <v>Road</v>
          </cell>
          <cell r="B693" t="str">
            <v>Meerut</v>
          </cell>
          <cell r="Q693">
            <v>85870</v>
          </cell>
        </row>
        <row r="694">
          <cell r="A694" t="str">
            <v>Road</v>
          </cell>
          <cell r="B694" t="str">
            <v>Meerut</v>
          </cell>
          <cell r="Q694">
            <v>24219.8</v>
          </cell>
        </row>
        <row r="695">
          <cell r="A695" t="str">
            <v>Road</v>
          </cell>
          <cell r="B695" t="str">
            <v>Meerut</v>
          </cell>
          <cell r="Q695">
            <v>814745.76</v>
          </cell>
        </row>
        <row r="696">
          <cell r="A696" t="str">
            <v>Road</v>
          </cell>
          <cell r="B696" t="str">
            <v>Meerut</v>
          </cell>
          <cell r="Q696">
            <v>4237698.3899999997</v>
          </cell>
        </row>
        <row r="697">
          <cell r="A697" t="str">
            <v>Road</v>
          </cell>
          <cell r="B697" t="str">
            <v>Meerut</v>
          </cell>
          <cell r="Q697">
            <v>620948</v>
          </cell>
        </row>
        <row r="698">
          <cell r="A698" t="str">
            <v>Road</v>
          </cell>
          <cell r="B698" t="str">
            <v>Meerut</v>
          </cell>
          <cell r="Q698">
            <v>2895757</v>
          </cell>
        </row>
        <row r="699">
          <cell r="A699" t="str">
            <v>Road</v>
          </cell>
          <cell r="B699" t="str">
            <v>Meerut</v>
          </cell>
          <cell r="Q699">
            <v>2729560.6</v>
          </cell>
        </row>
        <row r="700">
          <cell r="A700" t="str">
            <v>Road</v>
          </cell>
          <cell r="B700" t="str">
            <v>Meerut</v>
          </cell>
          <cell r="Q700">
            <v>354184</v>
          </cell>
        </row>
        <row r="701">
          <cell r="A701" t="str">
            <v>Road</v>
          </cell>
          <cell r="B701" t="str">
            <v>Meerut</v>
          </cell>
          <cell r="Q701">
            <v>2163894</v>
          </cell>
        </row>
        <row r="702">
          <cell r="A702" t="str">
            <v>Road</v>
          </cell>
          <cell r="B702" t="str">
            <v>Meerut</v>
          </cell>
          <cell r="Q702">
            <v>310000</v>
          </cell>
        </row>
        <row r="703">
          <cell r="A703" t="str">
            <v>Road</v>
          </cell>
          <cell r="B703" t="str">
            <v>Meerut</v>
          </cell>
          <cell r="Q703">
            <v>3197116</v>
          </cell>
        </row>
        <row r="704">
          <cell r="A704" t="str">
            <v>Road</v>
          </cell>
          <cell r="B704" t="str">
            <v>Meerut</v>
          </cell>
          <cell r="Q704">
            <v>693364</v>
          </cell>
        </row>
        <row r="705">
          <cell r="A705" t="str">
            <v>Road</v>
          </cell>
          <cell r="B705" t="str">
            <v>Meerut</v>
          </cell>
          <cell r="Q705">
            <v>1500877</v>
          </cell>
        </row>
        <row r="706">
          <cell r="A706" t="str">
            <v>Road</v>
          </cell>
          <cell r="B706" t="str">
            <v>Meerut</v>
          </cell>
          <cell r="Q706">
            <v>1554641.6</v>
          </cell>
        </row>
        <row r="707">
          <cell r="A707" t="str">
            <v>Road</v>
          </cell>
          <cell r="B707" t="str">
            <v>Meerut</v>
          </cell>
          <cell r="Q707">
            <v>1554641.6</v>
          </cell>
        </row>
        <row r="708">
          <cell r="A708" t="str">
            <v>Road</v>
          </cell>
          <cell r="B708" t="str">
            <v>Meerut</v>
          </cell>
          <cell r="Q708">
            <v>1554641.6</v>
          </cell>
        </row>
        <row r="709">
          <cell r="A709" t="str">
            <v>Road</v>
          </cell>
          <cell r="B709" t="str">
            <v>Meerut</v>
          </cell>
          <cell r="Q709">
            <v>1554641.6</v>
          </cell>
        </row>
        <row r="710">
          <cell r="A710" t="str">
            <v>Road</v>
          </cell>
          <cell r="B710" t="str">
            <v>Nice</v>
          </cell>
          <cell r="Q710">
            <v>1909613.08</v>
          </cell>
        </row>
        <row r="711">
          <cell r="A711" t="str">
            <v>Road</v>
          </cell>
          <cell r="B711" t="str">
            <v>Nice</v>
          </cell>
          <cell r="Q711">
            <v>1790000</v>
          </cell>
        </row>
        <row r="712">
          <cell r="A712" t="str">
            <v>Road</v>
          </cell>
          <cell r="B712" t="str">
            <v>Nice</v>
          </cell>
          <cell r="Q712">
            <v>33985</v>
          </cell>
        </row>
        <row r="713">
          <cell r="A713" t="str">
            <v>Road</v>
          </cell>
          <cell r="B713" t="str">
            <v>Nice</v>
          </cell>
          <cell r="Q713">
            <v>33925</v>
          </cell>
        </row>
        <row r="714">
          <cell r="A714" t="str">
            <v>Road</v>
          </cell>
          <cell r="B714" t="str">
            <v>Nice</v>
          </cell>
          <cell r="Q714">
            <v>421200</v>
          </cell>
        </row>
        <row r="715">
          <cell r="A715" t="str">
            <v>Road</v>
          </cell>
          <cell r="B715" t="str">
            <v>Nice</v>
          </cell>
          <cell r="Q715">
            <v>500023</v>
          </cell>
        </row>
        <row r="716">
          <cell r="A716" t="str">
            <v>Road</v>
          </cell>
          <cell r="B716" t="str">
            <v>Nice</v>
          </cell>
          <cell r="Q716">
            <v>1050440</v>
          </cell>
        </row>
        <row r="717">
          <cell r="A717" t="str">
            <v>Road</v>
          </cell>
          <cell r="B717" t="str">
            <v>Nice</v>
          </cell>
          <cell r="Q717">
            <v>2381840</v>
          </cell>
        </row>
        <row r="718">
          <cell r="A718" t="str">
            <v>Road</v>
          </cell>
          <cell r="B718" t="str">
            <v>Nice</v>
          </cell>
          <cell r="Q718">
            <v>140747</v>
          </cell>
        </row>
        <row r="719">
          <cell r="A719" t="str">
            <v>Road</v>
          </cell>
          <cell r="B719" t="str">
            <v>Nice</v>
          </cell>
          <cell r="Q719">
            <v>140747</v>
          </cell>
        </row>
        <row r="720">
          <cell r="A720" t="str">
            <v>Road</v>
          </cell>
          <cell r="B720" t="str">
            <v>Nice</v>
          </cell>
          <cell r="Q720">
            <v>37550</v>
          </cell>
        </row>
        <row r="721">
          <cell r="A721" t="str">
            <v>Road</v>
          </cell>
          <cell r="B721" t="str">
            <v>Nice</v>
          </cell>
          <cell r="Q721">
            <v>3386230</v>
          </cell>
        </row>
        <row r="722">
          <cell r="A722" t="str">
            <v>Road</v>
          </cell>
          <cell r="B722" t="str">
            <v>Nice</v>
          </cell>
          <cell r="Q722">
            <v>300000</v>
          </cell>
        </row>
        <row r="723">
          <cell r="A723" t="str">
            <v>Road</v>
          </cell>
          <cell r="B723" t="str">
            <v>Nice</v>
          </cell>
          <cell r="Q723">
            <v>317000</v>
          </cell>
        </row>
        <row r="724">
          <cell r="A724" t="str">
            <v>Road</v>
          </cell>
          <cell r="B724" t="str">
            <v>Nice</v>
          </cell>
          <cell r="Q724">
            <v>3895480</v>
          </cell>
        </row>
        <row r="725">
          <cell r="A725" t="str">
            <v>Road</v>
          </cell>
          <cell r="B725" t="str">
            <v>Nice</v>
          </cell>
          <cell r="Q725">
            <v>4057138</v>
          </cell>
        </row>
        <row r="726">
          <cell r="A726" t="str">
            <v>Road</v>
          </cell>
          <cell r="B726" t="str">
            <v>Nice</v>
          </cell>
          <cell r="Q726">
            <v>1808727</v>
          </cell>
        </row>
        <row r="727">
          <cell r="A727" t="str">
            <v>Road</v>
          </cell>
          <cell r="B727" t="str">
            <v>Nice</v>
          </cell>
          <cell r="Q727">
            <v>27338607</v>
          </cell>
        </row>
        <row r="728">
          <cell r="A728" t="str">
            <v>Road</v>
          </cell>
          <cell r="B728" t="str">
            <v>Nice</v>
          </cell>
          <cell r="Q728">
            <v>15606398</v>
          </cell>
        </row>
        <row r="729">
          <cell r="A729" t="str">
            <v>Road</v>
          </cell>
          <cell r="B729" t="str">
            <v>Nice</v>
          </cell>
          <cell r="Q729">
            <v>11000</v>
          </cell>
        </row>
        <row r="730">
          <cell r="A730" t="str">
            <v>Road</v>
          </cell>
          <cell r="B730" t="str">
            <v>Nice</v>
          </cell>
          <cell r="Q730">
            <v>20808</v>
          </cell>
        </row>
        <row r="731">
          <cell r="A731" t="str">
            <v>Road</v>
          </cell>
          <cell r="B731" t="str">
            <v>Nice</v>
          </cell>
          <cell r="Q731">
            <v>26374</v>
          </cell>
        </row>
        <row r="732">
          <cell r="A732" t="str">
            <v>Road</v>
          </cell>
          <cell r="B732" t="str">
            <v>Nice</v>
          </cell>
          <cell r="Q732">
            <v>5241817</v>
          </cell>
        </row>
        <row r="733">
          <cell r="A733" t="str">
            <v>Road</v>
          </cell>
          <cell r="B733" t="str">
            <v>Nice</v>
          </cell>
          <cell r="Q733">
            <v>10434</v>
          </cell>
        </row>
        <row r="734">
          <cell r="A734" t="str">
            <v>Road</v>
          </cell>
          <cell r="B734" t="str">
            <v>Nice</v>
          </cell>
          <cell r="Q734">
            <v>40237.5</v>
          </cell>
        </row>
        <row r="735">
          <cell r="A735" t="str">
            <v>Road</v>
          </cell>
          <cell r="B735" t="str">
            <v>Nice</v>
          </cell>
          <cell r="Q735">
            <v>40237.5</v>
          </cell>
        </row>
        <row r="736">
          <cell r="A736" t="str">
            <v>Road</v>
          </cell>
          <cell r="B736" t="str">
            <v>Nice</v>
          </cell>
          <cell r="Q736">
            <v>596944</v>
          </cell>
        </row>
        <row r="737">
          <cell r="A737" t="str">
            <v>Road</v>
          </cell>
          <cell r="B737" t="str">
            <v>Nice</v>
          </cell>
          <cell r="Q737">
            <v>641214</v>
          </cell>
        </row>
        <row r="738">
          <cell r="A738" t="str">
            <v>Road</v>
          </cell>
          <cell r="B738" t="str">
            <v>Nice</v>
          </cell>
          <cell r="Q738">
            <v>10426</v>
          </cell>
        </row>
        <row r="739">
          <cell r="A739" t="str">
            <v>Road</v>
          </cell>
          <cell r="B739" t="str">
            <v>Nice</v>
          </cell>
          <cell r="Q739">
            <v>19328</v>
          </cell>
        </row>
        <row r="740">
          <cell r="A740" t="str">
            <v>Road</v>
          </cell>
          <cell r="B740" t="str">
            <v>Nice</v>
          </cell>
          <cell r="Q740">
            <v>138876</v>
          </cell>
        </row>
        <row r="741">
          <cell r="A741" t="str">
            <v>Road</v>
          </cell>
          <cell r="B741" t="str">
            <v>Nice</v>
          </cell>
          <cell r="Q741">
            <v>114904</v>
          </cell>
        </row>
        <row r="742">
          <cell r="A742" t="str">
            <v>Road</v>
          </cell>
          <cell r="B742" t="str">
            <v>Nice</v>
          </cell>
          <cell r="Q742">
            <v>1</v>
          </cell>
        </row>
        <row r="743">
          <cell r="A743" t="str">
            <v>Road</v>
          </cell>
          <cell r="B743" t="str">
            <v>Nice</v>
          </cell>
          <cell r="Q743">
            <v>62244</v>
          </cell>
        </row>
        <row r="744">
          <cell r="A744" t="str">
            <v>Road</v>
          </cell>
          <cell r="B744" t="str">
            <v>Nice</v>
          </cell>
          <cell r="Q744">
            <v>18500</v>
          </cell>
        </row>
        <row r="745">
          <cell r="A745" t="str">
            <v>Road</v>
          </cell>
          <cell r="B745" t="str">
            <v>Nice</v>
          </cell>
          <cell r="Q745">
            <v>2088270</v>
          </cell>
        </row>
        <row r="746">
          <cell r="A746" t="str">
            <v>Road</v>
          </cell>
          <cell r="B746" t="str">
            <v>Nice</v>
          </cell>
          <cell r="Q746">
            <v>2276</v>
          </cell>
        </row>
        <row r="747">
          <cell r="A747" t="str">
            <v>Road</v>
          </cell>
          <cell r="B747" t="str">
            <v>Nice</v>
          </cell>
          <cell r="Q747">
            <v>5121</v>
          </cell>
        </row>
        <row r="748">
          <cell r="A748" t="str">
            <v>Road</v>
          </cell>
          <cell r="B748" t="str">
            <v>Nice</v>
          </cell>
          <cell r="Q748">
            <v>8800</v>
          </cell>
        </row>
        <row r="749">
          <cell r="A749" t="str">
            <v>Road</v>
          </cell>
          <cell r="B749" t="str">
            <v>Nice</v>
          </cell>
          <cell r="Q749">
            <v>25300</v>
          </cell>
        </row>
        <row r="750">
          <cell r="A750" t="str">
            <v>Road</v>
          </cell>
          <cell r="B750" t="str">
            <v>Nice</v>
          </cell>
          <cell r="Q750">
            <v>25300</v>
          </cell>
        </row>
        <row r="751">
          <cell r="A751" t="str">
            <v>Road</v>
          </cell>
          <cell r="B751" t="str">
            <v>Nice</v>
          </cell>
          <cell r="Q751">
            <v>23800</v>
          </cell>
        </row>
        <row r="752">
          <cell r="A752" t="str">
            <v>Road</v>
          </cell>
          <cell r="B752" t="str">
            <v>Nice</v>
          </cell>
          <cell r="Q752">
            <v>52600</v>
          </cell>
        </row>
        <row r="753">
          <cell r="A753" t="str">
            <v>Road</v>
          </cell>
          <cell r="B753" t="str">
            <v>Nice</v>
          </cell>
          <cell r="Q753">
            <v>435000</v>
          </cell>
        </row>
        <row r="754">
          <cell r="A754" t="str">
            <v>Road</v>
          </cell>
          <cell r="B754" t="str">
            <v>Nice</v>
          </cell>
          <cell r="Q754">
            <v>407120</v>
          </cell>
        </row>
        <row r="755">
          <cell r="A755" t="str">
            <v>Road</v>
          </cell>
          <cell r="B755" t="str">
            <v>Nice</v>
          </cell>
          <cell r="Q755">
            <v>442000</v>
          </cell>
        </row>
        <row r="756">
          <cell r="A756" t="str">
            <v>Road</v>
          </cell>
          <cell r="B756" t="str">
            <v>Nice</v>
          </cell>
          <cell r="Q756">
            <v>434775</v>
          </cell>
        </row>
        <row r="757">
          <cell r="A757" t="str">
            <v>Road</v>
          </cell>
          <cell r="B757" t="str">
            <v>Nice</v>
          </cell>
          <cell r="Q757">
            <v>85100</v>
          </cell>
        </row>
        <row r="758">
          <cell r="A758" t="str">
            <v>Road</v>
          </cell>
          <cell r="B758" t="str">
            <v>Nice</v>
          </cell>
          <cell r="Q758">
            <v>91936</v>
          </cell>
        </row>
        <row r="759">
          <cell r="A759" t="str">
            <v>Road</v>
          </cell>
          <cell r="B759" t="str">
            <v>ORR</v>
          </cell>
          <cell r="Q759">
            <v>22452202</v>
          </cell>
        </row>
        <row r="760">
          <cell r="A760" t="str">
            <v>Road</v>
          </cell>
          <cell r="B760" t="str">
            <v>ORR</v>
          </cell>
          <cell r="Q760">
            <v>243201</v>
          </cell>
        </row>
        <row r="761">
          <cell r="A761" t="str">
            <v>Road</v>
          </cell>
          <cell r="B761" t="str">
            <v>ORR</v>
          </cell>
          <cell r="Q761">
            <v>247574</v>
          </cell>
        </row>
        <row r="762">
          <cell r="A762" t="str">
            <v>Road</v>
          </cell>
          <cell r="B762" t="str">
            <v>ORR</v>
          </cell>
          <cell r="Q762">
            <v>228828</v>
          </cell>
        </row>
        <row r="763">
          <cell r="A763" t="str">
            <v>Road</v>
          </cell>
          <cell r="B763" t="str">
            <v>ORR</v>
          </cell>
          <cell r="Q763">
            <v>247574</v>
          </cell>
        </row>
        <row r="764">
          <cell r="A764" t="str">
            <v>Road</v>
          </cell>
          <cell r="B764" t="str">
            <v>ORR</v>
          </cell>
          <cell r="Q764">
            <v>247578</v>
          </cell>
        </row>
        <row r="765">
          <cell r="A765" t="str">
            <v>Road</v>
          </cell>
          <cell r="B765" t="str">
            <v>ORR</v>
          </cell>
          <cell r="Q765">
            <v>177187</v>
          </cell>
        </row>
        <row r="766">
          <cell r="A766" t="str">
            <v>Road</v>
          </cell>
          <cell r="B766" t="str">
            <v>ORR</v>
          </cell>
          <cell r="Q766">
            <v>177306</v>
          </cell>
        </row>
        <row r="767">
          <cell r="A767" t="str">
            <v>Road</v>
          </cell>
          <cell r="B767" t="str">
            <v>ORR</v>
          </cell>
          <cell r="Q767">
            <v>1340000</v>
          </cell>
        </row>
        <row r="768">
          <cell r="A768" t="str">
            <v>Road</v>
          </cell>
          <cell r="B768" t="str">
            <v>ORR</v>
          </cell>
          <cell r="Q768">
            <v>913812</v>
          </cell>
        </row>
        <row r="769">
          <cell r="A769" t="str">
            <v>Road</v>
          </cell>
          <cell r="B769" t="str">
            <v>ORR</v>
          </cell>
          <cell r="Q769">
            <v>27959576.960000001</v>
          </cell>
        </row>
        <row r="770">
          <cell r="A770" t="str">
            <v>Road</v>
          </cell>
          <cell r="B770" t="str">
            <v>ORR</v>
          </cell>
          <cell r="Q770">
            <v>49515417.270000003</v>
          </cell>
        </row>
        <row r="771">
          <cell r="A771" t="str">
            <v>Road</v>
          </cell>
          <cell r="B771" t="str">
            <v>ORR</v>
          </cell>
          <cell r="Q771">
            <v>582400</v>
          </cell>
        </row>
        <row r="772">
          <cell r="A772" t="str">
            <v>Road</v>
          </cell>
          <cell r="B772" t="str">
            <v>ORR</v>
          </cell>
          <cell r="Q772">
            <v>1837539</v>
          </cell>
        </row>
        <row r="773">
          <cell r="A773" t="str">
            <v>Road</v>
          </cell>
          <cell r="B773" t="str">
            <v>ORR</v>
          </cell>
          <cell r="Q773">
            <v>2887424</v>
          </cell>
        </row>
        <row r="774">
          <cell r="A774" t="str">
            <v>Road</v>
          </cell>
          <cell r="B774" t="str">
            <v>ORR</v>
          </cell>
          <cell r="Q774">
            <v>1580332</v>
          </cell>
        </row>
        <row r="775">
          <cell r="A775" t="str">
            <v>Road</v>
          </cell>
          <cell r="B775" t="str">
            <v>ORR</v>
          </cell>
          <cell r="Q775">
            <v>15767562</v>
          </cell>
        </row>
        <row r="776">
          <cell r="A776" t="str">
            <v>Road</v>
          </cell>
          <cell r="B776" t="str">
            <v>ORR</v>
          </cell>
          <cell r="Q776">
            <v>582400</v>
          </cell>
        </row>
        <row r="777">
          <cell r="A777" t="str">
            <v>Road</v>
          </cell>
          <cell r="B777" t="str">
            <v>ORR</v>
          </cell>
          <cell r="Q777">
            <v>7309184</v>
          </cell>
        </row>
        <row r="778">
          <cell r="A778" t="str">
            <v>Road</v>
          </cell>
          <cell r="B778" t="str">
            <v>ORR</v>
          </cell>
          <cell r="Q778">
            <v>7309184</v>
          </cell>
        </row>
        <row r="779">
          <cell r="A779" t="str">
            <v>Road</v>
          </cell>
          <cell r="B779" t="str">
            <v>ORR</v>
          </cell>
          <cell r="Q779">
            <v>2969366</v>
          </cell>
        </row>
        <row r="780">
          <cell r="A780" t="str">
            <v>Road</v>
          </cell>
          <cell r="B780" t="str">
            <v>ORR</v>
          </cell>
          <cell r="Q780">
            <v>1139758</v>
          </cell>
        </row>
        <row r="781">
          <cell r="A781" t="str">
            <v>Road</v>
          </cell>
          <cell r="B781" t="str">
            <v>ORR</v>
          </cell>
          <cell r="Q781">
            <v>1944568</v>
          </cell>
        </row>
        <row r="782">
          <cell r="A782" t="str">
            <v>Road</v>
          </cell>
          <cell r="B782" t="str">
            <v>ORR</v>
          </cell>
          <cell r="Q782">
            <v>2969366</v>
          </cell>
        </row>
        <row r="783">
          <cell r="A783" t="str">
            <v>Road</v>
          </cell>
          <cell r="B783" t="str">
            <v>ORR</v>
          </cell>
          <cell r="Q783">
            <v>2969366</v>
          </cell>
        </row>
        <row r="784">
          <cell r="A784" t="str">
            <v>Road</v>
          </cell>
          <cell r="B784" t="str">
            <v>ORR</v>
          </cell>
          <cell r="Q784">
            <v>540000</v>
          </cell>
        </row>
        <row r="785">
          <cell r="A785" t="str">
            <v>Road</v>
          </cell>
          <cell r="B785" t="str">
            <v>ORR</v>
          </cell>
          <cell r="Q785">
            <v>540000</v>
          </cell>
        </row>
        <row r="786">
          <cell r="A786" t="str">
            <v>Road</v>
          </cell>
          <cell r="B786" t="str">
            <v>ORR</v>
          </cell>
          <cell r="Q786">
            <v>582400</v>
          </cell>
        </row>
        <row r="787">
          <cell r="A787" t="str">
            <v>Road</v>
          </cell>
          <cell r="B787" t="str">
            <v>ORR</v>
          </cell>
          <cell r="Q787">
            <v>598977</v>
          </cell>
        </row>
        <row r="788">
          <cell r="A788" t="str">
            <v>Road</v>
          </cell>
          <cell r="B788" t="str">
            <v>ORR</v>
          </cell>
          <cell r="Q788">
            <v>108706</v>
          </cell>
        </row>
        <row r="789">
          <cell r="A789" t="str">
            <v>Road</v>
          </cell>
          <cell r="B789" t="str">
            <v>ORR</v>
          </cell>
          <cell r="Q789">
            <v>2887389</v>
          </cell>
        </row>
        <row r="790">
          <cell r="A790" t="str">
            <v>Road</v>
          </cell>
          <cell r="B790" t="str">
            <v>ORR</v>
          </cell>
          <cell r="Q790">
            <v>1979580</v>
          </cell>
        </row>
        <row r="791">
          <cell r="A791" t="str">
            <v>Road</v>
          </cell>
          <cell r="B791" t="str">
            <v>ORR</v>
          </cell>
          <cell r="Q791">
            <v>7417003</v>
          </cell>
        </row>
        <row r="792">
          <cell r="A792" t="str">
            <v>Road</v>
          </cell>
          <cell r="B792" t="str">
            <v>ORR</v>
          </cell>
          <cell r="Q792">
            <v>632004</v>
          </cell>
        </row>
        <row r="793">
          <cell r="A793" t="str">
            <v>Road</v>
          </cell>
          <cell r="B793" t="str">
            <v>ORR</v>
          </cell>
          <cell r="Q793">
            <v>37260</v>
          </cell>
        </row>
        <row r="794">
          <cell r="A794" t="str">
            <v>Road</v>
          </cell>
          <cell r="B794" t="str">
            <v>ORR</v>
          </cell>
          <cell r="Q794">
            <v>1081956</v>
          </cell>
        </row>
        <row r="795">
          <cell r="A795" t="str">
            <v>Road</v>
          </cell>
          <cell r="B795" t="str">
            <v>ORR</v>
          </cell>
          <cell r="Q795">
            <v>4585835</v>
          </cell>
        </row>
        <row r="796">
          <cell r="A796" t="str">
            <v>Road</v>
          </cell>
          <cell r="B796" t="str">
            <v>ORR</v>
          </cell>
          <cell r="Q796">
            <v>149968</v>
          </cell>
        </row>
        <row r="797">
          <cell r="A797" t="str">
            <v>Road</v>
          </cell>
          <cell r="B797" t="str">
            <v>ORR</v>
          </cell>
          <cell r="Q797">
            <v>355926</v>
          </cell>
        </row>
        <row r="798">
          <cell r="A798" t="str">
            <v>Road</v>
          </cell>
          <cell r="B798" t="str">
            <v>ORR</v>
          </cell>
          <cell r="Q798">
            <v>1829609.6</v>
          </cell>
        </row>
        <row r="799">
          <cell r="A799" t="str">
            <v>Road</v>
          </cell>
          <cell r="B799" t="str">
            <v>ORR</v>
          </cell>
          <cell r="Q799">
            <v>427500</v>
          </cell>
        </row>
        <row r="800">
          <cell r="A800" t="str">
            <v>Road</v>
          </cell>
          <cell r="B800" t="str">
            <v>ORR</v>
          </cell>
          <cell r="Q800">
            <v>427500</v>
          </cell>
        </row>
        <row r="801">
          <cell r="A801" t="str">
            <v>Road</v>
          </cell>
          <cell r="B801" t="str">
            <v>ORR</v>
          </cell>
          <cell r="Q801">
            <v>427500</v>
          </cell>
        </row>
        <row r="802">
          <cell r="A802" t="str">
            <v>Road</v>
          </cell>
          <cell r="B802" t="str">
            <v>ORR</v>
          </cell>
          <cell r="Q802">
            <v>427500</v>
          </cell>
        </row>
        <row r="803">
          <cell r="A803" t="str">
            <v>Road</v>
          </cell>
          <cell r="B803" t="str">
            <v>ORR</v>
          </cell>
          <cell r="Q803">
            <v>1989546.6</v>
          </cell>
        </row>
        <row r="804">
          <cell r="A804" t="str">
            <v>Road</v>
          </cell>
          <cell r="B804" t="str">
            <v>ORR</v>
          </cell>
          <cell r="Q804">
            <v>1989546.6</v>
          </cell>
        </row>
        <row r="805">
          <cell r="A805" t="str">
            <v>Road</v>
          </cell>
          <cell r="B805" t="str">
            <v>ORR</v>
          </cell>
          <cell r="Q805">
            <v>1442274.4</v>
          </cell>
        </row>
        <row r="806">
          <cell r="A806" t="str">
            <v>Road</v>
          </cell>
          <cell r="B806" t="str">
            <v>ORR</v>
          </cell>
          <cell r="Q806">
            <v>1442274.4</v>
          </cell>
        </row>
        <row r="807">
          <cell r="A807" t="str">
            <v>Road</v>
          </cell>
          <cell r="B807" t="str">
            <v>ORR</v>
          </cell>
          <cell r="Q807">
            <v>1442274.4</v>
          </cell>
        </row>
        <row r="808">
          <cell r="A808" t="str">
            <v>Road</v>
          </cell>
          <cell r="B808" t="str">
            <v>ORR</v>
          </cell>
          <cell r="Q808">
            <v>1442274.4</v>
          </cell>
        </row>
        <row r="809">
          <cell r="A809" t="str">
            <v>Road</v>
          </cell>
          <cell r="B809" t="str">
            <v>ORR</v>
          </cell>
          <cell r="Q809">
            <v>3624735</v>
          </cell>
        </row>
        <row r="810">
          <cell r="A810" t="str">
            <v>Road</v>
          </cell>
          <cell r="B810" t="str">
            <v>ORR</v>
          </cell>
          <cell r="Q810">
            <v>1838413.5</v>
          </cell>
        </row>
        <row r="811">
          <cell r="A811" t="str">
            <v>Road</v>
          </cell>
          <cell r="B811" t="str">
            <v>ORR</v>
          </cell>
          <cell r="Q811">
            <v>1838400.65</v>
          </cell>
        </row>
        <row r="812">
          <cell r="A812" t="str">
            <v>Road</v>
          </cell>
          <cell r="B812" t="str">
            <v>ORR</v>
          </cell>
          <cell r="Q812">
            <v>1442274.4</v>
          </cell>
        </row>
        <row r="813">
          <cell r="A813" t="str">
            <v>Road</v>
          </cell>
          <cell r="B813" t="str">
            <v>ORR</v>
          </cell>
          <cell r="Q813">
            <v>1442274.4</v>
          </cell>
        </row>
        <row r="814">
          <cell r="A814" t="str">
            <v>Road</v>
          </cell>
          <cell r="B814" t="str">
            <v>ORR</v>
          </cell>
          <cell r="Q814">
            <v>1442274.4</v>
          </cell>
        </row>
        <row r="815">
          <cell r="A815" t="str">
            <v>Road</v>
          </cell>
          <cell r="B815" t="str">
            <v>ORR</v>
          </cell>
          <cell r="Q815">
            <v>1442274.4</v>
          </cell>
        </row>
        <row r="816">
          <cell r="A816" t="str">
            <v>Road</v>
          </cell>
          <cell r="B816" t="str">
            <v>ORR</v>
          </cell>
          <cell r="Q816">
            <v>1442274.4</v>
          </cell>
        </row>
        <row r="817">
          <cell r="A817" t="str">
            <v>Road</v>
          </cell>
          <cell r="B817" t="str">
            <v>ORR</v>
          </cell>
          <cell r="Q817">
            <v>1442274.4</v>
          </cell>
        </row>
        <row r="818">
          <cell r="A818" t="str">
            <v>Road</v>
          </cell>
          <cell r="B818" t="str">
            <v>ORR</v>
          </cell>
          <cell r="Q818">
            <v>2956373</v>
          </cell>
        </row>
        <row r="819">
          <cell r="A819" t="str">
            <v>Road</v>
          </cell>
          <cell r="B819" t="str">
            <v>ORR</v>
          </cell>
          <cell r="Q819">
            <v>2970315</v>
          </cell>
        </row>
        <row r="820">
          <cell r="A820" t="str">
            <v>Road</v>
          </cell>
          <cell r="B820" t="str">
            <v>ORR</v>
          </cell>
          <cell r="Q820">
            <v>676520</v>
          </cell>
        </row>
        <row r="821">
          <cell r="A821" t="str">
            <v>Road</v>
          </cell>
          <cell r="B821" t="str">
            <v>ORR</v>
          </cell>
          <cell r="Q821">
            <v>5667791</v>
          </cell>
        </row>
        <row r="822">
          <cell r="A822" t="str">
            <v>Road</v>
          </cell>
          <cell r="B822" t="str">
            <v>ORR</v>
          </cell>
          <cell r="Q822">
            <v>1227879</v>
          </cell>
        </row>
        <row r="823">
          <cell r="A823" t="str">
            <v>Road</v>
          </cell>
          <cell r="B823" t="str">
            <v>ORR</v>
          </cell>
          <cell r="Q823">
            <v>628948</v>
          </cell>
        </row>
        <row r="824">
          <cell r="A824" t="str">
            <v>Road</v>
          </cell>
          <cell r="B824" t="str">
            <v>ORR</v>
          </cell>
          <cell r="Q824">
            <v>628948</v>
          </cell>
        </row>
        <row r="825">
          <cell r="A825" t="str">
            <v>Road</v>
          </cell>
          <cell r="B825" t="str">
            <v>ORR</v>
          </cell>
          <cell r="Q825">
            <v>700000</v>
          </cell>
        </row>
        <row r="826">
          <cell r="A826" t="str">
            <v>Road</v>
          </cell>
          <cell r="B826" t="str">
            <v>ORR</v>
          </cell>
          <cell r="Q826">
            <v>557000</v>
          </cell>
        </row>
        <row r="827">
          <cell r="A827" t="str">
            <v>Road</v>
          </cell>
          <cell r="B827" t="str">
            <v>ORR</v>
          </cell>
          <cell r="Q827">
            <v>557000</v>
          </cell>
        </row>
        <row r="828">
          <cell r="A828" t="str">
            <v>Road</v>
          </cell>
          <cell r="B828" t="str">
            <v>ORR</v>
          </cell>
          <cell r="Q828">
            <v>7474071</v>
          </cell>
        </row>
        <row r="829">
          <cell r="A829" t="str">
            <v>Road</v>
          </cell>
          <cell r="B829" t="str">
            <v>ORR</v>
          </cell>
          <cell r="Q829">
            <v>765697</v>
          </cell>
        </row>
        <row r="830">
          <cell r="A830" t="str">
            <v>Road</v>
          </cell>
          <cell r="B830" t="str">
            <v>ORR</v>
          </cell>
          <cell r="Q830">
            <v>765697</v>
          </cell>
        </row>
        <row r="831">
          <cell r="A831" t="str">
            <v>Road</v>
          </cell>
          <cell r="B831" t="str">
            <v>ORR</v>
          </cell>
          <cell r="Q831">
            <v>1807825</v>
          </cell>
        </row>
        <row r="832">
          <cell r="A832" t="str">
            <v>Road</v>
          </cell>
          <cell r="B832" t="str">
            <v>ORR</v>
          </cell>
          <cell r="Q832">
            <v>1807825</v>
          </cell>
        </row>
        <row r="833">
          <cell r="A833" t="str">
            <v>Road</v>
          </cell>
          <cell r="B833" t="str">
            <v>ORR</v>
          </cell>
          <cell r="Q833">
            <v>1807825</v>
          </cell>
        </row>
        <row r="834">
          <cell r="A834" t="str">
            <v>Road</v>
          </cell>
          <cell r="B834" t="str">
            <v>ORR</v>
          </cell>
          <cell r="Q834">
            <v>1807825</v>
          </cell>
        </row>
        <row r="835">
          <cell r="A835" t="str">
            <v>Road</v>
          </cell>
          <cell r="B835" t="str">
            <v>ORR</v>
          </cell>
          <cell r="Q835">
            <v>1807825</v>
          </cell>
        </row>
        <row r="836">
          <cell r="A836" t="str">
            <v>Road</v>
          </cell>
          <cell r="B836" t="str">
            <v>ORR</v>
          </cell>
          <cell r="Q836">
            <v>1807825</v>
          </cell>
        </row>
        <row r="837">
          <cell r="A837" t="str">
            <v>Road</v>
          </cell>
          <cell r="B837" t="str">
            <v>ORR</v>
          </cell>
          <cell r="Q837">
            <v>1807825</v>
          </cell>
        </row>
        <row r="838">
          <cell r="A838" t="str">
            <v>Road</v>
          </cell>
          <cell r="B838" t="str">
            <v>ORR</v>
          </cell>
          <cell r="Q838">
            <v>1807825</v>
          </cell>
        </row>
        <row r="839">
          <cell r="A839" t="str">
            <v>Road</v>
          </cell>
          <cell r="B839" t="str">
            <v>ORR</v>
          </cell>
          <cell r="Q839">
            <v>1807825</v>
          </cell>
        </row>
        <row r="840">
          <cell r="A840" t="str">
            <v>Road</v>
          </cell>
          <cell r="B840" t="str">
            <v>ORR</v>
          </cell>
          <cell r="Q840">
            <v>1807825</v>
          </cell>
        </row>
        <row r="841">
          <cell r="A841" t="str">
            <v>Road</v>
          </cell>
          <cell r="B841" t="str">
            <v>ORR</v>
          </cell>
          <cell r="Q841">
            <v>1807825</v>
          </cell>
        </row>
        <row r="842">
          <cell r="A842" t="str">
            <v>Road</v>
          </cell>
          <cell r="B842" t="str">
            <v>ORR</v>
          </cell>
          <cell r="Q842">
            <v>1807825</v>
          </cell>
        </row>
        <row r="843">
          <cell r="A843" t="str">
            <v>Road</v>
          </cell>
          <cell r="B843" t="str">
            <v>ORR</v>
          </cell>
          <cell r="Q843">
            <v>1807825</v>
          </cell>
        </row>
        <row r="844">
          <cell r="A844" t="str">
            <v>Road</v>
          </cell>
          <cell r="B844" t="str">
            <v>ORR</v>
          </cell>
          <cell r="Q844">
            <v>1807825</v>
          </cell>
        </row>
        <row r="845">
          <cell r="A845" t="str">
            <v>Road</v>
          </cell>
          <cell r="B845" t="str">
            <v>ORR</v>
          </cell>
          <cell r="Q845">
            <v>1807825</v>
          </cell>
        </row>
        <row r="846">
          <cell r="A846" t="str">
            <v>Road</v>
          </cell>
          <cell r="B846" t="str">
            <v>ORR</v>
          </cell>
          <cell r="Q846">
            <v>1807825</v>
          </cell>
        </row>
        <row r="847">
          <cell r="A847" t="str">
            <v>Road</v>
          </cell>
          <cell r="B847" t="str">
            <v>ORR</v>
          </cell>
          <cell r="Q847">
            <v>1807825</v>
          </cell>
        </row>
        <row r="848">
          <cell r="A848" t="str">
            <v>Road</v>
          </cell>
          <cell r="B848" t="str">
            <v>ORR</v>
          </cell>
          <cell r="Q848">
            <v>1807825</v>
          </cell>
        </row>
        <row r="849">
          <cell r="A849" t="str">
            <v>Road</v>
          </cell>
          <cell r="B849" t="str">
            <v>ORR</v>
          </cell>
          <cell r="Q849">
            <v>1807825</v>
          </cell>
        </row>
        <row r="850">
          <cell r="A850" t="str">
            <v>Road</v>
          </cell>
          <cell r="B850" t="str">
            <v>ORR</v>
          </cell>
          <cell r="Q850">
            <v>1807825</v>
          </cell>
        </row>
        <row r="851">
          <cell r="A851" t="str">
            <v>Road</v>
          </cell>
          <cell r="B851" t="str">
            <v>ORR</v>
          </cell>
          <cell r="Q851">
            <v>1203855</v>
          </cell>
        </row>
        <row r="852">
          <cell r="A852" t="str">
            <v>Road</v>
          </cell>
          <cell r="B852" t="str">
            <v>ORR</v>
          </cell>
          <cell r="Q852">
            <v>169200</v>
          </cell>
        </row>
        <row r="853">
          <cell r="A853" t="str">
            <v>Road</v>
          </cell>
          <cell r="B853" t="str">
            <v>ORR</v>
          </cell>
          <cell r="Q853">
            <v>1227879</v>
          </cell>
        </row>
        <row r="854">
          <cell r="A854" t="str">
            <v>Road</v>
          </cell>
          <cell r="B854" t="str">
            <v>ORR</v>
          </cell>
          <cell r="Q854">
            <v>59742358.689999998</v>
          </cell>
        </row>
        <row r="855">
          <cell r="A855" t="str">
            <v>Road</v>
          </cell>
          <cell r="B855" t="str">
            <v>ORR</v>
          </cell>
          <cell r="Q855">
            <v>2426629</v>
          </cell>
        </row>
        <row r="856">
          <cell r="A856" t="str">
            <v>Road</v>
          </cell>
          <cell r="B856" t="str">
            <v>ORR</v>
          </cell>
          <cell r="Q856">
            <v>2426629</v>
          </cell>
        </row>
        <row r="857">
          <cell r="A857" t="str">
            <v>Road</v>
          </cell>
          <cell r="B857" t="str">
            <v>ORR</v>
          </cell>
          <cell r="Q857">
            <v>943051.6</v>
          </cell>
        </row>
        <row r="858">
          <cell r="A858" t="str">
            <v>Road</v>
          </cell>
          <cell r="B858" t="str">
            <v>ORR</v>
          </cell>
          <cell r="Q858">
            <v>943051.6</v>
          </cell>
        </row>
        <row r="859">
          <cell r="A859" t="str">
            <v>Road</v>
          </cell>
          <cell r="B859" t="str">
            <v>ORR</v>
          </cell>
          <cell r="Q859">
            <v>943051.6</v>
          </cell>
        </row>
        <row r="860">
          <cell r="A860" t="str">
            <v>Road</v>
          </cell>
          <cell r="B860" t="str">
            <v>ORR</v>
          </cell>
          <cell r="Q860">
            <v>943051.6</v>
          </cell>
        </row>
        <row r="861">
          <cell r="A861" t="str">
            <v>Road</v>
          </cell>
          <cell r="B861" t="str">
            <v>ORR</v>
          </cell>
          <cell r="Q861">
            <v>943051.6</v>
          </cell>
        </row>
        <row r="862">
          <cell r="A862" t="str">
            <v>Road</v>
          </cell>
          <cell r="B862" t="str">
            <v>ORR</v>
          </cell>
          <cell r="Q862">
            <v>943051.6</v>
          </cell>
        </row>
        <row r="863">
          <cell r="A863" t="str">
            <v>Road</v>
          </cell>
          <cell r="B863" t="str">
            <v>ORR</v>
          </cell>
          <cell r="Q863">
            <v>943051.6</v>
          </cell>
        </row>
        <row r="864">
          <cell r="A864" t="str">
            <v>Road</v>
          </cell>
          <cell r="B864" t="str">
            <v>ORR</v>
          </cell>
          <cell r="Q864">
            <v>943051.6</v>
          </cell>
        </row>
        <row r="865">
          <cell r="A865" t="str">
            <v>Road</v>
          </cell>
          <cell r="B865" t="str">
            <v>ORR</v>
          </cell>
          <cell r="Q865">
            <v>943051.6</v>
          </cell>
        </row>
        <row r="866">
          <cell r="A866" t="str">
            <v>Road</v>
          </cell>
          <cell r="B866" t="str">
            <v>ORR</v>
          </cell>
          <cell r="Q866">
            <v>943051.6</v>
          </cell>
        </row>
        <row r="867">
          <cell r="A867" t="str">
            <v>Road</v>
          </cell>
          <cell r="B867" t="str">
            <v>ORR</v>
          </cell>
          <cell r="Q867">
            <v>3449264</v>
          </cell>
        </row>
        <row r="868">
          <cell r="A868" t="str">
            <v>Road</v>
          </cell>
          <cell r="B868" t="str">
            <v>ORR</v>
          </cell>
          <cell r="Q868">
            <v>15958958.9</v>
          </cell>
        </row>
        <row r="869">
          <cell r="A869" t="str">
            <v>Road</v>
          </cell>
          <cell r="B869" t="str">
            <v>ORR</v>
          </cell>
          <cell r="Q869">
            <v>1166782</v>
          </cell>
        </row>
        <row r="870">
          <cell r="A870" t="str">
            <v>Road</v>
          </cell>
          <cell r="B870" t="str">
            <v>ORR</v>
          </cell>
          <cell r="Q870">
            <v>167968</v>
          </cell>
        </row>
        <row r="871">
          <cell r="A871" t="str">
            <v>Road</v>
          </cell>
          <cell r="B871" t="str">
            <v>ORR</v>
          </cell>
          <cell r="Q871">
            <v>623872</v>
          </cell>
        </row>
        <row r="872">
          <cell r="A872" t="str">
            <v>Road</v>
          </cell>
          <cell r="B872" t="str">
            <v>ORR</v>
          </cell>
          <cell r="Q872">
            <v>724496.75</v>
          </cell>
        </row>
        <row r="873">
          <cell r="A873" t="str">
            <v>Road</v>
          </cell>
          <cell r="B873" t="str">
            <v>ORR</v>
          </cell>
          <cell r="Q873">
            <v>4276904.68</v>
          </cell>
        </row>
        <row r="874">
          <cell r="A874" t="str">
            <v>Road</v>
          </cell>
          <cell r="B874" t="str">
            <v>ORR</v>
          </cell>
          <cell r="Q874">
            <v>4346903.68</v>
          </cell>
        </row>
        <row r="875">
          <cell r="A875" t="str">
            <v>Road</v>
          </cell>
          <cell r="B875" t="str">
            <v>ORR</v>
          </cell>
          <cell r="Q875">
            <v>1268169</v>
          </cell>
        </row>
        <row r="876">
          <cell r="A876" t="str">
            <v>Road</v>
          </cell>
          <cell r="B876" t="str">
            <v>ORR</v>
          </cell>
          <cell r="Q876">
            <v>1268169</v>
          </cell>
        </row>
        <row r="877">
          <cell r="A877" t="str">
            <v>Road</v>
          </cell>
          <cell r="B877" t="str">
            <v>ORR</v>
          </cell>
          <cell r="Q877">
            <v>1268169</v>
          </cell>
        </row>
        <row r="878">
          <cell r="A878" t="str">
            <v>Road</v>
          </cell>
          <cell r="B878" t="str">
            <v>ORR</v>
          </cell>
          <cell r="Q878">
            <v>1268169</v>
          </cell>
        </row>
        <row r="879">
          <cell r="A879" t="str">
            <v>Road</v>
          </cell>
          <cell r="B879" t="str">
            <v>ORR</v>
          </cell>
          <cell r="Q879">
            <v>1268169</v>
          </cell>
        </row>
        <row r="880">
          <cell r="A880" t="str">
            <v>Road</v>
          </cell>
          <cell r="B880" t="str">
            <v>ORR</v>
          </cell>
          <cell r="Q880">
            <v>1268169</v>
          </cell>
        </row>
        <row r="881">
          <cell r="A881" t="str">
            <v>Road</v>
          </cell>
          <cell r="B881" t="str">
            <v>ORR</v>
          </cell>
          <cell r="Q881">
            <v>771682</v>
          </cell>
        </row>
        <row r="882">
          <cell r="A882" t="str">
            <v>Road</v>
          </cell>
          <cell r="B882" t="str">
            <v>ORR</v>
          </cell>
          <cell r="Q882">
            <v>2382640</v>
          </cell>
        </row>
        <row r="883">
          <cell r="A883" t="str">
            <v>Road</v>
          </cell>
          <cell r="B883" t="str">
            <v>ORR</v>
          </cell>
          <cell r="Q883">
            <v>2439973</v>
          </cell>
        </row>
        <row r="884">
          <cell r="A884" t="str">
            <v>Road</v>
          </cell>
          <cell r="B884" t="str">
            <v>ORR</v>
          </cell>
          <cell r="Q884">
            <v>2636110</v>
          </cell>
        </row>
        <row r="885">
          <cell r="A885" t="str">
            <v>Road</v>
          </cell>
          <cell r="B885" t="str">
            <v>ORR</v>
          </cell>
          <cell r="Q885">
            <v>2282000</v>
          </cell>
        </row>
        <row r="886">
          <cell r="A886" t="str">
            <v>Road</v>
          </cell>
          <cell r="B886" t="str">
            <v>ORR</v>
          </cell>
          <cell r="Q886">
            <v>3711577</v>
          </cell>
        </row>
        <row r="887">
          <cell r="A887" t="str">
            <v>Road</v>
          </cell>
          <cell r="B887" t="str">
            <v>ORR</v>
          </cell>
          <cell r="Q887">
            <v>4059220</v>
          </cell>
        </row>
        <row r="888">
          <cell r="A888" t="str">
            <v>Road</v>
          </cell>
          <cell r="B888" t="str">
            <v>Pondy</v>
          </cell>
          <cell r="Q888">
            <v>758605</v>
          </cell>
        </row>
        <row r="889">
          <cell r="A889" t="str">
            <v>Road</v>
          </cell>
          <cell r="B889" t="str">
            <v>Pondy</v>
          </cell>
          <cell r="Q889">
            <v>3578104</v>
          </cell>
        </row>
        <row r="890">
          <cell r="A890" t="str">
            <v>Road</v>
          </cell>
          <cell r="B890" t="str">
            <v>Pondy</v>
          </cell>
          <cell r="Q890">
            <v>7439449.0700000003</v>
          </cell>
        </row>
        <row r="891">
          <cell r="A891" t="str">
            <v>Road</v>
          </cell>
          <cell r="B891" t="str">
            <v>Pondy</v>
          </cell>
          <cell r="Q891">
            <v>229388</v>
          </cell>
        </row>
        <row r="892">
          <cell r="A892" t="str">
            <v>Road</v>
          </cell>
          <cell r="B892" t="str">
            <v>Pondy</v>
          </cell>
          <cell r="Q892">
            <v>3088141</v>
          </cell>
        </row>
        <row r="893">
          <cell r="A893" t="str">
            <v>Road</v>
          </cell>
          <cell r="B893" t="str">
            <v>Pondy</v>
          </cell>
          <cell r="Q893">
            <v>3044610</v>
          </cell>
        </row>
        <row r="894">
          <cell r="A894" t="str">
            <v>Road</v>
          </cell>
          <cell r="B894" t="str">
            <v>Pondy</v>
          </cell>
          <cell r="Q894">
            <v>15784518</v>
          </cell>
        </row>
        <row r="895">
          <cell r="A895" t="str">
            <v>Road</v>
          </cell>
          <cell r="B895" t="str">
            <v>Pondy</v>
          </cell>
          <cell r="Q895">
            <v>7291184</v>
          </cell>
        </row>
        <row r="896">
          <cell r="A896" t="str">
            <v>Road</v>
          </cell>
          <cell r="B896" t="str">
            <v>Pondy</v>
          </cell>
          <cell r="Q896">
            <v>532400</v>
          </cell>
        </row>
        <row r="897">
          <cell r="A897" t="str">
            <v>Road</v>
          </cell>
          <cell r="B897" t="str">
            <v>Pondy</v>
          </cell>
          <cell r="Q897">
            <v>532400</v>
          </cell>
        </row>
        <row r="898">
          <cell r="A898" t="str">
            <v>Road</v>
          </cell>
          <cell r="B898" t="str">
            <v>Pondy</v>
          </cell>
          <cell r="Q898">
            <v>436750</v>
          </cell>
        </row>
        <row r="899">
          <cell r="A899" t="str">
            <v>Road</v>
          </cell>
          <cell r="B899" t="str">
            <v>Pondy</v>
          </cell>
          <cell r="Q899">
            <v>436750</v>
          </cell>
        </row>
        <row r="900">
          <cell r="A900" t="str">
            <v>Road</v>
          </cell>
          <cell r="B900" t="str">
            <v>Pondy</v>
          </cell>
          <cell r="Q900">
            <v>1005766.38</v>
          </cell>
        </row>
        <row r="901">
          <cell r="A901" t="str">
            <v>Road</v>
          </cell>
          <cell r="B901" t="str">
            <v>Pondy</v>
          </cell>
          <cell r="Q901">
            <v>1005765.88</v>
          </cell>
        </row>
        <row r="902">
          <cell r="A902" t="str">
            <v>Road</v>
          </cell>
          <cell r="B902" t="str">
            <v>Pondy</v>
          </cell>
          <cell r="Q902">
            <v>1005765.87</v>
          </cell>
        </row>
        <row r="903">
          <cell r="A903" t="str">
            <v>Road</v>
          </cell>
          <cell r="B903" t="str">
            <v>Pondy</v>
          </cell>
          <cell r="Q903">
            <v>63156378.689999998</v>
          </cell>
        </row>
        <row r="904">
          <cell r="A904" t="str">
            <v>Road</v>
          </cell>
          <cell r="B904" t="str">
            <v>Pondy</v>
          </cell>
          <cell r="Q904">
            <v>4172174.8</v>
          </cell>
        </row>
        <row r="905">
          <cell r="A905" t="str">
            <v>Road</v>
          </cell>
          <cell r="B905" t="str">
            <v>Pondy</v>
          </cell>
          <cell r="Q905">
            <v>1126956</v>
          </cell>
        </row>
        <row r="906">
          <cell r="A906" t="str">
            <v>Road</v>
          </cell>
          <cell r="B906" t="str">
            <v>Pondy</v>
          </cell>
          <cell r="Q906">
            <v>601379.5</v>
          </cell>
        </row>
        <row r="907">
          <cell r="A907" t="str">
            <v>Road</v>
          </cell>
          <cell r="B907" t="str">
            <v>Pondy</v>
          </cell>
          <cell r="Q907">
            <v>601379.5</v>
          </cell>
        </row>
        <row r="908">
          <cell r="A908" t="str">
            <v>Road</v>
          </cell>
          <cell r="B908" t="str">
            <v>Pondy</v>
          </cell>
          <cell r="Q908">
            <v>3088141</v>
          </cell>
        </row>
        <row r="909">
          <cell r="A909" t="str">
            <v>Road</v>
          </cell>
          <cell r="B909" t="str">
            <v>Pondy</v>
          </cell>
          <cell r="Q909">
            <v>3088141</v>
          </cell>
        </row>
        <row r="910">
          <cell r="A910" t="str">
            <v>Road</v>
          </cell>
          <cell r="B910" t="str">
            <v>Pondy</v>
          </cell>
          <cell r="Q910">
            <v>3222480</v>
          </cell>
        </row>
        <row r="911">
          <cell r="A911" t="str">
            <v>Road</v>
          </cell>
          <cell r="B911" t="str">
            <v>Pondy</v>
          </cell>
          <cell r="Q911">
            <v>3222480</v>
          </cell>
        </row>
        <row r="912">
          <cell r="A912" t="str">
            <v>Road</v>
          </cell>
          <cell r="B912" t="str">
            <v>Pondy</v>
          </cell>
          <cell r="Q912">
            <v>599872</v>
          </cell>
        </row>
        <row r="913">
          <cell r="A913" t="str">
            <v>Road</v>
          </cell>
          <cell r="B913" t="str">
            <v>Pondy</v>
          </cell>
          <cell r="Q913">
            <v>63605959.689999998</v>
          </cell>
        </row>
        <row r="914">
          <cell r="A914" t="str">
            <v>Road</v>
          </cell>
          <cell r="B914" t="str">
            <v>Pondy</v>
          </cell>
          <cell r="Q914">
            <v>1742598</v>
          </cell>
        </row>
        <row r="915">
          <cell r="A915" t="str">
            <v>Road</v>
          </cell>
          <cell r="B915" t="str">
            <v>Pondy</v>
          </cell>
          <cell r="Q915">
            <v>1742596</v>
          </cell>
        </row>
        <row r="916">
          <cell r="A916" t="str">
            <v>Road</v>
          </cell>
          <cell r="B916" t="str">
            <v>Pondy</v>
          </cell>
          <cell r="Q916">
            <v>1742596</v>
          </cell>
        </row>
        <row r="917">
          <cell r="A917" t="str">
            <v>Road</v>
          </cell>
          <cell r="B917" t="str">
            <v>Pondy</v>
          </cell>
          <cell r="Q917">
            <v>1742596</v>
          </cell>
        </row>
        <row r="918">
          <cell r="A918" t="str">
            <v>Road</v>
          </cell>
          <cell r="B918" t="str">
            <v>Pondy</v>
          </cell>
          <cell r="Q918">
            <v>1743596</v>
          </cell>
        </row>
        <row r="919">
          <cell r="A919" t="str">
            <v>Road</v>
          </cell>
          <cell r="B919" t="str">
            <v>Pondy</v>
          </cell>
          <cell r="Q919">
            <v>1188998</v>
          </cell>
        </row>
        <row r="920">
          <cell r="A920" t="str">
            <v>Road</v>
          </cell>
          <cell r="B920" t="str">
            <v>Pondy</v>
          </cell>
          <cell r="Q920">
            <v>1188999</v>
          </cell>
        </row>
        <row r="921">
          <cell r="A921" t="str">
            <v>Road</v>
          </cell>
          <cell r="B921" t="str">
            <v>Pondy</v>
          </cell>
          <cell r="Q921">
            <v>1188999</v>
          </cell>
        </row>
        <row r="922">
          <cell r="A922" t="str">
            <v>Road</v>
          </cell>
          <cell r="B922" t="str">
            <v>Pondy</v>
          </cell>
          <cell r="Q922">
            <v>1188999</v>
          </cell>
        </row>
        <row r="923">
          <cell r="A923" t="str">
            <v>Road</v>
          </cell>
          <cell r="B923" t="str">
            <v>Pondy</v>
          </cell>
          <cell r="Q923">
            <v>1023727</v>
          </cell>
        </row>
        <row r="924">
          <cell r="A924" t="str">
            <v>Road</v>
          </cell>
          <cell r="B924" t="str">
            <v>Pondy</v>
          </cell>
          <cell r="Q924">
            <v>1023727</v>
          </cell>
        </row>
        <row r="925">
          <cell r="A925" t="str">
            <v>Road</v>
          </cell>
          <cell r="B925" t="str">
            <v>Pondy</v>
          </cell>
          <cell r="Q925">
            <v>1023726</v>
          </cell>
        </row>
        <row r="926">
          <cell r="A926" t="str">
            <v>Road</v>
          </cell>
          <cell r="B926" t="str">
            <v>Pondy</v>
          </cell>
          <cell r="Q926">
            <v>436750</v>
          </cell>
        </row>
        <row r="927">
          <cell r="A927" t="str">
            <v>Road</v>
          </cell>
          <cell r="B927" t="str">
            <v>Pondy</v>
          </cell>
          <cell r="Q927">
            <v>436750</v>
          </cell>
        </row>
        <row r="928">
          <cell r="A928" t="str">
            <v>Road</v>
          </cell>
          <cell r="B928" t="str">
            <v>Pondy</v>
          </cell>
          <cell r="Q928">
            <v>436750</v>
          </cell>
        </row>
        <row r="929">
          <cell r="A929" t="str">
            <v>Road</v>
          </cell>
          <cell r="B929" t="str">
            <v>Pondy</v>
          </cell>
          <cell r="Q929">
            <v>436750</v>
          </cell>
        </row>
        <row r="930">
          <cell r="A930" t="str">
            <v>Road</v>
          </cell>
          <cell r="B930" t="str">
            <v>Pondy</v>
          </cell>
          <cell r="Q930">
            <v>4060143</v>
          </cell>
        </row>
        <row r="931">
          <cell r="A931" t="str">
            <v>Road</v>
          </cell>
          <cell r="B931" t="str">
            <v>Pondy</v>
          </cell>
          <cell r="Q931">
            <v>4060145</v>
          </cell>
        </row>
        <row r="932">
          <cell r="A932" t="str">
            <v>Road</v>
          </cell>
          <cell r="B932" t="str">
            <v>Pondy</v>
          </cell>
          <cell r="Q932">
            <v>355925.76000000001</v>
          </cell>
        </row>
        <row r="933">
          <cell r="A933" t="str">
            <v>Road</v>
          </cell>
          <cell r="B933" t="str">
            <v>Pondy</v>
          </cell>
          <cell r="Q933">
            <v>355925.76000000001</v>
          </cell>
        </row>
        <row r="934">
          <cell r="A934" t="str">
            <v>Road</v>
          </cell>
          <cell r="B934" t="str">
            <v>Pondy</v>
          </cell>
          <cell r="Q934">
            <v>277942.40000000002</v>
          </cell>
        </row>
        <row r="935">
          <cell r="A935" t="str">
            <v>Road</v>
          </cell>
          <cell r="B935" t="str">
            <v>Pondy</v>
          </cell>
          <cell r="Q935">
            <v>277942.40000000002</v>
          </cell>
        </row>
        <row r="936">
          <cell r="A936" t="str">
            <v>Road</v>
          </cell>
          <cell r="B936" t="str">
            <v>Pondy</v>
          </cell>
          <cell r="Q936">
            <v>277942.40000000002</v>
          </cell>
        </row>
        <row r="937">
          <cell r="A937" t="str">
            <v>Road</v>
          </cell>
          <cell r="B937" t="str">
            <v>Pondy</v>
          </cell>
          <cell r="Q937">
            <v>277942.40000000002</v>
          </cell>
        </row>
        <row r="938">
          <cell r="A938" t="str">
            <v>Road</v>
          </cell>
          <cell r="B938" t="str">
            <v>Pondy</v>
          </cell>
          <cell r="Q938">
            <v>277942.40000000002</v>
          </cell>
        </row>
        <row r="939">
          <cell r="A939" t="str">
            <v>Road</v>
          </cell>
          <cell r="B939" t="str">
            <v>Pondy</v>
          </cell>
          <cell r="Q939">
            <v>2162162</v>
          </cell>
        </row>
        <row r="940">
          <cell r="A940" t="str">
            <v>Road</v>
          </cell>
          <cell r="B940" t="str">
            <v>Pondy</v>
          </cell>
          <cell r="Q940">
            <v>1800837.81</v>
          </cell>
        </row>
        <row r="941">
          <cell r="A941" t="str">
            <v>Road</v>
          </cell>
          <cell r="B941" t="str">
            <v>Pondy</v>
          </cell>
          <cell r="Q941">
            <v>1432241.88</v>
          </cell>
        </row>
        <row r="942">
          <cell r="A942" t="str">
            <v>Road</v>
          </cell>
          <cell r="B942" t="str">
            <v>Pondy</v>
          </cell>
          <cell r="Q942">
            <v>1432242.88</v>
          </cell>
        </row>
        <row r="943">
          <cell r="A943" t="str">
            <v>Road</v>
          </cell>
          <cell r="B943" t="str">
            <v>Pondy</v>
          </cell>
          <cell r="Q943">
            <v>1432242.88</v>
          </cell>
        </row>
        <row r="944">
          <cell r="A944" t="str">
            <v>Road</v>
          </cell>
          <cell r="B944" t="str">
            <v>Pondy</v>
          </cell>
          <cell r="Q944">
            <v>1157959.3799999999</v>
          </cell>
        </row>
        <row r="945">
          <cell r="A945" t="str">
            <v>Road</v>
          </cell>
          <cell r="B945" t="str">
            <v>Pondy</v>
          </cell>
          <cell r="Q945">
            <v>2182831</v>
          </cell>
        </row>
        <row r="946">
          <cell r="A946" t="str">
            <v>Road</v>
          </cell>
          <cell r="B946" t="str">
            <v>Pondy</v>
          </cell>
          <cell r="Q946">
            <v>4995993</v>
          </cell>
        </row>
        <row r="947">
          <cell r="A947" t="str">
            <v>Road</v>
          </cell>
          <cell r="B947" t="str">
            <v>Pondy</v>
          </cell>
          <cell r="Q947">
            <v>2172131</v>
          </cell>
        </row>
        <row r="948">
          <cell r="A948" t="str">
            <v>Road</v>
          </cell>
          <cell r="B948" t="str">
            <v>Pondy</v>
          </cell>
          <cell r="Q948">
            <v>5020554</v>
          </cell>
        </row>
        <row r="949">
          <cell r="A949" t="str">
            <v>Road</v>
          </cell>
          <cell r="B949" t="str">
            <v>Pondy</v>
          </cell>
          <cell r="Q949">
            <v>5097054</v>
          </cell>
        </row>
        <row r="950">
          <cell r="A950" t="str">
            <v>Road</v>
          </cell>
          <cell r="B950" t="str">
            <v>Pondy</v>
          </cell>
          <cell r="Q950">
            <v>7491078</v>
          </cell>
        </row>
        <row r="951">
          <cell r="A951" t="str">
            <v>Road</v>
          </cell>
          <cell r="B951" t="str">
            <v>Pondy</v>
          </cell>
          <cell r="Q951">
            <v>7491078</v>
          </cell>
        </row>
        <row r="952">
          <cell r="A952" t="str">
            <v>Road</v>
          </cell>
          <cell r="B952" t="str">
            <v>Pondy</v>
          </cell>
          <cell r="Q952">
            <v>663750</v>
          </cell>
        </row>
        <row r="953">
          <cell r="A953" t="str">
            <v>Road</v>
          </cell>
          <cell r="B953" t="str">
            <v>Pondy</v>
          </cell>
          <cell r="Q953">
            <v>663750</v>
          </cell>
        </row>
        <row r="954">
          <cell r="A954" t="str">
            <v>Road</v>
          </cell>
          <cell r="B954" t="str">
            <v>Pondy</v>
          </cell>
          <cell r="Q954">
            <v>36421</v>
          </cell>
        </row>
        <row r="955">
          <cell r="A955" t="str">
            <v>Road</v>
          </cell>
          <cell r="B955" t="str">
            <v>Pondy</v>
          </cell>
          <cell r="Q955">
            <v>2705437</v>
          </cell>
        </row>
        <row r="956">
          <cell r="A956" t="str">
            <v>Road</v>
          </cell>
          <cell r="B956" t="str">
            <v>Pondy</v>
          </cell>
          <cell r="Q956">
            <v>162333.15</v>
          </cell>
        </row>
        <row r="957">
          <cell r="A957" t="str">
            <v>Road</v>
          </cell>
          <cell r="B957" t="str">
            <v>Pondy</v>
          </cell>
          <cell r="Q957">
            <v>162333.15</v>
          </cell>
        </row>
        <row r="958">
          <cell r="A958" t="str">
            <v>Road</v>
          </cell>
          <cell r="B958" t="str">
            <v>Pondy</v>
          </cell>
          <cell r="Q958">
            <v>2175110</v>
          </cell>
        </row>
        <row r="959">
          <cell r="A959" t="str">
            <v>Road</v>
          </cell>
          <cell r="B959" t="str">
            <v>Pondy</v>
          </cell>
          <cell r="Q959">
            <v>2175110</v>
          </cell>
        </row>
        <row r="960">
          <cell r="A960" t="str">
            <v>Road</v>
          </cell>
          <cell r="B960" t="str">
            <v>Pondy</v>
          </cell>
          <cell r="Q960">
            <v>5192975</v>
          </cell>
        </row>
        <row r="961">
          <cell r="A961" t="str">
            <v>Road</v>
          </cell>
          <cell r="B961" t="str">
            <v>Pondy</v>
          </cell>
          <cell r="Q961">
            <v>2182831</v>
          </cell>
        </row>
        <row r="962">
          <cell r="A962" t="str">
            <v>Road</v>
          </cell>
          <cell r="B962" t="str">
            <v>Pondy</v>
          </cell>
          <cell r="Q962">
            <v>2182831</v>
          </cell>
        </row>
        <row r="963">
          <cell r="A963" t="str">
            <v>Road</v>
          </cell>
          <cell r="B963" t="str">
            <v>Pondy</v>
          </cell>
          <cell r="Q963">
            <v>734345</v>
          </cell>
        </row>
        <row r="964">
          <cell r="A964" t="str">
            <v>Road</v>
          </cell>
          <cell r="B964" t="str">
            <v>Pondy</v>
          </cell>
          <cell r="Q964">
            <v>734345</v>
          </cell>
        </row>
        <row r="965">
          <cell r="A965" t="str">
            <v>Road</v>
          </cell>
          <cell r="B965" t="str">
            <v>Pondy</v>
          </cell>
          <cell r="Q965">
            <v>789445</v>
          </cell>
        </row>
        <row r="966">
          <cell r="A966" t="str">
            <v>Road</v>
          </cell>
          <cell r="B966" t="str">
            <v>Pondy</v>
          </cell>
          <cell r="Q966">
            <v>799945</v>
          </cell>
        </row>
        <row r="967">
          <cell r="A967" t="str">
            <v>Road</v>
          </cell>
          <cell r="B967" t="str">
            <v>Pondy</v>
          </cell>
          <cell r="Q967">
            <v>734324</v>
          </cell>
        </row>
        <row r="968">
          <cell r="A968" t="str">
            <v>Road</v>
          </cell>
          <cell r="B968" t="str">
            <v>Pondy</v>
          </cell>
          <cell r="Q968">
            <v>1410540.25</v>
          </cell>
        </row>
        <row r="969">
          <cell r="A969" t="str">
            <v>Road</v>
          </cell>
          <cell r="B969" t="str">
            <v>Pondy</v>
          </cell>
          <cell r="Q969">
            <v>1410540.25</v>
          </cell>
        </row>
        <row r="970">
          <cell r="A970" t="str">
            <v>Road</v>
          </cell>
          <cell r="B970" t="str">
            <v>Pondy</v>
          </cell>
          <cell r="Q970">
            <v>1410540.25</v>
          </cell>
        </row>
        <row r="971">
          <cell r="A971" t="str">
            <v>Road</v>
          </cell>
          <cell r="B971" t="str">
            <v>Pondy</v>
          </cell>
          <cell r="Q971">
            <v>599000</v>
          </cell>
        </row>
        <row r="972">
          <cell r="A972" t="str">
            <v>Road</v>
          </cell>
          <cell r="B972" t="str">
            <v>Pondy</v>
          </cell>
          <cell r="Q972">
            <v>599000</v>
          </cell>
        </row>
        <row r="973">
          <cell r="A973" t="str">
            <v>Road</v>
          </cell>
          <cell r="B973" t="str">
            <v>Pondy</v>
          </cell>
          <cell r="Q973">
            <v>2722903.8</v>
          </cell>
        </row>
        <row r="974">
          <cell r="A974" t="str">
            <v>Road</v>
          </cell>
          <cell r="B974" t="str">
            <v>Pondy</v>
          </cell>
          <cell r="Q974">
            <v>1164829</v>
          </cell>
        </row>
        <row r="975">
          <cell r="A975" t="str">
            <v>Road</v>
          </cell>
          <cell r="B975" t="str">
            <v>Pondy</v>
          </cell>
          <cell r="Q975">
            <v>1164830</v>
          </cell>
        </row>
        <row r="976">
          <cell r="A976" t="str">
            <v>Road</v>
          </cell>
          <cell r="B976" t="str">
            <v>Pondy</v>
          </cell>
          <cell r="Q976">
            <v>29751931</v>
          </cell>
        </row>
        <row r="977">
          <cell r="A977" t="str">
            <v>Road</v>
          </cell>
          <cell r="B977" t="str">
            <v>Pondy</v>
          </cell>
          <cell r="Q977">
            <v>6060211</v>
          </cell>
        </row>
        <row r="978">
          <cell r="A978" t="str">
            <v>Road</v>
          </cell>
          <cell r="B978" t="str">
            <v>Pondy</v>
          </cell>
          <cell r="Q978">
            <v>618000</v>
          </cell>
        </row>
        <row r="979">
          <cell r="A979" t="str">
            <v>Road</v>
          </cell>
          <cell r="B979" t="str">
            <v>Pondy</v>
          </cell>
          <cell r="Q979">
            <v>724496.75</v>
          </cell>
        </row>
        <row r="980">
          <cell r="A980" t="str">
            <v>Road</v>
          </cell>
          <cell r="B980" t="str">
            <v>Pondy</v>
          </cell>
          <cell r="Q980">
            <v>12617202</v>
          </cell>
        </row>
        <row r="981">
          <cell r="A981" t="str">
            <v>Road</v>
          </cell>
          <cell r="B981" t="str">
            <v>Pondy</v>
          </cell>
          <cell r="Q981">
            <v>544710</v>
          </cell>
        </row>
        <row r="982">
          <cell r="A982" t="str">
            <v>Road</v>
          </cell>
          <cell r="B982" t="str">
            <v>Pondy</v>
          </cell>
          <cell r="Q982">
            <v>3887480</v>
          </cell>
        </row>
        <row r="983">
          <cell r="A983" t="str">
            <v>Road</v>
          </cell>
          <cell r="B983" t="str">
            <v>Pondy</v>
          </cell>
          <cell r="Q983">
            <v>2330000</v>
          </cell>
        </row>
        <row r="984">
          <cell r="A984" t="str">
            <v>Road</v>
          </cell>
          <cell r="B984" t="str">
            <v>Pondy</v>
          </cell>
          <cell r="Q984">
            <v>75000</v>
          </cell>
        </row>
        <row r="985">
          <cell r="A985" t="str">
            <v>Road</v>
          </cell>
          <cell r="B985" t="str">
            <v>Pondy</v>
          </cell>
          <cell r="Q985">
            <v>75000</v>
          </cell>
        </row>
        <row r="986">
          <cell r="A986" t="str">
            <v>Road</v>
          </cell>
          <cell r="B986" t="str">
            <v>Pondy</v>
          </cell>
          <cell r="Q986">
            <v>75000</v>
          </cell>
        </row>
        <row r="987">
          <cell r="A987" t="str">
            <v>Road</v>
          </cell>
          <cell r="B987" t="str">
            <v>Pondy</v>
          </cell>
          <cell r="Q987">
            <v>75000</v>
          </cell>
        </row>
        <row r="988">
          <cell r="A988" t="str">
            <v>Road</v>
          </cell>
          <cell r="B988" t="str">
            <v>Salem</v>
          </cell>
          <cell r="Q988">
            <v>2625939</v>
          </cell>
        </row>
        <row r="989">
          <cell r="A989" t="str">
            <v>Road</v>
          </cell>
          <cell r="B989" t="str">
            <v>Salem</v>
          </cell>
          <cell r="Q989">
            <v>181050</v>
          </cell>
        </row>
        <row r="990">
          <cell r="A990" t="str">
            <v>Road</v>
          </cell>
          <cell r="B990" t="str">
            <v>Salem</v>
          </cell>
          <cell r="Q990">
            <v>181050</v>
          </cell>
        </row>
        <row r="991">
          <cell r="A991" t="str">
            <v>Road</v>
          </cell>
          <cell r="B991" t="str">
            <v>Salem</v>
          </cell>
          <cell r="Q991">
            <v>160650</v>
          </cell>
        </row>
        <row r="992">
          <cell r="A992" t="str">
            <v>Road</v>
          </cell>
          <cell r="B992" t="str">
            <v>Salem</v>
          </cell>
          <cell r="Q992">
            <v>160650</v>
          </cell>
        </row>
        <row r="993">
          <cell r="A993" t="str">
            <v>Road</v>
          </cell>
          <cell r="B993" t="str">
            <v>Salem</v>
          </cell>
          <cell r="Q993">
            <v>7439448.0700000003</v>
          </cell>
        </row>
        <row r="994">
          <cell r="A994" t="str">
            <v>Road</v>
          </cell>
          <cell r="B994" t="str">
            <v>Salem</v>
          </cell>
          <cell r="Q994">
            <v>4118733</v>
          </cell>
        </row>
        <row r="995">
          <cell r="A995" t="str">
            <v>Road</v>
          </cell>
          <cell r="B995" t="str">
            <v>Salem</v>
          </cell>
          <cell r="Q995">
            <v>599000</v>
          </cell>
        </row>
        <row r="996">
          <cell r="A996" t="str">
            <v>Road</v>
          </cell>
          <cell r="B996" t="str">
            <v>Salem</v>
          </cell>
          <cell r="Q996">
            <v>599000</v>
          </cell>
        </row>
        <row r="997">
          <cell r="A997" t="str">
            <v>Road</v>
          </cell>
          <cell r="B997" t="str">
            <v>Salem</v>
          </cell>
          <cell r="Q997">
            <v>164730</v>
          </cell>
        </row>
        <row r="998">
          <cell r="A998" t="str">
            <v>Road</v>
          </cell>
          <cell r="B998" t="str">
            <v>Salem</v>
          </cell>
          <cell r="Q998">
            <v>553907</v>
          </cell>
        </row>
        <row r="999">
          <cell r="A999" t="str">
            <v>Road</v>
          </cell>
          <cell r="B999" t="str">
            <v>Salem</v>
          </cell>
          <cell r="Q999">
            <v>360000</v>
          </cell>
        </row>
        <row r="1000">
          <cell r="A1000" t="str">
            <v>Road</v>
          </cell>
          <cell r="B1000" t="str">
            <v>Salem</v>
          </cell>
          <cell r="Q1000">
            <v>520000</v>
          </cell>
        </row>
        <row r="1001">
          <cell r="A1001" t="str">
            <v>Road</v>
          </cell>
          <cell r="B1001" t="str">
            <v>Salem</v>
          </cell>
          <cell r="Q1001">
            <v>1088502</v>
          </cell>
        </row>
        <row r="1002">
          <cell r="A1002" t="str">
            <v>Road</v>
          </cell>
          <cell r="B1002" t="str">
            <v>Salem</v>
          </cell>
          <cell r="Q1002">
            <v>798220</v>
          </cell>
        </row>
        <row r="1003">
          <cell r="A1003" t="str">
            <v>Road</v>
          </cell>
          <cell r="B1003" t="str">
            <v>Salem</v>
          </cell>
          <cell r="Q1003">
            <v>520000</v>
          </cell>
        </row>
        <row r="1004">
          <cell r="A1004" t="str">
            <v>Road</v>
          </cell>
          <cell r="B1004" t="str">
            <v>Salem</v>
          </cell>
          <cell r="Q1004">
            <v>4182733</v>
          </cell>
        </row>
        <row r="1005">
          <cell r="A1005" t="str">
            <v>Road</v>
          </cell>
          <cell r="B1005" t="str">
            <v>Salem</v>
          </cell>
          <cell r="Q1005">
            <v>48926743.789999999</v>
          </cell>
        </row>
        <row r="1006">
          <cell r="A1006" t="str">
            <v>Road</v>
          </cell>
          <cell r="B1006" t="str">
            <v>Salem</v>
          </cell>
          <cell r="Q1006">
            <v>2780110</v>
          </cell>
        </row>
        <row r="1007">
          <cell r="A1007" t="str">
            <v>Road</v>
          </cell>
          <cell r="B1007" t="str">
            <v>Salem</v>
          </cell>
          <cell r="Q1007">
            <v>2780110</v>
          </cell>
        </row>
        <row r="1008">
          <cell r="A1008" t="str">
            <v>Road</v>
          </cell>
          <cell r="B1008" t="str">
            <v>Salem</v>
          </cell>
          <cell r="Q1008">
            <v>1222864</v>
          </cell>
        </row>
        <row r="1009">
          <cell r="A1009" t="str">
            <v>Road</v>
          </cell>
          <cell r="B1009" t="str">
            <v>Salem</v>
          </cell>
          <cell r="Q1009">
            <v>7294184</v>
          </cell>
        </row>
        <row r="1010">
          <cell r="A1010" t="str">
            <v>Road</v>
          </cell>
          <cell r="B1010" t="str">
            <v>Salem</v>
          </cell>
          <cell r="Q1010">
            <v>7294184</v>
          </cell>
        </row>
        <row r="1011">
          <cell r="A1011" t="str">
            <v>Road</v>
          </cell>
          <cell r="B1011" t="str">
            <v>Salem</v>
          </cell>
          <cell r="Q1011">
            <v>663750</v>
          </cell>
        </row>
        <row r="1012">
          <cell r="A1012" t="str">
            <v>Road</v>
          </cell>
          <cell r="B1012" t="str">
            <v>Salem</v>
          </cell>
          <cell r="Q1012">
            <v>663750</v>
          </cell>
        </row>
        <row r="1013">
          <cell r="A1013" t="str">
            <v>Road</v>
          </cell>
          <cell r="B1013" t="str">
            <v>Salem</v>
          </cell>
          <cell r="Q1013">
            <v>663750</v>
          </cell>
        </row>
        <row r="1014">
          <cell r="A1014" t="str">
            <v>Road</v>
          </cell>
          <cell r="B1014" t="str">
            <v>Salem</v>
          </cell>
          <cell r="Q1014">
            <v>1222864</v>
          </cell>
        </row>
        <row r="1015">
          <cell r="A1015" t="str">
            <v>Road</v>
          </cell>
          <cell r="B1015" t="str">
            <v>Salem</v>
          </cell>
          <cell r="Q1015">
            <v>2162162</v>
          </cell>
        </row>
        <row r="1016">
          <cell r="A1016" t="str">
            <v>Road</v>
          </cell>
          <cell r="B1016" t="str">
            <v>Salem</v>
          </cell>
          <cell r="Q1016">
            <v>2133610</v>
          </cell>
        </row>
        <row r="1017">
          <cell r="A1017" t="str">
            <v>Road</v>
          </cell>
          <cell r="B1017" t="str">
            <v>Salem</v>
          </cell>
          <cell r="Q1017">
            <v>2172131</v>
          </cell>
        </row>
        <row r="1018">
          <cell r="A1018" t="str">
            <v>Road</v>
          </cell>
          <cell r="B1018" t="str">
            <v>Salem</v>
          </cell>
          <cell r="Q1018">
            <v>2172131</v>
          </cell>
        </row>
        <row r="1019">
          <cell r="A1019" t="str">
            <v>Road</v>
          </cell>
          <cell r="B1019" t="str">
            <v>Salem</v>
          </cell>
          <cell r="Q1019">
            <v>2172131</v>
          </cell>
        </row>
        <row r="1020">
          <cell r="A1020" t="str">
            <v>Road</v>
          </cell>
          <cell r="B1020" t="str">
            <v>Salem</v>
          </cell>
          <cell r="Q1020">
            <v>1166204</v>
          </cell>
        </row>
        <row r="1021">
          <cell r="A1021" t="str">
            <v>Road</v>
          </cell>
          <cell r="B1021" t="str">
            <v>Salem</v>
          </cell>
          <cell r="Q1021">
            <v>1166204</v>
          </cell>
        </row>
        <row r="1022">
          <cell r="A1022" t="str">
            <v>Road</v>
          </cell>
          <cell r="B1022" t="str">
            <v>Salem</v>
          </cell>
          <cell r="Q1022">
            <v>1166204</v>
          </cell>
        </row>
        <row r="1023">
          <cell r="A1023" t="str">
            <v>Road</v>
          </cell>
          <cell r="B1023" t="str">
            <v>Salem</v>
          </cell>
          <cell r="Q1023">
            <v>1166204</v>
          </cell>
        </row>
        <row r="1024">
          <cell r="A1024" t="str">
            <v>Road</v>
          </cell>
          <cell r="B1024" t="str">
            <v>Salem</v>
          </cell>
          <cell r="Q1024">
            <v>1166204</v>
          </cell>
        </row>
        <row r="1025">
          <cell r="A1025" t="str">
            <v>Road</v>
          </cell>
          <cell r="B1025" t="str">
            <v>Salem</v>
          </cell>
          <cell r="Q1025">
            <v>1166204</v>
          </cell>
        </row>
        <row r="1026">
          <cell r="A1026" t="str">
            <v>Road</v>
          </cell>
          <cell r="B1026" t="str">
            <v>Salem</v>
          </cell>
          <cell r="Q1026">
            <v>1166204</v>
          </cell>
        </row>
        <row r="1027">
          <cell r="A1027" t="str">
            <v>Road</v>
          </cell>
          <cell r="B1027" t="str">
            <v>Salem</v>
          </cell>
          <cell r="Q1027">
            <v>1166204</v>
          </cell>
        </row>
        <row r="1028">
          <cell r="A1028" t="str">
            <v>Road</v>
          </cell>
          <cell r="B1028" t="str">
            <v>Salem</v>
          </cell>
          <cell r="Q1028">
            <v>386239</v>
          </cell>
        </row>
        <row r="1029">
          <cell r="A1029" t="str">
            <v>Road</v>
          </cell>
          <cell r="B1029" t="str">
            <v>Salem</v>
          </cell>
          <cell r="Q1029">
            <v>446665</v>
          </cell>
        </row>
        <row r="1030">
          <cell r="A1030" t="str">
            <v>Road</v>
          </cell>
          <cell r="B1030" t="str">
            <v>Salem</v>
          </cell>
          <cell r="Q1030">
            <v>1858164</v>
          </cell>
        </row>
        <row r="1031">
          <cell r="A1031" t="str">
            <v>Road</v>
          </cell>
          <cell r="B1031" t="str">
            <v>Salem</v>
          </cell>
          <cell r="Q1031">
            <v>382550</v>
          </cell>
        </row>
        <row r="1032">
          <cell r="A1032" t="str">
            <v>Road</v>
          </cell>
          <cell r="B1032" t="str">
            <v>Salem</v>
          </cell>
          <cell r="Q1032">
            <v>3652416</v>
          </cell>
        </row>
        <row r="1033">
          <cell r="A1033" t="str">
            <v>Road</v>
          </cell>
          <cell r="B1033" t="str">
            <v>Salem</v>
          </cell>
          <cell r="Q1033">
            <v>618000</v>
          </cell>
        </row>
        <row r="1034">
          <cell r="A1034" t="str">
            <v>Road</v>
          </cell>
          <cell r="B1034" t="str">
            <v>Salem</v>
          </cell>
          <cell r="Q1034">
            <v>7194517</v>
          </cell>
        </row>
        <row r="1035">
          <cell r="A1035" t="str">
            <v>Road</v>
          </cell>
          <cell r="B1035" t="str">
            <v>Salem</v>
          </cell>
          <cell r="Q1035">
            <v>7194517</v>
          </cell>
        </row>
        <row r="1036">
          <cell r="A1036" t="str">
            <v>Road</v>
          </cell>
          <cell r="B1036" t="str">
            <v>Salem</v>
          </cell>
          <cell r="Q1036">
            <v>4250967.3900000006</v>
          </cell>
        </row>
        <row r="1037">
          <cell r="A1037" t="str">
            <v>Road</v>
          </cell>
          <cell r="B1037" t="str">
            <v>Salem</v>
          </cell>
          <cell r="Q1037">
            <v>4417809</v>
          </cell>
        </row>
        <row r="1038">
          <cell r="A1038" t="str">
            <v>Road</v>
          </cell>
          <cell r="B1038" t="str">
            <v>Salem</v>
          </cell>
          <cell r="Q1038">
            <v>432493</v>
          </cell>
        </row>
        <row r="1039">
          <cell r="A1039" t="str">
            <v>Road</v>
          </cell>
          <cell r="B1039" t="str">
            <v>Salem</v>
          </cell>
          <cell r="Q1039">
            <v>2974040</v>
          </cell>
        </row>
        <row r="1040">
          <cell r="A1040" t="str">
            <v>Road</v>
          </cell>
          <cell r="B1040" t="str">
            <v>Salem</v>
          </cell>
          <cell r="Q1040">
            <v>4870851</v>
          </cell>
        </row>
        <row r="1041">
          <cell r="A1041" t="str">
            <v>Road</v>
          </cell>
          <cell r="B1041" t="str">
            <v>Salem</v>
          </cell>
          <cell r="Q1041">
            <v>642948</v>
          </cell>
        </row>
        <row r="1042">
          <cell r="A1042" t="str">
            <v>Road</v>
          </cell>
          <cell r="B1042" t="str">
            <v>Salem</v>
          </cell>
          <cell r="Q1042">
            <v>13763324.689999999</v>
          </cell>
        </row>
        <row r="1043">
          <cell r="A1043" t="str">
            <v>Road</v>
          </cell>
          <cell r="B1043" t="str">
            <v>Salem</v>
          </cell>
          <cell r="Q1043">
            <v>2036722.2</v>
          </cell>
        </row>
        <row r="1044">
          <cell r="A1044" t="str">
            <v>Road</v>
          </cell>
          <cell r="B1044" t="str">
            <v>Salem</v>
          </cell>
          <cell r="Q1044">
            <v>670032</v>
          </cell>
        </row>
        <row r="1045">
          <cell r="A1045" t="str">
            <v>Road</v>
          </cell>
          <cell r="B1045" t="str">
            <v>Salem</v>
          </cell>
          <cell r="Q1045">
            <v>2051000</v>
          </cell>
        </row>
        <row r="1046">
          <cell r="A1046" t="str">
            <v>Road</v>
          </cell>
          <cell r="B1046" t="str">
            <v>Salem</v>
          </cell>
          <cell r="Q1046">
            <v>2051000</v>
          </cell>
        </row>
        <row r="1047">
          <cell r="A1047" t="str">
            <v>Road</v>
          </cell>
          <cell r="B1047" t="str">
            <v>Salem</v>
          </cell>
          <cell r="Q1047">
            <v>28868665.84</v>
          </cell>
        </row>
        <row r="1048">
          <cell r="A1048" t="str">
            <v>Road</v>
          </cell>
          <cell r="B1048" t="str">
            <v>Trichy</v>
          </cell>
          <cell r="Q1048">
            <v>734161</v>
          </cell>
        </row>
        <row r="1049">
          <cell r="A1049" t="str">
            <v>Road</v>
          </cell>
          <cell r="B1049" t="str">
            <v>Trichy</v>
          </cell>
          <cell r="Q1049">
            <v>12208</v>
          </cell>
        </row>
        <row r="1050">
          <cell r="A1050" t="str">
            <v>Road</v>
          </cell>
          <cell r="B1050" t="str">
            <v>Trichy</v>
          </cell>
          <cell r="Q1050">
            <v>11287</v>
          </cell>
        </row>
        <row r="1051">
          <cell r="A1051" t="str">
            <v>Road</v>
          </cell>
          <cell r="B1051" t="str">
            <v>Trichy</v>
          </cell>
          <cell r="Q1051">
            <v>28965007.920000002</v>
          </cell>
        </row>
        <row r="1052">
          <cell r="A1052" t="str">
            <v>Road</v>
          </cell>
          <cell r="B1052" t="str">
            <v>Trichy</v>
          </cell>
          <cell r="Q1052">
            <v>599872</v>
          </cell>
        </row>
        <row r="1053">
          <cell r="A1053" t="str">
            <v>Road</v>
          </cell>
          <cell r="B1053" t="str">
            <v>Trichy</v>
          </cell>
          <cell r="Q1053">
            <v>2400000</v>
          </cell>
        </row>
        <row r="1054">
          <cell r="A1054" t="str">
            <v>Road</v>
          </cell>
          <cell r="B1054" t="str">
            <v>Trichy</v>
          </cell>
          <cell r="Q1054">
            <v>3126191</v>
          </cell>
        </row>
        <row r="1055">
          <cell r="A1055" t="str">
            <v>Road</v>
          </cell>
          <cell r="B1055" t="str">
            <v>Trichy</v>
          </cell>
          <cell r="Q1055">
            <v>200000</v>
          </cell>
        </row>
        <row r="1056">
          <cell r="A1056" t="str">
            <v>Road</v>
          </cell>
          <cell r="B1056" t="str">
            <v>Trichy</v>
          </cell>
          <cell r="Q1056">
            <v>108311</v>
          </cell>
        </row>
        <row r="1057">
          <cell r="A1057" t="str">
            <v>Road</v>
          </cell>
          <cell r="B1057" t="str">
            <v>Trichy</v>
          </cell>
          <cell r="Q1057">
            <v>545900</v>
          </cell>
        </row>
        <row r="1058">
          <cell r="A1058" t="str">
            <v>Road</v>
          </cell>
          <cell r="B1058" t="str">
            <v>Trichy</v>
          </cell>
          <cell r="Q1058">
            <v>149968</v>
          </cell>
        </row>
        <row r="1059">
          <cell r="A1059" t="str">
            <v>Road</v>
          </cell>
          <cell r="B1059" t="str">
            <v>Trichy</v>
          </cell>
          <cell r="Q1059">
            <v>681637</v>
          </cell>
        </row>
        <row r="1060">
          <cell r="A1060" t="str">
            <v>Road</v>
          </cell>
          <cell r="B1060" t="str">
            <v>Trichy</v>
          </cell>
          <cell r="Q1060">
            <v>1296609</v>
          </cell>
        </row>
        <row r="1061">
          <cell r="A1061" t="str">
            <v>Road</v>
          </cell>
          <cell r="B1061" t="str">
            <v>Trichy</v>
          </cell>
          <cell r="Q1061">
            <v>663750</v>
          </cell>
        </row>
        <row r="1062">
          <cell r="A1062" t="str">
            <v>Road</v>
          </cell>
          <cell r="B1062" t="str">
            <v>Trichy</v>
          </cell>
          <cell r="Q1062">
            <v>16277255.77</v>
          </cell>
        </row>
        <row r="1063">
          <cell r="A1063" t="str">
            <v>Road</v>
          </cell>
          <cell r="B1063" t="str">
            <v>Trichy</v>
          </cell>
          <cell r="Q1063">
            <v>92338.5</v>
          </cell>
        </row>
        <row r="1064">
          <cell r="A1064" t="str">
            <v>Road</v>
          </cell>
          <cell r="B1064" t="str">
            <v>Trichy</v>
          </cell>
          <cell r="Q1064">
            <v>92338.5</v>
          </cell>
        </row>
        <row r="1065">
          <cell r="A1065" t="str">
            <v>Road</v>
          </cell>
          <cell r="B1065" t="str">
            <v>Trichy</v>
          </cell>
          <cell r="Q1065">
            <v>2726437</v>
          </cell>
        </row>
        <row r="1066">
          <cell r="A1066" t="str">
            <v>Road</v>
          </cell>
          <cell r="B1066" t="str">
            <v>Trichy</v>
          </cell>
          <cell r="Q1066">
            <v>3602434.25</v>
          </cell>
        </row>
        <row r="1067">
          <cell r="A1067" t="str">
            <v>Road</v>
          </cell>
          <cell r="B1067" t="str">
            <v>Trichy</v>
          </cell>
          <cell r="Q1067">
            <v>22579614</v>
          </cell>
        </row>
        <row r="1068">
          <cell r="A1068" t="str">
            <v>Road</v>
          </cell>
          <cell r="B1068" t="str">
            <v>Trichy</v>
          </cell>
          <cell r="Q1068">
            <v>16049830.1</v>
          </cell>
        </row>
        <row r="1069">
          <cell r="A1069" t="str">
            <v>Road</v>
          </cell>
          <cell r="B1069" t="str">
            <v>Trichy</v>
          </cell>
          <cell r="Q1069">
            <v>518700</v>
          </cell>
        </row>
        <row r="1070">
          <cell r="A1070" t="str">
            <v>Road</v>
          </cell>
          <cell r="B1070" t="str">
            <v>Trichy</v>
          </cell>
          <cell r="Q1070">
            <v>28354966</v>
          </cell>
        </row>
        <row r="1071">
          <cell r="A1071" t="str">
            <v>Road</v>
          </cell>
          <cell r="B1071" t="str">
            <v>Trichy</v>
          </cell>
          <cell r="Q1071">
            <v>1537151</v>
          </cell>
        </row>
        <row r="1072">
          <cell r="A1072" t="str">
            <v>Road</v>
          </cell>
          <cell r="B1072" t="str">
            <v>Trichy</v>
          </cell>
          <cell r="Q1072">
            <v>1016258</v>
          </cell>
        </row>
        <row r="1073">
          <cell r="A1073" t="str">
            <v>Road</v>
          </cell>
          <cell r="B1073" t="str">
            <v>Trichy</v>
          </cell>
          <cell r="Q1073">
            <v>1016258</v>
          </cell>
        </row>
        <row r="1074">
          <cell r="A1074" t="str">
            <v>Road</v>
          </cell>
          <cell r="B1074" t="str">
            <v>Trichy</v>
          </cell>
          <cell r="Q1074">
            <v>18253171</v>
          </cell>
        </row>
        <row r="1075">
          <cell r="A1075" t="str">
            <v>Road</v>
          </cell>
          <cell r="B1075" t="str">
            <v>Trichy</v>
          </cell>
          <cell r="Q1075">
            <v>544710</v>
          </cell>
        </row>
        <row r="1076">
          <cell r="A1076" t="str">
            <v>Road</v>
          </cell>
          <cell r="B1076" t="str">
            <v>Trichy</v>
          </cell>
          <cell r="Q1076">
            <v>724496.75</v>
          </cell>
        </row>
        <row r="1077">
          <cell r="A1077" t="str">
            <v>Road</v>
          </cell>
          <cell r="B1077" t="str">
            <v>Trichy</v>
          </cell>
          <cell r="Q1077">
            <v>162333.15</v>
          </cell>
        </row>
        <row r="1078">
          <cell r="A1078" t="str">
            <v>Road</v>
          </cell>
          <cell r="B1078" t="str">
            <v>Trichy</v>
          </cell>
          <cell r="Q1078">
            <v>724496.75</v>
          </cell>
        </row>
        <row r="1079">
          <cell r="A1079" t="str">
            <v>Road</v>
          </cell>
          <cell r="B1079" t="str">
            <v>Trichy</v>
          </cell>
          <cell r="Q1079">
            <v>544710</v>
          </cell>
        </row>
        <row r="1080">
          <cell r="A1080" t="str">
            <v>Road</v>
          </cell>
          <cell r="B1080" t="str">
            <v>Trichy</v>
          </cell>
          <cell r="Q1080">
            <v>2400000</v>
          </cell>
        </row>
        <row r="1081">
          <cell r="A1081" t="str">
            <v>Road</v>
          </cell>
          <cell r="B1081" t="str">
            <v>Trichy</v>
          </cell>
          <cell r="Q1081">
            <v>2164547</v>
          </cell>
        </row>
        <row r="1082">
          <cell r="A1082" t="str">
            <v>Road</v>
          </cell>
          <cell r="B1082" t="str">
            <v>Trichy</v>
          </cell>
          <cell r="Q1082">
            <v>2173160.88</v>
          </cell>
        </row>
        <row r="1083">
          <cell r="A1083" t="str">
            <v>Road</v>
          </cell>
          <cell r="B1083" t="str">
            <v>Trichy</v>
          </cell>
          <cell r="Q1083">
            <v>2183224.88</v>
          </cell>
        </row>
        <row r="1084">
          <cell r="A1084" t="str">
            <v>Road</v>
          </cell>
          <cell r="B1084" t="str">
            <v>Trichy</v>
          </cell>
          <cell r="Q1084">
            <v>821745.76</v>
          </cell>
        </row>
        <row r="1085">
          <cell r="A1085" t="str">
            <v>Road</v>
          </cell>
          <cell r="B1085" t="str">
            <v>Trichy</v>
          </cell>
          <cell r="Q1085">
            <v>1393017.5</v>
          </cell>
        </row>
        <row r="1086">
          <cell r="A1086" t="str">
            <v>Road</v>
          </cell>
          <cell r="B1086" t="str">
            <v>Trichy</v>
          </cell>
          <cell r="Q1086">
            <v>1393017.5</v>
          </cell>
        </row>
        <row r="1087">
          <cell r="A1087" t="str">
            <v>Road</v>
          </cell>
          <cell r="B1087" t="str">
            <v>Trichy</v>
          </cell>
          <cell r="Q1087">
            <v>4328479</v>
          </cell>
        </row>
        <row r="1088">
          <cell r="A1088" t="str">
            <v>Road</v>
          </cell>
          <cell r="B1088" t="str">
            <v>Trichy</v>
          </cell>
          <cell r="Q1088">
            <v>4314798</v>
          </cell>
        </row>
        <row r="1089">
          <cell r="A1089" t="str">
            <v>Road</v>
          </cell>
          <cell r="B1089" t="str">
            <v>Trichy</v>
          </cell>
          <cell r="Q1089">
            <v>2762110.6</v>
          </cell>
        </row>
        <row r="1090">
          <cell r="A1090" t="str">
            <v>Road</v>
          </cell>
          <cell r="B1090" t="str">
            <v>Trichy</v>
          </cell>
          <cell r="Q1090">
            <v>583767</v>
          </cell>
        </row>
        <row r="1091">
          <cell r="A1091" t="str">
            <v>Road</v>
          </cell>
          <cell r="B1091" t="str">
            <v>Trichy</v>
          </cell>
          <cell r="Q1091">
            <v>2633955</v>
          </cell>
        </row>
        <row r="1092">
          <cell r="A1092" t="str">
            <v>Road</v>
          </cell>
          <cell r="B1092" t="str">
            <v>Trichy</v>
          </cell>
          <cell r="Q1092">
            <v>1165118</v>
          </cell>
        </row>
        <row r="1093">
          <cell r="A1093" t="str">
            <v>Road</v>
          </cell>
          <cell r="B1093" t="str">
            <v>Trichy</v>
          </cell>
          <cell r="Q1093">
            <v>1749001</v>
          </cell>
        </row>
        <row r="1094">
          <cell r="A1094" t="str">
            <v>Road</v>
          </cell>
          <cell r="B1094" t="str">
            <v>Trichy</v>
          </cell>
          <cell r="Q1094">
            <v>1749001</v>
          </cell>
        </row>
        <row r="1095">
          <cell r="A1095" t="str">
            <v>Road</v>
          </cell>
          <cell r="B1095" t="str">
            <v>Trichy</v>
          </cell>
          <cell r="Q1095">
            <v>1749001</v>
          </cell>
        </row>
        <row r="1096">
          <cell r="A1096" t="str">
            <v>Road</v>
          </cell>
          <cell r="B1096" t="str">
            <v>Trichy</v>
          </cell>
          <cell r="Q1096">
            <v>1749001</v>
          </cell>
        </row>
        <row r="1097">
          <cell r="A1097" t="str">
            <v>Road</v>
          </cell>
          <cell r="B1097" t="str">
            <v>Trichy</v>
          </cell>
          <cell r="Q1097">
            <v>1749001</v>
          </cell>
        </row>
        <row r="1098">
          <cell r="A1098" t="str">
            <v>Road</v>
          </cell>
          <cell r="B1098" t="str">
            <v>Trichy</v>
          </cell>
          <cell r="Q1098">
            <v>1165118</v>
          </cell>
        </row>
        <row r="1099">
          <cell r="A1099" t="str">
            <v>Road</v>
          </cell>
          <cell r="B1099" t="str">
            <v>Trichy</v>
          </cell>
          <cell r="Q1099">
            <v>1165118</v>
          </cell>
        </row>
        <row r="1100">
          <cell r="A1100" t="str">
            <v>Road</v>
          </cell>
          <cell r="B1100" t="str">
            <v>Trichy</v>
          </cell>
          <cell r="Q1100">
            <v>1165118</v>
          </cell>
        </row>
        <row r="1101">
          <cell r="A1101" t="str">
            <v>Road</v>
          </cell>
          <cell r="B1101" t="str">
            <v>Trichy</v>
          </cell>
          <cell r="Q1101">
            <v>1165118</v>
          </cell>
        </row>
        <row r="1102">
          <cell r="A1102" t="str">
            <v>Road</v>
          </cell>
          <cell r="B1102" t="str">
            <v>Trichy</v>
          </cell>
          <cell r="Q1102">
            <v>2876403.2</v>
          </cell>
        </row>
        <row r="1103">
          <cell r="A1103" t="str">
            <v>Road</v>
          </cell>
          <cell r="B1103" t="str">
            <v>Trichy</v>
          </cell>
          <cell r="Q1103">
            <v>620948</v>
          </cell>
        </row>
        <row r="1104">
          <cell r="A1104" t="str">
            <v>Road</v>
          </cell>
          <cell r="B1104" t="str">
            <v>Trichy</v>
          </cell>
          <cell r="Q1104">
            <v>2212428.2799999998</v>
          </cell>
        </row>
        <row r="1105">
          <cell r="A1105" t="str">
            <v>Road</v>
          </cell>
          <cell r="B1105" t="str">
            <v>Trichy</v>
          </cell>
          <cell r="Q1105">
            <v>52008.75</v>
          </cell>
        </row>
        <row r="1106">
          <cell r="A1106" t="str">
            <v>Road</v>
          </cell>
          <cell r="B1106" t="str">
            <v>Trichy</v>
          </cell>
          <cell r="Q1106">
            <v>4336404.68</v>
          </cell>
        </row>
        <row r="1107">
          <cell r="A1107" t="str">
            <v>Road</v>
          </cell>
          <cell r="B1107" t="str">
            <v>Trichy</v>
          </cell>
          <cell r="Q1107">
            <v>49956.75</v>
          </cell>
        </row>
        <row r="1108">
          <cell r="A1108" t="str">
            <v>Road</v>
          </cell>
          <cell r="B1108" t="str">
            <v>Trichy</v>
          </cell>
          <cell r="Q1108">
            <v>1250361</v>
          </cell>
        </row>
        <row r="1109">
          <cell r="A1109" t="str">
            <v>Road</v>
          </cell>
          <cell r="B1109" t="str">
            <v>Trichy</v>
          </cell>
          <cell r="Q1109">
            <v>2183928.2799999998</v>
          </cell>
        </row>
        <row r="1110">
          <cell r="A1110" t="str">
            <v>Road</v>
          </cell>
          <cell r="B1110" t="str">
            <v>Trichy</v>
          </cell>
          <cell r="Q1110">
            <v>2170428.2799999998</v>
          </cell>
        </row>
        <row r="1111">
          <cell r="A1111" t="str">
            <v>Road</v>
          </cell>
          <cell r="B1111" t="str">
            <v>Trichy</v>
          </cell>
          <cell r="Q1111">
            <v>51087043.049999997</v>
          </cell>
        </row>
        <row r="1112">
          <cell r="A1112" t="str">
            <v>Road</v>
          </cell>
          <cell r="B1112" t="str">
            <v>Trichy</v>
          </cell>
          <cell r="Q1112">
            <v>4988025.09</v>
          </cell>
        </row>
        <row r="1113">
          <cell r="A1113" t="str">
            <v>Road</v>
          </cell>
          <cell r="B1113" t="str">
            <v>Trichy</v>
          </cell>
          <cell r="Q1113">
            <v>4988025.29</v>
          </cell>
        </row>
        <row r="1114">
          <cell r="A1114" t="str">
            <v>Road</v>
          </cell>
          <cell r="B1114" t="str">
            <v>Trichy</v>
          </cell>
          <cell r="Q1114">
            <v>78632.320000000007</v>
          </cell>
        </row>
        <row r="1115">
          <cell r="A1115" t="str">
            <v>Road</v>
          </cell>
          <cell r="B1115" t="str">
            <v>Trichy</v>
          </cell>
          <cell r="Q1115">
            <v>78632.320000000007</v>
          </cell>
        </row>
        <row r="1116">
          <cell r="A1116" t="str">
            <v>Road</v>
          </cell>
          <cell r="B1116" t="str">
            <v>Trichy</v>
          </cell>
          <cell r="Q1116">
            <v>78632.320000000007</v>
          </cell>
        </row>
        <row r="1117">
          <cell r="A1117" t="str">
            <v>Road</v>
          </cell>
          <cell r="B1117" t="str">
            <v>Trichy</v>
          </cell>
          <cell r="Q1117">
            <v>404400</v>
          </cell>
        </row>
        <row r="1118">
          <cell r="A1118" t="str">
            <v>Road</v>
          </cell>
          <cell r="B1118" t="str">
            <v>Trichy</v>
          </cell>
          <cell r="Q1118">
            <v>404400</v>
          </cell>
        </row>
        <row r="1119">
          <cell r="A1119" t="str">
            <v>Road</v>
          </cell>
          <cell r="B1119" t="str">
            <v>Trichy</v>
          </cell>
          <cell r="Q1119">
            <v>1015625</v>
          </cell>
        </row>
        <row r="1120">
          <cell r="A1120" t="str">
            <v>Road</v>
          </cell>
          <cell r="B1120" t="str">
            <v>Trichy</v>
          </cell>
          <cell r="Q1120">
            <v>330000</v>
          </cell>
        </row>
        <row r="1121">
          <cell r="A1121" t="str">
            <v>Road</v>
          </cell>
          <cell r="B1121" t="str">
            <v>Trichy</v>
          </cell>
          <cell r="Q1121">
            <v>330000</v>
          </cell>
        </row>
        <row r="1122">
          <cell r="A1122" t="str">
            <v>Road</v>
          </cell>
          <cell r="B1122" t="str">
            <v>Trichy</v>
          </cell>
          <cell r="Q1122">
            <v>620948</v>
          </cell>
        </row>
        <row r="1123">
          <cell r="A1123" t="str">
            <v>Road</v>
          </cell>
          <cell r="B1123" t="str">
            <v>Trichy</v>
          </cell>
          <cell r="Q1123">
            <v>817830</v>
          </cell>
        </row>
        <row r="1124">
          <cell r="A1124" t="str">
            <v>Road</v>
          </cell>
          <cell r="B1124" t="str">
            <v>Trichy</v>
          </cell>
          <cell r="Q1124">
            <v>997599</v>
          </cell>
        </row>
        <row r="1125">
          <cell r="A1125" t="str">
            <v>Buildings</v>
          </cell>
          <cell r="B1125" t="str">
            <v>HC</v>
          </cell>
          <cell r="Q1125">
            <v>187200</v>
          </cell>
        </row>
        <row r="1126">
          <cell r="A1126" t="str">
            <v>Buildings</v>
          </cell>
          <cell r="B1126" t="str">
            <v>HC</v>
          </cell>
          <cell r="Q1126">
            <v>187200</v>
          </cell>
        </row>
        <row r="1127">
          <cell r="A1127" t="str">
            <v>Buildings</v>
          </cell>
          <cell r="B1127" t="str">
            <v>HC</v>
          </cell>
          <cell r="Q1127">
            <v>171600</v>
          </cell>
        </row>
        <row r="1128">
          <cell r="A1128" t="str">
            <v>Buildings</v>
          </cell>
          <cell r="B1128" t="str">
            <v>HC</v>
          </cell>
          <cell r="Q1128">
            <v>192400</v>
          </cell>
        </row>
        <row r="1129">
          <cell r="A1129" t="str">
            <v>Buildings</v>
          </cell>
          <cell r="B1129" t="str">
            <v>HC</v>
          </cell>
          <cell r="Q1129">
            <v>431600</v>
          </cell>
        </row>
        <row r="1130">
          <cell r="A1130" t="str">
            <v>Buildings</v>
          </cell>
          <cell r="B1130" t="str">
            <v>HC</v>
          </cell>
          <cell r="Q1130">
            <v>431600</v>
          </cell>
        </row>
        <row r="1131">
          <cell r="A1131" t="str">
            <v>Buildings</v>
          </cell>
          <cell r="B1131" t="str">
            <v>HC</v>
          </cell>
          <cell r="Q1131">
            <v>431600</v>
          </cell>
        </row>
        <row r="1132">
          <cell r="A1132" t="str">
            <v>Buildings</v>
          </cell>
          <cell r="B1132" t="str">
            <v>HC</v>
          </cell>
          <cell r="Q1132">
            <v>463075</v>
          </cell>
        </row>
        <row r="1133">
          <cell r="A1133" t="str">
            <v>Buildings</v>
          </cell>
          <cell r="B1133" t="str">
            <v>HC</v>
          </cell>
          <cell r="Q1133">
            <v>121200</v>
          </cell>
        </row>
        <row r="1134">
          <cell r="A1134" t="str">
            <v>Buildings</v>
          </cell>
          <cell r="B1134" t="str">
            <v>HC</v>
          </cell>
          <cell r="Q1134">
            <v>121200</v>
          </cell>
        </row>
        <row r="1135">
          <cell r="A1135" t="str">
            <v>Buildings</v>
          </cell>
          <cell r="B1135" t="str">
            <v>HC</v>
          </cell>
          <cell r="Q1135">
            <v>32678.75</v>
          </cell>
        </row>
        <row r="1136">
          <cell r="A1136" t="str">
            <v>Buildings</v>
          </cell>
          <cell r="B1136" t="str">
            <v>HC</v>
          </cell>
          <cell r="Q1136">
            <v>32679</v>
          </cell>
        </row>
        <row r="1137">
          <cell r="A1137" t="str">
            <v>Buildings</v>
          </cell>
          <cell r="B1137" t="str">
            <v>HC</v>
          </cell>
          <cell r="Q1137">
            <v>32679</v>
          </cell>
        </row>
        <row r="1138">
          <cell r="A1138" t="str">
            <v>Buildings</v>
          </cell>
          <cell r="B1138" t="str">
            <v>HC</v>
          </cell>
          <cell r="Q1138">
            <v>32679</v>
          </cell>
        </row>
        <row r="1139">
          <cell r="A1139" t="str">
            <v>Buildings</v>
          </cell>
          <cell r="B1139" t="str">
            <v>HC</v>
          </cell>
          <cell r="Q1139">
            <v>4838</v>
          </cell>
        </row>
        <row r="1140">
          <cell r="A1140" t="str">
            <v>Buildings</v>
          </cell>
          <cell r="B1140" t="str">
            <v>HC</v>
          </cell>
          <cell r="Q1140">
            <v>1889632.34</v>
          </cell>
        </row>
        <row r="1141">
          <cell r="A1141" t="str">
            <v>Buildings</v>
          </cell>
          <cell r="B1141" t="str">
            <v>HC</v>
          </cell>
          <cell r="Q1141">
            <v>11845</v>
          </cell>
        </row>
        <row r="1142">
          <cell r="A1142" t="str">
            <v>Buildings</v>
          </cell>
          <cell r="B1142" t="str">
            <v>HC</v>
          </cell>
          <cell r="Q1142">
            <v>72583</v>
          </cell>
        </row>
        <row r="1143">
          <cell r="A1143" t="str">
            <v>Buildings</v>
          </cell>
          <cell r="B1143" t="str">
            <v>HC</v>
          </cell>
          <cell r="Q1143">
            <v>72584</v>
          </cell>
        </row>
        <row r="1144">
          <cell r="A1144" t="str">
            <v>Buildings</v>
          </cell>
          <cell r="B1144" t="str">
            <v>HC</v>
          </cell>
          <cell r="Q1144">
            <v>11752</v>
          </cell>
        </row>
        <row r="1145">
          <cell r="A1145" t="str">
            <v>Buildings</v>
          </cell>
          <cell r="B1145" t="str">
            <v>HC</v>
          </cell>
          <cell r="Q1145">
            <v>11752</v>
          </cell>
        </row>
        <row r="1146">
          <cell r="A1146" t="str">
            <v>Buildings</v>
          </cell>
          <cell r="B1146" t="str">
            <v>HC</v>
          </cell>
          <cell r="Q1146">
            <v>5995.8</v>
          </cell>
        </row>
        <row r="1147">
          <cell r="A1147" t="str">
            <v>Buildings</v>
          </cell>
          <cell r="B1147" t="str">
            <v>HC</v>
          </cell>
          <cell r="Q1147">
            <v>5996</v>
          </cell>
        </row>
        <row r="1148">
          <cell r="A1148" t="str">
            <v>Buildings</v>
          </cell>
          <cell r="B1148" t="str">
            <v>HC</v>
          </cell>
          <cell r="Q1148">
            <v>5996</v>
          </cell>
        </row>
        <row r="1149">
          <cell r="A1149" t="str">
            <v>Buildings</v>
          </cell>
          <cell r="B1149" t="str">
            <v>HC</v>
          </cell>
          <cell r="Q1149">
            <v>5996</v>
          </cell>
        </row>
        <row r="1150">
          <cell r="A1150" t="str">
            <v>Buildings</v>
          </cell>
          <cell r="B1150" t="str">
            <v>HC</v>
          </cell>
          <cell r="Q1150">
            <v>5996</v>
          </cell>
        </row>
        <row r="1151">
          <cell r="A1151" t="str">
            <v>Buildings</v>
          </cell>
          <cell r="B1151" t="str">
            <v>HC</v>
          </cell>
          <cell r="Q1151">
            <v>5996</v>
          </cell>
        </row>
        <row r="1152">
          <cell r="A1152" t="str">
            <v>Buildings</v>
          </cell>
          <cell r="B1152" t="str">
            <v>HC</v>
          </cell>
          <cell r="Q1152">
            <v>5996</v>
          </cell>
        </row>
        <row r="1153">
          <cell r="A1153" t="str">
            <v>Buildings</v>
          </cell>
          <cell r="B1153" t="str">
            <v>HC</v>
          </cell>
          <cell r="Q1153">
            <v>5996</v>
          </cell>
        </row>
        <row r="1154">
          <cell r="A1154" t="str">
            <v>Buildings</v>
          </cell>
          <cell r="B1154" t="str">
            <v>HC</v>
          </cell>
          <cell r="Q1154">
            <v>5996</v>
          </cell>
        </row>
        <row r="1155">
          <cell r="A1155" t="str">
            <v>Buildings</v>
          </cell>
          <cell r="B1155" t="str">
            <v>HC</v>
          </cell>
          <cell r="Q1155">
            <v>5996</v>
          </cell>
        </row>
        <row r="1156">
          <cell r="A1156" t="str">
            <v>Buildings</v>
          </cell>
          <cell r="B1156" t="str">
            <v>HC</v>
          </cell>
          <cell r="Q1156">
            <v>11694</v>
          </cell>
        </row>
        <row r="1157">
          <cell r="A1157" t="str">
            <v>Buildings</v>
          </cell>
          <cell r="B1157" t="str">
            <v>HC</v>
          </cell>
          <cell r="Q1157">
            <v>11544</v>
          </cell>
        </row>
        <row r="1158">
          <cell r="A1158" t="str">
            <v>Buildings</v>
          </cell>
          <cell r="B1158" t="str">
            <v>HC</v>
          </cell>
          <cell r="Q1158">
            <v>1162.5</v>
          </cell>
        </row>
        <row r="1159">
          <cell r="A1159" t="str">
            <v>Buildings</v>
          </cell>
          <cell r="B1159" t="str">
            <v>HC</v>
          </cell>
          <cell r="Q1159">
            <v>1163</v>
          </cell>
        </row>
        <row r="1160">
          <cell r="A1160" t="str">
            <v>Buildings</v>
          </cell>
          <cell r="B1160" t="str">
            <v>HC</v>
          </cell>
          <cell r="Q1160">
            <v>1163</v>
          </cell>
        </row>
        <row r="1161">
          <cell r="A1161" t="str">
            <v>Buildings</v>
          </cell>
          <cell r="B1161" t="str">
            <v>HC</v>
          </cell>
          <cell r="Q1161">
            <v>1163</v>
          </cell>
        </row>
        <row r="1162">
          <cell r="A1162" t="str">
            <v>Buildings</v>
          </cell>
          <cell r="B1162" t="str">
            <v>HC</v>
          </cell>
          <cell r="Q1162">
            <v>1163</v>
          </cell>
        </row>
        <row r="1163">
          <cell r="A1163" t="str">
            <v>Buildings</v>
          </cell>
          <cell r="B1163" t="str">
            <v>HC</v>
          </cell>
          <cell r="Q1163">
            <v>1163</v>
          </cell>
        </row>
        <row r="1164">
          <cell r="A1164" t="str">
            <v>Buildings</v>
          </cell>
          <cell r="B1164" t="str">
            <v>HC</v>
          </cell>
          <cell r="Q1164">
            <v>213032.92</v>
          </cell>
        </row>
        <row r="1165">
          <cell r="A1165" t="str">
            <v>Buildings</v>
          </cell>
          <cell r="B1165" t="str">
            <v>HC</v>
          </cell>
          <cell r="Q1165">
            <v>213032.9</v>
          </cell>
        </row>
        <row r="1166">
          <cell r="A1166" t="str">
            <v>Buildings</v>
          </cell>
          <cell r="B1166" t="str">
            <v>HC</v>
          </cell>
          <cell r="Q1166">
            <v>630000</v>
          </cell>
        </row>
        <row r="1167">
          <cell r="A1167" t="str">
            <v>Buildings</v>
          </cell>
          <cell r="B1167" t="str">
            <v>HC</v>
          </cell>
          <cell r="Q1167">
            <v>123669.6</v>
          </cell>
        </row>
        <row r="1168">
          <cell r="A1168" t="str">
            <v>Buildings</v>
          </cell>
          <cell r="B1168" t="str">
            <v>HC</v>
          </cell>
          <cell r="Q1168">
            <v>34622.75</v>
          </cell>
        </row>
        <row r="1169">
          <cell r="A1169" t="str">
            <v>Buildings</v>
          </cell>
          <cell r="B1169" t="str">
            <v>HC</v>
          </cell>
          <cell r="Q1169">
            <v>20868.509999999998</v>
          </cell>
        </row>
        <row r="1170">
          <cell r="A1170" t="str">
            <v>Buildings</v>
          </cell>
          <cell r="B1170" t="str">
            <v>HC</v>
          </cell>
          <cell r="Q1170">
            <v>42900</v>
          </cell>
        </row>
        <row r="1171">
          <cell r="A1171" t="str">
            <v>Buildings</v>
          </cell>
          <cell r="B1171" t="str">
            <v>HC</v>
          </cell>
          <cell r="Q1171">
            <v>16500</v>
          </cell>
        </row>
        <row r="1172">
          <cell r="A1172" t="str">
            <v>Buildings</v>
          </cell>
          <cell r="B1172" t="str">
            <v>HC</v>
          </cell>
          <cell r="Q1172">
            <v>18277</v>
          </cell>
        </row>
        <row r="1173">
          <cell r="A1173" t="str">
            <v>Buildings</v>
          </cell>
          <cell r="B1173" t="str">
            <v>HC</v>
          </cell>
          <cell r="Q1173">
            <v>9650</v>
          </cell>
        </row>
        <row r="1174">
          <cell r="A1174" t="str">
            <v>Buildings</v>
          </cell>
          <cell r="B1174" t="str">
            <v>HC</v>
          </cell>
          <cell r="Q1174">
            <v>78632.5</v>
          </cell>
        </row>
        <row r="1175">
          <cell r="A1175" t="str">
            <v>Buildings</v>
          </cell>
          <cell r="B1175" t="str">
            <v>HC</v>
          </cell>
          <cell r="Q1175">
            <v>22500</v>
          </cell>
        </row>
        <row r="1176">
          <cell r="A1176" t="str">
            <v>Buildings</v>
          </cell>
          <cell r="B1176" t="str">
            <v>HC</v>
          </cell>
          <cell r="Q1176">
            <v>29250</v>
          </cell>
        </row>
        <row r="1177">
          <cell r="A1177" t="str">
            <v>Buildings</v>
          </cell>
          <cell r="B1177" t="str">
            <v>HC</v>
          </cell>
          <cell r="Q1177">
            <v>29250</v>
          </cell>
        </row>
        <row r="1178">
          <cell r="A1178" t="str">
            <v>Buildings</v>
          </cell>
          <cell r="B1178" t="str">
            <v>HC</v>
          </cell>
          <cell r="Q1178">
            <v>78633</v>
          </cell>
        </row>
        <row r="1179">
          <cell r="A1179" t="str">
            <v>Buildings</v>
          </cell>
          <cell r="B1179" t="str">
            <v>HC</v>
          </cell>
          <cell r="Q1179">
            <v>78632</v>
          </cell>
        </row>
        <row r="1180">
          <cell r="A1180" t="str">
            <v>Buildings</v>
          </cell>
          <cell r="B1180" t="str">
            <v>HC</v>
          </cell>
          <cell r="Q1180">
            <v>78632</v>
          </cell>
        </row>
        <row r="1181">
          <cell r="A1181" t="str">
            <v>Buildings</v>
          </cell>
          <cell r="B1181" t="str">
            <v>HC</v>
          </cell>
          <cell r="Q1181">
            <v>78632</v>
          </cell>
        </row>
        <row r="1182">
          <cell r="A1182" t="str">
            <v>Buildings</v>
          </cell>
          <cell r="B1182" t="str">
            <v>HC</v>
          </cell>
          <cell r="Q1182">
            <v>76273.399999999994</v>
          </cell>
        </row>
        <row r="1183">
          <cell r="A1183" t="str">
            <v>Buildings</v>
          </cell>
          <cell r="B1183" t="str">
            <v>HC</v>
          </cell>
          <cell r="Q1183">
            <v>76273.399999999994</v>
          </cell>
        </row>
        <row r="1184">
          <cell r="A1184" t="str">
            <v>Buildings</v>
          </cell>
          <cell r="B1184" t="str">
            <v>HC</v>
          </cell>
          <cell r="Q1184">
            <v>76273.399999999994</v>
          </cell>
        </row>
        <row r="1185">
          <cell r="A1185" t="str">
            <v>Buildings</v>
          </cell>
          <cell r="B1185" t="str">
            <v>HC</v>
          </cell>
          <cell r="Q1185">
            <v>76273.399999999994</v>
          </cell>
        </row>
        <row r="1186">
          <cell r="A1186" t="str">
            <v>Buildings</v>
          </cell>
          <cell r="B1186" t="str">
            <v>HC</v>
          </cell>
          <cell r="Q1186">
            <v>76273.399999999994</v>
          </cell>
        </row>
        <row r="1187">
          <cell r="A1187" t="str">
            <v>Buildings</v>
          </cell>
          <cell r="B1187" t="str">
            <v>HC</v>
          </cell>
          <cell r="Q1187">
            <v>76273.399999999994</v>
          </cell>
        </row>
        <row r="1188">
          <cell r="A1188" t="str">
            <v>Buildings</v>
          </cell>
          <cell r="B1188" t="str">
            <v>HC</v>
          </cell>
          <cell r="Q1188">
            <v>76273.399999999994</v>
          </cell>
        </row>
        <row r="1189">
          <cell r="A1189" t="str">
            <v>Buildings</v>
          </cell>
          <cell r="B1189" t="str">
            <v>HC</v>
          </cell>
          <cell r="Q1189">
            <v>76273.399999999994</v>
          </cell>
        </row>
        <row r="1190">
          <cell r="A1190" t="str">
            <v>Buildings</v>
          </cell>
          <cell r="B1190" t="str">
            <v>HC</v>
          </cell>
          <cell r="Q1190">
            <v>76273.399999999994</v>
          </cell>
        </row>
        <row r="1191">
          <cell r="A1191" t="str">
            <v>Buildings</v>
          </cell>
          <cell r="B1191" t="str">
            <v>HC</v>
          </cell>
          <cell r="Q1191">
            <v>728000</v>
          </cell>
        </row>
        <row r="1192">
          <cell r="A1192" t="str">
            <v>Buildings</v>
          </cell>
          <cell r="B1192" t="str">
            <v>HC</v>
          </cell>
          <cell r="Q1192">
            <v>171600</v>
          </cell>
        </row>
        <row r="1193">
          <cell r="A1193" t="str">
            <v>Buildings</v>
          </cell>
          <cell r="B1193" t="str">
            <v>HC</v>
          </cell>
          <cell r="Q1193">
            <v>171600</v>
          </cell>
        </row>
        <row r="1194">
          <cell r="A1194" t="str">
            <v>Buildings</v>
          </cell>
          <cell r="B1194" t="str">
            <v>HC</v>
          </cell>
          <cell r="Q1194">
            <v>171600</v>
          </cell>
        </row>
        <row r="1195">
          <cell r="A1195" t="str">
            <v>Buildings</v>
          </cell>
          <cell r="B1195" t="str">
            <v>HC</v>
          </cell>
          <cell r="Q1195">
            <v>183456</v>
          </cell>
        </row>
        <row r="1196">
          <cell r="A1196" t="str">
            <v>Buildings</v>
          </cell>
          <cell r="B1196" t="str">
            <v>HC</v>
          </cell>
          <cell r="Q1196">
            <v>7313</v>
          </cell>
        </row>
        <row r="1197">
          <cell r="A1197" t="str">
            <v>Buildings</v>
          </cell>
          <cell r="B1197" t="str">
            <v>HC</v>
          </cell>
          <cell r="Q1197">
            <v>7437.5</v>
          </cell>
        </row>
        <row r="1198">
          <cell r="A1198" t="str">
            <v>Buildings</v>
          </cell>
          <cell r="B1198" t="str">
            <v>HC</v>
          </cell>
          <cell r="Q1198">
            <v>7437.5</v>
          </cell>
        </row>
        <row r="1199">
          <cell r="A1199" t="str">
            <v>Buildings</v>
          </cell>
          <cell r="B1199" t="str">
            <v>HC</v>
          </cell>
          <cell r="Q1199">
            <v>25940</v>
          </cell>
        </row>
        <row r="1200">
          <cell r="A1200" t="str">
            <v>Buildings</v>
          </cell>
          <cell r="B1200" t="str">
            <v>HC</v>
          </cell>
          <cell r="Q1200">
            <v>25940</v>
          </cell>
        </row>
        <row r="1201">
          <cell r="A1201" t="str">
            <v>Buildings</v>
          </cell>
          <cell r="B1201" t="str">
            <v>HC</v>
          </cell>
          <cell r="Q1201">
            <v>25940</v>
          </cell>
        </row>
        <row r="1202">
          <cell r="A1202" t="str">
            <v>Buildings</v>
          </cell>
          <cell r="B1202" t="str">
            <v>HC</v>
          </cell>
          <cell r="Q1202">
            <v>25940</v>
          </cell>
        </row>
        <row r="1203">
          <cell r="A1203" t="str">
            <v>Buildings</v>
          </cell>
          <cell r="B1203" t="str">
            <v>HC</v>
          </cell>
          <cell r="Q1203">
            <v>27052.25</v>
          </cell>
        </row>
        <row r="1204">
          <cell r="A1204" t="str">
            <v>Buildings</v>
          </cell>
          <cell r="B1204" t="str">
            <v>HC</v>
          </cell>
          <cell r="Q1204">
            <v>27052</v>
          </cell>
        </row>
        <row r="1205">
          <cell r="A1205" t="str">
            <v>Buildings</v>
          </cell>
          <cell r="B1205" t="str">
            <v>HC</v>
          </cell>
          <cell r="Q1205">
            <v>27052</v>
          </cell>
        </row>
        <row r="1206">
          <cell r="A1206" t="str">
            <v>Buildings</v>
          </cell>
          <cell r="B1206" t="str">
            <v>HC</v>
          </cell>
          <cell r="Q1206">
            <v>27052</v>
          </cell>
        </row>
        <row r="1207">
          <cell r="A1207" t="str">
            <v>Buildings</v>
          </cell>
          <cell r="B1207" t="str">
            <v>HC</v>
          </cell>
          <cell r="Q1207">
            <v>313754.5</v>
          </cell>
        </row>
        <row r="1208">
          <cell r="A1208" t="str">
            <v>Buildings</v>
          </cell>
          <cell r="B1208" t="str">
            <v>HC</v>
          </cell>
          <cell r="Q1208">
            <v>26402</v>
          </cell>
        </row>
        <row r="1209">
          <cell r="A1209" t="str">
            <v>Buildings</v>
          </cell>
          <cell r="B1209" t="str">
            <v>HC</v>
          </cell>
          <cell r="Q1209">
            <v>26402</v>
          </cell>
        </row>
        <row r="1210">
          <cell r="A1210" t="str">
            <v>Buildings</v>
          </cell>
          <cell r="B1210" t="str">
            <v>HC</v>
          </cell>
          <cell r="Q1210">
            <v>26402</v>
          </cell>
        </row>
        <row r="1211">
          <cell r="A1211" t="str">
            <v>Buildings</v>
          </cell>
          <cell r="B1211" t="str">
            <v>HC</v>
          </cell>
          <cell r="Q1211">
            <v>26402</v>
          </cell>
        </row>
        <row r="1212">
          <cell r="A1212" t="str">
            <v>Buildings</v>
          </cell>
          <cell r="B1212" t="str">
            <v>HC</v>
          </cell>
          <cell r="Q1212">
            <v>26402</v>
          </cell>
        </row>
        <row r="1213">
          <cell r="A1213" t="str">
            <v>Buildings</v>
          </cell>
          <cell r="B1213" t="str">
            <v>HC</v>
          </cell>
          <cell r="Q1213">
            <v>26402</v>
          </cell>
        </row>
        <row r="1214">
          <cell r="A1214" t="str">
            <v>Buildings</v>
          </cell>
          <cell r="B1214" t="str">
            <v>HC</v>
          </cell>
          <cell r="Q1214">
            <v>26402</v>
          </cell>
        </row>
        <row r="1215">
          <cell r="A1215" t="str">
            <v>Buildings</v>
          </cell>
          <cell r="B1215" t="str">
            <v>HC</v>
          </cell>
          <cell r="Q1215">
            <v>26402</v>
          </cell>
        </row>
        <row r="1216">
          <cell r="A1216" t="str">
            <v>Buildings</v>
          </cell>
          <cell r="B1216" t="str">
            <v>HC</v>
          </cell>
          <cell r="Q1216">
            <v>26402</v>
          </cell>
        </row>
        <row r="1217">
          <cell r="A1217" t="str">
            <v>Buildings</v>
          </cell>
          <cell r="B1217" t="str">
            <v>HC</v>
          </cell>
          <cell r="Q1217">
            <v>8505</v>
          </cell>
        </row>
        <row r="1218">
          <cell r="A1218" t="str">
            <v>Buildings</v>
          </cell>
          <cell r="B1218" t="str">
            <v>HC</v>
          </cell>
          <cell r="Q1218">
            <v>8505</v>
          </cell>
        </row>
        <row r="1219">
          <cell r="A1219" t="str">
            <v>Buildings</v>
          </cell>
          <cell r="B1219" t="str">
            <v>HC</v>
          </cell>
          <cell r="Q1219">
            <v>8505</v>
          </cell>
        </row>
        <row r="1220">
          <cell r="A1220" t="str">
            <v>Buildings</v>
          </cell>
          <cell r="B1220" t="str">
            <v>HC</v>
          </cell>
          <cell r="Q1220">
            <v>8505</v>
          </cell>
        </row>
        <row r="1221">
          <cell r="A1221" t="str">
            <v>Buildings</v>
          </cell>
          <cell r="B1221" t="str">
            <v>HC</v>
          </cell>
          <cell r="Q1221">
            <v>8505</v>
          </cell>
        </row>
        <row r="1222">
          <cell r="A1222" t="str">
            <v>Buildings</v>
          </cell>
          <cell r="B1222" t="str">
            <v>HC</v>
          </cell>
          <cell r="Q1222">
            <v>8505</v>
          </cell>
        </row>
        <row r="1223">
          <cell r="A1223" t="str">
            <v>Buildings</v>
          </cell>
          <cell r="B1223" t="str">
            <v>HC</v>
          </cell>
          <cell r="Q1223">
            <v>4268.5600000000004</v>
          </cell>
        </row>
        <row r="1224">
          <cell r="A1224" t="str">
            <v>Buildings</v>
          </cell>
          <cell r="B1224" t="str">
            <v>HC</v>
          </cell>
          <cell r="Q1224">
            <v>4269</v>
          </cell>
        </row>
        <row r="1225">
          <cell r="A1225" t="str">
            <v>Buildings</v>
          </cell>
          <cell r="B1225" t="str">
            <v>HC</v>
          </cell>
          <cell r="Q1225">
            <v>4269</v>
          </cell>
        </row>
        <row r="1226">
          <cell r="A1226" t="str">
            <v>Buildings</v>
          </cell>
          <cell r="B1226" t="str">
            <v>HC</v>
          </cell>
          <cell r="Q1226">
            <v>3711.27</v>
          </cell>
        </row>
        <row r="1227">
          <cell r="A1227" t="str">
            <v>Buildings</v>
          </cell>
          <cell r="B1227" t="str">
            <v>HC</v>
          </cell>
          <cell r="Q1227">
            <v>3711</v>
          </cell>
        </row>
        <row r="1228">
          <cell r="A1228" t="str">
            <v>Buildings</v>
          </cell>
          <cell r="B1228" t="str">
            <v>HC</v>
          </cell>
          <cell r="Q1228">
            <v>3711</v>
          </cell>
        </row>
        <row r="1229">
          <cell r="A1229" t="str">
            <v>Buildings</v>
          </cell>
          <cell r="B1229" t="str">
            <v>HC</v>
          </cell>
          <cell r="Q1229">
            <v>3711</v>
          </cell>
        </row>
        <row r="1230">
          <cell r="A1230" t="str">
            <v>Buildings</v>
          </cell>
          <cell r="B1230" t="str">
            <v>HC</v>
          </cell>
          <cell r="Q1230">
            <v>3711</v>
          </cell>
        </row>
        <row r="1231">
          <cell r="A1231" t="str">
            <v>Buildings</v>
          </cell>
          <cell r="B1231" t="str">
            <v>HC</v>
          </cell>
          <cell r="Q1231">
            <v>3711</v>
          </cell>
        </row>
        <row r="1232">
          <cell r="A1232" t="str">
            <v>Buildings</v>
          </cell>
          <cell r="B1232" t="str">
            <v>HC</v>
          </cell>
          <cell r="Q1232">
            <v>3711</v>
          </cell>
        </row>
        <row r="1233">
          <cell r="A1233" t="str">
            <v>Buildings</v>
          </cell>
          <cell r="B1233" t="str">
            <v>HC</v>
          </cell>
          <cell r="Q1233">
            <v>3711</v>
          </cell>
        </row>
        <row r="1234">
          <cell r="A1234" t="str">
            <v>Buildings</v>
          </cell>
          <cell r="B1234" t="str">
            <v>HC</v>
          </cell>
          <cell r="Q1234">
            <v>1517.72</v>
          </cell>
        </row>
        <row r="1235">
          <cell r="A1235" t="str">
            <v>Buildings</v>
          </cell>
          <cell r="B1235" t="str">
            <v>HC</v>
          </cell>
          <cell r="Q1235">
            <v>8852</v>
          </cell>
        </row>
        <row r="1236">
          <cell r="A1236" t="str">
            <v>Buildings</v>
          </cell>
          <cell r="B1236" t="str">
            <v>HC</v>
          </cell>
          <cell r="Q1236">
            <v>8614.32</v>
          </cell>
        </row>
        <row r="1237">
          <cell r="A1237" t="str">
            <v>Buildings</v>
          </cell>
          <cell r="B1237" t="str">
            <v>HC</v>
          </cell>
          <cell r="Q1237">
            <v>8614</v>
          </cell>
        </row>
        <row r="1238">
          <cell r="A1238" t="str">
            <v>Buildings</v>
          </cell>
          <cell r="B1238" t="str">
            <v>HC</v>
          </cell>
          <cell r="Q1238">
            <v>8614</v>
          </cell>
        </row>
        <row r="1239">
          <cell r="A1239" t="str">
            <v>Buildings</v>
          </cell>
          <cell r="B1239" t="str">
            <v>HC</v>
          </cell>
          <cell r="Q1239">
            <v>8614</v>
          </cell>
        </row>
        <row r="1240">
          <cell r="A1240" t="str">
            <v>Buildings</v>
          </cell>
          <cell r="B1240" t="str">
            <v>HC</v>
          </cell>
          <cell r="Q1240">
            <v>8614</v>
          </cell>
        </row>
        <row r="1241">
          <cell r="A1241" t="str">
            <v>Buildings</v>
          </cell>
          <cell r="B1241" t="str">
            <v>HC</v>
          </cell>
          <cell r="Q1241">
            <v>28489</v>
          </cell>
        </row>
        <row r="1242">
          <cell r="A1242" t="str">
            <v>Buildings</v>
          </cell>
          <cell r="B1242" t="str">
            <v>HC</v>
          </cell>
          <cell r="Q1242">
            <v>8614</v>
          </cell>
        </row>
        <row r="1243">
          <cell r="A1243" t="str">
            <v>Buildings</v>
          </cell>
          <cell r="B1243" t="str">
            <v>HC</v>
          </cell>
          <cell r="Q1243">
            <v>8614</v>
          </cell>
        </row>
        <row r="1244">
          <cell r="A1244" t="str">
            <v>Buildings</v>
          </cell>
          <cell r="B1244" t="str">
            <v>HC</v>
          </cell>
          <cell r="Q1244">
            <v>8614</v>
          </cell>
        </row>
        <row r="1245">
          <cell r="A1245" t="str">
            <v>Buildings</v>
          </cell>
          <cell r="B1245" t="str">
            <v>HC</v>
          </cell>
          <cell r="Q1245">
            <v>8614</v>
          </cell>
        </row>
        <row r="1246">
          <cell r="A1246" t="str">
            <v>Buildings</v>
          </cell>
          <cell r="B1246" t="str">
            <v>HC</v>
          </cell>
          <cell r="Q1246">
            <v>8614</v>
          </cell>
        </row>
        <row r="1247">
          <cell r="A1247" t="str">
            <v>Buildings</v>
          </cell>
          <cell r="B1247" t="str">
            <v>HC</v>
          </cell>
          <cell r="Q1247">
            <v>8614</v>
          </cell>
        </row>
        <row r="1248">
          <cell r="A1248" t="str">
            <v>Buildings</v>
          </cell>
          <cell r="B1248" t="str">
            <v>HC</v>
          </cell>
          <cell r="Q1248">
            <v>8614</v>
          </cell>
        </row>
        <row r="1249">
          <cell r="A1249" t="str">
            <v>Buildings</v>
          </cell>
          <cell r="B1249" t="str">
            <v>HC</v>
          </cell>
          <cell r="Q1249">
            <v>8614</v>
          </cell>
        </row>
        <row r="1250">
          <cell r="A1250" t="str">
            <v>Buildings</v>
          </cell>
          <cell r="B1250" t="str">
            <v>HC</v>
          </cell>
          <cell r="Q1250">
            <v>8614</v>
          </cell>
        </row>
        <row r="1251">
          <cell r="A1251" t="str">
            <v>Buildings</v>
          </cell>
          <cell r="B1251" t="str">
            <v>HC</v>
          </cell>
          <cell r="Q1251">
            <v>8614</v>
          </cell>
        </row>
        <row r="1252">
          <cell r="A1252" t="str">
            <v>Buildings</v>
          </cell>
          <cell r="B1252" t="str">
            <v>HC</v>
          </cell>
          <cell r="Q1252">
            <v>8614</v>
          </cell>
        </row>
        <row r="1253">
          <cell r="A1253" t="str">
            <v>Buildings</v>
          </cell>
          <cell r="B1253" t="str">
            <v>HC</v>
          </cell>
          <cell r="Q1253">
            <v>8614</v>
          </cell>
        </row>
        <row r="1254">
          <cell r="A1254" t="str">
            <v>Buildings</v>
          </cell>
          <cell r="B1254" t="str">
            <v>HC</v>
          </cell>
          <cell r="Q1254">
            <v>8614</v>
          </cell>
        </row>
        <row r="1255">
          <cell r="A1255" t="str">
            <v>Buildings</v>
          </cell>
          <cell r="B1255" t="str">
            <v>HC</v>
          </cell>
          <cell r="Q1255">
            <v>8614</v>
          </cell>
        </row>
        <row r="1256">
          <cell r="A1256" t="str">
            <v>Buildings</v>
          </cell>
          <cell r="B1256" t="str">
            <v>HC</v>
          </cell>
          <cell r="Q1256">
            <v>1</v>
          </cell>
        </row>
        <row r="1257">
          <cell r="A1257" t="str">
            <v>Buildings</v>
          </cell>
          <cell r="B1257" t="str">
            <v>HC</v>
          </cell>
          <cell r="Q1257">
            <v>1</v>
          </cell>
        </row>
        <row r="1258">
          <cell r="A1258" t="str">
            <v>Buildings</v>
          </cell>
          <cell r="B1258" t="str">
            <v>HC</v>
          </cell>
          <cell r="Q1258">
            <v>1</v>
          </cell>
        </row>
        <row r="1259">
          <cell r="A1259" t="str">
            <v>Buildings</v>
          </cell>
          <cell r="B1259" t="str">
            <v>HC</v>
          </cell>
          <cell r="Q1259">
            <v>1</v>
          </cell>
        </row>
        <row r="1260">
          <cell r="A1260" t="str">
            <v>Buildings</v>
          </cell>
          <cell r="B1260" t="str">
            <v>HC</v>
          </cell>
          <cell r="Q1260">
            <v>125000</v>
          </cell>
        </row>
        <row r="1261">
          <cell r="A1261" t="str">
            <v>Buildings</v>
          </cell>
          <cell r="B1261" t="str">
            <v>HC</v>
          </cell>
          <cell r="Q1261">
            <v>4275</v>
          </cell>
        </row>
        <row r="1262">
          <cell r="A1262" t="str">
            <v>Buildings</v>
          </cell>
          <cell r="B1262" t="str">
            <v>HC</v>
          </cell>
          <cell r="Q1262">
            <v>1074.2</v>
          </cell>
        </row>
        <row r="1263">
          <cell r="A1263" t="str">
            <v>Buildings</v>
          </cell>
          <cell r="B1263" t="str">
            <v>HC</v>
          </cell>
          <cell r="Q1263">
            <v>1074.2</v>
          </cell>
        </row>
        <row r="1264">
          <cell r="A1264" t="str">
            <v>Buildings</v>
          </cell>
          <cell r="B1264" t="str">
            <v>HC</v>
          </cell>
          <cell r="Q1264">
            <v>1074.2</v>
          </cell>
        </row>
        <row r="1265">
          <cell r="A1265" t="str">
            <v>Buildings</v>
          </cell>
          <cell r="B1265" t="str">
            <v>HC</v>
          </cell>
          <cell r="Q1265">
            <v>1074.2</v>
          </cell>
        </row>
        <row r="1266">
          <cell r="A1266" t="str">
            <v>Buildings</v>
          </cell>
          <cell r="B1266" t="str">
            <v>HC</v>
          </cell>
          <cell r="Q1266">
            <v>1074.2</v>
          </cell>
        </row>
        <row r="1267">
          <cell r="A1267" t="str">
            <v>Buildings</v>
          </cell>
          <cell r="B1267" t="str">
            <v>HC</v>
          </cell>
          <cell r="Q1267">
            <v>1074.2</v>
          </cell>
        </row>
        <row r="1268">
          <cell r="A1268" t="str">
            <v>Buildings</v>
          </cell>
          <cell r="B1268" t="str">
            <v>HC</v>
          </cell>
          <cell r="Q1268">
            <v>1074.2</v>
          </cell>
        </row>
        <row r="1269">
          <cell r="A1269" t="str">
            <v>Buildings</v>
          </cell>
          <cell r="B1269" t="str">
            <v>HC</v>
          </cell>
          <cell r="Q1269">
            <v>1074.2</v>
          </cell>
        </row>
        <row r="1270">
          <cell r="A1270" t="str">
            <v>Buildings</v>
          </cell>
          <cell r="B1270" t="str">
            <v>HC</v>
          </cell>
          <cell r="Q1270">
            <v>1074.2</v>
          </cell>
        </row>
        <row r="1271">
          <cell r="A1271" t="str">
            <v>Buildings</v>
          </cell>
          <cell r="B1271" t="str">
            <v>HC</v>
          </cell>
          <cell r="Q1271">
            <v>1557.05</v>
          </cell>
        </row>
        <row r="1272">
          <cell r="A1272" t="str">
            <v>Buildings</v>
          </cell>
          <cell r="B1272" t="str">
            <v>HC</v>
          </cell>
          <cell r="Q1272">
            <v>1644.19</v>
          </cell>
        </row>
        <row r="1273">
          <cell r="A1273" t="str">
            <v>Buildings</v>
          </cell>
          <cell r="B1273" t="str">
            <v>HC</v>
          </cell>
          <cell r="Q1273">
            <v>1644</v>
          </cell>
        </row>
        <row r="1274">
          <cell r="A1274" t="str">
            <v>Buildings</v>
          </cell>
          <cell r="B1274" t="str">
            <v>HC</v>
          </cell>
          <cell r="Q1274">
            <v>1557.07</v>
          </cell>
        </row>
        <row r="1275">
          <cell r="A1275" t="str">
            <v>Buildings</v>
          </cell>
          <cell r="B1275" t="str">
            <v>HC</v>
          </cell>
          <cell r="Q1275">
            <v>5902.2</v>
          </cell>
        </row>
        <row r="1276">
          <cell r="A1276" t="str">
            <v>Buildings</v>
          </cell>
          <cell r="B1276" t="str">
            <v>HC</v>
          </cell>
          <cell r="Q1276">
            <v>7875</v>
          </cell>
        </row>
        <row r="1277">
          <cell r="A1277" t="str">
            <v>Buildings</v>
          </cell>
          <cell r="B1277" t="str">
            <v>HC</v>
          </cell>
          <cell r="Q1277">
            <v>7875</v>
          </cell>
        </row>
        <row r="1278">
          <cell r="A1278" t="str">
            <v>Buildings</v>
          </cell>
          <cell r="B1278" t="str">
            <v>HC</v>
          </cell>
          <cell r="Q1278">
            <v>539.49</v>
          </cell>
        </row>
        <row r="1279">
          <cell r="A1279" t="str">
            <v>Buildings</v>
          </cell>
          <cell r="B1279" t="str">
            <v>HC</v>
          </cell>
          <cell r="Q1279">
            <v>21562</v>
          </cell>
        </row>
        <row r="1280">
          <cell r="A1280" t="str">
            <v>Buildings</v>
          </cell>
          <cell r="B1280" t="str">
            <v>HC</v>
          </cell>
          <cell r="Q1280">
            <v>3266.61</v>
          </cell>
        </row>
        <row r="1281">
          <cell r="A1281" t="str">
            <v>Buildings</v>
          </cell>
          <cell r="B1281" t="str">
            <v>HC</v>
          </cell>
          <cell r="Q1281">
            <v>3266.61</v>
          </cell>
        </row>
        <row r="1282">
          <cell r="A1282" t="str">
            <v>Buildings</v>
          </cell>
          <cell r="B1282" t="str">
            <v>HC</v>
          </cell>
          <cell r="Q1282">
            <v>3266.61</v>
          </cell>
        </row>
        <row r="1283">
          <cell r="A1283" t="str">
            <v>Buildings</v>
          </cell>
          <cell r="B1283" t="str">
            <v>HC</v>
          </cell>
          <cell r="Q1283">
            <v>3266.61</v>
          </cell>
        </row>
        <row r="1284">
          <cell r="A1284" t="str">
            <v>Buildings</v>
          </cell>
          <cell r="B1284" t="str">
            <v>HC</v>
          </cell>
          <cell r="Q1284">
            <v>3266.61</v>
          </cell>
        </row>
        <row r="1285">
          <cell r="A1285" t="str">
            <v>Buildings</v>
          </cell>
          <cell r="B1285" t="str">
            <v>HC</v>
          </cell>
          <cell r="Q1285">
            <v>13766</v>
          </cell>
        </row>
        <row r="1286">
          <cell r="A1286" t="str">
            <v>Buildings</v>
          </cell>
          <cell r="B1286" t="str">
            <v>HC</v>
          </cell>
          <cell r="Q1286">
            <v>3266.61</v>
          </cell>
        </row>
        <row r="1287">
          <cell r="A1287" t="str">
            <v>Buildings</v>
          </cell>
          <cell r="B1287" t="str">
            <v>HC</v>
          </cell>
          <cell r="Q1287">
            <v>3266.61</v>
          </cell>
        </row>
        <row r="1288">
          <cell r="A1288" t="str">
            <v>Buildings</v>
          </cell>
          <cell r="B1288" t="str">
            <v>HC</v>
          </cell>
          <cell r="Q1288">
            <v>3266.61</v>
          </cell>
        </row>
        <row r="1289">
          <cell r="A1289" t="str">
            <v>Buildings</v>
          </cell>
          <cell r="B1289" t="str">
            <v>HC</v>
          </cell>
          <cell r="Q1289">
            <v>10155</v>
          </cell>
        </row>
        <row r="1290">
          <cell r="A1290" t="str">
            <v>Buildings</v>
          </cell>
          <cell r="B1290" t="str">
            <v>HC</v>
          </cell>
          <cell r="Q1290">
            <v>10155</v>
          </cell>
        </row>
        <row r="1291">
          <cell r="A1291" t="str">
            <v>Buildings</v>
          </cell>
          <cell r="B1291" t="str">
            <v>HC</v>
          </cell>
          <cell r="Q1291">
            <v>10108.75</v>
          </cell>
        </row>
        <row r="1292">
          <cell r="A1292" t="str">
            <v>Buildings</v>
          </cell>
          <cell r="B1292" t="str">
            <v>HC</v>
          </cell>
          <cell r="Q1292">
            <v>10109</v>
          </cell>
        </row>
        <row r="1293">
          <cell r="A1293" t="str">
            <v>Buildings</v>
          </cell>
          <cell r="B1293" t="str">
            <v>HC</v>
          </cell>
          <cell r="Q1293">
            <v>10109</v>
          </cell>
        </row>
        <row r="1294">
          <cell r="A1294" t="str">
            <v>Buildings</v>
          </cell>
          <cell r="B1294" t="str">
            <v>HC</v>
          </cell>
          <cell r="Q1294">
            <v>10109</v>
          </cell>
        </row>
        <row r="1295">
          <cell r="A1295" t="str">
            <v>Buildings</v>
          </cell>
          <cell r="B1295" t="str">
            <v>HC</v>
          </cell>
          <cell r="Q1295">
            <v>2200</v>
          </cell>
        </row>
        <row r="1296">
          <cell r="A1296" t="str">
            <v>Buildings</v>
          </cell>
          <cell r="B1296" t="str">
            <v>HC</v>
          </cell>
          <cell r="Q1296">
            <v>9944.33</v>
          </cell>
        </row>
        <row r="1297">
          <cell r="A1297" t="str">
            <v>Buildings</v>
          </cell>
          <cell r="B1297" t="str">
            <v>HC</v>
          </cell>
          <cell r="Q1297">
            <v>9944</v>
          </cell>
        </row>
        <row r="1298">
          <cell r="A1298" t="str">
            <v>Buildings</v>
          </cell>
          <cell r="B1298" t="str">
            <v>HC</v>
          </cell>
          <cell r="Q1298">
            <v>9944</v>
          </cell>
        </row>
        <row r="1299">
          <cell r="A1299" t="str">
            <v>Buildings</v>
          </cell>
          <cell r="B1299" t="str">
            <v>HC</v>
          </cell>
          <cell r="Q1299">
            <v>9944</v>
          </cell>
        </row>
        <row r="1300">
          <cell r="A1300" t="str">
            <v>Buildings</v>
          </cell>
          <cell r="B1300" t="str">
            <v>HC</v>
          </cell>
          <cell r="Q1300">
            <v>9944</v>
          </cell>
        </row>
        <row r="1301">
          <cell r="A1301" t="str">
            <v>Buildings</v>
          </cell>
          <cell r="B1301" t="str">
            <v>HC</v>
          </cell>
          <cell r="Q1301">
            <v>9944</v>
          </cell>
        </row>
        <row r="1302">
          <cell r="A1302" t="str">
            <v>Buildings</v>
          </cell>
          <cell r="B1302" t="str">
            <v>HC</v>
          </cell>
          <cell r="Q1302">
            <v>9944</v>
          </cell>
        </row>
        <row r="1303">
          <cell r="A1303" t="str">
            <v>Buildings</v>
          </cell>
          <cell r="B1303" t="str">
            <v>HC</v>
          </cell>
          <cell r="Q1303">
            <v>9944</v>
          </cell>
        </row>
        <row r="1304">
          <cell r="A1304" t="str">
            <v>Buildings</v>
          </cell>
          <cell r="B1304" t="str">
            <v>HC</v>
          </cell>
          <cell r="Q1304">
            <v>9944</v>
          </cell>
        </row>
        <row r="1305">
          <cell r="A1305" t="str">
            <v>Buildings</v>
          </cell>
          <cell r="B1305" t="str">
            <v>HC</v>
          </cell>
          <cell r="Q1305">
            <v>9944</v>
          </cell>
        </row>
        <row r="1306">
          <cell r="A1306" t="str">
            <v>Buildings</v>
          </cell>
          <cell r="B1306" t="str">
            <v>HC</v>
          </cell>
          <cell r="Q1306">
            <v>9944</v>
          </cell>
        </row>
        <row r="1307">
          <cell r="A1307" t="str">
            <v>Buildings</v>
          </cell>
          <cell r="B1307" t="str">
            <v>HC</v>
          </cell>
          <cell r="Q1307">
            <v>9944</v>
          </cell>
        </row>
        <row r="1308">
          <cell r="A1308" t="str">
            <v>Buildings</v>
          </cell>
          <cell r="B1308" t="str">
            <v>HC</v>
          </cell>
          <cell r="Q1308">
            <v>9852.25</v>
          </cell>
        </row>
        <row r="1309">
          <cell r="A1309" t="str">
            <v>Buildings</v>
          </cell>
          <cell r="B1309" t="str">
            <v>HC</v>
          </cell>
          <cell r="Q1309">
            <v>9852</v>
          </cell>
        </row>
        <row r="1310">
          <cell r="A1310" t="str">
            <v>Buildings</v>
          </cell>
          <cell r="B1310" t="str">
            <v>HC</v>
          </cell>
          <cell r="Q1310">
            <v>9852</v>
          </cell>
        </row>
        <row r="1311">
          <cell r="A1311" t="str">
            <v>Buildings</v>
          </cell>
          <cell r="B1311" t="str">
            <v>HC</v>
          </cell>
          <cell r="Q1311">
            <v>9852</v>
          </cell>
        </row>
        <row r="1312">
          <cell r="A1312" t="str">
            <v>Buildings</v>
          </cell>
          <cell r="B1312" t="str">
            <v>HC</v>
          </cell>
          <cell r="Q1312">
            <v>16280.5</v>
          </cell>
        </row>
        <row r="1313">
          <cell r="A1313" t="str">
            <v>Buildings</v>
          </cell>
          <cell r="B1313" t="str">
            <v>HC</v>
          </cell>
          <cell r="Q1313">
            <v>16280.5</v>
          </cell>
        </row>
        <row r="1314">
          <cell r="A1314" t="str">
            <v>Buildings</v>
          </cell>
          <cell r="B1314" t="str">
            <v>HC</v>
          </cell>
          <cell r="Q1314">
            <v>582.66</v>
          </cell>
        </row>
        <row r="1315">
          <cell r="A1315" t="str">
            <v>Buildings</v>
          </cell>
          <cell r="B1315" t="str">
            <v>HC</v>
          </cell>
          <cell r="Q1315">
            <v>583</v>
          </cell>
        </row>
        <row r="1316">
          <cell r="A1316" t="str">
            <v>Buildings</v>
          </cell>
          <cell r="B1316" t="str">
            <v>HC</v>
          </cell>
          <cell r="Q1316">
            <v>583</v>
          </cell>
        </row>
        <row r="1317">
          <cell r="A1317" t="str">
            <v>Buildings</v>
          </cell>
          <cell r="B1317" t="str">
            <v>HC</v>
          </cell>
          <cell r="Q1317">
            <v>1126.8900000000001</v>
          </cell>
        </row>
        <row r="1318">
          <cell r="A1318" t="str">
            <v>Buildings</v>
          </cell>
          <cell r="B1318" t="str">
            <v>HC</v>
          </cell>
          <cell r="Q1318">
            <v>4302.71</v>
          </cell>
        </row>
        <row r="1319">
          <cell r="A1319" t="str">
            <v>Buildings</v>
          </cell>
          <cell r="B1319" t="str">
            <v>HC</v>
          </cell>
          <cell r="Q1319">
            <v>2385</v>
          </cell>
        </row>
        <row r="1320">
          <cell r="A1320" t="str">
            <v>Buildings</v>
          </cell>
          <cell r="B1320" t="str">
            <v>HC</v>
          </cell>
          <cell r="Q1320">
            <v>2385</v>
          </cell>
        </row>
        <row r="1321">
          <cell r="A1321" t="str">
            <v>Buildings</v>
          </cell>
          <cell r="B1321" t="str">
            <v>HC</v>
          </cell>
          <cell r="Q1321">
            <v>2151.25</v>
          </cell>
        </row>
        <row r="1322">
          <cell r="A1322" t="str">
            <v>Buildings</v>
          </cell>
          <cell r="B1322" t="str">
            <v>HC</v>
          </cell>
          <cell r="Q1322">
            <v>2151</v>
          </cell>
        </row>
        <row r="1323">
          <cell r="A1323" t="str">
            <v>Buildings</v>
          </cell>
          <cell r="B1323" t="str">
            <v>HC</v>
          </cell>
          <cell r="Q1323">
            <v>2151</v>
          </cell>
        </row>
        <row r="1324">
          <cell r="A1324" t="str">
            <v>Buildings</v>
          </cell>
          <cell r="B1324" t="str">
            <v>HC</v>
          </cell>
          <cell r="Q1324">
            <v>2151</v>
          </cell>
        </row>
        <row r="1325">
          <cell r="A1325" t="str">
            <v>Buildings</v>
          </cell>
          <cell r="B1325" t="str">
            <v>HC</v>
          </cell>
          <cell r="Q1325">
            <v>4078</v>
          </cell>
        </row>
        <row r="1326">
          <cell r="A1326" t="str">
            <v>Buildings</v>
          </cell>
          <cell r="B1326" t="str">
            <v>HC</v>
          </cell>
          <cell r="Q1326">
            <v>16640</v>
          </cell>
        </row>
        <row r="1327">
          <cell r="A1327" t="str">
            <v>Buildings</v>
          </cell>
          <cell r="B1327" t="str">
            <v>HC</v>
          </cell>
          <cell r="Q1327">
            <v>16640</v>
          </cell>
        </row>
        <row r="1328">
          <cell r="A1328" t="str">
            <v>Buildings</v>
          </cell>
          <cell r="B1328" t="str">
            <v>HC</v>
          </cell>
          <cell r="Q1328">
            <v>16640</v>
          </cell>
        </row>
        <row r="1329">
          <cell r="A1329" t="str">
            <v>Buildings</v>
          </cell>
          <cell r="B1329" t="str">
            <v>HC</v>
          </cell>
          <cell r="Q1329">
            <v>9900</v>
          </cell>
        </row>
        <row r="1330">
          <cell r="A1330" t="str">
            <v>Buildings</v>
          </cell>
          <cell r="B1330" t="str">
            <v>HC</v>
          </cell>
          <cell r="Q1330">
            <v>1388163</v>
          </cell>
        </row>
        <row r="1331">
          <cell r="A1331" t="str">
            <v>Buildings</v>
          </cell>
          <cell r="B1331" t="str">
            <v>HC</v>
          </cell>
          <cell r="Q1331">
            <v>23500</v>
          </cell>
        </row>
        <row r="1332">
          <cell r="A1332" t="str">
            <v>Buildings</v>
          </cell>
          <cell r="B1332" t="str">
            <v>HC</v>
          </cell>
          <cell r="Q1332">
            <v>4275</v>
          </cell>
        </row>
        <row r="1333">
          <cell r="A1333" t="str">
            <v>Buildings</v>
          </cell>
          <cell r="B1333" t="str">
            <v>HC</v>
          </cell>
          <cell r="Q1333">
            <v>4275</v>
          </cell>
        </row>
        <row r="1334">
          <cell r="A1334" t="str">
            <v>Buildings</v>
          </cell>
          <cell r="B1334" t="str">
            <v>HC</v>
          </cell>
          <cell r="Q1334">
            <v>4275</v>
          </cell>
        </row>
        <row r="1335">
          <cell r="A1335" t="str">
            <v>Buildings</v>
          </cell>
          <cell r="B1335" t="str">
            <v>HC</v>
          </cell>
          <cell r="Q1335">
            <v>4489.72</v>
          </cell>
        </row>
        <row r="1336">
          <cell r="A1336" t="str">
            <v>Buildings</v>
          </cell>
          <cell r="B1336" t="str">
            <v>HC</v>
          </cell>
          <cell r="Q1336">
            <v>2966.84</v>
          </cell>
        </row>
        <row r="1337">
          <cell r="A1337" t="str">
            <v>Buildings</v>
          </cell>
          <cell r="B1337" t="str">
            <v>HC</v>
          </cell>
          <cell r="Q1337">
            <v>2966.84</v>
          </cell>
        </row>
        <row r="1338">
          <cell r="A1338" t="str">
            <v>Buildings</v>
          </cell>
          <cell r="B1338" t="str">
            <v>HC</v>
          </cell>
          <cell r="Q1338">
            <v>2966.84</v>
          </cell>
        </row>
        <row r="1339">
          <cell r="A1339" t="str">
            <v>Buildings</v>
          </cell>
          <cell r="B1339" t="str">
            <v>HC</v>
          </cell>
          <cell r="Q1339">
            <v>2966.84</v>
          </cell>
        </row>
        <row r="1340">
          <cell r="A1340" t="str">
            <v>Buildings</v>
          </cell>
          <cell r="B1340" t="str">
            <v>HC</v>
          </cell>
          <cell r="Q1340">
            <v>2966.84</v>
          </cell>
        </row>
        <row r="1341">
          <cell r="A1341" t="str">
            <v>Buildings</v>
          </cell>
          <cell r="B1341" t="str">
            <v>HC</v>
          </cell>
          <cell r="Q1341">
            <v>2966.84</v>
          </cell>
        </row>
        <row r="1342">
          <cell r="A1342" t="str">
            <v>Buildings</v>
          </cell>
          <cell r="B1342" t="str">
            <v>HC</v>
          </cell>
          <cell r="Q1342">
            <v>2966.84</v>
          </cell>
        </row>
        <row r="1343">
          <cell r="A1343" t="str">
            <v>Buildings</v>
          </cell>
          <cell r="B1343" t="str">
            <v>HC</v>
          </cell>
          <cell r="Q1343">
            <v>3436</v>
          </cell>
        </row>
        <row r="1344">
          <cell r="A1344" t="str">
            <v>Buildings</v>
          </cell>
          <cell r="B1344" t="str">
            <v>HC</v>
          </cell>
          <cell r="Q1344">
            <v>3436</v>
          </cell>
        </row>
        <row r="1345">
          <cell r="A1345" t="str">
            <v>Buildings</v>
          </cell>
          <cell r="B1345" t="str">
            <v>HC</v>
          </cell>
          <cell r="Q1345">
            <v>3436</v>
          </cell>
        </row>
        <row r="1346">
          <cell r="A1346" t="str">
            <v>Buildings</v>
          </cell>
          <cell r="B1346" t="str">
            <v>HC</v>
          </cell>
          <cell r="Q1346">
            <v>3436</v>
          </cell>
        </row>
        <row r="1347">
          <cell r="A1347" t="str">
            <v>Buildings</v>
          </cell>
          <cell r="B1347" t="str">
            <v>HC</v>
          </cell>
          <cell r="Q1347">
            <v>3436</v>
          </cell>
        </row>
        <row r="1348">
          <cell r="A1348" t="str">
            <v>Buildings</v>
          </cell>
          <cell r="B1348" t="str">
            <v>HC</v>
          </cell>
          <cell r="Q1348">
            <v>3436</v>
          </cell>
        </row>
        <row r="1349">
          <cell r="A1349" t="str">
            <v>Buildings</v>
          </cell>
          <cell r="B1349" t="str">
            <v>HC</v>
          </cell>
          <cell r="Q1349">
            <v>3436</v>
          </cell>
        </row>
        <row r="1350">
          <cell r="A1350" t="str">
            <v>Buildings</v>
          </cell>
          <cell r="B1350" t="str">
            <v>HC</v>
          </cell>
          <cell r="Q1350">
            <v>6364.98</v>
          </cell>
        </row>
        <row r="1351">
          <cell r="A1351" t="str">
            <v>Buildings</v>
          </cell>
          <cell r="B1351" t="str">
            <v>HC</v>
          </cell>
          <cell r="Q1351">
            <v>9060.69</v>
          </cell>
        </row>
        <row r="1352">
          <cell r="A1352" t="str">
            <v>Buildings</v>
          </cell>
          <cell r="B1352" t="str">
            <v>HC</v>
          </cell>
          <cell r="Q1352">
            <v>17800</v>
          </cell>
        </row>
        <row r="1353">
          <cell r="A1353" t="str">
            <v>Buildings</v>
          </cell>
          <cell r="B1353" t="str">
            <v>HC</v>
          </cell>
          <cell r="Q1353">
            <v>7441.04</v>
          </cell>
        </row>
        <row r="1354">
          <cell r="A1354" t="str">
            <v>Buildings</v>
          </cell>
          <cell r="B1354" t="str">
            <v>HC</v>
          </cell>
          <cell r="Q1354">
            <v>7441.04</v>
          </cell>
        </row>
        <row r="1355">
          <cell r="A1355" t="str">
            <v>Buildings</v>
          </cell>
          <cell r="B1355" t="str">
            <v>HC</v>
          </cell>
          <cell r="Q1355">
            <v>7441.04</v>
          </cell>
        </row>
        <row r="1356">
          <cell r="A1356" t="str">
            <v>Buildings</v>
          </cell>
          <cell r="B1356" t="str">
            <v>HC</v>
          </cell>
          <cell r="Q1356">
            <v>7441.04</v>
          </cell>
        </row>
        <row r="1357">
          <cell r="A1357" t="str">
            <v>Buildings</v>
          </cell>
          <cell r="B1357" t="str">
            <v>HC</v>
          </cell>
          <cell r="Q1357">
            <v>6191.22</v>
          </cell>
        </row>
        <row r="1358">
          <cell r="A1358" t="str">
            <v>Buildings</v>
          </cell>
          <cell r="B1358" t="str">
            <v>HC</v>
          </cell>
          <cell r="Q1358">
            <v>6191</v>
          </cell>
        </row>
        <row r="1359">
          <cell r="A1359" t="str">
            <v>Buildings</v>
          </cell>
          <cell r="B1359" t="str">
            <v>HC</v>
          </cell>
          <cell r="Q1359">
            <v>6191</v>
          </cell>
        </row>
        <row r="1360">
          <cell r="A1360" t="str">
            <v>Buildings</v>
          </cell>
          <cell r="B1360" t="str">
            <v>HC</v>
          </cell>
          <cell r="Q1360">
            <v>6191</v>
          </cell>
        </row>
        <row r="1361">
          <cell r="A1361" t="str">
            <v>Buildings</v>
          </cell>
          <cell r="B1361" t="str">
            <v>HC</v>
          </cell>
          <cell r="Q1361">
            <v>6191</v>
          </cell>
        </row>
        <row r="1362">
          <cell r="A1362" t="str">
            <v>Buildings</v>
          </cell>
          <cell r="B1362" t="str">
            <v>HC</v>
          </cell>
          <cell r="Q1362">
            <v>6191</v>
          </cell>
        </row>
        <row r="1363">
          <cell r="A1363" t="str">
            <v>Buildings</v>
          </cell>
          <cell r="B1363" t="str">
            <v>HC</v>
          </cell>
          <cell r="Q1363">
            <v>4198.1499999999996</v>
          </cell>
        </row>
        <row r="1364">
          <cell r="A1364" t="str">
            <v>Buildings</v>
          </cell>
          <cell r="B1364" t="str">
            <v>HC</v>
          </cell>
          <cell r="Q1364">
            <v>4768</v>
          </cell>
        </row>
        <row r="1365">
          <cell r="A1365" t="str">
            <v>Buildings</v>
          </cell>
          <cell r="B1365" t="str">
            <v>HC</v>
          </cell>
          <cell r="Q1365">
            <v>4768</v>
          </cell>
        </row>
        <row r="1366">
          <cell r="A1366" t="str">
            <v>Buildings</v>
          </cell>
          <cell r="B1366" t="str">
            <v>HC</v>
          </cell>
          <cell r="Q1366">
            <v>4768</v>
          </cell>
        </row>
        <row r="1367">
          <cell r="A1367" t="str">
            <v>Buildings</v>
          </cell>
          <cell r="B1367" t="str">
            <v>HC</v>
          </cell>
          <cell r="Q1367">
            <v>4768</v>
          </cell>
        </row>
        <row r="1368">
          <cell r="A1368" t="str">
            <v>Buildings</v>
          </cell>
          <cell r="B1368" t="str">
            <v>HC</v>
          </cell>
          <cell r="Q1368">
            <v>25100</v>
          </cell>
        </row>
        <row r="1369">
          <cell r="A1369" t="str">
            <v>Buildings</v>
          </cell>
          <cell r="B1369" t="str">
            <v>HC</v>
          </cell>
          <cell r="Q1369">
            <v>48500</v>
          </cell>
        </row>
        <row r="1370">
          <cell r="A1370" t="str">
            <v>Buildings</v>
          </cell>
          <cell r="B1370" t="str">
            <v>HC</v>
          </cell>
          <cell r="Q1370">
            <v>4527</v>
          </cell>
        </row>
        <row r="1371">
          <cell r="A1371" t="str">
            <v>Buildings</v>
          </cell>
          <cell r="B1371" t="str">
            <v>HC</v>
          </cell>
          <cell r="Q1371">
            <v>4527</v>
          </cell>
        </row>
        <row r="1372">
          <cell r="A1372" t="str">
            <v>Buildings</v>
          </cell>
          <cell r="B1372" t="str">
            <v>HC</v>
          </cell>
          <cell r="Q1372">
            <v>35035</v>
          </cell>
        </row>
        <row r="1373">
          <cell r="A1373" t="str">
            <v>Buildings</v>
          </cell>
          <cell r="B1373" t="str">
            <v>HC</v>
          </cell>
          <cell r="Q1373">
            <v>35035</v>
          </cell>
        </row>
        <row r="1374">
          <cell r="A1374" t="str">
            <v>Buildings</v>
          </cell>
          <cell r="B1374" t="str">
            <v>HC</v>
          </cell>
          <cell r="Q1374">
            <v>35035</v>
          </cell>
        </row>
        <row r="1375">
          <cell r="A1375" t="str">
            <v>Buildings</v>
          </cell>
          <cell r="B1375" t="str">
            <v>HC</v>
          </cell>
          <cell r="Q1375">
            <v>12757</v>
          </cell>
        </row>
        <row r="1376">
          <cell r="A1376" t="str">
            <v>Buildings</v>
          </cell>
          <cell r="B1376" t="str">
            <v>HC</v>
          </cell>
          <cell r="Q1376">
            <v>12758</v>
          </cell>
        </row>
        <row r="1377">
          <cell r="A1377" t="str">
            <v>Buildings</v>
          </cell>
          <cell r="B1377" t="str">
            <v>HC</v>
          </cell>
          <cell r="Q1377">
            <v>12758</v>
          </cell>
        </row>
        <row r="1378">
          <cell r="A1378" t="str">
            <v>Buildings</v>
          </cell>
          <cell r="B1378" t="str">
            <v>HC</v>
          </cell>
          <cell r="Q1378">
            <v>12758</v>
          </cell>
        </row>
        <row r="1379">
          <cell r="A1379" t="str">
            <v>Buildings</v>
          </cell>
          <cell r="B1379" t="str">
            <v>HC</v>
          </cell>
          <cell r="Q1379">
            <v>11448</v>
          </cell>
        </row>
        <row r="1380">
          <cell r="A1380" t="str">
            <v>Buildings</v>
          </cell>
          <cell r="B1380" t="str">
            <v>HC</v>
          </cell>
          <cell r="Q1380">
            <v>11448</v>
          </cell>
        </row>
        <row r="1381">
          <cell r="A1381" t="str">
            <v>Buildings</v>
          </cell>
          <cell r="B1381" t="str">
            <v>HC</v>
          </cell>
          <cell r="Q1381">
            <v>11448</v>
          </cell>
        </row>
        <row r="1382">
          <cell r="A1382" t="str">
            <v>Buildings</v>
          </cell>
          <cell r="B1382" t="str">
            <v>HC</v>
          </cell>
          <cell r="Q1382">
            <v>11448</v>
          </cell>
        </row>
        <row r="1383">
          <cell r="A1383" t="str">
            <v>Buildings</v>
          </cell>
          <cell r="B1383" t="str">
            <v>HC</v>
          </cell>
          <cell r="Q1383">
            <v>11448</v>
          </cell>
        </row>
        <row r="1384">
          <cell r="A1384" t="str">
            <v>Buildings</v>
          </cell>
          <cell r="B1384" t="str">
            <v>HC</v>
          </cell>
          <cell r="Q1384">
            <v>11448</v>
          </cell>
        </row>
        <row r="1385">
          <cell r="A1385" t="str">
            <v>Buildings</v>
          </cell>
          <cell r="B1385" t="str">
            <v>HC</v>
          </cell>
          <cell r="Q1385">
            <v>11583</v>
          </cell>
        </row>
        <row r="1386">
          <cell r="A1386" t="str">
            <v>Buildings</v>
          </cell>
          <cell r="B1386" t="str">
            <v>HC</v>
          </cell>
          <cell r="Q1386">
            <v>11583</v>
          </cell>
        </row>
        <row r="1387">
          <cell r="A1387" t="str">
            <v>Buildings</v>
          </cell>
          <cell r="B1387" t="str">
            <v>HC</v>
          </cell>
          <cell r="Q1387">
            <v>11583</v>
          </cell>
        </row>
        <row r="1388">
          <cell r="A1388" t="str">
            <v>Buildings</v>
          </cell>
          <cell r="B1388" t="str">
            <v>HC</v>
          </cell>
          <cell r="Q1388">
            <v>11583</v>
          </cell>
        </row>
        <row r="1389">
          <cell r="A1389" t="str">
            <v>Buildings</v>
          </cell>
          <cell r="B1389" t="str">
            <v>HC</v>
          </cell>
          <cell r="Q1389">
            <v>11583</v>
          </cell>
        </row>
        <row r="1390">
          <cell r="A1390" t="str">
            <v>Buildings</v>
          </cell>
          <cell r="B1390" t="str">
            <v>HC</v>
          </cell>
          <cell r="Q1390">
            <v>11583</v>
          </cell>
        </row>
        <row r="1391">
          <cell r="A1391" t="str">
            <v>Buildings</v>
          </cell>
          <cell r="B1391" t="str">
            <v>HC</v>
          </cell>
          <cell r="Q1391">
            <v>11448.33</v>
          </cell>
        </row>
        <row r="1392">
          <cell r="A1392" t="str">
            <v>Buildings</v>
          </cell>
          <cell r="B1392" t="str">
            <v>HC</v>
          </cell>
          <cell r="Q1392">
            <v>11448</v>
          </cell>
        </row>
        <row r="1393">
          <cell r="A1393" t="str">
            <v>Buildings</v>
          </cell>
          <cell r="B1393" t="str">
            <v>HC</v>
          </cell>
          <cell r="Q1393">
            <v>11448</v>
          </cell>
        </row>
        <row r="1394">
          <cell r="A1394" t="str">
            <v>Buildings</v>
          </cell>
          <cell r="B1394" t="str">
            <v>HC</v>
          </cell>
          <cell r="Q1394">
            <v>11448</v>
          </cell>
        </row>
        <row r="1395">
          <cell r="A1395" t="str">
            <v>Buildings</v>
          </cell>
          <cell r="B1395" t="str">
            <v>HC</v>
          </cell>
          <cell r="Q1395">
            <v>11448</v>
          </cell>
        </row>
        <row r="1396">
          <cell r="A1396" t="str">
            <v>Buildings</v>
          </cell>
          <cell r="B1396" t="str">
            <v>HC</v>
          </cell>
          <cell r="Q1396">
            <v>11448</v>
          </cell>
        </row>
        <row r="1397">
          <cell r="A1397" t="str">
            <v>Buildings</v>
          </cell>
          <cell r="B1397" t="str">
            <v>HC</v>
          </cell>
          <cell r="Q1397">
            <v>11448</v>
          </cell>
        </row>
        <row r="1398">
          <cell r="A1398" t="str">
            <v>Buildings</v>
          </cell>
          <cell r="B1398" t="str">
            <v>HC</v>
          </cell>
          <cell r="Q1398">
            <v>11448</v>
          </cell>
        </row>
        <row r="1399">
          <cell r="A1399" t="str">
            <v>Buildings</v>
          </cell>
          <cell r="B1399" t="str">
            <v>HC</v>
          </cell>
          <cell r="Q1399">
            <v>11448</v>
          </cell>
        </row>
        <row r="1400">
          <cell r="A1400" t="str">
            <v>Buildings</v>
          </cell>
          <cell r="B1400" t="str">
            <v>HC</v>
          </cell>
          <cell r="Q1400">
            <v>11448</v>
          </cell>
        </row>
        <row r="1401">
          <cell r="A1401" t="str">
            <v>Buildings</v>
          </cell>
          <cell r="B1401" t="str">
            <v>HC</v>
          </cell>
          <cell r="Q1401">
            <v>11448</v>
          </cell>
        </row>
        <row r="1402">
          <cell r="A1402" t="str">
            <v>Buildings</v>
          </cell>
          <cell r="B1402" t="str">
            <v>HC</v>
          </cell>
          <cell r="Q1402">
            <v>11448</v>
          </cell>
        </row>
        <row r="1403">
          <cell r="A1403" t="str">
            <v>Buildings</v>
          </cell>
          <cell r="B1403" t="str">
            <v>HC</v>
          </cell>
          <cell r="Q1403">
            <v>603617</v>
          </cell>
        </row>
        <row r="1404">
          <cell r="A1404" t="str">
            <v>Buildings</v>
          </cell>
          <cell r="B1404" t="str">
            <v>HC</v>
          </cell>
          <cell r="Q1404">
            <v>4781</v>
          </cell>
        </row>
        <row r="1405">
          <cell r="A1405" t="str">
            <v>Buildings</v>
          </cell>
          <cell r="B1405" t="str">
            <v>HC</v>
          </cell>
          <cell r="Q1405">
            <v>58002.5</v>
          </cell>
        </row>
        <row r="1406">
          <cell r="A1406" t="str">
            <v>Buildings</v>
          </cell>
          <cell r="B1406" t="str">
            <v>HC</v>
          </cell>
          <cell r="Q1406">
            <v>102611</v>
          </cell>
        </row>
        <row r="1407">
          <cell r="A1407" t="str">
            <v>Buildings</v>
          </cell>
          <cell r="B1407" t="str">
            <v>HC</v>
          </cell>
          <cell r="Q1407">
            <v>319460</v>
          </cell>
        </row>
        <row r="1408">
          <cell r="A1408" t="str">
            <v>Buildings</v>
          </cell>
          <cell r="B1408" t="str">
            <v>HC</v>
          </cell>
          <cell r="Q1408">
            <v>319460</v>
          </cell>
        </row>
        <row r="1409">
          <cell r="A1409" t="str">
            <v>Buildings</v>
          </cell>
          <cell r="B1409" t="str">
            <v>HC</v>
          </cell>
          <cell r="Q1409">
            <v>312000</v>
          </cell>
        </row>
        <row r="1410">
          <cell r="A1410" t="str">
            <v>Buildings</v>
          </cell>
          <cell r="B1410" t="str">
            <v>HC</v>
          </cell>
          <cell r="Q1410">
            <v>312000</v>
          </cell>
        </row>
        <row r="1411">
          <cell r="A1411" t="str">
            <v>Buildings</v>
          </cell>
          <cell r="B1411" t="str">
            <v>HC</v>
          </cell>
          <cell r="Q1411">
            <v>312000</v>
          </cell>
        </row>
        <row r="1412">
          <cell r="A1412" t="str">
            <v>Buildings</v>
          </cell>
          <cell r="B1412" t="str">
            <v>HC</v>
          </cell>
          <cell r="Q1412">
            <v>470916</v>
          </cell>
        </row>
        <row r="1413">
          <cell r="A1413" t="str">
            <v>Buildings</v>
          </cell>
          <cell r="B1413" t="str">
            <v>HC</v>
          </cell>
          <cell r="Q1413">
            <v>171600</v>
          </cell>
        </row>
        <row r="1414">
          <cell r="A1414" t="str">
            <v>Buildings</v>
          </cell>
          <cell r="B1414" t="str">
            <v>HC</v>
          </cell>
          <cell r="Q1414">
            <v>187200</v>
          </cell>
        </row>
        <row r="1415">
          <cell r="A1415" t="str">
            <v>Buildings</v>
          </cell>
          <cell r="B1415" t="str">
            <v>HC</v>
          </cell>
          <cell r="Q1415">
            <v>173867.5</v>
          </cell>
        </row>
        <row r="1416">
          <cell r="A1416" t="str">
            <v>Buildings</v>
          </cell>
          <cell r="B1416" t="str">
            <v>HC</v>
          </cell>
          <cell r="Q1416">
            <v>173867.5</v>
          </cell>
        </row>
        <row r="1417">
          <cell r="A1417" t="str">
            <v>Buildings</v>
          </cell>
          <cell r="B1417" t="str">
            <v>HC</v>
          </cell>
          <cell r="Q1417">
            <v>12069.01</v>
          </cell>
        </row>
        <row r="1418">
          <cell r="A1418" t="str">
            <v>Buildings</v>
          </cell>
          <cell r="B1418" t="str">
            <v>HC</v>
          </cell>
          <cell r="Q1418">
            <v>12069</v>
          </cell>
        </row>
        <row r="1419">
          <cell r="A1419" t="str">
            <v>Buildings</v>
          </cell>
          <cell r="B1419" t="str">
            <v>HC</v>
          </cell>
          <cell r="Q1419">
            <v>12069</v>
          </cell>
        </row>
        <row r="1420">
          <cell r="A1420" t="str">
            <v>Buildings</v>
          </cell>
          <cell r="B1420" t="str">
            <v>HC</v>
          </cell>
          <cell r="Q1420">
            <v>12069</v>
          </cell>
        </row>
        <row r="1421">
          <cell r="A1421" t="str">
            <v>Buildings</v>
          </cell>
          <cell r="B1421" t="str">
            <v>HC</v>
          </cell>
          <cell r="Q1421">
            <v>12068.99</v>
          </cell>
        </row>
        <row r="1422">
          <cell r="A1422" t="str">
            <v>Buildings</v>
          </cell>
          <cell r="B1422" t="str">
            <v>HC</v>
          </cell>
          <cell r="Q1422">
            <v>21139</v>
          </cell>
        </row>
        <row r="1423">
          <cell r="A1423" t="str">
            <v>Buildings</v>
          </cell>
          <cell r="B1423" t="str">
            <v>HC</v>
          </cell>
          <cell r="Q1423">
            <v>21139</v>
          </cell>
        </row>
        <row r="1424">
          <cell r="A1424" t="str">
            <v>Buildings</v>
          </cell>
          <cell r="B1424" t="str">
            <v>HC</v>
          </cell>
          <cell r="Q1424">
            <v>2447135.9300000002</v>
          </cell>
        </row>
        <row r="1425">
          <cell r="A1425" t="str">
            <v>Buildings</v>
          </cell>
          <cell r="B1425" t="str">
            <v>HC</v>
          </cell>
          <cell r="Q1425">
            <v>11338.22</v>
          </cell>
        </row>
        <row r="1426">
          <cell r="A1426" t="str">
            <v>Buildings</v>
          </cell>
          <cell r="B1426" t="str">
            <v>HC</v>
          </cell>
          <cell r="Q1426">
            <v>11338.22</v>
          </cell>
        </row>
        <row r="1427">
          <cell r="A1427" t="str">
            <v>Buildings</v>
          </cell>
          <cell r="B1427" t="str">
            <v>HC</v>
          </cell>
          <cell r="Q1427">
            <v>11338.22</v>
          </cell>
        </row>
        <row r="1428">
          <cell r="A1428" t="str">
            <v>Buildings</v>
          </cell>
          <cell r="B1428" t="str">
            <v>HC</v>
          </cell>
          <cell r="Q1428">
            <v>11338.22</v>
          </cell>
        </row>
        <row r="1429">
          <cell r="A1429" t="str">
            <v>Buildings</v>
          </cell>
          <cell r="B1429" t="str">
            <v>HC</v>
          </cell>
          <cell r="Q1429">
            <v>11338.22</v>
          </cell>
        </row>
        <row r="1430">
          <cell r="A1430" t="str">
            <v>Buildings</v>
          </cell>
          <cell r="B1430" t="str">
            <v>HC</v>
          </cell>
          <cell r="Q1430">
            <v>11338.22</v>
          </cell>
        </row>
        <row r="1431">
          <cell r="A1431" t="str">
            <v>Buildings</v>
          </cell>
          <cell r="B1431" t="str">
            <v>HC</v>
          </cell>
          <cell r="Q1431">
            <v>11338.22</v>
          </cell>
        </row>
        <row r="1432">
          <cell r="A1432" t="str">
            <v>Buildings</v>
          </cell>
          <cell r="B1432" t="str">
            <v>HC</v>
          </cell>
          <cell r="Q1432">
            <v>11338.22</v>
          </cell>
        </row>
        <row r="1433">
          <cell r="A1433" t="str">
            <v>Buildings</v>
          </cell>
          <cell r="B1433" t="str">
            <v>HC</v>
          </cell>
          <cell r="Q1433">
            <v>11338.24</v>
          </cell>
        </row>
        <row r="1434">
          <cell r="A1434" t="str">
            <v>Buildings</v>
          </cell>
          <cell r="B1434" t="str">
            <v>HC</v>
          </cell>
          <cell r="Q1434">
            <v>544018</v>
          </cell>
        </row>
        <row r="1435">
          <cell r="A1435" t="str">
            <v>Buildings</v>
          </cell>
          <cell r="B1435" t="str">
            <v>HC</v>
          </cell>
          <cell r="Q1435">
            <v>637612</v>
          </cell>
        </row>
        <row r="1436">
          <cell r="A1436" t="str">
            <v>Buildings</v>
          </cell>
          <cell r="B1436" t="str">
            <v>HC</v>
          </cell>
          <cell r="Q1436">
            <v>10362926.719999999</v>
          </cell>
        </row>
        <row r="1437">
          <cell r="A1437" t="str">
            <v>Buildings</v>
          </cell>
          <cell r="B1437" t="str">
            <v>HC</v>
          </cell>
          <cell r="Q1437">
            <v>52844309.960000001</v>
          </cell>
        </row>
        <row r="1438">
          <cell r="A1438" t="str">
            <v>Buildings</v>
          </cell>
          <cell r="B1438" t="str">
            <v>HC</v>
          </cell>
          <cell r="Q1438">
            <v>642341.43999999994</v>
          </cell>
        </row>
        <row r="1439">
          <cell r="A1439" t="str">
            <v>Buildings</v>
          </cell>
          <cell r="B1439" t="str">
            <v>HC</v>
          </cell>
          <cell r="Q1439">
            <v>1455440</v>
          </cell>
        </row>
        <row r="1440">
          <cell r="A1440" t="str">
            <v>Buildings</v>
          </cell>
          <cell r="B1440" t="str">
            <v>HC</v>
          </cell>
          <cell r="Q1440">
            <v>1455439</v>
          </cell>
        </row>
        <row r="1441">
          <cell r="A1441" t="str">
            <v>Buildings</v>
          </cell>
          <cell r="B1441" t="str">
            <v>HC</v>
          </cell>
          <cell r="Q1441">
            <v>1455441</v>
          </cell>
        </row>
        <row r="1442">
          <cell r="A1442" t="str">
            <v>Buildings</v>
          </cell>
          <cell r="B1442" t="str">
            <v>HC</v>
          </cell>
          <cell r="Q1442">
            <v>1455440</v>
          </cell>
        </row>
        <row r="1443">
          <cell r="A1443" t="str">
            <v>Buildings</v>
          </cell>
          <cell r="B1443" t="str">
            <v>HC</v>
          </cell>
          <cell r="Q1443">
            <v>811907</v>
          </cell>
        </row>
        <row r="1444">
          <cell r="A1444" t="str">
            <v>Buildings</v>
          </cell>
          <cell r="B1444" t="str">
            <v>HC</v>
          </cell>
          <cell r="Q1444">
            <v>811907</v>
          </cell>
        </row>
        <row r="1445">
          <cell r="A1445" t="str">
            <v>Buildings</v>
          </cell>
          <cell r="B1445" t="str">
            <v>HC</v>
          </cell>
          <cell r="Q1445">
            <v>811907</v>
          </cell>
        </row>
        <row r="1446">
          <cell r="A1446" t="str">
            <v>Buildings</v>
          </cell>
          <cell r="B1446" t="str">
            <v>HC</v>
          </cell>
          <cell r="Q1446">
            <v>811907</v>
          </cell>
        </row>
        <row r="1447">
          <cell r="A1447" t="str">
            <v>Buildings</v>
          </cell>
          <cell r="B1447" t="str">
            <v>HC</v>
          </cell>
          <cell r="Q1447">
            <v>910834</v>
          </cell>
        </row>
        <row r="1448">
          <cell r="A1448" t="str">
            <v>Buildings</v>
          </cell>
          <cell r="B1448" t="str">
            <v>HC</v>
          </cell>
          <cell r="Q1448">
            <v>910834</v>
          </cell>
        </row>
        <row r="1449">
          <cell r="A1449" t="str">
            <v>Buildings</v>
          </cell>
          <cell r="B1449" t="str">
            <v>HC</v>
          </cell>
          <cell r="Q1449">
            <v>910834</v>
          </cell>
        </row>
        <row r="1450">
          <cell r="A1450" t="str">
            <v>Buildings</v>
          </cell>
          <cell r="B1450" t="str">
            <v>HC</v>
          </cell>
          <cell r="Q1450">
            <v>910834</v>
          </cell>
        </row>
        <row r="1451">
          <cell r="A1451" t="str">
            <v>Buildings</v>
          </cell>
          <cell r="B1451" t="str">
            <v>HC</v>
          </cell>
          <cell r="Q1451">
            <v>185400</v>
          </cell>
        </row>
        <row r="1452">
          <cell r="A1452" t="str">
            <v>Buildings</v>
          </cell>
          <cell r="B1452" t="str">
            <v>HC</v>
          </cell>
          <cell r="Q1452">
            <v>169950</v>
          </cell>
        </row>
        <row r="1453">
          <cell r="A1453" t="str">
            <v>Buildings</v>
          </cell>
          <cell r="B1453" t="str">
            <v>HC</v>
          </cell>
          <cell r="Q1453">
            <v>172000</v>
          </cell>
        </row>
        <row r="1454">
          <cell r="A1454" t="str">
            <v>Buildings</v>
          </cell>
          <cell r="B1454" t="str">
            <v>HC</v>
          </cell>
          <cell r="Q1454">
            <v>1669469.55</v>
          </cell>
        </row>
        <row r="1455">
          <cell r="A1455" t="str">
            <v>Buildings</v>
          </cell>
          <cell r="B1455" t="str">
            <v>HC</v>
          </cell>
          <cell r="Q1455">
            <v>20800</v>
          </cell>
        </row>
        <row r="1456">
          <cell r="A1456" t="str">
            <v>Buildings</v>
          </cell>
          <cell r="B1456" t="str">
            <v>HC</v>
          </cell>
          <cell r="Q1456">
            <v>169950</v>
          </cell>
        </row>
        <row r="1457">
          <cell r="A1457" t="str">
            <v>Buildings</v>
          </cell>
          <cell r="B1457" t="str">
            <v>HC</v>
          </cell>
          <cell r="Q1457">
            <v>20800</v>
          </cell>
        </row>
        <row r="1458">
          <cell r="A1458" t="str">
            <v>Buildings</v>
          </cell>
          <cell r="B1458" t="str">
            <v>HC</v>
          </cell>
          <cell r="Q1458">
            <v>475515</v>
          </cell>
        </row>
        <row r="1459">
          <cell r="A1459" t="str">
            <v>Buildings</v>
          </cell>
          <cell r="B1459" t="str">
            <v>HC</v>
          </cell>
          <cell r="Q1459">
            <v>3042</v>
          </cell>
        </row>
        <row r="1460">
          <cell r="A1460" t="str">
            <v>Buildings</v>
          </cell>
          <cell r="B1460" t="str">
            <v>HC</v>
          </cell>
          <cell r="Q1460">
            <v>3042</v>
          </cell>
        </row>
        <row r="1461">
          <cell r="A1461" t="str">
            <v>Buildings</v>
          </cell>
          <cell r="B1461" t="str">
            <v>HC</v>
          </cell>
          <cell r="Q1461">
            <v>3042</v>
          </cell>
        </row>
        <row r="1462">
          <cell r="A1462" t="str">
            <v>Buildings</v>
          </cell>
          <cell r="B1462" t="str">
            <v>HC</v>
          </cell>
          <cell r="Q1462">
            <v>3042</v>
          </cell>
        </row>
        <row r="1463">
          <cell r="A1463" t="str">
            <v>Buildings</v>
          </cell>
          <cell r="B1463" t="str">
            <v>HC</v>
          </cell>
          <cell r="Q1463">
            <v>6587487</v>
          </cell>
        </row>
        <row r="1464">
          <cell r="A1464" t="str">
            <v>Buildings</v>
          </cell>
          <cell r="B1464" t="str">
            <v>HC</v>
          </cell>
          <cell r="Q1464">
            <v>6586605</v>
          </cell>
        </row>
        <row r="1465">
          <cell r="A1465" t="str">
            <v>Buildings</v>
          </cell>
          <cell r="B1465" t="str">
            <v>HC</v>
          </cell>
          <cell r="Q1465">
            <v>6154510</v>
          </cell>
        </row>
        <row r="1466">
          <cell r="A1466" t="str">
            <v>Buildings</v>
          </cell>
          <cell r="B1466" t="str">
            <v>HC</v>
          </cell>
          <cell r="Q1466">
            <v>17810</v>
          </cell>
        </row>
        <row r="1467">
          <cell r="A1467" t="str">
            <v>Buildings</v>
          </cell>
          <cell r="B1467" t="str">
            <v>HC</v>
          </cell>
          <cell r="Q1467">
            <v>17810</v>
          </cell>
        </row>
        <row r="1468">
          <cell r="A1468" t="str">
            <v>Buildings</v>
          </cell>
          <cell r="B1468" t="str">
            <v>HC</v>
          </cell>
          <cell r="Q1468">
            <v>17810</v>
          </cell>
        </row>
        <row r="1469">
          <cell r="A1469" t="str">
            <v>Buildings</v>
          </cell>
          <cell r="B1469" t="str">
            <v>HC</v>
          </cell>
          <cell r="Q1469">
            <v>17810</v>
          </cell>
        </row>
        <row r="1470">
          <cell r="A1470" t="str">
            <v>Buildings</v>
          </cell>
          <cell r="B1470" t="str">
            <v>HC</v>
          </cell>
          <cell r="Q1470">
            <v>166170.98000000001</v>
          </cell>
        </row>
        <row r="1471">
          <cell r="A1471" t="str">
            <v>Buildings</v>
          </cell>
          <cell r="B1471" t="str">
            <v>HC</v>
          </cell>
          <cell r="Q1471">
            <v>166170.98000000001</v>
          </cell>
        </row>
        <row r="1472">
          <cell r="A1472" t="str">
            <v>Buildings</v>
          </cell>
          <cell r="B1472" t="str">
            <v>HC</v>
          </cell>
          <cell r="Q1472">
            <v>187320.01</v>
          </cell>
        </row>
        <row r="1473">
          <cell r="A1473" t="str">
            <v>Buildings</v>
          </cell>
          <cell r="B1473" t="str">
            <v>HC</v>
          </cell>
          <cell r="Q1473">
            <v>187320.01</v>
          </cell>
        </row>
        <row r="1474">
          <cell r="A1474" t="str">
            <v>Buildings</v>
          </cell>
          <cell r="B1474" t="str">
            <v>HC</v>
          </cell>
          <cell r="Q1474">
            <v>812407</v>
          </cell>
        </row>
        <row r="1475">
          <cell r="A1475" t="str">
            <v>Buildings</v>
          </cell>
          <cell r="B1475" t="str">
            <v>HC</v>
          </cell>
          <cell r="Q1475">
            <v>812407</v>
          </cell>
        </row>
        <row r="1476">
          <cell r="A1476" t="str">
            <v>Buildings</v>
          </cell>
          <cell r="B1476" t="str">
            <v>HC</v>
          </cell>
          <cell r="Q1476">
            <v>1794830.8</v>
          </cell>
        </row>
        <row r="1477">
          <cell r="A1477" t="str">
            <v>Buildings</v>
          </cell>
          <cell r="B1477" t="str">
            <v>HC</v>
          </cell>
          <cell r="Q1477">
            <v>217286.25</v>
          </cell>
        </row>
        <row r="1478">
          <cell r="A1478" t="str">
            <v>Buildings</v>
          </cell>
          <cell r="B1478" t="str">
            <v>HC</v>
          </cell>
          <cell r="Q1478">
            <v>1423133.75</v>
          </cell>
        </row>
        <row r="1479">
          <cell r="A1479" t="str">
            <v>Buildings</v>
          </cell>
          <cell r="B1479" t="str">
            <v>HC</v>
          </cell>
          <cell r="Q1479">
            <v>1423133.75</v>
          </cell>
        </row>
        <row r="1480">
          <cell r="A1480" t="str">
            <v>Buildings</v>
          </cell>
          <cell r="B1480" t="str">
            <v>HC</v>
          </cell>
          <cell r="Q1480">
            <v>1423133.75</v>
          </cell>
        </row>
        <row r="1481">
          <cell r="A1481" t="str">
            <v>Buildings</v>
          </cell>
          <cell r="B1481" t="str">
            <v>HC</v>
          </cell>
          <cell r="Q1481">
            <v>1423133.75</v>
          </cell>
        </row>
        <row r="1482">
          <cell r="A1482" t="str">
            <v>Buildings</v>
          </cell>
          <cell r="B1482" t="str">
            <v>HC</v>
          </cell>
          <cell r="Q1482">
            <v>812407</v>
          </cell>
        </row>
        <row r="1483">
          <cell r="A1483" t="str">
            <v>Buildings</v>
          </cell>
          <cell r="B1483" t="str">
            <v>HC</v>
          </cell>
          <cell r="Q1483">
            <v>812407</v>
          </cell>
        </row>
        <row r="1484">
          <cell r="A1484" t="str">
            <v>Buildings</v>
          </cell>
          <cell r="B1484" t="str">
            <v>HC</v>
          </cell>
          <cell r="Q1484">
            <v>162225</v>
          </cell>
        </row>
        <row r="1485">
          <cell r="A1485" t="str">
            <v>Buildings</v>
          </cell>
          <cell r="B1485" t="str">
            <v>HC</v>
          </cell>
          <cell r="Q1485">
            <v>162225</v>
          </cell>
        </row>
        <row r="1486">
          <cell r="A1486" t="str">
            <v>Buildings</v>
          </cell>
          <cell r="B1486" t="str">
            <v>HC</v>
          </cell>
          <cell r="Q1486">
            <v>182825</v>
          </cell>
        </row>
        <row r="1487">
          <cell r="A1487" t="str">
            <v>Buildings</v>
          </cell>
          <cell r="B1487" t="str">
            <v>HC</v>
          </cell>
          <cell r="Q1487">
            <v>182825</v>
          </cell>
        </row>
        <row r="1488">
          <cell r="A1488" t="str">
            <v>Buildings</v>
          </cell>
          <cell r="B1488" t="str">
            <v>HC</v>
          </cell>
          <cell r="Q1488">
            <v>259700</v>
          </cell>
        </row>
        <row r="1489">
          <cell r="A1489" t="str">
            <v>Buildings</v>
          </cell>
          <cell r="B1489" t="str">
            <v>HC</v>
          </cell>
          <cell r="Q1489">
            <v>259700</v>
          </cell>
        </row>
        <row r="1490">
          <cell r="A1490" t="str">
            <v>Buildings</v>
          </cell>
          <cell r="B1490" t="str">
            <v>HC</v>
          </cell>
          <cell r="Q1490">
            <v>254450</v>
          </cell>
        </row>
        <row r="1491">
          <cell r="A1491" t="str">
            <v>Buildings</v>
          </cell>
          <cell r="B1491" t="str">
            <v>HC</v>
          </cell>
          <cell r="Q1491">
            <v>254450</v>
          </cell>
        </row>
        <row r="1492">
          <cell r="A1492" t="str">
            <v>Buildings</v>
          </cell>
          <cell r="B1492" t="str">
            <v>HC</v>
          </cell>
          <cell r="Q1492">
            <v>254450</v>
          </cell>
        </row>
        <row r="1493">
          <cell r="A1493" t="str">
            <v>Buildings</v>
          </cell>
          <cell r="B1493" t="str">
            <v>HC</v>
          </cell>
          <cell r="Q1493">
            <v>254450</v>
          </cell>
        </row>
        <row r="1494">
          <cell r="A1494" t="str">
            <v>Buildings</v>
          </cell>
          <cell r="B1494" t="str">
            <v>JSW</v>
          </cell>
          <cell r="Q1494">
            <v>348991</v>
          </cell>
        </row>
        <row r="1495">
          <cell r="A1495" t="str">
            <v>Buildings</v>
          </cell>
          <cell r="B1495" t="str">
            <v>JSW</v>
          </cell>
          <cell r="Q1495">
            <v>599000</v>
          </cell>
        </row>
        <row r="1496">
          <cell r="A1496" t="str">
            <v>Buildings</v>
          </cell>
          <cell r="B1496" t="str">
            <v>JSW</v>
          </cell>
          <cell r="Q1496">
            <v>599000</v>
          </cell>
        </row>
        <row r="1497">
          <cell r="A1497" t="str">
            <v>Buildings</v>
          </cell>
          <cell r="B1497" t="str">
            <v>JSW</v>
          </cell>
          <cell r="Q1497">
            <v>599000</v>
          </cell>
        </row>
        <row r="1498">
          <cell r="A1498" t="str">
            <v>Buildings</v>
          </cell>
          <cell r="B1498" t="str">
            <v>JSW</v>
          </cell>
          <cell r="Q1498">
            <v>1118293</v>
          </cell>
        </row>
        <row r="1499">
          <cell r="A1499" t="str">
            <v>Buildings</v>
          </cell>
          <cell r="B1499" t="str">
            <v>JSW</v>
          </cell>
          <cell r="Q1499">
            <v>324500</v>
          </cell>
        </row>
        <row r="1500">
          <cell r="A1500" t="str">
            <v>Buildings</v>
          </cell>
          <cell r="B1500" t="str">
            <v>JSW</v>
          </cell>
          <cell r="Q1500">
            <v>139941</v>
          </cell>
        </row>
        <row r="1501">
          <cell r="A1501" t="str">
            <v>Buildings</v>
          </cell>
          <cell r="B1501" t="str">
            <v>JSW</v>
          </cell>
          <cell r="Q1501">
            <v>157712</v>
          </cell>
        </row>
        <row r="1502">
          <cell r="A1502" t="str">
            <v>Buildings</v>
          </cell>
          <cell r="B1502" t="str">
            <v>JSW</v>
          </cell>
          <cell r="Q1502">
            <v>437131</v>
          </cell>
        </row>
        <row r="1503">
          <cell r="A1503" t="str">
            <v>Buildings</v>
          </cell>
          <cell r="B1503" t="str">
            <v>JSW</v>
          </cell>
          <cell r="Q1503">
            <v>450600</v>
          </cell>
        </row>
        <row r="1504">
          <cell r="A1504" t="str">
            <v>Buildings</v>
          </cell>
          <cell r="B1504" t="str">
            <v>JSW</v>
          </cell>
          <cell r="Q1504">
            <v>450600</v>
          </cell>
        </row>
        <row r="1505">
          <cell r="A1505" t="str">
            <v>Buildings</v>
          </cell>
          <cell r="B1505" t="str">
            <v>JSW</v>
          </cell>
          <cell r="Q1505">
            <v>312000</v>
          </cell>
        </row>
        <row r="1506">
          <cell r="A1506" t="str">
            <v>Buildings</v>
          </cell>
          <cell r="B1506" t="str">
            <v>JSW</v>
          </cell>
          <cell r="Q1506">
            <v>102611</v>
          </cell>
        </row>
        <row r="1507">
          <cell r="A1507" t="str">
            <v>Buildings</v>
          </cell>
          <cell r="B1507" t="str">
            <v>JSW</v>
          </cell>
          <cell r="Q1507">
            <v>102611</v>
          </cell>
        </row>
        <row r="1508">
          <cell r="A1508" t="str">
            <v>Buildings</v>
          </cell>
          <cell r="B1508" t="str">
            <v>JSW</v>
          </cell>
          <cell r="Q1508">
            <v>431600</v>
          </cell>
        </row>
        <row r="1509">
          <cell r="A1509" t="str">
            <v>Buildings</v>
          </cell>
          <cell r="B1509" t="str">
            <v>JSW</v>
          </cell>
          <cell r="Q1509">
            <v>100000</v>
          </cell>
        </row>
        <row r="1510">
          <cell r="A1510" t="str">
            <v>Buildings</v>
          </cell>
          <cell r="B1510" t="str">
            <v>JSW</v>
          </cell>
          <cell r="Q1510">
            <v>100000</v>
          </cell>
        </row>
        <row r="1511">
          <cell r="A1511" t="str">
            <v>Buildings</v>
          </cell>
          <cell r="B1511" t="str">
            <v>JSW</v>
          </cell>
          <cell r="Q1511">
            <v>75000</v>
          </cell>
        </row>
        <row r="1512">
          <cell r="A1512" t="str">
            <v>Buildings</v>
          </cell>
          <cell r="B1512" t="str">
            <v>JSW</v>
          </cell>
          <cell r="Q1512">
            <v>665000</v>
          </cell>
        </row>
        <row r="1513">
          <cell r="A1513" t="str">
            <v>Buildings</v>
          </cell>
          <cell r="B1513" t="str">
            <v>JSW</v>
          </cell>
          <cell r="Q1513">
            <v>283250.06</v>
          </cell>
        </row>
        <row r="1514">
          <cell r="A1514" t="str">
            <v>Buildings</v>
          </cell>
          <cell r="B1514" t="str">
            <v>Bidar</v>
          </cell>
          <cell r="Q1514">
            <v>37568</v>
          </cell>
        </row>
        <row r="1515">
          <cell r="A1515" t="str">
            <v>Buildings</v>
          </cell>
          <cell r="B1515" t="str">
            <v>Bidar</v>
          </cell>
          <cell r="Q1515">
            <v>370211</v>
          </cell>
        </row>
        <row r="1516">
          <cell r="A1516" t="str">
            <v>Buildings</v>
          </cell>
          <cell r="B1516" t="str">
            <v>DGMAP Chennai</v>
          </cell>
          <cell r="Q1516">
            <v>576800</v>
          </cell>
        </row>
        <row r="1517">
          <cell r="A1517" t="str">
            <v>Buildings</v>
          </cell>
          <cell r="B1517" t="str">
            <v>DGMAP Chennai</v>
          </cell>
          <cell r="Q1517">
            <v>839000</v>
          </cell>
        </row>
        <row r="1518">
          <cell r="A1518" t="str">
            <v>Buildings</v>
          </cell>
          <cell r="B1518" t="str">
            <v>DGMAP Chennai</v>
          </cell>
          <cell r="Q1518">
            <v>1294741</v>
          </cell>
        </row>
        <row r="1519">
          <cell r="A1519" t="str">
            <v>Buildings</v>
          </cell>
          <cell r="B1519" t="str">
            <v>DGMAP Chennai</v>
          </cell>
          <cell r="Q1519">
            <v>1294741</v>
          </cell>
        </row>
        <row r="1520">
          <cell r="A1520" t="str">
            <v>Buildings</v>
          </cell>
          <cell r="B1520" t="str">
            <v>DGMAP Chennai</v>
          </cell>
          <cell r="Q1520">
            <v>582400</v>
          </cell>
        </row>
        <row r="1521">
          <cell r="A1521" t="str">
            <v>Buildings</v>
          </cell>
          <cell r="B1521" t="str">
            <v>DGMAP Chennai</v>
          </cell>
          <cell r="Q1521">
            <v>403104</v>
          </cell>
        </row>
        <row r="1522">
          <cell r="A1522" t="str">
            <v>Buildings</v>
          </cell>
          <cell r="B1522" t="str">
            <v>DGMAP Chennai</v>
          </cell>
          <cell r="Q1522">
            <v>240950</v>
          </cell>
        </row>
        <row r="1523">
          <cell r="A1523" t="str">
            <v>Buildings</v>
          </cell>
          <cell r="B1523" t="str">
            <v>DGMAP Chennai</v>
          </cell>
          <cell r="Q1523">
            <v>240950</v>
          </cell>
        </row>
        <row r="1524">
          <cell r="A1524" t="str">
            <v>Buildings</v>
          </cell>
          <cell r="B1524" t="str">
            <v>DGMAP Chennai</v>
          </cell>
          <cell r="Q1524">
            <v>403104</v>
          </cell>
        </row>
        <row r="1525">
          <cell r="A1525" t="str">
            <v>Buildings</v>
          </cell>
          <cell r="B1525" t="str">
            <v>DGMAP Chennai</v>
          </cell>
          <cell r="Q1525">
            <v>403104</v>
          </cell>
        </row>
        <row r="1526">
          <cell r="A1526" t="str">
            <v>Buildings</v>
          </cell>
          <cell r="B1526" t="str">
            <v>DGMAP Chennai</v>
          </cell>
          <cell r="Q1526">
            <v>2609462</v>
          </cell>
        </row>
        <row r="1527">
          <cell r="A1527" t="str">
            <v>Buildings</v>
          </cell>
          <cell r="B1527" t="str">
            <v>DGMAP Chennai</v>
          </cell>
          <cell r="Q1527">
            <v>139941</v>
          </cell>
        </row>
        <row r="1528">
          <cell r="A1528" t="str">
            <v>Buildings</v>
          </cell>
          <cell r="B1528" t="str">
            <v>DGMAP Chennai</v>
          </cell>
          <cell r="Q1528">
            <v>157712</v>
          </cell>
        </row>
        <row r="1529">
          <cell r="A1529" t="str">
            <v>Buildings</v>
          </cell>
          <cell r="B1529" t="str">
            <v>DGMAP Chennai</v>
          </cell>
          <cell r="Q1529">
            <v>183709</v>
          </cell>
        </row>
        <row r="1530">
          <cell r="A1530" t="str">
            <v>Buildings</v>
          </cell>
          <cell r="B1530" t="str">
            <v>DGMAP Chennai</v>
          </cell>
          <cell r="Q1530">
            <v>163063</v>
          </cell>
        </row>
        <row r="1531">
          <cell r="A1531" t="str">
            <v>Buildings</v>
          </cell>
          <cell r="B1531" t="str">
            <v>DGMAP Chennai</v>
          </cell>
          <cell r="Q1531">
            <v>323550</v>
          </cell>
        </row>
        <row r="1532">
          <cell r="A1532" t="str">
            <v>Buildings</v>
          </cell>
          <cell r="B1532" t="str">
            <v>DGMAP Chennai</v>
          </cell>
          <cell r="Q1532">
            <v>130000</v>
          </cell>
        </row>
        <row r="1533">
          <cell r="A1533" t="str">
            <v>Buildings</v>
          </cell>
          <cell r="B1533" t="str">
            <v>DGMAP Chennai</v>
          </cell>
          <cell r="Q1533">
            <v>79578.11</v>
          </cell>
        </row>
        <row r="1534">
          <cell r="A1534" t="str">
            <v>Buildings</v>
          </cell>
          <cell r="B1534" t="str">
            <v>DGMAP Chennai</v>
          </cell>
          <cell r="Q1534">
            <v>79578.11</v>
          </cell>
        </row>
        <row r="1535">
          <cell r="A1535" t="str">
            <v>Buildings</v>
          </cell>
          <cell r="B1535" t="str">
            <v>DGMAP Chennai</v>
          </cell>
          <cell r="Q1535">
            <v>79578.13</v>
          </cell>
        </row>
        <row r="1536">
          <cell r="A1536" t="str">
            <v>Buildings</v>
          </cell>
          <cell r="B1536" t="str">
            <v>DGMAP Chennai</v>
          </cell>
          <cell r="Q1536">
            <v>79578.13</v>
          </cell>
        </row>
        <row r="1537">
          <cell r="A1537" t="str">
            <v>Buildings</v>
          </cell>
          <cell r="B1537" t="str">
            <v>DGMAP Chennai</v>
          </cell>
          <cell r="Q1537">
            <v>79578.13</v>
          </cell>
        </row>
        <row r="1538">
          <cell r="A1538" t="str">
            <v>Buildings</v>
          </cell>
          <cell r="B1538" t="str">
            <v>DGMAP Chennai</v>
          </cell>
          <cell r="Q1538">
            <v>79578.13</v>
          </cell>
        </row>
        <row r="1539">
          <cell r="A1539" t="str">
            <v>Buildings</v>
          </cell>
          <cell r="B1539" t="str">
            <v>DGMAP Chennai</v>
          </cell>
          <cell r="Q1539">
            <v>79578.13</v>
          </cell>
        </row>
        <row r="1540">
          <cell r="A1540" t="str">
            <v>Buildings</v>
          </cell>
          <cell r="B1540" t="str">
            <v>DGMAP Chennai</v>
          </cell>
          <cell r="Q1540">
            <v>79578.13</v>
          </cell>
        </row>
        <row r="1541">
          <cell r="A1541" t="str">
            <v>Buildings</v>
          </cell>
          <cell r="B1541" t="str">
            <v>DGMAP Chennai</v>
          </cell>
          <cell r="Q1541">
            <v>19038</v>
          </cell>
        </row>
        <row r="1542">
          <cell r="A1542" t="str">
            <v>Buildings</v>
          </cell>
          <cell r="B1542" t="str">
            <v>DGMAP Chennai</v>
          </cell>
          <cell r="Q1542">
            <v>19038</v>
          </cell>
        </row>
        <row r="1543">
          <cell r="A1543" t="str">
            <v>Buildings</v>
          </cell>
          <cell r="B1543" t="str">
            <v>DGMAP Chennai</v>
          </cell>
          <cell r="Q1543">
            <v>19038</v>
          </cell>
        </row>
        <row r="1544">
          <cell r="A1544" t="str">
            <v>Buildings</v>
          </cell>
          <cell r="B1544" t="str">
            <v>DGMAP Chennai</v>
          </cell>
          <cell r="Q1544">
            <v>19038</v>
          </cell>
        </row>
        <row r="1545">
          <cell r="A1545" t="str">
            <v>Buildings</v>
          </cell>
          <cell r="B1545" t="str">
            <v>DGMAP Chennai</v>
          </cell>
          <cell r="Q1545">
            <v>19038</v>
          </cell>
        </row>
        <row r="1546">
          <cell r="A1546" t="str">
            <v>Buildings</v>
          </cell>
          <cell r="B1546" t="str">
            <v>DGMAP Chennai</v>
          </cell>
          <cell r="Q1546">
            <v>19037</v>
          </cell>
        </row>
        <row r="1547">
          <cell r="A1547" t="str">
            <v>Buildings</v>
          </cell>
          <cell r="B1547" t="str">
            <v>DGMAP Chennai</v>
          </cell>
          <cell r="Q1547">
            <v>134500</v>
          </cell>
        </row>
        <row r="1548">
          <cell r="A1548" t="str">
            <v>Buildings</v>
          </cell>
          <cell r="B1548" t="str">
            <v>DGMAP Chennai</v>
          </cell>
          <cell r="Q1548">
            <v>134500</v>
          </cell>
        </row>
        <row r="1549">
          <cell r="A1549" t="str">
            <v>Buildings</v>
          </cell>
          <cell r="B1549" t="str">
            <v>DGMAP Chennai</v>
          </cell>
          <cell r="Q1549">
            <v>456865</v>
          </cell>
        </row>
        <row r="1550">
          <cell r="A1550" t="str">
            <v>Buildings</v>
          </cell>
          <cell r="B1550" t="str">
            <v>DGMAP Chennai</v>
          </cell>
          <cell r="Q1550">
            <v>134500</v>
          </cell>
        </row>
        <row r="1551">
          <cell r="A1551" t="str">
            <v>Buildings</v>
          </cell>
          <cell r="B1551" t="str">
            <v>DGMAP Chennai</v>
          </cell>
          <cell r="Q1551">
            <v>134500</v>
          </cell>
        </row>
        <row r="1552">
          <cell r="A1552" t="str">
            <v>Buildings</v>
          </cell>
          <cell r="B1552" t="str">
            <v>DGMAP Chennai</v>
          </cell>
          <cell r="Q1552">
            <v>77983</v>
          </cell>
        </row>
        <row r="1553">
          <cell r="A1553" t="str">
            <v>Buildings</v>
          </cell>
          <cell r="B1553" t="str">
            <v>DGMAP Chennai</v>
          </cell>
          <cell r="Q1553">
            <v>459319</v>
          </cell>
        </row>
        <row r="1554">
          <cell r="A1554" t="str">
            <v>Buildings</v>
          </cell>
          <cell r="B1554" t="str">
            <v>DGMAP Chennai</v>
          </cell>
          <cell r="Q1554">
            <v>1272758</v>
          </cell>
        </row>
        <row r="1555">
          <cell r="A1555" t="str">
            <v>Buildings</v>
          </cell>
          <cell r="B1555" t="str">
            <v>DGMAP Chennai</v>
          </cell>
          <cell r="Q1555">
            <v>1272758</v>
          </cell>
        </row>
        <row r="1556">
          <cell r="A1556" t="str">
            <v>Buildings</v>
          </cell>
          <cell r="B1556" t="str">
            <v>DGMAP Chennai</v>
          </cell>
          <cell r="Q1556">
            <v>1889636.63</v>
          </cell>
        </row>
        <row r="1557">
          <cell r="A1557" t="str">
            <v>Buildings</v>
          </cell>
          <cell r="B1557" t="str">
            <v>DGMAP Chennai</v>
          </cell>
          <cell r="Q1557">
            <v>979266.48</v>
          </cell>
        </row>
        <row r="1558">
          <cell r="A1558" t="str">
            <v>Buildings</v>
          </cell>
          <cell r="B1558" t="str">
            <v>DGMAP Chennai</v>
          </cell>
          <cell r="Q1558">
            <v>111762.5</v>
          </cell>
        </row>
        <row r="1559">
          <cell r="A1559" t="str">
            <v>Buildings</v>
          </cell>
          <cell r="B1559" t="str">
            <v>DGMAP Chennai</v>
          </cell>
          <cell r="Q1559">
            <v>111762.5</v>
          </cell>
        </row>
        <row r="1560">
          <cell r="A1560" t="str">
            <v>Buildings</v>
          </cell>
          <cell r="B1560" t="str">
            <v>DGMAP Lucknow</v>
          </cell>
          <cell r="Q1560">
            <v>745218</v>
          </cell>
        </row>
        <row r="1561">
          <cell r="A1561" t="str">
            <v>Buildings</v>
          </cell>
          <cell r="B1561" t="str">
            <v>DGMAP Lucknow</v>
          </cell>
          <cell r="Q1561">
            <v>135200</v>
          </cell>
        </row>
        <row r="1562">
          <cell r="A1562" t="str">
            <v>Buildings</v>
          </cell>
          <cell r="B1562" t="str">
            <v>DGMAP Lucknow</v>
          </cell>
          <cell r="Q1562">
            <v>26000</v>
          </cell>
        </row>
        <row r="1563">
          <cell r="A1563" t="str">
            <v>Buildings</v>
          </cell>
          <cell r="B1563" t="str">
            <v>DGMAP Lucknow</v>
          </cell>
          <cell r="Q1563">
            <v>26000</v>
          </cell>
        </row>
        <row r="1564">
          <cell r="A1564" t="str">
            <v>Buildings</v>
          </cell>
          <cell r="B1564" t="str">
            <v>DGMAP Lucknow</v>
          </cell>
          <cell r="Q1564">
            <v>25382.3</v>
          </cell>
        </row>
        <row r="1565">
          <cell r="A1565" t="str">
            <v>Buildings</v>
          </cell>
          <cell r="B1565" t="str">
            <v>DGMAP Lucknow</v>
          </cell>
          <cell r="Q1565">
            <v>25382.3</v>
          </cell>
        </row>
        <row r="1566">
          <cell r="A1566" t="str">
            <v>Buildings</v>
          </cell>
          <cell r="B1566" t="str">
            <v>DGMAP Lucknow</v>
          </cell>
          <cell r="Q1566">
            <v>270400</v>
          </cell>
        </row>
        <row r="1567">
          <cell r="A1567" t="str">
            <v>Buildings</v>
          </cell>
          <cell r="B1567" t="str">
            <v>DGMAP Lucknow</v>
          </cell>
          <cell r="Q1567">
            <v>270400</v>
          </cell>
        </row>
        <row r="1568">
          <cell r="A1568" t="str">
            <v>Buildings</v>
          </cell>
          <cell r="B1568" t="str">
            <v>DGMAP Lucknow</v>
          </cell>
          <cell r="Q1568">
            <v>270400</v>
          </cell>
        </row>
        <row r="1569">
          <cell r="A1569" t="str">
            <v>Buildings</v>
          </cell>
          <cell r="B1569" t="str">
            <v>DGMAP Lucknow</v>
          </cell>
          <cell r="Q1569">
            <v>270400</v>
          </cell>
        </row>
        <row r="1570">
          <cell r="A1570" t="str">
            <v>Buildings</v>
          </cell>
          <cell r="B1570" t="str">
            <v>DGMAP Lucknow</v>
          </cell>
          <cell r="Q1570">
            <v>45693</v>
          </cell>
        </row>
        <row r="1571">
          <cell r="A1571" t="str">
            <v>Buildings</v>
          </cell>
          <cell r="B1571" t="str">
            <v>DGMAP Lucknow</v>
          </cell>
          <cell r="Q1571">
            <v>22846</v>
          </cell>
        </row>
        <row r="1572">
          <cell r="A1572" t="str">
            <v>Buildings</v>
          </cell>
          <cell r="B1572" t="str">
            <v>DGMAP Lucknow</v>
          </cell>
          <cell r="Q1572">
            <v>9200</v>
          </cell>
        </row>
        <row r="1573">
          <cell r="A1573" t="str">
            <v>Buildings</v>
          </cell>
          <cell r="B1573" t="str">
            <v>DGMAP Lucknow</v>
          </cell>
          <cell r="Q1573">
            <v>10950</v>
          </cell>
        </row>
        <row r="1574">
          <cell r="A1574" t="str">
            <v>Buildings</v>
          </cell>
          <cell r="B1574" t="str">
            <v>DGMAP Lucknow</v>
          </cell>
          <cell r="Q1574">
            <v>10950</v>
          </cell>
        </row>
        <row r="1575">
          <cell r="A1575" t="str">
            <v>Buildings</v>
          </cell>
          <cell r="B1575" t="str">
            <v>DGMAP Lucknow</v>
          </cell>
          <cell r="Q1575">
            <v>27500</v>
          </cell>
        </row>
        <row r="1576">
          <cell r="A1576" t="str">
            <v>Buildings</v>
          </cell>
          <cell r="B1576" t="str">
            <v>DGMAP Lucknow</v>
          </cell>
          <cell r="Q1576">
            <v>27500</v>
          </cell>
        </row>
        <row r="1577">
          <cell r="A1577" t="str">
            <v>Buildings</v>
          </cell>
          <cell r="B1577" t="str">
            <v>DGMAP Lucknow</v>
          </cell>
          <cell r="Q1577">
            <v>36750</v>
          </cell>
        </row>
        <row r="1578">
          <cell r="A1578" t="str">
            <v>Buildings</v>
          </cell>
          <cell r="B1578" t="str">
            <v>DGMAP Lucknow</v>
          </cell>
          <cell r="Q1578">
            <v>15937.5</v>
          </cell>
        </row>
        <row r="1579">
          <cell r="A1579" t="str">
            <v>Buildings</v>
          </cell>
          <cell r="B1579" t="str">
            <v>DGMAP Lucknow</v>
          </cell>
          <cell r="Q1579">
            <v>15937.5</v>
          </cell>
        </row>
        <row r="1580">
          <cell r="A1580" t="str">
            <v>Buildings</v>
          </cell>
          <cell r="B1580" t="str">
            <v>DGMAP Lucknow</v>
          </cell>
          <cell r="Q1580">
            <v>15937.5</v>
          </cell>
        </row>
        <row r="1581">
          <cell r="A1581" t="str">
            <v>Buildings</v>
          </cell>
          <cell r="B1581" t="str">
            <v>DGMAP Lucknow</v>
          </cell>
          <cell r="Q1581">
            <v>15937.5</v>
          </cell>
        </row>
        <row r="1582">
          <cell r="A1582" t="str">
            <v>Buildings</v>
          </cell>
          <cell r="B1582" t="str">
            <v>DGMAP Lucknow</v>
          </cell>
          <cell r="Q1582">
            <v>7950</v>
          </cell>
        </row>
        <row r="1583">
          <cell r="A1583" t="str">
            <v>Buildings</v>
          </cell>
          <cell r="B1583" t="str">
            <v>DGMAP Lucknow</v>
          </cell>
          <cell r="Q1583">
            <v>7950</v>
          </cell>
        </row>
        <row r="1584">
          <cell r="A1584" t="str">
            <v>Buildings</v>
          </cell>
          <cell r="B1584" t="str">
            <v>DGMAP Lucknow</v>
          </cell>
          <cell r="Q1584">
            <v>16280</v>
          </cell>
        </row>
        <row r="1585">
          <cell r="A1585" t="str">
            <v>Buildings</v>
          </cell>
          <cell r="B1585" t="str">
            <v>DGMAP Lucknow</v>
          </cell>
          <cell r="Q1585">
            <v>16280</v>
          </cell>
        </row>
        <row r="1586">
          <cell r="A1586" t="str">
            <v>Buildings</v>
          </cell>
          <cell r="B1586" t="str">
            <v>DGMAP Lucknow</v>
          </cell>
          <cell r="Q1586">
            <v>31154.25</v>
          </cell>
        </row>
        <row r="1587">
          <cell r="A1587" t="str">
            <v>Buildings</v>
          </cell>
          <cell r="B1587" t="str">
            <v>DGMAP Lucknow</v>
          </cell>
          <cell r="Q1587">
            <v>31154.25</v>
          </cell>
        </row>
        <row r="1588">
          <cell r="A1588" t="str">
            <v>Buildings</v>
          </cell>
          <cell r="B1588" t="str">
            <v>DGMAP Lucknow</v>
          </cell>
          <cell r="Q1588">
            <v>31154.25</v>
          </cell>
        </row>
        <row r="1589">
          <cell r="A1589" t="str">
            <v>Buildings</v>
          </cell>
          <cell r="B1589" t="str">
            <v>DGMAP Lucknow</v>
          </cell>
          <cell r="Q1589">
            <v>31154.25</v>
          </cell>
        </row>
        <row r="1590">
          <cell r="A1590" t="str">
            <v>Buildings</v>
          </cell>
          <cell r="B1590" t="str">
            <v>DGMAP Lucknow</v>
          </cell>
          <cell r="Q1590">
            <v>113010</v>
          </cell>
        </row>
        <row r="1591">
          <cell r="A1591" t="str">
            <v>Buildings</v>
          </cell>
          <cell r="B1591" t="str">
            <v>DGMAP Lucknow</v>
          </cell>
          <cell r="Q1591">
            <v>113009</v>
          </cell>
        </row>
        <row r="1592">
          <cell r="A1592" t="str">
            <v>Buildings</v>
          </cell>
          <cell r="B1592" t="str">
            <v>DGMAP Lucknow</v>
          </cell>
          <cell r="Q1592">
            <v>464800</v>
          </cell>
        </row>
        <row r="1593">
          <cell r="A1593" t="str">
            <v>Buildings</v>
          </cell>
          <cell r="B1593" t="str">
            <v>DGMAP Lucknow</v>
          </cell>
          <cell r="Q1593">
            <v>389135</v>
          </cell>
        </row>
        <row r="1594">
          <cell r="A1594" t="str">
            <v>Buildings</v>
          </cell>
          <cell r="B1594" t="str">
            <v>DGMAP Lucknow</v>
          </cell>
          <cell r="Q1594">
            <v>17947</v>
          </cell>
        </row>
        <row r="1595">
          <cell r="A1595" t="str">
            <v>Buildings</v>
          </cell>
          <cell r="B1595" t="str">
            <v>DGMAP Lucknow</v>
          </cell>
          <cell r="Q1595">
            <v>17947</v>
          </cell>
        </row>
        <row r="1596">
          <cell r="A1596" t="str">
            <v>Buildings</v>
          </cell>
          <cell r="B1596" t="str">
            <v>DGMAP Lucknow</v>
          </cell>
          <cell r="Q1596">
            <v>17947</v>
          </cell>
        </row>
        <row r="1597">
          <cell r="A1597" t="str">
            <v>Buildings</v>
          </cell>
          <cell r="B1597" t="str">
            <v>DGMAP Lucknow</v>
          </cell>
          <cell r="Q1597">
            <v>17947</v>
          </cell>
        </row>
        <row r="1598">
          <cell r="A1598" t="str">
            <v>Buildings</v>
          </cell>
          <cell r="B1598" t="str">
            <v>DGMAP Lucknow</v>
          </cell>
          <cell r="Q1598">
            <v>17947</v>
          </cell>
        </row>
        <row r="1599">
          <cell r="A1599" t="str">
            <v>Buildings</v>
          </cell>
          <cell r="B1599" t="str">
            <v>DGMAP Lucknow</v>
          </cell>
          <cell r="Q1599">
            <v>17947.330000000002</v>
          </cell>
        </row>
        <row r="1600">
          <cell r="A1600" t="str">
            <v>Buildings</v>
          </cell>
          <cell r="B1600" t="str">
            <v>DGMAP Lucknow</v>
          </cell>
          <cell r="Q1600">
            <v>76273.399999999994</v>
          </cell>
        </row>
        <row r="1601">
          <cell r="A1601" t="str">
            <v>Buildings</v>
          </cell>
          <cell r="B1601" t="str">
            <v>DGMAP Lucknow</v>
          </cell>
          <cell r="Q1601">
            <v>67600</v>
          </cell>
        </row>
        <row r="1602">
          <cell r="A1602" t="str">
            <v>Buildings</v>
          </cell>
          <cell r="B1602" t="str">
            <v>DGMAP Lucknow</v>
          </cell>
          <cell r="Q1602">
            <v>67600</v>
          </cell>
        </row>
        <row r="1603">
          <cell r="A1603" t="str">
            <v>Buildings</v>
          </cell>
          <cell r="B1603" t="str">
            <v>DGMAP Lucknow</v>
          </cell>
          <cell r="Q1603">
            <v>67600</v>
          </cell>
        </row>
        <row r="1604">
          <cell r="A1604" t="str">
            <v>Buildings</v>
          </cell>
          <cell r="B1604" t="str">
            <v>DGMAP Lucknow</v>
          </cell>
          <cell r="Q1604">
            <v>67600</v>
          </cell>
        </row>
        <row r="1605">
          <cell r="A1605" t="str">
            <v>Buildings</v>
          </cell>
          <cell r="B1605" t="str">
            <v>DGMAP Lucknow</v>
          </cell>
          <cell r="Q1605">
            <v>15501.15</v>
          </cell>
        </row>
        <row r="1606">
          <cell r="A1606" t="str">
            <v>Buildings</v>
          </cell>
          <cell r="B1606" t="str">
            <v>DGMAP Lucknow</v>
          </cell>
          <cell r="Q1606">
            <v>295000.32000000001</v>
          </cell>
        </row>
        <row r="1607">
          <cell r="A1607" t="str">
            <v>Buildings</v>
          </cell>
          <cell r="B1607" t="str">
            <v>DGMAP Lucknow</v>
          </cell>
          <cell r="Q1607">
            <v>133000</v>
          </cell>
        </row>
        <row r="1608">
          <cell r="A1608" t="str">
            <v>Buildings</v>
          </cell>
          <cell r="B1608" t="str">
            <v>DGMAP Lucknow</v>
          </cell>
          <cell r="Q1608">
            <v>133000</v>
          </cell>
        </row>
        <row r="1609">
          <cell r="A1609" t="str">
            <v>Buildings</v>
          </cell>
          <cell r="B1609" t="str">
            <v>DGMAP Lucknow</v>
          </cell>
          <cell r="Q1609">
            <v>435488.12</v>
          </cell>
        </row>
        <row r="1610">
          <cell r="A1610" t="str">
            <v>Buildings</v>
          </cell>
          <cell r="B1610" t="str">
            <v>DGMAP Lucknow</v>
          </cell>
          <cell r="Q1610">
            <v>6348</v>
          </cell>
        </row>
        <row r="1611">
          <cell r="A1611" t="str">
            <v>Buildings</v>
          </cell>
          <cell r="B1611" t="str">
            <v>DGMAP Lucknow</v>
          </cell>
          <cell r="Q1611">
            <v>6348</v>
          </cell>
        </row>
        <row r="1612">
          <cell r="A1612" t="str">
            <v>Buildings</v>
          </cell>
          <cell r="B1612" t="str">
            <v>DGMAP Lucknow</v>
          </cell>
          <cell r="Q1612">
            <v>1964303</v>
          </cell>
        </row>
        <row r="1613">
          <cell r="A1613" t="str">
            <v>Buildings</v>
          </cell>
          <cell r="B1613" t="str">
            <v>DGMAP Lucknow</v>
          </cell>
          <cell r="Q1613">
            <v>1500877</v>
          </cell>
        </row>
        <row r="1614">
          <cell r="A1614" t="str">
            <v>Buildings</v>
          </cell>
          <cell r="B1614" t="str">
            <v>HIRCO</v>
          </cell>
          <cell r="Q1614">
            <v>979266.48</v>
          </cell>
        </row>
        <row r="1615">
          <cell r="A1615" t="str">
            <v>Buildings</v>
          </cell>
          <cell r="B1615" t="str">
            <v>HIRCO</v>
          </cell>
          <cell r="Q1615">
            <v>384134</v>
          </cell>
        </row>
        <row r="1616">
          <cell r="A1616" t="str">
            <v>Buildings</v>
          </cell>
          <cell r="B1616" t="str">
            <v>HIRCO</v>
          </cell>
          <cell r="Q1616">
            <v>384134</v>
          </cell>
        </row>
        <row r="1617">
          <cell r="A1617" t="str">
            <v>Buildings</v>
          </cell>
          <cell r="B1617" t="str">
            <v>HIRCO</v>
          </cell>
          <cell r="Q1617">
            <v>384134</v>
          </cell>
        </row>
        <row r="1618">
          <cell r="A1618" t="str">
            <v>Buildings</v>
          </cell>
          <cell r="B1618" t="str">
            <v>HIRCO</v>
          </cell>
          <cell r="Q1618">
            <v>384134</v>
          </cell>
        </row>
        <row r="1619">
          <cell r="A1619" t="str">
            <v>Buildings</v>
          </cell>
          <cell r="B1619" t="str">
            <v>HIRCO</v>
          </cell>
          <cell r="Q1619">
            <v>4560302</v>
          </cell>
        </row>
        <row r="1620">
          <cell r="A1620" t="str">
            <v>Buildings</v>
          </cell>
          <cell r="B1620" t="str">
            <v>HIRCO</v>
          </cell>
          <cell r="Q1620">
            <v>890084</v>
          </cell>
        </row>
        <row r="1621">
          <cell r="A1621" t="str">
            <v>Buildings</v>
          </cell>
          <cell r="B1621" t="str">
            <v>HIRCO</v>
          </cell>
          <cell r="Q1621">
            <v>890084</v>
          </cell>
        </row>
        <row r="1622">
          <cell r="A1622" t="str">
            <v>Buildings</v>
          </cell>
          <cell r="B1622" t="str">
            <v>HIRCO</v>
          </cell>
          <cell r="Q1622">
            <v>890084</v>
          </cell>
        </row>
        <row r="1623">
          <cell r="A1623" t="str">
            <v>Buildings</v>
          </cell>
          <cell r="B1623" t="str">
            <v>HIRCO</v>
          </cell>
          <cell r="Q1623">
            <v>890084</v>
          </cell>
        </row>
        <row r="1624">
          <cell r="A1624" t="str">
            <v>Buildings</v>
          </cell>
          <cell r="B1624" t="str">
            <v>HIRCO</v>
          </cell>
          <cell r="Q1624">
            <v>2697562</v>
          </cell>
        </row>
        <row r="1625">
          <cell r="A1625" t="str">
            <v>Buildings</v>
          </cell>
          <cell r="B1625" t="str">
            <v>HIRCO</v>
          </cell>
          <cell r="Q1625">
            <v>1491673.5</v>
          </cell>
        </row>
        <row r="1626">
          <cell r="A1626" t="str">
            <v>Buildings</v>
          </cell>
          <cell r="B1626" t="str">
            <v>HIRCO</v>
          </cell>
          <cell r="Q1626">
            <v>1491673.5</v>
          </cell>
        </row>
        <row r="1627">
          <cell r="A1627" t="str">
            <v>Buildings</v>
          </cell>
          <cell r="B1627" t="str">
            <v>HIRCO</v>
          </cell>
          <cell r="Q1627">
            <v>1491673.5</v>
          </cell>
        </row>
        <row r="1628">
          <cell r="A1628" t="str">
            <v>Buildings</v>
          </cell>
          <cell r="B1628" t="str">
            <v>HIRCO</v>
          </cell>
          <cell r="Q1628">
            <v>1491673.5</v>
          </cell>
        </row>
        <row r="1629">
          <cell r="A1629" t="str">
            <v>Buildings</v>
          </cell>
          <cell r="B1629" t="str">
            <v>HIRCO</v>
          </cell>
          <cell r="Q1629">
            <v>2386861</v>
          </cell>
        </row>
        <row r="1630">
          <cell r="A1630" t="str">
            <v>Buildings</v>
          </cell>
          <cell r="B1630" t="str">
            <v>HIRCO</v>
          </cell>
          <cell r="Q1630">
            <v>887998</v>
          </cell>
        </row>
        <row r="1631">
          <cell r="A1631" t="str">
            <v>Buildings</v>
          </cell>
          <cell r="B1631" t="str">
            <v>HIRCO</v>
          </cell>
          <cell r="Q1631">
            <v>639200</v>
          </cell>
        </row>
        <row r="1632">
          <cell r="A1632" t="str">
            <v>Buildings</v>
          </cell>
          <cell r="B1632" t="str">
            <v>HIRCO</v>
          </cell>
          <cell r="Q1632">
            <v>639200</v>
          </cell>
        </row>
        <row r="1633">
          <cell r="A1633" t="str">
            <v>Buildings</v>
          </cell>
          <cell r="B1633" t="str">
            <v>HIRCO</v>
          </cell>
          <cell r="Q1633">
            <v>639200</v>
          </cell>
        </row>
        <row r="1634">
          <cell r="A1634" t="str">
            <v>Buildings</v>
          </cell>
          <cell r="B1634" t="str">
            <v>HIRCO</v>
          </cell>
          <cell r="Q1634">
            <v>1067394</v>
          </cell>
        </row>
        <row r="1635">
          <cell r="A1635" t="str">
            <v>Buildings</v>
          </cell>
          <cell r="B1635" t="str">
            <v>HIRCO</v>
          </cell>
          <cell r="Q1635">
            <v>304621</v>
          </cell>
        </row>
        <row r="1636">
          <cell r="A1636" t="str">
            <v>Buildings</v>
          </cell>
          <cell r="B1636" t="str">
            <v>HIRCO</v>
          </cell>
          <cell r="Q1636">
            <v>304621</v>
          </cell>
        </row>
        <row r="1637">
          <cell r="A1637" t="str">
            <v>Buildings</v>
          </cell>
          <cell r="B1637" t="str">
            <v>HIRCO</v>
          </cell>
          <cell r="Q1637">
            <v>304620</v>
          </cell>
        </row>
        <row r="1638">
          <cell r="A1638" t="str">
            <v>Buildings</v>
          </cell>
          <cell r="B1638" t="str">
            <v>HIRCO</v>
          </cell>
          <cell r="Q1638">
            <v>2686351</v>
          </cell>
        </row>
        <row r="1639">
          <cell r="A1639" t="str">
            <v>Buildings</v>
          </cell>
          <cell r="B1639" t="str">
            <v>HIRCO</v>
          </cell>
          <cell r="Q1639">
            <v>156140</v>
          </cell>
        </row>
        <row r="1640">
          <cell r="A1640" t="str">
            <v>Buildings</v>
          </cell>
          <cell r="B1640" t="str">
            <v>HIRCO</v>
          </cell>
          <cell r="Q1640">
            <v>156140</v>
          </cell>
        </row>
        <row r="1641">
          <cell r="A1641" t="str">
            <v>Buildings</v>
          </cell>
          <cell r="B1641" t="str">
            <v>HIRCO</v>
          </cell>
          <cell r="Q1641">
            <v>156140</v>
          </cell>
        </row>
        <row r="1642">
          <cell r="A1642" t="str">
            <v>Buildings</v>
          </cell>
          <cell r="B1642" t="str">
            <v>HIRCO</v>
          </cell>
          <cell r="Q1642">
            <v>175668</v>
          </cell>
        </row>
        <row r="1643">
          <cell r="A1643" t="str">
            <v>Buildings</v>
          </cell>
          <cell r="B1643" t="str">
            <v>HIRCO</v>
          </cell>
          <cell r="Q1643">
            <v>175669</v>
          </cell>
        </row>
        <row r="1644">
          <cell r="A1644" t="str">
            <v>Buildings</v>
          </cell>
          <cell r="B1644" t="str">
            <v>HIRCO</v>
          </cell>
          <cell r="Q1644">
            <v>175669</v>
          </cell>
        </row>
        <row r="1645">
          <cell r="A1645" t="str">
            <v>Buildings</v>
          </cell>
          <cell r="B1645" t="str">
            <v>HIRCO</v>
          </cell>
          <cell r="Q1645">
            <v>1085874</v>
          </cell>
        </row>
        <row r="1646">
          <cell r="A1646" t="str">
            <v>Buildings</v>
          </cell>
          <cell r="B1646" t="str">
            <v>HIRCO</v>
          </cell>
          <cell r="Q1646">
            <v>537151</v>
          </cell>
        </row>
        <row r="1647">
          <cell r="A1647" t="str">
            <v>Buildings</v>
          </cell>
          <cell r="B1647" t="str">
            <v>IIT Madras</v>
          </cell>
          <cell r="Q1647">
            <v>323550</v>
          </cell>
        </row>
        <row r="1648">
          <cell r="A1648" t="str">
            <v>Buildings</v>
          </cell>
          <cell r="B1648" t="str">
            <v>IIT Madras</v>
          </cell>
          <cell r="Q1648">
            <v>130000</v>
          </cell>
        </row>
        <row r="1649">
          <cell r="A1649" t="str">
            <v>Buildings</v>
          </cell>
          <cell r="B1649" t="str">
            <v>IIT Madras</v>
          </cell>
          <cell r="Q1649">
            <v>323550</v>
          </cell>
        </row>
        <row r="1650">
          <cell r="A1650" t="str">
            <v>Buildings</v>
          </cell>
          <cell r="B1650" t="str">
            <v>IIT Madras</v>
          </cell>
          <cell r="Q1650">
            <v>77983.5</v>
          </cell>
        </row>
        <row r="1651">
          <cell r="A1651" t="str">
            <v>Buildings</v>
          </cell>
          <cell r="B1651" t="str">
            <v>IIT Madras</v>
          </cell>
          <cell r="Q1651">
            <v>77983.5</v>
          </cell>
        </row>
        <row r="1652">
          <cell r="A1652" t="str">
            <v>Buildings</v>
          </cell>
          <cell r="B1652" t="str">
            <v>IIT Madras</v>
          </cell>
          <cell r="Q1652">
            <v>431600</v>
          </cell>
        </row>
        <row r="1653">
          <cell r="A1653" t="str">
            <v>Buildings</v>
          </cell>
          <cell r="B1653" t="str">
            <v>IIT Madras</v>
          </cell>
          <cell r="Q1653">
            <v>431600</v>
          </cell>
        </row>
        <row r="1654">
          <cell r="A1654" t="str">
            <v>Buildings</v>
          </cell>
          <cell r="B1654" t="str">
            <v>IIT Madras</v>
          </cell>
          <cell r="Q1654">
            <v>433865</v>
          </cell>
        </row>
        <row r="1655">
          <cell r="A1655" t="str">
            <v>Buildings</v>
          </cell>
          <cell r="B1655" t="str">
            <v>IIT Madras</v>
          </cell>
          <cell r="Q1655">
            <v>147680</v>
          </cell>
        </row>
        <row r="1656">
          <cell r="A1656" t="str">
            <v>Buildings</v>
          </cell>
          <cell r="B1656" t="str">
            <v>IIT Madras</v>
          </cell>
          <cell r="Q1656">
            <v>147680</v>
          </cell>
        </row>
        <row r="1657">
          <cell r="A1657" t="str">
            <v>Buildings</v>
          </cell>
          <cell r="B1657" t="str">
            <v>IIT Madras</v>
          </cell>
          <cell r="Q1657">
            <v>249600</v>
          </cell>
        </row>
        <row r="1658">
          <cell r="A1658" t="str">
            <v>Buildings</v>
          </cell>
          <cell r="B1658" t="str">
            <v>IIT Madras</v>
          </cell>
          <cell r="Q1658">
            <v>249600</v>
          </cell>
        </row>
        <row r="1659">
          <cell r="A1659" t="str">
            <v>Buildings</v>
          </cell>
          <cell r="B1659" t="str">
            <v>IIT Madras</v>
          </cell>
          <cell r="Q1659">
            <v>249600</v>
          </cell>
        </row>
        <row r="1660">
          <cell r="A1660" t="str">
            <v>Buildings</v>
          </cell>
          <cell r="B1660" t="str">
            <v>IIT Madras</v>
          </cell>
          <cell r="Q1660">
            <v>249600</v>
          </cell>
        </row>
        <row r="1661">
          <cell r="A1661" t="str">
            <v>Buildings</v>
          </cell>
          <cell r="B1661" t="str">
            <v>IIT Madras</v>
          </cell>
          <cell r="Q1661">
            <v>182000</v>
          </cell>
        </row>
        <row r="1662">
          <cell r="A1662" t="str">
            <v>Buildings</v>
          </cell>
          <cell r="B1662" t="str">
            <v>IIT Madras</v>
          </cell>
          <cell r="Q1662">
            <v>159426.5</v>
          </cell>
        </row>
        <row r="1663">
          <cell r="A1663" t="str">
            <v>Buildings</v>
          </cell>
          <cell r="B1663" t="str">
            <v>IIT Madras</v>
          </cell>
          <cell r="Q1663">
            <v>159426.5</v>
          </cell>
        </row>
        <row r="1664">
          <cell r="A1664" t="str">
            <v>Buildings</v>
          </cell>
          <cell r="B1664" t="str">
            <v>Vedanta</v>
          </cell>
          <cell r="Q1664">
            <v>1838157</v>
          </cell>
        </row>
        <row r="1665">
          <cell r="A1665" t="str">
            <v>Buildings</v>
          </cell>
          <cell r="B1665" t="str">
            <v>Vedanta</v>
          </cell>
          <cell r="Q1665">
            <v>1612305</v>
          </cell>
        </row>
        <row r="1666">
          <cell r="A1666" t="str">
            <v>Buildings</v>
          </cell>
          <cell r="B1666" t="str">
            <v>Vedanta</v>
          </cell>
          <cell r="Q1666">
            <v>1612305</v>
          </cell>
        </row>
        <row r="1667">
          <cell r="A1667" t="str">
            <v>Buildings</v>
          </cell>
          <cell r="B1667" t="str">
            <v>Vedanta</v>
          </cell>
          <cell r="Q1667">
            <v>932974</v>
          </cell>
        </row>
        <row r="1668">
          <cell r="A1668" t="str">
            <v>Buildings</v>
          </cell>
          <cell r="B1668" t="str">
            <v>Vedanta</v>
          </cell>
          <cell r="Q1668">
            <v>932975</v>
          </cell>
        </row>
        <row r="1669">
          <cell r="A1669" t="str">
            <v>Buildings</v>
          </cell>
          <cell r="B1669" t="str">
            <v>Vedanta</v>
          </cell>
          <cell r="Q1669">
            <v>932975</v>
          </cell>
        </row>
        <row r="1670">
          <cell r="A1670" t="str">
            <v>Buildings</v>
          </cell>
          <cell r="B1670" t="str">
            <v>Vedanta</v>
          </cell>
          <cell r="Q1670">
            <v>412750</v>
          </cell>
        </row>
        <row r="1671">
          <cell r="A1671" t="str">
            <v>Buildings</v>
          </cell>
          <cell r="B1671" t="str">
            <v>Vedanta</v>
          </cell>
          <cell r="Q1671">
            <v>393229</v>
          </cell>
        </row>
        <row r="1672">
          <cell r="A1672" t="str">
            <v>Buildings</v>
          </cell>
          <cell r="B1672" t="str">
            <v>Vedanta</v>
          </cell>
          <cell r="Q1672">
            <v>393229</v>
          </cell>
        </row>
        <row r="1673">
          <cell r="A1673" t="str">
            <v>Buildings</v>
          </cell>
          <cell r="B1673" t="str">
            <v>Vedanta</v>
          </cell>
          <cell r="Q1673">
            <v>1467572</v>
          </cell>
        </row>
        <row r="1674">
          <cell r="A1674" t="str">
            <v>Buildings</v>
          </cell>
          <cell r="B1674" t="str">
            <v>Vedanta</v>
          </cell>
          <cell r="Q1674">
            <v>1467572</v>
          </cell>
        </row>
        <row r="1675">
          <cell r="A1675" t="str">
            <v>Buildings</v>
          </cell>
          <cell r="B1675" t="str">
            <v>Vedanta</v>
          </cell>
          <cell r="Q1675">
            <v>1467572</v>
          </cell>
        </row>
        <row r="1676">
          <cell r="A1676" t="str">
            <v>Buildings</v>
          </cell>
          <cell r="B1676" t="str">
            <v>Vedanta</v>
          </cell>
          <cell r="Q1676">
            <v>160455</v>
          </cell>
        </row>
        <row r="1677">
          <cell r="A1677" t="str">
            <v>Buildings</v>
          </cell>
          <cell r="B1677" t="str">
            <v>Vedanta</v>
          </cell>
          <cell r="Q1677">
            <v>160456</v>
          </cell>
        </row>
        <row r="1678">
          <cell r="A1678" t="str">
            <v>Buildings</v>
          </cell>
          <cell r="B1678" t="str">
            <v>Vedanta</v>
          </cell>
          <cell r="Q1678">
            <v>142376</v>
          </cell>
        </row>
        <row r="1679">
          <cell r="A1679" t="str">
            <v>Buildings</v>
          </cell>
          <cell r="B1679" t="str">
            <v>Vedanta</v>
          </cell>
          <cell r="Q1679">
            <v>142376</v>
          </cell>
        </row>
        <row r="1680">
          <cell r="A1680" t="str">
            <v>Buildings</v>
          </cell>
          <cell r="B1680" t="str">
            <v>Vedanta</v>
          </cell>
          <cell r="Q1680">
            <v>367990</v>
          </cell>
        </row>
        <row r="1681">
          <cell r="A1681" t="str">
            <v>Buildings</v>
          </cell>
          <cell r="B1681" t="str">
            <v>Vedanta</v>
          </cell>
          <cell r="Q1681">
            <v>31345.250000000007</v>
          </cell>
        </row>
        <row r="1682">
          <cell r="A1682" t="str">
            <v>Buildings</v>
          </cell>
          <cell r="B1682" t="str">
            <v>Vedanta</v>
          </cell>
          <cell r="Q1682">
            <v>31346.250000000007</v>
          </cell>
        </row>
        <row r="1683">
          <cell r="A1683" t="str">
            <v>Buildings</v>
          </cell>
          <cell r="B1683" t="str">
            <v>Vedanta</v>
          </cell>
          <cell r="Q1683">
            <v>131353.25</v>
          </cell>
        </row>
        <row r="1684">
          <cell r="A1684" t="str">
            <v>Buildings</v>
          </cell>
          <cell r="B1684" t="str">
            <v>Vedanta</v>
          </cell>
          <cell r="Q1684">
            <v>131352.25</v>
          </cell>
        </row>
        <row r="1685">
          <cell r="A1685" t="str">
            <v>Buildings</v>
          </cell>
          <cell r="B1685" t="str">
            <v>Vedanta</v>
          </cell>
          <cell r="Q1685">
            <v>371167</v>
          </cell>
        </row>
        <row r="1686">
          <cell r="A1686" t="str">
            <v>Buildings</v>
          </cell>
          <cell r="B1686" t="str">
            <v>Vedanta</v>
          </cell>
          <cell r="Q1686">
            <v>575194</v>
          </cell>
        </row>
        <row r="1687">
          <cell r="A1687" t="str">
            <v>Buildings</v>
          </cell>
          <cell r="B1687" t="str">
            <v>Vedanta</v>
          </cell>
          <cell r="Q1687">
            <v>4221950.72</v>
          </cell>
        </row>
        <row r="1688">
          <cell r="A1688" t="str">
            <v>Buildings</v>
          </cell>
          <cell r="B1688" t="str">
            <v>Vedanta</v>
          </cell>
          <cell r="Q1688">
            <v>329050</v>
          </cell>
        </row>
        <row r="1689">
          <cell r="A1689" t="str">
            <v>Buildings</v>
          </cell>
          <cell r="B1689" t="str">
            <v>Vedanta</v>
          </cell>
          <cell r="Q1689">
            <v>491021.68999999994</v>
          </cell>
        </row>
        <row r="1690">
          <cell r="A1690" t="str">
            <v>Buildings</v>
          </cell>
          <cell r="B1690" t="str">
            <v>Vedanta</v>
          </cell>
          <cell r="Q1690">
            <v>8790590</v>
          </cell>
        </row>
        <row r="1691">
          <cell r="A1691" t="str">
            <v>Buildings</v>
          </cell>
          <cell r="B1691" t="str">
            <v>Vedanta</v>
          </cell>
          <cell r="Q1691">
            <v>460865</v>
          </cell>
        </row>
        <row r="1692">
          <cell r="A1692" t="str">
            <v>Buildings</v>
          </cell>
          <cell r="B1692" t="str">
            <v>Vedanta</v>
          </cell>
          <cell r="Q1692">
            <v>306038</v>
          </cell>
        </row>
        <row r="1693">
          <cell r="A1693" t="str">
            <v>Buildings</v>
          </cell>
          <cell r="B1693" t="str">
            <v>Vedanta</v>
          </cell>
          <cell r="Q1693">
            <v>126744.5</v>
          </cell>
        </row>
        <row r="1694">
          <cell r="A1694" t="str">
            <v>Buildings</v>
          </cell>
          <cell r="B1694" t="str">
            <v>Vedanta</v>
          </cell>
          <cell r="Q1694">
            <v>126500</v>
          </cell>
        </row>
        <row r="1695">
          <cell r="A1695" t="str">
            <v>Buildings</v>
          </cell>
          <cell r="B1695" t="str">
            <v>Vedanta</v>
          </cell>
          <cell r="Q1695">
            <v>371167</v>
          </cell>
        </row>
        <row r="1696">
          <cell r="A1696" t="str">
            <v>Buildings</v>
          </cell>
          <cell r="B1696" t="str">
            <v>Vedanta</v>
          </cell>
          <cell r="Q1696">
            <v>27700</v>
          </cell>
        </row>
        <row r="1697">
          <cell r="A1697" t="str">
            <v>Buildings</v>
          </cell>
          <cell r="B1697" t="str">
            <v>Vedanta</v>
          </cell>
          <cell r="Q1697">
            <v>66950</v>
          </cell>
        </row>
        <row r="1698">
          <cell r="A1698" t="str">
            <v>Buildings</v>
          </cell>
          <cell r="B1698" t="str">
            <v>Vedanta</v>
          </cell>
          <cell r="Q1698">
            <v>223600</v>
          </cell>
        </row>
        <row r="1699">
          <cell r="A1699" t="str">
            <v>Buildings</v>
          </cell>
          <cell r="B1699" t="str">
            <v>Vedanta</v>
          </cell>
          <cell r="Q1699">
            <v>533047</v>
          </cell>
        </row>
        <row r="1700">
          <cell r="A1700" t="str">
            <v>Buildings</v>
          </cell>
          <cell r="B1700" t="str">
            <v>Vedanta</v>
          </cell>
          <cell r="Q1700">
            <v>73125</v>
          </cell>
        </row>
        <row r="1701">
          <cell r="A1701" t="str">
            <v>Buildings</v>
          </cell>
          <cell r="B1701" t="str">
            <v>Vedanta</v>
          </cell>
          <cell r="Q1701">
            <v>699996</v>
          </cell>
        </row>
        <row r="1702">
          <cell r="A1702" t="str">
            <v>Buildings</v>
          </cell>
          <cell r="B1702" t="str">
            <v>Vedanta</v>
          </cell>
          <cell r="Q1702">
            <v>312000</v>
          </cell>
        </row>
        <row r="1703">
          <cell r="A1703" t="str">
            <v>Buildings</v>
          </cell>
          <cell r="B1703" t="str">
            <v>Vedanta</v>
          </cell>
          <cell r="Q1703">
            <v>746340</v>
          </cell>
        </row>
        <row r="1704">
          <cell r="A1704" t="str">
            <v>Buildings</v>
          </cell>
          <cell r="B1704" t="str">
            <v>Vedanta</v>
          </cell>
          <cell r="Q1704">
            <v>746340</v>
          </cell>
        </row>
        <row r="1705">
          <cell r="A1705" t="str">
            <v>Buildings</v>
          </cell>
          <cell r="B1705" t="str">
            <v>Vedanta</v>
          </cell>
          <cell r="Q1705">
            <v>630000</v>
          </cell>
        </row>
        <row r="1706">
          <cell r="A1706" t="str">
            <v>Buildings</v>
          </cell>
          <cell r="B1706" t="str">
            <v>Vedanta</v>
          </cell>
          <cell r="Q1706">
            <v>140801</v>
          </cell>
        </row>
        <row r="1707">
          <cell r="A1707" t="str">
            <v>Buildings</v>
          </cell>
          <cell r="B1707" t="str">
            <v>Vedanta</v>
          </cell>
          <cell r="Q1707">
            <v>28800</v>
          </cell>
        </row>
        <row r="1708">
          <cell r="A1708" t="str">
            <v>Buildings</v>
          </cell>
          <cell r="B1708" t="str">
            <v>Vedanta</v>
          </cell>
          <cell r="Q1708">
            <v>32000</v>
          </cell>
        </row>
        <row r="1709">
          <cell r="A1709" t="str">
            <v>Buildings</v>
          </cell>
          <cell r="B1709" t="str">
            <v>Vedanta</v>
          </cell>
          <cell r="Q1709">
            <v>157205</v>
          </cell>
        </row>
        <row r="1710">
          <cell r="A1710" t="str">
            <v>Buildings</v>
          </cell>
          <cell r="B1710" t="str">
            <v>Vedanta</v>
          </cell>
          <cell r="Q1710">
            <v>157205</v>
          </cell>
        </row>
        <row r="1711">
          <cell r="A1711" t="str">
            <v>Buildings</v>
          </cell>
          <cell r="B1711" t="str">
            <v>Vedanta</v>
          </cell>
          <cell r="Q1711">
            <v>140108</v>
          </cell>
        </row>
        <row r="1712">
          <cell r="A1712" t="str">
            <v>Buildings</v>
          </cell>
          <cell r="B1712" t="str">
            <v>Vedanta</v>
          </cell>
          <cell r="Q1712">
            <v>140108</v>
          </cell>
        </row>
        <row r="1713">
          <cell r="A1713" t="str">
            <v>Buildings</v>
          </cell>
          <cell r="B1713" t="str">
            <v>Vedanta</v>
          </cell>
          <cell r="Q1713">
            <v>140108</v>
          </cell>
        </row>
        <row r="1714">
          <cell r="A1714" t="str">
            <v>Buildings</v>
          </cell>
          <cell r="B1714" t="str">
            <v>Vedanta</v>
          </cell>
          <cell r="Q1714">
            <v>140108</v>
          </cell>
        </row>
        <row r="1715">
          <cell r="A1715" t="str">
            <v>Buildings</v>
          </cell>
          <cell r="B1715" t="str">
            <v>Vedanta</v>
          </cell>
          <cell r="Q1715">
            <v>154069</v>
          </cell>
        </row>
        <row r="1716">
          <cell r="A1716" t="str">
            <v>Buildings</v>
          </cell>
          <cell r="B1716" t="str">
            <v>Vedanta</v>
          </cell>
          <cell r="Q1716">
            <v>599000</v>
          </cell>
        </row>
        <row r="1717">
          <cell r="A1717" t="str">
            <v>Buildings</v>
          </cell>
          <cell r="B1717" t="str">
            <v>Vedanta</v>
          </cell>
          <cell r="Q1717">
            <v>100000</v>
          </cell>
        </row>
        <row r="1718">
          <cell r="A1718" t="str">
            <v>Buildings</v>
          </cell>
          <cell r="B1718" t="str">
            <v>DGMAP Kanpur</v>
          </cell>
          <cell r="Q1718">
            <v>329050</v>
          </cell>
        </row>
        <row r="1719">
          <cell r="A1719" t="str">
            <v>Buildings</v>
          </cell>
          <cell r="B1719" t="str">
            <v>DGMAP Kanpur</v>
          </cell>
          <cell r="Q1719">
            <v>243450</v>
          </cell>
        </row>
        <row r="1720">
          <cell r="A1720" t="str">
            <v>Buildings</v>
          </cell>
          <cell r="B1720" t="str">
            <v>DGMAP Kanpur</v>
          </cell>
          <cell r="Q1720">
            <v>221450</v>
          </cell>
        </row>
        <row r="1721">
          <cell r="A1721" t="str">
            <v>Buildings</v>
          </cell>
          <cell r="B1721" t="str">
            <v>DGMAP Kanpur</v>
          </cell>
          <cell r="Q1721">
            <v>221450</v>
          </cell>
        </row>
        <row r="1722">
          <cell r="A1722" t="str">
            <v>Buildings</v>
          </cell>
          <cell r="B1722" t="str">
            <v>DGMAP Kanpur</v>
          </cell>
          <cell r="Q1722">
            <v>221450</v>
          </cell>
        </row>
        <row r="1723">
          <cell r="A1723" t="str">
            <v>Buildings</v>
          </cell>
          <cell r="B1723" t="str">
            <v>DGMAP Kanpur</v>
          </cell>
          <cell r="Q1723">
            <v>221450</v>
          </cell>
        </row>
        <row r="1724">
          <cell r="A1724" t="str">
            <v>Buildings</v>
          </cell>
          <cell r="B1724" t="str">
            <v>DGMAP Kanpur</v>
          </cell>
          <cell r="Q1724">
            <v>261950</v>
          </cell>
        </row>
        <row r="1725">
          <cell r="A1725" t="str">
            <v>Buildings</v>
          </cell>
          <cell r="B1725" t="str">
            <v>DGMAP Kanpur</v>
          </cell>
          <cell r="Q1725">
            <v>192400</v>
          </cell>
        </row>
        <row r="1726">
          <cell r="A1726" t="str">
            <v>Buildings</v>
          </cell>
          <cell r="B1726" t="str">
            <v>DGMAP Kanpur</v>
          </cell>
          <cell r="Q1726">
            <v>261950</v>
          </cell>
        </row>
        <row r="1727">
          <cell r="A1727" t="str">
            <v>Buildings</v>
          </cell>
          <cell r="B1727" t="str">
            <v>DGMAP Kanpur</v>
          </cell>
          <cell r="Q1727">
            <v>234825</v>
          </cell>
        </row>
        <row r="1728">
          <cell r="A1728" t="str">
            <v>Buildings</v>
          </cell>
          <cell r="B1728" t="str">
            <v>DGMAP Kanpur</v>
          </cell>
          <cell r="Q1728">
            <v>234825</v>
          </cell>
        </row>
        <row r="1729">
          <cell r="A1729" t="str">
            <v>Buildings</v>
          </cell>
          <cell r="B1729" t="str">
            <v>DGMAP Kanpur</v>
          </cell>
          <cell r="Q1729">
            <v>231745</v>
          </cell>
        </row>
        <row r="1730">
          <cell r="A1730" t="str">
            <v>Buildings</v>
          </cell>
          <cell r="B1730" t="str">
            <v>DGMAP Kanpur</v>
          </cell>
          <cell r="Q1730">
            <v>231745</v>
          </cell>
        </row>
        <row r="1731">
          <cell r="A1731" t="str">
            <v>Buildings</v>
          </cell>
          <cell r="B1731" t="str">
            <v>DGMAP Kanpur</v>
          </cell>
          <cell r="Q1731">
            <v>161208</v>
          </cell>
        </row>
        <row r="1732">
          <cell r="A1732" t="str">
            <v>Buildings</v>
          </cell>
          <cell r="B1732" t="str">
            <v>DGMAP Kanpur</v>
          </cell>
          <cell r="Q1732">
            <v>145600</v>
          </cell>
        </row>
        <row r="1733">
          <cell r="A1733" t="str">
            <v>Buildings</v>
          </cell>
          <cell r="B1733" t="str">
            <v>DGMAP Kanpur</v>
          </cell>
          <cell r="Q1733">
            <v>29760</v>
          </cell>
        </row>
        <row r="1734">
          <cell r="A1734" t="str">
            <v>Buildings</v>
          </cell>
          <cell r="B1734" t="str">
            <v>DGMAP Kanpur</v>
          </cell>
          <cell r="Q1734">
            <v>29760</v>
          </cell>
        </row>
        <row r="1735">
          <cell r="A1735" t="str">
            <v>Buildings</v>
          </cell>
          <cell r="B1735" t="str">
            <v>DGMAP Kanpur</v>
          </cell>
          <cell r="Q1735">
            <v>29760</v>
          </cell>
        </row>
        <row r="1736">
          <cell r="A1736" t="str">
            <v>Buildings</v>
          </cell>
          <cell r="B1736" t="str">
            <v>DGMAP Kanpur</v>
          </cell>
          <cell r="Q1736">
            <v>29760</v>
          </cell>
        </row>
        <row r="1737">
          <cell r="A1737" t="str">
            <v>Buildings</v>
          </cell>
          <cell r="B1737" t="str">
            <v>DGMAP Kanpur</v>
          </cell>
          <cell r="Q1737">
            <v>29760</v>
          </cell>
        </row>
        <row r="1738">
          <cell r="A1738" t="str">
            <v>Buildings</v>
          </cell>
          <cell r="B1738" t="str">
            <v>DGMAP Kanpur</v>
          </cell>
          <cell r="Q1738">
            <v>249600</v>
          </cell>
        </row>
        <row r="1739">
          <cell r="A1739" t="str">
            <v>Buildings</v>
          </cell>
          <cell r="B1739" t="str">
            <v>DGMAP Kanpur</v>
          </cell>
          <cell r="Q1739">
            <v>249600</v>
          </cell>
        </row>
        <row r="1740">
          <cell r="A1740" t="str">
            <v>Buildings</v>
          </cell>
          <cell r="B1740" t="str">
            <v>DGMAP Kanpur</v>
          </cell>
          <cell r="Q1740">
            <v>249600</v>
          </cell>
        </row>
        <row r="1741">
          <cell r="A1741" t="str">
            <v>Buildings</v>
          </cell>
          <cell r="B1741" t="str">
            <v>DGMAP Kanpur</v>
          </cell>
          <cell r="Q1741">
            <v>249600</v>
          </cell>
        </row>
        <row r="1742">
          <cell r="A1742" t="str">
            <v>Buildings</v>
          </cell>
          <cell r="B1742" t="str">
            <v>DGMAP Kanpur</v>
          </cell>
          <cell r="Q1742">
            <v>249600</v>
          </cell>
        </row>
        <row r="1743">
          <cell r="A1743" t="str">
            <v>Buildings</v>
          </cell>
          <cell r="B1743" t="str">
            <v>DGMAP Kanpur</v>
          </cell>
          <cell r="Q1743">
            <v>249600</v>
          </cell>
        </row>
        <row r="1744">
          <cell r="A1744" t="str">
            <v>Buildings</v>
          </cell>
          <cell r="B1744" t="str">
            <v>DGMAP Kanpur</v>
          </cell>
          <cell r="Q1744">
            <v>249600</v>
          </cell>
        </row>
        <row r="1745">
          <cell r="A1745" t="str">
            <v>Buildings</v>
          </cell>
          <cell r="B1745" t="str">
            <v>DGMAP Kanpur</v>
          </cell>
          <cell r="Q1745">
            <v>145600</v>
          </cell>
        </row>
        <row r="1746">
          <cell r="A1746" t="str">
            <v>Buildings</v>
          </cell>
          <cell r="B1746" t="str">
            <v>DGMAP Kanpur</v>
          </cell>
          <cell r="Q1746">
            <v>145600</v>
          </cell>
        </row>
        <row r="1747">
          <cell r="A1747" t="str">
            <v>Buildings</v>
          </cell>
          <cell r="B1747" t="str">
            <v>DGMAP Kanpur</v>
          </cell>
          <cell r="Q1747">
            <v>34300</v>
          </cell>
        </row>
        <row r="1748">
          <cell r="A1748" t="str">
            <v>Buildings</v>
          </cell>
          <cell r="B1748" t="str">
            <v>DGMAP Kanpur</v>
          </cell>
          <cell r="Q1748">
            <v>102611</v>
          </cell>
        </row>
        <row r="1749">
          <cell r="A1749" t="str">
            <v>Buildings</v>
          </cell>
          <cell r="B1749" t="str">
            <v>DGMAP Kanpur</v>
          </cell>
          <cell r="Q1749">
            <v>102611</v>
          </cell>
        </row>
        <row r="1750">
          <cell r="A1750" t="str">
            <v>Buildings</v>
          </cell>
          <cell r="B1750" t="str">
            <v>DGMAP Kanpur</v>
          </cell>
          <cell r="Q1750">
            <v>102611</v>
          </cell>
        </row>
        <row r="1751">
          <cell r="A1751" t="str">
            <v>Buildings</v>
          </cell>
          <cell r="B1751" t="str">
            <v>DGMAP Kanpur</v>
          </cell>
          <cell r="Q1751">
            <v>102611</v>
          </cell>
        </row>
        <row r="1752">
          <cell r="A1752" t="str">
            <v>Buildings</v>
          </cell>
          <cell r="B1752" t="str">
            <v>DGMAP Kanpur</v>
          </cell>
          <cell r="Q1752">
            <v>102611</v>
          </cell>
        </row>
        <row r="1753">
          <cell r="A1753" t="str">
            <v>Buildings</v>
          </cell>
          <cell r="B1753" t="str">
            <v>DGMAP Kanpur</v>
          </cell>
          <cell r="Q1753">
            <v>102611</v>
          </cell>
        </row>
        <row r="1754">
          <cell r="A1754" t="str">
            <v>Buildings</v>
          </cell>
          <cell r="B1754" t="str">
            <v>DGMAP Kanpur</v>
          </cell>
          <cell r="Q1754">
            <v>102611</v>
          </cell>
        </row>
        <row r="1755">
          <cell r="A1755" t="str">
            <v>Buildings</v>
          </cell>
          <cell r="B1755" t="str">
            <v>DGMAP Kanpur</v>
          </cell>
          <cell r="Q1755">
            <v>26000</v>
          </cell>
        </row>
        <row r="1756">
          <cell r="A1756" t="str">
            <v>Buildings</v>
          </cell>
          <cell r="B1756" t="str">
            <v>DGMAP Kanpur</v>
          </cell>
          <cell r="Q1756">
            <v>8985</v>
          </cell>
        </row>
        <row r="1757">
          <cell r="A1757" t="str">
            <v>Buildings</v>
          </cell>
          <cell r="B1757" t="str">
            <v>DGMAP Kanpur</v>
          </cell>
          <cell r="Q1757">
            <v>139030</v>
          </cell>
        </row>
        <row r="1758">
          <cell r="A1758" t="str">
            <v>Buildings</v>
          </cell>
          <cell r="B1758" t="str">
            <v>DGMAP Kanpur</v>
          </cell>
          <cell r="Q1758">
            <v>143500</v>
          </cell>
        </row>
        <row r="1759">
          <cell r="A1759" t="str">
            <v>Buildings</v>
          </cell>
          <cell r="B1759" t="str">
            <v>DGMAP Kanpur</v>
          </cell>
          <cell r="Q1759">
            <v>7776</v>
          </cell>
        </row>
        <row r="1760">
          <cell r="A1760" t="str">
            <v>Buildings</v>
          </cell>
          <cell r="B1760" t="str">
            <v>DGMAP Kanpur</v>
          </cell>
          <cell r="Q1760">
            <v>219057</v>
          </cell>
        </row>
        <row r="1761">
          <cell r="A1761" t="str">
            <v>Buildings</v>
          </cell>
          <cell r="B1761" t="str">
            <v>DGMAP Kanpur</v>
          </cell>
          <cell r="Q1761">
            <v>133465</v>
          </cell>
        </row>
        <row r="1762">
          <cell r="A1762" t="str">
            <v>Buildings</v>
          </cell>
          <cell r="B1762" t="str">
            <v>DGMAP Kanpur</v>
          </cell>
          <cell r="Q1762">
            <v>145600</v>
          </cell>
        </row>
        <row r="1763">
          <cell r="A1763" t="str">
            <v>Buildings</v>
          </cell>
          <cell r="B1763" t="str">
            <v>DGMAP Kanpur</v>
          </cell>
          <cell r="Q1763">
            <v>145600</v>
          </cell>
        </row>
        <row r="1764">
          <cell r="A1764" t="str">
            <v>Buildings</v>
          </cell>
          <cell r="B1764" t="str">
            <v>DGMAP Kanpur</v>
          </cell>
          <cell r="Q1764">
            <v>78632.5</v>
          </cell>
        </row>
        <row r="1765">
          <cell r="A1765" t="str">
            <v>Buildings</v>
          </cell>
          <cell r="B1765" t="str">
            <v>DGMAP Kanpur</v>
          </cell>
          <cell r="Q1765">
            <v>78632.5</v>
          </cell>
        </row>
        <row r="1766">
          <cell r="A1766" t="str">
            <v>Buildings</v>
          </cell>
          <cell r="B1766" t="str">
            <v>DGMAP Kanpur</v>
          </cell>
          <cell r="Q1766">
            <v>300000</v>
          </cell>
        </row>
        <row r="1767">
          <cell r="A1767" t="str">
            <v>Buildings</v>
          </cell>
          <cell r="B1767" t="str">
            <v>DGMAP Kanpur</v>
          </cell>
          <cell r="Q1767">
            <v>630000</v>
          </cell>
        </row>
        <row r="1768">
          <cell r="A1768" t="str">
            <v>Buildings</v>
          </cell>
          <cell r="B1768" t="str">
            <v>Jammu</v>
          </cell>
          <cell r="Q1768">
            <v>582400</v>
          </cell>
        </row>
        <row r="1769">
          <cell r="A1769" t="str">
            <v>Buildings</v>
          </cell>
          <cell r="B1769" t="str">
            <v>Jammu</v>
          </cell>
          <cell r="Q1769">
            <v>147500</v>
          </cell>
        </row>
        <row r="1770">
          <cell r="A1770" t="str">
            <v>Buildings</v>
          </cell>
          <cell r="B1770" t="str">
            <v>Jammu</v>
          </cell>
          <cell r="Q1770">
            <v>147500</v>
          </cell>
        </row>
        <row r="1771">
          <cell r="A1771" t="str">
            <v>Buildings</v>
          </cell>
          <cell r="B1771" t="str">
            <v>Jammu</v>
          </cell>
          <cell r="Q1771">
            <v>147500</v>
          </cell>
        </row>
        <row r="1772">
          <cell r="A1772" t="str">
            <v>Buildings</v>
          </cell>
          <cell r="B1772" t="str">
            <v>Jammu</v>
          </cell>
          <cell r="Q1772">
            <v>147500</v>
          </cell>
        </row>
        <row r="1773">
          <cell r="A1773" t="str">
            <v>Buildings</v>
          </cell>
          <cell r="B1773" t="str">
            <v>Jammu</v>
          </cell>
          <cell r="Q1773">
            <v>1330553.94</v>
          </cell>
        </row>
        <row r="1774">
          <cell r="A1774" t="str">
            <v>Buildings</v>
          </cell>
          <cell r="B1774" t="str">
            <v>Jammu</v>
          </cell>
          <cell r="Q1774">
            <v>77983.5</v>
          </cell>
        </row>
        <row r="1775">
          <cell r="A1775" t="str">
            <v>Buildings</v>
          </cell>
          <cell r="B1775" t="str">
            <v>Jammu</v>
          </cell>
          <cell r="Q1775">
            <v>77983.5</v>
          </cell>
        </row>
        <row r="1776">
          <cell r="A1776" t="str">
            <v>Buildings</v>
          </cell>
          <cell r="B1776" t="str">
            <v>Jammu</v>
          </cell>
          <cell r="Q1776">
            <v>337000</v>
          </cell>
        </row>
        <row r="1777">
          <cell r="A1777" t="str">
            <v>Buildings</v>
          </cell>
          <cell r="B1777" t="str">
            <v>Jammu</v>
          </cell>
          <cell r="Q1777">
            <v>337000</v>
          </cell>
        </row>
        <row r="1778">
          <cell r="A1778" t="str">
            <v>Buildings</v>
          </cell>
          <cell r="B1778" t="str">
            <v>Jammu</v>
          </cell>
          <cell r="Q1778">
            <v>184730.99</v>
          </cell>
        </row>
        <row r="1779">
          <cell r="A1779" t="str">
            <v>Buildings</v>
          </cell>
          <cell r="B1779" t="str">
            <v>Jammu</v>
          </cell>
          <cell r="Q1779">
            <v>184730.97</v>
          </cell>
        </row>
        <row r="1780">
          <cell r="A1780" t="str">
            <v>Buildings</v>
          </cell>
          <cell r="B1780" t="str">
            <v>Jammu</v>
          </cell>
          <cell r="Q1780">
            <v>163874.26</v>
          </cell>
        </row>
        <row r="1781">
          <cell r="A1781" t="str">
            <v>Buildings</v>
          </cell>
          <cell r="B1781" t="str">
            <v>Jammu</v>
          </cell>
          <cell r="Q1781">
            <v>163874.26</v>
          </cell>
        </row>
        <row r="1782">
          <cell r="A1782" t="str">
            <v>Buildings</v>
          </cell>
          <cell r="B1782" t="str">
            <v>Jammu</v>
          </cell>
          <cell r="Q1782">
            <v>163874.26</v>
          </cell>
        </row>
        <row r="1783">
          <cell r="A1783" t="str">
            <v>Buildings</v>
          </cell>
          <cell r="B1783" t="str">
            <v>Jammu</v>
          </cell>
          <cell r="Q1783">
            <v>163874.26</v>
          </cell>
        </row>
        <row r="1784">
          <cell r="A1784" t="str">
            <v>Buildings</v>
          </cell>
          <cell r="B1784" t="str">
            <v>Jammu</v>
          </cell>
          <cell r="Q1784">
            <v>460600</v>
          </cell>
        </row>
        <row r="1785">
          <cell r="A1785" t="str">
            <v>Buildings</v>
          </cell>
          <cell r="B1785" t="str">
            <v>Jammu</v>
          </cell>
          <cell r="Q1785">
            <v>460600</v>
          </cell>
        </row>
        <row r="1786">
          <cell r="A1786" t="str">
            <v>Buildings</v>
          </cell>
          <cell r="B1786" t="str">
            <v>Jammu</v>
          </cell>
          <cell r="Q1786">
            <v>460600</v>
          </cell>
        </row>
        <row r="1787">
          <cell r="A1787" t="str">
            <v>Buildings</v>
          </cell>
          <cell r="B1787" t="str">
            <v>Jammu</v>
          </cell>
          <cell r="Q1787">
            <v>305057</v>
          </cell>
        </row>
        <row r="1788">
          <cell r="A1788" t="str">
            <v>Buildings</v>
          </cell>
          <cell r="B1788" t="str">
            <v>Jammu</v>
          </cell>
          <cell r="Q1788">
            <v>1889630</v>
          </cell>
        </row>
        <row r="1789">
          <cell r="A1789" t="str">
            <v>Buildings</v>
          </cell>
          <cell r="B1789" t="str">
            <v>Navac</v>
          </cell>
          <cell r="Q1789">
            <v>1326741</v>
          </cell>
        </row>
        <row r="1790">
          <cell r="A1790" t="str">
            <v>Buildings</v>
          </cell>
          <cell r="B1790" t="str">
            <v>Navac</v>
          </cell>
          <cell r="Q1790">
            <v>576800</v>
          </cell>
        </row>
        <row r="1791">
          <cell r="A1791" t="str">
            <v>Buildings</v>
          </cell>
          <cell r="B1791" t="str">
            <v>Navac</v>
          </cell>
          <cell r="Q1791">
            <v>12875</v>
          </cell>
        </row>
        <row r="1792">
          <cell r="A1792" t="str">
            <v>Buildings</v>
          </cell>
          <cell r="B1792" t="str">
            <v>Navac</v>
          </cell>
          <cell r="Q1792">
            <v>1290300</v>
          </cell>
        </row>
        <row r="1793">
          <cell r="A1793" t="str">
            <v>Buildings</v>
          </cell>
          <cell r="B1793" t="str">
            <v>Navac</v>
          </cell>
          <cell r="Q1793">
            <v>422918</v>
          </cell>
        </row>
        <row r="1794">
          <cell r="A1794" t="str">
            <v>Buildings</v>
          </cell>
          <cell r="B1794" t="str">
            <v>Navac</v>
          </cell>
          <cell r="Q1794">
            <v>185614.86</v>
          </cell>
        </row>
        <row r="1795">
          <cell r="A1795" t="str">
            <v>Buildings</v>
          </cell>
          <cell r="B1795" t="str">
            <v>Navac</v>
          </cell>
          <cell r="Q1795">
            <v>164712.14000000001</v>
          </cell>
        </row>
        <row r="1796">
          <cell r="A1796" t="str">
            <v>Buildings</v>
          </cell>
          <cell r="B1796" t="str">
            <v>Navac</v>
          </cell>
          <cell r="Q1796">
            <v>34470</v>
          </cell>
        </row>
        <row r="1797">
          <cell r="A1797" t="str">
            <v>Buildings</v>
          </cell>
          <cell r="B1797" t="str">
            <v>Navac</v>
          </cell>
          <cell r="Q1797">
            <v>130950</v>
          </cell>
        </row>
        <row r="1798">
          <cell r="A1798" t="str">
            <v>Buildings</v>
          </cell>
          <cell r="B1798" t="str">
            <v>Navac</v>
          </cell>
          <cell r="Q1798">
            <v>452865</v>
          </cell>
        </row>
        <row r="1799">
          <cell r="A1799" t="str">
            <v>Buildings</v>
          </cell>
          <cell r="B1799" t="str">
            <v>Navac</v>
          </cell>
          <cell r="Q1799">
            <v>332850</v>
          </cell>
        </row>
        <row r="1800">
          <cell r="A1800" t="str">
            <v>Buildings</v>
          </cell>
          <cell r="B1800" t="str">
            <v>Navac</v>
          </cell>
          <cell r="Q1800">
            <v>332850</v>
          </cell>
        </row>
        <row r="1801">
          <cell r="A1801" t="str">
            <v>Buildings</v>
          </cell>
          <cell r="B1801" t="str">
            <v>Navac</v>
          </cell>
          <cell r="Q1801">
            <v>2173600</v>
          </cell>
        </row>
        <row r="1802">
          <cell r="A1802" t="str">
            <v>Buildings</v>
          </cell>
          <cell r="B1802" t="str">
            <v>Navac</v>
          </cell>
          <cell r="Q1802">
            <v>567463</v>
          </cell>
        </row>
        <row r="1803">
          <cell r="A1803" t="str">
            <v>Buildings</v>
          </cell>
          <cell r="B1803" t="str">
            <v>Navac</v>
          </cell>
          <cell r="Q1803">
            <v>316500</v>
          </cell>
        </row>
        <row r="1804">
          <cell r="A1804" t="str">
            <v>Buildings</v>
          </cell>
          <cell r="B1804" t="str">
            <v>Navac</v>
          </cell>
          <cell r="Q1804">
            <v>66950</v>
          </cell>
        </row>
        <row r="1805">
          <cell r="A1805" t="str">
            <v>Buildings</v>
          </cell>
          <cell r="B1805" t="str">
            <v>Navac</v>
          </cell>
          <cell r="Q1805">
            <v>319500</v>
          </cell>
        </row>
        <row r="1806">
          <cell r="A1806" t="str">
            <v>Buildings</v>
          </cell>
          <cell r="B1806" t="str">
            <v>Navac</v>
          </cell>
          <cell r="Q1806">
            <v>144200</v>
          </cell>
        </row>
        <row r="1807">
          <cell r="A1807" t="str">
            <v>Buildings</v>
          </cell>
          <cell r="B1807" t="str">
            <v>Navac</v>
          </cell>
          <cell r="Q1807">
            <v>433865</v>
          </cell>
        </row>
        <row r="1808">
          <cell r="A1808" t="str">
            <v>Buildings</v>
          </cell>
          <cell r="B1808" t="str">
            <v>Navac</v>
          </cell>
          <cell r="Q1808">
            <v>439100</v>
          </cell>
        </row>
        <row r="1809">
          <cell r="A1809" t="str">
            <v>Buildings</v>
          </cell>
          <cell r="B1809" t="str">
            <v>Navac</v>
          </cell>
          <cell r="Q1809">
            <v>126266</v>
          </cell>
        </row>
        <row r="1810">
          <cell r="A1810" t="str">
            <v>Buildings</v>
          </cell>
          <cell r="B1810" t="str">
            <v>Navac</v>
          </cell>
          <cell r="Q1810">
            <v>446100</v>
          </cell>
        </row>
        <row r="1811">
          <cell r="A1811" t="str">
            <v>Buildings</v>
          </cell>
          <cell r="B1811" t="str">
            <v>Navac</v>
          </cell>
          <cell r="Q1811">
            <v>236999.5</v>
          </cell>
        </row>
        <row r="1812">
          <cell r="A1812" t="str">
            <v>Buildings</v>
          </cell>
          <cell r="B1812" t="str">
            <v>Navac</v>
          </cell>
          <cell r="Q1812">
            <v>236999.5</v>
          </cell>
        </row>
        <row r="1813">
          <cell r="A1813" t="str">
            <v>Buildings</v>
          </cell>
          <cell r="B1813" t="str">
            <v>Navac</v>
          </cell>
          <cell r="Q1813">
            <v>2084829</v>
          </cell>
        </row>
        <row r="1814">
          <cell r="A1814" t="str">
            <v>Buildings</v>
          </cell>
          <cell r="B1814" t="str">
            <v>Navac</v>
          </cell>
          <cell r="Q1814">
            <v>159426</v>
          </cell>
        </row>
        <row r="1815">
          <cell r="A1815" t="str">
            <v>Buildings</v>
          </cell>
          <cell r="B1815" t="str">
            <v>Navac</v>
          </cell>
          <cell r="Q1815">
            <v>159426</v>
          </cell>
        </row>
        <row r="1816">
          <cell r="A1816" t="str">
            <v>Buildings</v>
          </cell>
          <cell r="B1816" t="str">
            <v>Navac</v>
          </cell>
          <cell r="Q1816">
            <v>179367</v>
          </cell>
        </row>
        <row r="1817">
          <cell r="A1817" t="str">
            <v>Buildings</v>
          </cell>
          <cell r="B1817" t="str">
            <v>Neuland</v>
          </cell>
          <cell r="Q1817">
            <v>187320.02</v>
          </cell>
        </row>
        <row r="1818">
          <cell r="A1818" t="str">
            <v>Buildings</v>
          </cell>
          <cell r="B1818" t="str">
            <v>Neuland</v>
          </cell>
          <cell r="Q1818">
            <v>312000</v>
          </cell>
        </row>
        <row r="1819">
          <cell r="A1819" t="str">
            <v>Buildings</v>
          </cell>
          <cell r="B1819" t="str">
            <v>Neuland</v>
          </cell>
          <cell r="Q1819">
            <v>140801</v>
          </cell>
        </row>
        <row r="1820">
          <cell r="A1820" t="str">
            <v>Buildings</v>
          </cell>
          <cell r="B1820" t="str">
            <v>Neuland</v>
          </cell>
          <cell r="Q1820">
            <v>158680</v>
          </cell>
        </row>
        <row r="1821">
          <cell r="A1821" t="str">
            <v>Buildings</v>
          </cell>
          <cell r="B1821" t="str">
            <v>Suryapet</v>
          </cell>
          <cell r="Q1821">
            <v>31096</v>
          </cell>
        </row>
        <row r="1822">
          <cell r="A1822" t="str">
            <v>Buildings</v>
          </cell>
          <cell r="B1822" t="str">
            <v>Suryapet</v>
          </cell>
          <cell r="Q1822">
            <v>31096</v>
          </cell>
        </row>
        <row r="1823">
          <cell r="A1823" t="str">
            <v>Buildings</v>
          </cell>
          <cell r="B1823" t="str">
            <v>Suryapet</v>
          </cell>
          <cell r="Q1823">
            <v>31096</v>
          </cell>
        </row>
        <row r="1824">
          <cell r="A1824" t="str">
            <v>Buildings</v>
          </cell>
          <cell r="B1824" t="str">
            <v>Suryapet</v>
          </cell>
          <cell r="Q1824">
            <v>31096</v>
          </cell>
        </row>
        <row r="1825">
          <cell r="A1825" t="str">
            <v>Buildings</v>
          </cell>
          <cell r="B1825" t="str">
            <v>Suryapet</v>
          </cell>
          <cell r="Q1825">
            <v>34300</v>
          </cell>
        </row>
        <row r="1826">
          <cell r="A1826" t="str">
            <v>Buildings</v>
          </cell>
          <cell r="B1826" t="str">
            <v>Suryapet</v>
          </cell>
          <cell r="Q1826">
            <v>145038</v>
          </cell>
        </row>
        <row r="1827">
          <cell r="A1827" t="str">
            <v>Buildings</v>
          </cell>
          <cell r="B1827" t="str">
            <v>Suryapet</v>
          </cell>
          <cell r="Q1827">
            <v>38044.5</v>
          </cell>
        </row>
        <row r="1828">
          <cell r="A1828" t="str">
            <v>Buildings</v>
          </cell>
          <cell r="B1828" t="str">
            <v>Suryapet</v>
          </cell>
          <cell r="Q1828">
            <v>31096</v>
          </cell>
        </row>
        <row r="1829">
          <cell r="A1829" t="str">
            <v>Buildings</v>
          </cell>
          <cell r="B1829" t="str">
            <v>Suryapet</v>
          </cell>
          <cell r="Q1829">
            <v>31096</v>
          </cell>
        </row>
        <row r="1830">
          <cell r="A1830" t="str">
            <v>Buildings</v>
          </cell>
          <cell r="B1830" t="str">
            <v>Suryapet</v>
          </cell>
          <cell r="Q1830">
            <v>31096</v>
          </cell>
        </row>
        <row r="1831">
          <cell r="A1831" t="str">
            <v>Buildings</v>
          </cell>
          <cell r="B1831" t="str">
            <v>Suryapet</v>
          </cell>
          <cell r="Q1831">
            <v>31096</v>
          </cell>
        </row>
        <row r="1832">
          <cell r="A1832" t="str">
            <v>Buildings</v>
          </cell>
          <cell r="B1832" t="str">
            <v>Suryapet</v>
          </cell>
          <cell r="Q1832">
            <v>317050</v>
          </cell>
        </row>
        <row r="1833">
          <cell r="A1833" t="str">
            <v>Buildings</v>
          </cell>
          <cell r="B1833" t="str">
            <v>Suryapet</v>
          </cell>
          <cell r="Q1833">
            <v>34300</v>
          </cell>
        </row>
        <row r="1834">
          <cell r="A1834" t="str">
            <v>Buildings</v>
          </cell>
          <cell r="B1834" t="str">
            <v>Suryapet</v>
          </cell>
          <cell r="Q1834">
            <v>145038</v>
          </cell>
        </row>
        <row r="1835">
          <cell r="A1835" t="str">
            <v>Buildings</v>
          </cell>
          <cell r="B1835" t="str">
            <v>Suryapet</v>
          </cell>
          <cell r="Q1835">
            <v>31096</v>
          </cell>
        </row>
        <row r="1836">
          <cell r="A1836" t="str">
            <v>Buildings</v>
          </cell>
          <cell r="B1836" t="str">
            <v>Suryapet</v>
          </cell>
          <cell r="Q1836">
            <v>31096</v>
          </cell>
        </row>
        <row r="1837">
          <cell r="A1837" t="str">
            <v>Buildings</v>
          </cell>
          <cell r="B1837" t="str">
            <v>Suryapet</v>
          </cell>
          <cell r="Q1837">
            <v>31096</v>
          </cell>
        </row>
        <row r="1838">
          <cell r="A1838" t="str">
            <v>Buildings</v>
          </cell>
          <cell r="B1838" t="str">
            <v>Suryapet</v>
          </cell>
          <cell r="Q1838">
            <v>31096</v>
          </cell>
        </row>
        <row r="1839">
          <cell r="A1839" t="str">
            <v>Buildings</v>
          </cell>
          <cell r="B1839" t="str">
            <v>SEZ</v>
          </cell>
          <cell r="Q1839">
            <v>2375000</v>
          </cell>
        </row>
        <row r="1840">
          <cell r="A1840" t="str">
            <v>Buildings</v>
          </cell>
          <cell r="B1840" t="str">
            <v>SEZ</v>
          </cell>
          <cell r="Q1840">
            <v>136451</v>
          </cell>
        </row>
        <row r="1841">
          <cell r="A1841" t="str">
            <v>Buildings</v>
          </cell>
          <cell r="B1841" t="str">
            <v>SEZ</v>
          </cell>
          <cell r="Q1841">
            <v>136451</v>
          </cell>
        </row>
        <row r="1842">
          <cell r="A1842" t="str">
            <v>Buildings</v>
          </cell>
          <cell r="B1842" t="str">
            <v>SEZ</v>
          </cell>
          <cell r="Q1842">
            <v>136451</v>
          </cell>
        </row>
        <row r="1843">
          <cell r="A1843" t="str">
            <v>Buildings</v>
          </cell>
          <cell r="B1843" t="str">
            <v>SEZ</v>
          </cell>
          <cell r="Q1843">
            <v>136451</v>
          </cell>
        </row>
        <row r="1844">
          <cell r="A1844" t="str">
            <v>Buildings</v>
          </cell>
          <cell r="B1844" t="str">
            <v>SEZ</v>
          </cell>
          <cell r="Q1844">
            <v>153480</v>
          </cell>
        </row>
        <row r="1845">
          <cell r="A1845" t="str">
            <v>Buildings</v>
          </cell>
          <cell r="B1845" t="str">
            <v>SEZ</v>
          </cell>
          <cell r="Q1845">
            <v>153480</v>
          </cell>
        </row>
        <row r="1846">
          <cell r="A1846" t="str">
            <v>Buildings</v>
          </cell>
          <cell r="B1846" t="str">
            <v>SEZ</v>
          </cell>
          <cell r="Q1846">
            <v>153480</v>
          </cell>
        </row>
        <row r="1847">
          <cell r="A1847" t="str">
            <v>Buildings</v>
          </cell>
          <cell r="B1847" t="str">
            <v>SEZ</v>
          </cell>
          <cell r="Q1847">
            <v>153480</v>
          </cell>
        </row>
        <row r="1848">
          <cell r="A1848" t="str">
            <v>Buildings</v>
          </cell>
          <cell r="B1848" t="str">
            <v>SEZ</v>
          </cell>
          <cell r="Q1848">
            <v>18000570</v>
          </cell>
        </row>
        <row r="1849">
          <cell r="A1849" t="str">
            <v>Buildings</v>
          </cell>
          <cell r="B1849" t="str">
            <v>SEZ</v>
          </cell>
          <cell r="Q1849">
            <v>1249500</v>
          </cell>
        </row>
        <row r="1850">
          <cell r="A1850" t="str">
            <v>Buildings</v>
          </cell>
          <cell r="B1850" t="str">
            <v>Lucknow Mall</v>
          </cell>
          <cell r="Q1850">
            <v>415679</v>
          </cell>
        </row>
        <row r="1851">
          <cell r="A1851" t="str">
            <v>Buildings</v>
          </cell>
          <cell r="B1851" t="str">
            <v>Lucknow Mall</v>
          </cell>
          <cell r="Q1851">
            <v>415678</v>
          </cell>
        </row>
        <row r="1852">
          <cell r="A1852" t="str">
            <v>Buildings</v>
          </cell>
          <cell r="B1852" t="str">
            <v>Lucknow Mall</v>
          </cell>
          <cell r="Q1852">
            <v>135200</v>
          </cell>
        </row>
        <row r="1853">
          <cell r="A1853" t="str">
            <v>Buildings</v>
          </cell>
          <cell r="B1853" t="str">
            <v>Lucknow Mall</v>
          </cell>
          <cell r="Q1853">
            <v>389938</v>
          </cell>
        </row>
        <row r="1854">
          <cell r="A1854" t="str">
            <v>Buildings</v>
          </cell>
          <cell r="B1854" t="str">
            <v>Lucknow Mall</v>
          </cell>
          <cell r="Q1854">
            <v>371167</v>
          </cell>
        </row>
        <row r="1855">
          <cell r="A1855" t="str">
            <v>Buildings</v>
          </cell>
          <cell r="B1855" t="str">
            <v>Lucknow Mall</v>
          </cell>
          <cell r="Q1855">
            <v>185400</v>
          </cell>
        </row>
        <row r="1856">
          <cell r="A1856" t="str">
            <v>Buildings</v>
          </cell>
          <cell r="B1856" t="str">
            <v>Lucknow Mall</v>
          </cell>
          <cell r="Q1856">
            <v>1944759</v>
          </cell>
        </row>
        <row r="1857">
          <cell r="A1857" t="str">
            <v>Buildings</v>
          </cell>
          <cell r="B1857" t="str">
            <v>Lucknow Mall</v>
          </cell>
          <cell r="Q1857">
            <v>4361950.72</v>
          </cell>
        </row>
        <row r="1858">
          <cell r="A1858" t="str">
            <v>Buildings</v>
          </cell>
          <cell r="B1858" t="str">
            <v>Lucknow Mall</v>
          </cell>
          <cell r="Q1858">
            <v>623000</v>
          </cell>
        </row>
        <row r="1859">
          <cell r="A1859" t="str">
            <v>Buildings</v>
          </cell>
          <cell r="B1859" t="str">
            <v>Lucknow Mall</v>
          </cell>
          <cell r="Q1859">
            <v>332500</v>
          </cell>
        </row>
        <row r="1860">
          <cell r="A1860" t="str">
            <v>Buildings</v>
          </cell>
          <cell r="B1860" t="str">
            <v>Lucknow Mall</v>
          </cell>
          <cell r="Q1860">
            <v>18499</v>
          </cell>
        </row>
        <row r="1861">
          <cell r="A1861" t="str">
            <v>Buildings</v>
          </cell>
          <cell r="B1861" t="str">
            <v>Lucknow Mall</v>
          </cell>
          <cell r="Q1861">
            <v>254393</v>
          </cell>
        </row>
        <row r="1862">
          <cell r="A1862" t="str">
            <v>Irrigation</v>
          </cell>
          <cell r="B1862" t="str">
            <v>GNSS</v>
          </cell>
          <cell r="Q1862">
            <v>19676114.060000002</v>
          </cell>
        </row>
        <row r="1863">
          <cell r="A1863" t="str">
            <v>Irrigation</v>
          </cell>
          <cell r="B1863" t="str">
            <v>GNSS</v>
          </cell>
          <cell r="Q1863">
            <v>916875</v>
          </cell>
        </row>
        <row r="1864">
          <cell r="A1864" t="str">
            <v>Irrigation</v>
          </cell>
          <cell r="B1864" t="str">
            <v>GNSS</v>
          </cell>
          <cell r="Q1864">
            <v>259350</v>
          </cell>
        </row>
        <row r="1865">
          <cell r="A1865" t="str">
            <v>Irrigation</v>
          </cell>
          <cell r="B1865" t="str">
            <v>GNSS</v>
          </cell>
          <cell r="Q1865">
            <v>259350</v>
          </cell>
        </row>
        <row r="1866">
          <cell r="A1866" t="str">
            <v>Irrigation</v>
          </cell>
          <cell r="B1866" t="str">
            <v>GNSS</v>
          </cell>
          <cell r="Q1866">
            <v>536860</v>
          </cell>
        </row>
        <row r="1867">
          <cell r="A1867" t="str">
            <v>Irrigation</v>
          </cell>
          <cell r="B1867" t="str">
            <v>GNSS</v>
          </cell>
          <cell r="Q1867">
            <v>536860</v>
          </cell>
        </row>
        <row r="1868">
          <cell r="A1868" t="str">
            <v>Irrigation</v>
          </cell>
          <cell r="B1868" t="str">
            <v>GNSS</v>
          </cell>
          <cell r="Q1868">
            <v>46700.01</v>
          </cell>
        </row>
        <row r="1869">
          <cell r="A1869" t="str">
            <v>Irrigation</v>
          </cell>
          <cell r="B1869" t="str">
            <v>GNSS</v>
          </cell>
          <cell r="Q1869">
            <v>46699.99</v>
          </cell>
        </row>
        <row r="1870">
          <cell r="A1870" t="str">
            <v>Irrigation</v>
          </cell>
          <cell r="B1870" t="str">
            <v>GNSS</v>
          </cell>
          <cell r="Q1870">
            <v>112504.84</v>
          </cell>
        </row>
        <row r="1871">
          <cell r="A1871" t="str">
            <v>Irrigation</v>
          </cell>
          <cell r="B1871" t="str">
            <v>GNSS</v>
          </cell>
          <cell r="Q1871">
            <v>1854358</v>
          </cell>
        </row>
        <row r="1872">
          <cell r="A1872" t="str">
            <v>Irrigation</v>
          </cell>
          <cell r="B1872" t="str">
            <v>GNSS</v>
          </cell>
          <cell r="Q1872">
            <v>112504.84</v>
          </cell>
        </row>
        <row r="1873">
          <cell r="A1873" t="str">
            <v>Irrigation</v>
          </cell>
          <cell r="B1873" t="str">
            <v>GNSS</v>
          </cell>
          <cell r="Q1873">
            <v>117829.94</v>
          </cell>
        </row>
        <row r="1874">
          <cell r="A1874" t="str">
            <v>Irrigation</v>
          </cell>
          <cell r="B1874" t="str">
            <v>GNSS</v>
          </cell>
          <cell r="Q1874">
            <v>117829.94</v>
          </cell>
        </row>
        <row r="1875">
          <cell r="A1875" t="str">
            <v>Irrigation</v>
          </cell>
          <cell r="B1875" t="str">
            <v>GNSS</v>
          </cell>
          <cell r="Q1875">
            <v>993341</v>
          </cell>
        </row>
        <row r="1876">
          <cell r="A1876" t="str">
            <v>Irrigation</v>
          </cell>
          <cell r="B1876" t="str">
            <v>GNSS</v>
          </cell>
          <cell r="Q1876">
            <v>23500</v>
          </cell>
        </row>
        <row r="1877">
          <cell r="A1877" t="str">
            <v>Irrigation</v>
          </cell>
          <cell r="B1877" t="str">
            <v>GNSS</v>
          </cell>
          <cell r="Q1877">
            <v>23500</v>
          </cell>
        </row>
        <row r="1878">
          <cell r="A1878" t="str">
            <v>Irrigation</v>
          </cell>
          <cell r="B1878" t="str">
            <v>GNSS</v>
          </cell>
          <cell r="Q1878">
            <v>23500</v>
          </cell>
        </row>
        <row r="1879">
          <cell r="A1879" t="str">
            <v>Irrigation</v>
          </cell>
          <cell r="B1879" t="str">
            <v>GNSS</v>
          </cell>
          <cell r="Q1879">
            <v>1204139.68</v>
          </cell>
        </row>
        <row r="1880">
          <cell r="A1880" t="str">
            <v>Irrigation</v>
          </cell>
          <cell r="B1880" t="str">
            <v>GNSS</v>
          </cell>
          <cell r="Q1880">
            <v>1204139.68</v>
          </cell>
        </row>
        <row r="1881">
          <cell r="A1881" t="str">
            <v>Irrigation</v>
          </cell>
          <cell r="B1881" t="str">
            <v>GNSS</v>
          </cell>
          <cell r="Q1881">
            <v>1204139.68</v>
          </cell>
        </row>
        <row r="1882">
          <cell r="A1882" t="str">
            <v>Irrigation</v>
          </cell>
          <cell r="B1882" t="str">
            <v>GNSS</v>
          </cell>
          <cell r="Q1882">
            <v>9292625.5999999996</v>
          </cell>
        </row>
        <row r="1883">
          <cell r="A1883" t="str">
            <v>Irrigation</v>
          </cell>
          <cell r="B1883" t="str">
            <v>GNSS</v>
          </cell>
          <cell r="Q1883">
            <v>251628</v>
          </cell>
        </row>
        <row r="1884">
          <cell r="A1884" t="str">
            <v>Irrigation</v>
          </cell>
          <cell r="B1884" t="str">
            <v>GNSS</v>
          </cell>
          <cell r="Q1884">
            <v>575195</v>
          </cell>
        </row>
        <row r="1885">
          <cell r="A1885" t="str">
            <v>Irrigation</v>
          </cell>
          <cell r="B1885" t="str">
            <v>GNSS</v>
          </cell>
          <cell r="Q1885">
            <v>128750</v>
          </cell>
        </row>
        <row r="1886">
          <cell r="A1886" t="str">
            <v>Irrigation</v>
          </cell>
          <cell r="B1886" t="str">
            <v>GNSS</v>
          </cell>
          <cell r="Q1886">
            <v>128750</v>
          </cell>
        </row>
        <row r="1887">
          <cell r="A1887" t="str">
            <v>Irrigation</v>
          </cell>
          <cell r="B1887" t="str">
            <v>GNSS</v>
          </cell>
          <cell r="Q1887">
            <v>128750</v>
          </cell>
        </row>
        <row r="1888">
          <cell r="A1888" t="str">
            <v>Irrigation</v>
          </cell>
          <cell r="B1888" t="str">
            <v>GNSS</v>
          </cell>
          <cell r="Q1888">
            <v>6046890</v>
          </cell>
        </row>
        <row r="1889">
          <cell r="A1889" t="str">
            <v>Irrigation</v>
          </cell>
          <cell r="B1889" t="str">
            <v>GNSS</v>
          </cell>
          <cell r="Q1889">
            <v>102336</v>
          </cell>
        </row>
        <row r="1890">
          <cell r="A1890" t="str">
            <v>Irrigation</v>
          </cell>
          <cell r="B1890" t="str">
            <v>GNSS</v>
          </cell>
          <cell r="Q1890">
            <v>102336</v>
          </cell>
        </row>
        <row r="1891">
          <cell r="A1891" t="str">
            <v>Irrigation</v>
          </cell>
          <cell r="B1891" t="str">
            <v>GNSS</v>
          </cell>
          <cell r="Q1891">
            <v>3086229.4</v>
          </cell>
        </row>
        <row r="1892">
          <cell r="A1892" t="str">
            <v>Irrigation</v>
          </cell>
          <cell r="B1892" t="str">
            <v>GNSS</v>
          </cell>
          <cell r="Q1892">
            <v>716110</v>
          </cell>
        </row>
        <row r="1893">
          <cell r="A1893" t="str">
            <v>Irrigation</v>
          </cell>
          <cell r="B1893" t="str">
            <v>GNSS</v>
          </cell>
          <cell r="Q1893">
            <v>540000</v>
          </cell>
        </row>
        <row r="1894">
          <cell r="A1894" t="str">
            <v>Irrigation</v>
          </cell>
          <cell r="B1894" t="str">
            <v>GNSS</v>
          </cell>
          <cell r="Q1894">
            <v>540000</v>
          </cell>
        </row>
        <row r="1895">
          <cell r="A1895" t="str">
            <v>Irrigation</v>
          </cell>
          <cell r="B1895" t="str">
            <v>GNSS</v>
          </cell>
          <cell r="Q1895">
            <v>1191446</v>
          </cell>
        </row>
        <row r="1896">
          <cell r="A1896" t="str">
            <v>Irrigation</v>
          </cell>
          <cell r="B1896" t="str">
            <v>GNSS</v>
          </cell>
          <cell r="Q1896">
            <v>1477446</v>
          </cell>
        </row>
        <row r="1897">
          <cell r="A1897" t="str">
            <v>Irrigation</v>
          </cell>
          <cell r="B1897" t="str">
            <v>GNSS</v>
          </cell>
          <cell r="Q1897">
            <v>1477447</v>
          </cell>
        </row>
        <row r="1898">
          <cell r="A1898" t="str">
            <v>Irrigation</v>
          </cell>
          <cell r="B1898" t="str">
            <v>GNSS</v>
          </cell>
          <cell r="Q1898">
            <v>1370186</v>
          </cell>
        </row>
        <row r="1899">
          <cell r="A1899" t="str">
            <v>Irrigation</v>
          </cell>
          <cell r="B1899" t="str">
            <v>GNSS</v>
          </cell>
          <cell r="Q1899">
            <v>1370186</v>
          </cell>
        </row>
        <row r="1900">
          <cell r="A1900" t="str">
            <v>Irrigation</v>
          </cell>
          <cell r="B1900" t="str">
            <v>GNSS</v>
          </cell>
          <cell r="Q1900">
            <v>1007822.48</v>
          </cell>
        </row>
        <row r="1901">
          <cell r="A1901" t="str">
            <v>Irrigation</v>
          </cell>
          <cell r="B1901" t="str">
            <v>GNSS</v>
          </cell>
          <cell r="Q1901">
            <v>964822.48</v>
          </cell>
        </row>
        <row r="1902">
          <cell r="A1902" t="str">
            <v>Irrigation</v>
          </cell>
          <cell r="B1902" t="str">
            <v>GNSS</v>
          </cell>
          <cell r="Q1902">
            <v>602444.80000000005</v>
          </cell>
        </row>
        <row r="1903">
          <cell r="A1903" t="str">
            <v>Irrigation</v>
          </cell>
          <cell r="B1903" t="str">
            <v>GNSS</v>
          </cell>
          <cell r="Q1903">
            <v>123000</v>
          </cell>
        </row>
        <row r="1904">
          <cell r="A1904" t="str">
            <v>Irrigation</v>
          </cell>
          <cell r="B1904" t="str">
            <v>GNSS</v>
          </cell>
          <cell r="Q1904">
            <v>123000</v>
          </cell>
        </row>
        <row r="1905">
          <cell r="A1905" t="str">
            <v>Irrigation</v>
          </cell>
          <cell r="B1905" t="str">
            <v>GNSS</v>
          </cell>
          <cell r="Q1905">
            <v>104000</v>
          </cell>
        </row>
        <row r="1906">
          <cell r="A1906" t="str">
            <v>Irrigation</v>
          </cell>
          <cell r="B1906" t="str">
            <v>GNSS</v>
          </cell>
          <cell r="Q1906">
            <v>1233382</v>
          </cell>
        </row>
        <row r="1907">
          <cell r="A1907" t="str">
            <v>Irrigation</v>
          </cell>
          <cell r="B1907" t="str">
            <v>GNSS</v>
          </cell>
          <cell r="Q1907">
            <v>2719300</v>
          </cell>
        </row>
        <row r="1908">
          <cell r="A1908" t="str">
            <v>Irrigation</v>
          </cell>
          <cell r="B1908" t="str">
            <v>GNSS</v>
          </cell>
          <cell r="Q1908">
            <v>63180</v>
          </cell>
        </row>
        <row r="1909">
          <cell r="A1909" t="str">
            <v>Irrigation</v>
          </cell>
          <cell r="B1909" t="str">
            <v>GNSS</v>
          </cell>
          <cell r="Q1909">
            <v>4992000</v>
          </cell>
        </row>
        <row r="1910">
          <cell r="A1910" t="str">
            <v>Irrigation</v>
          </cell>
          <cell r="B1910" t="str">
            <v>GNSS</v>
          </cell>
          <cell r="Q1910">
            <v>1248000</v>
          </cell>
        </row>
        <row r="1911">
          <cell r="A1911" t="str">
            <v>Irrigation</v>
          </cell>
          <cell r="B1911" t="str">
            <v>GNSS</v>
          </cell>
          <cell r="Q1911">
            <v>966636.48</v>
          </cell>
        </row>
        <row r="1912">
          <cell r="A1912" t="str">
            <v>Irrigation</v>
          </cell>
          <cell r="B1912" t="str">
            <v>GNSS</v>
          </cell>
          <cell r="Q1912">
            <v>19760</v>
          </cell>
        </row>
        <row r="1913">
          <cell r="A1913" t="str">
            <v>Irrigation</v>
          </cell>
          <cell r="B1913" t="str">
            <v>GNSS</v>
          </cell>
          <cell r="Q1913">
            <v>19760</v>
          </cell>
        </row>
        <row r="1914">
          <cell r="A1914" t="str">
            <v>Irrigation</v>
          </cell>
          <cell r="B1914" t="str">
            <v>GNSS</v>
          </cell>
          <cell r="Q1914">
            <v>19760</v>
          </cell>
        </row>
        <row r="1915">
          <cell r="A1915" t="str">
            <v>Irrigation</v>
          </cell>
          <cell r="B1915" t="str">
            <v>GNSS</v>
          </cell>
          <cell r="Q1915">
            <v>19760</v>
          </cell>
        </row>
        <row r="1916">
          <cell r="A1916" t="str">
            <v>Irrigation</v>
          </cell>
          <cell r="B1916" t="str">
            <v>GNSS</v>
          </cell>
          <cell r="Q1916">
            <v>19760</v>
          </cell>
        </row>
        <row r="1917">
          <cell r="A1917" t="str">
            <v>Irrigation</v>
          </cell>
          <cell r="B1917" t="str">
            <v>GNSS</v>
          </cell>
          <cell r="Q1917">
            <v>19760</v>
          </cell>
        </row>
        <row r="1918">
          <cell r="A1918" t="str">
            <v>Irrigation</v>
          </cell>
          <cell r="B1918" t="str">
            <v>GNSS</v>
          </cell>
          <cell r="Q1918">
            <v>131625</v>
          </cell>
        </row>
        <row r="1919">
          <cell r="A1919" t="str">
            <v>Irrigation</v>
          </cell>
          <cell r="B1919" t="str">
            <v>GNSS</v>
          </cell>
          <cell r="Q1919">
            <v>245691</v>
          </cell>
        </row>
        <row r="1920">
          <cell r="A1920" t="str">
            <v>Irrigation</v>
          </cell>
          <cell r="B1920" t="str">
            <v>GNSS</v>
          </cell>
          <cell r="Q1920">
            <v>19760</v>
          </cell>
        </row>
        <row r="1921">
          <cell r="A1921" t="str">
            <v>Irrigation</v>
          </cell>
          <cell r="B1921" t="str">
            <v>GNSS</v>
          </cell>
          <cell r="Q1921">
            <v>19760</v>
          </cell>
        </row>
        <row r="1922">
          <cell r="A1922" t="str">
            <v>Irrigation</v>
          </cell>
          <cell r="B1922" t="str">
            <v>GNSS</v>
          </cell>
          <cell r="Q1922">
            <v>6850</v>
          </cell>
        </row>
        <row r="1923">
          <cell r="A1923" t="str">
            <v>Irrigation</v>
          </cell>
          <cell r="B1923" t="str">
            <v>GNSS</v>
          </cell>
          <cell r="Q1923">
            <v>683476</v>
          </cell>
        </row>
        <row r="1924">
          <cell r="A1924" t="str">
            <v>Irrigation</v>
          </cell>
          <cell r="B1924" t="str">
            <v>GNSS</v>
          </cell>
          <cell r="Q1924">
            <v>1282507</v>
          </cell>
        </row>
        <row r="1925">
          <cell r="A1925" t="str">
            <v>Irrigation</v>
          </cell>
          <cell r="B1925" t="str">
            <v>GNSS</v>
          </cell>
          <cell r="Q1925">
            <v>1</v>
          </cell>
        </row>
        <row r="1926">
          <cell r="A1926" t="str">
            <v>Irrigation</v>
          </cell>
          <cell r="B1926" t="str">
            <v>GNSS</v>
          </cell>
          <cell r="Q1926">
            <v>1</v>
          </cell>
        </row>
        <row r="1927">
          <cell r="A1927" t="str">
            <v>Irrigation</v>
          </cell>
          <cell r="B1927" t="str">
            <v>GNSS</v>
          </cell>
          <cell r="Q1927">
            <v>1</v>
          </cell>
        </row>
        <row r="1928">
          <cell r="A1928" t="str">
            <v>Irrigation</v>
          </cell>
          <cell r="B1928" t="str">
            <v>GNSS</v>
          </cell>
          <cell r="Q1928">
            <v>1268169</v>
          </cell>
        </row>
        <row r="1929">
          <cell r="A1929" t="str">
            <v>Irrigation</v>
          </cell>
          <cell r="B1929" t="str">
            <v>GNSS</v>
          </cell>
          <cell r="Q1929">
            <v>1268169</v>
          </cell>
        </row>
        <row r="1930">
          <cell r="A1930" t="str">
            <v>Irrigation</v>
          </cell>
          <cell r="B1930" t="str">
            <v>GNSS</v>
          </cell>
          <cell r="Q1930">
            <v>1054567.8</v>
          </cell>
        </row>
        <row r="1931">
          <cell r="A1931" t="str">
            <v>Irrigation</v>
          </cell>
          <cell r="B1931" t="str">
            <v>GNSS</v>
          </cell>
          <cell r="Q1931">
            <v>995487.3</v>
          </cell>
        </row>
        <row r="1932">
          <cell r="A1932" t="str">
            <v>Irrigation</v>
          </cell>
          <cell r="B1932" t="str">
            <v>GNSS</v>
          </cell>
          <cell r="Q1932">
            <v>995487.3</v>
          </cell>
        </row>
        <row r="1933">
          <cell r="A1933" t="str">
            <v>Irrigation</v>
          </cell>
          <cell r="B1933" t="str">
            <v>GNSS</v>
          </cell>
          <cell r="Q1933">
            <v>995487.3</v>
          </cell>
        </row>
        <row r="1934">
          <cell r="A1934" t="str">
            <v>Irrigation</v>
          </cell>
          <cell r="B1934" t="str">
            <v>GNSS</v>
          </cell>
          <cell r="Q1934">
            <v>995487.3</v>
          </cell>
        </row>
        <row r="1935">
          <cell r="A1935" t="str">
            <v>Irrigation</v>
          </cell>
          <cell r="B1935" t="str">
            <v>GNSS</v>
          </cell>
          <cell r="Q1935">
            <v>995487.3</v>
          </cell>
        </row>
        <row r="1936">
          <cell r="A1936" t="str">
            <v>Irrigation</v>
          </cell>
          <cell r="B1936" t="str">
            <v>GNSS</v>
          </cell>
          <cell r="Q1936">
            <v>995487.3</v>
          </cell>
        </row>
        <row r="1937">
          <cell r="A1937" t="str">
            <v>Irrigation</v>
          </cell>
          <cell r="B1937" t="str">
            <v>GNSS</v>
          </cell>
          <cell r="Q1937">
            <v>480000</v>
          </cell>
        </row>
        <row r="1938">
          <cell r="A1938" t="str">
            <v>Irrigation</v>
          </cell>
          <cell r="B1938" t="str">
            <v>GNSS</v>
          </cell>
          <cell r="Q1938">
            <v>480000</v>
          </cell>
        </row>
        <row r="1939">
          <cell r="A1939" t="str">
            <v>Irrigation</v>
          </cell>
          <cell r="B1939" t="str">
            <v>GNSS</v>
          </cell>
          <cell r="Q1939">
            <v>161200</v>
          </cell>
        </row>
        <row r="1940">
          <cell r="A1940" t="str">
            <v>Irrigation</v>
          </cell>
          <cell r="B1940" t="str">
            <v>GNSS</v>
          </cell>
          <cell r="Q1940">
            <v>161200</v>
          </cell>
        </row>
        <row r="1941">
          <cell r="A1941" t="str">
            <v>Irrigation</v>
          </cell>
          <cell r="B1941" t="str">
            <v>GNSS</v>
          </cell>
          <cell r="Q1941">
            <v>161200</v>
          </cell>
        </row>
        <row r="1942">
          <cell r="A1942" t="str">
            <v>Irrigation</v>
          </cell>
          <cell r="B1942" t="str">
            <v>GNSS</v>
          </cell>
          <cell r="Q1942">
            <v>161200</v>
          </cell>
        </row>
        <row r="1943">
          <cell r="A1943" t="str">
            <v>Irrigation</v>
          </cell>
          <cell r="B1943" t="str">
            <v>GNSS</v>
          </cell>
          <cell r="Q1943">
            <v>322400</v>
          </cell>
        </row>
        <row r="1944">
          <cell r="A1944" t="str">
            <v>Irrigation</v>
          </cell>
          <cell r="B1944" t="str">
            <v>GNSS</v>
          </cell>
          <cell r="Q1944">
            <v>780000</v>
          </cell>
        </row>
        <row r="1945">
          <cell r="A1945" t="str">
            <v>Irrigation</v>
          </cell>
          <cell r="B1945" t="str">
            <v>GNSS</v>
          </cell>
          <cell r="Q1945">
            <v>322400</v>
          </cell>
        </row>
        <row r="1946">
          <cell r="A1946" t="str">
            <v>Irrigation</v>
          </cell>
          <cell r="B1946" t="str">
            <v>GNSS</v>
          </cell>
          <cell r="Q1946">
            <v>34900</v>
          </cell>
        </row>
        <row r="1947">
          <cell r="A1947" t="str">
            <v>Irrigation</v>
          </cell>
          <cell r="B1947" t="str">
            <v>GNSS</v>
          </cell>
          <cell r="Q1947">
            <v>39700</v>
          </cell>
        </row>
        <row r="1948">
          <cell r="A1948" t="str">
            <v>Irrigation</v>
          </cell>
          <cell r="B1948" t="str">
            <v>GNSS</v>
          </cell>
          <cell r="Q1948">
            <v>18840</v>
          </cell>
        </row>
        <row r="1949">
          <cell r="A1949" t="str">
            <v>Irrigation</v>
          </cell>
          <cell r="B1949" t="str">
            <v>GNSS</v>
          </cell>
          <cell r="Q1949">
            <v>94444</v>
          </cell>
        </row>
        <row r="1950">
          <cell r="A1950" t="str">
            <v>Irrigation</v>
          </cell>
          <cell r="B1950" t="str">
            <v>GNSS</v>
          </cell>
          <cell r="Q1950">
            <v>9828</v>
          </cell>
        </row>
        <row r="1951">
          <cell r="A1951" t="str">
            <v>Irrigation</v>
          </cell>
          <cell r="B1951" t="str">
            <v>GNSS</v>
          </cell>
          <cell r="Q1951">
            <v>9828</v>
          </cell>
        </row>
        <row r="1952">
          <cell r="A1952" t="str">
            <v>Irrigation</v>
          </cell>
          <cell r="B1952" t="str">
            <v>GNSS</v>
          </cell>
          <cell r="Q1952">
            <v>9828</v>
          </cell>
        </row>
        <row r="1953">
          <cell r="A1953" t="str">
            <v>Irrigation</v>
          </cell>
          <cell r="B1953" t="str">
            <v>GNSS</v>
          </cell>
          <cell r="Q1953">
            <v>13000</v>
          </cell>
        </row>
        <row r="1954">
          <cell r="A1954" t="str">
            <v>Irrigation</v>
          </cell>
          <cell r="B1954" t="str">
            <v>GNSS</v>
          </cell>
          <cell r="Q1954">
            <v>27195</v>
          </cell>
        </row>
        <row r="1955">
          <cell r="A1955" t="str">
            <v>Irrigation</v>
          </cell>
          <cell r="B1955" t="str">
            <v>GNSS</v>
          </cell>
          <cell r="Q1955">
            <v>12990</v>
          </cell>
        </row>
        <row r="1956">
          <cell r="A1956" t="str">
            <v>Irrigation</v>
          </cell>
          <cell r="B1956" t="str">
            <v>GNSS</v>
          </cell>
          <cell r="Q1956">
            <v>12990</v>
          </cell>
        </row>
        <row r="1957">
          <cell r="A1957" t="str">
            <v>Irrigation</v>
          </cell>
          <cell r="B1957" t="str">
            <v>GNSS</v>
          </cell>
          <cell r="Q1957">
            <v>144684</v>
          </cell>
        </row>
        <row r="1958">
          <cell r="A1958" t="str">
            <v>Irrigation</v>
          </cell>
          <cell r="B1958" t="str">
            <v>GNSS</v>
          </cell>
          <cell r="Q1958">
            <v>2966946</v>
          </cell>
        </row>
        <row r="1959">
          <cell r="A1959" t="str">
            <v>Irrigation</v>
          </cell>
          <cell r="B1959" t="str">
            <v>GNSS</v>
          </cell>
          <cell r="Q1959">
            <v>2286628</v>
          </cell>
        </row>
        <row r="1960">
          <cell r="A1960" t="str">
            <v>Irrigation</v>
          </cell>
          <cell r="B1960" t="str">
            <v>GNSS</v>
          </cell>
          <cell r="Q1960">
            <v>59614</v>
          </cell>
        </row>
        <row r="1961">
          <cell r="A1961" t="str">
            <v>Irrigation</v>
          </cell>
          <cell r="B1961" t="str">
            <v>GNSS</v>
          </cell>
          <cell r="Q1961">
            <v>46357</v>
          </cell>
        </row>
        <row r="1962">
          <cell r="A1962" t="str">
            <v>Irrigation</v>
          </cell>
          <cell r="B1962" t="str">
            <v>GNSS</v>
          </cell>
          <cell r="Q1962">
            <v>4139244</v>
          </cell>
        </row>
        <row r="1963">
          <cell r="A1963" t="str">
            <v>Irrigation</v>
          </cell>
          <cell r="B1963" t="str">
            <v>GNSS</v>
          </cell>
          <cell r="Q1963">
            <v>1935000</v>
          </cell>
        </row>
        <row r="1964">
          <cell r="A1964" t="str">
            <v>Irrigation</v>
          </cell>
          <cell r="B1964" t="str">
            <v>GNSS</v>
          </cell>
          <cell r="Q1964">
            <v>1293750</v>
          </cell>
        </row>
        <row r="1965">
          <cell r="A1965" t="str">
            <v>Irrigation</v>
          </cell>
          <cell r="B1965" t="str">
            <v>GNSS</v>
          </cell>
          <cell r="Q1965">
            <v>330000</v>
          </cell>
        </row>
        <row r="1966">
          <cell r="A1966" t="str">
            <v>Irrigation</v>
          </cell>
          <cell r="B1966" t="str">
            <v>GNSS</v>
          </cell>
          <cell r="Q1966">
            <v>330000</v>
          </cell>
        </row>
        <row r="1967">
          <cell r="A1967" t="str">
            <v>Irrigation</v>
          </cell>
          <cell r="B1967" t="str">
            <v>GNSS</v>
          </cell>
          <cell r="Q1967">
            <v>509351</v>
          </cell>
        </row>
        <row r="1968">
          <cell r="A1968" t="str">
            <v>Irrigation</v>
          </cell>
          <cell r="B1968" t="str">
            <v>GNSS</v>
          </cell>
          <cell r="Q1968">
            <v>443295</v>
          </cell>
        </row>
        <row r="1969">
          <cell r="A1969" t="str">
            <v>Irrigation</v>
          </cell>
          <cell r="B1969" t="str">
            <v>GNSS</v>
          </cell>
          <cell r="Q1969">
            <v>225264</v>
          </cell>
        </row>
        <row r="1970">
          <cell r="A1970" t="str">
            <v>Irrigation</v>
          </cell>
          <cell r="B1970" t="str">
            <v>Bhupatipalem</v>
          </cell>
          <cell r="Q1970">
            <v>916875</v>
          </cell>
        </row>
        <row r="1971">
          <cell r="A1971" t="str">
            <v>Irrigation</v>
          </cell>
          <cell r="B1971" t="str">
            <v>Bhupatipalem</v>
          </cell>
          <cell r="Q1971">
            <v>916875</v>
          </cell>
        </row>
        <row r="1972">
          <cell r="A1972" t="str">
            <v>Irrigation</v>
          </cell>
          <cell r="B1972" t="str">
            <v>Bhupatipalem</v>
          </cell>
          <cell r="Q1972">
            <v>117829.66</v>
          </cell>
        </row>
        <row r="1973">
          <cell r="A1973" t="str">
            <v>Irrigation</v>
          </cell>
          <cell r="B1973" t="str">
            <v>Bhupatipalem</v>
          </cell>
          <cell r="Q1973">
            <v>117829.67</v>
          </cell>
        </row>
        <row r="1974">
          <cell r="A1974" t="str">
            <v>Irrigation</v>
          </cell>
          <cell r="B1974" t="str">
            <v>Bhupatipalem</v>
          </cell>
          <cell r="Q1974">
            <v>117829.67</v>
          </cell>
        </row>
        <row r="1975">
          <cell r="A1975" t="str">
            <v>Irrigation</v>
          </cell>
          <cell r="B1975" t="str">
            <v>Bhupatipalem</v>
          </cell>
          <cell r="Q1975">
            <v>195700</v>
          </cell>
        </row>
        <row r="1976">
          <cell r="A1976" t="str">
            <v>Irrigation</v>
          </cell>
          <cell r="B1976" t="str">
            <v>Bhupatipalem</v>
          </cell>
          <cell r="Q1976">
            <v>195700</v>
          </cell>
        </row>
        <row r="1977">
          <cell r="A1977" t="str">
            <v>Irrigation</v>
          </cell>
          <cell r="B1977" t="str">
            <v>Bhupatipalem</v>
          </cell>
          <cell r="Q1977">
            <v>166860</v>
          </cell>
        </row>
        <row r="1978">
          <cell r="A1978" t="str">
            <v>Irrigation</v>
          </cell>
          <cell r="B1978" t="str">
            <v>Bhupatipalem</v>
          </cell>
          <cell r="Q1978">
            <v>98000</v>
          </cell>
        </row>
        <row r="1979">
          <cell r="A1979" t="str">
            <v>Irrigation</v>
          </cell>
          <cell r="B1979" t="str">
            <v>Bhupatipalem</v>
          </cell>
          <cell r="Q1979">
            <v>1442274.08</v>
          </cell>
        </row>
        <row r="1980">
          <cell r="A1980" t="str">
            <v>Irrigation</v>
          </cell>
          <cell r="B1980" t="str">
            <v>Bhupatipalem</v>
          </cell>
          <cell r="Q1980">
            <v>1442274.08</v>
          </cell>
        </row>
        <row r="1981">
          <cell r="A1981" t="str">
            <v>Irrigation</v>
          </cell>
          <cell r="B1981" t="str">
            <v>Bhupatipalem</v>
          </cell>
          <cell r="Q1981">
            <v>943301.6</v>
          </cell>
        </row>
        <row r="1982">
          <cell r="A1982" t="str">
            <v>Irrigation</v>
          </cell>
          <cell r="B1982" t="str">
            <v>Bhupatipalem</v>
          </cell>
          <cell r="Q1982">
            <v>943301.6</v>
          </cell>
        </row>
        <row r="1983">
          <cell r="A1983" t="str">
            <v>Irrigation</v>
          </cell>
          <cell r="B1983" t="str">
            <v>Bhupatipalem</v>
          </cell>
          <cell r="Q1983">
            <v>570609</v>
          </cell>
        </row>
        <row r="1984">
          <cell r="A1984" t="str">
            <v>Irrigation</v>
          </cell>
          <cell r="B1984" t="str">
            <v>Bhupatipalem</v>
          </cell>
          <cell r="Q1984">
            <v>23796635</v>
          </cell>
        </row>
        <row r="1985">
          <cell r="A1985" t="str">
            <v>Irrigation</v>
          </cell>
          <cell r="B1985" t="str">
            <v>Bhupatipalem</v>
          </cell>
          <cell r="Q1985">
            <v>2429199</v>
          </cell>
        </row>
        <row r="1986">
          <cell r="A1986" t="str">
            <v>Irrigation</v>
          </cell>
          <cell r="B1986" t="str">
            <v>Bhupatipalem</v>
          </cell>
          <cell r="Q1986">
            <v>430000</v>
          </cell>
        </row>
        <row r="1987">
          <cell r="A1987" t="str">
            <v>Irrigation</v>
          </cell>
          <cell r="B1987" t="str">
            <v>Bhupatipalem</v>
          </cell>
          <cell r="Q1987">
            <v>11501272.739999998</v>
          </cell>
        </row>
        <row r="1988">
          <cell r="A1988" t="str">
            <v>Irrigation</v>
          </cell>
          <cell r="B1988" t="str">
            <v>Bhupatipalem</v>
          </cell>
          <cell r="Q1988">
            <v>564750</v>
          </cell>
        </row>
        <row r="1989">
          <cell r="A1989" t="str">
            <v>Irrigation</v>
          </cell>
          <cell r="B1989" t="str">
            <v>Bhupatipalem</v>
          </cell>
          <cell r="Q1989">
            <v>564750</v>
          </cell>
        </row>
        <row r="1990">
          <cell r="A1990" t="str">
            <v>Irrigation</v>
          </cell>
          <cell r="B1990" t="str">
            <v>Bhupatipalem</v>
          </cell>
          <cell r="Q1990">
            <v>1248731</v>
          </cell>
        </row>
        <row r="1991">
          <cell r="A1991" t="str">
            <v>Irrigation</v>
          </cell>
          <cell r="B1991" t="str">
            <v>Bhupatipalem</v>
          </cell>
          <cell r="Q1991">
            <v>24440</v>
          </cell>
        </row>
        <row r="1992">
          <cell r="A1992" t="str">
            <v>Irrigation</v>
          </cell>
          <cell r="B1992" t="str">
            <v>Bhupatipalem</v>
          </cell>
          <cell r="Q1992">
            <v>24440</v>
          </cell>
        </row>
        <row r="1993">
          <cell r="A1993" t="str">
            <v>Irrigation</v>
          </cell>
          <cell r="B1993" t="str">
            <v>Bhupatipalem</v>
          </cell>
          <cell r="Q1993">
            <v>20228</v>
          </cell>
        </row>
        <row r="1994">
          <cell r="A1994" t="str">
            <v>Irrigation</v>
          </cell>
          <cell r="B1994" t="str">
            <v>Bhupatipalem</v>
          </cell>
          <cell r="Q1994">
            <v>20228</v>
          </cell>
        </row>
        <row r="1995">
          <cell r="A1995" t="str">
            <v>Irrigation</v>
          </cell>
          <cell r="B1995" t="str">
            <v>Bhupatipalem</v>
          </cell>
          <cell r="Q1995">
            <v>20228</v>
          </cell>
        </row>
        <row r="1996">
          <cell r="A1996" t="str">
            <v>Irrigation</v>
          </cell>
          <cell r="B1996" t="str">
            <v>Bhupatipalem</v>
          </cell>
          <cell r="Q1996">
            <v>20228</v>
          </cell>
        </row>
        <row r="1997">
          <cell r="A1997" t="str">
            <v>Irrigation</v>
          </cell>
          <cell r="B1997" t="str">
            <v>Bhupatipalem</v>
          </cell>
          <cell r="Q1997">
            <v>2686718.8</v>
          </cell>
        </row>
        <row r="1998">
          <cell r="A1998" t="str">
            <v>Irrigation</v>
          </cell>
          <cell r="B1998" t="str">
            <v>Bhupatipalem</v>
          </cell>
          <cell r="Q1998">
            <v>1776069</v>
          </cell>
        </row>
        <row r="1999">
          <cell r="A1999" t="str">
            <v>Irrigation</v>
          </cell>
          <cell r="B1999" t="str">
            <v>Bhupatipalem</v>
          </cell>
          <cell r="Q1999">
            <v>1776069</v>
          </cell>
        </row>
        <row r="2000">
          <cell r="A2000" t="str">
            <v>Irrigation</v>
          </cell>
          <cell r="B2000" t="str">
            <v>Bhupatipalem</v>
          </cell>
          <cell r="Q2000">
            <v>1776069</v>
          </cell>
        </row>
        <row r="2001">
          <cell r="A2001" t="str">
            <v>Irrigation</v>
          </cell>
          <cell r="B2001" t="str">
            <v>Bhupatipalem</v>
          </cell>
          <cell r="Q2001">
            <v>566159.18999999994</v>
          </cell>
        </row>
        <row r="2002">
          <cell r="A2002" t="str">
            <v>Irrigation</v>
          </cell>
          <cell r="B2002" t="str">
            <v>Bhupatipalem</v>
          </cell>
          <cell r="Q2002">
            <v>4347654.68</v>
          </cell>
        </row>
        <row r="2003">
          <cell r="A2003" t="str">
            <v>Irrigation</v>
          </cell>
          <cell r="B2003" t="str">
            <v>Bhupatipalem</v>
          </cell>
          <cell r="Q2003">
            <v>913181</v>
          </cell>
        </row>
        <row r="2004">
          <cell r="A2004" t="str">
            <v>Irrigation</v>
          </cell>
          <cell r="B2004" t="str">
            <v>Bhupatipalem</v>
          </cell>
          <cell r="Q2004">
            <v>966636.48</v>
          </cell>
        </row>
        <row r="2005">
          <cell r="A2005" t="str">
            <v>Irrigation</v>
          </cell>
          <cell r="B2005" t="str">
            <v>Bhupatipalem</v>
          </cell>
          <cell r="Q2005">
            <v>966636.48</v>
          </cell>
        </row>
        <row r="2006">
          <cell r="A2006" t="str">
            <v>Irrigation</v>
          </cell>
          <cell r="B2006" t="str">
            <v>Bhupatipalem</v>
          </cell>
          <cell r="Q2006">
            <v>13334</v>
          </cell>
        </row>
        <row r="2007">
          <cell r="A2007" t="str">
            <v>Irrigation</v>
          </cell>
          <cell r="B2007" t="str">
            <v>Bhupatipalem</v>
          </cell>
          <cell r="Q2007">
            <v>1282507</v>
          </cell>
        </row>
        <row r="2008">
          <cell r="A2008" t="str">
            <v>Irrigation</v>
          </cell>
          <cell r="B2008" t="str">
            <v>Bhupatipalem</v>
          </cell>
          <cell r="Q2008">
            <v>1282507</v>
          </cell>
        </row>
        <row r="2009">
          <cell r="A2009" t="str">
            <v>Irrigation</v>
          </cell>
          <cell r="B2009" t="str">
            <v>Bhupatipalem</v>
          </cell>
          <cell r="Q2009">
            <v>1081793.8</v>
          </cell>
        </row>
        <row r="2010">
          <cell r="A2010" t="str">
            <v>Irrigation</v>
          </cell>
          <cell r="B2010" t="str">
            <v>Bhupatipalem</v>
          </cell>
          <cell r="Q2010">
            <v>1081793.8</v>
          </cell>
        </row>
        <row r="2011">
          <cell r="A2011" t="str">
            <v>Irrigation</v>
          </cell>
          <cell r="B2011" t="str">
            <v>Bhupatipalem</v>
          </cell>
          <cell r="Q2011">
            <v>1081793.8</v>
          </cell>
        </row>
        <row r="2012">
          <cell r="A2012" t="str">
            <v>Irrigation</v>
          </cell>
          <cell r="B2012" t="str">
            <v>Bhupatipalem</v>
          </cell>
          <cell r="Q2012">
            <v>500390</v>
          </cell>
        </row>
        <row r="2013">
          <cell r="A2013" t="str">
            <v>Irrigation</v>
          </cell>
          <cell r="B2013" t="str">
            <v>Bhupatipalem</v>
          </cell>
          <cell r="Q2013">
            <v>460099</v>
          </cell>
        </row>
        <row r="2014">
          <cell r="A2014" t="str">
            <v>Irrigation</v>
          </cell>
          <cell r="B2014" t="str">
            <v>Bhupatipalem</v>
          </cell>
          <cell r="Q2014">
            <v>14750</v>
          </cell>
        </row>
        <row r="2015">
          <cell r="A2015" t="str">
            <v>Irrigation</v>
          </cell>
          <cell r="B2015" t="str">
            <v>Bhupatipalem</v>
          </cell>
          <cell r="Q2015">
            <v>24599</v>
          </cell>
        </row>
        <row r="2016">
          <cell r="A2016" t="str">
            <v>Irrigation</v>
          </cell>
          <cell r="B2016" t="str">
            <v>Bhupatipalem</v>
          </cell>
          <cell r="Q2016">
            <v>18806</v>
          </cell>
        </row>
        <row r="2017">
          <cell r="A2017" t="str">
            <v>Irrigation</v>
          </cell>
          <cell r="B2017" t="str">
            <v>Bhupatipalem</v>
          </cell>
          <cell r="Q2017">
            <v>2972918</v>
          </cell>
        </row>
        <row r="2018">
          <cell r="A2018" t="str">
            <v>Irrigation</v>
          </cell>
          <cell r="B2018" t="str">
            <v>Lingala</v>
          </cell>
          <cell r="Q2018">
            <v>92580</v>
          </cell>
        </row>
        <row r="2019">
          <cell r="A2019" t="str">
            <v>Irrigation</v>
          </cell>
          <cell r="B2019" t="str">
            <v>Lingala</v>
          </cell>
          <cell r="Q2019">
            <v>1772738</v>
          </cell>
        </row>
        <row r="2020">
          <cell r="A2020" t="str">
            <v>Irrigation</v>
          </cell>
          <cell r="B2020" t="str">
            <v>Lingala</v>
          </cell>
          <cell r="Q2020">
            <v>1772740</v>
          </cell>
        </row>
        <row r="2021">
          <cell r="A2021" t="str">
            <v>Irrigation</v>
          </cell>
          <cell r="B2021" t="str">
            <v>Lingala</v>
          </cell>
          <cell r="Q2021">
            <v>1772740</v>
          </cell>
        </row>
        <row r="2022">
          <cell r="A2022" t="str">
            <v>Irrigation</v>
          </cell>
          <cell r="B2022" t="str">
            <v>Lingala</v>
          </cell>
          <cell r="Q2022">
            <v>514100</v>
          </cell>
        </row>
        <row r="2023">
          <cell r="A2023" t="str">
            <v>Irrigation</v>
          </cell>
          <cell r="B2023" t="str">
            <v>Lingala</v>
          </cell>
          <cell r="Q2023">
            <v>51000</v>
          </cell>
        </row>
        <row r="2024">
          <cell r="A2024" t="str">
            <v>Irrigation</v>
          </cell>
          <cell r="B2024" t="str">
            <v>Lingala</v>
          </cell>
          <cell r="Q2024">
            <v>1349097</v>
          </cell>
        </row>
        <row r="2025">
          <cell r="A2025" t="str">
            <v>Irrigation</v>
          </cell>
          <cell r="B2025" t="str">
            <v>Lingala</v>
          </cell>
          <cell r="Q2025">
            <v>1204139.68</v>
          </cell>
        </row>
        <row r="2026">
          <cell r="A2026" t="str">
            <v>Irrigation</v>
          </cell>
          <cell r="B2026" t="str">
            <v>Lingala</v>
          </cell>
          <cell r="Q2026">
            <v>1204139.68</v>
          </cell>
        </row>
        <row r="2027">
          <cell r="A2027" t="str">
            <v>Irrigation</v>
          </cell>
          <cell r="B2027" t="str">
            <v>Lingala</v>
          </cell>
          <cell r="Q2027">
            <v>1204139.68</v>
          </cell>
        </row>
        <row r="2028">
          <cell r="A2028" t="str">
            <v>Irrigation</v>
          </cell>
          <cell r="B2028" t="str">
            <v>Lingala</v>
          </cell>
          <cell r="Q2028">
            <v>1204139.68</v>
          </cell>
        </row>
        <row r="2029">
          <cell r="A2029" t="str">
            <v>Irrigation</v>
          </cell>
          <cell r="B2029" t="str">
            <v>Lingala</v>
          </cell>
          <cell r="Q2029">
            <v>77983</v>
          </cell>
        </row>
        <row r="2030">
          <cell r="A2030" t="str">
            <v>Irrigation</v>
          </cell>
          <cell r="B2030" t="str">
            <v>Lingala</v>
          </cell>
          <cell r="Q2030">
            <v>1349097</v>
          </cell>
        </row>
        <row r="2031">
          <cell r="A2031" t="str">
            <v>Irrigation</v>
          </cell>
          <cell r="B2031" t="str">
            <v>Lingala</v>
          </cell>
          <cell r="Q2031">
            <v>599000</v>
          </cell>
        </row>
        <row r="2032">
          <cell r="A2032" t="str">
            <v>Irrigation</v>
          </cell>
          <cell r="B2032" t="str">
            <v>Lingala</v>
          </cell>
          <cell r="Q2032">
            <v>599000</v>
          </cell>
        </row>
        <row r="2033">
          <cell r="A2033" t="str">
            <v>Irrigation</v>
          </cell>
          <cell r="B2033" t="str">
            <v>Lingala</v>
          </cell>
          <cell r="Q2033">
            <v>1414185</v>
          </cell>
        </row>
        <row r="2034">
          <cell r="A2034" t="str">
            <v>Irrigation</v>
          </cell>
          <cell r="B2034" t="str">
            <v>Lingala</v>
          </cell>
          <cell r="Q2034">
            <v>1414074</v>
          </cell>
        </row>
        <row r="2035">
          <cell r="A2035" t="str">
            <v>Irrigation</v>
          </cell>
          <cell r="B2035" t="str">
            <v>Lingala</v>
          </cell>
          <cell r="Q2035">
            <v>1414074</v>
          </cell>
        </row>
        <row r="2036">
          <cell r="A2036" t="str">
            <v>Irrigation</v>
          </cell>
          <cell r="B2036" t="str">
            <v>Lingala</v>
          </cell>
          <cell r="Q2036">
            <v>1414074</v>
          </cell>
        </row>
        <row r="2037">
          <cell r="A2037" t="str">
            <v>Irrigation</v>
          </cell>
          <cell r="B2037" t="str">
            <v>Lingala</v>
          </cell>
          <cell r="Q2037">
            <v>1414074</v>
          </cell>
        </row>
        <row r="2038">
          <cell r="A2038" t="str">
            <v>Irrigation</v>
          </cell>
          <cell r="B2038" t="str">
            <v>Lingala</v>
          </cell>
          <cell r="Q2038">
            <v>1414074</v>
          </cell>
        </row>
        <row r="2039">
          <cell r="A2039" t="str">
            <v>Irrigation</v>
          </cell>
          <cell r="B2039" t="str">
            <v>Lingala</v>
          </cell>
          <cell r="Q2039">
            <v>2436928</v>
          </cell>
        </row>
        <row r="2040">
          <cell r="A2040" t="str">
            <v>Irrigation</v>
          </cell>
          <cell r="B2040" t="str">
            <v>Lingala</v>
          </cell>
          <cell r="Q2040">
            <v>1194822</v>
          </cell>
        </row>
        <row r="2041">
          <cell r="A2041" t="str">
            <v>Irrigation</v>
          </cell>
          <cell r="B2041" t="str">
            <v>Lingala</v>
          </cell>
          <cell r="Q2041">
            <v>1194822</v>
          </cell>
        </row>
        <row r="2042">
          <cell r="A2042" t="str">
            <v>Irrigation</v>
          </cell>
          <cell r="B2042" t="str">
            <v>Lingala</v>
          </cell>
          <cell r="Q2042">
            <v>1194822</v>
          </cell>
        </row>
        <row r="2043">
          <cell r="A2043" t="str">
            <v>Irrigation</v>
          </cell>
          <cell r="B2043" t="str">
            <v>Lingala</v>
          </cell>
          <cell r="Q2043">
            <v>1348597</v>
          </cell>
        </row>
        <row r="2044">
          <cell r="A2044" t="str">
            <v>Irrigation</v>
          </cell>
          <cell r="B2044" t="str">
            <v>Lingala</v>
          </cell>
          <cell r="Q2044">
            <v>955533.04</v>
          </cell>
        </row>
        <row r="2045">
          <cell r="A2045" t="str">
            <v>Irrigation</v>
          </cell>
          <cell r="B2045" t="str">
            <v>Lingala</v>
          </cell>
          <cell r="Q2045">
            <v>955533.04</v>
          </cell>
        </row>
        <row r="2046">
          <cell r="A2046" t="str">
            <v>Irrigation</v>
          </cell>
          <cell r="B2046" t="str">
            <v>Lingala</v>
          </cell>
          <cell r="Q2046">
            <v>955532.04</v>
          </cell>
        </row>
        <row r="2047">
          <cell r="A2047" t="str">
            <v>Irrigation</v>
          </cell>
          <cell r="B2047" t="str">
            <v>Lingala</v>
          </cell>
          <cell r="Q2047">
            <v>955532.04</v>
          </cell>
        </row>
        <row r="2048">
          <cell r="A2048" t="str">
            <v>Irrigation</v>
          </cell>
          <cell r="B2048" t="str">
            <v>Lingala</v>
          </cell>
          <cell r="Q2048">
            <v>955532.04</v>
          </cell>
        </row>
        <row r="2049">
          <cell r="A2049" t="str">
            <v>Irrigation</v>
          </cell>
          <cell r="B2049" t="str">
            <v>Lingala</v>
          </cell>
          <cell r="Q2049">
            <v>955532.04</v>
          </cell>
        </row>
        <row r="2050">
          <cell r="A2050" t="str">
            <v>Irrigation</v>
          </cell>
          <cell r="B2050" t="str">
            <v>Lingala</v>
          </cell>
          <cell r="Q2050">
            <v>546500</v>
          </cell>
        </row>
        <row r="2051">
          <cell r="A2051" t="str">
            <v>Irrigation</v>
          </cell>
          <cell r="B2051" t="str">
            <v>Lingala</v>
          </cell>
          <cell r="Q2051">
            <v>353322</v>
          </cell>
        </row>
        <row r="2052">
          <cell r="A2052" t="str">
            <v>Irrigation</v>
          </cell>
          <cell r="B2052" t="str">
            <v>Lingala</v>
          </cell>
          <cell r="Q2052">
            <v>2622989</v>
          </cell>
        </row>
        <row r="2053">
          <cell r="A2053" t="str">
            <v>Irrigation</v>
          </cell>
          <cell r="B2053" t="str">
            <v>Lingala</v>
          </cell>
          <cell r="Q2053">
            <v>1349097</v>
          </cell>
        </row>
        <row r="2054">
          <cell r="A2054" t="str">
            <v>Irrigation</v>
          </cell>
          <cell r="B2054" t="str">
            <v>Lingala</v>
          </cell>
          <cell r="Q2054">
            <v>2622989</v>
          </cell>
        </row>
        <row r="2055">
          <cell r="A2055" t="str">
            <v>Irrigation</v>
          </cell>
          <cell r="B2055" t="str">
            <v>Lingala</v>
          </cell>
          <cell r="Q2055">
            <v>246250</v>
          </cell>
        </row>
        <row r="2056">
          <cell r="A2056" t="str">
            <v>Irrigation</v>
          </cell>
          <cell r="B2056" t="str">
            <v>Lingala</v>
          </cell>
          <cell r="Q2056">
            <v>246250</v>
          </cell>
        </row>
        <row r="2057">
          <cell r="A2057" t="str">
            <v>Irrigation</v>
          </cell>
          <cell r="B2057" t="str">
            <v>Lingala</v>
          </cell>
          <cell r="Q2057">
            <v>544176</v>
          </cell>
        </row>
        <row r="2058">
          <cell r="A2058" t="str">
            <v>Irrigation</v>
          </cell>
          <cell r="B2058" t="str">
            <v>Lingala</v>
          </cell>
          <cell r="Q2058">
            <v>357322</v>
          </cell>
        </row>
        <row r="2059">
          <cell r="A2059" t="str">
            <v>Irrigation</v>
          </cell>
          <cell r="B2059" t="str">
            <v>Lingala</v>
          </cell>
          <cell r="Q2059">
            <v>51000</v>
          </cell>
        </row>
        <row r="2060">
          <cell r="A2060" t="str">
            <v>Irrigation</v>
          </cell>
          <cell r="B2060" t="str">
            <v>Lingala</v>
          </cell>
          <cell r="Q2060">
            <v>1162446</v>
          </cell>
        </row>
        <row r="2061">
          <cell r="A2061" t="str">
            <v>Irrigation</v>
          </cell>
          <cell r="B2061" t="str">
            <v>Lingala</v>
          </cell>
          <cell r="Q2061">
            <v>78740.5</v>
          </cell>
        </row>
        <row r="2062">
          <cell r="A2062" t="str">
            <v>Irrigation</v>
          </cell>
          <cell r="B2062" t="str">
            <v>Lingala</v>
          </cell>
          <cell r="Q2062">
            <v>78740.5</v>
          </cell>
        </row>
        <row r="2063">
          <cell r="A2063" t="str">
            <v>Irrigation</v>
          </cell>
          <cell r="B2063" t="str">
            <v>Lingala</v>
          </cell>
          <cell r="Q2063">
            <v>2619000.7999999998</v>
          </cell>
        </row>
        <row r="2064">
          <cell r="A2064" t="str">
            <v>Irrigation</v>
          </cell>
          <cell r="B2064" t="str">
            <v>Lingala</v>
          </cell>
          <cell r="Q2064">
            <v>508741</v>
          </cell>
        </row>
        <row r="2065">
          <cell r="A2065" t="str">
            <v>Irrigation</v>
          </cell>
          <cell r="B2065" t="str">
            <v>Lingala</v>
          </cell>
          <cell r="Q2065">
            <v>534375</v>
          </cell>
        </row>
        <row r="2066">
          <cell r="A2066" t="str">
            <v>Irrigation</v>
          </cell>
          <cell r="B2066" t="str">
            <v>Lingala</v>
          </cell>
          <cell r="Q2066">
            <v>9481210</v>
          </cell>
        </row>
        <row r="2067">
          <cell r="A2067" t="str">
            <v>Irrigation</v>
          </cell>
          <cell r="B2067" t="str">
            <v>Lingala</v>
          </cell>
          <cell r="Q2067">
            <v>83055</v>
          </cell>
        </row>
        <row r="2068">
          <cell r="A2068" t="str">
            <v>Irrigation</v>
          </cell>
          <cell r="B2068" t="str">
            <v>Lingala</v>
          </cell>
          <cell r="Q2068">
            <v>1244234</v>
          </cell>
        </row>
        <row r="2069">
          <cell r="A2069" t="str">
            <v>Irrigation</v>
          </cell>
          <cell r="B2069" t="str">
            <v>Lingala</v>
          </cell>
          <cell r="Q2069">
            <v>949636.48</v>
          </cell>
        </row>
        <row r="2070">
          <cell r="A2070" t="str">
            <v>Irrigation</v>
          </cell>
          <cell r="B2070" t="str">
            <v>Lingala</v>
          </cell>
          <cell r="Q2070">
            <v>949636.48</v>
          </cell>
        </row>
        <row r="2071">
          <cell r="A2071" t="str">
            <v>Irrigation</v>
          </cell>
          <cell r="B2071" t="str">
            <v>Lingala</v>
          </cell>
          <cell r="Q2071">
            <v>1674981</v>
          </cell>
        </row>
        <row r="2072">
          <cell r="A2072" t="str">
            <v>Irrigation</v>
          </cell>
          <cell r="B2072" t="str">
            <v>Lingala</v>
          </cell>
          <cell r="Q2072">
            <v>1098801</v>
          </cell>
        </row>
        <row r="2073">
          <cell r="A2073" t="str">
            <v>Irrigation</v>
          </cell>
          <cell r="B2073" t="str">
            <v>Lingala</v>
          </cell>
          <cell r="Q2073">
            <v>1098801</v>
          </cell>
        </row>
        <row r="2074">
          <cell r="A2074" t="str">
            <v>Irrigation</v>
          </cell>
          <cell r="B2074" t="str">
            <v>Lingala</v>
          </cell>
          <cell r="Q2074">
            <v>1098801</v>
          </cell>
        </row>
        <row r="2075">
          <cell r="A2075" t="str">
            <v>Irrigation</v>
          </cell>
          <cell r="B2075" t="str">
            <v>Lingala</v>
          </cell>
          <cell r="Q2075">
            <v>1098801</v>
          </cell>
        </row>
        <row r="2076">
          <cell r="A2076" t="str">
            <v>Irrigation</v>
          </cell>
          <cell r="B2076" t="str">
            <v>Lingala</v>
          </cell>
          <cell r="Q2076">
            <v>435488</v>
          </cell>
        </row>
        <row r="2077">
          <cell r="A2077" t="str">
            <v>Irrigation</v>
          </cell>
          <cell r="B2077" t="str">
            <v>Lingala</v>
          </cell>
          <cell r="Q2077">
            <v>1332091</v>
          </cell>
        </row>
        <row r="2078">
          <cell r="A2078" t="str">
            <v>Irrigation</v>
          </cell>
          <cell r="B2078" t="str">
            <v>Lingala</v>
          </cell>
          <cell r="Q2078">
            <v>1332081</v>
          </cell>
        </row>
        <row r="2079">
          <cell r="A2079" t="str">
            <v>Irrigation</v>
          </cell>
          <cell r="B2079" t="str">
            <v>Lingala</v>
          </cell>
          <cell r="Q2079">
            <v>353322</v>
          </cell>
        </row>
        <row r="2080">
          <cell r="A2080" t="str">
            <v>Irrigation</v>
          </cell>
          <cell r="B2080" t="str">
            <v>Lingala</v>
          </cell>
          <cell r="Q2080">
            <v>353322</v>
          </cell>
        </row>
        <row r="2081">
          <cell r="A2081" t="str">
            <v>Irrigation</v>
          </cell>
          <cell r="B2081" t="str">
            <v>Lingala</v>
          </cell>
          <cell r="Q2081">
            <v>966636.48</v>
          </cell>
        </row>
        <row r="2082">
          <cell r="A2082" t="str">
            <v>Irrigation</v>
          </cell>
          <cell r="B2082" t="str">
            <v>Lingala</v>
          </cell>
          <cell r="Q2082">
            <v>966636.48</v>
          </cell>
        </row>
        <row r="2083">
          <cell r="A2083" t="str">
            <v>Irrigation</v>
          </cell>
          <cell r="B2083" t="str">
            <v>Lingala</v>
          </cell>
          <cell r="Q2083">
            <v>966636.48</v>
          </cell>
        </row>
        <row r="2084">
          <cell r="A2084" t="str">
            <v>Irrigation</v>
          </cell>
          <cell r="B2084" t="str">
            <v>Lingala</v>
          </cell>
          <cell r="Q2084">
            <v>34300</v>
          </cell>
        </row>
        <row r="2085">
          <cell r="A2085" t="str">
            <v>Irrigation</v>
          </cell>
          <cell r="B2085" t="str">
            <v>Lingala</v>
          </cell>
          <cell r="Q2085">
            <v>34300</v>
          </cell>
        </row>
        <row r="2086">
          <cell r="A2086" t="str">
            <v>Irrigation</v>
          </cell>
          <cell r="B2086" t="str">
            <v>Lingala</v>
          </cell>
          <cell r="Q2086">
            <v>34300</v>
          </cell>
        </row>
        <row r="2087">
          <cell r="A2087" t="str">
            <v>Irrigation</v>
          </cell>
          <cell r="B2087" t="str">
            <v>Lingala</v>
          </cell>
          <cell r="Q2087">
            <v>34300</v>
          </cell>
        </row>
        <row r="2088">
          <cell r="A2088" t="str">
            <v>Irrigation</v>
          </cell>
          <cell r="B2088" t="str">
            <v>Lingala</v>
          </cell>
          <cell r="Q2088">
            <v>1282507</v>
          </cell>
        </row>
        <row r="2089">
          <cell r="A2089" t="str">
            <v>Irrigation</v>
          </cell>
          <cell r="B2089" t="str">
            <v>Lingala</v>
          </cell>
          <cell r="Q2089">
            <v>1282507</v>
          </cell>
        </row>
        <row r="2090">
          <cell r="A2090" t="str">
            <v>Irrigation</v>
          </cell>
          <cell r="B2090" t="str">
            <v>Lingala</v>
          </cell>
          <cell r="Q2090">
            <v>1282507</v>
          </cell>
        </row>
        <row r="2091">
          <cell r="A2091" t="str">
            <v>Irrigation</v>
          </cell>
          <cell r="B2091" t="str">
            <v>Lingala</v>
          </cell>
          <cell r="Q2091">
            <v>995487.3</v>
          </cell>
        </row>
        <row r="2092">
          <cell r="A2092" t="str">
            <v>Irrigation</v>
          </cell>
          <cell r="B2092" t="str">
            <v>Lingala</v>
          </cell>
          <cell r="Q2092">
            <v>2307069</v>
          </cell>
        </row>
        <row r="2093">
          <cell r="A2093" t="str">
            <v>Irrigation</v>
          </cell>
          <cell r="B2093" t="str">
            <v>Lingala</v>
          </cell>
          <cell r="Q2093">
            <v>995487.3</v>
          </cell>
        </row>
        <row r="2094">
          <cell r="A2094" t="str">
            <v>Irrigation</v>
          </cell>
          <cell r="B2094" t="str">
            <v>Lingala</v>
          </cell>
          <cell r="Q2094">
            <v>995487.3</v>
          </cell>
        </row>
        <row r="2095">
          <cell r="A2095" t="str">
            <v>Irrigation</v>
          </cell>
          <cell r="B2095" t="str">
            <v>Lingala</v>
          </cell>
          <cell r="Q2095">
            <v>24921637</v>
          </cell>
        </row>
        <row r="2096">
          <cell r="A2096" t="str">
            <v>Irrigation</v>
          </cell>
          <cell r="B2096" t="str">
            <v>Lingala</v>
          </cell>
          <cell r="Q2096">
            <v>2839224</v>
          </cell>
        </row>
        <row r="2097">
          <cell r="A2097" t="str">
            <v>Irrigation</v>
          </cell>
          <cell r="B2097" t="str">
            <v>KP Dams</v>
          </cell>
          <cell r="Q2097">
            <v>44519886</v>
          </cell>
        </row>
        <row r="2098">
          <cell r="A2098" t="str">
            <v>Irrigation</v>
          </cell>
          <cell r="B2098" t="str">
            <v>KP Dams</v>
          </cell>
          <cell r="Q2098">
            <v>536860</v>
          </cell>
        </row>
        <row r="2099">
          <cell r="A2099" t="str">
            <v>Irrigation</v>
          </cell>
          <cell r="B2099" t="str">
            <v>KP Dams</v>
          </cell>
          <cell r="Q2099">
            <v>536860</v>
          </cell>
        </row>
        <row r="2100">
          <cell r="A2100" t="str">
            <v>Irrigation</v>
          </cell>
          <cell r="B2100" t="str">
            <v>KP Dams</v>
          </cell>
          <cell r="Q2100">
            <v>536860</v>
          </cell>
        </row>
        <row r="2101">
          <cell r="A2101" t="str">
            <v>Irrigation</v>
          </cell>
          <cell r="B2101" t="str">
            <v>KP Dams</v>
          </cell>
          <cell r="Q2101">
            <v>536860</v>
          </cell>
        </row>
        <row r="2102">
          <cell r="A2102" t="str">
            <v>Irrigation</v>
          </cell>
          <cell r="B2102" t="str">
            <v>KP Dams</v>
          </cell>
          <cell r="Q2102">
            <v>536860</v>
          </cell>
        </row>
        <row r="2103">
          <cell r="A2103" t="str">
            <v>Irrigation</v>
          </cell>
          <cell r="B2103" t="str">
            <v>KP Dams</v>
          </cell>
          <cell r="Q2103">
            <v>536860</v>
          </cell>
        </row>
        <row r="2104">
          <cell r="A2104" t="str">
            <v>Irrigation</v>
          </cell>
          <cell r="B2104" t="str">
            <v>KP Dams</v>
          </cell>
          <cell r="Q2104">
            <v>536860</v>
          </cell>
        </row>
        <row r="2105">
          <cell r="A2105" t="str">
            <v>Irrigation</v>
          </cell>
          <cell r="B2105" t="str">
            <v>KP Dams</v>
          </cell>
          <cell r="Q2105">
            <v>536860</v>
          </cell>
        </row>
        <row r="2106">
          <cell r="A2106" t="str">
            <v>Irrigation</v>
          </cell>
          <cell r="B2106" t="str">
            <v>KP Dams</v>
          </cell>
          <cell r="Q2106">
            <v>1705783</v>
          </cell>
        </row>
        <row r="2107">
          <cell r="A2107" t="str">
            <v>Irrigation</v>
          </cell>
          <cell r="B2107" t="str">
            <v>KP Dams</v>
          </cell>
          <cell r="Q2107">
            <v>11576616</v>
          </cell>
        </row>
        <row r="2108">
          <cell r="A2108" t="str">
            <v>Irrigation</v>
          </cell>
          <cell r="B2108" t="str">
            <v>KP Dams</v>
          </cell>
          <cell r="Q2108">
            <v>1805570</v>
          </cell>
        </row>
        <row r="2109">
          <cell r="A2109" t="str">
            <v>Irrigation</v>
          </cell>
          <cell r="B2109" t="str">
            <v>KP Dams</v>
          </cell>
          <cell r="Q2109">
            <v>1157959.3799999999</v>
          </cell>
        </row>
        <row r="2110">
          <cell r="A2110" t="str">
            <v>Irrigation</v>
          </cell>
          <cell r="B2110" t="str">
            <v>KP Dams</v>
          </cell>
          <cell r="Q2110">
            <v>1157959.3799999999</v>
          </cell>
        </row>
        <row r="2111">
          <cell r="A2111" t="str">
            <v>Irrigation</v>
          </cell>
          <cell r="B2111" t="str">
            <v>KP Dams</v>
          </cell>
          <cell r="Q2111">
            <v>1157959.3799999999</v>
          </cell>
        </row>
        <row r="2112">
          <cell r="A2112" t="str">
            <v>Irrigation</v>
          </cell>
          <cell r="B2112" t="str">
            <v>KP Dams</v>
          </cell>
          <cell r="Q2112">
            <v>29074031</v>
          </cell>
        </row>
        <row r="2113">
          <cell r="A2113" t="str">
            <v>Irrigation</v>
          </cell>
          <cell r="B2113" t="str">
            <v>KP Dams</v>
          </cell>
          <cell r="Q2113">
            <v>1203855</v>
          </cell>
        </row>
        <row r="2114">
          <cell r="A2114" t="str">
            <v>Irrigation</v>
          </cell>
          <cell r="B2114" t="str">
            <v>KP Dams</v>
          </cell>
          <cell r="Q2114">
            <v>1203855</v>
          </cell>
        </row>
        <row r="2115">
          <cell r="A2115" t="str">
            <v>Irrigation</v>
          </cell>
          <cell r="B2115" t="str">
            <v>KP Dams</v>
          </cell>
          <cell r="Q2115">
            <v>1203855</v>
          </cell>
        </row>
        <row r="2116">
          <cell r="A2116" t="str">
            <v>Irrigation</v>
          </cell>
          <cell r="B2116" t="str">
            <v>KP Dams</v>
          </cell>
          <cell r="Q2116">
            <v>1203855</v>
          </cell>
        </row>
        <row r="2117">
          <cell r="A2117" t="str">
            <v>Irrigation</v>
          </cell>
          <cell r="B2117" t="str">
            <v>KP Dams</v>
          </cell>
          <cell r="Q2117">
            <v>1203855</v>
          </cell>
        </row>
        <row r="2118">
          <cell r="A2118" t="str">
            <v>Irrigation</v>
          </cell>
          <cell r="B2118" t="str">
            <v>KP Dams</v>
          </cell>
          <cell r="Q2118">
            <v>546441</v>
          </cell>
        </row>
        <row r="2119">
          <cell r="A2119" t="str">
            <v>Irrigation</v>
          </cell>
          <cell r="B2119" t="str">
            <v>KP Dams</v>
          </cell>
          <cell r="Q2119">
            <v>104000</v>
          </cell>
        </row>
        <row r="2120">
          <cell r="A2120" t="str">
            <v>Irrigation</v>
          </cell>
          <cell r="B2120" t="str">
            <v>KP Dams</v>
          </cell>
          <cell r="Q2120">
            <v>104000</v>
          </cell>
        </row>
        <row r="2121">
          <cell r="A2121" t="str">
            <v>Irrigation</v>
          </cell>
          <cell r="B2121" t="str">
            <v>KP Dams</v>
          </cell>
          <cell r="Q2121">
            <v>1383600</v>
          </cell>
        </row>
        <row r="2122">
          <cell r="A2122" t="str">
            <v>Irrigation</v>
          </cell>
          <cell r="B2122" t="str">
            <v>KP Dams</v>
          </cell>
          <cell r="Q2122">
            <v>1383600</v>
          </cell>
        </row>
        <row r="2123">
          <cell r="A2123" t="str">
            <v>Irrigation</v>
          </cell>
          <cell r="B2123" t="str">
            <v>KP Dams</v>
          </cell>
          <cell r="Q2123">
            <v>1394541</v>
          </cell>
        </row>
        <row r="2124">
          <cell r="A2124" t="str">
            <v>Irrigation</v>
          </cell>
          <cell r="B2124" t="str">
            <v>KP Dams</v>
          </cell>
          <cell r="Q2124">
            <v>1394541</v>
          </cell>
        </row>
        <row r="2125">
          <cell r="A2125" t="str">
            <v>Irrigation</v>
          </cell>
          <cell r="B2125" t="str">
            <v>KP Dams</v>
          </cell>
          <cell r="Q2125">
            <v>32600</v>
          </cell>
        </row>
        <row r="2126">
          <cell r="A2126" t="str">
            <v>Irrigation</v>
          </cell>
          <cell r="B2126" t="str">
            <v>KP Dams</v>
          </cell>
          <cell r="Q2126">
            <v>32600</v>
          </cell>
        </row>
        <row r="2127">
          <cell r="A2127" t="str">
            <v>Irrigation</v>
          </cell>
          <cell r="B2127" t="str">
            <v>KP Dams</v>
          </cell>
          <cell r="Q2127">
            <v>32600</v>
          </cell>
        </row>
        <row r="2128">
          <cell r="A2128" t="str">
            <v>Irrigation</v>
          </cell>
          <cell r="B2128" t="str">
            <v>KP Dams</v>
          </cell>
          <cell r="Q2128">
            <v>584500</v>
          </cell>
        </row>
        <row r="2129">
          <cell r="A2129" t="str">
            <v>Irrigation</v>
          </cell>
          <cell r="B2129" t="str">
            <v>KP Dams</v>
          </cell>
          <cell r="Q2129">
            <v>584500</v>
          </cell>
        </row>
        <row r="2130">
          <cell r="A2130" t="str">
            <v>Irrigation</v>
          </cell>
          <cell r="B2130" t="str">
            <v>KP Dams</v>
          </cell>
          <cell r="Q2130">
            <v>1164829</v>
          </cell>
        </row>
        <row r="2131">
          <cell r="A2131" t="str">
            <v>Irrigation</v>
          </cell>
          <cell r="B2131" t="str">
            <v>KP Dams</v>
          </cell>
          <cell r="Q2131">
            <v>1164830</v>
          </cell>
        </row>
        <row r="2132">
          <cell r="A2132" t="str">
            <v>Irrigation</v>
          </cell>
          <cell r="B2132" t="str">
            <v>KP Dams</v>
          </cell>
          <cell r="Q2132">
            <v>2411056</v>
          </cell>
        </row>
        <row r="2133">
          <cell r="A2133" t="str">
            <v>Irrigation</v>
          </cell>
          <cell r="B2133" t="str">
            <v>KP Dams</v>
          </cell>
          <cell r="Q2133">
            <v>1716622</v>
          </cell>
        </row>
        <row r="2134">
          <cell r="A2134" t="str">
            <v>Irrigation</v>
          </cell>
          <cell r="B2134" t="str">
            <v>KP Dams</v>
          </cell>
          <cell r="Q2134">
            <v>984831</v>
          </cell>
        </row>
        <row r="2135">
          <cell r="A2135" t="str">
            <v>Irrigation</v>
          </cell>
          <cell r="B2135" t="str">
            <v>KP Dams</v>
          </cell>
          <cell r="Q2135">
            <v>984831</v>
          </cell>
        </row>
        <row r="2136">
          <cell r="A2136" t="str">
            <v>Irrigation</v>
          </cell>
          <cell r="B2136" t="str">
            <v>KP Dams</v>
          </cell>
          <cell r="Q2136">
            <v>965235</v>
          </cell>
        </row>
        <row r="2137">
          <cell r="A2137" t="str">
            <v>Irrigation</v>
          </cell>
          <cell r="B2137" t="str">
            <v>KP Dams</v>
          </cell>
          <cell r="Q2137">
            <v>965235</v>
          </cell>
        </row>
        <row r="2138">
          <cell r="A2138" t="str">
            <v>Irrigation</v>
          </cell>
          <cell r="B2138" t="str">
            <v>KP Dams</v>
          </cell>
          <cell r="Q2138">
            <v>1370186</v>
          </cell>
        </row>
        <row r="2139">
          <cell r="A2139" t="str">
            <v>Irrigation</v>
          </cell>
          <cell r="B2139" t="str">
            <v>KP Dams</v>
          </cell>
          <cell r="Q2139">
            <v>1370186</v>
          </cell>
        </row>
        <row r="2140">
          <cell r="A2140" t="str">
            <v>Irrigation</v>
          </cell>
          <cell r="B2140" t="str">
            <v>KP Dams</v>
          </cell>
          <cell r="Q2140">
            <v>1370186</v>
          </cell>
        </row>
        <row r="2141">
          <cell r="A2141" t="str">
            <v>Irrigation</v>
          </cell>
          <cell r="B2141" t="str">
            <v>KP Dams</v>
          </cell>
          <cell r="Q2141">
            <v>1370186</v>
          </cell>
        </row>
        <row r="2142">
          <cell r="A2142" t="str">
            <v>Irrigation</v>
          </cell>
          <cell r="B2142" t="str">
            <v>KP Dams</v>
          </cell>
          <cell r="Q2142">
            <v>974822.48</v>
          </cell>
        </row>
        <row r="2143">
          <cell r="A2143" t="str">
            <v>Irrigation</v>
          </cell>
          <cell r="B2143" t="str">
            <v>KP Dams</v>
          </cell>
          <cell r="Q2143">
            <v>974822.48</v>
          </cell>
        </row>
        <row r="2144">
          <cell r="A2144" t="str">
            <v>Irrigation</v>
          </cell>
          <cell r="B2144" t="str">
            <v>KP Dams</v>
          </cell>
          <cell r="Q2144">
            <v>984822.48</v>
          </cell>
        </row>
        <row r="2145">
          <cell r="A2145" t="str">
            <v>Irrigation</v>
          </cell>
          <cell r="B2145" t="str">
            <v>KP Dams</v>
          </cell>
          <cell r="Q2145">
            <v>984822.48</v>
          </cell>
        </row>
        <row r="2146">
          <cell r="A2146" t="str">
            <v>Irrigation</v>
          </cell>
          <cell r="B2146" t="str">
            <v>KP Dams</v>
          </cell>
          <cell r="Q2146">
            <v>496858</v>
          </cell>
        </row>
        <row r="2147">
          <cell r="A2147" t="str">
            <v>Irrigation</v>
          </cell>
          <cell r="B2147" t="str">
            <v>KP Dams</v>
          </cell>
          <cell r="Q2147">
            <v>1760259</v>
          </cell>
        </row>
        <row r="2148">
          <cell r="A2148" t="str">
            <v>Irrigation</v>
          </cell>
          <cell r="B2148" t="str">
            <v>KP Dams</v>
          </cell>
          <cell r="Q2148">
            <v>2973676.12</v>
          </cell>
        </row>
        <row r="2149">
          <cell r="A2149" t="str">
            <v>Irrigation</v>
          </cell>
          <cell r="B2149" t="str">
            <v>KP Dams</v>
          </cell>
          <cell r="Q2149">
            <v>966636.48</v>
          </cell>
        </row>
        <row r="2150">
          <cell r="A2150" t="str">
            <v>Irrigation</v>
          </cell>
          <cell r="B2150" t="str">
            <v>KP Dams</v>
          </cell>
          <cell r="Q2150">
            <v>966636.48</v>
          </cell>
        </row>
        <row r="2151">
          <cell r="A2151" t="str">
            <v>Irrigation</v>
          </cell>
          <cell r="B2151" t="str">
            <v>KP Dams</v>
          </cell>
          <cell r="Q2151">
            <v>180000</v>
          </cell>
        </row>
        <row r="2152">
          <cell r="A2152" t="str">
            <v>Irrigation</v>
          </cell>
          <cell r="B2152" t="str">
            <v>KP Dams</v>
          </cell>
          <cell r="Q2152">
            <v>1282507</v>
          </cell>
        </row>
        <row r="2153">
          <cell r="A2153" t="str">
            <v>Irrigation</v>
          </cell>
          <cell r="B2153" t="str">
            <v>KP Dams</v>
          </cell>
          <cell r="Q2153">
            <v>1282507</v>
          </cell>
        </row>
        <row r="2154">
          <cell r="A2154" t="str">
            <v>Irrigation</v>
          </cell>
          <cell r="B2154" t="str">
            <v>KP Dams</v>
          </cell>
          <cell r="Q2154">
            <v>20000</v>
          </cell>
        </row>
        <row r="2155">
          <cell r="A2155" t="str">
            <v>Irrigation</v>
          </cell>
          <cell r="B2155" t="str">
            <v>KP Dams</v>
          </cell>
          <cell r="Q2155">
            <v>30400</v>
          </cell>
        </row>
        <row r="2156">
          <cell r="A2156" t="str">
            <v>Irrigation</v>
          </cell>
          <cell r="B2156" t="str">
            <v>KP Dams</v>
          </cell>
          <cell r="Q2156">
            <v>22275</v>
          </cell>
        </row>
        <row r="2157">
          <cell r="A2157" t="str">
            <v>Irrigation</v>
          </cell>
          <cell r="B2157" t="str">
            <v>KP Dams</v>
          </cell>
          <cell r="Q2157">
            <v>22275</v>
          </cell>
        </row>
        <row r="2158">
          <cell r="A2158" t="str">
            <v>Irrigation</v>
          </cell>
          <cell r="B2158" t="str">
            <v>KP Dams</v>
          </cell>
          <cell r="Q2158">
            <v>2906426</v>
          </cell>
        </row>
        <row r="2159">
          <cell r="A2159" t="str">
            <v>Irrigation</v>
          </cell>
          <cell r="B2159" t="str">
            <v>KP Dams</v>
          </cell>
          <cell r="Q2159">
            <v>173077</v>
          </cell>
        </row>
        <row r="2160">
          <cell r="A2160" t="str">
            <v>OilandGas</v>
          </cell>
          <cell r="B2160" t="str">
            <v>GSPL</v>
          </cell>
          <cell r="Q2160">
            <v>1691536</v>
          </cell>
        </row>
        <row r="2161">
          <cell r="A2161" t="str">
            <v>OilandGas</v>
          </cell>
          <cell r="B2161" t="str">
            <v>GSPL</v>
          </cell>
          <cell r="Q2161">
            <v>470187</v>
          </cell>
        </row>
        <row r="2162">
          <cell r="A2162" t="str">
            <v>OilandGas</v>
          </cell>
          <cell r="B2162" t="str">
            <v>GSPL</v>
          </cell>
          <cell r="Q2162">
            <v>72586</v>
          </cell>
        </row>
        <row r="2163">
          <cell r="A2163" t="str">
            <v>OilandGas</v>
          </cell>
          <cell r="B2163" t="str">
            <v>GSPL</v>
          </cell>
          <cell r="Q2163">
            <v>155272.4</v>
          </cell>
        </row>
        <row r="2164">
          <cell r="A2164" t="str">
            <v>OilandGas</v>
          </cell>
          <cell r="B2164" t="str">
            <v>GSPL</v>
          </cell>
          <cell r="Q2164">
            <v>155278.35999999999</v>
          </cell>
        </row>
        <row r="2165">
          <cell r="A2165" t="str">
            <v>OilandGas</v>
          </cell>
          <cell r="B2165" t="str">
            <v>GSPL</v>
          </cell>
          <cell r="Q2165">
            <v>155278.35999999999</v>
          </cell>
        </row>
        <row r="2166">
          <cell r="A2166" t="str">
            <v>OilandGas</v>
          </cell>
          <cell r="B2166" t="str">
            <v>GSPL</v>
          </cell>
          <cell r="Q2166">
            <v>155278.35999999999</v>
          </cell>
        </row>
        <row r="2167">
          <cell r="A2167" t="str">
            <v>OilandGas</v>
          </cell>
          <cell r="B2167" t="str">
            <v>GSPL</v>
          </cell>
          <cell r="Q2167">
            <v>155277.35999999999</v>
          </cell>
        </row>
        <row r="2168">
          <cell r="A2168" t="str">
            <v>OilandGas</v>
          </cell>
          <cell r="B2168" t="str">
            <v>GSPL</v>
          </cell>
          <cell r="Q2168">
            <v>155277.35999999999</v>
          </cell>
        </row>
        <row r="2169">
          <cell r="A2169" t="str">
            <v>OilandGas</v>
          </cell>
          <cell r="B2169" t="str">
            <v>GSPL</v>
          </cell>
          <cell r="Q2169">
            <v>155277.35999999999</v>
          </cell>
        </row>
        <row r="2170">
          <cell r="A2170" t="str">
            <v>OilandGas</v>
          </cell>
          <cell r="B2170" t="str">
            <v>GSPL</v>
          </cell>
          <cell r="Q2170">
            <v>155277.35999999999</v>
          </cell>
        </row>
        <row r="2171">
          <cell r="A2171" t="str">
            <v>OilandGas</v>
          </cell>
          <cell r="B2171" t="str">
            <v>GSPL</v>
          </cell>
          <cell r="Q2171">
            <v>155277.35999999999</v>
          </cell>
        </row>
        <row r="2172">
          <cell r="A2172" t="str">
            <v>OilandGas</v>
          </cell>
          <cell r="B2172" t="str">
            <v>GSPL</v>
          </cell>
          <cell r="Q2172">
            <v>155277.35999999999</v>
          </cell>
        </row>
        <row r="2173">
          <cell r="A2173" t="str">
            <v>OilandGas</v>
          </cell>
          <cell r="B2173" t="str">
            <v>GSPL</v>
          </cell>
          <cell r="Q2173">
            <v>155277.35999999999</v>
          </cell>
        </row>
        <row r="2174">
          <cell r="A2174" t="str">
            <v>OilandGas</v>
          </cell>
          <cell r="B2174" t="str">
            <v>GSPL</v>
          </cell>
          <cell r="Q2174">
            <v>155277.35999999999</v>
          </cell>
        </row>
        <row r="2175">
          <cell r="A2175" t="str">
            <v>OilandGas</v>
          </cell>
          <cell r="B2175" t="str">
            <v>GSPL</v>
          </cell>
          <cell r="Q2175">
            <v>155277.35999999999</v>
          </cell>
        </row>
        <row r="2176">
          <cell r="A2176" t="str">
            <v>OilandGas</v>
          </cell>
          <cell r="B2176" t="str">
            <v>GSPL</v>
          </cell>
          <cell r="Q2176">
            <v>14493383.999999998</v>
          </cell>
        </row>
        <row r="2177">
          <cell r="A2177" t="str">
            <v>OilandGas</v>
          </cell>
          <cell r="B2177" t="str">
            <v>GSPL</v>
          </cell>
          <cell r="Q2177">
            <v>166160.64000000001</v>
          </cell>
        </row>
        <row r="2178">
          <cell r="A2178" t="str">
            <v>OilandGas</v>
          </cell>
          <cell r="B2178" t="str">
            <v>GSPL</v>
          </cell>
          <cell r="Q2178">
            <v>166159.65</v>
          </cell>
        </row>
        <row r="2179">
          <cell r="A2179" t="str">
            <v>OilandGas</v>
          </cell>
          <cell r="B2179" t="str">
            <v>GSPL</v>
          </cell>
          <cell r="Q2179">
            <v>166159.65</v>
          </cell>
        </row>
        <row r="2180">
          <cell r="A2180" t="str">
            <v>OilandGas</v>
          </cell>
          <cell r="B2180" t="str">
            <v>GSPL</v>
          </cell>
          <cell r="Q2180">
            <v>166159.65</v>
          </cell>
        </row>
        <row r="2181">
          <cell r="A2181" t="str">
            <v>OilandGas</v>
          </cell>
          <cell r="B2181" t="str">
            <v>GSPL</v>
          </cell>
          <cell r="Q2181">
            <v>7174.43</v>
          </cell>
        </row>
        <row r="2182">
          <cell r="A2182" t="str">
            <v>OilandGas</v>
          </cell>
          <cell r="B2182" t="str">
            <v>GSPL</v>
          </cell>
          <cell r="Q2182">
            <v>7174.43</v>
          </cell>
        </row>
        <row r="2183">
          <cell r="A2183" t="str">
            <v>OilandGas</v>
          </cell>
          <cell r="B2183" t="str">
            <v>GSPL</v>
          </cell>
          <cell r="Q2183">
            <v>7174.43</v>
          </cell>
        </row>
        <row r="2184">
          <cell r="A2184" t="str">
            <v>OilandGas</v>
          </cell>
          <cell r="B2184" t="str">
            <v>GSPL</v>
          </cell>
          <cell r="Q2184">
            <v>7174.43</v>
          </cell>
        </row>
        <row r="2185">
          <cell r="A2185" t="str">
            <v>OilandGas</v>
          </cell>
          <cell r="B2185" t="str">
            <v>GSPL</v>
          </cell>
          <cell r="Q2185">
            <v>7174.43</v>
          </cell>
        </row>
        <row r="2186">
          <cell r="A2186" t="str">
            <v>OilandGas</v>
          </cell>
          <cell r="B2186" t="str">
            <v>GSPL</v>
          </cell>
          <cell r="Q2186">
            <v>7174.43</v>
          </cell>
        </row>
        <row r="2187">
          <cell r="A2187" t="str">
            <v>OilandGas</v>
          </cell>
          <cell r="B2187" t="str">
            <v>GSPL</v>
          </cell>
          <cell r="Q2187">
            <v>380569</v>
          </cell>
        </row>
        <row r="2188">
          <cell r="A2188" t="str">
            <v>OilandGas</v>
          </cell>
          <cell r="B2188" t="str">
            <v>GSPL</v>
          </cell>
          <cell r="Q2188">
            <v>380568</v>
          </cell>
        </row>
        <row r="2189">
          <cell r="A2189" t="str">
            <v>OilandGas</v>
          </cell>
          <cell r="B2189" t="str">
            <v>GSPL</v>
          </cell>
          <cell r="Q2189">
            <v>380568</v>
          </cell>
        </row>
        <row r="2190">
          <cell r="A2190" t="str">
            <v>OilandGas</v>
          </cell>
          <cell r="B2190" t="str">
            <v>GSPL</v>
          </cell>
          <cell r="Q2190">
            <v>47583.41</v>
          </cell>
        </row>
        <row r="2191">
          <cell r="A2191" t="str">
            <v>OilandGas</v>
          </cell>
          <cell r="B2191" t="str">
            <v>GSPL</v>
          </cell>
          <cell r="Q2191">
            <v>47583.41</v>
          </cell>
        </row>
        <row r="2192">
          <cell r="A2192" t="str">
            <v>OilandGas</v>
          </cell>
          <cell r="B2192" t="str">
            <v>GSPL</v>
          </cell>
          <cell r="Q2192">
            <v>47583.41</v>
          </cell>
        </row>
        <row r="2193">
          <cell r="A2193" t="str">
            <v>OilandGas</v>
          </cell>
          <cell r="B2193" t="str">
            <v>GSPL</v>
          </cell>
          <cell r="Q2193">
            <v>166131.37</v>
          </cell>
        </row>
        <row r="2194">
          <cell r="A2194" t="str">
            <v>OilandGas</v>
          </cell>
          <cell r="B2194" t="str">
            <v>GSPL</v>
          </cell>
          <cell r="Q2194">
            <v>166129.38</v>
          </cell>
        </row>
        <row r="2195">
          <cell r="A2195" t="str">
            <v>OilandGas</v>
          </cell>
          <cell r="B2195" t="str">
            <v>GSPL</v>
          </cell>
          <cell r="Q2195">
            <v>2178678.0099999998</v>
          </cell>
        </row>
        <row r="2196">
          <cell r="A2196" t="str">
            <v>OilandGas</v>
          </cell>
          <cell r="B2196" t="str">
            <v>GSPL</v>
          </cell>
          <cell r="Q2196">
            <v>2585157.2000000002</v>
          </cell>
        </row>
        <row r="2197">
          <cell r="A2197" t="str">
            <v>OilandGas</v>
          </cell>
          <cell r="B2197" t="str">
            <v>GSPL</v>
          </cell>
          <cell r="Q2197">
            <v>2585157.2000000002</v>
          </cell>
        </row>
        <row r="2198">
          <cell r="A2198" t="str">
            <v>OilandGas</v>
          </cell>
          <cell r="B2198" t="str">
            <v>GSPL</v>
          </cell>
          <cell r="Q2198">
            <v>238697.84000000003</v>
          </cell>
        </row>
        <row r="2199">
          <cell r="A2199" t="str">
            <v>OilandGas</v>
          </cell>
          <cell r="B2199" t="str">
            <v>GSPL</v>
          </cell>
          <cell r="Q2199">
            <v>238697.85000000003</v>
          </cell>
        </row>
        <row r="2200">
          <cell r="A2200" t="str">
            <v>OilandGas</v>
          </cell>
          <cell r="B2200" t="str">
            <v>GSPL</v>
          </cell>
          <cell r="Q2200">
            <v>224811.71000000002</v>
          </cell>
        </row>
        <row r="2201">
          <cell r="A2201" t="str">
            <v>OilandGas</v>
          </cell>
          <cell r="B2201" t="str">
            <v>GSPL</v>
          </cell>
          <cell r="Q2201">
            <v>44549.170000000006</v>
          </cell>
        </row>
        <row r="2202">
          <cell r="A2202" t="str">
            <v>OilandGas</v>
          </cell>
          <cell r="B2202" t="str">
            <v>GSPL</v>
          </cell>
          <cell r="Q2202">
            <v>44549.17</v>
          </cell>
        </row>
        <row r="2203">
          <cell r="A2203" t="str">
            <v>OilandGas</v>
          </cell>
          <cell r="B2203" t="str">
            <v>GSPL</v>
          </cell>
          <cell r="Q2203">
            <v>42679.97</v>
          </cell>
        </row>
        <row r="2204">
          <cell r="A2204" t="str">
            <v>OilandGas</v>
          </cell>
          <cell r="B2204" t="str">
            <v>GSPL</v>
          </cell>
          <cell r="Q2204">
            <v>575195</v>
          </cell>
        </row>
        <row r="2205">
          <cell r="A2205" t="str">
            <v>OilandGas</v>
          </cell>
          <cell r="B2205" t="str">
            <v>GSPL</v>
          </cell>
          <cell r="Q2205">
            <v>371167</v>
          </cell>
        </row>
        <row r="2206">
          <cell r="A2206" t="str">
            <v>OilandGas</v>
          </cell>
          <cell r="B2206" t="str">
            <v>GSPL</v>
          </cell>
          <cell r="Q2206">
            <v>371167</v>
          </cell>
        </row>
        <row r="2207">
          <cell r="A2207" t="str">
            <v>OilandGas</v>
          </cell>
          <cell r="B2207" t="str">
            <v>GSPL</v>
          </cell>
          <cell r="Q2207">
            <v>11252.83</v>
          </cell>
        </row>
        <row r="2208">
          <cell r="A2208" t="str">
            <v>OilandGas</v>
          </cell>
          <cell r="B2208" t="str">
            <v>GSPL</v>
          </cell>
          <cell r="Q2208">
            <v>11252.83</v>
          </cell>
        </row>
        <row r="2209">
          <cell r="A2209" t="str">
            <v>OilandGas</v>
          </cell>
          <cell r="B2209" t="str">
            <v>GSPL</v>
          </cell>
          <cell r="Q2209">
            <v>11252.83</v>
          </cell>
        </row>
        <row r="2210">
          <cell r="A2210" t="str">
            <v>OilandGas</v>
          </cell>
          <cell r="B2210" t="str">
            <v>GSPL</v>
          </cell>
          <cell r="Q2210">
            <v>11252.83</v>
          </cell>
        </row>
        <row r="2211">
          <cell r="A2211" t="str">
            <v>OilandGas</v>
          </cell>
          <cell r="B2211" t="str">
            <v>GSPL</v>
          </cell>
          <cell r="Q2211">
            <v>11252.83</v>
          </cell>
        </row>
        <row r="2212">
          <cell r="A2212" t="str">
            <v>OilandGas</v>
          </cell>
          <cell r="B2212" t="str">
            <v>GSPL</v>
          </cell>
          <cell r="Q2212">
            <v>11252.85</v>
          </cell>
        </row>
        <row r="2213">
          <cell r="A2213" t="str">
            <v>OilandGas</v>
          </cell>
          <cell r="B2213" t="str">
            <v>GSPL</v>
          </cell>
          <cell r="Q2213">
            <v>371167</v>
          </cell>
        </row>
        <row r="2214">
          <cell r="A2214" t="str">
            <v>OilandGas</v>
          </cell>
          <cell r="B2214" t="str">
            <v>GSPL</v>
          </cell>
          <cell r="Q2214">
            <v>533511</v>
          </cell>
        </row>
        <row r="2215">
          <cell r="A2215" t="str">
            <v>OilandGas</v>
          </cell>
          <cell r="B2215" t="str">
            <v>GSPL</v>
          </cell>
          <cell r="Q2215">
            <v>14727093.740000002</v>
          </cell>
        </row>
        <row r="2216">
          <cell r="A2216" t="str">
            <v>OilandGas</v>
          </cell>
          <cell r="B2216" t="str">
            <v>GSPL</v>
          </cell>
          <cell r="Q2216">
            <v>181108</v>
          </cell>
        </row>
        <row r="2217">
          <cell r="A2217" t="str">
            <v>OilandGas</v>
          </cell>
          <cell r="B2217" t="str">
            <v>GSPL</v>
          </cell>
          <cell r="Q2217">
            <v>181108</v>
          </cell>
        </row>
        <row r="2218">
          <cell r="A2218" t="str">
            <v>OilandGas</v>
          </cell>
          <cell r="B2218" t="str">
            <v>GSPL</v>
          </cell>
          <cell r="Q2218">
            <v>181108</v>
          </cell>
        </row>
        <row r="2219">
          <cell r="A2219" t="str">
            <v>OilandGas</v>
          </cell>
          <cell r="B2219" t="str">
            <v>GSPL</v>
          </cell>
          <cell r="Q2219">
            <v>823225.75</v>
          </cell>
        </row>
        <row r="2220">
          <cell r="A2220" t="str">
            <v>OilandGas</v>
          </cell>
          <cell r="B2220" t="str">
            <v>GSPL</v>
          </cell>
          <cell r="Q2220">
            <v>823220.74</v>
          </cell>
        </row>
        <row r="2221">
          <cell r="A2221" t="str">
            <v>OilandGas</v>
          </cell>
          <cell r="B2221" t="str">
            <v>GSPL</v>
          </cell>
          <cell r="Q2221">
            <v>823220.74</v>
          </cell>
        </row>
        <row r="2222">
          <cell r="A2222" t="str">
            <v>OilandGas</v>
          </cell>
          <cell r="B2222" t="str">
            <v>GSPL</v>
          </cell>
          <cell r="Q2222">
            <v>823220.74</v>
          </cell>
        </row>
        <row r="2223">
          <cell r="A2223" t="str">
            <v>OilandGas</v>
          </cell>
          <cell r="B2223" t="str">
            <v>GSPL</v>
          </cell>
          <cell r="Q2223">
            <v>1404323.27</v>
          </cell>
        </row>
        <row r="2224">
          <cell r="A2224" t="str">
            <v>OilandGas</v>
          </cell>
          <cell r="B2224" t="str">
            <v>GSPL</v>
          </cell>
          <cell r="Q2224">
            <v>1404323.27</v>
          </cell>
        </row>
        <row r="2225">
          <cell r="A2225" t="str">
            <v>OilandGas</v>
          </cell>
          <cell r="B2225" t="str">
            <v>GSPL</v>
          </cell>
          <cell r="Q2225">
            <v>1404323.27</v>
          </cell>
        </row>
        <row r="2226">
          <cell r="A2226" t="str">
            <v>OilandGas</v>
          </cell>
          <cell r="B2226" t="str">
            <v>GSPL</v>
          </cell>
          <cell r="Q2226">
            <v>1404323.27</v>
          </cell>
        </row>
        <row r="2227">
          <cell r="A2227" t="str">
            <v>OilandGas</v>
          </cell>
          <cell r="B2227" t="str">
            <v>GSPL</v>
          </cell>
          <cell r="Q2227">
            <v>5243363</v>
          </cell>
        </row>
        <row r="2228">
          <cell r="A2228" t="str">
            <v>OilandGas</v>
          </cell>
          <cell r="B2228" t="str">
            <v>GSPL</v>
          </cell>
          <cell r="Q2228">
            <v>5245284</v>
          </cell>
        </row>
        <row r="2229">
          <cell r="A2229" t="str">
            <v>OilandGas</v>
          </cell>
          <cell r="B2229" t="str">
            <v>GSPL</v>
          </cell>
          <cell r="Q2229">
            <v>13313962</v>
          </cell>
        </row>
        <row r="2230">
          <cell r="A2230" t="str">
            <v>OilandGas</v>
          </cell>
          <cell r="B2230" t="str">
            <v>GSPL</v>
          </cell>
          <cell r="Q2230">
            <v>159972.82999999999</v>
          </cell>
        </row>
        <row r="2231">
          <cell r="A2231" t="str">
            <v>OilandGas</v>
          </cell>
          <cell r="B2231" t="str">
            <v>GSPL</v>
          </cell>
          <cell r="Q2231">
            <v>23499.34</v>
          </cell>
        </row>
        <row r="2232">
          <cell r="A2232" t="str">
            <v>OilandGas</v>
          </cell>
          <cell r="B2232" t="str">
            <v>GSPL</v>
          </cell>
          <cell r="Q2232">
            <v>23499.34</v>
          </cell>
        </row>
        <row r="2233">
          <cell r="A2233" t="str">
            <v>OilandGas</v>
          </cell>
          <cell r="B2233" t="str">
            <v>GSPL</v>
          </cell>
          <cell r="Q2233">
            <v>23499.34</v>
          </cell>
        </row>
        <row r="2234">
          <cell r="A2234" t="str">
            <v>OilandGas</v>
          </cell>
          <cell r="B2234" t="str">
            <v>GSPL</v>
          </cell>
          <cell r="Q2234">
            <v>23499.34</v>
          </cell>
        </row>
        <row r="2235">
          <cell r="A2235" t="str">
            <v>OilandGas</v>
          </cell>
          <cell r="B2235" t="str">
            <v>GSPL</v>
          </cell>
          <cell r="Q2235">
            <v>23499.34</v>
          </cell>
        </row>
        <row r="2236">
          <cell r="A2236" t="str">
            <v>OilandGas</v>
          </cell>
          <cell r="B2236" t="str">
            <v>GSPL</v>
          </cell>
          <cell r="Q2236">
            <v>23499.35</v>
          </cell>
        </row>
        <row r="2237">
          <cell r="A2237" t="str">
            <v>OilandGas</v>
          </cell>
          <cell r="B2237" t="str">
            <v>GSPL</v>
          </cell>
          <cell r="Q2237">
            <v>23497.06</v>
          </cell>
        </row>
        <row r="2238">
          <cell r="A2238" t="str">
            <v>OilandGas</v>
          </cell>
          <cell r="B2238" t="str">
            <v>GSPL</v>
          </cell>
          <cell r="Q2238">
            <v>10602457</v>
          </cell>
        </row>
        <row r="2239">
          <cell r="A2239" t="str">
            <v>OilandGas</v>
          </cell>
          <cell r="B2239" t="str">
            <v>GSPL</v>
          </cell>
          <cell r="Q2239">
            <v>12439324.4</v>
          </cell>
        </row>
        <row r="2240">
          <cell r="A2240" t="str">
            <v>OilandGas</v>
          </cell>
          <cell r="B2240" t="str">
            <v>GSPL</v>
          </cell>
          <cell r="Q2240">
            <v>12439324.4</v>
          </cell>
        </row>
        <row r="2241">
          <cell r="A2241" t="str">
            <v>OilandGas</v>
          </cell>
          <cell r="B2241" t="str">
            <v>GSPL</v>
          </cell>
          <cell r="Q2241">
            <v>1173235</v>
          </cell>
        </row>
        <row r="2242">
          <cell r="A2242" t="str">
            <v>OilandGas</v>
          </cell>
          <cell r="B2242" t="str">
            <v>GSPL</v>
          </cell>
          <cell r="Q2242">
            <v>1173235</v>
          </cell>
        </row>
        <row r="2243">
          <cell r="A2243" t="str">
            <v>OilandGas</v>
          </cell>
          <cell r="B2243" t="str">
            <v>GSPL</v>
          </cell>
          <cell r="Q2243">
            <v>1173235</v>
          </cell>
        </row>
        <row r="2244">
          <cell r="A2244" t="str">
            <v>OilandGas</v>
          </cell>
          <cell r="B2244" t="str">
            <v>GSPL</v>
          </cell>
          <cell r="Q2244">
            <v>117490.02857142859</v>
          </cell>
        </row>
        <row r="2245">
          <cell r="A2245" t="str">
            <v>OilandGas</v>
          </cell>
          <cell r="B2245" t="str">
            <v>GSPL</v>
          </cell>
          <cell r="Q2245">
            <v>117490.02857142859</v>
          </cell>
        </row>
        <row r="2246">
          <cell r="A2246" t="str">
            <v>OilandGas</v>
          </cell>
          <cell r="B2246" t="str">
            <v>GSPL</v>
          </cell>
          <cell r="Q2246">
            <v>117490.02857142859</v>
          </cell>
        </row>
        <row r="2247">
          <cell r="A2247" t="str">
            <v>OilandGas</v>
          </cell>
          <cell r="B2247" t="str">
            <v>GSPL</v>
          </cell>
          <cell r="Q2247">
            <v>117490.02857142859</v>
          </cell>
        </row>
        <row r="2248">
          <cell r="A2248" t="str">
            <v>OilandGas</v>
          </cell>
          <cell r="B2248" t="str">
            <v>GSPL</v>
          </cell>
          <cell r="Q2248">
            <v>117490.02857142859</v>
          </cell>
        </row>
        <row r="2249">
          <cell r="A2249" t="str">
            <v>OilandGas</v>
          </cell>
          <cell r="B2249" t="str">
            <v>GSPL</v>
          </cell>
          <cell r="Q2249">
            <v>117490.02857142859</v>
          </cell>
        </row>
        <row r="2250">
          <cell r="A2250" t="str">
            <v>OilandGas</v>
          </cell>
          <cell r="B2250" t="str">
            <v>GSPL</v>
          </cell>
          <cell r="Q2250">
            <v>117490.02857142859</v>
          </cell>
        </row>
        <row r="2251">
          <cell r="A2251" t="str">
            <v>OilandGas</v>
          </cell>
          <cell r="B2251" t="str">
            <v>GSPL</v>
          </cell>
          <cell r="Q2251">
            <v>117490.02857142859</v>
          </cell>
        </row>
        <row r="2252">
          <cell r="A2252" t="str">
            <v>OilandGas</v>
          </cell>
          <cell r="B2252" t="str">
            <v>GSPL</v>
          </cell>
          <cell r="Q2252">
            <v>117490.02857142859</v>
          </cell>
        </row>
        <row r="2253">
          <cell r="A2253" t="str">
            <v>OilandGas</v>
          </cell>
          <cell r="B2253" t="str">
            <v>GSPL</v>
          </cell>
          <cell r="Q2253">
            <v>117490.02857142859</v>
          </cell>
        </row>
        <row r="2254">
          <cell r="A2254" t="str">
            <v>OilandGas</v>
          </cell>
          <cell r="B2254" t="str">
            <v>GSPL</v>
          </cell>
          <cell r="Q2254">
            <v>117490.02857142859</v>
          </cell>
        </row>
        <row r="2255">
          <cell r="A2255" t="str">
            <v>OilandGas</v>
          </cell>
          <cell r="B2255" t="str">
            <v>GSPL</v>
          </cell>
          <cell r="Q2255">
            <v>117490.02857142859</v>
          </cell>
        </row>
        <row r="2256">
          <cell r="A2256" t="str">
            <v>OilandGas</v>
          </cell>
          <cell r="B2256" t="str">
            <v>GSPL</v>
          </cell>
          <cell r="Q2256">
            <v>117490.02857142859</v>
          </cell>
        </row>
        <row r="2257">
          <cell r="A2257" t="str">
            <v>OilandGas</v>
          </cell>
          <cell r="B2257" t="str">
            <v>GSPL</v>
          </cell>
          <cell r="Q2257">
            <v>117490.02857142859</v>
          </cell>
        </row>
        <row r="2258">
          <cell r="A2258" t="str">
            <v>OilandGas</v>
          </cell>
          <cell r="B2258" t="str">
            <v>GSPL</v>
          </cell>
          <cell r="Q2258">
            <v>117489.97857142857</v>
          </cell>
        </row>
        <row r="2259">
          <cell r="A2259" t="str">
            <v>OilandGas</v>
          </cell>
          <cell r="B2259" t="str">
            <v>GSPL</v>
          </cell>
          <cell r="Q2259">
            <v>117490.02857142859</v>
          </cell>
        </row>
        <row r="2260">
          <cell r="A2260" t="str">
            <v>OilandGas</v>
          </cell>
          <cell r="B2260" t="str">
            <v>GSPL</v>
          </cell>
          <cell r="Q2260">
            <v>117490.02857142859</v>
          </cell>
        </row>
        <row r="2261">
          <cell r="A2261" t="str">
            <v>OilandGas</v>
          </cell>
          <cell r="B2261" t="str">
            <v>GSPL</v>
          </cell>
          <cell r="Q2261">
            <v>117490.02857142859</v>
          </cell>
        </row>
        <row r="2262">
          <cell r="A2262" t="str">
            <v>OilandGas</v>
          </cell>
          <cell r="B2262" t="str">
            <v>GSPL</v>
          </cell>
          <cell r="Q2262">
            <v>117490.02857142859</v>
          </cell>
        </row>
        <row r="2263">
          <cell r="A2263" t="str">
            <v>OilandGas</v>
          </cell>
          <cell r="B2263" t="str">
            <v>GSPL</v>
          </cell>
          <cell r="Q2263">
            <v>117490.02857142859</v>
          </cell>
        </row>
        <row r="2264">
          <cell r="A2264" t="str">
            <v>OilandGas</v>
          </cell>
          <cell r="B2264" t="str">
            <v>GSPL</v>
          </cell>
          <cell r="Q2264">
            <v>117490.02857142859</v>
          </cell>
        </row>
        <row r="2265">
          <cell r="A2265" t="str">
            <v>OilandGas</v>
          </cell>
          <cell r="B2265" t="str">
            <v>GSPL</v>
          </cell>
          <cell r="Q2265">
            <v>117490.02857142859</v>
          </cell>
        </row>
        <row r="2266">
          <cell r="A2266" t="str">
            <v>OilandGas</v>
          </cell>
          <cell r="B2266" t="str">
            <v>GSPL</v>
          </cell>
          <cell r="Q2266">
            <v>117489.99857142859</v>
          </cell>
        </row>
        <row r="2267">
          <cell r="A2267" t="str">
            <v>OilandGas</v>
          </cell>
          <cell r="B2267" t="str">
            <v>GSPL</v>
          </cell>
          <cell r="Q2267">
            <v>117490.02857142859</v>
          </cell>
        </row>
        <row r="2268">
          <cell r="A2268" t="str">
            <v>OilandGas</v>
          </cell>
          <cell r="B2268" t="str">
            <v>GSPL</v>
          </cell>
          <cell r="Q2268">
            <v>117490.02857142859</v>
          </cell>
        </row>
        <row r="2269">
          <cell r="A2269" t="str">
            <v>OilandGas</v>
          </cell>
          <cell r="B2269" t="str">
            <v>GSPL</v>
          </cell>
          <cell r="Q2269">
            <v>117490.02857142859</v>
          </cell>
        </row>
        <row r="2270">
          <cell r="A2270" t="str">
            <v>OilandGas</v>
          </cell>
          <cell r="B2270" t="str">
            <v>GSPL</v>
          </cell>
          <cell r="Q2270">
            <v>117490.02857142859</v>
          </cell>
        </row>
        <row r="2271">
          <cell r="A2271" t="str">
            <v>OilandGas</v>
          </cell>
          <cell r="B2271" t="str">
            <v>GSPL</v>
          </cell>
          <cell r="Q2271">
            <v>117490.02857142859</v>
          </cell>
        </row>
        <row r="2272">
          <cell r="A2272" t="str">
            <v>OilandGas</v>
          </cell>
          <cell r="B2272" t="str">
            <v>GSPL</v>
          </cell>
          <cell r="Q2272">
            <v>491021.68999999994</v>
          </cell>
        </row>
        <row r="2273">
          <cell r="A2273" t="str">
            <v>OilandGas</v>
          </cell>
          <cell r="B2273" t="str">
            <v>GSPL</v>
          </cell>
          <cell r="Q2273">
            <v>491021.68999999994</v>
          </cell>
        </row>
        <row r="2274">
          <cell r="A2274" t="str">
            <v>OilandGas</v>
          </cell>
          <cell r="B2274" t="str">
            <v>GSPL</v>
          </cell>
          <cell r="Q2274">
            <v>491021.69999999995</v>
          </cell>
        </row>
        <row r="2275">
          <cell r="A2275" t="str">
            <v>OilandGas</v>
          </cell>
          <cell r="B2275" t="str">
            <v>GSPL</v>
          </cell>
          <cell r="Q2275">
            <v>491021.68999999994</v>
          </cell>
        </row>
        <row r="2276">
          <cell r="A2276" t="str">
            <v>OilandGas</v>
          </cell>
          <cell r="B2276" t="str">
            <v>GSPL</v>
          </cell>
          <cell r="Q2276">
            <v>491021.68999999994</v>
          </cell>
        </row>
        <row r="2277">
          <cell r="A2277" t="str">
            <v>OilandGas</v>
          </cell>
          <cell r="B2277" t="str">
            <v>GSPL</v>
          </cell>
          <cell r="Q2277">
            <v>491021.69999999995</v>
          </cell>
        </row>
        <row r="2278">
          <cell r="A2278" t="str">
            <v>OilandGas</v>
          </cell>
          <cell r="B2278" t="str">
            <v>GSPL</v>
          </cell>
          <cell r="Q2278">
            <v>491021.68999999994</v>
          </cell>
        </row>
        <row r="2279">
          <cell r="A2279" t="str">
            <v>OilandGas</v>
          </cell>
          <cell r="B2279" t="str">
            <v>GSPL</v>
          </cell>
          <cell r="Q2279">
            <v>491021.68999999994</v>
          </cell>
        </row>
        <row r="2280">
          <cell r="A2280" t="str">
            <v>OilandGas</v>
          </cell>
          <cell r="B2280" t="str">
            <v>GSPL</v>
          </cell>
          <cell r="Q2280">
            <v>491021.69999999995</v>
          </cell>
        </row>
        <row r="2281">
          <cell r="A2281" t="str">
            <v>OilandGas</v>
          </cell>
          <cell r="B2281" t="str">
            <v>GSPL</v>
          </cell>
          <cell r="Q2281">
            <v>491021.68999999994</v>
          </cell>
        </row>
        <row r="2282">
          <cell r="A2282" t="str">
            <v>OilandGas</v>
          </cell>
          <cell r="B2282" t="str">
            <v>GSPL</v>
          </cell>
          <cell r="Q2282">
            <v>491021.69999999995</v>
          </cell>
        </row>
        <row r="2283">
          <cell r="A2283" t="str">
            <v>OilandGas</v>
          </cell>
          <cell r="B2283" t="str">
            <v>GSPL</v>
          </cell>
          <cell r="Q2283">
            <v>491021.68999999994</v>
          </cell>
        </row>
        <row r="2284">
          <cell r="A2284" t="str">
            <v>OilandGas</v>
          </cell>
          <cell r="B2284" t="str">
            <v>GSPL</v>
          </cell>
          <cell r="Q2284">
            <v>491021.68999999994</v>
          </cell>
        </row>
        <row r="2285">
          <cell r="A2285" t="str">
            <v>OilandGas</v>
          </cell>
          <cell r="B2285" t="str">
            <v>GSPL</v>
          </cell>
          <cell r="Q2285">
            <v>491021.68999999994</v>
          </cell>
        </row>
        <row r="2286">
          <cell r="A2286" t="str">
            <v>OilandGas</v>
          </cell>
          <cell r="B2286" t="str">
            <v>GSPL</v>
          </cell>
          <cell r="Q2286">
            <v>491021.68999999994</v>
          </cell>
        </row>
        <row r="2287">
          <cell r="A2287" t="str">
            <v>OilandGas</v>
          </cell>
          <cell r="B2287" t="str">
            <v>GSPL</v>
          </cell>
          <cell r="Q2287">
            <v>491021.68999999994</v>
          </cell>
        </row>
        <row r="2288">
          <cell r="A2288" t="str">
            <v>OilandGas</v>
          </cell>
          <cell r="B2288" t="str">
            <v>GSPL</v>
          </cell>
          <cell r="Q2288">
            <v>491021.68999999994</v>
          </cell>
        </row>
        <row r="2289">
          <cell r="A2289" t="str">
            <v>OilandGas</v>
          </cell>
          <cell r="B2289" t="str">
            <v>GSPL</v>
          </cell>
          <cell r="Q2289">
            <v>491021.69999999995</v>
          </cell>
        </row>
        <row r="2290">
          <cell r="A2290" t="str">
            <v>OilandGas</v>
          </cell>
          <cell r="B2290" t="str">
            <v>GSPL</v>
          </cell>
          <cell r="Q2290">
            <v>491021.68999999994</v>
          </cell>
        </row>
        <row r="2291">
          <cell r="A2291" t="str">
            <v>OilandGas</v>
          </cell>
          <cell r="B2291" t="str">
            <v>GSPL</v>
          </cell>
          <cell r="Q2291">
            <v>491021.68999999994</v>
          </cell>
        </row>
        <row r="2292">
          <cell r="A2292" t="str">
            <v>OilandGas</v>
          </cell>
          <cell r="B2292" t="str">
            <v>GSPL</v>
          </cell>
          <cell r="Q2292">
            <v>491021.68999999994</v>
          </cell>
        </row>
        <row r="2293">
          <cell r="A2293" t="str">
            <v>OilandGas</v>
          </cell>
          <cell r="B2293" t="str">
            <v>GSPL</v>
          </cell>
          <cell r="Q2293">
            <v>491021.69999999995</v>
          </cell>
        </row>
        <row r="2294">
          <cell r="A2294" t="str">
            <v>OilandGas</v>
          </cell>
          <cell r="B2294" t="str">
            <v>GSPL</v>
          </cell>
          <cell r="Q2294">
            <v>54600</v>
          </cell>
        </row>
        <row r="2295">
          <cell r="A2295" t="str">
            <v>OilandGas</v>
          </cell>
          <cell r="B2295" t="str">
            <v>GSPL</v>
          </cell>
          <cell r="Q2295">
            <v>54600</v>
          </cell>
        </row>
        <row r="2296">
          <cell r="A2296" t="str">
            <v>OilandGas</v>
          </cell>
          <cell r="B2296" t="str">
            <v>GSPL</v>
          </cell>
          <cell r="Q2296">
            <v>54600</v>
          </cell>
        </row>
        <row r="2297">
          <cell r="A2297" t="str">
            <v>OilandGas</v>
          </cell>
          <cell r="B2297" t="str">
            <v>GSPL</v>
          </cell>
          <cell r="Q2297">
            <v>54600</v>
          </cell>
        </row>
        <row r="2298">
          <cell r="A2298" t="str">
            <v>OilandGas</v>
          </cell>
          <cell r="B2298" t="str">
            <v>GSPL</v>
          </cell>
          <cell r="Q2298">
            <v>54600</v>
          </cell>
        </row>
        <row r="2299">
          <cell r="A2299" t="str">
            <v>OilandGas</v>
          </cell>
          <cell r="B2299" t="str">
            <v>GSPL</v>
          </cell>
          <cell r="Q2299">
            <v>54600</v>
          </cell>
        </row>
        <row r="2300">
          <cell r="A2300" t="str">
            <v>OilandGas</v>
          </cell>
          <cell r="B2300" t="str">
            <v>GSPL</v>
          </cell>
          <cell r="Q2300">
            <v>54600</v>
          </cell>
        </row>
        <row r="2301">
          <cell r="A2301" t="str">
            <v>OilandGas</v>
          </cell>
          <cell r="B2301" t="str">
            <v>GSPL</v>
          </cell>
          <cell r="Q2301">
            <v>54600</v>
          </cell>
        </row>
        <row r="2302">
          <cell r="A2302" t="str">
            <v>OilandGas</v>
          </cell>
          <cell r="B2302" t="str">
            <v>GSPL</v>
          </cell>
          <cell r="Q2302">
            <v>54600</v>
          </cell>
        </row>
        <row r="2303">
          <cell r="A2303" t="str">
            <v>OilandGas</v>
          </cell>
          <cell r="B2303" t="str">
            <v>GSPL</v>
          </cell>
          <cell r="Q2303">
            <v>54600</v>
          </cell>
        </row>
        <row r="2304">
          <cell r="A2304" t="str">
            <v>OilandGas</v>
          </cell>
          <cell r="B2304" t="str">
            <v>GSPL</v>
          </cell>
          <cell r="Q2304">
            <v>9600781.6699999999</v>
          </cell>
        </row>
        <row r="2305">
          <cell r="A2305" t="str">
            <v>OilandGas</v>
          </cell>
          <cell r="B2305" t="str">
            <v>GSPL</v>
          </cell>
          <cell r="Q2305">
            <v>9600777.6699999999</v>
          </cell>
        </row>
        <row r="2306">
          <cell r="A2306" t="str">
            <v>OilandGas</v>
          </cell>
          <cell r="B2306" t="str">
            <v>GSPL</v>
          </cell>
          <cell r="Q2306">
            <v>9600777.6699999999</v>
          </cell>
        </row>
        <row r="2307">
          <cell r="A2307" t="str">
            <v>OilandGas</v>
          </cell>
          <cell r="B2307" t="str">
            <v>GSPL</v>
          </cell>
          <cell r="Q2307">
            <v>9600777.6699999999</v>
          </cell>
        </row>
        <row r="2308">
          <cell r="A2308" t="str">
            <v>OilandGas</v>
          </cell>
          <cell r="B2308" t="str">
            <v>GSPL</v>
          </cell>
          <cell r="Q2308">
            <v>12439324.4</v>
          </cell>
        </row>
        <row r="2309">
          <cell r="A2309" t="str">
            <v>OilandGas</v>
          </cell>
          <cell r="B2309" t="str">
            <v>GSPL</v>
          </cell>
          <cell r="Q2309">
            <v>12439324.4</v>
          </cell>
        </row>
        <row r="2310">
          <cell r="A2310" t="str">
            <v>OilandGas</v>
          </cell>
          <cell r="B2310" t="str">
            <v>GSPL</v>
          </cell>
          <cell r="Q2310">
            <v>12501163.65</v>
          </cell>
        </row>
        <row r="2311">
          <cell r="A2311" t="str">
            <v>OilandGas</v>
          </cell>
          <cell r="B2311" t="str">
            <v>GSPL</v>
          </cell>
          <cell r="Q2311">
            <v>12536559.65</v>
          </cell>
        </row>
        <row r="2312">
          <cell r="A2312" t="str">
            <v>OilandGas</v>
          </cell>
          <cell r="B2312" t="str">
            <v>GSPL</v>
          </cell>
          <cell r="Q2312">
            <v>12626933.15</v>
          </cell>
        </row>
        <row r="2313">
          <cell r="A2313" t="str">
            <v>OilandGas</v>
          </cell>
          <cell r="B2313" t="str">
            <v>GSPL</v>
          </cell>
          <cell r="Q2313">
            <v>12662329.15</v>
          </cell>
        </row>
        <row r="2314">
          <cell r="A2314" t="str">
            <v>OilandGas</v>
          </cell>
          <cell r="B2314" t="str">
            <v>GSPL</v>
          </cell>
          <cell r="Q2314">
            <v>6050890</v>
          </cell>
        </row>
        <row r="2315">
          <cell r="A2315" t="str">
            <v>OilandGas</v>
          </cell>
          <cell r="B2315" t="str">
            <v>GSPL</v>
          </cell>
          <cell r="Q2315">
            <v>159972.84</v>
          </cell>
        </row>
        <row r="2316">
          <cell r="A2316" t="str">
            <v>OilandGas</v>
          </cell>
          <cell r="B2316" t="str">
            <v>GSPL</v>
          </cell>
          <cell r="Q2316">
            <v>159972.82999999999</v>
          </cell>
        </row>
        <row r="2317">
          <cell r="A2317" t="str">
            <v>OilandGas</v>
          </cell>
          <cell r="B2317" t="str">
            <v>GSPL</v>
          </cell>
          <cell r="Q2317">
            <v>159972.82999999999</v>
          </cell>
        </row>
        <row r="2318">
          <cell r="A2318" t="str">
            <v>OilandGas</v>
          </cell>
          <cell r="B2318" t="str">
            <v>GSPL</v>
          </cell>
          <cell r="Q2318">
            <v>159972.82999999999</v>
          </cell>
        </row>
        <row r="2319">
          <cell r="A2319" t="str">
            <v>OilandGas</v>
          </cell>
          <cell r="B2319" t="str">
            <v>GSPL</v>
          </cell>
          <cell r="Q2319">
            <v>159972.82999999999</v>
          </cell>
        </row>
        <row r="2320">
          <cell r="A2320" t="str">
            <v>OilandGas</v>
          </cell>
          <cell r="B2320" t="str">
            <v>GSPL</v>
          </cell>
          <cell r="Q2320">
            <v>159972.84</v>
          </cell>
        </row>
        <row r="2321">
          <cell r="A2321" t="str">
            <v>OilandGas</v>
          </cell>
          <cell r="B2321" t="str">
            <v>GSPL</v>
          </cell>
          <cell r="Q2321">
            <v>159972.81999999998</v>
          </cell>
        </row>
        <row r="2322">
          <cell r="A2322" t="str">
            <v>OilandGas</v>
          </cell>
          <cell r="B2322" t="str">
            <v>GSPL</v>
          </cell>
          <cell r="Q2322">
            <v>159972.84</v>
          </cell>
        </row>
        <row r="2323">
          <cell r="A2323" t="str">
            <v>OilandGas</v>
          </cell>
          <cell r="B2323" t="str">
            <v>GSPL</v>
          </cell>
          <cell r="Q2323">
            <v>1350023.28</v>
          </cell>
        </row>
        <row r="2324">
          <cell r="A2324" t="str">
            <v>OilandGas</v>
          </cell>
          <cell r="B2324" t="str">
            <v>GSPL</v>
          </cell>
          <cell r="Q2324">
            <v>1350023.28</v>
          </cell>
        </row>
        <row r="2325">
          <cell r="A2325" t="str">
            <v>OilandGas</v>
          </cell>
          <cell r="B2325" t="str">
            <v>GSPL</v>
          </cell>
          <cell r="Q2325">
            <v>1350023.28</v>
          </cell>
        </row>
        <row r="2326">
          <cell r="A2326" t="str">
            <v>OilandGas</v>
          </cell>
          <cell r="B2326" t="str">
            <v>GSPL</v>
          </cell>
          <cell r="Q2326">
            <v>1350023.28</v>
          </cell>
        </row>
        <row r="2327">
          <cell r="A2327" t="str">
            <v>OilandGas</v>
          </cell>
          <cell r="B2327" t="str">
            <v>GSPL</v>
          </cell>
          <cell r="Q2327">
            <v>12442936.65</v>
          </cell>
        </row>
        <row r="2328">
          <cell r="A2328" t="str">
            <v>OilandGas</v>
          </cell>
          <cell r="B2328" t="str">
            <v>GSPL</v>
          </cell>
          <cell r="Q2328">
            <v>12674745.65</v>
          </cell>
        </row>
        <row r="2329">
          <cell r="A2329" t="str">
            <v>OilandGas</v>
          </cell>
          <cell r="B2329" t="str">
            <v>GSPL</v>
          </cell>
          <cell r="Q2329">
            <v>4371329</v>
          </cell>
        </row>
        <row r="2330">
          <cell r="A2330" t="str">
            <v>OilandGas</v>
          </cell>
          <cell r="B2330" t="str">
            <v>GSPL</v>
          </cell>
          <cell r="Q2330">
            <v>4335234</v>
          </cell>
        </row>
        <row r="2331">
          <cell r="A2331" t="str">
            <v>OilandGas</v>
          </cell>
          <cell r="B2331" t="str">
            <v>GSPL</v>
          </cell>
          <cell r="Q2331">
            <v>491021.69999999995</v>
          </cell>
        </row>
        <row r="2332">
          <cell r="A2332" t="str">
            <v>OilandGas</v>
          </cell>
          <cell r="B2332" t="str">
            <v>GSPL</v>
          </cell>
          <cell r="Q2332">
            <v>491021.69999999995</v>
          </cell>
        </row>
        <row r="2333">
          <cell r="A2333" t="str">
            <v>OilandGas</v>
          </cell>
          <cell r="B2333" t="str">
            <v>GSPL</v>
          </cell>
          <cell r="Q2333">
            <v>491021.68999999994</v>
          </cell>
        </row>
        <row r="2334">
          <cell r="A2334" t="str">
            <v>OilandGas</v>
          </cell>
          <cell r="B2334" t="str">
            <v>GSPL</v>
          </cell>
          <cell r="Q2334">
            <v>491021.69999999995</v>
          </cell>
        </row>
        <row r="2335">
          <cell r="A2335" t="str">
            <v>OilandGas</v>
          </cell>
          <cell r="B2335" t="str">
            <v>IOCL</v>
          </cell>
          <cell r="Q2335">
            <v>663750</v>
          </cell>
        </row>
        <row r="2336">
          <cell r="A2336" t="str">
            <v>OilandGas</v>
          </cell>
          <cell r="B2336" t="str">
            <v>IOCL</v>
          </cell>
          <cell r="Q2336">
            <v>533511</v>
          </cell>
        </row>
        <row r="2337">
          <cell r="A2337" t="str">
            <v>OilandGas</v>
          </cell>
          <cell r="B2337" t="str">
            <v>IOCL</v>
          </cell>
          <cell r="Q2337">
            <v>2183611</v>
          </cell>
        </row>
        <row r="2338">
          <cell r="A2338" t="str">
            <v>OilandGas</v>
          </cell>
          <cell r="B2338" t="str">
            <v>IOCL</v>
          </cell>
          <cell r="Q2338">
            <v>77983.5</v>
          </cell>
        </row>
        <row r="2339">
          <cell r="A2339" t="str">
            <v>OilandGas</v>
          </cell>
          <cell r="B2339" t="str">
            <v>IOCL</v>
          </cell>
          <cell r="Q2339">
            <v>77983.5</v>
          </cell>
        </row>
        <row r="2340">
          <cell r="A2340" t="str">
            <v>OilandGas</v>
          </cell>
          <cell r="B2340" t="str">
            <v>IOCL</v>
          </cell>
          <cell r="Q2340">
            <v>446100</v>
          </cell>
        </row>
        <row r="2341">
          <cell r="A2341" t="str">
            <v>Railways</v>
          </cell>
          <cell r="B2341" t="str">
            <v>Lanjigarh</v>
          </cell>
          <cell r="Q2341">
            <v>29356784</v>
          </cell>
        </row>
        <row r="2342">
          <cell r="A2342" t="str">
            <v>Railways</v>
          </cell>
          <cell r="B2342" t="str">
            <v>Lanjigarh</v>
          </cell>
          <cell r="Q2342">
            <v>1812498.03</v>
          </cell>
        </row>
        <row r="2343">
          <cell r="A2343" t="str">
            <v>Railways</v>
          </cell>
          <cell r="B2343" t="str">
            <v>Lanjigarh</v>
          </cell>
          <cell r="Q2343">
            <v>1812498.03</v>
          </cell>
        </row>
        <row r="2344">
          <cell r="A2344" t="str">
            <v>Railways</v>
          </cell>
          <cell r="B2344" t="str">
            <v>Lanjigarh</v>
          </cell>
          <cell r="Q2344">
            <v>2438505.96</v>
          </cell>
        </row>
        <row r="2345">
          <cell r="A2345" t="str">
            <v>Railways</v>
          </cell>
          <cell r="B2345" t="str">
            <v>Lanjigarh</v>
          </cell>
          <cell r="Q2345">
            <v>1929635</v>
          </cell>
        </row>
        <row r="2346">
          <cell r="A2346" t="str">
            <v>Railways</v>
          </cell>
          <cell r="B2346" t="str">
            <v>Lanjigarh</v>
          </cell>
          <cell r="Q2346">
            <v>2025873</v>
          </cell>
        </row>
        <row r="2347">
          <cell r="A2347" t="str">
            <v>Railways</v>
          </cell>
          <cell r="B2347" t="str">
            <v>Lanjigarh</v>
          </cell>
          <cell r="Q2347">
            <v>1799890</v>
          </cell>
        </row>
        <row r="2348">
          <cell r="A2348" t="str">
            <v>Railways</v>
          </cell>
          <cell r="B2348" t="str">
            <v>Lanjigarh</v>
          </cell>
          <cell r="Q2348">
            <v>1799890</v>
          </cell>
        </row>
        <row r="2349">
          <cell r="A2349" t="str">
            <v>Railways</v>
          </cell>
          <cell r="B2349" t="str">
            <v>Lanjigarh</v>
          </cell>
          <cell r="Q2349">
            <v>1799890</v>
          </cell>
        </row>
        <row r="2350">
          <cell r="A2350" t="str">
            <v>Railways</v>
          </cell>
          <cell r="B2350" t="str">
            <v>Lanjigarh</v>
          </cell>
          <cell r="Q2350">
            <v>1799890</v>
          </cell>
        </row>
        <row r="2351">
          <cell r="A2351" t="str">
            <v>Railways</v>
          </cell>
          <cell r="B2351" t="str">
            <v>Lanjigarh</v>
          </cell>
          <cell r="Q2351">
            <v>2706404.8</v>
          </cell>
        </row>
        <row r="2352">
          <cell r="A2352" t="str">
            <v>Railways</v>
          </cell>
          <cell r="B2352" t="str">
            <v>Lanjigarh</v>
          </cell>
          <cell r="Q2352">
            <v>1536827</v>
          </cell>
        </row>
        <row r="2353">
          <cell r="A2353" t="str">
            <v>Railways</v>
          </cell>
          <cell r="B2353" t="str">
            <v>Lanjigarh</v>
          </cell>
          <cell r="Q2353">
            <v>2444556</v>
          </cell>
        </row>
        <row r="2354">
          <cell r="A2354" t="str">
            <v>Railways</v>
          </cell>
          <cell r="B2354" t="str">
            <v>Lanjigarh</v>
          </cell>
          <cell r="Q2354">
            <v>250814.5</v>
          </cell>
        </row>
        <row r="2355">
          <cell r="A2355" t="str">
            <v>Railways</v>
          </cell>
          <cell r="B2355" t="str">
            <v>Lanjigarh</v>
          </cell>
          <cell r="Q2355">
            <v>250814.5</v>
          </cell>
        </row>
        <row r="2356">
          <cell r="A2356" t="str">
            <v>Railways</v>
          </cell>
          <cell r="B2356" t="str">
            <v>Lanjigarh</v>
          </cell>
          <cell r="Q2356">
            <v>250814.5</v>
          </cell>
        </row>
        <row r="2357">
          <cell r="A2357" t="str">
            <v>Railways</v>
          </cell>
          <cell r="B2357" t="str">
            <v>Lanjigarh</v>
          </cell>
          <cell r="Q2357">
            <v>140000</v>
          </cell>
        </row>
        <row r="2358">
          <cell r="A2358" t="str">
            <v>Railways</v>
          </cell>
          <cell r="B2358" t="str">
            <v>Lanjigarh</v>
          </cell>
          <cell r="Q2358">
            <v>140000</v>
          </cell>
        </row>
        <row r="2359">
          <cell r="A2359" t="str">
            <v>Railways</v>
          </cell>
          <cell r="B2359" t="str">
            <v>Lanjigarh</v>
          </cell>
          <cell r="Q2359">
            <v>140000</v>
          </cell>
        </row>
        <row r="2360">
          <cell r="A2360" t="str">
            <v>Railways</v>
          </cell>
          <cell r="B2360" t="str">
            <v>Lanjigarh</v>
          </cell>
          <cell r="Q2360">
            <v>140000</v>
          </cell>
        </row>
        <row r="2361">
          <cell r="A2361" t="str">
            <v>Railways</v>
          </cell>
          <cell r="B2361" t="str">
            <v>Lanjigarh</v>
          </cell>
          <cell r="Q2361">
            <v>92578</v>
          </cell>
        </row>
        <row r="2362">
          <cell r="A2362" t="str">
            <v>Railways</v>
          </cell>
          <cell r="B2362" t="str">
            <v>Lanjigarh</v>
          </cell>
          <cell r="Q2362">
            <v>537638</v>
          </cell>
        </row>
        <row r="2363">
          <cell r="A2363" t="str">
            <v>Railways</v>
          </cell>
          <cell r="B2363" t="str">
            <v>Lanjigarh</v>
          </cell>
          <cell r="Q2363">
            <v>433865</v>
          </cell>
        </row>
        <row r="2364">
          <cell r="A2364" t="str">
            <v>Railways</v>
          </cell>
          <cell r="B2364" t="str">
            <v>Lanjigarh</v>
          </cell>
          <cell r="Q2364">
            <v>493865</v>
          </cell>
        </row>
        <row r="2365">
          <cell r="A2365" t="str">
            <v>Railways</v>
          </cell>
          <cell r="B2365" t="str">
            <v>Lanjigarh</v>
          </cell>
          <cell r="Q2365">
            <v>66950</v>
          </cell>
        </row>
        <row r="2366">
          <cell r="A2366" t="str">
            <v>Railways</v>
          </cell>
          <cell r="B2366" t="str">
            <v>Lanjigarh</v>
          </cell>
          <cell r="Q2366">
            <v>66950</v>
          </cell>
        </row>
        <row r="2367">
          <cell r="A2367" t="str">
            <v>Railways</v>
          </cell>
          <cell r="B2367" t="str">
            <v>Lanjigarh</v>
          </cell>
          <cell r="Q2367">
            <v>16380</v>
          </cell>
        </row>
        <row r="2368">
          <cell r="A2368" t="str">
            <v>Railways</v>
          </cell>
          <cell r="B2368" t="str">
            <v>Lanjigarh</v>
          </cell>
          <cell r="Q2368">
            <v>16380</v>
          </cell>
        </row>
        <row r="2369">
          <cell r="A2369" t="str">
            <v>Railways</v>
          </cell>
          <cell r="B2369" t="str">
            <v>Lanjigarh</v>
          </cell>
          <cell r="Q2369">
            <v>16380</v>
          </cell>
        </row>
        <row r="2370">
          <cell r="A2370" t="str">
            <v>Railways</v>
          </cell>
          <cell r="B2370" t="str">
            <v>Lanjigarh</v>
          </cell>
          <cell r="Q2370">
            <v>16380</v>
          </cell>
        </row>
        <row r="2371">
          <cell r="A2371" t="str">
            <v>Railways</v>
          </cell>
          <cell r="B2371" t="str">
            <v>Lanjigarh</v>
          </cell>
          <cell r="Q2371">
            <v>11006201</v>
          </cell>
        </row>
        <row r="2372">
          <cell r="A2372" t="str">
            <v>Railways</v>
          </cell>
          <cell r="B2372" t="str">
            <v>Lanjigarh</v>
          </cell>
          <cell r="Q2372">
            <v>33500</v>
          </cell>
        </row>
        <row r="2373">
          <cell r="A2373" t="str">
            <v>Railways</v>
          </cell>
          <cell r="B2373" t="str">
            <v>Lanjigarh</v>
          </cell>
          <cell r="Q2373">
            <v>33500</v>
          </cell>
        </row>
        <row r="2374">
          <cell r="A2374" t="str">
            <v>Railways</v>
          </cell>
          <cell r="B2374" t="str">
            <v>Lanjigarh</v>
          </cell>
          <cell r="Q2374">
            <v>33500</v>
          </cell>
        </row>
        <row r="2375">
          <cell r="A2375" t="str">
            <v>Railways</v>
          </cell>
          <cell r="B2375" t="str">
            <v>Lanjigarh</v>
          </cell>
          <cell r="Q2375">
            <v>33500</v>
          </cell>
        </row>
        <row r="2376">
          <cell r="A2376" t="str">
            <v>Railways</v>
          </cell>
          <cell r="B2376" t="str">
            <v>Lanjigarh</v>
          </cell>
          <cell r="Q2376">
            <v>146227</v>
          </cell>
        </row>
        <row r="2377">
          <cell r="A2377" t="str">
            <v>Railways</v>
          </cell>
          <cell r="B2377" t="str">
            <v>Lanjigarh</v>
          </cell>
          <cell r="Q2377">
            <v>146227</v>
          </cell>
        </row>
        <row r="2378">
          <cell r="A2378" t="str">
            <v>Railways</v>
          </cell>
          <cell r="B2378" t="str">
            <v>MTP R1</v>
          </cell>
          <cell r="Q2378">
            <v>136237.5</v>
          </cell>
        </row>
        <row r="2379">
          <cell r="A2379" t="str">
            <v>Railways</v>
          </cell>
          <cell r="B2379" t="str">
            <v>MTP R1</v>
          </cell>
          <cell r="Q2379">
            <v>136237.5</v>
          </cell>
        </row>
        <row r="2380">
          <cell r="A2380" t="str">
            <v>Railways</v>
          </cell>
          <cell r="B2380" t="str">
            <v>MTP R1</v>
          </cell>
          <cell r="Q2380">
            <v>155277.35999999999</v>
          </cell>
        </row>
        <row r="2381">
          <cell r="A2381" t="str">
            <v>Railways</v>
          </cell>
          <cell r="B2381" t="str">
            <v>MTP R1</v>
          </cell>
          <cell r="Q2381">
            <v>14600628</v>
          </cell>
        </row>
        <row r="2382">
          <cell r="A2382" t="str">
            <v>Railways</v>
          </cell>
          <cell r="B2382" t="str">
            <v>MTP R1</v>
          </cell>
          <cell r="Q2382">
            <v>250814.5</v>
          </cell>
        </row>
        <row r="2383">
          <cell r="A2383" t="str">
            <v>Railways</v>
          </cell>
          <cell r="B2383" t="str">
            <v>MTP R1</v>
          </cell>
          <cell r="Q2383">
            <v>383450</v>
          </cell>
        </row>
        <row r="2384">
          <cell r="A2384" t="str">
            <v>Railways</v>
          </cell>
          <cell r="B2384" t="str">
            <v>MTP R1</v>
          </cell>
          <cell r="Q2384">
            <v>491021.68999999994</v>
          </cell>
        </row>
        <row r="2385">
          <cell r="A2385" t="str">
            <v>Railways</v>
          </cell>
          <cell r="B2385" t="str">
            <v>MTP R1</v>
          </cell>
          <cell r="Q2385">
            <v>40571316</v>
          </cell>
        </row>
        <row r="2386">
          <cell r="A2386" t="str">
            <v>Railways</v>
          </cell>
          <cell r="B2386" t="str">
            <v>BMRC</v>
          </cell>
          <cell r="Q2386">
            <v>2445728</v>
          </cell>
        </row>
        <row r="2387">
          <cell r="A2387" t="str">
            <v>Power</v>
          </cell>
          <cell r="B2387" t="str">
            <v>NCL</v>
          </cell>
          <cell r="Q2387">
            <v>408228</v>
          </cell>
        </row>
        <row r="2388">
          <cell r="A2388" t="str">
            <v>Power</v>
          </cell>
          <cell r="B2388" t="str">
            <v>NCL</v>
          </cell>
          <cell r="Q2388">
            <v>183950</v>
          </cell>
        </row>
        <row r="2389">
          <cell r="A2389" t="str">
            <v>Power</v>
          </cell>
          <cell r="B2389" t="str">
            <v>NCL</v>
          </cell>
          <cell r="Q2389">
            <v>403104</v>
          </cell>
        </row>
        <row r="2390">
          <cell r="A2390" t="str">
            <v>Power</v>
          </cell>
          <cell r="B2390" t="str">
            <v>NCL</v>
          </cell>
          <cell r="Q2390">
            <v>139941</v>
          </cell>
        </row>
        <row r="2391">
          <cell r="A2391" t="str">
            <v>Power</v>
          </cell>
          <cell r="B2391" t="str">
            <v>NCL</v>
          </cell>
          <cell r="Q2391">
            <v>139941</v>
          </cell>
        </row>
        <row r="2392">
          <cell r="A2392" t="str">
            <v>Power</v>
          </cell>
          <cell r="B2392" t="str">
            <v>NCL</v>
          </cell>
          <cell r="Q2392">
            <v>157712</v>
          </cell>
        </row>
        <row r="2393">
          <cell r="A2393" t="str">
            <v>Power</v>
          </cell>
          <cell r="B2393" t="str">
            <v>NCL</v>
          </cell>
          <cell r="Q2393">
            <v>157712</v>
          </cell>
        </row>
        <row r="2394">
          <cell r="A2394" t="str">
            <v>Power</v>
          </cell>
          <cell r="B2394" t="str">
            <v>NCL</v>
          </cell>
          <cell r="Q2394">
            <v>139941</v>
          </cell>
        </row>
        <row r="2395">
          <cell r="A2395" t="str">
            <v>Power</v>
          </cell>
          <cell r="B2395" t="str">
            <v>NCL</v>
          </cell>
          <cell r="Q2395">
            <v>157712</v>
          </cell>
        </row>
        <row r="2396">
          <cell r="A2396" t="str">
            <v>Power</v>
          </cell>
          <cell r="B2396" t="str">
            <v>NCL</v>
          </cell>
          <cell r="Q2396">
            <v>123000</v>
          </cell>
        </row>
        <row r="2397">
          <cell r="A2397" t="str">
            <v>Power</v>
          </cell>
          <cell r="B2397" t="str">
            <v>NCL</v>
          </cell>
          <cell r="Q2397">
            <v>506010</v>
          </cell>
        </row>
        <row r="2398">
          <cell r="A2398" t="str">
            <v>Power</v>
          </cell>
          <cell r="B2398" t="str">
            <v>NCL</v>
          </cell>
          <cell r="Q2398">
            <v>448864</v>
          </cell>
        </row>
        <row r="2399">
          <cell r="A2399" t="str">
            <v>Power</v>
          </cell>
          <cell r="B2399" t="str">
            <v>SV POWER</v>
          </cell>
          <cell r="Q2399">
            <v>359990</v>
          </cell>
        </row>
        <row r="2400">
          <cell r="A2400" t="str">
            <v>Power</v>
          </cell>
          <cell r="B2400" t="str">
            <v>SV POWER</v>
          </cell>
          <cell r="Q2400">
            <v>414229</v>
          </cell>
        </row>
        <row r="2401">
          <cell r="A2401" t="str">
            <v>Power</v>
          </cell>
          <cell r="B2401" t="str">
            <v>SV POWER</v>
          </cell>
          <cell r="Q2401">
            <v>140993</v>
          </cell>
        </row>
        <row r="2402">
          <cell r="A2402" t="str">
            <v>Power</v>
          </cell>
          <cell r="B2402" t="str">
            <v>SV POWER</v>
          </cell>
          <cell r="Q2402">
            <v>2606462</v>
          </cell>
        </row>
        <row r="2403">
          <cell r="A2403" t="str">
            <v>Irrigation</v>
          </cell>
          <cell r="B2403" t="str">
            <v>ISLMC</v>
          </cell>
          <cell r="Q2403">
            <v>3290378</v>
          </cell>
        </row>
        <row r="2404">
          <cell r="A2404" t="str">
            <v>Irrigation</v>
          </cell>
          <cell r="B2404" t="str">
            <v>ISLMC</v>
          </cell>
          <cell r="Q2404">
            <v>160650</v>
          </cell>
        </row>
        <row r="2405">
          <cell r="A2405" t="str">
            <v>Irrigation</v>
          </cell>
          <cell r="B2405" t="str">
            <v>ISLMC</v>
          </cell>
          <cell r="Q2405">
            <v>916875</v>
          </cell>
        </row>
        <row r="2406">
          <cell r="A2406" t="str">
            <v>Irrigation</v>
          </cell>
          <cell r="B2406" t="str">
            <v>ISLMC</v>
          </cell>
          <cell r="Q2406">
            <v>916875</v>
          </cell>
        </row>
        <row r="2407">
          <cell r="A2407" t="str">
            <v>Irrigation</v>
          </cell>
          <cell r="B2407" t="str">
            <v>ISLMC</v>
          </cell>
          <cell r="Q2407">
            <v>349773</v>
          </cell>
        </row>
        <row r="2408">
          <cell r="A2408" t="str">
            <v>Irrigation</v>
          </cell>
          <cell r="B2408" t="str">
            <v>ISLMC</v>
          </cell>
          <cell r="Q2408">
            <v>2887389</v>
          </cell>
        </row>
        <row r="2409">
          <cell r="A2409" t="str">
            <v>Irrigation</v>
          </cell>
          <cell r="B2409" t="str">
            <v>ISLMC</v>
          </cell>
          <cell r="Q2409">
            <v>420913</v>
          </cell>
        </row>
        <row r="2410">
          <cell r="A2410" t="str">
            <v>Irrigation</v>
          </cell>
          <cell r="B2410" t="str">
            <v>ISLMC</v>
          </cell>
          <cell r="Q2410">
            <v>420913</v>
          </cell>
        </row>
        <row r="2411">
          <cell r="A2411" t="str">
            <v>Irrigation</v>
          </cell>
          <cell r="B2411" t="str">
            <v>ISLMC</v>
          </cell>
          <cell r="Q2411">
            <v>4637680</v>
          </cell>
        </row>
        <row r="2412">
          <cell r="A2412" t="str">
            <v>Irrigation</v>
          </cell>
          <cell r="B2412" t="str">
            <v>ISLMC</v>
          </cell>
          <cell r="Q2412">
            <v>1597667</v>
          </cell>
        </row>
        <row r="2413">
          <cell r="A2413" t="str">
            <v>Irrigation</v>
          </cell>
          <cell r="B2413" t="str">
            <v>ISLMC</v>
          </cell>
          <cell r="Q2413">
            <v>430500</v>
          </cell>
        </row>
        <row r="2414">
          <cell r="A2414" t="str">
            <v>Irrigation</v>
          </cell>
          <cell r="B2414" t="str">
            <v>ISLMC</v>
          </cell>
          <cell r="Q2414">
            <v>430500</v>
          </cell>
        </row>
        <row r="2415">
          <cell r="A2415" t="str">
            <v>Irrigation</v>
          </cell>
          <cell r="B2415" t="str">
            <v>ISLMC</v>
          </cell>
          <cell r="Q2415">
            <v>76500</v>
          </cell>
        </row>
        <row r="2416">
          <cell r="A2416" t="str">
            <v>Irrigation</v>
          </cell>
          <cell r="B2416" t="str">
            <v>ISLMC</v>
          </cell>
          <cell r="Q2416">
            <v>19000</v>
          </cell>
        </row>
        <row r="2417">
          <cell r="A2417" t="str">
            <v>Irrigation</v>
          </cell>
          <cell r="B2417" t="str">
            <v>ISLMC</v>
          </cell>
          <cell r="Q2417">
            <v>2965873</v>
          </cell>
        </row>
        <row r="2418">
          <cell r="A2418" t="str">
            <v>Irrigation</v>
          </cell>
          <cell r="B2418" t="str">
            <v>ISLMC</v>
          </cell>
          <cell r="Q2418">
            <v>607700</v>
          </cell>
        </row>
        <row r="2419">
          <cell r="A2419" t="str">
            <v>Irrigation</v>
          </cell>
          <cell r="B2419" t="str">
            <v>ISLMC</v>
          </cell>
          <cell r="Q2419">
            <v>607700</v>
          </cell>
        </row>
        <row r="2420">
          <cell r="A2420" t="str">
            <v>Irrigation</v>
          </cell>
          <cell r="B2420" t="str">
            <v>ISLMC</v>
          </cell>
          <cell r="Q2420">
            <v>1441975.08</v>
          </cell>
        </row>
        <row r="2421">
          <cell r="A2421" t="str">
            <v>Irrigation</v>
          </cell>
          <cell r="B2421" t="str">
            <v>ISLMC</v>
          </cell>
          <cell r="Q2421">
            <v>1441975.08</v>
          </cell>
        </row>
        <row r="2422">
          <cell r="A2422" t="str">
            <v>Irrigation</v>
          </cell>
          <cell r="B2422" t="str">
            <v>ISLMC</v>
          </cell>
          <cell r="Q2422">
            <v>1441975.08</v>
          </cell>
        </row>
        <row r="2423">
          <cell r="A2423" t="str">
            <v>Irrigation</v>
          </cell>
          <cell r="B2423" t="str">
            <v>ISLMC</v>
          </cell>
          <cell r="Q2423">
            <v>1441975.08</v>
          </cell>
        </row>
        <row r="2424">
          <cell r="A2424" t="str">
            <v>Irrigation</v>
          </cell>
          <cell r="B2424" t="str">
            <v>ISLMC</v>
          </cell>
          <cell r="Q2424">
            <v>943301.6</v>
          </cell>
        </row>
        <row r="2425">
          <cell r="A2425" t="str">
            <v>Irrigation</v>
          </cell>
          <cell r="B2425" t="str">
            <v>ISLMC</v>
          </cell>
          <cell r="Q2425">
            <v>943301.6</v>
          </cell>
        </row>
        <row r="2426">
          <cell r="A2426" t="str">
            <v>Irrigation</v>
          </cell>
          <cell r="B2426" t="str">
            <v>ISLMC</v>
          </cell>
          <cell r="Q2426">
            <v>943301.6</v>
          </cell>
        </row>
        <row r="2427">
          <cell r="A2427" t="str">
            <v>Irrigation</v>
          </cell>
          <cell r="B2427" t="str">
            <v>ISLMC</v>
          </cell>
          <cell r="Q2427">
            <v>943301.6</v>
          </cell>
        </row>
        <row r="2428">
          <cell r="A2428" t="str">
            <v>Irrigation</v>
          </cell>
          <cell r="B2428" t="str">
            <v>ISLMC</v>
          </cell>
          <cell r="Q2428">
            <v>7442273</v>
          </cell>
        </row>
        <row r="2429">
          <cell r="A2429" t="str">
            <v>Irrigation</v>
          </cell>
          <cell r="B2429" t="str">
            <v>ISLMC</v>
          </cell>
          <cell r="Q2429">
            <v>1115956</v>
          </cell>
        </row>
        <row r="2430">
          <cell r="A2430" t="str">
            <v>Irrigation</v>
          </cell>
          <cell r="B2430" t="str">
            <v>ISLMC</v>
          </cell>
          <cell r="Q2430">
            <v>7151838.79</v>
          </cell>
        </row>
        <row r="2431">
          <cell r="A2431" t="str">
            <v>Irrigation</v>
          </cell>
          <cell r="B2431" t="str">
            <v>ISLMC</v>
          </cell>
          <cell r="Q2431">
            <v>8264794.79</v>
          </cell>
        </row>
        <row r="2432">
          <cell r="A2432" t="str">
            <v>Irrigation</v>
          </cell>
          <cell r="B2432" t="str">
            <v>ISLMC</v>
          </cell>
          <cell r="Q2432">
            <v>673864</v>
          </cell>
        </row>
        <row r="2433">
          <cell r="A2433" t="str">
            <v>Irrigation</v>
          </cell>
          <cell r="B2433" t="str">
            <v>ISLMC</v>
          </cell>
          <cell r="Q2433">
            <v>4705984.4000000004</v>
          </cell>
        </row>
        <row r="2434">
          <cell r="A2434" t="str">
            <v>Irrigation</v>
          </cell>
          <cell r="B2434" t="str">
            <v>ISLMC</v>
          </cell>
          <cell r="Q2434">
            <v>560000</v>
          </cell>
        </row>
        <row r="2435">
          <cell r="A2435" t="str">
            <v>Irrigation</v>
          </cell>
          <cell r="B2435" t="str">
            <v>ISLMC</v>
          </cell>
          <cell r="Q2435">
            <v>560000</v>
          </cell>
        </row>
        <row r="2436">
          <cell r="A2436" t="str">
            <v>Irrigation</v>
          </cell>
          <cell r="B2436" t="str">
            <v>ISLMC</v>
          </cell>
          <cell r="Q2436">
            <v>560000</v>
          </cell>
        </row>
        <row r="2437">
          <cell r="A2437" t="str">
            <v>Irrigation</v>
          </cell>
          <cell r="B2437" t="str">
            <v>ISLMC</v>
          </cell>
          <cell r="Q2437">
            <v>560000</v>
          </cell>
        </row>
        <row r="2438">
          <cell r="A2438" t="str">
            <v>Irrigation</v>
          </cell>
          <cell r="B2438" t="str">
            <v>ISLMC</v>
          </cell>
          <cell r="Q2438">
            <v>925800</v>
          </cell>
        </row>
        <row r="2439">
          <cell r="A2439" t="str">
            <v>Irrigation</v>
          </cell>
          <cell r="B2439" t="str">
            <v>ISLMC</v>
          </cell>
          <cell r="Q2439">
            <v>929992</v>
          </cell>
        </row>
        <row r="2440">
          <cell r="A2440" t="str">
            <v>Irrigation</v>
          </cell>
          <cell r="B2440" t="str">
            <v>ISLMC</v>
          </cell>
          <cell r="Q2440">
            <v>18659498</v>
          </cell>
        </row>
        <row r="2441">
          <cell r="A2441" t="str">
            <v>Irrigation</v>
          </cell>
          <cell r="B2441" t="str">
            <v>ISLMC</v>
          </cell>
          <cell r="Q2441">
            <v>240000</v>
          </cell>
        </row>
        <row r="2442">
          <cell r="A2442" t="str">
            <v>Irrigation</v>
          </cell>
          <cell r="B2442" t="str">
            <v>ISLMC</v>
          </cell>
          <cell r="Q2442">
            <v>1476718</v>
          </cell>
        </row>
        <row r="2443">
          <cell r="A2443" t="str">
            <v>Irrigation</v>
          </cell>
          <cell r="B2443" t="str">
            <v>ISLMC</v>
          </cell>
          <cell r="Q2443">
            <v>1801445</v>
          </cell>
        </row>
        <row r="2444">
          <cell r="A2444" t="str">
            <v>Irrigation</v>
          </cell>
          <cell r="B2444" t="str">
            <v>ISLMC</v>
          </cell>
          <cell r="Q2444">
            <v>607641</v>
          </cell>
        </row>
        <row r="2445">
          <cell r="A2445" t="str">
            <v>Irrigation</v>
          </cell>
          <cell r="B2445" t="str">
            <v>ISLMC</v>
          </cell>
          <cell r="Q2445">
            <v>1177199</v>
          </cell>
        </row>
        <row r="2446">
          <cell r="A2446" t="str">
            <v>Irrigation</v>
          </cell>
          <cell r="B2446" t="str">
            <v>ISLMC</v>
          </cell>
          <cell r="Q2446">
            <v>1177199</v>
          </cell>
        </row>
        <row r="2447">
          <cell r="A2447" t="str">
            <v>Irrigation</v>
          </cell>
          <cell r="B2447" t="str">
            <v>ISLMC</v>
          </cell>
          <cell r="Q2447">
            <v>1177199</v>
          </cell>
        </row>
        <row r="2448">
          <cell r="A2448" t="str">
            <v>Irrigation</v>
          </cell>
          <cell r="B2448" t="str">
            <v>ISLMC</v>
          </cell>
          <cell r="Q2448">
            <v>1177199</v>
          </cell>
        </row>
        <row r="2449">
          <cell r="A2449" t="str">
            <v>Irrigation</v>
          </cell>
          <cell r="B2449" t="str">
            <v>ISLMC</v>
          </cell>
          <cell r="Q2449">
            <v>1177199</v>
          </cell>
        </row>
        <row r="2450">
          <cell r="A2450" t="str">
            <v>Irrigation</v>
          </cell>
          <cell r="B2450" t="str">
            <v>ISLMC</v>
          </cell>
          <cell r="Q2450">
            <v>1177199</v>
          </cell>
        </row>
        <row r="2451">
          <cell r="A2451" t="str">
            <v>Irrigation</v>
          </cell>
          <cell r="B2451" t="str">
            <v>ISLMC</v>
          </cell>
          <cell r="Q2451">
            <v>1177199</v>
          </cell>
        </row>
        <row r="2452">
          <cell r="A2452" t="str">
            <v>Irrigation</v>
          </cell>
          <cell r="B2452" t="str">
            <v>ISLMC</v>
          </cell>
          <cell r="Q2452">
            <v>1177199</v>
          </cell>
        </row>
        <row r="2453">
          <cell r="A2453" t="str">
            <v>Irrigation</v>
          </cell>
          <cell r="B2453" t="str">
            <v>ISLMC</v>
          </cell>
          <cell r="Q2453">
            <v>1310857</v>
          </cell>
        </row>
        <row r="2454">
          <cell r="A2454" t="str">
            <v>Irrigation</v>
          </cell>
          <cell r="B2454" t="str">
            <v>ISLMC</v>
          </cell>
          <cell r="Q2454">
            <v>1177199</v>
          </cell>
        </row>
        <row r="2455">
          <cell r="A2455" t="str">
            <v>Irrigation</v>
          </cell>
          <cell r="B2455" t="str">
            <v>ISLMC</v>
          </cell>
          <cell r="Q2455">
            <v>1177199</v>
          </cell>
        </row>
        <row r="2456">
          <cell r="A2456" t="str">
            <v>Irrigation</v>
          </cell>
          <cell r="B2456" t="str">
            <v>ISLMC</v>
          </cell>
          <cell r="Q2456">
            <v>8709815</v>
          </cell>
        </row>
        <row r="2457">
          <cell r="A2457" t="str">
            <v>Irrigation</v>
          </cell>
          <cell r="B2457" t="str">
            <v>ISLMC</v>
          </cell>
          <cell r="Q2457">
            <v>954299.04</v>
          </cell>
        </row>
        <row r="2458">
          <cell r="A2458" t="str">
            <v>Irrigation</v>
          </cell>
          <cell r="B2458" t="str">
            <v>ISLMC</v>
          </cell>
          <cell r="Q2458">
            <v>954299.04</v>
          </cell>
        </row>
        <row r="2459">
          <cell r="A2459" t="str">
            <v>Irrigation</v>
          </cell>
          <cell r="B2459" t="str">
            <v>ISLMC</v>
          </cell>
          <cell r="Q2459">
            <v>954299.04</v>
          </cell>
        </row>
        <row r="2460">
          <cell r="A2460" t="str">
            <v>Irrigation</v>
          </cell>
          <cell r="B2460" t="str">
            <v>ISLMC</v>
          </cell>
          <cell r="Q2460">
            <v>954299.04</v>
          </cell>
        </row>
        <row r="2461">
          <cell r="A2461" t="str">
            <v>Irrigation</v>
          </cell>
          <cell r="B2461" t="str">
            <v>ISLMC</v>
          </cell>
          <cell r="Q2461">
            <v>1410986</v>
          </cell>
        </row>
        <row r="2462">
          <cell r="A2462" t="str">
            <v>Irrigation</v>
          </cell>
          <cell r="B2462" t="str">
            <v>ISLMC</v>
          </cell>
          <cell r="Q2462">
            <v>1410986</v>
          </cell>
        </row>
        <row r="2463">
          <cell r="A2463" t="str">
            <v>Irrigation</v>
          </cell>
          <cell r="B2463" t="str">
            <v>ISLMC</v>
          </cell>
          <cell r="Q2463">
            <v>1410986</v>
          </cell>
        </row>
        <row r="2464">
          <cell r="A2464" t="str">
            <v>Irrigation</v>
          </cell>
          <cell r="B2464" t="str">
            <v>ISLMC</v>
          </cell>
          <cell r="Q2464">
            <v>1410986</v>
          </cell>
        </row>
        <row r="2465">
          <cell r="A2465" t="str">
            <v>Irrigation</v>
          </cell>
          <cell r="B2465" t="str">
            <v>ISLMC</v>
          </cell>
          <cell r="Q2465">
            <v>1410986</v>
          </cell>
        </row>
        <row r="2466">
          <cell r="A2466" t="str">
            <v>Irrigation</v>
          </cell>
          <cell r="B2466" t="str">
            <v>ISLMC</v>
          </cell>
          <cell r="Q2466">
            <v>1410986</v>
          </cell>
        </row>
        <row r="2467">
          <cell r="A2467" t="str">
            <v>Irrigation</v>
          </cell>
          <cell r="B2467" t="str">
            <v>ISLMC</v>
          </cell>
          <cell r="Q2467">
            <v>1804879.81</v>
          </cell>
        </row>
        <row r="2468">
          <cell r="A2468" t="str">
            <v>Irrigation</v>
          </cell>
          <cell r="B2468" t="str">
            <v>ISLMC</v>
          </cell>
          <cell r="Q2468">
            <v>995625</v>
          </cell>
        </row>
        <row r="2469">
          <cell r="A2469" t="str">
            <v>Irrigation</v>
          </cell>
          <cell r="B2469" t="str">
            <v>ISLMC</v>
          </cell>
          <cell r="Q2469">
            <v>7675096</v>
          </cell>
        </row>
        <row r="2470">
          <cell r="A2470" t="str">
            <v>Irrigation</v>
          </cell>
          <cell r="B2470" t="str">
            <v>ISLMC</v>
          </cell>
          <cell r="Q2470">
            <v>1538000</v>
          </cell>
        </row>
        <row r="2471">
          <cell r="A2471" t="str">
            <v>Irrigation</v>
          </cell>
          <cell r="B2471" t="str">
            <v>ISLMC</v>
          </cell>
          <cell r="Q2471">
            <v>1538000</v>
          </cell>
        </row>
        <row r="2472">
          <cell r="A2472" t="str">
            <v>Irrigation</v>
          </cell>
          <cell r="B2472" t="str">
            <v>ISLMC</v>
          </cell>
          <cell r="Q2472">
            <v>2350000</v>
          </cell>
        </row>
        <row r="2473">
          <cell r="A2473" t="str">
            <v>Irrigation</v>
          </cell>
          <cell r="B2473" t="str">
            <v>ISLMC</v>
          </cell>
          <cell r="Q2473">
            <v>42000</v>
          </cell>
        </row>
        <row r="2474">
          <cell r="A2474" t="str">
            <v>Irrigation</v>
          </cell>
          <cell r="B2474" t="str">
            <v>ISLMC</v>
          </cell>
          <cell r="Q2474">
            <v>3272266</v>
          </cell>
        </row>
        <row r="2475">
          <cell r="A2475" t="str">
            <v>Irrigation</v>
          </cell>
          <cell r="B2475" t="str">
            <v>ISLMC</v>
          </cell>
          <cell r="Q2475">
            <v>555000</v>
          </cell>
        </row>
        <row r="2476">
          <cell r="A2476" t="str">
            <v>Irrigation</v>
          </cell>
          <cell r="B2476" t="str">
            <v>Tadipudi</v>
          </cell>
          <cell r="Q2476">
            <v>122153</v>
          </cell>
        </row>
        <row r="2477">
          <cell r="A2477" t="str">
            <v>Irrigation</v>
          </cell>
          <cell r="B2477" t="str">
            <v>Tadipudi</v>
          </cell>
          <cell r="Q2477">
            <v>122152</v>
          </cell>
        </row>
        <row r="2478">
          <cell r="A2478" t="str">
            <v>Irrigation</v>
          </cell>
          <cell r="B2478" t="str">
            <v>Tadipudi</v>
          </cell>
          <cell r="Q2478">
            <v>31345.25</v>
          </cell>
        </row>
        <row r="2479">
          <cell r="A2479" t="str">
            <v>Irrigation</v>
          </cell>
          <cell r="B2479" t="str">
            <v>Tadipudi</v>
          </cell>
          <cell r="Q2479">
            <v>31345.25</v>
          </cell>
        </row>
        <row r="2480">
          <cell r="A2480" t="str">
            <v>Irrigation</v>
          </cell>
          <cell r="B2480" t="str">
            <v>Tadipudi</v>
          </cell>
          <cell r="Q2480">
            <v>31345.25</v>
          </cell>
        </row>
        <row r="2481">
          <cell r="A2481" t="str">
            <v>Irrigation</v>
          </cell>
          <cell r="B2481" t="str">
            <v>Tadipudi</v>
          </cell>
          <cell r="Q2481">
            <v>122152.25</v>
          </cell>
        </row>
        <row r="2482">
          <cell r="A2482" t="str">
            <v>Irrigation</v>
          </cell>
          <cell r="B2482" t="str">
            <v>Tadipudi</v>
          </cell>
          <cell r="Q2482">
            <v>122153</v>
          </cell>
        </row>
        <row r="2483">
          <cell r="A2483" t="str">
            <v>Irrigation</v>
          </cell>
          <cell r="B2483" t="str">
            <v>Tadipudi</v>
          </cell>
          <cell r="Q2483">
            <v>122152</v>
          </cell>
        </row>
        <row r="2484">
          <cell r="A2484" t="str">
            <v>Irrigation</v>
          </cell>
          <cell r="B2484" t="str">
            <v>Tadipudi</v>
          </cell>
          <cell r="Q2484">
            <v>1674396.5</v>
          </cell>
        </row>
        <row r="2485">
          <cell r="A2485" t="str">
            <v>Irrigation</v>
          </cell>
          <cell r="B2485" t="str">
            <v>Tadipudi</v>
          </cell>
          <cell r="Q2485">
            <v>31345.25</v>
          </cell>
        </row>
        <row r="2486">
          <cell r="A2486" t="str">
            <v>Irrigation</v>
          </cell>
          <cell r="B2486" t="str">
            <v>Tadipudi</v>
          </cell>
          <cell r="Q2486">
            <v>31345.25</v>
          </cell>
        </row>
        <row r="2487">
          <cell r="A2487" t="str">
            <v>Irrigation</v>
          </cell>
          <cell r="B2487" t="str">
            <v>Tadipudi</v>
          </cell>
          <cell r="Q2487">
            <v>122153.25</v>
          </cell>
        </row>
        <row r="2488">
          <cell r="A2488" t="str">
            <v>Irrigation</v>
          </cell>
          <cell r="B2488" t="str">
            <v>Tadipudi</v>
          </cell>
          <cell r="Q2488">
            <v>1674396.5</v>
          </cell>
        </row>
        <row r="2489">
          <cell r="A2489" t="str">
            <v>Irrigation</v>
          </cell>
          <cell r="B2489" t="str">
            <v>Tadipudi</v>
          </cell>
          <cell r="Q2489">
            <v>122152.25</v>
          </cell>
        </row>
        <row r="2490">
          <cell r="A2490" t="str">
            <v>Irrigation</v>
          </cell>
          <cell r="B2490" t="str">
            <v>Tadipudi</v>
          </cell>
          <cell r="Q2490">
            <v>31345.21</v>
          </cell>
        </row>
        <row r="2491">
          <cell r="A2491" t="str">
            <v>Irrigation</v>
          </cell>
          <cell r="B2491" t="str">
            <v>Tadipudi</v>
          </cell>
          <cell r="Q2491">
            <v>31345.21</v>
          </cell>
        </row>
        <row r="2492">
          <cell r="A2492" t="str">
            <v>Irrigation</v>
          </cell>
          <cell r="B2492" t="str">
            <v>Tadipudi</v>
          </cell>
          <cell r="Q2492">
            <v>31345.21</v>
          </cell>
        </row>
        <row r="2493">
          <cell r="A2493" t="str">
            <v>Irrigation</v>
          </cell>
          <cell r="B2493" t="str">
            <v>Tadipudi</v>
          </cell>
          <cell r="Q2493">
            <v>122153.13</v>
          </cell>
        </row>
        <row r="2494">
          <cell r="A2494" t="str">
            <v>Irrigation</v>
          </cell>
          <cell r="B2494" t="str">
            <v>Tadipudi</v>
          </cell>
          <cell r="Q2494">
            <v>122152.12</v>
          </cell>
        </row>
        <row r="2495">
          <cell r="A2495" t="str">
            <v>Irrigation</v>
          </cell>
          <cell r="B2495" t="str">
            <v>Tadipudi</v>
          </cell>
          <cell r="Q2495">
            <v>122152.12</v>
          </cell>
        </row>
        <row r="2496">
          <cell r="A2496" t="str">
            <v>Irrigation</v>
          </cell>
          <cell r="B2496" t="str">
            <v>Tadipudi</v>
          </cell>
          <cell r="Q2496">
            <v>36180</v>
          </cell>
        </row>
        <row r="2497">
          <cell r="A2497" t="str">
            <v>Irrigation</v>
          </cell>
          <cell r="B2497" t="str">
            <v>Tadipudi</v>
          </cell>
          <cell r="Q2497">
            <v>954299.04</v>
          </cell>
        </row>
        <row r="2498">
          <cell r="A2498" t="str">
            <v>Irrigation</v>
          </cell>
          <cell r="B2498" t="str">
            <v>Tadipudi</v>
          </cell>
          <cell r="Q2498">
            <v>954299.04</v>
          </cell>
        </row>
        <row r="2499">
          <cell r="A2499" t="str">
            <v>Irrigation</v>
          </cell>
          <cell r="B2499" t="str">
            <v>Tadipudi</v>
          </cell>
          <cell r="Q2499">
            <v>12617202</v>
          </cell>
        </row>
        <row r="2500">
          <cell r="A2500" t="str">
            <v>Irrigation</v>
          </cell>
          <cell r="B2500" t="str">
            <v>Tadipudi</v>
          </cell>
          <cell r="Q2500">
            <v>223600</v>
          </cell>
        </row>
        <row r="2501">
          <cell r="A2501" t="str">
            <v>Irrigation</v>
          </cell>
          <cell r="B2501" t="str">
            <v>Tadipudi</v>
          </cell>
          <cell r="Q2501">
            <v>533047</v>
          </cell>
        </row>
        <row r="2502">
          <cell r="A2502" t="str">
            <v>Irrigation</v>
          </cell>
          <cell r="B2502" t="str">
            <v>Tadipudi</v>
          </cell>
          <cell r="Q2502">
            <v>35800</v>
          </cell>
        </row>
        <row r="2503">
          <cell r="A2503" t="str">
            <v>Irrigation</v>
          </cell>
          <cell r="B2503" t="str">
            <v>Tadipudi</v>
          </cell>
          <cell r="Q2503">
            <v>35800</v>
          </cell>
        </row>
        <row r="2504">
          <cell r="A2504" t="str">
            <v>Irrigation</v>
          </cell>
          <cell r="B2504" t="str">
            <v>Tadipudi</v>
          </cell>
          <cell r="Q2504">
            <v>35800</v>
          </cell>
        </row>
        <row r="2505">
          <cell r="A2505" t="str">
            <v>Irrigation</v>
          </cell>
          <cell r="B2505" t="str">
            <v>Tadipudi</v>
          </cell>
          <cell r="Q2505">
            <v>35800</v>
          </cell>
        </row>
        <row r="2506">
          <cell r="A2506" t="str">
            <v>Irrigation</v>
          </cell>
          <cell r="B2506" t="str">
            <v>Tadipudi</v>
          </cell>
          <cell r="Q2506">
            <v>132000</v>
          </cell>
        </row>
        <row r="2507">
          <cell r="A2507" t="str">
            <v>Irrigation</v>
          </cell>
          <cell r="B2507" t="str">
            <v>Tadipudi</v>
          </cell>
          <cell r="Q2507">
            <v>132000</v>
          </cell>
        </row>
        <row r="2508">
          <cell r="A2508" t="str">
            <v>Irrigation</v>
          </cell>
          <cell r="B2508" t="str">
            <v>Tadipudi</v>
          </cell>
          <cell r="Q2508">
            <v>132000</v>
          </cell>
        </row>
        <row r="2509">
          <cell r="A2509" t="str">
            <v>Irrigation</v>
          </cell>
          <cell r="B2509" t="str">
            <v>Tadipudi</v>
          </cell>
          <cell r="Q2509">
            <v>132000</v>
          </cell>
        </row>
        <row r="2510">
          <cell r="A2510" t="str">
            <v>Irrigation</v>
          </cell>
          <cell r="B2510" t="str">
            <v>Tadipudi</v>
          </cell>
          <cell r="Q2510">
            <v>2255424</v>
          </cell>
        </row>
        <row r="2511">
          <cell r="A2511" t="str">
            <v>Irrigation</v>
          </cell>
          <cell r="B2511" t="str">
            <v>Tadipudi</v>
          </cell>
          <cell r="Q2511">
            <v>533594</v>
          </cell>
        </row>
        <row r="2512">
          <cell r="A2512" t="str">
            <v>Irrigation</v>
          </cell>
          <cell r="B2512" t="str">
            <v>Tadipudi</v>
          </cell>
          <cell r="Q2512">
            <v>2717949</v>
          </cell>
        </row>
        <row r="2513">
          <cell r="A2513" t="str">
            <v>Irrigation</v>
          </cell>
          <cell r="B2513" t="str">
            <v>Tadipudi</v>
          </cell>
          <cell r="Q2513">
            <v>1776069</v>
          </cell>
        </row>
        <row r="2514">
          <cell r="A2514" t="str">
            <v>Irrigation</v>
          </cell>
          <cell r="B2514" t="str">
            <v>Tadipudi</v>
          </cell>
          <cell r="Q2514">
            <v>1776069</v>
          </cell>
        </row>
        <row r="2515">
          <cell r="A2515" t="str">
            <v>Irrigation</v>
          </cell>
          <cell r="B2515" t="str">
            <v>Tadipudi</v>
          </cell>
          <cell r="Q2515">
            <v>1776069</v>
          </cell>
        </row>
        <row r="2516">
          <cell r="A2516" t="str">
            <v>Irrigation</v>
          </cell>
          <cell r="B2516" t="str">
            <v>Tadipudi</v>
          </cell>
          <cell r="Q2516">
            <v>488390.18999999994</v>
          </cell>
        </row>
        <row r="2517">
          <cell r="A2517" t="str">
            <v>Irrigation</v>
          </cell>
          <cell r="B2517" t="str">
            <v>Tadipudi</v>
          </cell>
          <cell r="Q2517">
            <v>924296</v>
          </cell>
        </row>
        <row r="2518">
          <cell r="A2518" t="str">
            <v>Irrigation</v>
          </cell>
          <cell r="B2518" t="str">
            <v>Tadipudi</v>
          </cell>
          <cell r="Q2518">
            <v>924296</v>
          </cell>
        </row>
        <row r="2519">
          <cell r="A2519" t="str">
            <v>Irrigation</v>
          </cell>
          <cell r="B2519" t="str">
            <v>Tadipudi</v>
          </cell>
          <cell r="Q2519">
            <v>845197</v>
          </cell>
        </row>
        <row r="2520">
          <cell r="A2520" t="str">
            <v>Irrigation</v>
          </cell>
          <cell r="B2520" t="str">
            <v>Tadipudi</v>
          </cell>
          <cell r="Q2520">
            <v>56160</v>
          </cell>
        </row>
        <row r="2521">
          <cell r="A2521" t="str">
            <v>Irrigation</v>
          </cell>
          <cell r="B2521" t="str">
            <v>Tadipudi</v>
          </cell>
          <cell r="Q2521">
            <v>56160</v>
          </cell>
        </row>
        <row r="2522">
          <cell r="A2522" t="str">
            <v>Irrigation</v>
          </cell>
          <cell r="B2522" t="str">
            <v>Tadipudi</v>
          </cell>
          <cell r="Q2522">
            <v>845197</v>
          </cell>
        </row>
        <row r="2523">
          <cell r="A2523" t="str">
            <v>Irrigation</v>
          </cell>
          <cell r="B2523" t="str">
            <v>Tadipudi</v>
          </cell>
          <cell r="Q2523">
            <v>1068945</v>
          </cell>
        </row>
        <row r="2524">
          <cell r="A2524" t="str">
            <v>Irrigation</v>
          </cell>
          <cell r="B2524" t="str">
            <v>Tadipudi</v>
          </cell>
          <cell r="Q2524">
            <v>1068945</v>
          </cell>
        </row>
        <row r="2525">
          <cell r="A2525" t="str">
            <v>Irrigation</v>
          </cell>
          <cell r="B2525" t="str">
            <v>Tadipudi</v>
          </cell>
          <cell r="Q2525">
            <v>1068945</v>
          </cell>
        </row>
        <row r="2526">
          <cell r="A2526" t="str">
            <v>Irrigation</v>
          </cell>
          <cell r="B2526" t="str">
            <v>Tadipudi</v>
          </cell>
          <cell r="Q2526">
            <v>1068945</v>
          </cell>
        </row>
        <row r="2527">
          <cell r="A2527" t="str">
            <v>Irrigation</v>
          </cell>
          <cell r="B2527" t="str">
            <v>Tadipudi</v>
          </cell>
          <cell r="Q2527">
            <v>1068945</v>
          </cell>
        </row>
        <row r="2528">
          <cell r="A2528" t="str">
            <v>Irrigation</v>
          </cell>
          <cell r="B2528" t="str">
            <v>Tadipudi</v>
          </cell>
          <cell r="Q2528">
            <v>1081793.8</v>
          </cell>
        </row>
        <row r="2529">
          <cell r="A2529" t="str">
            <v>Irrigation</v>
          </cell>
          <cell r="B2529" t="str">
            <v>Tadipudi</v>
          </cell>
          <cell r="Q2529">
            <v>1081793.8</v>
          </cell>
        </row>
        <row r="2530">
          <cell r="A2530" t="str">
            <v>Irrigation</v>
          </cell>
          <cell r="B2530" t="str">
            <v>Tadipudi</v>
          </cell>
          <cell r="Q2530">
            <v>939452.5</v>
          </cell>
        </row>
        <row r="2531">
          <cell r="A2531" t="str">
            <v>Irrigation</v>
          </cell>
          <cell r="B2531" t="str">
            <v>Tadipudi</v>
          </cell>
          <cell r="Q2531">
            <v>939452.5</v>
          </cell>
        </row>
        <row r="2532">
          <cell r="A2532" t="str">
            <v>Irrigation</v>
          </cell>
          <cell r="B2532" t="str">
            <v>Tadipudi</v>
          </cell>
          <cell r="Q2532">
            <v>939452.5</v>
          </cell>
        </row>
        <row r="2533">
          <cell r="A2533" t="str">
            <v>Irrigation</v>
          </cell>
          <cell r="B2533" t="str">
            <v>Tadipudi</v>
          </cell>
          <cell r="Q2533">
            <v>939452.5</v>
          </cell>
        </row>
        <row r="2534">
          <cell r="A2534" t="str">
            <v>Irrigation</v>
          </cell>
          <cell r="B2534" t="str">
            <v>Tadipudi</v>
          </cell>
          <cell r="Q2534">
            <v>2281397</v>
          </cell>
        </row>
        <row r="2535">
          <cell r="A2535" t="str">
            <v>Irrigation</v>
          </cell>
          <cell r="B2535" t="str">
            <v>Tadipudi</v>
          </cell>
          <cell r="Q2535">
            <v>30000</v>
          </cell>
        </row>
        <row r="2536">
          <cell r="A2536" t="str">
            <v>Irrigation</v>
          </cell>
          <cell r="B2536" t="str">
            <v>Tadipudi</v>
          </cell>
          <cell r="Q2536">
            <v>15080</v>
          </cell>
        </row>
        <row r="2537">
          <cell r="A2537" t="str">
            <v>Irrigation</v>
          </cell>
          <cell r="B2537" t="str">
            <v>Tadipudi</v>
          </cell>
          <cell r="Q2537">
            <v>3662</v>
          </cell>
        </row>
        <row r="2538">
          <cell r="A2538" t="str">
            <v>Irrigation</v>
          </cell>
          <cell r="B2538" t="str">
            <v>Tadipudi</v>
          </cell>
          <cell r="Q2538">
            <v>1</v>
          </cell>
        </row>
        <row r="2539">
          <cell r="A2539" t="str">
            <v>Irrigation</v>
          </cell>
          <cell r="B2539" t="str">
            <v>Tadipudi</v>
          </cell>
          <cell r="Q2539">
            <v>15080</v>
          </cell>
        </row>
        <row r="2540">
          <cell r="A2540" t="str">
            <v>Irrigation</v>
          </cell>
          <cell r="B2540" t="str">
            <v>Tadipudi</v>
          </cell>
          <cell r="Q2540">
            <v>1</v>
          </cell>
        </row>
        <row r="2541">
          <cell r="A2541" t="str">
            <v>Irrigation</v>
          </cell>
          <cell r="B2541" t="str">
            <v>Tadipudi</v>
          </cell>
          <cell r="Q2541">
            <v>1</v>
          </cell>
        </row>
        <row r="2542">
          <cell r="A2542" t="str">
            <v>Irrigation</v>
          </cell>
          <cell r="B2542" t="str">
            <v>Tadipudi</v>
          </cell>
          <cell r="Q2542">
            <v>4164938</v>
          </cell>
        </row>
        <row r="2543">
          <cell r="A2543" t="str">
            <v>Irrigation</v>
          </cell>
          <cell r="B2543" t="str">
            <v>Tadipudi</v>
          </cell>
          <cell r="Q2543">
            <v>4164938</v>
          </cell>
        </row>
        <row r="2544">
          <cell r="A2544" t="str">
            <v>Irrigation</v>
          </cell>
          <cell r="B2544" t="str">
            <v>Tadipudi</v>
          </cell>
          <cell r="Q2544">
            <v>7668743</v>
          </cell>
        </row>
        <row r="2545">
          <cell r="A2545" t="str">
            <v>Irrigation</v>
          </cell>
          <cell r="B2545" t="str">
            <v>Tadipudi</v>
          </cell>
          <cell r="Q2545">
            <v>4141442</v>
          </cell>
        </row>
        <row r="2546">
          <cell r="A2546" t="str">
            <v>SSU</v>
          </cell>
          <cell r="B2546" t="str">
            <v>Store Yard</v>
          </cell>
          <cell r="Q2546">
            <v>30589878</v>
          </cell>
        </row>
        <row r="2547">
          <cell r="A2547" t="str">
            <v>SSU</v>
          </cell>
          <cell r="B2547" t="str">
            <v>Store Yard</v>
          </cell>
          <cell r="Q2547">
            <v>30603950.010000002</v>
          </cell>
        </row>
        <row r="2548">
          <cell r="A2548" t="str">
            <v>SSU</v>
          </cell>
          <cell r="B2548" t="str">
            <v>Store Yard</v>
          </cell>
          <cell r="Q2548">
            <v>1759501</v>
          </cell>
        </row>
        <row r="2549">
          <cell r="A2549" t="str">
            <v>SSU</v>
          </cell>
          <cell r="B2549" t="str">
            <v>Store Yard</v>
          </cell>
          <cell r="Q2549">
            <v>3937007</v>
          </cell>
        </row>
        <row r="2550">
          <cell r="A2550" t="str">
            <v>SSU</v>
          </cell>
          <cell r="B2550" t="str">
            <v>Un known</v>
          </cell>
          <cell r="Q2550">
            <v>39050.5</v>
          </cell>
        </row>
        <row r="2551">
          <cell r="A2551" t="str">
            <v>SSU</v>
          </cell>
          <cell r="B2551" t="str">
            <v>Un known</v>
          </cell>
          <cell r="Q2551">
            <v>39050.5</v>
          </cell>
        </row>
        <row r="2552">
          <cell r="A2552" t="str">
            <v>SSU</v>
          </cell>
          <cell r="B2552" t="str">
            <v>Un known</v>
          </cell>
          <cell r="Q2552">
            <v>49391</v>
          </cell>
        </row>
        <row r="2553">
          <cell r="A2553" t="str">
            <v>SSU</v>
          </cell>
          <cell r="B2553" t="str">
            <v>Un known</v>
          </cell>
          <cell r="Q2553">
            <v>62768.25</v>
          </cell>
        </row>
        <row r="2554">
          <cell r="A2554" t="str">
            <v>SSU</v>
          </cell>
          <cell r="B2554" t="str">
            <v>Un known</v>
          </cell>
          <cell r="Q2554">
            <v>463100</v>
          </cell>
        </row>
        <row r="2555">
          <cell r="A2555" t="str">
            <v>SSU</v>
          </cell>
          <cell r="B2555" t="str">
            <v>Un known</v>
          </cell>
          <cell r="Q2555">
            <v>1840833.4</v>
          </cell>
        </row>
        <row r="2556">
          <cell r="A2556" t="str">
            <v>SSU</v>
          </cell>
          <cell r="B2556" t="str">
            <v>Un known</v>
          </cell>
          <cell r="Q2556">
            <v>3375</v>
          </cell>
        </row>
        <row r="2557">
          <cell r="A2557" t="str">
            <v>SSU</v>
          </cell>
          <cell r="B2557" t="str">
            <v>Un known</v>
          </cell>
          <cell r="Q2557">
            <v>6075</v>
          </cell>
        </row>
        <row r="2558">
          <cell r="A2558" t="str">
            <v>SSU</v>
          </cell>
          <cell r="B2558" t="str">
            <v>Un known</v>
          </cell>
          <cell r="Q2558">
            <v>10687.5</v>
          </cell>
        </row>
        <row r="2559">
          <cell r="A2559" t="str">
            <v>SSU</v>
          </cell>
          <cell r="B2559" t="str">
            <v>Un known</v>
          </cell>
          <cell r="Q2559">
            <v>44600</v>
          </cell>
        </row>
        <row r="2560">
          <cell r="A2560" t="str">
            <v>SSU</v>
          </cell>
          <cell r="B2560" t="str">
            <v>Un known</v>
          </cell>
          <cell r="Q2560">
            <v>44600</v>
          </cell>
        </row>
        <row r="2561">
          <cell r="A2561" t="str">
            <v>SSU</v>
          </cell>
          <cell r="B2561" t="str">
            <v>Un known</v>
          </cell>
          <cell r="Q2561">
            <v>44600</v>
          </cell>
        </row>
        <row r="2562">
          <cell r="A2562" t="str">
            <v>SSU</v>
          </cell>
          <cell r="B2562" t="str">
            <v>Un known</v>
          </cell>
          <cell r="Q2562">
            <v>2030403.2</v>
          </cell>
        </row>
        <row r="2563">
          <cell r="A2563" t="str">
            <v>SSU</v>
          </cell>
          <cell r="B2563" t="str">
            <v>Un known</v>
          </cell>
          <cell r="Q2563">
            <v>49050</v>
          </cell>
        </row>
        <row r="2564">
          <cell r="A2564" t="str">
            <v>SSU</v>
          </cell>
          <cell r="B2564" t="str">
            <v>Un known</v>
          </cell>
          <cell r="Q2564">
            <v>123000</v>
          </cell>
        </row>
        <row r="2565">
          <cell r="A2565" t="str">
            <v>SSU</v>
          </cell>
          <cell r="B2565" t="str">
            <v>Un known</v>
          </cell>
          <cell r="Q2565">
            <v>528217</v>
          </cell>
        </row>
        <row r="2566">
          <cell r="A2566" t="str">
            <v>SSU</v>
          </cell>
          <cell r="B2566" t="str">
            <v>Un known</v>
          </cell>
          <cell r="Q2566">
            <v>14625</v>
          </cell>
        </row>
        <row r="2567">
          <cell r="A2567" t="str">
            <v>SSU</v>
          </cell>
          <cell r="B2567" t="str">
            <v>Un known</v>
          </cell>
          <cell r="Q2567">
            <v>29250</v>
          </cell>
        </row>
        <row r="2568">
          <cell r="A2568" t="str">
            <v>SSU</v>
          </cell>
          <cell r="B2568" t="str">
            <v>Un known</v>
          </cell>
          <cell r="Q2568">
            <v>21617</v>
          </cell>
        </row>
        <row r="2569">
          <cell r="A2569" t="str">
            <v>SSU</v>
          </cell>
          <cell r="B2569" t="str">
            <v>Un known</v>
          </cell>
          <cell r="Q2569">
            <v>38000</v>
          </cell>
        </row>
        <row r="2570">
          <cell r="A2570" t="str">
            <v>SSU</v>
          </cell>
          <cell r="B2570" t="str">
            <v>Un known</v>
          </cell>
          <cell r="Q2570">
            <v>38000</v>
          </cell>
        </row>
        <row r="2571">
          <cell r="A2571" t="str">
            <v>SSU</v>
          </cell>
          <cell r="B2571" t="str">
            <v>Un known</v>
          </cell>
          <cell r="Q2571">
            <v>7748</v>
          </cell>
        </row>
        <row r="2572">
          <cell r="A2572" t="str">
            <v>SSU</v>
          </cell>
          <cell r="B2572" t="str">
            <v>Un known</v>
          </cell>
          <cell r="Q2572">
            <v>40684</v>
          </cell>
        </row>
        <row r="2573">
          <cell r="A2573" t="str">
            <v>SSU</v>
          </cell>
          <cell r="B2573" t="str">
            <v>Un known</v>
          </cell>
          <cell r="Q2573">
            <v>39400</v>
          </cell>
        </row>
        <row r="2574">
          <cell r="A2574" t="str">
            <v>SSU</v>
          </cell>
          <cell r="B2574" t="str">
            <v>Un known</v>
          </cell>
          <cell r="Q2574">
            <v>13000</v>
          </cell>
        </row>
        <row r="2575">
          <cell r="A2575" t="str">
            <v>SSU</v>
          </cell>
          <cell r="B2575" t="str">
            <v>Un known</v>
          </cell>
          <cell r="Q2575">
            <v>13728</v>
          </cell>
        </row>
        <row r="2576">
          <cell r="A2576" t="str">
            <v>SSU</v>
          </cell>
          <cell r="B2576" t="str">
            <v>Un known</v>
          </cell>
          <cell r="Q2576">
            <v>32008</v>
          </cell>
        </row>
        <row r="2577">
          <cell r="A2577" t="str">
            <v>SSU</v>
          </cell>
          <cell r="B2577" t="str">
            <v>Un known</v>
          </cell>
          <cell r="Q2577">
            <v>31500</v>
          </cell>
        </row>
        <row r="2578">
          <cell r="A2578" t="str">
            <v>SSU</v>
          </cell>
          <cell r="B2578" t="str">
            <v>Un known</v>
          </cell>
          <cell r="Q2578">
            <v>31500</v>
          </cell>
        </row>
        <row r="2579">
          <cell r="A2579" t="str">
            <v>SSU</v>
          </cell>
          <cell r="B2579" t="str">
            <v>Un known</v>
          </cell>
          <cell r="Q2579">
            <v>34300</v>
          </cell>
        </row>
        <row r="2580">
          <cell r="A2580" t="str">
            <v>SSU</v>
          </cell>
          <cell r="B2580" t="str">
            <v>Un known</v>
          </cell>
          <cell r="Q2580">
            <v>34300</v>
          </cell>
        </row>
        <row r="2581">
          <cell r="A2581" t="str">
            <v>SSU</v>
          </cell>
          <cell r="B2581" t="str">
            <v>Un known</v>
          </cell>
          <cell r="Q2581">
            <v>343289</v>
          </cell>
        </row>
        <row r="2582">
          <cell r="A2582" t="str">
            <v>SSU</v>
          </cell>
          <cell r="B2582" t="str">
            <v>Un known</v>
          </cell>
          <cell r="Q2582">
            <v>38770</v>
          </cell>
        </row>
        <row r="2583">
          <cell r="A2583" t="str">
            <v>SSU</v>
          </cell>
          <cell r="B2583" t="str">
            <v>Un known</v>
          </cell>
          <cell r="Q2583">
            <v>357355</v>
          </cell>
        </row>
        <row r="2584">
          <cell r="A2584" t="str">
            <v>SSU</v>
          </cell>
          <cell r="B2584" t="str">
            <v>Un known</v>
          </cell>
          <cell r="Q2584">
            <v>800000</v>
          </cell>
        </row>
        <row r="2585">
          <cell r="A2585" t="str">
            <v>SSU</v>
          </cell>
          <cell r="B2585" t="str">
            <v>Un known</v>
          </cell>
          <cell r="Q2585">
            <v>357355</v>
          </cell>
        </row>
        <row r="2586">
          <cell r="A2586" t="str">
            <v>SSU</v>
          </cell>
          <cell r="B2586" t="str">
            <v>Un known</v>
          </cell>
          <cell r="Q2586">
            <v>357355</v>
          </cell>
        </row>
        <row r="2587">
          <cell r="A2587" t="str">
            <v>SSU</v>
          </cell>
          <cell r="B2587" t="str">
            <v>Un known</v>
          </cell>
          <cell r="Q2587">
            <v>19500</v>
          </cell>
        </row>
        <row r="2588">
          <cell r="A2588" t="str">
            <v>SSU</v>
          </cell>
          <cell r="B2588" t="str">
            <v>Un known</v>
          </cell>
          <cell r="Q2588">
            <v>357156</v>
          </cell>
        </row>
        <row r="2589">
          <cell r="A2589" t="str">
            <v>SSU</v>
          </cell>
          <cell r="B2589" t="str">
            <v>Un known</v>
          </cell>
          <cell r="Q2589">
            <v>949636</v>
          </cell>
        </row>
        <row r="2590">
          <cell r="A2590" t="str">
            <v>SSU</v>
          </cell>
          <cell r="B2590" t="str">
            <v>Un known</v>
          </cell>
          <cell r="Q2590">
            <v>357156</v>
          </cell>
        </row>
        <row r="2591">
          <cell r="A2591" t="str">
            <v>SSU</v>
          </cell>
          <cell r="B2591" t="str">
            <v>Un known</v>
          </cell>
          <cell r="Q2591">
            <v>1030187</v>
          </cell>
        </row>
        <row r="2592">
          <cell r="A2592" t="str">
            <v>SSU</v>
          </cell>
          <cell r="B2592" t="str">
            <v>Un known</v>
          </cell>
          <cell r="Q2592">
            <v>161208</v>
          </cell>
        </row>
        <row r="2593">
          <cell r="A2593" t="str">
            <v>SSU</v>
          </cell>
          <cell r="B2593" t="str">
            <v>Un known</v>
          </cell>
          <cell r="Q2593">
            <v>161208</v>
          </cell>
        </row>
        <row r="2594">
          <cell r="A2594" t="str">
            <v>SSU</v>
          </cell>
          <cell r="B2594" t="str">
            <v>Un known</v>
          </cell>
          <cell r="Q2594">
            <v>104906.25</v>
          </cell>
        </row>
        <row r="2595">
          <cell r="A2595" t="str">
            <v>SSU</v>
          </cell>
          <cell r="B2595" t="str">
            <v>Un known</v>
          </cell>
          <cell r="Q2595">
            <v>11400</v>
          </cell>
        </row>
        <row r="2596">
          <cell r="A2596" t="str">
            <v>SSU</v>
          </cell>
          <cell r="B2596" t="str">
            <v>Un known</v>
          </cell>
          <cell r="Q2596">
            <v>20500</v>
          </cell>
        </row>
        <row r="2597">
          <cell r="A2597" t="str">
            <v>SSU</v>
          </cell>
          <cell r="B2597" t="str">
            <v>Un known</v>
          </cell>
          <cell r="Q2597">
            <v>37300</v>
          </cell>
        </row>
        <row r="2598">
          <cell r="A2598" t="str">
            <v>SSU</v>
          </cell>
          <cell r="B2598" t="str">
            <v>Un known</v>
          </cell>
          <cell r="Q2598">
            <v>5000</v>
          </cell>
        </row>
        <row r="2599">
          <cell r="A2599" t="str">
            <v>SSU</v>
          </cell>
          <cell r="B2599" t="str">
            <v>Un known</v>
          </cell>
          <cell r="Q2599">
            <v>7350</v>
          </cell>
        </row>
        <row r="2600">
          <cell r="A2600" t="str">
            <v>SSU</v>
          </cell>
          <cell r="B2600" t="str">
            <v>Un known</v>
          </cell>
          <cell r="Q2600">
            <v>20500</v>
          </cell>
        </row>
        <row r="2601">
          <cell r="A2601" t="str">
            <v>SSU</v>
          </cell>
          <cell r="B2601" t="str">
            <v>Un known</v>
          </cell>
          <cell r="Q2601">
            <v>4021.36</v>
          </cell>
        </row>
        <row r="2602">
          <cell r="A2602" t="str">
            <v>SSU</v>
          </cell>
          <cell r="B2602" t="str">
            <v>Un known</v>
          </cell>
          <cell r="Q2602">
            <v>7220</v>
          </cell>
        </row>
        <row r="2603">
          <cell r="A2603" t="str">
            <v>SSU</v>
          </cell>
          <cell r="B2603" t="str">
            <v>Un known</v>
          </cell>
          <cell r="Q2603">
            <v>7220</v>
          </cell>
        </row>
        <row r="2604">
          <cell r="A2604" t="str">
            <v>SSU</v>
          </cell>
          <cell r="B2604" t="str">
            <v>Un known</v>
          </cell>
          <cell r="Q2604">
            <v>11075</v>
          </cell>
        </row>
        <row r="2605">
          <cell r="A2605" t="str">
            <v>SSU</v>
          </cell>
          <cell r="B2605" t="str">
            <v>Un known</v>
          </cell>
          <cell r="Q2605">
            <v>11075</v>
          </cell>
        </row>
        <row r="2606">
          <cell r="A2606" t="str">
            <v>SSU</v>
          </cell>
          <cell r="B2606" t="str">
            <v>Un known</v>
          </cell>
          <cell r="Q2606">
            <v>11075</v>
          </cell>
        </row>
        <row r="2607">
          <cell r="A2607" t="str">
            <v>SSU</v>
          </cell>
          <cell r="B2607" t="str">
            <v>Un known</v>
          </cell>
          <cell r="Q2607">
            <v>33225</v>
          </cell>
        </row>
        <row r="2608">
          <cell r="A2608" t="str">
            <v>SSU</v>
          </cell>
          <cell r="B2608" t="str">
            <v>Un known</v>
          </cell>
          <cell r="Q2608">
            <v>257476.95</v>
          </cell>
        </row>
        <row r="2609">
          <cell r="A2609" t="str">
            <v>SSU</v>
          </cell>
          <cell r="B2609" t="str">
            <v>Un known</v>
          </cell>
          <cell r="Q2609">
            <v>634400</v>
          </cell>
        </row>
        <row r="2610">
          <cell r="A2610" t="str">
            <v>SSU</v>
          </cell>
          <cell r="B2610" t="str">
            <v>Un known</v>
          </cell>
          <cell r="Q2610">
            <v>58000</v>
          </cell>
        </row>
        <row r="2611">
          <cell r="A2611" t="str">
            <v>SSU</v>
          </cell>
          <cell r="B2611" t="str">
            <v>Un known</v>
          </cell>
          <cell r="Q2611">
            <v>1314096</v>
          </cell>
        </row>
        <row r="2612">
          <cell r="A2612" t="str">
            <v>SSU</v>
          </cell>
          <cell r="B2612" t="str">
            <v>Un known</v>
          </cell>
          <cell r="Q2612">
            <v>658000</v>
          </cell>
        </row>
        <row r="2613">
          <cell r="A2613" t="str">
            <v>SSU</v>
          </cell>
          <cell r="B2613" t="str">
            <v>Un known</v>
          </cell>
          <cell r="Q2613">
            <v>480000</v>
          </cell>
        </row>
        <row r="2614">
          <cell r="A2614" t="str">
            <v>SSU</v>
          </cell>
          <cell r="B2614" t="str">
            <v>Un known</v>
          </cell>
          <cell r="Q2614">
            <v>480000</v>
          </cell>
        </row>
        <row r="2615">
          <cell r="A2615" t="str">
            <v>SSU</v>
          </cell>
          <cell r="B2615" t="str">
            <v>Un known</v>
          </cell>
          <cell r="Q2615">
            <v>470000</v>
          </cell>
        </row>
        <row r="2616">
          <cell r="A2616" t="str">
            <v>SSU</v>
          </cell>
          <cell r="B2616" t="str">
            <v>Un known</v>
          </cell>
          <cell r="Q2616">
            <v>470000</v>
          </cell>
        </row>
        <row r="2617">
          <cell r="A2617" t="str">
            <v>SSU</v>
          </cell>
          <cell r="B2617" t="str">
            <v>Un known</v>
          </cell>
          <cell r="Q2617">
            <v>470000</v>
          </cell>
        </row>
        <row r="2618">
          <cell r="A2618" t="str">
            <v>SSU</v>
          </cell>
          <cell r="B2618" t="str">
            <v>Un known</v>
          </cell>
          <cell r="Q2618">
            <v>470000</v>
          </cell>
        </row>
        <row r="2619">
          <cell r="A2619" t="str">
            <v>SSU</v>
          </cell>
          <cell r="B2619" t="str">
            <v>Un known</v>
          </cell>
          <cell r="Q2619">
            <v>487092</v>
          </cell>
        </row>
        <row r="2620">
          <cell r="A2620" t="str">
            <v>SSU</v>
          </cell>
          <cell r="B2620" t="str">
            <v>Un known</v>
          </cell>
          <cell r="Q2620">
            <v>322400</v>
          </cell>
        </row>
        <row r="2621">
          <cell r="A2621" t="str">
            <v>SSU</v>
          </cell>
          <cell r="B2621" t="str">
            <v>Un known</v>
          </cell>
          <cell r="Q2621">
            <v>322400</v>
          </cell>
        </row>
        <row r="2622">
          <cell r="A2622" t="str">
            <v>SSU</v>
          </cell>
          <cell r="B2622" t="str">
            <v>Un known</v>
          </cell>
          <cell r="Q2622">
            <v>57200</v>
          </cell>
        </row>
        <row r="2623">
          <cell r="A2623" t="str">
            <v>SSU</v>
          </cell>
          <cell r="B2623" t="str">
            <v>Un known</v>
          </cell>
          <cell r="Q2623">
            <v>286000</v>
          </cell>
        </row>
        <row r="2624">
          <cell r="A2624" t="str">
            <v>SSU</v>
          </cell>
          <cell r="B2624" t="str">
            <v>Un known</v>
          </cell>
          <cell r="Q2624">
            <v>25031</v>
          </cell>
        </row>
        <row r="2625">
          <cell r="A2625" t="str">
            <v>SSU</v>
          </cell>
          <cell r="B2625" t="str">
            <v>Un known</v>
          </cell>
          <cell r="Q2625">
            <v>25031</v>
          </cell>
        </row>
        <row r="2626">
          <cell r="A2626" t="str">
            <v>SSU</v>
          </cell>
          <cell r="B2626" t="str">
            <v>Un known</v>
          </cell>
          <cell r="Q2626">
            <v>551200</v>
          </cell>
        </row>
        <row r="2627">
          <cell r="A2627" t="str">
            <v>SSU</v>
          </cell>
          <cell r="B2627" t="str">
            <v>Un known</v>
          </cell>
          <cell r="Q2627">
            <v>551200</v>
          </cell>
        </row>
        <row r="2628">
          <cell r="A2628" t="str">
            <v>SSU</v>
          </cell>
          <cell r="B2628" t="str">
            <v>Un known</v>
          </cell>
          <cell r="Q2628">
            <v>178619.51</v>
          </cell>
        </row>
        <row r="2629">
          <cell r="A2629" t="str">
            <v>SSU</v>
          </cell>
          <cell r="B2629" t="str">
            <v>Un known</v>
          </cell>
          <cell r="Q2629">
            <v>108203</v>
          </cell>
        </row>
        <row r="2630">
          <cell r="A2630" t="str">
            <v>SSU</v>
          </cell>
          <cell r="B2630" t="str">
            <v>Un known</v>
          </cell>
          <cell r="Q2630">
            <v>21150</v>
          </cell>
        </row>
        <row r="2631">
          <cell r="A2631" t="str">
            <v>SSU</v>
          </cell>
          <cell r="B2631" t="str">
            <v>Un known</v>
          </cell>
          <cell r="Q2631">
            <v>412518</v>
          </cell>
        </row>
        <row r="2632">
          <cell r="A2632" t="str">
            <v>SSU</v>
          </cell>
          <cell r="B2632" t="str">
            <v>Un known</v>
          </cell>
          <cell r="Q2632">
            <v>728133</v>
          </cell>
        </row>
        <row r="2633">
          <cell r="A2633" t="str">
            <v>SSU</v>
          </cell>
          <cell r="B2633" t="str">
            <v>Un known</v>
          </cell>
          <cell r="Q2633">
            <v>195558</v>
          </cell>
        </row>
        <row r="2634">
          <cell r="A2634" t="str">
            <v>SSU</v>
          </cell>
          <cell r="B2634" t="str">
            <v>Un known</v>
          </cell>
          <cell r="Q2634">
            <v>64122</v>
          </cell>
        </row>
        <row r="2635">
          <cell r="A2635" t="str">
            <v>SSU</v>
          </cell>
          <cell r="B2635" t="str">
            <v>Un known</v>
          </cell>
          <cell r="Q2635">
            <v>21668</v>
          </cell>
        </row>
        <row r="2636">
          <cell r="A2636" t="str">
            <v>SSU</v>
          </cell>
          <cell r="B2636" t="str">
            <v>Un known</v>
          </cell>
          <cell r="Q2636">
            <v>111375</v>
          </cell>
        </row>
        <row r="2637">
          <cell r="A2637" t="str">
            <v>SSU</v>
          </cell>
          <cell r="B2637" t="str">
            <v>Un known</v>
          </cell>
          <cell r="Q2637">
            <v>5569</v>
          </cell>
        </row>
        <row r="2638">
          <cell r="A2638" t="str">
            <v>SSU</v>
          </cell>
          <cell r="B2638" t="str">
            <v>Un known</v>
          </cell>
          <cell r="Q2638">
            <v>149760</v>
          </cell>
        </row>
        <row r="2639">
          <cell r="A2639" t="str">
            <v>SSU</v>
          </cell>
          <cell r="B2639" t="str">
            <v>Un known</v>
          </cell>
          <cell r="Q2639">
            <v>59231</v>
          </cell>
        </row>
        <row r="2640">
          <cell r="A2640" t="str">
            <v>SSU</v>
          </cell>
          <cell r="B2640" t="str">
            <v>Un known</v>
          </cell>
          <cell r="Q2640">
            <v>9619</v>
          </cell>
        </row>
        <row r="2641">
          <cell r="A2641" t="str">
            <v>SSU</v>
          </cell>
          <cell r="B2641" t="str">
            <v>Un known</v>
          </cell>
          <cell r="Q2641">
            <v>9617</v>
          </cell>
        </row>
        <row r="2642">
          <cell r="A2642" t="str">
            <v>SSU</v>
          </cell>
          <cell r="B2642" t="str">
            <v>Un known</v>
          </cell>
          <cell r="Q2642">
            <v>16993</v>
          </cell>
        </row>
        <row r="2643">
          <cell r="A2643" t="str">
            <v>SSU</v>
          </cell>
          <cell r="B2643" t="str">
            <v>Un known</v>
          </cell>
          <cell r="Q2643">
            <v>16993</v>
          </cell>
        </row>
        <row r="2644">
          <cell r="A2644" t="str">
            <v>SSU</v>
          </cell>
          <cell r="B2644" t="str">
            <v>Un known</v>
          </cell>
          <cell r="Q2644">
            <v>17741</v>
          </cell>
        </row>
        <row r="2645">
          <cell r="A2645" t="str">
            <v>SSU</v>
          </cell>
          <cell r="B2645" t="str">
            <v>Un known</v>
          </cell>
          <cell r="Q2645">
            <v>17741</v>
          </cell>
        </row>
        <row r="2646">
          <cell r="A2646" t="str">
            <v>SSU</v>
          </cell>
          <cell r="B2646" t="str">
            <v>Un known</v>
          </cell>
          <cell r="Q2646">
            <v>598000</v>
          </cell>
        </row>
        <row r="2647">
          <cell r="A2647" t="str">
            <v>SSU</v>
          </cell>
          <cell r="B2647" t="str">
            <v>Un known</v>
          </cell>
          <cell r="Q2647">
            <v>603617</v>
          </cell>
        </row>
        <row r="2648">
          <cell r="A2648" t="str">
            <v>SSU</v>
          </cell>
          <cell r="B2648" t="str">
            <v>Un known</v>
          </cell>
          <cell r="Q2648">
            <v>265200</v>
          </cell>
        </row>
        <row r="2649">
          <cell r="A2649" t="str">
            <v>SSU</v>
          </cell>
          <cell r="B2649" t="str">
            <v>Un known</v>
          </cell>
          <cell r="Q2649">
            <v>116011</v>
          </cell>
        </row>
        <row r="2650">
          <cell r="A2650" t="str">
            <v>SSU</v>
          </cell>
          <cell r="B2650" t="str">
            <v>Un known</v>
          </cell>
          <cell r="Q2650">
            <v>3579089</v>
          </cell>
        </row>
        <row r="2651">
          <cell r="A2651" t="str">
            <v>SSU</v>
          </cell>
          <cell r="B2651" t="str">
            <v>Un known</v>
          </cell>
          <cell r="Q2651">
            <v>295000</v>
          </cell>
        </row>
        <row r="2652">
          <cell r="A2652" t="str">
            <v>SSU</v>
          </cell>
          <cell r="B2652" t="str">
            <v>Un known</v>
          </cell>
          <cell r="Q2652">
            <v>362732</v>
          </cell>
        </row>
        <row r="2653">
          <cell r="A2653" t="str">
            <v>SSU</v>
          </cell>
          <cell r="B2653" t="str">
            <v>Un known</v>
          </cell>
          <cell r="Q2653">
            <v>38056</v>
          </cell>
        </row>
        <row r="2654">
          <cell r="A2654" t="str">
            <v>SSU</v>
          </cell>
          <cell r="B2654" t="str">
            <v>Un known</v>
          </cell>
          <cell r="Q2654">
            <v>7200</v>
          </cell>
        </row>
        <row r="2655">
          <cell r="A2655" t="str">
            <v>SSU</v>
          </cell>
          <cell r="B2655" t="str">
            <v>Un known</v>
          </cell>
          <cell r="Q2655">
            <v>17250</v>
          </cell>
        </row>
        <row r="2656">
          <cell r="A2656" t="str">
            <v>SSU</v>
          </cell>
          <cell r="B2656" t="str">
            <v>Un known</v>
          </cell>
          <cell r="Q2656">
            <v>266504</v>
          </cell>
        </row>
        <row r="2657">
          <cell r="A2657" t="str">
            <v>SSU</v>
          </cell>
          <cell r="B2657" t="str">
            <v>Un known</v>
          </cell>
          <cell r="Q2657">
            <v>1388163</v>
          </cell>
        </row>
        <row r="2658">
          <cell r="A2658" t="str">
            <v>SSU</v>
          </cell>
          <cell r="B2658" t="str">
            <v>Un known</v>
          </cell>
          <cell r="Q2658">
            <v>12255</v>
          </cell>
        </row>
        <row r="2659">
          <cell r="A2659" t="str">
            <v>SSU</v>
          </cell>
          <cell r="B2659" t="str">
            <v>Un known</v>
          </cell>
          <cell r="Q2659">
            <v>1</v>
          </cell>
        </row>
        <row r="2660">
          <cell r="A2660" t="str">
            <v>SSU</v>
          </cell>
          <cell r="B2660" t="str">
            <v>Un known</v>
          </cell>
          <cell r="Q2660">
            <v>21562</v>
          </cell>
        </row>
        <row r="2661">
          <cell r="A2661" t="str">
            <v>SSU</v>
          </cell>
          <cell r="B2661" t="str">
            <v>Un known</v>
          </cell>
          <cell r="Q2661">
            <v>21562</v>
          </cell>
        </row>
        <row r="2662">
          <cell r="A2662" t="str">
            <v>SSU</v>
          </cell>
          <cell r="B2662" t="str">
            <v>Un known</v>
          </cell>
          <cell r="Q2662">
            <v>1</v>
          </cell>
        </row>
        <row r="2663">
          <cell r="A2663" t="str">
            <v>SSU</v>
          </cell>
          <cell r="B2663" t="str">
            <v>Un known</v>
          </cell>
          <cell r="Q2663">
            <v>13540</v>
          </cell>
        </row>
        <row r="2664">
          <cell r="A2664" t="str">
            <v>SSU</v>
          </cell>
          <cell r="B2664" t="str">
            <v>Un known</v>
          </cell>
          <cell r="Q2664">
            <v>13540</v>
          </cell>
        </row>
        <row r="2665">
          <cell r="A2665" t="str">
            <v>SSU</v>
          </cell>
          <cell r="B2665" t="str">
            <v>Un known</v>
          </cell>
          <cell r="Q2665">
            <v>13540</v>
          </cell>
        </row>
        <row r="2666">
          <cell r="A2666" t="str">
            <v>SSU</v>
          </cell>
          <cell r="B2666" t="str">
            <v>Un known</v>
          </cell>
          <cell r="Q2666">
            <v>13540</v>
          </cell>
        </row>
        <row r="2667">
          <cell r="A2667" t="str">
            <v>SSU</v>
          </cell>
          <cell r="B2667" t="str">
            <v>Un known</v>
          </cell>
          <cell r="Q2667">
            <v>13539.6</v>
          </cell>
        </row>
        <row r="2668">
          <cell r="A2668" t="str">
            <v>SSU</v>
          </cell>
          <cell r="B2668" t="str">
            <v>Un known</v>
          </cell>
          <cell r="Q2668">
            <v>22917</v>
          </cell>
        </row>
        <row r="2669">
          <cell r="A2669" t="str">
            <v>SSU</v>
          </cell>
          <cell r="B2669" t="str">
            <v>Un known</v>
          </cell>
          <cell r="Q2669">
            <v>22917</v>
          </cell>
        </row>
        <row r="2670">
          <cell r="A2670" t="str">
            <v>SSU</v>
          </cell>
          <cell r="B2670" t="str">
            <v>Un known</v>
          </cell>
          <cell r="Q2670">
            <v>22917</v>
          </cell>
        </row>
        <row r="2671">
          <cell r="A2671" t="str">
            <v>SSU</v>
          </cell>
          <cell r="B2671" t="str">
            <v>Un known</v>
          </cell>
          <cell r="Q2671">
            <v>22916.53</v>
          </cell>
        </row>
        <row r="2672">
          <cell r="A2672" t="str">
            <v>SSU</v>
          </cell>
          <cell r="B2672" t="str">
            <v>Un known</v>
          </cell>
          <cell r="Q2672">
            <v>9394</v>
          </cell>
        </row>
        <row r="2673">
          <cell r="A2673" t="str">
            <v>SSU</v>
          </cell>
          <cell r="B2673" t="str">
            <v>Un known</v>
          </cell>
          <cell r="Q2673">
            <v>9394</v>
          </cell>
        </row>
        <row r="2674">
          <cell r="A2674" t="str">
            <v>SSU</v>
          </cell>
          <cell r="B2674" t="str">
            <v>Un known</v>
          </cell>
          <cell r="Q2674">
            <v>9394</v>
          </cell>
        </row>
        <row r="2675">
          <cell r="A2675" t="str">
            <v>SSU</v>
          </cell>
          <cell r="B2675" t="str">
            <v>Un known</v>
          </cell>
          <cell r="Q2675">
            <v>9394.25</v>
          </cell>
        </row>
        <row r="2676">
          <cell r="A2676" t="str">
            <v>SSU</v>
          </cell>
          <cell r="B2676" t="str">
            <v>Un known</v>
          </cell>
          <cell r="Q2676">
            <v>26988</v>
          </cell>
        </row>
        <row r="2677">
          <cell r="A2677" t="str">
            <v>SSU</v>
          </cell>
          <cell r="B2677" t="str">
            <v>Un known</v>
          </cell>
          <cell r="Q2677">
            <v>40928</v>
          </cell>
        </row>
        <row r="2678">
          <cell r="A2678" t="str">
            <v>SSU</v>
          </cell>
          <cell r="B2678" t="str">
            <v>Un known</v>
          </cell>
          <cell r="Q2678">
            <v>104000</v>
          </cell>
        </row>
        <row r="2679">
          <cell r="A2679" t="str">
            <v>SSU</v>
          </cell>
          <cell r="B2679" t="str">
            <v>Un known</v>
          </cell>
          <cell r="Q2679">
            <v>145600</v>
          </cell>
        </row>
        <row r="2680">
          <cell r="A2680" t="str">
            <v>SSU</v>
          </cell>
          <cell r="B2680" t="str">
            <v>Un known</v>
          </cell>
          <cell r="Q2680">
            <v>145600</v>
          </cell>
        </row>
        <row r="2681">
          <cell r="A2681" t="str">
            <v>SSU</v>
          </cell>
          <cell r="B2681" t="str">
            <v>Un known</v>
          </cell>
          <cell r="Q2681">
            <v>6717</v>
          </cell>
        </row>
        <row r="2682">
          <cell r="A2682" t="str">
            <v>SSU</v>
          </cell>
          <cell r="B2682" t="str">
            <v>Un known</v>
          </cell>
          <cell r="Q2682">
            <v>47407</v>
          </cell>
        </row>
        <row r="2683">
          <cell r="A2683" t="str">
            <v>SSU</v>
          </cell>
          <cell r="B2683" t="str">
            <v>Un known</v>
          </cell>
          <cell r="Q2683">
            <v>30166</v>
          </cell>
        </row>
        <row r="2684">
          <cell r="A2684" t="str">
            <v>SSU</v>
          </cell>
          <cell r="B2684" t="str">
            <v>Un known</v>
          </cell>
          <cell r="Q2684">
            <v>18360.16</v>
          </cell>
        </row>
        <row r="2685">
          <cell r="A2685" t="str">
            <v>SSU</v>
          </cell>
          <cell r="B2685" t="str">
            <v>Un known</v>
          </cell>
          <cell r="Q2685">
            <v>30942.16</v>
          </cell>
        </row>
        <row r="2686">
          <cell r="A2686" t="str">
            <v>SSU</v>
          </cell>
          <cell r="B2686" t="str">
            <v>Un known</v>
          </cell>
          <cell r="Q2686">
            <v>22685.16</v>
          </cell>
        </row>
        <row r="2687">
          <cell r="A2687" t="str">
            <v>SSU</v>
          </cell>
          <cell r="B2687" t="str">
            <v>Un known</v>
          </cell>
          <cell r="Q2687">
            <v>24242</v>
          </cell>
        </row>
        <row r="2688">
          <cell r="A2688" t="str">
            <v>SSU</v>
          </cell>
          <cell r="B2688" t="str">
            <v>Un known</v>
          </cell>
          <cell r="Q2688">
            <v>2337000</v>
          </cell>
        </row>
      </sheetData>
      <sheetData sheetId="17">
        <row r="2">
          <cell r="A2" t="str">
            <v>Road</v>
          </cell>
          <cell r="B2" t="str">
            <v>AS17</v>
          </cell>
          <cell r="L2">
            <v>6180679</v>
          </cell>
        </row>
        <row r="3">
          <cell r="A3" t="str">
            <v>Road</v>
          </cell>
          <cell r="B3" t="str">
            <v>AS19</v>
          </cell>
          <cell r="L3">
            <v>1856066</v>
          </cell>
        </row>
        <row r="4">
          <cell r="A4" t="str">
            <v>Road</v>
          </cell>
          <cell r="B4" t="str">
            <v>AS19</v>
          </cell>
          <cell r="L4">
            <v>401163</v>
          </cell>
        </row>
        <row r="5">
          <cell r="A5" t="str">
            <v>Road</v>
          </cell>
          <cell r="B5" t="str">
            <v>AS19</v>
          </cell>
          <cell r="L5">
            <v>162519</v>
          </cell>
        </row>
        <row r="6">
          <cell r="A6" t="str">
            <v>Road</v>
          </cell>
          <cell r="B6" t="str">
            <v>AS19</v>
          </cell>
          <cell r="L6">
            <v>387381</v>
          </cell>
        </row>
        <row r="7">
          <cell r="A7" t="str">
            <v>Road</v>
          </cell>
          <cell r="B7" t="str">
            <v>AS19</v>
          </cell>
          <cell r="L7">
            <v>15610</v>
          </cell>
        </row>
        <row r="8">
          <cell r="A8" t="str">
            <v>Road</v>
          </cell>
          <cell r="B8" t="str">
            <v>AS19</v>
          </cell>
          <cell r="L8">
            <v>734449</v>
          </cell>
        </row>
        <row r="9">
          <cell r="A9" t="str">
            <v>Road</v>
          </cell>
          <cell r="B9" t="str">
            <v>AS19</v>
          </cell>
          <cell r="L9">
            <v>214393</v>
          </cell>
        </row>
        <row r="10">
          <cell r="A10" t="str">
            <v>Road</v>
          </cell>
          <cell r="B10" t="str">
            <v>AS19</v>
          </cell>
          <cell r="L10">
            <v>700447</v>
          </cell>
        </row>
        <row r="11">
          <cell r="A11" t="str">
            <v>Road</v>
          </cell>
          <cell r="B11" t="str">
            <v>AS19</v>
          </cell>
          <cell r="L11">
            <v>709722</v>
          </cell>
        </row>
        <row r="12">
          <cell r="A12" t="str">
            <v>Road</v>
          </cell>
          <cell r="B12" t="str">
            <v>AS19</v>
          </cell>
          <cell r="L12">
            <v>573110.85</v>
          </cell>
        </row>
        <row r="13">
          <cell r="A13" t="str">
            <v>Road</v>
          </cell>
          <cell r="B13" t="str">
            <v>AS19</v>
          </cell>
          <cell r="L13">
            <v>151977</v>
          </cell>
        </row>
        <row r="14">
          <cell r="A14" t="str">
            <v>Road</v>
          </cell>
          <cell r="B14" t="str">
            <v>AS19</v>
          </cell>
          <cell r="L14">
            <v>710824</v>
          </cell>
        </row>
        <row r="15">
          <cell r="A15" t="str">
            <v>Road</v>
          </cell>
          <cell r="B15" t="str">
            <v>AS19</v>
          </cell>
          <cell r="L15">
            <v>398573</v>
          </cell>
        </row>
        <row r="16">
          <cell r="A16" t="str">
            <v>Road</v>
          </cell>
          <cell r="B16" t="str">
            <v>BDA</v>
          </cell>
          <cell r="L16">
            <v>1601509</v>
          </cell>
        </row>
        <row r="17">
          <cell r="A17" t="str">
            <v>Road</v>
          </cell>
          <cell r="B17" t="str">
            <v>BDA</v>
          </cell>
          <cell r="L17">
            <v>266713</v>
          </cell>
        </row>
        <row r="18">
          <cell r="A18" t="str">
            <v>Road</v>
          </cell>
          <cell r="B18" t="str">
            <v>BDA</v>
          </cell>
          <cell r="L18">
            <v>71700</v>
          </cell>
        </row>
        <row r="19">
          <cell r="A19" t="str">
            <v>Road</v>
          </cell>
          <cell r="B19" t="str">
            <v>BDA</v>
          </cell>
          <cell r="L19">
            <v>165888</v>
          </cell>
        </row>
        <row r="20">
          <cell r="A20" t="str">
            <v>Road</v>
          </cell>
          <cell r="B20" t="str">
            <v>BDA</v>
          </cell>
          <cell r="L20">
            <v>115344</v>
          </cell>
        </row>
        <row r="21">
          <cell r="A21" t="str">
            <v>Road</v>
          </cell>
          <cell r="B21" t="str">
            <v>BDA</v>
          </cell>
          <cell r="L21">
            <v>178579.69</v>
          </cell>
        </row>
        <row r="22">
          <cell r="A22" t="str">
            <v>Road</v>
          </cell>
          <cell r="B22" t="str">
            <v>BDA</v>
          </cell>
          <cell r="L22">
            <v>42848</v>
          </cell>
        </row>
        <row r="23">
          <cell r="A23" t="str">
            <v>Road</v>
          </cell>
          <cell r="B23" t="str">
            <v>BDA</v>
          </cell>
          <cell r="L23">
            <v>212182</v>
          </cell>
        </row>
        <row r="24">
          <cell r="A24" t="str">
            <v>Road</v>
          </cell>
          <cell r="B24" t="str">
            <v>BDA</v>
          </cell>
          <cell r="L24">
            <v>53081</v>
          </cell>
        </row>
        <row r="25">
          <cell r="A25" t="str">
            <v>Road</v>
          </cell>
          <cell r="B25" t="str">
            <v>BEHP</v>
          </cell>
          <cell r="L25">
            <v>169409</v>
          </cell>
        </row>
        <row r="26">
          <cell r="A26" t="str">
            <v>Road</v>
          </cell>
          <cell r="B26" t="str">
            <v>BEHP</v>
          </cell>
          <cell r="L26">
            <v>714041</v>
          </cell>
        </row>
        <row r="27">
          <cell r="A27" t="str">
            <v>Road</v>
          </cell>
          <cell r="B27" t="str">
            <v>BEHP</v>
          </cell>
          <cell r="L27">
            <v>155813</v>
          </cell>
        </row>
        <row r="28">
          <cell r="A28" t="str">
            <v>Road</v>
          </cell>
          <cell r="B28" t="str">
            <v>BEHP</v>
          </cell>
          <cell r="L28">
            <v>1414175</v>
          </cell>
        </row>
        <row r="29">
          <cell r="A29" t="str">
            <v>Road</v>
          </cell>
          <cell r="B29" t="str">
            <v>BEHP</v>
          </cell>
          <cell r="L29">
            <v>155812</v>
          </cell>
        </row>
        <row r="30">
          <cell r="A30" t="str">
            <v>Road</v>
          </cell>
          <cell r="B30" t="str">
            <v>BEHP</v>
          </cell>
          <cell r="L30">
            <v>1043079</v>
          </cell>
        </row>
        <row r="31">
          <cell r="A31" t="str">
            <v>Road</v>
          </cell>
          <cell r="B31" t="str">
            <v>BEHP</v>
          </cell>
          <cell r="L31">
            <v>677636</v>
          </cell>
        </row>
        <row r="32">
          <cell r="A32" t="str">
            <v>Road</v>
          </cell>
          <cell r="B32" t="str">
            <v>BEHP</v>
          </cell>
          <cell r="L32">
            <v>149607</v>
          </cell>
        </row>
        <row r="33">
          <cell r="A33" t="str">
            <v>Road</v>
          </cell>
          <cell r="B33" t="str">
            <v>BEHP</v>
          </cell>
          <cell r="L33">
            <v>506683</v>
          </cell>
        </row>
        <row r="34">
          <cell r="A34" t="str">
            <v>Road</v>
          </cell>
          <cell r="B34" t="str">
            <v>Nice</v>
          </cell>
          <cell r="L34">
            <v>554507</v>
          </cell>
        </row>
        <row r="35">
          <cell r="A35" t="str">
            <v>Irrigation</v>
          </cell>
          <cell r="B35" t="str">
            <v>ISLMC</v>
          </cell>
          <cell r="L35">
            <v>529146</v>
          </cell>
        </row>
        <row r="36">
          <cell r="A36" t="str">
            <v>Irrigation</v>
          </cell>
          <cell r="B36" t="str">
            <v>ISLMC</v>
          </cell>
          <cell r="L36">
            <v>469230</v>
          </cell>
        </row>
        <row r="37">
          <cell r="A37" t="str">
            <v>Irrigation</v>
          </cell>
          <cell r="B37" t="str">
            <v>ISLMC</v>
          </cell>
          <cell r="L37">
            <v>648534</v>
          </cell>
        </row>
        <row r="38">
          <cell r="A38" t="str">
            <v>Irrigation</v>
          </cell>
          <cell r="B38" t="str">
            <v>ISLMC</v>
          </cell>
          <cell r="L38">
            <v>399767</v>
          </cell>
        </row>
        <row r="39">
          <cell r="A39" t="str">
            <v>Irrigation</v>
          </cell>
          <cell r="B39" t="str">
            <v>ISLMC</v>
          </cell>
          <cell r="L39">
            <v>599056</v>
          </cell>
        </row>
        <row r="40">
          <cell r="A40" t="str">
            <v>Irrigation</v>
          </cell>
          <cell r="B40" t="str">
            <v>ISLMC</v>
          </cell>
          <cell r="L40">
            <v>379912</v>
          </cell>
        </row>
        <row r="41">
          <cell r="A41" t="str">
            <v>Irrigation</v>
          </cell>
          <cell r="B41" t="str">
            <v>ISLMC</v>
          </cell>
          <cell r="L41">
            <v>406506</v>
          </cell>
        </row>
        <row r="42">
          <cell r="A42" t="str">
            <v>Irrigation</v>
          </cell>
          <cell r="B42" t="str">
            <v>ISLMC</v>
          </cell>
          <cell r="L42">
            <v>256501</v>
          </cell>
        </row>
        <row r="43">
          <cell r="A43" t="str">
            <v>Irrigation</v>
          </cell>
          <cell r="B43" t="str">
            <v>ISLMC</v>
          </cell>
          <cell r="L43">
            <v>882497</v>
          </cell>
        </row>
        <row r="44">
          <cell r="A44" t="str">
            <v>Irrigation</v>
          </cell>
          <cell r="B44" t="str">
            <v>ISLMC</v>
          </cell>
          <cell r="L44">
            <v>527760</v>
          </cell>
        </row>
        <row r="45">
          <cell r="A45" t="str">
            <v>Road</v>
          </cell>
          <cell r="B45" t="str">
            <v>Salem</v>
          </cell>
          <cell r="L45">
            <v>377525</v>
          </cell>
        </row>
        <row r="46">
          <cell r="A46" t="str">
            <v>Road</v>
          </cell>
          <cell r="B46" t="str">
            <v>Trichy</v>
          </cell>
          <cell r="L46">
            <v>243056</v>
          </cell>
        </row>
        <row r="47">
          <cell r="A47" t="str">
            <v>Road</v>
          </cell>
          <cell r="B47" t="str">
            <v>Trichy</v>
          </cell>
          <cell r="L47">
            <v>385175</v>
          </cell>
        </row>
        <row r="48">
          <cell r="A48" t="str">
            <v>Road</v>
          </cell>
          <cell r="B48" t="str">
            <v>Trichy</v>
          </cell>
          <cell r="L48">
            <v>52875</v>
          </cell>
        </row>
        <row r="49">
          <cell r="A49" t="str">
            <v>Road</v>
          </cell>
          <cell r="B49" t="str">
            <v>Trichy</v>
          </cell>
          <cell r="L49">
            <v>29250</v>
          </cell>
        </row>
        <row r="50">
          <cell r="A50" t="str">
            <v>Road</v>
          </cell>
          <cell r="B50" t="str">
            <v>Trichy</v>
          </cell>
          <cell r="L50">
            <v>381917.81</v>
          </cell>
        </row>
        <row r="51">
          <cell r="A51" t="str">
            <v>Road</v>
          </cell>
          <cell r="B51" t="str">
            <v>Trichy</v>
          </cell>
          <cell r="L51">
            <v>171703</v>
          </cell>
        </row>
        <row r="52">
          <cell r="A52" t="str">
            <v>Road</v>
          </cell>
          <cell r="B52" t="str">
            <v>Trichy</v>
          </cell>
          <cell r="L52">
            <v>74250</v>
          </cell>
        </row>
        <row r="53">
          <cell r="A53" t="str">
            <v>Road</v>
          </cell>
          <cell r="B53" t="str">
            <v>Trichy</v>
          </cell>
          <cell r="L53">
            <v>86528</v>
          </cell>
        </row>
        <row r="54">
          <cell r="A54" t="str">
            <v>Road</v>
          </cell>
          <cell r="B54" t="str">
            <v>Trichy</v>
          </cell>
          <cell r="L54">
            <v>2756</v>
          </cell>
        </row>
        <row r="55">
          <cell r="A55" t="str">
            <v>Buildings</v>
          </cell>
          <cell r="B55" t="str">
            <v>HC</v>
          </cell>
          <cell r="L55">
            <v>64100488.5</v>
          </cell>
        </row>
        <row r="56">
          <cell r="A56" t="str">
            <v>Buildings</v>
          </cell>
          <cell r="B56" t="str">
            <v>HC</v>
          </cell>
          <cell r="L56">
            <v>271211</v>
          </cell>
        </row>
        <row r="57">
          <cell r="A57" t="str">
            <v>Buildings</v>
          </cell>
          <cell r="B57" t="str">
            <v>HC</v>
          </cell>
          <cell r="L57">
            <v>277826</v>
          </cell>
        </row>
        <row r="58">
          <cell r="A58" t="str">
            <v>Buildings</v>
          </cell>
          <cell r="B58" t="str">
            <v>HC</v>
          </cell>
          <cell r="L58">
            <v>308591</v>
          </cell>
        </row>
        <row r="59">
          <cell r="A59" t="str">
            <v>Buildings</v>
          </cell>
          <cell r="B59" t="str">
            <v>HC</v>
          </cell>
          <cell r="L59">
            <v>794439</v>
          </cell>
        </row>
        <row r="60">
          <cell r="A60" t="str">
            <v>Buildings</v>
          </cell>
          <cell r="B60" t="str">
            <v>HC</v>
          </cell>
          <cell r="L60">
            <v>341653</v>
          </cell>
        </row>
        <row r="61">
          <cell r="A61" t="str">
            <v>Buildings</v>
          </cell>
          <cell r="B61" t="str">
            <v>HC</v>
          </cell>
          <cell r="L61">
            <v>342250</v>
          </cell>
        </row>
        <row r="62">
          <cell r="A62" t="str">
            <v>Buildings</v>
          </cell>
          <cell r="B62" t="str">
            <v>HC</v>
          </cell>
          <cell r="L62">
            <v>684500</v>
          </cell>
        </row>
        <row r="63">
          <cell r="A63" t="str">
            <v>Buildings</v>
          </cell>
          <cell r="B63" t="str">
            <v>HC</v>
          </cell>
          <cell r="L63">
            <v>408269</v>
          </cell>
        </row>
        <row r="64">
          <cell r="A64" t="str">
            <v>Buildings</v>
          </cell>
          <cell r="B64" t="str">
            <v>HC</v>
          </cell>
          <cell r="L64">
            <v>472930</v>
          </cell>
        </row>
        <row r="65">
          <cell r="A65" t="str">
            <v>Buildings</v>
          </cell>
          <cell r="B65" t="str">
            <v>HC</v>
          </cell>
          <cell r="L65">
            <v>5000</v>
          </cell>
        </row>
        <row r="66">
          <cell r="A66" t="str">
            <v>Buildings</v>
          </cell>
          <cell r="B66" t="str">
            <v>HC</v>
          </cell>
          <cell r="L66">
            <v>106600</v>
          </cell>
        </row>
        <row r="67">
          <cell r="A67" t="str">
            <v>Buildings</v>
          </cell>
          <cell r="B67" t="str">
            <v>HC</v>
          </cell>
          <cell r="L67">
            <v>675922</v>
          </cell>
        </row>
        <row r="68">
          <cell r="A68" t="str">
            <v>Buildings</v>
          </cell>
          <cell r="B68" t="str">
            <v>HC</v>
          </cell>
          <cell r="L68">
            <v>675843</v>
          </cell>
        </row>
        <row r="69">
          <cell r="A69" t="str">
            <v>Buildings</v>
          </cell>
          <cell r="B69" t="str">
            <v>HC</v>
          </cell>
          <cell r="L69">
            <v>725926</v>
          </cell>
        </row>
        <row r="70">
          <cell r="A70" t="str">
            <v>Buildings</v>
          </cell>
          <cell r="B70" t="str">
            <v>HC</v>
          </cell>
          <cell r="L70">
            <v>674492</v>
          </cell>
        </row>
        <row r="71">
          <cell r="A71" t="str">
            <v>Buildings</v>
          </cell>
          <cell r="B71" t="str">
            <v>HC</v>
          </cell>
          <cell r="L71">
            <v>686959</v>
          </cell>
        </row>
        <row r="72">
          <cell r="A72" t="str">
            <v>Buildings</v>
          </cell>
          <cell r="B72" t="str">
            <v>HC</v>
          </cell>
          <cell r="L72">
            <v>683560</v>
          </cell>
        </row>
        <row r="73">
          <cell r="A73" t="str">
            <v>Buildings</v>
          </cell>
          <cell r="B73" t="str">
            <v>HC</v>
          </cell>
          <cell r="L73">
            <v>352000</v>
          </cell>
        </row>
        <row r="74">
          <cell r="A74" t="str">
            <v>Buildings</v>
          </cell>
          <cell r="B74" t="str">
            <v>HC</v>
          </cell>
          <cell r="L74">
            <v>792495</v>
          </cell>
        </row>
        <row r="75">
          <cell r="A75" t="str">
            <v>Buildings</v>
          </cell>
          <cell r="B75" t="str">
            <v>HC</v>
          </cell>
          <cell r="L75">
            <v>686570</v>
          </cell>
        </row>
        <row r="76">
          <cell r="A76" t="str">
            <v>Buildings</v>
          </cell>
          <cell r="B76" t="str">
            <v>HC</v>
          </cell>
          <cell r="L76">
            <v>790800</v>
          </cell>
        </row>
        <row r="77">
          <cell r="A77" t="str">
            <v>Buildings</v>
          </cell>
          <cell r="B77" t="str">
            <v>HC</v>
          </cell>
          <cell r="L77">
            <v>686650</v>
          </cell>
        </row>
        <row r="78">
          <cell r="A78" t="str">
            <v>Buildings</v>
          </cell>
          <cell r="B78" t="str">
            <v>HC</v>
          </cell>
          <cell r="L78">
            <v>756900</v>
          </cell>
        </row>
        <row r="79">
          <cell r="A79" t="str">
            <v>Buildings</v>
          </cell>
          <cell r="B79" t="str">
            <v>HC</v>
          </cell>
          <cell r="L79">
            <v>689325</v>
          </cell>
        </row>
        <row r="80">
          <cell r="A80" t="str">
            <v>Buildings</v>
          </cell>
          <cell r="B80" t="str">
            <v>HC</v>
          </cell>
          <cell r="L80">
            <v>645992</v>
          </cell>
        </row>
        <row r="81">
          <cell r="A81" t="str">
            <v>Buildings</v>
          </cell>
          <cell r="B81" t="str">
            <v>HC</v>
          </cell>
          <cell r="L81">
            <v>675625</v>
          </cell>
        </row>
        <row r="82">
          <cell r="A82" t="str">
            <v>Buildings</v>
          </cell>
          <cell r="B82" t="str">
            <v>HC</v>
          </cell>
          <cell r="L82">
            <v>665993</v>
          </cell>
        </row>
        <row r="83">
          <cell r="A83" t="str">
            <v>Buildings</v>
          </cell>
          <cell r="B83" t="str">
            <v>HC</v>
          </cell>
          <cell r="L83">
            <v>701111</v>
          </cell>
        </row>
        <row r="84">
          <cell r="A84" t="str">
            <v>Buildings</v>
          </cell>
          <cell r="B84" t="str">
            <v>HC</v>
          </cell>
          <cell r="L84">
            <v>724990</v>
          </cell>
        </row>
        <row r="85">
          <cell r="A85" t="str">
            <v>Buildings</v>
          </cell>
          <cell r="B85" t="str">
            <v>HC</v>
          </cell>
          <cell r="L85">
            <v>726170</v>
          </cell>
        </row>
        <row r="86">
          <cell r="A86" t="str">
            <v>Buildings</v>
          </cell>
          <cell r="B86" t="str">
            <v>HC</v>
          </cell>
          <cell r="L86">
            <v>731227</v>
          </cell>
        </row>
        <row r="87">
          <cell r="A87" t="str">
            <v>Buildings</v>
          </cell>
          <cell r="B87" t="str">
            <v>HC</v>
          </cell>
          <cell r="L87">
            <v>713990</v>
          </cell>
        </row>
        <row r="88">
          <cell r="A88" t="str">
            <v>Buildings</v>
          </cell>
          <cell r="B88" t="str">
            <v>HC</v>
          </cell>
          <cell r="L88">
            <v>964502</v>
          </cell>
        </row>
        <row r="89">
          <cell r="A89" t="str">
            <v>Buildings</v>
          </cell>
          <cell r="B89" t="str">
            <v>HC</v>
          </cell>
          <cell r="L89">
            <v>1600642</v>
          </cell>
        </row>
        <row r="90">
          <cell r="A90" t="str">
            <v>Buildings</v>
          </cell>
          <cell r="B90" t="str">
            <v>HC</v>
          </cell>
          <cell r="L90">
            <v>330000</v>
          </cell>
        </row>
        <row r="91">
          <cell r="A91" t="str">
            <v>Buildings</v>
          </cell>
          <cell r="B91" t="str">
            <v>HC</v>
          </cell>
          <cell r="L91">
            <v>699300</v>
          </cell>
        </row>
        <row r="92">
          <cell r="A92" t="str">
            <v>Buildings</v>
          </cell>
          <cell r="B92" t="str">
            <v>HC</v>
          </cell>
          <cell r="L92">
            <v>1403790</v>
          </cell>
        </row>
        <row r="93">
          <cell r="A93" t="str">
            <v>Buildings</v>
          </cell>
          <cell r="B93" t="str">
            <v>HC</v>
          </cell>
          <cell r="L93">
            <v>1229835</v>
          </cell>
        </row>
        <row r="94">
          <cell r="A94" t="str">
            <v>Buildings</v>
          </cell>
          <cell r="B94" t="str">
            <v>HC</v>
          </cell>
          <cell r="L94">
            <v>269585</v>
          </cell>
        </row>
        <row r="95">
          <cell r="A95" t="str">
            <v>Buildings</v>
          </cell>
          <cell r="B95" t="str">
            <v>HC</v>
          </cell>
          <cell r="L95">
            <v>725100</v>
          </cell>
        </row>
        <row r="96">
          <cell r="A96" t="str">
            <v>Buildings</v>
          </cell>
          <cell r="B96" t="str">
            <v>HC</v>
          </cell>
          <cell r="L96">
            <v>741255</v>
          </cell>
        </row>
        <row r="97">
          <cell r="A97" t="str">
            <v>Buildings</v>
          </cell>
          <cell r="B97" t="str">
            <v>HC</v>
          </cell>
          <cell r="L97">
            <v>692142</v>
          </cell>
        </row>
        <row r="98">
          <cell r="A98" t="str">
            <v>Buildings</v>
          </cell>
          <cell r="B98" t="str">
            <v>HC</v>
          </cell>
          <cell r="L98">
            <v>702497</v>
          </cell>
        </row>
        <row r="99">
          <cell r="A99" t="str">
            <v>Buildings</v>
          </cell>
          <cell r="B99" t="str">
            <v>HC</v>
          </cell>
          <cell r="L99">
            <v>1397897</v>
          </cell>
        </row>
        <row r="100">
          <cell r="A100" t="str">
            <v>Buildings</v>
          </cell>
          <cell r="B100" t="str">
            <v>HC</v>
          </cell>
          <cell r="L100">
            <v>704000</v>
          </cell>
        </row>
        <row r="101">
          <cell r="A101" t="str">
            <v>Buildings</v>
          </cell>
          <cell r="B101" t="str">
            <v>HC</v>
          </cell>
          <cell r="L101">
            <v>721998</v>
          </cell>
        </row>
        <row r="102">
          <cell r="A102" t="str">
            <v>Buildings</v>
          </cell>
          <cell r="B102" t="str">
            <v>HC</v>
          </cell>
          <cell r="L102">
            <v>707396</v>
          </cell>
        </row>
        <row r="103">
          <cell r="A103" t="str">
            <v>Buildings</v>
          </cell>
          <cell r="B103" t="str">
            <v>HC</v>
          </cell>
          <cell r="L103">
            <v>699494</v>
          </cell>
        </row>
        <row r="104">
          <cell r="A104" t="str">
            <v>Buildings</v>
          </cell>
          <cell r="B104" t="str">
            <v>HC</v>
          </cell>
          <cell r="L104">
            <v>717599</v>
          </cell>
        </row>
        <row r="105">
          <cell r="A105" t="str">
            <v>Buildings</v>
          </cell>
          <cell r="B105" t="str">
            <v>HC</v>
          </cell>
          <cell r="L105">
            <v>707055</v>
          </cell>
        </row>
        <row r="106">
          <cell r="A106" t="str">
            <v>Buildings</v>
          </cell>
          <cell r="B106" t="str">
            <v>HC</v>
          </cell>
          <cell r="L106">
            <v>1428883</v>
          </cell>
        </row>
        <row r="107">
          <cell r="A107" t="str">
            <v>Buildings</v>
          </cell>
          <cell r="B107" t="str">
            <v>HC</v>
          </cell>
          <cell r="L107">
            <v>724492</v>
          </cell>
        </row>
        <row r="108">
          <cell r="A108" t="str">
            <v>Buildings</v>
          </cell>
          <cell r="B108" t="str">
            <v>HC</v>
          </cell>
          <cell r="L108">
            <v>693903</v>
          </cell>
        </row>
        <row r="109">
          <cell r="A109" t="str">
            <v>Buildings</v>
          </cell>
          <cell r="B109" t="str">
            <v>HC</v>
          </cell>
          <cell r="L109">
            <v>704000</v>
          </cell>
        </row>
        <row r="110">
          <cell r="A110" t="str">
            <v>Buildings</v>
          </cell>
          <cell r="B110" t="str">
            <v>HC</v>
          </cell>
          <cell r="L110">
            <v>2112003</v>
          </cell>
        </row>
        <row r="111">
          <cell r="A111" t="str">
            <v>Buildings</v>
          </cell>
          <cell r="B111" t="str">
            <v>HC</v>
          </cell>
          <cell r="L111">
            <v>714105</v>
          </cell>
        </row>
        <row r="112">
          <cell r="A112" t="str">
            <v>Buildings</v>
          </cell>
          <cell r="B112" t="str">
            <v>HC</v>
          </cell>
          <cell r="L112">
            <v>690620</v>
          </cell>
        </row>
        <row r="113">
          <cell r="A113" t="str">
            <v>Buildings</v>
          </cell>
          <cell r="B113" t="str">
            <v>HC</v>
          </cell>
          <cell r="L113">
            <v>724164</v>
          </cell>
        </row>
        <row r="114">
          <cell r="A114" t="str">
            <v>Buildings</v>
          </cell>
          <cell r="B114" t="str">
            <v>HC</v>
          </cell>
          <cell r="L114">
            <v>672419</v>
          </cell>
        </row>
        <row r="115">
          <cell r="A115" t="str">
            <v>Buildings</v>
          </cell>
          <cell r="B115" t="str">
            <v>HC</v>
          </cell>
          <cell r="L115">
            <v>686200</v>
          </cell>
        </row>
        <row r="116">
          <cell r="A116" t="str">
            <v>Buildings</v>
          </cell>
          <cell r="B116" t="str">
            <v>HC</v>
          </cell>
          <cell r="L116">
            <v>713200</v>
          </cell>
        </row>
        <row r="117">
          <cell r="A117" t="str">
            <v>Buildings</v>
          </cell>
          <cell r="B117" t="str">
            <v>HC</v>
          </cell>
          <cell r="L117">
            <v>715512</v>
          </cell>
        </row>
        <row r="118">
          <cell r="A118" t="str">
            <v>Buildings</v>
          </cell>
          <cell r="B118" t="str">
            <v>HC</v>
          </cell>
          <cell r="L118">
            <v>701800</v>
          </cell>
        </row>
        <row r="119">
          <cell r="A119" t="str">
            <v>Buildings</v>
          </cell>
          <cell r="B119" t="str">
            <v>HC</v>
          </cell>
          <cell r="L119">
            <v>713501</v>
          </cell>
        </row>
        <row r="120">
          <cell r="A120" t="str">
            <v>Buildings</v>
          </cell>
          <cell r="B120" t="str">
            <v>HC</v>
          </cell>
          <cell r="L120">
            <v>115000</v>
          </cell>
        </row>
        <row r="121">
          <cell r="A121" t="str">
            <v>Buildings</v>
          </cell>
          <cell r="B121" t="str">
            <v>HC</v>
          </cell>
          <cell r="L121">
            <v>1417735</v>
          </cell>
        </row>
        <row r="122">
          <cell r="A122" t="str">
            <v>Buildings</v>
          </cell>
          <cell r="B122" t="str">
            <v>HC</v>
          </cell>
          <cell r="L122">
            <v>676396</v>
          </cell>
        </row>
        <row r="123">
          <cell r="A123" t="str">
            <v>Buildings</v>
          </cell>
          <cell r="B123" t="str">
            <v>HC</v>
          </cell>
          <cell r="L123">
            <v>791097</v>
          </cell>
        </row>
        <row r="124">
          <cell r="A124" t="str">
            <v>Buildings</v>
          </cell>
          <cell r="B124" t="str">
            <v>HC</v>
          </cell>
          <cell r="L124">
            <v>759908</v>
          </cell>
        </row>
        <row r="125">
          <cell r="A125" t="str">
            <v>Buildings</v>
          </cell>
          <cell r="B125" t="str">
            <v>HC</v>
          </cell>
          <cell r="L125">
            <v>811600</v>
          </cell>
        </row>
        <row r="126">
          <cell r="A126" t="str">
            <v>Buildings</v>
          </cell>
          <cell r="B126" t="str">
            <v>HC</v>
          </cell>
          <cell r="L126">
            <v>904678</v>
          </cell>
        </row>
        <row r="127">
          <cell r="A127" t="str">
            <v>Buildings</v>
          </cell>
          <cell r="B127" t="str">
            <v>HC</v>
          </cell>
          <cell r="L127">
            <v>201200</v>
          </cell>
        </row>
        <row r="128">
          <cell r="A128" t="str">
            <v>Buildings</v>
          </cell>
          <cell r="B128" t="str">
            <v>HC</v>
          </cell>
          <cell r="L128">
            <v>533988</v>
          </cell>
        </row>
        <row r="129">
          <cell r="A129" t="str">
            <v>Buildings</v>
          </cell>
          <cell r="B129" t="str">
            <v>HC</v>
          </cell>
          <cell r="L129">
            <v>797525</v>
          </cell>
        </row>
        <row r="130">
          <cell r="A130" t="str">
            <v>Buildings</v>
          </cell>
          <cell r="B130" t="str">
            <v>HC</v>
          </cell>
          <cell r="L130">
            <v>813800</v>
          </cell>
        </row>
        <row r="131">
          <cell r="A131" t="str">
            <v>Buildings</v>
          </cell>
          <cell r="B131" t="str">
            <v>HC</v>
          </cell>
          <cell r="L131">
            <v>713800</v>
          </cell>
        </row>
        <row r="132">
          <cell r="A132" t="str">
            <v>Buildings</v>
          </cell>
          <cell r="B132" t="str">
            <v>HC</v>
          </cell>
          <cell r="L132">
            <v>710240</v>
          </cell>
        </row>
        <row r="133">
          <cell r="A133" t="str">
            <v>Buildings</v>
          </cell>
          <cell r="B133" t="str">
            <v>HC</v>
          </cell>
          <cell r="L133">
            <v>813619</v>
          </cell>
        </row>
        <row r="134">
          <cell r="A134" t="str">
            <v>Buildings</v>
          </cell>
          <cell r="B134" t="str">
            <v>HC</v>
          </cell>
          <cell r="L134">
            <v>781986</v>
          </cell>
        </row>
        <row r="135">
          <cell r="A135" t="str">
            <v>Buildings</v>
          </cell>
          <cell r="B135" t="str">
            <v>HC</v>
          </cell>
          <cell r="L135">
            <v>737150</v>
          </cell>
        </row>
        <row r="136">
          <cell r="A136" t="str">
            <v>Buildings</v>
          </cell>
          <cell r="B136" t="str">
            <v>HC</v>
          </cell>
          <cell r="L136">
            <v>803145</v>
          </cell>
        </row>
        <row r="137">
          <cell r="A137" t="str">
            <v>Buildings</v>
          </cell>
          <cell r="B137" t="str">
            <v>HC</v>
          </cell>
          <cell r="L137">
            <v>949365</v>
          </cell>
        </row>
        <row r="138">
          <cell r="A138" t="str">
            <v>Buildings</v>
          </cell>
          <cell r="B138" t="str">
            <v>HC</v>
          </cell>
          <cell r="L138">
            <v>954500</v>
          </cell>
        </row>
        <row r="139">
          <cell r="A139" t="str">
            <v>Buildings</v>
          </cell>
          <cell r="B139" t="str">
            <v>HC</v>
          </cell>
          <cell r="L139">
            <v>921850</v>
          </cell>
        </row>
        <row r="140">
          <cell r="A140" t="str">
            <v>Buildings</v>
          </cell>
          <cell r="B140" t="str">
            <v>HC</v>
          </cell>
          <cell r="L140">
            <v>920159</v>
          </cell>
        </row>
        <row r="141">
          <cell r="A141" t="str">
            <v>Buildings</v>
          </cell>
          <cell r="B141" t="str">
            <v>HC</v>
          </cell>
          <cell r="L141">
            <v>475330</v>
          </cell>
        </row>
        <row r="142">
          <cell r="A142" t="str">
            <v>Buildings</v>
          </cell>
          <cell r="B142" t="str">
            <v>HC</v>
          </cell>
          <cell r="L142">
            <v>931972</v>
          </cell>
        </row>
        <row r="143">
          <cell r="A143" t="str">
            <v>Buildings</v>
          </cell>
          <cell r="B143" t="str">
            <v>HC</v>
          </cell>
          <cell r="L143">
            <v>930545</v>
          </cell>
        </row>
        <row r="144">
          <cell r="A144" t="str">
            <v>Buildings</v>
          </cell>
          <cell r="B144" t="str">
            <v>HC</v>
          </cell>
          <cell r="L144">
            <v>934591</v>
          </cell>
        </row>
        <row r="145">
          <cell r="A145" t="str">
            <v>Buildings</v>
          </cell>
          <cell r="B145" t="str">
            <v>HC</v>
          </cell>
          <cell r="L145">
            <v>918942</v>
          </cell>
        </row>
        <row r="146">
          <cell r="A146" t="str">
            <v>Buildings</v>
          </cell>
          <cell r="B146" t="str">
            <v>HC</v>
          </cell>
          <cell r="L146">
            <v>914914</v>
          </cell>
        </row>
        <row r="147">
          <cell r="A147" t="str">
            <v>Buildings</v>
          </cell>
          <cell r="B147" t="str">
            <v>HC</v>
          </cell>
          <cell r="L147">
            <v>794539</v>
          </cell>
        </row>
        <row r="148">
          <cell r="A148" t="str">
            <v>Buildings</v>
          </cell>
          <cell r="B148" t="str">
            <v>HC</v>
          </cell>
          <cell r="L148">
            <v>935100</v>
          </cell>
        </row>
        <row r="149">
          <cell r="A149" t="str">
            <v>Buildings</v>
          </cell>
          <cell r="B149" t="str">
            <v>HC</v>
          </cell>
          <cell r="L149">
            <v>915327</v>
          </cell>
        </row>
        <row r="150">
          <cell r="A150" t="str">
            <v>Buildings</v>
          </cell>
          <cell r="B150" t="str">
            <v>HC</v>
          </cell>
          <cell r="L150">
            <v>937160</v>
          </cell>
        </row>
        <row r="151">
          <cell r="A151" t="str">
            <v>Buildings</v>
          </cell>
          <cell r="B151" t="str">
            <v>HC</v>
          </cell>
          <cell r="L151">
            <v>6923034</v>
          </cell>
        </row>
        <row r="152">
          <cell r="A152" t="str">
            <v>Buildings</v>
          </cell>
          <cell r="B152" t="str">
            <v>HC</v>
          </cell>
          <cell r="L152">
            <v>793783</v>
          </cell>
        </row>
        <row r="153">
          <cell r="A153" t="str">
            <v>Buildings</v>
          </cell>
          <cell r="B153" t="str">
            <v>HC</v>
          </cell>
          <cell r="L153">
            <v>799583</v>
          </cell>
        </row>
        <row r="154">
          <cell r="A154" t="str">
            <v>Buildings</v>
          </cell>
          <cell r="B154" t="str">
            <v>HC</v>
          </cell>
          <cell r="L154">
            <v>854685</v>
          </cell>
        </row>
        <row r="155">
          <cell r="A155" t="str">
            <v>Buildings</v>
          </cell>
          <cell r="B155" t="str">
            <v>HC</v>
          </cell>
          <cell r="L155">
            <v>819472</v>
          </cell>
        </row>
        <row r="156">
          <cell r="A156" t="str">
            <v>Buildings</v>
          </cell>
          <cell r="B156" t="str">
            <v>HC</v>
          </cell>
          <cell r="L156">
            <v>298694</v>
          </cell>
        </row>
        <row r="157">
          <cell r="A157" t="str">
            <v>Buildings</v>
          </cell>
          <cell r="B157" t="str">
            <v>HC</v>
          </cell>
          <cell r="L157">
            <v>554590</v>
          </cell>
        </row>
        <row r="158">
          <cell r="A158" t="str">
            <v>Buildings</v>
          </cell>
          <cell r="B158" t="str">
            <v>HC</v>
          </cell>
          <cell r="L158">
            <v>821105</v>
          </cell>
        </row>
        <row r="159">
          <cell r="A159" t="str">
            <v>Buildings</v>
          </cell>
          <cell r="B159" t="str">
            <v>HC</v>
          </cell>
          <cell r="L159">
            <v>2558580</v>
          </cell>
        </row>
        <row r="160">
          <cell r="A160" t="str">
            <v>Buildings</v>
          </cell>
          <cell r="B160" t="str">
            <v>HC</v>
          </cell>
          <cell r="L160">
            <v>787065</v>
          </cell>
        </row>
        <row r="161">
          <cell r="A161" t="str">
            <v>Buildings</v>
          </cell>
          <cell r="B161" t="str">
            <v>HC</v>
          </cell>
          <cell r="L161">
            <v>515497</v>
          </cell>
        </row>
        <row r="162">
          <cell r="A162" t="str">
            <v>Buildings</v>
          </cell>
          <cell r="B162" t="str">
            <v>JSW</v>
          </cell>
          <cell r="L162">
            <v>730324</v>
          </cell>
        </row>
        <row r="163">
          <cell r="A163" t="str">
            <v>Buildings</v>
          </cell>
          <cell r="B163" t="str">
            <v>JSW</v>
          </cell>
          <cell r="L163">
            <v>740080</v>
          </cell>
        </row>
        <row r="164">
          <cell r="A164" t="str">
            <v>Buildings</v>
          </cell>
          <cell r="B164" t="str">
            <v>JSW</v>
          </cell>
          <cell r="L164">
            <v>740080</v>
          </cell>
        </row>
        <row r="165">
          <cell r="A165" t="str">
            <v>Buildings</v>
          </cell>
          <cell r="B165" t="str">
            <v>JSW</v>
          </cell>
          <cell r="L165">
            <v>731616</v>
          </cell>
        </row>
        <row r="166">
          <cell r="A166" t="str">
            <v>Buildings</v>
          </cell>
          <cell r="B166" t="str">
            <v>JSW</v>
          </cell>
          <cell r="L166">
            <v>731616</v>
          </cell>
        </row>
        <row r="167">
          <cell r="A167" t="str">
            <v>Buildings</v>
          </cell>
          <cell r="B167" t="str">
            <v>JSW</v>
          </cell>
          <cell r="L167">
            <v>732266</v>
          </cell>
        </row>
        <row r="168">
          <cell r="A168" t="str">
            <v>Buildings</v>
          </cell>
          <cell r="B168" t="str">
            <v>JSW</v>
          </cell>
          <cell r="L168">
            <v>792559</v>
          </cell>
        </row>
        <row r="169">
          <cell r="A169" t="str">
            <v>Buildings</v>
          </cell>
          <cell r="B169" t="str">
            <v>JSW</v>
          </cell>
          <cell r="L169">
            <v>792109</v>
          </cell>
        </row>
        <row r="170">
          <cell r="A170" t="str">
            <v>Buildings</v>
          </cell>
          <cell r="B170" t="str">
            <v>DGMAP Chennai</v>
          </cell>
          <cell r="L170">
            <v>432001</v>
          </cell>
        </row>
        <row r="171">
          <cell r="A171" t="str">
            <v>Buildings</v>
          </cell>
          <cell r="B171" t="str">
            <v>DGMAP Chennai</v>
          </cell>
          <cell r="L171">
            <v>432001</v>
          </cell>
        </row>
        <row r="172">
          <cell r="A172" t="str">
            <v>Buildings</v>
          </cell>
          <cell r="B172" t="str">
            <v>DGMAP Chennai</v>
          </cell>
          <cell r="L172">
            <v>432001</v>
          </cell>
        </row>
        <row r="173">
          <cell r="A173" t="str">
            <v>Buildings</v>
          </cell>
          <cell r="B173" t="str">
            <v>DGMAP Chennai</v>
          </cell>
          <cell r="L173">
            <v>432001</v>
          </cell>
        </row>
        <row r="174">
          <cell r="A174" t="str">
            <v>Buildings</v>
          </cell>
          <cell r="B174" t="str">
            <v>DGMAP Chennai</v>
          </cell>
          <cell r="L174">
            <v>432001</v>
          </cell>
        </row>
        <row r="175">
          <cell r="A175" t="str">
            <v>Buildings</v>
          </cell>
          <cell r="B175" t="str">
            <v>DGMAP Chennai</v>
          </cell>
          <cell r="L175">
            <v>461923</v>
          </cell>
        </row>
        <row r="176">
          <cell r="A176" t="str">
            <v>Buildings</v>
          </cell>
          <cell r="B176" t="str">
            <v>DGMAP Chennai</v>
          </cell>
          <cell r="L176">
            <v>461922</v>
          </cell>
        </row>
        <row r="177">
          <cell r="A177" t="str">
            <v>Buildings</v>
          </cell>
          <cell r="B177" t="str">
            <v>DGMAP Chennai</v>
          </cell>
          <cell r="L177">
            <v>230919</v>
          </cell>
        </row>
        <row r="178">
          <cell r="A178" t="str">
            <v>Buildings</v>
          </cell>
          <cell r="B178" t="str">
            <v>DGMAP Chennai</v>
          </cell>
          <cell r="L178">
            <v>231518</v>
          </cell>
        </row>
        <row r="179">
          <cell r="A179" t="str">
            <v>Buildings</v>
          </cell>
          <cell r="B179" t="str">
            <v>DGMAP Chennai</v>
          </cell>
          <cell r="L179">
            <v>230919</v>
          </cell>
        </row>
        <row r="180">
          <cell r="A180" t="str">
            <v>Buildings</v>
          </cell>
          <cell r="B180" t="str">
            <v>DGMAP Chennai</v>
          </cell>
          <cell r="L180">
            <v>728269</v>
          </cell>
        </row>
        <row r="181">
          <cell r="A181" t="str">
            <v>Buildings</v>
          </cell>
          <cell r="B181" t="str">
            <v>DGMAP Chennai</v>
          </cell>
          <cell r="L181">
            <v>220688</v>
          </cell>
        </row>
        <row r="182">
          <cell r="A182" t="str">
            <v>Buildings</v>
          </cell>
          <cell r="B182" t="str">
            <v>DGMAP Chennai</v>
          </cell>
          <cell r="L182">
            <v>728269</v>
          </cell>
        </row>
        <row r="183">
          <cell r="A183" t="str">
            <v>Buildings</v>
          </cell>
          <cell r="B183" t="str">
            <v>DGMAP Chennai</v>
          </cell>
          <cell r="L183">
            <v>523250</v>
          </cell>
        </row>
        <row r="184">
          <cell r="A184" t="str">
            <v>Buildings</v>
          </cell>
          <cell r="B184" t="str">
            <v>DGMAP Chennai</v>
          </cell>
          <cell r="L184">
            <v>728269</v>
          </cell>
        </row>
        <row r="185">
          <cell r="A185" t="str">
            <v>Buildings</v>
          </cell>
          <cell r="B185" t="str">
            <v>DGMAP Chennai</v>
          </cell>
          <cell r="L185">
            <v>728269</v>
          </cell>
        </row>
        <row r="186">
          <cell r="A186" t="str">
            <v>Buildings</v>
          </cell>
          <cell r="B186" t="str">
            <v>DGMAP Chennai</v>
          </cell>
          <cell r="L186">
            <v>728269</v>
          </cell>
        </row>
        <row r="187">
          <cell r="A187" t="str">
            <v>Buildings</v>
          </cell>
          <cell r="B187" t="str">
            <v>DGMAP Chennai</v>
          </cell>
          <cell r="L187">
            <v>728269</v>
          </cell>
        </row>
        <row r="188">
          <cell r="A188" t="str">
            <v>Buildings</v>
          </cell>
          <cell r="B188" t="str">
            <v>DGMAP Chennai</v>
          </cell>
          <cell r="L188">
            <v>728269</v>
          </cell>
        </row>
        <row r="189">
          <cell r="A189" t="str">
            <v>Buildings</v>
          </cell>
          <cell r="B189" t="str">
            <v>DGMAP Chennai</v>
          </cell>
          <cell r="L189">
            <v>715750</v>
          </cell>
        </row>
        <row r="190">
          <cell r="A190" t="str">
            <v>Buildings</v>
          </cell>
          <cell r="B190" t="str">
            <v>DGMAP Chennai</v>
          </cell>
          <cell r="L190">
            <v>595857</v>
          </cell>
        </row>
        <row r="191">
          <cell r="A191" t="str">
            <v>Buildings</v>
          </cell>
          <cell r="B191" t="str">
            <v>DGMAP Chennai</v>
          </cell>
          <cell r="L191">
            <v>6417</v>
          </cell>
        </row>
        <row r="192">
          <cell r="A192" t="str">
            <v>Buildings</v>
          </cell>
          <cell r="B192" t="str">
            <v>DGMAP Chennai</v>
          </cell>
          <cell r="L192">
            <v>715750</v>
          </cell>
        </row>
        <row r="193">
          <cell r="A193" t="str">
            <v>Buildings</v>
          </cell>
          <cell r="B193" t="str">
            <v>DGMAP Chennai</v>
          </cell>
          <cell r="L193">
            <v>595857</v>
          </cell>
        </row>
        <row r="194">
          <cell r="A194" t="str">
            <v>Buildings</v>
          </cell>
          <cell r="B194" t="str">
            <v>DGMAP Chennai</v>
          </cell>
          <cell r="L194">
            <v>132750</v>
          </cell>
        </row>
        <row r="195">
          <cell r="A195" t="str">
            <v>Buildings</v>
          </cell>
          <cell r="B195" t="str">
            <v>DGMAP Chennai</v>
          </cell>
          <cell r="L195">
            <v>728269</v>
          </cell>
        </row>
        <row r="196">
          <cell r="A196" t="str">
            <v>Buildings</v>
          </cell>
          <cell r="B196" t="str">
            <v>DGMAP Chennai</v>
          </cell>
          <cell r="L196">
            <v>728269</v>
          </cell>
        </row>
        <row r="197">
          <cell r="A197" t="str">
            <v>Buildings</v>
          </cell>
          <cell r="B197" t="str">
            <v>DGMAP Chennai</v>
          </cell>
          <cell r="L197">
            <v>595857</v>
          </cell>
        </row>
        <row r="198">
          <cell r="A198" t="str">
            <v>Buildings</v>
          </cell>
          <cell r="B198" t="str">
            <v>DGMAP Chennai</v>
          </cell>
          <cell r="L198">
            <v>595857</v>
          </cell>
        </row>
        <row r="199">
          <cell r="A199" t="str">
            <v>Buildings</v>
          </cell>
          <cell r="B199" t="str">
            <v>DGMAP Chennai</v>
          </cell>
          <cell r="L199">
            <v>132750</v>
          </cell>
        </row>
        <row r="200">
          <cell r="A200" t="str">
            <v>Buildings</v>
          </cell>
          <cell r="B200" t="str">
            <v>DGMAP Chennai</v>
          </cell>
          <cell r="L200">
            <v>132750</v>
          </cell>
        </row>
        <row r="201">
          <cell r="A201" t="str">
            <v>Buildings</v>
          </cell>
          <cell r="B201" t="str">
            <v>DGMAP Chennai</v>
          </cell>
          <cell r="L201">
            <v>617925</v>
          </cell>
        </row>
        <row r="202">
          <cell r="A202" t="str">
            <v>Buildings</v>
          </cell>
          <cell r="B202" t="str">
            <v>DGMAP Chennai</v>
          </cell>
          <cell r="L202">
            <v>124750</v>
          </cell>
        </row>
        <row r="203">
          <cell r="A203" t="str">
            <v>Buildings</v>
          </cell>
          <cell r="B203" t="str">
            <v>DGMAP Chennai</v>
          </cell>
          <cell r="L203">
            <v>1181698</v>
          </cell>
        </row>
        <row r="204">
          <cell r="A204" t="str">
            <v>Buildings</v>
          </cell>
          <cell r="B204" t="str">
            <v>DGMAP Chennai</v>
          </cell>
          <cell r="L204">
            <v>201250</v>
          </cell>
        </row>
        <row r="205">
          <cell r="A205" t="str">
            <v>Buildings</v>
          </cell>
          <cell r="B205" t="str">
            <v>DGMAP Chennai</v>
          </cell>
          <cell r="L205">
            <v>727199</v>
          </cell>
        </row>
        <row r="206">
          <cell r="A206" t="str">
            <v>Buildings</v>
          </cell>
          <cell r="B206" t="str">
            <v>DGMAP Chennai</v>
          </cell>
          <cell r="L206">
            <v>279027</v>
          </cell>
        </row>
        <row r="207">
          <cell r="A207" t="str">
            <v>Buildings</v>
          </cell>
          <cell r="B207" t="str">
            <v>DGMAP Chennai</v>
          </cell>
          <cell r="L207">
            <v>276431</v>
          </cell>
        </row>
        <row r="208">
          <cell r="A208" t="str">
            <v>Buildings</v>
          </cell>
          <cell r="B208" t="str">
            <v>DGMAP Chennai</v>
          </cell>
          <cell r="L208">
            <v>288527</v>
          </cell>
        </row>
        <row r="209">
          <cell r="A209" t="str">
            <v>Buildings</v>
          </cell>
          <cell r="B209" t="str">
            <v>DGMAP Chennai</v>
          </cell>
          <cell r="L209">
            <v>727386</v>
          </cell>
        </row>
        <row r="210">
          <cell r="A210" t="str">
            <v>Buildings</v>
          </cell>
          <cell r="B210" t="str">
            <v>DGMAP Chennai</v>
          </cell>
          <cell r="L210">
            <v>1279987</v>
          </cell>
        </row>
        <row r="211">
          <cell r="A211" t="str">
            <v>Buildings</v>
          </cell>
          <cell r="B211" t="str">
            <v>DGMAP Chennai</v>
          </cell>
          <cell r="L211">
            <v>639994</v>
          </cell>
        </row>
        <row r="212">
          <cell r="A212" t="str">
            <v>Buildings</v>
          </cell>
          <cell r="B212" t="str">
            <v>DGMAP Chennai</v>
          </cell>
          <cell r="L212">
            <v>44138</v>
          </cell>
        </row>
        <row r="213">
          <cell r="A213" t="str">
            <v>Buildings</v>
          </cell>
          <cell r="B213" t="str">
            <v>DGMAP Chennai</v>
          </cell>
          <cell r="L213">
            <v>279027</v>
          </cell>
        </row>
        <row r="214">
          <cell r="A214" t="str">
            <v>Buildings</v>
          </cell>
          <cell r="B214" t="str">
            <v>DGMAP Chennai</v>
          </cell>
          <cell r="L214">
            <v>279027</v>
          </cell>
        </row>
        <row r="215">
          <cell r="A215" t="str">
            <v>Buildings</v>
          </cell>
          <cell r="B215" t="str">
            <v>DGMAP Chennai</v>
          </cell>
          <cell r="L215">
            <v>279027</v>
          </cell>
        </row>
        <row r="216">
          <cell r="A216" t="str">
            <v>Buildings</v>
          </cell>
          <cell r="B216" t="str">
            <v>DGMAP Chennai</v>
          </cell>
          <cell r="L216">
            <v>228413</v>
          </cell>
        </row>
        <row r="217">
          <cell r="A217" t="str">
            <v>Buildings</v>
          </cell>
          <cell r="B217" t="str">
            <v>DGMAP Chennai</v>
          </cell>
          <cell r="L217">
            <v>728269</v>
          </cell>
        </row>
        <row r="218">
          <cell r="A218" t="str">
            <v>Buildings</v>
          </cell>
          <cell r="B218" t="str">
            <v>DGMAP Chennai</v>
          </cell>
          <cell r="L218">
            <v>728269</v>
          </cell>
        </row>
        <row r="219">
          <cell r="A219" t="str">
            <v>Buildings</v>
          </cell>
          <cell r="B219" t="str">
            <v>DGMAP Chennai</v>
          </cell>
          <cell r="L219">
            <v>727199</v>
          </cell>
        </row>
        <row r="220">
          <cell r="A220" t="str">
            <v>Buildings</v>
          </cell>
          <cell r="B220" t="str">
            <v>DGMAP Chennai</v>
          </cell>
          <cell r="L220">
            <v>863283</v>
          </cell>
        </row>
        <row r="221">
          <cell r="A221" t="str">
            <v>Buildings</v>
          </cell>
          <cell r="B221" t="str">
            <v>DGMAP Chennai</v>
          </cell>
          <cell r="L221">
            <v>814232</v>
          </cell>
        </row>
        <row r="222">
          <cell r="A222" t="str">
            <v>Buildings</v>
          </cell>
          <cell r="B222" t="str">
            <v>DGMAP Chennai</v>
          </cell>
          <cell r="L222">
            <v>727199</v>
          </cell>
        </row>
        <row r="223">
          <cell r="A223" t="str">
            <v>Buildings</v>
          </cell>
          <cell r="B223" t="str">
            <v>DGMAP Chennai</v>
          </cell>
          <cell r="L223">
            <v>814232</v>
          </cell>
        </row>
        <row r="224">
          <cell r="A224" t="str">
            <v>Buildings</v>
          </cell>
          <cell r="B224" t="str">
            <v>DGMAP Chennai</v>
          </cell>
          <cell r="L224">
            <v>756150</v>
          </cell>
        </row>
        <row r="225">
          <cell r="A225" t="str">
            <v>Buildings</v>
          </cell>
          <cell r="B225" t="str">
            <v>DGMAP Chennai</v>
          </cell>
          <cell r="L225">
            <v>200100</v>
          </cell>
        </row>
        <row r="226">
          <cell r="A226" t="str">
            <v>Buildings</v>
          </cell>
          <cell r="B226" t="str">
            <v>DGMAP Chennai</v>
          </cell>
          <cell r="L226">
            <v>611700</v>
          </cell>
        </row>
        <row r="227">
          <cell r="A227" t="str">
            <v>Buildings</v>
          </cell>
          <cell r="B227" t="str">
            <v>DGMAP Chennai</v>
          </cell>
          <cell r="L227">
            <v>786210</v>
          </cell>
        </row>
        <row r="228">
          <cell r="A228" t="str">
            <v>Buildings</v>
          </cell>
          <cell r="B228" t="str">
            <v>DGMAP Chennai</v>
          </cell>
          <cell r="L228">
            <v>814232</v>
          </cell>
        </row>
        <row r="229">
          <cell r="A229" t="str">
            <v>Buildings</v>
          </cell>
          <cell r="B229" t="str">
            <v>DGMAP Chennai</v>
          </cell>
          <cell r="L229">
            <v>814232</v>
          </cell>
        </row>
        <row r="230">
          <cell r="A230" t="str">
            <v>Buildings</v>
          </cell>
          <cell r="B230" t="str">
            <v>DGMAP Chennai</v>
          </cell>
          <cell r="L230">
            <v>814232</v>
          </cell>
        </row>
        <row r="231">
          <cell r="A231" t="str">
            <v>Buildings</v>
          </cell>
          <cell r="B231" t="str">
            <v>DGMAP Chennai</v>
          </cell>
          <cell r="L231">
            <v>471466</v>
          </cell>
        </row>
        <row r="232">
          <cell r="A232" t="str">
            <v>Buildings</v>
          </cell>
          <cell r="B232" t="str">
            <v>DGMAP Chennai</v>
          </cell>
          <cell r="L232">
            <v>873485</v>
          </cell>
        </row>
        <row r="233">
          <cell r="A233" t="str">
            <v>Buildings</v>
          </cell>
          <cell r="B233" t="str">
            <v>DGMAP Chennai</v>
          </cell>
          <cell r="L233">
            <v>207622</v>
          </cell>
        </row>
        <row r="234">
          <cell r="A234" t="str">
            <v>Buildings</v>
          </cell>
          <cell r="B234" t="str">
            <v>DGMAP Chennai</v>
          </cell>
          <cell r="L234">
            <v>266771</v>
          </cell>
        </row>
        <row r="235">
          <cell r="A235" t="str">
            <v>Buildings</v>
          </cell>
          <cell r="B235" t="str">
            <v>DGMAP Chennai</v>
          </cell>
          <cell r="L235">
            <v>216273</v>
          </cell>
        </row>
        <row r="236">
          <cell r="A236" t="str">
            <v>Buildings</v>
          </cell>
          <cell r="B236" t="str">
            <v>DGMAP Chennai</v>
          </cell>
          <cell r="L236">
            <v>256759</v>
          </cell>
        </row>
        <row r="237">
          <cell r="A237" t="str">
            <v>Buildings</v>
          </cell>
          <cell r="B237" t="str">
            <v>DGMAP Chennai</v>
          </cell>
          <cell r="L237">
            <v>815211</v>
          </cell>
        </row>
        <row r="238">
          <cell r="A238" t="str">
            <v>Buildings</v>
          </cell>
          <cell r="B238" t="str">
            <v>DGMAP Chennai</v>
          </cell>
          <cell r="L238">
            <v>480209</v>
          </cell>
        </row>
        <row r="239">
          <cell r="A239" t="str">
            <v>Buildings</v>
          </cell>
          <cell r="B239" t="str">
            <v>DGMAP Chennai</v>
          </cell>
          <cell r="L239">
            <v>390747</v>
          </cell>
        </row>
        <row r="240">
          <cell r="A240" t="str">
            <v>Buildings</v>
          </cell>
          <cell r="B240" t="str">
            <v>DGMAP Chennai</v>
          </cell>
          <cell r="L240">
            <v>406419</v>
          </cell>
        </row>
        <row r="241">
          <cell r="A241" t="str">
            <v>Buildings</v>
          </cell>
          <cell r="B241" t="str">
            <v>DGMAP Chennai</v>
          </cell>
          <cell r="L241">
            <v>862299</v>
          </cell>
        </row>
        <row r="242">
          <cell r="A242" t="str">
            <v>Buildings</v>
          </cell>
          <cell r="B242" t="str">
            <v>DGMAP Chennai</v>
          </cell>
          <cell r="L242">
            <v>863283</v>
          </cell>
        </row>
        <row r="243">
          <cell r="A243" t="str">
            <v>Buildings</v>
          </cell>
          <cell r="B243" t="str">
            <v>DGMAP Chennai</v>
          </cell>
          <cell r="L243">
            <v>320515</v>
          </cell>
        </row>
        <row r="244">
          <cell r="A244" t="str">
            <v>Buildings</v>
          </cell>
          <cell r="B244" t="str">
            <v>DGMAP Chennai</v>
          </cell>
          <cell r="L244">
            <v>151270</v>
          </cell>
        </row>
        <row r="245">
          <cell r="A245" t="str">
            <v>Buildings</v>
          </cell>
          <cell r="B245" t="str">
            <v>DGMAP Chennai</v>
          </cell>
          <cell r="L245">
            <v>863283</v>
          </cell>
        </row>
        <row r="246">
          <cell r="A246" t="str">
            <v>Buildings</v>
          </cell>
          <cell r="B246" t="str">
            <v>DGMAP Chennai</v>
          </cell>
          <cell r="L246">
            <v>865242</v>
          </cell>
        </row>
        <row r="247">
          <cell r="A247" t="str">
            <v>Buildings</v>
          </cell>
          <cell r="B247" t="str">
            <v>DGMAP Chennai</v>
          </cell>
          <cell r="L247">
            <v>863283</v>
          </cell>
        </row>
        <row r="248">
          <cell r="A248" t="str">
            <v>Buildings</v>
          </cell>
          <cell r="B248" t="str">
            <v>DGMAP Chennai</v>
          </cell>
          <cell r="L248">
            <v>423881</v>
          </cell>
        </row>
        <row r="249">
          <cell r="A249" t="str">
            <v>Buildings</v>
          </cell>
          <cell r="B249" t="str">
            <v>DGMAP Chennai</v>
          </cell>
          <cell r="L249">
            <v>863283</v>
          </cell>
        </row>
        <row r="250">
          <cell r="A250" t="str">
            <v>Buildings</v>
          </cell>
          <cell r="B250" t="str">
            <v>DGMAP Chennai</v>
          </cell>
          <cell r="L250">
            <v>814232</v>
          </cell>
        </row>
        <row r="251">
          <cell r="A251" t="str">
            <v>Buildings</v>
          </cell>
          <cell r="B251" t="str">
            <v>DGMAP Chennai</v>
          </cell>
          <cell r="L251">
            <v>814232</v>
          </cell>
        </row>
        <row r="252">
          <cell r="A252" t="str">
            <v>Buildings</v>
          </cell>
          <cell r="B252" t="str">
            <v>DGMAP Chennai</v>
          </cell>
          <cell r="L252">
            <v>424776</v>
          </cell>
        </row>
        <row r="253">
          <cell r="A253" t="str">
            <v>Buildings</v>
          </cell>
          <cell r="B253" t="str">
            <v>DGMAP Chennai</v>
          </cell>
          <cell r="L253">
            <v>102565</v>
          </cell>
        </row>
        <row r="254">
          <cell r="A254" t="str">
            <v>Buildings</v>
          </cell>
          <cell r="B254" t="str">
            <v>DGMAP Chennai</v>
          </cell>
          <cell r="L254">
            <v>302541</v>
          </cell>
        </row>
        <row r="255">
          <cell r="A255" t="str">
            <v>Buildings</v>
          </cell>
          <cell r="B255" t="str">
            <v>DGMAP Chennai</v>
          </cell>
          <cell r="L255">
            <v>346582</v>
          </cell>
        </row>
        <row r="256">
          <cell r="A256" t="str">
            <v>Buildings</v>
          </cell>
          <cell r="B256" t="str">
            <v>DGMAP Chennai</v>
          </cell>
          <cell r="L256">
            <v>71795</v>
          </cell>
        </row>
        <row r="257">
          <cell r="A257" t="str">
            <v>Buildings</v>
          </cell>
          <cell r="B257" t="str">
            <v>DGMAP Chennai</v>
          </cell>
          <cell r="L257">
            <v>454158</v>
          </cell>
        </row>
        <row r="258">
          <cell r="A258" t="str">
            <v>Buildings</v>
          </cell>
          <cell r="B258" t="str">
            <v>HIRCO</v>
          </cell>
          <cell r="L258">
            <v>1058175</v>
          </cell>
        </row>
        <row r="259">
          <cell r="A259" t="str">
            <v>Buildings</v>
          </cell>
          <cell r="B259" t="str">
            <v>HIRCO</v>
          </cell>
          <cell r="L259">
            <v>1059469</v>
          </cell>
        </row>
        <row r="260">
          <cell r="A260" t="str">
            <v>Buildings</v>
          </cell>
          <cell r="B260" t="str">
            <v>HIRCO</v>
          </cell>
          <cell r="L260">
            <v>1098563</v>
          </cell>
        </row>
        <row r="261">
          <cell r="A261" t="str">
            <v>Buildings</v>
          </cell>
          <cell r="B261" t="str">
            <v>HIRCO</v>
          </cell>
          <cell r="L261">
            <v>1038038</v>
          </cell>
        </row>
        <row r="262">
          <cell r="A262" t="str">
            <v>Buildings</v>
          </cell>
          <cell r="B262" t="str">
            <v>HIRCO</v>
          </cell>
          <cell r="L262">
            <v>1018953</v>
          </cell>
        </row>
        <row r="263">
          <cell r="A263" t="str">
            <v>Buildings</v>
          </cell>
          <cell r="B263" t="str">
            <v>HIRCO</v>
          </cell>
          <cell r="L263">
            <v>1070078</v>
          </cell>
        </row>
        <row r="264">
          <cell r="A264" t="str">
            <v>Buildings</v>
          </cell>
          <cell r="B264" t="str">
            <v>HIRCO</v>
          </cell>
          <cell r="L264">
            <v>1140221</v>
          </cell>
        </row>
        <row r="265">
          <cell r="A265" t="str">
            <v>Buildings</v>
          </cell>
          <cell r="B265" t="str">
            <v>HIRCO</v>
          </cell>
          <cell r="L265">
            <v>1043663</v>
          </cell>
        </row>
        <row r="266">
          <cell r="A266" t="str">
            <v>Buildings</v>
          </cell>
          <cell r="B266" t="str">
            <v>HIRCO</v>
          </cell>
          <cell r="L266">
            <v>1073160</v>
          </cell>
        </row>
        <row r="267">
          <cell r="A267" t="str">
            <v>Buildings</v>
          </cell>
          <cell r="B267" t="str">
            <v>HIRCO</v>
          </cell>
          <cell r="L267">
            <v>1219680</v>
          </cell>
        </row>
        <row r="268">
          <cell r="A268" t="str">
            <v>Buildings</v>
          </cell>
          <cell r="B268" t="str">
            <v>HIRCO</v>
          </cell>
          <cell r="L268">
            <v>1167219</v>
          </cell>
        </row>
        <row r="269">
          <cell r="A269" t="str">
            <v>Buildings</v>
          </cell>
          <cell r="B269" t="str">
            <v>HIRCO</v>
          </cell>
          <cell r="L269">
            <v>1084725</v>
          </cell>
        </row>
        <row r="270">
          <cell r="A270" t="str">
            <v>Buildings</v>
          </cell>
          <cell r="B270" t="str">
            <v>HIRCO</v>
          </cell>
          <cell r="L270">
            <v>1129258</v>
          </cell>
        </row>
        <row r="271">
          <cell r="A271" t="str">
            <v>Buildings</v>
          </cell>
          <cell r="B271" t="str">
            <v>HIRCO</v>
          </cell>
          <cell r="L271">
            <v>1057466</v>
          </cell>
        </row>
        <row r="272">
          <cell r="A272" t="str">
            <v>Buildings</v>
          </cell>
          <cell r="B272" t="str">
            <v>HIRCO</v>
          </cell>
          <cell r="L272">
            <v>1124888</v>
          </cell>
        </row>
        <row r="273">
          <cell r="A273" t="str">
            <v>Buildings</v>
          </cell>
          <cell r="B273" t="str">
            <v>HIRCO</v>
          </cell>
          <cell r="L273">
            <v>1048894</v>
          </cell>
        </row>
        <row r="274">
          <cell r="A274" t="str">
            <v>Buildings</v>
          </cell>
          <cell r="B274" t="str">
            <v>HIRCO</v>
          </cell>
          <cell r="L274">
            <v>801653</v>
          </cell>
        </row>
        <row r="275">
          <cell r="A275" t="str">
            <v>Buildings</v>
          </cell>
          <cell r="B275" t="str">
            <v>HIRCO</v>
          </cell>
          <cell r="L275">
            <v>1125889</v>
          </cell>
        </row>
        <row r="276">
          <cell r="A276" t="str">
            <v>Buildings</v>
          </cell>
          <cell r="B276" t="str">
            <v>HIRCO</v>
          </cell>
          <cell r="L276">
            <v>1047107</v>
          </cell>
        </row>
        <row r="277">
          <cell r="A277" t="str">
            <v>Buildings</v>
          </cell>
          <cell r="B277" t="str">
            <v>HIRCO</v>
          </cell>
          <cell r="L277">
            <v>1196273</v>
          </cell>
        </row>
        <row r="278">
          <cell r="A278" t="str">
            <v>Buildings</v>
          </cell>
          <cell r="B278" t="str">
            <v>HIRCO</v>
          </cell>
          <cell r="L278">
            <v>1162688</v>
          </cell>
        </row>
        <row r="279">
          <cell r="A279" t="str">
            <v>Buildings</v>
          </cell>
          <cell r="B279" t="str">
            <v>HIRCO</v>
          </cell>
          <cell r="L279">
            <v>1243410</v>
          </cell>
        </row>
        <row r="280">
          <cell r="A280" t="str">
            <v>Buildings</v>
          </cell>
          <cell r="B280" t="str">
            <v>HIRCO</v>
          </cell>
          <cell r="L280">
            <v>1466052</v>
          </cell>
        </row>
        <row r="281">
          <cell r="A281" t="str">
            <v>Buildings</v>
          </cell>
          <cell r="B281" t="str">
            <v>HIRCO</v>
          </cell>
          <cell r="L281">
            <v>986119</v>
          </cell>
        </row>
        <row r="282">
          <cell r="A282" t="str">
            <v>Buildings</v>
          </cell>
          <cell r="B282" t="str">
            <v>HIRCO</v>
          </cell>
          <cell r="L282">
            <v>147769</v>
          </cell>
        </row>
        <row r="283">
          <cell r="A283" t="str">
            <v>Buildings</v>
          </cell>
          <cell r="B283" t="str">
            <v>HIRCO</v>
          </cell>
          <cell r="L283">
            <v>1109138</v>
          </cell>
        </row>
        <row r="284">
          <cell r="A284" t="str">
            <v>Buildings</v>
          </cell>
          <cell r="B284" t="str">
            <v>HIRCO</v>
          </cell>
          <cell r="L284">
            <v>1013484</v>
          </cell>
        </row>
        <row r="285">
          <cell r="A285" t="str">
            <v>Buildings</v>
          </cell>
          <cell r="B285" t="str">
            <v>HIRCO</v>
          </cell>
          <cell r="L285">
            <v>1173534</v>
          </cell>
        </row>
        <row r="286">
          <cell r="A286" t="str">
            <v>Buildings</v>
          </cell>
          <cell r="B286" t="str">
            <v>HIRCO</v>
          </cell>
          <cell r="L286">
            <v>1160109</v>
          </cell>
        </row>
        <row r="287">
          <cell r="A287" t="str">
            <v>Buildings</v>
          </cell>
          <cell r="B287" t="str">
            <v>HIRCO</v>
          </cell>
          <cell r="L287">
            <v>1051875</v>
          </cell>
        </row>
        <row r="288">
          <cell r="A288" t="str">
            <v>Buildings</v>
          </cell>
          <cell r="B288" t="str">
            <v>HIRCO</v>
          </cell>
          <cell r="L288">
            <v>1052268</v>
          </cell>
        </row>
        <row r="289">
          <cell r="A289" t="str">
            <v>Buildings</v>
          </cell>
          <cell r="B289" t="str">
            <v>HIRCO</v>
          </cell>
          <cell r="L289">
            <v>1065038</v>
          </cell>
        </row>
        <row r="290">
          <cell r="A290" t="str">
            <v>Buildings</v>
          </cell>
          <cell r="B290" t="str">
            <v>HIRCO</v>
          </cell>
          <cell r="L290">
            <v>601524</v>
          </cell>
        </row>
        <row r="291">
          <cell r="A291" t="str">
            <v>Buildings</v>
          </cell>
          <cell r="B291" t="str">
            <v>HIRCO</v>
          </cell>
          <cell r="L291">
            <v>687890</v>
          </cell>
        </row>
        <row r="292">
          <cell r="A292" t="str">
            <v>Buildings</v>
          </cell>
          <cell r="B292" t="str">
            <v>HIRCO</v>
          </cell>
          <cell r="L292">
            <v>620186</v>
          </cell>
        </row>
        <row r="293">
          <cell r="A293" t="str">
            <v>Buildings</v>
          </cell>
          <cell r="B293" t="str">
            <v>HIRCO</v>
          </cell>
          <cell r="L293">
            <v>627564</v>
          </cell>
        </row>
        <row r="294">
          <cell r="A294" t="str">
            <v>Buildings</v>
          </cell>
          <cell r="B294" t="str">
            <v>HIRCO</v>
          </cell>
          <cell r="L294">
            <v>592844</v>
          </cell>
        </row>
        <row r="295">
          <cell r="A295" t="str">
            <v>Buildings</v>
          </cell>
          <cell r="B295" t="str">
            <v>IIT Madras</v>
          </cell>
          <cell r="L295">
            <v>56453</v>
          </cell>
        </row>
        <row r="296">
          <cell r="A296" t="str">
            <v>Buildings</v>
          </cell>
          <cell r="B296" t="str">
            <v>IIT Madras</v>
          </cell>
          <cell r="L296">
            <v>231254</v>
          </cell>
        </row>
        <row r="297">
          <cell r="A297" t="str">
            <v>Buildings</v>
          </cell>
          <cell r="B297" t="str">
            <v>IIT Madras</v>
          </cell>
          <cell r="L297">
            <v>92502</v>
          </cell>
        </row>
        <row r="298">
          <cell r="A298" t="str">
            <v>Buildings</v>
          </cell>
          <cell r="B298" t="str">
            <v>IIT Madras</v>
          </cell>
          <cell r="L298">
            <v>99216</v>
          </cell>
        </row>
        <row r="299">
          <cell r="A299" t="str">
            <v>Buildings</v>
          </cell>
          <cell r="B299" t="str">
            <v>IIT Madras</v>
          </cell>
          <cell r="L299">
            <v>158745.60000000001</v>
          </cell>
        </row>
        <row r="300">
          <cell r="A300" t="str">
            <v>Buildings</v>
          </cell>
          <cell r="B300" t="str">
            <v>IIT Madras</v>
          </cell>
          <cell r="L300">
            <v>432001</v>
          </cell>
        </row>
        <row r="301">
          <cell r="A301" t="str">
            <v>Buildings</v>
          </cell>
          <cell r="B301" t="str">
            <v>IIT Madras</v>
          </cell>
          <cell r="L301">
            <v>432001</v>
          </cell>
        </row>
        <row r="302">
          <cell r="A302" t="str">
            <v>Buildings</v>
          </cell>
          <cell r="B302" t="str">
            <v>IIT Madras</v>
          </cell>
          <cell r="L302">
            <v>311707</v>
          </cell>
        </row>
        <row r="303">
          <cell r="A303" t="str">
            <v>Buildings</v>
          </cell>
          <cell r="B303" t="str">
            <v>IIT Madras</v>
          </cell>
          <cell r="L303">
            <v>266825</v>
          </cell>
        </row>
        <row r="304">
          <cell r="A304" t="str">
            <v>Buildings</v>
          </cell>
          <cell r="B304" t="str">
            <v>IIT Madras</v>
          </cell>
          <cell r="L304">
            <v>266825</v>
          </cell>
        </row>
        <row r="305">
          <cell r="A305" t="str">
            <v>Buildings</v>
          </cell>
          <cell r="B305" t="str">
            <v>IIT Madras</v>
          </cell>
          <cell r="L305">
            <v>266825</v>
          </cell>
        </row>
        <row r="306">
          <cell r="A306" t="str">
            <v>Buildings</v>
          </cell>
          <cell r="B306" t="str">
            <v>IIT Madras</v>
          </cell>
          <cell r="L306">
            <v>311707</v>
          </cell>
        </row>
        <row r="307">
          <cell r="A307" t="str">
            <v>Buildings</v>
          </cell>
          <cell r="B307" t="str">
            <v>IIT Madras</v>
          </cell>
          <cell r="L307">
            <v>266825</v>
          </cell>
        </row>
        <row r="308">
          <cell r="A308" t="str">
            <v>Buildings</v>
          </cell>
          <cell r="B308" t="str">
            <v>IIT Madras</v>
          </cell>
          <cell r="L308">
            <v>266825</v>
          </cell>
        </row>
        <row r="309">
          <cell r="A309" t="str">
            <v>Buildings</v>
          </cell>
          <cell r="B309" t="str">
            <v>IIT Madras</v>
          </cell>
          <cell r="L309">
            <v>266825</v>
          </cell>
        </row>
        <row r="310">
          <cell r="A310" t="str">
            <v>Buildings</v>
          </cell>
          <cell r="B310" t="str">
            <v>IIT Madras</v>
          </cell>
          <cell r="L310">
            <v>266825</v>
          </cell>
        </row>
        <row r="311">
          <cell r="A311" t="str">
            <v>Buildings</v>
          </cell>
          <cell r="B311" t="str">
            <v>IIT Madras</v>
          </cell>
          <cell r="L311">
            <v>266825</v>
          </cell>
        </row>
        <row r="312">
          <cell r="A312" t="str">
            <v>Buildings</v>
          </cell>
          <cell r="B312" t="str">
            <v>IIT Madras</v>
          </cell>
          <cell r="L312">
            <v>266825</v>
          </cell>
        </row>
        <row r="313">
          <cell r="A313" t="str">
            <v>Buildings</v>
          </cell>
          <cell r="B313" t="str">
            <v>IIT Madras</v>
          </cell>
          <cell r="L313">
            <v>616000</v>
          </cell>
        </row>
        <row r="314">
          <cell r="A314" t="str">
            <v>Buildings</v>
          </cell>
          <cell r="B314" t="str">
            <v>IIT Madras</v>
          </cell>
          <cell r="L314">
            <v>602000</v>
          </cell>
        </row>
        <row r="315">
          <cell r="A315" t="str">
            <v>Buildings</v>
          </cell>
          <cell r="B315" t="str">
            <v>IIT Madras</v>
          </cell>
          <cell r="L315">
            <v>728269</v>
          </cell>
        </row>
        <row r="316">
          <cell r="A316" t="str">
            <v>Buildings</v>
          </cell>
          <cell r="B316" t="str">
            <v>IIT Madras</v>
          </cell>
          <cell r="L316">
            <v>602000.4</v>
          </cell>
        </row>
        <row r="317">
          <cell r="A317" t="str">
            <v>Buildings</v>
          </cell>
          <cell r="B317" t="str">
            <v>IIT Madras</v>
          </cell>
          <cell r="L317">
            <v>88275</v>
          </cell>
        </row>
        <row r="318">
          <cell r="A318" t="str">
            <v>Buildings</v>
          </cell>
          <cell r="B318" t="str">
            <v>IIT Madras</v>
          </cell>
          <cell r="L318">
            <v>266825</v>
          </cell>
        </row>
        <row r="319">
          <cell r="A319" t="str">
            <v>Buildings</v>
          </cell>
          <cell r="B319" t="str">
            <v>IIT Madras</v>
          </cell>
          <cell r="L319">
            <v>266825</v>
          </cell>
        </row>
        <row r="320">
          <cell r="A320" t="str">
            <v>Buildings</v>
          </cell>
          <cell r="B320" t="str">
            <v>IIT Madras</v>
          </cell>
          <cell r="L320">
            <v>266825</v>
          </cell>
        </row>
        <row r="321">
          <cell r="A321" t="str">
            <v>Buildings</v>
          </cell>
          <cell r="B321" t="str">
            <v>IIT Madras</v>
          </cell>
          <cell r="L321">
            <v>266825</v>
          </cell>
        </row>
        <row r="322">
          <cell r="A322" t="str">
            <v>Buildings</v>
          </cell>
          <cell r="B322" t="str">
            <v>IIT Madras</v>
          </cell>
          <cell r="L322">
            <v>266825</v>
          </cell>
        </row>
        <row r="323">
          <cell r="A323" t="str">
            <v>Buildings</v>
          </cell>
          <cell r="B323" t="str">
            <v>IIT Madras</v>
          </cell>
          <cell r="L323">
            <v>266825</v>
          </cell>
        </row>
        <row r="324">
          <cell r="A324" t="str">
            <v>Buildings</v>
          </cell>
          <cell r="B324" t="str">
            <v>IIT Madras</v>
          </cell>
          <cell r="L324">
            <v>728269</v>
          </cell>
        </row>
        <row r="325">
          <cell r="A325" t="str">
            <v>Buildings</v>
          </cell>
          <cell r="B325" t="str">
            <v>IIT Madras</v>
          </cell>
          <cell r="L325">
            <v>728269</v>
          </cell>
        </row>
        <row r="326">
          <cell r="A326" t="str">
            <v>Buildings</v>
          </cell>
          <cell r="B326" t="str">
            <v>IIT Madras</v>
          </cell>
          <cell r="L326">
            <v>266825</v>
          </cell>
        </row>
        <row r="327">
          <cell r="A327" t="str">
            <v>Buildings</v>
          </cell>
          <cell r="B327" t="str">
            <v>IIT Madras</v>
          </cell>
          <cell r="L327">
            <v>266825</v>
          </cell>
        </row>
        <row r="328">
          <cell r="A328" t="str">
            <v>Buildings</v>
          </cell>
          <cell r="B328" t="str">
            <v>IIT Madras</v>
          </cell>
          <cell r="L328">
            <v>266825</v>
          </cell>
        </row>
        <row r="329">
          <cell r="A329" t="str">
            <v>Buildings</v>
          </cell>
          <cell r="B329" t="str">
            <v>IIT Madras</v>
          </cell>
          <cell r="L329">
            <v>266825</v>
          </cell>
        </row>
        <row r="330">
          <cell r="A330" t="str">
            <v>Buildings</v>
          </cell>
          <cell r="B330" t="str">
            <v>IIT Madras</v>
          </cell>
          <cell r="L330">
            <v>728269</v>
          </cell>
        </row>
        <row r="331">
          <cell r="A331" t="str">
            <v>Buildings</v>
          </cell>
          <cell r="B331" t="str">
            <v>IIT Madras</v>
          </cell>
          <cell r="L331">
            <v>266825</v>
          </cell>
        </row>
        <row r="332">
          <cell r="A332" t="str">
            <v>Buildings</v>
          </cell>
          <cell r="B332" t="str">
            <v>IIT Madras</v>
          </cell>
          <cell r="L332">
            <v>266825</v>
          </cell>
        </row>
        <row r="333">
          <cell r="A333" t="str">
            <v>Buildings</v>
          </cell>
          <cell r="B333" t="str">
            <v>IIT Madras</v>
          </cell>
          <cell r="L333">
            <v>184840</v>
          </cell>
        </row>
        <row r="334">
          <cell r="A334" t="str">
            <v>Buildings</v>
          </cell>
          <cell r="B334" t="str">
            <v>IIT Madras</v>
          </cell>
          <cell r="L334">
            <v>257325</v>
          </cell>
        </row>
        <row r="335">
          <cell r="A335" t="str">
            <v>Buildings</v>
          </cell>
          <cell r="B335" t="str">
            <v>IIT Madras</v>
          </cell>
          <cell r="L335">
            <v>266825</v>
          </cell>
        </row>
        <row r="336">
          <cell r="A336" t="str">
            <v>Buildings</v>
          </cell>
          <cell r="B336" t="str">
            <v>IIT Madras</v>
          </cell>
          <cell r="L336">
            <v>728269</v>
          </cell>
        </row>
        <row r="337">
          <cell r="A337" t="str">
            <v>Buildings</v>
          </cell>
          <cell r="B337" t="str">
            <v>IIT Madras</v>
          </cell>
          <cell r="L337">
            <v>728269</v>
          </cell>
        </row>
        <row r="338">
          <cell r="A338" t="str">
            <v>Buildings</v>
          </cell>
          <cell r="B338" t="str">
            <v>IIT Madras</v>
          </cell>
          <cell r="L338">
            <v>728269</v>
          </cell>
        </row>
        <row r="339">
          <cell r="A339" t="str">
            <v>Buildings</v>
          </cell>
          <cell r="B339" t="str">
            <v>IIT Madras</v>
          </cell>
          <cell r="L339">
            <v>103500</v>
          </cell>
        </row>
        <row r="340">
          <cell r="A340" t="str">
            <v>Buildings</v>
          </cell>
          <cell r="B340" t="str">
            <v>IIT Madras</v>
          </cell>
          <cell r="L340">
            <v>728269</v>
          </cell>
        </row>
        <row r="341">
          <cell r="A341" t="str">
            <v>Buildings</v>
          </cell>
          <cell r="B341" t="str">
            <v>IIT Madras</v>
          </cell>
          <cell r="L341">
            <v>728269</v>
          </cell>
        </row>
        <row r="342">
          <cell r="A342" t="str">
            <v>Buildings</v>
          </cell>
          <cell r="B342" t="str">
            <v>IIT Madras</v>
          </cell>
          <cell r="L342">
            <v>728269</v>
          </cell>
        </row>
        <row r="343">
          <cell r="A343" t="str">
            <v>Buildings</v>
          </cell>
          <cell r="B343" t="str">
            <v>IIT Madras</v>
          </cell>
          <cell r="L343">
            <v>728269</v>
          </cell>
        </row>
        <row r="344">
          <cell r="A344" t="str">
            <v>Buildings</v>
          </cell>
          <cell r="B344" t="str">
            <v>IIT Madras</v>
          </cell>
          <cell r="L344">
            <v>728269</v>
          </cell>
        </row>
        <row r="345">
          <cell r="A345" t="str">
            <v>Buildings</v>
          </cell>
          <cell r="B345" t="str">
            <v>IIT Madras</v>
          </cell>
          <cell r="L345">
            <v>454616</v>
          </cell>
        </row>
        <row r="346">
          <cell r="A346" t="str">
            <v>Buildings</v>
          </cell>
          <cell r="B346" t="str">
            <v>IIT Madras</v>
          </cell>
          <cell r="L346">
            <v>273652</v>
          </cell>
        </row>
        <row r="347">
          <cell r="A347" t="str">
            <v>Buildings</v>
          </cell>
          <cell r="B347" t="str">
            <v>IIT Madras</v>
          </cell>
          <cell r="L347">
            <v>728269</v>
          </cell>
        </row>
        <row r="348">
          <cell r="A348" t="str">
            <v>Buildings</v>
          </cell>
          <cell r="B348" t="str">
            <v>IIT Madras</v>
          </cell>
          <cell r="L348">
            <v>737096</v>
          </cell>
        </row>
        <row r="349">
          <cell r="A349" t="str">
            <v>Buildings</v>
          </cell>
          <cell r="B349" t="str">
            <v>IIT Madras</v>
          </cell>
          <cell r="L349">
            <v>737096</v>
          </cell>
        </row>
        <row r="350">
          <cell r="A350" t="str">
            <v>Buildings</v>
          </cell>
          <cell r="B350" t="str">
            <v>IIT Madras</v>
          </cell>
          <cell r="L350">
            <v>737096</v>
          </cell>
        </row>
        <row r="351">
          <cell r="A351" t="str">
            <v>Buildings</v>
          </cell>
          <cell r="B351" t="str">
            <v>IIT Madras</v>
          </cell>
          <cell r="L351">
            <v>737096</v>
          </cell>
        </row>
        <row r="352">
          <cell r="A352" t="str">
            <v>Buildings</v>
          </cell>
          <cell r="B352" t="str">
            <v>IIT Madras</v>
          </cell>
          <cell r="L352">
            <v>737096</v>
          </cell>
        </row>
        <row r="353">
          <cell r="A353" t="str">
            <v>Buildings</v>
          </cell>
          <cell r="B353" t="str">
            <v>IIT Madras</v>
          </cell>
          <cell r="L353">
            <v>737096</v>
          </cell>
        </row>
        <row r="354">
          <cell r="A354" t="str">
            <v>Buildings</v>
          </cell>
          <cell r="B354" t="str">
            <v>IIT Madras</v>
          </cell>
          <cell r="L354">
            <v>441375</v>
          </cell>
        </row>
        <row r="355">
          <cell r="A355" t="str">
            <v>Buildings</v>
          </cell>
          <cell r="B355" t="str">
            <v>IIT Madras</v>
          </cell>
          <cell r="L355">
            <v>737096</v>
          </cell>
        </row>
        <row r="356">
          <cell r="A356" t="str">
            <v>Buildings</v>
          </cell>
          <cell r="B356" t="str">
            <v>IIT Madras</v>
          </cell>
          <cell r="L356">
            <v>295721</v>
          </cell>
        </row>
        <row r="357">
          <cell r="A357" t="str">
            <v>Buildings</v>
          </cell>
          <cell r="B357" t="str">
            <v>IIT Madras</v>
          </cell>
          <cell r="L357">
            <v>543996</v>
          </cell>
        </row>
        <row r="358">
          <cell r="A358" t="str">
            <v>Buildings</v>
          </cell>
          <cell r="B358" t="str">
            <v>IIT Madras</v>
          </cell>
          <cell r="L358">
            <v>488496</v>
          </cell>
        </row>
        <row r="359">
          <cell r="A359" t="str">
            <v>Buildings</v>
          </cell>
          <cell r="B359" t="str">
            <v>IIT Madras</v>
          </cell>
          <cell r="L359">
            <v>737096</v>
          </cell>
        </row>
        <row r="360">
          <cell r="A360" t="str">
            <v>Buildings</v>
          </cell>
          <cell r="B360" t="str">
            <v>IIT Madras</v>
          </cell>
          <cell r="L360">
            <v>247500</v>
          </cell>
        </row>
        <row r="361">
          <cell r="A361" t="str">
            <v>Buildings</v>
          </cell>
          <cell r="B361" t="str">
            <v>Vedanta</v>
          </cell>
          <cell r="L361">
            <v>982800</v>
          </cell>
        </row>
        <row r="362">
          <cell r="A362" t="str">
            <v>Buildings</v>
          </cell>
          <cell r="B362" t="str">
            <v>Vedanta</v>
          </cell>
          <cell r="L362">
            <v>964985</v>
          </cell>
        </row>
        <row r="363">
          <cell r="A363" t="str">
            <v>Buildings</v>
          </cell>
          <cell r="B363" t="str">
            <v>Vedanta</v>
          </cell>
          <cell r="L363">
            <v>980999</v>
          </cell>
        </row>
        <row r="364">
          <cell r="A364" t="str">
            <v>Buildings</v>
          </cell>
          <cell r="B364" t="str">
            <v>Vedanta</v>
          </cell>
          <cell r="L364">
            <v>985500</v>
          </cell>
        </row>
        <row r="365">
          <cell r="A365" t="str">
            <v>Buildings</v>
          </cell>
          <cell r="B365" t="str">
            <v>Vedanta</v>
          </cell>
          <cell r="L365">
            <v>996650</v>
          </cell>
        </row>
        <row r="366">
          <cell r="A366" t="str">
            <v>Buildings</v>
          </cell>
          <cell r="B366" t="str">
            <v>Vedanta</v>
          </cell>
          <cell r="L366">
            <v>1132900</v>
          </cell>
        </row>
        <row r="367">
          <cell r="A367" t="str">
            <v>Buildings</v>
          </cell>
          <cell r="B367" t="str">
            <v>Vedanta</v>
          </cell>
          <cell r="L367">
            <v>369500</v>
          </cell>
        </row>
        <row r="368">
          <cell r="A368" t="str">
            <v>Buildings</v>
          </cell>
          <cell r="B368" t="str">
            <v>Vedanta</v>
          </cell>
          <cell r="L368">
            <v>1022000</v>
          </cell>
        </row>
        <row r="369">
          <cell r="A369" t="str">
            <v>Buildings</v>
          </cell>
          <cell r="B369" t="str">
            <v>Vedanta</v>
          </cell>
          <cell r="L369">
            <v>960000</v>
          </cell>
        </row>
        <row r="370">
          <cell r="A370" t="str">
            <v>Buildings</v>
          </cell>
          <cell r="B370" t="str">
            <v>Vedanta</v>
          </cell>
          <cell r="L370">
            <v>965250</v>
          </cell>
        </row>
        <row r="371">
          <cell r="A371" t="str">
            <v>Buildings</v>
          </cell>
          <cell r="B371" t="str">
            <v>Vedanta</v>
          </cell>
          <cell r="L371">
            <v>965250</v>
          </cell>
        </row>
        <row r="372">
          <cell r="A372" t="str">
            <v>Buildings</v>
          </cell>
          <cell r="B372" t="str">
            <v>Vedanta</v>
          </cell>
          <cell r="L372">
            <v>1050948</v>
          </cell>
        </row>
        <row r="373">
          <cell r="A373" t="str">
            <v>Buildings</v>
          </cell>
          <cell r="B373" t="str">
            <v>Vedanta</v>
          </cell>
          <cell r="L373">
            <v>1544050</v>
          </cell>
        </row>
        <row r="374">
          <cell r="A374" t="str">
            <v>Buildings</v>
          </cell>
          <cell r="B374" t="str">
            <v>Vedanta</v>
          </cell>
          <cell r="L374">
            <v>899835</v>
          </cell>
        </row>
        <row r="375">
          <cell r="A375" t="str">
            <v>Buildings</v>
          </cell>
          <cell r="B375" t="str">
            <v>Vedanta</v>
          </cell>
          <cell r="L375">
            <v>946271</v>
          </cell>
        </row>
        <row r="376">
          <cell r="A376" t="str">
            <v>Buildings</v>
          </cell>
          <cell r="B376" t="str">
            <v>Vedanta</v>
          </cell>
          <cell r="L376">
            <v>1229259</v>
          </cell>
        </row>
        <row r="377">
          <cell r="A377" t="str">
            <v>Buildings</v>
          </cell>
          <cell r="B377" t="str">
            <v>Vedanta</v>
          </cell>
          <cell r="L377">
            <v>1213019</v>
          </cell>
        </row>
        <row r="378">
          <cell r="A378" t="str">
            <v>Buildings</v>
          </cell>
          <cell r="B378" t="str">
            <v>Vedanta</v>
          </cell>
          <cell r="L378">
            <v>1509911</v>
          </cell>
        </row>
        <row r="379">
          <cell r="A379" t="str">
            <v>Buildings</v>
          </cell>
          <cell r="B379" t="str">
            <v>Jammu</v>
          </cell>
          <cell r="L379">
            <v>345001</v>
          </cell>
        </row>
        <row r="380">
          <cell r="A380" t="str">
            <v>Buildings</v>
          </cell>
          <cell r="B380" t="str">
            <v>Jammu</v>
          </cell>
          <cell r="L380">
            <v>493752</v>
          </cell>
        </row>
        <row r="381">
          <cell r="A381" t="str">
            <v>Buildings</v>
          </cell>
          <cell r="B381" t="str">
            <v>Jammu</v>
          </cell>
          <cell r="L381">
            <v>741752</v>
          </cell>
        </row>
        <row r="382">
          <cell r="A382" t="str">
            <v>Buildings</v>
          </cell>
          <cell r="B382" t="str">
            <v>Jammu</v>
          </cell>
          <cell r="L382">
            <v>493752</v>
          </cell>
        </row>
        <row r="383">
          <cell r="A383" t="str">
            <v>Buildings</v>
          </cell>
          <cell r="B383" t="str">
            <v>Jammu</v>
          </cell>
          <cell r="L383">
            <v>798525</v>
          </cell>
        </row>
        <row r="384">
          <cell r="A384" t="str">
            <v>Buildings</v>
          </cell>
          <cell r="B384" t="str">
            <v>Jammu</v>
          </cell>
          <cell r="L384">
            <v>798525</v>
          </cell>
        </row>
        <row r="385">
          <cell r="A385" t="str">
            <v>Buildings</v>
          </cell>
          <cell r="B385" t="str">
            <v>Jammu</v>
          </cell>
          <cell r="L385">
            <v>798525</v>
          </cell>
        </row>
        <row r="386">
          <cell r="A386" t="str">
            <v>Buildings</v>
          </cell>
          <cell r="B386" t="str">
            <v>Jammu</v>
          </cell>
          <cell r="L386">
            <v>798525</v>
          </cell>
        </row>
        <row r="387">
          <cell r="A387" t="str">
            <v>Buildings</v>
          </cell>
          <cell r="B387" t="str">
            <v>Jammu</v>
          </cell>
          <cell r="L387">
            <v>763142</v>
          </cell>
        </row>
        <row r="388">
          <cell r="A388" t="str">
            <v>Buildings</v>
          </cell>
          <cell r="B388" t="str">
            <v>Jammu</v>
          </cell>
          <cell r="L388">
            <v>1597050</v>
          </cell>
        </row>
        <row r="389">
          <cell r="A389" t="str">
            <v>Buildings</v>
          </cell>
          <cell r="B389" t="str">
            <v>Jammu</v>
          </cell>
          <cell r="L389">
            <v>798525</v>
          </cell>
        </row>
        <row r="390">
          <cell r="A390" t="str">
            <v>Buildings</v>
          </cell>
          <cell r="B390" t="str">
            <v>Jammu</v>
          </cell>
          <cell r="L390">
            <v>405300</v>
          </cell>
        </row>
        <row r="391">
          <cell r="A391" t="str">
            <v>Buildings</v>
          </cell>
          <cell r="B391" t="str">
            <v>Jammu</v>
          </cell>
          <cell r="L391">
            <v>798525</v>
          </cell>
        </row>
        <row r="392">
          <cell r="A392" t="str">
            <v>Buildings</v>
          </cell>
          <cell r="B392" t="str">
            <v>Jammu</v>
          </cell>
          <cell r="L392">
            <v>798525</v>
          </cell>
        </row>
        <row r="393">
          <cell r="A393" t="str">
            <v>Buildings</v>
          </cell>
          <cell r="B393" t="str">
            <v>Jammu</v>
          </cell>
          <cell r="L393">
            <v>798525</v>
          </cell>
        </row>
        <row r="394">
          <cell r="A394" t="str">
            <v>Buildings</v>
          </cell>
          <cell r="B394" t="str">
            <v>Jammu</v>
          </cell>
          <cell r="L394">
            <v>798525</v>
          </cell>
        </row>
        <row r="395">
          <cell r="A395" t="str">
            <v>Buildings</v>
          </cell>
          <cell r="B395" t="str">
            <v>Jammu</v>
          </cell>
          <cell r="L395">
            <v>798525</v>
          </cell>
        </row>
        <row r="396">
          <cell r="A396" t="str">
            <v>Buildings</v>
          </cell>
          <cell r="B396" t="str">
            <v>Jammu</v>
          </cell>
          <cell r="L396">
            <v>798525</v>
          </cell>
        </row>
        <row r="397">
          <cell r="A397" t="str">
            <v>Buildings</v>
          </cell>
          <cell r="B397" t="str">
            <v>Jammu</v>
          </cell>
          <cell r="L397">
            <v>798525</v>
          </cell>
        </row>
        <row r="398">
          <cell r="A398" t="str">
            <v>Buildings</v>
          </cell>
          <cell r="B398" t="str">
            <v>Jammu</v>
          </cell>
          <cell r="L398">
            <v>798525</v>
          </cell>
        </row>
        <row r="399">
          <cell r="A399" t="str">
            <v>Buildings</v>
          </cell>
          <cell r="B399" t="str">
            <v>Jammu</v>
          </cell>
          <cell r="L399">
            <v>798525</v>
          </cell>
        </row>
        <row r="400">
          <cell r="A400" t="str">
            <v>Buildings</v>
          </cell>
          <cell r="B400" t="str">
            <v>Jammu</v>
          </cell>
          <cell r="L400">
            <v>759002</v>
          </cell>
        </row>
        <row r="401">
          <cell r="A401" t="str">
            <v>Buildings</v>
          </cell>
          <cell r="B401" t="str">
            <v>Jammu</v>
          </cell>
          <cell r="L401">
            <v>798525</v>
          </cell>
        </row>
        <row r="402">
          <cell r="A402" t="str">
            <v>Buildings</v>
          </cell>
          <cell r="B402" t="str">
            <v>Jammu</v>
          </cell>
          <cell r="L402">
            <v>798525</v>
          </cell>
        </row>
        <row r="403">
          <cell r="A403" t="str">
            <v>Buildings</v>
          </cell>
          <cell r="B403" t="str">
            <v>Jammu</v>
          </cell>
          <cell r="L403">
            <v>798525</v>
          </cell>
        </row>
        <row r="404">
          <cell r="A404" t="str">
            <v>Buildings</v>
          </cell>
          <cell r="B404" t="str">
            <v>Jammu</v>
          </cell>
          <cell r="L404">
            <v>798525</v>
          </cell>
        </row>
        <row r="405">
          <cell r="A405" t="str">
            <v>Buildings</v>
          </cell>
          <cell r="B405" t="str">
            <v>Jammu</v>
          </cell>
          <cell r="L405">
            <v>798525</v>
          </cell>
        </row>
        <row r="406">
          <cell r="A406" t="str">
            <v>Buildings</v>
          </cell>
          <cell r="B406" t="str">
            <v>Jammu</v>
          </cell>
          <cell r="L406">
            <v>798525</v>
          </cell>
        </row>
        <row r="407">
          <cell r="A407" t="str">
            <v>Buildings</v>
          </cell>
          <cell r="B407" t="str">
            <v>Jammu</v>
          </cell>
          <cell r="L407">
            <v>803250</v>
          </cell>
        </row>
        <row r="408">
          <cell r="A408" t="str">
            <v>Buildings</v>
          </cell>
          <cell r="B408" t="str">
            <v>Jammu</v>
          </cell>
          <cell r="L408">
            <v>803250</v>
          </cell>
        </row>
        <row r="409">
          <cell r="A409" t="str">
            <v>Buildings</v>
          </cell>
          <cell r="B409" t="str">
            <v>Jammu</v>
          </cell>
          <cell r="L409">
            <v>807975</v>
          </cell>
        </row>
        <row r="410">
          <cell r="A410" t="str">
            <v>Buildings</v>
          </cell>
          <cell r="B410" t="str">
            <v>Jammu</v>
          </cell>
          <cell r="L410">
            <v>807975</v>
          </cell>
        </row>
        <row r="411">
          <cell r="A411" t="str">
            <v>Buildings</v>
          </cell>
          <cell r="B411" t="str">
            <v>Jammu</v>
          </cell>
          <cell r="L411">
            <v>364055</v>
          </cell>
        </row>
        <row r="412">
          <cell r="A412" t="str">
            <v>Buildings</v>
          </cell>
          <cell r="B412" t="str">
            <v>Jammu</v>
          </cell>
          <cell r="L412">
            <v>426408</v>
          </cell>
        </row>
        <row r="413">
          <cell r="A413" t="str">
            <v>Buildings</v>
          </cell>
          <cell r="B413" t="str">
            <v>Jammu</v>
          </cell>
          <cell r="L413">
            <v>423097</v>
          </cell>
        </row>
        <row r="414">
          <cell r="A414" t="str">
            <v>Buildings</v>
          </cell>
          <cell r="B414" t="str">
            <v>Suryapet</v>
          </cell>
          <cell r="L414">
            <v>124875</v>
          </cell>
        </row>
        <row r="415">
          <cell r="A415" t="str">
            <v>Buildings</v>
          </cell>
          <cell r="B415" t="str">
            <v>SEZ</v>
          </cell>
          <cell r="L415">
            <v>911250</v>
          </cell>
        </row>
        <row r="416">
          <cell r="A416" t="str">
            <v>Buildings</v>
          </cell>
          <cell r="B416" t="str">
            <v>SEZ</v>
          </cell>
          <cell r="L416">
            <v>920180</v>
          </cell>
        </row>
        <row r="417">
          <cell r="A417" t="str">
            <v>Buildings</v>
          </cell>
          <cell r="B417" t="str">
            <v>SEZ</v>
          </cell>
          <cell r="L417">
            <v>1065650</v>
          </cell>
        </row>
        <row r="418">
          <cell r="A418" t="str">
            <v>Buildings</v>
          </cell>
          <cell r="B418" t="str">
            <v>SEZ</v>
          </cell>
          <cell r="L418">
            <v>874250</v>
          </cell>
        </row>
        <row r="419">
          <cell r="A419" t="str">
            <v>Buildings</v>
          </cell>
          <cell r="B419" t="str">
            <v>SEZ</v>
          </cell>
          <cell r="L419">
            <v>1032775</v>
          </cell>
        </row>
        <row r="420">
          <cell r="A420" t="str">
            <v>Buildings</v>
          </cell>
          <cell r="B420" t="str">
            <v>SEZ</v>
          </cell>
          <cell r="L420">
            <v>457675</v>
          </cell>
        </row>
        <row r="421">
          <cell r="A421" t="str">
            <v>Buildings</v>
          </cell>
          <cell r="B421" t="str">
            <v>SEZ</v>
          </cell>
          <cell r="L421">
            <v>814820</v>
          </cell>
        </row>
        <row r="422">
          <cell r="A422" t="str">
            <v>Buildings</v>
          </cell>
          <cell r="B422" t="str">
            <v>SEZ</v>
          </cell>
          <cell r="L422">
            <v>773815</v>
          </cell>
        </row>
        <row r="423">
          <cell r="A423" t="str">
            <v>Buildings</v>
          </cell>
          <cell r="B423" t="str">
            <v>SEZ</v>
          </cell>
          <cell r="L423">
            <v>712968</v>
          </cell>
        </row>
        <row r="424">
          <cell r="A424" t="str">
            <v>Buildings</v>
          </cell>
          <cell r="B424" t="str">
            <v>SEZ</v>
          </cell>
          <cell r="L424">
            <v>101640</v>
          </cell>
        </row>
        <row r="425">
          <cell r="A425" t="str">
            <v>Buildings</v>
          </cell>
          <cell r="B425" t="str">
            <v>SEZ</v>
          </cell>
          <cell r="L425">
            <v>857895</v>
          </cell>
        </row>
        <row r="426">
          <cell r="A426" t="str">
            <v>Buildings</v>
          </cell>
          <cell r="B426" t="str">
            <v>SEZ</v>
          </cell>
          <cell r="L426">
            <v>906400</v>
          </cell>
        </row>
        <row r="427">
          <cell r="A427" t="str">
            <v>Buildings</v>
          </cell>
          <cell r="B427" t="str">
            <v>SEZ</v>
          </cell>
          <cell r="L427">
            <v>518100</v>
          </cell>
        </row>
        <row r="428">
          <cell r="A428" t="str">
            <v>Buildings</v>
          </cell>
          <cell r="B428" t="str">
            <v>SEZ</v>
          </cell>
          <cell r="L428">
            <v>779675</v>
          </cell>
        </row>
        <row r="429">
          <cell r="A429" t="str">
            <v>Buildings</v>
          </cell>
          <cell r="B429" t="str">
            <v>SEZ</v>
          </cell>
          <cell r="L429">
            <v>1407058</v>
          </cell>
        </row>
        <row r="430">
          <cell r="A430" t="str">
            <v>Buildings</v>
          </cell>
          <cell r="B430" t="str">
            <v>SEZ</v>
          </cell>
          <cell r="L430">
            <v>1041818</v>
          </cell>
        </row>
        <row r="431">
          <cell r="A431" t="str">
            <v>Buildings</v>
          </cell>
          <cell r="B431" t="str">
            <v>SEZ</v>
          </cell>
          <cell r="L431">
            <v>639401</v>
          </cell>
        </row>
        <row r="432">
          <cell r="A432" t="str">
            <v>Buildings</v>
          </cell>
          <cell r="B432" t="str">
            <v>SEZ</v>
          </cell>
          <cell r="L432">
            <v>385321</v>
          </cell>
        </row>
        <row r="433">
          <cell r="A433" t="str">
            <v>Buildings</v>
          </cell>
          <cell r="B433" t="str">
            <v>SEZ</v>
          </cell>
          <cell r="L433">
            <v>761516</v>
          </cell>
        </row>
        <row r="434">
          <cell r="A434" t="str">
            <v>Buildings</v>
          </cell>
          <cell r="B434" t="str">
            <v>SEZ</v>
          </cell>
          <cell r="L434">
            <v>452372</v>
          </cell>
        </row>
        <row r="435">
          <cell r="A435" t="str">
            <v>Buildings</v>
          </cell>
          <cell r="B435" t="str">
            <v>Lucknow Mall</v>
          </cell>
          <cell r="L435">
            <v>214318</v>
          </cell>
        </row>
        <row r="436">
          <cell r="A436" t="str">
            <v>Buildings</v>
          </cell>
          <cell r="B436" t="str">
            <v>Lucknow Mall</v>
          </cell>
          <cell r="L436">
            <v>491008</v>
          </cell>
        </row>
        <row r="437">
          <cell r="A437" t="str">
            <v>Buildings</v>
          </cell>
          <cell r="B437" t="str">
            <v>Lucknow Mall</v>
          </cell>
          <cell r="L437">
            <v>586226</v>
          </cell>
        </row>
        <row r="438">
          <cell r="A438" t="str">
            <v>Buildings</v>
          </cell>
          <cell r="B438" t="str">
            <v>Lucknow Mall</v>
          </cell>
          <cell r="L438">
            <v>495525</v>
          </cell>
        </row>
        <row r="439">
          <cell r="A439" t="str">
            <v>Buildings</v>
          </cell>
          <cell r="B439" t="str">
            <v>Lucknow Mall</v>
          </cell>
          <cell r="L439">
            <v>659810</v>
          </cell>
        </row>
        <row r="440">
          <cell r="A440" t="str">
            <v>Irrigation</v>
          </cell>
          <cell r="B440" t="str">
            <v>GNSS</v>
          </cell>
          <cell r="L440">
            <v>2073264</v>
          </cell>
        </row>
        <row r="441">
          <cell r="A441" t="str">
            <v>Irrigation</v>
          </cell>
          <cell r="B441" t="str">
            <v>GNSS</v>
          </cell>
          <cell r="L441">
            <v>9943220.6799999997</v>
          </cell>
        </row>
        <row r="442">
          <cell r="A442" t="str">
            <v>Irrigation</v>
          </cell>
          <cell r="B442" t="str">
            <v>GNSS</v>
          </cell>
          <cell r="L442">
            <v>83200</v>
          </cell>
        </row>
        <row r="443">
          <cell r="A443" t="str">
            <v>Irrigation</v>
          </cell>
          <cell r="B443" t="str">
            <v>GNSS</v>
          </cell>
          <cell r="L443">
            <v>295312.5</v>
          </cell>
        </row>
        <row r="444">
          <cell r="A444" t="str">
            <v>Irrigation</v>
          </cell>
          <cell r="B444" t="str">
            <v>GNSS</v>
          </cell>
          <cell r="L444">
            <v>940500</v>
          </cell>
        </row>
        <row r="445">
          <cell r="A445" t="str">
            <v>Irrigation</v>
          </cell>
          <cell r="B445" t="str">
            <v>GNSS</v>
          </cell>
          <cell r="L445">
            <v>320625</v>
          </cell>
        </row>
        <row r="446">
          <cell r="A446" t="str">
            <v>Irrigation</v>
          </cell>
          <cell r="B446" t="str">
            <v>Bhupatipalem</v>
          </cell>
          <cell r="L446">
            <v>734055</v>
          </cell>
        </row>
        <row r="447">
          <cell r="A447" t="str">
            <v>Irrigation</v>
          </cell>
          <cell r="B447" t="str">
            <v>Bhupatipalem</v>
          </cell>
          <cell r="L447">
            <v>515351</v>
          </cell>
        </row>
        <row r="448">
          <cell r="A448" t="str">
            <v>Irrigation</v>
          </cell>
          <cell r="B448" t="str">
            <v>Bhupatipalem</v>
          </cell>
          <cell r="L448">
            <v>672673</v>
          </cell>
        </row>
        <row r="449">
          <cell r="A449" t="str">
            <v>Irrigation</v>
          </cell>
          <cell r="B449" t="str">
            <v>Lingala</v>
          </cell>
          <cell r="L449">
            <v>525069</v>
          </cell>
        </row>
        <row r="450">
          <cell r="A450" t="str">
            <v>Irrigation</v>
          </cell>
          <cell r="B450" t="str">
            <v>Lingala</v>
          </cell>
          <cell r="L450">
            <v>808000</v>
          </cell>
        </row>
        <row r="451">
          <cell r="A451" t="str">
            <v>Irrigation</v>
          </cell>
          <cell r="B451" t="str">
            <v>Lingala</v>
          </cell>
          <cell r="L451">
            <v>797900</v>
          </cell>
        </row>
        <row r="452">
          <cell r="A452" t="str">
            <v>Irrigation</v>
          </cell>
          <cell r="B452" t="str">
            <v>Lingala</v>
          </cell>
          <cell r="L452">
            <v>682000</v>
          </cell>
        </row>
        <row r="453">
          <cell r="A453" t="str">
            <v>Irrigation</v>
          </cell>
          <cell r="B453" t="str">
            <v>Lingala</v>
          </cell>
          <cell r="L453">
            <v>418000</v>
          </cell>
        </row>
        <row r="454">
          <cell r="A454" t="str">
            <v>Irrigation</v>
          </cell>
          <cell r="B454" t="str">
            <v>Lingala</v>
          </cell>
          <cell r="L454">
            <v>505000</v>
          </cell>
        </row>
        <row r="455">
          <cell r="A455" t="str">
            <v>Irrigation</v>
          </cell>
          <cell r="B455" t="str">
            <v>Lingala</v>
          </cell>
          <cell r="L455">
            <v>616100</v>
          </cell>
        </row>
        <row r="456">
          <cell r="A456" t="str">
            <v>Irrigation</v>
          </cell>
          <cell r="B456" t="str">
            <v>Lingala</v>
          </cell>
          <cell r="L456">
            <v>826000</v>
          </cell>
        </row>
        <row r="457">
          <cell r="A457" t="str">
            <v>Irrigation</v>
          </cell>
          <cell r="B457" t="str">
            <v>Lingala</v>
          </cell>
          <cell r="L457">
            <v>202125</v>
          </cell>
        </row>
        <row r="458">
          <cell r="A458" t="str">
            <v>Irrigation</v>
          </cell>
          <cell r="B458" t="str">
            <v>Lingala</v>
          </cell>
          <cell r="L458">
            <v>1085400</v>
          </cell>
        </row>
        <row r="459">
          <cell r="A459" t="str">
            <v>Irrigation</v>
          </cell>
          <cell r="B459" t="str">
            <v>Lingala</v>
          </cell>
          <cell r="L459">
            <v>1085400</v>
          </cell>
        </row>
        <row r="460">
          <cell r="A460" t="str">
            <v>Buildings</v>
          </cell>
          <cell r="B460" t="str">
            <v>DGMAP Lucknow</v>
          </cell>
          <cell r="L460">
            <v>273922</v>
          </cell>
        </row>
        <row r="461">
          <cell r="A461" t="str">
            <v>Buildings</v>
          </cell>
          <cell r="B461" t="str">
            <v>DGMAP Lucknow</v>
          </cell>
          <cell r="L461">
            <v>147950</v>
          </cell>
        </row>
        <row r="462">
          <cell r="A462" t="str">
            <v>Buildings</v>
          </cell>
          <cell r="B462" t="str">
            <v>DGMAP Lucknow</v>
          </cell>
          <cell r="L462">
            <v>161400</v>
          </cell>
        </row>
        <row r="463">
          <cell r="A463" t="str">
            <v>Buildings</v>
          </cell>
          <cell r="B463" t="str">
            <v>DGMAP Lucknow</v>
          </cell>
          <cell r="L463">
            <v>161400</v>
          </cell>
        </row>
        <row r="464">
          <cell r="A464" t="str">
            <v>Buildings</v>
          </cell>
          <cell r="B464" t="str">
            <v>DGMAP Lucknow</v>
          </cell>
          <cell r="L464">
            <v>160728</v>
          </cell>
        </row>
        <row r="465">
          <cell r="A465" t="str">
            <v>Buildings</v>
          </cell>
          <cell r="B465" t="str">
            <v>DGMAP Lucknow</v>
          </cell>
          <cell r="L465">
            <v>159719</v>
          </cell>
        </row>
        <row r="466">
          <cell r="A466" t="str">
            <v>Buildings</v>
          </cell>
          <cell r="B466" t="str">
            <v>DGMAP Lucknow</v>
          </cell>
          <cell r="L466">
            <v>105920</v>
          </cell>
        </row>
        <row r="467">
          <cell r="A467" t="str">
            <v>Buildings</v>
          </cell>
          <cell r="B467" t="str">
            <v>DGMAP Lucknow</v>
          </cell>
          <cell r="L467">
            <v>136180</v>
          </cell>
        </row>
        <row r="468">
          <cell r="A468" t="str">
            <v>Buildings</v>
          </cell>
          <cell r="B468" t="str">
            <v>DGMAP Lucknow</v>
          </cell>
          <cell r="L468">
            <v>641640</v>
          </cell>
        </row>
        <row r="469">
          <cell r="A469" t="str">
            <v>Buildings</v>
          </cell>
          <cell r="B469" t="str">
            <v>DGMAP Lucknow</v>
          </cell>
          <cell r="L469">
            <v>392154</v>
          </cell>
        </row>
        <row r="470">
          <cell r="A470" t="str">
            <v>Buildings</v>
          </cell>
          <cell r="B470" t="str">
            <v>DGMAP Lucknow</v>
          </cell>
          <cell r="L470">
            <v>392154</v>
          </cell>
        </row>
        <row r="471">
          <cell r="A471" t="str">
            <v>Buildings</v>
          </cell>
          <cell r="B471" t="str">
            <v>DGMAP Lucknow</v>
          </cell>
          <cell r="L471">
            <v>396933</v>
          </cell>
        </row>
        <row r="472">
          <cell r="A472" t="str">
            <v>Buildings</v>
          </cell>
          <cell r="B472" t="str">
            <v>DGMAP Lucknow</v>
          </cell>
          <cell r="L472">
            <v>393669</v>
          </cell>
        </row>
        <row r="473">
          <cell r="A473" t="str">
            <v>Buildings</v>
          </cell>
          <cell r="B473" t="str">
            <v>DGMAP Lucknow</v>
          </cell>
          <cell r="L473">
            <v>390981</v>
          </cell>
        </row>
        <row r="474">
          <cell r="A474" t="str">
            <v>Buildings</v>
          </cell>
          <cell r="B474" t="str">
            <v>DGMAP Lucknow</v>
          </cell>
          <cell r="L474">
            <v>390981</v>
          </cell>
        </row>
        <row r="475">
          <cell r="A475" t="str">
            <v>Buildings</v>
          </cell>
          <cell r="B475" t="str">
            <v>DGMAP Lucknow</v>
          </cell>
          <cell r="L475">
            <v>660920</v>
          </cell>
        </row>
        <row r="476">
          <cell r="A476" t="str">
            <v>Buildings</v>
          </cell>
          <cell r="B476" t="str">
            <v>DGMAP Lucknow</v>
          </cell>
          <cell r="L476">
            <v>388490</v>
          </cell>
        </row>
        <row r="477">
          <cell r="A477" t="str">
            <v>Buildings</v>
          </cell>
          <cell r="B477" t="str">
            <v>DGMAP Lucknow</v>
          </cell>
          <cell r="L477">
            <v>663913</v>
          </cell>
        </row>
        <row r="478">
          <cell r="A478" t="str">
            <v>Buildings</v>
          </cell>
          <cell r="B478" t="str">
            <v>DGMAP Lucknow</v>
          </cell>
          <cell r="L478">
            <v>391776</v>
          </cell>
        </row>
        <row r="479">
          <cell r="A479" t="str">
            <v>Buildings</v>
          </cell>
          <cell r="B479" t="str">
            <v>DGMAP Lucknow</v>
          </cell>
          <cell r="L479">
            <v>388490</v>
          </cell>
        </row>
        <row r="480">
          <cell r="A480" t="str">
            <v>Buildings</v>
          </cell>
          <cell r="B480" t="str">
            <v>DGMAP Lucknow</v>
          </cell>
          <cell r="L480">
            <v>669935</v>
          </cell>
        </row>
        <row r="481">
          <cell r="A481" t="str">
            <v>Buildings</v>
          </cell>
          <cell r="B481" t="str">
            <v>DGMAP Lucknow</v>
          </cell>
          <cell r="L481">
            <v>389694</v>
          </cell>
        </row>
        <row r="482">
          <cell r="A482" t="str">
            <v>Buildings</v>
          </cell>
          <cell r="B482" t="str">
            <v>DGMAP Lucknow</v>
          </cell>
          <cell r="L482">
            <v>388490</v>
          </cell>
        </row>
        <row r="483">
          <cell r="A483" t="str">
            <v>Buildings</v>
          </cell>
          <cell r="B483" t="str">
            <v>DGMAP Lucknow</v>
          </cell>
          <cell r="L483">
            <v>388490</v>
          </cell>
        </row>
        <row r="484">
          <cell r="A484" t="str">
            <v>Buildings</v>
          </cell>
          <cell r="B484" t="str">
            <v>DGMAP Lucknow</v>
          </cell>
          <cell r="L484">
            <v>396933</v>
          </cell>
        </row>
        <row r="485">
          <cell r="A485" t="str">
            <v>Buildings</v>
          </cell>
          <cell r="B485" t="str">
            <v>DGMAP Lucknow</v>
          </cell>
          <cell r="L485">
            <v>390874</v>
          </cell>
        </row>
        <row r="486">
          <cell r="A486" t="str">
            <v>Buildings</v>
          </cell>
          <cell r="B486" t="str">
            <v>DGMAP Lucknow</v>
          </cell>
          <cell r="L486">
            <v>390981</v>
          </cell>
        </row>
        <row r="487">
          <cell r="A487" t="str">
            <v>Buildings</v>
          </cell>
          <cell r="B487" t="str">
            <v>DGMAP Lucknow</v>
          </cell>
          <cell r="L487">
            <v>390981</v>
          </cell>
        </row>
        <row r="488">
          <cell r="A488" t="str">
            <v>Buildings</v>
          </cell>
          <cell r="B488" t="str">
            <v>DGMAP Lucknow</v>
          </cell>
          <cell r="L488">
            <v>392436</v>
          </cell>
        </row>
        <row r="489">
          <cell r="A489" t="str">
            <v>Buildings</v>
          </cell>
          <cell r="B489" t="str">
            <v>DGMAP Lucknow</v>
          </cell>
          <cell r="L489">
            <v>405232</v>
          </cell>
        </row>
        <row r="490">
          <cell r="A490" t="str">
            <v>Buildings</v>
          </cell>
          <cell r="B490" t="str">
            <v>DGMAP Lucknow</v>
          </cell>
          <cell r="L490">
            <v>685341</v>
          </cell>
        </row>
        <row r="491">
          <cell r="A491" t="str">
            <v>Buildings</v>
          </cell>
          <cell r="B491" t="str">
            <v>DGMAP Lucknow</v>
          </cell>
          <cell r="L491">
            <v>685341</v>
          </cell>
        </row>
        <row r="492">
          <cell r="A492" t="str">
            <v>Buildings</v>
          </cell>
          <cell r="B492" t="str">
            <v>DGMAP Lucknow</v>
          </cell>
          <cell r="L492">
            <v>651074</v>
          </cell>
        </row>
        <row r="493">
          <cell r="A493" t="str">
            <v>Buildings</v>
          </cell>
          <cell r="B493" t="str">
            <v>DGMAP Lucknow</v>
          </cell>
          <cell r="L493">
            <v>651074</v>
          </cell>
        </row>
        <row r="494">
          <cell r="A494" t="str">
            <v>Buildings</v>
          </cell>
          <cell r="B494" t="str">
            <v>DGMAP Lucknow</v>
          </cell>
          <cell r="L494">
            <v>646278</v>
          </cell>
        </row>
        <row r="495">
          <cell r="A495" t="str">
            <v>Irrigation</v>
          </cell>
          <cell r="B495" t="str">
            <v>KP Dams</v>
          </cell>
          <cell r="L495">
            <v>770991</v>
          </cell>
        </row>
        <row r="496">
          <cell r="A496" t="str">
            <v>Irrigation</v>
          </cell>
          <cell r="B496" t="str">
            <v>KP Dams</v>
          </cell>
          <cell r="L496">
            <v>505402</v>
          </cell>
        </row>
        <row r="497">
          <cell r="A497" t="str">
            <v>Irrigation</v>
          </cell>
          <cell r="B497" t="str">
            <v>KP Dams</v>
          </cell>
          <cell r="L497">
            <v>516569</v>
          </cell>
        </row>
        <row r="498">
          <cell r="A498" t="str">
            <v>Irrigation</v>
          </cell>
          <cell r="B498" t="str">
            <v>KP Dams</v>
          </cell>
          <cell r="L498">
            <v>930000</v>
          </cell>
        </row>
        <row r="499">
          <cell r="A499" t="str">
            <v>Irrigation</v>
          </cell>
          <cell r="B499" t="str">
            <v>KP Dams</v>
          </cell>
          <cell r="L499">
            <v>315500</v>
          </cell>
        </row>
        <row r="500">
          <cell r="A500" t="str">
            <v>Power</v>
          </cell>
          <cell r="B500" t="str">
            <v>NCL</v>
          </cell>
          <cell r="L500">
            <v>1114070</v>
          </cell>
        </row>
        <row r="501">
          <cell r="A501" t="str">
            <v>Power</v>
          </cell>
          <cell r="B501" t="str">
            <v>NCL</v>
          </cell>
          <cell r="L501">
            <v>435983</v>
          </cell>
        </row>
        <row r="502">
          <cell r="A502" t="str">
            <v>Power</v>
          </cell>
          <cell r="B502" t="str">
            <v>NCL</v>
          </cell>
          <cell r="L502">
            <v>570445</v>
          </cell>
        </row>
        <row r="503">
          <cell r="A503" t="str">
            <v>Power</v>
          </cell>
          <cell r="B503" t="str">
            <v>NCL</v>
          </cell>
          <cell r="L503">
            <v>307917</v>
          </cell>
        </row>
        <row r="504">
          <cell r="A504" t="str">
            <v>Power</v>
          </cell>
          <cell r="B504" t="str">
            <v>NCL</v>
          </cell>
          <cell r="L504">
            <v>657768</v>
          </cell>
        </row>
        <row r="505">
          <cell r="A505" t="str">
            <v>Power</v>
          </cell>
          <cell r="B505" t="str">
            <v>NCL</v>
          </cell>
          <cell r="L505">
            <v>483680</v>
          </cell>
        </row>
        <row r="506">
          <cell r="A506" t="str">
            <v>Power</v>
          </cell>
          <cell r="B506" t="str">
            <v>NCL</v>
          </cell>
          <cell r="L506">
            <v>1030500</v>
          </cell>
        </row>
        <row r="507">
          <cell r="A507" t="str">
            <v>Power</v>
          </cell>
          <cell r="B507" t="str">
            <v>NCL</v>
          </cell>
          <cell r="L507">
            <v>409566</v>
          </cell>
        </row>
        <row r="508">
          <cell r="A508" t="str">
            <v>Power</v>
          </cell>
          <cell r="B508" t="str">
            <v>NCL</v>
          </cell>
          <cell r="L508">
            <v>811500</v>
          </cell>
        </row>
        <row r="509">
          <cell r="A509" t="str">
            <v>Power</v>
          </cell>
          <cell r="B509" t="str">
            <v>NCL</v>
          </cell>
          <cell r="L509">
            <v>869192</v>
          </cell>
        </row>
        <row r="510">
          <cell r="A510" t="str">
            <v>Power</v>
          </cell>
          <cell r="B510" t="str">
            <v>NCL</v>
          </cell>
          <cell r="L510">
            <v>690088</v>
          </cell>
        </row>
        <row r="511">
          <cell r="A511" t="str">
            <v>Power</v>
          </cell>
          <cell r="B511" t="str">
            <v>NCL</v>
          </cell>
          <cell r="L511">
            <v>599952</v>
          </cell>
        </row>
        <row r="512">
          <cell r="A512" t="str">
            <v>Power</v>
          </cell>
          <cell r="B512" t="str">
            <v>NCL</v>
          </cell>
          <cell r="L512">
            <v>256000</v>
          </cell>
        </row>
        <row r="513">
          <cell r="A513" t="str">
            <v>Power</v>
          </cell>
          <cell r="B513" t="str">
            <v>NCL</v>
          </cell>
          <cell r="L513">
            <v>504000</v>
          </cell>
        </row>
        <row r="514">
          <cell r="A514" t="str">
            <v>Power</v>
          </cell>
          <cell r="B514" t="str">
            <v>NCL</v>
          </cell>
          <cell r="L514">
            <v>1575563</v>
          </cell>
        </row>
        <row r="515">
          <cell r="A515" t="str">
            <v>Power</v>
          </cell>
          <cell r="B515" t="str">
            <v>NCL</v>
          </cell>
          <cell r="L515">
            <v>581638</v>
          </cell>
        </row>
        <row r="516">
          <cell r="A516" t="str">
            <v>Power</v>
          </cell>
          <cell r="B516" t="str">
            <v>NCL</v>
          </cell>
          <cell r="L516">
            <v>863199</v>
          </cell>
        </row>
        <row r="517">
          <cell r="A517" t="str">
            <v>Power</v>
          </cell>
          <cell r="B517" t="str">
            <v>NCL</v>
          </cell>
          <cell r="L517">
            <v>430038</v>
          </cell>
        </row>
        <row r="518">
          <cell r="A518" t="str">
            <v>Power</v>
          </cell>
          <cell r="B518" t="str">
            <v>NCL</v>
          </cell>
          <cell r="L518">
            <v>2373314</v>
          </cell>
        </row>
        <row r="519">
          <cell r="A519" t="str">
            <v>Power</v>
          </cell>
          <cell r="B519" t="str">
            <v>NCL</v>
          </cell>
          <cell r="L519">
            <v>972070</v>
          </cell>
        </row>
        <row r="520">
          <cell r="A520" t="str">
            <v>Power</v>
          </cell>
          <cell r="B520" t="str">
            <v>NCL</v>
          </cell>
          <cell r="L520">
            <v>1305922</v>
          </cell>
        </row>
        <row r="521">
          <cell r="A521" t="str">
            <v>Irrigation</v>
          </cell>
          <cell r="B521" t="str">
            <v>Tadipudi</v>
          </cell>
          <cell r="L521">
            <v>1381107</v>
          </cell>
        </row>
        <row r="522">
          <cell r="A522" t="str">
            <v>Irrigation</v>
          </cell>
          <cell r="B522" t="str">
            <v>Tadipudi</v>
          </cell>
          <cell r="L522">
            <v>432250</v>
          </cell>
        </row>
        <row r="523">
          <cell r="A523" t="str">
            <v>Irrigation</v>
          </cell>
          <cell r="B523" t="str">
            <v>Tadipudi</v>
          </cell>
          <cell r="L523">
            <v>477277</v>
          </cell>
        </row>
        <row r="524">
          <cell r="A524" t="str">
            <v>Irrigation</v>
          </cell>
          <cell r="B524" t="str">
            <v>Tadipudi</v>
          </cell>
          <cell r="L524">
            <v>517041</v>
          </cell>
        </row>
        <row r="525">
          <cell r="A525" t="str">
            <v>Irrigation</v>
          </cell>
          <cell r="B525" t="str">
            <v>Tadipudi</v>
          </cell>
          <cell r="L525">
            <v>917721</v>
          </cell>
        </row>
        <row r="526">
          <cell r="A526" t="str">
            <v>Irrigation</v>
          </cell>
          <cell r="B526" t="str">
            <v>Tadipudi</v>
          </cell>
          <cell r="L526">
            <v>586392</v>
          </cell>
        </row>
        <row r="527">
          <cell r="A527" t="str">
            <v>Irrigation</v>
          </cell>
          <cell r="B527" t="str">
            <v>Tadipudi</v>
          </cell>
          <cell r="L527">
            <v>390189</v>
          </cell>
        </row>
        <row r="528">
          <cell r="A528" t="str">
            <v>Irrigation</v>
          </cell>
          <cell r="B528" t="str">
            <v>Tadipudi</v>
          </cell>
          <cell r="L528">
            <v>417374.95</v>
          </cell>
        </row>
        <row r="529">
          <cell r="A529" t="str">
            <v>Irrigation</v>
          </cell>
          <cell r="B529" t="str">
            <v>Tadipudi</v>
          </cell>
          <cell r="L529">
            <v>689576</v>
          </cell>
        </row>
        <row r="530">
          <cell r="A530" t="str">
            <v>Irrigation</v>
          </cell>
          <cell r="B530" t="str">
            <v>Tadipudi</v>
          </cell>
          <cell r="L530">
            <v>629768</v>
          </cell>
        </row>
        <row r="531">
          <cell r="A531" t="str">
            <v>Irrigation</v>
          </cell>
          <cell r="B531" t="str">
            <v>Tadipudi</v>
          </cell>
          <cell r="L531">
            <v>670719</v>
          </cell>
        </row>
        <row r="532">
          <cell r="A532" t="str">
            <v>Irrigation</v>
          </cell>
          <cell r="B532" t="str">
            <v>Tadipudi</v>
          </cell>
          <cell r="L532">
            <v>208550</v>
          </cell>
        </row>
        <row r="533">
          <cell r="A533" t="str">
            <v>Irrigation</v>
          </cell>
          <cell r="B533" t="str">
            <v>Tadipudi</v>
          </cell>
          <cell r="L533">
            <v>201750</v>
          </cell>
        </row>
        <row r="534">
          <cell r="A534" t="str">
            <v>Irrigation</v>
          </cell>
          <cell r="B534" t="str">
            <v>Tadipudi</v>
          </cell>
          <cell r="L534">
            <v>853058</v>
          </cell>
        </row>
        <row r="535">
          <cell r="A535" t="str">
            <v>Irrigation</v>
          </cell>
          <cell r="B535" t="str">
            <v>Tadipudi</v>
          </cell>
          <cell r="L535">
            <v>827990</v>
          </cell>
        </row>
        <row r="536">
          <cell r="A536" t="str">
            <v>Irrigation</v>
          </cell>
          <cell r="B536" t="str">
            <v>Tadipudi</v>
          </cell>
          <cell r="L536">
            <v>866207</v>
          </cell>
        </row>
        <row r="537">
          <cell r="A537" t="str">
            <v>Irrigation</v>
          </cell>
          <cell r="B537" t="str">
            <v>Tadipudi</v>
          </cell>
          <cell r="L537">
            <v>1085401</v>
          </cell>
        </row>
        <row r="538">
          <cell r="A538" t="str">
            <v>Irrigation</v>
          </cell>
          <cell r="B538" t="str">
            <v>Tadipudi</v>
          </cell>
          <cell r="L538">
            <v>858500</v>
          </cell>
        </row>
        <row r="539">
          <cell r="A539" t="str">
            <v>Irrigation</v>
          </cell>
          <cell r="B539" t="str">
            <v>Tadipudi</v>
          </cell>
          <cell r="L539">
            <v>914129</v>
          </cell>
        </row>
        <row r="540">
          <cell r="A540" t="str">
            <v>Irrigation</v>
          </cell>
          <cell r="B540" t="str">
            <v>Tadipudi</v>
          </cell>
          <cell r="L540">
            <v>874157</v>
          </cell>
        </row>
        <row r="541">
          <cell r="A541" t="str">
            <v>Irrigation</v>
          </cell>
          <cell r="B541" t="str">
            <v>Tadipudi</v>
          </cell>
          <cell r="L541">
            <v>923000</v>
          </cell>
        </row>
        <row r="542">
          <cell r="A542" t="str">
            <v>Irrigation</v>
          </cell>
          <cell r="B542" t="str">
            <v>Tadipudi</v>
          </cell>
          <cell r="L542">
            <v>923000</v>
          </cell>
        </row>
        <row r="543">
          <cell r="A543" t="str">
            <v>Irrigation</v>
          </cell>
          <cell r="B543" t="str">
            <v>Tadipudi</v>
          </cell>
          <cell r="L543">
            <v>520001</v>
          </cell>
        </row>
        <row r="544">
          <cell r="A544" t="str">
            <v>Irrigation</v>
          </cell>
          <cell r="B544" t="str">
            <v>Tadipudi</v>
          </cell>
          <cell r="L544">
            <v>923001</v>
          </cell>
        </row>
        <row r="545">
          <cell r="A545" t="str">
            <v>Irrigation</v>
          </cell>
          <cell r="B545" t="str">
            <v>Tadipudi</v>
          </cell>
          <cell r="L545">
            <v>952600</v>
          </cell>
        </row>
        <row r="546">
          <cell r="A546" t="str">
            <v>Irrigation</v>
          </cell>
          <cell r="B546" t="str">
            <v>Tadipudi</v>
          </cell>
          <cell r="L546">
            <v>949400</v>
          </cell>
        </row>
        <row r="547">
          <cell r="A547" t="str">
            <v>Irrigation</v>
          </cell>
          <cell r="B547" t="str">
            <v>Tadipudi</v>
          </cell>
          <cell r="L547">
            <v>523667</v>
          </cell>
        </row>
        <row r="548">
          <cell r="A548" t="str">
            <v>Irrigation</v>
          </cell>
          <cell r="B548" t="str">
            <v>Tadipudi</v>
          </cell>
          <cell r="L548">
            <v>144000</v>
          </cell>
        </row>
        <row r="549">
          <cell r="A549" t="str">
            <v>Irrigation</v>
          </cell>
          <cell r="B549" t="str">
            <v>Tadipudi</v>
          </cell>
          <cell r="L549">
            <v>571447</v>
          </cell>
        </row>
        <row r="550">
          <cell r="A550" t="str">
            <v>Irrigation</v>
          </cell>
          <cell r="B550" t="str">
            <v>Tadipudi</v>
          </cell>
          <cell r="L550">
            <v>923001</v>
          </cell>
        </row>
        <row r="551">
          <cell r="A551" t="str">
            <v>Irrigation</v>
          </cell>
          <cell r="B551" t="str">
            <v>Tadipudi</v>
          </cell>
          <cell r="L551">
            <v>640500</v>
          </cell>
        </row>
        <row r="552">
          <cell r="A552" t="str">
            <v>Irrigation</v>
          </cell>
          <cell r="B552" t="str">
            <v>Tadipudi</v>
          </cell>
          <cell r="L552">
            <v>640500</v>
          </cell>
        </row>
        <row r="553">
          <cell r="A553" t="str">
            <v>SSU</v>
          </cell>
          <cell r="B553" t="str">
            <v>Un known</v>
          </cell>
          <cell r="L553">
            <v>415400</v>
          </cell>
        </row>
        <row r="554">
          <cell r="A554" t="str">
            <v>SSU</v>
          </cell>
          <cell r="B554" t="str">
            <v>Un known</v>
          </cell>
          <cell r="L554">
            <v>372000</v>
          </cell>
        </row>
        <row r="555">
          <cell r="A555" t="str">
            <v>SSU</v>
          </cell>
          <cell r="B555" t="str">
            <v>Un known</v>
          </cell>
          <cell r="L555">
            <v>390600</v>
          </cell>
        </row>
        <row r="556">
          <cell r="A556" t="str">
            <v>SSU</v>
          </cell>
          <cell r="B556" t="str">
            <v>Un known</v>
          </cell>
          <cell r="L556">
            <v>341000</v>
          </cell>
        </row>
        <row r="557">
          <cell r="A557" t="str">
            <v>SSU</v>
          </cell>
          <cell r="B557" t="str">
            <v>Un known</v>
          </cell>
          <cell r="L557">
            <v>80000</v>
          </cell>
        </row>
        <row r="558">
          <cell r="A558" t="str">
            <v>SSU</v>
          </cell>
          <cell r="B558" t="str">
            <v>Un known</v>
          </cell>
          <cell r="L558">
            <v>341000</v>
          </cell>
        </row>
        <row r="559">
          <cell r="A559" t="str">
            <v>SSU</v>
          </cell>
          <cell r="B559" t="str">
            <v>Un known</v>
          </cell>
          <cell r="L559">
            <v>702838</v>
          </cell>
        </row>
        <row r="560">
          <cell r="A560" t="str">
            <v>SSU</v>
          </cell>
          <cell r="B560" t="str">
            <v>Un known</v>
          </cell>
          <cell r="L560">
            <v>475054</v>
          </cell>
        </row>
        <row r="561">
          <cell r="A561" t="str">
            <v>SSU</v>
          </cell>
          <cell r="B561" t="str">
            <v>Un known</v>
          </cell>
          <cell r="L561">
            <v>319738</v>
          </cell>
        </row>
        <row r="562">
          <cell r="A562" t="str">
            <v>SSU</v>
          </cell>
          <cell r="B562" t="str">
            <v>Un known</v>
          </cell>
          <cell r="L562">
            <v>28800</v>
          </cell>
        </row>
        <row r="563">
          <cell r="A563" t="str">
            <v>SSU</v>
          </cell>
          <cell r="B563" t="str">
            <v>Un known</v>
          </cell>
          <cell r="L563">
            <v>60525</v>
          </cell>
        </row>
        <row r="564">
          <cell r="A564" t="str">
            <v>SSU</v>
          </cell>
          <cell r="B564" t="str">
            <v>Un known</v>
          </cell>
          <cell r="L564">
            <v>24000</v>
          </cell>
        </row>
        <row r="565">
          <cell r="A565" t="str">
            <v>SSU</v>
          </cell>
          <cell r="B565" t="str">
            <v>Un known</v>
          </cell>
          <cell r="L565">
            <v>1</v>
          </cell>
        </row>
        <row r="566">
          <cell r="A566" t="str">
            <v>Buildings</v>
          </cell>
          <cell r="B566" t="str">
            <v>Neuland</v>
          </cell>
          <cell r="L566">
            <v>1021290</v>
          </cell>
        </row>
        <row r="567">
          <cell r="A567" t="str">
            <v>Buildings</v>
          </cell>
          <cell r="B567" t="str">
            <v>Neuland</v>
          </cell>
          <cell r="L567">
            <v>1321875</v>
          </cell>
        </row>
        <row r="568">
          <cell r="A568" t="str">
            <v>Buildings</v>
          </cell>
          <cell r="B568" t="str">
            <v>Neuland</v>
          </cell>
          <cell r="L568">
            <v>1784250</v>
          </cell>
        </row>
        <row r="569">
          <cell r="A569" t="str">
            <v>Buildings</v>
          </cell>
          <cell r="B569" t="str">
            <v>Neuland</v>
          </cell>
          <cell r="L569">
            <v>895616</v>
          </cell>
        </row>
        <row r="570">
          <cell r="A570" t="str">
            <v>Buildings</v>
          </cell>
          <cell r="B570" t="str">
            <v>Neuland</v>
          </cell>
          <cell r="L570">
            <v>924753</v>
          </cell>
        </row>
        <row r="571">
          <cell r="A571" t="str">
            <v>Buildings</v>
          </cell>
          <cell r="B571" t="str">
            <v>Neuland</v>
          </cell>
          <cell r="L571">
            <v>624000</v>
          </cell>
        </row>
        <row r="572">
          <cell r="A572" t="str">
            <v>Buildings</v>
          </cell>
          <cell r="B572" t="str">
            <v>Neuland</v>
          </cell>
          <cell r="L572">
            <v>221000</v>
          </cell>
        </row>
        <row r="573">
          <cell r="A573" t="str">
            <v>Buildings</v>
          </cell>
          <cell r="B573" t="str">
            <v>Neuland</v>
          </cell>
          <cell r="L573">
            <v>1135463</v>
          </cell>
        </row>
        <row r="574">
          <cell r="A574" t="str">
            <v>Buildings</v>
          </cell>
          <cell r="B574" t="str">
            <v>Neuland</v>
          </cell>
          <cell r="L574">
            <v>416000</v>
          </cell>
        </row>
        <row r="575">
          <cell r="A575" t="str">
            <v>Buildings</v>
          </cell>
          <cell r="B575" t="str">
            <v>Neuland</v>
          </cell>
          <cell r="L575">
            <v>358800</v>
          </cell>
        </row>
        <row r="576">
          <cell r="A576" t="str">
            <v>Buildings</v>
          </cell>
          <cell r="B576" t="str">
            <v>Neuland</v>
          </cell>
          <cell r="L576">
            <v>694279</v>
          </cell>
        </row>
        <row r="577">
          <cell r="A577" t="str">
            <v>Buildings</v>
          </cell>
          <cell r="B577" t="str">
            <v>Neuland</v>
          </cell>
          <cell r="L577">
            <v>750937</v>
          </cell>
        </row>
        <row r="578">
          <cell r="A578" t="str">
            <v>Buildings</v>
          </cell>
          <cell r="B578" t="str">
            <v>Neuland</v>
          </cell>
          <cell r="L578">
            <v>1296626</v>
          </cell>
        </row>
        <row r="579">
          <cell r="A579" t="str">
            <v>Buildings</v>
          </cell>
          <cell r="B579" t="str">
            <v>Neuland</v>
          </cell>
          <cell r="L579">
            <v>546092</v>
          </cell>
        </row>
        <row r="580">
          <cell r="A580" t="str">
            <v>Buildings</v>
          </cell>
          <cell r="B580" t="str">
            <v>Neuland</v>
          </cell>
          <cell r="L580">
            <v>542031</v>
          </cell>
        </row>
        <row r="581">
          <cell r="A581" t="str">
            <v>Buildings</v>
          </cell>
          <cell r="B581" t="str">
            <v>Neuland</v>
          </cell>
          <cell r="L581">
            <v>580603</v>
          </cell>
        </row>
        <row r="582">
          <cell r="A582" t="str">
            <v>Buildings</v>
          </cell>
          <cell r="B582" t="str">
            <v>Neuland</v>
          </cell>
          <cell r="L582">
            <v>554212</v>
          </cell>
        </row>
        <row r="583">
          <cell r="A583" t="str">
            <v>Buildings</v>
          </cell>
          <cell r="B583" t="str">
            <v>Neuland</v>
          </cell>
          <cell r="L583">
            <v>550152</v>
          </cell>
        </row>
        <row r="584">
          <cell r="A584" t="str">
            <v>Buildings</v>
          </cell>
          <cell r="B584" t="str">
            <v>Neuland</v>
          </cell>
          <cell r="L584">
            <v>541016</v>
          </cell>
        </row>
        <row r="585">
          <cell r="A585" t="str">
            <v>Buildings</v>
          </cell>
          <cell r="B585" t="str">
            <v>Neuland</v>
          </cell>
          <cell r="L585">
            <v>547107</v>
          </cell>
        </row>
        <row r="586">
          <cell r="A586" t="str">
            <v>Buildings</v>
          </cell>
          <cell r="B586" t="str">
            <v>Neuland</v>
          </cell>
          <cell r="L586">
            <v>559270</v>
          </cell>
        </row>
        <row r="587">
          <cell r="A587" t="str">
            <v>Buildings</v>
          </cell>
          <cell r="B587" t="str">
            <v>Neuland</v>
          </cell>
          <cell r="L587">
            <v>371800</v>
          </cell>
        </row>
        <row r="588">
          <cell r="A588" t="str">
            <v>Buildings</v>
          </cell>
          <cell r="B588" t="str">
            <v>Neuland</v>
          </cell>
          <cell r="L588">
            <v>588723</v>
          </cell>
        </row>
        <row r="589">
          <cell r="A589" t="str">
            <v>Buildings</v>
          </cell>
          <cell r="B589" t="str">
            <v>Neuland</v>
          </cell>
          <cell r="L589">
            <v>424320</v>
          </cell>
        </row>
        <row r="590">
          <cell r="A590" t="str">
            <v>Buildings</v>
          </cell>
          <cell r="B590" t="str">
            <v>Neuland</v>
          </cell>
          <cell r="L590">
            <v>424320</v>
          </cell>
        </row>
        <row r="591">
          <cell r="A591" t="str">
            <v>Buildings</v>
          </cell>
          <cell r="B591" t="str">
            <v>Neuland</v>
          </cell>
          <cell r="L591">
            <v>12516</v>
          </cell>
        </row>
        <row r="592">
          <cell r="A592" t="str">
            <v>Buildings</v>
          </cell>
          <cell r="B592" t="str">
            <v>Neuland</v>
          </cell>
          <cell r="L592">
            <v>158814</v>
          </cell>
        </row>
        <row r="593">
          <cell r="A593" t="str">
            <v>Buildings</v>
          </cell>
          <cell r="B593" t="str">
            <v>Neuland</v>
          </cell>
          <cell r="L593">
            <v>1371186</v>
          </cell>
        </row>
        <row r="594">
          <cell r="A594" t="str">
            <v>Buildings</v>
          </cell>
          <cell r="B594" t="str">
            <v>Neuland</v>
          </cell>
          <cell r="L594">
            <v>598246</v>
          </cell>
        </row>
        <row r="595">
          <cell r="A595" t="str">
            <v>Buildings</v>
          </cell>
          <cell r="B595" t="str">
            <v>Neuland</v>
          </cell>
          <cell r="L595">
            <v>967944</v>
          </cell>
        </row>
        <row r="596">
          <cell r="A596" t="str">
            <v>Buildings</v>
          </cell>
          <cell r="B596" t="str">
            <v>Neuland</v>
          </cell>
          <cell r="L596">
            <v>910442</v>
          </cell>
        </row>
        <row r="597">
          <cell r="A597" t="str">
            <v>Buildings</v>
          </cell>
          <cell r="B597" t="str">
            <v>Neuland</v>
          </cell>
          <cell r="L597">
            <v>643614</v>
          </cell>
        </row>
        <row r="598">
          <cell r="A598" t="str">
            <v>Buildings</v>
          </cell>
          <cell r="B598" t="str">
            <v>Neuland</v>
          </cell>
          <cell r="L598">
            <v>140175</v>
          </cell>
        </row>
        <row r="599">
          <cell r="A599" t="str">
            <v>Buildings</v>
          </cell>
          <cell r="B599" t="str">
            <v>Neuland</v>
          </cell>
          <cell r="L599">
            <v>889720</v>
          </cell>
        </row>
        <row r="600">
          <cell r="A600" t="str">
            <v>Buildings</v>
          </cell>
          <cell r="B600" t="str">
            <v>DGMAP Kanpur</v>
          </cell>
          <cell r="L600">
            <v>798774</v>
          </cell>
        </row>
        <row r="601">
          <cell r="A601" t="str">
            <v>Buildings</v>
          </cell>
          <cell r="B601" t="str">
            <v>DGMAP Kanpur</v>
          </cell>
          <cell r="L601">
            <v>690256</v>
          </cell>
        </row>
        <row r="602">
          <cell r="A602" t="str">
            <v>Buildings</v>
          </cell>
          <cell r="B602" t="str">
            <v>DGMAP Kanpur</v>
          </cell>
          <cell r="L602">
            <v>748445</v>
          </cell>
        </row>
        <row r="603">
          <cell r="A603" t="str">
            <v>Buildings</v>
          </cell>
          <cell r="B603" t="str">
            <v>DGMAP Kanpur</v>
          </cell>
          <cell r="L603">
            <v>748445</v>
          </cell>
        </row>
        <row r="604">
          <cell r="A604" t="str">
            <v>Buildings</v>
          </cell>
          <cell r="B604" t="str">
            <v>DGMAP Kanpur</v>
          </cell>
          <cell r="L604">
            <v>646250</v>
          </cell>
        </row>
        <row r="605">
          <cell r="A605" t="str">
            <v>Buildings</v>
          </cell>
          <cell r="B605" t="str">
            <v>DGMAP Kanpur</v>
          </cell>
          <cell r="L605">
            <v>679006</v>
          </cell>
        </row>
        <row r="606">
          <cell r="A606" t="str">
            <v>Buildings</v>
          </cell>
          <cell r="B606" t="str">
            <v>DGMAP Kanpur</v>
          </cell>
          <cell r="L606">
            <v>679006</v>
          </cell>
        </row>
        <row r="607">
          <cell r="A607" t="str">
            <v>Buildings</v>
          </cell>
          <cell r="B607" t="str">
            <v>DGMAP Kanpur</v>
          </cell>
          <cell r="L607">
            <v>961760</v>
          </cell>
        </row>
        <row r="608">
          <cell r="A608" t="str">
            <v>Buildings</v>
          </cell>
          <cell r="B608" t="str">
            <v>DGMAP Kanpur</v>
          </cell>
          <cell r="L608">
            <v>650283</v>
          </cell>
        </row>
        <row r="609">
          <cell r="A609" t="str">
            <v>Buildings</v>
          </cell>
          <cell r="B609" t="str">
            <v>DGMAP Kanpur</v>
          </cell>
          <cell r="L609">
            <v>671400</v>
          </cell>
        </row>
        <row r="610">
          <cell r="A610" t="str">
            <v>Buildings</v>
          </cell>
          <cell r="B610" t="str">
            <v>DGMAP Kanpur</v>
          </cell>
          <cell r="L610">
            <v>525455</v>
          </cell>
        </row>
        <row r="611">
          <cell r="A611" t="str">
            <v>Buildings</v>
          </cell>
          <cell r="B611" t="str">
            <v>DGMAP Kanpur</v>
          </cell>
          <cell r="L611">
            <v>840181</v>
          </cell>
        </row>
        <row r="612">
          <cell r="A612" t="str">
            <v>Buildings</v>
          </cell>
          <cell r="B612" t="str">
            <v>DGMAP Kanpur</v>
          </cell>
          <cell r="L612">
            <v>705290</v>
          </cell>
        </row>
        <row r="613">
          <cell r="A613" t="str">
            <v>Buildings</v>
          </cell>
          <cell r="B613" t="str">
            <v>DGMAP Kanpur</v>
          </cell>
          <cell r="L613">
            <v>705290</v>
          </cell>
        </row>
        <row r="614">
          <cell r="A614" t="str">
            <v>Buildings</v>
          </cell>
          <cell r="B614" t="str">
            <v>DGMAP Kanpur</v>
          </cell>
          <cell r="L614">
            <v>724804</v>
          </cell>
        </row>
        <row r="615">
          <cell r="A615" t="str">
            <v>Buildings</v>
          </cell>
          <cell r="B615" t="str">
            <v>DGMAP Kanpur</v>
          </cell>
          <cell r="L615">
            <v>664271</v>
          </cell>
        </row>
        <row r="616">
          <cell r="A616" t="str">
            <v>Buildings</v>
          </cell>
          <cell r="B616" t="str">
            <v>DGMAP Kanpur</v>
          </cell>
          <cell r="L616">
            <v>705290</v>
          </cell>
        </row>
        <row r="617">
          <cell r="A617" t="str">
            <v>Buildings</v>
          </cell>
          <cell r="B617" t="str">
            <v>DGMAP Kanpur</v>
          </cell>
          <cell r="L617">
            <v>705290</v>
          </cell>
        </row>
        <row r="618">
          <cell r="A618" t="str">
            <v>Buildings</v>
          </cell>
          <cell r="B618" t="str">
            <v>DGMAP Kanpur</v>
          </cell>
          <cell r="L618">
            <v>686334</v>
          </cell>
        </row>
        <row r="619">
          <cell r="A619" t="str">
            <v>Buildings</v>
          </cell>
          <cell r="B619" t="str">
            <v>DGMAP Kanpur</v>
          </cell>
          <cell r="L619">
            <v>783745</v>
          </cell>
        </row>
        <row r="620">
          <cell r="A620" t="str">
            <v>Buildings</v>
          </cell>
          <cell r="B620" t="str">
            <v>DGMAP Kanpur</v>
          </cell>
          <cell r="L620">
            <v>725700</v>
          </cell>
        </row>
        <row r="621">
          <cell r="A621" t="str">
            <v>Buildings</v>
          </cell>
          <cell r="B621" t="str">
            <v>DGMAP Kanpur</v>
          </cell>
          <cell r="L621">
            <v>729783</v>
          </cell>
        </row>
        <row r="622">
          <cell r="A622" t="str">
            <v>Buildings</v>
          </cell>
          <cell r="B622" t="str">
            <v>DGMAP Kanpur</v>
          </cell>
          <cell r="L622">
            <v>710310</v>
          </cell>
        </row>
        <row r="623">
          <cell r="A623" t="str">
            <v>Buildings</v>
          </cell>
          <cell r="B623" t="str">
            <v>DGMAP Kanpur</v>
          </cell>
          <cell r="L623">
            <v>641571</v>
          </cell>
        </row>
        <row r="624">
          <cell r="A624" t="str">
            <v>Buildings</v>
          </cell>
          <cell r="B624" t="str">
            <v>DGMAP Kanpur</v>
          </cell>
          <cell r="L624">
            <v>659595.69999999995</v>
          </cell>
        </row>
        <row r="625">
          <cell r="A625" t="str">
            <v>Buildings</v>
          </cell>
          <cell r="B625" t="str">
            <v>DGMAP Kanpur</v>
          </cell>
          <cell r="L625">
            <v>663675</v>
          </cell>
        </row>
        <row r="626">
          <cell r="A626" t="str">
            <v>Buildings</v>
          </cell>
          <cell r="B626" t="str">
            <v>DGMAP Kanpur</v>
          </cell>
          <cell r="L626">
            <v>597830</v>
          </cell>
        </row>
        <row r="627">
          <cell r="A627" t="str">
            <v>Buildings</v>
          </cell>
          <cell r="B627" t="str">
            <v>DGMAP Kanpur</v>
          </cell>
          <cell r="L627">
            <v>161400</v>
          </cell>
        </row>
        <row r="628">
          <cell r="A628" t="str">
            <v>Buildings</v>
          </cell>
          <cell r="B628" t="str">
            <v>DGMAP Kanpur</v>
          </cell>
          <cell r="L628">
            <v>431310</v>
          </cell>
        </row>
        <row r="629">
          <cell r="A629" t="str">
            <v>Buildings</v>
          </cell>
          <cell r="B629" t="str">
            <v>DGMAP Kanpur</v>
          </cell>
          <cell r="L629">
            <v>40320</v>
          </cell>
        </row>
        <row r="630">
          <cell r="A630" t="str">
            <v>Buildings</v>
          </cell>
          <cell r="B630" t="str">
            <v>DGMAP Kanpur</v>
          </cell>
          <cell r="L630">
            <v>39648</v>
          </cell>
        </row>
        <row r="631">
          <cell r="A631" t="str">
            <v>Buildings</v>
          </cell>
          <cell r="B631" t="str">
            <v>DGMAP Kanpur</v>
          </cell>
          <cell r="L631">
            <v>40320</v>
          </cell>
        </row>
        <row r="632">
          <cell r="A632" t="str">
            <v>Buildings</v>
          </cell>
          <cell r="B632" t="str">
            <v>DGMAP Kanpur</v>
          </cell>
          <cell r="L632">
            <v>36960</v>
          </cell>
        </row>
        <row r="633">
          <cell r="A633" t="str">
            <v>Buildings</v>
          </cell>
          <cell r="B633" t="str">
            <v>DGMAP Kanpur</v>
          </cell>
          <cell r="L633">
            <v>39648</v>
          </cell>
        </row>
        <row r="634">
          <cell r="A634" t="str">
            <v>Buildings</v>
          </cell>
          <cell r="B634" t="str">
            <v>DGMAP Kanpur</v>
          </cell>
          <cell r="L634">
            <v>24864</v>
          </cell>
        </row>
        <row r="635">
          <cell r="A635" t="str">
            <v>Buildings</v>
          </cell>
          <cell r="B635" t="str">
            <v>DGMAP Kanpur</v>
          </cell>
          <cell r="L635">
            <v>35280</v>
          </cell>
        </row>
        <row r="636">
          <cell r="A636" t="str">
            <v>Buildings</v>
          </cell>
          <cell r="B636" t="str">
            <v>DGMAP Kanpur</v>
          </cell>
          <cell r="L636">
            <v>859975</v>
          </cell>
        </row>
        <row r="637">
          <cell r="A637" t="str">
            <v>Buildings</v>
          </cell>
          <cell r="B637" t="str">
            <v>DGMAP Kanpur</v>
          </cell>
          <cell r="L637">
            <v>861000</v>
          </cell>
        </row>
        <row r="638">
          <cell r="A638" t="str">
            <v>Buildings</v>
          </cell>
          <cell r="B638" t="str">
            <v>DGMAP Kanpur</v>
          </cell>
          <cell r="L638">
            <v>30664</v>
          </cell>
        </row>
        <row r="639">
          <cell r="A639" t="str">
            <v>Buildings</v>
          </cell>
          <cell r="B639" t="str">
            <v>DGMAP Kanpur</v>
          </cell>
          <cell r="L639">
            <v>280260</v>
          </cell>
        </row>
        <row r="640">
          <cell r="A640" t="str">
            <v>Buildings</v>
          </cell>
          <cell r="B640" t="str">
            <v>DGMAP Kanpur</v>
          </cell>
          <cell r="L640">
            <v>663404</v>
          </cell>
        </row>
        <row r="641">
          <cell r="A641" t="str">
            <v>Buildings</v>
          </cell>
          <cell r="B641" t="str">
            <v>DGMAP Kanpur</v>
          </cell>
          <cell r="L641">
            <v>588380</v>
          </cell>
        </row>
        <row r="642">
          <cell r="A642" t="str">
            <v>Buildings</v>
          </cell>
          <cell r="B642" t="str">
            <v>DGMAP Kanpur</v>
          </cell>
          <cell r="L642">
            <v>759002</v>
          </cell>
        </row>
        <row r="643">
          <cell r="A643" t="str">
            <v>Buildings</v>
          </cell>
          <cell r="B643" t="str">
            <v>DGMAP Kanpur</v>
          </cell>
          <cell r="L643">
            <v>759002</v>
          </cell>
        </row>
      </sheetData>
      <sheetData sheetId="18">
        <row r="2">
          <cell r="D2" t="str">
            <v>Land</v>
          </cell>
          <cell r="F2">
            <v>32319579</v>
          </cell>
          <cell r="G2">
            <v>0</v>
          </cell>
        </row>
        <row r="3">
          <cell r="D3" t="str">
            <v>Land</v>
          </cell>
          <cell r="F3">
            <v>21593933</v>
          </cell>
        </row>
        <row r="4">
          <cell r="D4" t="str">
            <v>Land</v>
          </cell>
          <cell r="F4">
            <v>9431553</v>
          </cell>
        </row>
        <row r="5">
          <cell r="D5" t="str">
            <v>Residential building</v>
          </cell>
          <cell r="F5">
            <v>1643391</v>
          </cell>
          <cell r="G5">
            <v>0</v>
          </cell>
          <cell r="H5">
            <v>0</v>
          </cell>
        </row>
        <row r="6">
          <cell r="D6" t="str">
            <v>Temporary Constructions</v>
          </cell>
          <cell r="F6">
            <v>0</v>
          </cell>
        </row>
        <row r="7">
          <cell r="D7" t="str">
            <v>Temporary Constructions</v>
          </cell>
          <cell r="F7">
            <v>5054203.2954545468</v>
          </cell>
        </row>
        <row r="8">
          <cell r="D8" t="str">
            <v>Temporary Constructions</v>
          </cell>
          <cell r="F8">
            <v>1225321.8631781973</v>
          </cell>
        </row>
        <row r="9">
          <cell r="D9" t="str">
            <v>Temporary Constructions</v>
          </cell>
          <cell r="F9">
            <v>1207374.5</v>
          </cell>
        </row>
        <row r="10">
          <cell r="D10" t="str">
            <v>Temporary Constructions</v>
          </cell>
          <cell r="F10">
            <v>0</v>
          </cell>
        </row>
        <row r="11">
          <cell r="D11" t="str">
            <v>Temporary Constructions</v>
          </cell>
          <cell r="F11">
            <v>10078405.490470685</v>
          </cell>
        </row>
        <row r="12">
          <cell r="D12" t="str">
            <v>Temporary Constructions</v>
          </cell>
          <cell r="F12">
            <v>2921532.6871287124</v>
          </cell>
        </row>
        <row r="13">
          <cell r="D13" t="str">
            <v>Temporary Constructions</v>
          </cell>
          <cell r="F13">
            <v>0</v>
          </cell>
        </row>
        <row r="14">
          <cell r="D14" t="str">
            <v>Temporary Constructions</v>
          </cell>
          <cell r="F14">
            <v>0</v>
          </cell>
        </row>
        <row r="15">
          <cell r="D15" t="str">
            <v>Temporary Constructions</v>
          </cell>
          <cell r="F15">
            <v>0</v>
          </cell>
        </row>
        <row r="16">
          <cell r="D16" t="str">
            <v>Temporary Constructions</v>
          </cell>
          <cell r="F16">
            <v>1057289.6050632913</v>
          </cell>
        </row>
        <row r="17">
          <cell r="D17" t="str">
            <v>Temporary Constructions</v>
          </cell>
          <cell r="F17">
            <v>8172309.0225563906</v>
          </cell>
        </row>
        <row r="18">
          <cell r="D18" t="str">
            <v>Temporary Constructions</v>
          </cell>
          <cell r="F18">
            <v>16899107.648578811</v>
          </cell>
        </row>
        <row r="19">
          <cell r="D19" t="str">
            <v>Temporary Constructions</v>
          </cell>
          <cell r="F19">
            <v>14243013.862068966</v>
          </cell>
        </row>
        <row r="20">
          <cell r="D20" t="str">
            <v>Temporary Constructions</v>
          </cell>
          <cell r="F20">
            <v>2421278.8662790698</v>
          </cell>
        </row>
        <row r="21">
          <cell r="D21" t="str">
            <v>Temporary Constructions</v>
          </cell>
          <cell r="F21">
            <v>857447.03030303027</v>
          </cell>
        </row>
        <row r="22">
          <cell r="D22" t="str">
            <v>Temporary Constructions</v>
          </cell>
          <cell r="F22">
            <v>210111.20689655171</v>
          </cell>
        </row>
        <row r="23">
          <cell r="D23" t="str">
            <v>Temporary Constructions</v>
          </cell>
          <cell r="F23">
            <v>1643772.3925233644</v>
          </cell>
        </row>
        <row r="24">
          <cell r="D24" t="str">
            <v>Temporary Constructions</v>
          </cell>
          <cell r="F24">
            <v>77168.473342002602</v>
          </cell>
        </row>
        <row r="25">
          <cell r="D25" t="str">
            <v>Temporary Constructions</v>
          </cell>
          <cell r="F25">
            <v>77168.473342002602</v>
          </cell>
        </row>
        <row r="26">
          <cell r="D26" t="str">
            <v>Temporary Constructions</v>
          </cell>
          <cell r="F26">
            <v>77168.473342002602</v>
          </cell>
        </row>
        <row r="27">
          <cell r="D27" t="str">
            <v>Temporary Constructions</v>
          </cell>
          <cell r="F27">
            <v>77168.473342002602</v>
          </cell>
        </row>
        <row r="28">
          <cell r="D28" t="str">
            <v>Temporary Constructions</v>
          </cell>
          <cell r="F28">
            <v>14814.694408322497</v>
          </cell>
        </row>
        <row r="29">
          <cell r="D29" t="str">
            <v>Temporary Constructions</v>
          </cell>
          <cell r="F29">
            <v>14814.694408322497</v>
          </cell>
        </row>
        <row r="30">
          <cell r="D30" t="str">
            <v>Temporary Constructions</v>
          </cell>
          <cell r="F30">
            <v>14814.694408322497</v>
          </cell>
        </row>
        <row r="31">
          <cell r="D31" t="str">
            <v>Temporary Constructions</v>
          </cell>
          <cell r="F31">
            <v>14814.694408322497</v>
          </cell>
        </row>
        <row r="32">
          <cell r="D32" t="str">
            <v>Temporary Constructions</v>
          </cell>
          <cell r="F32">
            <v>3961.78947368421</v>
          </cell>
        </row>
        <row r="33">
          <cell r="D33" t="str">
            <v>Temporary Constructions</v>
          </cell>
          <cell r="F33">
            <v>3466748.1887755101</v>
          </cell>
        </row>
        <row r="34">
          <cell r="D34" t="str">
            <v>Temporary Constructions</v>
          </cell>
          <cell r="F34">
            <v>1665211.1494974873</v>
          </cell>
        </row>
        <row r="35">
          <cell r="D35" t="str">
            <v>Temporary Constructions</v>
          </cell>
          <cell r="F35">
            <v>7614278.2424242422</v>
          </cell>
        </row>
        <row r="36">
          <cell r="D36" t="str">
            <v>Temporary Constructions</v>
          </cell>
          <cell r="F36">
            <v>74651.904761904763</v>
          </cell>
        </row>
        <row r="37">
          <cell r="D37" t="str">
            <v>Temporary Constructions</v>
          </cell>
          <cell r="F37">
            <v>74651.904761904763</v>
          </cell>
        </row>
        <row r="38">
          <cell r="D38" t="str">
            <v>Temporary Constructions</v>
          </cell>
          <cell r="F38">
            <v>107922.44845360825</v>
          </cell>
        </row>
        <row r="39">
          <cell r="D39" t="str">
            <v>Temporary Constructions</v>
          </cell>
          <cell r="F39">
            <v>107922.44845360825</v>
          </cell>
        </row>
        <row r="40">
          <cell r="D40" t="str">
            <v>Temporary Constructions</v>
          </cell>
          <cell r="F40">
            <v>16693953.571428571</v>
          </cell>
        </row>
        <row r="41">
          <cell r="D41" t="str">
            <v>Other Office Equipment</v>
          </cell>
          <cell r="F41">
            <v>0</v>
          </cell>
          <cell r="G41">
            <v>275</v>
          </cell>
          <cell r="H41">
            <v>0</v>
          </cell>
        </row>
        <row r="42">
          <cell r="D42" t="str">
            <v>Other Office Equipment</v>
          </cell>
          <cell r="F42">
            <v>0</v>
          </cell>
          <cell r="G42">
            <v>275</v>
          </cell>
          <cell r="H42">
            <v>0</v>
          </cell>
        </row>
        <row r="43">
          <cell r="D43" t="str">
            <v>Other Office Equipment</v>
          </cell>
          <cell r="F43">
            <v>0</v>
          </cell>
          <cell r="G43">
            <v>275</v>
          </cell>
          <cell r="H43">
            <v>0</v>
          </cell>
        </row>
        <row r="44">
          <cell r="D44" t="str">
            <v>Other Office Equipment</v>
          </cell>
          <cell r="F44">
            <v>0</v>
          </cell>
          <cell r="G44">
            <v>275</v>
          </cell>
          <cell r="H44">
            <v>0</v>
          </cell>
        </row>
        <row r="45">
          <cell r="D45" t="str">
            <v>Other Office Equipment</v>
          </cell>
          <cell r="F45">
            <v>0</v>
          </cell>
          <cell r="G45">
            <v>275</v>
          </cell>
          <cell r="H45">
            <v>0</v>
          </cell>
        </row>
        <row r="46">
          <cell r="D46" t="str">
            <v>Other Office Equipment</v>
          </cell>
          <cell r="F46">
            <v>0</v>
          </cell>
          <cell r="G46">
            <v>275</v>
          </cell>
          <cell r="H46">
            <v>0</v>
          </cell>
        </row>
        <row r="47">
          <cell r="D47" t="str">
            <v>Other Office Equipment</v>
          </cell>
          <cell r="F47">
            <v>2461.7275000000009</v>
          </cell>
          <cell r="G47">
            <v>275</v>
          </cell>
          <cell r="H47">
            <v>2028.303013698631</v>
          </cell>
        </row>
        <row r="48">
          <cell r="D48" t="str">
            <v>Other Office Equipment</v>
          </cell>
          <cell r="F48">
            <v>27521.050000000003</v>
          </cell>
          <cell r="G48">
            <v>275</v>
          </cell>
          <cell r="H48">
            <v>22767.731506849319</v>
          </cell>
        </row>
        <row r="49">
          <cell r="D49" t="str">
            <v>Other Office Equipment</v>
          </cell>
          <cell r="F49">
            <v>15985.43</v>
          </cell>
          <cell r="G49">
            <v>275</v>
          </cell>
          <cell r="H49">
            <v>13236.507397260273</v>
          </cell>
        </row>
        <row r="50">
          <cell r="D50" t="str">
            <v>Other Office Equipment</v>
          </cell>
          <cell r="F50">
            <v>2749.6625000000004</v>
          </cell>
          <cell r="G50">
            <v>275</v>
          </cell>
          <cell r="H50">
            <v>2278.5178082191783</v>
          </cell>
        </row>
        <row r="51">
          <cell r="D51" t="str">
            <v>Other Office Equipment</v>
          </cell>
          <cell r="F51">
            <v>1078.7975000000001</v>
          </cell>
          <cell r="G51">
            <v>275</v>
          </cell>
          <cell r="H51">
            <v>896.31616438356173</v>
          </cell>
        </row>
        <row r="52">
          <cell r="D52" t="str">
            <v>Other Office Equipment</v>
          </cell>
          <cell r="F52">
            <v>3047</v>
          </cell>
          <cell r="G52">
            <v>275</v>
          </cell>
          <cell r="H52">
            <v>2531.6575342465753</v>
          </cell>
        </row>
        <row r="53">
          <cell r="D53" t="str">
            <v>Other Office Equipment</v>
          </cell>
          <cell r="F53">
            <v>4107.8824999999997</v>
          </cell>
          <cell r="G53">
            <v>275</v>
          </cell>
          <cell r="H53">
            <v>3413.136438356164</v>
          </cell>
        </row>
        <row r="54">
          <cell r="D54" t="str">
            <v>Other Office Equipment</v>
          </cell>
          <cell r="F54">
            <v>28941.777499999997</v>
          </cell>
          <cell r="G54">
            <v>275</v>
          </cell>
          <cell r="H54">
            <v>24112.911232876708</v>
          </cell>
        </row>
        <row r="55">
          <cell r="D55" t="str">
            <v>Other Office Equipment</v>
          </cell>
          <cell r="F55">
            <v>2093.25</v>
          </cell>
          <cell r="G55">
            <v>275</v>
          </cell>
          <cell r="H55">
            <v>1746.1095890410959</v>
          </cell>
        </row>
        <row r="56">
          <cell r="D56" t="str">
            <v>Other Office Equipment</v>
          </cell>
          <cell r="F56">
            <v>11861.21</v>
          </cell>
          <cell r="G56">
            <v>275</v>
          </cell>
          <cell r="H56">
            <v>9894.176438356164</v>
          </cell>
        </row>
        <row r="57">
          <cell r="D57" t="str">
            <v>Other Office Equipment</v>
          </cell>
          <cell r="F57">
            <v>10445.904999999999</v>
          </cell>
          <cell r="G57">
            <v>275</v>
          </cell>
          <cell r="H57">
            <v>8871.1758904109574</v>
          </cell>
        </row>
        <row r="58">
          <cell r="D58" t="str">
            <v>Other Office Equipment</v>
          </cell>
          <cell r="F58">
            <v>2234.665</v>
          </cell>
          <cell r="G58">
            <v>275</v>
          </cell>
          <cell r="H58">
            <v>1920.2345205479451</v>
          </cell>
        </row>
        <row r="59">
          <cell r="D59" t="str">
            <v>Other Office Equipment</v>
          </cell>
          <cell r="F59">
            <v>3453.9750000000004</v>
          </cell>
          <cell r="G59">
            <v>275</v>
          </cell>
          <cell r="H59">
            <v>3017.7232876712333</v>
          </cell>
        </row>
        <row r="60">
          <cell r="D60" t="str">
            <v>Other Office Equipment</v>
          </cell>
          <cell r="F60">
            <v>0</v>
          </cell>
          <cell r="G60">
            <v>275</v>
          </cell>
          <cell r="H60">
            <v>0</v>
          </cell>
        </row>
        <row r="61">
          <cell r="D61" t="str">
            <v>Other Office Equipment</v>
          </cell>
          <cell r="F61">
            <v>7363.5</v>
          </cell>
          <cell r="G61">
            <v>275</v>
          </cell>
          <cell r="H61">
            <v>6540.3835616438355</v>
          </cell>
        </row>
        <row r="62">
          <cell r="D62" t="str">
            <v>Other Office Equipment</v>
          </cell>
          <cell r="F62">
            <v>2478.25</v>
          </cell>
          <cell r="G62">
            <v>275</v>
          </cell>
          <cell r="H62">
            <v>2217</v>
          </cell>
        </row>
        <row r="63">
          <cell r="D63" t="str">
            <v>Other Office Equipment</v>
          </cell>
          <cell r="F63">
            <v>2489.25</v>
          </cell>
          <cell r="G63">
            <v>275</v>
          </cell>
          <cell r="H63">
            <v>2228</v>
          </cell>
        </row>
        <row r="64">
          <cell r="D64" t="str">
            <v>Other Office Equipment</v>
          </cell>
          <cell r="F64">
            <v>2055</v>
          </cell>
          <cell r="G64">
            <v>275</v>
          </cell>
          <cell r="H64">
            <v>1840.2739726027398</v>
          </cell>
        </row>
        <row r="65">
          <cell r="D65" t="str">
            <v>Other Office Equipment</v>
          </cell>
          <cell r="F65">
            <v>5954.25</v>
          </cell>
          <cell r="G65">
            <v>275</v>
          </cell>
          <cell r="H65">
            <v>5392.3835616438355</v>
          </cell>
        </row>
        <row r="66">
          <cell r="D66" t="str">
            <v>Other Office Equipment</v>
          </cell>
          <cell r="F66">
            <v>0</v>
          </cell>
          <cell r="G66">
            <v>275</v>
          </cell>
          <cell r="H66">
            <v>0</v>
          </cell>
        </row>
        <row r="67">
          <cell r="D67" t="str">
            <v>Other Office Equipment</v>
          </cell>
          <cell r="F67">
            <v>3682</v>
          </cell>
          <cell r="G67">
            <v>275</v>
          </cell>
          <cell r="H67">
            <v>3338.4383561643835</v>
          </cell>
        </row>
        <row r="68">
          <cell r="D68" t="str">
            <v>Other Office Equipment</v>
          </cell>
          <cell r="F68">
            <v>3521.75</v>
          </cell>
          <cell r="G68">
            <v>275</v>
          </cell>
          <cell r="H68">
            <v>3196.0821917808221</v>
          </cell>
        </row>
        <row r="69">
          <cell r="D69" t="str">
            <v>Other Office Equipment</v>
          </cell>
          <cell r="F69">
            <v>23930.75</v>
          </cell>
          <cell r="G69">
            <v>275</v>
          </cell>
          <cell r="H69">
            <v>22016.109589041094</v>
          </cell>
        </row>
        <row r="70">
          <cell r="D70" t="str">
            <v>Other Office Equipment</v>
          </cell>
          <cell r="F70">
            <v>2687.85</v>
          </cell>
          <cell r="G70">
            <v>275</v>
          </cell>
          <cell r="H70">
            <v>2489.5863013698631</v>
          </cell>
        </row>
        <row r="71">
          <cell r="D71" t="str">
            <v>Other Office Equipment</v>
          </cell>
          <cell r="F71">
            <v>68988</v>
          </cell>
          <cell r="G71">
            <v>275</v>
          </cell>
          <cell r="H71">
            <v>63906.150684931505</v>
          </cell>
        </row>
        <row r="72">
          <cell r="D72" t="str">
            <v>Other Office Equipment</v>
          </cell>
          <cell r="F72">
            <v>47820.08</v>
          </cell>
          <cell r="G72">
            <v>275</v>
          </cell>
          <cell r="H72">
            <v>44303.15397260274</v>
          </cell>
        </row>
        <row r="73">
          <cell r="D73" t="str">
            <v>Other Office Equipment</v>
          </cell>
          <cell r="F73">
            <v>18648.080000000002</v>
          </cell>
          <cell r="G73">
            <v>275</v>
          </cell>
          <cell r="H73">
            <v>17278.414246575343</v>
          </cell>
        </row>
        <row r="74">
          <cell r="D74" t="str">
            <v>Other Office Equipment</v>
          </cell>
          <cell r="F74">
            <v>22124.25</v>
          </cell>
          <cell r="G74">
            <v>275</v>
          </cell>
          <cell r="H74">
            <v>20603.273972602739</v>
          </cell>
        </row>
        <row r="75">
          <cell r="D75" t="str">
            <v>Other Office Equipment</v>
          </cell>
          <cell r="F75">
            <v>7550.25</v>
          </cell>
          <cell r="G75">
            <v>275</v>
          </cell>
          <cell r="H75">
            <v>7031.3287671232874</v>
          </cell>
        </row>
        <row r="76">
          <cell r="D76" t="str">
            <v>Other Office Equipment</v>
          </cell>
          <cell r="F76">
            <v>52084</v>
          </cell>
          <cell r="G76">
            <v>275</v>
          </cell>
          <cell r="H76">
            <v>48505.232876712325</v>
          </cell>
        </row>
        <row r="77">
          <cell r="D77" t="str">
            <v>Other Office Equipment</v>
          </cell>
          <cell r="F77">
            <v>5108.0450000000001</v>
          </cell>
          <cell r="G77">
            <v>275</v>
          </cell>
          <cell r="H77">
            <v>4765.2706849315073</v>
          </cell>
        </row>
        <row r="78">
          <cell r="D78" t="str">
            <v>Other Office Equipment</v>
          </cell>
          <cell r="F78">
            <v>89072.5</v>
          </cell>
          <cell r="G78">
            <v>275</v>
          </cell>
          <cell r="H78">
            <v>83167.534246575349</v>
          </cell>
        </row>
        <row r="79">
          <cell r="D79" t="str">
            <v>Other Office Equipment</v>
          </cell>
          <cell r="F79">
            <v>3022.4749999999999</v>
          </cell>
          <cell r="G79">
            <v>275</v>
          </cell>
          <cell r="H79">
            <v>2822.421917808219</v>
          </cell>
        </row>
        <row r="80">
          <cell r="D80" t="str">
            <v>Other Office Equipment</v>
          </cell>
          <cell r="F80">
            <v>5406</v>
          </cell>
          <cell r="G80">
            <v>275</v>
          </cell>
          <cell r="H80">
            <v>5048.1232876712329</v>
          </cell>
        </row>
        <row r="81">
          <cell r="D81" t="str">
            <v>Other Office Equipment</v>
          </cell>
          <cell r="F81">
            <v>6290.3374999999996</v>
          </cell>
          <cell r="G81">
            <v>275</v>
          </cell>
          <cell r="H81">
            <v>5873.9479452054793</v>
          </cell>
        </row>
        <row r="82">
          <cell r="D82" t="str">
            <v>Other Office Equipment</v>
          </cell>
          <cell r="F82">
            <v>7298.75</v>
          </cell>
          <cell r="G82">
            <v>275</v>
          </cell>
          <cell r="H82">
            <v>6815.6164383561645</v>
          </cell>
        </row>
        <row r="83">
          <cell r="D83" t="str">
            <v>Other Office Equipment</v>
          </cell>
          <cell r="F83">
            <v>7549.6625000000004</v>
          </cell>
          <cell r="G83">
            <v>275</v>
          </cell>
          <cell r="H83">
            <v>7049.8876712328774</v>
          </cell>
        </row>
        <row r="84">
          <cell r="D84" t="str">
            <v>Other Office Equipment</v>
          </cell>
          <cell r="F84">
            <v>11894</v>
          </cell>
          <cell r="G84">
            <v>275</v>
          </cell>
          <cell r="H84">
            <v>11106.671232876712</v>
          </cell>
        </row>
        <row r="85">
          <cell r="D85" t="str">
            <v>Other Office Equipment</v>
          </cell>
          <cell r="F85">
            <v>12696.4625</v>
          </cell>
          <cell r="G85">
            <v>275</v>
          </cell>
          <cell r="H85">
            <v>11855.989041095891</v>
          </cell>
        </row>
        <row r="86">
          <cell r="D86" t="str">
            <v>Other Office Equipment</v>
          </cell>
          <cell r="F86">
            <v>23246.5</v>
          </cell>
          <cell r="G86">
            <v>275</v>
          </cell>
          <cell r="H86">
            <v>21707.630136986299</v>
          </cell>
        </row>
        <row r="87">
          <cell r="D87" t="str">
            <v>Other Office Equipment</v>
          </cell>
          <cell r="F87">
            <v>71878.542499999996</v>
          </cell>
          <cell r="G87">
            <v>275</v>
          </cell>
          <cell r="H87">
            <v>67120.321095890409</v>
          </cell>
        </row>
        <row r="88">
          <cell r="D88" t="str">
            <v>Other Office Equipment</v>
          </cell>
          <cell r="F88">
            <v>116718.75</v>
          </cell>
          <cell r="G88">
            <v>275</v>
          </cell>
          <cell r="H88">
            <v>108992.19178082192</v>
          </cell>
        </row>
        <row r="89">
          <cell r="D89" t="str">
            <v>Other Office Equipment</v>
          </cell>
          <cell r="F89">
            <v>128865.52</v>
          </cell>
          <cell r="G89">
            <v>275</v>
          </cell>
          <cell r="H89">
            <v>120334.88438356164</v>
          </cell>
        </row>
        <row r="90">
          <cell r="D90" t="str">
            <v>Other Office Equipment</v>
          </cell>
          <cell r="F90">
            <v>129288.375</v>
          </cell>
          <cell r="G90">
            <v>275</v>
          </cell>
          <cell r="H90">
            <v>120729.75342465754</v>
          </cell>
        </row>
        <row r="91">
          <cell r="D91" t="str">
            <v>Other Office Equipment</v>
          </cell>
          <cell r="F91">
            <v>134020.60749999998</v>
          </cell>
          <cell r="G91">
            <v>275</v>
          </cell>
          <cell r="H91">
            <v>125148.73643835615</v>
          </cell>
        </row>
        <row r="92">
          <cell r="D92" t="str">
            <v>Other Office Equipment</v>
          </cell>
          <cell r="F92">
            <v>319433.67499999999</v>
          </cell>
          <cell r="G92">
            <v>275</v>
          </cell>
          <cell r="H92">
            <v>298287.81369863014</v>
          </cell>
        </row>
        <row r="93">
          <cell r="D93" t="str">
            <v>Other Office Equipment</v>
          </cell>
          <cell r="F93">
            <v>422952.28</v>
          </cell>
          <cell r="G93">
            <v>275</v>
          </cell>
          <cell r="H93">
            <v>394953.72383561649</v>
          </cell>
        </row>
        <row r="94">
          <cell r="D94" t="str">
            <v>Other Office Equipment</v>
          </cell>
          <cell r="F94">
            <v>4816.8175000000001</v>
          </cell>
          <cell r="G94">
            <v>275</v>
          </cell>
          <cell r="H94">
            <v>4499.4882191780825</v>
          </cell>
        </row>
        <row r="95">
          <cell r="D95" t="str">
            <v>Other Office Equipment</v>
          </cell>
          <cell r="F95">
            <v>13580.5</v>
          </cell>
          <cell r="G95">
            <v>275</v>
          </cell>
          <cell r="H95">
            <v>12685.808219178081</v>
          </cell>
        </row>
        <row r="96">
          <cell r="D96" t="str">
            <v>Other Office Equipment</v>
          </cell>
          <cell r="F96">
            <v>6386.25</v>
          </cell>
          <cell r="G96">
            <v>275</v>
          </cell>
          <cell r="H96">
            <v>5967.5342465753429</v>
          </cell>
        </row>
        <row r="97">
          <cell r="D97" t="str">
            <v>Other Office Equipment</v>
          </cell>
          <cell r="F97">
            <v>9000.75</v>
          </cell>
          <cell r="G97">
            <v>275</v>
          </cell>
          <cell r="H97">
            <v>8417.4109589041091</v>
          </cell>
        </row>
        <row r="98">
          <cell r="D98" t="str">
            <v>Other Office Equipment</v>
          </cell>
          <cell r="F98">
            <v>4183.7375000000002</v>
          </cell>
          <cell r="G98">
            <v>275</v>
          </cell>
          <cell r="H98">
            <v>3933.4027397260274</v>
          </cell>
        </row>
        <row r="99">
          <cell r="D99" t="str">
            <v>Other Office Equipment</v>
          </cell>
          <cell r="F99">
            <v>82738.342499999999</v>
          </cell>
          <cell r="G99">
            <v>275</v>
          </cell>
          <cell r="H99">
            <v>77868.463561643832</v>
          </cell>
        </row>
        <row r="100">
          <cell r="D100" t="str">
            <v>Other Office Equipment</v>
          </cell>
          <cell r="F100">
            <v>7488.625</v>
          </cell>
          <cell r="G100">
            <v>275</v>
          </cell>
          <cell r="H100">
            <v>7057.3835616438355</v>
          </cell>
        </row>
        <row r="101">
          <cell r="D101" t="str">
            <v>Other Office Equipment</v>
          </cell>
          <cell r="F101">
            <v>21096.75</v>
          </cell>
          <cell r="G101">
            <v>275</v>
          </cell>
          <cell r="H101">
            <v>19897.863013698628</v>
          </cell>
        </row>
        <row r="102">
          <cell r="D102" t="str">
            <v>Other Office Equipment</v>
          </cell>
          <cell r="F102">
            <v>0</v>
          </cell>
          <cell r="G102">
            <v>275</v>
          </cell>
          <cell r="H102">
            <v>0</v>
          </cell>
        </row>
        <row r="103">
          <cell r="D103" t="str">
            <v>Other Office Equipment</v>
          </cell>
          <cell r="F103">
            <v>4816.75</v>
          </cell>
          <cell r="G103">
            <v>275</v>
          </cell>
          <cell r="H103">
            <v>4548.3424657534251</v>
          </cell>
        </row>
        <row r="104">
          <cell r="D104" t="str">
            <v>Other Office Equipment</v>
          </cell>
          <cell r="F104">
            <v>5550.25</v>
          </cell>
          <cell r="G104">
            <v>275</v>
          </cell>
          <cell r="H104">
            <v>5246.0547945205481</v>
          </cell>
        </row>
        <row r="105">
          <cell r="D105" t="str">
            <v>Other Office Equipment</v>
          </cell>
          <cell r="F105">
            <v>9467.25</v>
          </cell>
          <cell r="G105">
            <v>275</v>
          </cell>
          <cell r="H105">
            <v>8948.3287671232883</v>
          </cell>
        </row>
        <row r="106">
          <cell r="D106" t="str">
            <v>Other Office Equipment</v>
          </cell>
          <cell r="F106">
            <v>0</v>
          </cell>
          <cell r="G106">
            <v>275</v>
          </cell>
          <cell r="H106">
            <v>0</v>
          </cell>
        </row>
        <row r="107">
          <cell r="D107" t="str">
            <v>Other Office Equipment</v>
          </cell>
          <cell r="F107">
            <v>16531.5</v>
          </cell>
          <cell r="G107">
            <v>275</v>
          </cell>
          <cell r="H107">
            <v>15636.808219178081</v>
          </cell>
        </row>
        <row r="108">
          <cell r="D108" t="str">
            <v>Other Office Equipment</v>
          </cell>
          <cell r="F108">
            <v>5640.25</v>
          </cell>
          <cell r="G108">
            <v>275</v>
          </cell>
          <cell r="H108">
            <v>5336.0547945205481</v>
          </cell>
        </row>
        <row r="109">
          <cell r="D109" t="str">
            <v>Other Office Equipment</v>
          </cell>
          <cell r="F109">
            <v>6783.5</v>
          </cell>
          <cell r="G109">
            <v>275</v>
          </cell>
          <cell r="H109">
            <v>6418.4657534246571</v>
          </cell>
        </row>
        <row r="110">
          <cell r="F110">
            <v>21502</v>
          </cell>
          <cell r="G110">
            <v>275</v>
          </cell>
          <cell r="H110">
            <v>20356.794520547945</v>
          </cell>
        </row>
        <row r="111">
          <cell r="D111" t="str">
            <v>Other Office Equipment</v>
          </cell>
          <cell r="F111">
            <v>15511.5</v>
          </cell>
          <cell r="G111">
            <v>275</v>
          </cell>
          <cell r="H111">
            <v>14688.383561643835</v>
          </cell>
        </row>
        <row r="112">
          <cell r="D112" t="str">
            <v>Other Office Equipment</v>
          </cell>
          <cell r="F112">
            <v>5885.7</v>
          </cell>
          <cell r="G112">
            <v>275</v>
          </cell>
          <cell r="H112">
            <v>5575.0630136986301</v>
          </cell>
        </row>
        <row r="113">
          <cell r="D113" t="str">
            <v>Other Office Equipment</v>
          </cell>
          <cell r="F113">
            <v>9034.130000000001</v>
          </cell>
          <cell r="G113">
            <v>275</v>
          </cell>
          <cell r="H113">
            <v>8565.5978082191796</v>
          </cell>
        </row>
        <row r="114">
          <cell r="D114" t="str">
            <v>Other Office Equipment</v>
          </cell>
          <cell r="F114">
            <v>44046.25</v>
          </cell>
          <cell r="G114">
            <v>275</v>
          </cell>
          <cell r="H114">
            <v>41823.835616438359</v>
          </cell>
        </row>
        <row r="115">
          <cell r="D115" t="str">
            <v>Other Office Equipment</v>
          </cell>
          <cell r="F115">
            <v>88945.862500000003</v>
          </cell>
          <cell r="G115">
            <v>275</v>
          </cell>
          <cell r="H115">
            <v>84492.265753424654</v>
          </cell>
        </row>
        <row r="116">
          <cell r="D116" t="str">
            <v>Other Office Equipment</v>
          </cell>
          <cell r="F116">
            <v>528274.81499999994</v>
          </cell>
          <cell r="G116">
            <v>275</v>
          </cell>
          <cell r="H116">
            <v>501833.23726027389</v>
          </cell>
        </row>
        <row r="117">
          <cell r="D117" t="str">
            <v>Other Office Equipment</v>
          </cell>
          <cell r="F117">
            <v>6895</v>
          </cell>
          <cell r="G117">
            <v>275</v>
          </cell>
          <cell r="H117">
            <v>6551.4383561643835</v>
          </cell>
        </row>
        <row r="118">
          <cell r="D118" t="str">
            <v>Other Office Equipment</v>
          </cell>
          <cell r="F118">
            <v>286581</v>
          </cell>
          <cell r="G118">
            <v>275</v>
          </cell>
          <cell r="H118">
            <v>272480.65753424657</v>
          </cell>
        </row>
        <row r="119">
          <cell r="D119" t="str">
            <v>Other Office Equipment</v>
          </cell>
          <cell r="F119">
            <v>124671</v>
          </cell>
          <cell r="G119">
            <v>275</v>
          </cell>
          <cell r="H119">
            <v>118715.93150684932</v>
          </cell>
        </row>
        <row r="120">
          <cell r="D120" t="str">
            <v>Other Office Equipment</v>
          </cell>
          <cell r="F120">
            <v>7560</v>
          </cell>
          <cell r="G120">
            <v>275</v>
          </cell>
          <cell r="H120">
            <v>7202.1232876712329</v>
          </cell>
        </row>
        <row r="121">
          <cell r="F121">
            <v>4199.75</v>
          </cell>
          <cell r="G121">
            <v>275</v>
          </cell>
          <cell r="H121">
            <v>4002.9178082191779</v>
          </cell>
        </row>
        <row r="122">
          <cell r="D122" t="str">
            <v>Other Office Equipment</v>
          </cell>
          <cell r="F122">
            <v>4016.3375000000001</v>
          </cell>
          <cell r="G122">
            <v>275</v>
          </cell>
          <cell r="H122">
            <v>3828.9890410958906</v>
          </cell>
        </row>
        <row r="123">
          <cell r="F123">
            <v>4066.25</v>
          </cell>
          <cell r="G123">
            <v>275</v>
          </cell>
          <cell r="H123">
            <v>3876.5753424657532</v>
          </cell>
        </row>
        <row r="124">
          <cell r="D124" t="str">
            <v>Other Office Equipment</v>
          </cell>
          <cell r="F124">
            <v>5381.5</v>
          </cell>
          <cell r="G124">
            <v>275</v>
          </cell>
          <cell r="H124">
            <v>5130.9863013698632</v>
          </cell>
        </row>
        <row r="125">
          <cell r="F125">
            <v>7687</v>
          </cell>
          <cell r="G125">
            <v>275</v>
          </cell>
          <cell r="H125">
            <v>7329.1232876712329</v>
          </cell>
        </row>
        <row r="126">
          <cell r="F126">
            <v>8459.5</v>
          </cell>
          <cell r="G126">
            <v>275</v>
          </cell>
          <cell r="H126">
            <v>8065.8356164383558</v>
          </cell>
        </row>
        <row r="127">
          <cell r="F127">
            <v>0</v>
          </cell>
          <cell r="G127">
            <v>275</v>
          </cell>
          <cell r="H127">
            <v>0</v>
          </cell>
        </row>
        <row r="128">
          <cell r="D128" t="str">
            <v>Other Office Equipment</v>
          </cell>
          <cell r="F128">
            <v>4093.25</v>
          </cell>
          <cell r="G128">
            <v>275</v>
          </cell>
          <cell r="H128">
            <v>3903.5753424657532</v>
          </cell>
        </row>
        <row r="129">
          <cell r="D129" t="str">
            <v>Other Office Equipment</v>
          </cell>
          <cell r="F129">
            <v>8471</v>
          </cell>
          <cell r="G129">
            <v>275</v>
          </cell>
          <cell r="H129">
            <v>8084.4931506849316</v>
          </cell>
        </row>
        <row r="130">
          <cell r="D130" t="str">
            <v>Other Office Equipment</v>
          </cell>
          <cell r="F130">
            <v>33004.294999999998</v>
          </cell>
          <cell r="G130">
            <v>275</v>
          </cell>
          <cell r="H130">
            <v>31498.421369863012</v>
          </cell>
        </row>
        <row r="131">
          <cell r="D131" t="str">
            <v>Other Office Equipment</v>
          </cell>
          <cell r="F131">
            <v>7386.5</v>
          </cell>
          <cell r="G131">
            <v>275</v>
          </cell>
          <cell r="H131">
            <v>7050.0958904109593</v>
          </cell>
        </row>
        <row r="132">
          <cell r="D132" t="str">
            <v>Other Office Equipment</v>
          </cell>
          <cell r="F132">
            <v>0</v>
          </cell>
          <cell r="G132">
            <v>275</v>
          </cell>
          <cell r="H132">
            <v>0</v>
          </cell>
        </row>
        <row r="133">
          <cell r="F133">
            <v>0</v>
          </cell>
          <cell r="G133">
            <v>275</v>
          </cell>
          <cell r="H133">
            <v>0</v>
          </cell>
        </row>
        <row r="134">
          <cell r="F134">
            <v>0</v>
          </cell>
          <cell r="G134">
            <v>275</v>
          </cell>
          <cell r="H134">
            <v>0</v>
          </cell>
        </row>
        <row r="135">
          <cell r="D135" t="str">
            <v>Other Office Equipment</v>
          </cell>
          <cell r="F135">
            <v>0</v>
          </cell>
          <cell r="G135">
            <v>275</v>
          </cell>
          <cell r="H135">
            <v>0</v>
          </cell>
        </row>
        <row r="136">
          <cell r="F136">
            <v>12529.862499999999</v>
          </cell>
          <cell r="G136">
            <v>275</v>
          </cell>
          <cell r="H136">
            <v>11969.964383561643</v>
          </cell>
        </row>
        <row r="137">
          <cell r="F137">
            <v>8857.5</v>
          </cell>
          <cell r="G137">
            <v>275</v>
          </cell>
          <cell r="H137">
            <v>8463.8356164383567</v>
          </cell>
        </row>
        <row r="138">
          <cell r="F138">
            <v>4446.75</v>
          </cell>
          <cell r="G138">
            <v>275</v>
          </cell>
          <cell r="H138">
            <v>4249.9178082191784</v>
          </cell>
        </row>
        <row r="139">
          <cell r="D139" t="str">
            <v>Other Office Equipment</v>
          </cell>
          <cell r="F139">
            <v>72034.852500000008</v>
          </cell>
          <cell r="G139">
            <v>275</v>
          </cell>
          <cell r="H139">
            <v>68858.303013698634</v>
          </cell>
        </row>
        <row r="140">
          <cell r="D140" t="str">
            <v>Other Office Equipment</v>
          </cell>
          <cell r="F140">
            <v>16989.25</v>
          </cell>
          <cell r="G140">
            <v>275</v>
          </cell>
          <cell r="H140">
            <v>16241.287671232876</v>
          </cell>
        </row>
        <row r="141">
          <cell r="D141" t="str">
            <v>Other Office Equipment</v>
          </cell>
          <cell r="F141">
            <v>10821</v>
          </cell>
          <cell r="G141">
            <v>275</v>
          </cell>
          <cell r="H141">
            <v>10348.602739726028</v>
          </cell>
        </row>
        <row r="142">
          <cell r="D142" t="str">
            <v>Other Office Equipment</v>
          </cell>
          <cell r="F142">
            <v>29452.974999999999</v>
          </cell>
          <cell r="G142">
            <v>275</v>
          </cell>
          <cell r="H142">
            <v>28200.764383561644</v>
          </cell>
        </row>
        <row r="143">
          <cell r="D143" t="str">
            <v>Other Office Equipment</v>
          </cell>
          <cell r="F143">
            <v>352233.3</v>
          </cell>
          <cell r="G143">
            <v>275</v>
          </cell>
          <cell r="H143">
            <v>337327.01917808218</v>
          </cell>
        </row>
        <row r="144">
          <cell r="D144" t="str">
            <v>Other Office Equipment</v>
          </cell>
          <cell r="F144">
            <v>77782.42</v>
          </cell>
          <cell r="G144">
            <v>275</v>
          </cell>
          <cell r="H144">
            <v>74506.84602739726</v>
          </cell>
        </row>
        <row r="145">
          <cell r="D145" t="str">
            <v>Other Office Equipment</v>
          </cell>
          <cell r="F145">
            <v>28913.85</v>
          </cell>
          <cell r="G145">
            <v>275</v>
          </cell>
          <cell r="H145">
            <v>27699.216438356161</v>
          </cell>
        </row>
        <row r="146">
          <cell r="D146" t="str">
            <v>Other Office Equipment</v>
          </cell>
          <cell r="F146">
            <v>0</v>
          </cell>
          <cell r="G146">
            <v>275</v>
          </cell>
          <cell r="H146">
            <v>0</v>
          </cell>
        </row>
        <row r="147">
          <cell r="D147" t="str">
            <v>Other Office Equipment</v>
          </cell>
          <cell r="F147">
            <v>4779</v>
          </cell>
          <cell r="G147">
            <v>275</v>
          </cell>
          <cell r="H147">
            <v>4578.58904109589</v>
          </cell>
        </row>
        <row r="148">
          <cell r="D148" t="str">
            <v>Other Office Equipment</v>
          </cell>
          <cell r="F148">
            <v>4779</v>
          </cell>
          <cell r="G148">
            <v>275</v>
          </cell>
          <cell r="H148">
            <v>4578.58904109589</v>
          </cell>
        </row>
        <row r="149">
          <cell r="D149" t="str">
            <v>Other Office Equipment</v>
          </cell>
          <cell r="F149">
            <v>8961.25</v>
          </cell>
          <cell r="G149">
            <v>275</v>
          </cell>
          <cell r="H149">
            <v>8585.4794520547948</v>
          </cell>
        </row>
        <row r="150">
          <cell r="D150" t="str">
            <v>Other Office Equipment</v>
          </cell>
          <cell r="F150">
            <v>10285</v>
          </cell>
          <cell r="G150">
            <v>275</v>
          </cell>
          <cell r="H150">
            <v>9855.5479452054788</v>
          </cell>
        </row>
        <row r="151">
          <cell r="D151" t="str">
            <v>Other Office Equipment</v>
          </cell>
          <cell r="F151">
            <v>270030.5</v>
          </cell>
          <cell r="G151">
            <v>275</v>
          </cell>
          <cell r="H151">
            <v>258757.38356164383</v>
          </cell>
        </row>
        <row r="152">
          <cell r="D152" t="str">
            <v>Other Office Equipment</v>
          </cell>
          <cell r="F152">
            <v>252924.5</v>
          </cell>
          <cell r="G152">
            <v>275</v>
          </cell>
          <cell r="H152">
            <v>242367.13698630137</v>
          </cell>
        </row>
        <row r="153">
          <cell r="D153" t="str">
            <v>Other Office Equipment</v>
          </cell>
          <cell r="F153">
            <v>0</v>
          </cell>
          <cell r="G153">
            <v>275</v>
          </cell>
          <cell r="H153">
            <v>0</v>
          </cell>
        </row>
        <row r="154">
          <cell r="D154" t="str">
            <v>Other Office Equipment</v>
          </cell>
          <cell r="F154">
            <v>12006.33</v>
          </cell>
          <cell r="G154">
            <v>275</v>
          </cell>
          <cell r="H154">
            <v>11506.304657534247</v>
          </cell>
        </row>
        <row r="155">
          <cell r="D155" t="str">
            <v>Other Office Equipment</v>
          </cell>
          <cell r="F155">
            <v>12893.5</v>
          </cell>
          <cell r="G155">
            <v>275</v>
          </cell>
          <cell r="H155">
            <v>12356.68493150685</v>
          </cell>
        </row>
        <row r="156">
          <cell r="D156" t="str">
            <v>Other Office Equipment</v>
          </cell>
          <cell r="F156">
            <v>43838.5</v>
          </cell>
          <cell r="G156">
            <v>275</v>
          </cell>
          <cell r="H156">
            <v>42013.32876712329</v>
          </cell>
        </row>
        <row r="157">
          <cell r="D157" t="str">
            <v>Other Office Equipment</v>
          </cell>
          <cell r="F157">
            <v>11774.725</v>
          </cell>
          <cell r="G157">
            <v>275</v>
          </cell>
          <cell r="H157">
            <v>11284.791780821919</v>
          </cell>
        </row>
        <row r="158">
          <cell r="D158" t="str">
            <v>Other Office Equipment</v>
          </cell>
          <cell r="F158">
            <v>0</v>
          </cell>
          <cell r="G158">
            <v>275</v>
          </cell>
          <cell r="H158">
            <v>0</v>
          </cell>
        </row>
        <row r="159">
          <cell r="D159" t="str">
            <v>Other Office Equipment</v>
          </cell>
          <cell r="F159">
            <v>8609</v>
          </cell>
          <cell r="G159">
            <v>275</v>
          </cell>
          <cell r="H159">
            <v>8251.1232876712329</v>
          </cell>
        </row>
        <row r="160">
          <cell r="D160" t="str">
            <v>Other Office Equipment</v>
          </cell>
          <cell r="F160">
            <v>25403.75</v>
          </cell>
          <cell r="G160">
            <v>275</v>
          </cell>
          <cell r="H160">
            <v>24348.013698630137</v>
          </cell>
        </row>
        <row r="161">
          <cell r="D161" t="str">
            <v>Other Office Equipment</v>
          </cell>
          <cell r="F161">
            <v>10354</v>
          </cell>
          <cell r="G161">
            <v>275</v>
          </cell>
          <cell r="H161">
            <v>9924.5479452054788</v>
          </cell>
        </row>
        <row r="162">
          <cell r="D162" t="str">
            <v>Other Office Equipment</v>
          </cell>
          <cell r="F162">
            <v>79560</v>
          </cell>
          <cell r="G162">
            <v>275</v>
          </cell>
          <cell r="H162">
            <v>76267.534246575349</v>
          </cell>
        </row>
        <row r="163">
          <cell r="D163" t="str">
            <v>Other Office Equipment</v>
          </cell>
          <cell r="F163">
            <v>15243</v>
          </cell>
          <cell r="G163">
            <v>275</v>
          </cell>
          <cell r="H163">
            <v>14613.13698630137</v>
          </cell>
        </row>
        <row r="164">
          <cell r="D164" t="str">
            <v>Other Office Equipment</v>
          </cell>
          <cell r="F164">
            <v>22148.75</v>
          </cell>
          <cell r="G164">
            <v>275</v>
          </cell>
          <cell r="H164">
            <v>21236.164383561645</v>
          </cell>
        </row>
        <row r="165">
          <cell r="D165" t="str">
            <v>Other Office Equipment</v>
          </cell>
          <cell r="F165">
            <v>0</v>
          </cell>
          <cell r="G165">
            <v>275</v>
          </cell>
          <cell r="H165">
            <v>0</v>
          </cell>
        </row>
        <row r="166">
          <cell r="D166" t="str">
            <v>Other Office Equipment</v>
          </cell>
          <cell r="F166">
            <v>5696.25</v>
          </cell>
          <cell r="G166">
            <v>275</v>
          </cell>
          <cell r="H166">
            <v>5463.6301369863013</v>
          </cell>
        </row>
        <row r="167">
          <cell r="D167" t="str">
            <v>Other Office Equipment</v>
          </cell>
          <cell r="F167">
            <v>155344.1225</v>
          </cell>
          <cell r="G167">
            <v>275</v>
          </cell>
          <cell r="H167">
            <v>149022.98191780821</v>
          </cell>
        </row>
        <row r="168">
          <cell r="D168" t="str">
            <v>Other Office Equipment</v>
          </cell>
          <cell r="F168">
            <v>14306.6</v>
          </cell>
          <cell r="G168">
            <v>275</v>
          </cell>
          <cell r="H168">
            <v>13725.408219178082</v>
          </cell>
        </row>
        <row r="169">
          <cell r="D169" t="str">
            <v>Other Office Equipment</v>
          </cell>
          <cell r="F169">
            <v>19282.7</v>
          </cell>
          <cell r="G169">
            <v>275</v>
          </cell>
          <cell r="H169">
            <v>18499.665753424659</v>
          </cell>
        </row>
        <row r="170">
          <cell r="D170" t="str">
            <v>Other Office Equipment</v>
          </cell>
          <cell r="F170">
            <v>96063.5</v>
          </cell>
          <cell r="G170">
            <v>275</v>
          </cell>
          <cell r="H170">
            <v>92162.643835616444</v>
          </cell>
        </row>
        <row r="171">
          <cell r="D171" t="str">
            <v>Other Office Equipment</v>
          </cell>
          <cell r="F171">
            <v>17645</v>
          </cell>
          <cell r="G171">
            <v>275</v>
          </cell>
          <cell r="H171">
            <v>16929.246575342466</v>
          </cell>
        </row>
        <row r="172">
          <cell r="D172" t="str">
            <v>Other Office Equipment</v>
          </cell>
          <cell r="F172">
            <v>10533.942500000001</v>
          </cell>
          <cell r="G172">
            <v>275</v>
          </cell>
          <cell r="H172">
            <v>10107.46082191781</v>
          </cell>
        </row>
        <row r="173">
          <cell r="D173" t="str">
            <v>Other Office Equipment</v>
          </cell>
          <cell r="F173">
            <v>0</v>
          </cell>
          <cell r="G173">
            <v>275</v>
          </cell>
          <cell r="H173">
            <v>0</v>
          </cell>
        </row>
        <row r="174">
          <cell r="D174" t="str">
            <v>Other Office Equipment</v>
          </cell>
          <cell r="F174">
            <v>0</v>
          </cell>
          <cell r="G174">
            <v>275</v>
          </cell>
          <cell r="H174">
            <v>0</v>
          </cell>
        </row>
        <row r="175">
          <cell r="D175" t="str">
            <v>Other Office Equipment</v>
          </cell>
          <cell r="F175">
            <v>0</v>
          </cell>
          <cell r="G175">
            <v>275</v>
          </cell>
          <cell r="H175">
            <v>0</v>
          </cell>
        </row>
        <row r="176">
          <cell r="D176" t="str">
            <v>Other Office Equipment</v>
          </cell>
          <cell r="F176">
            <v>0</v>
          </cell>
          <cell r="G176">
            <v>275</v>
          </cell>
          <cell r="H176">
            <v>0</v>
          </cell>
        </row>
        <row r="177">
          <cell r="D177" t="str">
            <v>Other Office Equipment</v>
          </cell>
          <cell r="F177">
            <v>26867.75</v>
          </cell>
          <cell r="G177">
            <v>275</v>
          </cell>
          <cell r="H177">
            <v>25726.123287671231</v>
          </cell>
        </row>
        <row r="178">
          <cell r="D178" t="str">
            <v>Other Office Equipment</v>
          </cell>
          <cell r="F178">
            <v>24232</v>
          </cell>
          <cell r="G178">
            <v>275</v>
          </cell>
          <cell r="H178">
            <v>23201.31506849315</v>
          </cell>
        </row>
        <row r="179">
          <cell r="D179" t="str">
            <v>Other Office Equipment</v>
          </cell>
          <cell r="F179">
            <v>0</v>
          </cell>
          <cell r="G179">
            <v>275</v>
          </cell>
          <cell r="H179">
            <v>0</v>
          </cell>
        </row>
        <row r="180">
          <cell r="D180" t="str">
            <v>Other Office Equipment</v>
          </cell>
          <cell r="F180">
            <v>0</v>
          </cell>
          <cell r="G180">
            <v>275</v>
          </cell>
          <cell r="H180">
            <v>0</v>
          </cell>
        </row>
        <row r="181">
          <cell r="D181" t="str">
            <v>Other Office Equipment</v>
          </cell>
          <cell r="F181">
            <v>8952.25</v>
          </cell>
          <cell r="G181">
            <v>275</v>
          </cell>
          <cell r="H181">
            <v>8590.7945205479446</v>
          </cell>
        </row>
        <row r="182">
          <cell r="D182" t="str">
            <v>Other Office Equipment</v>
          </cell>
          <cell r="F182">
            <v>9218</v>
          </cell>
          <cell r="G182">
            <v>275</v>
          </cell>
          <cell r="H182">
            <v>8845.8082191780813</v>
          </cell>
        </row>
        <row r="183">
          <cell r="D183" t="str">
            <v>Other Office Equipment</v>
          </cell>
          <cell r="F183">
            <v>7103</v>
          </cell>
          <cell r="G183">
            <v>275</v>
          </cell>
          <cell r="H183">
            <v>6816.6986301369861</v>
          </cell>
        </row>
        <row r="184">
          <cell r="F184">
            <v>9061.5</v>
          </cell>
          <cell r="G184">
            <v>275</v>
          </cell>
          <cell r="H184">
            <v>8696.465753424658</v>
          </cell>
        </row>
        <row r="185">
          <cell r="F185">
            <v>9263.0499999999993</v>
          </cell>
          <cell r="G185">
            <v>275</v>
          </cell>
          <cell r="H185">
            <v>8890.1424657534244</v>
          </cell>
        </row>
        <row r="186">
          <cell r="D186" t="str">
            <v>Other Office Equipment</v>
          </cell>
          <cell r="F186">
            <v>28429.95</v>
          </cell>
          <cell r="G186">
            <v>275</v>
          </cell>
          <cell r="H186">
            <v>27285.460273972603</v>
          </cell>
        </row>
        <row r="187">
          <cell r="D187" t="str">
            <v>Other Office Equipment</v>
          </cell>
          <cell r="F187">
            <v>22504.25</v>
          </cell>
          <cell r="G187">
            <v>275</v>
          </cell>
          <cell r="H187">
            <v>21598.821917808218</v>
          </cell>
        </row>
        <row r="188">
          <cell r="D188" t="str">
            <v>Other Office Equipment</v>
          </cell>
          <cell r="F188">
            <v>0</v>
          </cell>
          <cell r="G188">
            <v>275</v>
          </cell>
          <cell r="H188">
            <v>0</v>
          </cell>
        </row>
        <row r="189">
          <cell r="D189" t="str">
            <v>Other Office Equipment</v>
          </cell>
          <cell r="F189">
            <v>14683.25</v>
          </cell>
          <cell r="G189">
            <v>275</v>
          </cell>
          <cell r="H189">
            <v>14092.753424657534</v>
          </cell>
        </row>
        <row r="190">
          <cell r="D190" t="str">
            <v>Other Office Equipment</v>
          </cell>
          <cell r="F190">
            <v>4899.75</v>
          </cell>
          <cell r="G190">
            <v>275</v>
          </cell>
          <cell r="H190">
            <v>4702.9178082191784</v>
          </cell>
        </row>
        <row r="191">
          <cell r="D191" t="str">
            <v>Other Office Equipment</v>
          </cell>
          <cell r="F191">
            <v>14482.125</v>
          </cell>
          <cell r="G191">
            <v>275</v>
          </cell>
          <cell r="H191">
            <v>13900.575342465754</v>
          </cell>
        </row>
        <row r="192">
          <cell r="D192" t="str">
            <v>Other Office Equipment</v>
          </cell>
          <cell r="F192">
            <v>169329.95250000001</v>
          </cell>
          <cell r="G192">
            <v>275</v>
          </cell>
          <cell r="H192">
            <v>162530.2591780822</v>
          </cell>
        </row>
        <row r="193">
          <cell r="D193" t="str">
            <v>Other Office Equipment</v>
          </cell>
          <cell r="F193">
            <v>55340.15</v>
          </cell>
          <cell r="G193">
            <v>275</v>
          </cell>
          <cell r="H193">
            <v>53119.167123287676</v>
          </cell>
        </row>
        <row r="194">
          <cell r="D194" t="str">
            <v>Other Office Equipment</v>
          </cell>
          <cell r="F194">
            <v>5799.25</v>
          </cell>
          <cell r="G194">
            <v>275</v>
          </cell>
          <cell r="H194">
            <v>5566.6301369863013</v>
          </cell>
        </row>
        <row r="195">
          <cell r="D195" t="str">
            <v>Other Office Equipment</v>
          </cell>
          <cell r="F195">
            <v>77614.5</v>
          </cell>
          <cell r="G195">
            <v>275</v>
          </cell>
          <cell r="H195">
            <v>74500.972602739726</v>
          </cell>
        </row>
        <row r="196">
          <cell r="D196" t="str">
            <v>Other Office Equipment</v>
          </cell>
          <cell r="F196">
            <v>8832.75</v>
          </cell>
          <cell r="G196">
            <v>275</v>
          </cell>
          <cell r="H196">
            <v>8478.4520547945212</v>
          </cell>
        </row>
        <row r="197">
          <cell r="D197" t="str">
            <v>Other Office Equipment</v>
          </cell>
          <cell r="F197">
            <v>16074</v>
          </cell>
          <cell r="G197">
            <v>275</v>
          </cell>
          <cell r="H197">
            <v>15429.82191780822</v>
          </cell>
        </row>
        <row r="198">
          <cell r="D198" t="str">
            <v>Other Office Equipment</v>
          </cell>
          <cell r="F198">
            <v>20988.75</v>
          </cell>
          <cell r="G198">
            <v>275</v>
          </cell>
          <cell r="H198">
            <v>20147.739726027397</v>
          </cell>
        </row>
        <row r="199">
          <cell r="D199" t="str">
            <v>Other Office Equipment</v>
          </cell>
          <cell r="F199">
            <v>25901.5</v>
          </cell>
          <cell r="G199">
            <v>275</v>
          </cell>
          <cell r="H199">
            <v>24863.657534246577</v>
          </cell>
        </row>
        <row r="200">
          <cell r="D200" t="str">
            <v>Other Office Equipment</v>
          </cell>
          <cell r="F200">
            <v>43764.5</v>
          </cell>
          <cell r="G200">
            <v>275</v>
          </cell>
          <cell r="H200">
            <v>42010.904109589042</v>
          </cell>
        </row>
        <row r="201">
          <cell r="D201" t="str">
            <v>Other Office Equipment</v>
          </cell>
          <cell r="F201">
            <v>4915.75</v>
          </cell>
          <cell r="G201">
            <v>275</v>
          </cell>
          <cell r="H201">
            <v>4718.9178082191784</v>
          </cell>
        </row>
        <row r="202">
          <cell r="F202">
            <v>9296</v>
          </cell>
          <cell r="G202">
            <v>275</v>
          </cell>
          <cell r="H202">
            <v>8923.8082191780813</v>
          </cell>
        </row>
        <row r="203">
          <cell r="D203" t="str">
            <v>Other Office Equipment</v>
          </cell>
          <cell r="F203">
            <v>77817.5</v>
          </cell>
          <cell r="G203">
            <v>275</v>
          </cell>
          <cell r="H203">
            <v>74703.972602739726</v>
          </cell>
        </row>
        <row r="204">
          <cell r="D204" t="str">
            <v>Other Office Equipment</v>
          </cell>
          <cell r="F204">
            <v>8561.52</v>
          </cell>
          <cell r="G204">
            <v>275</v>
          </cell>
          <cell r="H204">
            <v>8219.1035616438367</v>
          </cell>
        </row>
        <row r="205">
          <cell r="D205" t="str">
            <v>Other Office Equipment</v>
          </cell>
          <cell r="F205">
            <v>14552.125</v>
          </cell>
          <cell r="G205">
            <v>275</v>
          </cell>
          <cell r="H205">
            <v>13970.575342465754</v>
          </cell>
        </row>
        <row r="206">
          <cell r="D206" t="str">
            <v>Other Office Equipment</v>
          </cell>
          <cell r="F206">
            <v>18741.0625</v>
          </cell>
          <cell r="G206">
            <v>275</v>
          </cell>
          <cell r="H206">
            <v>17992.205479452055</v>
          </cell>
        </row>
        <row r="207">
          <cell r="D207" t="str">
            <v>Other Office Equipment</v>
          </cell>
          <cell r="F207">
            <v>21763.75</v>
          </cell>
          <cell r="G207">
            <v>275</v>
          </cell>
          <cell r="H207">
            <v>20894.109589041094</v>
          </cell>
        </row>
        <row r="208">
          <cell r="D208" t="str">
            <v>Other Office Equipment</v>
          </cell>
          <cell r="F208">
            <v>324801.54749999999</v>
          </cell>
          <cell r="G208">
            <v>275</v>
          </cell>
          <cell r="H208">
            <v>311824.97369863011</v>
          </cell>
        </row>
        <row r="209">
          <cell r="D209" t="str">
            <v>Other Office Equipment</v>
          </cell>
          <cell r="F209">
            <v>0</v>
          </cell>
          <cell r="G209">
            <v>275</v>
          </cell>
          <cell r="H209">
            <v>0</v>
          </cell>
        </row>
        <row r="210">
          <cell r="D210" t="str">
            <v>Other Office Equipment</v>
          </cell>
          <cell r="F210">
            <v>0</v>
          </cell>
          <cell r="G210">
            <v>275</v>
          </cell>
          <cell r="H210">
            <v>0</v>
          </cell>
        </row>
        <row r="211">
          <cell r="D211" t="str">
            <v>Other Office Equipment</v>
          </cell>
          <cell r="F211">
            <v>8310.4375</v>
          </cell>
          <cell r="G211">
            <v>275</v>
          </cell>
          <cell r="H211">
            <v>7978.5068493150684</v>
          </cell>
        </row>
        <row r="212">
          <cell r="D212" t="str">
            <v>Other Office Equipment</v>
          </cell>
          <cell r="F212">
            <v>8870.75</v>
          </cell>
          <cell r="G212">
            <v>275</v>
          </cell>
          <cell r="H212">
            <v>8516.4520547945212</v>
          </cell>
        </row>
        <row r="213">
          <cell r="D213" t="str">
            <v>Other Office Equipment</v>
          </cell>
          <cell r="F213">
            <v>8870.75</v>
          </cell>
          <cell r="G213">
            <v>275</v>
          </cell>
          <cell r="H213">
            <v>8516.4520547945212</v>
          </cell>
        </row>
        <row r="214">
          <cell r="D214" t="str">
            <v>Other Office Equipment</v>
          </cell>
          <cell r="F214">
            <v>9319</v>
          </cell>
          <cell r="G214">
            <v>275</v>
          </cell>
          <cell r="H214">
            <v>8946.8082191780813</v>
          </cell>
        </row>
        <row r="215">
          <cell r="D215" t="str">
            <v>Other Office Equipment</v>
          </cell>
          <cell r="F215">
            <v>11293.5</v>
          </cell>
          <cell r="G215">
            <v>275</v>
          </cell>
          <cell r="H215">
            <v>10842.575342465754</v>
          </cell>
        </row>
        <row r="216">
          <cell r="D216" t="str">
            <v>Other Office Equipment</v>
          </cell>
          <cell r="F216">
            <v>12377.5</v>
          </cell>
          <cell r="G216">
            <v>275</v>
          </cell>
          <cell r="H216">
            <v>11883.630136986301</v>
          </cell>
        </row>
        <row r="217">
          <cell r="D217" t="str">
            <v>Other Office Equipment</v>
          </cell>
          <cell r="F217">
            <v>116544.75</v>
          </cell>
          <cell r="G217">
            <v>275</v>
          </cell>
          <cell r="H217">
            <v>111895.93150684932</v>
          </cell>
        </row>
        <row r="218">
          <cell r="D218" t="str">
            <v>Other Office Equipment</v>
          </cell>
          <cell r="F218">
            <v>28265.75</v>
          </cell>
          <cell r="G218">
            <v>275</v>
          </cell>
          <cell r="H218">
            <v>27138.438356164384</v>
          </cell>
        </row>
        <row r="219">
          <cell r="D219" t="str">
            <v>Other Office Equipment</v>
          </cell>
          <cell r="F219">
            <v>0</v>
          </cell>
          <cell r="G219">
            <v>275</v>
          </cell>
          <cell r="H219">
            <v>0</v>
          </cell>
        </row>
        <row r="220">
          <cell r="D220" t="str">
            <v>Other Office Equipment</v>
          </cell>
          <cell r="F220">
            <v>5379.4750000000004</v>
          </cell>
          <cell r="G220">
            <v>275</v>
          </cell>
          <cell r="H220">
            <v>5165.1068493150688</v>
          </cell>
        </row>
        <row r="221">
          <cell r="D221" t="str">
            <v>Other Office Equipment</v>
          </cell>
          <cell r="F221">
            <v>5210.5</v>
          </cell>
          <cell r="G221">
            <v>275</v>
          </cell>
          <cell r="H221">
            <v>5002.9315068493152</v>
          </cell>
        </row>
        <row r="222">
          <cell r="D222" t="str">
            <v>Other Office Equipment</v>
          </cell>
          <cell r="F222">
            <v>5963.6949999999997</v>
          </cell>
          <cell r="G222">
            <v>275</v>
          </cell>
          <cell r="H222">
            <v>5726.136438356164</v>
          </cell>
        </row>
        <row r="223">
          <cell r="D223" t="str">
            <v>Other Office Equipment</v>
          </cell>
          <cell r="F223">
            <v>6466</v>
          </cell>
          <cell r="G223">
            <v>275</v>
          </cell>
          <cell r="H223">
            <v>6208.3287671232874</v>
          </cell>
        </row>
        <row r="224">
          <cell r="D224" t="str">
            <v>Other Office Equipment</v>
          </cell>
          <cell r="F224">
            <v>26411.5</v>
          </cell>
          <cell r="G224">
            <v>275</v>
          </cell>
          <cell r="H224">
            <v>25359.342465753423</v>
          </cell>
        </row>
        <row r="225">
          <cell r="D225" t="str">
            <v>Other Office Equipment</v>
          </cell>
          <cell r="F225">
            <v>54944.852500000001</v>
          </cell>
          <cell r="G225">
            <v>275</v>
          </cell>
          <cell r="H225">
            <v>52756.042739726028</v>
          </cell>
        </row>
        <row r="226">
          <cell r="D226" t="str">
            <v>Other Office Equipment</v>
          </cell>
          <cell r="F226">
            <v>97921.5</v>
          </cell>
          <cell r="G226">
            <v>275</v>
          </cell>
          <cell r="H226">
            <v>94020.643835616444</v>
          </cell>
        </row>
        <row r="227">
          <cell r="D227" t="str">
            <v>Other Office Equipment</v>
          </cell>
          <cell r="F227">
            <v>0</v>
          </cell>
          <cell r="G227">
            <v>275</v>
          </cell>
          <cell r="H227">
            <v>0</v>
          </cell>
        </row>
        <row r="228">
          <cell r="D228" t="str">
            <v>Other Office Equipment</v>
          </cell>
          <cell r="F228">
            <v>8896.75</v>
          </cell>
          <cell r="G228">
            <v>275</v>
          </cell>
          <cell r="H228">
            <v>8542.4520547945212</v>
          </cell>
        </row>
        <row r="229">
          <cell r="D229" t="str">
            <v>Other Office Equipment</v>
          </cell>
          <cell r="F229">
            <v>11008.125</v>
          </cell>
          <cell r="G229">
            <v>275</v>
          </cell>
          <cell r="H229">
            <v>10569.726027397261</v>
          </cell>
        </row>
        <row r="230">
          <cell r="D230" t="str">
            <v>Other Office Equipment</v>
          </cell>
          <cell r="F230">
            <v>18295.900000000001</v>
          </cell>
          <cell r="G230">
            <v>275</v>
          </cell>
          <cell r="H230">
            <v>17567.26301369863</v>
          </cell>
        </row>
        <row r="231">
          <cell r="D231" t="str">
            <v>Other Office Equipment</v>
          </cell>
          <cell r="F231">
            <v>14605.125</v>
          </cell>
          <cell r="G231">
            <v>275</v>
          </cell>
          <cell r="H231">
            <v>14023.575342465754</v>
          </cell>
        </row>
        <row r="232">
          <cell r="D232" t="str">
            <v>Other Office Equipment</v>
          </cell>
          <cell r="F232">
            <v>0</v>
          </cell>
          <cell r="G232">
            <v>275</v>
          </cell>
          <cell r="H232">
            <v>0</v>
          </cell>
        </row>
        <row r="233">
          <cell r="D233" t="str">
            <v>Other Office Equipment</v>
          </cell>
          <cell r="F233">
            <v>0</v>
          </cell>
          <cell r="G233">
            <v>275</v>
          </cell>
          <cell r="H233">
            <v>0</v>
          </cell>
        </row>
        <row r="234">
          <cell r="D234" t="str">
            <v>Other Office Equipment</v>
          </cell>
          <cell r="F234">
            <v>9351</v>
          </cell>
          <cell r="G234">
            <v>275</v>
          </cell>
          <cell r="H234">
            <v>8978.8082191780813</v>
          </cell>
        </row>
        <row r="235">
          <cell r="D235" t="str">
            <v>Other Office Equipment</v>
          </cell>
          <cell r="F235">
            <v>17553.8</v>
          </cell>
          <cell r="G235">
            <v>275</v>
          </cell>
          <cell r="H235">
            <v>16855.224657534247</v>
          </cell>
        </row>
        <row r="236">
          <cell r="F236">
            <v>5129.25</v>
          </cell>
          <cell r="G236">
            <v>275</v>
          </cell>
          <cell r="H236">
            <v>4925.2602739726026</v>
          </cell>
        </row>
        <row r="237">
          <cell r="D237" t="str">
            <v>Other Office Equipment</v>
          </cell>
          <cell r="F237">
            <v>0</v>
          </cell>
          <cell r="G237">
            <v>275</v>
          </cell>
          <cell r="H237">
            <v>0</v>
          </cell>
        </row>
        <row r="238">
          <cell r="D238" t="str">
            <v>Other Office Equipment</v>
          </cell>
          <cell r="F238">
            <v>0</v>
          </cell>
          <cell r="G238">
            <v>275</v>
          </cell>
          <cell r="H238">
            <v>0</v>
          </cell>
        </row>
        <row r="239">
          <cell r="D239" t="str">
            <v>Other Office Equipment</v>
          </cell>
          <cell r="F239">
            <v>0</v>
          </cell>
          <cell r="G239">
            <v>275</v>
          </cell>
          <cell r="H239">
            <v>0</v>
          </cell>
        </row>
        <row r="240">
          <cell r="D240" t="str">
            <v>Other Office Equipment</v>
          </cell>
          <cell r="F240">
            <v>6751.75</v>
          </cell>
          <cell r="G240">
            <v>275</v>
          </cell>
          <cell r="H240">
            <v>6483.3424657534251</v>
          </cell>
        </row>
        <row r="241">
          <cell r="D241" t="str">
            <v>Other Office Equipment</v>
          </cell>
          <cell r="F241">
            <v>8850.0750000000007</v>
          </cell>
          <cell r="G241">
            <v>275</v>
          </cell>
          <cell r="H241">
            <v>8498.2821917808233</v>
          </cell>
        </row>
        <row r="242">
          <cell r="D242" t="str">
            <v>Other Office Equipment</v>
          </cell>
          <cell r="F242">
            <v>18411.625</v>
          </cell>
          <cell r="G242">
            <v>275</v>
          </cell>
          <cell r="H242">
            <v>17679.767123287671</v>
          </cell>
        </row>
        <row r="243">
          <cell r="D243" t="str">
            <v>Other Office Equipment</v>
          </cell>
          <cell r="F243">
            <v>22511.5</v>
          </cell>
          <cell r="G243">
            <v>275</v>
          </cell>
          <cell r="H243">
            <v>21616.808219178081</v>
          </cell>
        </row>
        <row r="244">
          <cell r="D244" t="str">
            <v>Other Office Equipment</v>
          </cell>
          <cell r="F244">
            <v>19816</v>
          </cell>
          <cell r="G244">
            <v>275</v>
          </cell>
          <cell r="H244">
            <v>19028.671232876713</v>
          </cell>
        </row>
        <row r="245">
          <cell r="D245" t="str">
            <v>Other Office Equipment</v>
          </cell>
          <cell r="F245">
            <v>19816</v>
          </cell>
          <cell r="G245">
            <v>275</v>
          </cell>
          <cell r="H245">
            <v>19028.671232876713</v>
          </cell>
        </row>
        <row r="246">
          <cell r="D246" t="str">
            <v>Other Office Equipment</v>
          </cell>
          <cell r="F246">
            <v>18022</v>
          </cell>
          <cell r="G246">
            <v>275</v>
          </cell>
          <cell r="H246">
            <v>17306.246575342466</v>
          </cell>
        </row>
        <row r="247">
          <cell r="D247" t="str">
            <v>Other Office Equipment</v>
          </cell>
          <cell r="F247">
            <v>75283.9375</v>
          </cell>
          <cell r="G247">
            <v>275</v>
          </cell>
          <cell r="H247">
            <v>72296.561643835623</v>
          </cell>
        </row>
        <row r="248">
          <cell r="D248" t="str">
            <v>Other Office Equipment</v>
          </cell>
          <cell r="F248">
            <v>8114.9750000000004</v>
          </cell>
          <cell r="G248">
            <v>275</v>
          </cell>
          <cell r="H248">
            <v>7793.2438356164384</v>
          </cell>
        </row>
        <row r="249">
          <cell r="D249" t="str">
            <v>Other Office Equipment</v>
          </cell>
          <cell r="F249">
            <v>36968.875</v>
          </cell>
          <cell r="G249">
            <v>275</v>
          </cell>
          <cell r="H249">
            <v>35503.369863013701</v>
          </cell>
        </row>
        <row r="250">
          <cell r="D250" t="str">
            <v>Other Office Equipment</v>
          </cell>
          <cell r="F250">
            <v>13367</v>
          </cell>
          <cell r="G250">
            <v>275</v>
          </cell>
          <cell r="H250">
            <v>12837.342465753425</v>
          </cell>
        </row>
        <row r="251">
          <cell r="D251" t="str">
            <v>Other Office Equipment</v>
          </cell>
          <cell r="F251">
            <v>38892.839999999997</v>
          </cell>
          <cell r="G251">
            <v>275</v>
          </cell>
          <cell r="H251">
            <v>37351.966027397255</v>
          </cell>
        </row>
        <row r="252">
          <cell r="D252" t="str">
            <v>Other Office Equipment</v>
          </cell>
          <cell r="F252">
            <v>7231</v>
          </cell>
          <cell r="G252">
            <v>275</v>
          </cell>
          <cell r="H252">
            <v>6944.6986301369861</v>
          </cell>
        </row>
        <row r="253">
          <cell r="D253" t="str">
            <v>Other Office Equipment</v>
          </cell>
          <cell r="F253">
            <v>13015</v>
          </cell>
          <cell r="G253">
            <v>275</v>
          </cell>
          <cell r="H253">
            <v>12499.657534246575</v>
          </cell>
        </row>
        <row r="254">
          <cell r="D254" t="str">
            <v>Other Office Equipment</v>
          </cell>
          <cell r="F254">
            <v>6959.7250000000004</v>
          </cell>
          <cell r="G254">
            <v>275</v>
          </cell>
          <cell r="H254">
            <v>6684.5178082191787</v>
          </cell>
        </row>
        <row r="255">
          <cell r="D255" t="str">
            <v>Other Office Equipment</v>
          </cell>
          <cell r="F255">
            <v>0</v>
          </cell>
          <cell r="G255">
            <v>275</v>
          </cell>
          <cell r="H255">
            <v>0</v>
          </cell>
        </row>
        <row r="256">
          <cell r="D256" t="str">
            <v>Other Office Equipment</v>
          </cell>
          <cell r="F256">
            <v>0</v>
          </cell>
          <cell r="G256">
            <v>275</v>
          </cell>
          <cell r="H256">
            <v>0</v>
          </cell>
        </row>
        <row r="257">
          <cell r="D257" t="str">
            <v>Other Office Equipment</v>
          </cell>
          <cell r="F257">
            <v>0</v>
          </cell>
          <cell r="G257">
            <v>275</v>
          </cell>
          <cell r="H257">
            <v>0</v>
          </cell>
        </row>
        <row r="258">
          <cell r="D258" t="str">
            <v>Other Office Equipment</v>
          </cell>
          <cell r="F258">
            <v>4110.75</v>
          </cell>
          <cell r="G258">
            <v>275</v>
          </cell>
          <cell r="H258">
            <v>3913.9178082191779</v>
          </cell>
        </row>
        <row r="259">
          <cell r="D259" t="str">
            <v>Other Office Equipment</v>
          </cell>
          <cell r="F259">
            <v>6447.08</v>
          </cell>
          <cell r="G259">
            <v>275</v>
          </cell>
          <cell r="H259">
            <v>6193.9895890410962</v>
          </cell>
        </row>
        <row r="260">
          <cell r="D260" t="str">
            <v>Other Office Equipment</v>
          </cell>
          <cell r="F260">
            <v>8685</v>
          </cell>
          <cell r="G260">
            <v>275</v>
          </cell>
          <cell r="H260">
            <v>8255.5479452054788</v>
          </cell>
        </row>
        <row r="261">
          <cell r="D261" t="str">
            <v>Other Office Equipment</v>
          </cell>
          <cell r="F261">
            <v>41902.347500000003</v>
          </cell>
          <cell r="G261">
            <v>275</v>
          </cell>
          <cell r="H261">
            <v>40266.170958904113</v>
          </cell>
        </row>
        <row r="262">
          <cell r="D262" t="str">
            <v>Other Office Equipment</v>
          </cell>
          <cell r="F262">
            <v>129137.08</v>
          </cell>
          <cell r="G262">
            <v>275</v>
          </cell>
          <cell r="H262">
            <v>124031.18136986301</v>
          </cell>
        </row>
        <row r="263">
          <cell r="D263" t="str">
            <v>Other Office Equipment</v>
          </cell>
          <cell r="F263">
            <v>142443.6925</v>
          </cell>
          <cell r="G263">
            <v>275</v>
          </cell>
          <cell r="H263">
            <v>136881.68</v>
          </cell>
        </row>
        <row r="264">
          <cell r="D264" t="str">
            <v>Other Office Equipment</v>
          </cell>
          <cell r="F264">
            <v>6149.4750000000004</v>
          </cell>
          <cell r="G264">
            <v>275</v>
          </cell>
          <cell r="H264">
            <v>5906.4767123287675</v>
          </cell>
        </row>
        <row r="265">
          <cell r="D265" t="str">
            <v>Other Office Equipment</v>
          </cell>
          <cell r="F265">
            <v>7884.75</v>
          </cell>
          <cell r="G265">
            <v>275</v>
          </cell>
          <cell r="H265">
            <v>7573.3972602739723</v>
          </cell>
        </row>
        <row r="266">
          <cell r="D266" t="str">
            <v>Other Office Equipment</v>
          </cell>
          <cell r="F266">
            <v>40761.925000000003</v>
          </cell>
          <cell r="G266">
            <v>275</v>
          </cell>
          <cell r="H266">
            <v>39152.553424657541</v>
          </cell>
        </row>
        <row r="267">
          <cell r="D267" t="str">
            <v>Other Office Equipment</v>
          </cell>
          <cell r="F267">
            <v>76085.850000000006</v>
          </cell>
          <cell r="G267">
            <v>275</v>
          </cell>
          <cell r="H267">
            <v>73081.832876712331</v>
          </cell>
        </row>
        <row r="268">
          <cell r="D268" t="str">
            <v>Other Office Equipment</v>
          </cell>
          <cell r="F268">
            <v>6575.625</v>
          </cell>
          <cell r="G268">
            <v>275</v>
          </cell>
          <cell r="H268">
            <v>6316.1643835616442</v>
          </cell>
        </row>
        <row r="269">
          <cell r="D269" t="str">
            <v>Other Office Equipment</v>
          </cell>
          <cell r="F269">
            <v>13004.605949999999</v>
          </cell>
          <cell r="G269">
            <v>275</v>
          </cell>
          <cell r="H269">
            <v>12501.789884931506</v>
          </cell>
        </row>
        <row r="270">
          <cell r="D270" t="str">
            <v>Other Office Equipment</v>
          </cell>
          <cell r="F270">
            <v>13060</v>
          </cell>
          <cell r="G270">
            <v>275</v>
          </cell>
          <cell r="H270">
            <v>12544.657534246575</v>
          </cell>
        </row>
        <row r="271">
          <cell r="D271" t="str">
            <v>Other Office Equipment</v>
          </cell>
          <cell r="F271">
            <v>15144.769050000001</v>
          </cell>
          <cell r="G271">
            <v>275</v>
          </cell>
          <cell r="H271">
            <v>14575.744361643836</v>
          </cell>
        </row>
        <row r="272">
          <cell r="D272" t="str">
            <v>Other Office Equipment</v>
          </cell>
          <cell r="F272">
            <v>7259</v>
          </cell>
          <cell r="G272">
            <v>275</v>
          </cell>
          <cell r="H272">
            <v>6972.6986301369861</v>
          </cell>
        </row>
        <row r="273">
          <cell r="D273" t="str">
            <v>Other Office Equipment</v>
          </cell>
          <cell r="F273">
            <v>16332</v>
          </cell>
          <cell r="G273">
            <v>275</v>
          </cell>
          <cell r="H273">
            <v>15687.82191780822</v>
          </cell>
        </row>
        <row r="274">
          <cell r="D274" t="str">
            <v>Other Office Equipment</v>
          </cell>
          <cell r="F274">
            <v>41048.1</v>
          </cell>
          <cell r="G274">
            <v>275</v>
          </cell>
          <cell r="H274">
            <v>39429.065753424657</v>
          </cell>
        </row>
        <row r="275">
          <cell r="D275" t="str">
            <v>Other Office Equipment</v>
          </cell>
          <cell r="F275">
            <v>9019.85</v>
          </cell>
          <cell r="G275">
            <v>275</v>
          </cell>
          <cell r="H275">
            <v>8664.1205479452055</v>
          </cell>
        </row>
        <row r="276">
          <cell r="D276" t="str">
            <v>Other Office Equipment</v>
          </cell>
          <cell r="F276">
            <v>24958.75</v>
          </cell>
          <cell r="G276">
            <v>275</v>
          </cell>
          <cell r="H276">
            <v>23974.589041095889</v>
          </cell>
        </row>
        <row r="277">
          <cell r="D277" t="str">
            <v>Other Office Equipment</v>
          </cell>
          <cell r="F277">
            <v>6844.85</v>
          </cell>
          <cell r="G277">
            <v>275</v>
          </cell>
          <cell r="H277">
            <v>6575.0109589041103</v>
          </cell>
        </row>
        <row r="278">
          <cell r="D278" t="str">
            <v>Other Office Equipment</v>
          </cell>
          <cell r="F278">
            <v>50647.45</v>
          </cell>
          <cell r="G278">
            <v>275</v>
          </cell>
          <cell r="H278">
            <v>48651.213698630134</v>
          </cell>
        </row>
        <row r="279">
          <cell r="D279" t="str">
            <v>Other Office Equipment</v>
          </cell>
          <cell r="F279">
            <v>8548.93</v>
          </cell>
          <cell r="G279">
            <v>275</v>
          </cell>
          <cell r="H279">
            <v>8212.0964383561641</v>
          </cell>
        </row>
        <row r="280">
          <cell r="D280" t="str">
            <v>Other Office Equipment</v>
          </cell>
          <cell r="F280">
            <v>21528.25</v>
          </cell>
          <cell r="G280">
            <v>275</v>
          </cell>
          <cell r="H280">
            <v>20680.082191780821</v>
          </cell>
        </row>
        <row r="281">
          <cell r="D281" t="str">
            <v>Other Office Equipment</v>
          </cell>
          <cell r="F281">
            <v>23163.75</v>
          </cell>
          <cell r="G281">
            <v>275</v>
          </cell>
          <cell r="H281">
            <v>22251.164383561645</v>
          </cell>
        </row>
        <row r="282">
          <cell r="D282" t="str">
            <v>Other Office Equipment</v>
          </cell>
          <cell r="F282">
            <v>0</v>
          </cell>
          <cell r="G282">
            <v>275</v>
          </cell>
          <cell r="H282">
            <v>0</v>
          </cell>
        </row>
        <row r="283">
          <cell r="D283" t="str">
            <v>Other Office Equipment</v>
          </cell>
          <cell r="F283">
            <v>15444.5</v>
          </cell>
          <cell r="G283">
            <v>275</v>
          </cell>
          <cell r="H283">
            <v>14836.109589041096</v>
          </cell>
        </row>
        <row r="284">
          <cell r="D284" t="str">
            <v>Other Office Equipment</v>
          </cell>
          <cell r="F284">
            <v>33978.5</v>
          </cell>
          <cell r="G284">
            <v>275</v>
          </cell>
          <cell r="H284">
            <v>32640.04109589041</v>
          </cell>
        </row>
        <row r="285">
          <cell r="D285" t="str">
            <v>Other Office Equipment</v>
          </cell>
          <cell r="F285">
            <v>149039</v>
          </cell>
          <cell r="G285">
            <v>275</v>
          </cell>
          <cell r="H285">
            <v>143169.82191780821</v>
          </cell>
        </row>
        <row r="286">
          <cell r="D286" t="str">
            <v>Other Office Equipment</v>
          </cell>
          <cell r="F286">
            <v>8629.9874999999993</v>
          </cell>
          <cell r="G286">
            <v>275</v>
          </cell>
          <cell r="H286">
            <v>8290.1835616438348</v>
          </cell>
        </row>
        <row r="287">
          <cell r="D287" t="str">
            <v>Other Office Equipment</v>
          </cell>
          <cell r="F287">
            <v>0</v>
          </cell>
          <cell r="G287">
            <v>275</v>
          </cell>
          <cell r="H287">
            <v>0</v>
          </cell>
        </row>
        <row r="288">
          <cell r="D288" t="str">
            <v>Other Office Equipment</v>
          </cell>
          <cell r="F288">
            <v>0</v>
          </cell>
          <cell r="G288">
            <v>275</v>
          </cell>
          <cell r="H288">
            <v>0</v>
          </cell>
        </row>
        <row r="289">
          <cell r="D289" t="str">
            <v>Other Office Equipment</v>
          </cell>
          <cell r="F289">
            <v>6287.6309999999994</v>
          </cell>
          <cell r="G289">
            <v>275</v>
          </cell>
          <cell r="H289">
            <v>6040.6817534246566</v>
          </cell>
        </row>
        <row r="290">
          <cell r="D290" t="str">
            <v>Other Office Equipment</v>
          </cell>
          <cell r="F290">
            <v>17285.023999999998</v>
          </cell>
          <cell r="G290">
            <v>275</v>
          </cell>
          <cell r="H290">
            <v>16605.000986301369</v>
          </cell>
        </row>
        <row r="291">
          <cell r="D291" t="str">
            <v>Other Office Equipment</v>
          </cell>
          <cell r="F291">
            <v>0</v>
          </cell>
          <cell r="G291">
            <v>275</v>
          </cell>
          <cell r="H291">
            <v>0</v>
          </cell>
        </row>
        <row r="292">
          <cell r="D292" t="str">
            <v>Other Office Equipment</v>
          </cell>
          <cell r="F292">
            <v>0</v>
          </cell>
          <cell r="G292">
            <v>275</v>
          </cell>
          <cell r="H292">
            <v>0</v>
          </cell>
        </row>
        <row r="293">
          <cell r="D293" t="str">
            <v>Other Office Equipment</v>
          </cell>
          <cell r="F293">
            <v>4641.75</v>
          </cell>
          <cell r="G293">
            <v>275</v>
          </cell>
          <cell r="H293">
            <v>4459.232876712329</v>
          </cell>
        </row>
        <row r="294">
          <cell r="D294" t="str">
            <v>Other Office Equipment</v>
          </cell>
          <cell r="F294">
            <v>7600.375</v>
          </cell>
          <cell r="G294">
            <v>275</v>
          </cell>
          <cell r="H294">
            <v>7301.5479452054797</v>
          </cell>
        </row>
        <row r="295">
          <cell r="D295" t="str">
            <v>Other Office Equipment</v>
          </cell>
          <cell r="F295">
            <v>0</v>
          </cell>
          <cell r="G295">
            <v>275</v>
          </cell>
          <cell r="H295">
            <v>0</v>
          </cell>
        </row>
        <row r="296">
          <cell r="D296" t="str">
            <v>Other Office Equipment</v>
          </cell>
          <cell r="F296">
            <v>5327.125</v>
          </cell>
          <cell r="G296">
            <v>275</v>
          </cell>
          <cell r="H296">
            <v>5117.767123287671</v>
          </cell>
        </row>
        <row r="297">
          <cell r="D297" t="str">
            <v>Other Office Equipment</v>
          </cell>
          <cell r="F297">
            <v>6187.4750000000004</v>
          </cell>
          <cell r="G297">
            <v>275</v>
          </cell>
          <cell r="H297">
            <v>5944.4767123287675</v>
          </cell>
        </row>
        <row r="298">
          <cell r="D298" t="str">
            <v>Other Office Equipment</v>
          </cell>
          <cell r="F298">
            <v>25059.75</v>
          </cell>
          <cell r="G298">
            <v>275</v>
          </cell>
          <cell r="H298">
            <v>24075.589041095889</v>
          </cell>
        </row>
        <row r="299">
          <cell r="D299" t="str">
            <v>Other Office Equipment</v>
          </cell>
          <cell r="F299">
            <v>61508.75</v>
          </cell>
          <cell r="G299">
            <v>275</v>
          </cell>
          <cell r="H299">
            <v>59093.082191780821</v>
          </cell>
        </row>
        <row r="300">
          <cell r="D300" t="str">
            <v>Other Office Equipment</v>
          </cell>
          <cell r="F300">
            <v>0</v>
          </cell>
          <cell r="G300">
            <v>275</v>
          </cell>
          <cell r="H300">
            <v>0</v>
          </cell>
        </row>
        <row r="301">
          <cell r="D301" t="str">
            <v>Other Office Equipment</v>
          </cell>
          <cell r="F301">
            <v>6460.32</v>
          </cell>
          <cell r="G301">
            <v>275</v>
          </cell>
          <cell r="H301">
            <v>6206.6569863013692</v>
          </cell>
        </row>
        <row r="302">
          <cell r="D302" t="str">
            <v>Other Office Equipment</v>
          </cell>
          <cell r="F302">
            <v>0</v>
          </cell>
          <cell r="G302">
            <v>275</v>
          </cell>
          <cell r="H302">
            <v>0</v>
          </cell>
        </row>
        <row r="303">
          <cell r="D303" t="str">
            <v>Other Office Equipment</v>
          </cell>
          <cell r="F303">
            <v>0</v>
          </cell>
          <cell r="G303">
            <v>275</v>
          </cell>
          <cell r="H303">
            <v>0</v>
          </cell>
        </row>
        <row r="304">
          <cell r="D304" t="str">
            <v>Other Office Equipment</v>
          </cell>
          <cell r="F304">
            <v>0</v>
          </cell>
          <cell r="G304">
            <v>275</v>
          </cell>
          <cell r="H304">
            <v>0</v>
          </cell>
        </row>
        <row r="305">
          <cell r="D305" t="str">
            <v>Other Office Equipment</v>
          </cell>
          <cell r="F305">
            <v>0</v>
          </cell>
          <cell r="G305">
            <v>275</v>
          </cell>
          <cell r="H305">
            <v>0</v>
          </cell>
        </row>
        <row r="306">
          <cell r="D306" t="str">
            <v>Other Office Equipment</v>
          </cell>
          <cell r="F306">
            <v>0</v>
          </cell>
          <cell r="G306">
            <v>275</v>
          </cell>
          <cell r="H306">
            <v>0</v>
          </cell>
        </row>
        <row r="307">
          <cell r="D307" t="str">
            <v>Other Office Equipment</v>
          </cell>
          <cell r="F307">
            <v>0</v>
          </cell>
          <cell r="G307">
            <v>275</v>
          </cell>
          <cell r="H307">
            <v>0</v>
          </cell>
        </row>
        <row r="308">
          <cell r="D308" t="str">
            <v>Other Office Equipment</v>
          </cell>
          <cell r="F308">
            <v>0</v>
          </cell>
          <cell r="G308">
            <v>275</v>
          </cell>
          <cell r="H308">
            <v>0</v>
          </cell>
        </row>
        <row r="309">
          <cell r="D309" t="str">
            <v>Other Office Equipment</v>
          </cell>
          <cell r="F309">
            <v>0</v>
          </cell>
          <cell r="G309">
            <v>275</v>
          </cell>
          <cell r="H309">
            <v>0</v>
          </cell>
        </row>
        <row r="310">
          <cell r="D310" t="str">
            <v>Other Office Equipment</v>
          </cell>
          <cell r="F310">
            <v>0</v>
          </cell>
          <cell r="G310">
            <v>275</v>
          </cell>
          <cell r="H310">
            <v>0</v>
          </cell>
        </row>
        <row r="311">
          <cell r="D311" t="str">
            <v>Other Office Equipment</v>
          </cell>
          <cell r="F311">
            <v>0</v>
          </cell>
          <cell r="G311">
            <v>275</v>
          </cell>
          <cell r="H311">
            <v>0</v>
          </cell>
        </row>
        <row r="312">
          <cell r="D312" t="str">
            <v>Other Office Equipment</v>
          </cell>
          <cell r="F312">
            <v>0</v>
          </cell>
          <cell r="G312">
            <v>275</v>
          </cell>
          <cell r="H312">
            <v>0</v>
          </cell>
        </row>
        <row r="313">
          <cell r="D313" t="str">
            <v>Other Office Equipment</v>
          </cell>
          <cell r="F313">
            <v>0</v>
          </cell>
          <cell r="G313">
            <v>275</v>
          </cell>
          <cell r="H313">
            <v>0</v>
          </cell>
        </row>
        <row r="314">
          <cell r="D314" t="str">
            <v>Other Office Equipment</v>
          </cell>
          <cell r="F314">
            <v>0</v>
          </cell>
          <cell r="G314">
            <v>275</v>
          </cell>
          <cell r="H314">
            <v>0</v>
          </cell>
        </row>
        <row r="315">
          <cell r="D315" t="str">
            <v>Other Office Equipment</v>
          </cell>
          <cell r="F315">
            <v>0</v>
          </cell>
          <cell r="G315">
            <v>275</v>
          </cell>
          <cell r="H315">
            <v>0</v>
          </cell>
        </row>
        <row r="316">
          <cell r="D316" t="str">
            <v>Other Office Equipment</v>
          </cell>
          <cell r="F316">
            <v>0</v>
          </cell>
          <cell r="G316">
            <v>275</v>
          </cell>
          <cell r="H316">
            <v>0</v>
          </cell>
        </row>
        <row r="317">
          <cell r="D317" t="str">
            <v>Other Office Equipment</v>
          </cell>
          <cell r="F317">
            <v>0</v>
          </cell>
          <cell r="G317">
            <v>275</v>
          </cell>
          <cell r="H317">
            <v>0</v>
          </cell>
        </row>
        <row r="318">
          <cell r="D318" t="str">
            <v>Other Office Equipment</v>
          </cell>
          <cell r="F318">
            <v>0</v>
          </cell>
          <cell r="G318">
            <v>275</v>
          </cell>
          <cell r="H318">
            <v>0</v>
          </cell>
        </row>
        <row r="319">
          <cell r="D319" t="str">
            <v>Other Office Equipment</v>
          </cell>
          <cell r="F319">
            <v>0</v>
          </cell>
          <cell r="G319">
            <v>275</v>
          </cell>
          <cell r="H319">
            <v>0</v>
          </cell>
        </row>
        <row r="320">
          <cell r="D320" t="str">
            <v>Other Office Equipment</v>
          </cell>
          <cell r="F320">
            <v>0</v>
          </cell>
          <cell r="G320">
            <v>275</v>
          </cell>
          <cell r="H320">
            <v>0</v>
          </cell>
        </row>
        <row r="321">
          <cell r="D321" t="str">
            <v>Other Office Equipment</v>
          </cell>
          <cell r="F321">
            <v>0</v>
          </cell>
          <cell r="G321">
            <v>275</v>
          </cell>
          <cell r="H321">
            <v>0</v>
          </cell>
        </row>
        <row r="322">
          <cell r="D322" t="str">
            <v>Other Office Equipment</v>
          </cell>
          <cell r="F322">
            <v>82772.25</v>
          </cell>
          <cell r="G322">
            <v>275</v>
          </cell>
          <cell r="H322">
            <v>79662.301369863009</v>
          </cell>
        </row>
        <row r="323">
          <cell r="D323" t="str">
            <v>Other Office Equipment</v>
          </cell>
          <cell r="F323">
            <v>18198.900000000001</v>
          </cell>
          <cell r="G323">
            <v>275</v>
          </cell>
          <cell r="H323">
            <v>17484.578082191783</v>
          </cell>
        </row>
        <row r="324">
          <cell r="D324" t="str">
            <v>Other Office Equipment</v>
          </cell>
          <cell r="F324">
            <v>0</v>
          </cell>
          <cell r="G324">
            <v>275</v>
          </cell>
          <cell r="H324">
            <v>0</v>
          </cell>
        </row>
        <row r="325">
          <cell r="D325" t="str">
            <v>Other Office Equipment</v>
          </cell>
          <cell r="F325">
            <v>83930</v>
          </cell>
          <cell r="G325">
            <v>275</v>
          </cell>
          <cell r="H325">
            <v>80637.534246575349</v>
          </cell>
        </row>
        <row r="326">
          <cell r="D326" t="str">
            <v>Other Office Equipment</v>
          </cell>
          <cell r="F326">
            <v>0</v>
          </cell>
          <cell r="G326">
            <v>275</v>
          </cell>
          <cell r="H326">
            <v>0</v>
          </cell>
        </row>
        <row r="327">
          <cell r="D327" t="str">
            <v>Other Office Equipment</v>
          </cell>
          <cell r="F327">
            <v>11590.75</v>
          </cell>
          <cell r="G327">
            <v>275</v>
          </cell>
          <cell r="H327">
            <v>11136.246575342466</v>
          </cell>
        </row>
        <row r="328">
          <cell r="D328" t="str">
            <v>Other Office Equipment</v>
          </cell>
          <cell r="F328">
            <v>277684.03000000003</v>
          </cell>
          <cell r="G328">
            <v>275</v>
          </cell>
          <cell r="H328">
            <v>266795.55945205485</v>
          </cell>
        </row>
        <row r="329">
          <cell r="D329" t="str">
            <v>Other Office Equipment</v>
          </cell>
          <cell r="F329">
            <v>0</v>
          </cell>
          <cell r="G329">
            <v>275</v>
          </cell>
          <cell r="H329">
            <v>0</v>
          </cell>
        </row>
        <row r="330">
          <cell r="D330" t="str">
            <v>Other Office Equipment</v>
          </cell>
          <cell r="F330">
            <v>0</v>
          </cell>
          <cell r="G330">
            <v>275</v>
          </cell>
          <cell r="H330">
            <v>0</v>
          </cell>
        </row>
        <row r="331">
          <cell r="D331" t="str">
            <v>Other Office Equipment</v>
          </cell>
          <cell r="F331">
            <v>177282.52</v>
          </cell>
          <cell r="G331">
            <v>275</v>
          </cell>
          <cell r="H331">
            <v>170340.85698630137</v>
          </cell>
        </row>
        <row r="332">
          <cell r="D332" t="str">
            <v>Other Office Equipment</v>
          </cell>
          <cell r="F332">
            <v>0</v>
          </cell>
          <cell r="G332">
            <v>275</v>
          </cell>
          <cell r="H332">
            <v>0</v>
          </cell>
        </row>
        <row r="333">
          <cell r="D333" t="str">
            <v>Other Office Equipment</v>
          </cell>
          <cell r="F333">
            <v>10513.75</v>
          </cell>
          <cell r="G333">
            <v>275</v>
          </cell>
          <cell r="H333">
            <v>10102.191780821919</v>
          </cell>
        </row>
        <row r="334">
          <cell r="D334" t="str">
            <v>Other Office Equipment</v>
          </cell>
          <cell r="F334">
            <v>18951.75</v>
          </cell>
          <cell r="G334">
            <v>275</v>
          </cell>
          <cell r="H334">
            <v>18210.945205479453</v>
          </cell>
        </row>
        <row r="335">
          <cell r="D335" t="str">
            <v>Other Office Equipment</v>
          </cell>
          <cell r="F335">
            <v>0</v>
          </cell>
          <cell r="G335">
            <v>275</v>
          </cell>
          <cell r="H335">
            <v>0</v>
          </cell>
        </row>
        <row r="336">
          <cell r="D336" t="str">
            <v>Other Office Equipment</v>
          </cell>
          <cell r="F336">
            <v>25601.533125000002</v>
          </cell>
          <cell r="G336">
            <v>275</v>
          </cell>
          <cell r="H336">
            <v>24639.623150684933</v>
          </cell>
        </row>
        <row r="337">
          <cell r="D337" t="str">
            <v>Other Office Equipment</v>
          </cell>
          <cell r="F337">
            <v>25601.533125000002</v>
          </cell>
          <cell r="G337">
            <v>275</v>
          </cell>
          <cell r="H337">
            <v>24639.623150684933</v>
          </cell>
        </row>
        <row r="338">
          <cell r="D338" t="str">
            <v>Other Office Equipment</v>
          </cell>
          <cell r="F338">
            <v>25601.533125000002</v>
          </cell>
          <cell r="G338">
            <v>275</v>
          </cell>
          <cell r="H338">
            <v>24639.623150684933</v>
          </cell>
        </row>
        <row r="339">
          <cell r="D339" t="str">
            <v>Other Office Equipment</v>
          </cell>
          <cell r="F339">
            <v>25601.533125000002</v>
          </cell>
          <cell r="G339">
            <v>275</v>
          </cell>
          <cell r="H339">
            <v>24639.623150684933</v>
          </cell>
        </row>
        <row r="340">
          <cell r="D340" t="str">
            <v>Other Office Equipment</v>
          </cell>
          <cell r="F340">
            <v>7791.25</v>
          </cell>
          <cell r="G340">
            <v>275</v>
          </cell>
          <cell r="H340">
            <v>7487.0547945205481</v>
          </cell>
        </row>
        <row r="341">
          <cell r="D341" t="str">
            <v>Other Office Equipment</v>
          </cell>
          <cell r="F341">
            <v>7358.8125</v>
          </cell>
          <cell r="G341">
            <v>275</v>
          </cell>
          <cell r="H341">
            <v>7071.6164383561645</v>
          </cell>
        </row>
        <row r="342">
          <cell r="F342">
            <v>0</v>
          </cell>
          <cell r="G342">
            <v>275</v>
          </cell>
          <cell r="H342">
            <v>0</v>
          </cell>
        </row>
        <row r="343">
          <cell r="D343" t="str">
            <v>Other Office Equipment</v>
          </cell>
          <cell r="F343">
            <v>0</v>
          </cell>
          <cell r="G343">
            <v>275</v>
          </cell>
          <cell r="H343">
            <v>0</v>
          </cell>
        </row>
        <row r="344">
          <cell r="D344" t="str">
            <v>Other Office Equipment</v>
          </cell>
          <cell r="F344">
            <v>0</v>
          </cell>
          <cell r="G344">
            <v>275</v>
          </cell>
          <cell r="H344">
            <v>0</v>
          </cell>
        </row>
        <row r="345">
          <cell r="D345" t="str">
            <v>Other Office Equipment</v>
          </cell>
          <cell r="F345">
            <v>6605</v>
          </cell>
          <cell r="G345">
            <v>275</v>
          </cell>
          <cell r="H345">
            <v>6347.3287671232874</v>
          </cell>
        </row>
        <row r="346">
          <cell r="D346" t="str">
            <v>Other Office Equipment</v>
          </cell>
          <cell r="F346">
            <v>23118</v>
          </cell>
          <cell r="G346">
            <v>275</v>
          </cell>
          <cell r="H346">
            <v>22216.150684931508</v>
          </cell>
        </row>
        <row r="347">
          <cell r="D347" t="str">
            <v>Other Office Equipment</v>
          </cell>
          <cell r="F347">
            <v>30272.5</v>
          </cell>
          <cell r="G347">
            <v>275</v>
          </cell>
          <cell r="H347">
            <v>29091.506849315068</v>
          </cell>
        </row>
        <row r="348">
          <cell r="D348" t="str">
            <v>Other Office Equipment</v>
          </cell>
          <cell r="F348">
            <v>7571.125</v>
          </cell>
          <cell r="G348">
            <v>275</v>
          </cell>
          <cell r="H348">
            <v>7275.8767123287671</v>
          </cell>
        </row>
        <row r="349">
          <cell r="D349" t="str">
            <v>Other Office Equipment</v>
          </cell>
          <cell r="F349">
            <v>10977.5625</v>
          </cell>
          <cell r="G349">
            <v>275</v>
          </cell>
          <cell r="H349">
            <v>10565.109589041096</v>
          </cell>
        </row>
        <row r="350">
          <cell r="D350" t="str">
            <v>Other Office Equipment</v>
          </cell>
          <cell r="F350">
            <v>22820.720000000001</v>
          </cell>
          <cell r="G350">
            <v>275</v>
          </cell>
          <cell r="H350">
            <v>21931.467945205481</v>
          </cell>
        </row>
        <row r="351">
          <cell r="D351" t="str">
            <v>Other Office Equipment</v>
          </cell>
          <cell r="F351">
            <v>0</v>
          </cell>
          <cell r="G351">
            <v>275</v>
          </cell>
          <cell r="H351">
            <v>0</v>
          </cell>
        </row>
        <row r="352">
          <cell r="D352" t="str">
            <v>Other Office Equipment</v>
          </cell>
          <cell r="F352">
            <v>7899.5</v>
          </cell>
          <cell r="G352">
            <v>275</v>
          </cell>
          <cell r="H352">
            <v>7591.7260273972606</v>
          </cell>
        </row>
        <row r="353">
          <cell r="D353" t="str">
            <v>Other Office Equipment</v>
          </cell>
          <cell r="F353">
            <v>14959.4125</v>
          </cell>
          <cell r="G353">
            <v>275</v>
          </cell>
          <cell r="H353">
            <v>14377.326027397261</v>
          </cell>
        </row>
        <row r="354">
          <cell r="D354" t="str">
            <v>Other Office Equipment</v>
          </cell>
          <cell r="F354">
            <v>317388.5</v>
          </cell>
          <cell r="G354">
            <v>275</v>
          </cell>
          <cell r="H354">
            <v>305041.75342465751</v>
          </cell>
        </row>
        <row r="355">
          <cell r="D355" t="str">
            <v>Other Office Equipment</v>
          </cell>
          <cell r="F355">
            <v>7361</v>
          </cell>
          <cell r="G355">
            <v>275</v>
          </cell>
          <cell r="H355">
            <v>7074.6986301369861</v>
          </cell>
        </row>
        <row r="356">
          <cell r="D356" t="str">
            <v>Other Office Equipment</v>
          </cell>
          <cell r="F356">
            <v>12711.5</v>
          </cell>
          <cell r="G356">
            <v>275</v>
          </cell>
          <cell r="H356">
            <v>12217.630136986301</v>
          </cell>
        </row>
        <row r="357">
          <cell r="D357" t="str">
            <v>Other Office Equipment</v>
          </cell>
          <cell r="F357">
            <v>24459.3</v>
          </cell>
          <cell r="G357">
            <v>275</v>
          </cell>
          <cell r="H357">
            <v>23510.21095890411</v>
          </cell>
        </row>
        <row r="358">
          <cell r="D358" t="str">
            <v>Other Office Equipment</v>
          </cell>
          <cell r="F358">
            <v>0</v>
          </cell>
          <cell r="G358">
            <v>275</v>
          </cell>
          <cell r="H358">
            <v>0</v>
          </cell>
        </row>
        <row r="359">
          <cell r="D359" t="str">
            <v>Other Office Equipment</v>
          </cell>
          <cell r="F359">
            <v>0</v>
          </cell>
          <cell r="G359">
            <v>275</v>
          </cell>
          <cell r="H359">
            <v>0</v>
          </cell>
        </row>
        <row r="360">
          <cell r="D360" t="str">
            <v>Other Office Equipment</v>
          </cell>
          <cell r="F360">
            <v>0</v>
          </cell>
          <cell r="G360">
            <v>275</v>
          </cell>
          <cell r="H360">
            <v>0</v>
          </cell>
        </row>
        <row r="361">
          <cell r="D361" t="str">
            <v>Other Office Equipment</v>
          </cell>
          <cell r="F361">
            <v>0</v>
          </cell>
          <cell r="G361">
            <v>275</v>
          </cell>
          <cell r="H361">
            <v>0</v>
          </cell>
        </row>
        <row r="362">
          <cell r="D362" t="str">
            <v>Other Office Equipment</v>
          </cell>
          <cell r="F362">
            <v>0</v>
          </cell>
          <cell r="G362">
            <v>275</v>
          </cell>
          <cell r="H362">
            <v>0</v>
          </cell>
        </row>
        <row r="363">
          <cell r="D363" t="str">
            <v>Other Office Equipment</v>
          </cell>
          <cell r="F363">
            <v>0</v>
          </cell>
          <cell r="G363">
            <v>275</v>
          </cell>
          <cell r="H363">
            <v>0</v>
          </cell>
        </row>
        <row r="364">
          <cell r="D364" t="str">
            <v>Other Office Equipment</v>
          </cell>
          <cell r="F364">
            <v>49882</v>
          </cell>
          <cell r="G364">
            <v>275</v>
          </cell>
          <cell r="H364">
            <v>47949.465753424658</v>
          </cell>
        </row>
        <row r="365">
          <cell r="D365" t="str">
            <v>Other Office Equipment</v>
          </cell>
          <cell r="F365">
            <v>0</v>
          </cell>
          <cell r="G365">
            <v>275</v>
          </cell>
          <cell r="H365">
            <v>0</v>
          </cell>
        </row>
        <row r="366">
          <cell r="D366" t="str">
            <v>Other Office Equipment</v>
          </cell>
          <cell r="F366">
            <v>0</v>
          </cell>
          <cell r="G366">
            <v>275</v>
          </cell>
          <cell r="H366">
            <v>0</v>
          </cell>
        </row>
        <row r="367">
          <cell r="D367" t="str">
            <v>Other Office Equipment</v>
          </cell>
          <cell r="F367">
            <v>0</v>
          </cell>
          <cell r="G367">
            <v>275</v>
          </cell>
          <cell r="H367">
            <v>0</v>
          </cell>
        </row>
        <row r="368">
          <cell r="D368" t="str">
            <v>Other Office Equipment</v>
          </cell>
          <cell r="F368">
            <v>0</v>
          </cell>
          <cell r="G368">
            <v>275</v>
          </cell>
          <cell r="H368">
            <v>0</v>
          </cell>
        </row>
        <row r="369">
          <cell r="D369" t="str">
            <v>Other Office Equipment</v>
          </cell>
          <cell r="F369">
            <v>0</v>
          </cell>
          <cell r="G369">
            <v>275</v>
          </cell>
          <cell r="H369">
            <v>0</v>
          </cell>
        </row>
        <row r="370">
          <cell r="D370" t="str">
            <v>Other Office Equipment</v>
          </cell>
          <cell r="F370">
            <v>0</v>
          </cell>
          <cell r="G370">
            <v>275</v>
          </cell>
          <cell r="H370">
            <v>0</v>
          </cell>
        </row>
        <row r="371">
          <cell r="D371" t="str">
            <v>Other Office Equipment</v>
          </cell>
          <cell r="F371">
            <v>11560.25</v>
          </cell>
          <cell r="G371">
            <v>275</v>
          </cell>
          <cell r="H371">
            <v>11112.904109589041</v>
          </cell>
        </row>
        <row r="372">
          <cell r="D372" t="str">
            <v>Other Office Equipment</v>
          </cell>
          <cell r="F372">
            <v>16091.5</v>
          </cell>
          <cell r="G372">
            <v>275</v>
          </cell>
          <cell r="H372">
            <v>15468.794520547945</v>
          </cell>
        </row>
        <row r="373">
          <cell r="D373" t="str">
            <v>Other Office Equipment</v>
          </cell>
          <cell r="F373">
            <v>10612.9375</v>
          </cell>
          <cell r="G373">
            <v>275</v>
          </cell>
          <cell r="H373">
            <v>10202.273972602739</v>
          </cell>
        </row>
        <row r="374">
          <cell r="D374" t="str">
            <v>Other Office Equipment</v>
          </cell>
          <cell r="F374">
            <v>0</v>
          </cell>
          <cell r="G374">
            <v>275</v>
          </cell>
          <cell r="H374">
            <v>0</v>
          </cell>
        </row>
        <row r="375">
          <cell r="D375" t="str">
            <v>Other Office Equipment</v>
          </cell>
          <cell r="F375">
            <v>12790.5</v>
          </cell>
          <cell r="G375">
            <v>275</v>
          </cell>
          <cell r="H375">
            <v>12296.630136986301</v>
          </cell>
        </row>
        <row r="376">
          <cell r="D376" t="str">
            <v>Other Office Equipment</v>
          </cell>
          <cell r="F376">
            <v>7446.4324999999999</v>
          </cell>
          <cell r="G376">
            <v>275</v>
          </cell>
          <cell r="H376">
            <v>7158.950136986301</v>
          </cell>
        </row>
        <row r="377">
          <cell r="D377" t="str">
            <v>Other Office Equipment</v>
          </cell>
          <cell r="F377">
            <v>12181.325000000001</v>
          </cell>
          <cell r="G377">
            <v>275</v>
          </cell>
          <cell r="H377">
            <v>11711.43287671233</v>
          </cell>
        </row>
        <row r="378">
          <cell r="D378" t="str">
            <v>Other Office Equipment</v>
          </cell>
          <cell r="F378">
            <v>25612.95</v>
          </cell>
          <cell r="G378">
            <v>275</v>
          </cell>
          <cell r="H378">
            <v>24625.926027397261</v>
          </cell>
        </row>
        <row r="379">
          <cell r="D379" t="str">
            <v>Other Office Equipment</v>
          </cell>
          <cell r="F379">
            <v>0</v>
          </cell>
          <cell r="G379">
            <v>275</v>
          </cell>
          <cell r="H379">
            <v>0</v>
          </cell>
        </row>
        <row r="380">
          <cell r="D380" t="str">
            <v>Other Office Equipment</v>
          </cell>
          <cell r="F380">
            <v>6149.4750000000004</v>
          </cell>
          <cell r="G380">
            <v>275</v>
          </cell>
          <cell r="H380">
            <v>5906.4767123287675</v>
          </cell>
        </row>
        <row r="381">
          <cell r="D381" t="str">
            <v>Other Office Equipment</v>
          </cell>
          <cell r="F381">
            <v>36706.175000000003</v>
          </cell>
          <cell r="G381">
            <v>275</v>
          </cell>
          <cell r="H381">
            <v>35293.635616438361</v>
          </cell>
        </row>
        <row r="382">
          <cell r="D382" t="str">
            <v>Other Office Equipment</v>
          </cell>
          <cell r="F382">
            <v>57327</v>
          </cell>
          <cell r="G382">
            <v>275</v>
          </cell>
          <cell r="H382">
            <v>55122.479452054795</v>
          </cell>
        </row>
        <row r="383">
          <cell r="D383" t="str">
            <v>Other Office Equipment</v>
          </cell>
          <cell r="F383">
            <v>20892.099999999999</v>
          </cell>
          <cell r="G383">
            <v>275</v>
          </cell>
          <cell r="H383">
            <v>20089.024657534246</v>
          </cell>
        </row>
        <row r="384">
          <cell r="D384" t="str">
            <v>Other Office Equipment</v>
          </cell>
          <cell r="F384">
            <v>5810.6</v>
          </cell>
          <cell r="G384">
            <v>275</v>
          </cell>
          <cell r="H384">
            <v>5587.2849315068497</v>
          </cell>
        </row>
        <row r="385">
          <cell r="D385" t="str">
            <v>Other Office Equipment</v>
          </cell>
          <cell r="F385">
            <v>43988.1</v>
          </cell>
          <cell r="G385">
            <v>275</v>
          </cell>
          <cell r="H385">
            <v>42297.490410958904</v>
          </cell>
        </row>
        <row r="386">
          <cell r="D386" t="str">
            <v>Other Office Equipment</v>
          </cell>
          <cell r="F386">
            <v>29771.71</v>
          </cell>
          <cell r="G386">
            <v>275</v>
          </cell>
          <cell r="H386">
            <v>28627.792876712327</v>
          </cell>
        </row>
        <row r="387">
          <cell r="D387" t="str">
            <v>Other Office Equipment</v>
          </cell>
          <cell r="F387">
            <v>0</v>
          </cell>
          <cell r="G387">
            <v>275</v>
          </cell>
          <cell r="H387">
            <v>0</v>
          </cell>
        </row>
        <row r="388">
          <cell r="D388" t="str">
            <v>Other Office Equipment</v>
          </cell>
          <cell r="F388">
            <v>16502.25</v>
          </cell>
          <cell r="G388">
            <v>275</v>
          </cell>
          <cell r="H388">
            <v>15868.808219178081</v>
          </cell>
        </row>
        <row r="389">
          <cell r="D389" t="str">
            <v>Other Office Equipment</v>
          </cell>
          <cell r="F389">
            <v>28179.119999999999</v>
          </cell>
          <cell r="G389">
            <v>275</v>
          </cell>
          <cell r="H389">
            <v>27098.04602739726</v>
          </cell>
        </row>
        <row r="390">
          <cell r="D390" t="str">
            <v>Other Office Equipment</v>
          </cell>
          <cell r="F390">
            <v>0</v>
          </cell>
          <cell r="G390">
            <v>275</v>
          </cell>
          <cell r="H390">
            <v>0</v>
          </cell>
        </row>
        <row r="391">
          <cell r="D391" t="str">
            <v>Other Office Equipment</v>
          </cell>
          <cell r="F391">
            <v>0</v>
          </cell>
          <cell r="G391">
            <v>275</v>
          </cell>
          <cell r="H391">
            <v>0</v>
          </cell>
        </row>
        <row r="392">
          <cell r="D392" t="str">
            <v>Other Office Equipment</v>
          </cell>
          <cell r="F392">
            <v>13073</v>
          </cell>
          <cell r="G392">
            <v>275</v>
          </cell>
          <cell r="H392">
            <v>12571.972602739726</v>
          </cell>
        </row>
        <row r="393">
          <cell r="D393" t="str">
            <v>Other Office Equipment</v>
          </cell>
          <cell r="F393">
            <v>30852.5</v>
          </cell>
          <cell r="G393">
            <v>275</v>
          </cell>
          <cell r="H393">
            <v>29671.506849315068</v>
          </cell>
        </row>
        <row r="394">
          <cell r="D394" t="str">
            <v>Other Office Equipment</v>
          </cell>
          <cell r="F394">
            <v>12623.75</v>
          </cell>
          <cell r="G394">
            <v>275</v>
          </cell>
          <cell r="H394">
            <v>12140.616438356165</v>
          </cell>
        </row>
        <row r="395">
          <cell r="D395" t="str">
            <v>Other Office Equipment</v>
          </cell>
          <cell r="F395">
            <v>32740.5</v>
          </cell>
          <cell r="G395">
            <v>275</v>
          </cell>
          <cell r="H395">
            <v>31487.931506849316</v>
          </cell>
        </row>
        <row r="396">
          <cell r="D396" t="str">
            <v>Other Office Equipment</v>
          </cell>
          <cell r="F396">
            <v>8130.2250000000004</v>
          </cell>
          <cell r="G396">
            <v>275</v>
          </cell>
          <cell r="H396">
            <v>7819.2301369863017</v>
          </cell>
        </row>
        <row r="397">
          <cell r="D397" t="str">
            <v>Other Office Equipment</v>
          </cell>
          <cell r="F397">
            <v>11413.594999999999</v>
          </cell>
          <cell r="G397">
            <v>275</v>
          </cell>
          <cell r="H397">
            <v>10977.05698630137</v>
          </cell>
        </row>
        <row r="398">
          <cell r="D398" t="str">
            <v>Other Office Equipment</v>
          </cell>
          <cell r="F398">
            <v>4947.8675000000003</v>
          </cell>
          <cell r="G398">
            <v>275</v>
          </cell>
          <cell r="H398">
            <v>4758.6580821917814</v>
          </cell>
        </row>
        <row r="399">
          <cell r="D399" t="str">
            <v>Other Office Equipment</v>
          </cell>
          <cell r="F399">
            <v>20589</v>
          </cell>
          <cell r="G399">
            <v>275</v>
          </cell>
          <cell r="H399">
            <v>19801.671232876713</v>
          </cell>
        </row>
        <row r="400">
          <cell r="D400" t="str">
            <v>Other Office Equipment</v>
          </cell>
          <cell r="F400">
            <v>37944.25</v>
          </cell>
          <cell r="G400">
            <v>275</v>
          </cell>
          <cell r="H400">
            <v>36494.849315068495</v>
          </cell>
        </row>
        <row r="401">
          <cell r="D401" t="str">
            <v>Other Office Equipment</v>
          </cell>
          <cell r="F401">
            <v>7027.75</v>
          </cell>
          <cell r="G401">
            <v>275</v>
          </cell>
          <cell r="H401">
            <v>6759.3424657534251</v>
          </cell>
        </row>
        <row r="402">
          <cell r="D402" t="str">
            <v>Other Office Equipment</v>
          </cell>
          <cell r="F402">
            <v>27251.557499999999</v>
          </cell>
          <cell r="G402">
            <v>275</v>
          </cell>
          <cell r="H402">
            <v>26210.744657534244</v>
          </cell>
        </row>
        <row r="403">
          <cell r="D403" t="str">
            <v>Other Office Equipment</v>
          </cell>
          <cell r="F403">
            <v>0</v>
          </cell>
          <cell r="G403">
            <v>275</v>
          </cell>
          <cell r="H403">
            <v>0</v>
          </cell>
        </row>
        <row r="404">
          <cell r="D404" t="str">
            <v>Other Office Equipment</v>
          </cell>
          <cell r="F404">
            <v>0</v>
          </cell>
          <cell r="G404">
            <v>275</v>
          </cell>
          <cell r="H404">
            <v>0</v>
          </cell>
        </row>
        <row r="405">
          <cell r="D405" t="str">
            <v>Other Office Equipment</v>
          </cell>
          <cell r="F405">
            <v>6000</v>
          </cell>
          <cell r="G405">
            <v>275</v>
          </cell>
          <cell r="H405">
            <v>5770.9589041095887</v>
          </cell>
        </row>
        <row r="406">
          <cell r="D406" t="str">
            <v>Other Office Equipment</v>
          </cell>
          <cell r="F406">
            <v>75003</v>
          </cell>
          <cell r="G406">
            <v>275</v>
          </cell>
          <cell r="H406">
            <v>72139.986301369863</v>
          </cell>
        </row>
        <row r="407">
          <cell r="D407" t="str">
            <v>Other Office Equipment</v>
          </cell>
          <cell r="F407">
            <v>234684.41500000001</v>
          </cell>
          <cell r="G407">
            <v>275</v>
          </cell>
          <cell r="H407">
            <v>225727.26191780824</v>
          </cell>
        </row>
        <row r="408">
          <cell r="D408" t="str">
            <v>Other Office Equipment</v>
          </cell>
          <cell r="F408">
            <v>7024.2250000000004</v>
          </cell>
          <cell r="G408">
            <v>275</v>
          </cell>
          <cell r="H408">
            <v>6756.1753424657536</v>
          </cell>
        </row>
        <row r="409">
          <cell r="D409" t="str">
            <v>Other Office Equipment</v>
          </cell>
          <cell r="F409">
            <v>8149.2250000000004</v>
          </cell>
          <cell r="G409">
            <v>275</v>
          </cell>
          <cell r="H409">
            <v>7838.2301369863017</v>
          </cell>
        </row>
        <row r="410">
          <cell r="D410" t="str">
            <v>Other Office Equipment</v>
          </cell>
          <cell r="F410">
            <v>0</v>
          </cell>
          <cell r="G410">
            <v>275</v>
          </cell>
          <cell r="H410">
            <v>0</v>
          </cell>
        </row>
        <row r="411">
          <cell r="D411" t="str">
            <v>Other Office Equipment</v>
          </cell>
          <cell r="F411">
            <v>0</v>
          </cell>
          <cell r="G411">
            <v>275</v>
          </cell>
          <cell r="H411">
            <v>0</v>
          </cell>
        </row>
        <row r="412">
          <cell r="D412" t="str">
            <v>Other Office Equipment</v>
          </cell>
          <cell r="F412">
            <v>5535.75</v>
          </cell>
          <cell r="G412">
            <v>275</v>
          </cell>
          <cell r="H412">
            <v>5324.6027397260277</v>
          </cell>
        </row>
        <row r="413">
          <cell r="D413" t="str">
            <v>Other Office Equipment</v>
          </cell>
          <cell r="F413">
            <v>7131</v>
          </cell>
          <cell r="G413">
            <v>275</v>
          </cell>
          <cell r="H413">
            <v>6859.0136986301368</v>
          </cell>
        </row>
        <row r="414">
          <cell r="D414" t="str">
            <v>Other Office Equipment</v>
          </cell>
          <cell r="F414">
            <v>11742.25</v>
          </cell>
          <cell r="G414">
            <v>275</v>
          </cell>
          <cell r="H414">
            <v>11294.904109589041</v>
          </cell>
        </row>
        <row r="415">
          <cell r="D415" t="str">
            <v>Other Office Equipment</v>
          </cell>
          <cell r="F415">
            <v>27383.467499999999</v>
          </cell>
          <cell r="G415">
            <v>275</v>
          </cell>
          <cell r="H415">
            <v>26341.079999999998</v>
          </cell>
        </row>
        <row r="416">
          <cell r="D416" t="str">
            <v>Other Office Equipment</v>
          </cell>
          <cell r="F416">
            <v>23043.25</v>
          </cell>
          <cell r="G416">
            <v>275</v>
          </cell>
          <cell r="H416">
            <v>22166.452054794521</v>
          </cell>
        </row>
        <row r="417">
          <cell r="D417" t="str">
            <v>Other Office Equipment</v>
          </cell>
          <cell r="F417">
            <v>6068.625</v>
          </cell>
          <cell r="G417">
            <v>275</v>
          </cell>
          <cell r="H417">
            <v>5837.7945205479455</v>
          </cell>
        </row>
        <row r="418">
          <cell r="D418" t="str">
            <v>Other Office Equipment</v>
          </cell>
          <cell r="F418">
            <v>0</v>
          </cell>
          <cell r="G418">
            <v>275</v>
          </cell>
          <cell r="H418">
            <v>0</v>
          </cell>
        </row>
        <row r="419">
          <cell r="D419" t="str">
            <v>Other Office Equipment</v>
          </cell>
          <cell r="F419">
            <v>8192.0349999999999</v>
          </cell>
          <cell r="G419">
            <v>275</v>
          </cell>
          <cell r="H419">
            <v>7880.8969863013699</v>
          </cell>
        </row>
        <row r="420">
          <cell r="D420" t="str">
            <v>Other Office Equipment</v>
          </cell>
          <cell r="F420">
            <v>58303.807500000003</v>
          </cell>
          <cell r="G420">
            <v>275</v>
          </cell>
          <cell r="H420">
            <v>56085.580273972606</v>
          </cell>
        </row>
        <row r="421">
          <cell r="D421" t="str">
            <v>Other Office Equipment</v>
          </cell>
          <cell r="F421">
            <v>10187</v>
          </cell>
          <cell r="G421">
            <v>275</v>
          </cell>
          <cell r="H421">
            <v>9800.4931506849316</v>
          </cell>
        </row>
        <row r="422">
          <cell r="D422" t="str">
            <v>Other Office Equipment</v>
          </cell>
          <cell r="F422">
            <v>13336.5375</v>
          </cell>
          <cell r="G422">
            <v>275</v>
          </cell>
          <cell r="H422">
            <v>12831.394520547945</v>
          </cell>
        </row>
        <row r="423">
          <cell r="D423" t="str">
            <v>Other Office Equipment</v>
          </cell>
          <cell r="F423">
            <v>867836.67749999999</v>
          </cell>
          <cell r="G423">
            <v>275</v>
          </cell>
          <cell r="H423">
            <v>811117.11945205485</v>
          </cell>
        </row>
        <row r="424">
          <cell r="D424" t="str">
            <v>Other Office Equipment</v>
          </cell>
          <cell r="F424">
            <v>7091.75</v>
          </cell>
          <cell r="G424">
            <v>275</v>
          </cell>
          <cell r="H424">
            <v>6823.3424657534251</v>
          </cell>
        </row>
        <row r="425">
          <cell r="D425" t="str">
            <v>Other Office Equipment</v>
          </cell>
          <cell r="F425">
            <v>7565</v>
          </cell>
          <cell r="G425">
            <v>275</v>
          </cell>
          <cell r="H425">
            <v>7278.6986301369861</v>
          </cell>
        </row>
        <row r="426">
          <cell r="D426" t="str">
            <v>Other Office Equipment</v>
          </cell>
          <cell r="F426">
            <v>43970.25</v>
          </cell>
          <cell r="G426">
            <v>275</v>
          </cell>
          <cell r="H426">
            <v>42306.123287671231</v>
          </cell>
        </row>
        <row r="427">
          <cell r="D427" t="str">
            <v>Other Office Equipment</v>
          </cell>
          <cell r="F427">
            <v>46334.5</v>
          </cell>
          <cell r="G427">
            <v>275</v>
          </cell>
          <cell r="H427">
            <v>44580.904109589042</v>
          </cell>
        </row>
        <row r="428">
          <cell r="D428" t="str">
            <v>Other Office Equipment</v>
          </cell>
          <cell r="F428">
            <v>116315.97500000001</v>
          </cell>
          <cell r="G428">
            <v>275</v>
          </cell>
          <cell r="H428">
            <v>111914.4493150685</v>
          </cell>
        </row>
        <row r="429">
          <cell r="D429" t="str">
            <v>Other Office Equipment</v>
          </cell>
          <cell r="F429">
            <v>13246</v>
          </cell>
          <cell r="G429">
            <v>275</v>
          </cell>
          <cell r="H429">
            <v>12744.972602739726</v>
          </cell>
        </row>
        <row r="430">
          <cell r="D430" t="str">
            <v>Other Office Equipment</v>
          </cell>
          <cell r="F430">
            <v>7570</v>
          </cell>
          <cell r="G430">
            <v>275</v>
          </cell>
          <cell r="H430">
            <v>7283.6986301369861</v>
          </cell>
        </row>
        <row r="431">
          <cell r="D431" t="str">
            <v>Other Office Equipment</v>
          </cell>
          <cell r="F431">
            <v>11355</v>
          </cell>
          <cell r="G431">
            <v>275</v>
          </cell>
          <cell r="H431">
            <v>10925.547945205479</v>
          </cell>
        </row>
        <row r="432">
          <cell r="D432" t="str">
            <v>Other Office Equipment</v>
          </cell>
          <cell r="F432">
            <v>8141.5</v>
          </cell>
          <cell r="G432">
            <v>275</v>
          </cell>
          <cell r="H432">
            <v>7833.7260273972606</v>
          </cell>
        </row>
        <row r="433">
          <cell r="D433" t="str">
            <v>Other Office Equipment</v>
          </cell>
          <cell r="F433">
            <v>9998.4</v>
          </cell>
          <cell r="G433">
            <v>275</v>
          </cell>
          <cell r="H433">
            <v>9620.4821917808222</v>
          </cell>
        </row>
        <row r="434">
          <cell r="D434" t="str">
            <v>Other Office Equipment</v>
          </cell>
          <cell r="F434">
            <v>6627.9750000000004</v>
          </cell>
          <cell r="G434">
            <v>275</v>
          </cell>
          <cell r="H434">
            <v>6377.8191780821926</v>
          </cell>
        </row>
        <row r="435">
          <cell r="D435" t="str">
            <v>Other Office Equipment</v>
          </cell>
          <cell r="F435">
            <v>709541.53500000003</v>
          </cell>
          <cell r="G435">
            <v>275</v>
          </cell>
          <cell r="H435">
            <v>682768.99287671235</v>
          </cell>
        </row>
        <row r="436">
          <cell r="D436" t="str">
            <v>Other Office Equipment</v>
          </cell>
          <cell r="F436">
            <v>42426.8</v>
          </cell>
          <cell r="G436">
            <v>275</v>
          </cell>
          <cell r="H436">
            <v>40826.375342465755</v>
          </cell>
        </row>
        <row r="437">
          <cell r="D437" t="str">
            <v>Other Office Equipment</v>
          </cell>
          <cell r="F437">
            <v>42426.8</v>
          </cell>
          <cell r="G437">
            <v>275</v>
          </cell>
          <cell r="H437">
            <v>40826.375342465755</v>
          </cell>
        </row>
        <row r="438">
          <cell r="D438" t="str">
            <v>Other Office Equipment</v>
          </cell>
          <cell r="F438">
            <v>12348.69</v>
          </cell>
          <cell r="G438">
            <v>275</v>
          </cell>
          <cell r="H438">
            <v>11883.593424657534</v>
          </cell>
        </row>
        <row r="439">
          <cell r="D439" t="str">
            <v>Other Office Equipment</v>
          </cell>
          <cell r="F439">
            <v>0</v>
          </cell>
          <cell r="G439">
            <v>275</v>
          </cell>
          <cell r="H439">
            <v>0</v>
          </cell>
        </row>
        <row r="440">
          <cell r="D440" t="str">
            <v>Other Office Equipment</v>
          </cell>
          <cell r="F440">
            <v>0</v>
          </cell>
          <cell r="G440">
            <v>275</v>
          </cell>
          <cell r="H440">
            <v>0</v>
          </cell>
        </row>
        <row r="441">
          <cell r="D441" t="str">
            <v>Other Office Equipment</v>
          </cell>
          <cell r="F441">
            <v>0</v>
          </cell>
          <cell r="G441">
            <v>275</v>
          </cell>
          <cell r="H441">
            <v>0</v>
          </cell>
        </row>
        <row r="442">
          <cell r="D442" t="str">
            <v>Other Office Equipment</v>
          </cell>
          <cell r="F442">
            <v>115016.5</v>
          </cell>
          <cell r="G442">
            <v>275</v>
          </cell>
          <cell r="H442">
            <v>110686.19178082192</v>
          </cell>
        </row>
        <row r="443">
          <cell r="D443" t="str">
            <v>Other Office Equipment</v>
          </cell>
          <cell r="F443">
            <v>7130.75</v>
          </cell>
          <cell r="G443">
            <v>275</v>
          </cell>
          <cell r="H443">
            <v>6862.3424657534251</v>
          </cell>
        </row>
        <row r="444">
          <cell r="D444" t="str">
            <v>Other Office Equipment</v>
          </cell>
          <cell r="F444">
            <v>15121.75</v>
          </cell>
          <cell r="G444">
            <v>275</v>
          </cell>
          <cell r="H444">
            <v>14552.726027397261</v>
          </cell>
        </row>
        <row r="445">
          <cell r="D445" t="str">
            <v>Other Office Equipment</v>
          </cell>
          <cell r="F445">
            <v>5099.3999999999996</v>
          </cell>
          <cell r="G445">
            <v>275</v>
          </cell>
          <cell r="H445">
            <v>4907.5780821917806</v>
          </cell>
        </row>
        <row r="446">
          <cell r="D446" t="str">
            <v>Other Office Equipment</v>
          </cell>
          <cell r="F446">
            <v>7612</v>
          </cell>
          <cell r="G446">
            <v>275</v>
          </cell>
          <cell r="H446">
            <v>7325.6986301369861</v>
          </cell>
        </row>
        <row r="447">
          <cell r="D447" t="str">
            <v>Other Office Equipment</v>
          </cell>
          <cell r="F447">
            <v>9557.91</v>
          </cell>
          <cell r="G447">
            <v>275</v>
          </cell>
          <cell r="H447">
            <v>9198.4586301369854</v>
          </cell>
        </row>
        <row r="448">
          <cell r="D448" t="str">
            <v>Other Office Equipment</v>
          </cell>
          <cell r="F448">
            <v>5141.5</v>
          </cell>
          <cell r="G448">
            <v>275</v>
          </cell>
          <cell r="H448">
            <v>4948.2465753424658</v>
          </cell>
        </row>
        <row r="449">
          <cell r="D449" t="str">
            <v>Other Office Equipment</v>
          </cell>
          <cell r="F449">
            <v>0</v>
          </cell>
          <cell r="G449">
            <v>275</v>
          </cell>
          <cell r="H449">
            <v>0</v>
          </cell>
        </row>
        <row r="450">
          <cell r="D450" t="str">
            <v>Other Office Equipment</v>
          </cell>
          <cell r="F450">
            <v>12764.31</v>
          </cell>
          <cell r="G450">
            <v>275</v>
          </cell>
          <cell r="H450">
            <v>12284.612054794519</v>
          </cell>
        </row>
        <row r="451">
          <cell r="D451" t="str">
            <v>Other Office Equipment</v>
          </cell>
          <cell r="F451">
            <v>15950.375</v>
          </cell>
          <cell r="G451">
            <v>275</v>
          </cell>
          <cell r="H451">
            <v>15350.931506849314</v>
          </cell>
        </row>
        <row r="452">
          <cell r="D452" t="str">
            <v>Other Office Equipment</v>
          </cell>
          <cell r="F452">
            <v>0</v>
          </cell>
          <cell r="G452">
            <v>275</v>
          </cell>
          <cell r="H452">
            <v>0</v>
          </cell>
        </row>
        <row r="453">
          <cell r="D453" t="str">
            <v>Other Office Equipment</v>
          </cell>
          <cell r="F453">
            <v>8095.25</v>
          </cell>
          <cell r="G453">
            <v>275</v>
          </cell>
          <cell r="H453">
            <v>7791.0547945205481</v>
          </cell>
        </row>
        <row r="454">
          <cell r="D454" t="str">
            <v>Other Office Equipment</v>
          </cell>
          <cell r="F454">
            <v>25508.9025</v>
          </cell>
          <cell r="G454">
            <v>275</v>
          </cell>
          <cell r="H454">
            <v>24550.472876712331</v>
          </cell>
        </row>
        <row r="455">
          <cell r="D455" t="str">
            <v>Other Office Equipment</v>
          </cell>
          <cell r="F455">
            <v>40957.5</v>
          </cell>
          <cell r="G455">
            <v>275</v>
          </cell>
          <cell r="H455">
            <v>39418.630136986299</v>
          </cell>
        </row>
        <row r="456">
          <cell r="D456" t="str">
            <v>Other Office Equipment</v>
          </cell>
          <cell r="F456">
            <v>0</v>
          </cell>
          <cell r="G456">
            <v>275</v>
          </cell>
          <cell r="H456">
            <v>0</v>
          </cell>
        </row>
        <row r="457">
          <cell r="D457" t="str">
            <v>Other Office Equipment</v>
          </cell>
          <cell r="F457">
            <v>0</v>
          </cell>
          <cell r="G457">
            <v>275</v>
          </cell>
          <cell r="H457">
            <v>0</v>
          </cell>
        </row>
        <row r="458">
          <cell r="D458" t="str">
            <v>Other Office Equipment</v>
          </cell>
          <cell r="F458">
            <v>0</v>
          </cell>
          <cell r="G458">
            <v>275</v>
          </cell>
          <cell r="H458">
            <v>0</v>
          </cell>
        </row>
        <row r="459">
          <cell r="D459" t="str">
            <v>Other Office Equipment</v>
          </cell>
          <cell r="F459">
            <v>0</v>
          </cell>
          <cell r="G459">
            <v>275</v>
          </cell>
          <cell r="H459">
            <v>0</v>
          </cell>
        </row>
        <row r="460">
          <cell r="D460" t="str">
            <v>Other Office Equipment</v>
          </cell>
          <cell r="F460">
            <v>0</v>
          </cell>
          <cell r="G460">
            <v>275</v>
          </cell>
          <cell r="H460">
            <v>0</v>
          </cell>
        </row>
        <row r="461">
          <cell r="D461" t="str">
            <v>Other Office Equipment</v>
          </cell>
          <cell r="F461">
            <v>0</v>
          </cell>
          <cell r="G461">
            <v>275</v>
          </cell>
          <cell r="H461">
            <v>0</v>
          </cell>
        </row>
        <row r="462">
          <cell r="D462" t="str">
            <v>Other Office Equipment</v>
          </cell>
          <cell r="F462">
            <v>0</v>
          </cell>
          <cell r="G462">
            <v>275</v>
          </cell>
          <cell r="H462">
            <v>0</v>
          </cell>
        </row>
        <row r="463">
          <cell r="D463" t="str">
            <v>Other Office Equipment</v>
          </cell>
          <cell r="F463">
            <v>0</v>
          </cell>
          <cell r="G463">
            <v>275</v>
          </cell>
          <cell r="H463">
            <v>0</v>
          </cell>
        </row>
        <row r="464">
          <cell r="D464" t="str">
            <v>Other Office Equipment</v>
          </cell>
          <cell r="F464">
            <v>0</v>
          </cell>
          <cell r="G464">
            <v>275</v>
          </cell>
          <cell r="H464">
            <v>0</v>
          </cell>
        </row>
        <row r="465">
          <cell r="D465" t="str">
            <v>Other Office Equipment</v>
          </cell>
          <cell r="F465">
            <v>0</v>
          </cell>
          <cell r="G465">
            <v>275</v>
          </cell>
          <cell r="H465">
            <v>0</v>
          </cell>
        </row>
        <row r="466">
          <cell r="D466" t="str">
            <v>Other Office Equipment</v>
          </cell>
          <cell r="F466">
            <v>0</v>
          </cell>
          <cell r="G466">
            <v>275</v>
          </cell>
          <cell r="H466">
            <v>0</v>
          </cell>
        </row>
        <row r="467">
          <cell r="D467" t="str">
            <v>Other Office Equipment</v>
          </cell>
          <cell r="F467">
            <v>0</v>
          </cell>
          <cell r="G467">
            <v>275</v>
          </cell>
          <cell r="H467">
            <v>0</v>
          </cell>
        </row>
        <row r="468">
          <cell r="D468" t="str">
            <v>Other Office Equipment</v>
          </cell>
          <cell r="F468">
            <v>0</v>
          </cell>
          <cell r="G468">
            <v>275</v>
          </cell>
          <cell r="H468">
            <v>0</v>
          </cell>
        </row>
        <row r="469">
          <cell r="D469" t="str">
            <v>Other Office Equipment</v>
          </cell>
          <cell r="F469">
            <v>0</v>
          </cell>
          <cell r="G469">
            <v>275</v>
          </cell>
          <cell r="H469">
            <v>0</v>
          </cell>
        </row>
        <row r="470">
          <cell r="D470" t="str">
            <v>Other Office Equipment</v>
          </cell>
          <cell r="F470">
            <v>0</v>
          </cell>
          <cell r="G470">
            <v>275</v>
          </cell>
          <cell r="H470">
            <v>0</v>
          </cell>
        </row>
        <row r="471">
          <cell r="D471" t="str">
            <v>Other Office Equipment</v>
          </cell>
          <cell r="F471">
            <v>0</v>
          </cell>
          <cell r="G471">
            <v>275</v>
          </cell>
          <cell r="H471">
            <v>0</v>
          </cell>
        </row>
        <row r="472">
          <cell r="D472" t="str">
            <v>Other Office Equipment</v>
          </cell>
          <cell r="F472">
            <v>0</v>
          </cell>
          <cell r="G472">
            <v>275</v>
          </cell>
          <cell r="H472">
            <v>0</v>
          </cell>
        </row>
        <row r="473">
          <cell r="D473" t="str">
            <v>Other Office Equipment</v>
          </cell>
          <cell r="F473">
            <v>0</v>
          </cell>
          <cell r="G473">
            <v>275</v>
          </cell>
          <cell r="H473">
            <v>0</v>
          </cell>
        </row>
        <row r="474">
          <cell r="D474" t="str">
            <v>Other Office Equipment</v>
          </cell>
          <cell r="F474">
            <v>0</v>
          </cell>
          <cell r="G474">
            <v>275</v>
          </cell>
          <cell r="H474">
            <v>0</v>
          </cell>
        </row>
        <row r="475">
          <cell r="D475" t="str">
            <v>Other Office Equipment</v>
          </cell>
          <cell r="F475">
            <v>0</v>
          </cell>
          <cell r="G475">
            <v>275</v>
          </cell>
          <cell r="H475">
            <v>0</v>
          </cell>
        </row>
        <row r="476">
          <cell r="D476" t="str">
            <v>Other Office Equipment</v>
          </cell>
          <cell r="F476">
            <v>0</v>
          </cell>
          <cell r="G476">
            <v>275</v>
          </cell>
          <cell r="H476">
            <v>0</v>
          </cell>
        </row>
        <row r="477">
          <cell r="D477" t="str">
            <v>Other Office Equipment</v>
          </cell>
          <cell r="F477">
            <v>0</v>
          </cell>
          <cell r="G477">
            <v>275</v>
          </cell>
          <cell r="H477">
            <v>0</v>
          </cell>
        </row>
        <row r="478">
          <cell r="D478" t="str">
            <v>Other Office Equipment</v>
          </cell>
          <cell r="F478">
            <v>0</v>
          </cell>
          <cell r="G478">
            <v>275</v>
          </cell>
          <cell r="H478">
            <v>0</v>
          </cell>
        </row>
        <row r="479">
          <cell r="D479" t="str">
            <v>Other Office Equipment</v>
          </cell>
          <cell r="F479">
            <v>0</v>
          </cell>
          <cell r="G479">
            <v>275</v>
          </cell>
          <cell r="H479">
            <v>0</v>
          </cell>
        </row>
        <row r="480">
          <cell r="D480" t="str">
            <v>Other Office Equipment</v>
          </cell>
          <cell r="F480">
            <v>0</v>
          </cell>
          <cell r="G480">
            <v>275</v>
          </cell>
          <cell r="H480">
            <v>0</v>
          </cell>
        </row>
        <row r="481">
          <cell r="D481" t="str">
            <v>Other Office Equipment</v>
          </cell>
          <cell r="F481">
            <v>0</v>
          </cell>
          <cell r="G481">
            <v>275</v>
          </cell>
          <cell r="H481">
            <v>0</v>
          </cell>
        </row>
        <row r="482">
          <cell r="D482" t="str">
            <v>Other Office Equipment</v>
          </cell>
          <cell r="F482">
            <v>0</v>
          </cell>
          <cell r="G482">
            <v>275</v>
          </cell>
          <cell r="H482">
            <v>0</v>
          </cell>
        </row>
        <row r="483">
          <cell r="D483" t="str">
            <v>Other Office Equipment</v>
          </cell>
          <cell r="F483">
            <v>0</v>
          </cell>
          <cell r="G483">
            <v>275</v>
          </cell>
          <cell r="H483">
            <v>0</v>
          </cell>
        </row>
        <row r="484">
          <cell r="D484" t="str">
            <v>Other Office Equipment</v>
          </cell>
          <cell r="F484">
            <v>0</v>
          </cell>
          <cell r="G484">
            <v>275</v>
          </cell>
          <cell r="H484">
            <v>0</v>
          </cell>
        </row>
        <row r="485">
          <cell r="D485" t="str">
            <v>Other Office Equipment</v>
          </cell>
          <cell r="F485">
            <v>0</v>
          </cell>
          <cell r="G485">
            <v>275</v>
          </cell>
          <cell r="H485">
            <v>0</v>
          </cell>
        </row>
        <row r="486">
          <cell r="D486" t="str">
            <v>Other Office Equipment</v>
          </cell>
          <cell r="F486">
            <v>0</v>
          </cell>
          <cell r="G486">
            <v>275</v>
          </cell>
          <cell r="H486">
            <v>0</v>
          </cell>
        </row>
        <row r="487">
          <cell r="D487" t="str">
            <v>Other Office Equipment</v>
          </cell>
          <cell r="F487">
            <v>0</v>
          </cell>
          <cell r="G487">
            <v>275</v>
          </cell>
          <cell r="H487">
            <v>0</v>
          </cell>
        </row>
        <row r="488">
          <cell r="D488" t="str">
            <v>Other Office Equipment</v>
          </cell>
          <cell r="F488">
            <v>0</v>
          </cell>
          <cell r="G488">
            <v>275</v>
          </cell>
          <cell r="H488">
            <v>0</v>
          </cell>
        </row>
        <row r="489">
          <cell r="D489" t="str">
            <v>Other Office Equipment</v>
          </cell>
          <cell r="F489">
            <v>0</v>
          </cell>
          <cell r="G489">
            <v>275</v>
          </cell>
          <cell r="H489">
            <v>0</v>
          </cell>
        </row>
        <row r="490">
          <cell r="D490" t="str">
            <v>Other Office Equipment</v>
          </cell>
          <cell r="F490">
            <v>0</v>
          </cell>
          <cell r="G490">
            <v>275</v>
          </cell>
          <cell r="H490">
            <v>0</v>
          </cell>
        </row>
        <row r="491">
          <cell r="D491" t="str">
            <v>Other Office Equipment</v>
          </cell>
          <cell r="F491">
            <v>0</v>
          </cell>
          <cell r="G491">
            <v>275</v>
          </cell>
          <cell r="H491">
            <v>0</v>
          </cell>
        </row>
        <row r="492">
          <cell r="D492" t="str">
            <v>Other Office Equipment</v>
          </cell>
          <cell r="F492">
            <v>0</v>
          </cell>
          <cell r="G492">
            <v>275</v>
          </cell>
          <cell r="H492">
            <v>0</v>
          </cell>
        </row>
        <row r="493">
          <cell r="D493" t="str">
            <v>Other Office Equipment</v>
          </cell>
          <cell r="F493">
            <v>0</v>
          </cell>
          <cell r="G493">
            <v>275</v>
          </cell>
          <cell r="H493">
            <v>0</v>
          </cell>
        </row>
        <row r="494">
          <cell r="D494" t="str">
            <v>Other Office Equipment</v>
          </cell>
          <cell r="F494">
            <v>0</v>
          </cell>
          <cell r="G494">
            <v>275</v>
          </cell>
          <cell r="H494">
            <v>0</v>
          </cell>
        </row>
        <row r="495">
          <cell r="D495" t="str">
            <v>Other Office Equipment</v>
          </cell>
          <cell r="F495">
            <v>0</v>
          </cell>
          <cell r="G495">
            <v>275</v>
          </cell>
          <cell r="H495">
            <v>0</v>
          </cell>
        </row>
        <row r="496">
          <cell r="D496" t="str">
            <v>Other Office Equipment</v>
          </cell>
          <cell r="F496">
            <v>0</v>
          </cell>
          <cell r="G496">
            <v>275</v>
          </cell>
          <cell r="H496">
            <v>0</v>
          </cell>
        </row>
        <row r="497">
          <cell r="D497" t="str">
            <v>Other Office Equipment</v>
          </cell>
          <cell r="F497">
            <v>0</v>
          </cell>
          <cell r="G497">
            <v>275</v>
          </cell>
          <cell r="H497">
            <v>0</v>
          </cell>
        </row>
        <row r="498">
          <cell r="D498" t="str">
            <v>Other Office Equipment</v>
          </cell>
          <cell r="F498">
            <v>0</v>
          </cell>
          <cell r="G498">
            <v>275</v>
          </cell>
          <cell r="H498">
            <v>0</v>
          </cell>
        </row>
        <row r="499">
          <cell r="D499" t="str">
            <v>Other Office Equipment</v>
          </cell>
          <cell r="F499">
            <v>0</v>
          </cell>
          <cell r="G499">
            <v>275</v>
          </cell>
          <cell r="H499">
            <v>0</v>
          </cell>
        </row>
        <row r="500">
          <cell r="D500" t="str">
            <v>Other Office Equipment</v>
          </cell>
          <cell r="F500">
            <v>0</v>
          </cell>
          <cell r="G500">
            <v>275</v>
          </cell>
          <cell r="H500">
            <v>0</v>
          </cell>
        </row>
        <row r="501">
          <cell r="D501" t="str">
            <v>Other Office Equipment</v>
          </cell>
          <cell r="F501">
            <v>0</v>
          </cell>
          <cell r="G501">
            <v>275</v>
          </cell>
          <cell r="H501">
            <v>0</v>
          </cell>
        </row>
        <row r="502">
          <cell r="D502" t="str">
            <v>Other Office Equipment</v>
          </cell>
          <cell r="F502">
            <v>0</v>
          </cell>
          <cell r="G502">
            <v>275</v>
          </cell>
          <cell r="H502">
            <v>0</v>
          </cell>
        </row>
        <row r="503">
          <cell r="D503" t="str">
            <v>Other Office Equipment</v>
          </cell>
          <cell r="F503">
            <v>0</v>
          </cell>
          <cell r="G503">
            <v>275</v>
          </cell>
          <cell r="H503">
            <v>0</v>
          </cell>
        </row>
        <row r="504">
          <cell r="D504" t="str">
            <v>Other Office Equipment</v>
          </cell>
          <cell r="F504">
            <v>0</v>
          </cell>
          <cell r="G504">
            <v>275</v>
          </cell>
          <cell r="H504">
            <v>0</v>
          </cell>
        </row>
        <row r="505">
          <cell r="D505" t="str">
            <v>Other Office Equipment</v>
          </cell>
          <cell r="F505">
            <v>0</v>
          </cell>
          <cell r="G505">
            <v>275</v>
          </cell>
          <cell r="H505">
            <v>0</v>
          </cell>
        </row>
        <row r="506">
          <cell r="D506" t="str">
            <v>Other Office Equipment</v>
          </cell>
          <cell r="F506">
            <v>0</v>
          </cell>
          <cell r="G506">
            <v>275</v>
          </cell>
          <cell r="H506">
            <v>0</v>
          </cell>
        </row>
        <row r="507">
          <cell r="D507" t="str">
            <v>Other Office Equipment</v>
          </cell>
          <cell r="F507">
            <v>0</v>
          </cell>
          <cell r="G507">
            <v>275</v>
          </cell>
          <cell r="H507">
            <v>0</v>
          </cell>
        </row>
        <row r="508">
          <cell r="D508" t="str">
            <v>Other Office Equipment</v>
          </cell>
          <cell r="F508">
            <v>0</v>
          </cell>
          <cell r="G508">
            <v>275</v>
          </cell>
          <cell r="H508">
            <v>0</v>
          </cell>
        </row>
        <row r="509">
          <cell r="D509" t="str">
            <v>Other Office Equipment</v>
          </cell>
          <cell r="F509">
            <v>0</v>
          </cell>
          <cell r="G509">
            <v>275</v>
          </cell>
          <cell r="H509">
            <v>0</v>
          </cell>
        </row>
        <row r="510">
          <cell r="D510" t="str">
            <v>Other Office Equipment</v>
          </cell>
          <cell r="F510">
            <v>0</v>
          </cell>
          <cell r="G510">
            <v>275</v>
          </cell>
          <cell r="H510">
            <v>0</v>
          </cell>
        </row>
        <row r="511">
          <cell r="D511" t="str">
            <v>Other Office Equipment</v>
          </cell>
          <cell r="F511">
            <v>0</v>
          </cell>
          <cell r="G511">
            <v>275</v>
          </cell>
          <cell r="H511">
            <v>0</v>
          </cell>
        </row>
        <row r="512">
          <cell r="D512" t="str">
            <v>Other Office Equipment</v>
          </cell>
          <cell r="F512">
            <v>0</v>
          </cell>
          <cell r="G512">
            <v>275</v>
          </cell>
          <cell r="H512">
            <v>0</v>
          </cell>
        </row>
        <row r="513">
          <cell r="D513" t="str">
            <v>Other Office Equipment</v>
          </cell>
          <cell r="F513">
            <v>0</v>
          </cell>
          <cell r="G513">
            <v>275</v>
          </cell>
          <cell r="H513">
            <v>0</v>
          </cell>
        </row>
        <row r="514">
          <cell r="D514" t="str">
            <v>Other Office Equipment</v>
          </cell>
          <cell r="F514">
            <v>0</v>
          </cell>
          <cell r="G514">
            <v>275</v>
          </cell>
          <cell r="H514">
            <v>0</v>
          </cell>
        </row>
        <row r="515">
          <cell r="D515" t="str">
            <v>Other Office Equipment</v>
          </cell>
          <cell r="F515">
            <v>0</v>
          </cell>
          <cell r="G515">
            <v>275</v>
          </cell>
          <cell r="H515">
            <v>0</v>
          </cell>
        </row>
        <row r="516">
          <cell r="D516" t="str">
            <v>Other Office Equipment</v>
          </cell>
          <cell r="F516">
            <v>0</v>
          </cell>
          <cell r="G516">
            <v>275</v>
          </cell>
          <cell r="H516">
            <v>0</v>
          </cell>
        </row>
        <row r="517">
          <cell r="D517" t="str">
            <v>Other Office Equipment</v>
          </cell>
          <cell r="F517">
            <v>0</v>
          </cell>
          <cell r="G517">
            <v>275</v>
          </cell>
          <cell r="H517">
            <v>0</v>
          </cell>
        </row>
        <row r="518">
          <cell r="D518" t="str">
            <v>Other Office Equipment</v>
          </cell>
          <cell r="F518">
            <v>0</v>
          </cell>
          <cell r="G518">
            <v>275</v>
          </cell>
          <cell r="H518">
            <v>0</v>
          </cell>
        </row>
        <row r="519">
          <cell r="D519" t="str">
            <v>Other Office Equipment</v>
          </cell>
          <cell r="F519">
            <v>0</v>
          </cell>
          <cell r="G519">
            <v>275</v>
          </cell>
          <cell r="H519">
            <v>0</v>
          </cell>
        </row>
        <row r="520">
          <cell r="D520" t="str">
            <v>Other Office Equipment</v>
          </cell>
          <cell r="F520">
            <v>0</v>
          </cell>
          <cell r="G520">
            <v>275</v>
          </cell>
          <cell r="H520">
            <v>0</v>
          </cell>
        </row>
        <row r="521">
          <cell r="D521" t="str">
            <v>Other Office Equipment</v>
          </cell>
          <cell r="F521">
            <v>0</v>
          </cell>
          <cell r="G521">
            <v>275</v>
          </cell>
          <cell r="H521">
            <v>0</v>
          </cell>
        </row>
        <row r="522">
          <cell r="D522" t="str">
            <v>Other Office Equipment</v>
          </cell>
          <cell r="F522">
            <v>0</v>
          </cell>
          <cell r="G522">
            <v>275</v>
          </cell>
          <cell r="H522">
            <v>0</v>
          </cell>
        </row>
        <row r="523">
          <cell r="D523" t="str">
            <v>Other Office Equipment</v>
          </cell>
          <cell r="F523">
            <v>0</v>
          </cell>
          <cell r="G523">
            <v>275</v>
          </cell>
          <cell r="H523">
            <v>0</v>
          </cell>
        </row>
        <row r="524">
          <cell r="D524" t="str">
            <v>Other Office Equipment</v>
          </cell>
          <cell r="F524">
            <v>0</v>
          </cell>
          <cell r="G524">
            <v>275</v>
          </cell>
          <cell r="H524">
            <v>0</v>
          </cell>
        </row>
        <row r="525">
          <cell r="D525" t="str">
            <v>Other Office Equipment</v>
          </cell>
          <cell r="F525">
            <v>0</v>
          </cell>
          <cell r="G525">
            <v>275</v>
          </cell>
          <cell r="H525">
            <v>0</v>
          </cell>
        </row>
        <row r="526">
          <cell r="D526" t="str">
            <v>Other Office Equipment</v>
          </cell>
          <cell r="F526">
            <v>0</v>
          </cell>
          <cell r="G526">
            <v>275</v>
          </cell>
          <cell r="H526">
            <v>0</v>
          </cell>
        </row>
        <row r="527">
          <cell r="D527" t="str">
            <v>Other Office Equipment</v>
          </cell>
          <cell r="F527">
            <v>0</v>
          </cell>
          <cell r="G527">
            <v>275</v>
          </cell>
          <cell r="H527">
            <v>0</v>
          </cell>
        </row>
        <row r="528">
          <cell r="D528" t="str">
            <v>Other Office Equipment</v>
          </cell>
          <cell r="F528">
            <v>0</v>
          </cell>
          <cell r="G528">
            <v>275</v>
          </cell>
          <cell r="H528">
            <v>0</v>
          </cell>
        </row>
        <row r="529">
          <cell r="D529" t="str">
            <v>Other Office Equipment</v>
          </cell>
          <cell r="F529">
            <v>0</v>
          </cell>
          <cell r="G529">
            <v>275</v>
          </cell>
          <cell r="H529">
            <v>0</v>
          </cell>
        </row>
        <row r="530">
          <cell r="D530" t="str">
            <v>Other Office Equipment</v>
          </cell>
          <cell r="F530">
            <v>0</v>
          </cell>
          <cell r="G530">
            <v>275</v>
          </cell>
          <cell r="H530">
            <v>0</v>
          </cell>
        </row>
        <row r="531">
          <cell r="D531" t="str">
            <v>Other Office Equipment</v>
          </cell>
          <cell r="F531">
            <v>0</v>
          </cell>
          <cell r="G531">
            <v>275</v>
          </cell>
          <cell r="H531">
            <v>0</v>
          </cell>
        </row>
        <row r="532">
          <cell r="D532" t="str">
            <v>Other Office Equipment</v>
          </cell>
          <cell r="F532">
            <v>0</v>
          </cell>
          <cell r="G532">
            <v>275</v>
          </cell>
          <cell r="H532">
            <v>0</v>
          </cell>
        </row>
        <row r="533">
          <cell r="D533" t="str">
            <v>Other Office Equipment</v>
          </cell>
          <cell r="F533">
            <v>0</v>
          </cell>
          <cell r="G533">
            <v>275</v>
          </cell>
          <cell r="H533">
            <v>0</v>
          </cell>
        </row>
        <row r="534">
          <cell r="D534" t="str">
            <v>Other Office Equipment</v>
          </cell>
          <cell r="F534">
            <v>0</v>
          </cell>
          <cell r="G534">
            <v>275</v>
          </cell>
          <cell r="H534">
            <v>0</v>
          </cell>
        </row>
        <row r="535">
          <cell r="D535" t="str">
            <v>Other Office Equipment</v>
          </cell>
          <cell r="F535">
            <v>0</v>
          </cell>
          <cell r="G535">
            <v>275</v>
          </cell>
          <cell r="H535">
            <v>0</v>
          </cell>
        </row>
        <row r="536">
          <cell r="D536" t="str">
            <v>Other Office Equipment</v>
          </cell>
          <cell r="F536">
            <v>0</v>
          </cell>
          <cell r="G536">
            <v>275</v>
          </cell>
          <cell r="H536">
            <v>0</v>
          </cell>
        </row>
        <row r="537">
          <cell r="D537" t="str">
            <v>Other Office Equipment</v>
          </cell>
          <cell r="F537">
            <v>0</v>
          </cell>
          <cell r="G537">
            <v>275</v>
          </cell>
          <cell r="H537">
            <v>0</v>
          </cell>
        </row>
        <row r="538">
          <cell r="D538" t="str">
            <v>Other Office Equipment</v>
          </cell>
          <cell r="F538">
            <v>0</v>
          </cell>
          <cell r="G538">
            <v>275</v>
          </cell>
          <cell r="H538">
            <v>0</v>
          </cell>
        </row>
        <row r="539">
          <cell r="D539" t="str">
            <v>Other Office Equipment</v>
          </cell>
          <cell r="F539">
            <v>0</v>
          </cell>
          <cell r="G539">
            <v>275</v>
          </cell>
          <cell r="H539">
            <v>0</v>
          </cell>
        </row>
        <row r="540">
          <cell r="D540" t="str">
            <v>Other Office Equipment</v>
          </cell>
          <cell r="F540">
            <v>0</v>
          </cell>
          <cell r="G540">
            <v>275</v>
          </cell>
          <cell r="H540">
            <v>0</v>
          </cell>
        </row>
        <row r="541">
          <cell r="D541" t="str">
            <v>Other Office Equipment</v>
          </cell>
          <cell r="F541">
            <v>0</v>
          </cell>
          <cell r="G541">
            <v>275</v>
          </cell>
          <cell r="H541">
            <v>0</v>
          </cell>
        </row>
        <row r="542">
          <cell r="D542" t="str">
            <v>Other Office Equipment</v>
          </cell>
          <cell r="F542">
            <v>0</v>
          </cell>
          <cell r="G542">
            <v>275</v>
          </cell>
          <cell r="H542">
            <v>0</v>
          </cell>
        </row>
        <row r="543">
          <cell r="D543" t="str">
            <v>Other Office Equipment</v>
          </cell>
          <cell r="F543">
            <v>0</v>
          </cell>
          <cell r="G543">
            <v>275</v>
          </cell>
          <cell r="H543">
            <v>0</v>
          </cell>
        </row>
        <row r="544">
          <cell r="D544" t="str">
            <v>Other Office Equipment</v>
          </cell>
          <cell r="F544">
            <v>0</v>
          </cell>
          <cell r="G544">
            <v>275</v>
          </cell>
          <cell r="H544">
            <v>0</v>
          </cell>
        </row>
        <row r="545">
          <cell r="D545" t="str">
            <v>Other Office Equipment</v>
          </cell>
          <cell r="F545">
            <v>0</v>
          </cell>
          <cell r="G545">
            <v>275</v>
          </cell>
          <cell r="H545">
            <v>0</v>
          </cell>
        </row>
        <row r="546">
          <cell r="D546" t="str">
            <v>Other Office Equipment</v>
          </cell>
          <cell r="F546">
            <v>0</v>
          </cell>
          <cell r="G546">
            <v>275</v>
          </cell>
          <cell r="H546">
            <v>0</v>
          </cell>
        </row>
        <row r="547">
          <cell r="D547" t="str">
            <v>Other Office Equipment</v>
          </cell>
          <cell r="F547">
            <v>0</v>
          </cell>
          <cell r="G547">
            <v>275</v>
          </cell>
          <cell r="H547">
            <v>0</v>
          </cell>
        </row>
        <row r="548">
          <cell r="D548" t="str">
            <v>Other Office Equipment</v>
          </cell>
          <cell r="F548">
            <v>0</v>
          </cell>
          <cell r="G548">
            <v>275</v>
          </cell>
          <cell r="H548">
            <v>0</v>
          </cell>
        </row>
        <row r="549">
          <cell r="D549" t="str">
            <v>Other Office Equipment</v>
          </cell>
          <cell r="F549">
            <v>0</v>
          </cell>
          <cell r="G549">
            <v>275</v>
          </cell>
          <cell r="H549">
            <v>0</v>
          </cell>
        </row>
        <row r="550">
          <cell r="D550" t="str">
            <v>Other Office Equipment</v>
          </cell>
          <cell r="F550">
            <v>0</v>
          </cell>
          <cell r="G550">
            <v>275</v>
          </cell>
          <cell r="H550">
            <v>0</v>
          </cell>
        </row>
        <row r="551">
          <cell r="D551" t="str">
            <v>Other Office Equipment</v>
          </cell>
          <cell r="F551">
            <v>0</v>
          </cell>
          <cell r="G551">
            <v>275</v>
          </cell>
          <cell r="H551">
            <v>0</v>
          </cell>
        </row>
        <row r="552">
          <cell r="D552" t="str">
            <v>Other Office Equipment</v>
          </cell>
          <cell r="F552">
            <v>0</v>
          </cell>
          <cell r="G552">
            <v>275</v>
          </cell>
          <cell r="H552">
            <v>0</v>
          </cell>
        </row>
        <row r="553">
          <cell r="D553" t="str">
            <v>Other Office Equipment</v>
          </cell>
          <cell r="F553">
            <v>0</v>
          </cell>
          <cell r="G553">
            <v>275</v>
          </cell>
          <cell r="H553">
            <v>0</v>
          </cell>
        </row>
        <row r="554">
          <cell r="D554" t="str">
            <v>Other Office Equipment</v>
          </cell>
          <cell r="F554">
            <v>0</v>
          </cell>
          <cell r="G554">
            <v>275</v>
          </cell>
          <cell r="H554">
            <v>0</v>
          </cell>
        </row>
        <row r="555">
          <cell r="D555" t="str">
            <v>Other Office Equipment</v>
          </cell>
          <cell r="F555">
            <v>0</v>
          </cell>
          <cell r="G555">
            <v>275</v>
          </cell>
          <cell r="H555">
            <v>0</v>
          </cell>
        </row>
        <row r="556">
          <cell r="D556" t="str">
            <v>Other Office Equipment</v>
          </cell>
          <cell r="F556">
            <v>0</v>
          </cell>
          <cell r="G556">
            <v>275</v>
          </cell>
          <cell r="H556">
            <v>0</v>
          </cell>
        </row>
        <row r="557">
          <cell r="D557" t="str">
            <v>Other Office Equipment</v>
          </cell>
          <cell r="F557">
            <v>0</v>
          </cell>
          <cell r="G557">
            <v>275</v>
          </cell>
          <cell r="H557">
            <v>0</v>
          </cell>
        </row>
        <row r="558">
          <cell r="D558" t="str">
            <v>Other Office Equipment</v>
          </cell>
          <cell r="F558">
            <v>0</v>
          </cell>
          <cell r="G558">
            <v>275</v>
          </cell>
          <cell r="H558">
            <v>0</v>
          </cell>
        </row>
        <row r="559">
          <cell r="D559" t="str">
            <v>Other Office Equipment</v>
          </cell>
          <cell r="F559">
            <v>0</v>
          </cell>
          <cell r="G559">
            <v>275</v>
          </cell>
          <cell r="H559">
            <v>0</v>
          </cell>
        </row>
        <row r="560">
          <cell r="D560" t="str">
            <v>Other Office Equipment</v>
          </cell>
          <cell r="F560">
            <v>0</v>
          </cell>
          <cell r="G560">
            <v>275</v>
          </cell>
          <cell r="H560">
            <v>0</v>
          </cell>
        </row>
        <row r="561">
          <cell r="D561" t="str">
            <v>Other Office Equipment</v>
          </cell>
          <cell r="F561">
            <v>0</v>
          </cell>
          <cell r="G561">
            <v>275</v>
          </cell>
          <cell r="H561">
            <v>0</v>
          </cell>
        </row>
        <row r="562">
          <cell r="D562" t="str">
            <v>Other Office Equipment</v>
          </cell>
          <cell r="F562">
            <v>0</v>
          </cell>
          <cell r="G562">
            <v>275</v>
          </cell>
          <cell r="H562">
            <v>0</v>
          </cell>
        </row>
        <row r="563">
          <cell r="D563" t="str">
            <v>Other Office Equipment</v>
          </cell>
          <cell r="F563">
            <v>0</v>
          </cell>
          <cell r="G563">
            <v>275</v>
          </cell>
          <cell r="H563">
            <v>0</v>
          </cell>
        </row>
        <row r="564">
          <cell r="D564" t="str">
            <v>Other Office Equipment</v>
          </cell>
          <cell r="F564">
            <v>0</v>
          </cell>
          <cell r="G564">
            <v>275</v>
          </cell>
          <cell r="H564">
            <v>0</v>
          </cell>
        </row>
        <row r="565">
          <cell r="D565" t="str">
            <v>Other Office Equipment</v>
          </cell>
          <cell r="F565">
            <v>0</v>
          </cell>
          <cell r="G565">
            <v>275</v>
          </cell>
          <cell r="H565">
            <v>0</v>
          </cell>
        </row>
        <row r="566">
          <cell r="D566" t="str">
            <v>Other Office Equipment</v>
          </cell>
          <cell r="F566">
            <v>0</v>
          </cell>
          <cell r="G566">
            <v>275</v>
          </cell>
          <cell r="H566">
            <v>0</v>
          </cell>
        </row>
        <row r="567">
          <cell r="D567" t="str">
            <v>Other Office Equipment</v>
          </cell>
          <cell r="F567">
            <v>0</v>
          </cell>
          <cell r="G567">
            <v>275</v>
          </cell>
          <cell r="H567">
            <v>0</v>
          </cell>
        </row>
        <row r="568">
          <cell r="D568" t="str">
            <v>Other Office Equipment</v>
          </cell>
          <cell r="F568">
            <v>0</v>
          </cell>
          <cell r="G568">
            <v>275</v>
          </cell>
          <cell r="H568">
            <v>0</v>
          </cell>
        </row>
        <row r="569">
          <cell r="D569" t="str">
            <v>Other Office Equipment</v>
          </cell>
          <cell r="F569">
            <v>0</v>
          </cell>
          <cell r="G569">
            <v>275</v>
          </cell>
          <cell r="H569">
            <v>0</v>
          </cell>
        </row>
        <row r="570">
          <cell r="D570" t="str">
            <v>Other Office Equipment</v>
          </cell>
          <cell r="F570">
            <v>0</v>
          </cell>
          <cell r="G570">
            <v>275</v>
          </cell>
          <cell r="H570">
            <v>0</v>
          </cell>
        </row>
        <row r="571">
          <cell r="D571" t="str">
            <v>Other Office Equipment</v>
          </cell>
          <cell r="F571">
            <v>0</v>
          </cell>
          <cell r="G571">
            <v>275</v>
          </cell>
          <cell r="H571">
            <v>0</v>
          </cell>
        </row>
        <row r="572">
          <cell r="D572" t="str">
            <v>Other Office Equipment</v>
          </cell>
          <cell r="F572">
            <v>0</v>
          </cell>
          <cell r="G572">
            <v>275</v>
          </cell>
          <cell r="H572">
            <v>0</v>
          </cell>
        </row>
        <row r="573">
          <cell r="D573" t="str">
            <v>Other Office Equipment</v>
          </cell>
          <cell r="F573">
            <v>0</v>
          </cell>
          <cell r="G573">
            <v>275</v>
          </cell>
          <cell r="H573">
            <v>0</v>
          </cell>
        </row>
        <row r="574">
          <cell r="D574" t="str">
            <v>Other Office Equipment</v>
          </cell>
          <cell r="F574">
            <v>0</v>
          </cell>
          <cell r="G574">
            <v>275</v>
          </cell>
          <cell r="H574">
            <v>0</v>
          </cell>
        </row>
        <row r="575">
          <cell r="D575" t="str">
            <v>Other Office Equipment</v>
          </cell>
          <cell r="F575">
            <v>0</v>
          </cell>
          <cell r="G575">
            <v>275</v>
          </cell>
          <cell r="H575">
            <v>0</v>
          </cell>
        </row>
        <row r="576">
          <cell r="D576" t="str">
            <v>Other Office Equipment</v>
          </cell>
          <cell r="F576">
            <v>0</v>
          </cell>
          <cell r="G576">
            <v>275</v>
          </cell>
          <cell r="H576">
            <v>0</v>
          </cell>
        </row>
        <row r="577">
          <cell r="D577" t="str">
            <v>Other Office Equipment</v>
          </cell>
          <cell r="F577">
            <v>0</v>
          </cell>
          <cell r="G577">
            <v>275</v>
          </cell>
          <cell r="H577">
            <v>0</v>
          </cell>
        </row>
        <row r="578">
          <cell r="D578" t="str">
            <v>Other Office Equipment</v>
          </cell>
          <cell r="F578">
            <v>0</v>
          </cell>
          <cell r="G578">
            <v>275</v>
          </cell>
          <cell r="H578">
            <v>0</v>
          </cell>
        </row>
        <row r="579">
          <cell r="D579" t="str">
            <v>Other Office Equipment</v>
          </cell>
          <cell r="F579">
            <v>0</v>
          </cell>
          <cell r="G579">
            <v>275</v>
          </cell>
          <cell r="H579">
            <v>0</v>
          </cell>
        </row>
        <row r="580">
          <cell r="D580" t="str">
            <v>Other Office Equipment</v>
          </cell>
          <cell r="F580">
            <v>0</v>
          </cell>
          <cell r="G580">
            <v>275</v>
          </cell>
          <cell r="H580">
            <v>0</v>
          </cell>
        </row>
        <row r="581">
          <cell r="D581" t="str">
            <v>Other Office Equipment</v>
          </cell>
          <cell r="F581">
            <v>0</v>
          </cell>
          <cell r="G581">
            <v>275</v>
          </cell>
          <cell r="H581">
            <v>0</v>
          </cell>
        </row>
        <row r="582">
          <cell r="D582" t="str">
            <v>Other Office Equipment</v>
          </cell>
          <cell r="F582">
            <v>0</v>
          </cell>
          <cell r="G582">
            <v>275</v>
          </cell>
          <cell r="H582">
            <v>0</v>
          </cell>
        </row>
        <row r="583">
          <cell r="D583" t="str">
            <v>Other Office Equipment</v>
          </cell>
          <cell r="F583">
            <v>0</v>
          </cell>
          <cell r="G583">
            <v>275</v>
          </cell>
          <cell r="H583">
            <v>0</v>
          </cell>
        </row>
        <row r="584">
          <cell r="D584" t="str">
            <v>Other Office Equipment</v>
          </cell>
          <cell r="F584">
            <v>0</v>
          </cell>
          <cell r="G584">
            <v>275</v>
          </cell>
          <cell r="H584">
            <v>0</v>
          </cell>
        </row>
        <row r="585">
          <cell r="D585" t="str">
            <v>Other Office Equipment</v>
          </cell>
          <cell r="F585">
            <v>0</v>
          </cell>
          <cell r="G585">
            <v>275</v>
          </cell>
          <cell r="H585">
            <v>0</v>
          </cell>
        </row>
        <row r="586">
          <cell r="D586" t="str">
            <v>Other Office Equipment</v>
          </cell>
          <cell r="F586">
            <v>0</v>
          </cell>
          <cell r="G586">
            <v>275</v>
          </cell>
          <cell r="H586">
            <v>0</v>
          </cell>
        </row>
        <row r="587">
          <cell r="D587" t="str">
            <v>Other Office Equipment</v>
          </cell>
          <cell r="F587">
            <v>0</v>
          </cell>
          <cell r="G587">
            <v>275</v>
          </cell>
          <cell r="H587">
            <v>0</v>
          </cell>
        </row>
        <row r="588">
          <cell r="D588" t="str">
            <v>Other Office Equipment</v>
          </cell>
          <cell r="F588">
            <v>0</v>
          </cell>
          <cell r="G588">
            <v>275</v>
          </cell>
          <cell r="H588">
            <v>0</v>
          </cell>
        </row>
        <row r="589">
          <cell r="D589" t="str">
            <v>Other Office Equipment</v>
          </cell>
          <cell r="F589">
            <v>0</v>
          </cell>
          <cell r="G589">
            <v>275</v>
          </cell>
          <cell r="H589">
            <v>0</v>
          </cell>
        </row>
        <row r="590">
          <cell r="D590" t="str">
            <v>Other Office Equipment</v>
          </cell>
          <cell r="F590">
            <v>0</v>
          </cell>
          <cell r="G590">
            <v>275</v>
          </cell>
          <cell r="H590">
            <v>0</v>
          </cell>
        </row>
        <row r="591">
          <cell r="D591" t="str">
            <v>Other Office Equipment</v>
          </cell>
          <cell r="F591">
            <v>0</v>
          </cell>
          <cell r="G591">
            <v>275</v>
          </cell>
          <cell r="H591">
            <v>0</v>
          </cell>
        </row>
        <row r="592">
          <cell r="D592" t="str">
            <v>Other Office Equipment</v>
          </cell>
          <cell r="F592">
            <v>0</v>
          </cell>
          <cell r="G592">
            <v>275</v>
          </cell>
          <cell r="H592">
            <v>0</v>
          </cell>
        </row>
        <row r="593">
          <cell r="D593" t="str">
            <v>Other Office Equipment</v>
          </cell>
          <cell r="F593">
            <v>0</v>
          </cell>
          <cell r="G593">
            <v>275</v>
          </cell>
          <cell r="H593">
            <v>0</v>
          </cell>
        </row>
        <row r="594">
          <cell r="D594" t="str">
            <v>Other Office Equipment</v>
          </cell>
          <cell r="F594">
            <v>0</v>
          </cell>
          <cell r="G594">
            <v>275</v>
          </cell>
          <cell r="H594">
            <v>0</v>
          </cell>
        </row>
        <row r="595">
          <cell r="D595" t="str">
            <v>Other Office Equipment</v>
          </cell>
          <cell r="F595">
            <v>0</v>
          </cell>
          <cell r="G595">
            <v>275</v>
          </cell>
          <cell r="H595">
            <v>0</v>
          </cell>
        </row>
        <row r="596">
          <cell r="D596" t="str">
            <v>Other Office Equipment</v>
          </cell>
          <cell r="F596">
            <v>0</v>
          </cell>
          <cell r="G596">
            <v>275</v>
          </cell>
          <cell r="H596">
            <v>0</v>
          </cell>
        </row>
        <row r="597">
          <cell r="D597" t="str">
            <v>Other Office Equipment</v>
          </cell>
          <cell r="F597">
            <v>0</v>
          </cell>
          <cell r="G597">
            <v>275</v>
          </cell>
          <cell r="H597">
            <v>0</v>
          </cell>
        </row>
        <row r="598">
          <cell r="D598" t="str">
            <v>Other Office Equipment</v>
          </cell>
          <cell r="F598">
            <v>0</v>
          </cell>
          <cell r="G598">
            <v>275</v>
          </cell>
          <cell r="H598">
            <v>0</v>
          </cell>
        </row>
        <row r="599">
          <cell r="D599" t="str">
            <v>Other Office Equipment</v>
          </cell>
          <cell r="F599">
            <v>0</v>
          </cell>
          <cell r="G599">
            <v>275</v>
          </cell>
          <cell r="H599">
            <v>0</v>
          </cell>
        </row>
        <row r="600">
          <cell r="D600" t="str">
            <v>Other Office Equipment</v>
          </cell>
          <cell r="F600">
            <v>0</v>
          </cell>
          <cell r="G600">
            <v>275</v>
          </cell>
          <cell r="H600">
            <v>0</v>
          </cell>
        </row>
        <row r="601">
          <cell r="D601" t="str">
            <v>Other Office Equipment</v>
          </cell>
          <cell r="F601">
            <v>0</v>
          </cell>
          <cell r="G601">
            <v>275</v>
          </cell>
          <cell r="H601">
            <v>0</v>
          </cell>
        </row>
        <row r="602">
          <cell r="D602" t="str">
            <v>Other Office Equipment</v>
          </cell>
          <cell r="F602">
            <v>0</v>
          </cell>
          <cell r="G602">
            <v>275</v>
          </cell>
          <cell r="H602">
            <v>0</v>
          </cell>
        </row>
        <row r="603">
          <cell r="D603" t="str">
            <v>Other Office Equipment</v>
          </cell>
          <cell r="F603">
            <v>0</v>
          </cell>
          <cell r="G603">
            <v>275</v>
          </cell>
          <cell r="H603">
            <v>0</v>
          </cell>
        </row>
        <row r="604">
          <cell r="D604" t="str">
            <v>Other Office Equipment</v>
          </cell>
          <cell r="F604">
            <v>0</v>
          </cell>
          <cell r="G604">
            <v>275</v>
          </cell>
          <cell r="H604">
            <v>0</v>
          </cell>
        </row>
        <row r="605">
          <cell r="D605" t="str">
            <v>Other Office Equipment</v>
          </cell>
          <cell r="F605">
            <v>0</v>
          </cell>
          <cell r="G605">
            <v>275</v>
          </cell>
          <cell r="H605">
            <v>0</v>
          </cell>
        </row>
        <row r="606">
          <cell r="D606" t="str">
            <v>Other Office Equipment</v>
          </cell>
          <cell r="F606">
            <v>0</v>
          </cell>
          <cell r="G606">
            <v>275</v>
          </cell>
          <cell r="H606">
            <v>0</v>
          </cell>
        </row>
        <row r="607">
          <cell r="D607" t="str">
            <v>Other Office Equipment</v>
          </cell>
          <cell r="F607">
            <v>0</v>
          </cell>
          <cell r="G607">
            <v>275</v>
          </cell>
          <cell r="H607">
            <v>0</v>
          </cell>
        </row>
        <row r="608">
          <cell r="D608" t="str">
            <v>Other Office Equipment</v>
          </cell>
          <cell r="F608">
            <v>0</v>
          </cell>
          <cell r="G608">
            <v>275</v>
          </cell>
          <cell r="H608">
            <v>0</v>
          </cell>
        </row>
        <row r="609">
          <cell r="D609" t="str">
            <v>Other Office Equipment</v>
          </cell>
          <cell r="F609">
            <v>0</v>
          </cell>
          <cell r="G609">
            <v>275</v>
          </cell>
          <cell r="H609">
            <v>0</v>
          </cell>
        </row>
        <row r="610">
          <cell r="D610" t="str">
            <v>Other Office Equipment</v>
          </cell>
          <cell r="F610">
            <v>0</v>
          </cell>
          <cell r="G610">
            <v>275</v>
          </cell>
          <cell r="H610">
            <v>0</v>
          </cell>
        </row>
        <row r="611">
          <cell r="D611" t="str">
            <v>Other Office Equipment</v>
          </cell>
          <cell r="F611">
            <v>0</v>
          </cell>
          <cell r="G611">
            <v>275</v>
          </cell>
          <cell r="H611">
            <v>0</v>
          </cell>
        </row>
        <row r="612">
          <cell r="D612" t="str">
            <v>Other Office Equipment</v>
          </cell>
          <cell r="F612">
            <v>0</v>
          </cell>
          <cell r="G612">
            <v>275</v>
          </cell>
          <cell r="H612">
            <v>0</v>
          </cell>
        </row>
        <row r="613">
          <cell r="D613" t="str">
            <v>Other Office Equipment</v>
          </cell>
          <cell r="F613">
            <v>0</v>
          </cell>
          <cell r="G613">
            <v>275</v>
          </cell>
          <cell r="H613">
            <v>0</v>
          </cell>
        </row>
        <row r="614">
          <cell r="D614" t="str">
            <v>Other Office Equipment</v>
          </cell>
          <cell r="F614">
            <v>0</v>
          </cell>
          <cell r="G614">
            <v>275</v>
          </cell>
          <cell r="H614">
            <v>0</v>
          </cell>
        </row>
        <row r="615">
          <cell r="D615" t="str">
            <v>Other Office Equipment</v>
          </cell>
          <cell r="F615">
            <v>0</v>
          </cell>
          <cell r="G615">
            <v>275</v>
          </cell>
          <cell r="H615">
            <v>0</v>
          </cell>
        </row>
        <row r="616">
          <cell r="D616" t="str">
            <v>Other Office Equipment</v>
          </cell>
          <cell r="F616">
            <v>0</v>
          </cell>
          <cell r="G616">
            <v>275</v>
          </cell>
          <cell r="H616">
            <v>0</v>
          </cell>
        </row>
        <row r="617">
          <cell r="D617" t="str">
            <v>Other Office Equipment</v>
          </cell>
          <cell r="F617">
            <v>0</v>
          </cell>
          <cell r="G617">
            <v>275</v>
          </cell>
          <cell r="H617">
            <v>0</v>
          </cell>
        </row>
        <row r="618">
          <cell r="D618" t="str">
            <v>Other Office Equipment</v>
          </cell>
          <cell r="F618">
            <v>0</v>
          </cell>
          <cell r="G618">
            <v>275</v>
          </cell>
          <cell r="H618">
            <v>0</v>
          </cell>
        </row>
        <row r="619">
          <cell r="D619" t="str">
            <v>Other Office Equipment</v>
          </cell>
          <cell r="F619">
            <v>0</v>
          </cell>
          <cell r="G619">
            <v>275</v>
          </cell>
          <cell r="H619">
            <v>0</v>
          </cell>
        </row>
        <row r="620">
          <cell r="D620" t="str">
            <v>Other Office Equipment</v>
          </cell>
          <cell r="F620">
            <v>0</v>
          </cell>
          <cell r="G620">
            <v>275</v>
          </cell>
          <cell r="H620">
            <v>0</v>
          </cell>
        </row>
        <row r="621">
          <cell r="D621" t="str">
            <v>Other Office Equipment</v>
          </cell>
          <cell r="F621">
            <v>0</v>
          </cell>
          <cell r="G621">
            <v>275</v>
          </cell>
          <cell r="H621">
            <v>0</v>
          </cell>
        </row>
        <row r="622">
          <cell r="D622" t="str">
            <v>Other Office Equipment</v>
          </cell>
          <cell r="F622">
            <v>0</v>
          </cell>
          <cell r="G622">
            <v>275</v>
          </cell>
          <cell r="H622">
            <v>0</v>
          </cell>
        </row>
        <row r="623">
          <cell r="D623" t="str">
            <v>Other Office Equipment</v>
          </cell>
          <cell r="F623">
            <v>0</v>
          </cell>
          <cell r="G623">
            <v>275</v>
          </cell>
          <cell r="H623">
            <v>0</v>
          </cell>
        </row>
        <row r="624">
          <cell r="D624" t="str">
            <v>Other Office Equipment</v>
          </cell>
          <cell r="F624">
            <v>0</v>
          </cell>
          <cell r="G624">
            <v>275</v>
          </cell>
          <cell r="H624">
            <v>0</v>
          </cell>
        </row>
        <row r="625">
          <cell r="D625" t="str">
            <v>Other Office Equipment</v>
          </cell>
          <cell r="F625">
            <v>0</v>
          </cell>
          <cell r="G625">
            <v>275</v>
          </cell>
          <cell r="H625">
            <v>0</v>
          </cell>
        </row>
        <row r="626">
          <cell r="D626" t="str">
            <v>Other Office Equipment</v>
          </cell>
          <cell r="F626">
            <v>0</v>
          </cell>
          <cell r="G626">
            <v>275</v>
          </cell>
          <cell r="H626">
            <v>0</v>
          </cell>
        </row>
        <row r="627">
          <cell r="D627" t="str">
            <v>Other Office Equipment</v>
          </cell>
          <cell r="F627">
            <v>0</v>
          </cell>
          <cell r="G627">
            <v>275</v>
          </cell>
          <cell r="H627">
            <v>0</v>
          </cell>
        </row>
        <row r="628">
          <cell r="D628" t="str">
            <v>Other Office Equipment</v>
          </cell>
          <cell r="F628">
            <v>0</v>
          </cell>
          <cell r="G628">
            <v>275</v>
          </cell>
          <cell r="H628">
            <v>0</v>
          </cell>
        </row>
        <row r="629">
          <cell r="D629" t="str">
            <v>Other Office Equipment</v>
          </cell>
          <cell r="F629">
            <v>0</v>
          </cell>
          <cell r="G629">
            <v>275</v>
          </cell>
          <cell r="H629">
            <v>0</v>
          </cell>
        </row>
        <row r="630">
          <cell r="D630" t="str">
            <v>Other Office Equipment</v>
          </cell>
          <cell r="F630">
            <v>0</v>
          </cell>
          <cell r="G630">
            <v>275</v>
          </cell>
          <cell r="H630">
            <v>0</v>
          </cell>
        </row>
        <row r="631">
          <cell r="D631" t="str">
            <v>Other Office Equipment</v>
          </cell>
          <cell r="F631">
            <v>0</v>
          </cell>
          <cell r="G631">
            <v>275</v>
          </cell>
          <cell r="H631">
            <v>0</v>
          </cell>
        </row>
        <row r="632">
          <cell r="D632" t="str">
            <v>Other Office Equipment</v>
          </cell>
          <cell r="F632">
            <v>0</v>
          </cell>
          <cell r="G632">
            <v>275</v>
          </cell>
          <cell r="H632">
            <v>0</v>
          </cell>
        </row>
        <row r="633">
          <cell r="D633" t="str">
            <v>Other Office Equipment</v>
          </cell>
          <cell r="F633">
            <v>0</v>
          </cell>
          <cell r="G633">
            <v>275</v>
          </cell>
          <cell r="H633">
            <v>0</v>
          </cell>
        </row>
        <row r="634">
          <cell r="D634" t="str">
            <v>Other Office Equipment</v>
          </cell>
          <cell r="F634">
            <v>0</v>
          </cell>
          <cell r="G634">
            <v>275</v>
          </cell>
          <cell r="H634">
            <v>0</v>
          </cell>
        </row>
        <row r="635">
          <cell r="D635" t="str">
            <v>Other Office Equipment</v>
          </cell>
          <cell r="F635">
            <v>0</v>
          </cell>
          <cell r="G635">
            <v>275</v>
          </cell>
          <cell r="H635">
            <v>0</v>
          </cell>
        </row>
        <row r="636">
          <cell r="D636" t="str">
            <v>Other Office Equipment</v>
          </cell>
          <cell r="F636">
            <v>0</v>
          </cell>
          <cell r="G636">
            <v>275</v>
          </cell>
          <cell r="H636">
            <v>0</v>
          </cell>
        </row>
        <row r="637">
          <cell r="D637" t="str">
            <v>Other Office Equipment</v>
          </cell>
          <cell r="F637">
            <v>0</v>
          </cell>
          <cell r="G637">
            <v>275</v>
          </cell>
          <cell r="H637">
            <v>0</v>
          </cell>
        </row>
        <row r="638">
          <cell r="D638" t="str">
            <v>Other Office Equipment</v>
          </cell>
          <cell r="F638">
            <v>0</v>
          </cell>
          <cell r="G638">
            <v>275</v>
          </cell>
          <cell r="H638">
            <v>0</v>
          </cell>
        </row>
        <row r="639">
          <cell r="D639" t="str">
            <v>Other Office Equipment</v>
          </cell>
          <cell r="F639">
            <v>0</v>
          </cell>
          <cell r="G639">
            <v>275</v>
          </cell>
          <cell r="H639">
            <v>0</v>
          </cell>
        </row>
        <row r="640">
          <cell r="D640" t="str">
            <v>Other Office Equipment</v>
          </cell>
          <cell r="F640">
            <v>0</v>
          </cell>
          <cell r="G640">
            <v>275</v>
          </cell>
          <cell r="H640">
            <v>0</v>
          </cell>
        </row>
        <row r="641">
          <cell r="D641" t="str">
            <v>Other Office Equipment</v>
          </cell>
          <cell r="F641">
            <v>0</v>
          </cell>
          <cell r="G641">
            <v>275</v>
          </cell>
          <cell r="H641">
            <v>0</v>
          </cell>
        </row>
        <row r="642">
          <cell r="D642" t="str">
            <v>Other Office Equipment</v>
          </cell>
          <cell r="F642">
            <v>0</v>
          </cell>
          <cell r="G642">
            <v>275</v>
          </cell>
          <cell r="H642">
            <v>0</v>
          </cell>
        </row>
        <row r="643">
          <cell r="D643" t="str">
            <v>Other Office Equipment</v>
          </cell>
          <cell r="F643">
            <v>0</v>
          </cell>
          <cell r="G643">
            <v>275</v>
          </cell>
          <cell r="H643">
            <v>0</v>
          </cell>
        </row>
        <row r="644">
          <cell r="D644" t="str">
            <v>Other Office Equipment</v>
          </cell>
          <cell r="F644">
            <v>0</v>
          </cell>
          <cell r="G644">
            <v>275</v>
          </cell>
          <cell r="H644">
            <v>0</v>
          </cell>
        </row>
        <row r="645">
          <cell r="D645" t="str">
            <v>Other Office Equipment</v>
          </cell>
          <cell r="F645">
            <v>0</v>
          </cell>
          <cell r="G645">
            <v>275</v>
          </cell>
          <cell r="H645">
            <v>0</v>
          </cell>
        </row>
        <row r="646">
          <cell r="D646" t="str">
            <v>Other Office Equipment</v>
          </cell>
          <cell r="F646">
            <v>0</v>
          </cell>
          <cell r="G646">
            <v>275</v>
          </cell>
          <cell r="H646">
            <v>0</v>
          </cell>
        </row>
        <row r="647">
          <cell r="D647" t="str">
            <v>Other Office Equipment</v>
          </cell>
          <cell r="F647">
            <v>0</v>
          </cell>
          <cell r="G647">
            <v>275</v>
          </cell>
          <cell r="H647">
            <v>0</v>
          </cell>
        </row>
        <row r="648">
          <cell r="D648" t="str">
            <v>Other Office Equipment</v>
          </cell>
          <cell r="F648">
            <v>0</v>
          </cell>
          <cell r="G648">
            <v>275</v>
          </cell>
          <cell r="H648">
            <v>0</v>
          </cell>
        </row>
        <row r="649">
          <cell r="D649" t="str">
            <v>Other Office Equipment</v>
          </cell>
          <cell r="F649">
            <v>0</v>
          </cell>
          <cell r="G649">
            <v>275</v>
          </cell>
          <cell r="H649">
            <v>0</v>
          </cell>
        </row>
        <row r="650">
          <cell r="D650" t="str">
            <v>Other Office Equipment</v>
          </cell>
          <cell r="F650">
            <v>0</v>
          </cell>
          <cell r="G650">
            <v>275</v>
          </cell>
          <cell r="H650">
            <v>0</v>
          </cell>
        </row>
        <row r="651">
          <cell r="D651" t="str">
            <v>Other Office Equipment</v>
          </cell>
          <cell r="F651">
            <v>0</v>
          </cell>
          <cell r="G651">
            <v>275</v>
          </cell>
          <cell r="H651">
            <v>0</v>
          </cell>
        </row>
        <row r="652">
          <cell r="D652" t="str">
            <v>Other Office Equipment</v>
          </cell>
          <cell r="F652">
            <v>0</v>
          </cell>
          <cell r="G652">
            <v>275</v>
          </cell>
          <cell r="H652">
            <v>0</v>
          </cell>
        </row>
        <row r="653">
          <cell r="D653" t="str">
            <v>Other Office Equipment</v>
          </cell>
          <cell r="F653">
            <v>0</v>
          </cell>
          <cell r="G653">
            <v>275</v>
          </cell>
          <cell r="H653">
            <v>0</v>
          </cell>
        </row>
        <row r="654">
          <cell r="D654" t="str">
            <v>Other Office Equipment</v>
          </cell>
          <cell r="F654">
            <v>0</v>
          </cell>
          <cell r="G654">
            <v>275</v>
          </cell>
          <cell r="H654">
            <v>0</v>
          </cell>
        </row>
        <row r="655">
          <cell r="D655" t="str">
            <v>Other Office Equipment</v>
          </cell>
          <cell r="F655">
            <v>0</v>
          </cell>
          <cell r="G655">
            <v>275</v>
          </cell>
          <cell r="H655">
            <v>0</v>
          </cell>
        </row>
        <row r="656">
          <cell r="D656" t="str">
            <v>Other Office Equipment</v>
          </cell>
          <cell r="F656">
            <v>0</v>
          </cell>
          <cell r="G656">
            <v>275</v>
          </cell>
          <cell r="H656">
            <v>0</v>
          </cell>
        </row>
        <row r="657">
          <cell r="D657" t="str">
            <v>Other Office Equipment</v>
          </cell>
          <cell r="F657">
            <v>0</v>
          </cell>
          <cell r="G657">
            <v>275</v>
          </cell>
          <cell r="H657">
            <v>0</v>
          </cell>
        </row>
        <row r="658">
          <cell r="D658" t="str">
            <v>Other Office Equipment</v>
          </cell>
          <cell r="F658">
            <v>0</v>
          </cell>
          <cell r="G658">
            <v>275</v>
          </cell>
          <cell r="H658">
            <v>0</v>
          </cell>
        </row>
        <row r="659">
          <cell r="D659" t="str">
            <v>Other Office Equipment</v>
          </cell>
          <cell r="F659">
            <v>0</v>
          </cell>
          <cell r="G659">
            <v>275</v>
          </cell>
          <cell r="H659">
            <v>0</v>
          </cell>
        </row>
        <row r="660">
          <cell r="D660" t="str">
            <v>Other Office Equipment</v>
          </cell>
          <cell r="F660">
            <v>0</v>
          </cell>
          <cell r="G660">
            <v>275</v>
          </cell>
          <cell r="H660">
            <v>0</v>
          </cell>
        </row>
        <row r="661">
          <cell r="D661" t="str">
            <v>Other Office Equipment</v>
          </cell>
          <cell r="F661">
            <v>0</v>
          </cell>
          <cell r="G661">
            <v>275</v>
          </cell>
          <cell r="H661">
            <v>0</v>
          </cell>
        </row>
        <row r="662">
          <cell r="D662" t="str">
            <v>Other Office Equipment</v>
          </cell>
          <cell r="F662">
            <v>0</v>
          </cell>
          <cell r="G662">
            <v>275</v>
          </cell>
          <cell r="H662">
            <v>0</v>
          </cell>
        </row>
        <row r="663">
          <cell r="D663" t="str">
            <v>Other Office Equipment</v>
          </cell>
          <cell r="F663">
            <v>0</v>
          </cell>
          <cell r="G663">
            <v>275</v>
          </cell>
          <cell r="H663">
            <v>0</v>
          </cell>
        </row>
        <row r="664">
          <cell r="D664" t="str">
            <v>Other Office Equipment</v>
          </cell>
          <cell r="F664">
            <v>0</v>
          </cell>
          <cell r="G664">
            <v>275</v>
          </cell>
          <cell r="H664">
            <v>0</v>
          </cell>
        </row>
        <row r="665">
          <cell r="D665" t="str">
            <v>Other Office Equipment</v>
          </cell>
          <cell r="F665">
            <v>0</v>
          </cell>
          <cell r="G665">
            <v>275</v>
          </cell>
          <cell r="H665">
            <v>0</v>
          </cell>
        </row>
        <row r="666">
          <cell r="D666" t="str">
            <v>Other Office Equipment</v>
          </cell>
          <cell r="F666">
            <v>0</v>
          </cell>
          <cell r="G666">
            <v>275</v>
          </cell>
          <cell r="H666">
            <v>0</v>
          </cell>
        </row>
        <row r="667">
          <cell r="D667" t="str">
            <v>Other Office Equipment</v>
          </cell>
          <cell r="F667">
            <v>0</v>
          </cell>
          <cell r="G667">
            <v>275</v>
          </cell>
          <cell r="H667">
            <v>0</v>
          </cell>
        </row>
        <row r="668">
          <cell r="D668" t="str">
            <v>Other Office Equipment</v>
          </cell>
          <cell r="F668">
            <v>0</v>
          </cell>
          <cell r="G668">
            <v>275</v>
          </cell>
          <cell r="H668">
            <v>0</v>
          </cell>
        </row>
        <row r="669">
          <cell r="D669" t="str">
            <v>Other Office Equipment</v>
          </cell>
          <cell r="F669">
            <v>0</v>
          </cell>
          <cell r="G669">
            <v>275</v>
          </cell>
          <cell r="H669">
            <v>0</v>
          </cell>
        </row>
        <row r="670">
          <cell r="D670" t="str">
            <v>Other Office Equipment</v>
          </cell>
          <cell r="F670">
            <v>0</v>
          </cell>
          <cell r="G670">
            <v>275</v>
          </cell>
          <cell r="H670">
            <v>0</v>
          </cell>
        </row>
        <row r="671">
          <cell r="D671" t="str">
            <v>Other Office Equipment</v>
          </cell>
          <cell r="F671">
            <v>0</v>
          </cell>
          <cell r="G671">
            <v>275</v>
          </cell>
          <cell r="H671">
            <v>0</v>
          </cell>
        </row>
        <row r="672">
          <cell r="D672" t="str">
            <v>Other Office Equipment</v>
          </cell>
          <cell r="F672">
            <v>0</v>
          </cell>
          <cell r="G672">
            <v>275</v>
          </cell>
          <cell r="H672">
            <v>0</v>
          </cell>
        </row>
        <row r="673">
          <cell r="D673" t="str">
            <v>Other Office Equipment</v>
          </cell>
          <cell r="F673">
            <v>0</v>
          </cell>
          <cell r="G673">
            <v>275</v>
          </cell>
          <cell r="H673">
            <v>0</v>
          </cell>
        </row>
        <row r="674">
          <cell r="D674" t="str">
            <v>Other Office Equipment</v>
          </cell>
          <cell r="F674">
            <v>0</v>
          </cell>
          <cell r="G674">
            <v>275</v>
          </cell>
          <cell r="H674">
            <v>0</v>
          </cell>
        </row>
        <row r="675">
          <cell r="D675" t="str">
            <v>Other Office Equipment</v>
          </cell>
          <cell r="F675">
            <v>0</v>
          </cell>
          <cell r="G675">
            <v>275</v>
          </cell>
          <cell r="H675">
            <v>0</v>
          </cell>
        </row>
        <row r="676">
          <cell r="D676" t="str">
            <v>Other Office Equipment</v>
          </cell>
          <cell r="F676">
            <v>0</v>
          </cell>
          <cell r="G676">
            <v>275</v>
          </cell>
          <cell r="H676">
            <v>0</v>
          </cell>
        </row>
        <row r="677">
          <cell r="D677" t="str">
            <v>Other Office Equipment</v>
          </cell>
          <cell r="F677">
            <v>0</v>
          </cell>
          <cell r="G677">
            <v>275</v>
          </cell>
          <cell r="H677">
            <v>0</v>
          </cell>
        </row>
        <row r="678">
          <cell r="D678" t="str">
            <v>Other Office Equipment</v>
          </cell>
          <cell r="F678">
            <v>0</v>
          </cell>
          <cell r="G678">
            <v>275</v>
          </cell>
          <cell r="H678">
            <v>0</v>
          </cell>
        </row>
        <row r="679">
          <cell r="D679" t="str">
            <v>Other Office Equipment</v>
          </cell>
          <cell r="F679">
            <v>0</v>
          </cell>
          <cell r="G679">
            <v>275</v>
          </cell>
          <cell r="H679">
            <v>0</v>
          </cell>
        </row>
        <row r="680">
          <cell r="D680" t="str">
            <v>Other Office Equipment</v>
          </cell>
          <cell r="F680">
            <v>0</v>
          </cell>
          <cell r="G680">
            <v>275</v>
          </cell>
          <cell r="H680">
            <v>0</v>
          </cell>
        </row>
        <row r="681">
          <cell r="D681" t="str">
            <v>Other Office Equipment</v>
          </cell>
          <cell r="F681">
            <v>0</v>
          </cell>
          <cell r="G681">
            <v>275</v>
          </cell>
          <cell r="H681">
            <v>0</v>
          </cell>
        </row>
        <row r="682">
          <cell r="D682" t="str">
            <v>Other Office Equipment</v>
          </cell>
          <cell r="F682">
            <v>0</v>
          </cell>
          <cell r="G682">
            <v>275</v>
          </cell>
          <cell r="H682">
            <v>0</v>
          </cell>
        </row>
        <row r="683">
          <cell r="D683" t="str">
            <v>Other Office Equipment</v>
          </cell>
          <cell r="F683">
            <v>0</v>
          </cell>
          <cell r="G683">
            <v>275</v>
          </cell>
          <cell r="H683">
            <v>0</v>
          </cell>
        </row>
        <row r="684">
          <cell r="D684" t="str">
            <v>Other Office Equipment</v>
          </cell>
          <cell r="F684">
            <v>0</v>
          </cell>
          <cell r="G684">
            <v>275</v>
          </cell>
          <cell r="H684">
            <v>0</v>
          </cell>
        </row>
        <row r="685">
          <cell r="D685" t="str">
            <v>Other Office Equipment</v>
          </cell>
          <cell r="F685">
            <v>0</v>
          </cell>
          <cell r="G685">
            <v>275</v>
          </cell>
          <cell r="H685">
            <v>0</v>
          </cell>
        </row>
        <row r="686">
          <cell r="D686" t="str">
            <v>Other Office Equipment</v>
          </cell>
          <cell r="F686">
            <v>0</v>
          </cell>
          <cell r="G686">
            <v>275</v>
          </cell>
          <cell r="H686">
            <v>0</v>
          </cell>
        </row>
        <row r="687">
          <cell r="D687" t="str">
            <v>Other Office Equipment</v>
          </cell>
          <cell r="F687">
            <v>0</v>
          </cell>
          <cell r="G687">
            <v>275</v>
          </cell>
          <cell r="H687">
            <v>0</v>
          </cell>
        </row>
        <row r="688">
          <cell r="D688" t="str">
            <v>Other Office Equipment</v>
          </cell>
          <cell r="F688">
            <v>0</v>
          </cell>
          <cell r="G688">
            <v>275</v>
          </cell>
          <cell r="H688">
            <v>0</v>
          </cell>
        </row>
        <row r="689">
          <cell r="D689" t="str">
            <v>Other Office Equipment</v>
          </cell>
          <cell r="F689">
            <v>0</v>
          </cell>
          <cell r="G689">
            <v>275</v>
          </cell>
          <cell r="H689">
            <v>0</v>
          </cell>
        </row>
        <row r="690">
          <cell r="D690" t="str">
            <v>Other Office Equipment</v>
          </cell>
          <cell r="F690">
            <v>0</v>
          </cell>
          <cell r="G690">
            <v>275</v>
          </cell>
          <cell r="H690">
            <v>0</v>
          </cell>
        </row>
        <row r="691">
          <cell r="D691" t="str">
            <v>Other Office Equipment</v>
          </cell>
          <cell r="F691">
            <v>0</v>
          </cell>
          <cell r="G691">
            <v>275</v>
          </cell>
          <cell r="H691">
            <v>0</v>
          </cell>
        </row>
        <row r="692">
          <cell r="D692" t="str">
            <v>Other Office Equipment</v>
          </cell>
          <cell r="F692">
            <v>0</v>
          </cell>
          <cell r="G692">
            <v>275</v>
          </cell>
          <cell r="H692">
            <v>0</v>
          </cell>
        </row>
        <row r="693">
          <cell r="D693" t="str">
            <v>Other Office Equipment</v>
          </cell>
          <cell r="F693">
            <v>0</v>
          </cell>
          <cell r="G693">
            <v>275</v>
          </cell>
          <cell r="H693">
            <v>0</v>
          </cell>
        </row>
        <row r="694">
          <cell r="D694" t="str">
            <v>Other Office Equipment</v>
          </cell>
          <cell r="F694">
            <v>0</v>
          </cell>
          <cell r="G694">
            <v>275</v>
          </cell>
          <cell r="H694">
            <v>0</v>
          </cell>
        </row>
        <row r="695">
          <cell r="D695" t="str">
            <v>Other Office Equipment</v>
          </cell>
          <cell r="F695">
            <v>0</v>
          </cell>
          <cell r="G695">
            <v>275</v>
          </cell>
          <cell r="H695">
            <v>0</v>
          </cell>
        </row>
        <row r="696">
          <cell r="D696" t="str">
            <v>Other Office Equipment</v>
          </cell>
          <cell r="F696">
            <v>0</v>
          </cell>
          <cell r="G696">
            <v>275</v>
          </cell>
          <cell r="H696">
            <v>0</v>
          </cell>
        </row>
        <row r="697">
          <cell r="D697" t="str">
            <v>Other Office Equipment</v>
          </cell>
          <cell r="F697">
            <v>0</v>
          </cell>
          <cell r="G697">
            <v>275</v>
          </cell>
          <cell r="H697">
            <v>0</v>
          </cell>
        </row>
        <row r="698">
          <cell r="D698" t="str">
            <v>Other Office Equipment</v>
          </cell>
          <cell r="F698">
            <v>0</v>
          </cell>
          <cell r="G698">
            <v>275</v>
          </cell>
          <cell r="H698">
            <v>0</v>
          </cell>
        </row>
        <row r="699">
          <cell r="D699" t="str">
            <v>Other Office Equipment</v>
          </cell>
          <cell r="F699">
            <v>0</v>
          </cell>
          <cell r="G699">
            <v>275</v>
          </cell>
          <cell r="H699">
            <v>0</v>
          </cell>
        </row>
        <row r="700">
          <cell r="D700" t="str">
            <v>Other Office Equipment</v>
          </cell>
          <cell r="F700">
            <v>0</v>
          </cell>
          <cell r="G700">
            <v>275</v>
          </cell>
          <cell r="H700">
            <v>0</v>
          </cell>
        </row>
        <row r="701">
          <cell r="D701" t="str">
            <v>Other Office Equipment</v>
          </cell>
          <cell r="F701">
            <v>0</v>
          </cell>
          <cell r="G701">
            <v>275</v>
          </cell>
          <cell r="H701">
            <v>0</v>
          </cell>
        </row>
        <row r="702">
          <cell r="D702" t="str">
            <v>Other Office Equipment</v>
          </cell>
          <cell r="F702">
            <v>0</v>
          </cell>
          <cell r="G702">
            <v>275</v>
          </cell>
          <cell r="H702">
            <v>0</v>
          </cell>
        </row>
        <row r="703">
          <cell r="D703" t="str">
            <v>Other Office Equipment</v>
          </cell>
          <cell r="F703">
            <v>0</v>
          </cell>
          <cell r="G703">
            <v>275</v>
          </cell>
          <cell r="H703">
            <v>0</v>
          </cell>
        </row>
        <row r="704">
          <cell r="D704" t="str">
            <v>Other Office Equipment</v>
          </cell>
          <cell r="F704">
            <v>0</v>
          </cell>
          <cell r="G704">
            <v>275</v>
          </cell>
          <cell r="H704">
            <v>0</v>
          </cell>
        </row>
        <row r="705">
          <cell r="D705" t="str">
            <v>Other Office Equipment</v>
          </cell>
          <cell r="F705">
            <v>0</v>
          </cell>
          <cell r="G705">
            <v>275</v>
          </cell>
          <cell r="H705">
            <v>0</v>
          </cell>
        </row>
        <row r="706">
          <cell r="D706" t="str">
            <v>Other Office Equipment</v>
          </cell>
          <cell r="F706">
            <v>0</v>
          </cell>
          <cell r="G706">
            <v>275</v>
          </cell>
          <cell r="H706">
            <v>0</v>
          </cell>
        </row>
        <row r="707">
          <cell r="D707" t="str">
            <v>Other Office Equipment</v>
          </cell>
          <cell r="F707">
            <v>0</v>
          </cell>
          <cell r="G707">
            <v>275</v>
          </cell>
          <cell r="H707">
            <v>0</v>
          </cell>
        </row>
        <row r="708">
          <cell r="D708" t="str">
            <v>Other Office Equipment</v>
          </cell>
          <cell r="F708">
            <v>0</v>
          </cell>
          <cell r="G708">
            <v>275</v>
          </cell>
          <cell r="H708">
            <v>0</v>
          </cell>
        </row>
        <row r="709">
          <cell r="D709" t="str">
            <v>Other Office Equipment</v>
          </cell>
          <cell r="F709">
            <v>0</v>
          </cell>
          <cell r="G709">
            <v>275</v>
          </cell>
          <cell r="H709">
            <v>0</v>
          </cell>
        </row>
        <row r="710">
          <cell r="D710" t="str">
            <v>Other Office Equipment</v>
          </cell>
          <cell r="F710">
            <v>0</v>
          </cell>
          <cell r="G710">
            <v>275</v>
          </cell>
          <cell r="H710">
            <v>0</v>
          </cell>
        </row>
        <row r="711">
          <cell r="D711" t="str">
            <v>Other Office Equipment</v>
          </cell>
          <cell r="F711">
            <v>0</v>
          </cell>
          <cell r="G711">
            <v>275</v>
          </cell>
          <cell r="H711">
            <v>0</v>
          </cell>
        </row>
        <row r="712">
          <cell r="D712" t="str">
            <v>Other Office Equipment</v>
          </cell>
          <cell r="F712">
            <v>0</v>
          </cell>
          <cell r="G712">
            <v>275</v>
          </cell>
          <cell r="H712">
            <v>0</v>
          </cell>
        </row>
        <row r="713">
          <cell r="D713" t="str">
            <v>Other Office Equipment</v>
          </cell>
          <cell r="F713">
            <v>0</v>
          </cell>
          <cell r="G713">
            <v>275</v>
          </cell>
          <cell r="H713">
            <v>0</v>
          </cell>
        </row>
        <row r="714">
          <cell r="D714" t="str">
            <v>Other Office Equipment</v>
          </cell>
          <cell r="F714">
            <v>0</v>
          </cell>
          <cell r="G714">
            <v>275</v>
          </cell>
          <cell r="H714">
            <v>0</v>
          </cell>
        </row>
        <row r="715">
          <cell r="D715" t="str">
            <v>Other Office Equipment</v>
          </cell>
          <cell r="F715">
            <v>0</v>
          </cell>
          <cell r="G715">
            <v>275</v>
          </cell>
          <cell r="H715">
            <v>0</v>
          </cell>
        </row>
        <row r="716">
          <cell r="D716" t="str">
            <v>Other Office Equipment</v>
          </cell>
          <cell r="F716">
            <v>0</v>
          </cell>
          <cell r="G716">
            <v>275</v>
          </cell>
          <cell r="H716">
            <v>0</v>
          </cell>
        </row>
        <row r="717">
          <cell r="D717" t="str">
            <v>Other Office Equipment</v>
          </cell>
          <cell r="F717">
            <v>0</v>
          </cell>
          <cell r="G717">
            <v>275</v>
          </cell>
          <cell r="H717">
            <v>0</v>
          </cell>
        </row>
        <row r="718">
          <cell r="D718" t="str">
            <v>Other Office Equipment</v>
          </cell>
          <cell r="F718">
            <v>0</v>
          </cell>
          <cell r="G718">
            <v>275</v>
          </cell>
          <cell r="H718">
            <v>0</v>
          </cell>
        </row>
        <row r="719">
          <cell r="D719" t="str">
            <v>Other Office Equipment</v>
          </cell>
          <cell r="F719">
            <v>0</v>
          </cell>
          <cell r="G719">
            <v>275</v>
          </cell>
          <cell r="H719">
            <v>0</v>
          </cell>
        </row>
        <row r="720">
          <cell r="D720" t="str">
            <v>Other Office Equipment</v>
          </cell>
          <cell r="F720">
            <v>0</v>
          </cell>
          <cell r="G720">
            <v>275</v>
          </cell>
          <cell r="H720">
            <v>0</v>
          </cell>
        </row>
        <row r="721">
          <cell r="D721" t="str">
            <v>Other Office Equipment</v>
          </cell>
          <cell r="F721">
            <v>0</v>
          </cell>
          <cell r="G721">
            <v>275</v>
          </cell>
          <cell r="H721">
            <v>0</v>
          </cell>
        </row>
        <row r="722">
          <cell r="D722" t="str">
            <v>Other Office Equipment</v>
          </cell>
          <cell r="F722">
            <v>0</v>
          </cell>
          <cell r="G722">
            <v>275</v>
          </cell>
          <cell r="H722">
            <v>0</v>
          </cell>
        </row>
        <row r="723">
          <cell r="D723" t="str">
            <v>Other Office Equipment</v>
          </cell>
          <cell r="F723">
            <v>0</v>
          </cell>
          <cell r="G723">
            <v>275</v>
          </cell>
          <cell r="H723">
            <v>0</v>
          </cell>
        </row>
        <row r="724">
          <cell r="D724" t="str">
            <v>Other Office Equipment</v>
          </cell>
          <cell r="F724">
            <v>0</v>
          </cell>
          <cell r="G724">
            <v>275</v>
          </cell>
          <cell r="H724">
            <v>0</v>
          </cell>
        </row>
        <row r="725">
          <cell r="D725" t="str">
            <v>Other Office Equipment</v>
          </cell>
          <cell r="F725">
            <v>0</v>
          </cell>
          <cell r="G725">
            <v>275</v>
          </cell>
          <cell r="H725">
            <v>0</v>
          </cell>
        </row>
        <row r="726">
          <cell r="D726" t="str">
            <v>Other Office Equipment</v>
          </cell>
          <cell r="F726">
            <v>0</v>
          </cell>
          <cell r="G726">
            <v>275</v>
          </cell>
          <cell r="H726">
            <v>0</v>
          </cell>
        </row>
        <row r="727">
          <cell r="D727" t="str">
            <v>Other Office Equipment</v>
          </cell>
          <cell r="F727">
            <v>0</v>
          </cell>
          <cell r="G727">
            <v>275</v>
          </cell>
          <cell r="H727">
            <v>0</v>
          </cell>
        </row>
        <row r="728">
          <cell r="D728" t="str">
            <v>Other Office Equipment</v>
          </cell>
          <cell r="F728">
            <v>0</v>
          </cell>
          <cell r="G728">
            <v>275</v>
          </cell>
          <cell r="H728">
            <v>0</v>
          </cell>
        </row>
        <row r="729">
          <cell r="D729" t="str">
            <v>Other Office Equipment</v>
          </cell>
          <cell r="F729">
            <v>0</v>
          </cell>
          <cell r="G729">
            <v>275</v>
          </cell>
          <cell r="H729">
            <v>0</v>
          </cell>
        </row>
        <row r="730">
          <cell r="D730" t="str">
            <v>Other Office Equipment</v>
          </cell>
          <cell r="F730">
            <v>0</v>
          </cell>
          <cell r="G730">
            <v>275</v>
          </cell>
          <cell r="H730">
            <v>0</v>
          </cell>
        </row>
        <row r="731">
          <cell r="D731" t="str">
            <v>Other Office Equipment</v>
          </cell>
          <cell r="F731">
            <v>0</v>
          </cell>
          <cell r="G731">
            <v>275</v>
          </cell>
          <cell r="H731">
            <v>0</v>
          </cell>
        </row>
        <row r="732">
          <cell r="D732" t="str">
            <v>Other Office Equipment</v>
          </cell>
          <cell r="F732">
            <v>0</v>
          </cell>
          <cell r="G732">
            <v>275</v>
          </cell>
          <cell r="H732">
            <v>0</v>
          </cell>
        </row>
        <row r="733">
          <cell r="D733" t="str">
            <v>Other Office Equipment</v>
          </cell>
          <cell r="F733">
            <v>0</v>
          </cell>
          <cell r="G733">
            <v>275</v>
          </cell>
          <cell r="H733">
            <v>0</v>
          </cell>
        </row>
        <row r="734">
          <cell r="D734" t="str">
            <v>Other Office Equipment</v>
          </cell>
          <cell r="F734">
            <v>0</v>
          </cell>
          <cell r="G734">
            <v>275</v>
          </cell>
          <cell r="H734">
            <v>0</v>
          </cell>
        </row>
        <row r="735">
          <cell r="D735" t="str">
            <v>Other Office Equipment</v>
          </cell>
          <cell r="F735">
            <v>0</v>
          </cell>
          <cell r="G735">
            <v>275</v>
          </cell>
          <cell r="H735">
            <v>0</v>
          </cell>
        </row>
        <row r="736">
          <cell r="D736" t="str">
            <v>Other Office Equipment</v>
          </cell>
          <cell r="F736">
            <v>0</v>
          </cell>
          <cell r="G736">
            <v>275</v>
          </cell>
          <cell r="H736">
            <v>0</v>
          </cell>
        </row>
        <row r="737">
          <cell r="D737" t="str">
            <v>Other Office Equipment</v>
          </cell>
          <cell r="F737">
            <v>0</v>
          </cell>
          <cell r="G737">
            <v>275</v>
          </cell>
          <cell r="H737">
            <v>0</v>
          </cell>
        </row>
        <row r="738">
          <cell r="D738" t="str">
            <v>Other Office Equipment</v>
          </cell>
          <cell r="F738">
            <v>0</v>
          </cell>
          <cell r="G738">
            <v>275</v>
          </cell>
          <cell r="H738">
            <v>0</v>
          </cell>
        </row>
        <row r="739">
          <cell r="D739" t="str">
            <v>Other Office Equipment</v>
          </cell>
          <cell r="F739">
            <v>0</v>
          </cell>
          <cell r="G739">
            <v>275</v>
          </cell>
          <cell r="H739">
            <v>0</v>
          </cell>
        </row>
        <row r="740">
          <cell r="D740" t="str">
            <v>Other Office Equipment</v>
          </cell>
          <cell r="F740">
            <v>0</v>
          </cell>
          <cell r="G740">
            <v>275</v>
          </cell>
          <cell r="H740">
            <v>0</v>
          </cell>
        </row>
        <row r="741">
          <cell r="D741" t="str">
            <v>Other Office Equipment</v>
          </cell>
          <cell r="F741">
            <v>0</v>
          </cell>
          <cell r="G741">
            <v>275</v>
          </cell>
          <cell r="H741">
            <v>0</v>
          </cell>
        </row>
        <row r="742">
          <cell r="D742" t="str">
            <v>Other Office Equipment</v>
          </cell>
          <cell r="F742">
            <v>0</v>
          </cell>
          <cell r="G742">
            <v>275</v>
          </cell>
          <cell r="H742">
            <v>0</v>
          </cell>
        </row>
        <row r="743">
          <cell r="D743" t="str">
            <v>Other Office Equipment</v>
          </cell>
          <cell r="F743">
            <v>0</v>
          </cell>
          <cell r="G743">
            <v>275</v>
          </cell>
          <cell r="H743">
            <v>0</v>
          </cell>
        </row>
        <row r="744">
          <cell r="D744" t="str">
            <v>Other Office Equipment</v>
          </cell>
          <cell r="F744">
            <v>0</v>
          </cell>
          <cell r="G744">
            <v>275</v>
          </cell>
          <cell r="H744">
            <v>0</v>
          </cell>
        </row>
        <row r="745">
          <cell r="D745" t="str">
            <v>Other Office Equipment</v>
          </cell>
          <cell r="F745">
            <v>0</v>
          </cell>
          <cell r="G745">
            <v>275</v>
          </cell>
          <cell r="H745">
            <v>0</v>
          </cell>
        </row>
        <row r="746">
          <cell r="D746" t="str">
            <v>Other Office Equipment</v>
          </cell>
          <cell r="F746">
            <v>0</v>
          </cell>
          <cell r="G746">
            <v>275</v>
          </cell>
          <cell r="H746">
            <v>0</v>
          </cell>
        </row>
        <row r="747">
          <cell r="D747" t="str">
            <v>Other Office Equipment</v>
          </cell>
          <cell r="F747">
            <v>0</v>
          </cell>
          <cell r="G747">
            <v>275</v>
          </cell>
          <cell r="H747">
            <v>0</v>
          </cell>
        </row>
        <row r="748">
          <cell r="D748" t="str">
            <v>Other Office Equipment</v>
          </cell>
          <cell r="F748">
            <v>0</v>
          </cell>
          <cell r="G748">
            <v>275</v>
          </cell>
          <cell r="H748">
            <v>0</v>
          </cell>
        </row>
        <row r="749">
          <cell r="D749" t="str">
            <v>Other Office Equipment</v>
          </cell>
          <cell r="F749">
            <v>0</v>
          </cell>
          <cell r="G749">
            <v>275</v>
          </cell>
          <cell r="H749">
            <v>0</v>
          </cell>
        </row>
        <row r="750">
          <cell r="D750" t="str">
            <v>Other Office Equipment</v>
          </cell>
          <cell r="F750">
            <v>0</v>
          </cell>
          <cell r="G750">
            <v>275</v>
          </cell>
          <cell r="H750">
            <v>0</v>
          </cell>
        </row>
        <row r="751">
          <cell r="D751" t="str">
            <v>Other Office Equipment</v>
          </cell>
          <cell r="F751">
            <v>0</v>
          </cell>
          <cell r="G751">
            <v>275</v>
          </cell>
          <cell r="H751">
            <v>0</v>
          </cell>
        </row>
        <row r="752">
          <cell r="D752" t="str">
            <v>Other Office Equipment</v>
          </cell>
          <cell r="F752">
            <v>0</v>
          </cell>
          <cell r="G752">
            <v>275</v>
          </cell>
          <cell r="H752">
            <v>0</v>
          </cell>
        </row>
        <row r="753">
          <cell r="D753" t="str">
            <v>Other Office Equipment</v>
          </cell>
          <cell r="F753">
            <v>0</v>
          </cell>
          <cell r="G753">
            <v>275</v>
          </cell>
          <cell r="H753">
            <v>0</v>
          </cell>
        </row>
        <row r="754">
          <cell r="D754" t="str">
            <v>Other Office Equipment</v>
          </cell>
          <cell r="F754">
            <v>0</v>
          </cell>
          <cell r="G754">
            <v>275</v>
          </cell>
          <cell r="H754">
            <v>0</v>
          </cell>
        </row>
        <row r="755">
          <cell r="D755" t="str">
            <v>Other Office Equipment</v>
          </cell>
          <cell r="F755">
            <v>0</v>
          </cell>
          <cell r="G755">
            <v>275</v>
          </cell>
          <cell r="H755">
            <v>0</v>
          </cell>
        </row>
        <row r="756">
          <cell r="D756" t="str">
            <v>Other Office Equipment</v>
          </cell>
          <cell r="F756">
            <v>0</v>
          </cell>
          <cell r="G756">
            <v>275</v>
          </cell>
          <cell r="H756">
            <v>0</v>
          </cell>
        </row>
        <row r="757">
          <cell r="D757" t="str">
            <v>Other Office Equipment</v>
          </cell>
          <cell r="F757">
            <v>0</v>
          </cell>
          <cell r="G757">
            <v>275</v>
          </cell>
          <cell r="H757">
            <v>0</v>
          </cell>
        </row>
        <row r="758">
          <cell r="D758" t="str">
            <v>Other Office Equipment</v>
          </cell>
          <cell r="F758">
            <v>0</v>
          </cell>
          <cell r="G758">
            <v>275</v>
          </cell>
          <cell r="H758">
            <v>0</v>
          </cell>
        </row>
        <row r="759">
          <cell r="D759" t="str">
            <v>Other Office Equipment</v>
          </cell>
          <cell r="F759">
            <v>0</v>
          </cell>
          <cell r="G759">
            <v>275</v>
          </cell>
          <cell r="H759">
            <v>0</v>
          </cell>
        </row>
        <row r="760">
          <cell r="D760" t="str">
            <v>Other Office Equipment</v>
          </cell>
          <cell r="F760">
            <v>0</v>
          </cell>
          <cell r="G760">
            <v>275</v>
          </cell>
          <cell r="H760">
            <v>0</v>
          </cell>
        </row>
        <row r="761">
          <cell r="D761" t="str">
            <v>Other Office Equipment</v>
          </cell>
          <cell r="F761">
            <v>0</v>
          </cell>
          <cell r="G761">
            <v>275</v>
          </cell>
          <cell r="H761">
            <v>0</v>
          </cell>
        </row>
        <row r="762">
          <cell r="D762" t="str">
            <v>Other Office Equipment</v>
          </cell>
          <cell r="F762">
            <v>0</v>
          </cell>
          <cell r="G762">
            <v>275</v>
          </cell>
          <cell r="H762">
            <v>0</v>
          </cell>
        </row>
        <row r="763">
          <cell r="D763" t="str">
            <v>Other Office Equipment</v>
          </cell>
          <cell r="F763">
            <v>0</v>
          </cell>
          <cell r="G763">
            <v>275</v>
          </cell>
          <cell r="H763">
            <v>0</v>
          </cell>
        </row>
        <row r="764">
          <cell r="D764" t="str">
            <v>Other Office Equipment</v>
          </cell>
          <cell r="F764">
            <v>0</v>
          </cell>
          <cell r="G764">
            <v>275</v>
          </cell>
          <cell r="H764">
            <v>0</v>
          </cell>
        </row>
        <row r="765">
          <cell r="D765" t="str">
            <v>Other Office Equipment</v>
          </cell>
          <cell r="F765">
            <v>0</v>
          </cell>
          <cell r="G765">
            <v>275</v>
          </cell>
          <cell r="H765">
            <v>0</v>
          </cell>
        </row>
        <row r="766">
          <cell r="D766" t="str">
            <v>Other Office Equipment</v>
          </cell>
          <cell r="F766">
            <v>0</v>
          </cell>
          <cell r="G766">
            <v>275</v>
          </cell>
          <cell r="H766">
            <v>0</v>
          </cell>
        </row>
        <row r="767">
          <cell r="D767" t="str">
            <v>Other Office Equipment</v>
          </cell>
          <cell r="F767">
            <v>0</v>
          </cell>
          <cell r="G767">
            <v>275</v>
          </cell>
          <cell r="H767">
            <v>0</v>
          </cell>
        </row>
        <row r="768">
          <cell r="D768" t="str">
            <v>Other Office Equipment</v>
          </cell>
          <cell r="F768">
            <v>0</v>
          </cell>
          <cell r="G768">
            <v>275</v>
          </cell>
          <cell r="H768">
            <v>0</v>
          </cell>
        </row>
        <row r="769">
          <cell r="D769" t="str">
            <v>Other Office Equipment</v>
          </cell>
          <cell r="F769">
            <v>0</v>
          </cell>
          <cell r="G769">
            <v>275</v>
          </cell>
          <cell r="H769">
            <v>0</v>
          </cell>
        </row>
        <row r="770">
          <cell r="D770" t="str">
            <v>Other Office Equipment</v>
          </cell>
          <cell r="F770">
            <v>0</v>
          </cell>
          <cell r="G770">
            <v>275</v>
          </cell>
          <cell r="H770">
            <v>0</v>
          </cell>
        </row>
        <row r="771">
          <cell r="D771" t="str">
            <v>Other Office Equipment</v>
          </cell>
          <cell r="F771">
            <v>0</v>
          </cell>
          <cell r="G771">
            <v>275</v>
          </cell>
          <cell r="H771">
            <v>0</v>
          </cell>
        </row>
        <row r="772">
          <cell r="D772" t="str">
            <v>Other Office Equipment</v>
          </cell>
          <cell r="F772">
            <v>0</v>
          </cell>
          <cell r="G772">
            <v>275</v>
          </cell>
          <cell r="H772">
            <v>0</v>
          </cell>
        </row>
        <row r="773">
          <cell r="D773" t="str">
            <v>Other Office Equipment</v>
          </cell>
          <cell r="F773">
            <v>0</v>
          </cell>
          <cell r="G773">
            <v>275</v>
          </cell>
          <cell r="H773">
            <v>0</v>
          </cell>
        </row>
        <row r="774">
          <cell r="D774" t="str">
            <v>Other Office Equipment</v>
          </cell>
          <cell r="F774">
            <v>0</v>
          </cell>
          <cell r="G774">
            <v>275</v>
          </cell>
          <cell r="H774">
            <v>0</v>
          </cell>
        </row>
        <row r="775">
          <cell r="D775" t="str">
            <v>Other Office Equipment</v>
          </cell>
          <cell r="F775">
            <v>0</v>
          </cell>
          <cell r="G775">
            <v>275</v>
          </cell>
          <cell r="H775">
            <v>0</v>
          </cell>
        </row>
        <row r="776">
          <cell r="D776" t="str">
            <v>Other Office Equipment</v>
          </cell>
          <cell r="F776">
            <v>0</v>
          </cell>
          <cell r="G776">
            <v>275</v>
          </cell>
          <cell r="H776">
            <v>0</v>
          </cell>
        </row>
        <row r="777">
          <cell r="D777" t="str">
            <v>Other Office Equipment</v>
          </cell>
          <cell r="F777">
            <v>0</v>
          </cell>
          <cell r="G777">
            <v>275</v>
          </cell>
          <cell r="H777">
            <v>0</v>
          </cell>
        </row>
        <row r="778">
          <cell r="D778" t="str">
            <v>Other Office Equipment</v>
          </cell>
          <cell r="F778">
            <v>0</v>
          </cell>
          <cell r="G778">
            <v>275</v>
          </cell>
          <cell r="H778">
            <v>0</v>
          </cell>
        </row>
        <row r="779">
          <cell r="D779" t="str">
            <v>Other Office Equipment</v>
          </cell>
          <cell r="F779">
            <v>0</v>
          </cell>
          <cell r="G779">
            <v>275</v>
          </cell>
          <cell r="H779">
            <v>0</v>
          </cell>
        </row>
        <row r="780">
          <cell r="D780" t="str">
            <v>Other Office Equipment</v>
          </cell>
          <cell r="F780">
            <v>0</v>
          </cell>
          <cell r="G780">
            <v>275</v>
          </cell>
          <cell r="H780">
            <v>0</v>
          </cell>
        </row>
        <row r="781">
          <cell r="D781" t="str">
            <v>Other Office Equipment</v>
          </cell>
          <cell r="F781">
            <v>0</v>
          </cell>
          <cell r="G781">
            <v>275</v>
          </cell>
          <cell r="H781">
            <v>0</v>
          </cell>
        </row>
        <row r="782">
          <cell r="D782" t="str">
            <v>Other Office Equipment</v>
          </cell>
          <cell r="F782">
            <v>0</v>
          </cell>
          <cell r="G782">
            <v>275</v>
          </cell>
          <cell r="H782">
            <v>0</v>
          </cell>
        </row>
        <row r="783">
          <cell r="D783" t="str">
            <v>Other Office Equipment</v>
          </cell>
          <cell r="F783">
            <v>0</v>
          </cell>
          <cell r="G783">
            <v>275</v>
          </cell>
          <cell r="H783">
            <v>0</v>
          </cell>
        </row>
        <row r="784">
          <cell r="D784" t="str">
            <v>Other Office Equipment</v>
          </cell>
          <cell r="F784">
            <v>0</v>
          </cell>
          <cell r="G784">
            <v>275</v>
          </cell>
          <cell r="H784">
            <v>0</v>
          </cell>
        </row>
        <row r="785">
          <cell r="D785" t="str">
            <v>Other Office Equipment</v>
          </cell>
          <cell r="F785">
            <v>0</v>
          </cell>
          <cell r="G785">
            <v>275</v>
          </cell>
          <cell r="H785">
            <v>0</v>
          </cell>
        </row>
        <row r="786">
          <cell r="D786" t="str">
            <v>Other Office Equipment</v>
          </cell>
          <cell r="F786">
            <v>0</v>
          </cell>
          <cell r="G786">
            <v>275</v>
          </cell>
          <cell r="H786">
            <v>0</v>
          </cell>
        </row>
        <row r="787">
          <cell r="D787" t="str">
            <v>Other Office Equipment</v>
          </cell>
          <cell r="F787">
            <v>0</v>
          </cell>
          <cell r="G787">
            <v>275</v>
          </cell>
          <cell r="H787">
            <v>0</v>
          </cell>
        </row>
        <row r="788">
          <cell r="D788" t="str">
            <v>Other Office Equipment</v>
          </cell>
          <cell r="F788">
            <v>0</v>
          </cell>
          <cell r="G788">
            <v>275</v>
          </cell>
          <cell r="H788">
            <v>0</v>
          </cell>
        </row>
        <row r="789">
          <cell r="D789" t="str">
            <v>Other Office Equipment</v>
          </cell>
          <cell r="F789">
            <v>0</v>
          </cell>
          <cell r="G789">
            <v>275</v>
          </cell>
          <cell r="H789">
            <v>0</v>
          </cell>
        </row>
        <row r="790">
          <cell r="D790" t="str">
            <v>Other Office Equipment</v>
          </cell>
          <cell r="F790">
            <v>0</v>
          </cell>
          <cell r="G790">
            <v>275</v>
          </cell>
          <cell r="H790">
            <v>0</v>
          </cell>
        </row>
        <row r="791">
          <cell r="D791" t="str">
            <v>Other Office Equipment</v>
          </cell>
          <cell r="F791">
            <v>0</v>
          </cell>
          <cell r="G791">
            <v>275</v>
          </cell>
          <cell r="H791">
            <v>0</v>
          </cell>
        </row>
        <row r="792">
          <cell r="D792" t="str">
            <v>Other Office Equipment</v>
          </cell>
          <cell r="F792">
            <v>0</v>
          </cell>
          <cell r="G792">
            <v>275</v>
          </cell>
          <cell r="H792">
            <v>0</v>
          </cell>
        </row>
        <row r="793">
          <cell r="D793" t="str">
            <v>Other Office Equipment</v>
          </cell>
          <cell r="F793">
            <v>0</v>
          </cell>
          <cell r="G793">
            <v>275</v>
          </cell>
          <cell r="H793">
            <v>0</v>
          </cell>
        </row>
        <row r="794">
          <cell r="D794" t="str">
            <v>Other Office Equipment</v>
          </cell>
          <cell r="F794">
            <v>0</v>
          </cell>
          <cell r="G794">
            <v>275</v>
          </cell>
          <cell r="H794">
            <v>0</v>
          </cell>
        </row>
        <row r="795">
          <cell r="D795" t="str">
            <v>Other Office Equipment</v>
          </cell>
          <cell r="F795">
            <v>0</v>
          </cell>
          <cell r="G795">
            <v>275</v>
          </cell>
          <cell r="H795">
            <v>0</v>
          </cell>
        </row>
        <row r="796">
          <cell r="D796" t="str">
            <v>Other Office Equipment</v>
          </cell>
          <cell r="F796">
            <v>0</v>
          </cell>
          <cell r="G796">
            <v>275</v>
          </cell>
          <cell r="H796">
            <v>0</v>
          </cell>
        </row>
        <row r="797">
          <cell r="D797" t="str">
            <v>Other Office Equipment</v>
          </cell>
          <cell r="F797">
            <v>0</v>
          </cell>
          <cell r="G797">
            <v>275</v>
          </cell>
          <cell r="H797">
            <v>0</v>
          </cell>
        </row>
        <row r="798">
          <cell r="D798" t="str">
            <v>Other Office Equipment</v>
          </cell>
          <cell r="F798">
            <v>0</v>
          </cell>
          <cell r="G798">
            <v>275</v>
          </cell>
          <cell r="H798">
            <v>0</v>
          </cell>
        </row>
        <row r="799">
          <cell r="D799" t="str">
            <v>Other Office Equipment</v>
          </cell>
          <cell r="F799">
            <v>0</v>
          </cell>
          <cell r="G799">
            <v>275</v>
          </cell>
          <cell r="H799">
            <v>0</v>
          </cell>
        </row>
        <row r="800">
          <cell r="D800" t="str">
            <v>Other Office Equipment</v>
          </cell>
          <cell r="F800">
            <v>0</v>
          </cell>
          <cell r="G800">
            <v>275</v>
          </cell>
          <cell r="H800">
            <v>0</v>
          </cell>
        </row>
        <row r="801">
          <cell r="D801" t="str">
            <v>Other Office Equipment</v>
          </cell>
          <cell r="F801">
            <v>0</v>
          </cell>
          <cell r="G801">
            <v>275</v>
          </cell>
          <cell r="H801">
            <v>0</v>
          </cell>
        </row>
        <row r="802">
          <cell r="D802" t="str">
            <v>Other Office Equipment</v>
          </cell>
          <cell r="F802">
            <v>0</v>
          </cell>
          <cell r="G802">
            <v>275</v>
          </cell>
          <cell r="H802">
            <v>0</v>
          </cell>
        </row>
        <row r="803">
          <cell r="D803" t="str">
            <v>Other Office Equipment</v>
          </cell>
          <cell r="F803">
            <v>0</v>
          </cell>
          <cell r="G803">
            <v>275</v>
          </cell>
          <cell r="H803">
            <v>0</v>
          </cell>
        </row>
        <row r="804">
          <cell r="D804" t="str">
            <v>Other Office Equipment</v>
          </cell>
          <cell r="F804">
            <v>0</v>
          </cell>
          <cell r="G804">
            <v>275</v>
          </cell>
          <cell r="H804">
            <v>0</v>
          </cell>
        </row>
        <row r="805">
          <cell r="D805" t="str">
            <v>Other Office Equipment</v>
          </cell>
          <cell r="F805">
            <v>0</v>
          </cell>
          <cell r="G805">
            <v>275</v>
          </cell>
          <cell r="H805">
            <v>0</v>
          </cell>
        </row>
        <row r="806">
          <cell r="D806" t="str">
            <v>Other Office Equipment</v>
          </cell>
          <cell r="F806">
            <v>0</v>
          </cell>
          <cell r="G806">
            <v>275</v>
          </cell>
          <cell r="H806">
            <v>0</v>
          </cell>
        </row>
        <row r="807">
          <cell r="D807" t="str">
            <v>Other Office Equipment</v>
          </cell>
          <cell r="F807">
            <v>0</v>
          </cell>
          <cell r="G807">
            <v>275</v>
          </cell>
          <cell r="H807">
            <v>0</v>
          </cell>
        </row>
        <row r="808">
          <cell r="D808" t="str">
            <v>Other Office Equipment</v>
          </cell>
          <cell r="F808">
            <v>0</v>
          </cell>
          <cell r="G808">
            <v>275</v>
          </cell>
          <cell r="H808">
            <v>0</v>
          </cell>
        </row>
        <row r="809">
          <cell r="D809" t="str">
            <v>Other Office Equipment</v>
          </cell>
          <cell r="F809">
            <v>0</v>
          </cell>
          <cell r="G809">
            <v>275</v>
          </cell>
          <cell r="H809">
            <v>0</v>
          </cell>
        </row>
        <row r="810">
          <cell r="D810" t="str">
            <v>Other Office Equipment</v>
          </cell>
          <cell r="F810">
            <v>0</v>
          </cell>
          <cell r="G810">
            <v>275</v>
          </cell>
          <cell r="H810">
            <v>0</v>
          </cell>
        </row>
        <row r="811">
          <cell r="D811" t="str">
            <v>Other Office Equipment</v>
          </cell>
          <cell r="F811">
            <v>0</v>
          </cell>
          <cell r="G811">
            <v>275</v>
          </cell>
          <cell r="H811">
            <v>0</v>
          </cell>
        </row>
        <row r="812">
          <cell r="D812" t="str">
            <v>Other Office Equipment</v>
          </cell>
          <cell r="F812">
            <v>0</v>
          </cell>
          <cell r="G812">
            <v>275</v>
          </cell>
          <cell r="H812">
            <v>0</v>
          </cell>
        </row>
        <row r="813">
          <cell r="D813" t="str">
            <v>Other Office Equipment</v>
          </cell>
          <cell r="F813">
            <v>0</v>
          </cell>
          <cell r="G813">
            <v>275</v>
          </cell>
          <cell r="H813">
            <v>0</v>
          </cell>
        </row>
        <row r="814">
          <cell r="D814" t="str">
            <v>Other Office Equipment</v>
          </cell>
          <cell r="F814">
            <v>0</v>
          </cell>
          <cell r="G814">
            <v>275</v>
          </cell>
          <cell r="H814">
            <v>0</v>
          </cell>
        </row>
        <row r="815">
          <cell r="D815" t="str">
            <v>Other Office Equipment</v>
          </cell>
          <cell r="F815">
            <v>0</v>
          </cell>
          <cell r="G815">
            <v>275</v>
          </cell>
          <cell r="H815">
            <v>0</v>
          </cell>
        </row>
        <row r="816">
          <cell r="D816" t="str">
            <v>Other Office Equipment</v>
          </cell>
          <cell r="F816">
            <v>0</v>
          </cell>
          <cell r="G816">
            <v>275</v>
          </cell>
          <cell r="H816">
            <v>0</v>
          </cell>
        </row>
        <row r="817">
          <cell r="D817" t="str">
            <v>Other Office Equipment</v>
          </cell>
          <cell r="F817">
            <v>0</v>
          </cell>
          <cell r="G817">
            <v>275</v>
          </cell>
          <cell r="H817">
            <v>0</v>
          </cell>
        </row>
        <row r="818">
          <cell r="D818" t="str">
            <v>Other Office Equipment</v>
          </cell>
          <cell r="F818">
            <v>0</v>
          </cell>
          <cell r="G818">
            <v>275</v>
          </cell>
          <cell r="H818">
            <v>0</v>
          </cell>
        </row>
        <row r="819">
          <cell r="D819" t="str">
            <v>Other Office Equipment</v>
          </cell>
          <cell r="F819">
            <v>0</v>
          </cell>
          <cell r="G819">
            <v>275</v>
          </cell>
          <cell r="H819">
            <v>0</v>
          </cell>
        </row>
        <row r="820">
          <cell r="D820" t="str">
            <v>Other Office Equipment</v>
          </cell>
          <cell r="F820">
            <v>0</v>
          </cell>
          <cell r="G820">
            <v>275</v>
          </cell>
          <cell r="H820">
            <v>0</v>
          </cell>
        </row>
        <row r="821">
          <cell r="D821" t="str">
            <v>Other Office Equipment</v>
          </cell>
          <cell r="F821">
            <v>0</v>
          </cell>
          <cell r="G821">
            <v>275</v>
          </cell>
          <cell r="H821">
            <v>0</v>
          </cell>
        </row>
        <row r="822">
          <cell r="D822" t="str">
            <v>Other Office Equipment</v>
          </cell>
          <cell r="F822">
            <v>0</v>
          </cell>
          <cell r="G822">
            <v>275</v>
          </cell>
          <cell r="H822">
            <v>0</v>
          </cell>
        </row>
        <row r="823">
          <cell r="D823" t="str">
            <v>Other Office Equipment</v>
          </cell>
          <cell r="F823">
            <v>0</v>
          </cell>
          <cell r="G823">
            <v>275</v>
          </cell>
          <cell r="H823">
            <v>0</v>
          </cell>
        </row>
        <row r="824">
          <cell r="D824" t="str">
            <v>Other Office Equipment</v>
          </cell>
          <cell r="F824">
            <v>0</v>
          </cell>
          <cell r="G824">
            <v>275</v>
          </cell>
          <cell r="H824">
            <v>0</v>
          </cell>
        </row>
        <row r="825">
          <cell r="D825" t="str">
            <v>Other Office Equipment</v>
          </cell>
          <cell r="F825">
            <v>0</v>
          </cell>
          <cell r="G825">
            <v>275</v>
          </cell>
          <cell r="H825">
            <v>0</v>
          </cell>
        </row>
        <row r="826">
          <cell r="D826" t="str">
            <v>Other Office Equipment</v>
          </cell>
          <cell r="F826">
            <v>0</v>
          </cell>
          <cell r="G826">
            <v>275</v>
          </cell>
          <cell r="H826">
            <v>0</v>
          </cell>
        </row>
        <row r="827">
          <cell r="D827" t="str">
            <v>Other Office Equipment</v>
          </cell>
          <cell r="F827">
            <v>0</v>
          </cell>
          <cell r="G827">
            <v>275</v>
          </cell>
          <cell r="H827">
            <v>0</v>
          </cell>
        </row>
        <row r="828">
          <cell r="D828" t="str">
            <v>Other Office Equipment</v>
          </cell>
          <cell r="F828">
            <v>0</v>
          </cell>
          <cell r="G828">
            <v>275</v>
          </cell>
          <cell r="H828">
            <v>0</v>
          </cell>
        </row>
        <row r="829">
          <cell r="D829" t="str">
            <v>Other Office Equipment</v>
          </cell>
          <cell r="F829">
            <v>0</v>
          </cell>
          <cell r="G829">
            <v>275</v>
          </cell>
          <cell r="H829">
            <v>0</v>
          </cell>
        </row>
        <row r="830">
          <cell r="D830" t="str">
            <v>Other Office Equipment</v>
          </cell>
          <cell r="F830">
            <v>0</v>
          </cell>
          <cell r="G830">
            <v>275</v>
          </cell>
          <cell r="H830">
            <v>0</v>
          </cell>
        </row>
        <row r="831">
          <cell r="D831" t="str">
            <v>Other Office Equipment</v>
          </cell>
          <cell r="F831">
            <v>0</v>
          </cell>
          <cell r="G831">
            <v>275</v>
          </cell>
          <cell r="H831">
            <v>0</v>
          </cell>
        </row>
        <row r="832">
          <cell r="D832" t="str">
            <v>Other Office Equipment</v>
          </cell>
          <cell r="F832">
            <v>0</v>
          </cell>
          <cell r="G832">
            <v>275</v>
          </cell>
          <cell r="H832">
            <v>0</v>
          </cell>
        </row>
        <row r="833">
          <cell r="D833" t="str">
            <v>Other Office Equipment</v>
          </cell>
          <cell r="F833">
            <v>0</v>
          </cell>
          <cell r="G833">
            <v>275</v>
          </cell>
          <cell r="H833">
            <v>0</v>
          </cell>
        </row>
        <row r="834">
          <cell r="D834" t="str">
            <v>Other Office Equipment</v>
          </cell>
          <cell r="F834">
            <v>0</v>
          </cell>
          <cell r="G834">
            <v>275</v>
          </cell>
          <cell r="H834">
            <v>0</v>
          </cell>
        </row>
        <row r="835">
          <cell r="D835" t="str">
            <v>Other Office Equipment</v>
          </cell>
          <cell r="F835">
            <v>0</v>
          </cell>
          <cell r="G835">
            <v>275</v>
          </cell>
          <cell r="H835">
            <v>0</v>
          </cell>
        </row>
        <row r="836">
          <cell r="D836" t="str">
            <v>Other Office Equipment</v>
          </cell>
          <cell r="F836">
            <v>0</v>
          </cell>
          <cell r="G836">
            <v>275</v>
          </cell>
          <cell r="H836">
            <v>0</v>
          </cell>
        </row>
        <row r="837">
          <cell r="D837" t="str">
            <v>Other Office Equipment</v>
          </cell>
          <cell r="F837">
            <v>0</v>
          </cell>
          <cell r="G837">
            <v>275</v>
          </cell>
          <cell r="H837">
            <v>0</v>
          </cell>
        </row>
        <row r="838">
          <cell r="D838" t="str">
            <v>Other Office Equipment</v>
          </cell>
          <cell r="F838">
            <v>0</v>
          </cell>
          <cell r="G838">
            <v>275</v>
          </cell>
          <cell r="H838">
            <v>0</v>
          </cell>
        </row>
        <row r="839">
          <cell r="D839" t="str">
            <v>Other Office Equipment</v>
          </cell>
          <cell r="F839">
            <v>0</v>
          </cell>
          <cell r="G839">
            <v>275</v>
          </cell>
          <cell r="H839">
            <v>0</v>
          </cell>
        </row>
        <row r="840">
          <cell r="D840" t="str">
            <v>Other Office Equipment</v>
          </cell>
          <cell r="F840">
            <v>0</v>
          </cell>
          <cell r="G840">
            <v>275</v>
          </cell>
          <cell r="H840">
            <v>0</v>
          </cell>
        </row>
        <row r="841">
          <cell r="D841" t="str">
            <v>Other Office Equipment</v>
          </cell>
          <cell r="F841">
            <v>0</v>
          </cell>
          <cell r="G841">
            <v>275</v>
          </cell>
          <cell r="H841">
            <v>0</v>
          </cell>
        </row>
        <row r="842">
          <cell r="D842" t="str">
            <v>Other Office Equipment</v>
          </cell>
          <cell r="F842">
            <v>0</v>
          </cell>
          <cell r="G842">
            <v>275</v>
          </cell>
          <cell r="H842">
            <v>0</v>
          </cell>
        </row>
        <row r="843">
          <cell r="D843" t="str">
            <v>Other Office Equipment</v>
          </cell>
          <cell r="F843">
            <v>0</v>
          </cell>
          <cell r="G843">
            <v>275</v>
          </cell>
          <cell r="H843">
            <v>0</v>
          </cell>
        </row>
        <row r="844">
          <cell r="D844" t="str">
            <v>Other Office Equipment</v>
          </cell>
          <cell r="F844">
            <v>0</v>
          </cell>
          <cell r="G844">
            <v>275</v>
          </cell>
          <cell r="H844">
            <v>0</v>
          </cell>
        </row>
        <row r="845">
          <cell r="D845" t="str">
            <v>Other Office Equipment</v>
          </cell>
          <cell r="F845">
            <v>0</v>
          </cell>
          <cell r="G845">
            <v>275</v>
          </cell>
          <cell r="H845">
            <v>0</v>
          </cell>
        </row>
        <row r="846">
          <cell r="D846" t="str">
            <v>Other Office Equipment</v>
          </cell>
          <cell r="F846">
            <v>0</v>
          </cell>
          <cell r="G846">
            <v>275</v>
          </cell>
          <cell r="H846">
            <v>0</v>
          </cell>
        </row>
        <row r="847">
          <cell r="D847" t="str">
            <v>Other Office Equipment</v>
          </cell>
          <cell r="F847">
            <v>0</v>
          </cell>
          <cell r="G847">
            <v>275</v>
          </cell>
          <cell r="H847">
            <v>0</v>
          </cell>
        </row>
        <row r="848">
          <cell r="D848" t="str">
            <v>Other Office Equipment</v>
          </cell>
          <cell r="F848">
            <v>0</v>
          </cell>
          <cell r="G848">
            <v>275</v>
          </cell>
          <cell r="H848">
            <v>0</v>
          </cell>
        </row>
        <row r="849">
          <cell r="D849" t="str">
            <v>Other Office Equipment</v>
          </cell>
          <cell r="F849">
            <v>0</v>
          </cell>
          <cell r="G849">
            <v>275</v>
          </cell>
          <cell r="H849">
            <v>0</v>
          </cell>
        </row>
        <row r="850">
          <cell r="D850" t="str">
            <v>Other Office Equipment</v>
          </cell>
          <cell r="F850">
            <v>0</v>
          </cell>
          <cell r="G850">
            <v>275</v>
          </cell>
          <cell r="H850">
            <v>0</v>
          </cell>
        </row>
        <row r="851">
          <cell r="D851" t="str">
            <v>Other Office Equipment</v>
          </cell>
          <cell r="F851">
            <v>0</v>
          </cell>
          <cell r="G851">
            <v>275</v>
          </cell>
          <cell r="H851">
            <v>0</v>
          </cell>
        </row>
        <row r="852">
          <cell r="D852" t="str">
            <v>Other Office Equipment</v>
          </cell>
          <cell r="F852">
            <v>0</v>
          </cell>
          <cell r="G852">
            <v>275</v>
          </cell>
          <cell r="H852">
            <v>0</v>
          </cell>
        </row>
        <row r="853">
          <cell r="D853" t="str">
            <v>Other Office Equipment</v>
          </cell>
          <cell r="F853">
            <v>0</v>
          </cell>
          <cell r="G853">
            <v>275</v>
          </cell>
          <cell r="H853">
            <v>0</v>
          </cell>
        </row>
        <row r="854">
          <cell r="D854" t="str">
            <v>Other Office Equipment</v>
          </cell>
          <cell r="F854">
            <v>0</v>
          </cell>
          <cell r="G854">
            <v>275</v>
          </cell>
          <cell r="H854">
            <v>0</v>
          </cell>
        </row>
        <row r="855">
          <cell r="D855" t="str">
            <v>Other Office Equipment</v>
          </cell>
          <cell r="F855">
            <v>0</v>
          </cell>
          <cell r="G855">
            <v>275</v>
          </cell>
          <cell r="H855">
            <v>0</v>
          </cell>
        </row>
        <row r="856">
          <cell r="D856" t="str">
            <v>Other Office Equipment</v>
          </cell>
          <cell r="F856">
            <v>0</v>
          </cell>
          <cell r="G856">
            <v>275</v>
          </cell>
          <cell r="H856">
            <v>0</v>
          </cell>
        </row>
        <row r="857">
          <cell r="D857" t="str">
            <v>Other Office Equipment</v>
          </cell>
          <cell r="F857">
            <v>0</v>
          </cell>
          <cell r="G857">
            <v>275</v>
          </cell>
          <cell r="H857">
            <v>0</v>
          </cell>
        </row>
        <row r="858">
          <cell r="D858" t="str">
            <v>Other Office Equipment</v>
          </cell>
          <cell r="F858">
            <v>0</v>
          </cell>
          <cell r="G858">
            <v>275</v>
          </cell>
          <cell r="H858">
            <v>0</v>
          </cell>
        </row>
        <row r="859">
          <cell r="D859" t="str">
            <v>Other Office Equipment</v>
          </cell>
          <cell r="F859">
            <v>0</v>
          </cell>
          <cell r="G859">
            <v>275</v>
          </cell>
          <cell r="H859">
            <v>0</v>
          </cell>
        </row>
        <row r="860">
          <cell r="D860" t="str">
            <v>Other Office Equipment</v>
          </cell>
          <cell r="F860">
            <v>0</v>
          </cell>
          <cell r="G860">
            <v>275</v>
          </cell>
          <cell r="H860">
            <v>0</v>
          </cell>
        </row>
        <row r="861">
          <cell r="D861" t="str">
            <v>Other Office Equipment</v>
          </cell>
          <cell r="F861">
            <v>0</v>
          </cell>
          <cell r="G861">
            <v>275</v>
          </cell>
          <cell r="H861">
            <v>0</v>
          </cell>
        </row>
        <row r="862">
          <cell r="D862" t="str">
            <v>Other Office Equipment</v>
          </cell>
          <cell r="F862">
            <v>0</v>
          </cell>
          <cell r="G862">
            <v>275</v>
          </cell>
          <cell r="H862">
            <v>0</v>
          </cell>
        </row>
        <row r="863">
          <cell r="D863" t="str">
            <v>Other Office Equipment</v>
          </cell>
          <cell r="F863">
            <v>0</v>
          </cell>
          <cell r="G863">
            <v>275</v>
          </cell>
          <cell r="H863">
            <v>0</v>
          </cell>
        </row>
        <row r="864">
          <cell r="D864" t="str">
            <v>Other Office Equipment</v>
          </cell>
          <cell r="F864">
            <v>0</v>
          </cell>
          <cell r="G864">
            <v>275</v>
          </cell>
          <cell r="H864">
            <v>0</v>
          </cell>
        </row>
        <row r="865">
          <cell r="D865" t="str">
            <v>Other Office Equipment</v>
          </cell>
          <cell r="F865">
            <v>0</v>
          </cell>
          <cell r="G865">
            <v>275</v>
          </cell>
          <cell r="H865">
            <v>0</v>
          </cell>
        </row>
        <row r="866">
          <cell r="D866" t="str">
            <v>Other Office Equipment</v>
          </cell>
          <cell r="F866">
            <v>0</v>
          </cell>
          <cell r="G866">
            <v>275</v>
          </cell>
          <cell r="H866">
            <v>0</v>
          </cell>
        </row>
        <row r="867">
          <cell r="D867" t="str">
            <v>Other Office Equipment</v>
          </cell>
          <cell r="F867">
            <v>0</v>
          </cell>
          <cell r="G867">
            <v>275</v>
          </cell>
          <cell r="H867">
            <v>0</v>
          </cell>
        </row>
        <row r="868">
          <cell r="D868" t="str">
            <v>Other Office Equipment</v>
          </cell>
          <cell r="F868">
            <v>0</v>
          </cell>
          <cell r="G868">
            <v>275</v>
          </cell>
          <cell r="H868">
            <v>0</v>
          </cell>
        </row>
        <row r="869">
          <cell r="D869" t="str">
            <v>Other Office Equipment</v>
          </cell>
          <cell r="F869">
            <v>0</v>
          </cell>
          <cell r="G869">
            <v>275</v>
          </cell>
          <cell r="H869">
            <v>0</v>
          </cell>
        </row>
        <row r="870">
          <cell r="D870" t="str">
            <v>Other Office Equipment</v>
          </cell>
          <cell r="F870">
            <v>0</v>
          </cell>
          <cell r="G870">
            <v>275</v>
          </cell>
          <cell r="H870">
            <v>0</v>
          </cell>
        </row>
        <row r="871">
          <cell r="D871" t="str">
            <v>Other Office Equipment</v>
          </cell>
          <cell r="F871">
            <v>0</v>
          </cell>
          <cell r="G871">
            <v>275</v>
          </cell>
          <cell r="H871">
            <v>0</v>
          </cell>
        </row>
        <row r="872">
          <cell r="D872" t="str">
            <v>Other Office Equipment</v>
          </cell>
          <cell r="F872">
            <v>0</v>
          </cell>
          <cell r="G872">
            <v>275</v>
          </cell>
          <cell r="H872">
            <v>0</v>
          </cell>
        </row>
        <row r="873">
          <cell r="D873" t="str">
            <v>Other Office Equipment</v>
          </cell>
          <cell r="F873">
            <v>0</v>
          </cell>
          <cell r="G873">
            <v>275</v>
          </cell>
          <cell r="H873">
            <v>0</v>
          </cell>
        </row>
        <row r="874">
          <cell r="D874" t="str">
            <v>Other Office Equipment</v>
          </cell>
          <cell r="F874">
            <v>0</v>
          </cell>
          <cell r="G874">
            <v>275</v>
          </cell>
          <cell r="H874">
            <v>0</v>
          </cell>
        </row>
        <row r="875">
          <cell r="D875" t="str">
            <v>Other Office Equipment</v>
          </cell>
          <cell r="F875">
            <v>0</v>
          </cell>
          <cell r="G875">
            <v>275</v>
          </cell>
          <cell r="H875">
            <v>0</v>
          </cell>
        </row>
        <row r="876">
          <cell r="D876" t="str">
            <v>Other Office Equipment</v>
          </cell>
          <cell r="F876">
            <v>0</v>
          </cell>
          <cell r="G876">
            <v>275</v>
          </cell>
          <cell r="H876">
            <v>0</v>
          </cell>
        </row>
        <row r="877">
          <cell r="D877" t="str">
            <v>Other Office Equipment</v>
          </cell>
          <cell r="F877">
            <v>0</v>
          </cell>
          <cell r="G877">
            <v>275</v>
          </cell>
          <cell r="H877">
            <v>0</v>
          </cell>
        </row>
        <row r="878">
          <cell r="D878" t="str">
            <v>Other Office Equipment</v>
          </cell>
          <cell r="F878">
            <v>0</v>
          </cell>
          <cell r="G878">
            <v>275</v>
          </cell>
          <cell r="H878">
            <v>0</v>
          </cell>
        </row>
        <row r="879">
          <cell r="D879" t="str">
            <v>Other Office Equipment</v>
          </cell>
          <cell r="F879">
            <v>0</v>
          </cell>
          <cell r="G879">
            <v>275</v>
          </cell>
          <cell r="H879">
            <v>0</v>
          </cell>
        </row>
        <row r="880">
          <cell r="D880" t="str">
            <v>Other Office Equipment</v>
          </cell>
          <cell r="F880">
            <v>0</v>
          </cell>
          <cell r="G880">
            <v>275</v>
          </cell>
          <cell r="H880">
            <v>0</v>
          </cell>
        </row>
        <row r="881">
          <cell r="D881" t="str">
            <v>Other Office Equipment</v>
          </cell>
          <cell r="F881">
            <v>0</v>
          </cell>
          <cell r="G881">
            <v>275</v>
          </cell>
          <cell r="H881">
            <v>0</v>
          </cell>
        </row>
        <row r="882">
          <cell r="D882" t="str">
            <v>Other Office Equipment</v>
          </cell>
          <cell r="F882">
            <v>0</v>
          </cell>
          <cell r="G882">
            <v>275</v>
          </cell>
          <cell r="H882">
            <v>0</v>
          </cell>
        </row>
        <row r="883">
          <cell r="D883" t="str">
            <v>Other Office Equipment</v>
          </cell>
          <cell r="F883">
            <v>0</v>
          </cell>
          <cell r="G883">
            <v>275</v>
          </cell>
          <cell r="H883">
            <v>0</v>
          </cell>
        </row>
        <row r="884">
          <cell r="D884" t="str">
            <v>Other Office Equipment</v>
          </cell>
          <cell r="F884">
            <v>0</v>
          </cell>
          <cell r="G884">
            <v>275</v>
          </cell>
          <cell r="H884">
            <v>0</v>
          </cell>
        </row>
        <row r="885">
          <cell r="D885" t="str">
            <v>Other Office Equipment</v>
          </cell>
          <cell r="F885">
            <v>0</v>
          </cell>
          <cell r="G885">
            <v>275</v>
          </cell>
          <cell r="H885">
            <v>0</v>
          </cell>
        </row>
        <row r="886">
          <cell r="D886" t="str">
            <v>Other Office Equipment</v>
          </cell>
          <cell r="F886">
            <v>0</v>
          </cell>
          <cell r="G886">
            <v>275</v>
          </cell>
          <cell r="H886">
            <v>0</v>
          </cell>
        </row>
        <row r="887">
          <cell r="D887" t="str">
            <v>Other Office Equipment</v>
          </cell>
          <cell r="F887">
            <v>0</v>
          </cell>
          <cell r="G887">
            <v>275</v>
          </cell>
          <cell r="H887">
            <v>0</v>
          </cell>
        </row>
        <row r="888">
          <cell r="D888" t="str">
            <v>Other Office Equipment</v>
          </cell>
          <cell r="F888">
            <v>0</v>
          </cell>
          <cell r="G888">
            <v>275</v>
          </cell>
          <cell r="H888">
            <v>0</v>
          </cell>
        </row>
        <row r="889">
          <cell r="D889" t="str">
            <v>Other Office Equipment</v>
          </cell>
          <cell r="F889">
            <v>0</v>
          </cell>
          <cell r="G889">
            <v>275</v>
          </cell>
          <cell r="H889">
            <v>0</v>
          </cell>
        </row>
        <row r="890">
          <cell r="D890" t="str">
            <v>Other Office Equipment</v>
          </cell>
          <cell r="F890">
            <v>0</v>
          </cell>
          <cell r="G890">
            <v>275</v>
          </cell>
          <cell r="H890">
            <v>0</v>
          </cell>
        </row>
        <row r="891">
          <cell r="D891" t="str">
            <v>Other Office Equipment</v>
          </cell>
          <cell r="F891">
            <v>0</v>
          </cell>
          <cell r="G891">
            <v>275</v>
          </cell>
          <cell r="H891">
            <v>0</v>
          </cell>
        </row>
        <row r="892">
          <cell r="D892" t="str">
            <v>Other Office Equipment</v>
          </cell>
          <cell r="F892">
            <v>0</v>
          </cell>
          <cell r="G892">
            <v>275</v>
          </cell>
          <cell r="H892">
            <v>0</v>
          </cell>
        </row>
        <row r="893">
          <cell r="D893" t="str">
            <v>Other Office Equipment</v>
          </cell>
          <cell r="F893">
            <v>0</v>
          </cell>
          <cell r="G893">
            <v>275</v>
          </cell>
          <cell r="H893">
            <v>0</v>
          </cell>
        </row>
        <row r="894">
          <cell r="D894" t="str">
            <v>Other Office Equipment</v>
          </cell>
          <cell r="F894">
            <v>0</v>
          </cell>
          <cell r="G894">
            <v>275</v>
          </cell>
          <cell r="H894">
            <v>0</v>
          </cell>
        </row>
        <row r="895">
          <cell r="D895" t="str">
            <v>Other Office Equipment</v>
          </cell>
          <cell r="F895">
            <v>0</v>
          </cell>
          <cell r="G895">
            <v>275</v>
          </cell>
          <cell r="H895">
            <v>0</v>
          </cell>
        </row>
        <row r="896">
          <cell r="D896" t="str">
            <v>Other Office Equipment</v>
          </cell>
          <cell r="F896">
            <v>0</v>
          </cell>
          <cell r="G896">
            <v>275</v>
          </cell>
          <cell r="H896">
            <v>0</v>
          </cell>
        </row>
        <row r="897">
          <cell r="D897" t="str">
            <v>Other Office Equipment</v>
          </cell>
          <cell r="F897">
            <v>0</v>
          </cell>
          <cell r="G897">
            <v>275</v>
          </cell>
          <cell r="H897">
            <v>0</v>
          </cell>
        </row>
        <row r="898">
          <cell r="D898" t="str">
            <v>Other Office Equipment</v>
          </cell>
          <cell r="F898">
            <v>0</v>
          </cell>
          <cell r="G898">
            <v>275</v>
          </cell>
          <cell r="H898">
            <v>0</v>
          </cell>
        </row>
        <row r="899">
          <cell r="D899" t="str">
            <v>Other Office Equipment</v>
          </cell>
          <cell r="F899">
            <v>0</v>
          </cell>
          <cell r="G899">
            <v>275</v>
          </cell>
          <cell r="H899">
            <v>0</v>
          </cell>
        </row>
        <row r="900">
          <cell r="D900" t="str">
            <v>Other Office Equipment</v>
          </cell>
          <cell r="F900">
            <v>0</v>
          </cell>
          <cell r="G900">
            <v>275</v>
          </cell>
          <cell r="H900">
            <v>0</v>
          </cell>
        </row>
        <row r="901">
          <cell r="D901" t="str">
            <v>Other Office Equipment</v>
          </cell>
          <cell r="F901">
            <v>0</v>
          </cell>
          <cell r="G901">
            <v>275</v>
          </cell>
          <cell r="H901">
            <v>0</v>
          </cell>
        </row>
        <row r="902">
          <cell r="D902" t="str">
            <v>Other Office Equipment</v>
          </cell>
          <cell r="F902">
            <v>0</v>
          </cell>
          <cell r="G902">
            <v>275</v>
          </cell>
          <cell r="H902">
            <v>0</v>
          </cell>
        </row>
        <row r="903">
          <cell r="D903" t="str">
            <v>Other Office Equipment</v>
          </cell>
          <cell r="F903">
            <v>0</v>
          </cell>
          <cell r="G903">
            <v>275</v>
          </cell>
          <cell r="H903">
            <v>0</v>
          </cell>
        </row>
        <row r="904">
          <cell r="D904" t="str">
            <v>Other Office Equipment</v>
          </cell>
          <cell r="F904">
            <v>0</v>
          </cell>
          <cell r="G904">
            <v>275</v>
          </cell>
          <cell r="H904">
            <v>0</v>
          </cell>
        </row>
        <row r="905">
          <cell r="D905" t="str">
            <v>Other Office Equipment</v>
          </cell>
          <cell r="F905">
            <v>0</v>
          </cell>
          <cell r="G905">
            <v>275</v>
          </cell>
          <cell r="H905">
            <v>0</v>
          </cell>
        </row>
        <row r="906">
          <cell r="D906" t="str">
            <v>Other Office Equipment</v>
          </cell>
          <cell r="F906">
            <v>0</v>
          </cell>
          <cell r="G906">
            <v>275</v>
          </cell>
          <cell r="H906">
            <v>0</v>
          </cell>
        </row>
        <row r="907">
          <cell r="D907" t="str">
            <v>Other Office Equipment</v>
          </cell>
          <cell r="F907">
            <v>0</v>
          </cell>
          <cell r="G907">
            <v>275</v>
          </cell>
          <cell r="H907">
            <v>0</v>
          </cell>
        </row>
        <row r="908">
          <cell r="D908" t="str">
            <v>Other Office Equipment</v>
          </cell>
          <cell r="F908">
            <v>0</v>
          </cell>
          <cell r="G908">
            <v>275</v>
          </cell>
          <cell r="H908">
            <v>0</v>
          </cell>
        </row>
        <row r="909">
          <cell r="D909" t="str">
            <v>Other Office Equipment</v>
          </cell>
          <cell r="F909">
            <v>0</v>
          </cell>
          <cell r="G909">
            <v>275</v>
          </cell>
          <cell r="H909">
            <v>0</v>
          </cell>
        </row>
        <row r="910">
          <cell r="D910" t="str">
            <v>Other Office Equipment</v>
          </cell>
          <cell r="F910">
            <v>0</v>
          </cell>
          <cell r="G910">
            <v>275</v>
          </cell>
          <cell r="H910">
            <v>0</v>
          </cell>
        </row>
        <row r="911">
          <cell r="D911" t="str">
            <v>Other Office Equipment</v>
          </cell>
          <cell r="F911">
            <v>0</v>
          </cell>
          <cell r="G911">
            <v>275</v>
          </cell>
          <cell r="H911">
            <v>0</v>
          </cell>
        </row>
        <row r="912">
          <cell r="D912" t="str">
            <v>Other Office Equipment</v>
          </cell>
          <cell r="F912">
            <v>0</v>
          </cell>
          <cell r="G912">
            <v>275</v>
          </cell>
          <cell r="H912">
            <v>0</v>
          </cell>
        </row>
        <row r="913">
          <cell r="D913" t="str">
            <v>Other Office Equipment</v>
          </cell>
          <cell r="F913">
            <v>0</v>
          </cell>
          <cell r="G913">
            <v>275</v>
          </cell>
          <cell r="H913">
            <v>0</v>
          </cell>
        </row>
        <row r="914">
          <cell r="D914" t="str">
            <v>Other Office Equipment</v>
          </cell>
          <cell r="F914">
            <v>0</v>
          </cell>
          <cell r="G914">
            <v>275</v>
          </cell>
          <cell r="H914">
            <v>0</v>
          </cell>
        </row>
        <row r="915">
          <cell r="D915" t="str">
            <v>Other Office Equipment</v>
          </cell>
          <cell r="F915">
            <v>0</v>
          </cell>
          <cell r="G915">
            <v>275</v>
          </cell>
          <cell r="H915">
            <v>0</v>
          </cell>
        </row>
        <row r="916">
          <cell r="D916" t="str">
            <v>Other Office Equipment</v>
          </cell>
          <cell r="F916">
            <v>0</v>
          </cell>
          <cell r="G916">
            <v>275</v>
          </cell>
          <cell r="H916">
            <v>0</v>
          </cell>
        </row>
        <row r="917">
          <cell r="D917" t="str">
            <v>Other Office Equipment</v>
          </cell>
          <cell r="F917">
            <v>0</v>
          </cell>
          <cell r="G917">
            <v>275</v>
          </cell>
          <cell r="H917">
            <v>0</v>
          </cell>
        </row>
        <row r="918">
          <cell r="D918" t="str">
            <v>Other Office Equipment</v>
          </cell>
          <cell r="F918">
            <v>0</v>
          </cell>
          <cell r="G918">
            <v>275</v>
          </cell>
          <cell r="H918">
            <v>0</v>
          </cell>
        </row>
        <row r="919">
          <cell r="D919" t="str">
            <v>Other Office Equipment</v>
          </cell>
          <cell r="F919">
            <v>0</v>
          </cell>
          <cell r="G919">
            <v>275</v>
          </cell>
          <cell r="H919">
            <v>0</v>
          </cell>
        </row>
        <row r="920">
          <cell r="D920" t="str">
            <v>Other Office Equipment</v>
          </cell>
          <cell r="F920">
            <v>0</v>
          </cell>
          <cell r="G920">
            <v>275</v>
          </cell>
          <cell r="H920">
            <v>0</v>
          </cell>
        </row>
        <row r="921">
          <cell r="D921" t="str">
            <v>Other Office Equipment</v>
          </cell>
          <cell r="F921">
            <v>0</v>
          </cell>
          <cell r="G921">
            <v>275</v>
          </cell>
          <cell r="H921">
            <v>0</v>
          </cell>
        </row>
        <row r="922">
          <cell r="D922" t="str">
            <v>Other Office Equipment</v>
          </cell>
          <cell r="F922">
            <v>0</v>
          </cell>
          <cell r="G922">
            <v>275</v>
          </cell>
          <cell r="H922">
            <v>0</v>
          </cell>
        </row>
        <row r="923">
          <cell r="D923" t="str">
            <v>Other Office Equipment</v>
          </cell>
          <cell r="F923">
            <v>0</v>
          </cell>
          <cell r="G923">
            <v>275</v>
          </cell>
          <cell r="H923">
            <v>0</v>
          </cell>
        </row>
        <row r="924">
          <cell r="D924" t="str">
            <v>Other Office Equipment</v>
          </cell>
          <cell r="F924">
            <v>0</v>
          </cell>
          <cell r="G924">
            <v>275</v>
          </cell>
          <cell r="H924">
            <v>0</v>
          </cell>
        </row>
        <row r="925">
          <cell r="D925" t="str">
            <v>Other Office Equipment</v>
          </cell>
          <cell r="F925">
            <v>0</v>
          </cell>
          <cell r="G925">
            <v>275</v>
          </cell>
          <cell r="H925">
            <v>0</v>
          </cell>
        </row>
        <row r="926">
          <cell r="D926" t="str">
            <v>Other Office Equipment</v>
          </cell>
          <cell r="F926">
            <v>0</v>
          </cell>
          <cell r="G926">
            <v>275</v>
          </cell>
          <cell r="H926">
            <v>0</v>
          </cell>
        </row>
        <row r="927">
          <cell r="D927" t="str">
            <v>Other Office Equipment</v>
          </cell>
          <cell r="F927">
            <v>0</v>
          </cell>
          <cell r="G927">
            <v>275</v>
          </cell>
          <cell r="H927">
            <v>0</v>
          </cell>
        </row>
        <row r="928">
          <cell r="D928" t="str">
            <v>Other Office Equipment</v>
          </cell>
          <cell r="F928">
            <v>0</v>
          </cell>
          <cell r="G928">
            <v>275</v>
          </cell>
          <cell r="H928">
            <v>0</v>
          </cell>
        </row>
        <row r="929">
          <cell r="D929" t="str">
            <v>Other Office Equipment</v>
          </cell>
          <cell r="F929">
            <v>0</v>
          </cell>
          <cell r="G929">
            <v>275</v>
          </cell>
          <cell r="H929">
            <v>0</v>
          </cell>
        </row>
        <row r="930">
          <cell r="D930" t="str">
            <v>Other Office Equipment</v>
          </cell>
          <cell r="F930">
            <v>0</v>
          </cell>
          <cell r="G930">
            <v>275</v>
          </cell>
          <cell r="H930">
            <v>0</v>
          </cell>
        </row>
        <row r="931">
          <cell r="D931" t="str">
            <v>Other Office Equipment</v>
          </cell>
          <cell r="F931">
            <v>0</v>
          </cell>
          <cell r="G931">
            <v>275</v>
          </cell>
          <cell r="H931">
            <v>0</v>
          </cell>
        </row>
        <row r="932">
          <cell r="D932" t="str">
            <v>Other Office Equipment</v>
          </cell>
          <cell r="F932">
            <v>0</v>
          </cell>
          <cell r="G932">
            <v>275</v>
          </cell>
          <cell r="H932">
            <v>0</v>
          </cell>
        </row>
        <row r="933">
          <cell r="D933" t="str">
            <v>Other Office Equipment</v>
          </cell>
          <cell r="F933">
            <v>0</v>
          </cell>
          <cell r="G933">
            <v>275</v>
          </cell>
          <cell r="H933">
            <v>0</v>
          </cell>
        </row>
        <row r="934">
          <cell r="D934" t="str">
            <v>Other Office Equipment</v>
          </cell>
          <cell r="F934">
            <v>0</v>
          </cell>
          <cell r="G934">
            <v>275</v>
          </cell>
          <cell r="H934">
            <v>0</v>
          </cell>
        </row>
        <row r="935">
          <cell r="D935" t="str">
            <v>Other Office Equipment</v>
          </cell>
          <cell r="F935">
            <v>0</v>
          </cell>
          <cell r="G935">
            <v>275</v>
          </cell>
          <cell r="H935">
            <v>0</v>
          </cell>
        </row>
        <row r="936">
          <cell r="D936" t="str">
            <v>Other Office Equipment</v>
          </cell>
          <cell r="F936">
            <v>0</v>
          </cell>
          <cell r="G936">
            <v>275</v>
          </cell>
          <cell r="H936">
            <v>0</v>
          </cell>
        </row>
        <row r="937">
          <cell r="D937" t="str">
            <v>Other Office Equipment</v>
          </cell>
          <cell r="F937">
            <v>0</v>
          </cell>
          <cell r="G937">
            <v>275</v>
          </cell>
          <cell r="H937">
            <v>0</v>
          </cell>
        </row>
        <row r="938">
          <cell r="D938" t="str">
            <v>Other Office Equipment</v>
          </cell>
          <cell r="F938">
            <v>0</v>
          </cell>
          <cell r="G938">
            <v>275</v>
          </cell>
          <cell r="H938">
            <v>0</v>
          </cell>
        </row>
        <row r="939">
          <cell r="D939" t="str">
            <v>Other Office Equipment</v>
          </cell>
          <cell r="F939">
            <v>0</v>
          </cell>
          <cell r="G939">
            <v>275</v>
          </cell>
          <cell r="H939">
            <v>0</v>
          </cell>
        </row>
        <row r="940">
          <cell r="D940" t="str">
            <v>Other Office Equipment</v>
          </cell>
          <cell r="F940">
            <v>0</v>
          </cell>
          <cell r="G940">
            <v>275</v>
          </cell>
          <cell r="H940">
            <v>0</v>
          </cell>
        </row>
        <row r="941">
          <cell r="D941" t="str">
            <v>Other Office Equipment</v>
          </cell>
          <cell r="F941">
            <v>0</v>
          </cell>
          <cell r="G941">
            <v>275</v>
          </cell>
          <cell r="H941">
            <v>0</v>
          </cell>
        </row>
        <row r="942">
          <cell r="D942" t="str">
            <v>Other Office Equipment</v>
          </cell>
          <cell r="F942">
            <v>0</v>
          </cell>
          <cell r="G942">
            <v>275</v>
          </cell>
          <cell r="H942">
            <v>0</v>
          </cell>
        </row>
        <row r="943">
          <cell r="D943" t="str">
            <v>Other Office Equipment</v>
          </cell>
          <cell r="F943">
            <v>0</v>
          </cell>
          <cell r="G943">
            <v>275</v>
          </cell>
          <cell r="H943">
            <v>0</v>
          </cell>
        </row>
        <row r="944">
          <cell r="D944" t="str">
            <v>Other Office Equipment</v>
          </cell>
          <cell r="F944">
            <v>0</v>
          </cell>
          <cell r="G944">
            <v>275</v>
          </cell>
          <cell r="H944">
            <v>0</v>
          </cell>
        </row>
        <row r="945">
          <cell r="D945" t="str">
            <v>Other Office Equipment</v>
          </cell>
          <cell r="F945">
            <v>0</v>
          </cell>
          <cell r="G945">
            <v>275</v>
          </cell>
          <cell r="H945">
            <v>0</v>
          </cell>
        </row>
        <row r="946">
          <cell r="D946" t="str">
            <v>Other Office Equipment</v>
          </cell>
          <cell r="F946">
            <v>0</v>
          </cell>
          <cell r="G946">
            <v>275</v>
          </cell>
          <cell r="H946">
            <v>0</v>
          </cell>
        </row>
        <row r="947">
          <cell r="D947" t="str">
            <v>Other Office Equipment</v>
          </cell>
          <cell r="F947">
            <v>0</v>
          </cell>
          <cell r="G947">
            <v>275</v>
          </cell>
          <cell r="H947">
            <v>0</v>
          </cell>
        </row>
        <row r="948">
          <cell r="D948" t="str">
            <v>Other Office Equipment</v>
          </cell>
          <cell r="F948">
            <v>0</v>
          </cell>
          <cell r="G948">
            <v>275</v>
          </cell>
          <cell r="H948">
            <v>0</v>
          </cell>
        </row>
        <row r="949">
          <cell r="F949">
            <v>0</v>
          </cell>
          <cell r="G949">
            <v>275</v>
          </cell>
          <cell r="H949">
            <v>0</v>
          </cell>
        </row>
        <row r="950">
          <cell r="F950">
            <v>0</v>
          </cell>
          <cell r="G950">
            <v>275</v>
          </cell>
          <cell r="H950">
            <v>0</v>
          </cell>
        </row>
        <row r="951">
          <cell r="F951">
            <v>0</v>
          </cell>
          <cell r="G951">
            <v>275</v>
          </cell>
          <cell r="H951">
            <v>0</v>
          </cell>
        </row>
        <row r="952">
          <cell r="F952">
            <v>0</v>
          </cell>
          <cell r="G952">
            <v>275</v>
          </cell>
          <cell r="H952">
            <v>0</v>
          </cell>
        </row>
        <row r="953">
          <cell r="F953">
            <v>0</v>
          </cell>
          <cell r="G953">
            <v>275</v>
          </cell>
          <cell r="H953">
            <v>0</v>
          </cell>
        </row>
        <row r="954">
          <cell r="F954">
            <v>0</v>
          </cell>
          <cell r="G954">
            <v>275</v>
          </cell>
          <cell r="H954">
            <v>0</v>
          </cell>
        </row>
        <row r="955">
          <cell r="F955">
            <v>0</v>
          </cell>
          <cell r="G955">
            <v>275</v>
          </cell>
          <cell r="H955">
            <v>0</v>
          </cell>
        </row>
        <row r="956">
          <cell r="F956">
            <v>0</v>
          </cell>
          <cell r="G956">
            <v>275</v>
          </cell>
          <cell r="H956">
            <v>0</v>
          </cell>
        </row>
        <row r="957">
          <cell r="F957">
            <v>0</v>
          </cell>
          <cell r="G957">
            <v>275</v>
          </cell>
          <cell r="H957">
            <v>0</v>
          </cell>
        </row>
        <row r="958">
          <cell r="F958">
            <v>0</v>
          </cell>
          <cell r="G958">
            <v>275</v>
          </cell>
          <cell r="H958">
            <v>0</v>
          </cell>
        </row>
        <row r="959">
          <cell r="F959">
            <v>0</v>
          </cell>
          <cell r="G959">
            <v>275</v>
          </cell>
          <cell r="H959">
            <v>0</v>
          </cell>
        </row>
        <row r="960">
          <cell r="F960">
            <v>0</v>
          </cell>
          <cell r="G960">
            <v>275</v>
          </cell>
          <cell r="H960">
            <v>0</v>
          </cell>
        </row>
        <row r="961">
          <cell r="F961">
            <v>0</v>
          </cell>
          <cell r="G961">
            <v>275</v>
          </cell>
          <cell r="H961">
            <v>0</v>
          </cell>
        </row>
        <row r="962">
          <cell r="F962">
            <v>0</v>
          </cell>
          <cell r="G962">
            <v>275</v>
          </cell>
          <cell r="H962">
            <v>0</v>
          </cell>
        </row>
        <row r="963">
          <cell r="F963">
            <v>0</v>
          </cell>
          <cell r="G963">
            <v>275</v>
          </cell>
          <cell r="H963">
            <v>0</v>
          </cell>
        </row>
        <row r="964">
          <cell r="D964" t="str">
            <v>Other Office Equipment</v>
          </cell>
          <cell r="F964">
            <v>0</v>
          </cell>
          <cell r="G964">
            <v>275</v>
          </cell>
          <cell r="H964">
            <v>0</v>
          </cell>
        </row>
        <row r="965">
          <cell r="D965" t="str">
            <v>Other Office Equipment</v>
          </cell>
          <cell r="F965">
            <v>0</v>
          </cell>
          <cell r="G965">
            <v>275</v>
          </cell>
          <cell r="H965">
            <v>0</v>
          </cell>
        </row>
        <row r="966">
          <cell r="D966" t="str">
            <v>Other Office Equipment</v>
          </cell>
          <cell r="F966">
            <v>0</v>
          </cell>
          <cell r="G966">
            <v>275</v>
          </cell>
          <cell r="H966">
            <v>0</v>
          </cell>
        </row>
        <row r="967">
          <cell r="D967" t="str">
            <v>Other Office Equipment</v>
          </cell>
          <cell r="F967">
            <v>0</v>
          </cell>
          <cell r="G967">
            <v>275</v>
          </cell>
          <cell r="H967">
            <v>0</v>
          </cell>
        </row>
        <row r="968">
          <cell r="D968" t="str">
            <v>Other Office Equipment</v>
          </cell>
          <cell r="F968">
            <v>0</v>
          </cell>
          <cell r="G968">
            <v>275</v>
          </cell>
          <cell r="H968">
            <v>0</v>
          </cell>
        </row>
        <row r="969">
          <cell r="D969" t="str">
            <v>Other Office Equipment</v>
          </cell>
          <cell r="F969">
            <v>0</v>
          </cell>
          <cell r="G969">
            <v>275</v>
          </cell>
          <cell r="H969">
            <v>0</v>
          </cell>
        </row>
        <row r="970">
          <cell r="F970">
            <v>0</v>
          </cell>
          <cell r="G970">
            <v>275</v>
          </cell>
          <cell r="H970">
            <v>0</v>
          </cell>
        </row>
        <row r="971">
          <cell r="F971">
            <v>0</v>
          </cell>
          <cell r="G971">
            <v>275</v>
          </cell>
          <cell r="H971">
            <v>0</v>
          </cell>
        </row>
        <row r="972">
          <cell r="D972" t="str">
            <v>Other Office Equipment</v>
          </cell>
          <cell r="F972">
            <v>0</v>
          </cell>
          <cell r="G972">
            <v>275</v>
          </cell>
          <cell r="H972">
            <v>0</v>
          </cell>
        </row>
        <row r="973">
          <cell r="D973" t="str">
            <v>Other Office Equipment</v>
          </cell>
          <cell r="F973">
            <v>0</v>
          </cell>
          <cell r="G973">
            <v>275</v>
          </cell>
          <cell r="H973">
            <v>0</v>
          </cell>
        </row>
        <row r="974">
          <cell r="D974" t="str">
            <v>Other Office Equipment</v>
          </cell>
          <cell r="F974">
            <v>0</v>
          </cell>
          <cell r="G974">
            <v>275</v>
          </cell>
          <cell r="H974">
            <v>0</v>
          </cell>
        </row>
        <row r="975">
          <cell r="D975" t="str">
            <v>Other Office Equipment</v>
          </cell>
          <cell r="F975">
            <v>0</v>
          </cell>
          <cell r="G975">
            <v>275</v>
          </cell>
          <cell r="H975">
            <v>0</v>
          </cell>
        </row>
        <row r="976">
          <cell r="D976" t="str">
            <v>Other Office Equipment</v>
          </cell>
          <cell r="F976">
            <v>0</v>
          </cell>
          <cell r="G976">
            <v>275</v>
          </cell>
          <cell r="H976">
            <v>0</v>
          </cell>
        </row>
        <row r="977">
          <cell r="D977" t="str">
            <v>Other Office Equipment</v>
          </cell>
          <cell r="F977">
            <v>0</v>
          </cell>
          <cell r="G977">
            <v>275</v>
          </cell>
          <cell r="H977">
            <v>0</v>
          </cell>
        </row>
        <row r="978">
          <cell r="D978" t="str">
            <v>Other Office Equipment</v>
          </cell>
          <cell r="F978">
            <v>0</v>
          </cell>
          <cell r="G978">
            <v>275</v>
          </cell>
          <cell r="H978">
            <v>0</v>
          </cell>
        </row>
        <row r="979">
          <cell r="D979" t="str">
            <v>Other Office Equipment</v>
          </cell>
          <cell r="F979">
            <v>0</v>
          </cell>
          <cell r="G979">
            <v>275</v>
          </cell>
          <cell r="H979">
            <v>0</v>
          </cell>
        </row>
        <row r="980">
          <cell r="D980" t="str">
            <v>Other Office Equipment</v>
          </cell>
          <cell r="F980">
            <v>0</v>
          </cell>
          <cell r="G980">
            <v>275</v>
          </cell>
          <cell r="H980">
            <v>0</v>
          </cell>
        </row>
        <row r="981">
          <cell r="D981" t="str">
            <v>Other Office Equipment</v>
          </cell>
          <cell r="F981">
            <v>0</v>
          </cell>
          <cell r="G981">
            <v>275</v>
          </cell>
          <cell r="H981">
            <v>0</v>
          </cell>
        </row>
        <row r="982">
          <cell r="D982" t="str">
            <v>Other Office Equipment</v>
          </cell>
          <cell r="F982">
            <v>0</v>
          </cell>
          <cell r="G982">
            <v>275</v>
          </cell>
          <cell r="H982">
            <v>0</v>
          </cell>
        </row>
        <row r="983">
          <cell r="D983" t="str">
            <v>Other Office Equipment</v>
          </cell>
          <cell r="F983">
            <v>0</v>
          </cell>
          <cell r="G983">
            <v>275</v>
          </cell>
          <cell r="H983">
            <v>0</v>
          </cell>
        </row>
        <row r="984">
          <cell r="D984" t="str">
            <v>Other Office Equipment</v>
          </cell>
          <cell r="F984">
            <v>0</v>
          </cell>
          <cell r="G984">
            <v>275</v>
          </cell>
          <cell r="H984">
            <v>0</v>
          </cell>
        </row>
        <row r="985">
          <cell r="D985" t="str">
            <v>Other Office Equipment</v>
          </cell>
          <cell r="F985">
            <v>0</v>
          </cell>
          <cell r="G985">
            <v>275</v>
          </cell>
          <cell r="H985">
            <v>0</v>
          </cell>
        </row>
        <row r="986">
          <cell r="D986" t="str">
            <v>Other Office Equipment</v>
          </cell>
          <cell r="F986">
            <v>0</v>
          </cell>
          <cell r="G986">
            <v>275</v>
          </cell>
          <cell r="H986">
            <v>0</v>
          </cell>
        </row>
        <row r="987">
          <cell r="D987" t="str">
            <v>Other Office Equipment</v>
          </cell>
          <cell r="F987">
            <v>0</v>
          </cell>
          <cell r="G987">
            <v>275</v>
          </cell>
          <cell r="H987">
            <v>0</v>
          </cell>
        </row>
        <row r="988">
          <cell r="D988" t="str">
            <v>Other Office Equipment</v>
          </cell>
          <cell r="F988">
            <v>0</v>
          </cell>
          <cell r="G988">
            <v>275</v>
          </cell>
          <cell r="H988">
            <v>0</v>
          </cell>
        </row>
        <row r="989">
          <cell r="D989" t="str">
            <v>Other Office Equipment</v>
          </cell>
          <cell r="F989">
            <v>0</v>
          </cell>
          <cell r="G989">
            <v>275</v>
          </cell>
          <cell r="H989">
            <v>0</v>
          </cell>
        </row>
        <row r="990">
          <cell r="D990" t="str">
            <v>Other Office Equipment</v>
          </cell>
          <cell r="F990">
            <v>0</v>
          </cell>
          <cell r="G990">
            <v>275</v>
          </cell>
          <cell r="H990">
            <v>0</v>
          </cell>
        </row>
        <row r="991">
          <cell r="D991" t="str">
            <v>Other Office Equipment</v>
          </cell>
          <cell r="F991">
            <v>0</v>
          </cell>
          <cell r="G991">
            <v>275</v>
          </cell>
          <cell r="H991">
            <v>0</v>
          </cell>
        </row>
        <row r="992">
          <cell r="D992" t="str">
            <v>Other Office Equipment</v>
          </cell>
          <cell r="F992">
            <v>0</v>
          </cell>
          <cell r="G992">
            <v>275</v>
          </cell>
          <cell r="H992">
            <v>0</v>
          </cell>
        </row>
        <row r="993">
          <cell r="D993" t="str">
            <v>Other Office Equipment</v>
          </cell>
          <cell r="F993">
            <v>0</v>
          </cell>
          <cell r="G993">
            <v>275</v>
          </cell>
          <cell r="H993">
            <v>0</v>
          </cell>
        </row>
        <row r="994">
          <cell r="D994" t="str">
            <v>Other Office Equipment</v>
          </cell>
          <cell r="F994">
            <v>0</v>
          </cell>
          <cell r="G994">
            <v>275</v>
          </cell>
          <cell r="H994">
            <v>0</v>
          </cell>
        </row>
        <row r="995">
          <cell r="D995" t="str">
            <v>Other Office Equipment</v>
          </cell>
          <cell r="F995">
            <v>0</v>
          </cell>
          <cell r="G995">
            <v>275</v>
          </cell>
          <cell r="H995">
            <v>0</v>
          </cell>
        </row>
        <row r="996">
          <cell r="D996" t="str">
            <v>Other Office Equipment</v>
          </cell>
          <cell r="F996">
            <v>0</v>
          </cell>
          <cell r="G996">
            <v>275</v>
          </cell>
          <cell r="H996">
            <v>0</v>
          </cell>
        </row>
        <row r="997">
          <cell r="D997" t="str">
            <v>Other Office Equipment</v>
          </cell>
          <cell r="F997">
            <v>0</v>
          </cell>
          <cell r="G997">
            <v>275</v>
          </cell>
          <cell r="H997">
            <v>0</v>
          </cell>
        </row>
        <row r="998">
          <cell r="D998" t="str">
            <v>Other Office Equipment</v>
          </cell>
          <cell r="F998">
            <v>0</v>
          </cell>
          <cell r="G998">
            <v>275</v>
          </cell>
          <cell r="H998">
            <v>0</v>
          </cell>
        </row>
        <row r="999">
          <cell r="D999" t="str">
            <v>Other Office Equipment</v>
          </cell>
          <cell r="F999">
            <v>0</v>
          </cell>
          <cell r="G999">
            <v>275</v>
          </cell>
          <cell r="H999">
            <v>0</v>
          </cell>
        </row>
        <row r="1000">
          <cell r="D1000" t="str">
            <v>Other Office Equipment</v>
          </cell>
          <cell r="F1000">
            <v>0</v>
          </cell>
          <cell r="G1000">
            <v>275</v>
          </cell>
          <cell r="H1000">
            <v>0</v>
          </cell>
        </row>
        <row r="1001">
          <cell r="D1001" t="str">
            <v>Other Office Equipment</v>
          </cell>
          <cell r="F1001">
            <v>0</v>
          </cell>
          <cell r="G1001">
            <v>275</v>
          </cell>
          <cell r="H1001">
            <v>0</v>
          </cell>
        </row>
        <row r="1002">
          <cell r="D1002" t="str">
            <v>Other Office Equipment</v>
          </cell>
          <cell r="F1002">
            <v>0</v>
          </cell>
          <cell r="G1002">
            <v>275</v>
          </cell>
          <cell r="H1002">
            <v>0</v>
          </cell>
        </row>
        <row r="1003">
          <cell r="D1003" t="str">
            <v>Other Office Equipment</v>
          </cell>
          <cell r="F1003">
            <v>0</v>
          </cell>
          <cell r="G1003">
            <v>275</v>
          </cell>
          <cell r="H1003">
            <v>0</v>
          </cell>
        </row>
        <row r="1004">
          <cell r="D1004" t="str">
            <v>Other Office Equipment</v>
          </cell>
          <cell r="F1004">
            <v>0</v>
          </cell>
          <cell r="G1004">
            <v>275</v>
          </cell>
          <cell r="H1004">
            <v>0</v>
          </cell>
        </row>
        <row r="1005">
          <cell r="D1005" t="str">
            <v>Other Office Equipment</v>
          </cell>
          <cell r="F1005">
            <v>0</v>
          </cell>
          <cell r="G1005">
            <v>275</v>
          </cell>
          <cell r="H1005">
            <v>0</v>
          </cell>
        </row>
        <row r="1006">
          <cell r="D1006" t="str">
            <v>Other Office Equipment</v>
          </cell>
          <cell r="F1006">
            <v>0</v>
          </cell>
          <cell r="G1006">
            <v>275</v>
          </cell>
          <cell r="H1006">
            <v>0</v>
          </cell>
        </row>
        <row r="1007">
          <cell r="D1007" t="str">
            <v>Other Office Equipment</v>
          </cell>
          <cell r="F1007">
            <v>0</v>
          </cell>
          <cell r="G1007">
            <v>275</v>
          </cell>
          <cell r="H1007">
            <v>0</v>
          </cell>
        </row>
        <row r="1008">
          <cell r="D1008" t="str">
            <v>Other Office Equipment</v>
          </cell>
          <cell r="F1008">
            <v>0</v>
          </cell>
          <cell r="G1008">
            <v>275</v>
          </cell>
          <cell r="H1008">
            <v>0</v>
          </cell>
        </row>
        <row r="1009">
          <cell r="D1009" t="str">
            <v>Other Office Equipment</v>
          </cell>
          <cell r="F1009">
            <v>0</v>
          </cell>
          <cell r="G1009">
            <v>275</v>
          </cell>
          <cell r="H1009">
            <v>0</v>
          </cell>
        </row>
        <row r="1010">
          <cell r="D1010" t="str">
            <v>Other Office Equipment</v>
          </cell>
          <cell r="F1010">
            <v>0</v>
          </cell>
          <cell r="G1010">
            <v>275</v>
          </cell>
          <cell r="H1010">
            <v>0</v>
          </cell>
        </row>
        <row r="1011">
          <cell r="D1011" t="str">
            <v>Other Office Equipment</v>
          </cell>
          <cell r="F1011">
            <v>0</v>
          </cell>
          <cell r="G1011">
            <v>275</v>
          </cell>
          <cell r="H1011">
            <v>0</v>
          </cell>
        </row>
        <row r="1012">
          <cell r="D1012" t="str">
            <v>Other Office Equipment</v>
          </cell>
          <cell r="F1012">
            <v>0</v>
          </cell>
          <cell r="G1012">
            <v>275</v>
          </cell>
          <cell r="H1012">
            <v>0</v>
          </cell>
        </row>
        <row r="1013">
          <cell r="D1013" t="str">
            <v>Other Office Equipment</v>
          </cell>
          <cell r="F1013">
            <v>0</v>
          </cell>
          <cell r="G1013">
            <v>275</v>
          </cell>
          <cell r="H1013">
            <v>0</v>
          </cell>
        </row>
        <row r="1014">
          <cell r="D1014" t="str">
            <v>Other Office Equipment</v>
          </cell>
          <cell r="F1014">
            <v>0</v>
          </cell>
          <cell r="G1014">
            <v>275</v>
          </cell>
          <cell r="H1014">
            <v>0</v>
          </cell>
        </row>
        <row r="1015">
          <cell r="D1015" t="str">
            <v>Other Office Equipment</v>
          </cell>
          <cell r="F1015">
            <v>0</v>
          </cell>
          <cell r="G1015">
            <v>275</v>
          </cell>
          <cell r="H1015">
            <v>0</v>
          </cell>
        </row>
        <row r="1016">
          <cell r="D1016" t="str">
            <v>Other Office Equipment</v>
          </cell>
          <cell r="F1016">
            <v>0</v>
          </cell>
          <cell r="G1016">
            <v>275</v>
          </cell>
          <cell r="H1016">
            <v>0</v>
          </cell>
        </row>
        <row r="1017">
          <cell r="D1017" t="str">
            <v>Other Office Equipment</v>
          </cell>
          <cell r="F1017">
            <v>0</v>
          </cell>
          <cell r="G1017">
            <v>275</v>
          </cell>
          <cell r="H1017">
            <v>0</v>
          </cell>
        </row>
        <row r="1018">
          <cell r="D1018" t="str">
            <v>Other Office Equipment</v>
          </cell>
          <cell r="F1018">
            <v>0</v>
          </cell>
          <cell r="G1018">
            <v>275</v>
          </cell>
          <cell r="H1018">
            <v>0</v>
          </cell>
        </row>
        <row r="1019">
          <cell r="D1019" t="str">
            <v>Other Office Equipment</v>
          </cell>
          <cell r="F1019">
            <v>0</v>
          </cell>
          <cell r="G1019">
            <v>275</v>
          </cell>
          <cell r="H1019">
            <v>0</v>
          </cell>
        </row>
        <row r="1020">
          <cell r="D1020" t="str">
            <v>Other Office Equipment</v>
          </cell>
          <cell r="F1020">
            <v>0</v>
          </cell>
          <cell r="G1020">
            <v>275</v>
          </cell>
          <cell r="H1020">
            <v>0</v>
          </cell>
        </row>
        <row r="1021">
          <cell r="D1021" t="str">
            <v>Other Office Equipment</v>
          </cell>
          <cell r="F1021">
            <v>0</v>
          </cell>
          <cell r="G1021">
            <v>275</v>
          </cell>
          <cell r="H1021">
            <v>0</v>
          </cell>
        </row>
        <row r="1022">
          <cell r="D1022" t="str">
            <v>Other Office Equipment</v>
          </cell>
          <cell r="F1022">
            <v>0</v>
          </cell>
          <cell r="G1022">
            <v>275</v>
          </cell>
          <cell r="H1022">
            <v>0</v>
          </cell>
        </row>
        <row r="1023">
          <cell r="D1023" t="str">
            <v>Other Office Equipment</v>
          </cell>
          <cell r="F1023">
            <v>0</v>
          </cell>
          <cell r="G1023">
            <v>275</v>
          </cell>
          <cell r="H1023">
            <v>0</v>
          </cell>
        </row>
        <row r="1024">
          <cell r="D1024" t="str">
            <v>Other Office Equipment</v>
          </cell>
          <cell r="F1024">
            <v>0</v>
          </cell>
          <cell r="G1024">
            <v>275</v>
          </cell>
          <cell r="H1024">
            <v>0</v>
          </cell>
        </row>
        <row r="1025">
          <cell r="D1025" t="str">
            <v>Other Office Equipment</v>
          </cell>
          <cell r="F1025">
            <v>0</v>
          </cell>
          <cell r="G1025">
            <v>275</v>
          </cell>
          <cell r="H1025">
            <v>0</v>
          </cell>
        </row>
        <row r="1026">
          <cell r="D1026" t="str">
            <v>Other Office Equipment</v>
          </cell>
          <cell r="F1026">
            <v>0</v>
          </cell>
          <cell r="G1026">
            <v>275</v>
          </cell>
          <cell r="H1026">
            <v>0</v>
          </cell>
        </row>
        <row r="1027">
          <cell r="D1027" t="str">
            <v>Other Office Equipment</v>
          </cell>
          <cell r="F1027">
            <v>0</v>
          </cell>
          <cell r="G1027">
            <v>275</v>
          </cell>
          <cell r="H1027">
            <v>0</v>
          </cell>
        </row>
        <row r="1028">
          <cell r="D1028" t="str">
            <v>Other Office Equipment</v>
          </cell>
          <cell r="F1028">
            <v>0</v>
          </cell>
          <cell r="G1028">
            <v>275</v>
          </cell>
          <cell r="H1028">
            <v>0</v>
          </cell>
        </row>
        <row r="1029">
          <cell r="D1029" t="str">
            <v>Other Office Equipment</v>
          </cell>
          <cell r="F1029">
            <v>0</v>
          </cell>
          <cell r="G1029">
            <v>275</v>
          </cell>
          <cell r="H1029">
            <v>0</v>
          </cell>
        </row>
        <row r="1030">
          <cell r="D1030" t="str">
            <v>Other Office Equipment</v>
          </cell>
          <cell r="F1030">
            <v>0</v>
          </cell>
          <cell r="G1030">
            <v>275</v>
          </cell>
          <cell r="H1030">
            <v>0</v>
          </cell>
        </row>
        <row r="1031">
          <cell r="D1031" t="str">
            <v>Other Office Equipment</v>
          </cell>
          <cell r="F1031">
            <v>0</v>
          </cell>
          <cell r="G1031">
            <v>275</v>
          </cell>
          <cell r="H1031">
            <v>0</v>
          </cell>
        </row>
        <row r="1032">
          <cell r="D1032" t="str">
            <v>Other Office Equipment</v>
          </cell>
          <cell r="F1032">
            <v>0</v>
          </cell>
          <cell r="G1032">
            <v>275</v>
          </cell>
          <cell r="H1032">
            <v>0</v>
          </cell>
        </row>
        <row r="1033">
          <cell r="D1033" t="str">
            <v>Other Office Equipment</v>
          </cell>
          <cell r="F1033">
            <v>0</v>
          </cell>
          <cell r="G1033">
            <v>275</v>
          </cell>
          <cell r="H1033">
            <v>0</v>
          </cell>
        </row>
        <row r="1034">
          <cell r="D1034" t="str">
            <v>Other Office Equipment</v>
          </cell>
          <cell r="F1034">
            <v>0</v>
          </cell>
          <cell r="G1034">
            <v>275</v>
          </cell>
          <cell r="H1034">
            <v>0</v>
          </cell>
        </row>
        <row r="1035">
          <cell r="D1035" t="str">
            <v>Other Office Equipment</v>
          </cell>
          <cell r="F1035">
            <v>0</v>
          </cell>
          <cell r="G1035">
            <v>275</v>
          </cell>
          <cell r="H1035">
            <v>0</v>
          </cell>
        </row>
        <row r="1036">
          <cell r="D1036" t="str">
            <v>Other Office Equipment</v>
          </cell>
          <cell r="F1036">
            <v>0</v>
          </cell>
          <cell r="G1036">
            <v>275</v>
          </cell>
          <cell r="H1036">
            <v>0</v>
          </cell>
        </row>
        <row r="1037">
          <cell r="D1037" t="str">
            <v>Other Office Equipment</v>
          </cell>
          <cell r="F1037">
            <v>0</v>
          </cell>
          <cell r="G1037">
            <v>275</v>
          </cell>
          <cell r="H1037">
            <v>0</v>
          </cell>
        </row>
        <row r="1038">
          <cell r="D1038" t="str">
            <v>Other Office Equipment</v>
          </cell>
          <cell r="F1038">
            <v>0</v>
          </cell>
          <cell r="G1038">
            <v>275</v>
          </cell>
          <cell r="H1038">
            <v>0</v>
          </cell>
        </row>
        <row r="1039">
          <cell r="D1039" t="str">
            <v>Other Office Equipment</v>
          </cell>
          <cell r="F1039">
            <v>0</v>
          </cell>
          <cell r="G1039">
            <v>275</v>
          </cell>
          <cell r="H1039">
            <v>0</v>
          </cell>
        </row>
        <row r="1040">
          <cell r="D1040" t="str">
            <v>Other Office Equipment</v>
          </cell>
          <cell r="F1040">
            <v>0</v>
          </cell>
          <cell r="G1040">
            <v>275</v>
          </cell>
          <cell r="H1040">
            <v>0</v>
          </cell>
        </row>
        <row r="1041">
          <cell r="D1041" t="str">
            <v>Other Office Equipment</v>
          </cell>
          <cell r="F1041">
            <v>0</v>
          </cell>
          <cell r="G1041">
            <v>275</v>
          </cell>
          <cell r="H1041">
            <v>0</v>
          </cell>
        </row>
        <row r="1042">
          <cell r="D1042" t="str">
            <v>Other Office Equipment</v>
          </cell>
          <cell r="F1042">
            <v>0</v>
          </cell>
          <cell r="G1042">
            <v>275</v>
          </cell>
          <cell r="H1042">
            <v>0</v>
          </cell>
        </row>
        <row r="1043">
          <cell r="D1043" t="str">
            <v>Other Office Equipment</v>
          </cell>
          <cell r="F1043">
            <v>0</v>
          </cell>
          <cell r="G1043">
            <v>275</v>
          </cell>
          <cell r="H1043">
            <v>0</v>
          </cell>
        </row>
        <row r="1044">
          <cell r="D1044" t="str">
            <v>Other Office Equipment</v>
          </cell>
          <cell r="F1044">
            <v>0</v>
          </cell>
          <cell r="G1044">
            <v>275</v>
          </cell>
          <cell r="H1044">
            <v>0</v>
          </cell>
        </row>
        <row r="1045">
          <cell r="D1045" t="str">
            <v>Other Office Equipment</v>
          </cell>
          <cell r="F1045">
            <v>0</v>
          </cell>
          <cell r="G1045">
            <v>275</v>
          </cell>
          <cell r="H1045">
            <v>0</v>
          </cell>
        </row>
        <row r="1046">
          <cell r="D1046" t="str">
            <v>Other Office Equipment</v>
          </cell>
          <cell r="F1046">
            <v>0</v>
          </cell>
          <cell r="G1046">
            <v>275</v>
          </cell>
          <cell r="H1046">
            <v>0</v>
          </cell>
        </row>
        <row r="1047">
          <cell r="D1047" t="str">
            <v>Other Office Equipment</v>
          </cell>
          <cell r="F1047">
            <v>0</v>
          </cell>
          <cell r="G1047">
            <v>275</v>
          </cell>
          <cell r="H1047">
            <v>0</v>
          </cell>
        </row>
        <row r="1048">
          <cell r="D1048" t="str">
            <v>Other Office Equipment</v>
          </cell>
          <cell r="F1048">
            <v>0</v>
          </cell>
          <cell r="G1048">
            <v>275</v>
          </cell>
          <cell r="H1048">
            <v>0</v>
          </cell>
        </row>
        <row r="1049">
          <cell r="D1049" t="str">
            <v>Other Office Equipment</v>
          </cell>
          <cell r="F1049">
            <v>0</v>
          </cell>
          <cell r="G1049">
            <v>275</v>
          </cell>
          <cell r="H1049">
            <v>0</v>
          </cell>
        </row>
        <row r="1050">
          <cell r="D1050" t="str">
            <v>Other Office Equipment</v>
          </cell>
          <cell r="F1050">
            <v>0</v>
          </cell>
          <cell r="G1050">
            <v>275</v>
          </cell>
          <cell r="H1050">
            <v>0</v>
          </cell>
        </row>
        <row r="1051">
          <cell r="D1051" t="str">
            <v>Other Office Equipment</v>
          </cell>
          <cell r="F1051">
            <v>0</v>
          </cell>
          <cell r="G1051">
            <v>275</v>
          </cell>
          <cell r="H1051">
            <v>0</v>
          </cell>
        </row>
        <row r="1052">
          <cell r="D1052" t="str">
            <v>Other Office Equipment</v>
          </cell>
          <cell r="F1052">
            <v>0</v>
          </cell>
          <cell r="G1052">
            <v>275</v>
          </cell>
          <cell r="H1052">
            <v>0</v>
          </cell>
        </row>
        <row r="1053">
          <cell r="D1053" t="str">
            <v>Other Office Equipment</v>
          </cell>
          <cell r="F1053">
            <v>0</v>
          </cell>
          <cell r="G1053">
            <v>275</v>
          </cell>
          <cell r="H1053">
            <v>0</v>
          </cell>
        </row>
        <row r="1054">
          <cell r="D1054" t="str">
            <v>Other Office Equipment</v>
          </cell>
          <cell r="F1054">
            <v>0</v>
          </cell>
          <cell r="G1054">
            <v>275</v>
          </cell>
          <cell r="H1054">
            <v>0</v>
          </cell>
        </row>
        <row r="1055">
          <cell r="D1055" t="str">
            <v>Other Office Equipment</v>
          </cell>
          <cell r="F1055">
            <v>0</v>
          </cell>
          <cell r="G1055">
            <v>275</v>
          </cell>
          <cell r="H1055">
            <v>0</v>
          </cell>
        </row>
        <row r="1056">
          <cell r="D1056" t="str">
            <v>Other Office Equipment</v>
          </cell>
          <cell r="F1056">
            <v>0</v>
          </cell>
          <cell r="G1056">
            <v>275</v>
          </cell>
          <cell r="H1056">
            <v>0</v>
          </cell>
        </row>
        <row r="1057">
          <cell r="D1057" t="str">
            <v>Other Office Equipment</v>
          </cell>
          <cell r="F1057">
            <v>0</v>
          </cell>
          <cell r="G1057">
            <v>275</v>
          </cell>
          <cell r="H1057">
            <v>0</v>
          </cell>
        </row>
        <row r="1058">
          <cell r="D1058" t="str">
            <v>Other Office Equipment</v>
          </cell>
          <cell r="F1058">
            <v>0</v>
          </cell>
          <cell r="G1058">
            <v>275</v>
          </cell>
          <cell r="H1058">
            <v>0</v>
          </cell>
        </row>
        <row r="1059">
          <cell r="D1059" t="str">
            <v>Other Office Equipment</v>
          </cell>
          <cell r="F1059">
            <v>0</v>
          </cell>
          <cell r="G1059">
            <v>275</v>
          </cell>
          <cell r="H1059">
            <v>0</v>
          </cell>
        </row>
        <row r="1060">
          <cell r="D1060" t="str">
            <v>Other Office Equipment</v>
          </cell>
          <cell r="F1060">
            <v>0</v>
          </cell>
          <cell r="G1060">
            <v>275</v>
          </cell>
          <cell r="H1060">
            <v>0</v>
          </cell>
        </row>
        <row r="1061">
          <cell r="D1061" t="str">
            <v>Other Office Equipment</v>
          </cell>
          <cell r="F1061">
            <v>0</v>
          </cell>
          <cell r="G1061">
            <v>275</v>
          </cell>
          <cell r="H1061">
            <v>0</v>
          </cell>
        </row>
        <row r="1062">
          <cell r="D1062" t="str">
            <v>Other Office Equipment</v>
          </cell>
          <cell r="F1062">
            <v>0</v>
          </cell>
          <cell r="G1062">
            <v>275</v>
          </cell>
          <cell r="H1062">
            <v>0</v>
          </cell>
        </row>
        <row r="1063">
          <cell r="D1063" t="str">
            <v>Other Office Equipment</v>
          </cell>
          <cell r="F1063">
            <v>0</v>
          </cell>
          <cell r="G1063">
            <v>275</v>
          </cell>
          <cell r="H1063">
            <v>0</v>
          </cell>
        </row>
        <row r="1064">
          <cell r="D1064" t="str">
            <v>Other Office Equipment</v>
          </cell>
          <cell r="F1064">
            <v>0</v>
          </cell>
          <cell r="G1064">
            <v>275</v>
          </cell>
          <cell r="H1064">
            <v>0</v>
          </cell>
        </row>
        <row r="1065">
          <cell r="D1065" t="str">
            <v>Other Office Equipment</v>
          </cell>
          <cell r="F1065">
            <v>0</v>
          </cell>
          <cell r="G1065">
            <v>275</v>
          </cell>
          <cell r="H1065">
            <v>0</v>
          </cell>
        </row>
        <row r="1066">
          <cell r="D1066" t="str">
            <v>Other Office Equipment</v>
          </cell>
          <cell r="F1066">
            <v>0</v>
          </cell>
          <cell r="G1066">
            <v>275</v>
          </cell>
          <cell r="H1066">
            <v>0</v>
          </cell>
        </row>
        <row r="1067">
          <cell r="D1067" t="str">
            <v>Other Office Equipment</v>
          </cell>
          <cell r="F1067">
            <v>0</v>
          </cell>
          <cell r="G1067">
            <v>275</v>
          </cell>
          <cell r="H1067">
            <v>0</v>
          </cell>
        </row>
        <row r="1068">
          <cell r="D1068" t="str">
            <v>Other Office Equipment</v>
          </cell>
          <cell r="F1068">
            <v>0</v>
          </cell>
          <cell r="G1068">
            <v>275</v>
          </cell>
          <cell r="H1068">
            <v>0</v>
          </cell>
        </row>
        <row r="1069">
          <cell r="D1069" t="str">
            <v>Other Office Equipment</v>
          </cell>
          <cell r="F1069">
            <v>0</v>
          </cell>
          <cell r="G1069">
            <v>275</v>
          </cell>
          <cell r="H1069">
            <v>0</v>
          </cell>
        </row>
        <row r="1070">
          <cell r="D1070" t="str">
            <v>Other Office Equipment</v>
          </cell>
          <cell r="F1070">
            <v>0</v>
          </cell>
          <cell r="G1070">
            <v>275</v>
          </cell>
          <cell r="H1070">
            <v>0</v>
          </cell>
        </row>
        <row r="1071">
          <cell r="D1071" t="str">
            <v>Other Office Equipment</v>
          </cell>
          <cell r="F1071">
            <v>0</v>
          </cell>
          <cell r="G1071">
            <v>275</v>
          </cell>
          <cell r="H1071">
            <v>0</v>
          </cell>
        </row>
        <row r="1072">
          <cell r="D1072" t="str">
            <v>Other Office Equipment</v>
          </cell>
          <cell r="F1072">
            <v>0</v>
          </cell>
          <cell r="G1072">
            <v>275</v>
          </cell>
          <cell r="H1072">
            <v>0</v>
          </cell>
        </row>
        <row r="1073">
          <cell r="D1073" t="str">
            <v>Other Office Equipment</v>
          </cell>
          <cell r="F1073">
            <v>0</v>
          </cell>
          <cell r="G1073">
            <v>275</v>
          </cell>
          <cell r="H1073">
            <v>0</v>
          </cell>
        </row>
        <row r="1074">
          <cell r="D1074" t="str">
            <v>Other Office Equipment</v>
          </cell>
          <cell r="F1074">
            <v>0</v>
          </cell>
          <cell r="G1074">
            <v>275</v>
          </cell>
          <cell r="H1074">
            <v>0</v>
          </cell>
        </row>
        <row r="1075">
          <cell r="D1075" t="str">
            <v>Other Office Equipment</v>
          </cell>
          <cell r="F1075">
            <v>0</v>
          </cell>
          <cell r="G1075">
            <v>275</v>
          </cell>
          <cell r="H1075">
            <v>0</v>
          </cell>
        </row>
        <row r="1076">
          <cell r="D1076" t="str">
            <v>Other Office Equipment</v>
          </cell>
          <cell r="F1076">
            <v>0</v>
          </cell>
          <cell r="G1076">
            <v>275</v>
          </cell>
          <cell r="H1076">
            <v>0</v>
          </cell>
        </row>
        <row r="1077">
          <cell r="D1077" t="str">
            <v>Other Office Equipment</v>
          </cell>
          <cell r="F1077">
            <v>0</v>
          </cell>
          <cell r="G1077">
            <v>275</v>
          </cell>
          <cell r="H1077">
            <v>0</v>
          </cell>
        </row>
        <row r="1078">
          <cell r="D1078" t="str">
            <v>Other Office Equipment</v>
          </cell>
          <cell r="F1078">
            <v>0</v>
          </cell>
          <cell r="G1078">
            <v>275</v>
          </cell>
          <cell r="H1078">
            <v>0</v>
          </cell>
        </row>
        <row r="1079">
          <cell r="D1079" t="str">
            <v>Other Office Equipment</v>
          </cell>
          <cell r="F1079">
            <v>0</v>
          </cell>
          <cell r="G1079">
            <v>275</v>
          </cell>
          <cell r="H1079">
            <v>0</v>
          </cell>
        </row>
        <row r="1080">
          <cell r="D1080" t="str">
            <v>Other Office Equipment</v>
          </cell>
          <cell r="F1080">
            <v>0</v>
          </cell>
          <cell r="G1080">
            <v>275</v>
          </cell>
          <cell r="H1080">
            <v>0</v>
          </cell>
        </row>
        <row r="1081">
          <cell r="D1081" t="str">
            <v>Other Office Equipment</v>
          </cell>
          <cell r="F1081">
            <v>0</v>
          </cell>
          <cell r="G1081">
            <v>275</v>
          </cell>
          <cell r="H1081">
            <v>0</v>
          </cell>
        </row>
        <row r="1082">
          <cell r="D1082" t="str">
            <v>Other Office Equipment</v>
          </cell>
          <cell r="F1082">
            <v>0</v>
          </cell>
          <cell r="G1082">
            <v>275</v>
          </cell>
          <cell r="H1082">
            <v>0</v>
          </cell>
        </row>
        <row r="1083">
          <cell r="D1083" t="str">
            <v>Other Office Equipment</v>
          </cell>
          <cell r="F1083">
            <v>0</v>
          </cell>
          <cell r="G1083">
            <v>275</v>
          </cell>
          <cell r="H1083">
            <v>0</v>
          </cell>
        </row>
        <row r="1084">
          <cell r="D1084" t="str">
            <v>Other Office Equipment</v>
          </cell>
          <cell r="F1084">
            <v>0</v>
          </cell>
          <cell r="G1084">
            <v>275</v>
          </cell>
          <cell r="H1084">
            <v>0</v>
          </cell>
        </row>
        <row r="1085">
          <cell r="D1085" t="str">
            <v>Other Office Equipment</v>
          </cell>
          <cell r="F1085">
            <v>0</v>
          </cell>
          <cell r="G1085">
            <v>275</v>
          </cell>
          <cell r="H1085">
            <v>0</v>
          </cell>
        </row>
        <row r="1086">
          <cell r="D1086" t="str">
            <v>Other Office Equipment</v>
          </cell>
          <cell r="F1086">
            <v>0</v>
          </cell>
          <cell r="G1086">
            <v>275</v>
          </cell>
          <cell r="H1086">
            <v>0</v>
          </cell>
        </row>
        <row r="1087">
          <cell r="D1087" t="str">
            <v>Other Office Equipment</v>
          </cell>
          <cell r="F1087">
            <v>0</v>
          </cell>
          <cell r="G1087">
            <v>275</v>
          </cell>
          <cell r="H1087">
            <v>0</v>
          </cell>
        </row>
        <row r="1088">
          <cell r="D1088" t="str">
            <v>Other Office Equipment</v>
          </cell>
          <cell r="F1088">
            <v>0</v>
          </cell>
          <cell r="G1088">
            <v>275</v>
          </cell>
          <cell r="H1088">
            <v>0</v>
          </cell>
        </row>
        <row r="1089">
          <cell r="D1089" t="str">
            <v>Other Office Equipment</v>
          </cell>
          <cell r="F1089">
            <v>0</v>
          </cell>
          <cell r="G1089">
            <v>275</v>
          </cell>
          <cell r="H1089">
            <v>0</v>
          </cell>
        </row>
        <row r="1090">
          <cell r="D1090" t="str">
            <v>Other Office Equipment</v>
          </cell>
          <cell r="F1090">
            <v>0</v>
          </cell>
          <cell r="G1090">
            <v>275</v>
          </cell>
          <cell r="H1090">
            <v>0</v>
          </cell>
        </row>
        <row r="1091">
          <cell r="D1091" t="str">
            <v>Other Office Equipment</v>
          </cell>
          <cell r="F1091">
            <v>0</v>
          </cell>
          <cell r="G1091">
            <v>275</v>
          </cell>
          <cell r="H1091">
            <v>0</v>
          </cell>
        </row>
        <row r="1092">
          <cell r="D1092" t="str">
            <v>Other Office Equipment</v>
          </cell>
          <cell r="F1092">
            <v>0</v>
          </cell>
          <cell r="G1092">
            <v>275</v>
          </cell>
          <cell r="H1092">
            <v>0</v>
          </cell>
        </row>
        <row r="1093">
          <cell r="D1093" t="str">
            <v>Other Office Equipment</v>
          </cell>
          <cell r="F1093">
            <v>0</v>
          </cell>
          <cell r="G1093">
            <v>275</v>
          </cell>
          <cell r="H1093">
            <v>0</v>
          </cell>
        </row>
        <row r="1094">
          <cell r="D1094" t="str">
            <v>Other Office Equipment</v>
          </cell>
          <cell r="F1094">
            <v>0</v>
          </cell>
          <cell r="G1094">
            <v>275</v>
          </cell>
          <cell r="H1094">
            <v>0</v>
          </cell>
        </row>
        <row r="1095">
          <cell r="D1095" t="str">
            <v>Other Office Equipment</v>
          </cell>
          <cell r="F1095">
            <v>0</v>
          </cell>
          <cell r="G1095">
            <v>275</v>
          </cell>
          <cell r="H1095">
            <v>0</v>
          </cell>
        </row>
        <row r="1096">
          <cell r="D1096" t="str">
            <v>Other Office Equipment</v>
          </cell>
          <cell r="F1096">
            <v>0</v>
          </cell>
          <cell r="G1096">
            <v>275</v>
          </cell>
          <cell r="H1096">
            <v>0</v>
          </cell>
        </row>
        <row r="1097">
          <cell r="D1097" t="str">
            <v>Other Office Equipment</v>
          </cell>
          <cell r="F1097">
            <v>0</v>
          </cell>
          <cell r="G1097">
            <v>275</v>
          </cell>
          <cell r="H1097">
            <v>0</v>
          </cell>
        </row>
        <row r="1098">
          <cell r="D1098" t="str">
            <v>Other Office Equipment</v>
          </cell>
          <cell r="F1098">
            <v>0</v>
          </cell>
          <cell r="G1098">
            <v>275</v>
          </cell>
          <cell r="H1098">
            <v>0</v>
          </cell>
        </row>
        <row r="1099">
          <cell r="D1099" t="str">
            <v>Other Office Equipment</v>
          </cell>
          <cell r="F1099">
            <v>0</v>
          </cell>
          <cell r="G1099">
            <v>275</v>
          </cell>
          <cell r="H1099">
            <v>0</v>
          </cell>
        </row>
        <row r="1100">
          <cell r="D1100" t="str">
            <v>Other Office Equipment</v>
          </cell>
          <cell r="F1100">
            <v>0</v>
          </cell>
          <cell r="G1100">
            <v>275</v>
          </cell>
          <cell r="H1100">
            <v>0</v>
          </cell>
        </row>
        <row r="1101">
          <cell r="D1101" t="str">
            <v>Other Office Equipment</v>
          </cell>
          <cell r="F1101">
            <v>0</v>
          </cell>
          <cell r="G1101">
            <v>275</v>
          </cell>
          <cell r="H1101">
            <v>0</v>
          </cell>
        </row>
        <row r="1102">
          <cell r="D1102" t="str">
            <v>Other Office Equipment</v>
          </cell>
          <cell r="F1102">
            <v>0</v>
          </cell>
          <cell r="G1102">
            <v>275</v>
          </cell>
          <cell r="H1102">
            <v>0</v>
          </cell>
        </row>
        <row r="1103">
          <cell r="D1103" t="str">
            <v>Other Office Equipment</v>
          </cell>
          <cell r="F1103">
            <v>0</v>
          </cell>
          <cell r="G1103">
            <v>275</v>
          </cell>
          <cell r="H1103">
            <v>0</v>
          </cell>
        </row>
        <row r="1104">
          <cell r="D1104" t="str">
            <v>Other Office Equipment</v>
          </cell>
          <cell r="F1104">
            <v>0</v>
          </cell>
          <cell r="G1104">
            <v>275</v>
          </cell>
          <cell r="H1104">
            <v>0</v>
          </cell>
        </row>
        <row r="1105">
          <cell r="D1105" t="str">
            <v>Other Office Equipment</v>
          </cell>
          <cell r="F1105">
            <v>0</v>
          </cell>
          <cell r="G1105">
            <v>275</v>
          </cell>
          <cell r="H1105">
            <v>0</v>
          </cell>
        </row>
        <row r="1106">
          <cell r="D1106" t="str">
            <v>Other Office Equipment</v>
          </cell>
          <cell r="F1106">
            <v>0</v>
          </cell>
          <cell r="G1106">
            <v>275</v>
          </cell>
          <cell r="H1106">
            <v>0</v>
          </cell>
        </row>
        <row r="1107">
          <cell r="D1107" t="str">
            <v>Other Office Equipment</v>
          </cell>
          <cell r="F1107">
            <v>0</v>
          </cell>
          <cell r="G1107">
            <v>275</v>
          </cell>
          <cell r="H1107">
            <v>0</v>
          </cell>
        </row>
        <row r="1108">
          <cell r="D1108" t="str">
            <v>Other Office Equipment</v>
          </cell>
          <cell r="F1108">
            <v>0</v>
          </cell>
          <cell r="G1108">
            <v>275</v>
          </cell>
          <cell r="H1108">
            <v>0</v>
          </cell>
        </row>
        <row r="1109">
          <cell r="D1109" t="str">
            <v>Other Office Equipment</v>
          </cell>
          <cell r="F1109">
            <v>0</v>
          </cell>
          <cell r="G1109">
            <v>275</v>
          </cell>
          <cell r="H1109">
            <v>0</v>
          </cell>
        </row>
        <row r="1110">
          <cell r="D1110" t="str">
            <v>Other Office Equipment</v>
          </cell>
          <cell r="F1110">
            <v>0</v>
          </cell>
          <cell r="G1110">
            <v>275</v>
          </cell>
          <cell r="H1110">
            <v>0</v>
          </cell>
        </row>
        <row r="1111">
          <cell r="D1111" t="str">
            <v>Other Office Equipment</v>
          </cell>
          <cell r="F1111">
            <v>0</v>
          </cell>
          <cell r="G1111">
            <v>275</v>
          </cell>
          <cell r="H1111">
            <v>0</v>
          </cell>
        </row>
        <row r="1112">
          <cell r="D1112" t="str">
            <v>Other Office Equipment</v>
          </cell>
          <cell r="F1112">
            <v>0</v>
          </cell>
          <cell r="G1112">
            <v>275</v>
          </cell>
          <cell r="H1112">
            <v>0</v>
          </cell>
        </row>
        <row r="1113">
          <cell r="D1113" t="str">
            <v>Other Office Equipment</v>
          </cell>
          <cell r="F1113">
            <v>0</v>
          </cell>
          <cell r="G1113">
            <v>275</v>
          </cell>
          <cell r="H1113">
            <v>0</v>
          </cell>
        </row>
        <row r="1114">
          <cell r="D1114" t="str">
            <v>Other Office Equipment</v>
          </cell>
          <cell r="F1114">
            <v>0</v>
          </cell>
          <cell r="G1114">
            <v>275</v>
          </cell>
          <cell r="H1114">
            <v>0</v>
          </cell>
        </row>
        <row r="1115">
          <cell r="D1115" t="str">
            <v>Other Office Equipment</v>
          </cell>
          <cell r="F1115">
            <v>0</v>
          </cell>
          <cell r="G1115">
            <v>275</v>
          </cell>
          <cell r="H1115">
            <v>0</v>
          </cell>
        </row>
        <row r="1116">
          <cell r="D1116" t="str">
            <v>Other Office Equipment</v>
          </cell>
          <cell r="F1116">
            <v>0</v>
          </cell>
          <cell r="G1116">
            <v>275</v>
          </cell>
          <cell r="H1116">
            <v>0</v>
          </cell>
        </row>
        <row r="1117">
          <cell r="D1117" t="str">
            <v>Other Office Equipment</v>
          </cell>
          <cell r="F1117">
            <v>0</v>
          </cell>
          <cell r="G1117">
            <v>275</v>
          </cell>
          <cell r="H1117">
            <v>0</v>
          </cell>
        </row>
        <row r="1118">
          <cell r="D1118" t="str">
            <v>Other Office Equipment</v>
          </cell>
          <cell r="F1118">
            <v>0</v>
          </cell>
          <cell r="G1118">
            <v>275</v>
          </cell>
          <cell r="H1118">
            <v>0</v>
          </cell>
        </row>
        <row r="1119">
          <cell r="D1119" t="str">
            <v>Other Office Equipment</v>
          </cell>
          <cell r="F1119">
            <v>0</v>
          </cell>
          <cell r="G1119">
            <v>275</v>
          </cell>
          <cell r="H1119">
            <v>0</v>
          </cell>
        </row>
        <row r="1120">
          <cell r="D1120" t="str">
            <v>Other Office Equipment</v>
          </cell>
          <cell r="F1120">
            <v>0</v>
          </cell>
          <cell r="G1120">
            <v>275</v>
          </cell>
          <cell r="H1120">
            <v>0</v>
          </cell>
        </row>
        <row r="1121">
          <cell r="D1121" t="str">
            <v>Other Office Equipment</v>
          </cell>
          <cell r="F1121">
            <v>0</v>
          </cell>
          <cell r="G1121">
            <v>275</v>
          </cell>
          <cell r="H1121">
            <v>0</v>
          </cell>
        </row>
        <row r="1122">
          <cell r="D1122" t="str">
            <v>Other Office Equipment</v>
          </cell>
          <cell r="F1122">
            <v>0</v>
          </cell>
          <cell r="G1122">
            <v>275</v>
          </cell>
          <cell r="H1122">
            <v>0</v>
          </cell>
        </row>
        <row r="1123">
          <cell r="D1123" t="str">
            <v>Other Office Equipment</v>
          </cell>
          <cell r="F1123">
            <v>0</v>
          </cell>
          <cell r="G1123">
            <v>275</v>
          </cell>
          <cell r="H1123">
            <v>0</v>
          </cell>
        </row>
        <row r="1124">
          <cell r="D1124" t="str">
            <v>Other Office Equipment</v>
          </cell>
          <cell r="F1124">
            <v>0</v>
          </cell>
          <cell r="G1124">
            <v>275</v>
          </cell>
          <cell r="H1124">
            <v>0</v>
          </cell>
        </row>
        <row r="1125">
          <cell r="D1125" t="str">
            <v>Other Office Equipment</v>
          </cell>
          <cell r="F1125">
            <v>0</v>
          </cell>
          <cell r="G1125">
            <v>275</v>
          </cell>
          <cell r="H1125">
            <v>0</v>
          </cell>
        </row>
        <row r="1126">
          <cell r="D1126" t="str">
            <v>Other Office Equipment</v>
          </cell>
          <cell r="F1126">
            <v>0</v>
          </cell>
          <cell r="G1126">
            <v>275</v>
          </cell>
          <cell r="H1126">
            <v>0</v>
          </cell>
        </row>
        <row r="1127">
          <cell r="D1127" t="str">
            <v>Other Office Equipment</v>
          </cell>
          <cell r="F1127">
            <v>0</v>
          </cell>
          <cell r="G1127">
            <v>275</v>
          </cell>
          <cell r="H1127">
            <v>0</v>
          </cell>
        </row>
        <row r="1128">
          <cell r="D1128" t="str">
            <v>Other Office Equipment</v>
          </cell>
          <cell r="F1128">
            <v>0</v>
          </cell>
          <cell r="G1128">
            <v>275</v>
          </cell>
          <cell r="H1128">
            <v>0</v>
          </cell>
        </row>
        <row r="1129">
          <cell r="D1129" t="str">
            <v>Other Office Equipment</v>
          </cell>
          <cell r="F1129">
            <v>0</v>
          </cell>
          <cell r="G1129">
            <v>275</v>
          </cell>
          <cell r="H1129">
            <v>0</v>
          </cell>
        </row>
        <row r="1130">
          <cell r="D1130" t="str">
            <v>Other Office Equipment</v>
          </cell>
          <cell r="F1130">
            <v>0</v>
          </cell>
          <cell r="G1130">
            <v>275</v>
          </cell>
          <cell r="H1130">
            <v>0</v>
          </cell>
        </row>
        <row r="1131">
          <cell r="D1131" t="str">
            <v>Other Office Equipment</v>
          </cell>
          <cell r="F1131">
            <v>0</v>
          </cell>
          <cell r="G1131">
            <v>275</v>
          </cell>
          <cell r="H1131">
            <v>0</v>
          </cell>
        </row>
        <row r="1132">
          <cell r="D1132" t="str">
            <v>Other Office Equipment</v>
          </cell>
          <cell r="F1132">
            <v>0</v>
          </cell>
          <cell r="G1132">
            <v>275</v>
          </cell>
          <cell r="H1132">
            <v>0</v>
          </cell>
        </row>
        <row r="1133">
          <cell r="D1133" t="str">
            <v>Other Office Equipment</v>
          </cell>
          <cell r="F1133">
            <v>0</v>
          </cell>
          <cell r="G1133">
            <v>275</v>
          </cell>
          <cell r="H1133">
            <v>0</v>
          </cell>
        </row>
        <row r="1134">
          <cell r="D1134" t="str">
            <v>Other Office Equipment</v>
          </cell>
          <cell r="F1134">
            <v>0</v>
          </cell>
          <cell r="G1134">
            <v>275</v>
          </cell>
          <cell r="H1134">
            <v>0</v>
          </cell>
        </row>
        <row r="1135">
          <cell r="D1135" t="str">
            <v>Other Office Equipment</v>
          </cell>
          <cell r="F1135">
            <v>0</v>
          </cell>
          <cell r="G1135">
            <v>275</v>
          </cell>
          <cell r="H1135">
            <v>0</v>
          </cell>
        </row>
        <row r="1136">
          <cell r="D1136" t="str">
            <v>Other Office Equipment</v>
          </cell>
          <cell r="F1136">
            <v>0</v>
          </cell>
          <cell r="G1136">
            <v>275</v>
          </cell>
          <cell r="H1136">
            <v>0</v>
          </cell>
        </row>
        <row r="1137">
          <cell r="D1137" t="str">
            <v>Other Office Equipment</v>
          </cell>
          <cell r="F1137">
            <v>0</v>
          </cell>
          <cell r="G1137">
            <v>275</v>
          </cell>
          <cell r="H1137">
            <v>0</v>
          </cell>
        </row>
        <row r="1138">
          <cell r="D1138" t="str">
            <v>Other Office Equipment</v>
          </cell>
          <cell r="F1138">
            <v>0</v>
          </cell>
          <cell r="G1138">
            <v>275</v>
          </cell>
          <cell r="H1138">
            <v>0</v>
          </cell>
        </row>
        <row r="1139">
          <cell r="D1139" t="str">
            <v>Other Office Equipment</v>
          </cell>
          <cell r="F1139">
            <v>0</v>
          </cell>
          <cell r="G1139">
            <v>275</v>
          </cell>
          <cell r="H1139">
            <v>0</v>
          </cell>
        </row>
        <row r="1140">
          <cell r="D1140" t="str">
            <v>Other Office Equipment</v>
          </cell>
          <cell r="F1140">
            <v>0</v>
          </cell>
          <cell r="G1140">
            <v>275</v>
          </cell>
          <cell r="H1140">
            <v>0</v>
          </cell>
        </row>
        <row r="1141">
          <cell r="D1141" t="str">
            <v>Other Office Equipment</v>
          </cell>
          <cell r="F1141">
            <v>0</v>
          </cell>
          <cell r="G1141">
            <v>275</v>
          </cell>
          <cell r="H1141">
            <v>0</v>
          </cell>
        </row>
        <row r="1142">
          <cell r="D1142" t="str">
            <v>Other Office Equipment</v>
          </cell>
          <cell r="F1142">
            <v>0</v>
          </cell>
          <cell r="G1142">
            <v>275</v>
          </cell>
          <cell r="H1142">
            <v>0</v>
          </cell>
        </row>
        <row r="1143">
          <cell r="D1143" t="str">
            <v>Other Office Equipment</v>
          </cell>
          <cell r="F1143">
            <v>0</v>
          </cell>
          <cell r="G1143">
            <v>275</v>
          </cell>
          <cell r="H1143">
            <v>0</v>
          </cell>
        </row>
        <row r="1144">
          <cell r="D1144" t="str">
            <v>Other Office Equipment</v>
          </cell>
          <cell r="F1144">
            <v>0</v>
          </cell>
          <cell r="G1144">
            <v>275</v>
          </cell>
          <cell r="H1144">
            <v>0</v>
          </cell>
        </row>
        <row r="1145">
          <cell r="D1145" t="str">
            <v>Other Office Equipment</v>
          </cell>
          <cell r="F1145">
            <v>0</v>
          </cell>
          <cell r="G1145">
            <v>275</v>
          </cell>
          <cell r="H1145">
            <v>0</v>
          </cell>
        </row>
        <row r="1146">
          <cell r="D1146" t="str">
            <v>Other Office Equipment</v>
          </cell>
          <cell r="F1146">
            <v>0</v>
          </cell>
          <cell r="G1146">
            <v>275</v>
          </cell>
          <cell r="H1146">
            <v>0</v>
          </cell>
        </row>
        <row r="1147">
          <cell r="D1147" t="str">
            <v>Other Office Equipment</v>
          </cell>
          <cell r="F1147">
            <v>0</v>
          </cell>
          <cell r="G1147">
            <v>275</v>
          </cell>
          <cell r="H1147">
            <v>0</v>
          </cell>
        </row>
        <row r="1148">
          <cell r="D1148" t="str">
            <v>Other Office Equipment</v>
          </cell>
          <cell r="F1148">
            <v>0</v>
          </cell>
          <cell r="G1148">
            <v>275</v>
          </cell>
          <cell r="H1148">
            <v>0</v>
          </cell>
        </row>
        <row r="1149">
          <cell r="D1149" t="str">
            <v>Other Office Equipment</v>
          </cell>
          <cell r="F1149">
            <v>0</v>
          </cell>
          <cell r="G1149">
            <v>275</v>
          </cell>
          <cell r="H1149">
            <v>0</v>
          </cell>
        </row>
        <row r="1150">
          <cell r="D1150" t="str">
            <v>Other Office Equipment</v>
          </cell>
          <cell r="F1150">
            <v>0</v>
          </cell>
          <cell r="G1150">
            <v>275</v>
          </cell>
          <cell r="H1150">
            <v>0</v>
          </cell>
        </row>
        <row r="1151">
          <cell r="D1151" t="str">
            <v>Other Office Equipment</v>
          </cell>
          <cell r="F1151">
            <v>0</v>
          </cell>
          <cell r="G1151">
            <v>275</v>
          </cell>
          <cell r="H1151">
            <v>0</v>
          </cell>
        </row>
        <row r="1152">
          <cell r="D1152" t="str">
            <v>Other Office Equipment</v>
          </cell>
          <cell r="F1152">
            <v>0</v>
          </cell>
          <cell r="G1152">
            <v>275</v>
          </cell>
          <cell r="H1152">
            <v>0</v>
          </cell>
        </row>
        <row r="1153">
          <cell r="D1153" t="str">
            <v>Other Office Equipment</v>
          </cell>
          <cell r="F1153">
            <v>0</v>
          </cell>
          <cell r="G1153">
            <v>275</v>
          </cell>
          <cell r="H1153">
            <v>0</v>
          </cell>
        </row>
        <row r="1154">
          <cell r="D1154" t="str">
            <v>Other Office Equipment</v>
          </cell>
          <cell r="F1154">
            <v>0</v>
          </cell>
          <cell r="G1154">
            <v>275</v>
          </cell>
          <cell r="H1154">
            <v>0</v>
          </cell>
        </row>
        <row r="1155">
          <cell r="D1155" t="str">
            <v>Other Office Equipment</v>
          </cell>
          <cell r="F1155">
            <v>0</v>
          </cell>
          <cell r="G1155">
            <v>275</v>
          </cell>
          <cell r="H1155">
            <v>0</v>
          </cell>
        </row>
        <row r="1156">
          <cell r="D1156" t="str">
            <v>Other Office Equipment</v>
          </cell>
          <cell r="F1156">
            <v>0</v>
          </cell>
          <cell r="G1156">
            <v>275</v>
          </cell>
          <cell r="H1156">
            <v>0</v>
          </cell>
        </row>
        <row r="1157">
          <cell r="D1157" t="str">
            <v>Other Office Equipment</v>
          </cell>
          <cell r="F1157">
            <v>0</v>
          </cell>
          <cell r="G1157">
            <v>275</v>
          </cell>
          <cell r="H1157">
            <v>0</v>
          </cell>
        </row>
        <row r="1158">
          <cell r="D1158" t="str">
            <v>Other Office Equipment</v>
          </cell>
          <cell r="F1158">
            <v>0</v>
          </cell>
          <cell r="G1158">
            <v>275</v>
          </cell>
          <cell r="H1158">
            <v>0</v>
          </cell>
        </row>
        <row r="1159">
          <cell r="D1159" t="str">
            <v>Other Office Equipment</v>
          </cell>
          <cell r="F1159">
            <v>0</v>
          </cell>
          <cell r="G1159">
            <v>275</v>
          </cell>
          <cell r="H1159">
            <v>0</v>
          </cell>
        </row>
        <row r="1160">
          <cell r="D1160" t="str">
            <v>Other Office Equipment</v>
          </cell>
          <cell r="F1160">
            <v>0</v>
          </cell>
          <cell r="G1160">
            <v>275</v>
          </cell>
          <cell r="H1160">
            <v>0</v>
          </cell>
        </row>
        <row r="1161">
          <cell r="D1161" t="str">
            <v>Other Office Equipment</v>
          </cell>
          <cell r="F1161">
            <v>0</v>
          </cell>
          <cell r="G1161">
            <v>275</v>
          </cell>
          <cell r="H1161">
            <v>0</v>
          </cell>
        </row>
        <row r="1162">
          <cell r="D1162" t="str">
            <v>Other Office Equipment</v>
          </cell>
          <cell r="F1162">
            <v>0</v>
          </cell>
          <cell r="G1162">
            <v>275</v>
          </cell>
          <cell r="H1162">
            <v>0</v>
          </cell>
        </row>
        <row r="1163">
          <cell r="D1163" t="str">
            <v>Other Office Equipment</v>
          </cell>
          <cell r="F1163">
            <v>0</v>
          </cell>
          <cell r="G1163">
            <v>275</v>
          </cell>
          <cell r="H1163">
            <v>0</v>
          </cell>
        </row>
        <row r="1164">
          <cell r="D1164" t="str">
            <v>Other Office Equipment</v>
          </cell>
          <cell r="F1164">
            <v>4779.3715846994537</v>
          </cell>
          <cell r="G1164">
            <v>275</v>
          </cell>
          <cell r="H1164">
            <v>4600.4332285350702</v>
          </cell>
        </row>
        <row r="1165">
          <cell r="D1165" t="str">
            <v>Other Office Equipment</v>
          </cell>
          <cell r="F1165">
            <v>4957.1721311475412</v>
          </cell>
          <cell r="G1165">
            <v>275</v>
          </cell>
          <cell r="H1165">
            <v>4778.2337749831577</v>
          </cell>
        </row>
        <row r="1166">
          <cell r="D1166" t="str">
            <v>Other Office Equipment</v>
          </cell>
          <cell r="F1166">
            <v>4957.1721311475412</v>
          </cell>
          <cell r="G1166">
            <v>275</v>
          </cell>
          <cell r="H1166">
            <v>4778.2337749831577</v>
          </cell>
        </row>
        <row r="1167">
          <cell r="D1167" t="str">
            <v>Other Office Equipment</v>
          </cell>
          <cell r="F1167">
            <v>4957.1721311475412</v>
          </cell>
          <cell r="G1167">
            <v>275</v>
          </cell>
          <cell r="H1167">
            <v>4778.2337749831577</v>
          </cell>
        </row>
        <row r="1168">
          <cell r="D1168" t="str">
            <v>Other Office Equipment</v>
          </cell>
          <cell r="F1168">
            <v>4957.1721311475412</v>
          </cell>
          <cell r="G1168">
            <v>275</v>
          </cell>
          <cell r="H1168">
            <v>4778.2337749831577</v>
          </cell>
        </row>
        <row r="1169">
          <cell r="D1169" t="str">
            <v>Other Office Equipment</v>
          </cell>
          <cell r="F1169">
            <v>5002.7113217213118</v>
          </cell>
          <cell r="G1169">
            <v>275</v>
          </cell>
          <cell r="H1169">
            <v>4821.5362361048738</v>
          </cell>
        </row>
        <row r="1170">
          <cell r="D1170" t="str">
            <v>Other Office Equipment</v>
          </cell>
          <cell r="F1170">
            <v>5002.7113217213118</v>
          </cell>
          <cell r="G1170">
            <v>275</v>
          </cell>
          <cell r="H1170">
            <v>4821.5362361048738</v>
          </cell>
        </row>
        <row r="1171">
          <cell r="D1171" t="str">
            <v>Other Office Equipment</v>
          </cell>
          <cell r="F1171">
            <v>5002.7113217213118</v>
          </cell>
          <cell r="G1171">
            <v>275</v>
          </cell>
          <cell r="H1171">
            <v>4821.5362361048738</v>
          </cell>
        </row>
        <row r="1172">
          <cell r="D1172" t="str">
            <v>Other Office Equipment</v>
          </cell>
          <cell r="F1172">
            <v>5002.7113217213118</v>
          </cell>
          <cell r="G1172">
            <v>275</v>
          </cell>
          <cell r="H1172">
            <v>4821.5362361048738</v>
          </cell>
        </row>
        <row r="1173">
          <cell r="D1173" t="str">
            <v>Other Office Equipment</v>
          </cell>
          <cell r="F1173">
            <v>5002.7113217213118</v>
          </cell>
          <cell r="G1173">
            <v>275</v>
          </cell>
          <cell r="H1173">
            <v>4821.5362361048738</v>
          </cell>
        </row>
        <row r="1174">
          <cell r="D1174" t="str">
            <v>Other Office Equipment</v>
          </cell>
          <cell r="F1174">
            <v>5002.7113217213118</v>
          </cell>
          <cell r="G1174">
            <v>275</v>
          </cell>
          <cell r="H1174">
            <v>4821.5362361048738</v>
          </cell>
        </row>
        <row r="1175">
          <cell r="D1175" t="str">
            <v>Other Office Equipment</v>
          </cell>
          <cell r="F1175">
            <v>5002.7113217213118</v>
          </cell>
          <cell r="G1175">
            <v>275</v>
          </cell>
          <cell r="H1175">
            <v>4821.5362361048738</v>
          </cell>
        </row>
        <row r="1176">
          <cell r="D1176" t="str">
            <v>Other Office Equipment</v>
          </cell>
          <cell r="F1176">
            <v>5002.7113217213118</v>
          </cell>
          <cell r="G1176">
            <v>275</v>
          </cell>
          <cell r="H1176">
            <v>4821.5362361048738</v>
          </cell>
        </row>
        <row r="1177">
          <cell r="D1177" t="str">
            <v>Other Office Equipment</v>
          </cell>
          <cell r="F1177">
            <v>5002.7804950136606</v>
          </cell>
          <cell r="G1177">
            <v>275</v>
          </cell>
          <cell r="H1177">
            <v>4821.6029042602358</v>
          </cell>
        </row>
        <row r="1178">
          <cell r="D1178" t="str">
            <v>Other Office Equipment</v>
          </cell>
          <cell r="F1178">
            <v>4894.8155737704919</v>
          </cell>
          <cell r="G1178">
            <v>275</v>
          </cell>
          <cell r="H1178">
            <v>4712.298450482821</v>
          </cell>
        </row>
        <row r="1179">
          <cell r="D1179" t="str">
            <v>Other Office Equipment</v>
          </cell>
          <cell r="F1179">
            <v>5060.2868852459014</v>
          </cell>
          <cell r="G1179">
            <v>275</v>
          </cell>
          <cell r="H1179">
            <v>4877.7697619582304</v>
          </cell>
        </row>
        <row r="1180">
          <cell r="D1180" t="str">
            <v>Other Office Equipment</v>
          </cell>
          <cell r="F1180">
            <v>5299.7827868852455</v>
          </cell>
          <cell r="G1180">
            <v>275</v>
          </cell>
          <cell r="H1180">
            <v>5106.5293622277113</v>
          </cell>
        </row>
        <row r="1181">
          <cell r="D1181" t="str">
            <v>Other Office Equipment</v>
          </cell>
          <cell r="F1181">
            <v>5299.7827868852455</v>
          </cell>
          <cell r="G1181">
            <v>275</v>
          </cell>
          <cell r="H1181">
            <v>5106.5293622277113</v>
          </cell>
        </row>
        <row r="1182">
          <cell r="D1182" t="str">
            <v>Other Office Equipment</v>
          </cell>
          <cell r="F1182">
            <v>5397.8975409836066</v>
          </cell>
          <cell r="G1182">
            <v>275</v>
          </cell>
          <cell r="H1182">
            <v>5204.6441163260724</v>
          </cell>
        </row>
        <row r="1183">
          <cell r="D1183" t="str">
            <v>Other Office Equipment</v>
          </cell>
          <cell r="F1183">
            <v>5397.8975409836066</v>
          </cell>
          <cell r="G1183">
            <v>275</v>
          </cell>
          <cell r="H1183">
            <v>5204.6441163260724</v>
          </cell>
        </row>
        <row r="1184">
          <cell r="D1184" t="str">
            <v>Other Office Equipment</v>
          </cell>
          <cell r="F1184">
            <v>5197.078125</v>
          </cell>
          <cell r="G1184">
            <v>275</v>
          </cell>
          <cell r="H1184">
            <v>5001.8116438356165</v>
          </cell>
        </row>
        <row r="1185">
          <cell r="D1185" t="str">
            <v>Other Office Equipment</v>
          </cell>
          <cell r="F1185">
            <v>5197.078125</v>
          </cell>
          <cell r="G1185">
            <v>275</v>
          </cell>
          <cell r="H1185">
            <v>5001.8116438356165</v>
          </cell>
        </row>
        <row r="1186">
          <cell r="D1186" t="str">
            <v>Other Office Equipment</v>
          </cell>
          <cell r="F1186">
            <v>5197.078125</v>
          </cell>
          <cell r="G1186">
            <v>275</v>
          </cell>
          <cell r="H1186">
            <v>5001.8116438356165</v>
          </cell>
        </row>
        <row r="1187">
          <cell r="D1187" t="str">
            <v>Other Office Equipment</v>
          </cell>
          <cell r="F1187">
            <v>5197.078125</v>
          </cell>
          <cell r="G1187">
            <v>275</v>
          </cell>
          <cell r="H1187">
            <v>5001.8116438356165</v>
          </cell>
        </row>
        <row r="1188">
          <cell r="D1188" t="str">
            <v>Other Office Equipment</v>
          </cell>
          <cell r="F1188">
            <v>5197.078125</v>
          </cell>
          <cell r="G1188">
            <v>275</v>
          </cell>
          <cell r="H1188">
            <v>5001.8116438356165</v>
          </cell>
        </row>
        <row r="1189">
          <cell r="D1189" t="str">
            <v>Other Office Equipment</v>
          </cell>
          <cell r="F1189">
            <v>5433.5901639344265</v>
          </cell>
          <cell r="G1189">
            <v>275</v>
          </cell>
          <cell r="H1189">
            <v>5238.323682770043</v>
          </cell>
        </row>
        <row r="1190">
          <cell r="D1190" t="str">
            <v>Other Office Equipment</v>
          </cell>
          <cell r="F1190">
            <v>5425.1625000000004</v>
          </cell>
          <cell r="G1190">
            <v>275</v>
          </cell>
          <cell r="H1190">
            <v>5228.6881849315068</v>
          </cell>
        </row>
        <row r="1191">
          <cell r="D1191" t="str">
            <v>Other Office Equipment</v>
          </cell>
          <cell r="F1191">
            <v>5265.8743169398904</v>
          </cell>
          <cell r="G1191">
            <v>275</v>
          </cell>
          <cell r="H1191">
            <v>5069.0421251590687</v>
          </cell>
        </row>
        <row r="1192">
          <cell r="D1192" t="str">
            <v>Other Office Equipment</v>
          </cell>
          <cell r="F1192">
            <v>5265.8743169398904</v>
          </cell>
          <cell r="G1192">
            <v>275</v>
          </cell>
          <cell r="H1192">
            <v>5069.0421251590687</v>
          </cell>
        </row>
        <row r="1193">
          <cell r="D1193" t="str">
            <v>Other Office Equipment</v>
          </cell>
          <cell r="F1193">
            <v>5265.8743169398904</v>
          </cell>
          <cell r="G1193">
            <v>275</v>
          </cell>
          <cell r="H1193">
            <v>5069.0421251590687</v>
          </cell>
        </row>
        <row r="1194">
          <cell r="D1194" t="str">
            <v>Other Office Equipment</v>
          </cell>
          <cell r="F1194">
            <v>5265.8743169398904</v>
          </cell>
          <cell r="G1194">
            <v>275</v>
          </cell>
          <cell r="H1194">
            <v>5069.0421251590687</v>
          </cell>
        </row>
        <row r="1195">
          <cell r="D1195" t="str">
            <v>Other Office Equipment</v>
          </cell>
          <cell r="F1195">
            <v>5265.8743169398904</v>
          </cell>
          <cell r="G1195">
            <v>275</v>
          </cell>
          <cell r="H1195">
            <v>5069.0421251590687</v>
          </cell>
        </row>
        <row r="1196">
          <cell r="D1196" t="str">
            <v>Other Office Equipment</v>
          </cell>
          <cell r="F1196">
            <v>5265.8743169398904</v>
          </cell>
          <cell r="G1196">
            <v>275</v>
          </cell>
          <cell r="H1196">
            <v>5069.0421251590687</v>
          </cell>
        </row>
        <row r="1197">
          <cell r="D1197" t="str">
            <v>Other Office Equipment</v>
          </cell>
          <cell r="F1197">
            <v>5265.8743169398904</v>
          </cell>
          <cell r="G1197">
            <v>275</v>
          </cell>
          <cell r="H1197">
            <v>5069.0421251590687</v>
          </cell>
        </row>
        <row r="1198">
          <cell r="D1198" t="str">
            <v>Other Office Equipment</v>
          </cell>
          <cell r="F1198">
            <v>5283.0054644808743</v>
          </cell>
          <cell r="G1198">
            <v>275</v>
          </cell>
          <cell r="H1198">
            <v>5086.1732727000526</v>
          </cell>
        </row>
        <row r="1199">
          <cell r="D1199" t="str">
            <v>Other Office Equipment</v>
          </cell>
          <cell r="F1199">
            <v>5303.7056010928964</v>
          </cell>
          <cell r="G1199">
            <v>275</v>
          </cell>
          <cell r="H1199">
            <v>5106.8734093120747</v>
          </cell>
        </row>
        <row r="1200">
          <cell r="D1200" t="str">
            <v>Other Office Equipment</v>
          </cell>
          <cell r="F1200">
            <v>5496.4310109289618</v>
          </cell>
          <cell r="G1200">
            <v>275</v>
          </cell>
          <cell r="H1200">
            <v>5299.5988191481401</v>
          </cell>
        </row>
        <row r="1201">
          <cell r="D1201" t="str">
            <v>Other Office Equipment</v>
          </cell>
          <cell r="F1201">
            <v>6003.2535860655735</v>
          </cell>
          <cell r="G1201">
            <v>275</v>
          </cell>
          <cell r="H1201">
            <v>5785.843483325847</v>
          </cell>
        </row>
        <row r="1202">
          <cell r="D1202" t="str">
            <v>Other Office Equipment</v>
          </cell>
          <cell r="F1202">
            <v>5893.59375</v>
          </cell>
          <cell r="G1202">
            <v>275</v>
          </cell>
          <cell r="H1202">
            <v>5672.1575342465758</v>
          </cell>
        </row>
        <row r="1203">
          <cell r="D1203" t="str">
            <v>Other Office Equipment</v>
          </cell>
          <cell r="F1203">
            <v>5893.59375</v>
          </cell>
          <cell r="G1203">
            <v>275</v>
          </cell>
          <cell r="H1203">
            <v>5672.1575342465758</v>
          </cell>
        </row>
        <row r="1204">
          <cell r="D1204" t="str">
            <v>Other Office Equipment</v>
          </cell>
          <cell r="F1204">
            <v>5893.59375</v>
          </cell>
          <cell r="G1204">
            <v>275</v>
          </cell>
          <cell r="H1204">
            <v>5672.1575342465758</v>
          </cell>
        </row>
        <row r="1205">
          <cell r="D1205" t="str">
            <v>Other Office Equipment</v>
          </cell>
          <cell r="F1205">
            <v>5893.59375</v>
          </cell>
          <cell r="G1205">
            <v>275</v>
          </cell>
          <cell r="H1205">
            <v>5672.1575342465758</v>
          </cell>
        </row>
        <row r="1206">
          <cell r="D1206" t="str">
            <v>Other Office Equipment</v>
          </cell>
          <cell r="F1206">
            <v>5893.59375</v>
          </cell>
          <cell r="G1206">
            <v>275</v>
          </cell>
          <cell r="H1206">
            <v>5672.1575342465758</v>
          </cell>
        </row>
        <row r="1207">
          <cell r="D1207" t="str">
            <v>Other Office Equipment</v>
          </cell>
          <cell r="F1207">
            <v>5893.59375</v>
          </cell>
          <cell r="G1207">
            <v>275</v>
          </cell>
          <cell r="H1207">
            <v>5672.1575342465758</v>
          </cell>
        </row>
        <row r="1208">
          <cell r="D1208" t="str">
            <v>Other Office Equipment</v>
          </cell>
          <cell r="F1208">
            <v>6105.5672131147539</v>
          </cell>
          <cell r="G1208">
            <v>275</v>
          </cell>
          <cell r="H1208">
            <v>5882.2521446216033</v>
          </cell>
        </row>
        <row r="1209">
          <cell r="D1209" t="str">
            <v>Other Office Equipment</v>
          </cell>
          <cell r="F1209">
            <v>6188.2229698087431</v>
          </cell>
          <cell r="G1209">
            <v>275</v>
          </cell>
          <cell r="H1209">
            <v>5964.1141307676471</v>
          </cell>
        </row>
        <row r="1210">
          <cell r="D1210" t="str">
            <v>Other Office Equipment</v>
          </cell>
          <cell r="F1210">
            <v>6203.362038934426</v>
          </cell>
          <cell r="G1210">
            <v>275</v>
          </cell>
          <cell r="H1210">
            <v>5978.7049327700424</v>
          </cell>
        </row>
        <row r="1211">
          <cell r="D1211" t="str">
            <v>Other Office Equipment</v>
          </cell>
          <cell r="F1211">
            <v>6162.6393442622948</v>
          </cell>
          <cell r="G1211">
            <v>275</v>
          </cell>
          <cell r="H1211">
            <v>5937.1770154951719</v>
          </cell>
        </row>
        <row r="1212">
          <cell r="D1212" t="str">
            <v>Other Office Equipment</v>
          </cell>
          <cell r="F1212">
            <v>6116.7650273224044</v>
          </cell>
          <cell r="G1212">
            <v>275</v>
          </cell>
          <cell r="H1212">
            <v>5887.7239314319932</v>
          </cell>
        </row>
        <row r="1213">
          <cell r="D1213" t="str">
            <v>Other Office Equipment</v>
          </cell>
          <cell r="F1213">
            <v>6391.6939890710382</v>
          </cell>
          <cell r="G1213">
            <v>275</v>
          </cell>
          <cell r="H1213">
            <v>6162.652893180627</v>
          </cell>
        </row>
        <row r="1214">
          <cell r="D1214" t="str">
            <v>Other Office Equipment</v>
          </cell>
          <cell r="F1214">
            <v>6229.4433060109286</v>
          </cell>
          <cell r="G1214">
            <v>275</v>
          </cell>
          <cell r="H1214">
            <v>5998.2549498465451</v>
          </cell>
        </row>
        <row r="1215">
          <cell r="D1215" t="str">
            <v>Other Office Equipment</v>
          </cell>
          <cell r="F1215">
            <v>6327.9098360655735</v>
          </cell>
          <cell r="G1215">
            <v>275</v>
          </cell>
          <cell r="H1215">
            <v>6095.2899730518748</v>
          </cell>
        </row>
        <row r="1216">
          <cell r="D1216" t="str">
            <v>Other Office Equipment</v>
          </cell>
          <cell r="F1216">
            <v>6423.234289617486</v>
          </cell>
          <cell r="G1216">
            <v>275</v>
          </cell>
          <cell r="H1216">
            <v>6190.6144266037873</v>
          </cell>
        </row>
        <row r="1217">
          <cell r="D1217" t="str">
            <v>Other Office Equipment</v>
          </cell>
          <cell r="F1217">
            <v>6321.5963114754095</v>
          </cell>
          <cell r="G1217">
            <v>275</v>
          </cell>
          <cell r="H1217">
            <v>6086.0687001740398</v>
          </cell>
        </row>
        <row r="1218">
          <cell r="D1218" t="str">
            <v>Other Office Equipment</v>
          </cell>
          <cell r="F1218">
            <v>6321.5963114754095</v>
          </cell>
          <cell r="G1218">
            <v>275</v>
          </cell>
          <cell r="H1218">
            <v>6086.0687001740398</v>
          </cell>
        </row>
        <row r="1219">
          <cell r="D1219" t="str">
            <v>Other Office Equipment</v>
          </cell>
          <cell r="F1219">
            <v>6321.5963114754095</v>
          </cell>
          <cell r="G1219">
            <v>275</v>
          </cell>
          <cell r="H1219">
            <v>6086.0687001740398</v>
          </cell>
        </row>
        <row r="1220">
          <cell r="D1220" t="str">
            <v>Other Office Equipment</v>
          </cell>
          <cell r="F1220">
            <v>6321.5963114754095</v>
          </cell>
          <cell r="G1220">
            <v>275</v>
          </cell>
          <cell r="H1220">
            <v>6086.0687001740398</v>
          </cell>
        </row>
        <row r="1221">
          <cell r="D1221" t="str">
            <v>Other Office Equipment</v>
          </cell>
          <cell r="F1221">
            <v>6369.4109289617491</v>
          </cell>
          <cell r="G1221">
            <v>275</v>
          </cell>
          <cell r="H1221">
            <v>6131.7807919754478</v>
          </cell>
        </row>
        <row r="1222">
          <cell r="D1222" t="str">
            <v>Other Office Equipment</v>
          </cell>
          <cell r="F1222">
            <v>6369.4109289617491</v>
          </cell>
          <cell r="G1222">
            <v>275</v>
          </cell>
          <cell r="H1222">
            <v>6131.7807919754478</v>
          </cell>
        </row>
        <row r="1223">
          <cell r="D1223" t="str">
            <v>Other Office Equipment</v>
          </cell>
          <cell r="F1223">
            <v>6575.6662351775958</v>
          </cell>
          <cell r="G1223">
            <v>275</v>
          </cell>
          <cell r="H1223">
            <v>6335.8884800406095</v>
          </cell>
        </row>
        <row r="1224">
          <cell r="D1224" t="str">
            <v>Other Office Equipment</v>
          </cell>
          <cell r="F1224">
            <v>6741.5762295081968</v>
          </cell>
          <cell r="G1224">
            <v>275</v>
          </cell>
          <cell r="H1224">
            <v>6499.65157197395</v>
          </cell>
        </row>
        <row r="1225">
          <cell r="D1225" t="str">
            <v>Other Office Equipment</v>
          </cell>
          <cell r="F1225">
            <v>6741.5762295081968</v>
          </cell>
          <cell r="G1225">
            <v>275</v>
          </cell>
          <cell r="H1225">
            <v>6499.65157197395</v>
          </cell>
        </row>
        <row r="1226">
          <cell r="D1226" t="str">
            <v>Other Office Equipment</v>
          </cell>
          <cell r="F1226">
            <v>6882.9756803961745</v>
          </cell>
          <cell r="G1226">
            <v>275</v>
          </cell>
          <cell r="H1226">
            <v>6636.041106766038</v>
          </cell>
        </row>
        <row r="1227">
          <cell r="D1227" t="str">
            <v>Other Office Equipment</v>
          </cell>
          <cell r="F1227">
            <v>6882.995631079235</v>
          </cell>
          <cell r="G1227">
            <v>275</v>
          </cell>
          <cell r="H1227">
            <v>6636.0603416956728</v>
          </cell>
        </row>
        <row r="1228">
          <cell r="D1228" t="str">
            <v>Other Office Equipment</v>
          </cell>
          <cell r="F1228">
            <v>6935.5696721311479</v>
          </cell>
          <cell r="G1228">
            <v>275</v>
          </cell>
          <cell r="H1228">
            <v>6685.4138502133392</v>
          </cell>
        </row>
        <row r="1229">
          <cell r="D1229" t="str">
            <v>Other Office Equipment</v>
          </cell>
          <cell r="F1229">
            <v>6917.329234972678</v>
          </cell>
          <cell r="G1229">
            <v>275</v>
          </cell>
          <cell r="H1229">
            <v>6666.8155363425412</v>
          </cell>
        </row>
        <row r="1230">
          <cell r="D1230" t="str">
            <v>Other Office Equipment</v>
          </cell>
          <cell r="F1230">
            <v>6980.9221311475412</v>
          </cell>
          <cell r="G1230">
            <v>275</v>
          </cell>
          <cell r="H1230">
            <v>6730.4084325174044</v>
          </cell>
        </row>
        <row r="1231">
          <cell r="D1231" t="str">
            <v>Other Office Equipment</v>
          </cell>
          <cell r="F1231">
            <v>6869.9369535519127</v>
          </cell>
          <cell r="G1231">
            <v>275</v>
          </cell>
          <cell r="H1231">
            <v>6612.6235973875291</v>
          </cell>
        </row>
        <row r="1232">
          <cell r="D1232" t="str">
            <v>Other Office Equipment</v>
          </cell>
          <cell r="F1232">
            <v>7158.2736338797813</v>
          </cell>
          <cell r="G1232">
            <v>275</v>
          </cell>
          <cell r="H1232">
            <v>6900.9602777153978</v>
          </cell>
        </row>
        <row r="1233">
          <cell r="D1233" t="str">
            <v>Other Office Equipment</v>
          </cell>
          <cell r="F1233">
            <v>7013.563934426229</v>
          </cell>
          <cell r="G1233">
            <v>275</v>
          </cell>
          <cell r="H1233">
            <v>6753.0296878508861</v>
          </cell>
        </row>
        <row r="1234">
          <cell r="D1234" t="str">
            <v>Other Office Equipment</v>
          </cell>
          <cell r="F1234">
            <v>7126.625</v>
          </cell>
          <cell r="G1234">
            <v>275</v>
          </cell>
          <cell r="H1234">
            <v>6865.375</v>
          </cell>
        </row>
        <row r="1235">
          <cell r="D1235" t="str">
            <v>Other Office Equipment</v>
          </cell>
          <cell r="F1235">
            <v>7028.7410348360654</v>
          </cell>
          <cell r="G1235">
            <v>275</v>
          </cell>
          <cell r="H1235">
            <v>6767.0436889456541</v>
          </cell>
        </row>
        <row r="1236">
          <cell r="D1236" t="str">
            <v>Other Office Equipment</v>
          </cell>
          <cell r="F1236">
            <v>7082.8082735655735</v>
          </cell>
          <cell r="G1236">
            <v>275</v>
          </cell>
          <cell r="H1236">
            <v>6819.0978711683128</v>
          </cell>
        </row>
        <row r="1237">
          <cell r="D1237" t="str">
            <v>Other Office Equipment</v>
          </cell>
          <cell r="F1237">
            <v>7082.8082735655735</v>
          </cell>
          <cell r="G1237">
            <v>275</v>
          </cell>
          <cell r="H1237">
            <v>6819.0978711683128</v>
          </cell>
        </row>
        <row r="1238">
          <cell r="D1238" t="str">
            <v>Other Office Equipment</v>
          </cell>
          <cell r="F1238">
            <v>14267.75</v>
          </cell>
          <cell r="G1238">
            <v>275</v>
          </cell>
          <cell r="H1238">
            <v>13730.93493150685</v>
          </cell>
        </row>
        <row r="1239">
          <cell r="D1239" t="str">
            <v>Other Office Equipment</v>
          </cell>
          <cell r="F1239">
            <v>7370.5430327868853</v>
          </cell>
          <cell r="G1239">
            <v>275</v>
          </cell>
          <cell r="H1239">
            <v>7102.1354985403104</v>
          </cell>
        </row>
        <row r="1240">
          <cell r="D1240" t="str">
            <v>Other Office Equipment</v>
          </cell>
          <cell r="F1240">
            <v>7411.4241803278692</v>
          </cell>
          <cell r="G1240">
            <v>275</v>
          </cell>
          <cell r="H1240">
            <v>7143.0166460812943</v>
          </cell>
        </row>
        <row r="1241">
          <cell r="D1241" t="str">
            <v>Other Office Equipment</v>
          </cell>
          <cell r="F1241">
            <v>7450.3586065573772</v>
          </cell>
          <cell r="G1241">
            <v>275</v>
          </cell>
          <cell r="H1241">
            <v>7181.9510723108015</v>
          </cell>
        </row>
        <row r="1242">
          <cell r="D1242" t="str">
            <v>Other Office Equipment</v>
          </cell>
          <cell r="F1242">
            <v>7328.766473702186</v>
          </cell>
          <cell r="G1242">
            <v>275</v>
          </cell>
          <cell r="H1242">
            <v>7056.7798144556109</v>
          </cell>
        </row>
        <row r="1243">
          <cell r="D1243" t="str">
            <v>Other Office Equipment</v>
          </cell>
          <cell r="F1243">
            <v>7609.0621584699456</v>
          </cell>
          <cell r="G1243">
            <v>275</v>
          </cell>
          <cell r="H1243">
            <v>7333.497089976795</v>
          </cell>
        </row>
        <row r="1244">
          <cell r="D1244" t="str">
            <v>Other Office Equipment</v>
          </cell>
          <cell r="F1244">
            <v>7640.0409836065573</v>
          </cell>
          <cell r="G1244">
            <v>275</v>
          </cell>
          <cell r="H1244">
            <v>7364.4759151134067</v>
          </cell>
        </row>
        <row r="1245">
          <cell r="D1245" t="str">
            <v>Other Office Equipment</v>
          </cell>
          <cell r="F1245">
            <v>7668.353551912568</v>
          </cell>
          <cell r="G1245">
            <v>275</v>
          </cell>
          <cell r="H1245">
            <v>7390.6412231454451</v>
          </cell>
        </row>
        <row r="1246">
          <cell r="D1246" t="str">
            <v>Other Office Equipment</v>
          </cell>
          <cell r="F1246">
            <v>7660.4918032786882</v>
          </cell>
          <cell r="G1246">
            <v>275</v>
          </cell>
          <cell r="H1246">
            <v>7374.1904334156743</v>
          </cell>
        </row>
        <row r="1247">
          <cell r="D1247" t="str">
            <v>Other Office Equipment</v>
          </cell>
          <cell r="F1247">
            <v>7967.4713114754095</v>
          </cell>
          <cell r="G1247">
            <v>275</v>
          </cell>
          <cell r="H1247">
            <v>7680.0963114754095</v>
          </cell>
        </row>
        <row r="1248">
          <cell r="F1248">
            <v>8006.5568967213121</v>
          </cell>
          <cell r="G1248">
            <v>275</v>
          </cell>
          <cell r="H1248">
            <v>7717.6587734336408</v>
          </cell>
        </row>
        <row r="1249">
          <cell r="D1249" t="str">
            <v>Other Office Equipment</v>
          </cell>
          <cell r="F1249">
            <v>7940.2131147540986</v>
          </cell>
          <cell r="G1249">
            <v>275</v>
          </cell>
          <cell r="H1249">
            <v>7650.3329777677973</v>
          </cell>
        </row>
        <row r="1250">
          <cell r="D1250" t="str">
            <v>Other Office Equipment</v>
          </cell>
          <cell r="F1250">
            <v>8186.1653005464477</v>
          </cell>
          <cell r="G1250">
            <v>275</v>
          </cell>
          <cell r="H1250">
            <v>7892.706396436859</v>
          </cell>
        </row>
        <row r="1251">
          <cell r="D1251" t="str">
            <v>Other Office Equipment</v>
          </cell>
          <cell r="F1251">
            <v>8269.1018032786887</v>
          </cell>
          <cell r="G1251">
            <v>275</v>
          </cell>
          <cell r="H1251">
            <v>7972.7083101280041</v>
          </cell>
        </row>
        <row r="1252">
          <cell r="D1252" t="str">
            <v>Other Office Equipment</v>
          </cell>
          <cell r="F1252">
            <v>8300.7950819672133</v>
          </cell>
          <cell r="G1252">
            <v>275</v>
          </cell>
          <cell r="H1252">
            <v>8000.1786436110488</v>
          </cell>
        </row>
        <row r="1253">
          <cell r="D1253" t="str">
            <v>Other Office Equipment</v>
          </cell>
          <cell r="F1253">
            <v>8300.7950819672133</v>
          </cell>
          <cell r="G1253">
            <v>275</v>
          </cell>
          <cell r="H1253">
            <v>8000.1786436110488</v>
          </cell>
        </row>
        <row r="1254">
          <cell r="D1254" t="str">
            <v>Other Office Equipment</v>
          </cell>
          <cell r="F1254">
            <v>8140.5240095628415</v>
          </cell>
          <cell r="G1254">
            <v>275</v>
          </cell>
          <cell r="H1254">
            <v>7838.6550027135263</v>
          </cell>
        </row>
        <row r="1255">
          <cell r="D1255" t="str">
            <v>Other Office Equipment</v>
          </cell>
          <cell r="F1255">
            <v>8381.3360655737706</v>
          </cell>
          <cell r="G1255">
            <v>275</v>
          </cell>
          <cell r="H1255">
            <v>8075.3514765326745</v>
          </cell>
        </row>
        <row r="1256">
          <cell r="D1256" t="str">
            <v>Other Office Equipment</v>
          </cell>
          <cell r="F1256">
            <v>8653.6087773224044</v>
          </cell>
          <cell r="G1256">
            <v>275</v>
          </cell>
          <cell r="H1256">
            <v>8343.1507293771992</v>
          </cell>
        </row>
        <row r="1257">
          <cell r="D1257" t="str">
            <v>Other Office Equipment</v>
          </cell>
          <cell r="F1257">
            <v>8524.9897540983602</v>
          </cell>
          <cell r="G1257">
            <v>275</v>
          </cell>
          <cell r="H1257">
            <v>8213.6370143723325</v>
          </cell>
        </row>
        <row r="1258">
          <cell r="D1258" t="str">
            <v>Other Office Equipment</v>
          </cell>
          <cell r="F1258">
            <v>8634.5463356557375</v>
          </cell>
          <cell r="G1258">
            <v>275</v>
          </cell>
          <cell r="H1258">
            <v>8321.8429692173813</v>
          </cell>
        </row>
        <row r="1259">
          <cell r="D1259" t="str">
            <v>Other Office Equipment</v>
          </cell>
          <cell r="F1259">
            <v>8376.4088114754104</v>
          </cell>
          <cell r="G1259">
            <v>275</v>
          </cell>
          <cell r="H1259">
            <v>8062.3719964069169</v>
          </cell>
        </row>
        <row r="1260">
          <cell r="D1260" t="str">
            <v>Other Office Equipment</v>
          </cell>
          <cell r="F1260">
            <v>8693.0040983606559</v>
          </cell>
          <cell r="G1260">
            <v>275</v>
          </cell>
          <cell r="H1260">
            <v>8378.9672832921624</v>
          </cell>
        </row>
        <row r="1261">
          <cell r="D1261" t="str">
            <v>Other Office Equipment</v>
          </cell>
          <cell r="F1261">
            <v>8693.0040983606559</v>
          </cell>
          <cell r="G1261">
            <v>275</v>
          </cell>
          <cell r="H1261">
            <v>8378.9672832921624</v>
          </cell>
        </row>
        <row r="1262">
          <cell r="D1262" t="str">
            <v>Other Office Equipment</v>
          </cell>
          <cell r="F1262">
            <v>8965.498565573771</v>
          </cell>
          <cell r="G1262">
            <v>275</v>
          </cell>
          <cell r="H1262">
            <v>8643.7674011902091</v>
          </cell>
        </row>
        <row r="1263">
          <cell r="D1263" t="str">
            <v>Other Office Equipment</v>
          </cell>
          <cell r="F1263">
            <v>9050.3833285519122</v>
          </cell>
          <cell r="G1263">
            <v>275</v>
          </cell>
          <cell r="H1263">
            <v>8726.280873072461</v>
          </cell>
        </row>
        <row r="1264">
          <cell r="D1264" t="str">
            <v>Other Office Equipment</v>
          </cell>
          <cell r="F1264">
            <v>8910.2254098360663</v>
          </cell>
          <cell r="G1264">
            <v>275</v>
          </cell>
          <cell r="H1264">
            <v>8579.5473276442863</v>
          </cell>
        </row>
        <row r="1265">
          <cell r="D1265" t="str">
            <v>Other Office Equipment</v>
          </cell>
          <cell r="F1265">
            <v>8910.2254098360663</v>
          </cell>
          <cell r="G1265">
            <v>275</v>
          </cell>
          <cell r="H1265">
            <v>8579.5473276442863</v>
          </cell>
        </row>
        <row r="1266">
          <cell r="D1266" t="str">
            <v>Other Office Equipment</v>
          </cell>
          <cell r="F1266">
            <v>8910.2254098360663</v>
          </cell>
          <cell r="G1266">
            <v>275</v>
          </cell>
          <cell r="H1266">
            <v>8579.5473276442863</v>
          </cell>
        </row>
        <row r="1267">
          <cell r="D1267" t="str">
            <v>Other Office Equipment</v>
          </cell>
          <cell r="F1267">
            <v>9177.9713114754104</v>
          </cell>
          <cell r="G1267">
            <v>275</v>
          </cell>
          <cell r="H1267">
            <v>8846.9353525713013</v>
          </cell>
        </row>
        <row r="1268">
          <cell r="D1268" t="str">
            <v>Other Office Equipment</v>
          </cell>
          <cell r="F1268">
            <v>9500.0913203551918</v>
          </cell>
          <cell r="G1268">
            <v>275</v>
          </cell>
          <cell r="H1268">
            <v>9159.8844128209457</v>
          </cell>
        </row>
        <row r="1269">
          <cell r="D1269" t="str">
            <v>Other Office Equipment</v>
          </cell>
          <cell r="F1269">
            <v>9500.0913203551918</v>
          </cell>
          <cell r="G1269">
            <v>275</v>
          </cell>
          <cell r="H1269">
            <v>9159.8844128209457</v>
          </cell>
        </row>
        <row r="1270">
          <cell r="D1270" t="str">
            <v>Other Office Equipment</v>
          </cell>
          <cell r="F1270">
            <v>9500.0913203551918</v>
          </cell>
          <cell r="G1270">
            <v>275</v>
          </cell>
          <cell r="H1270">
            <v>9159.8844128209457</v>
          </cell>
        </row>
        <row r="1271">
          <cell r="D1271" t="str">
            <v>Other Office Equipment</v>
          </cell>
          <cell r="F1271">
            <v>9500.0913203551918</v>
          </cell>
          <cell r="G1271">
            <v>275</v>
          </cell>
          <cell r="H1271">
            <v>9159.8844128209457</v>
          </cell>
        </row>
        <row r="1272">
          <cell r="D1272" t="str">
            <v>Other Office Equipment</v>
          </cell>
          <cell r="F1272">
            <v>9500.0913203551918</v>
          </cell>
          <cell r="G1272">
            <v>275</v>
          </cell>
          <cell r="H1272">
            <v>9159.8844128209457</v>
          </cell>
        </row>
        <row r="1273">
          <cell r="D1273" t="str">
            <v>Other Office Equipment</v>
          </cell>
          <cell r="F1273">
            <v>9500.0913203551918</v>
          </cell>
          <cell r="G1273">
            <v>275</v>
          </cell>
          <cell r="H1273">
            <v>9159.8844128209457</v>
          </cell>
        </row>
        <row r="1274">
          <cell r="D1274" t="str">
            <v>Other Office Equipment</v>
          </cell>
          <cell r="F1274">
            <v>9322.59375</v>
          </cell>
          <cell r="G1274">
            <v>275</v>
          </cell>
          <cell r="H1274">
            <v>8972.32191780822</v>
          </cell>
        </row>
        <row r="1275">
          <cell r="D1275" t="str">
            <v>Other Office Equipment</v>
          </cell>
          <cell r="F1275">
            <v>9322.59375</v>
          </cell>
          <cell r="G1275">
            <v>275</v>
          </cell>
          <cell r="H1275">
            <v>8972.32191780822</v>
          </cell>
        </row>
        <row r="1276">
          <cell r="D1276" t="str">
            <v>Other Office Equipment</v>
          </cell>
          <cell r="F1276">
            <v>9322.59375</v>
          </cell>
          <cell r="G1276">
            <v>275</v>
          </cell>
          <cell r="H1276">
            <v>8972.32191780822</v>
          </cell>
        </row>
        <row r="1277">
          <cell r="D1277" t="str">
            <v>Other Office Equipment</v>
          </cell>
          <cell r="F1277">
            <v>9322.59375</v>
          </cell>
          <cell r="G1277">
            <v>275</v>
          </cell>
          <cell r="H1277">
            <v>8972.32191780822</v>
          </cell>
        </row>
        <row r="1278">
          <cell r="D1278" t="str">
            <v>Other Office Equipment</v>
          </cell>
          <cell r="F1278">
            <v>9322.59375</v>
          </cell>
          <cell r="G1278">
            <v>275</v>
          </cell>
          <cell r="H1278">
            <v>8972.32191780822</v>
          </cell>
        </row>
        <row r="1279">
          <cell r="D1279" t="str">
            <v>Other Office Equipment</v>
          </cell>
          <cell r="F1279">
            <v>9322.59375</v>
          </cell>
          <cell r="G1279">
            <v>275</v>
          </cell>
          <cell r="H1279">
            <v>8972.32191780822</v>
          </cell>
        </row>
        <row r="1280">
          <cell r="D1280" t="str">
            <v>Other Office Equipment</v>
          </cell>
          <cell r="F1280">
            <v>9322.59375</v>
          </cell>
          <cell r="G1280">
            <v>275</v>
          </cell>
          <cell r="H1280">
            <v>8972.32191780822</v>
          </cell>
        </row>
        <row r="1281">
          <cell r="D1281" t="str">
            <v>Other Office Equipment</v>
          </cell>
          <cell r="F1281">
            <v>9322.59375</v>
          </cell>
          <cell r="G1281">
            <v>275</v>
          </cell>
          <cell r="H1281">
            <v>8972.32191780822</v>
          </cell>
        </row>
        <row r="1282">
          <cell r="D1282" t="str">
            <v>Other Office Equipment</v>
          </cell>
          <cell r="F1282">
            <v>9322.59375</v>
          </cell>
          <cell r="G1282">
            <v>275</v>
          </cell>
          <cell r="H1282">
            <v>8972.32191780822</v>
          </cell>
        </row>
        <row r="1283">
          <cell r="D1283" t="str">
            <v>Other Office Equipment</v>
          </cell>
          <cell r="F1283">
            <v>9322.59375</v>
          </cell>
          <cell r="G1283">
            <v>275</v>
          </cell>
          <cell r="H1283">
            <v>8972.32191780822</v>
          </cell>
        </row>
        <row r="1284">
          <cell r="D1284" t="str">
            <v>Other Office Equipment</v>
          </cell>
          <cell r="F1284">
            <v>9322.59375</v>
          </cell>
          <cell r="G1284">
            <v>275</v>
          </cell>
          <cell r="H1284">
            <v>8972.32191780822</v>
          </cell>
        </row>
        <row r="1285">
          <cell r="D1285" t="str">
            <v>Other Office Equipment</v>
          </cell>
          <cell r="F1285">
            <v>9322.59375</v>
          </cell>
          <cell r="G1285">
            <v>275</v>
          </cell>
          <cell r="H1285">
            <v>8972.32191780822</v>
          </cell>
        </row>
        <row r="1286">
          <cell r="D1286" t="str">
            <v>Other Office Equipment</v>
          </cell>
          <cell r="F1286">
            <v>9322.59375</v>
          </cell>
          <cell r="G1286">
            <v>275</v>
          </cell>
          <cell r="H1286">
            <v>8972.32191780822</v>
          </cell>
        </row>
        <row r="1287">
          <cell r="D1287" t="str">
            <v>Other Office Equipment</v>
          </cell>
          <cell r="F1287">
            <v>9322.59375</v>
          </cell>
          <cell r="G1287">
            <v>275</v>
          </cell>
          <cell r="H1287">
            <v>8972.32191780822</v>
          </cell>
        </row>
        <row r="1288">
          <cell r="D1288" t="str">
            <v>Other Office Equipment</v>
          </cell>
          <cell r="F1288">
            <v>9322.59375</v>
          </cell>
          <cell r="G1288">
            <v>275</v>
          </cell>
          <cell r="H1288">
            <v>8972.32191780822</v>
          </cell>
        </row>
        <row r="1289">
          <cell r="D1289" t="str">
            <v>Other Office Equipment</v>
          </cell>
          <cell r="F1289">
            <v>9322.59375</v>
          </cell>
          <cell r="G1289">
            <v>275</v>
          </cell>
          <cell r="H1289">
            <v>8972.32191780822</v>
          </cell>
        </row>
        <row r="1290">
          <cell r="D1290" t="str">
            <v>Other Office Equipment</v>
          </cell>
          <cell r="F1290">
            <v>9990.9153005464486</v>
          </cell>
          <cell r="G1290">
            <v>275</v>
          </cell>
          <cell r="H1290">
            <v>9633.0385882176815</v>
          </cell>
        </row>
        <row r="1291">
          <cell r="D1291" t="str">
            <v>Other Office Equipment</v>
          </cell>
          <cell r="F1291">
            <v>9990.9153005464486</v>
          </cell>
          <cell r="G1291">
            <v>275</v>
          </cell>
          <cell r="H1291">
            <v>9633.0385882176815</v>
          </cell>
        </row>
        <row r="1292">
          <cell r="D1292" t="str">
            <v>Other Office Equipment</v>
          </cell>
          <cell r="F1292">
            <v>9990.9153005464486</v>
          </cell>
          <cell r="G1292">
            <v>275</v>
          </cell>
          <cell r="H1292">
            <v>9633.0385882176815</v>
          </cell>
        </row>
        <row r="1293">
          <cell r="D1293" t="str">
            <v>Other Office Equipment</v>
          </cell>
          <cell r="F1293">
            <v>10005.442407240438</v>
          </cell>
          <cell r="G1293">
            <v>275</v>
          </cell>
          <cell r="H1293">
            <v>9643.0915202541364</v>
          </cell>
        </row>
        <row r="1294">
          <cell r="D1294" t="str">
            <v>Other Office Equipment</v>
          </cell>
          <cell r="F1294">
            <v>10085.676024590164</v>
          </cell>
          <cell r="G1294">
            <v>275</v>
          </cell>
          <cell r="H1294">
            <v>9717.4208876038629</v>
          </cell>
        </row>
        <row r="1295">
          <cell r="D1295" t="str">
            <v>Other Office Equipment</v>
          </cell>
          <cell r="F1295">
            <v>10464.133265027322</v>
          </cell>
          <cell r="G1295">
            <v>275</v>
          </cell>
          <cell r="H1295">
            <v>10088.720593794445</v>
          </cell>
        </row>
        <row r="1296">
          <cell r="D1296" t="str">
            <v>Other Office Equipment</v>
          </cell>
          <cell r="F1296">
            <v>10221.687158469946</v>
          </cell>
          <cell r="G1296">
            <v>275</v>
          </cell>
          <cell r="H1296">
            <v>9842.3378434014521</v>
          </cell>
        </row>
        <row r="1297">
          <cell r="D1297" t="str">
            <v>Other Office Equipment</v>
          </cell>
          <cell r="F1297">
            <v>10221.687158469946</v>
          </cell>
          <cell r="G1297">
            <v>275</v>
          </cell>
          <cell r="H1297">
            <v>9842.3378434014521</v>
          </cell>
        </row>
        <row r="1298">
          <cell r="D1298" t="str">
            <v>Other Office Equipment</v>
          </cell>
          <cell r="F1298">
            <v>10368.88524590164</v>
          </cell>
          <cell r="G1298">
            <v>275</v>
          </cell>
          <cell r="H1298">
            <v>9989.5359308331463</v>
          </cell>
        </row>
        <row r="1299">
          <cell r="D1299" t="str">
            <v>Other Office Equipment</v>
          </cell>
          <cell r="F1299">
            <v>10798.119672131148</v>
          </cell>
          <cell r="G1299">
            <v>275</v>
          </cell>
          <cell r="H1299">
            <v>10407.318302268135</v>
          </cell>
        </row>
        <row r="1300">
          <cell r="D1300" t="str">
            <v>Other Office Equipment</v>
          </cell>
          <cell r="F1300">
            <v>10798.119672131148</v>
          </cell>
          <cell r="G1300">
            <v>275</v>
          </cell>
          <cell r="H1300">
            <v>10407.318302268135</v>
          </cell>
        </row>
        <row r="1301">
          <cell r="D1301" t="str">
            <v>Other Office Equipment</v>
          </cell>
          <cell r="F1301">
            <v>10798.119672131148</v>
          </cell>
          <cell r="G1301">
            <v>275</v>
          </cell>
          <cell r="H1301">
            <v>10407.318302268135</v>
          </cell>
        </row>
        <row r="1302">
          <cell r="D1302" t="str">
            <v>Other Office Equipment</v>
          </cell>
          <cell r="F1302">
            <v>10798.119672131148</v>
          </cell>
          <cell r="G1302">
            <v>275</v>
          </cell>
          <cell r="H1302">
            <v>10407.318302268135</v>
          </cell>
        </row>
        <row r="1303">
          <cell r="D1303" t="str">
            <v>Other Office Equipment</v>
          </cell>
          <cell r="F1303">
            <v>10798.119672131148</v>
          </cell>
          <cell r="G1303">
            <v>275</v>
          </cell>
          <cell r="H1303">
            <v>10407.318302268135</v>
          </cell>
        </row>
        <row r="1304">
          <cell r="D1304" t="str">
            <v>Other Office Equipment</v>
          </cell>
          <cell r="F1304">
            <v>10798.119672131148</v>
          </cell>
          <cell r="G1304">
            <v>275</v>
          </cell>
          <cell r="H1304">
            <v>10407.318302268135</v>
          </cell>
        </row>
        <row r="1305">
          <cell r="D1305" t="str">
            <v>Other Office Equipment</v>
          </cell>
          <cell r="F1305">
            <v>10798.119672131148</v>
          </cell>
          <cell r="G1305">
            <v>275</v>
          </cell>
          <cell r="H1305">
            <v>10407.318302268135</v>
          </cell>
        </row>
        <row r="1306">
          <cell r="D1306" t="str">
            <v>Other Office Equipment</v>
          </cell>
          <cell r="F1306">
            <v>10798.119672131148</v>
          </cell>
          <cell r="G1306">
            <v>275</v>
          </cell>
          <cell r="H1306">
            <v>10407.318302268135</v>
          </cell>
        </row>
        <row r="1307">
          <cell r="D1307" t="str">
            <v>Other Office Equipment</v>
          </cell>
          <cell r="F1307">
            <v>10798.119672131148</v>
          </cell>
          <cell r="G1307">
            <v>275</v>
          </cell>
          <cell r="H1307">
            <v>10407.318302268135</v>
          </cell>
        </row>
        <row r="1308">
          <cell r="D1308" t="str">
            <v>Other Office Equipment</v>
          </cell>
          <cell r="F1308">
            <v>10798.119672131148</v>
          </cell>
          <cell r="G1308">
            <v>275</v>
          </cell>
          <cell r="H1308">
            <v>10407.318302268135</v>
          </cell>
        </row>
        <row r="1309">
          <cell r="D1309" t="str">
            <v>Other Office Equipment</v>
          </cell>
          <cell r="F1309">
            <v>10798.119672131148</v>
          </cell>
          <cell r="G1309">
            <v>275</v>
          </cell>
          <cell r="H1309">
            <v>10407.318302268135</v>
          </cell>
        </row>
        <row r="1310">
          <cell r="D1310" t="str">
            <v>Other Office Equipment</v>
          </cell>
          <cell r="F1310">
            <v>10798.119672131148</v>
          </cell>
          <cell r="G1310">
            <v>275</v>
          </cell>
          <cell r="H1310">
            <v>10407.318302268135</v>
          </cell>
        </row>
        <row r="1311">
          <cell r="D1311" t="str">
            <v>Other Office Equipment</v>
          </cell>
          <cell r="F1311">
            <v>10798.119672131148</v>
          </cell>
          <cell r="G1311">
            <v>275</v>
          </cell>
          <cell r="H1311">
            <v>10407.318302268135</v>
          </cell>
        </row>
        <row r="1312">
          <cell r="D1312" t="str">
            <v>Other Office Equipment</v>
          </cell>
          <cell r="F1312">
            <v>10798.119672131148</v>
          </cell>
          <cell r="G1312">
            <v>275</v>
          </cell>
          <cell r="H1312">
            <v>10407.318302268135</v>
          </cell>
        </row>
        <row r="1313">
          <cell r="D1313" t="str">
            <v>Other Office Equipment</v>
          </cell>
          <cell r="F1313">
            <v>10798.119672131148</v>
          </cell>
          <cell r="G1313">
            <v>275</v>
          </cell>
          <cell r="H1313">
            <v>10407.318302268135</v>
          </cell>
        </row>
        <row r="1314">
          <cell r="D1314" t="str">
            <v>Other Office Equipment</v>
          </cell>
          <cell r="F1314">
            <v>10798.119672131148</v>
          </cell>
          <cell r="G1314">
            <v>275</v>
          </cell>
          <cell r="H1314">
            <v>10407.318302268135</v>
          </cell>
        </row>
        <row r="1315">
          <cell r="D1315" t="str">
            <v>Other Office Equipment</v>
          </cell>
          <cell r="F1315">
            <v>10798.119672131148</v>
          </cell>
          <cell r="G1315">
            <v>275</v>
          </cell>
          <cell r="H1315">
            <v>10407.318302268135</v>
          </cell>
        </row>
        <row r="1316">
          <cell r="D1316" t="str">
            <v>Other Office Equipment</v>
          </cell>
          <cell r="F1316">
            <v>10798.119672131148</v>
          </cell>
          <cell r="G1316">
            <v>275</v>
          </cell>
          <cell r="H1316">
            <v>10407.318302268135</v>
          </cell>
        </row>
        <row r="1317">
          <cell r="D1317" t="str">
            <v>Other Office Equipment</v>
          </cell>
          <cell r="F1317">
            <v>10798.119672131148</v>
          </cell>
          <cell r="G1317">
            <v>275</v>
          </cell>
          <cell r="H1317">
            <v>10407.318302268135</v>
          </cell>
        </row>
        <row r="1318">
          <cell r="D1318" t="str">
            <v>Other Office Equipment</v>
          </cell>
          <cell r="F1318">
            <v>10798.119672131148</v>
          </cell>
          <cell r="G1318">
            <v>275</v>
          </cell>
          <cell r="H1318">
            <v>10407.318302268135</v>
          </cell>
        </row>
        <row r="1319">
          <cell r="D1319" t="str">
            <v>Other Office Equipment</v>
          </cell>
          <cell r="F1319">
            <v>10798.119672131148</v>
          </cell>
          <cell r="G1319">
            <v>275</v>
          </cell>
          <cell r="H1319">
            <v>10407.318302268135</v>
          </cell>
        </row>
        <row r="1320">
          <cell r="D1320" t="str">
            <v>Other Office Equipment</v>
          </cell>
          <cell r="F1320">
            <v>10798.119672131148</v>
          </cell>
          <cell r="G1320">
            <v>275</v>
          </cell>
          <cell r="H1320">
            <v>10407.318302268135</v>
          </cell>
        </row>
        <row r="1321">
          <cell r="D1321" t="str">
            <v>Other Office Equipment</v>
          </cell>
          <cell r="F1321">
            <v>10798.119672131148</v>
          </cell>
          <cell r="G1321">
            <v>275</v>
          </cell>
          <cell r="H1321">
            <v>10407.318302268135</v>
          </cell>
        </row>
        <row r="1322">
          <cell r="D1322" t="str">
            <v>Other Office Equipment</v>
          </cell>
          <cell r="F1322">
            <v>10798.119672131148</v>
          </cell>
          <cell r="G1322">
            <v>275</v>
          </cell>
          <cell r="H1322">
            <v>10407.318302268135</v>
          </cell>
        </row>
        <row r="1323">
          <cell r="D1323" t="str">
            <v>Other Office Equipment</v>
          </cell>
          <cell r="F1323">
            <v>10798.119672131148</v>
          </cell>
          <cell r="G1323">
            <v>275</v>
          </cell>
          <cell r="H1323">
            <v>10407.318302268135</v>
          </cell>
        </row>
        <row r="1324">
          <cell r="D1324" t="str">
            <v>Other Office Equipment</v>
          </cell>
          <cell r="F1324">
            <v>10798.119672131148</v>
          </cell>
          <cell r="G1324">
            <v>275</v>
          </cell>
          <cell r="H1324">
            <v>10407.318302268135</v>
          </cell>
        </row>
        <row r="1325">
          <cell r="D1325" t="str">
            <v>Other Office Equipment</v>
          </cell>
          <cell r="F1325">
            <v>10798.119672131148</v>
          </cell>
          <cell r="G1325">
            <v>275</v>
          </cell>
          <cell r="H1325">
            <v>10407.318302268135</v>
          </cell>
        </row>
        <row r="1326">
          <cell r="D1326" t="str">
            <v>Other Office Equipment</v>
          </cell>
          <cell r="F1326">
            <v>10798.119672131148</v>
          </cell>
          <cell r="G1326">
            <v>275</v>
          </cell>
          <cell r="H1326">
            <v>10407.318302268135</v>
          </cell>
        </row>
        <row r="1327">
          <cell r="D1327" t="str">
            <v>Other Office Equipment</v>
          </cell>
          <cell r="F1327">
            <v>10798.119672131148</v>
          </cell>
          <cell r="G1327">
            <v>275</v>
          </cell>
          <cell r="H1327">
            <v>10407.318302268135</v>
          </cell>
        </row>
        <row r="1328">
          <cell r="D1328" t="str">
            <v>Other Office Equipment</v>
          </cell>
          <cell r="F1328">
            <v>10798.119672131148</v>
          </cell>
          <cell r="G1328">
            <v>275</v>
          </cell>
          <cell r="H1328">
            <v>10407.318302268135</v>
          </cell>
        </row>
        <row r="1329">
          <cell r="D1329" t="str">
            <v>Other Office Equipment</v>
          </cell>
          <cell r="F1329">
            <v>10798.119672131148</v>
          </cell>
          <cell r="G1329">
            <v>275</v>
          </cell>
          <cell r="H1329">
            <v>10407.318302268135</v>
          </cell>
        </row>
        <row r="1330">
          <cell r="D1330" t="str">
            <v>Other Office Equipment</v>
          </cell>
          <cell r="F1330">
            <v>11034.790406898906</v>
          </cell>
          <cell r="G1330">
            <v>275</v>
          </cell>
          <cell r="H1330">
            <v>10635.161292172879</v>
          </cell>
        </row>
        <row r="1331">
          <cell r="D1331" t="str">
            <v>Other Office Equipment</v>
          </cell>
          <cell r="F1331">
            <v>11034.790406898906</v>
          </cell>
          <cell r="G1331">
            <v>275</v>
          </cell>
          <cell r="H1331">
            <v>10635.161292172879</v>
          </cell>
        </row>
        <row r="1332">
          <cell r="D1332" t="str">
            <v>Other Office Equipment</v>
          </cell>
          <cell r="F1332">
            <v>11034.790406898906</v>
          </cell>
          <cell r="G1332">
            <v>275</v>
          </cell>
          <cell r="H1332">
            <v>10635.161292172879</v>
          </cell>
        </row>
        <row r="1333">
          <cell r="D1333" t="str">
            <v>Other Office Equipment</v>
          </cell>
          <cell r="F1333">
            <v>11166.711065573771</v>
          </cell>
          <cell r="G1333">
            <v>275</v>
          </cell>
          <cell r="H1333">
            <v>10752.289832697059</v>
          </cell>
        </row>
        <row r="1334">
          <cell r="D1334" t="str">
            <v>Other Office Equipment</v>
          </cell>
          <cell r="F1334">
            <v>11330.643784153006</v>
          </cell>
          <cell r="G1334">
            <v>275</v>
          </cell>
          <cell r="H1334">
            <v>10910.138647166705</v>
          </cell>
        </row>
        <row r="1335">
          <cell r="D1335" t="str">
            <v>Other Office Equipment</v>
          </cell>
          <cell r="F1335">
            <v>11672.993084016394</v>
          </cell>
          <cell r="G1335">
            <v>275</v>
          </cell>
          <cell r="H1335">
            <v>11250.251217578038</v>
          </cell>
        </row>
        <row r="1336">
          <cell r="D1336" t="str">
            <v>Other Office Equipment</v>
          </cell>
          <cell r="F1336">
            <v>11672.993084016394</v>
          </cell>
          <cell r="G1336">
            <v>275</v>
          </cell>
          <cell r="H1336">
            <v>11250.251217578038</v>
          </cell>
        </row>
        <row r="1337">
          <cell r="D1337" t="str">
            <v>Other Office Equipment</v>
          </cell>
          <cell r="F1337">
            <v>11858.27868852459</v>
          </cell>
          <cell r="G1337">
            <v>275</v>
          </cell>
          <cell r="H1337">
            <v>11428.826633730068</v>
          </cell>
        </row>
        <row r="1338">
          <cell r="D1338" t="str">
            <v>Other Office Equipment</v>
          </cell>
          <cell r="F1338">
            <v>11978.196721311475</v>
          </cell>
          <cell r="G1338">
            <v>275</v>
          </cell>
          <cell r="H1338">
            <v>11548.744666516954</v>
          </cell>
        </row>
        <row r="1339">
          <cell r="D1339" t="str">
            <v>Other Office Equipment</v>
          </cell>
          <cell r="F1339">
            <v>11978.196721311475</v>
          </cell>
          <cell r="G1339">
            <v>275</v>
          </cell>
          <cell r="H1339">
            <v>11548.744666516954</v>
          </cell>
        </row>
        <row r="1340">
          <cell r="D1340" t="str">
            <v>Other Office Equipment</v>
          </cell>
          <cell r="F1340">
            <v>11906.716131147541</v>
          </cell>
          <cell r="G1340">
            <v>275</v>
          </cell>
          <cell r="H1340">
            <v>11477.258350325623</v>
          </cell>
        </row>
        <row r="1341">
          <cell r="D1341" t="str">
            <v>Other Office Equipment</v>
          </cell>
          <cell r="F1341">
            <v>11675.175813114754</v>
          </cell>
          <cell r="G1341">
            <v>275</v>
          </cell>
          <cell r="H1341">
            <v>11244.377426128452</v>
          </cell>
        </row>
        <row r="1342">
          <cell r="D1342" t="str">
            <v>Other Office Equipment</v>
          </cell>
          <cell r="F1342">
            <v>12070.222950819672</v>
          </cell>
          <cell r="G1342">
            <v>275</v>
          </cell>
          <cell r="H1342">
            <v>11623.592813833371</v>
          </cell>
        </row>
        <row r="1343">
          <cell r="D1343" t="str">
            <v>Other Office Equipment</v>
          </cell>
          <cell r="F1343">
            <v>12070.222950819672</v>
          </cell>
          <cell r="G1343">
            <v>275</v>
          </cell>
          <cell r="H1343">
            <v>11623.592813833371</v>
          </cell>
        </row>
        <row r="1344">
          <cell r="D1344" t="str">
            <v>Other Office Equipment</v>
          </cell>
          <cell r="F1344">
            <v>12070.222950819672</v>
          </cell>
          <cell r="G1344">
            <v>275</v>
          </cell>
          <cell r="H1344">
            <v>11623.592813833371</v>
          </cell>
        </row>
        <row r="1345">
          <cell r="D1345" t="str">
            <v>Other Office Equipment</v>
          </cell>
          <cell r="F1345">
            <v>12206.950819672131</v>
          </cell>
          <cell r="G1345">
            <v>275</v>
          </cell>
          <cell r="H1345">
            <v>11748.868627891308</v>
          </cell>
        </row>
        <row r="1346">
          <cell r="D1346" t="str">
            <v>Other Office Equipment</v>
          </cell>
          <cell r="F1346">
            <v>12893.905942622951</v>
          </cell>
          <cell r="G1346">
            <v>275</v>
          </cell>
          <cell r="H1346">
            <v>12429.024093307882</v>
          </cell>
        </row>
        <row r="1347">
          <cell r="D1347" t="str">
            <v>Other Office Equipment</v>
          </cell>
          <cell r="F1347">
            <v>12787.174863387978</v>
          </cell>
          <cell r="G1347">
            <v>275</v>
          </cell>
          <cell r="H1347">
            <v>12318.356370237292</v>
          </cell>
        </row>
        <row r="1348">
          <cell r="D1348" t="str">
            <v>Other Office Equipment</v>
          </cell>
          <cell r="F1348">
            <v>13182.304913592896</v>
          </cell>
          <cell r="G1348">
            <v>275</v>
          </cell>
          <cell r="H1348">
            <v>12704.902747497006</v>
          </cell>
        </row>
        <row r="1349">
          <cell r="D1349" t="str">
            <v>Other Office Equipment</v>
          </cell>
          <cell r="F1349">
            <v>13340.563524590163</v>
          </cell>
          <cell r="G1349">
            <v>275</v>
          </cell>
          <cell r="H1349">
            <v>12857.429962946328</v>
          </cell>
        </row>
        <row r="1350">
          <cell r="D1350" t="str">
            <v>Other Office Equipment</v>
          </cell>
          <cell r="F1350">
            <v>13340.563524590163</v>
          </cell>
          <cell r="G1350">
            <v>275</v>
          </cell>
          <cell r="H1350">
            <v>12857.429962946328</v>
          </cell>
        </row>
        <row r="1351">
          <cell r="D1351" t="str">
            <v>Other Office Equipment</v>
          </cell>
          <cell r="F1351">
            <v>13781.691491803278</v>
          </cell>
          <cell r="G1351">
            <v>275</v>
          </cell>
          <cell r="H1351">
            <v>13282.582313721086</v>
          </cell>
        </row>
        <row r="1352">
          <cell r="D1352" t="str">
            <v>Other Office Equipment</v>
          </cell>
          <cell r="F1352">
            <v>14812.966461748634</v>
          </cell>
          <cell r="G1352">
            <v>275</v>
          </cell>
          <cell r="H1352">
            <v>14276.509269967812</v>
          </cell>
        </row>
        <row r="1353">
          <cell r="D1353" t="str">
            <v>Other Office Equipment</v>
          </cell>
          <cell r="F1353">
            <v>14873.274590163934</v>
          </cell>
          <cell r="G1353">
            <v>275</v>
          </cell>
          <cell r="H1353">
            <v>14336.817398383111</v>
          </cell>
        </row>
        <row r="1354">
          <cell r="D1354" t="str">
            <v>Other Office Equipment</v>
          </cell>
          <cell r="F1354">
            <v>14822.848360655738</v>
          </cell>
          <cell r="G1354">
            <v>275</v>
          </cell>
          <cell r="H1354">
            <v>14286.033292162589</v>
          </cell>
        </row>
        <row r="1355">
          <cell r="D1355" t="str">
            <v>Other Office Equipment</v>
          </cell>
          <cell r="F1355">
            <v>14822.848360655738</v>
          </cell>
          <cell r="G1355">
            <v>275</v>
          </cell>
          <cell r="H1355">
            <v>14286.033292162589</v>
          </cell>
        </row>
        <row r="1356">
          <cell r="D1356" t="str">
            <v>Other Office Equipment</v>
          </cell>
          <cell r="F1356">
            <v>14822.848360655738</v>
          </cell>
          <cell r="G1356">
            <v>275</v>
          </cell>
          <cell r="H1356">
            <v>14286.033292162589</v>
          </cell>
        </row>
        <row r="1357">
          <cell r="D1357" t="str">
            <v>Other Office Equipment</v>
          </cell>
          <cell r="F1357">
            <v>15177.654716871584</v>
          </cell>
          <cell r="G1357">
            <v>275</v>
          </cell>
          <cell r="H1357">
            <v>14634.129102145556</v>
          </cell>
        </row>
        <row r="1358">
          <cell r="D1358" t="str">
            <v>Other Office Equipment</v>
          </cell>
          <cell r="F1358">
            <v>15177.654716871584</v>
          </cell>
          <cell r="G1358">
            <v>275</v>
          </cell>
          <cell r="H1358">
            <v>14634.129102145556</v>
          </cell>
        </row>
        <row r="1359">
          <cell r="D1359" t="str">
            <v>Other Office Equipment</v>
          </cell>
          <cell r="F1359">
            <v>14733.984375</v>
          </cell>
          <cell r="G1359">
            <v>275</v>
          </cell>
          <cell r="H1359">
            <v>14180.393835616438</v>
          </cell>
        </row>
        <row r="1360">
          <cell r="D1360" t="str">
            <v>Other Office Equipment</v>
          </cell>
          <cell r="F1360">
            <v>14733.984375</v>
          </cell>
          <cell r="G1360">
            <v>275</v>
          </cell>
          <cell r="H1360">
            <v>14180.393835616438</v>
          </cell>
        </row>
        <row r="1361">
          <cell r="D1361" t="str">
            <v>Other Office Equipment</v>
          </cell>
          <cell r="F1361">
            <v>15122.092975</v>
          </cell>
          <cell r="G1361">
            <v>275</v>
          </cell>
          <cell r="H1361">
            <v>14567.742663356164</v>
          </cell>
        </row>
        <row r="1362">
          <cell r="D1362" t="str">
            <v>Other Office Equipment</v>
          </cell>
          <cell r="F1362">
            <v>15122.112499999999</v>
          </cell>
          <cell r="G1362">
            <v>275</v>
          </cell>
          <cell r="H1362">
            <v>14567.761472602739</v>
          </cell>
        </row>
        <row r="1363">
          <cell r="D1363" t="str">
            <v>Other Office Equipment</v>
          </cell>
          <cell r="F1363">
            <v>15122.112499999999</v>
          </cell>
          <cell r="G1363">
            <v>275</v>
          </cell>
          <cell r="H1363">
            <v>14567.761472602739</v>
          </cell>
        </row>
        <row r="1364">
          <cell r="D1364" t="str">
            <v>Other Office Equipment</v>
          </cell>
          <cell r="F1364">
            <v>14945.320629234973</v>
          </cell>
          <cell r="G1364">
            <v>275</v>
          </cell>
          <cell r="H1364">
            <v>14390.965307317165</v>
          </cell>
        </row>
        <row r="1365">
          <cell r="D1365" t="str">
            <v>Other Office Equipment</v>
          </cell>
          <cell r="F1365">
            <v>14945.330277527322</v>
          </cell>
          <cell r="G1365">
            <v>275</v>
          </cell>
          <cell r="H1365">
            <v>14390.974597732802</v>
          </cell>
        </row>
        <row r="1366">
          <cell r="D1366" t="str">
            <v>Other Office Equipment</v>
          </cell>
          <cell r="F1366">
            <v>14888.469945355191</v>
          </cell>
          <cell r="G1366">
            <v>275</v>
          </cell>
          <cell r="H1366">
            <v>14333.761041245602</v>
          </cell>
        </row>
        <row r="1367">
          <cell r="D1367" t="str">
            <v>Other Office Equipment</v>
          </cell>
          <cell r="F1367">
            <v>15293.989071038251</v>
          </cell>
          <cell r="G1367">
            <v>275</v>
          </cell>
          <cell r="H1367">
            <v>14721.386331312224</v>
          </cell>
        </row>
        <row r="1368">
          <cell r="D1368" t="str">
            <v>Other Office Equipment</v>
          </cell>
          <cell r="F1368">
            <v>15428.961748633879</v>
          </cell>
          <cell r="G1368">
            <v>275</v>
          </cell>
          <cell r="H1368">
            <v>14856.359008907852</v>
          </cell>
        </row>
        <row r="1369">
          <cell r="D1369" t="str">
            <v>Other Office Equipment</v>
          </cell>
          <cell r="F1369">
            <v>15466.338797814207</v>
          </cell>
          <cell r="G1369">
            <v>275</v>
          </cell>
          <cell r="H1369">
            <v>14893.73605808818</v>
          </cell>
        </row>
        <row r="1370">
          <cell r="D1370" t="str">
            <v>Other Office Equipment</v>
          </cell>
          <cell r="F1370">
            <v>15549.398907103825</v>
          </cell>
          <cell r="G1370">
            <v>275</v>
          </cell>
          <cell r="H1370">
            <v>14976.796167377797</v>
          </cell>
        </row>
        <row r="1371">
          <cell r="D1371" t="str">
            <v>Other Office Equipment</v>
          </cell>
          <cell r="F1371">
            <v>15484.849760928962</v>
          </cell>
          <cell r="G1371">
            <v>275</v>
          </cell>
          <cell r="H1371">
            <v>14910.636575997456</v>
          </cell>
        </row>
        <row r="1372">
          <cell r="D1372" t="str">
            <v>Other Office Equipment</v>
          </cell>
          <cell r="F1372">
            <v>16076.48087431694</v>
          </cell>
          <cell r="G1372">
            <v>275</v>
          </cell>
          <cell r="H1372">
            <v>15489.563066097762</v>
          </cell>
        </row>
        <row r="1373">
          <cell r="D1373" t="str">
            <v>Other Office Equipment</v>
          </cell>
          <cell r="F1373">
            <v>16552.180669398906</v>
          </cell>
          <cell r="G1373">
            <v>275</v>
          </cell>
          <cell r="H1373">
            <v>15952.73717624822</v>
          </cell>
        </row>
        <row r="1374">
          <cell r="D1374" t="str">
            <v>Other Office Equipment</v>
          </cell>
          <cell r="F1374">
            <v>16675.704405737706</v>
          </cell>
          <cell r="G1374">
            <v>275</v>
          </cell>
          <cell r="H1374">
            <v>16071.787453682911</v>
          </cell>
        </row>
        <row r="1375">
          <cell r="D1375" t="str">
            <v>Other Office Equipment</v>
          </cell>
          <cell r="F1375">
            <v>16675.704405737706</v>
          </cell>
          <cell r="G1375">
            <v>275</v>
          </cell>
          <cell r="H1375">
            <v>16071.787453682911</v>
          </cell>
        </row>
        <row r="1376">
          <cell r="D1376" t="str">
            <v>Other Office Equipment</v>
          </cell>
          <cell r="F1376">
            <v>16675.704405737706</v>
          </cell>
          <cell r="G1376">
            <v>275</v>
          </cell>
          <cell r="H1376">
            <v>16071.787453682911</v>
          </cell>
        </row>
        <row r="1377">
          <cell r="D1377" t="str">
            <v>Other Office Equipment</v>
          </cell>
          <cell r="F1377">
            <v>16675.704405737706</v>
          </cell>
          <cell r="G1377">
            <v>275</v>
          </cell>
          <cell r="H1377">
            <v>16071.787453682911</v>
          </cell>
        </row>
        <row r="1378">
          <cell r="D1378" t="str">
            <v>Other Office Equipment</v>
          </cell>
          <cell r="F1378">
            <v>16675.704405737706</v>
          </cell>
          <cell r="G1378">
            <v>275</v>
          </cell>
          <cell r="H1378">
            <v>16071.787453682911</v>
          </cell>
        </row>
        <row r="1379">
          <cell r="D1379" t="str">
            <v>Other Office Equipment</v>
          </cell>
          <cell r="F1379">
            <v>16393.271857923497</v>
          </cell>
          <cell r="G1379">
            <v>275</v>
          </cell>
          <cell r="H1379">
            <v>15784.881446964593</v>
          </cell>
        </row>
        <row r="1380">
          <cell r="D1380" t="str">
            <v>Other Office Equipment</v>
          </cell>
          <cell r="F1380">
            <v>17058.768032786884</v>
          </cell>
          <cell r="G1380">
            <v>275</v>
          </cell>
          <cell r="H1380">
            <v>16441.788580732089</v>
          </cell>
        </row>
        <row r="1381">
          <cell r="D1381" t="str">
            <v>Other Office Equipment</v>
          </cell>
          <cell r="F1381">
            <v>17131.359426229508</v>
          </cell>
          <cell r="G1381">
            <v>275</v>
          </cell>
          <cell r="H1381">
            <v>16505.433056366495</v>
          </cell>
        </row>
        <row r="1382">
          <cell r="D1382" t="str">
            <v>Other Office Equipment</v>
          </cell>
          <cell r="F1382">
            <v>17353.807377049179</v>
          </cell>
          <cell r="G1382">
            <v>275</v>
          </cell>
          <cell r="H1382">
            <v>16727.881007186166</v>
          </cell>
        </row>
        <row r="1383">
          <cell r="D1383" t="str">
            <v>Other Office Equipment</v>
          </cell>
          <cell r="F1383">
            <v>17074.622262499997</v>
          </cell>
          <cell r="G1383">
            <v>275</v>
          </cell>
          <cell r="H1383">
            <v>16448.695534760271</v>
          </cell>
        </row>
        <row r="1384">
          <cell r="D1384" t="str">
            <v>Other Office Equipment</v>
          </cell>
          <cell r="F1384">
            <v>17074.622262499997</v>
          </cell>
          <cell r="G1384">
            <v>275</v>
          </cell>
          <cell r="H1384">
            <v>16448.695534760271</v>
          </cell>
        </row>
        <row r="1385">
          <cell r="D1385" t="str">
            <v>Other Office Equipment</v>
          </cell>
          <cell r="F1385">
            <v>17074.622262499997</v>
          </cell>
          <cell r="G1385">
            <v>275</v>
          </cell>
          <cell r="H1385">
            <v>16448.695534760271</v>
          </cell>
        </row>
        <row r="1386">
          <cell r="D1386" t="str">
            <v>Other Office Equipment</v>
          </cell>
          <cell r="F1386">
            <v>17074.622262499997</v>
          </cell>
          <cell r="G1386">
            <v>275</v>
          </cell>
          <cell r="H1386">
            <v>16448.695534760271</v>
          </cell>
        </row>
        <row r="1387">
          <cell r="D1387" t="str">
            <v>Other Office Equipment</v>
          </cell>
          <cell r="F1387">
            <v>17378.196584699454</v>
          </cell>
          <cell r="G1387">
            <v>275</v>
          </cell>
          <cell r="H1387">
            <v>16751.554461411783</v>
          </cell>
        </row>
        <row r="1388">
          <cell r="D1388" t="str">
            <v>Other Office Equipment</v>
          </cell>
          <cell r="F1388">
            <v>17787.418032786885</v>
          </cell>
          <cell r="G1388">
            <v>275</v>
          </cell>
          <cell r="H1388">
            <v>17143.239950595103</v>
          </cell>
        </row>
        <row r="1389">
          <cell r="D1389" t="str">
            <v>Other Office Equipment</v>
          </cell>
          <cell r="F1389">
            <v>17787.418032786885</v>
          </cell>
          <cell r="G1389">
            <v>275</v>
          </cell>
          <cell r="H1389">
            <v>17143.239950595103</v>
          </cell>
        </row>
        <row r="1390">
          <cell r="D1390" t="str">
            <v>Other Office Equipment</v>
          </cell>
          <cell r="F1390">
            <v>18058.278688524591</v>
          </cell>
          <cell r="G1390">
            <v>275</v>
          </cell>
          <cell r="H1390">
            <v>17406.943072086236</v>
          </cell>
        </row>
        <row r="1391">
          <cell r="D1391" t="str">
            <v>Other Office Equipment</v>
          </cell>
          <cell r="F1391">
            <v>18068.071038251364</v>
          </cell>
          <cell r="G1391">
            <v>275</v>
          </cell>
          <cell r="H1391">
            <v>17409.577887566433</v>
          </cell>
        </row>
        <row r="1392">
          <cell r="D1392" t="str">
            <v>Other Office Equipment</v>
          </cell>
          <cell r="F1392">
            <v>18750.129051434429</v>
          </cell>
          <cell r="G1392">
            <v>275</v>
          </cell>
          <cell r="H1392">
            <v>18071.976659311142</v>
          </cell>
        </row>
        <row r="1393">
          <cell r="D1393" t="str">
            <v>Other Office Equipment</v>
          </cell>
          <cell r="F1393">
            <v>18750.129051434429</v>
          </cell>
          <cell r="G1393">
            <v>275</v>
          </cell>
          <cell r="H1393">
            <v>18071.976659311142</v>
          </cell>
        </row>
        <row r="1394">
          <cell r="D1394" t="str">
            <v>Other Office Equipment</v>
          </cell>
          <cell r="F1394">
            <v>18750.129051434429</v>
          </cell>
          <cell r="G1394">
            <v>275</v>
          </cell>
          <cell r="H1394">
            <v>18071.976659311142</v>
          </cell>
        </row>
        <row r="1395">
          <cell r="D1395" t="str">
            <v>Other Office Equipment</v>
          </cell>
          <cell r="F1395">
            <v>18750.129051434429</v>
          </cell>
          <cell r="G1395">
            <v>275</v>
          </cell>
          <cell r="H1395">
            <v>18071.976659311142</v>
          </cell>
        </row>
        <row r="1396">
          <cell r="D1396" t="str">
            <v>Other Office Equipment</v>
          </cell>
          <cell r="F1396">
            <v>18852.049180327867</v>
          </cell>
          <cell r="G1396">
            <v>275</v>
          </cell>
          <cell r="H1396">
            <v>18172.083426903209</v>
          </cell>
        </row>
        <row r="1397">
          <cell r="D1397" t="str">
            <v>Other Office Equipment</v>
          </cell>
          <cell r="F1397">
            <v>18951.27049180328</v>
          </cell>
          <cell r="G1397">
            <v>275</v>
          </cell>
          <cell r="H1397">
            <v>18267.725971255335</v>
          </cell>
        </row>
        <row r="1398">
          <cell r="D1398" t="str">
            <v>Other Office Equipment</v>
          </cell>
          <cell r="F1398">
            <v>18563.314480874316</v>
          </cell>
          <cell r="G1398">
            <v>275</v>
          </cell>
          <cell r="H1398">
            <v>17874.759686353769</v>
          </cell>
        </row>
        <row r="1399">
          <cell r="D1399" t="str">
            <v>Other Office Equipment</v>
          </cell>
          <cell r="F1399">
            <v>18573.302459016395</v>
          </cell>
          <cell r="G1399">
            <v>275</v>
          </cell>
          <cell r="H1399">
            <v>17884.747664495848</v>
          </cell>
        </row>
        <row r="1400">
          <cell r="D1400" t="str">
            <v>Other Office Equipment</v>
          </cell>
          <cell r="F1400">
            <v>18590.781420765026</v>
          </cell>
          <cell r="G1400">
            <v>275</v>
          </cell>
          <cell r="H1400">
            <v>17902.226626244479</v>
          </cell>
        </row>
        <row r="1401">
          <cell r="D1401" t="str">
            <v>Other Office Equipment</v>
          </cell>
          <cell r="F1401">
            <v>18590.781420765026</v>
          </cell>
          <cell r="G1401">
            <v>275</v>
          </cell>
          <cell r="H1401">
            <v>17902.226626244479</v>
          </cell>
        </row>
        <row r="1402">
          <cell r="D1402" t="str">
            <v>Other Office Equipment</v>
          </cell>
          <cell r="F1402">
            <v>18593.278415300545</v>
          </cell>
          <cell r="G1402">
            <v>275</v>
          </cell>
          <cell r="H1402">
            <v>17904.723620779998</v>
          </cell>
        </row>
        <row r="1403">
          <cell r="D1403" t="str">
            <v>Other Office Equipment</v>
          </cell>
          <cell r="F1403">
            <v>18603.266393442624</v>
          </cell>
          <cell r="G1403">
            <v>275</v>
          </cell>
          <cell r="H1403">
            <v>17914.711598922077</v>
          </cell>
        </row>
        <row r="1404">
          <cell r="D1404" t="str">
            <v>Other Office Equipment</v>
          </cell>
          <cell r="F1404">
            <v>18670.685245901641</v>
          </cell>
          <cell r="G1404">
            <v>275</v>
          </cell>
          <cell r="H1404">
            <v>17982.130451381094</v>
          </cell>
        </row>
        <row r="1405">
          <cell r="D1405" t="str">
            <v>Other Office Equipment</v>
          </cell>
          <cell r="F1405">
            <v>18770.565027322406</v>
          </cell>
          <cell r="G1405">
            <v>275</v>
          </cell>
          <cell r="H1405">
            <v>18082.010232801858</v>
          </cell>
        </row>
        <row r="1406">
          <cell r="D1406" t="str">
            <v>Other Office Equipment</v>
          </cell>
          <cell r="F1406">
            <v>18855.462841530054</v>
          </cell>
          <cell r="G1406">
            <v>275</v>
          </cell>
          <cell r="H1406">
            <v>18166.908047009507</v>
          </cell>
        </row>
        <row r="1407">
          <cell r="D1407" t="str">
            <v>Other Office Equipment</v>
          </cell>
          <cell r="F1407">
            <v>18892.917759562843</v>
          </cell>
          <cell r="G1407">
            <v>275</v>
          </cell>
          <cell r="H1407">
            <v>18204.362965042295</v>
          </cell>
        </row>
        <row r="1408">
          <cell r="D1408" t="str">
            <v>Other Office Equipment</v>
          </cell>
          <cell r="F1408">
            <v>18900.408743169399</v>
          </cell>
          <cell r="G1408">
            <v>275</v>
          </cell>
          <cell r="H1408">
            <v>18211.853948648852</v>
          </cell>
        </row>
        <row r="1409">
          <cell r="D1409" t="str">
            <v>Other Office Equipment</v>
          </cell>
          <cell r="F1409">
            <v>19012.773497267761</v>
          </cell>
          <cell r="G1409">
            <v>275</v>
          </cell>
          <cell r="H1409">
            <v>18324.218702747214</v>
          </cell>
        </row>
        <row r="1410">
          <cell r="D1410" t="str">
            <v>Other Office Equipment</v>
          </cell>
          <cell r="F1410">
            <v>19012.773497267761</v>
          </cell>
          <cell r="G1410">
            <v>275</v>
          </cell>
          <cell r="H1410">
            <v>18324.218702747214</v>
          </cell>
        </row>
        <row r="1411">
          <cell r="D1411" t="str">
            <v>Other Office Equipment</v>
          </cell>
          <cell r="F1411">
            <v>19012.773497267761</v>
          </cell>
          <cell r="G1411">
            <v>275</v>
          </cell>
          <cell r="H1411">
            <v>18324.218702747214</v>
          </cell>
        </row>
        <row r="1412">
          <cell r="D1412" t="str">
            <v>Other Office Equipment</v>
          </cell>
          <cell r="F1412">
            <v>19012.773497267761</v>
          </cell>
          <cell r="G1412">
            <v>275</v>
          </cell>
          <cell r="H1412">
            <v>18324.218702747214</v>
          </cell>
        </row>
        <row r="1413">
          <cell r="D1413" t="str">
            <v>Other Office Equipment</v>
          </cell>
          <cell r="F1413">
            <v>19012.773497267761</v>
          </cell>
          <cell r="G1413">
            <v>275</v>
          </cell>
          <cell r="H1413">
            <v>18324.218702747214</v>
          </cell>
        </row>
        <row r="1414">
          <cell r="D1414" t="str">
            <v>Other Office Equipment</v>
          </cell>
          <cell r="F1414">
            <v>19090.180327868853</v>
          </cell>
          <cell r="G1414">
            <v>275</v>
          </cell>
          <cell r="H1414">
            <v>18401.625533348306</v>
          </cell>
        </row>
        <row r="1415">
          <cell r="D1415" t="str">
            <v>Other Office Equipment</v>
          </cell>
          <cell r="F1415">
            <v>19090.180327868853</v>
          </cell>
          <cell r="G1415">
            <v>275</v>
          </cell>
          <cell r="H1415">
            <v>18401.625533348306</v>
          </cell>
        </row>
        <row r="1416">
          <cell r="D1416" t="str">
            <v>Other Office Equipment</v>
          </cell>
          <cell r="F1416">
            <v>19090.180327868853</v>
          </cell>
          <cell r="G1416">
            <v>275</v>
          </cell>
          <cell r="H1416">
            <v>18401.625533348306</v>
          </cell>
        </row>
        <row r="1417">
          <cell r="D1417" t="str">
            <v>Other Office Equipment</v>
          </cell>
          <cell r="F1417">
            <v>19102.674180327867</v>
          </cell>
          <cell r="G1417">
            <v>275</v>
          </cell>
          <cell r="H1417">
            <v>18404.814591286773</v>
          </cell>
        </row>
        <row r="1418">
          <cell r="D1418" t="str">
            <v>Other Office Equipment</v>
          </cell>
          <cell r="F1418">
            <v>19130.512295081968</v>
          </cell>
          <cell r="G1418">
            <v>275</v>
          </cell>
          <cell r="H1418">
            <v>18432.652706040873</v>
          </cell>
        </row>
        <row r="1419">
          <cell r="D1419" t="str">
            <v>Other Office Equipment</v>
          </cell>
          <cell r="F1419">
            <v>19054.767759562841</v>
          </cell>
          <cell r="G1419">
            <v>275</v>
          </cell>
          <cell r="H1419">
            <v>18347.603376001196</v>
          </cell>
        </row>
        <row r="1420">
          <cell r="D1420" t="str">
            <v>Other Office Equipment</v>
          </cell>
          <cell r="F1420">
            <v>19401.548497267759</v>
          </cell>
          <cell r="G1420">
            <v>275</v>
          </cell>
          <cell r="H1420">
            <v>18689.373839733511</v>
          </cell>
        </row>
        <row r="1421">
          <cell r="D1421" t="str">
            <v>Other Office Equipment</v>
          </cell>
          <cell r="F1421">
            <v>19605.464480874318</v>
          </cell>
          <cell r="G1421">
            <v>275</v>
          </cell>
          <cell r="H1421">
            <v>18889.711056216784</v>
          </cell>
        </row>
        <row r="1422">
          <cell r="D1422" t="str">
            <v>Other Office Equipment</v>
          </cell>
          <cell r="F1422">
            <v>19671.926229508197</v>
          </cell>
          <cell r="G1422">
            <v>275</v>
          </cell>
          <cell r="H1422">
            <v>18941.857736357513</v>
          </cell>
        </row>
        <row r="1423">
          <cell r="D1423" t="str">
            <v>Other Office Equipment</v>
          </cell>
          <cell r="F1423">
            <v>20257.892759562841</v>
          </cell>
          <cell r="G1423">
            <v>275</v>
          </cell>
          <cell r="H1423">
            <v>19524.245499288867</v>
          </cell>
        </row>
        <row r="1424">
          <cell r="D1424" t="str">
            <v>Other Office Equipment</v>
          </cell>
          <cell r="F1424">
            <v>19988.671875</v>
          </cell>
          <cell r="G1424">
            <v>275</v>
          </cell>
          <cell r="H1424">
            <v>19243.840967465752</v>
          </cell>
        </row>
        <row r="1425">
          <cell r="D1425" t="str">
            <v>Other Office Equipment</v>
          </cell>
          <cell r="F1425">
            <v>19988.671875</v>
          </cell>
          <cell r="G1425">
            <v>275</v>
          </cell>
          <cell r="H1425">
            <v>19243.840967465752</v>
          </cell>
        </row>
        <row r="1426">
          <cell r="D1426" t="str">
            <v>Other Office Equipment</v>
          </cell>
          <cell r="F1426">
            <v>20250.512295081968</v>
          </cell>
          <cell r="G1426">
            <v>275</v>
          </cell>
          <cell r="H1426">
            <v>19498.971199191557</v>
          </cell>
        </row>
        <row r="1427">
          <cell r="D1427" t="str">
            <v>Other Office Equipment</v>
          </cell>
          <cell r="F1427">
            <v>21016.098565573771</v>
          </cell>
          <cell r="G1427">
            <v>275</v>
          </cell>
          <cell r="H1427">
            <v>20261.3365792724</v>
          </cell>
        </row>
        <row r="1428">
          <cell r="D1428" t="str">
            <v>Other Office Equipment</v>
          </cell>
          <cell r="F1428">
            <v>21586.922336065574</v>
          </cell>
          <cell r="G1428">
            <v>275</v>
          </cell>
          <cell r="H1428">
            <v>20784.920623736805</v>
          </cell>
        </row>
        <row r="1429">
          <cell r="D1429" t="str">
            <v>Other Office Equipment</v>
          </cell>
          <cell r="F1429">
            <v>22298.997540983608</v>
          </cell>
          <cell r="G1429">
            <v>275</v>
          </cell>
          <cell r="H1429">
            <v>21494.705417695935</v>
          </cell>
        </row>
        <row r="1430">
          <cell r="D1430" t="str">
            <v>Other Office Equipment</v>
          </cell>
          <cell r="F1430">
            <v>21822.540983606559</v>
          </cell>
          <cell r="G1430">
            <v>275</v>
          </cell>
          <cell r="H1430">
            <v>21017.318380866833</v>
          </cell>
        </row>
        <row r="1431">
          <cell r="D1431" t="str">
            <v>Other Office Equipment</v>
          </cell>
          <cell r="F1431">
            <v>22234.272540983606</v>
          </cell>
          <cell r="G1431">
            <v>275</v>
          </cell>
          <cell r="H1431">
            <v>21429.049938243879</v>
          </cell>
        </row>
        <row r="1432">
          <cell r="D1432" t="str">
            <v>Other Office Equipment</v>
          </cell>
          <cell r="F1432">
            <v>22234.272540983606</v>
          </cell>
          <cell r="G1432">
            <v>275</v>
          </cell>
          <cell r="H1432">
            <v>21429.049938243879</v>
          </cell>
        </row>
        <row r="1433">
          <cell r="D1433" t="str">
            <v>Other Office Equipment</v>
          </cell>
          <cell r="F1433">
            <v>22234.272540983606</v>
          </cell>
          <cell r="G1433">
            <v>275</v>
          </cell>
          <cell r="H1433">
            <v>21429.049938243879</v>
          </cell>
        </row>
        <row r="1434">
          <cell r="D1434" t="str">
            <v>Other Office Equipment</v>
          </cell>
          <cell r="F1434">
            <v>22234.272540983606</v>
          </cell>
          <cell r="G1434">
            <v>275</v>
          </cell>
          <cell r="H1434">
            <v>21429.049938243879</v>
          </cell>
        </row>
        <row r="1435">
          <cell r="D1435" t="str">
            <v>Other Office Equipment</v>
          </cell>
          <cell r="F1435">
            <v>22234.272540983606</v>
          </cell>
          <cell r="G1435">
            <v>275</v>
          </cell>
          <cell r="H1435">
            <v>21429.049938243879</v>
          </cell>
        </row>
        <row r="1436">
          <cell r="D1436" t="str">
            <v>Other Office Equipment</v>
          </cell>
          <cell r="F1436">
            <v>22234.272540983606</v>
          </cell>
          <cell r="G1436">
            <v>275</v>
          </cell>
          <cell r="H1436">
            <v>21429.049938243879</v>
          </cell>
        </row>
        <row r="1437">
          <cell r="D1437" t="str">
            <v>Other Office Equipment</v>
          </cell>
          <cell r="F1437">
            <v>22459.118852459018</v>
          </cell>
          <cell r="G1437">
            <v>275</v>
          </cell>
          <cell r="H1437">
            <v>21653.896249719292</v>
          </cell>
        </row>
        <row r="1438">
          <cell r="D1438" t="str">
            <v>Other Office Equipment</v>
          </cell>
          <cell r="F1438">
            <v>22459.118852459018</v>
          </cell>
          <cell r="G1438">
            <v>275</v>
          </cell>
          <cell r="H1438">
            <v>21653.896249719292</v>
          </cell>
        </row>
        <row r="1439">
          <cell r="D1439" t="str">
            <v>Other Office Equipment</v>
          </cell>
          <cell r="F1439">
            <v>22459.118852459018</v>
          </cell>
          <cell r="G1439">
            <v>275</v>
          </cell>
          <cell r="H1439">
            <v>21653.896249719292</v>
          </cell>
        </row>
        <row r="1440">
          <cell r="D1440" t="str">
            <v>Other Office Equipment</v>
          </cell>
          <cell r="F1440">
            <v>22624.631693989071</v>
          </cell>
          <cell r="G1440">
            <v>275</v>
          </cell>
          <cell r="H1440">
            <v>21805.809776180853</v>
          </cell>
        </row>
        <row r="1441">
          <cell r="D1441" t="str">
            <v>Other Office Equipment</v>
          </cell>
          <cell r="F1441">
            <v>22624.631693989071</v>
          </cell>
          <cell r="G1441">
            <v>275</v>
          </cell>
          <cell r="H1441">
            <v>21805.809776180853</v>
          </cell>
        </row>
        <row r="1442">
          <cell r="D1442" t="str">
            <v>Other Office Equipment</v>
          </cell>
          <cell r="F1442">
            <v>22624.631693989071</v>
          </cell>
          <cell r="G1442">
            <v>275</v>
          </cell>
          <cell r="H1442">
            <v>21805.809776180853</v>
          </cell>
        </row>
        <row r="1443">
          <cell r="D1443" t="str">
            <v>Other Office Equipment</v>
          </cell>
          <cell r="F1443">
            <v>22624.631693989071</v>
          </cell>
          <cell r="G1443">
            <v>275</v>
          </cell>
          <cell r="H1443">
            <v>21805.809776180853</v>
          </cell>
        </row>
        <row r="1444">
          <cell r="D1444" t="str">
            <v>Other Office Equipment</v>
          </cell>
          <cell r="F1444">
            <v>22624.631693989071</v>
          </cell>
          <cell r="G1444">
            <v>275</v>
          </cell>
          <cell r="H1444">
            <v>21805.809776180853</v>
          </cell>
        </row>
        <row r="1445">
          <cell r="D1445" t="str">
            <v>Other Office Equipment</v>
          </cell>
          <cell r="F1445">
            <v>22624.631693989071</v>
          </cell>
          <cell r="G1445">
            <v>275</v>
          </cell>
          <cell r="H1445">
            <v>21805.809776180853</v>
          </cell>
        </row>
        <row r="1446">
          <cell r="D1446" t="str">
            <v>Other Office Equipment</v>
          </cell>
          <cell r="F1446">
            <v>22813.812158469944</v>
          </cell>
          <cell r="G1446">
            <v>275</v>
          </cell>
          <cell r="H1446">
            <v>21994.274487237068</v>
          </cell>
        </row>
        <row r="1447">
          <cell r="D1447" t="str">
            <v>Other Office Equipment</v>
          </cell>
          <cell r="F1447">
            <v>22655.828415300548</v>
          </cell>
          <cell r="G1447">
            <v>275</v>
          </cell>
          <cell r="H1447">
            <v>21833.069853656711</v>
          </cell>
        </row>
        <row r="1448">
          <cell r="D1448" t="str">
            <v>Other Office Equipment</v>
          </cell>
          <cell r="F1448">
            <v>22543.299180327867</v>
          </cell>
          <cell r="G1448">
            <v>275</v>
          </cell>
          <cell r="H1448">
            <v>21720.182741971705</v>
          </cell>
        </row>
        <row r="1449">
          <cell r="D1449" t="str">
            <v>Other Office Equipment</v>
          </cell>
          <cell r="F1449">
            <v>22895.525956284153</v>
          </cell>
          <cell r="G1449">
            <v>275</v>
          </cell>
          <cell r="H1449">
            <v>22072.40951792799</v>
          </cell>
        </row>
        <row r="1450">
          <cell r="D1450" t="str">
            <v>Other Office Equipment</v>
          </cell>
          <cell r="F1450">
            <v>22895.525956284153</v>
          </cell>
          <cell r="G1450">
            <v>275</v>
          </cell>
          <cell r="H1450">
            <v>22072.40951792799</v>
          </cell>
        </row>
        <row r="1451">
          <cell r="D1451" t="str">
            <v>Other Office Equipment</v>
          </cell>
          <cell r="F1451">
            <v>23024.824453551912</v>
          </cell>
          <cell r="G1451">
            <v>275</v>
          </cell>
          <cell r="H1451">
            <v>22190.971713825886</v>
          </cell>
        </row>
        <row r="1452">
          <cell r="D1452" t="str">
            <v>Other Office Equipment</v>
          </cell>
          <cell r="F1452">
            <v>23267.129643442622</v>
          </cell>
          <cell r="G1452">
            <v>275</v>
          </cell>
          <cell r="H1452">
            <v>22427.918415702898</v>
          </cell>
        </row>
        <row r="1453">
          <cell r="D1453" t="str">
            <v>Other Office Equipment</v>
          </cell>
          <cell r="F1453">
            <v>23267.149487704919</v>
          </cell>
          <cell r="G1453">
            <v>275</v>
          </cell>
          <cell r="H1453">
            <v>22427.937544211767</v>
          </cell>
        </row>
        <row r="1454">
          <cell r="D1454" t="str">
            <v>Other Office Equipment</v>
          </cell>
          <cell r="F1454">
            <v>23267.149487704919</v>
          </cell>
          <cell r="G1454">
            <v>275</v>
          </cell>
          <cell r="H1454">
            <v>22427.937544211767</v>
          </cell>
        </row>
        <row r="1455">
          <cell r="D1455" t="str">
            <v>Other Office Equipment</v>
          </cell>
          <cell r="F1455">
            <v>23302.739594262293</v>
          </cell>
          <cell r="G1455">
            <v>275</v>
          </cell>
          <cell r="H1455">
            <v>22458.932871659556</v>
          </cell>
        </row>
        <row r="1456">
          <cell r="D1456" t="str">
            <v>Other Office Equipment</v>
          </cell>
          <cell r="F1456">
            <v>23302.769243852457</v>
          </cell>
          <cell r="G1456">
            <v>275</v>
          </cell>
          <cell r="H1456">
            <v>22458.961447619582</v>
          </cell>
        </row>
        <row r="1457">
          <cell r="D1457" t="str">
            <v>Other Office Equipment</v>
          </cell>
          <cell r="F1457">
            <v>23302.769243852457</v>
          </cell>
          <cell r="G1457">
            <v>275</v>
          </cell>
          <cell r="H1457">
            <v>22458.961447619582</v>
          </cell>
        </row>
        <row r="1458">
          <cell r="D1458" t="str">
            <v>Other Office Equipment</v>
          </cell>
          <cell r="F1458">
            <v>23302.769243852457</v>
          </cell>
          <cell r="G1458">
            <v>275</v>
          </cell>
          <cell r="H1458">
            <v>22458.961447619582</v>
          </cell>
        </row>
        <row r="1459">
          <cell r="D1459" t="str">
            <v>Other Office Equipment</v>
          </cell>
          <cell r="F1459">
            <v>23302.769243852457</v>
          </cell>
          <cell r="G1459">
            <v>275</v>
          </cell>
          <cell r="H1459">
            <v>22458.961447619582</v>
          </cell>
        </row>
        <row r="1460">
          <cell r="D1460" t="str">
            <v>Other Office Equipment</v>
          </cell>
          <cell r="F1460">
            <v>23302.77912704918</v>
          </cell>
          <cell r="G1460">
            <v>275</v>
          </cell>
          <cell r="H1460">
            <v>22458.970972939591</v>
          </cell>
        </row>
        <row r="1461">
          <cell r="D1461" t="str">
            <v>Other Office Equipment</v>
          </cell>
          <cell r="F1461">
            <v>23813.114754098362</v>
          </cell>
          <cell r="G1461">
            <v>275</v>
          </cell>
          <cell r="H1461">
            <v>22954.21064450932</v>
          </cell>
        </row>
        <row r="1462">
          <cell r="D1462" t="str">
            <v>Other Office Equipment</v>
          </cell>
          <cell r="F1462">
            <v>23641.160655737705</v>
          </cell>
          <cell r="G1462">
            <v>275</v>
          </cell>
          <cell r="H1462">
            <v>22770.231888614417</v>
          </cell>
        </row>
        <row r="1463">
          <cell r="D1463" t="str">
            <v>Other Office Equipment</v>
          </cell>
          <cell r="F1463">
            <v>23745.386557377049</v>
          </cell>
          <cell r="G1463">
            <v>275</v>
          </cell>
          <cell r="H1463">
            <v>22874.45779025376</v>
          </cell>
        </row>
        <row r="1464">
          <cell r="D1464" t="str">
            <v>Other Office Equipment</v>
          </cell>
          <cell r="F1464">
            <v>24146.498360655736</v>
          </cell>
          <cell r="G1464">
            <v>275</v>
          </cell>
          <cell r="H1464">
            <v>23275.569593532447</v>
          </cell>
        </row>
        <row r="1465">
          <cell r="D1465" t="str">
            <v>Other Office Equipment</v>
          </cell>
          <cell r="F1465">
            <v>24146.498360655736</v>
          </cell>
          <cell r="G1465">
            <v>275</v>
          </cell>
          <cell r="H1465">
            <v>23275.569593532447</v>
          </cell>
        </row>
        <row r="1466">
          <cell r="D1466" t="str">
            <v>Other Office Equipment</v>
          </cell>
          <cell r="F1466">
            <v>49432.25</v>
          </cell>
          <cell r="G1466">
            <v>275</v>
          </cell>
          <cell r="H1466">
            <v>47578.448630136983</v>
          </cell>
        </row>
        <row r="1467">
          <cell r="D1467" t="str">
            <v>Other Office Equipment</v>
          </cell>
          <cell r="F1467">
            <v>23472.974726775956</v>
          </cell>
          <cell r="G1467">
            <v>275</v>
          </cell>
          <cell r="H1467">
            <v>22596.176781570477</v>
          </cell>
        </row>
        <row r="1468">
          <cell r="D1468" t="str">
            <v>Other Office Equipment</v>
          </cell>
          <cell r="F1468">
            <v>24660.061475409835</v>
          </cell>
          <cell r="G1468">
            <v>275</v>
          </cell>
          <cell r="H1468">
            <v>23774.316612396138</v>
          </cell>
        </row>
        <row r="1469">
          <cell r="D1469" t="str">
            <v>Other Office Equipment</v>
          </cell>
          <cell r="F1469">
            <v>24660.061475409835</v>
          </cell>
          <cell r="G1469">
            <v>275</v>
          </cell>
          <cell r="H1469">
            <v>23774.316612396138</v>
          </cell>
        </row>
        <row r="1470">
          <cell r="D1470" t="str">
            <v>Other Office Equipment</v>
          </cell>
          <cell r="F1470">
            <v>24888.477117486338</v>
          </cell>
          <cell r="G1470">
            <v>275</v>
          </cell>
          <cell r="H1470">
            <v>23995.574720226065</v>
          </cell>
        </row>
        <row r="1471">
          <cell r="D1471" t="str">
            <v>Other Office Equipment</v>
          </cell>
          <cell r="F1471">
            <v>24888.477117486338</v>
          </cell>
          <cell r="G1471">
            <v>275</v>
          </cell>
          <cell r="H1471">
            <v>23995.574720226065</v>
          </cell>
        </row>
        <row r="1472">
          <cell r="D1472" t="str">
            <v>Other Office Equipment</v>
          </cell>
          <cell r="F1472">
            <v>24694.865368852457</v>
          </cell>
          <cell r="G1472">
            <v>275</v>
          </cell>
          <cell r="H1472">
            <v>23800.531464742868</v>
          </cell>
        </row>
        <row r="1473">
          <cell r="D1473" t="str">
            <v>Other Office Equipment</v>
          </cell>
          <cell r="F1473">
            <v>25549.487704918032</v>
          </cell>
          <cell r="G1473">
            <v>275</v>
          </cell>
          <cell r="H1473">
            <v>24627.955170671456</v>
          </cell>
        </row>
        <row r="1474">
          <cell r="D1474" t="str">
            <v>Other Office Equipment</v>
          </cell>
          <cell r="F1474">
            <v>25331.22950819672</v>
          </cell>
          <cell r="G1474">
            <v>275</v>
          </cell>
          <cell r="H1474">
            <v>24407.907590388502</v>
          </cell>
        </row>
        <row r="1475">
          <cell r="D1475" t="str">
            <v>Other Office Equipment</v>
          </cell>
          <cell r="F1475">
            <v>26011.295594262294</v>
          </cell>
          <cell r="G1475">
            <v>275</v>
          </cell>
          <cell r="H1475">
            <v>25035.18686138558</v>
          </cell>
        </row>
        <row r="1476">
          <cell r="D1476" t="str">
            <v>Other Office Equipment</v>
          </cell>
          <cell r="F1476">
            <v>26655.075683060109</v>
          </cell>
          <cell r="G1476">
            <v>275</v>
          </cell>
          <cell r="H1476">
            <v>25668.767463882028</v>
          </cell>
        </row>
        <row r="1477">
          <cell r="D1477" t="str">
            <v>Other Office Equipment</v>
          </cell>
          <cell r="F1477">
            <v>26655.075683060109</v>
          </cell>
          <cell r="G1477">
            <v>275</v>
          </cell>
          <cell r="H1477">
            <v>25668.767463882028</v>
          </cell>
        </row>
        <row r="1478">
          <cell r="D1478" t="str">
            <v>Other Office Equipment</v>
          </cell>
          <cell r="F1478">
            <v>26655.075683060109</v>
          </cell>
          <cell r="G1478">
            <v>275</v>
          </cell>
          <cell r="H1478">
            <v>25668.767463882028</v>
          </cell>
        </row>
        <row r="1479">
          <cell r="D1479" t="str">
            <v>Other Office Equipment</v>
          </cell>
          <cell r="F1479">
            <v>26655.075683060109</v>
          </cell>
          <cell r="G1479">
            <v>275</v>
          </cell>
          <cell r="H1479">
            <v>25668.767463882028</v>
          </cell>
        </row>
        <row r="1480">
          <cell r="D1480" t="str">
            <v>Other Office Equipment</v>
          </cell>
          <cell r="F1480">
            <v>26655.075683060109</v>
          </cell>
          <cell r="G1480">
            <v>275</v>
          </cell>
          <cell r="H1480">
            <v>25668.767463882028</v>
          </cell>
        </row>
        <row r="1481">
          <cell r="D1481" t="str">
            <v>Other Office Equipment</v>
          </cell>
          <cell r="F1481">
            <v>26655.075683060109</v>
          </cell>
          <cell r="G1481">
            <v>275</v>
          </cell>
          <cell r="H1481">
            <v>25668.767463882028</v>
          </cell>
        </row>
        <row r="1482">
          <cell r="D1482" t="str">
            <v>Other Office Equipment</v>
          </cell>
          <cell r="F1482">
            <v>26655.075683060109</v>
          </cell>
          <cell r="G1482">
            <v>275</v>
          </cell>
          <cell r="H1482">
            <v>25668.767463882028</v>
          </cell>
        </row>
        <row r="1483">
          <cell r="D1483" t="str">
            <v>Other Office Equipment</v>
          </cell>
          <cell r="F1483">
            <v>27393.142076502732</v>
          </cell>
          <cell r="G1483">
            <v>275</v>
          </cell>
          <cell r="H1483">
            <v>26391.087281982185</v>
          </cell>
        </row>
        <row r="1484">
          <cell r="D1484" t="str">
            <v>Other Office Equipment</v>
          </cell>
          <cell r="F1484">
            <v>27669.316939890712</v>
          </cell>
          <cell r="G1484">
            <v>275</v>
          </cell>
          <cell r="H1484">
            <v>26667.262145370165</v>
          </cell>
        </row>
        <row r="1485">
          <cell r="D1485" t="str">
            <v>Other Office Equipment</v>
          </cell>
          <cell r="F1485">
            <v>27669.316939890712</v>
          </cell>
          <cell r="G1485">
            <v>275</v>
          </cell>
          <cell r="H1485">
            <v>26667.262145370165</v>
          </cell>
        </row>
        <row r="1486">
          <cell r="D1486" t="str">
            <v>Other Office Equipment</v>
          </cell>
          <cell r="F1486">
            <v>27669.316939890712</v>
          </cell>
          <cell r="G1486">
            <v>275</v>
          </cell>
          <cell r="H1486">
            <v>26667.262145370165</v>
          </cell>
        </row>
        <row r="1487">
          <cell r="D1487" t="str">
            <v>Other Office Equipment</v>
          </cell>
          <cell r="F1487">
            <v>27669.316939890712</v>
          </cell>
          <cell r="G1487">
            <v>275</v>
          </cell>
          <cell r="H1487">
            <v>26667.262145370165</v>
          </cell>
        </row>
        <row r="1488">
          <cell r="D1488" t="str">
            <v>Other Office Equipment</v>
          </cell>
          <cell r="F1488">
            <v>27669.316939890712</v>
          </cell>
          <cell r="G1488">
            <v>275</v>
          </cell>
          <cell r="H1488">
            <v>26667.262145370165</v>
          </cell>
        </row>
        <row r="1489">
          <cell r="D1489" t="str">
            <v>Other Office Equipment</v>
          </cell>
          <cell r="F1489">
            <v>27783.4725</v>
          </cell>
          <cell r="G1489">
            <v>275</v>
          </cell>
          <cell r="H1489">
            <v>26739.58191780822</v>
          </cell>
        </row>
        <row r="1490">
          <cell r="D1490" t="str">
            <v>Other Office Equipment</v>
          </cell>
          <cell r="F1490">
            <v>29313.319672131147</v>
          </cell>
          <cell r="G1490">
            <v>275</v>
          </cell>
          <cell r="H1490">
            <v>28212.848781720189</v>
          </cell>
        </row>
        <row r="1491">
          <cell r="D1491" t="str">
            <v>Other Office Equipment</v>
          </cell>
          <cell r="F1491">
            <v>29313.319672131147</v>
          </cell>
          <cell r="G1491">
            <v>275</v>
          </cell>
          <cell r="H1491">
            <v>28212.848781720189</v>
          </cell>
        </row>
        <row r="1492">
          <cell r="D1492" t="str">
            <v>Other Office Equipment</v>
          </cell>
          <cell r="F1492">
            <v>30943.67486338798</v>
          </cell>
          <cell r="G1492">
            <v>275</v>
          </cell>
          <cell r="H1492">
            <v>29834.2570551688</v>
          </cell>
        </row>
        <row r="1493">
          <cell r="D1493" t="str">
            <v>Other Office Equipment</v>
          </cell>
          <cell r="F1493">
            <v>30943.67486338798</v>
          </cell>
          <cell r="G1493">
            <v>275</v>
          </cell>
          <cell r="H1493">
            <v>29834.2570551688</v>
          </cell>
        </row>
        <row r="1494">
          <cell r="D1494" t="str">
            <v>Other Office Equipment</v>
          </cell>
          <cell r="F1494">
            <v>30633.886612021859</v>
          </cell>
          <cell r="G1494">
            <v>275</v>
          </cell>
          <cell r="H1494">
            <v>29524.46880380268</v>
          </cell>
        </row>
        <row r="1495">
          <cell r="D1495" t="str">
            <v>Other Office Equipment</v>
          </cell>
          <cell r="F1495">
            <v>30510.274921448086</v>
          </cell>
          <cell r="G1495">
            <v>275</v>
          </cell>
          <cell r="H1495">
            <v>29380.40445911932</v>
          </cell>
        </row>
        <row r="1496">
          <cell r="D1496" t="str">
            <v>Other Office Equipment</v>
          </cell>
          <cell r="F1496">
            <v>30510.274921448086</v>
          </cell>
          <cell r="G1496">
            <v>275</v>
          </cell>
          <cell r="H1496">
            <v>29380.40445911932</v>
          </cell>
        </row>
        <row r="1497">
          <cell r="D1497" t="str">
            <v>Other Office Equipment</v>
          </cell>
          <cell r="F1497">
            <v>30510.274921448086</v>
          </cell>
          <cell r="G1497">
            <v>275</v>
          </cell>
          <cell r="H1497">
            <v>29380.40445911932</v>
          </cell>
        </row>
        <row r="1498">
          <cell r="D1498" t="str">
            <v>Other Office Equipment</v>
          </cell>
          <cell r="F1498">
            <v>30510.274921448086</v>
          </cell>
          <cell r="G1498">
            <v>275</v>
          </cell>
          <cell r="H1498">
            <v>29380.40445911932</v>
          </cell>
        </row>
        <row r="1499">
          <cell r="D1499" t="str">
            <v>Other Office Equipment</v>
          </cell>
          <cell r="F1499">
            <v>32239.695184426229</v>
          </cell>
          <cell r="G1499">
            <v>275</v>
          </cell>
          <cell r="H1499">
            <v>31072.122410453627</v>
          </cell>
        </row>
        <row r="1500">
          <cell r="D1500" t="str">
            <v>Other Office Equipment</v>
          </cell>
          <cell r="F1500">
            <v>32239.695184426229</v>
          </cell>
          <cell r="G1500">
            <v>275</v>
          </cell>
          <cell r="H1500">
            <v>31072.122410453627</v>
          </cell>
        </row>
        <row r="1501">
          <cell r="D1501" t="str">
            <v>Other Office Equipment</v>
          </cell>
          <cell r="F1501">
            <v>31611.09375</v>
          </cell>
          <cell r="G1501">
            <v>275</v>
          </cell>
          <cell r="H1501">
            <v>30423.390410958906</v>
          </cell>
        </row>
        <row r="1502">
          <cell r="D1502" t="str">
            <v>Other Office Equipment</v>
          </cell>
          <cell r="F1502">
            <v>32256.367213114754</v>
          </cell>
          <cell r="G1502">
            <v>275</v>
          </cell>
          <cell r="H1502">
            <v>31065.353514484617</v>
          </cell>
        </row>
        <row r="1503">
          <cell r="D1503" t="str">
            <v>Other Office Equipment</v>
          </cell>
          <cell r="F1503">
            <v>32256.367213114754</v>
          </cell>
          <cell r="G1503">
            <v>275</v>
          </cell>
          <cell r="H1503">
            <v>31065.353514484617</v>
          </cell>
        </row>
        <row r="1504">
          <cell r="D1504" t="str">
            <v>Other Office Equipment</v>
          </cell>
          <cell r="F1504">
            <v>32256.367213114754</v>
          </cell>
          <cell r="G1504">
            <v>275</v>
          </cell>
          <cell r="H1504">
            <v>31065.353514484617</v>
          </cell>
        </row>
        <row r="1505">
          <cell r="D1505" t="str">
            <v>Other Office Equipment</v>
          </cell>
          <cell r="F1505">
            <v>32256.367213114754</v>
          </cell>
          <cell r="G1505">
            <v>275</v>
          </cell>
          <cell r="H1505">
            <v>31065.353514484617</v>
          </cell>
        </row>
        <row r="1506">
          <cell r="D1506" t="str">
            <v>Other Office Equipment</v>
          </cell>
          <cell r="F1506">
            <v>32683.960655737705</v>
          </cell>
          <cell r="G1506">
            <v>275</v>
          </cell>
          <cell r="H1506">
            <v>31492.946957107568</v>
          </cell>
        </row>
        <row r="1507">
          <cell r="D1507" t="str">
            <v>Other Office Equipment</v>
          </cell>
          <cell r="F1507">
            <v>33936.947540983609</v>
          </cell>
          <cell r="G1507">
            <v>275</v>
          </cell>
          <cell r="H1507">
            <v>32708.71466427128</v>
          </cell>
        </row>
        <row r="1508">
          <cell r="D1508" t="str">
            <v>Other Office Equipment</v>
          </cell>
          <cell r="F1508">
            <v>33936.947540983609</v>
          </cell>
          <cell r="G1508">
            <v>275</v>
          </cell>
          <cell r="H1508">
            <v>32708.71466427128</v>
          </cell>
        </row>
        <row r="1509">
          <cell r="D1509" t="str">
            <v>Other Office Equipment</v>
          </cell>
          <cell r="F1509">
            <v>33936.947540983609</v>
          </cell>
          <cell r="G1509">
            <v>275</v>
          </cell>
          <cell r="H1509">
            <v>32708.71466427128</v>
          </cell>
        </row>
        <row r="1510">
          <cell r="D1510" t="str">
            <v>Other Office Equipment</v>
          </cell>
          <cell r="F1510">
            <v>33147</v>
          </cell>
          <cell r="G1510">
            <v>275</v>
          </cell>
          <cell r="H1510">
            <v>31901.589041095889</v>
          </cell>
        </row>
        <row r="1511">
          <cell r="D1511" t="str">
            <v>Other Office Equipment</v>
          </cell>
          <cell r="F1511">
            <v>34981.561475409835</v>
          </cell>
          <cell r="G1511">
            <v>275</v>
          </cell>
          <cell r="H1511">
            <v>33725.414215135861</v>
          </cell>
        </row>
        <row r="1512">
          <cell r="D1512" t="str">
            <v>Other Office Equipment</v>
          </cell>
          <cell r="F1512">
            <v>35574.836065573771</v>
          </cell>
          <cell r="G1512">
            <v>275</v>
          </cell>
          <cell r="H1512">
            <v>34286.479901190207</v>
          </cell>
        </row>
        <row r="1513">
          <cell r="D1513" t="str">
            <v>Other Office Equipment</v>
          </cell>
          <cell r="F1513">
            <v>36997.829508196723</v>
          </cell>
          <cell r="G1513">
            <v>275</v>
          </cell>
          <cell r="H1513">
            <v>35657.939097237817</v>
          </cell>
        </row>
        <row r="1514">
          <cell r="D1514" t="str">
            <v>Other Office Equipment</v>
          </cell>
          <cell r="F1514">
            <v>36997.829508196723</v>
          </cell>
          <cell r="G1514">
            <v>275</v>
          </cell>
          <cell r="H1514">
            <v>35657.939097237817</v>
          </cell>
        </row>
        <row r="1515">
          <cell r="D1515" t="str">
            <v>Other Office Equipment</v>
          </cell>
          <cell r="F1515">
            <v>36997.829508196723</v>
          </cell>
          <cell r="G1515">
            <v>275</v>
          </cell>
          <cell r="H1515">
            <v>35657.939097237817</v>
          </cell>
        </row>
        <row r="1516">
          <cell r="D1516" t="str">
            <v>Other Office Equipment</v>
          </cell>
          <cell r="F1516">
            <v>38185.278278688522</v>
          </cell>
          <cell r="G1516">
            <v>275</v>
          </cell>
          <cell r="H1516">
            <v>36817.473484167975</v>
          </cell>
        </row>
        <row r="1517">
          <cell r="D1517" t="str">
            <v>Other Office Equipment</v>
          </cell>
          <cell r="F1517">
            <v>37704.262295081964</v>
          </cell>
          <cell r="G1517">
            <v>275</v>
          </cell>
          <cell r="H1517">
            <v>36308.543116999776</v>
          </cell>
        </row>
        <row r="1518">
          <cell r="D1518" t="str">
            <v>Other Office Equipment</v>
          </cell>
          <cell r="F1518">
            <v>38986.629098360652</v>
          </cell>
          <cell r="G1518">
            <v>275</v>
          </cell>
          <cell r="H1518">
            <v>37577.489543566131</v>
          </cell>
        </row>
        <row r="1519">
          <cell r="D1519" t="str">
            <v>Other Office Equipment</v>
          </cell>
          <cell r="F1519">
            <v>38240.884624316939</v>
          </cell>
          <cell r="G1519">
            <v>275</v>
          </cell>
          <cell r="H1519">
            <v>36824.730685960778</v>
          </cell>
        </row>
        <row r="1520">
          <cell r="D1520" t="str">
            <v>Other Office Equipment</v>
          </cell>
          <cell r="F1520">
            <v>39039.617486338801</v>
          </cell>
          <cell r="G1520">
            <v>275</v>
          </cell>
          <cell r="H1520">
            <v>37608.110637023732</v>
          </cell>
        </row>
        <row r="1521">
          <cell r="D1521" t="str">
            <v>Other Office Equipment</v>
          </cell>
          <cell r="F1521">
            <v>40844.153005464483</v>
          </cell>
          <cell r="G1521">
            <v>275</v>
          </cell>
          <cell r="H1521">
            <v>39355.385882176808</v>
          </cell>
        </row>
        <row r="1522">
          <cell r="D1522" t="str">
            <v>Other Office Equipment</v>
          </cell>
          <cell r="F1522">
            <v>41108.699453551912</v>
          </cell>
          <cell r="G1522">
            <v>275</v>
          </cell>
          <cell r="H1522">
            <v>39619.932330264237</v>
          </cell>
        </row>
        <row r="1523">
          <cell r="D1523" t="str">
            <v>Other Office Equipment</v>
          </cell>
          <cell r="F1523">
            <v>47775.268954918036</v>
          </cell>
          <cell r="G1523">
            <v>275</v>
          </cell>
          <cell r="H1523">
            <v>46064.170924096121</v>
          </cell>
        </row>
        <row r="1524">
          <cell r="D1524" t="str">
            <v>Other Office Equipment</v>
          </cell>
          <cell r="F1524">
            <v>47775.268954918036</v>
          </cell>
          <cell r="G1524">
            <v>275</v>
          </cell>
          <cell r="H1524">
            <v>46064.170924096121</v>
          </cell>
        </row>
        <row r="1525">
          <cell r="D1525" t="str">
            <v>Other Office Equipment</v>
          </cell>
          <cell r="F1525">
            <v>47775.268954918036</v>
          </cell>
          <cell r="G1525">
            <v>275</v>
          </cell>
          <cell r="H1525">
            <v>46064.170924096121</v>
          </cell>
        </row>
        <row r="1526">
          <cell r="D1526" t="str">
            <v>Other Office Equipment</v>
          </cell>
          <cell r="F1526">
            <v>47775.268954918036</v>
          </cell>
          <cell r="G1526">
            <v>275</v>
          </cell>
          <cell r="H1526">
            <v>46064.170924096121</v>
          </cell>
        </row>
        <row r="1527">
          <cell r="D1527" t="str">
            <v>Other Office Equipment</v>
          </cell>
          <cell r="F1527">
            <v>47775.268954918036</v>
          </cell>
          <cell r="G1527">
            <v>275</v>
          </cell>
          <cell r="H1527">
            <v>46064.170924096121</v>
          </cell>
        </row>
        <row r="1528">
          <cell r="D1528" t="str">
            <v>Other Office Equipment</v>
          </cell>
          <cell r="F1528">
            <v>47636.919398907106</v>
          </cell>
          <cell r="G1528">
            <v>275</v>
          </cell>
          <cell r="H1528">
            <v>45869.008440002995</v>
          </cell>
        </row>
        <row r="1529">
          <cell r="D1529" t="str">
            <v>Other Office Equipment</v>
          </cell>
          <cell r="F1529">
            <v>56510.319743101092</v>
          </cell>
          <cell r="G1529">
            <v>275</v>
          </cell>
          <cell r="H1529">
            <v>54482.947809881916</v>
          </cell>
        </row>
        <row r="1530">
          <cell r="D1530" t="str">
            <v>Other Office Equipment</v>
          </cell>
          <cell r="F1530">
            <v>60514.426229508194</v>
          </cell>
          <cell r="G1530">
            <v>275</v>
          </cell>
          <cell r="H1530">
            <v>58259.802941836962</v>
          </cell>
        </row>
        <row r="1531">
          <cell r="D1531" t="str">
            <v>Other Office Equipment</v>
          </cell>
          <cell r="F1531">
            <v>62255.972996653007</v>
          </cell>
          <cell r="G1531">
            <v>275</v>
          </cell>
          <cell r="H1531">
            <v>60001.349351105062</v>
          </cell>
        </row>
        <row r="1532">
          <cell r="D1532" t="str">
            <v>Other Office Equipment</v>
          </cell>
          <cell r="F1532">
            <v>62255.972996653007</v>
          </cell>
          <cell r="G1532">
            <v>275</v>
          </cell>
          <cell r="H1532">
            <v>60001.349351105062</v>
          </cell>
        </row>
        <row r="1533">
          <cell r="D1533" t="str">
            <v>Other Office Equipment</v>
          </cell>
          <cell r="F1533">
            <v>62255.972996653007</v>
          </cell>
          <cell r="G1533">
            <v>275</v>
          </cell>
          <cell r="H1533">
            <v>60001.349351105062</v>
          </cell>
        </row>
        <row r="1534">
          <cell r="D1534" t="str">
            <v>Other Office Equipment</v>
          </cell>
          <cell r="F1534">
            <v>62255.972996653007</v>
          </cell>
          <cell r="G1534">
            <v>275</v>
          </cell>
          <cell r="H1534">
            <v>60001.349351105062</v>
          </cell>
        </row>
        <row r="1535">
          <cell r="D1535" t="str">
            <v>Other Office Equipment</v>
          </cell>
          <cell r="F1535">
            <v>62255.972996653007</v>
          </cell>
          <cell r="G1535">
            <v>275</v>
          </cell>
          <cell r="H1535">
            <v>60001.349351105062</v>
          </cell>
        </row>
        <row r="1536">
          <cell r="D1536" t="str">
            <v>Other Office Equipment</v>
          </cell>
          <cell r="F1536">
            <v>62401.033118169398</v>
          </cell>
          <cell r="G1536">
            <v>275</v>
          </cell>
          <cell r="H1536">
            <v>60090.169505155696</v>
          </cell>
        </row>
        <row r="1537">
          <cell r="D1537" t="str">
            <v>Other Office Equipment</v>
          </cell>
          <cell r="F1537">
            <v>62401.033118169398</v>
          </cell>
          <cell r="G1537">
            <v>275</v>
          </cell>
          <cell r="H1537">
            <v>60090.169505155696</v>
          </cell>
        </row>
        <row r="1538">
          <cell r="D1538" t="str">
            <v>Other Office Equipment</v>
          </cell>
          <cell r="F1538">
            <v>67237.192622950824</v>
          </cell>
          <cell r="G1538">
            <v>275</v>
          </cell>
          <cell r="H1538">
            <v>64821.524814731645</v>
          </cell>
        </row>
        <row r="1539">
          <cell r="D1539" t="str">
            <v>Other Office Equipment</v>
          </cell>
          <cell r="F1539">
            <v>67101.980874316941</v>
          </cell>
          <cell r="G1539">
            <v>275</v>
          </cell>
          <cell r="H1539">
            <v>64596.843888015574</v>
          </cell>
        </row>
        <row r="1540">
          <cell r="D1540" t="str">
            <v>Other Office Equipment</v>
          </cell>
          <cell r="F1540">
            <v>70070.247923497271</v>
          </cell>
          <cell r="G1540">
            <v>275</v>
          </cell>
          <cell r="H1540">
            <v>67476.071211168499</v>
          </cell>
        </row>
        <row r="1541">
          <cell r="D1541" t="str">
            <v>Other Office Equipment</v>
          </cell>
          <cell r="F1541">
            <v>74995.792349726777</v>
          </cell>
          <cell r="G1541">
            <v>275</v>
          </cell>
          <cell r="H1541">
            <v>72232.984130548692</v>
          </cell>
        </row>
        <row r="1542">
          <cell r="D1542" t="str">
            <v>Other Office Equipment</v>
          </cell>
          <cell r="F1542">
            <v>75316.404371584693</v>
          </cell>
          <cell r="G1542">
            <v>275</v>
          </cell>
          <cell r="H1542">
            <v>72553.596152406608</v>
          </cell>
        </row>
        <row r="1543">
          <cell r="D1543" t="str">
            <v>Other Office Equipment</v>
          </cell>
          <cell r="F1543">
            <v>74624.374180327868</v>
          </cell>
          <cell r="G1543">
            <v>275</v>
          </cell>
          <cell r="H1543">
            <v>71860.850207725132</v>
          </cell>
        </row>
        <row r="1544">
          <cell r="D1544" t="str">
            <v>Other Office Equipment</v>
          </cell>
          <cell r="F1544">
            <v>83910.260502049176</v>
          </cell>
          <cell r="G1544">
            <v>275</v>
          </cell>
          <cell r="H1544">
            <v>80838.336272597124</v>
          </cell>
        </row>
        <row r="1545">
          <cell r="D1545" t="str">
            <v>Other Office Equipment</v>
          </cell>
          <cell r="F1545">
            <v>96399.8087431694</v>
          </cell>
          <cell r="G1545">
            <v>275</v>
          </cell>
          <cell r="H1545">
            <v>92946.298469196801</v>
          </cell>
        </row>
        <row r="1546">
          <cell r="D1546" t="str">
            <v>Other Office Equipment</v>
          </cell>
          <cell r="F1546">
            <v>96399.8087431694</v>
          </cell>
          <cell r="G1546">
            <v>275</v>
          </cell>
          <cell r="H1546">
            <v>92946.298469196801</v>
          </cell>
        </row>
        <row r="1547">
          <cell r="D1547" t="str">
            <v>Other Office Equipment</v>
          </cell>
          <cell r="F1547">
            <v>94564.712820765038</v>
          </cell>
          <cell r="G1547">
            <v>275</v>
          </cell>
          <cell r="H1547">
            <v>91075.401276244491</v>
          </cell>
        </row>
        <row r="1548">
          <cell r="D1548" t="str">
            <v>Other Office Equipment</v>
          </cell>
          <cell r="F1548">
            <v>95558.032786885247</v>
          </cell>
          <cell r="G1548">
            <v>275</v>
          </cell>
          <cell r="H1548">
            <v>92050.841006063332</v>
          </cell>
        </row>
        <row r="1549">
          <cell r="D1549" t="str">
            <v>Other Office Equipment</v>
          </cell>
          <cell r="F1549">
            <v>95558.032786885247</v>
          </cell>
          <cell r="G1549">
            <v>275</v>
          </cell>
          <cell r="H1549">
            <v>92050.841006063332</v>
          </cell>
        </row>
        <row r="1550">
          <cell r="D1550" t="str">
            <v>Other Office Equipment</v>
          </cell>
          <cell r="F1550">
            <v>102839.2349726776</v>
          </cell>
          <cell r="G1550">
            <v>275</v>
          </cell>
          <cell r="H1550">
            <v>99117.317164458422</v>
          </cell>
        </row>
        <row r="1551">
          <cell r="D1551" t="str">
            <v>Other Office Equipment</v>
          </cell>
          <cell r="F1551">
            <v>103794.59967213115</v>
          </cell>
          <cell r="G1551">
            <v>275</v>
          </cell>
          <cell r="H1551">
            <v>99951.862685829779</v>
          </cell>
        </row>
        <row r="1552">
          <cell r="D1552" t="str">
            <v>Other Office Equipment</v>
          </cell>
          <cell r="F1552">
            <v>106724.51807862021</v>
          </cell>
          <cell r="G1552">
            <v>275</v>
          </cell>
          <cell r="H1552">
            <v>102859.44922759282</v>
          </cell>
        </row>
        <row r="1553">
          <cell r="D1553" t="str">
            <v>Other Office Equipment</v>
          </cell>
          <cell r="F1553">
            <v>111172.17952185792</v>
          </cell>
          <cell r="G1553">
            <v>275</v>
          </cell>
          <cell r="H1553">
            <v>107148.67900815929</v>
          </cell>
        </row>
        <row r="1554">
          <cell r="D1554" t="str">
            <v>Other Office Equipment</v>
          </cell>
          <cell r="F1554">
            <v>111172.17952185792</v>
          </cell>
          <cell r="G1554">
            <v>275</v>
          </cell>
          <cell r="H1554">
            <v>107148.67900815929</v>
          </cell>
        </row>
        <row r="1555">
          <cell r="D1555" t="str">
            <v>Other Office Equipment</v>
          </cell>
          <cell r="F1555">
            <v>117332.61663934427</v>
          </cell>
          <cell r="G1555">
            <v>275</v>
          </cell>
          <cell r="H1555">
            <v>113028.54078317988</v>
          </cell>
        </row>
        <row r="1556">
          <cell r="D1556" t="str">
            <v>Other Office Equipment</v>
          </cell>
          <cell r="F1556">
            <v>122288.50885730874</v>
          </cell>
          <cell r="G1556">
            <v>275</v>
          </cell>
          <cell r="H1556">
            <v>117859.78418436354</v>
          </cell>
        </row>
        <row r="1557">
          <cell r="D1557" t="str">
            <v>Other Office Equipment</v>
          </cell>
          <cell r="F1557">
            <v>128465.18976919398</v>
          </cell>
          <cell r="G1557">
            <v>275</v>
          </cell>
          <cell r="H1557">
            <v>123812.77425720768</v>
          </cell>
        </row>
        <row r="1558">
          <cell r="D1558" t="str">
            <v>Other Office Equipment</v>
          </cell>
          <cell r="F1558">
            <v>138964.22314494534</v>
          </cell>
          <cell r="G1558">
            <v>275</v>
          </cell>
          <cell r="H1558">
            <v>133931.58116206861</v>
          </cell>
        </row>
        <row r="1559">
          <cell r="D1559" t="str">
            <v>Other Office Equipment</v>
          </cell>
          <cell r="F1559">
            <v>154258.8524590164</v>
          </cell>
          <cell r="G1559">
            <v>275</v>
          </cell>
          <cell r="H1559">
            <v>148675.97574668765</v>
          </cell>
        </row>
        <row r="1560">
          <cell r="D1560" t="str">
            <v>Other Office Equipment</v>
          </cell>
          <cell r="F1560">
            <v>156922.61137295081</v>
          </cell>
          <cell r="G1560">
            <v>275</v>
          </cell>
          <cell r="H1560">
            <v>154857.71137295081</v>
          </cell>
        </row>
        <row r="1561">
          <cell r="D1561" t="str">
            <v>Other Office Equipment</v>
          </cell>
          <cell r="F1561">
            <v>153233.4375</v>
          </cell>
          <cell r="G1561">
            <v>275</v>
          </cell>
          <cell r="H1561">
            <v>147476.09589041097</v>
          </cell>
        </row>
        <row r="1562">
          <cell r="D1562" t="str">
            <v>Other Office Equipment</v>
          </cell>
          <cell r="F1562">
            <v>159790.30532786885</v>
          </cell>
          <cell r="G1562">
            <v>275</v>
          </cell>
          <cell r="H1562">
            <v>154003.43888951268</v>
          </cell>
        </row>
        <row r="1563">
          <cell r="D1563" t="str">
            <v>Other Office Equipment</v>
          </cell>
          <cell r="F1563">
            <v>164533.63656707649</v>
          </cell>
          <cell r="G1563">
            <v>275</v>
          </cell>
          <cell r="H1563">
            <v>158574.9885910491</v>
          </cell>
        </row>
        <row r="1564">
          <cell r="D1564" t="str">
            <v>Other Office Equipment</v>
          </cell>
          <cell r="F1564">
            <v>190439.50221174865</v>
          </cell>
          <cell r="G1564">
            <v>275</v>
          </cell>
          <cell r="H1564">
            <v>183619.69049257057</v>
          </cell>
        </row>
        <row r="1565">
          <cell r="D1565" t="str">
            <v>Other Office Equipment</v>
          </cell>
          <cell r="F1565">
            <v>222123</v>
          </cell>
          <cell r="G1565">
            <v>275</v>
          </cell>
          <cell r="H1565">
            <v>213777.31506849316</v>
          </cell>
        </row>
        <row r="1566">
          <cell r="D1566" t="str">
            <v>Other Office Equipment</v>
          </cell>
          <cell r="F1566">
            <v>277928.4364079918</v>
          </cell>
          <cell r="G1566">
            <v>275</v>
          </cell>
          <cell r="H1566">
            <v>267863.15280011506</v>
          </cell>
        </row>
        <row r="1567">
          <cell r="D1567" t="str">
            <v>Other Office Equipment</v>
          </cell>
          <cell r="F1567">
            <v>277928.4364079918</v>
          </cell>
          <cell r="G1567">
            <v>275</v>
          </cell>
          <cell r="H1567">
            <v>267863.15280011506</v>
          </cell>
        </row>
        <row r="1568">
          <cell r="D1568" t="str">
            <v>Other Office Equipment</v>
          </cell>
          <cell r="F1568">
            <v>314935.00290300546</v>
          </cell>
          <cell r="G1568">
            <v>275</v>
          </cell>
          <cell r="H1568">
            <v>303247.07156738901</v>
          </cell>
        </row>
        <row r="1569">
          <cell r="D1569" t="str">
            <v>Other Office Equipment</v>
          </cell>
          <cell r="F1569">
            <v>328542.85519125685</v>
          </cell>
          <cell r="G1569">
            <v>275</v>
          </cell>
          <cell r="H1569">
            <v>316390.79354742123</v>
          </cell>
        </row>
        <row r="1570">
          <cell r="D1570" t="str">
            <v>Other Office Equipment</v>
          </cell>
          <cell r="F1570">
            <v>358123.89350505464</v>
          </cell>
          <cell r="G1570">
            <v>275</v>
          </cell>
          <cell r="H1570">
            <v>344719.47344169847</v>
          </cell>
        </row>
        <row r="1571">
          <cell r="D1571" t="str">
            <v>Other Office Equipment</v>
          </cell>
          <cell r="F1571">
            <v>445734.90848360653</v>
          </cell>
          <cell r="G1571">
            <v>275</v>
          </cell>
          <cell r="H1571">
            <v>429592.44992196269</v>
          </cell>
        </row>
        <row r="1572">
          <cell r="D1572" t="str">
            <v>Other Office Equipment</v>
          </cell>
          <cell r="F1572">
            <v>614656.05618169403</v>
          </cell>
          <cell r="G1572">
            <v>275</v>
          </cell>
          <cell r="H1572">
            <v>592500.8036132009</v>
          </cell>
        </row>
        <row r="1573">
          <cell r="D1573" t="str">
            <v>Other Office Equipment</v>
          </cell>
          <cell r="F1573">
            <v>950309.25</v>
          </cell>
          <cell r="G1573">
            <v>275</v>
          </cell>
          <cell r="H1573">
            <v>914603.89041095891</v>
          </cell>
        </row>
        <row r="1574">
          <cell r="D1574" t="str">
            <v>Other Office Equipment</v>
          </cell>
          <cell r="F1574">
            <v>1701686.6675409835</v>
          </cell>
          <cell r="G1574">
            <v>275</v>
          </cell>
          <cell r="H1574">
            <v>1639429.8620615315</v>
          </cell>
        </row>
        <row r="1575">
          <cell r="D1575" t="str">
            <v>Other Office Equipment</v>
          </cell>
          <cell r="F1575">
            <v>0</v>
          </cell>
        </row>
        <row r="1576">
          <cell r="D1576" t="str">
            <v>Other Office Equipment</v>
          </cell>
          <cell r="F1576">
            <v>0</v>
          </cell>
        </row>
        <row r="1577">
          <cell r="D1577" t="str">
            <v>Other Office Equipment</v>
          </cell>
          <cell r="F1577">
            <v>0</v>
          </cell>
        </row>
        <row r="1578">
          <cell r="D1578" t="str">
            <v>Other Office Equipment</v>
          </cell>
          <cell r="F1578">
            <v>0</v>
          </cell>
        </row>
        <row r="1579">
          <cell r="D1579" t="str">
            <v>Other Office Equipment</v>
          </cell>
          <cell r="F1579">
            <v>0</v>
          </cell>
        </row>
        <row r="1580">
          <cell r="D1580" t="str">
            <v>Other Office Equipment</v>
          </cell>
          <cell r="F1580">
            <v>0</v>
          </cell>
        </row>
        <row r="1581">
          <cell r="D1581" t="str">
            <v>Other Office Equipment</v>
          </cell>
          <cell r="F1581">
            <v>0</v>
          </cell>
        </row>
        <row r="1582">
          <cell r="D1582" t="str">
            <v>Other Office Equipment</v>
          </cell>
          <cell r="F1582">
            <v>0</v>
          </cell>
        </row>
        <row r="1583">
          <cell r="D1583" t="str">
            <v>Other Office Equipment</v>
          </cell>
          <cell r="F1583">
            <v>0</v>
          </cell>
        </row>
        <row r="1584">
          <cell r="D1584" t="str">
            <v>Other Office Equipment</v>
          </cell>
          <cell r="F1584">
            <v>0</v>
          </cell>
        </row>
        <row r="1585">
          <cell r="D1585" t="str">
            <v>Other Office Equipment</v>
          </cell>
          <cell r="F1585">
            <v>0</v>
          </cell>
        </row>
        <row r="1586">
          <cell r="D1586" t="str">
            <v>Other Office Equipment</v>
          </cell>
          <cell r="F1586">
            <v>0</v>
          </cell>
        </row>
        <row r="1587">
          <cell r="D1587" t="str">
            <v>Other Office Equipment</v>
          </cell>
          <cell r="F1587">
            <v>0</v>
          </cell>
        </row>
        <row r="1588">
          <cell r="D1588" t="str">
            <v>Other Office Equipment</v>
          </cell>
          <cell r="F1588">
            <v>0</v>
          </cell>
        </row>
        <row r="1589">
          <cell r="D1589" t="str">
            <v>Other Office Equipment</v>
          </cell>
          <cell r="F1589">
            <v>0</v>
          </cell>
        </row>
        <row r="1590">
          <cell r="D1590" t="str">
            <v>Other Office Equipment</v>
          </cell>
          <cell r="F1590">
            <v>0</v>
          </cell>
        </row>
        <row r="1591">
          <cell r="D1591" t="str">
            <v>Other Office Equipment</v>
          </cell>
          <cell r="F1591">
            <v>0</v>
          </cell>
        </row>
        <row r="1592">
          <cell r="D1592" t="str">
            <v>Other Office Equipment</v>
          </cell>
          <cell r="F1592">
            <v>0</v>
          </cell>
        </row>
        <row r="1593">
          <cell r="D1593" t="str">
            <v>Other Office Equipment</v>
          </cell>
          <cell r="F1593">
            <v>0</v>
          </cell>
        </row>
        <row r="1594">
          <cell r="D1594" t="str">
            <v>Other Office Equipment</v>
          </cell>
          <cell r="F1594">
            <v>0</v>
          </cell>
        </row>
        <row r="1595">
          <cell r="D1595" t="str">
            <v>Other Office Equipment</v>
          </cell>
          <cell r="F1595">
            <v>0</v>
          </cell>
        </row>
        <row r="1596">
          <cell r="D1596" t="str">
            <v>Other Office Equipment</v>
          </cell>
          <cell r="F1596">
            <v>0</v>
          </cell>
        </row>
        <row r="1597">
          <cell r="D1597" t="str">
            <v>Other Office Equipment</v>
          </cell>
          <cell r="F1597">
            <v>0</v>
          </cell>
        </row>
        <row r="1598">
          <cell r="D1598" t="str">
            <v>Other Office Equipment</v>
          </cell>
          <cell r="F1598">
            <v>0</v>
          </cell>
        </row>
        <row r="1599">
          <cell r="D1599" t="str">
            <v>Other Office Equipment</v>
          </cell>
          <cell r="F1599">
            <v>0</v>
          </cell>
        </row>
        <row r="1600">
          <cell r="D1600" t="str">
            <v>Other Office Equipment</v>
          </cell>
          <cell r="F1600">
            <v>0</v>
          </cell>
        </row>
        <row r="1601">
          <cell r="D1601" t="str">
            <v>Other Office Equipment</v>
          </cell>
          <cell r="F1601">
            <v>0</v>
          </cell>
        </row>
        <row r="1602">
          <cell r="D1602" t="str">
            <v>Other Office Equipment</v>
          </cell>
          <cell r="F1602">
            <v>0</v>
          </cell>
        </row>
        <row r="1603">
          <cell r="D1603" t="str">
            <v>Other Office Equipment</v>
          </cell>
          <cell r="F1603">
            <v>0</v>
          </cell>
        </row>
        <row r="1604">
          <cell r="D1604" t="str">
            <v>Other Office Equipment</v>
          </cell>
          <cell r="F1604">
            <v>0</v>
          </cell>
        </row>
        <row r="1605">
          <cell r="D1605" t="str">
            <v>Other Office Equipment</v>
          </cell>
          <cell r="F1605">
            <v>0</v>
          </cell>
        </row>
        <row r="1606">
          <cell r="D1606" t="str">
            <v>Other Office Equipment</v>
          </cell>
          <cell r="F1606">
            <v>0</v>
          </cell>
        </row>
        <row r="1607">
          <cell r="D1607" t="str">
            <v>Other Office Equipment</v>
          </cell>
          <cell r="F1607">
            <v>0</v>
          </cell>
        </row>
        <row r="1608">
          <cell r="D1608" t="str">
            <v>Other Office Equipment</v>
          </cell>
          <cell r="F1608">
            <v>0</v>
          </cell>
        </row>
        <row r="1609">
          <cell r="D1609" t="str">
            <v>Other Office Equipment</v>
          </cell>
          <cell r="F1609">
            <v>0</v>
          </cell>
        </row>
        <row r="1610">
          <cell r="D1610" t="str">
            <v>Other Office Equipment</v>
          </cell>
          <cell r="F1610">
            <v>0</v>
          </cell>
        </row>
        <row r="1611">
          <cell r="D1611" t="str">
            <v>Other Office Equipment</v>
          </cell>
          <cell r="F1611">
            <v>0</v>
          </cell>
        </row>
        <row r="1612">
          <cell r="D1612" t="str">
            <v>Other Office Equipment</v>
          </cell>
          <cell r="F1612">
            <v>0</v>
          </cell>
        </row>
        <row r="1613">
          <cell r="D1613" t="str">
            <v>Other Office Equipment</v>
          </cell>
          <cell r="F1613">
            <v>0</v>
          </cell>
        </row>
        <row r="1614">
          <cell r="D1614" t="str">
            <v>Other Office Equipment</v>
          </cell>
          <cell r="F1614">
            <v>0</v>
          </cell>
        </row>
        <row r="1615">
          <cell r="D1615" t="str">
            <v>Other Office Equipment</v>
          </cell>
          <cell r="F1615">
            <v>0</v>
          </cell>
        </row>
        <row r="1616">
          <cell r="D1616" t="str">
            <v>Other Office Equipment</v>
          </cell>
          <cell r="F1616">
            <v>0</v>
          </cell>
        </row>
        <row r="1617">
          <cell r="D1617" t="str">
            <v>Other Office Equipment</v>
          </cell>
          <cell r="F1617">
            <v>0</v>
          </cell>
        </row>
        <row r="1618">
          <cell r="D1618" t="str">
            <v>Other Office Equipment</v>
          </cell>
          <cell r="F1618">
            <v>0</v>
          </cell>
        </row>
        <row r="1619">
          <cell r="D1619" t="str">
            <v>Other Office Equipment</v>
          </cell>
          <cell r="F1619">
            <v>0</v>
          </cell>
        </row>
        <row r="1620">
          <cell r="D1620" t="str">
            <v>Other Office Equipment</v>
          </cell>
          <cell r="F1620">
            <v>0</v>
          </cell>
        </row>
        <row r="1621">
          <cell r="D1621" t="str">
            <v>Other Office Equipment</v>
          </cell>
          <cell r="F1621">
            <v>0</v>
          </cell>
        </row>
        <row r="1622">
          <cell r="D1622" t="str">
            <v>Other Office Equipment</v>
          </cell>
          <cell r="F1622">
            <v>0</v>
          </cell>
        </row>
        <row r="1623">
          <cell r="D1623" t="str">
            <v>Other Office Equipment</v>
          </cell>
          <cell r="F1623">
            <v>0</v>
          </cell>
        </row>
        <row r="1624">
          <cell r="D1624" t="str">
            <v>Other Office Equipment</v>
          </cell>
          <cell r="F1624">
            <v>0</v>
          </cell>
        </row>
        <row r="1625">
          <cell r="D1625" t="str">
            <v>Other Office Equipment</v>
          </cell>
          <cell r="F1625">
            <v>0</v>
          </cell>
        </row>
        <row r="1626">
          <cell r="D1626" t="str">
            <v>Other Office Equipment</v>
          </cell>
          <cell r="F1626">
            <v>0</v>
          </cell>
        </row>
        <row r="1627">
          <cell r="D1627" t="str">
            <v>Other Office Equipment</v>
          </cell>
          <cell r="F1627">
            <v>0</v>
          </cell>
        </row>
        <row r="1628">
          <cell r="D1628" t="str">
            <v>Other Office Equipment</v>
          </cell>
          <cell r="F1628">
            <v>0</v>
          </cell>
        </row>
        <row r="1629">
          <cell r="D1629" t="str">
            <v>Other Office Equipment</v>
          </cell>
          <cell r="F1629">
            <v>0</v>
          </cell>
        </row>
        <row r="1630">
          <cell r="D1630" t="str">
            <v>Other Office Equipment</v>
          </cell>
          <cell r="F1630">
            <v>0</v>
          </cell>
        </row>
        <row r="1631">
          <cell r="D1631" t="str">
            <v>Other Office Equipment</v>
          </cell>
          <cell r="F1631">
            <v>0</v>
          </cell>
        </row>
        <row r="1632">
          <cell r="D1632" t="str">
            <v>Other Office Equipment</v>
          </cell>
          <cell r="F1632">
            <v>0</v>
          </cell>
        </row>
        <row r="1633">
          <cell r="D1633" t="str">
            <v>Other Office Equipment</v>
          </cell>
          <cell r="F1633">
            <v>0</v>
          </cell>
        </row>
        <row r="1634">
          <cell r="D1634" t="str">
            <v>Other Office Equipment</v>
          </cell>
          <cell r="F1634">
            <v>0</v>
          </cell>
        </row>
        <row r="1635">
          <cell r="D1635" t="str">
            <v>Other Office Equipment</v>
          </cell>
          <cell r="F1635">
            <v>0</v>
          </cell>
        </row>
        <row r="1636">
          <cell r="D1636" t="str">
            <v>Other Office Equipment</v>
          </cell>
          <cell r="F1636">
            <v>0</v>
          </cell>
        </row>
        <row r="1637">
          <cell r="D1637" t="str">
            <v>Other Office Equipment</v>
          </cell>
          <cell r="F1637">
            <v>0</v>
          </cell>
        </row>
        <row r="1638">
          <cell r="D1638" t="str">
            <v>Other Office Equipment</v>
          </cell>
          <cell r="F1638">
            <v>0</v>
          </cell>
        </row>
        <row r="1639">
          <cell r="D1639" t="str">
            <v>Other Office Equipment</v>
          </cell>
          <cell r="F1639">
            <v>0</v>
          </cell>
        </row>
        <row r="1640">
          <cell r="D1640" t="str">
            <v>Other Office Equipment</v>
          </cell>
          <cell r="F1640">
            <v>0</v>
          </cell>
        </row>
        <row r="1641">
          <cell r="D1641" t="str">
            <v>Other Office Equipment</v>
          </cell>
          <cell r="F1641">
            <v>0</v>
          </cell>
        </row>
        <row r="1642">
          <cell r="D1642" t="str">
            <v>Other Office Equipment</v>
          </cell>
          <cell r="F1642">
            <v>0</v>
          </cell>
        </row>
        <row r="1643">
          <cell r="D1643" t="str">
            <v>Other Office Equipment</v>
          </cell>
          <cell r="F1643">
            <v>0</v>
          </cell>
        </row>
        <row r="1644">
          <cell r="D1644" t="str">
            <v>Other Office Equipment</v>
          </cell>
          <cell r="F1644">
            <v>0</v>
          </cell>
        </row>
        <row r="1645">
          <cell r="D1645" t="str">
            <v>Other Office Equipment</v>
          </cell>
          <cell r="F1645">
            <v>0</v>
          </cell>
        </row>
        <row r="1646">
          <cell r="D1646" t="str">
            <v>Other Office Equipment</v>
          </cell>
          <cell r="F1646">
            <v>0</v>
          </cell>
        </row>
        <row r="1647">
          <cell r="D1647" t="str">
            <v>Other Office Equipment</v>
          </cell>
          <cell r="F1647">
            <v>0</v>
          </cell>
        </row>
        <row r="1648">
          <cell r="D1648" t="str">
            <v>Other Office Equipment</v>
          </cell>
          <cell r="F1648">
            <v>0</v>
          </cell>
        </row>
        <row r="1649">
          <cell r="D1649" t="str">
            <v>Other Office Equipment</v>
          </cell>
          <cell r="F1649">
            <v>0</v>
          </cell>
        </row>
        <row r="1650">
          <cell r="D1650" t="str">
            <v>Other Office Equipment</v>
          </cell>
          <cell r="F1650">
            <v>0</v>
          </cell>
        </row>
        <row r="1651">
          <cell r="D1651" t="str">
            <v>Other Office Equipment</v>
          </cell>
          <cell r="F1651">
            <v>0</v>
          </cell>
        </row>
        <row r="1652">
          <cell r="D1652" t="str">
            <v>Other Office Equipment</v>
          </cell>
          <cell r="F1652">
            <v>0</v>
          </cell>
        </row>
        <row r="1653">
          <cell r="D1653" t="str">
            <v>Other Office Equipment</v>
          </cell>
          <cell r="F1653">
            <v>0</v>
          </cell>
        </row>
        <row r="1654">
          <cell r="D1654" t="str">
            <v>Other Office Equipment</v>
          </cell>
          <cell r="F1654">
            <v>0</v>
          </cell>
        </row>
        <row r="1655">
          <cell r="D1655" t="str">
            <v>Other Office Equipment</v>
          </cell>
          <cell r="F1655">
            <v>0</v>
          </cell>
        </row>
        <row r="1656">
          <cell r="D1656" t="str">
            <v>Other Office Equipment</v>
          </cell>
          <cell r="F1656">
            <v>0</v>
          </cell>
        </row>
        <row r="1657">
          <cell r="D1657" t="str">
            <v>Other Office Equipment</v>
          </cell>
          <cell r="F1657">
            <v>0</v>
          </cell>
        </row>
        <row r="1658">
          <cell r="D1658" t="str">
            <v>Other Office Equipment</v>
          </cell>
          <cell r="F1658">
            <v>0</v>
          </cell>
        </row>
        <row r="1659">
          <cell r="D1659" t="str">
            <v>Other Office Equipment</v>
          </cell>
          <cell r="F1659">
            <v>0</v>
          </cell>
        </row>
        <row r="1660">
          <cell r="D1660" t="str">
            <v>Other Office Equipment</v>
          </cell>
          <cell r="F1660">
            <v>0</v>
          </cell>
        </row>
        <row r="1661">
          <cell r="D1661" t="str">
            <v>Other Office Equipment</v>
          </cell>
          <cell r="F1661">
            <v>0</v>
          </cell>
        </row>
        <row r="1662">
          <cell r="D1662" t="str">
            <v>Other Office Equipment</v>
          </cell>
          <cell r="F1662">
            <v>0</v>
          </cell>
        </row>
        <row r="1663">
          <cell r="D1663" t="str">
            <v>Other Office Equipment</v>
          </cell>
          <cell r="F1663">
            <v>0</v>
          </cell>
        </row>
        <row r="1664">
          <cell r="D1664" t="str">
            <v>Other Office Equipment</v>
          </cell>
          <cell r="F1664">
            <v>0</v>
          </cell>
        </row>
        <row r="1665">
          <cell r="D1665" t="str">
            <v>Other Office Equipment</v>
          </cell>
          <cell r="F1665">
            <v>0</v>
          </cell>
        </row>
        <row r="1666">
          <cell r="D1666" t="str">
            <v>Other Office Equipment</v>
          </cell>
          <cell r="F1666">
            <v>0</v>
          </cell>
        </row>
        <row r="1667">
          <cell r="D1667" t="str">
            <v>Other Office Equipment</v>
          </cell>
          <cell r="F1667">
            <v>0</v>
          </cell>
        </row>
        <row r="1668">
          <cell r="D1668" t="str">
            <v>Other Office Equipment</v>
          </cell>
          <cell r="F1668">
            <v>0</v>
          </cell>
        </row>
        <row r="1669">
          <cell r="D1669" t="str">
            <v>Other Office Equipment</v>
          </cell>
          <cell r="F1669">
            <v>0</v>
          </cell>
        </row>
        <row r="1670">
          <cell r="D1670" t="str">
            <v>Other Office Equipment</v>
          </cell>
          <cell r="F1670">
            <v>0</v>
          </cell>
        </row>
        <row r="1671">
          <cell r="D1671" t="str">
            <v>Other Office Equipment</v>
          </cell>
          <cell r="F1671">
            <v>0</v>
          </cell>
        </row>
        <row r="1672">
          <cell r="D1672" t="str">
            <v>Other Office Equipment</v>
          </cell>
          <cell r="F1672">
            <v>0</v>
          </cell>
        </row>
        <row r="1673">
          <cell r="D1673" t="str">
            <v>Other Office Equipment</v>
          </cell>
          <cell r="F1673">
            <v>0</v>
          </cell>
        </row>
        <row r="1674">
          <cell r="D1674" t="str">
            <v>Other Office Equipment</v>
          </cell>
          <cell r="F1674">
            <v>0</v>
          </cell>
        </row>
        <row r="1675">
          <cell r="D1675" t="str">
            <v>Other Office Equipment</v>
          </cell>
          <cell r="F1675">
            <v>0</v>
          </cell>
        </row>
        <row r="1676">
          <cell r="D1676" t="str">
            <v>Other Office Equipment</v>
          </cell>
          <cell r="F1676">
            <v>0</v>
          </cell>
        </row>
        <row r="1677">
          <cell r="D1677" t="str">
            <v>Other Office Equipment</v>
          </cell>
          <cell r="F1677">
            <v>0</v>
          </cell>
        </row>
        <row r="1678">
          <cell r="D1678" t="str">
            <v>Other Office Equipment</v>
          </cell>
          <cell r="F1678">
            <v>0</v>
          </cell>
        </row>
        <row r="1679">
          <cell r="D1679" t="str">
            <v>Other Office Equipment</v>
          </cell>
          <cell r="F1679">
            <v>0</v>
          </cell>
        </row>
        <row r="1680">
          <cell r="D1680" t="str">
            <v>Other Office Equipment</v>
          </cell>
          <cell r="F1680">
            <v>0</v>
          </cell>
        </row>
        <row r="1681">
          <cell r="D1681" t="str">
            <v>Other Office Equipment</v>
          </cell>
          <cell r="F1681">
            <v>0</v>
          </cell>
        </row>
        <row r="1682">
          <cell r="D1682" t="str">
            <v>Other Office Equipment</v>
          </cell>
          <cell r="F1682">
            <v>0</v>
          </cell>
        </row>
        <row r="1683">
          <cell r="D1683" t="str">
            <v>Other Office Equipment</v>
          </cell>
          <cell r="F1683">
            <v>0</v>
          </cell>
        </row>
        <row r="1684">
          <cell r="D1684" t="str">
            <v>Other Office Equipment</v>
          </cell>
          <cell r="F1684">
            <v>0</v>
          </cell>
        </row>
        <row r="1685">
          <cell r="D1685" t="str">
            <v>Other Office Equipment</v>
          </cell>
          <cell r="F1685">
            <v>0</v>
          </cell>
        </row>
        <row r="1686">
          <cell r="D1686" t="str">
            <v>Other Office Equipment</v>
          </cell>
          <cell r="F1686">
            <v>0</v>
          </cell>
        </row>
        <row r="1687">
          <cell r="D1687" t="str">
            <v>Other Office Equipment</v>
          </cell>
          <cell r="F1687">
            <v>0</v>
          </cell>
        </row>
        <row r="1688">
          <cell r="D1688" t="str">
            <v>Other Office Equipment</v>
          </cell>
          <cell r="F1688">
            <v>0</v>
          </cell>
        </row>
        <row r="1689">
          <cell r="D1689" t="str">
            <v>Other Office Equipment</v>
          </cell>
          <cell r="F1689">
            <v>0</v>
          </cell>
        </row>
        <row r="1690">
          <cell r="D1690" t="str">
            <v>Other Office Equipment</v>
          </cell>
          <cell r="F1690">
            <v>0</v>
          </cell>
        </row>
        <row r="1691">
          <cell r="D1691" t="str">
            <v>Other Office Equipment</v>
          </cell>
          <cell r="F1691">
            <v>0</v>
          </cell>
        </row>
        <row r="1692">
          <cell r="D1692" t="str">
            <v>Other Office Equipment</v>
          </cell>
          <cell r="F1692">
            <v>0</v>
          </cell>
        </row>
        <row r="1693">
          <cell r="D1693" t="str">
            <v>Other Office Equipment</v>
          </cell>
          <cell r="F1693">
            <v>0</v>
          </cell>
        </row>
        <row r="1694">
          <cell r="D1694" t="str">
            <v>Other Office Equipment</v>
          </cell>
          <cell r="F1694">
            <v>0</v>
          </cell>
        </row>
        <row r="1695">
          <cell r="D1695" t="str">
            <v>Other Office Equipment</v>
          </cell>
          <cell r="F1695">
            <v>0</v>
          </cell>
        </row>
        <row r="1696">
          <cell r="D1696" t="str">
            <v>Other Office Equipment</v>
          </cell>
          <cell r="F1696">
            <v>0</v>
          </cell>
        </row>
        <row r="1697">
          <cell r="D1697" t="str">
            <v>Other Office Equipment</v>
          </cell>
          <cell r="F1697">
            <v>0</v>
          </cell>
        </row>
        <row r="1698">
          <cell r="D1698" t="str">
            <v>Other Office Equipment</v>
          </cell>
          <cell r="F1698">
            <v>0</v>
          </cell>
        </row>
        <row r="1699">
          <cell r="D1699" t="str">
            <v>Other Office Equipment</v>
          </cell>
          <cell r="F1699">
            <v>0</v>
          </cell>
        </row>
        <row r="1700">
          <cell r="D1700" t="str">
            <v>Other Office Equipment</v>
          </cell>
          <cell r="F1700">
            <v>0</v>
          </cell>
        </row>
        <row r="1701">
          <cell r="D1701" t="str">
            <v>Other Office Equipment</v>
          </cell>
          <cell r="F1701">
            <v>0</v>
          </cell>
        </row>
        <row r="1702">
          <cell r="D1702" t="str">
            <v>Other Office Equipment</v>
          </cell>
          <cell r="F1702">
            <v>0</v>
          </cell>
        </row>
        <row r="1703">
          <cell r="D1703" t="str">
            <v>Other Office Equipment</v>
          </cell>
          <cell r="F1703">
            <v>0</v>
          </cell>
        </row>
        <row r="1704">
          <cell r="D1704" t="str">
            <v>Other Office Equipment</v>
          </cell>
          <cell r="F1704">
            <v>0</v>
          </cell>
        </row>
        <row r="1705">
          <cell r="D1705" t="str">
            <v>Other Office Equipment</v>
          </cell>
          <cell r="F1705">
            <v>0</v>
          </cell>
        </row>
        <row r="1706">
          <cell r="D1706" t="str">
            <v>Other Office Equipment</v>
          </cell>
          <cell r="F1706">
            <v>0</v>
          </cell>
        </row>
        <row r="1707">
          <cell r="D1707" t="str">
            <v>Other Office Equipment</v>
          </cell>
          <cell r="F1707">
            <v>0</v>
          </cell>
        </row>
        <row r="1708">
          <cell r="D1708" t="str">
            <v>Other Office Equipment</v>
          </cell>
          <cell r="F1708">
            <v>0</v>
          </cell>
        </row>
        <row r="1709">
          <cell r="D1709" t="str">
            <v>Other Office Equipment</v>
          </cell>
          <cell r="F1709">
            <v>0</v>
          </cell>
        </row>
        <row r="1710">
          <cell r="D1710" t="str">
            <v>Other Office Equipment</v>
          </cell>
          <cell r="F1710">
            <v>0</v>
          </cell>
        </row>
        <row r="1711">
          <cell r="D1711" t="str">
            <v>Other Office Equipment</v>
          </cell>
          <cell r="F1711">
            <v>0</v>
          </cell>
        </row>
        <row r="1712">
          <cell r="D1712" t="str">
            <v>Other Office Equipment</v>
          </cell>
          <cell r="F1712">
            <v>0</v>
          </cell>
        </row>
        <row r="1713">
          <cell r="D1713" t="str">
            <v>Other Office Equipment</v>
          </cell>
          <cell r="F1713">
            <v>0</v>
          </cell>
        </row>
        <row r="1714">
          <cell r="D1714" t="str">
            <v>Other Office Equipment</v>
          </cell>
          <cell r="F1714">
            <v>0</v>
          </cell>
        </row>
        <row r="1715">
          <cell r="D1715" t="str">
            <v>Other Office Equipment</v>
          </cell>
          <cell r="F1715">
            <v>0</v>
          </cell>
        </row>
        <row r="1716">
          <cell r="D1716" t="str">
            <v>Other Office Equipment</v>
          </cell>
          <cell r="F1716">
            <v>0</v>
          </cell>
        </row>
        <row r="1717">
          <cell r="D1717" t="str">
            <v>Other Office Equipment</v>
          </cell>
          <cell r="F1717">
            <v>0</v>
          </cell>
        </row>
        <row r="1718">
          <cell r="D1718" t="str">
            <v>Other Office Equipment</v>
          </cell>
          <cell r="F1718">
            <v>0</v>
          </cell>
        </row>
        <row r="1719">
          <cell r="D1719" t="str">
            <v>Other Office Equipment</v>
          </cell>
          <cell r="F1719">
            <v>0</v>
          </cell>
        </row>
        <row r="1720">
          <cell r="D1720" t="str">
            <v>Other Office Equipment</v>
          </cell>
          <cell r="F1720">
            <v>0</v>
          </cell>
        </row>
        <row r="1721">
          <cell r="D1721" t="str">
            <v>Other Office Equipment</v>
          </cell>
          <cell r="F1721">
            <v>0</v>
          </cell>
        </row>
        <row r="1722">
          <cell r="D1722" t="str">
            <v>Other Office Equipment</v>
          </cell>
          <cell r="F1722">
            <v>0</v>
          </cell>
        </row>
        <row r="1723">
          <cell r="D1723" t="str">
            <v>Other Office Equipment</v>
          </cell>
          <cell r="F1723">
            <v>0</v>
          </cell>
        </row>
        <row r="1724">
          <cell r="D1724" t="str">
            <v>Other Office Equipment</v>
          </cell>
          <cell r="F1724">
            <v>0</v>
          </cell>
        </row>
        <row r="1725">
          <cell r="D1725" t="str">
            <v>Other Office Equipment</v>
          </cell>
          <cell r="F1725">
            <v>0</v>
          </cell>
        </row>
        <row r="1726">
          <cell r="D1726" t="str">
            <v>Other Office Equipment</v>
          </cell>
          <cell r="F1726">
            <v>0</v>
          </cell>
        </row>
        <row r="1727">
          <cell r="D1727" t="str">
            <v>Other Office Equipment</v>
          </cell>
          <cell r="F1727">
            <v>0</v>
          </cell>
        </row>
        <row r="1728">
          <cell r="D1728" t="str">
            <v>Other Office Equipment</v>
          </cell>
          <cell r="F1728">
            <v>0</v>
          </cell>
        </row>
        <row r="1729">
          <cell r="D1729" t="str">
            <v>Other Office Equipment</v>
          </cell>
          <cell r="F1729">
            <v>0</v>
          </cell>
        </row>
        <row r="1730">
          <cell r="D1730" t="str">
            <v>Other Office Equipment</v>
          </cell>
          <cell r="F1730">
            <v>0</v>
          </cell>
        </row>
        <row r="1731">
          <cell r="D1731" t="str">
            <v>Other Office Equipment</v>
          </cell>
          <cell r="F1731">
            <v>0</v>
          </cell>
        </row>
        <row r="1732">
          <cell r="D1732" t="str">
            <v>Other Office Equipment</v>
          </cell>
          <cell r="F1732">
            <v>0</v>
          </cell>
        </row>
        <row r="1733">
          <cell r="D1733" t="str">
            <v>Other Office Equipment</v>
          </cell>
          <cell r="F1733">
            <v>0</v>
          </cell>
        </row>
        <row r="1734">
          <cell r="D1734" t="str">
            <v>Other Office Equipment</v>
          </cell>
          <cell r="F1734">
            <v>0</v>
          </cell>
        </row>
        <row r="1735">
          <cell r="D1735" t="str">
            <v>Other Office Equipment</v>
          </cell>
          <cell r="F1735">
            <v>0</v>
          </cell>
        </row>
        <row r="1736">
          <cell r="D1736" t="str">
            <v>Other Office Equipment</v>
          </cell>
          <cell r="F1736">
            <v>0</v>
          </cell>
        </row>
        <row r="1737">
          <cell r="D1737" t="str">
            <v>Other Office Equipment</v>
          </cell>
          <cell r="F1737">
            <v>0</v>
          </cell>
        </row>
        <row r="1738">
          <cell r="D1738" t="str">
            <v>Other Office Equipment</v>
          </cell>
          <cell r="F1738">
            <v>0</v>
          </cell>
        </row>
        <row r="1739">
          <cell r="D1739" t="str">
            <v>Other Office Equipment</v>
          </cell>
          <cell r="F1739">
            <v>0</v>
          </cell>
        </row>
        <row r="1740">
          <cell r="D1740" t="str">
            <v>Other Office Equipment</v>
          </cell>
          <cell r="F1740">
            <v>0</v>
          </cell>
        </row>
        <row r="1741">
          <cell r="D1741" t="str">
            <v>Other Office Equipment</v>
          </cell>
          <cell r="F1741">
            <v>0</v>
          </cell>
        </row>
        <row r="1742">
          <cell r="D1742" t="str">
            <v>Other Office Equipment</v>
          </cell>
          <cell r="F1742">
            <v>0</v>
          </cell>
        </row>
        <row r="1743">
          <cell r="D1743" t="str">
            <v>Other Office Equipment</v>
          </cell>
          <cell r="F1743">
            <v>0</v>
          </cell>
        </row>
        <row r="1744">
          <cell r="D1744" t="str">
            <v>Other Office Equipment</v>
          </cell>
          <cell r="F1744">
            <v>0</v>
          </cell>
        </row>
        <row r="1745">
          <cell r="D1745" t="str">
            <v>Other Office Equipment</v>
          </cell>
          <cell r="F1745">
            <v>0</v>
          </cell>
        </row>
        <row r="1746">
          <cell r="D1746" t="str">
            <v>Other Office Equipment</v>
          </cell>
          <cell r="F1746">
            <v>0</v>
          </cell>
        </row>
        <row r="1747">
          <cell r="D1747" t="str">
            <v>Other Office Equipment</v>
          </cell>
          <cell r="F1747">
            <v>0</v>
          </cell>
        </row>
        <row r="1748">
          <cell r="D1748" t="str">
            <v>Other Office Equipment</v>
          </cell>
          <cell r="F1748">
            <v>0</v>
          </cell>
        </row>
        <row r="1749">
          <cell r="D1749" t="str">
            <v>Other Office Equipment</v>
          </cell>
          <cell r="F1749">
            <v>0</v>
          </cell>
        </row>
        <row r="1750">
          <cell r="D1750" t="str">
            <v>Other Office Equipment</v>
          </cell>
          <cell r="F1750">
            <v>0</v>
          </cell>
        </row>
        <row r="1751">
          <cell r="D1751" t="str">
            <v>Other Office Equipment</v>
          </cell>
          <cell r="F1751">
            <v>0</v>
          </cell>
        </row>
        <row r="1752">
          <cell r="D1752" t="str">
            <v>Other Office Equipment</v>
          </cell>
          <cell r="F1752">
            <v>0</v>
          </cell>
        </row>
        <row r="1753">
          <cell r="D1753" t="str">
            <v>Other Office Equipment</v>
          </cell>
          <cell r="F1753">
            <v>0</v>
          </cell>
        </row>
        <row r="1754">
          <cell r="D1754" t="str">
            <v>Other Office Equipment</v>
          </cell>
          <cell r="F1754">
            <v>0</v>
          </cell>
        </row>
        <row r="1755">
          <cell r="D1755" t="str">
            <v>Other Office Equipment</v>
          </cell>
          <cell r="F1755">
            <v>0</v>
          </cell>
        </row>
        <row r="1756">
          <cell r="D1756" t="str">
            <v>Other Office Equipment</v>
          </cell>
          <cell r="F1756">
            <v>0</v>
          </cell>
        </row>
        <row r="1757">
          <cell r="D1757" t="str">
            <v>Other Office Equipment</v>
          </cell>
          <cell r="F1757">
            <v>0</v>
          </cell>
        </row>
        <row r="1758">
          <cell r="D1758" t="str">
            <v>Other Office Equipment</v>
          </cell>
          <cell r="F1758">
            <v>0</v>
          </cell>
        </row>
        <row r="1759">
          <cell r="D1759" t="str">
            <v>Other Office Equipment</v>
          </cell>
          <cell r="F1759">
            <v>0</v>
          </cell>
        </row>
        <row r="1760">
          <cell r="D1760" t="str">
            <v>Other Office Equipment</v>
          </cell>
          <cell r="F1760">
            <v>0</v>
          </cell>
        </row>
        <row r="1761">
          <cell r="D1761" t="str">
            <v>Other Office Equipment</v>
          </cell>
          <cell r="F1761">
            <v>0</v>
          </cell>
        </row>
        <row r="1762">
          <cell r="D1762" t="str">
            <v>Other Office Equipment</v>
          </cell>
          <cell r="F1762">
            <v>0</v>
          </cell>
        </row>
        <row r="1763">
          <cell r="D1763" t="str">
            <v>Other Office Equipment</v>
          </cell>
          <cell r="F1763">
            <v>0</v>
          </cell>
        </row>
        <row r="1764">
          <cell r="D1764" t="str">
            <v>Other Office Equipment</v>
          </cell>
          <cell r="F1764">
            <v>0</v>
          </cell>
        </row>
        <row r="1765">
          <cell r="D1765" t="str">
            <v>Other Office Equipment</v>
          </cell>
          <cell r="F1765">
            <v>0</v>
          </cell>
        </row>
        <row r="1766">
          <cell r="D1766" t="str">
            <v>Other Office Equipment</v>
          </cell>
          <cell r="F1766">
            <v>0</v>
          </cell>
        </row>
        <row r="1767">
          <cell r="D1767" t="str">
            <v>Other Office Equipment</v>
          </cell>
          <cell r="F1767">
            <v>0</v>
          </cell>
        </row>
        <row r="1768">
          <cell r="D1768" t="str">
            <v>Other Office Equipment</v>
          </cell>
          <cell r="F1768">
            <v>0</v>
          </cell>
        </row>
        <row r="1769">
          <cell r="D1769" t="str">
            <v>Other Office Equipment</v>
          </cell>
          <cell r="F1769">
            <v>0</v>
          </cell>
        </row>
        <row r="1770">
          <cell r="D1770" t="str">
            <v>Other Office Equipment</v>
          </cell>
          <cell r="F1770">
            <v>0</v>
          </cell>
        </row>
        <row r="1771">
          <cell r="D1771" t="str">
            <v>Other Office Equipment</v>
          </cell>
          <cell r="F1771">
            <v>0</v>
          </cell>
        </row>
        <row r="1772">
          <cell r="D1772" t="str">
            <v>Other Office Equipment</v>
          </cell>
          <cell r="F1772">
            <v>0</v>
          </cell>
        </row>
        <row r="1773">
          <cell r="D1773" t="str">
            <v>Other Office Equipment</v>
          </cell>
          <cell r="F1773">
            <v>0</v>
          </cell>
        </row>
        <row r="1774">
          <cell r="D1774" t="str">
            <v>Other Office Equipment</v>
          </cell>
          <cell r="F1774">
            <v>0</v>
          </cell>
        </row>
        <row r="1775">
          <cell r="D1775" t="str">
            <v>Other Office Equipment</v>
          </cell>
          <cell r="F1775">
            <v>0</v>
          </cell>
        </row>
        <row r="1776">
          <cell r="D1776" t="str">
            <v>Other Office Equipment</v>
          </cell>
          <cell r="F1776">
            <v>0</v>
          </cell>
        </row>
        <row r="1777">
          <cell r="D1777" t="str">
            <v>Other Office Equipment</v>
          </cell>
          <cell r="F1777">
            <v>0</v>
          </cell>
        </row>
        <row r="1778">
          <cell r="D1778" t="str">
            <v>Other Office Equipment</v>
          </cell>
          <cell r="F1778">
            <v>0</v>
          </cell>
        </row>
        <row r="1779">
          <cell r="D1779" t="str">
            <v>Other Office Equipment</v>
          </cell>
          <cell r="F1779">
            <v>0</v>
          </cell>
        </row>
        <row r="1780">
          <cell r="D1780" t="str">
            <v>Other Office Equipment</v>
          </cell>
          <cell r="F1780">
            <v>0</v>
          </cell>
        </row>
        <row r="1781">
          <cell r="D1781" t="str">
            <v>Other Office Equipment</v>
          </cell>
          <cell r="F1781">
            <v>0</v>
          </cell>
        </row>
        <row r="1782">
          <cell r="D1782" t="str">
            <v>Other Office Equipment</v>
          </cell>
          <cell r="F1782">
            <v>0</v>
          </cell>
        </row>
        <row r="1783">
          <cell r="D1783" t="str">
            <v>Other Office Equipment</v>
          </cell>
          <cell r="F1783">
            <v>0</v>
          </cell>
        </row>
        <row r="1784">
          <cell r="D1784" t="str">
            <v>Other Office Equipment</v>
          </cell>
          <cell r="F1784">
            <v>0</v>
          </cell>
        </row>
        <row r="1785">
          <cell r="D1785" t="str">
            <v>Other Office Equipment</v>
          </cell>
          <cell r="F1785">
            <v>0</v>
          </cell>
        </row>
        <row r="1786">
          <cell r="D1786" t="str">
            <v>Other Office Equipment</v>
          </cell>
          <cell r="F1786">
            <v>0</v>
          </cell>
        </row>
        <row r="1787">
          <cell r="D1787" t="str">
            <v>Other Office Equipment</v>
          </cell>
          <cell r="F1787">
            <v>0</v>
          </cell>
        </row>
        <row r="1788">
          <cell r="D1788" t="str">
            <v>Other Office Equipment</v>
          </cell>
          <cell r="F1788">
            <v>0</v>
          </cell>
        </row>
        <row r="1789">
          <cell r="D1789" t="str">
            <v>Other Office Equipment</v>
          </cell>
          <cell r="F1789">
            <v>0</v>
          </cell>
        </row>
        <row r="1790">
          <cell r="D1790" t="str">
            <v>Other Office Equipment</v>
          </cell>
          <cell r="F1790">
            <v>0</v>
          </cell>
        </row>
        <row r="1791">
          <cell r="D1791" t="str">
            <v>Other Office Equipment</v>
          </cell>
          <cell r="F1791">
            <v>0</v>
          </cell>
        </row>
        <row r="1792">
          <cell r="D1792" t="str">
            <v>Other Office Equipment</v>
          </cell>
          <cell r="F1792">
            <v>0</v>
          </cell>
        </row>
        <row r="1793">
          <cell r="D1793" t="str">
            <v>Other Office Equipment</v>
          </cell>
          <cell r="F1793">
            <v>0</v>
          </cell>
        </row>
        <row r="1794">
          <cell r="D1794" t="str">
            <v>Other Office Equipment</v>
          </cell>
          <cell r="F1794">
            <v>0</v>
          </cell>
        </row>
        <row r="1795">
          <cell r="D1795" t="str">
            <v>Other Office Equipment</v>
          </cell>
          <cell r="F1795">
            <v>0</v>
          </cell>
        </row>
        <row r="1796">
          <cell r="D1796" t="str">
            <v>Other Office Equipment</v>
          </cell>
          <cell r="F1796">
            <v>0</v>
          </cell>
        </row>
        <row r="1797">
          <cell r="D1797" t="str">
            <v>Other Office Equipment</v>
          </cell>
          <cell r="F1797">
            <v>0</v>
          </cell>
        </row>
        <row r="1798">
          <cell r="D1798" t="str">
            <v>Other Office Equipment</v>
          </cell>
          <cell r="F1798">
            <v>0</v>
          </cell>
        </row>
        <row r="1799">
          <cell r="D1799" t="str">
            <v>Other Office Equipment</v>
          </cell>
          <cell r="F1799">
            <v>0</v>
          </cell>
        </row>
        <row r="1800">
          <cell r="D1800" t="str">
            <v>Other Office Equipment</v>
          </cell>
          <cell r="F1800">
            <v>0</v>
          </cell>
        </row>
        <row r="1801">
          <cell r="D1801" t="str">
            <v>Other Office Equipment</v>
          </cell>
          <cell r="F1801">
            <v>0</v>
          </cell>
        </row>
        <row r="1802">
          <cell r="D1802" t="str">
            <v>Other Office Equipment</v>
          </cell>
          <cell r="F1802">
            <v>0</v>
          </cell>
        </row>
        <row r="1803">
          <cell r="D1803" t="str">
            <v>Other Office Equipment</v>
          </cell>
          <cell r="F1803">
            <v>0</v>
          </cell>
        </row>
        <row r="1804">
          <cell r="D1804" t="str">
            <v>Other Office Equipment</v>
          </cell>
          <cell r="F1804">
            <v>0</v>
          </cell>
        </row>
        <row r="1805">
          <cell r="D1805" t="str">
            <v>Other Office Equipment</v>
          </cell>
          <cell r="F1805">
            <v>0</v>
          </cell>
        </row>
        <row r="1806">
          <cell r="D1806" t="str">
            <v>Other Office Equipment</v>
          </cell>
          <cell r="F1806">
            <v>0</v>
          </cell>
        </row>
        <row r="1807">
          <cell r="D1807" t="str">
            <v>Other Office Equipment</v>
          </cell>
          <cell r="F1807">
            <v>0</v>
          </cell>
        </row>
        <row r="1808">
          <cell r="D1808" t="str">
            <v>Other Office Equipment</v>
          </cell>
          <cell r="F1808">
            <v>0</v>
          </cell>
        </row>
        <row r="1809">
          <cell r="D1809" t="str">
            <v>Other Office Equipment</v>
          </cell>
          <cell r="F1809">
            <v>0</v>
          </cell>
        </row>
        <row r="1810">
          <cell r="D1810" t="str">
            <v>Other Office Equipment</v>
          </cell>
          <cell r="F1810">
            <v>0</v>
          </cell>
        </row>
        <row r="1811">
          <cell r="D1811" t="str">
            <v>Other Office Equipment</v>
          </cell>
          <cell r="F1811">
            <v>0</v>
          </cell>
        </row>
        <row r="1812">
          <cell r="D1812" t="str">
            <v>Other Office Equipment</v>
          </cell>
          <cell r="F1812">
            <v>0</v>
          </cell>
        </row>
        <row r="1813">
          <cell r="D1813" t="str">
            <v>Other Office Equipment</v>
          </cell>
          <cell r="F1813">
            <v>0</v>
          </cell>
        </row>
        <row r="1814">
          <cell r="D1814" t="str">
            <v>Other Office Equipment</v>
          </cell>
          <cell r="F1814">
            <v>0</v>
          </cell>
        </row>
        <row r="1815">
          <cell r="D1815" t="str">
            <v>Other Office Equipment</v>
          </cell>
          <cell r="F1815">
            <v>0</v>
          </cell>
        </row>
        <row r="1816">
          <cell r="D1816" t="str">
            <v>Other Office Equipment</v>
          </cell>
          <cell r="F1816">
            <v>0</v>
          </cell>
        </row>
        <row r="1817">
          <cell r="D1817" t="str">
            <v>Other Office Equipment</v>
          </cell>
          <cell r="F1817">
            <v>0</v>
          </cell>
        </row>
        <row r="1818">
          <cell r="D1818" t="str">
            <v>Other Office Equipment</v>
          </cell>
          <cell r="F1818">
            <v>0</v>
          </cell>
        </row>
        <row r="1819">
          <cell r="D1819" t="str">
            <v>Other Office Equipment</v>
          </cell>
          <cell r="F1819">
            <v>0</v>
          </cell>
        </row>
        <row r="1820">
          <cell r="D1820" t="str">
            <v>Other Office Equipment</v>
          </cell>
          <cell r="F1820">
            <v>0</v>
          </cell>
        </row>
        <row r="1821">
          <cell r="D1821" t="str">
            <v>Other Office Equipment</v>
          </cell>
          <cell r="F1821">
            <v>0</v>
          </cell>
        </row>
        <row r="1822">
          <cell r="D1822" t="str">
            <v>Other Office Equipment</v>
          </cell>
          <cell r="F1822">
            <v>0</v>
          </cell>
        </row>
        <row r="1823">
          <cell r="D1823" t="str">
            <v>Other Office Equipment</v>
          </cell>
          <cell r="F1823">
            <v>0</v>
          </cell>
        </row>
        <row r="1824">
          <cell r="D1824" t="str">
            <v>Other Office Equipment</v>
          </cell>
          <cell r="F1824">
            <v>0</v>
          </cell>
        </row>
        <row r="1825">
          <cell r="D1825" t="str">
            <v>Other Office Equipment</v>
          </cell>
          <cell r="F1825">
            <v>0</v>
          </cell>
        </row>
        <row r="1826">
          <cell r="D1826" t="str">
            <v>Other Office Equipment</v>
          </cell>
          <cell r="F1826">
            <v>0</v>
          </cell>
        </row>
        <row r="1827">
          <cell r="D1827" t="str">
            <v>Other Office Equipment</v>
          </cell>
          <cell r="F1827">
            <v>0</v>
          </cell>
        </row>
        <row r="1828">
          <cell r="D1828" t="str">
            <v>Other Office Equipment</v>
          </cell>
          <cell r="F1828">
            <v>0</v>
          </cell>
        </row>
        <row r="1829">
          <cell r="D1829" t="str">
            <v>Other Office Equipment</v>
          </cell>
          <cell r="F1829">
            <v>0</v>
          </cell>
        </row>
        <row r="1830">
          <cell r="D1830" t="str">
            <v>Other Office Equipment</v>
          </cell>
          <cell r="F1830">
            <v>0</v>
          </cell>
        </row>
        <row r="1831">
          <cell r="D1831" t="str">
            <v>Other Office Equipment</v>
          </cell>
          <cell r="F1831">
            <v>0</v>
          </cell>
        </row>
        <row r="1832">
          <cell r="D1832" t="str">
            <v>Other Office Equipment</v>
          </cell>
          <cell r="F1832">
            <v>0</v>
          </cell>
        </row>
        <row r="1833">
          <cell r="D1833" t="str">
            <v>Other Office Equipment</v>
          </cell>
          <cell r="F1833">
            <v>0</v>
          </cell>
        </row>
        <row r="1834">
          <cell r="D1834" t="str">
            <v>Other Office Equipment</v>
          </cell>
          <cell r="F1834">
            <v>0</v>
          </cell>
        </row>
        <row r="1835">
          <cell r="D1835" t="str">
            <v>Other Office Equipment</v>
          </cell>
          <cell r="F1835">
            <v>0</v>
          </cell>
        </row>
        <row r="1836">
          <cell r="D1836" t="str">
            <v>Other Office Equipment</v>
          </cell>
          <cell r="F1836">
            <v>0</v>
          </cell>
        </row>
        <row r="1837">
          <cell r="D1837" t="str">
            <v>Other Office Equipment</v>
          </cell>
          <cell r="F1837">
            <v>0</v>
          </cell>
        </row>
        <row r="1838">
          <cell r="D1838" t="str">
            <v>Other Office Equipment</v>
          </cell>
          <cell r="F1838">
            <v>0</v>
          </cell>
        </row>
        <row r="1839">
          <cell r="D1839" t="str">
            <v>Other Office Equipment</v>
          </cell>
          <cell r="F1839">
            <v>0</v>
          </cell>
        </row>
        <row r="1840">
          <cell r="D1840" t="str">
            <v>Other Office Equipment</v>
          </cell>
          <cell r="F1840">
            <v>0</v>
          </cell>
        </row>
        <row r="1841">
          <cell r="D1841" t="str">
            <v>Other Office Equipment</v>
          </cell>
          <cell r="F1841">
            <v>0</v>
          </cell>
        </row>
        <row r="1842">
          <cell r="D1842" t="str">
            <v>Other Office Equipment</v>
          </cell>
          <cell r="F1842">
            <v>0</v>
          </cell>
        </row>
        <row r="1843">
          <cell r="D1843" t="str">
            <v>Other Office Equipment</v>
          </cell>
          <cell r="F1843">
            <v>0</v>
          </cell>
        </row>
        <row r="1844">
          <cell r="D1844" t="str">
            <v>Other Office Equipment</v>
          </cell>
          <cell r="F1844">
            <v>0</v>
          </cell>
        </row>
        <row r="1845">
          <cell r="D1845" t="str">
            <v>Other Office Equipment</v>
          </cell>
          <cell r="F1845">
            <v>0</v>
          </cell>
        </row>
        <row r="1846">
          <cell r="D1846" t="str">
            <v>Other Office Equipment</v>
          </cell>
          <cell r="F1846">
            <v>0</v>
          </cell>
        </row>
        <row r="1847">
          <cell r="D1847" t="str">
            <v>Other Office Equipment</v>
          </cell>
          <cell r="F1847">
            <v>0</v>
          </cell>
        </row>
        <row r="1848">
          <cell r="D1848" t="str">
            <v>Other Office Equipment</v>
          </cell>
          <cell r="F1848">
            <v>0</v>
          </cell>
        </row>
        <row r="1849">
          <cell r="D1849" t="str">
            <v>Other Office Equipment</v>
          </cell>
          <cell r="F1849">
            <v>0</v>
          </cell>
        </row>
        <row r="1850">
          <cell r="D1850" t="str">
            <v>Other Office Equipment</v>
          </cell>
          <cell r="F1850">
            <v>0</v>
          </cell>
        </row>
        <row r="1851">
          <cell r="D1851" t="str">
            <v>Other Office Equipment</v>
          </cell>
          <cell r="F1851">
            <v>0</v>
          </cell>
        </row>
        <row r="1852">
          <cell r="D1852" t="str">
            <v>Other Office Equipment</v>
          </cell>
          <cell r="F1852">
            <v>0</v>
          </cell>
        </row>
        <row r="1853">
          <cell r="D1853" t="str">
            <v>Other Office Equipment</v>
          </cell>
          <cell r="F1853">
            <v>0</v>
          </cell>
        </row>
        <row r="1854">
          <cell r="D1854" t="str">
            <v>Other Office Equipment</v>
          </cell>
          <cell r="F1854">
            <v>0</v>
          </cell>
        </row>
        <row r="1855">
          <cell r="D1855" t="str">
            <v>Other Office Equipment</v>
          </cell>
          <cell r="F1855">
            <v>0</v>
          </cell>
        </row>
        <row r="1856">
          <cell r="D1856" t="str">
            <v>Other Office Equipment</v>
          </cell>
          <cell r="F1856">
            <v>0</v>
          </cell>
        </row>
        <row r="1857">
          <cell r="D1857" t="str">
            <v>Other Office Equipment</v>
          </cell>
          <cell r="F1857">
            <v>0</v>
          </cell>
        </row>
        <row r="1858">
          <cell r="D1858" t="str">
            <v>Other Office Equipment</v>
          </cell>
          <cell r="F1858">
            <v>0</v>
          </cell>
        </row>
        <row r="1859">
          <cell r="D1859" t="str">
            <v>Other Office Equipment</v>
          </cell>
          <cell r="F1859">
            <v>0</v>
          </cell>
        </row>
        <row r="1860">
          <cell r="D1860" t="str">
            <v>Other Office Equipment</v>
          </cell>
          <cell r="F1860">
            <v>0</v>
          </cell>
        </row>
        <row r="1861">
          <cell r="D1861" t="str">
            <v>Other Office Equipment</v>
          </cell>
          <cell r="F1861">
            <v>0</v>
          </cell>
        </row>
        <row r="1862">
          <cell r="D1862" t="str">
            <v>Other Office Equipment</v>
          </cell>
          <cell r="F1862">
            <v>0</v>
          </cell>
        </row>
        <row r="1863">
          <cell r="D1863" t="str">
            <v>Other Office Equipment</v>
          </cell>
          <cell r="F1863">
            <v>0</v>
          </cell>
        </row>
        <row r="1864">
          <cell r="D1864" t="str">
            <v>Other Office Equipment</v>
          </cell>
          <cell r="F1864">
            <v>0</v>
          </cell>
        </row>
        <row r="1865">
          <cell r="D1865" t="str">
            <v>Other Office Equipment</v>
          </cell>
          <cell r="F1865">
            <v>0</v>
          </cell>
        </row>
        <row r="1866">
          <cell r="D1866" t="str">
            <v>Other Office Equipment</v>
          </cell>
          <cell r="F1866">
            <v>0</v>
          </cell>
        </row>
        <row r="1867">
          <cell r="D1867" t="str">
            <v>Other Office Equipment</v>
          </cell>
          <cell r="F1867">
            <v>0</v>
          </cell>
        </row>
        <row r="1868">
          <cell r="D1868" t="str">
            <v>Other Office Equipment</v>
          </cell>
          <cell r="F1868">
            <v>0</v>
          </cell>
        </row>
        <row r="1869">
          <cell r="D1869" t="str">
            <v>Other Office Equipment</v>
          </cell>
          <cell r="F1869">
            <v>0</v>
          </cell>
        </row>
        <row r="1870">
          <cell r="D1870" t="str">
            <v>Other Office Equipment</v>
          </cell>
          <cell r="F1870">
            <v>0</v>
          </cell>
        </row>
        <row r="1871">
          <cell r="D1871" t="str">
            <v>Other Office Equipment</v>
          </cell>
          <cell r="F1871">
            <v>0</v>
          </cell>
        </row>
        <row r="1872">
          <cell r="D1872" t="str">
            <v>Other Office Equipment</v>
          </cell>
          <cell r="F1872">
            <v>0</v>
          </cell>
        </row>
        <row r="1873">
          <cell r="D1873" t="str">
            <v>Other Office Equipment</v>
          </cell>
          <cell r="F1873">
            <v>0</v>
          </cell>
        </row>
        <row r="1874">
          <cell r="D1874" t="str">
            <v>Other Office Equipment</v>
          </cell>
          <cell r="F1874">
            <v>0</v>
          </cell>
        </row>
        <row r="1875">
          <cell r="D1875" t="str">
            <v>Other Office Equipment</v>
          </cell>
          <cell r="F1875">
            <v>0</v>
          </cell>
        </row>
        <row r="1876">
          <cell r="D1876" t="str">
            <v>Other Office Equipment</v>
          </cell>
          <cell r="F1876">
            <v>0</v>
          </cell>
        </row>
        <row r="1877">
          <cell r="D1877" t="str">
            <v>Other Office Equipment</v>
          </cell>
          <cell r="F1877">
            <v>0</v>
          </cell>
        </row>
        <row r="1878">
          <cell r="D1878" t="str">
            <v>Other Office Equipment</v>
          </cell>
          <cell r="F1878">
            <v>0</v>
          </cell>
        </row>
        <row r="1879">
          <cell r="D1879" t="str">
            <v>Other Office Equipment</v>
          </cell>
          <cell r="F1879">
            <v>0</v>
          </cell>
        </row>
        <row r="1880">
          <cell r="D1880" t="str">
            <v>Other Office Equipment</v>
          </cell>
          <cell r="F1880">
            <v>0</v>
          </cell>
        </row>
        <row r="1881">
          <cell r="D1881" t="str">
            <v>Other Office Equipment</v>
          </cell>
          <cell r="F1881">
            <v>0</v>
          </cell>
        </row>
        <row r="1882">
          <cell r="D1882" t="str">
            <v>Other Office Equipment</v>
          </cell>
          <cell r="F1882">
            <v>0</v>
          </cell>
        </row>
        <row r="1883">
          <cell r="D1883" t="str">
            <v>Other Office Equipment</v>
          </cell>
          <cell r="F1883">
            <v>0</v>
          </cell>
        </row>
        <row r="1884">
          <cell r="D1884" t="str">
            <v>Other Office Equipment</v>
          </cell>
          <cell r="F1884">
            <v>0</v>
          </cell>
        </row>
        <row r="1885">
          <cell r="D1885" t="str">
            <v>Other Office Equipment</v>
          </cell>
          <cell r="F1885">
            <v>0</v>
          </cell>
        </row>
        <row r="1886">
          <cell r="D1886" t="str">
            <v>Other Office Equipment</v>
          </cell>
          <cell r="F1886">
            <v>0</v>
          </cell>
        </row>
        <row r="1887">
          <cell r="D1887" t="str">
            <v>Other Office Equipment</v>
          </cell>
          <cell r="F1887">
            <v>0</v>
          </cell>
        </row>
        <row r="1888">
          <cell r="D1888" t="str">
            <v>Other Office Equipment</v>
          </cell>
          <cell r="F1888">
            <v>0</v>
          </cell>
        </row>
        <row r="1889">
          <cell r="D1889" t="str">
            <v>Other Office Equipment</v>
          </cell>
          <cell r="F1889">
            <v>0</v>
          </cell>
        </row>
        <row r="1890">
          <cell r="D1890" t="str">
            <v>Other Office Equipment</v>
          </cell>
          <cell r="F1890">
            <v>0</v>
          </cell>
        </row>
        <row r="1891">
          <cell r="D1891" t="str">
            <v>Other Office Equipment</v>
          </cell>
          <cell r="F1891">
            <v>0</v>
          </cell>
        </row>
        <row r="1892">
          <cell r="D1892" t="str">
            <v>Other Office Equipment</v>
          </cell>
          <cell r="F1892">
            <v>0</v>
          </cell>
        </row>
        <row r="1893">
          <cell r="D1893" t="str">
            <v>Other Office Equipment</v>
          </cell>
          <cell r="F1893">
            <v>0</v>
          </cell>
        </row>
        <row r="1894">
          <cell r="D1894" t="str">
            <v>Other Office Equipment</v>
          </cell>
          <cell r="F1894">
            <v>0</v>
          </cell>
        </row>
        <row r="1895">
          <cell r="D1895" t="str">
            <v>Other Office Equipment</v>
          </cell>
          <cell r="F1895">
            <v>0</v>
          </cell>
        </row>
        <row r="1896">
          <cell r="D1896" t="str">
            <v>Other Office Equipment</v>
          </cell>
          <cell r="F1896">
            <v>0</v>
          </cell>
        </row>
        <row r="1897">
          <cell r="D1897" t="str">
            <v>Other Office Equipment</v>
          </cell>
          <cell r="F1897">
            <v>0</v>
          </cell>
        </row>
        <row r="1898">
          <cell r="D1898" t="str">
            <v>Other Office Equipment</v>
          </cell>
          <cell r="F1898">
            <v>0</v>
          </cell>
        </row>
        <row r="1899">
          <cell r="D1899" t="str">
            <v>Other Office Equipment</v>
          </cell>
          <cell r="F1899">
            <v>0</v>
          </cell>
        </row>
        <row r="1900">
          <cell r="D1900" t="str">
            <v>Other Office Equipment</v>
          </cell>
          <cell r="F1900">
            <v>0</v>
          </cell>
        </row>
        <row r="1901">
          <cell r="D1901" t="str">
            <v>Other Office Equipment</v>
          </cell>
          <cell r="F1901">
            <v>0</v>
          </cell>
        </row>
        <row r="1902">
          <cell r="D1902" t="str">
            <v>Other Office Equipment</v>
          </cell>
          <cell r="F1902">
            <v>0</v>
          </cell>
        </row>
        <row r="1903">
          <cell r="D1903" t="str">
            <v>Other Office Equipment</v>
          </cell>
          <cell r="F1903">
            <v>0</v>
          </cell>
        </row>
        <row r="1904">
          <cell r="D1904" t="str">
            <v>Other Office Equipment</v>
          </cell>
          <cell r="F1904">
            <v>0</v>
          </cell>
        </row>
        <row r="1905">
          <cell r="D1905" t="str">
            <v>Other Office Equipment</v>
          </cell>
          <cell r="F1905">
            <v>0</v>
          </cell>
        </row>
        <row r="1906">
          <cell r="D1906" t="str">
            <v>Other Office Equipment</v>
          </cell>
          <cell r="F1906">
            <v>0</v>
          </cell>
        </row>
        <row r="1907">
          <cell r="D1907" t="str">
            <v>Other Office Equipment</v>
          </cell>
          <cell r="F1907">
            <v>0</v>
          </cell>
        </row>
        <row r="1908">
          <cell r="D1908" t="str">
            <v>Other Office Equipment</v>
          </cell>
          <cell r="F1908">
            <v>0</v>
          </cell>
        </row>
        <row r="1909">
          <cell r="D1909" t="str">
            <v>Other Office Equipment</v>
          </cell>
          <cell r="F1909">
            <v>0</v>
          </cell>
        </row>
        <row r="1910">
          <cell r="D1910" t="str">
            <v>Other Office Equipment</v>
          </cell>
          <cell r="F1910">
            <v>0</v>
          </cell>
        </row>
        <row r="1911">
          <cell r="D1911" t="str">
            <v>Other Office Equipment</v>
          </cell>
          <cell r="F1911">
            <v>0</v>
          </cell>
        </row>
        <row r="1912">
          <cell r="D1912" t="str">
            <v>Other Office Equipment</v>
          </cell>
          <cell r="F1912">
            <v>0</v>
          </cell>
        </row>
        <row r="1913">
          <cell r="D1913" t="str">
            <v>Other Office Equipment</v>
          </cell>
          <cell r="F1913">
            <v>0</v>
          </cell>
        </row>
        <row r="1914">
          <cell r="D1914" t="str">
            <v>Other Office Equipment</v>
          </cell>
          <cell r="F1914">
            <v>0</v>
          </cell>
        </row>
        <row r="1915">
          <cell r="D1915" t="str">
            <v>Other Office Equipment</v>
          </cell>
          <cell r="F1915">
            <v>0</v>
          </cell>
        </row>
        <row r="1916">
          <cell r="D1916" t="str">
            <v>Other Office Equipment</v>
          </cell>
          <cell r="F1916">
            <v>0</v>
          </cell>
        </row>
        <row r="1917">
          <cell r="D1917" t="str">
            <v>Other Office Equipment</v>
          </cell>
          <cell r="F1917">
            <v>0</v>
          </cell>
        </row>
        <row r="1918">
          <cell r="D1918" t="str">
            <v>Other Office Equipment</v>
          </cell>
          <cell r="F1918">
            <v>0</v>
          </cell>
        </row>
        <row r="1919">
          <cell r="D1919" t="str">
            <v>Other Office Equipment</v>
          </cell>
          <cell r="F1919">
            <v>0</v>
          </cell>
        </row>
        <row r="1920">
          <cell r="D1920" t="str">
            <v>Other Office Equipment</v>
          </cell>
          <cell r="F1920">
            <v>0</v>
          </cell>
        </row>
        <row r="1921">
          <cell r="D1921" t="str">
            <v>Other Office Equipment</v>
          </cell>
          <cell r="F1921">
            <v>0</v>
          </cell>
        </row>
        <row r="1922">
          <cell r="D1922" t="str">
            <v>Other Office Equipment</v>
          </cell>
          <cell r="F1922">
            <v>0</v>
          </cell>
        </row>
        <row r="1923">
          <cell r="D1923" t="str">
            <v>Other Office Equipment</v>
          </cell>
          <cell r="F1923">
            <v>0</v>
          </cell>
        </row>
        <row r="1924">
          <cell r="D1924" t="str">
            <v>Other Office Equipment</v>
          </cell>
          <cell r="F1924">
            <v>0</v>
          </cell>
        </row>
        <row r="1925">
          <cell r="D1925" t="str">
            <v>Other Office Equipment</v>
          </cell>
          <cell r="F1925">
            <v>0</v>
          </cell>
        </row>
        <row r="1926">
          <cell r="D1926" t="str">
            <v>Other Office Equipment</v>
          </cell>
          <cell r="F1926">
            <v>0</v>
          </cell>
        </row>
        <row r="1927">
          <cell r="D1927" t="str">
            <v>Other Office Equipment</v>
          </cell>
          <cell r="F1927">
            <v>0</v>
          </cell>
        </row>
        <row r="1928">
          <cell r="D1928" t="str">
            <v>Other Office Equipment</v>
          </cell>
          <cell r="F1928">
            <v>0</v>
          </cell>
        </row>
        <row r="1929">
          <cell r="D1929" t="str">
            <v>Other Office Equipment</v>
          </cell>
          <cell r="F1929">
            <v>0</v>
          </cell>
        </row>
        <row r="1930">
          <cell r="D1930" t="str">
            <v>Other Office Equipment</v>
          </cell>
          <cell r="F1930">
            <v>0</v>
          </cell>
        </row>
        <row r="1931">
          <cell r="D1931" t="str">
            <v>Other Office Equipment</v>
          </cell>
          <cell r="F1931">
            <v>0</v>
          </cell>
        </row>
        <row r="1932">
          <cell r="D1932" t="str">
            <v>Other Office Equipment</v>
          </cell>
          <cell r="F1932">
            <v>0</v>
          </cell>
        </row>
        <row r="1933">
          <cell r="D1933" t="str">
            <v>Other Office Equipment</v>
          </cell>
          <cell r="F1933">
            <v>0</v>
          </cell>
        </row>
        <row r="1934">
          <cell r="D1934" t="str">
            <v>Other Office Equipment</v>
          </cell>
          <cell r="F1934">
            <v>0</v>
          </cell>
        </row>
        <row r="1935">
          <cell r="D1935" t="str">
            <v>Other Office Equipment</v>
          </cell>
          <cell r="F1935">
            <v>0</v>
          </cell>
        </row>
        <row r="1936">
          <cell r="D1936" t="str">
            <v>Other Office Equipment</v>
          </cell>
          <cell r="F1936">
            <v>0</v>
          </cell>
        </row>
        <row r="1937">
          <cell r="D1937" t="str">
            <v>Other Office Equipment</v>
          </cell>
          <cell r="F1937">
            <v>0</v>
          </cell>
        </row>
        <row r="1938">
          <cell r="D1938" t="str">
            <v>Other Office Equipment</v>
          </cell>
          <cell r="F1938">
            <v>0</v>
          </cell>
        </row>
        <row r="1939">
          <cell r="D1939" t="str">
            <v>Other Office Equipment</v>
          </cell>
          <cell r="F1939">
            <v>0</v>
          </cell>
        </row>
        <row r="1940">
          <cell r="D1940" t="str">
            <v>Other Office Equipment</v>
          </cell>
          <cell r="F1940">
            <v>0</v>
          </cell>
        </row>
        <row r="1941">
          <cell r="D1941" t="str">
            <v>Other Office Equipment</v>
          </cell>
          <cell r="F1941">
            <v>0</v>
          </cell>
        </row>
        <row r="1942">
          <cell r="D1942" t="str">
            <v>Other Office Equipment</v>
          </cell>
          <cell r="F1942">
            <v>0</v>
          </cell>
        </row>
        <row r="1943">
          <cell r="D1943" t="str">
            <v>Other Office Equipment</v>
          </cell>
          <cell r="F1943">
            <v>0</v>
          </cell>
        </row>
        <row r="1944">
          <cell r="D1944" t="str">
            <v>Other Office Equipment</v>
          </cell>
          <cell r="F1944">
            <v>0</v>
          </cell>
        </row>
        <row r="1945">
          <cell r="D1945" t="str">
            <v>Other Office Equipment</v>
          </cell>
          <cell r="F1945">
            <v>0</v>
          </cell>
        </row>
        <row r="1946">
          <cell r="D1946" t="str">
            <v>Other Office Equipment</v>
          </cell>
          <cell r="F1946">
            <v>0</v>
          </cell>
        </row>
        <row r="1947">
          <cell r="D1947" t="str">
            <v>Other Office Equipment</v>
          </cell>
          <cell r="F1947">
            <v>0</v>
          </cell>
        </row>
        <row r="1948">
          <cell r="D1948" t="str">
            <v>Other Office Equipment</v>
          </cell>
          <cell r="F1948">
            <v>0</v>
          </cell>
        </row>
        <row r="1949">
          <cell r="D1949" t="str">
            <v>Other Office Equipment</v>
          </cell>
          <cell r="F1949">
            <v>0</v>
          </cell>
        </row>
        <row r="1950">
          <cell r="D1950" t="str">
            <v>Other Office Equipment</v>
          </cell>
          <cell r="F1950">
            <v>0</v>
          </cell>
        </row>
        <row r="1951">
          <cell r="D1951" t="str">
            <v>Other Office Equipment</v>
          </cell>
          <cell r="F1951">
            <v>0</v>
          </cell>
        </row>
        <row r="1952">
          <cell r="D1952" t="str">
            <v>Other Office Equipment</v>
          </cell>
          <cell r="F1952">
            <v>0</v>
          </cell>
        </row>
        <row r="1953">
          <cell r="D1953" t="str">
            <v>Other Office Equipment</v>
          </cell>
          <cell r="F1953">
            <v>0</v>
          </cell>
        </row>
        <row r="1954">
          <cell r="D1954" t="str">
            <v>Other Office Equipment</v>
          </cell>
          <cell r="F1954">
            <v>0</v>
          </cell>
        </row>
        <row r="1955">
          <cell r="D1955" t="str">
            <v>Other Office Equipment</v>
          </cell>
          <cell r="F1955">
            <v>0</v>
          </cell>
        </row>
        <row r="1956">
          <cell r="D1956" t="str">
            <v>Other Office Equipment</v>
          </cell>
          <cell r="F1956">
            <v>0</v>
          </cell>
        </row>
        <row r="1957">
          <cell r="D1957" t="str">
            <v>Other Office Equipment</v>
          </cell>
          <cell r="F1957">
            <v>0</v>
          </cell>
        </row>
        <row r="1958">
          <cell r="D1958" t="str">
            <v>Other Office Equipment</v>
          </cell>
          <cell r="F1958">
            <v>0</v>
          </cell>
        </row>
        <row r="1959">
          <cell r="D1959" t="str">
            <v>Other Office Equipment</v>
          </cell>
          <cell r="F1959">
            <v>0</v>
          </cell>
        </row>
        <row r="1960">
          <cell r="D1960" t="str">
            <v>Other Office Equipment</v>
          </cell>
          <cell r="F1960">
            <v>0</v>
          </cell>
        </row>
        <row r="1961">
          <cell r="D1961" t="str">
            <v>Other Office Equipment</v>
          </cell>
          <cell r="F1961">
            <v>0</v>
          </cell>
        </row>
        <row r="1962">
          <cell r="D1962" t="str">
            <v>Other Office Equipment</v>
          </cell>
          <cell r="F1962">
            <v>0</v>
          </cell>
        </row>
        <row r="1963">
          <cell r="D1963" t="str">
            <v>Other Office Equipment</v>
          </cell>
          <cell r="F1963">
            <v>0</v>
          </cell>
        </row>
        <row r="1964">
          <cell r="D1964" t="str">
            <v>Other Office Equipment</v>
          </cell>
          <cell r="F1964">
            <v>0</v>
          </cell>
        </row>
        <row r="1965">
          <cell r="D1965" t="str">
            <v>Other Office Equipment</v>
          </cell>
          <cell r="F1965">
            <v>0</v>
          </cell>
        </row>
        <row r="1966">
          <cell r="D1966" t="str">
            <v>Other Office Equipment</v>
          </cell>
          <cell r="F1966">
            <v>0</v>
          </cell>
        </row>
        <row r="1967">
          <cell r="D1967" t="str">
            <v>Other Office Equipment</v>
          </cell>
          <cell r="F1967">
            <v>0</v>
          </cell>
        </row>
        <row r="1968">
          <cell r="D1968" t="str">
            <v>Other Office Equipment</v>
          </cell>
          <cell r="F1968">
            <v>0</v>
          </cell>
        </row>
        <row r="1969">
          <cell r="D1969" t="str">
            <v>Other Office Equipment</v>
          </cell>
          <cell r="F1969">
            <v>0</v>
          </cell>
        </row>
        <row r="1970">
          <cell r="D1970" t="str">
            <v>Other Office Equipment</v>
          </cell>
          <cell r="F1970">
            <v>0</v>
          </cell>
        </row>
        <row r="1971">
          <cell r="D1971" t="str">
            <v>Other Office Equipment</v>
          </cell>
          <cell r="F1971">
            <v>0</v>
          </cell>
        </row>
        <row r="1972">
          <cell r="D1972" t="str">
            <v>Other Office Equipment</v>
          </cell>
          <cell r="F1972">
            <v>0</v>
          </cell>
        </row>
        <row r="1973">
          <cell r="D1973" t="str">
            <v>Other Office Equipment</v>
          </cell>
          <cell r="F1973">
            <v>0</v>
          </cell>
        </row>
        <row r="1974">
          <cell r="D1974" t="str">
            <v>Other Office Equipment</v>
          </cell>
          <cell r="F1974">
            <v>0</v>
          </cell>
        </row>
        <row r="1975">
          <cell r="D1975" t="str">
            <v>Other Office Equipment</v>
          </cell>
          <cell r="F1975">
            <v>0</v>
          </cell>
        </row>
        <row r="1976">
          <cell r="D1976" t="str">
            <v>Other Office Equipment</v>
          </cell>
          <cell r="F1976">
            <v>0</v>
          </cell>
        </row>
        <row r="1977">
          <cell r="D1977" t="str">
            <v>Other Office Equipment</v>
          </cell>
          <cell r="F1977">
            <v>0</v>
          </cell>
        </row>
        <row r="1978">
          <cell r="D1978" t="str">
            <v>Other Office Equipment</v>
          </cell>
          <cell r="F1978">
            <v>0</v>
          </cell>
        </row>
        <row r="1979">
          <cell r="D1979" t="str">
            <v>Other Office Equipment</v>
          </cell>
          <cell r="F1979">
            <v>0</v>
          </cell>
        </row>
        <row r="1980">
          <cell r="D1980" t="str">
            <v>Other Office Equipment</v>
          </cell>
          <cell r="F1980">
            <v>0</v>
          </cell>
        </row>
        <row r="1981">
          <cell r="D1981" t="str">
            <v>Other Office Equipment</v>
          </cell>
          <cell r="F1981">
            <v>0</v>
          </cell>
        </row>
        <row r="1982">
          <cell r="D1982" t="str">
            <v>Other Office Equipment</v>
          </cell>
          <cell r="F1982">
            <v>0</v>
          </cell>
        </row>
        <row r="1983">
          <cell r="D1983" t="str">
            <v>Other Office Equipment</v>
          </cell>
          <cell r="F1983">
            <v>0</v>
          </cell>
        </row>
        <row r="1984">
          <cell r="D1984" t="str">
            <v>Other Office Equipment</v>
          </cell>
          <cell r="F1984">
            <v>0</v>
          </cell>
        </row>
        <row r="1985">
          <cell r="D1985" t="str">
            <v>Other Office Equipment</v>
          </cell>
          <cell r="F1985">
            <v>0</v>
          </cell>
        </row>
        <row r="1986">
          <cell r="D1986" t="str">
            <v>Other Office Equipment</v>
          </cell>
          <cell r="F1986">
            <v>0</v>
          </cell>
        </row>
        <row r="1987">
          <cell r="D1987" t="str">
            <v>Other Office Equipment</v>
          </cell>
          <cell r="F1987">
            <v>0</v>
          </cell>
        </row>
        <row r="1988">
          <cell r="D1988" t="str">
            <v>Other Office Equipment</v>
          </cell>
          <cell r="F1988">
            <v>0</v>
          </cell>
        </row>
        <row r="1989">
          <cell r="D1989" t="str">
            <v>Other Office Equipment</v>
          </cell>
          <cell r="F1989">
            <v>0</v>
          </cell>
        </row>
        <row r="1990">
          <cell r="D1990" t="str">
            <v>Other Office Equipment</v>
          </cell>
          <cell r="F1990">
            <v>0</v>
          </cell>
        </row>
        <row r="1991">
          <cell r="D1991" t="str">
            <v>Other Office Equipment</v>
          </cell>
          <cell r="F1991">
            <v>0</v>
          </cell>
        </row>
        <row r="1992">
          <cell r="D1992" t="str">
            <v>Other Office Equipment</v>
          </cell>
          <cell r="F1992">
            <v>0</v>
          </cell>
        </row>
        <row r="1993">
          <cell r="D1993" t="str">
            <v>Other Office Equipment</v>
          </cell>
          <cell r="F1993">
            <v>0</v>
          </cell>
        </row>
        <row r="1994">
          <cell r="D1994" t="str">
            <v>Other Office Equipment</v>
          </cell>
          <cell r="F1994">
            <v>0</v>
          </cell>
        </row>
        <row r="1995">
          <cell r="D1995" t="str">
            <v>Other Office Equipment</v>
          </cell>
          <cell r="F1995">
            <v>0</v>
          </cell>
        </row>
        <row r="1996">
          <cell r="D1996" t="str">
            <v>Other Office Equipment</v>
          </cell>
          <cell r="F1996">
            <v>0</v>
          </cell>
        </row>
        <row r="1997">
          <cell r="D1997" t="str">
            <v>Other Office Equipment</v>
          </cell>
          <cell r="F1997">
            <v>0</v>
          </cell>
        </row>
        <row r="1998">
          <cell r="D1998" t="str">
            <v>Other Office Equipment</v>
          </cell>
          <cell r="F1998">
            <v>0</v>
          </cell>
        </row>
        <row r="1999">
          <cell r="D1999" t="str">
            <v>Other Office Equipment</v>
          </cell>
          <cell r="F1999">
            <v>0</v>
          </cell>
        </row>
        <row r="2000">
          <cell r="D2000" t="str">
            <v>Other Office Equipment</v>
          </cell>
          <cell r="F2000">
            <v>0</v>
          </cell>
        </row>
        <row r="2001">
          <cell r="D2001" t="str">
            <v>Other Office Equipment</v>
          </cell>
          <cell r="F2001">
            <v>0</v>
          </cell>
        </row>
        <row r="2002">
          <cell r="D2002" t="str">
            <v>Other Office Equipment</v>
          </cell>
          <cell r="F2002">
            <v>0</v>
          </cell>
        </row>
        <row r="2003">
          <cell r="D2003" t="str">
            <v>Other Office Equipment</v>
          </cell>
          <cell r="F2003">
            <v>0</v>
          </cell>
        </row>
        <row r="2004">
          <cell r="D2004" t="str">
            <v>Other Office Equipment</v>
          </cell>
          <cell r="F2004">
            <v>0</v>
          </cell>
        </row>
        <row r="2005">
          <cell r="D2005" t="str">
            <v>Other Office Equipment</v>
          </cell>
          <cell r="F2005">
            <v>0</v>
          </cell>
        </row>
        <row r="2006">
          <cell r="D2006" t="str">
            <v>Other Office Equipment</v>
          </cell>
          <cell r="F2006">
            <v>0</v>
          </cell>
        </row>
        <row r="2007">
          <cell r="D2007" t="str">
            <v>Other Office Equipment</v>
          </cell>
          <cell r="F2007">
            <v>0</v>
          </cell>
        </row>
        <row r="2008">
          <cell r="D2008" t="str">
            <v>Other Office Equipment</v>
          </cell>
          <cell r="F2008">
            <v>0</v>
          </cell>
        </row>
        <row r="2009">
          <cell r="D2009" t="str">
            <v>Other Office Equipment</v>
          </cell>
          <cell r="F2009">
            <v>0</v>
          </cell>
        </row>
        <row r="2010">
          <cell r="D2010" t="str">
            <v>Other Office Equipment</v>
          </cell>
          <cell r="F2010">
            <v>0</v>
          </cell>
        </row>
        <row r="2011">
          <cell r="D2011" t="str">
            <v>Other Office Equipment</v>
          </cell>
          <cell r="F2011">
            <v>0</v>
          </cell>
        </row>
        <row r="2012">
          <cell r="D2012" t="str">
            <v>Other Office Equipment</v>
          </cell>
          <cell r="F2012">
            <v>0</v>
          </cell>
        </row>
        <row r="2013">
          <cell r="D2013" t="str">
            <v>Other Office Equipment</v>
          </cell>
          <cell r="F2013">
            <v>0</v>
          </cell>
        </row>
        <row r="2014">
          <cell r="D2014" t="str">
            <v>Other Office Equipment</v>
          </cell>
          <cell r="F2014">
            <v>0</v>
          </cell>
        </row>
        <row r="2015">
          <cell r="D2015" t="str">
            <v>Other Office Equipment</v>
          </cell>
          <cell r="F2015">
            <v>0</v>
          </cell>
        </row>
        <row r="2016">
          <cell r="D2016" t="str">
            <v>Other Office Equipment</v>
          </cell>
          <cell r="F2016">
            <v>0</v>
          </cell>
        </row>
        <row r="2017">
          <cell r="D2017" t="str">
            <v>Other Office Equipment</v>
          </cell>
          <cell r="F2017">
            <v>0</v>
          </cell>
        </row>
        <row r="2018">
          <cell r="D2018" t="str">
            <v>Other Office Equipment</v>
          </cell>
          <cell r="F2018">
            <v>0</v>
          </cell>
        </row>
        <row r="2019">
          <cell r="D2019" t="str">
            <v>Other Office Equipment</v>
          </cell>
          <cell r="F2019">
            <v>0</v>
          </cell>
        </row>
        <row r="2020">
          <cell r="D2020" t="str">
            <v>Other Office Equipment</v>
          </cell>
          <cell r="F2020">
            <v>0</v>
          </cell>
        </row>
        <row r="2021">
          <cell r="D2021" t="str">
            <v>Other Office Equipment</v>
          </cell>
          <cell r="F2021">
            <v>0</v>
          </cell>
        </row>
        <row r="2022">
          <cell r="D2022" t="str">
            <v>Other Office Equipment</v>
          </cell>
          <cell r="F2022">
            <v>0</v>
          </cell>
        </row>
        <row r="2023">
          <cell r="D2023" t="str">
            <v>Other Office Equipment</v>
          </cell>
          <cell r="F2023">
            <v>0</v>
          </cell>
        </row>
        <row r="2024">
          <cell r="D2024" t="str">
            <v>Other Office Equipment</v>
          </cell>
          <cell r="F2024">
            <v>0</v>
          </cell>
        </row>
        <row r="2025">
          <cell r="D2025" t="str">
            <v>Other Office Equipment</v>
          </cell>
          <cell r="F2025">
            <v>0</v>
          </cell>
        </row>
        <row r="2026">
          <cell r="D2026" t="str">
            <v>Other Office Equipment</v>
          </cell>
          <cell r="F2026">
            <v>0</v>
          </cell>
        </row>
        <row r="2027">
          <cell r="D2027" t="str">
            <v>Other Office Equipment</v>
          </cell>
          <cell r="F2027">
            <v>0</v>
          </cell>
        </row>
        <row r="2028">
          <cell r="D2028" t="str">
            <v>Other Office Equipment</v>
          </cell>
          <cell r="F2028">
            <v>0</v>
          </cell>
        </row>
        <row r="2029">
          <cell r="D2029" t="str">
            <v>Other Office Equipment</v>
          </cell>
          <cell r="F2029">
            <v>0</v>
          </cell>
        </row>
        <row r="2030">
          <cell r="D2030" t="str">
            <v>Other Office Equipment</v>
          </cell>
          <cell r="F2030">
            <v>0</v>
          </cell>
        </row>
        <row r="2031">
          <cell r="D2031" t="str">
            <v>Other Office Equipment</v>
          </cell>
          <cell r="F2031">
            <v>0</v>
          </cell>
        </row>
        <row r="2032">
          <cell r="D2032" t="str">
            <v>Other Office Equipment</v>
          </cell>
          <cell r="F2032">
            <v>0</v>
          </cell>
        </row>
        <row r="2033">
          <cell r="D2033" t="str">
            <v>Other Office Equipment</v>
          </cell>
          <cell r="F2033">
            <v>0</v>
          </cell>
        </row>
        <row r="2034">
          <cell r="D2034" t="str">
            <v>Other Office Equipment</v>
          </cell>
          <cell r="F2034">
            <v>0</v>
          </cell>
        </row>
        <row r="2035">
          <cell r="D2035" t="str">
            <v>Other Office Equipment</v>
          </cell>
          <cell r="F2035">
            <v>0</v>
          </cell>
        </row>
        <row r="2036">
          <cell r="D2036" t="str">
            <v>Other Office Equipment</v>
          </cell>
          <cell r="F2036">
            <v>0</v>
          </cell>
        </row>
        <row r="2037">
          <cell r="D2037" t="str">
            <v>Other Office Equipment</v>
          </cell>
          <cell r="F2037">
            <v>0</v>
          </cell>
        </row>
        <row r="2038">
          <cell r="D2038" t="str">
            <v>Other Office Equipment</v>
          </cell>
          <cell r="F2038">
            <v>0</v>
          </cell>
        </row>
        <row r="2039">
          <cell r="D2039" t="str">
            <v>Other Office Equipment</v>
          </cell>
          <cell r="F2039">
            <v>0</v>
          </cell>
        </row>
        <row r="2040">
          <cell r="D2040" t="str">
            <v>Other Office Equipment</v>
          </cell>
          <cell r="F2040">
            <v>0</v>
          </cell>
        </row>
        <row r="2041">
          <cell r="D2041" t="str">
            <v>Other Office Equipment</v>
          </cell>
          <cell r="F2041">
            <v>0</v>
          </cell>
        </row>
        <row r="2042">
          <cell r="D2042" t="str">
            <v>Other Office Equipment</v>
          </cell>
          <cell r="F2042">
            <v>0</v>
          </cell>
        </row>
        <row r="2043">
          <cell r="D2043" t="str">
            <v>Other Office Equipment</v>
          </cell>
          <cell r="F2043">
            <v>0</v>
          </cell>
        </row>
        <row r="2044">
          <cell r="D2044" t="str">
            <v>Other Office Equipment</v>
          </cell>
          <cell r="F2044">
            <v>0</v>
          </cell>
        </row>
        <row r="2045">
          <cell r="D2045" t="str">
            <v>Other Office Equipment</v>
          </cell>
          <cell r="F2045">
            <v>0</v>
          </cell>
        </row>
        <row r="2046">
          <cell r="D2046" t="str">
            <v>Other Office Equipment</v>
          </cell>
          <cell r="F2046">
            <v>0</v>
          </cell>
        </row>
        <row r="2047">
          <cell r="D2047" t="str">
            <v>Other Office Equipment</v>
          </cell>
          <cell r="F2047">
            <v>0</v>
          </cell>
        </row>
        <row r="2048">
          <cell r="D2048" t="str">
            <v>Other Office Equipment</v>
          </cell>
          <cell r="F2048">
            <v>0</v>
          </cell>
        </row>
        <row r="2049">
          <cell r="D2049" t="str">
            <v>Other Office Equipment</v>
          </cell>
          <cell r="F2049">
            <v>0</v>
          </cell>
        </row>
        <row r="2050">
          <cell r="D2050" t="str">
            <v>Other Office Equipment</v>
          </cell>
          <cell r="F2050">
            <v>0</v>
          </cell>
        </row>
        <row r="2051">
          <cell r="D2051" t="str">
            <v>Other Office Equipment</v>
          </cell>
          <cell r="F2051">
            <v>0</v>
          </cell>
        </row>
        <row r="2052">
          <cell r="D2052" t="str">
            <v>Other Office Equipment</v>
          </cell>
          <cell r="F2052">
            <v>0</v>
          </cell>
        </row>
        <row r="2053">
          <cell r="D2053" t="str">
            <v>Other Office Equipment</v>
          </cell>
          <cell r="F2053">
            <v>0</v>
          </cell>
        </row>
        <row r="2054">
          <cell r="D2054" t="str">
            <v>Other Office Equipment</v>
          </cell>
          <cell r="F2054">
            <v>0</v>
          </cell>
        </row>
        <row r="2055">
          <cell r="D2055" t="str">
            <v>Other Office Equipment</v>
          </cell>
          <cell r="F2055">
            <v>0</v>
          </cell>
        </row>
        <row r="2056">
          <cell r="D2056" t="str">
            <v>Other Office Equipment</v>
          </cell>
          <cell r="F2056">
            <v>0</v>
          </cell>
        </row>
        <row r="2057">
          <cell r="D2057" t="str">
            <v>Other Office Equipment</v>
          </cell>
          <cell r="F2057">
            <v>0</v>
          </cell>
        </row>
        <row r="2058">
          <cell r="D2058" t="str">
            <v>Other Office Equipment</v>
          </cell>
          <cell r="F2058">
            <v>0</v>
          </cell>
        </row>
        <row r="2059">
          <cell r="D2059" t="str">
            <v>Other Office Equipment</v>
          </cell>
          <cell r="F2059">
            <v>0</v>
          </cell>
        </row>
        <row r="2060">
          <cell r="D2060" t="str">
            <v>Other Office Equipment</v>
          </cell>
          <cell r="F2060">
            <v>0</v>
          </cell>
        </row>
        <row r="2061">
          <cell r="D2061" t="str">
            <v>Other Office Equipment</v>
          </cell>
          <cell r="F2061">
            <v>0</v>
          </cell>
        </row>
        <row r="2062">
          <cell r="D2062" t="str">
            <v>Other Office Equipment</v>
          </cell>
          <cell r="F2062">
            <v>0</v>
          </cell>
        </row>
        <row r="2063">
          <cell r="D2063" t="str">
            <v>Other Office Equipment</v>
          </cell>
          <cell r="F2063">
            <v>0</v>
          </cell>
        </row>
        <row r="2064">
          <cell r="D2064" t="str">
            <v>Other Office Equipment</v>
          </cell>
          <cell r="F2064">
            <v>0</v>
          </cell>
        </row>
        <row r="2065">
          <cell r="D2065" t="str">
            <v>Other Office Equipment</v>
          </cell>
          <cell r="F2065">
            <v>0</v>
          </cell>
        </row>
        <row r="2066">
          <cell r="D2066" t="str">
            <v>Other Office Equipment</v>
          </cell>
          <cell r="F2066">
            <v>0</v>
          </cell>
        </row>
        <row r="2067">
          <cell r="D2067" t="str">
            <v>Other Office Equipment</v>
          </cell>
          <cell r="F2067">
            <v>0</v>
          </cell>
        </row>
        <row r="2068">
          <cell r="D2068" t="str">
            <v>Other Office Equipment</v>
          </cell>
          <cell r="F2068">
            <v>0</v>
          </cell>
        </row>
        <row r="2069">
          <cell r="D2069" t="str">
            <v>Other Office Equipment</v>
          </cell>
          <cell r="F2069">
            <v>0</v>
          </cell>
        </row>
        <row r="2070">
          <cell r="D2070" t="str">
            <v>Other Office Equipment</v>
          </cell>
          <cell r="F2070">
            <v>0</v>
          </cell>
        </row>
        <row r="2071">
          <cell r="D2071" t="str">
            <v>Other Office Equipment</v>
          </cell>
          <cell r="F2071">
            <v>0</v>
          </cell>
        </row>
        <row r="2072">
          <cell r="D2072" t="str">
            <v>Other Office Equipment</v>
          </cell>
          <cell r="F2072">
            <v>0</v>
          </cell>
        </row>
        <row r="2073">
          <cell r="D2073" t="str">
            <v>Other Office Equipment</v>
          </cell>
          <cell r="F2073">
            <v>0</v>
          </cell>
        </row>
        <row r="2074">
          <cell r="D2074" t="str">
            <v>Other Office Equipment</v>
          </cell>
          <cell r="F2074">
            <v>0</v>
          </cell>
        </row>
        <row r="2075">
          <cell r="D2075" t="str">
            <v>Other Office Equipment</v>
          </cell>
          <cell r="F2075">
            <v>0</v>
          </cell>
        </row>
        <row r="2076">
          <cell r="D2076" t="str">
            <v>Other Office Equipment</v>
          </cell>
          <cell r="F2076">
            <v>0</v>
          </cell>
        </row>
        <row r="2077">
          <cell r="D2077" t="str">
            <v>Other Office Equipment</v>
          </cell>
          <cell r="F2077">
            <v>0</v>
          </cell>
        </row>
        <row r="2078">
          <cell r="D2078" t="str">
            <v>Other Office Equipment</v>
          </cell>
          <cell r="F2078">
            <v>0</v>
          </cell>
        </row>
        <row r="2079">
          <cell r="D2079" t="str">
            <v>Other Office Equipment</v>
          </cell>
          <cell r="F2079">
            <v>0</v>
          </cell>
        </row>
        <row r="2080">
          <cell r="D2080" t="str">
            <v>Other Office Equipment</v>
          </cell>
          <cell r="F2080">
            <v>0</v>
          </cell>
        </row>
        <row r="2081">
          <cell r="D2081" t="str">
            <v>Other Office Equipment</v>
          </cell>
          <cell r="F2081">
            <v>0</v>
          </cell>
        </row>
        <row r="2082">
          <cell r="D2082" t="str">
            <v>Other Office Equipment</v>
          </cell>
          <cell r="F2082">
            <v>0</v>
          </cell>
        </row>
        <row r="2083">
          <cell r="D2083" t="str">
            <v>Other Office Equipment</v>
          </cell>
          <cell r="F2083">
            <v>0</v>
          </cell>
        </row>
        <row r="2084">
          <cell r="D2084" t="str">
            <v>Other Office Equipment</v>
          </cell>
          <cell r="F2084">
            <v>0</v>
          </cell>
        </row>
        <row r="2085">
          <cell r="D2085" t="str">
            <v>Other Office Equipment</v>
          </cell>
          <cell r="F2085">
            <v>0</v>
          </cell>
        </row>
        <row r="2086">
          <cell r="D2086" t="str">
            <v>Other Office Equipment</v>
          </cell>
          <cell r="F2086">
            <v>0</v>
          </cell>
        </row>
        <row r="2087">
          <cell r="D2087" t="str">
            <v>Other Office Equipment</v>
          </cell>
          <cell r="F2087">
            <v>0</v>
          </cell>
        </row>
        <row r="2088">
          <cell r="D2088" t="str">
            <v>Other Office Equipment</v>
          </cell>
          <cell r="F2088">
            <v>0</v>
          </cell>
        </row>
        <row r="2089">
          <cell r="D2089" t="str">
            <v>Other Office Equipment</v>
          </cell>
          <cell r="F2089">
            <v>0</v>
          </cell>
        </row>
        <row r="2090">
          <cell r="D2090" t="str">
            <v>Other Office Equipment</v>
          </cell>
          <cell r="F2090">
            <v>0</v>
          </cell>
        </row>
        <row r="2091">
          <cell r="D2091" t="str">
            <v>Other Office Equipment</v>
          </cell>
          <cell r="F2091">
            <v>0</v>
          </cell>
        </row>
        <row r="2092">
          <cell r="D2092" t="str">
            <v>Other Office Equipment</v>
          </cell>
          <cell r="F2092">
            <v>0</v>
          </cell>
        </row>
        <row r="2093">
          <cell r="D2093" t="str">
            <v>Other Office Equipment</v>
          </cell>
          <cell r="F2093">
            <v>0</v>
          </cell>
        </row>
        <row r="2094">
          <cell r="D2094" t="str">
            <v>Other Office Equipment</v>
          </cell>
          <cell r="F2094">
            <v>0</v>
          </cell>
        </row>
        <row r="2095">
          <cell r="D2095" t="str">
            <v>Other Office Equipment</v>
          </cell>
          <cell r="F2095">
            <v>0</v>
          </cell>
        </row>
        <row r="2096">
          <cell r="D2096" t="str">
            <v>Other Office Equipment</v>
          </cell>
          <cell r="F2096">
            <v>0</v>
          </cell>
        </row>
        <row r="2097">
          <cell r="D2097" t="str">
            <v>Other Office Equipment</v>
          </cell>
          <cell r="F2097">
            <v>0</v>
          </cell>
        </row>
        <row r="2098">
          <cell r="D2098" t="str">
            <v>Other Office Equipment</v>
          </cell>
          <cell r="F2098">
            <v>0</v>
          </cell>
        </row>
        <row r="2099">
          <cell r="D2099" t="str">
            <v>Other Office Equipment</v>
          </cell>
          <cell r="F2099">
            <v>0</v>
          </cell>
        </row>
        <row r="2100">
          <cell r="D2100" t="str">
            <v>Other Office Equipment</v>
          </cell>
          <cell r="F2100">
            <v>0</v>
          </cell>
        </row>
        <row r="2101">
          <cell r="D2101" t="str">
            <v>Other Office Equipment</v>
          </cell>
          <cell r="F2101">
            <v>0</v>
          </cell>
        </row>
        <row r="2102">
          <cell r="D2102" t="str">
            <v>Other Office Equipment</v>
          </cell>
          <cell r="F2102">
            <v>0</v>
          </cell>
        </row>
        <row r="2103">
          <cell r="D2103" t="str">
            <v>Other Office Equipment</v>
          </cell>
          <cell r="F2103">
            <v>0</v>
          </cell>
        </row>
        <row r="2104">
          <cell r="D2104" t="str">
            <v>Other Office Equipment</v>
          </cell>
          <cell r="F2104">
            <v>0</v>
          </cell>
        </row>
        <row r="2105">
          <cell r="D2105" t="str">
            <v>Other Office Equipment</v>
          </cell>
          <cell r="F2105">
            <v>0</v>
          </cell>
        </row>
        <row r="2106">
          <cell r="D2106" t="str">
            <v>Other Office Equipment</v>
          </cell>
          <cell r="F2106">
            <v>0</v>
          </cell>
        </row>
        <row r="2107">
          <cell r="D2107" t="str">
            <v>Other Office Equipment</v>
          </cell>
          <cell r="F2107">
            <v>0</v>
          </cell>
        </row>
        <row r="2108">
          <cell r="D2108" t="str">
            <v>Other Office Equipment</v>
          </cell>
          <cell r="F2108">
            <v>0</v>
          </cell>
        </row>
        <row r="2109">
          <cell r="D2109" t="str">
            <v>Other Office Equipment</v>
          </cell>
          <cell r="F2109">
            <v>0</v>
          </cell>
        </row>
        <row r="2110">
          <cell r="D2110" t="str">
            <v>Other Office Equipment</v>
          </cell>
          <cell r="F2110">
            <v>0</v>
          </cell>
        </row>
        <row r="2111">
          <cell r="D2111" t="str">
            <v>Other Office Equipment</v>
          </cell>
          <cell r="F2111">
            <v>0</v>
          </cell>
        </row>
        <row r="2112">
          <cell r="D2112" t="str">
            <v>Other Office Equipment</v>
          </cell>
          <cell r="F2112">
            <v>0</v>
          </cell>
        </row>
        <row r="2113">
          <cell r="D2113" t="str">
            <v>Other Office Equipment</v>
          </cell>
          <cell r="F2113">
            <v>0</v>
          </cell>
        </row>
        <row r="2114">
          <cell r="D2114" t="str">
            <v>Other Office Equipment</v>
          </cell>
          <cell r="F2114">
            <v>0</v>
          </cell>
        </row>
        <row r="2115">
          <cell r="D2115" t="str">
            <v>Other Office Equipment</v>
          </cell>
          <cell r="F2115">
            <v>0</v>
          </cell>
        </row>
        <row r="2116">
          <cell r="D2116" t="str">
            <v>Other Office Equipment</v>
          </cell>
          <cell r="F2116">
            <v>0</v>
          </cell>
        </row>
        <row r="2117">
          <cell r="D2117" t="str">
            <v>Other Office Equipment</v>
          </cell>
          <cell r="F2117">
            <v>0</v>
          </cell>
        </row>
        <row r="2118">
          <cell r="D2118" t="str">
            <v>Other Office Equipment</v>
          </cell>
          <cell r="F2118">
            <v>0</v>
          </cell>
        </row>
        <row r="2119">
          <cell r="D2119" t="str">
            <v>Other Office Equipment</v>
          </cell>
          <cell r="F2119">
            <v>0</v>
          </cell>
        </row>
        <row r="2120">
          <cell r="D2120" t="str">
            <v>Other Office Equipment</v>
          </cell>
          <cell r="F2120">
            <v>0</v>
          </cell>
        </row>
        <row r="2121">
          <cell r="D2121" t="str">
            <v>Other Office Equipment</v>
          </cell>
          <cell r="F2121">
            <v>0</v>
          </cell>
        </row>
        <row r="2122">
          <cell r="D2122" t="str">
            <v>Other Office Equipment</v>
          </cell>
          <cell r="F2122">
            <v>0</v>
          </cell>
        </row>
        <row r="2123">
          <cell r="D2123" t="str">
            <v>Other Office Equipment</v>
          </cell>
          <cell r="F2123">
            <v>0</v>
          </cell>
        </row>
        <row r="2124">
          <cell r="D2124" t="str">
            <v>Other Office Equipment</v>
          </cell>
          <cell r="F2124">
            <v>0</v>
          </cell>
        </row>
        <row r="2125">
          <cell r="D2125" t="str">
            <v>Other Office Equipment</v>
          </cell>
          <cell r="F2125">
            <v>0</v>
          </cell>
        </row>
        <row r="2126">
          <cell r="D2126" t="str">
            <v>Other Office Equipment</v>
          </cell>
          <cell r="F2126">
            <v>0</v>
          </cell>
        </row>
        <row r="2127">
          <cell r="D2127" t="str">
            <v>Other Office Equipment</v>
          </cell>
          <cell r="F2127">
            <v>0</v>
          </cell>
        </row>
        <row r="2128">
          <cell r="D2128" t="str">
            <v>Other Office Equipment</v>
          </cell>
          <cell r="F2128">
            <v>0</v>
          </cell>
        </row>
        <row r="2129">
          <cell r="D2129" t="str">
            <v>Other Office Equipment</v>
          </cell>
          <cell r="F2129">
            <v>0</v>
          </cell>
        </row>
        <row r="2130">
          <cell r="D2130" t="str">
            <v>Other Office Equipment</v>
          </cell>
          <cell r="F2130">
            <v>0</v>
          </cell>
        </row>
        <row r="2131">
          <cell r="D2131" t="str">
            <v>Other Office Equipment</v>
          </cell>
          <cell r="F2131">
            <v>0</v>
          </cell>
        </row>
        <row r="2132">
          <cell r="D2132" t="str">
            <v>Other Office Equipment</v>
          </cell>
          <cell r="F2132">
            <v>0</v>
          </cell>
        </row>
        <row r="2133">
          <cell r="D2133" t="str">
            <v>Other Office Equipment</v>
          </cell>
          <cell r="F2133">
            <v>0</v>
          </cell>
        </row>
        <row r="2134">
          <cell r="D2134" t="str">
            <v>Other Office Equipment</v>
          </cell>
          <cell r="F2134">
            <v>0</v>
          </cell>
        </row>
        <row r="2135">
          <cell r="D2135" t="str">
            <v>Other Office Equipment</v>
          </cell>
          <cell r="F2135">
            <v>0</v>
          </cell>
        </row>
        <row r="2136">
          <cell r="D2136" t="str">
            <v>Other Office Equipment</v>
          </cell>
          <cell r="F2136">
            <v>0</v>
          </cell>
        </row>
        <row r="2137">
          <cell r="D2137" t="str">
            <v>Other Office Equipment</v>
          </cell>
          <cell r="F2137">
            <v>0</v>
          </cell>
        </row>
        <row r="2138">
          <cell r="D2138" t="str">
            <v>Other Office Equipment</v>
          </cell>
          <cell r="F2138">
            <v>0</v>
          </cell>
        </row>
        <row r="2139">
          <cell r="D2139" t="str">
            <v>Other Office Equipment</v>
          </cell>
          <cell r="F2139">
            <v>0</v>
          </cell>
        </row>
        <row r="2140">
          <cell r="D2140" t="str">
            <v>Other Office Equipment</v>
          </cell>
          <cell r="F2140">
            <v>0</v>
          </cell>
        </row>
        <row r="2141">
          <cell r="D2141" t="str">
            <v>Other Office Equipment</v>
          </cell>
          <cell r="F2141">
            <v>0</v>
          </cell>
        </row>
        <row r="2142">
          <cell r="D2142" t="str">
            <v>Other Office Equipment</v>
          </cell>
          <cell r="F2142">
            <v>0</v>
          </cell>
        </row>
        <row r="2143">
          <cell r="D2143" t="str">
            <v>Other Office Equipment</v>
          </cell>
          <cell r="F2143">
            <v>0</v>
          </cell>
        </row>
        <row r="2144">
          <cell r="D2144" t="str">
            <v>Other Office Equipment</v>
          </cell>
          <cell r="F2144">
            <v>0</v>
          </cell>
        </row>
        <row r="2145">
          <cell r="D2145" t="str">
            <v>Other Office Equipment</v>
          </cell>
          <cell r="F2145">
            <v>0</v>
          </cell>
        </row>
        <row r="2146">
          <cell r="D2146" t="str">
            <v>Other Office Equipment</v>
          </cell>
          <cell r="F2146">
            <v>0</v>
          </cell>
        </row>
        <row r="2147">
          <cell r="D2147" t="str">
            <v>Other Office Equipment</v>
          </cell>
          <cell r="F2147">
            <v>0</v>
          </cell>
        </row>
        <row r="2148">
          <cell r="D2148" t="str">
            <v>Other Office Equipment</v>
          </cell>
          <cell r="F2148">
            <v>0</v>
          </cell>
        </row>
        <row r="2149">
          <cell r="D2149" t="str">
            <v>Other Office Equipment</v>
          </cell>
          <cell r="F2149">
            <v>0</v>
          </cell>
        </row>
        <row r="2150">
          <cell r="D2150" t="str">
            <v>Other Office Equipment</v>
          </cell>
          <cell r="F2150">
            <v>0</v>
          </cell>
        </row>
        <row r="2151">
          <cell r="D2151" t="str">
            <v>Other Office Equipment</v>
          </cell>
          <cell r="F2151">
            <v>0</v>
          </cell>
        </row>
        <row r="2152">
          <cell r="D2152" t="str">
            <v>Other Office Equipment</v>
          </cell>
          <cell r="F2152">
            <v>0</v>
          </cell>
        </row>
        <row r="2153">
          <cell r="D2153" t="str">
            <v>Other Office Equipment</v>
          </cell>
          <cell r="F2153">
            <v>0</v>
          </cell>
        </row>
        <row r="2154">
          <cell r="D2154" t="str">
            <v>Other Office Equipment</v>
          </cell>
          <cell r="F2154">
            <v>0</v>
          </cell>
        </row>
        <row r="2155">
          <cell r="D2155" t="str">
            <v>Other Office Equipment</v>
          </cell>
          <cell r="F2155">
            <v>0</v>
          </cell>
        </row>
        <row r="2156">
          <cell r="D2156" t="str">
            <v>Other Office Equipment</v>
          </cell>
          <cell r="F2156">
            <v>0</v>
          </cell>
        </row>
        <row r="2157">
          <cell r="D2157" t="str">
            <v>Other Office Equipment</v>
          </cell>
          <cell r="F2157">
            <v>0</v>
          </cell>
        </row>
        <row r="2158">
          <cell r="D2158" t="str">
            <v>Other Office Equipment</v>
          </cell>
          <cell r="F2158">
            <v>0</v>
          </cell>
        </row>
        <row r="2159">
          <cell r="D2159" t="str">
            <v>Other Office Equipment</v>
          </cell>
          <cell r="F2159">
            <v>0</v>
          </cell>
        </row>
        <row r="2160">
          <cell r="D2160" t="str">
            <v>Other Office Equipment</v>
          </cell>
          <cell r="F2160">
            <v>0</v>
          </cell>
        </row>
        <row r="2161">
          <cell r="D2161" t="str">
            <v>Other Office Equipment</v>
          </cell>
          <cell r="F2161">
            <v>0</v>
          </cell>
        </row>
        <row r="2162">
          <cell r="D2162" t="str">
            <v>Other Office Equipment</v>
          </cell>
          <cell r="F2162">
            <v>0</v>
          </cell>
        </row>
        <row r="2163">
          <cell r="D2163" t="str">
            <v>Other Office Equipment</v>
          </cell>
          <cell r="F2163">
            <v>0</v>
          </cell>
        </row>
        <row r="2164">
          <cell r="D2164" t="str">
            <v>Other Office Equipment</v>
          </cell>
          <cell r="F2164">
            <v>0</v>
          </cell>
        </row>
        <row r="2165">
          <cell r="D2165" t="str">
            <v>Other Office Equipment</v>
          </cell>
          <cell r="F2165">
            <v>0</v>
          </cell>
        </row>
        <row r="2166">
          <cell r="D2166" t="str">
            <v>Other Office Equipment</v>
          </cell>
          <cell r="F2166">
            <v>0</v>
          </cell>
        </row>
        <row r="2167">
          <cell r="D2167" t="str">
            <v>Other Office Equipment</v>
          </cell>
          <cell r="F2167">
            <v>0</v>
          </cell>
        </row>
        <row r="2168">
          <cell r="D2168" t="str">
            <v>Other Office Equipment</v>
          </cell>
          <cell r="F2168">
            <v>0</v>
          </cell>
        </row>
        <row r="2169">
          <cell r="D2169" t="str">
            <v>Other Office Equipment</v>
          </cell>
          <cell r="F2169">
            <v>0</v>
          </cell>
        </row>
        <row r="2170">
          <cell r="D2170" t="str">
            <v>Other Office Equipment</v>
          </cell>
          <cell r="F2170">
            <v>0</v>
          </cell>
        </row>
        <row r="2171">
          <cell r="D2171" t="str">
            <v>Other Office Equipment</v>
          </cell>
          <cell r="F2171">
            <v>0</v>
          </cell>
        </row>
        <row r="2172">
          <cell r="D2172" t="str">
            <v>Other Office Equipment</v>
          </cell>
          <cell r="F2172">
            <v>0</v>
          </cell>
        </row>
        <row r="2173">
          <cell r="D2173" t="str">
            <v>Other Office Equipment</v>
          </cell>
          <cell r="F2173">
            <v>0</v>
          </cell>
        </row>
        <row r="2174">
          <cell r="D2174" t="str">
            <v>Other Office Equipment</v>
          </cell>
          <cell r="F2174">
            <v>0</v>
          </cell>
        </row>
        <row r="2175">
          <cell r="D2175" t="str">
            <v>Other Office Equipment</v>
          </cell>
          <cell r="F2175">
            <v>0</v>
          </cell>
        </row>
        <row r="2176">
          <cell r="D2176" t="str">
            <v>Other Office Equipment</v>
          </cell>
          <cell r="F2176">
            <v>0</v>
          </cell>
        </row>
        <row r="2177">
          <cell r="D2177" t="str">
            <v>Other Office Equipment</v>
          </cell>
          <cell r="F2177">
            <v>0</v>
          </cell>
        </row>
        <row r="2178">
          <cell r="D2178" t="str">
            <v>Other Office Equipment</v>
          </cell>
          <cell r="F2178">
            <v>0</v>
          </cell>
        </row>
        <row r="2179">
          <cell r="D2179" t="str">
            <v>Other Office Equipment</v>
          </cell>
          <cell r="F2179">
            <v>0</v>
          </cell>
        </row>
        <row r="2180">
          <cell r="D2180" t="str">
            <v>Other Office Equipment</v>
          </cell>
          <cell r="F2180">
            <v>0</v>
          </cell>
        </row>
        <row r="2181">
          <cell r="D2181" t="str">
            <v>Other Office Equipment</v>
          </cell>
          <cell r="F2181">
            <v>0</v>
          </cell>
        </row>
        <row r="2182">
          <cell r="D2182" t="str">
            <v>Other Office Equipment</v>
          </cell>
          <cell r="F2182">
            <v>0</v>
          </cell>
        </row>
        <row r="2183">
          <cell r="D2183" t="str">
            <v>Other Office Equipment</v>
          </cell>
          <cell r="F2183">
            <v>0</v>
          </cell>
        </row>
        <row r="2184">
          <cell r="D2184" t="str">
            <v>Other Office Equipment</v>
          </cell>
          <cell r="F2184">
            <v>0</v>
          </cell>
        </row>
        <row r="2185">
          <cell r="D2185" t="str">
            <v>Other Office Equipment</v>
          </cell>
          <cell r="F2185">
            <v>0</v>
          </cell>
        </row>
        <row r="2186">
          <cell r="D2186" t="str">
            <v>Other Office Equipment</v>
          </cell>
          <cell r="F2186">
            <v>0</v>
          </cell>
        </row>
        <row r="2187">
          <cell r="D2187" t="str">
            <v>Other Office Equipment</v>
          </cell>
          <cell r="F2187">
            <v>0</v>
          </cell>
        </row>
        <row r="2188">
          <cell r="D2188" t="str">
            <v>Other Office Equipment</v>
          </cell>
          <cell r="F2188">
            <v>0</v>
          </cell>
        </row>
        <row r="2189">
          <cell r="D2189" t="str">
            <v>Other Office Equipment</v>
          </cell>
          <cell r="F2189">
            <v>0</v>
          </cell>
        </row>
        <row r="2190">
          <cell r="D2190" t="str">
            <v>Other Office Equipment</v>
          </cell>
          <cell r="F2190">
            <v>0</v>
          </cell>
        </row>
        <row r="2191">
          <cell r="D2191" t="str">
            <v>Other Office Equipment</v>
          </cell>
          <cell r="F2191">
            <v>0</v>
          </cell>
        </row>
        <row r="2192">
          <cell r="D2192" t="str">
            <v>Other Office Equipment</v>
          </cell>
          <cell r="F2192">
            <v>0</v>
          </cell>
        </row>
        <row r="2193">
          <cell r="D2193" t="str">
            <v>Other Office Equipment</v>
          </cell>
          <cell r="F2193">
            <v>0</v>
          </cell>
        </row>
        <row r="2194">
          <cell r="D2194" t="str">
            <v>Other Office Equipment</v>
          </cell>
          <cell r="F2194">
            <v>0</v>
          </cell>
        </row>
        <row r="2195">
          <cell r="D2195" t="str">
            <v>Other Office Equipment</v>
          </cell>
          <cell r="F2195">
            <v>0</v>
          </cell>
        </row>
        <row r="2196">
          <cell r="D2196" t="str">
            <v>Other Office Equipment</v>
          </cell>
          <cell r="F2196">
            <v>0</v>
          </cell>
        </row>
        <row r="2197">
          <cell r="D2197" t="str">
            <v>Other Office Equipment</v>
          </cell>
          <cell r="F2197">
            <v>0</v>
          </cell>
        </row>
        <row r="2198">
          <cell r="D2198" t="str">
            <v>Other Office Equipment</v>
          </cell>
          <cell r="F2198">
            <v>0</v>
          </cell>
        </row>
        <row r="2199">
          <cell r="D2199" t="str">
            <v>Other Office Equipment</v>
          </cell>
          <cell r="F2199">
            <v>0</v>
          </cell>
        </row>
        <row r="2200">
          <cell r="D2200" t="str">
            <v>Other Office Equipment</v>
          </cell>
          <cell r="F2200">
            <v>0</v>
          </cell>
        </row>
        <row r="2201">
          <cell r="D2201" t="str">
            <v>Other Office Equipment</v>
          </cell>
          <cell r="F2201">
            <v>0</v>
          </cell>
        </row>
        <row r="2202">
          <cell r="D2202" t="str">
            <v>Other Office Equipment</v>
          </cell>
          <cell r="F2202">
            <v>0</v>
          </cell>
        </row>
        <row r="2203">
          <cell r="D2203" t="str">
            <v>Other Office Equipment</v>
          </cell>
          <cell r="F2203">
            <v>0</v>
          </cell>
        </row>
        <row r="2204">
          <cell r="D2204" t="str">
            <v>Other Office Equipment</v>
          </cell>
          <cell r="F2204">
            <v>0</v>
          </cell>
        </row>
        <row r="2205">
          <cell r="D2205" t="str">
            <v>Other Office Equipment</v>
          </cell>
          <cell r="F2205">
            <v>0</v>
          </cell>
        </row>
        <row r="2206">
          <cell r="D2206" t="str">
            <v>Other Office Equipment</v>
          </cell>
          <cell r="F2206">
            <v>0</v>
          </cell>
        </row>
        <row r="2207">
          <cell r="D2207" t="str">
            <v>Other Office Equipment</v>
          </cell>
          <cell r="F2207">
            <v>0</v>
          </cell>
        </row>
        <row r="2208">
          <cell r="D2208" t="str">
            <v>Other Office Equipment</v>
          </cell>
          <cell r="F2208">
            <v>0</v>
          </cell>
        </row>
        <row r="2209">
          <cell r="D2209" t="str">
            <v>Other Office Equipment</v>
          </cell>
          <cell r="F2209">
            <v>0</v>
          </cell>
        </row>
        <row r="2210">
          <cell r="D2210" t="str">
            <v>Other Office Equipment</v>
          </cell>
          <cell r="F2210">
            <v>0</v>
          </cell>
        </row>
        <row r="2211">
          <cell r="D2211" t="str">
            <v>Other Office Equipment</v>
          </cell>
          <cell r="F2211">
            <v>0</v>
          </cell>
        </row>
        <row r="2212">
          <cell r="D2212" t="str">
            <v>Other Office Equipment</v>
          </cell>
          <cell r="F2212">
            <v>0</v>
          </cell>
        </row>
        <row r="2213">
          <cell r="D2213" t="str">
            <v>Other Office Equipment</v>
          </cell>
          <cell r="F2213">
            <v>0</v>
          </cell>
        </row>
        <row r="2214">
          <cell r="D2214" t="str">
            <v>Other Office Equipment</v>
          </cell>
          <cell r="F2214">
            <v>0</v>
          </cell>
        </row>
        <row r="2215">
          <cell r="D2215" t="str">
            <v>Other Office Equipment</v>
          </cell>
          <cell r="F2215">
            <v>0</v>
          </cell>
        </row>
        <row r="2216">
          <cell r="D2216" t="str">
            <v>Other Office Equipment</v>
          </cell>
          <cell r="F2216">
            <v>0</v>
          </cell>
        </row>
        <row r="2217">
          <cell r="D2217" t="str">
            <v>Other Office Equipment</v>
          </cell>
          <cell r="F2217">
            <v>0</v>
          </cell>
        </row>
        <row r="2218">
          <cell r="D2218" t="str">
            <v>Other Office Equipment</v>
          </cell>
          <cell r="F2218">
            <v>0</v>
          </cell>
        </row>
        <row r="2219">
          <cell r="D2219" t="str">
            <v>Other Office Equipment</v>
          </cell>
          <cell r="F2219">
            <v>0</v>
          </cell>
        </row>
        <row r="2220">
          <cell r="D2220" t="str">
            <v>Other Office Equipment</v>
          </cell>
          <cell r="F2220">
            <v>0</v>
          </cell>
        </row>
        <row r="2221">
          <cell r="D2221" t="str">
            <v>Other Office Equipment</v>
          </cell>
          <cell r="F2221">
            <v>0</v>
          </cell>
        </row>
        <row r="2222">
          <cell r="D2222" t="str">
            <v>Other Office Equipment</v>
          </cell>
          <cell r="F2222">
            <v>0</v>
          </cell>
        </row>
        <row r="2223">
          <cell r="D2223" t="str">
            <v>Other Office Equipment</v>
          </cell>
          <cell r="F2223">
            <v>0</v>
          </cell>
        </row>
        <row r="2224">
          <cell r="D2224" t="str">
            <v>Other Office Equipment</v>
          </cell>
          <cell r="F2224">
            <v>0</v>
          </cell>
        </row>
        <row r="2225">
          <cell r="D2225" t="str">
            <v>Other Office Equipment</v>
          </cell>
          <cell r="F2225">
            <v>0</v>
          </cell>
        </row>
        <row r="2226">
          <cell r="D2226" t="str">
            <v>Other Office Equipment</v>
          </cell>
          <cell r="F2226">
            <v>0</v>
          </cell>
        </row>
        <row r="2227">
          <cell r="D2227" t="str">
            <v>Other Office Equipment</v>
          </cell>
          <cell r="F2227">
            <v>0</v>
          </cell>
        </row>
        <row r="2228">
          <cell r="D2228" t="str">
            <v>Other Office Equipment</v>
          </cell>
          <cell r="F2228">
            <v>0</v>
          </cell>
        </row>
        <row r="2229">
          <cell r="D2229" t="str">
            <v>Other Office Equipment</v>
          </cell>
          <cell r="F2229">
            <v>0</v>
          </cell>
        </row>
        <row r="2230">
          <cell r="D2230" t="str">
            <v>Other Office Equipment</v>
          </cell>
          <cell r="F2230">
            <v>0</v>
          </cell>
        </row>
        <row r="2231">
          <cell r="D2231" t="str">
            <v>Other Office Equipment</v>
          </cell>
          <cell r="F2231">
            <v>0</v>
          </cell>
        </row>
        <row r="2232">
          <cell r="D2232" t="str">
            <v>Other Office Equipment</v>
          </cell>
          <cell r="F2232">
            <v>0</v>
          </cell>
        </row>
        <row r="2233">
          <cell r="D2233" t="str">
            <v>Other Office Equipment</v>
          </cell>
          <cell r="F2233">
            <v>0</v>
          </cell>
        </row>
        <row r="2234">
          <cell r="D2234" t="str">
            <v>Other Office Equipment</v>
          </cell>
          <cell r="F2234">
            <v>0</v>
          </cell>
        </row>
        <row r="2235">
          <cell r="D2235" t="str">
            <v>Other Office Equipment</v>
          </cell>
          <cell r="F2235">
            <v>0</v>
          </cell>
        </row>
        <row r="2236">
          <cell r="D2236" t="str">
            <v>Other Office Equipment</v>
          </cell>
          <cell r="F2236">
            <v>0</v>
          </cell>
        </row>
        <row r="2237">
          <cell r="D2237" t="str">
            <v>Other Office Equipment</v>
          </cell>
          <cell r="F2237">
            <v>0</v>
          </cell>
        </row>
        <row r="2238">
          <cell r="D2238" t="str">
            <v>Other Office Equipment</v>
          </cell>
          <cell r="F2238">
            <v>0</v>
          </cell>
        </row>
        <row r="2239">
          <cell r="D2239" t="str">
            <v>Other Office Equipment</v>
          </cell>
          <cell r="F2239">
            <v>0</v>
          </cell>
        </row>
        <row r="2240">
          <cell r="D2240" t="str">
            <v>Other Office Equipment</v>
          </cell>
          <cell r="F2240">
            <v>0</v>
          </cell>
        </row>
        <row r="2241">
          <cell r="D2241" t="str">
            <v>Other Office Equipment</v>
          </cell>
          <cell r="F2241">
            <v>0</v>
          </cell>
        </row>
        <row r="2242">
          <cell r="D2242" t="str">
            <v>Other Office Equipment</v>
          </cell>
          <cell r="F2242">
            <v>0</v>
          </cell>
        </row>
        <row r="2243">
          <cell r="D2243" t="str">
            <v>Other Office Equipment</v>
          </cell>
          <cell r="F2243">
            <v>0</v>
          </cell>
        </row>
        <row r="2244">
          <cell r="D2244" t="str">
            <v>Other Office Equipment</v>
          </cell>
          <cell r="F2244">
            <v>0</v>
          </cell>
        </row>
        <row r="2245">
          <cell r="D2245" t="str">
            <v>Other Office Equipment</v>
          </cell>
          <cell r="F2245">
            <v>0</v>
          </cell>
        </row>
        <row r="2246">
          <cell r="D2246" t="str">
            <v>Other Office Equipment</v>
          </cell>
          <cell r="F2246">
            <v>0</v>
          </cell>
        </row>
        <row r="2247">
          <cell r="D2247" t="str">
            <v>Other Office Equipment</v>
          </cell>
          <cell r="F2247">
            <v>0</v>
          </cell>
        </row>
        <row r="2248">
          <cell r="D2248" t="str">
            <v>Other Office Equipment</v>
          </cell>
          <cell r="F2248">
            <v>0</v>
          </cell>
        </row>
        <row r="2249">
          <cell r="D2249" t="str">
            <v>Other Office Equipment</v>
          </cell>
          <cell r="F2249">
            <v>0</v>
          </cell>
        </row>
        <row r="2250">
          <cell r="D2250" t="str">
            <v>Other Office Equipment</v>
          </cell>
          <cell r="F2250">
            <v>0</v>
          </cell>
        </row>
        <row r="2251">
          <cell r="D2251" t="str">
            <v>Other Office Equipment</v>
          </cell>
          <cell r="F2251">
            <v>0</v>
          </cell>
        </row>
        <row r="2252">
          <cell r="D2252" t="str">
            <v>Other Office Equipment</v>
          </cell>
          <cell r="F2252">
            <v>0</v>
          </cell>
        </row>
        <row r="2253">
          <cell r="D2253" t="str">
            <v>Other Office Equipment</v>
          </cell>
          <cell r="F2253">
            <v>0</v>
          </cell>
        </row>
        <row r="2254">
          <cell r="D2254" t="str">
            <v>Other Office Equipment</v>
          </cell>
          <cell r="F2254">
            <v>0</v>
          </cell>
        </row>
        <row r="2255">
          <cell r="D2255" t="str">
            <v>Other Office Equipment</v>
          </cell>
          <cell r="F2255">
            <v>0</v>
          </cell>
        </row>
        <row r="2256">
          <cell r="D2256" t="str">
            <v>Other Office Equipment</v>
          </cell>
          <cell r="F2256">
            <v>0</v>
          </cell>
        </row>
        <row r="2257">
          <cell r="D2257" t="str">
            <v>Other Office Equipment</v>
          </cell>
          <cell r="F2257">
            <v>0</v>
          </cell>
        </row>
        <row r="2258">
          <cell r="D2258" t="str">
            <v>Other Office Equipment</v>
          </cell>
          <cell r="F2258">
            <v>0</v>
          </cell>
        </row>
        <row r="2259">
          <cell r="D2259" t="str">
            <v>Other Office Equipment</v>
          </cell>
          <cell r="F2259">
            <v>0</v>
          </cell>
        </row>
        <row r="2260">
          <cell r="D2260" t="str">
            <v>Other Office Equipment</v>
          </cell>
          <cell r="F2260">
            <v>0</v>
          </cell>
        </row>
        <row r="2261">
          <cell r="D2261" t="str">
            <v>Other Office Equipment</v>
          </cell>
          <cell r="F2261">
            <v>0</v>
          </cell>
        </row>
        <row r="2262">
          <cell r="D2262" t="str">
            <v>Other Office Equipment</v>
          </cell>
          <cell r="F2262">
            <v>0</v>
          </cell>
        </row>
        <row r="2263">
          <cell r="D2263" t="str">
            <v>Other Office Equipment</v>
          </cell>
          <cell r="F2263">
            <v>0</v>
          </cell>
        </row>
        <row r="2264">
          <cell r="D2264" t="str">
            <v>Other Office Equipment</v>
          </cell>
          <cell r="F2264">
            <v>0</v>
          </cell>
        </row>
        <row r="2265">
          <cell r="D2265" t="str">
            <v>Other Office Equipment</v>
          </cell>
          <cell r="F2265">
            <v>0</v>
          </cell>
        </row>
        <row r="2266">
          <cell r="D2266" t="str">
            <v>Other Office Equipment</v>
          </cell>
          <cell r="F2266">
            <v>0</v>
          </cell>
        </row>
        <row r="2267">
          <cell r="D2267" t="str">
            <v>Other Office Equipment</v>
          </cell>
          <cell r="F2267">
            <v>0</v>
          </cell>
        </row>
        <row r="2268">
          <cell r="D2268" t="str">
            <v>Other Office Equipment</v>
          </cell>
          <cell r="F2268">
            <v>0</v>
          </cell>
        </row>
        <row r="2269">
          <cell r="D2269" t="str">
            <v>Other Office Equipment</v>
          </cell>
          <cell r="F2269">
            <v>0</v>
          </cell>
        </row>
        <row r="2270">
          <cell r="D2270" t="str">
            <v>Other Office Equipment</v>
          </cell>
          <cell r="F2270">
            <v>0</v>
          </cell>
        </row>
        <row r="2271">
          <cell r="D2271" t="str">
            <v>Other Office Equipment</v>
          </cell>
          <cell r="F2271">
            <v>0</v>
          </cell>
        </row>
        <row r="2272">
          <cell r="D2272" t="str">
            <v>Other Office Equipment</v>
          </cell>
          <cell r="F2272">
            <v>0</v>
          </cell>
        </row>
        <row r="2273">
          <cell r="D2273" t="str">
            <v>Other Office Equipment</v>
          </cell>
          <cell r="F2273">
            <v>0</v>
          </cell>
        </row>
        <row r="2274">
          <cell r="D2274" t="str">
            <v>Other Office Equipment</v>
          </cell>
          <cell r="F2274">
            <v>0</v>
          </cell>
        </row>
        <row r="2275">
          <cell r="D2275" t="str">
            <v>Other Office Equipment</v>
          </cell>
          <cell r="F2275">
            <v>0</v>
          </cell>
        </row>
        <row r="2276">
          <cell r="D2276" t="str">
            <v>Other Office Equipment</v>
          </cell>
          <cell r="F2276">
            <v>0</v>
          </cell>
        </row>
        <row r="2277">
          <cell r="D2277" t="str">
            <v>Other Office Equipment</v>
          </cell>
          <cell r="F2277">
            <v>0</v>
          </cell>
        </row>
        <row r="2278">
          <cell r="D2278" t="str">
            <v>Other Office Equipment</v>
          </cell>
          <cell r="F2278">
            <v>0</v>
          </cell>
        </row>
        <row r="2279">
          <cell r="D2279" t="str">
            <v>Other Office Equipment</v>
          </cell>
          <cell r="F2279">
            <v>0</v>
          </cell>
        </row>
        <row r="2280">
          <cell r="D2280" t="str">
            <v>Other Office Equipment</v>
          </cell>
          <cell r="F2280">
            <v>0</v>
          </cell>
        </row>
        <row r="2281">
          <cell r="D2281" t="str">
            <v>Other Office Equipment</v>
          </cell>
          <cell r="F2281">
            <v>0</v>
          </cell>
        </row>
        <row r="2282">
          <cell r="D2282" t="str">
            <v>Other Office Equipment</v>
          </cell>
          <cell r="F2282">
            <v>0</v>
          </cell>
        </row>
        <row r="2283">
          <cell r="D2283" t="str">
            <v>Other Office Equipment</v>
          </cell>
          <cell r="F2283">
            <v>0</v>
          </cell>
        </row>
        <row r="2284">
          <cell r="D2284" t="str">
            <v>Other Office Equipment</v>
          </cell>
          <cell r="F2284">
            <v>0</v>
          </cell>
        </row>
        <row r="2285">
          <cell r="D2285" t="str">
            <v>Other Office Equipment</v>
          </cell>
          <cell r="F2285">
            <v>0</v>
          </cell>
        </row>
        <row r="2286">
          <cell r="D2286" t="str">
            <v>Other Office Equipment</v>
          </cell>
          <cell r="F2286">
            <v>0</v>
          </cell>
        </row>
        <row r="2287">
          <cell r="D2287" t="str">
            <v>Other Office Equipment</v>
          </cell>
          <cell r="F2287">
            <v>0</v>
          </cell>
        </row>
        <row r="2288">
          <cell r="D2288" t="str">
            <v>Other Office Equipment</v>
          </cell>
          <cell r="F2288">
            <v>0</v>
          </cell>
        </row>
        <row r="2289">
          <cell r="D2289" t="str">
            <v>Other Office Equipment</v>
          </cell>
          <cell r="F2289">
            <v>0</v>
          </cell>
        </row>
        <row r="2290">
          <cell r="D2290" t="str">
            <v>Other Office Equipment</v>
          </cell>
          <cell r="F2290">
            <v>0</v>
          </cell>
        </row>
        <row r="2291">
          <cell r="D2291" t="str">
            <v>Other Office Equipment</v>
          </cell>
          <cell r="F2291">
            <v>0</v>
          </cell>
        </row>
        <row r="2292">
          <cell r="D2292" t="str">
            <v>Other Office Equipment</v>
          </cell>
          <cell r="F2292">
            <v>0</v>
          </cell>
        </row>
        <row r="2293">
          <cell r="D2293" t="str">
            <v>Other Office Equipment</v>
          </cell>
          <cell r="F2293">
            <v>0</v>
          </cell>
        </row>
        <row r="2294">
          <cell r="D2294" t="str">
            <v>Other Office Equipment</v>
          </cell>
          <cell r="F2294">
            <v>0</v>
          </cell>
        </row>
        <row r="2295">
          <cell r="D2295" t="str">
            <v>Other Office Equipment</v>
          </cell>
          <cell r="F2295">
            <v>0</v>
          </cell>
        </row>
        <row r="2296">
          <cell r="D2296" t="str">
            <v>Other Office Equipment</v>
          </cell>
          <cell r="F2296">
            <v>0</v>
          </cell>
        </row>
        <row r="2297">
          <cell r="D2297" t="str">
            <v>Other Office Equipment</v>
          </cell>
          <cell r="F2297">
            <v>0</v>
          </cell>
        </row>
        <row r="2298">
          <cell r="D2298" t="str">
            <v>Other Office Equipment</v>
          </cell>
          <cell r="F2298">
            <v>0</v>
          </cell>
        </row>
        <row r="2299">
          <cell r="D2299" t="str">
            <v>Other Office Equipment</v>
          </cell>
          <cell r="F2299">
            <v>0</v>
          </cell>
        </row>
        <row r="2300">
          <cell r="D2300" t="str">
            <v>Other Office Equipment</v>
          </cell>
          <cell r="F2300">
            <v>0</v>
          </cell>
        </row>
        <row r="2301">
          <cell r="D2301" t="str">
            <v>Other Office Equipment</v>
          </cell>
          <cell r="F2301">
            <v>0</v>
          </cell>
        </row>
        <row r="2302">
          <cell r="D2302" t="str">
            <v>Other Office Equipment</v>
          </cell>
          <cell r="F2302">
            <v>0</v>
          </cell>
        </row>
        <row r="2303">
          <cell r="D2303" t="str">
            <v>Other Office Equipment</v>
          </cell>
          <cell r="F2303">
            <v>0</v>
          </cell>
        </row>
        <row r="2304">
          <cell r="D2304" t="str">
            <v>Other Office Equipment</v>
          </cell>
          <cell r="F2304">
            <v>0</v>
          </cell>
        </row>
        <row r="2305">
          <cell r="D2305" t="str">
            <v>Other Office Equipment</v>
          </cell>
          <cell r="F2305">
            <v>0</v>
          </cell>
        </row>
        <row r="2306">
          <cell r="D2306" t="str">
            <v>Other Office Equipment</v>
          </cell>
          <cell r="F2306">
            <v>0</v>
          </cell>
        </row>
        <row r="2307">
          <cell r="D2307" t="str">
            <v>Other Office Equipment</v>
          </cell>
          <cell r="F2307">
            <v>0</v>
          </cell>
        </row>
        <row r="2308">
          <cell r="D2308" t="str">
            <v>Other Office Equipment</v>
          </cell>
          <cell r="F2308">
            <v>0</v>
          </cell>
        </row>
        <row r="2309">
          <cell r="D2309" t="str">
            <v>Other Office Equipment</v>
          </cell>
          <cell r="F2309">
            <v>0</v>
          </cell>
        </row>
        <row r="2310">
          <cell r="D2310" t="str">
            <v>Other Office Equipment</v>
          </cell>
          <cell r="F2310">
            <v>0</v>
          </cell>
        </row>
        <row r="2311">
          <cell r="D2311" t="str">
            <v>Other Office Equipment</v>
          </cell>
          <cell r="F2311">
            <v>0</v>
          </cell>
        </row>
        <row r="2312">
          <cell r="D2312" t="str">
            <v>Other Office Equipment</v>
          </cell>
          <cell r="F2312">
            <v>0</v>
          </cell>
        </row>
        <row r="2313">
          <cell r="D2313" t="str">
            <v>Other Office Equipment</v>
          </cell>
          <cell r="F2313">
            <v>0</v>
          </cell>
        </row>
        <row r="2314">
          <cell r="D2314" t="str">
            <v>Other Office Equipment</v>
          </cell>
          <cell r="F2314">
            <v>0</v>
          </cell>
        </row>
        <row r="2315">
          <cell r="D2315" t="str">
            <v>Other Office Equipment</v>
          </cell>
          <cell r="F2315">
            <v>0</v>
          </cell>
        </row>
        <row r="2316">
          <cell r="D2316" t="str">
            <v>Other Office Equipment</v>
          </cell>
          <cell r="F2316">
            <v>0</v>
          </cell>
        </row>
        <row r="2317">
          <cell r="D2317" t="str">
            <v>Other Office Equipment</v>
          </cell>
          <cell r="F2317">
            <v>0</v>
          </cell>
        </row>
        <row r="2318">
          <cell r="D2318" t="str">
            <v>Other Office Equipment</v>
          </cell>
          <cell r="F2318">
            <v>0</v>
          </cell>
        </row>
        <row r="2319">
          <cell r="D2319" t="str">
            <v>Other Office Equipment</v>
          </cell>
          <cell r="F2319">
            <v>0</v>
          </cell>
        </row>
        <row r="2320">
          <cell r="D2320" t="str">
            <v>Other Office Equipment</v>
          </cell>
          <cell r="F2320">
            <v>0</v>
          </cell>
        </row>
        <row r="2321">
          <cell r="D2321" t="str">
            <v>Other Office Equipment</v>
          </cell>
          <cell r="F2321">
            <v>0</v>
          </cell>
        </row>
        <row r="2322">
          <cell r="D2322" t="str">
            <v>Other Office Equipment</v>
          </cell>
          <cell r="F2322">
            <v>0</v>
          </cell>
        </row>
        <row r="2323">
          <cell r="D2323" t="str">
            <v>Other Office Equipment</v>
          </cell>
          <cell r="F2323">
            <v>0</v>
          </cell>
        </row>
        <row r="2324">
          <cell r="D2324" t="str">
            <v>Other Office Equipment</v>
          </cell>
          <cell r="F2324">
            <v>0</v>
          </cell>
        </row>
        <row r="2325">
          <cell r="D2325" t="str">
            <v>Other Office Equipment</v>
          </cell>
          <cell r="F2325">
            <v>0</v>
          </cell>
        </row>
        <row r="2326">
          <cell r="D2326" t="str">
            <v>Other Office Equipment</v>
          </cell>
          <cell r="F2326">
            <v>0</v>
          </cell>
        </row>
        <row r="2327">
          <cell r="D2327" t="str">
            <v>Other Office Equipment</v>
          </cell>
          <cell r="F2327">
            <v>0</v>
          </cell>
        </row>
        <row r="2328">
          <cell r="D2328" t="str">
            <v>Other Office Equipment</v>
          </cell>
          <cell r="F2328">
            <v>0</v>
          </cell>
        </row>
        <row r="2329">
          <cell r="D2329" t="str">
            <v>Other Office Equipment</v>
          </cell>
          <cell r="F2329">
            <v>0</v>
          </cell>
        </row>
        <row r="2330">
          <cell r="D2330" t="str">
            <v>Other Office Equipment</v>
          </cell>
          <cell r="F2330">
            <v>0</v>
          </cell>
        </row>
        <row r="2331">
          <cell r="D2331" t="str">
            <v>Other Office Equipment</v>
          </cell>
          <cell r="F2331">
            <v>0</v>
          </cell>
        </row>
        <row r="2332">
          <cell r="D2332" t="str">
            <v>Other Office Equipment</v>
          </cell>
          <cell r="F2332">
            <v>0</v>
          </cell>
        </row>
        <row r="2333">
          <cell r="D2333" t="str">
            <v>Other Office Equipment</v>
          </cell>
          <cell r="F2333">
            <v>0</v>
          </cell>
        </row>
        <row r="2334">
          <cell r="D2334" t="str">
            <v>Other Office Equipment</v>
          </cell>
          <cell r="F2334">
            <v>0</v>
          </cell>
        </row>
        <row r="2335">
          <cell r="D2335" t="str">
            <v>Other Office Equipment</v>
          </cell>
          <cell r="F2335">
            <v>0</v>
          </cell>
        </row>
        <row r="2336">
          <cell r="D2336" t="str">
            <v>Other Office Equipment</v>
          </cell>
          <cell r="F2336">
            <v>0</v>
          </cell>
        </row>
        <row r="2337">
          <cell r="D2337" t="str">
            <v>Other Office Equipment</v>
          </cell>
          <cell r="F2337">
            <v>0</v>
          </cell>
        </row>
        <row r="2338">
          <cell r="D2338" t="str">
            <v>Other Office Equipment</v>
          </cell>
          <cell r="F2338">
            <v>0</v>
          </cell>
        </row>
        <row r="2339">
          <cell r="D2339" t="str">
            <v>Other Office Equipment</v>
          </cell>
          <cell r="F2339">
            <v>0</v>
          </cell>
        </row>
        <row r="2340">
          <cell r="D2340" t="str">
            <v>Other Office Equipment</v>
          </cell>
          <cell r="F2340">
            <v>0</v>
          </cell>
        </row>
        <row r="2341">
          <cell r="D2341" t="str">
            <v>Other Office Equipment</v>
          </cell>
          <cell r="F2341">
            <v>0</v>
          </cell>
        </row>
        <row r="2342">
          <cell r="D2342" t="str">
            <v>Other Office Equipment</v>
          </cell>
          <cell r="F2342">
            <v>0</v>
          </cell>
        </row>
        <row r="2343">
          <cell r="D2343" t="str">
            <v>Other Office Equipment</v>
          </cell>
          <cell r="F2343">
            <v>0</v>
          </cell>
        </row>
        <row r="2344">
          <cell r="D2344" t="str">
            <v>Other Office Equipment</v>
          </cell>
          <cell r="F2344">
            <v>0</v>
          </cell>
        </row>
        <row r="2345">
          <cell r="D2345" t="str">
            <v>Other Office Equipment</v>
          </cell>
          <cell r="F2345">
            <v>0</v>
          </cell>
        </row>
        <row r="2346">
          <cell r="D2346" t="str">
            <v>Other Office Equipment</v>
          </cell>
          <cell r="F2346">
            <v>0</v>
          </cell>
        </row>
        <row r="2347">
          <cell r="D2347" t="str">
            <v>Other Office Equipment</v>
          </cell>
          <cell r="F2347">
            <v>0</v>
          </cell>
        </row>
        <row r="2348">
          <cell r="D2348" t="str">
            <v>Other Office Equipment</v>
          </cell>
          <cell r="F2348">
            <v>0</v>
          </cell>
        </row>
        <row r="2349">
          <cell r="D2349" t="str">
            <v>Other Office Equipment</v>
          </cell>
          <cell r="F2349">
            <v>0</v>
          </cell>
        </row>
        <row r="2350">
          <cell r="D2350" t="str">
            <v>Other Office Equipment</v>
          </cell>
          <cell r="F2350">
            <v>0</v>
          </cell>
        </row>
        <row r="2351">
          <cell r="D2351" t="str">
            <v>Other Office Equipment</v>
          </cell>
          <cell r="F2351">
            <v>0</v>
          </cell>
        </row>
        <row r="2352">
          <cell r="D2352" t="str">
            <v>Other Office Equipment</v>
          </cell>
          <cell r="F2352">
            <v>0</v>
          </cell>
        </row>
        <row r="2353">
          <cell r="D2353" t="str">
            <v>Other Office Equipment</v>
          </cell>
          <cell r="F2353">
            <v>0</v>
          </cell>
        </row>
        <row r="2354">
          <cell r="D2354" t="str">
            <v>Other Office Equipment</v>
          </cell>
          <cell r="F2354">
            <v>0</v>
          </cell>
        </row>
        <row r="2355">
          <cell r="D2355" t="str">
            <v>Other Office Equipment</v>
          </cell>
          <cell r="F2355">
            <v>0</v>
          </cell>
        </row>
        <row r="2356">
          <cell r="D2356" t="str">
            <v>Other Office Equipment</v>
          </cell>
          <cell r="F2356">
            <v>0</v>
          </cell>
        </row>
        <row r="2357">
          <cell r="D2357" t="str">
            <v>Other Office Equipment</v>
          </cell>
          <cell r="F2357">
            <v>0</v>
          </cell>
        </row>
        <row r="2358">
          <cell r="D2358" t="str">
            <v>Other Office Equipment</v>
          </cell>
          <cell r="F2358">
            <v>0</v>
          </cell>
        </row>
        <row r="2359">
          <cell r="D2359" t="str">
            <v>Other Office Equipment</v>
          </cell>
          <cell r="F2359">
            <v>0</v>
          </cell>
        </row>
        <row r="2360">
          <cell r="D2360" t="str">
            <v>Other Office Equipment</v>
          </cell>
          <cell r="F2360">
            <v>0</v>
          </cell>
        </row>
        <row r="2361">
          <cell r="D2361" t="str">
            <v>Other Office Equipment</v>
          </cell>
          <cell r="F2361">
            <v>0</v>
          </cell>
        </row>
        <row r="2362">
          <cell r="D2362" t="str">
            <v>Other Office Equipment</v>
          </cell>
          <cell r="F2362">
            <v>0</v>
          </cell>
        </row>
        <row r="2363">
          <cell r="D2363" t="str">
            <v>Other Office Equipment</v>
          </cell>
          <cell r="F2363">
            <v>0</v>
          </cell>
        </row>
        <row r="2364">
          <cell r="D2364" t="str">
            <v>Other Office Equipment</v>
          </cell>
          <cell r="F2364">
            <v>0</v>
          </cell>
        </row>
        <row r="2365">
          <cell r="D2365" t="str">
            <v>Other Office Equipment</v>
          </cell>
          <cell r="F2365">
            <v>0</v>
          </cell>
        </row>
        <row r="2366">
          <cell r="D2366" t="str">
            <v>Other Office Equipment</v>
          </cell>
          <cell r="F2366">
            <v>0</v>
          </cell>
        </row>
        <row r="2367">
          <cell r="D2367" t="str">
            <v>Other Office Equipment</v>
          </cell>
          <cell r="F2367">
            <v>0</v>
          </cell>
        </row>
        <row r="2368">
          <cell r="D2368" t="str">
            <v>Other Office Equipment</v>
          </cell>
          <cell r="F2368">
            <v>0</v>
          </cell>
        </row>
        <row r="2369">
          <cell r="D2369" t="str">
            <v>Other Office Equipment</v>
          </cell>
          <cell r="F2369">
            <v>0</v>
          </cell>
        </row>
        <row r="2370">
          <cell r="D2370" t="str">
            <v>Other Office Equipment</v>
          </cell>
          <cell r="F2370">
            <v>0</v>
          </cell>
        </row>
        <row r="2371">
          <cell r="D2371" t="str">
            <v>Other Office Equipment</v>
          </cell>
          <cell r="F2371">
            <v>0</v>
          </cell>
        </row>
        <row r="2372">
          <cell r="D2372" t="str">
            <v>Other Office Equipment</v>
          </cell>
          <cell r="F2372">
            <v>0</v>
          </cell>
        </row>
        <row r="2373">
          <cell r="D2373" t="str">
            <v>Other Office Equipment</v>
          </cell>
          <cell r="F2373">
            <v>0</v>
          </cell>
        </row>
        <row r="2374">
          <cell r="D2374" t="str">
            <v>Other Office Equipment</v>
          </cell>
          <cell r="F2374">
            <v>0</v>
          </cell>
        </row>
        <row r="2375">
          <cell r="D2375" t="str">
            <v>Other Office Equipment</v>
          </cell>
          <cell r="F2375">
            <v>0</v>
          </cell>
        </row>
        <row r="2376">
          <cell r="D2376" t="str">
            <v>Other Office Equipment</v>
          </cell>
          <cell r="F2376">
            <v>0</v>
          </cell>
        </row>
        <row r="2377">
          <cell r="D2377" t="str">
            <v>Other Office Equipment</v>
          </cell>
          <cell r="F2377">
            <v>0</v>
          </cell>
        </row>
        <row r="2378">
          <cell r="D2378" t="str">
            <v>Other Office Equipment</v>
          </cell>
          <cell r="F2378">
            <v>0</v>
          </cell>
        </row>
        <row r="2379">
          <cell r="D2379" t="str">
            <v>Other Office Equipment</v>
          </cell>
          <cell r="F2379">
            <v>0</v>
          </cell>
        </row>
        <row r="2380">
          <cell r="D2380" t="str">
            <v>Other Office Equipment</v>
          </cell>
          <cell r="F2380">
            <v>0</v>
          </cell>
        </row>
        <row r="2381">
          <cell r="D2381" t="str">
            <v>Other Office Equipment</v>
          </cell>
          <cell r="F2381">
            <v>0</v>
          </cell>
        </row>
        <row r="2382">
          <cell r="D2382" t="str">
            <v>Other Office Equipment</v>
          </cell>
          <cell r="F2382">
            <v>0</v>
          </cell>
        </row>
        <row r="2383">
          <cell r="D2383" t="str">
            <v>Other Office Equipment</v>
          </cell>
          <cell r="F2383">
            <v>0</v>
          </cell>
        </row>
        <row r="2384">
          <cell r="D2384" t="str">
            <v>Other Office Equipment</v>
          </cell>
          <cell r="F2384">
            <v>0</v>
          </cell>
        </row>
        <row r="2385">
          <cell r="D2385" t="str">
            <v>Other Office Equipment</v>
          </cell>
          <cell r="F2385">
            <v>0</v>
          </cell>
        </row>
        <row r="2386">
          <cell r="D2386" t="str">
            <v>Other Office Equipment</v>
          </cell>
          <cell r="F2386">
            <v>0</v>
          </cell>
        </row>
        <row r="2387">
          <cell r="D2387" t="str">
            <v>Other Office Equipment</v>
          </cell>
          <cell r="F2387">
            <v>0</v>
          </cell>
        </row>
        <row r="2388">
          <cell r="D2388" t="str">
            <v>Other Office Equipment</v>
          </cell>
          <cell r="F2388">
            <v>0</v>
          </cell>
        </row>
        <row r="2389">
          <cell r="D2389" t="str">
            <v>Other Office Equipment</v>
          </cell>
          <cell r="F2389">
            <v>0</v>
          </cell>
        </row>
        <row r="2390">
          <cell r="D2390" t="str">
            <v>Other Office Equipment</v>
          </cell>
          <cell r="F2390">
            <v>0</v>
          </cell>
        </row>
        <row r="2391">
          <cell r="D2391" t="str">
            <v>Other Office Equipment</v>
          </cell>
          <cell r="F2391">
            <v>0</v>
          </cell>
        </row>
        <row r="2392">
          <cell r="D2392" t="str">
            <v>Other Office Equipment</v>
          </cell>
          <cell r="F2392">
            <v>0</v>
          </cell>
        </row>
        <row r="2393">
          <cell r="D2393" t="str">
            <v>Other Office Equipment</v>
          </cell>
          <cell r="F2393">
            <v>0</v>
          </cell>
        </row>
        <row r="2394">
          <cell r="D2394" t="str">
            <v>Other Office Equipment</v>
          </cell>
          <cell r="F2394">
            <v>0</v>
          </cell>
        </row>
        <row r="2395">
          <cell r="D2395" t="str">
            <v>Other Office Equipment</v>
          </cell>
          <cell r="F2395">
            <v>0</v>
          </cell>
        </row>
        <row r="2396">
          <cell r="D2396" t="str">
            <v>Other Office Equipment</v>
          </cell>
          <cell r="F2396">
            <v>0</v>
          </cell>
        </row>
        <row r="2397">
          <cell r="D2397" t="str">
            <v>Other Office Equipment</v>
          </cell>
          <cell r="F2397">
            <v>0</v>
          </cell>
        </row>
        <row r="2398">
          <cell r="D2398" t="str">
            <v>Other Office Equipment</v>
          </cell>
          <cell r="F2398">
            <v>0</v>
          </cell>
        </row>
        <row r="2399">
          <cell r="D2399" t="str">
            <v>Other Office Equipment</v>
          </cell>
          <cell r="F2399">
            <v>0</v>
          </cell>
        </row>
        <row r="2400">
          <cell r="D2400" t="str">
            <v>Other Office Equipment</v>
          </cell>
          <cell r="F2400">
            <v>0</v>
          </cell>
        </row>
        <row r="2401">
          <cell r="D2401" t="str">
            <v>Other Office Equipment</v>
          </cell>
          <cell r="F2401">
            <v>0</v>
          </cell>
        </row>
        <row r="2402">
          <cell r="D2402" t="str">
            <v>Other Office Equipment</v>
          </cell>
          <cell r="F2402">
            <v>0</v>
          </cell>
        </row>
        <row r="2403">
          <cell r="D2403" t="str">
            <v>Other Office Equipment</v>
          </cell>
          <cell r="F2403">
            <v>0</v>
          </cell>
        </row>
        <row r="2404">
          <cell r="D2404" t="str">
            <v>Other Office Equipment</v>
          </cell>
          <cell r="F2404">
            <v>0</v>
          </cell>
        </row>
        <row r="2405">
          <cell r="D2405" t="str">
            <v>Other Office Equipment</v>
          </cell>
          <cell r="F2405">
            <v>0</v>
          </cell>
        </row>
        <row r="2406">
          <cell r="D2406" t="str">
            <v>Other Office Equipment</v>
          </cell>
          <cell r="F2406">
            <v>0</v>
          </cell>
        </row>
        <row r="2407">
          <cell r="D2407" t="str">
            <v>Other Office Equipment</v>
          </cell>
          <cell r="F2407">
            <v>0</v>
          </cell>
        </row>
        <row r="2408">
          <cell r="D2408" t="str">
            <v>Other Office Equipment</v>
          </cell>
          <cell r="F2408">
            <v>0</v>
          </cell>
        </row>
        <row r="2409">
          <cell r="D2409" t="str">
            <v>Other Office Equipment</v>
          </cell>
          <cell r="F2409">
            <v>0</v>
          </cell>
        </row>
        <row r="2410">
          <cell r="D2410" t="str">
            <v>Other Office Equipment</v>
          </cell>
          <cell r="F2410">
            <v>0</v>
          </cell>
        </row>
        <row r="2411">
          <cell r="D2411" t="str">
            <v>Other Office Equipment</v>
          </cell>
          <cell r="F2411">
            <v>0</v>
          </cell>
        </row>
        <row r="2412">
          <cell r="D2412" t="str">
            <v>Other Office Equipment</v>
          </cell>
          <cell r="F2412">
            <v>0</v>
          </cell>
        </row>
        <row r="2413">
          <cell r="D2413" t="str">
            <v>Other Office Equipment</v>
          </cell>
          <cell r="F2413">
            <v>0</v>
          </cell>
        </row>
        <row r="2414">
          <cell r="D2414" t="str">
            <v>Other Office Equipment</v>
          </cell>
          <cell r="F2414">
            <v>0</v>
          </cell>
        </row>
        <row r="2415">
          <cell r="D2415" t="str">
            <v>Other Office Equipment</v>
          </cell>
          <cell r="F2415">
            <v>0</v>
          </cell>
        </row>
        <row r="2416">
          <cell r="D2416" t="str">
            <v>Other Office Equipment</v>
          </cell>
          <cell r="F2416">
            <v>0</v>
          </cell>
        </row>
        <row r="2417">
          <cell r="D2417" t="str">
            <v>Other Office Equipment</v>
          </cell>
          <cell r="F2417">
            <v>0</v>
          </cell>
        </row>
        <row r="2418">
          <cell r="D2418" t="str">
            <v>Other Office Equipment</v>
          </cell>
          <cell r="F2418">
            <v>0</v>
          </cell>
        </row>
        <row r="2419">
          <cell r="D2419" t="str">
            <v>Other Office Equipment</v>
          </cell>
          <cell r="F2419">
            <v>0</v>
          </cell>
        </row>
        <row r="2420">
          <cell r="D2420" t="str">
            <v>Other Office Equipment</v>
          </cell>
          <cell r="F2420">
            <v>0</v>
          </cell>
        </row>
        <row r="2421">
          <cell r="D2421" t="str">
            <v>Other Office Equipment</v>
          </cell>
          <cell r="F2421">
            <v>0</v>
          </cell>
        </row>
        <row r="2422">
          <cell r="D2422" t="str">
            <v>Other Office Equipment</v>
          </cell>
          <cell r="F2422">
            <v>0</v>
          </cell>
        </row>
        <row r="2423">
          <cell r="D2423" t="str">
            <v>Other Office Equipment</v>
          </cell>
          <cell r="F2423">
            <v>0</v>
          </cell>
        </row>
        <row r="2424">
          <cell r="D2424" t="str">
            <v>Other Office Equipment</v>
          </cell>
          <cell r="F2424">
            <v>0</v>
          </cell>
        </row>
        <row r="2425">
          <cell r="D2425" t="str">
            <v>Other Office Equipment</v>
          </cell>
          <cell r="F2425">
            <v>0</v>
          </cell>
        </row>
        <row r="2426">
          <cell r="D2426" t="str">
            <v>Other Office Equipment</v>
          </cell>
          <cell r="F2426">
            <v>0</v>
          </cell>
        </row>
        <row r="2427">
          <cell r="D2427" t="str">
            <v>Other Office Equipment</v>
          </cell>
          <cell r="F2427">
            <v>0</v>
          </cell>
        </row>
        <row r="2428">
          <cell r="D2428" t="str">
            <v>Other Office Equipment</v>
          </cell>
          <cell r="F2428">
            <v>0</v>
          </cell>
        </row>
        <row r="2429">
          <cell r="D2429" t="str">
            <v>Other Office Equipment</v>
          </cell>
          <cell r="F2429">
            <v>0</v>
          </cell>
        </row>
        <row r="2430">
          <cell r="D2430" t="str">
            <v>Other Office Equipment</v>
          </cell>
          <cell r="F2430">
            <v>0</v>
          </cell>
        </row>
        <row r="2431">
          <cell r="D2431" t="str">
            <v>Other Office Equipment</v>
          </cell>
          <cell r="F2431">
            <v>0</v>
          </cell>
        </row>
        <row r="2432">
          <cell r="D2432" t="str">
            <v>Other Office Equipment</v>
          </cell>
          <cell r="F2432">
            <v>0</v>
          </cell>
        </row>
        <row r="2433">
          <cell r="D2433" t="str">
            <v>Other Office Equipment</v>
          </cell>
          <cell r="F2433">
            <v>0</v>
          </cell>
        </row>
        <row r="2434">
          <cell r="D2434" t="str">
            <v>Other Office Equipment</v>
          </cell>
          <cell r="F2434">
            <v>0</v>
          </cell>
        </row>
        <row r="2435">
          <cell r="D2435" t="str">
            <v>Other Office Equipment</v>
          </cell>
          <cell r="F2435">
            <v>0</v>
          </cell>
        </row>
        <row r="2436">
          <cell r="D2436" t="str">
            <v>Other Office Equipment</v>
          </cell>
          <cell r="F2436">
            <v>0</v>
          </cell>
        </row>
        <row r="2437">
          <cell r="D2437" t="str">
            <v>Other Office Equipment</v>
          </cell>
          <cell r="F2437">
            <v>0</v>
          </cell>
        </row>
        <row r="2438">
          <cell r="D2438" t="str">
            <v>Other Office Equipment</v>
          </cell>
          <cell r="F2438">
            <v>0</v>
          </cell>
        </row>
        <row r="2439">
          <cell r="D2439" t="str">
            <v>Other Office Equipment</v>
          </cell>
          <cell r="F2439">
            <v>0</v>
          </cell>
        </row>
        <row r="2440">
          <cell r="D2440" t="str">
            <v>Other Office Equipment</v>
          </cell>
          <cell r="F2440">
            <v>0</v>
          </cell>
        </row>
        <row r="2441">
          <cell r="D2441" t="str">
            <v>Other Office Equipment</v>
          </cell>
          <cell r="F2441">
            <v>0</v>
          </cell>
        </row>
        <row r="2442">
          <cell r="D2442" t="str">
            <v>Other Office Equipment</v>
          </cell>
          <cell r="F2442">
            <v>0</v>
          </cell>
        </row>
        <row r="2443">
          <cell r="D2443" t="str">
            <v>Other Office Equipment</v>
          </cell>
          <cell r="F2443">
            <v>0</v>
          </cell>
        </row>
        <row r="2444">
          <cell r="D2444" t="str">
            <v>Other Office Equipment</v>
          </cell>
          <cell r="F2444">
            <v>0</v>
          </cell>
        </row>
        <row r="2445">
          <cell r="D2445" t="str">
            <v>Other Office Equipment</v>
          </cell>
          <cell r="F2445">
            <v>0</v>
          </cell>
        </row>
        <row r="2446">
          <cell r="D2446" t="str">
            <v>Other Office Equipment</v>
          </cell>
          <cell r="F2446">
            <v>0</v>
          </cell>
        </row>
        <row r="2447">
          <cell r="D2447" t="str">
            <v>Other Office Equipment</v>
          </cell>
          <cell r="F2447">
            <v>0</v>
          </cell>
        </row>
        <row r="2448">
          <cell r="D2448" t="str">
            <v>Other Office Equipment</v>
          </cell>
          <cell r="F2448">
            <v>0</v>
          </cell>
        </row>
        <row r="2449">
          <cell r="D2449" t="str">
            <v>Other Office Equipment</v>
          </cell>
          <cell r="F2449">
            <v>0</v>
          </cell>
        </row>
        <row r="2450">
          <cell r="D2450" t="str">
            <v>Other Office Equipment</v>
          </cell>
          <cell r="F2450">
            <v>0</v>
          </cell>
        </row>
        <row r="2451">
          <cell r="D2451" t="str">
            <v>Other Office Equipment</v>
          </cell>
          <cell r="F2451">
            <v>0</v>
          </cell>
        </row>
        <row r="2452">
          <cell r="D2452" t="str">
            <v>Other Office Equipment</v>
          </cell>
          <cell r="F2452">
            <v>0</v>
          </cell>
        </row>
        <row r="2453">
          <cell r="D2453" t="str">
            <v>Other Office Equipment</v>
          </cell>
          <cell r="F2453">
            <v>0</v>
          </cell>
        </row>
        <row r="2454">
          <cell r="D2454" t="str">
            <v>Other Office Equipment</v>
          </cell>
          <cell r="F2454">
            <v>0</v>
          </cell>
        </row>
        <row r="2455">
          <cell r="D2455" t="str">
            <v>Other Office Equipment</v>
          </cell>
          <cell r="F2455">
            <v>0</v>
          </cell>
        </row>
        <row r="2456">
          <cell r="D2456" t="str">
            <v>Other Office Equipment</v>
          </cell>
          <cell r="F2456">
            <v>0</v>
          </cell>
        </row>
        <row r="2457">
          <cell r="D2457" t="str">
            <v>Other Office Equipment</v>
          </cell>
          <cell r="F2457">
            <v>0</v>
          </cell>
        </row>
        <row r="2458">
          <cell r="D2458" t="str">
            <v>Other Office Equipment</v>
          </cell>
          <cell r="F2458">
            <v>0</v>
          </cell>
        </row>
        <row r="2459">
          <cell r="D2459" t="str">
            <v>Other Office Equipment</v>
          </cell>
          <cell r="F2459">
            <v>0</v>
          </cell>
        </row>
        <row r="2460">
          <cell r="D2460" t="str">
            <v>Other Office Equipment</v>
          </cell>
          <cell r="F2460">
            <v>0</v>
          </cell>
        </row>
        <row r="2461">
          <cell r="D2461" t="str">
            <v>Other Office Equipment</v>
          </cell>
          <cell r="F2461">
            <v>0</v>
          </cell>
        </row>
        <row r="2462">
          <cell r="D2462" t="str">
            <v>Other Office Equipment</v>
          </cell>
          <cell r="F2462">
            <v>0</v>
          </cell>
        </row>
        <row r="2463">
          <cell r="D2463" t="str">
            <v>Other Office Equipment</v>
          </cell>
          <cell r="F2463">
            <v>0</v>
          </cell>
        </row>
        <row r="2464">
          <cell r="D2464" t="str">
            <v>Other Office Equipment</v>
          </cell>
          <cell r="F2464">
            <v>0</v>
          </cell>
        </row>
        <row r="2465">
          <cell r="D2465" t="str">
            <v>Other Office Equipment</v>
          </cell>
          <cell r="F2465">
            <v>0</v>
          </cell>
        </row>
        <row r="2466">
          <cell r="D2466" t="str">
            <v>Other Office Equipment</v>
          </cell>
          <cell r="F2466">
            <v>0</v>
          </cell>
        </row>
        <row r="2467">
          <cell r="D2467" t="str">
            <v>Other Office Equipment</v>
          </cell>
          <cell r="F2467">
            <v>0</v>
          </cell>
        </row>
        <row r="2468">
          <cell r="D2468" t="str">
            <v>Other Office Equipment</v>
          </cell>
          <cell r="F2468">
            <v>0</v>
          </cell>
        </row>
        <row r="2469">
          <cell r="D2469" t="str">
            <v>Other Office Equipment</v>
          </cell>
          <cell r="F2469">
            <v>0</v>
          </cell>
        </row>
        <row r="2470">
          <cell r="D2470" t="str">
            <v>Other Office Equipment</v>
          </cell>
          <cell r="F2470">
            <v>0</v>
          </cell>
        </row>
        <row r="2471">
          <cell r="D2471" t="str">
            <v>Other Office Equipment</v>
          </cell>
          <cell r="F2471">
            <v>0</v>
          </cell>
        </row>
        <row r="2472">
          <cell r="D2472" t="str">
            <v>Other Office Equipment</v>
          </cell>
          <cell r="F2472">
            <v>0</v>
          </cell>
        </row>
        <row r="2473">
          <cell r="D2473" t="str">
            <v>Other Office Equipment</v>
          </cell>
          <cell r="F2473">
            <v>0</v>
          </cell>
        </row>
        <row r="2474">
          <cell r="D2474" t="str">
            <v>Other Office Equipment</v>
          </cell>
          <cell r="F2474">
            <v>0</v>
          </cell>
        </row>
        <row r="2475">
          <cell r="D2475" t="str">
            <v>Other Office Equipment</v>
          </cell>
          <cell r="F2475">
            <v>0</v>
          </cell>
        </row>
        <row r="2476">
          <cell r="D2476" t="str">
            <v>Other Office Equipment</v>
          </cell>
          <cell r="F2476">
            <v>0</v>
          </cell>
        </row>
        <row r="2477">
          <cell r="D2477" t="str">
            <v>Other Office Equipment</v>
          </cell>
          <cell r="F2477">
            <v>0</v>
          </cell>
        </row>
        <row r="2478">
          <cell r="D2478" t="str">
            <v>Other Office Equipment</v>
          </cell>
          <cell r="F2478">
            <v>0</v>
          </cell>
        </row>
        <row r="2479">
          <cell r="D2479" t="str">
            <v>Other Office Equipment</v>
          </cell>
          <cell r="F2479">
            <v>0</v>
          </cell>
        </row>
        <row r="2480">
          <cell r="D2480" t="str">
            <v>Other Office Equipment</v>
          </cell>
          <cell r="F2480">
            <v>0</v>
          </cell>
        </row>
        <row r="2481">
          <cell r="D2481" t="str">
            <v>Other Office Equipment</v>
          </cell>
          <cell r="F2481">
            <v>0</v>
          </cell>
        </row>
        <row r="2482">
          <cell r="D2482" t="str">
            <v>Other Office Equipment</v>
          </cell>
          <cell r="F2482">
            <v>0</v>
          </cell>
        </row>
        <row r="2483">
          <cell r="D2483" t="str">
            <v>Other Office Equipment</v>
          </cell>
          <cell r="F2483">
            <v>0</v>
          </cell>
        </row>
        <row r="2484">
          <cell r="D2484" t="str">
            <v>Other Office Equipment</v>
          </cell>
          <cell r="F2484">
            <v>0</v>
          </cell>
        </row>
        <row r="2485">
          <cell r="D2485" t="str">
            <v>Other Office Equipment</v>
          </cell>
          <cell r="F2485">
            <v>0</v>
          </cell>
        </row>
        <row r="2486">
          <cell r="D2486" t="str">
            <v>Other Office Equipment</v>
          </cell>
          <cell r="F2486">
            <v>0</v>
          </cell>
        </row>
        <row r="2487">
          <cell r="D2487" t="str">
            <v>Other Office Equipment</v>
          </cell>
          <cell r="F2487">
            <v>0</v>
          </cell>
        </row>
        <row r="2488">
          <cell r="D2488" t="str">
            <v>Other Office Equipment</v>
          </cell>
          <cell r="F2488">
            <v>0</v>
          </cell>
        </row>
        <row r="2489">
          <cell r="D2489" t="str">
            <v>Other Office Equipment</v>
          </cell>
          <cell r="F2489">
            <v>0</v>
          </cell>
        </row>
        <row r="2490">
          <cell r="D2490" t="str">
            <v>Other Office Equipment</v>
          </cell>
          <cell r="F2490">
            <v>0</v>
          </cell>
        </row>
        <row r="2491">
          <cell r="D2491" t="str">
            <v>Other Office Equipment</v>
          </cell>
          <cell r="F2491">
            <v>0</v>
          </cell>
        </row>
        <row r="2492">
          <cell r="D2492" t="str">
            <v>Other Office Equipment</v>
          </cell>
          <cell r="F2492">
            <v>0</v>
          </cell>
        </row>
        <row r="2493">
          <cell r="D2493" t="str">
            <v>Other Office Equipment</v>
          </cell>
          <cell r="F2493">
            <v>0</v>
          </cell>
        </row>
        <row r="2494">
          <cell r="D2494" t="str">
            <v>Other Office Equipment</v>
          </cell>
          <cell r="F2494">
            <v>0</v>
          </cell>
        </row>
        <row r="2495">
          <cell r="D2495" t="str">
            <v>Other Office Equipment</v>
          </cell>
          <cell r="F2495">
            <v>0</v>
          </cell>
        </row>
        <row r="2496">
          <cell r="D2496" t="str">
            <v>Other Office Equipment</v>
          </cell>
          <cell r="F2496">
            <v>0</v>
          </cell>
        </row>
        <row r="2497">
          <cell r="D2497" t="str">
            <v>Other Office Equipment</v>
          </cell>
          <cell r="F2497">
            <v>0</v>
          </cell>
        </row>
        <row r="2498">
          <cell r="D2498" t="str">
            <v>Other Office Equipment</v>
          </cell>
          <cell r="F2498">
            <v>0</v>
          </cell>
        </row>
        <row r="2499">
          <cell r="D2499" t="str">
            <v>Other Office Equipment</v>
          </cell>
          <cell r="F2499">
            <v>0</v>
          </cell>
        </row>
        <row r="2500">
          <cell r="D2500" t="str">
            <v>Other Office Equipment</v>
          </cell>
          <cell r="F2500">
            <v>0</v>
          </cell>
        </row>
        <row r="2501">
          <cell r="D2501" t="str">
            <v>Other Office Equipment</v>
          </cell>
          <cell r="F2501">
            <v>0</v>
          </cell>
        </row>
        <row r="2502">
          <cell r="D2502" t="str">
            <v>Other Office Equipment</v>
          </cell>
          <cell r="F2502">
            <v>0</v>
          </cell>
        </row>
        <row r="2503">
          <cell r="D2503" t="str">
            <v>Other Office Equipment</v>
          </cell>
          <cell r="F2503">
            <v>0</v>
          </cell>
        </row>
        <row r="2504">
          <cell r="D2504" t="str">
            <v>Other Office Equipment</v>
          </cell>
          <cell r="F2504">
            <v>0</v>
          </cell>
        </row>
        <row r="2505">
          <cell r="D2505" t="str">
            <v>Other Office Equipment</v>
          </cell>
          <cell r="F2505">
            <v>0</v>
          </cell>
        </row>
        <row r="2506">
          <cell r="D2506" t="str">
            <v>Other Office Equipment</v>
          </cell>
          <cell r="F2506">
            <v>0</v>
          </cell>
        </row>
        <row r="2507">
          <cell r="D2507" t="str">
            <v>Other Office Equipment</v>
          </cell>
          <cell r="F2507">
            <v>0</v>
          </cell>
        </row>
        <row r="2508">
          <cell r="D2508" t="str">
            <v>Other Office Equipment</v>
          </cell>
          <cell r="F2508">
            <v>0</v>
          </cell>
        </row>
        <row r="2509">
          <cell r="D2509" t="str">
            <v>Other Office Equipment</v>
          </cell>
          <cell r="F2509">
            <v>0</v>
          </cell>
        </row>
        <row r="2510">
          <cell r="D2510" t="str">
            <v>Other Office Equipment</v>
          </cell>
          <cell r="F2510">
            <v>0</v>
          </cell>
        </row>
        <row r="2511">
          <cell r="D2511" t="str">
            <v>Other Office Equipment</v>
          </cell>
          <cell r="F2511">
            <v>0</v>
          </cell>
        </row>
        <row r="2512">
          <cell r="D2512" t="str">
            <v>Other Office Equipment</v>
          </cell>
          <cell r="F2512">
            <v>0</v>
          </cell>
        </row>
        <row r="2513">
          <cell r="D2513" t="str">
            <v>Other Office Equipment</v>
          </cell>
          <cell r="F2513">
            <v>0</v>
          </cell>
        </row>
        <row r="2514">
          <cell r="D2514" t="str">
            <v>Other Office Equipment</v>
          </cell>
          <cell r="F2514">
            <v>0</v>
          </cell>
        </row>
        <row r="2515">
          <cell r="D2515" t="str">
            <v>Other Office Equipment</v>
          </cell>
          <cell r="F2515">
            <v>0</v>
          </cell>
        </row>
        <row r="2516">
          <cell r="D2516" t="str">
            <v>Other Office Equipment</v>
          </cell>
          <cell r="F2516">
            <v>0</v>
          </cell>
        </row>
        <row r="2517">
          <cell r="D2517" t="str">
            <v>Other Office Equipment</v>
          </cell>
          <cell r="F2517">
            <v>0</v>
          </cell>
        </row>
        <row r="2518">
          <cell r="D2518" t="str">
            <v>Other Office Equipment</v>
          </cell>
          <cell r="F2518">
            <v>0</v>
          </cell>
        </row>
        <row r="2519">
          <cell r="D2519" t="str">
            <v>Other Office Equipment</v>
          </cell>
          <cell r="F2519">
            <v>0</v>
          </cell>
        </row>
        <row r="2520">
          <cell r="D2520" t="str">
            <v>Other Office Equipment</v>
          </cell>
          <cell r="F2520">
            <v>0</v>
          </cell>
        </row>
        <row r="2521">
          <cell r="D2521" t="str">
            <v>Other Office Equipment</v>
          </cell>
          <cell r="F2521">
            <v>0</v>
          </cell>
        </row>
        <row r="2522">
          <cell r="D2522" t="str">
            <v>Other Office Equipment</v>
          </cell>
          <cell r="F2522">
            <v>0</v>
          </cell>
        </row>
        <row r="2523">
          <cell r="D2523" t="str">
            <v>Other Office Equipment</v>
          </cell>
          <cell r="F2523">
            <v>0</v>
          </cell>
        </row>
        <row r="2524">
          <cell r="D2524" t="str">
            <v>Other Office Equipment</v>
          </cell>
          <cell r="F2524">
            <v>0</v>
          </cell>
        </row>
        <row r="2525">
          <cell r="D2525" t="str">
            <v>Other Office Equipment</v>
          </cell>
          <cell r="F2525">
            <v>0</v>
          </cell>
        </row>
        <row r="2526">
          <cell r="D2526" t="str">
            <v>Other Office Equipment</v>
          </cell>
          <cell r="F2526">
            <v>0</v>
          </cell>
        </row>
        <row r="2527">
          <cell r="D2527" t="str">
            <v>Other Office Equipment</v>
          </cell>
          <cell r="F2527">
            <v>0</v>
          </cell>
        </row>
        <row r="2528">
          <cell r="D2528" t="str">
            <v>Other Office Equipment</v>
          </cell>
          <cell r="F2528">
            <v>0</v>
          </cell>
        </row>
        <row r="2529">
          <cell r="D2529" t="str">
            <v>Other Office Equipment</v>
          </cell>
          <cell r="F2529">
            <v>0</v>
          </cell>
        </row>
        <row r="2530">
          <cell r="D2530" t="str">
            <v>Other Office Equipment</v>
          </cell>
          <cell r="F2530">
            <v>0</v>
          </cell>
        </row>
        <row r="2531">
          <cell r="D2531" t="str">
            <v>Other Office Equipment</v>
          </cell>
          <cell r="F2531">
            <v>0</v>
          </cell>
        </row>
        <row r="2532">
          <cell r="D2532" t="str">
            <v>Other Office Equipment</v>
          </cell>
          <cell r="F2532">
            <v>0</v>
          </cell>
        </row>
        <row r="2533">
          <cell r="D2533" t="str">
            <v>Other Office Equipment</v>
          </cell>
          <cell r="F2533">
            <v>0</v>
          </cell>
        </row>
        <row r="2534">
          <cell r="D2534" t="str">
            <v>Other Office Equipment</v>
          </cell>
          <cell r="F2534">
            <v>0</v>
          </cell>
        </row>
        <row r="2535">
          <cell r="D2535" t="str">
            <v>Other Office Equipment</v>
          </cell>
          <cell r="F2535">
            <v>0</v>
          </cell>
        </row>
        <row r="2536">
          <cell r="D2536" t="str">
            <v>Other Office Equipment</v>
          </cell>
          <cell r="F2536">
            <v>0</v>
          </cell>
        </row>
        <row r="2537">
          <cell r="D2537" t="str">
            <v>Other Office Equipment</v>
          </cell>
          <cell r="F2537">
            <v>0</v>
          </cell>
        </row>
        <row r="2538">
          <cell r="D2538" t="str">
            <v>Other Office Equipment</v>
          </cell>
          <cell r="F2538">
            <v>0</v>
          </cell>
        </row>
        <row r="2539">
          <cell r="D2539" t="str">
            <v>Other Office Equipment</v>
          </cell>
          <cell r="F2539">
            <v>0</v>
          </cell>
        </row>
        <row r="2540">
          <cell r="D2540" t="str">
            <v>Other Office Equipment</v>
          </cell>
          <cell r="F2540">
            <v>0</v>
          </cell>
        </row>
        <row r="2541">
          <cell r="D2541" t="str">
            <v>Other Office Equipment</v>
          </cell>
          <cell r="F2541">
            <v>0</v>
          </cell>
        </row>
        <row r="2542">
          <cell r="D2542" t="str">
            <v>Other Office Equipment</v>
          </cell>
          <cell r="F2542">
            <v>0</v>
          </cell>
        </row>
        <row r="2543">
          <cell r="D2543" t="str">
            <v>Other Office Equipment</v>
          </cell>
          <cell r="F2543">
            <v>0</v>
          </cell>
        </row>
        <row r="2544">
          <cell r="D2544" t="str">
            <v>Other Office Equipment</v>
          </cell>
          <cell r="F2544">
            <v>0</v>
          </cell>
        </row>
        <row r="2545">
          <cell r="D2545" t="str">
            <v>Other Office Equipment</v>
          </cell>
          <cell r="F2545">
            <v>0</v>
          </cell>
        </row>
        <row r="2546">
          <cell r="D2546" t="str">
            <v>Other Office Equipment</v>
          </cell>
          <cell r="F2546">
            <v>0</v>
          </cell>
        </row>
        <row r="2547">
          <cell r="D2547" t="str">
            <v>Other Office Equipment</v>
          </cell>
          <cell r="F2547">
            <v>0</v>
          </cell>
        </row>
        <row r="2548">
          <cell r="D2548" t="str">
            <v>Other Office Equipment</v>
          </cell>
          <cell r="F2548">
            <v>0</v>
          </cell>
        </row>
        <row r="2549">
          <cell r="D2549" t="str">
            <v>Other Office Equipment</v>
          </cell>
          <cell r="F2549">
            <v>0</v>
          </cell>
        </row>
        <row r="2550">
          <cell r="D2550" t="str">
            <v>Other Office Equipment</v>
          </cell>
          <cell r="F2550">
            <v>0</v>
          </cell>
        </row>
        <row r="2551">
          <cell r="D2551" t="str">
            <v>Other Office Equipment</v>
          </cell>
          <cell r="F2551">
            <v>0</v>
          </cell>
        </row>
        <row r="2552">
          <cell r="D2552" t="str">
            <v>Other Office Equipment</v>
          </cell>
          <cell r="F2552">
            <v>0</v>
          </cell>
        </row>
        <row r="2553">
          <cell r="D2553" t="str">
            <v>Other Office Equipment</v>
          </cell>
          <cell r="F2553">
            <v>0</v>
          </cell>
        </row>
        <row r="2554">
          <cell r="D2554" t="str">
            <v>Other Office Equipment</v>
          </cell>
          <cell r="F2554">
            <v>0</v>
          </cell>
        </row>
        <row r="2555">
          <cell r="D2555" t="str">
            <v>Other Office Equipment</v>
          </cell>
          <cell r="F2555">
            <v>0</v>
          </cell>
        </row>
        <row r="2556">
          <cell r="D2556" t="str">
            <v>Other Office Equipment</v>
          </cell>
          <cell r="F2556">
            <v>0</v>
          </cell>
        </row>
        <row r="2557">
          <cell r="D2557" t="str">
            <v>Other Office Equipment</v>
          </cell>
          <cell r="F2557">
            <v>0</v>
          </cell>
        </row>
        <row r="2558">
          <cell r="D2558" t="str">
            <v>Other Office Equipment</v>
          </cell>
          <cell r="F2558">
            <v>0</v>
          </cell>
        </row>
        <row r="2559">
          <cell r="D2559" t="str">
            <v>Other Office Equipment</v>
          </cell>
          <cell r="F2559">
            <v>0</v>
          </cell>
        </row>
        <row r="2560">
          <cell r="D2560" t="str">
            <v>Other Office Equipment</v>
          </cell>
          <cell r="F2560">
            <v>0</v>
          </cell>
        </row>
        <row r="2561">
          <cell r="D2561" t="str">
            <v>Other Office Equipment</v>
          </cell>
          <cell r="F2561">
            <v>0</v>
          </cell>
        </row>
        <row r="2562">
          <cell r="D2562" t="str">
            <v>Other Office Equipment</v>
          </cell>
          <cell r="F2562">
            <v>0</v>
          </cell>
        </row>
        <row r="2563">
          <cell r="D2563" t="str">
            <v>Other Office Equipment</v>
          </cell>
          <cell r="F2563">
            <v>0</v>
          </cell>
        </row>
        <row r="2564">
          <cell r="D2564" t="str">
            <v>Other Office Equipment</v>
          </cell>
          <cell r="F2564">
            <v>0</v>
          </cell>
        </row>
        <row r="2565">
          <cell r="D2565" t="str">
            <v>Other Office Equipment</v>
          </cell>
          <cell r="F2565">
            <v>0</v>
          </cell>
        </row>
        <row r="2566">
          <cell r="D2566" t="str">
            <v>Other Office Equipment</v>
          </cell>
          <cell r="F2566">
            <v>0</v>
          </cell>
        </row>
        <row r="2567">
          <cell r="D2567" t="str">
            <v>Other Office Equipment</v>
          </cell>
          <cell r="F2567">
            <v>0</v>
          </cell>
        </row>
        <row r="2568">
          <cell r="D2568" t="str">
            <v>Other Office Equipment</v>
          </cell>
          <cell r="F2568">
            <v>0</v>
          </cell>
        </row>
        <row r="2569">
          <cell r="D2569" t="str">
            <v>Other Office Equipment</v>
          </cell>
          <cell r="F2569">
            <v>0</v>
          </cell>
        </row>
        <row r="2570">
          <cell r="D2570" t="str">
            <v>Other Office Equipment</v>
          </cell>
          <cell r="F2570">
            <v>0</v>
          </cell>
        </row>
        <row r="2571">
          <cell r="D2571" t="str">
            <v>Other Office Equipment</v>
          </cell>
          <cell r="F2571">
            <v>0</v>
          </cell>
        </row>
        <row r="2572">
          <cell r="D2572" t="str">
            <v>Other Office Equipment</v>
          </cell>
          <cell r="F2572">
            <v>0</v>
          </cell>
        </row>
        <row r="2573">
          <cell r="D2573" t="str">
            <v>Other Office Equipment</v>
          </cell>
          <cell r="F2573">
            <v>0</v>
          </cell>
        </row>
        <row r="2574">
          <cell r="D2574" t="str">
            <v>Other Office Equipment</v>
          </cell>
          <cell r="F2574">
            <v>0</v>
          </cell>
        </row>
        <row r="2575">
          <cell r="D2575" t="str">
            <v>Other Office Equipment</v>
          </cell>
          <cell r="F2575">
            <v>0</v>
          </cell>
        </row>
        <row r="2576">
          <cell r="D2576" t="str">
            <v>Other Office Equipment</v>
          </cell>
          <cell r="F2576">
            <v>0</v>
          </cell>
        </row>
        <row r="2577">
          <cell r="D2577" t="str">
            <v>Other Office Equipment</v>
          </cell>
          <cell r="F2577">
            <v>0</v>
          </cell>
        </row>
        <row r="2578">
          <cell r="D2578" t="str">
            <v>Other Office Equipment</v>
          </cell>
          <cell r="F2578">
            <v>0</v>
          </cell>
        </row>
        <row r="2579">
          <cell r="D2579" t="str">
            <v>Other Office Equipment</v>
          </cell>
          <cell r="F2579">
            <v>0</v>
          </cell>
        </row>
        <row r="2580">
          <cell r="D2580" t="str">
            <v>Other Office Equipment</v>
          </cell>
          <cell r="F2580">
            <v>0</v>
          </cell>
        </row>
        <row r="2581">
          <cell r="D2581" t="str">
            <v>Other Office Equipment</v>
          </cell>
          <cell r="F2581">
            <v>0</v>
          </cell>
        </row>
        <row r="2582">
          <cell r="D2582" t="str">
            <v>Other Office Equipment</v>
          </cell>
          <cell r="F2582">
            <v>0</v>
          </cell>
        </row>
        <row r="2583">
          <cell r="D2583" t="str">
            <v>Other Office Equipment</v>
          </cell>
          <cell r="F2583">
            <v>0</v>
          </cell>
        </row>
        <row r="2584">
          <cell r="D2584" t="str">
            <v>Other Office Equipment</v>
          </cell>
          <cell r="F2584">
            <v>0</v>
          </cell>
        </row>
        <row r="2585">
          <cell r="D2585" t="str">
            <v>Other Office Equipment</v>
          </cell>
          <cell r="F2585">
            <v>0</v>
          </cell>
        </row>
        <row r="2586">
          <cell r="D2586" t="str">
            <v>Other Office Equipment</v>
          </cell>
          <cell r="F2586">
            <v>0</v>
          </cell>
        </row>
        <row r="2587">
          <cell r="D2587" t="str">
            <v>Other Office Equipment</v>
          </cell>
          <cell r="F2587">
            <v>0</v>
          </cell>
        </row>
        <row r="2588">
          <cell r="D2588" t="str">
            <v>Other Office Equipment</v>
          </cell>
          <cell r="F2588">
            <v>0</v>
          </cell>
        </row>
        <row r="2589">
          <cell r="D2589" t="str">
            <v>Other Office Equipment</v>
          </cell>
          <cell r="F2589">
            <v>0</v>
          </cell>
        </row>
        <row r="2590">
          <cell r="D2590" t="str">
            <v>Other Office Equipment</v>
          </cell>
          <cell r="F2590">
            <v>0</v>
          </cell>
        </row>
        <row r="2591">
          <cell r="D2591" t="str">
            <v>Other Office Equipment</v>
          </cell>
          <cell r="F2591">
            <v>0</v>
          </cell>
        </row>
        <row r="2592">
          <cell r="D2592" t="str">
            <v>Other Office Equipment</v>
          </cell>
          <cell r="F2592">
            <v>0</v>
          </cell>
        </row>
        <row r="2593">
          <cell r="D2593" t="str">
            <v>Other Office Equipment</v>
          </cell>
          <cell r="F2593">
            <v>0</v>
          </cell>
        </row>
        <row r="2594">
          <cell r="D2594" t="str">
            <v>Other Office Equipment</v>
          </cell>
          <cell r="F2594">
            <v>0</v>
          </cell>
        </row>
        <row r="2595">
          <cell r="D2595" t="str">
            <v>Other Office Equipment</v>
          </cell>
          <cell r="F2595">
            <v>0</v>
          </cell>
        </row>
        <row r="2596">
          <cell r="D2596" t="str">
            <v>Other Office Equipment</v>
          </cell>
          <cell r="F2596">
            <v>0</v>
          </cell>
        </row>
        <row r="2597">
          <cell r="D2597" t="str">
            <v>Other Office Equipment</v>
          </cell>
          <cell r="F2597">
            <v>0</v>
          </cell>
        </row>
        <row r="2598">
          <cell r="D2598" t="str">
            <v>Other Office Equipment</v>
          </cell>
          <cell r="F2598">
            <v>0</v>
          </cell>
        </row>
        <row r="2599">
          <cell r="D2599" t="str">
            <v>Other Office Equipment</v>
          </cell>
          <cell r="F2599">
            <v>0</v>
          </cell>
        </row>
        <row r="2600">
          <cell r="D2600" t="str">
            <v>Other Office Equipment</v>
          </cell>
          <cell r="F2600">
            <v>0</v>
          </cell>
        </row>
        <row r="2601">
          <cell r="D2601" t="str">
            <v>Other Office Equipment</v>
          </cell>
          <cell r="F2601">
            <v>0</v>
          </cell>
        </row>
        <row r="2602">
          <cell r="D2602" t="str">
            <v>Other Office Equipment</v>
          </cell>
          <cell r="F2602">
            <v>0</v>
          </cell>
        </row>
        <row r="2603">
          <cell r="D2603" t="str">
            <v>Other Office Equipment</v>
          </cell>
          <cell r="F2603">
            <v>0</v>
          </cell>
        </row>
        <row r="2604">
          <cell r="D2604" t="str">
            <v>Other Office Equipment</v>
          </cell>
          <cell r="F2604">
            <v>0</v>
          </cell>
        </row>
        <row r="2605">
          <cell r="D2605" t="str">
            <v>Other Office Equipment</v>
          </cell>
          <cell r="F2605">
            <v>0</v>
          </cell>
        </row>
        <row r="2606">
          <cell r="D2606" t="str">
            <v>Other Office Equipment</v>
          </cell>
          <cell r="F2606">
            <v>0</v>
          </cell>
        </row>
        <row r="2607">
          <cell r="D2607" t="str">
            <v>Other Office Equipment</v>
          </cell>
          <cell r="F2607">
            <v>0</v>
          </cell>
        </row>
        <row r="2608">
          <cell r="D2608" t="str">
            <v>Other Office Equipment</v>
          </cell>
          <cell r="F2608">
            <v>0</v>
          </cell>
        </row>
        <row r="2609">
          <cell r="D2609" t="str">
            <v>Other Office Equipment</v>
          </cell>
          <cell r="F2609">
            <v>0</v>
          </cell>
        </row>
        <row r="2610">
          <cell r="D2610" t="str">
            <v>Other Office Equipment</v>
          </cell>
          <cell r="F2610">
            <v>0</v>
          </cell>
        </row>
        <row r="2611">
          <cell r="D2611" t="str">
            <v>Other Office Equipment</v>
          </cell>
          <cell r="F2611">
            <v>0</v>
          </cell>
        </row>
        <row r="2612">
          <cell r="D2612" t="str">
            <v>Other Office Equipment</v>
          </cell>
          <cell r="F2612">
            <v>0</v>
          </cell>
        </row>
        <row r="2613">
          <cell r="D2613" t="str">
            <v>Other Office Equipment</v>
          </cell>
          <cell r="F2613">
            <v>0</v>
          </cell>
        </row>
        <row r="2614">
          <cell r="D2614" t="str">
            <v>Other Office Equipment</v>
          </cell>
          <cell r="F2614">
            <v>0</v>
          </cell>
        </row>
        <row r="2615">
          <cell r="D2615" t="str">
            <v>Other Office Equipment</v>
          </cell>
          <cell r="F2615">
            <v>0</v>
          </cell>
        </row>
        <row r="2616">
          <cell r="D2616" t="str">
            <v>Other Office Equipment</v>
          </cell>
          <cell r="F2616">
            <v>0</v>
          </cell>
        </row>
        <row r="2617">
          <cell r="D2617" t="str">
            <v>Other Office Equipment</v>
          </cell>
          <cell r="F2617">
            <v>0</v>
          </cell>
        </row>
        <row r="2618">
          <cell r="D2618" t="str">
            <v>Other Office Equipment</v>
          </cell>
          <cell r="F2618">
            <v>0</v>
          </cell>
        </row>
        <row r="2619">
          <cell r="D2619" t="str">
            <v>Other Office Equipment</v>
          </cell>
          <cell r="F2619">
            <v>0</v>
          </cell>
        </row>
        <row r="2620">
          <cell r="D2620" t="str">
            <v>Other Office Equipment</v>
          </cell>
          <cell r="F2620">
            <v>0</v>
          </cell>
        </row>
        <row r="2621">
          <cell r="D2621" t="str">
            <v>Other Office Equipment</v>
          </cell>
          <cell r="F2621">
            <v>0</v>
          </cell>
        </row>
        <row r="2622">
          <cell r="D2622" t="str">
            <v>Other Office Equipment</v>
          </cell>
          <cell r="F2622">
            <v>0</v>
          </cell>
        </row>
        <row r="2623">
          <cell r="D2623" t="str">
            <v>Other Office Equipment</v>
          </cell>
          <cell r="F2623">
            <v>0</v>
          </cell>
        </row>
        <row r="2624">
          <cell r="D2624" t="str">
            <v>Other Office Equipment</v>
          </cell>
          <cell r="F2624">
            <v>0</v>
          </cell>
        </row>
        <row r="2625">
          <cell r="D2625" t="str">
            <v>Other Office Equipment</v>
          </cell>
          <cell r="F2625">
            <v>0</v>
          </cell>
        </row>
        <row r="2626">
          <cell r="D2626" t="str">
            <v>Other Office Equipment</v>
          </cell>
          <cell r="F2626">
            <v>0</v>
          </cell>
        </row>
        <row r="2627">
          <cell r="D2627" t="str">
            <v>Other Office Equipment</v>
          </cell>
          <cell r="F2627">
            <v>0</v>
          </cell>
        </row>
        <row r="2628">
          <cell r="D2628" t="str">
            <v>Other Office Equipment</v>
          </cell>
          <cell r="F2628">
            <v>0</v>
          </cell>
        </row>
        <row r="2629">
          <cell r="D2629" t="str">
            <v>Other Office Equipment</v>
          </cell>
          <cell r="F2629">
            <v>0</v>
          </cell>
        </row>
        <row r="2630">
          <cell r="D2630" t="str">
            <v>Other Office Equipment</v>
          </cell>
          <cell r="F2630">
            <v>0</v>
          </cell>
        </row>
        <row r="2631">
          <cell r="D2631" t="str">
            <v>Other Office Equipment</v>
          </cell>
          <cell r="F2631">
            <v>0</v>
          </cell>
        </row>
        <row r="2632">
          <cell r="D2632" t="str">
            <v>Other Office Equipment</v>
          </cell>
          <cell r="F2632">
            <v>0</v>
          </cell>
        </row>
        <row r="2633">
          <cell r="D2633" t="str">
            <v>Other Office Equipment</v>
          </cell>
          <cell r="F2633">
            <v>0</v>
          </cell>
        </row>
        <row r="2634">
          <cell r="D2634" t="str">
            <v>Other Office Equipment</v>
          </cell>
          <cell r="F2634">
            <v>0</v>
          </cell>
        </row>
        <row r="2635">
          <cell r="D2635" t="str">
            <v>Other Office Equipment</v>
          </cell>
          <cell r="F2635">
            <v>0</v>
          </cell>
        </row>
        <row r="2636">
          <cell r="D2636" t="str">
            <v>Other Office Equipment</v>
          </cell>
          <cell r="F2636">
            <v>0</v>
          </cell>
        </row>
        <row r="2637">
          <cell r="D2637" t="str">
            <v>Other Office Equipment</v>
          </cell>
          <cell r="F2637">
            <v>0</v>
          </cell>
        </row>
        <row r="2638">
          <cell r="D2638" t="str">
            <v>Other Office Equipment</v>
          </cell>
          <cell r="F2638">
            <v>0</v>
          </cell>
        </row>
        <row r="2639">
          <cell r="D2639" t="str">
            <v>Other Office Equipment</v>
          </cell>
          <cell r="F2639">
            <v>0</v>
          </cell>
        </row>
        <row r="2640">
          <cell r="D2640" t="str">
            <v>Other Office Equipment</v>
          </cell>
          <cell r="F2640">
            <v>0</v>
          </cell>
        </row>
        <row r="2641">
          <cell r="D2641" t="str">
            <v>Other Office Equipment</v>
          </cell>
          <cell r="F2641">
            <v>0</v>
          </cell>
        </row>
        <row r="2642">
          <cell r="D2642" t="str">
            <v>Other Office Equipment</v>
          </cell>
          <cell r="F2642">
            <v>0</v>
          </cell>
        </row>
        <row r="2643">
          <cell r="D2643" t="str">
            <v>Other Office Equipment</v>
          </cell>
          <cell r="F2643">
            <v>0</v>
          </cell>
        </row>
        <row r="2644">
          <cell r="D2644" t="str">
            <v>Other Office Equipment</v>
          </cell>
          <cell r="F2644">
            <v>0</v>
          </cell>
        </row>
        <row r="2645">
          <cell r="D2645" t="str">
            <v>Other Office Equipment</v>
          </cell>
          <cell r="F2645">
            <v>0</v>
          </cell>
        </row>
        <row r="2646">
          <cell r="D2646" t="str">
            <v>Other Office Equipment</v>
          </cell>
          <cell r="F2646">
            <v>0</v>
          </cell>
        </row>
        <row r="2647">
          <cell r="D2647" t="str">
            <v>Other Office Equipment</v>
          </cell>
          <cell r="F2647">
            <v>0</v>
          </cell>
        </row>
        <row r="2648">
          <cell r="D2648" t="str">
            <v>Other Office Equipment</v>
          </cell>
          <cell r="F2648">
            <v>0</v>
          </cell>
        </row>
        <row r="2649">
          <cell r="D2649" t="str">
            <v>Other Office Equipment</v>
          </cell>
          <cell r="F2649">
            <v>0</v>
          </cell>
        </row>
        <row r="2650">
          <cell r="D2650" t="str">
            <v>Other Office Equipment</v>
          </cell>
          <cell r="F2650">
            <v>0</v>
          </cell>
        </row>
        <row r="2651">
          <cell r="D2651" t="str">
            <v>Other Office Equipment</v>
          </cell>
          <cell r="F2651">
            <v>0</v>
          </cell>
        </row>
        <row r="2652">
          <cell r="D2652" t="str">
            <v>Other Office Equipment</v>
          </cell>
          <cell r="F2652">
            <v>0</v>
          </cell>
        </row>
        <row r="2653">
          <cell r="D2653" t="str">
            <v>Other Office Equipment</v>
          </cell>
          <cell r="F2653">
            <v>0</v>
          </cell>
        </row>
        <row r="2654">
          <cell r="D2654" t="str">
            <v>Other Office Equipment</v>
          </cell>
          <cell r="F2654">
            <v>0</v>
          </cell>
        </row>
        <row r="2655">
          <cell r="D2655" t="str">
            <v>Other Office Equipment</v>
          </cell>
          <cell r="F2655">
            <v>0</v>
          </cell>
        </row>
        <row r="2656">
          <cell r="D2656" t="str">
            <v>Other Office Equipment</v>
          </cell>
          <cell r="F2656">
            <v>0</v>
          </cell>
        </row>
        <row r="2657">
          <cell r="D2657" t="str">
            <v>Other Office Equipment</v>
          </cell>
          <cell r="F2657">
            <v>0</v>
          </cell>
        </row>
        <row r="2658">
          <cell r="D2658" t="str">
            <v>Other Office Equipment</v>
          </cell>
          <cell r="F2658">
            <v>0</v>
          </cell>
        </row>
        <row r="2659">
          <cell r="D2659" t="str">
            <v>Other Office Equipment</v>
          </cell>
          <cell r="F2659">
            <v>0</v>
          </cell>
        </row>
        <row r="2660">
          <cell r="D2660" t="str">
            <v>Other Office Equipment</v>
          </cell>
          <cell r="F2660">
            <v>0</v>
          </cell>
        </row>
        <row r="2661">
          <cell r="D2661" t="str">
            <v>Other Office Equipment</v>
          </cell>
          <cell r="F2661">
            <v>0</v>
          </cell>
        </row>
        <row r="2662">
          <cell r="D2662" t="str">
            <v>Other Office Equipment</v>
          </cell>
          <cell r="F2662">
            <v>0</v>
          </cell>
        </row>
        <row r="2663">
          <cell r="D2663" t="str">
            <v>Other Office Equipment</v>
          </cell>
          <cell r="F2663">
            <v>0</v>
          </cell>
        </row>
        <row r="2664">
          <cell r="D2664" t="str">
            <v>Other Office Equipment</v>
          </cell>
          <cell r="F2664">
            <v>0</v>
          </cell>
        </row>
        <row r="2665">
          <cell r="D2665" t="str">
            <v>Other Office Equipment</v>
          </cell>
          <cell r="F2665">
            <v>0</v>
          </cell>
        </row>
        <row r="2666">
          <cell r="D2666" t="str">
            <v>Other Office Equipment</v>
          </cell>
          <cell r="F2666">
            <v>0</v>
          </cell>
        </row>
        <row r="2667">
          <cell r="D2667" t="str">
            <v>Other Office Equipment</v>
          </cell>
          <cell r="F2667">
            <v>0</v>
          </cell>
        </row>
        <row r="2668">
          <cell r="D2668" t="str">
            <v>Other Office Equipment</v>
          </cell>
          <cell r="F2668">
            <v>0</v>
          </cell>
        </row>
        <row r="2669">
          <cell r="D2669" t="str">
            <v>Other Office Equipment</v>
          </cell>
          <cell r="F2669">
            <v>0</v>
          </cell>
        </row>
        <row r="2670">
          <cell r="D2670" t="str">
            <v>Other Office Equipment</v>
          </cell>
          <cell r="F2670">
            <v>0</v>
          </cell>
        </row>
        <row r="2671">
          <cell r="D2671" t="str">
            <v>Other Office Equipment</v>
          </cell>
          <cell r="F2671">
            <v>0</v>
          </cell>
        </row>
        <row r="2672">
          <cell r="D2672" t="str">
            <v>Other Office Equipment</v>
          </cell>
          <cell r="F2672">
            <v>0</v>
          </cell>
        </row>
        <row r="2673">
          <cell r="D2673" t="str">
            <v>Other Office Equipment</v>
          </cell>
          <cell r="F2673">
            <v>0</v>
          </cell>
        </row>
        <row r="2674">
          <cell r="D2674" t="str">
            <v>Other Office Equipment</v>
          </cell>
          <cell r="F2674">
            <v>0</v>
          </cell>
        </row>
        <row r="2675">
          <cell r="D2675" t="str">
            <v>Other Office Equipment</v>
          </cell>
          <cell r="F2675">
            <v>0</v>
          </cell>
        </row>
        <row r="2676">
          <cell r="D2676" t="str">
            <v>Other Office Equipment</v>
          </cell>
          <cell r="F2676">
            <v>0</v>
          </cell>
        </row>
        <row r="2677">
          <cell r="D2677" t="str">
            <v>Other Office Equipment</v>
          </cell>
          <cell r="F2677">
            <v>0</v>
          </cell>
        </row>
        <row r="2678">
          <cell r="D2678" t="str">
            <v>Other Office Equipment</v>
          </cell>
          <cell r="F2678">
            <v>0</v>
          </cell>
        </row>
        <row r="2679">
          <cell r="D2679" t="str">
            <v>Other Office Equipment</v>
          </cell>
          <cell r="F2679">
            <v>0</v>
          </cell>
        </row>
        <row r="2680">
          <cell r="D2680" t="str">
            <v>Other Office Equipment</v>
          </cell>
          <cell r="F2680">
            <v>0</v>
          </cell>
        </row>
        <row r="2681">
          <cell r="D2681" t="str">
            <v>Other Office Equipment</v>
          </cell>
          <cell r="F2681">
            <v>0</v>
          </cell>
        </row>
        <row r="2682">
          <cell r="D2682" t="str">
            <v>Other Office Equipment</v>
          </cell>
          <cell r="F2682">
            <v>0</v>
          </cell>
        </row>
        <row r="2683">
          <cell r="D2683" t="str">
            <v>Other Office Equipment</v>
          </cell>
          <cell r="F2683">
            <v>0</v>
          </cell>
        </row>
        <row r="2684">
          <cell r="D2684" t="str">
            <v>Other Office Equipment</v>
          </cell>
          <cell r="F2684">
            <v>0</v>
          </cell>
        </row>
        <row r="2685">
          <cell r="D2685" t="str">
            <v>Other Office Equipment</v>
          </cell>
          <cell r="F2685">
            <v>0</v>
          </cell>
        </row>
        <row r="2686">
          <cell r="D2686" t="str">
            <v>Other Office Equipment</v>
          </cell>
          <cell r="F2686">
            <v>0</v>
          </cell>
        </row>
        <row r="2687">
          <cell r="D2687" t="str">
            <v>Other Office Equipment</v>
          </cell>
          <cell r="F2687">
            <v>0</v>
          </cell>
        </row>
        <row r="2688">
          <cell r="D2688" t="str">
            <v>Other Office Equipment</v>
          </cell>
          <cell r="F2688">
            <v>0</v>
          </cell>
        </row>
        <row r="2689">
          <cell r="D2689" t="str">
            <v>Other Office Equipment</v>
          </cell>
          <cell r="F2689">
            <v>0</v>
          </cell>
        </row>
        <row r="2690">
          <cell r="D2690" t="str">
            <v>Other Office Equipment</v>
          </cell>
          <cell r="F2690">
            <v>0</v>
          </cell>
        </row>
        <row r="2691">
          <cell r="D2691" t="str">
            <v>Other Office Equipment</v>
          </cell>
          <cell r="F2691">
            <v>0</v>
          </cell>
        </row>
        <row r="2692">
          <cell r="D2692" t="str">
            <v>Other Office Equipment</v>
          </cell>
          <cell r="F2692">
            <v>0</v>
          </cell>
        </row>
        <row r="2693">
          <cell r="D2693" t="str">
            <v>Other Office Equipment</v>
          </cell>
          <cell r="F2693">
            <v>0</v>
          </cell>
        </row>
        <row r="2694">
          <cell r="D2694" t="str">
            <v>Other Office Equipment</v>
          </cell>
          <cell r="F2694">
            <v>0</v>
          </cell>
        </row>
        <row r="2695">
          <cell r="D2695" t="str">
            <v>Other Office Equipment</v>
          </cell>
          <cell r="F2695">
            <v>0</v>
          </cell>
        </row>
        <row r="2696">
          <cell r="D2696" t="str">
            <v>Other Office Equipment</v>
          </cell>
          <cell r="F2696">
            <v>0</v>
          </cell>
        </row>
        <row r="2697">
          <cell r="D2697" t="str">
            <v>Other Office Equipment</v>
          </cell>
          <cell r="F2697">
            <v>0</v>
          </cell>
        </row>
        <row r="2698">
          <cell r="D2698" t="str">
            <v>Other Office Equipment</v>
          </cell>
          <cell r="F2698">
            <v>0</v>
          </cell>
        </row>
        <row r="2699">
          <cell r="D2699" t="str">
            <v>Other Office Equipment</v>
          </cell>
          <cell r="F2699">
            <v>0</v>
          </cell>
        </row>
        <row r="2700">
          <cell r="D2700" t="str">
            <v>Other Office Equipment</v>
          </cell>
          <cell r="F2700">
            <v>0</v>
          </cell>
        </row>
        <row r="2701">
          <cell r="D2701" t="str">
            <v>Other Office Equipment</v>
          </cell>
          <cell r="F2701">
            <v>0</v>
          </cell>
        </row>
        <row r="2702">
          <cell r="D2702" t="str">
            <v>Other Office Equipment</v>
          </cell>
          <cell r="F2702">
            <v>0</v>
          </cell>
        </row>
        <row r="2703">
          <cell r="D2703" t="str">
            <v>Other Office Equipment</v>
          </cell>
          <cell r="F2703">
            <v>0</v>
          </cell>
        </row>
        <row r="2704">
          <cell r="D2704" t="str">
            <v>Other Office Equipment</v>
          </cell>
          <cell r="F2704">
            <v>0</v>
          </cell>
        </row>
        <row r="2705">
          <cell r="D2705" t="str">
            <v>Other Office Equipment</v>
          </cell>
          <cell r="F2705">
            <v>0</v>
          </cell>
        </row>
        <row r="2706">
          <cell r="D2706" t="str">
            <v>Other Office Equipment</v>
          </cell>
          <cell r="F2706">
            <v>0</v>
          </cell>
        </row>
        <row r="2707">
          <cell r="D2707" t="str">
            <v>Other Office Equipment</v>
          </cell>
          <cell r="F2707">
            <v>0</v>
          </cell>
        </row>
        <row r="2708">
          <cell r="D2708" t="str">
            <v>Other Office Equipment</v>
          </cell>
          <cell r="F2708">
            <v>0</v>
          </cell>
        </row>
        <row r="2709">
          <cell r="D2709" t="str">
            <v>Other Office Equipment</v>
          </cell>
          <cell r="F2709">
            <v>0</v>
          </cell>
        </row>
        <row r="2710">
          <cell r="D2710" t="str">
            <v>Other Office Equipment</v>
          </cell>
          <cell r="F2710">
            <v>0</v>
          </cell>
        </row>
        <row r="2711">
          <cell r="D2711" t="str">
            <v>Other Office Equipment</v>
          </cell>
          <cell r="F2711">
            <v>0</v>
          </cell>
        </row>
        <row r="2712">
          <cell r="D2712" t="str">
            <v>Other Office Equipment</v>
          </cell>
          <cell r="F2712">
            <v>0</v>
          </cell>
        </row>
        <row r="2713">
          <cell r="D2713" t="str">
            <v>Other Office Equipment</v>
          </cell>
          <cell r="F2713">
            <v>0</v>
          </cell>
        </row>
        <row r="2714">
          <cell r="D2714" t="str">
            <v>Other Office Equipment</v>
          </cell>
          <cell r="F2714">
            <v>0</v>
          </cell>
        </row>
        <row r="2715">
          <cell r="D2715" t="str">
            <v>Other Office Equipment</v>
          </cell>
          <cell r="F2715">
            <v>0</v>
          </cell>
        </row>
        <row r="2716">
          <cell r="D2716" t="str">
            <v>Other Office Equipment</v>
          </cell>
          <cell r="F2716">
            <v>0</v>
          </cell>
        </row>
        <row r="2717">
          <cell r="D2717" t="str">
            <v>Other Office Equipment</v>
          </cell>
          <cell r="F2717">
            <v>0</v>
          </cell>
        </row>
        <row r="2718">
          <cell r="D2718" t="str">
            <v>Other Office Equipment</v>
          </cell>
          <cell r="F2718">
            <v>0</v>
          </cell>
        </row>
        <row r="2719">
          <cell r="D2719" t="str">
            <v>Other Office Equipment</v>
          </cell>
          <cell r="F2719">
            <v>0</v>
          </cell>
        </row>
        <row r="2720">
          <cell r="D2720" t="str">
            <v>Other Office Equipment</v>
          </cell>
          <cell r="F2720">
            <v>0</v>
          </cell>
        </row>
        <row r="2721">
          <cell r="D2721" t="str">
            <v>Other Office Equipment</v>
          </cell>
          <cell r="F2721">
            <v>0</v>
          </cell>
        </row>
        <row r="2722">
          <cell r="D2722" t="str">
            <v>Other Office Equipment</v>
          </cell>
          <cell r="F2722">
            <v>0</v>
          </cell>
        </row>
        <row r="2723">
          <cell r="D2723" t="str">
            <v>Other Office Equipment</v>
          </cell>
          <cell r="F2723">
            <v>0</v>
          </cell>
        </row>
        <row r="2724">
          <cell r="D2724" t="str">
            <v>Other Office Equipment</v>
          </cell>
          <cell r="F2724">
            <v>0</v>
          </cell>
        </row>
        <row r="2725">
          <cell r="D2725" t="str">
            <v>Other Office Equipment</v>
          </cell>
          <cell r="F2725">
            <v>0</v>
          </cell>
        </row>
        <row r="2726">
          <cell r="D2726" t="str">
            <v>Other Office Equipment</v>
          </cell>
          <cell r="F2726">
            <v>0</v>
          </cell>
        </row>
        <row r="2727">
          <cell r="D2727" t="str">
            <v>Other Office Equipment</v>
          </cell>
          <cell r="F2727">
            <v>0</v>
          </cell>
        </row>
        <row r="2728">
          <cell r="D2728" t="str">
            <v>Other Office Equipment</v>
          </cell>
          <cell r="F2728">
            <v>0</v>
          </cell>
        </row>
        <row r="2729">
          <cell r="D2729" t="str">
            <v>Other Office Equipment</v>
          </cell>
          <cell r="F2729">
            <v>0</v>
          </cell>
        </row>
        <row r="2730">
          <cell r="D2730" t="str">
            <v>Other Office Equipment</v>
          </cell>
          <cell r="F2730">
            <v>0</v>
          </cell>
        </row>
        <row r="2731">
          <cell r="D2731" t="str">
            <v>Other Office Equipment</v>
          </cell>
          <cell r="F2731">
            <v>0</v>
          </cell>
        </row>
        <row r="2732">
          <cell r="D2732" t="str">
            <v>Other Office Equipment</v>
          </cell>
          <cell r="F2732">
            <v>0</v>
          </cell>
        </row>
        <row r="2733">
          <cell r="D2733" t="str">
            <v>Other Office Equipment</v>
          </cell>
          <cell r="F2733">
            <v>0</v>
          </cell>
        </row>
        <row r="2734">
          <cell r="D2734" t="str">
            <v>Other Office Equipment</v>
          </cell>
          <cell r="F2734">
            <v>0</v>
          </cell>
        </row>
        <row r="2735">
          <cell r="D2735" t="str">
            <v>Other Office Equipment</v>
          </cell>
          <cell r="F2735">
            <v>0</v>
          </cell>
        </row>
        <row r="2736">
          <cell r="D2736" t="str">
            <v>Other Office Equipment</v>
          </cell>
          <cell r="F2736">
            <v>0</v>
          </cell>
        </row>
        <row r="2737">
          <cell r="D2737" t="str">
            <v>Other Office Equipment</v>
          </cell>
          <cell r="F2737">
            <v>0</v>
          </cell>
        </row>
        <row r="2738">
          <cell r="D2738" t="str">
            <v>Other Office Equipment</v>
          </cell>
          <cell r="F2738">
            <v>0</v>
          </cell>
        </row>
        <row r="2739">
          <cell r="D2739" t="str">
            <v>Other Office Equipment</v>
          </cell>
          <cell r="F2739">
            <v>0</v>
          </cell>
        </row>
        <row r="2740">
          <cell r="D2740" t="str">
            <v>Other Office Equipment</v>
          </cell>
          <cell r="F2740">
            <v>0</v>
          </cell>
        </row>
        <row r="2741">
          <cell r="D2741" t="str">
            <v>Other Office Equipment</v>
          </cell>
          <cell r="F2741">
            <v>0</v>
          </cell>
        </row>
        <row r="2742">
          <cell r="D2742" t="str">
            <v>Other Office Equipment</v>
          </cell>
          <cell r="F2742">
            <v>0</v>
          </cell>
        </row>
        <row r="2743">
          <cell r="D2743" t="str">
            <v>Other Office Equipment</v>
          </cell>
          <cell r="F2743">
            <v>0</v>
          </cell>
        </row>
        <row r="2744">
          <cell r="D2744" t="str">
            <v>Other Office Equipment</v>
          </cell>
          <cell r="F2744">
            <v>0</v>
          </cell>
        </row>
        <row r="2745">
          <cell r="D2745" t="str">
            <v>Other Office Equipment</v>
          </cell>
          <cell r="F2745">
            <v>0</v>
          </cell>
        </row>
        <row r="2746">
          <cell r="D2746" t="str">
            <v>Other Office Equipment</v>
          </cell>
          <cell r="F2746">
            <v>0</v>
          </cell>
        </row>
        <row r="2747">
          <cell r="D2747" t="str">
            <v>Other Office Equipment</v>
          </cell>
          <cell r="F2747">
            <v>0</v>
          </cell>
        </row>
        <row r="2748">
          <cell r="D2748" t="str">
            <v>Other Office Equipment</v>
          </cell>
          <cell r="F2748">
            <v>0</v>
          </cell>
        </row>
        <row r="2749">
          <cell r="D2749" t="str">
            <v>Other Office Equipment</v>
          </cell>
          <cell r="F2749">
            <v>0</v>
          </cell>
        </row>
        <row r="2750">
          <cell r="D2750" t="str">
            <v>Other Office Equipment</v>
          </cell>
          <cell r="F2750">
            <v>0</v>
          </cell>
        </row>
        <row r="2751">
          <cell r="D2751" t="str">
            <v>Other Office Equipment</v>
          </cell>
          <cell r="F2751">
            <v>0</v>
          </cell>
        </row>
        <row r="2752">
          <cell r="D2752" t="str">
            <v>Other Office Equipment</v>
          </cell>
          <cell r="F2752">
            <v>0</v>
          </cell>
        </row>
        <row r="2753">
          <cell r="D2753" t="str">
            <v>Other Office Equipment</v>
          </cell>
          <cell r="F2753">
            <v>0</v>
          </cell>
        </row>
        <row r="2754">
          <cell r="D2754" t="str">
            <v>Other Office Equipment</v>
          </cell>
          <cell r="F2754">
            <v>0</v>
          </cell>
        </row>
        <row r="2755">
          <cell r="D2755" t="str">
            <v>Other Office Equipment</v>
          </cell>
          <cell r="F2755">
            <v>0</v>
          </cell>
        </row>
        <row r="2756">
          <cell r="D2756" t="str">
            <v>Other Office Equipment</v>
          </cell>
          <cell r="F2756">
            <v>0</v>
          </cell>
        </row>
        <row r="2757">
          <cell r="D2757" t="str">
            <v>Other Office Equipment</v>
          </cell>
          <cell r="F2757">
            <v>0</v>
          </cell>
        </row>
        <row r="2758">
          <cell r="D2758" t="str">
            <v>Other Office Equipment</v>
          </cell>
          <cell r="F2758">
            <v>0</v>
          </cell>
        </row>
        <row r="2759">
          <cell r="D2759" t="str">
            <v>Other Office Equipment</v>
          </cell>
          <cell r="F2759">
            <v>0</v>
          </cell>
        </row>
        <row r="2760">
          <cell r="D2760" t="str">
            <v>Other Office Equipment</v>
          </cell>
          <cell r="F2760">
            <v>0</v>
          </cell>
        </row>
        <row r="2761">
          <cell r="D2761" t="str">
            <v>Other Office Equipment</v>
          </cell>
          <cell r="F2761">
            <v>0</v>
          </cell>
        </row>
        <row r="2762">
          <cell r="D2762" t="str">
            <v>Other Office Equipment</v>
          </cell>
          <cell r="F2762">
            <v>0</v>
          </cell>
        </row>
        <row r="2763">
          <cell r="D2763" t="str">
            <v>Other Office Equipment</v>
          </cell>
          <cell r="F2763">
            <v>0</v>
          </cell>
        </row>
        <row r="2764">
          <cell r="D2764" t="str">
            <v>Other Office Equipment</v>
          </cell>
          <cell r="F2764">
            <v>0</v>
          </cell>
        </row>
        <row r="2765">
          <cell r="D2765" t="str">
            <v>Other Office Equipment</v>
          </cell>
          <cell r="F2765">
            <v>0</v>
          </cell>
        </row>
        <row r="2766">
          <cell r="D2766" t="str">
            <v>Other Office Equipment</v>
          </cell>
          <cell r="F2766">
            <v>0</v>
          </cell>
        </row>
        <row r="2767">
          <cell r="D2767" t="str">
            <v>Other Office Equipment</v>
          </cell>
          <cell r="F2767">
            <v>0</v>
          </cell>
        </row>
        <row r="2768">
          <cell r="D2768" t="str">
            <v>Other Office Equipment</v>
          </cell>
          <cell r="F2768">
            <v>0</v>
          </cell>
        </row>
        <row r="2769">
          <cell r="D2769" t="str">
            <v>Other Office Equipment</v>
          </cell>
          <cell r="F2769">
            <v>0</v>
          </cell>
        </row>
        <row r="2770">
          <cell r="D2770" t="str">
            <v>Other Office Equipment</v>
          </cell>
          <cell r="F2770">
            <v>0</v>
          </cell>
        </row>
        <row r="2771">
          <cell r="D2771" t="str">
            <v>Other Office Equipment</v>
          </cell>
          <cell r="F2771">
            <v>0</v>
          </cell>
        </row>
        <row r="2772">
          <cell r="D2772" t="str">
            <v>Other Office Equipment</v>
          </cell>
          <cell r="F2772">
            <v>0</v>
          </cell>
        </row>
        <row r="2773">
          <cell r="D2773" t="str">
            <v>Other Office Equipment</v>
          </cell>
          <cell r="F2773">
            <v>0</v>
          </cell>
        </row>
        <row r="2774">
          <cell r="D2774" t="str">
            <v>Other Office Equipment</v>
          </cell>
          <cell r="F2774">
            <v>0</v>
          </cell>
        </row>
        <row r="2775">
          <cell r="D2775" t="str">
            <v>Other Office Equipment</v>
          </cell>
          <cell r="F2775">
            <v>0</v>
          </cell>
        </row>
        <row r="2776">
          <cell r="D2776" t="str">
            <v>Other Office Equipment</v>
          </cell>
          <cell r="F2776">
            <v>0</v>
          </cell>
        </row>
        <row r="2777">
          <cell r="D2777" t="str">
            <v>Other Office Equipment</v>
          </cell>
          <cell r="F2777">
            <v>0</v>
          </cell>
        </row>
        <row r="2778">
          <cell r="D2778" t="str">
            <v>Other Office Equipment</v>
          </cell>
          <cell r="F2778">
            <v>0</v>
          </cell>
        </row>
        <row r="2779">
          <cell r="D2779" t="str">
            <v>Other Office Equipment</v>
          </cell>
          <cell r="F2779">
            <v>0</v>
          </cell>
        </row>
        <row r="2780">
          <cell r="D2780" t="str">
            <v>Other Office Equipment</v>
          </cell>
          <cell r="F2780">
            <v>0</v>
          </cell>
        </row>
        <row r="2781">
          <cell r="D2781" t="str">
            <v>Other Office Equipment</v>
          </cell>
          <cell r="F2781">
            <v>0</v>
          </cell>
        </row>
        <row r="2782">
          <cell r="D2782" t="str">
            <v>Other Office Equipment</v>
          </cell>
          <cell r="F2782">
            <v>0</v>
          </cell>
        </row>
        <row r="2783">
          <cell r="D2783" t="str">
            <v>Other Office Equipment</v>
          </cell>
          <cell r="F2783">
            <v>0</v>
          </cell>
        </row>
        <row r="2784">
          <cell r="D2784" t="str">
            <v>Other Office Equipment</v>
          </cell>
          <cell r="F2784">
            <v>0</v>
          </cell>
        </row>
        <row r="2785">
          <cell r="D2785" t="str">
            <v>Other Office Equipment</v>
          </cell>
          <cell r="F2785">
            <v>0</v>
          </cell>
        </row>
        <row r="2786">
          <cell r="D2786" t="str">
            <v>Other Office Equipment</v>
          </cell>
          <cell r="F2786">
            <v>0</v>
          </cell>
        </row>
        <row r="2787">
          <cell r="D2787" t="str">
            <v>Other Office Equipment</v>
          </cell>
          <cell r="F2787">
            <v>0</v>
          </cell>
        </row>
        <row r="2788">
          <cell r="D2788" t="str">
            <v>Other Office Equipment</v>
          </cell>
          <cell r="F2788">
            <v>0</v>
          </cell>
        </row>
        <row r="2789">
          <cell r="D2789" t="str">
            <v>Other Office Equipment</v>
          </cell>
          <cell r="F2789">
            <v>0</v>
          </cell>
        </row>
        <row r="2790">
          <cell r="D2790" t="str">
            <v>Other Office Equipment</v>
          </cell>
          <cell r="F2790">
            <v>0</v>
          </cell>
        </row>
        <row r="2791">
          <cell r="D2791" t="str">
            <v>Other Office Equipment</v>
          </cell>
          <cell r="F2791">
            <v>0</v>
          </cell>
        </row>
        <row r="2792">
          <cell r="D2792" t="str">
            <v>Other Office Equipment</v>
          </cell>
          <cell r="F2792">
            <v>0</v>
          </cell>
        </row>
        <row r="2793">
          <cell r="D2793" t="str">
            <v>Other Office Equipment</v>
          </cell>
          <cell r="F2793">
            <v>0</v>
          </cell>
        </row>
        <row r="2794">
          <cell r="D2794" t="str">
            <v>Other Office Equipment</v>
          </cell>
          <cell r="F2794">
            <v>0</v>
          </cell>
        </row>
        <row r="2795">
          <cell r="D2795" t="str">
            <v>Other Office Equipment</v>
          </cell>
          <cell r="F2795">
            <v>0</v>
          </cell>
        </row>
        <row r="2796">
          <cell r="D2796" t="str">
            <v>Other Office Equipment</v>
          </cell>
          <cell r="F2796">
            <v>0</v>
          </cell>
        </row>
        <row r="2797">
          <cell r="D2797" t="str">
            <v>Other Office Equipment</v>
          </cell>
          <cell r="F2797">
            <v>0</v>
          </cell>
        </row>
        <row r="2798">
          <cell r="D2798" t="str">
            <v>Other Office Equipment</v>
          </cell>
          <cell r="F2798">
            <v>0</v>
          </cell>
        </row>
        <row r="2799">
          <cell r="D2799" t="str">
            <v>Other Office Equipment</v>
          </cell>
          <cell r="F2799">
            <v>0</v>
          </cell>
        </row>
        <row r="2800">
          <cell r="D2800" t="str">
            <v>Other Office Equipment</v>
          </cell>
          <cell r="F2800">
            <v>0</v>
          </cell>
        </row>
        <row r="2801">
          <cell r="D2801" t="str">
            <v>Other Office Equipment</v>
          </cell>
          <cell r="F2801">
            <v>0</v>
          </cell>
        </row>
        <row r="2802">
          <cell r="D2802" t="str">
            <v>Other Office Equipment</v>
          </cell>
          <cell r="F2802">
            <v>0</v>
          </cell>
        </row>
        <row r="2803">
          <cell r="D2803" t="str">
            <v>Other Office Equipment</v>
          </cell>
          <cell r="F2803">
            <v>0</v>
          </cell>
        </row>
        <row r="2804">
          <cell r="D2804" t="str">
            <v>Other Office Equipment</v>
          </cell>
          <cell r="F2804">
            <v>0</v>
          </cell>
        </row>
        <row r="2805">
          <cell r="D2805" t="str">
            <v>Other Office Equipment</v>
          </cell>
          <cell r="F2805">
            <v>0</v>
          </cell>
        </row>
        <row r="2806">
          <cell r="D2806" t="str">
            <v>Other Office Equipment</v>
          </cell>
          <cell r="F2806">
            <v>0</v>
          </cell>
        </row>
        <row r="2807">
          <cell r="D2807" t="str">
            <v>Other Office Equipment</v>
          </cell>
          <cell r="F2807">
            <v>0</v>
          </cell>
        </row>
        <row r="2808">
          <cell r="D2808" t="str">
            <v>Other Office Equipment</v>
          </cell>
          <cell r="F2808">
            <v>0</v>
          </cell>
        </row>
        <row r="2809">
          <cell r="D2809" t="str">
            <v>Other Office Equipment</v>
          </cell>
          <cell r="F2809">
            <v>0</v>
          </cell>
        </row>
        <row r="2810">
          <cell r="D2810" t="str">
            <v>Other Office Equipment</v>
          </cell>
          <cell r="F2810">
            <v>0</v>
          </cell>
        </row>
        <row r="2811">
          <cell r="D2811" t="str">
            <v>Other Office Equipment</v>
          </cell>
          <cell r="F2811">
            <v>0</v>
          </cell>
        </row>
        <row r="2812">
          <cell r="D2812" t="str">
            <v>Other Office Equipment</v>
          </cell>
          <cell r="F2812">
            <v>0</v>
          </cell>
        </row>
        <row r="2813">
          <cell r="D2813" t="str">
            <v>Other Office Equipment</v>
          </cell>
          <cell r="F2813">
            <v>0</v>
          </cell>
        </row>
        <row r="2814">
          <cell r="D2814" t="str">
            <v>Other Office Equipment</v>
          </cell>
          <cell r="F2814">
            <v>0</v>
          </cell>
        </row>
        <row r="2815">
          <cell r="D2815" t="str">
            <v>Other Office Equipment</v>
          </cell>
          <cell r="F2815">
            <v>0</v>
          </cell>
        </row>
        <row r="2816">
          <cell r="D2816" t="str">
            <v>Other Office Equipment</v>
          </cell>
          <cell r="F2816">
            <v>0</v>
          </cell>
        </row>
        <row r="2817">
          <cell r="D2817" t="str">
            <v>Other Office Equipment</v>
          </cell>
          <cell r="F2817">
            <v>0</v>
          </cell>
        </row>
        <row r="2818">
          <cell r="D2818" t="str">
            <v>Other Office Equipment</v>
          </cell>
          <cell r="F2818">
            <v>0</v>
          </cell>
        </row>
        <row r="2819">
          <cell r="D2819" t="str">
            <v>Other Office Equipment</v>
          </cell>
          <cell r="F2819">
            <v>0</v>
          </cell>
        </row>
        <row r="2820">
          <cell r="D2820" t="str">
            <v>Other Office Equipment</v>
          </cell>
          <cell r="F2820">
            <v>0</v>
          </cell>
        </row>
        <row r="2821">
          <cell r="D2821" t="str">
            <v>Other Office Equipment</v>
          </cell>
          <cell r="F2821">
            <v>0</v>
          </cell>
        </row>
        <row r="2822">
          <cell r="D2822" t="str">
            <v>Other Office Equipment</v>
          </cell>
          <cell r="F2822">
            <v>0</v>
          </cell>
        </row>
        <row r="2823">
          <cell r="D2823" t="str">
            <v>Other Office Equipment</v>
          </cell>
          <cell r="F2823">
            <v>0</v>
          </cell>
        </row>
        <row r="2824">
          <cell r="D2824" t="str">
            <v>Other Office Equipment</v>
          </cell>
          <cell r="F2824">
            <v>0</v>
          </cell>
        </row>
        <row r="2825">
          <cell r="D2825" t="str">
            <v>Other Office Equipment</v>
          </cell>
          <cell r="F2825">
            <v>0</v>
          </cell>
        </row>
        <row r="2826">
          <cell r="D2826" t="str">
            <v>Other Office Equipment</v>
          </cell>
          <cell r="F2826">
            <v>0</v>
          </cell>
        </row>
        <row r="2827">
          <cell r="D2827" t="str">
            <v>Other Office Equipment</v>
          </cell>
          <cell r="F2827">
            <v>0</v>
          </cell>
        </row>
        <row r="2828">
          <cell r="D2828" t="str">
            <v>Other Office Equipment</v>
          </cell>
          <cell r="F2828">
            <v>0</v>
          </cell>
        </row>
        <row r="2829">
          <cell r="D2829" t="str">
            <v>Other Office Equipment</v>
          </cell>
          <cell r="F2829">
            <v>0</v>
          </cell>
        </row>
        <row r="2830">
          <cell r="D2830" t="str">
            <v>Other Office Equipment</v>
          </cell>
          <cell r="F2830">
            <v>0</v>
          </cell>
        </row>
        <row r="2831">
          <cell r="D2831" t="str">
            <v>Other Office Equipment</v>
          </cell>
          <cell r="F2831">
            <v>0</v>
          </cell>
        </row>
        <row r="2832">
          <cell r="D2832" t="str">
            <v>Other Office Equipment</v>
          </cell>
          <cell r="F2832">
            <v>0</v>
          </cell>
        </row>
        <row r="2833">
          <cell r="D2833" t="str">
            <v>Other Office Equipment</v>
          </cell>
          <cell r="F2833">
            <v>0</v>
          </cell>
        </row>
        <row r="2834">
          <cell r="D2834" t="str">
            <v>Other Office Equipment</v>
          </cell>
          <cell r="F2834">
            <v>0</v>
          </cell>
        </row>
        <row r="2835">
          <cell r="D2835" t="str">
            <v>Other Office Equipment</v>
          </cell>
          <cell r="F2835">
            <v>0</v>
          </cell>
        </row>
        <row r="2836">
          <cell r="D2836" t="str">
            <v>Other Office Equipment</v>
          </cell>
          <cell r="F2836">
            <v>0</v>
          </cell>
        </row>
        <row r="2837">
          <cell r="D2837" t="str">
            <v>Other Office Equipment</v>
          </cell>
          <cell r="F2837">
            <v>0</v>
          </cell>
        </row>
        <row r="2838">
          <cell r="D2838" t="str">
            <v>Other Office Equipment</v>
          </cell>
          <cell r="F2838">
            <v>0</v>
          </cell>
        </row>
        <row r="2839">
          <cell r="D2839" t="str">
            <v>Other Office Equipment</v>
          </cell>
          <cell r="F2839">
            <v>0</v>
          </cell>
        </row>
        <row r="2840">
          <cell r="D2840" t="str">
            <v>Other Office Equipment</v>
          </cell>
          <cell r="F2840">
            <v>0</v>
          </cell>
        </row>
        <row r="2841">
          <cell r="D2841" t="str">
            <v>Other Office Equipment</v>
          </cell>
          <cell r="F2841">
            <v>0</v>
          </cell>
        </row>
        <row r="2842">
          <cell r="D2842" t="str">
            <v>Other Office Equipment</v>
          </cell>
          <cell r="F2842">
            <v>0</v>
          </cell>
        </row>
        <row r="2843">
          <cell r="D2843" t="str">
            <v>Other Office Equipment</v>
          </cell>
          <cell r="F2843">
            <v>0</v>
          </cell>
        </row>
        <row r="2844">
          <cell r="D2844" t="str">
            <v>Other Office Equipment</v>
          </cell>
          <cell r="F2844">
            <v>0</v>
          </cell>
        </row>
        <row r="2845">
          <cell r="D2845" t="str">
            <v>Other Office Equipment</v>
          </cell>
          <cell r="F2845">
            <v>0</v>
          </cell>
        </row>
        <row r="2846">
          <cell r="D2846" t="str">
            <v>Other Office Equipment</v>
          </cell>
          <cell r="F2846">
            <v>0</v>
          </cell>
        </row>
        <row r="2847">
          <cell r="D2847" t="str">
            <v>Other Office Equipment</v>
          </cell>
          <cell r="F2847">
            <v>0</v>
          </cell>
        </row>
        <row r="2848">
          <cell r="D2848" t="str">
            <v>Other Office Equipment</v>
          </cell>
          <cell r="F2848">
            <v>0</v>
          </cell>
        </row>
        <row r="2849">
          <cell r="D2849" t="str">
            <v>Other Office Equipment</v>
          </cell>
          <cell r="F2849">
            <v>0</v>
          </cell>
        </row>
        <row r="2850">
          <cell r="D2850" t="str">
            <v>Other Office Equipment</v>
          </cell>
          <cell r="F2850">
            <v>0</v>
          </cell>
        </row>
        <row r="2851">
          <cell r="D2851" t="str">
            <v>Other Office Equipment</v>
          </cell>
          <cell r="F2851">
            <v>0</v>
          </cell>
        </row>
        <row r="2852">
          <cell r="D2852" t="str">
            <v>Other Office Equipment</v>
          </cell>
          <cell r="F2852">
            <v>0</v>
          </cell>
        </row>
        <row r="2853">
          <cell r="D2853" t="str">
            <v>Other Office Equipment</v>
          </cell>
          <cell r="F2853">
            <v>0</v>
          </cell>
        </row>
        <row r="2854">
          <cell r="D2854" t="str">
            <v>Other Office Equipment</v>
          </cell>
          <cell r="F2854">
            <v>0</v>
          </cell>
        </row>
        <row r="2855">
          <cell r="D2855" t="str">
            <v>Other Office Equipment</v>
          </cell>
          <cell r="F2855">
            <v>0</v>
          </cell>
        </row>
        <row r="2856">
          <cell r="D2856" t="str">
            <v>Other Office Equipment</v>
          </cell>
          <cell r="F2856">
            <v>0</v>
          </cell>
        </row>
        <row r="2857">
          <cell r="D2857" t="str">
            <v>Other Office Equipment</v>
          </cell>
          <cell r="F2857">
            <v>0</v>
          </cell>
        </row>
        <row r="2858">
          <cell r="D2858" t="str">
            <v>Other Office Equipment</v>
          </cell>
          <cell r="F2858">
            <v>0</v>
          </cell>
        </row>
        <row r="2859">
          <cell r="D2859" t="str">
            <v>Other Office Equipment</v>
          </cell>
          <cell r="F2859">
            <v>0</v>
          </cell>
        </row>
        <row r="2860">
          <cell r="D2860" t="str">
            <v>Other Office Equipment</v>
          </cell>
          <cell r="F2860">
            <v>0</v>
          </cell>
        </row>
        <row r="2861">
          <cell r="D2861" t="str">
            <v>Other Office Equipment</v>
          </cell>
          <cell r="F2861">
            <v>0</v>
          </cell>
        </row>
        <row r="2862">
          <cell r="D2862" t="str">
            <v>Other Office Equipment</v>
          </cell>
          <cell r="F2862">
            <v>0</v>
          </cell>
        </row>
        <row r="2863">
          <cell r="D2863" t="str">
            <v>Other Office Equipment</v>
          </cell>
          <cell r="F2863">
            <v>0</v>
          </cell>
        </row>
        <row r="2864">
          <cell r="D2864" t="str">
            <v>Other Office Equipment</v>
          </cell>
          <cell r="F2864">
            <v>0</v>
          </cell>
        </row>
        <row r="2865">
          <cell r="D2865" t="str">
            <v>Other Office Equipment</v>
          </cell>
          <cell r="F2865">
            <v>0</v>
          </cell>
        </row>
        <row r="2866">
          <cell r="D2866" t="str">
            <v>Other Office Equipment</v>
          </cell>
          <cell r="F2866">
            <v>0</v>
          </cell>
        </row>
        <row r="2867">
          <cell r="D2867" t="str">
            <v>Other Office Equipment</v>
          </cell>
          <cell r="F2867">
            <v>0</v>
          </cell>
        </row>
        <row r="2868">
          <cell r="D2868" t="str">
            <v>Other Office Equipment</v>
          </cell>
          <cell r="F2868">
            <v>0</v>
          </cell>
        </row>
        <row r="2869">
          <cell r="D2869" t="str">
            <v>Other Office Equipment</v>
          </cell>
          <cell r="F2869">
            <v>0</v>
          </cell>
        </row>
        <row r="2870">
          <cell r="D2870" t="str">
            <v>Other Office Equipment</v>
          </cell>
          <cell r="F2870">
            <v>0</v>
          </cell>
        </row>
        <row r="2871">
          <cell r="D2871" t="str">
            <v>Other Office Equipment</v>
          </cell>
          <cell r="F2871">
            <v>0</v>
          </cell>
        </row>
        <row r="2872">
          <cell r="D2872" t="str">
            <v>Other Office Equipment</v>
          </cell>
          <cell r="F2872">
            <v>0</v>
          </cell>
        </row>
        <row r="2873">
          <cell r="D2873" t="str">
            <v>Other Office Equipment</v>
          </cell>
          <cell r="F2873">
            <v>0</v>
          </cell>
        </row>
        <row r="2874">
          <cell r="D2874" t="str">
            <v>Other Office Equipment</v>
          </cell>
          <cell r="F2874">
            <v>0</v>
          </cell>
        </row>
        <row r="2875">
          <cell r="D2875" t="str">
            <v>Other Office Equipment</v>
          </cell>
          <cell r="F2875">
            <v>0</v>
          </cell>
        </row>
        <row r="2876">
          <cell r="D2876" t="str">
            <v>Other Office Equipment</v>
          </cell>
          <cell r="F2876">
            <v>0</v>
          </cell>
        </row>
        <row r="2877">
          <cell r="D2877" t="str">
            <v>Other Office Equipment</v>
          </cell>
          <cell r="F2877">
            <v>0</v>
          </cell>
        </row>
        <row r="2878">
          <cell r="D2878" t="str">
            <v>Other Office Equipment</v>
          </cell>
          <cell r="F2878">
            <v>0</v>
          </cell>
        </row>
        <row r="2879">
          <cell r="D2879" t="str">
            <v>Other Office Equipment</v>
          </cell>
          <cell r="F2879">
            <v>0</v>
          </cell>
        </row>
        <row r="2880">
          <cell r="D2880" t="str">
            <v>Other Office Equipment</v>
          </cell>
          <cell r="F2880">
            <v>0</v>
          </cell>
        </row>
        <row r="2881">
          <cell r="D2881" t="str">
            <v>Other Office Equipment</v>
          </cell>
          <cell r="F2881">
            <v>0</v>
          </cell>
        </row>
        <row r="2882">
          <cell r="D2882" t="str">
            <v>Other Office Equipment</v>
          </cell>
          <cell r="F2882">
            <v>0</v>
          </cell>
        </row>
        <row r="2883">
          <cell r="D2883" t="str">
            <v>Other Office Equipment</v>
          </cell>
          <cell r="F2883">
            <v>0</v>
          </cell>
        </row>
        <row r="2884">
          <cell r="D2884" t="str">
            <v>Other Office Equipment</v>
          </cell>
          <cell r="F2884">
            <v>0</v>
          </cell>
        </row>
        <row r="2885">
          <cell r="D2885" t="str">
            <v>Other Office Equipment</v>
          </cell>
          <cell r="F2885">
            <v>0</v>
          </cell>
        </row>
        <row r="2886">
          <cell r="D2886" t="str">
            <v>Other Office Equipment</v>
          </cell>
          <cell r="F2886">
            <v>0</v>
          </cell>
        </row>
        <row r="2887">
          <cell r="D2887" t="str">
            <v>Other Office Equipment</v>
          </cell>
          <cell r="F2887">
            <v>0</v>
          </cell>
        </row>
        <row r="2888">
          <cell r="D2888" t="str">
            <v>Other Office Equipment</v>
          </cell>
          <cell r="F2888">
            <v>0</v>
          </cell>
        </row>
        <row r="2889">
          <cell r="D2889" t="str">
            <v>Other Office Equipment</v>
          </cell>
          <cell r="F2889">
            <v>0</v>
          </cell>
        </row>
        <row r="2890">
          <cell r="D2890" t="str">
            <v>Other Office Equipment</v>
          </cell>
          <cell r="F2890">
            <v>0</v>
          </cell>
        </row>
        <row r="2891">
          <cell r="D2891" t="str">
            <v>Other Office Equipment</v>
          </cell>
          <cell r="F2891">
            <v>0</v>
          </cell>
        </row>
        <row r="2892">
          <cell r="D2892" t="str">
            <v>Other Office Equipment</v>
          </cell>
          <cell r="F2892">
            <v>0</v>
          </cell>
        </row>
        <row r="2893">
          <cell r="D2893" t="str">
            <v>Other Office Equipment</v>
          </cell>
          <cell r="F2893">
            <v>0</v>
          </cell>
        </row>
        <row r="2894">
          <cell r="D2894" t="str">
            <v>Other Office Equipment</v>
          </cell>
          <cell r="F2894">
            <v>0</v>
          </cell>
        </row>
        <row r="2895">
          <cell r="D2895" t="str">
            <v>Other Office Equipment</v>
          </cell>
          <cell r="F2895">
            <v>0</v>
          </cell>
        </row>
        <row r="2896">
          <cell r="D2896" t="str">
            <v>Other Office Equipment</v>
          </cell>
          <cell r="F2896">
            <v>0</v>
          </cell>
        </row>
        <row r="2897">
          <cell r="D2897" t="str">
            <v>Other Office Equipment</v>
          </cell>
          <cell r="F2897">
            <v>0</v>
          </cell>
        </row>
        <row r="2898">
          <cell r="D2898" t="str">
            <v>Other Office Equipment</v>
          </cell>
          <cell r="F2898">
            <v>0</v>
          </cell>
        </row>
        <row r="2899">
          <cell r="D2899" t="str">
            <v>Other Office Equipment</v>
          </cell>
          <cell r="F2899">
            <v>0</v>
          </cell>
        </row>
        <row r="2900">
          <cell r="D2900" t="str">
            <v>Other Office Equipment</v>
          </cell>
          <cell r="F2900">
            <v>0</v>
          </cell>
        </row>
        <row r="2901">
          <cell r="D2901" t="str">
            <v>Other Office Equipment</v>
          </cell>
          <cell r="F2901">
            <v>0</v>
          </cell>
        </row>
        <row r="2902">
          <cell r="D2902" t="str">
            <v>Other Office Equipment</v>
          </cell>
          <cell r="F2902">
            <v>0</v>
          </cell>
        </row>
        <row r="2903">
          <cell r="D2903" t="str">
            <v>Other Office Equipment</v>
          </cell>
          <cell r="F2903">
            <v>0</v>
          </cell>
        </row>
        <row r="2904">
          <cell r="D2904" t="str">
            <v>Other Office Equipment</v>
          </cell>
          <cell r="F2904">
            <v>0</v>
          </cell>
        </row>
        <row r="2905">
          <cell r="D2905" t="str">
            <v>Other Office Equipment</v>
          </cell>
          <cell r="F2905">
            <v>0</v>
          </cell>
        </row>
        <row r="2906">
          <cell r="D2906" t="str">
            <v>Other Office Equipment</v>
          </cell>
          <cell r="F2906">
            <v>0</v>
          </cell>
        </row>
        <row r="2907">
          <cell r="D2907" t="str">
            <v>Other Office Equipment</v>
          </cell>
          <cell r="F2907">
            <v>0</v>
          </cell>
        </row>
        <row r="2908">
          <cell r="D2908" t="str">
            <v>Other Office Equipment</v>
          </cell>
          <cell r="F2908">
            <v>0</v>
          </cell>
        </row>
        <row r="2909">
          <cell r="D2909" t="str">
            <v>Other Office Equipment</v>
          </cell>
          <cell r="F2909">
            <v>0</v>
          </cell>
        </row>
        <row r="2910">
          <cell r="D2910" t="str">
            <v>Other Office Equipment</v>
          </cell>
          <cell r="F2910">
            <v>0</v>
          </cell>
        </row>
        <row r="2911">
          <cell r="D2911" t="str">
            <v>Other Office Equipment</v>
          </cell>
          <cell r="F2911">
            <v>0</v>
          </cell>
        </row>
        <row r="2912">
          <cell r="D2912" t="str">
            <v>Other Office Equipment</v>
          </cell>
          <cell r="F2912">
            <v>0</v>
          </cell>
        </row>
        <row r="2913">
          <cell r="D2913" t="str">
            <v>Other Office Equipment</v>
          </cell>
          <cell r="F2913">
            <v>0</v>
          </cell>
        </row>
        <row r="2914">
          <cell r="D2914" t="str">
            <v>Other Office Equipment</v>
          </cell>
          <cell r="F2914">
            <v>0</v>
          </cell>
        </row>
        <row r="2915">
          <cell r="D2915" t="str">
            <v>Other Office Equipment</v>
          </cell>
          <cell r="F2915">
            <v>0</v>
          </cell>
        </row>
        <row r="2916">
          <cell r="D2916" t="str">
            <v>Other Office Equipment</v>
          </cell>
          <cell r="F2916">
            <v>0</v>
          </cell>
        </row>
        <row r="2917">
          <cell r="D2917" t="str">
            <v>Other Office Equipment</v>
          </cell>
          <cell r="F2917">
            <v>0</v>
          </cell>
        </row>
        <row r="2918">
          <cell r="D2918" t="str">
            <v>Other Office Equipment</v>
          </cell>
          <cell r="F2918">
            <v>0</v>
          </cell>
        </row>
        <row r="2919">
          <cell r="D2919" t="str">
            <v>Other Office Equipment</v>
          </cell>
          <cell r="F2919">
            <v>0</v>
          </cell>
        </row>
        <row r="2920">
          <cell r="D2920" t="str">
            <v>Other Office Equipment</v>
          </cell>
          <cell r="F2920">
            <v>0</v>
          </cell>
        </row>
        <row r="2921">
          <cell r="D2921" t="str">
            <v>Other Office Equipment</v>
          </cell>
          <cell r="F2921">
            <v>0</v>
          </cell>
        </row>
        <row r="2922">
          <cell r="D2922" t="str">
            <v>Other Office Equipment</v>
          </cell>
          <cell r="F2922">
            <v>0</v>
          </cell>
        </row>
        <row r="2923">
          <cell r="D2923" t="str">
            <v>Other Office Equipment</v>
          </cell>
          <cell r="F2923">
            <v>0</v>
          </cell>
        </row>
        <row r="2924">
          <cell r="D2924" t="str">
            <v>Other Office Equipment</v>
          </cell>
          <cell r="F2924">
            <v>0</v>
          </cell>
        </row>
        <row r="2925">
          <cell r="D2925" t="str">
            <v>Other Office Equipment</v>
          </cell>
          <cell r="F2925">
            <v>0</v>
          </cell>
        </row>
        <row r="2926">
          <cell r="D2926" t="str">
            <v>Other Office Equipment</v>
          </cell>
          <cell r="F2926">
            <v>0</v>
          </cell>
        </row>
        <row r="2927">
          <cell r="D2927" t="str">
            <v>Other Office Equipment</v>
          </cell>
          <cell r="F2927">
            <v>0</v>
          </cell>
        </row>
        <row r="2928">
          <cell r="D2928" t="str">
            <v>Other Office Equipment</v>
          </cell>
          <cell r="F2928">
            <v>0</v>
          </cell>
        </row>
        <row r="2929">
          <cell r="D2929" t="str">
            <v>Other Office Equipment</v>
          </cell>
          <cell r="F2929">
            <v>0</v>
          </cell>
        </row>
        <row r="2930">
          <cell r="D2930" t="str">
            <v>Other Office Equipment</v>
          </cell>
          <cell r="F2930">
            <v>0</v>
          </cell>
        </row>
        <row r="2931">
          <cell r="D2931" t="str">
            <v>Other Office Equipment</v>
          </cell>
          <cell r="F2931">
            <v>0</v>
          </cell>
        </row>
        <row r="2932">
          <cell r="D2932" t="str">
            <v>Other Office Equipment</v>
          </cell>
          <cell r="F2932">
            <v>0</v>
          </cell>
        </row>
        <row r="2933">
          <cell r="D2933" t="str">
            <v>Other Office Equipment</v>
          </cell>
          <cell r="F2933">
            <v>0</v>
          </cell>
        </row>
        <row r="2934">
          <cell r="D2934" t="str">
            <v>Other Office Equipment</v>
          </cell>
          <cell r="F2934">
            <v>0</v>
          </cell>
        </row>
        <row r="2935">
          <cell r="D2935" t="str">
            <v>Other Office Equipment</v>
          </cell>
          <cell r="F2935">
            <v>0</v>
          </cell>
        </row>
        <row r="2936">
          <cell r="D2936" t="str">
            <v>Other Office Equipment</v>
          </cell>
          <cell r="F2936">
            <v>0</v>
          </cell>
        </row>
        <row r="2937">
          <cell r="D2937" t="str">
            <v>Other Office Equipment</v>
          </cell>
          <cell r="F2937">
            <v>0</v>
          </cell>
        </row>
        <row r="2938">
          <cell r="D2938" t="str">
            <v>Other Office Equipment</v>
          </cell>
          <cell r="F2938">
            <v>0</v>
          </cell>
        </row>
        <row r="2939">
          <cell r="D2939" t="str">
            <v>Other Office Equipment</v>
          </cell>
          <cell r="F2939">
            <v>0</v>
          </cell>
        </row>
        <row r="2940">
          <cell r="D2940" t="str">
            <v>Other Office Equipment</v>
          </cell>
          <cell r="F2940">
            <v>0</v>
          </cell>
        </row>
        <row r="2941">
          <cell r="D2941" t="str">
            <v>Other Office Equipment</v>
          </cell>
          <cell r="F2941">
            <v>0</v>
          </cell>
        </row>
        <row r="2942">
          <cell r="D2942" t="str">
            <v>Other Office Equipment</v>
          </cell>
          <cell r="F2942">
            <v>0</v>
          </cell>
        </row>
        <row r="2943">
          <cell r="D2943" t="str">
            <v>Other Office Equipment</v>
          </cell>
          <cell r="F2943">
            <v>0</v>
          </cell>
        </row>
        <row r="2944">
          <cell r="D2944" t="str">
            <v>Other Office Equipment</v>
          </cell>
          <cell r="F2944">
            <v>0</v>
          </cell>
        </row>
        <row r="2945">
          <cell r="D2945" t="str">
            <v>Other Office Equipment</v>
          </cell>
          <cell r="F2945">
            <v>0</v>
          </cell>
        </row>
        <row r="2946">
          <cell r="D2946" t="str">
            <v>Other Office Equipment</v>
          </cell>
          <cell r="F2946">
            <v>0</v>
          </cell>
        </row>
        <row r="2947">
          <cell r="D2947" t="str">
            <v>Other Office Equipment</v>
          </cell>
          <cell r="F2947">
            <v>0</v>
          </cell>
        </row>
        <row r="2948">
          <cell r="D2948" t="str">
            <v>Other Office Equipment</v>
          </cell>
          <cell r="F2948">
            <v>0</v>
          </cell>
        </row>
        <row r="2949">
          <cell r="D2949" t="str">
            <v>Other Office Equipment</v>
          </cell>
          <cell r="F2949">
            <v>0</v>
          </cell>
        </row>
        <row r="2950">
          <cell r="D2950" t="str">
            <v>Other Office Equipment</v>
          </cell>
          <cell r="F2950">
            <v>0</v>
          </cell>
        </row>
        <row r="2951">
          <cell r="D2951" t="str">
            <v>Other Office Equipment</v>
          </cell>
          <cell r="F2951">
            <v>0</v>
          </cell>
        </row>
        <row r="2952">
          <cell r="D2952" t="str">
            <v>Other Office Equipment</v>
          </cell>
          <cell r="F2952">
            <v>0</v>
          </cell>
        </row>
        <row r="2953">
          <cell r="D2953" t="str">
            <v>Other Office Equipment</v>
          </cell>
          <cell r="F2953">
            <v>0</v>
          </cell>
        </row>
        <row r="2954">
          <cell r="D2954" t="str">
            <v>Other Office Equipment</v>
          </cell>
          <cell r="F2954">
            <v>0</v>
          </cell>
        </row>
        <row r="2955">
          <cell r="D2955" t="str">
            <v>Other Office Equipment</v>
          </cell>
          <cell r="F2955">
            <v>0</v>
          </cell>
        </row>
        <row r="2956">
          <cell r="D2956" t="str">
            <v>Other Office Equipment</v>
          </cell>
          <cell r="F2956">
            <v>0</v>
          </cell>
        </row>
        <row r="2957">
          <cell r="D2957" t="str">
            <v>Other Office Equipment</v>
          </cell>
          <cell r="F2957">
            <v>0</v>
          </cell>
        </row>
        <row r="2958">
          <cell r="D2958" t="str">
            <v>Other Office Equipment</v>
          </cell>
          <cell r="F2958">
            <v>0</v>
          </cell>
        </row>
        <row r="2959">
          <cell r="D2959" t="str">
            <v>Other Office Equipment</v>
          </cell>
          <cell r="F2959">
            <v>0</v>
          </cell>
        </row>
        <row r="2960">
          <cell r="D2960" t="str">
            <v>Other Office Equipment</v>
          </cell>
          <cell r="F2960">
            <v>0</v>
          </cell>
        </row>
        <row r="2961">
          <cell r="D2961" t="str">
            <v>Other Office Equipment</v>
          </cell>
          <cell r="F2961">
            <v>0</v>
          </cell>
        </row>
        <row r="2962">
          <cell r="D2962" t="str">
            <v>Other Office Equipment</v>
          </cell>
          <cell r="F2962">
            <v>0</v>
          </cell>
        </row>
        <row r="2963">
          <cell r="D2963" t="str">
            <v>Other Office Equipment</v>
          </cell>
          <cell r="F2963">
            <v>0</v>
          </cell>
        </row>
        <row r="2964">
          <cell r="D2964" t="str">
            <v>Other Office Equipment</v>
          </cell>
          <cell r="F2964">
            <v>0</v>
          </cell>
        </row>
        <row r="2965">
          <cell r="D2965" t="str">
            <v>Other Office Equipment</v>
          </cell>
          <cell r="F2965">
            <v>0</v>
          </cell>
        </row>
        <row r="2966">
          <cell r="D2966" t="str">
            <v>Other Office Equipment</v>
          </cell>
          <cell r="F2966">
            <v>0</v>
          </cell>
        </row>
        <row r="2967">
          <cell r="D2967" t="str">
            <v>Other Office Equipment</v>
          </cell>
          <cell r="F2967">
            <v>0</v>
          </cell>
        </row>
        <row r="2968">
          <cell r="D2968" t="str">
            <v>Other Office Equipment</v>
          </cell>
          <cell r="F2968">
            <v>0</v>
          </cell>
        </row>
        <row r="2969">
          <cell r="D2969" t="str">
            <v>Other Office Equipment</v>
          </cell>
          <cell r="F2969">
            <v>0</v>
          </cell>
        </row>
        <row r="2970">
          <cell r="D2970" t="str">
            <v>Other Office Equipment</v>
          </cell>
          <cell r="F2970">
            <v>0</v>
          </cell>
        </row>
        <row r="2971">
          <cell r="D2971" t="str">
            <v>Other Office Equipment</v>
          </cell>
          <cell r="F2971">
            <v>0</v>
          </cell>
        </row>
        <row r="2972">
          <cell r="D2972" t="str">
            <v>Other Office Equipment</v>
          </cell>
          <cell r="F2972">
            <v>0</v>
          </cell>
        </row>
        <row r="2973">
          <cell r="D2973" t="str">
            <v>Other Office Equipment</v>
          </cell>
          <cell r="F2973">
            <v>0</v>
          </cell>
        </row>
        <row r="2974">
          <cell r="D2974" t="str">
            <v>Other Office Equipment</v>
          </cell>
          <cell r="F2974">
            <v>0</v>
          </cell>
        </row>
        <row r="2975">
          <cell r="D2975" t="str">
            <v>Other Office Equipment</v>
          </cell>
          <cell r="F2975">
            <v>0</v>
          </cell>
        </row>
        <row r="2976">
          <cell r="D2976" t="str">
            <v>Other Office Equipment</v>
          </cell>
          <cell r="F2976">
            <v>0</v>
          </cell>
        </row>
        <row r="2977">
          <cell r="D2977" t="str">
            <v>Other Office Equipment</v>
          </cell>
          <cell r="F2977">
            <v>0</v>
          </cell>
        </row>
        <row r="2978">
          <cell r="D2978" t="str">
            <v>Other Office Equipment</v>
          </cell>
          <cell r="F2978">
            <v>0</v>
          </cell>
        </row>
        <row r="2979">
          <cell r="D2979" t="str">
            <v>Other Office Equipment</v>
          </cell>
          <cell r="F2979">
            <v>0</v>
          </cell>
        </row>
        <row r="2980">
          <cell r="D2980" t="str">
            <v>Other Office Equipment</v>
          </cell>
          <cell r="F2980">
            <v>0</v>
          </cell>
        </row>
        <row r="2981">
          <cell r="D2981" t="str">
            <v>Other Office Equipment</v>
          </cell>
          <cell r="F2981">
            <v>0</v>
          </cell>
        </row>
        <row r="2982">
          <cell r="D2982" t="str">
            <v>Other Office Equipment</v>
          </cell>
          <cell r="F2982">
            <v>0</v>
          </cell>
        </row>
        <row r="2983">
          <cell r="D2983" t="str">
            <v>Other Office Equipment</v>
          </cell>
          <cell r="F2983">
            <v>0</v>
          </cell>
        </row>
        <row r="2984">
          <cell r="D2984" t="str">
            <v>Other Office Equipment</v>
          </cell>
          <cell r="F2984">
            <v>0</v>
          </cell>
        </row>
        <row r="2985">
          <cell r="D2985" t="str">
            <v>Other Office Equipment</v>
          </cell>
          <cell r="F2985">
            <v>0</v>
          </cell>
        </row>
        <row r="2986">
          <cell r="D2986" t="str">
            <v>Other Office Equipment</v>
          </cell>
          <cell r="F2986">
            <v>0</v>
          </cell>
        </row>
        <row r="2987">
          <cell r="D2987" t="str">
            <v>Other Office Equipment</v>
          </cell>
          <cell r="F2987">
            <v>0</v>
          </cell>
        </row>
        <row r="2988">
          <cell r="D2988" t="str">
            <v>Other Office Equipment</v>
          </cell>
          <cell r="F2988">
            <v>0</v>
          </cell>
        </row>
        <row r="2989">
          <cell r="D2989" t="str">
            <v>Other Office Equipment</v>
          </cell>
          <cell r="F2989">
            <v>0</v>
          </cell>
        </row>
        <row r="2990">
          <cell r="D2990" t="str">
            <v>Other Office Equipment</v>
          </cell>
          <cell r="F2990">
            <v>0</v>
          </cell>
        </row>
        <row r="2991">
          <cell r="D2991" t="str">
            <v>Other Office Equipment</v>
          </cell>
          <cell r="F2991">
            <v>0</v>
          </cell>
        </row>
        <row r="2992">
          <cell r="D2992" t="str">
            <v>Other Office Equipment</v>
          </cell>
          <cell r="F2992">
            <v>0</v>
          </cell>
        </row>
        <row r="2993">
          <cell r="D2993" t="str">
            <v>Other Office Equipment</v>
          </cell>
          <cell r="F2993">
            <v>0</v>
          </cell>
        </row>
        <row r="2994">
          <cell r="D2994" t="str">
            <v>Other Office Equipment</v>
          </cell>
          <cell r="F2994">
            <v>0</v>
          </cell>
        </row>
        <row r="2995">
          <cell r="D2995" t="str">
            <v>Other Office Equipment</v>
          </cell>
          <cell r="F2995">
            <v>0</v>
          </cell>
        </row>
        <row r="2996">
          <cell r="D2996" t="str">
            <v>Other Office Equipment</v>
          </cell>
          <cell r="F2996">
            <v>0</v>
          </cell>
        </row>
        <row r="2997">
          <cell r="D2997" t="str">
            <v>Other Office Equipment</v>
          </cell>
          <cell r="F2997">
            <v>0</v>
          </cell>
        </row>
        <row r="2998">
          <cell r="D2998" t="str">
            <v>Other Office Equipment</v>
          </cell>
          <cell r="F2998">
            <v>0</v>
          </cell>
        </row>
        <row r="2999">
          <cell r="D2999" t="str">
            <v>Other Office Equipment</v>
          </cell>
          <cell r="F2999">
            <v>0</v>
          </cell>
        </row>
        <row r="3000">
          <cell r="D3000" t="str">
            <v>Other Office Equipment</v>
          </cell>
          <cell r="F3000">
            <v>0</v>
          </cell>
        </row>
        <row r="3001">
          <cell r="D3001" t="str">
            <v>Other Office Equipment</v>
          </cell>
          <cell r="F3001">
            <v>0</v>
          </cell>
        </row>
        <row r="3002">
          <cell r="D3002" t="str">
            <v>Other Office Equipment</v>
          </cell>
          <cell r="F3002">
            <v>0</v>
          </cell>
        </row>
        <row r="3003">
          <cell r="D3003" t="str">
            <v>Other Office Equipment</v>
          </cell>
          <cell r="F3003">
            <v>0</v>
          </cell>
        </row>
        <row r="3004">
          <cell r="D3004" t="str">
            <v>Other Office Equipment</v>
          </cell>
          <cell r="F3004">
            <v>0</v>
          </cell>
        </row>
        <row r="3005">
          <cell r="D3005" t="str">
            <v>Other Office Equipment</v>
          </cell>
          <cell r="F3005">
            <v>0</v>
          </cell>
        </row>
        <row r="3006">
          <cell r="D3006" t="str">
            <v>Other Office Equipment</v>
          </cell>
          <cell r="F3006">
            <v>0</v>
          </cell>
        </row>
        <row r="3007">
          <cell r="D3007" t="str">
            <v>Other Office Equipment</v>
          </cell>
          <cell r="F3007">
            <v>0</v>
          </cell>
        </row>
        <row r="3008">
          <cell r="D3008" t="str">
            <v>Other Office Equipment</v>
          </cell>
          <cell r="F3008">
            <v>0</v>
          </cell>
        </row>
        <row r="3009">
          <cell r="D3009" t="str">
            <v>Other Office Equipment</v>
          </cell>
          <cell r="F3009">
            <v>0</v>
          </cell>
        </row>
        <row r="3010">
          <cell r="D3010" t="str">
            <v>Other Office Equipment</v>
          </cell>
          <cell r="F3010">
            <v>0</v>
          </cell>
        </row>
        <row r="3011">
          <cell r="D3011" t="str">
            <v>Other Office Equipment</v>
          </cell>
          <cell r="F3011">
            <v>0</v>
          </cell>
        </row>
        <row r="3012">
          <cell r="D3012" t="str">
            <v>Other Office Equipment</v>
          </cell>
          <cell r="F3012">
            <v>0</v>
          </cell>
        </row>
        <row r="3013">
          <cell r="D3013" t="str">
            <v>Other Office Equipment</v>
          </cell>
          <cell r="F3013">
            <v>0</v>
          </cell>
        </row>
        <row r="3014">
          <cell r="D3014" t="str">
            <v>Other Office Equipment</v>
          </cell>
          <cell r="F3014">
            <v>0</v>
          </cell>
        </row>
        <row r="3015">
          <cell r="D3015" t="str">
            <v>Other Office Equipment</v>
          </cell>
          <cell r="F3015">
            <v>0</v>
          </cell>
        </row>
        <row r="3016">
          <cell r="D3016" t="str">
            <v>Other Office Equipment</v>
          </cell>
          <cell r="F3016">
            <v>0</v>
          </cell>
        </row>
        <row r="3017">
          <cell r="D3017" t="str">
            <v>Other Office Equipment</v>
          </cell>
          <cell r="F3017">
            <v>0</v>
          </cell>
        </row>
        <row r="3018">
          <cell r="D3018" t="str">
            <v>Other Office Equipment</v>
          </cell>
          <cell r="F3018">
            <v>0</v>
          </cell>
        </row>
        <row r="3019">
          <cell r="D3019" t="str">
            <v>Other Office Equipment</v>
          </cell>
          <cell r="F3019">
            <v>0</v>
          </cell>
        </row>
        <row r="3020">
          <cell r="D3020" t="str">
            <v>Other Office Equipment</v>
          </cell>
          <cell r="F3020">
            <v>0</v>
          </cell>
        </row>
        <row r="3021">
          <cell r="D3021" t="str">
            <v>Other Office Equipment</v>
          </cell>
          <cell r="F3021">
            <v>0</v>
          </cell>
        </row>
        <row r="3022">
          <cell r="D3022" t="str">
            <v>Other Office Equipment</v>
          </cell>
          <cell r="F3022">
            <v>0</v>
          </cell>
        </row>
        <row r="3023">
          <cell r="D3023" t="str">
            <v>Other Office Equipment</v>
          </cell>
          <cell r="F3023">
            <v>0</v>
          </cell>
        </row>
        <row r="3024">
          <cell r="D3024" t="str">
            <v>Other Office Equipment</v>
          </cell>
          <cell r="F3024">
            <v>0</v>
          </cell>
        </row>
        <row r="3025">
          <cell r="D3025" t="str">
            <v>Other Office Equipment</v>
          </cell>
          <cell r="F3025">
            <v>0</v>
          </cell>
        </row>
        <row r="3026">
          <cell r="D3026" t="str">
            <v>Other Office Equipment</v>
          </cell>
          <cell r="F3026">
            <v>0</v>
          </cell>
        </row>
        <row r="3027">
          <cell r="D3027" t="str">
            <v>Other Office Equipment</v>
          </cell>
          <cell r="F3027">
            <v>0</v>
          </cell>
        </row>
        <row r="3028">
          <cell r="D3028" t="str">
            <v>Other Office Equipment</v>
          </cell>
          <cell r="F3028">
            <v>0</v>
          </cell>
        </row>
        <row r="3029">
          <cell r="D3029" t="str">
            <v>Other Office Equipment</v>
          </cell>
          <cell r="F3029">
            <v>0</v>
          </cell>
        </row>
        <row r="3030">
          <cell r="D3030" t="str">
            <v>Other Office Equipment</v>
          </cell>
          <cell r="F3030">
            <v>0</v>
          </cell>
        </row>
        <row r="3031">
          <cell r="D3031" t="str">
            <v>Other Office Equipment</v>
          </cell>
          <cell r="F3031">
            <v>0</v>
          </cell>
        </row>
        <row r="3032">
          <cell r="D3032" t="str">
            <v>Other Office Equipment</v>
          </cell>
          <cell r="F3032">
            <v>0</v>
          </cell>
        </row>
        <row r="3033">
          <cell r="D3033" t="str">
            <v>Other Office Equipment</v>
          </cell>
          <cell r="F3033">
            <v>0</v>
          </cell>
        </row>
        <row r="3034">
          <cell r="D3034" t="str">
            <v>Other Office Equipment</v>
          </cell>
          <cell r="F3034">
            <v>0</v>
          </cell>
        </row>
        <row r="3035">
          <cell r="D3035" t="str">
            <v>Other Office Equipment</v>
          </cell>
          <cell r="F3035">
            <v>0</v>
          </cell>
        </row>
        <row r="3036">
          <cell r="D3036" t="str">
            <v>Other Office Equipment</v>
          </cell>
          <cell r="F3036">
            <v>0</v>
          </cell>
        </row>
        <row r="3037">
          <cell r="D3037" t="str">
            <v>Other Office Equipment</v>
          </cell>
          <cell r="F3037">
            <v>0</v>
          </cell>
        </row>
        <row r="3038">
          <cell r="D3038" t="str">
            <v>Other Office Equipment</v>
          </cell>
          <cell r="F3038">
            <v>0</v>
          </cell>
        </row>
        <row r="3039">
          <cell r="D3039" t="str">
            <v>Other Office Equipment</v>
          </cell>
          <cell r="F3039">
            <v>0</v>
          </cell>
        </row>
        <row r="3040">
          <cell r="D3040" t="str">
            <v>Other Office Equipment</v>
          </cell>
          <cell r="F3040">
            <v>0</v>
          </cell>
        </row>
        <row r="3041">
          <cell r="D3041" t="str">
            <v>Other Office Equipment</v>
          </cell>
          <cell r="F3041">
            <v>0</v>
          </cell>
        </row>
        <row r="3042">
          <cell r="D3042" t="str">
            <v>Other Office Equipment</v>
          </cell>
          <cell r="F3042">
            <v>0</v>
          </cell>
        </row>
        <row r="3043">
          <cell r="D3043" t="str">
            <v>Other Office Equipment</v>
          </cell>
          <cell r="F3043">
            <v>0</v>
          </cell>
        </row>
        <row r="3044">
          <cell r="D3044" t="str">
            <v>Other Office Equipment</v>
          </cell>
          <cell r="F3044">
            <v>0</v>
          </cell>
        </row>
        <row r="3045">
          <cell r="D3045" t="str">
            <v>Other Office Equipment</v>
          </cell>
          <cell r="F3045">
            <v>0</v>
          </cell>
        </row>
        <row r="3046">
          <cell r="D3046" t="str">
            <v>Other Office Equipment</v>
          </cell>
          <cell r="F3046">
            <v>0</v>
          </cell>
        </row>
        <row r="3047">
          <cell r="D3047" t="str">
            <v>Other Office Equipment</v>
          </cell>
          <cell r="F3047">
            <v>0</v>
          </cell>
        </row>
        <row r="3048">
          <cell r="D3048" t="str">
            <v>Other Office Equipment</v>
          </cell>
          <cell r="F3048">
            <v>0</v>
          </cell>
        </row>
        <row r="3049">
          <cell r="D3049" t="str">
            <v>Other Office Equipment</v>
          </cell>
          <cell r="F3049">
            <v>0</v>
          </cell>
        </row>
        <row r="3050">
          <cell r="D3050" t="str">
            <v>Other Office Equipment</v>
          </cell>
          <cell r="F3050">
            <v>0</v>
          </cell>
        </row>
        <row r="3051">
          <cell r="D3051" t="str">
            <v>Other Office Equipment</v>
          </cell>
          <cell r="F3051">
            <v>0</v>
          </cell>
        </row>
        <row r="3052">
          <cell r="D3052" t="str">
            <v>Other Office Equipment</v>
          </cell>
          <cell r="F3052">
            <v>0</v>
          </cell>
        </row>
        <row r="3053">
          <cell r="D3053" t="str">
            <v>Other Office Equipment</v>
          </cell>
          <cell r="F3053">
            <v>0</v>
          </cell>
        </row>
        <row r="3054">
          <cell r="D3054" t="str">
            <v>Other Office Equipment</v>
          </cell>
          <cell r="F3054">
            <v>0</v>
          </cell>
        </row>
        <row r="3055">
          <cell r="D3055" t="str">
            <v>Other Office Equipment</v>
          </cell>
          <cell r="F3055">
            <v>0</v>
          </cell>
        </row>
        <row r="3056">
          <cell r="D3056" t="str">
            <v>Other Office Equipment</v>
          </cell>
          <cell r="F3056">
            <v>0</v>
          </cell>
        </row>
        <row r="3057">
          <cell r="D3057" t="str">
            <v>Other Office Equipment</v>
          </cell>
          <cell r="F3057">
            <v>0</v>
          </cell>
        </row>
        <row r="3058">
          <cell r="D3058" t="str">
            <v>Other Office Equipment</v>
          </cell>
          <cell r="F3058">
            <v>0</v>
          </cell>
        </row>
        <row r="3059">
          <cell r="D3059" t="str">
            <v>Other Office Equipment</v>
          </cell>
          <cell r="F3059">
            <v>0</v>
          </cell>
        </row>
        <row r="3060">
          <cell r="D3060" t="str">
            <v>Other Office Equipment</v>
          </cell>
          <cell r="F3060">
            <v>0</v>
          </cell>
        </row>
        <row r="3061">
          <cell r="D3061" t="str">
            <v>Other Office Equipment</v>
          </cell>
          <cell r="F3061">
            <v>0</v>
          </cell>
        </row>
        <row r="3062">
          <cell r="D3062" t="str">
            <v>Other Office Equipment</v>
          </cell>
          <cell r="F3062">
            <v>0</v>
          </cell>
        </row>
        <row r="3063">
          <cell r="D3063" t="str">
            <v>Other Office Equipment</v>
          </cell>
          <cell r="F3063">
            <v>0</v>
          </cell>
        </row>
        <row r="3064">
          <cell r="D3064" t="str">
            <v>Other Office Equipment</v>
          </cell>
          <cell r="F3064">
            <v>0</v>
          </cell>
        </row>
        <row r="3065">
          <cell r="D3065" t="str">
            <v>Other Office Equipment</v>
          </cell>
          <cell r="F3065">
            <v>0</v>
          </cell>
        </row>
        <row r="3066">
          <cell r="D3066" t="str">
            <v>Other Office Equipment</v>
          </cell>
          <cell r="F3066">
            <v>0</v>
          </cell>
        </row>
        <row r="3067">
          <cell r="D3067" t="str">
            <v>Other Office Equipment</v>
          </cell>
          <cell r="F3067">
            <v>0</v>
          </cell>
        </row>
        <row r="3068">
          <cell r="D3068" t="str">
            <v>Other Office Equipment</v>
          </cell>
          <cell r="F3068">
            <v>0</v>
          </cell>
        </row>
        <row r="3069">
          <cell r="D3069" t="str">
            <v>Other Office Equipment</v>
          </cell>
          <cell r="F3069">
            <v>0</v>
          </cell>
        </row>
        <row r="3070">
          <cell r="D3070" t="str">
            <v>Other Office Equipment</v>
          </cell>
          <cell r="F3070">
            <v>0</v>
          </cell>
        </row>
        <row r="3071">
          <cell r="D3071" t="str">
            <v>Other Office Equipment</v>
          </cell>
          <cell r="F3071">
            <v>0</v>
          </cell>
        </row>
        <row r="3072">
          <cell r="D3072" t="str">
            <v>Other Office Equipment</v>
          </cell>
          <cell r="F3072">
            <v>0</v>
          </cell>
        </row>
        <row r="3073">
          <cell r="D3073" t="str">
            <v>Other Office Equipment</v>
          </cell>
          <cell r="F3073">
            <v>0</v>
          </cell>
        </row>
        <row r="3074">
          <cell r="D3074" t="str">
            <v>Other Office Equipment</v>
          </cell>
          <cell r="F3074">
            <v>0</v>
          </cell>
        </row>
        <row r="3075">
          <cell r="D3075" t="str">
            <v>Other Office Equipment</v>
          </cell>
          <cell r="F3075">
            <v>0</v>
          </cell>
        </row>
        <row r="3076">
          <cell r="D3076" t="str">
            <v>Other Office Equipment</v>
          </cell>
          <cell r="F3076">
            <v>0</v>
          </cell>
        </row>
        <row r="3077">
          <cell r="D3077" t="str">
            <v>Other Office Equipment</v>
          </cell>
          <cell r="F3077">
            <v>0</v>
          </cell>
        </row>
        <row r="3078">
          <cell r="D3078" t="str">
            <v>Other Office Equipment</v>
          </cell>
          <cell r="F3078">
            <v>0</v>
          </cell>
        </row>
        <row r="3079">
          <cell r="D3079" t="str">
            <v>Other Office Equipment</v>
          </cell>
          <cell r="F3079">
            <v>0</v>
          </cell>
        </row>
        <row r="3080">
          <cell r="D3080" t="str">
            <v>Other Office Equipment</v>
          </cell>
          <cell r="F3080">
            <v>0</v>
          </cell>
        </row>
        <row r="3081">
          <cell r="D3081" t="str">
            <v>Other Office Equipment</v>
          </cell>
          <cell r="F3081">
            <v>0</v>
          </cell>
        </row>
        <row r="3082">
          <cell r="D3082" t="str">
            <v>Other Office Equipment</v>
          </cell>
          <cell r="F3082">
            <v>0</v>
          </cell>
        </row>
        <row r="3083">
          <cell r="D3083" t="str">
            <v>Other Office Equipment</v>
          </cell>
          <cell r="F3083">
            <v>0</v>
          </cell>
        </row>
        <row r="3084">
          <cell r="D3084" t="str">
            <v>Other Office Equipment</v>
          </cell>
          <cell r="F3084">
            <v>0</v>
          </cell>
        </row>
        <row r="3085">
          <cell r="D3085" t="str">
            <v>Other Office Equipment</v>
          </cell>
          <cell r="F3085">
            <v>0</v>
          </cell>
        </row>
        <row r="3086">
          <cell r="D3086" t="str">
            <v>Other Office Equipment</v>
          </cell>
          <cell r="F3086">
            <v>0</v>
          </cell>
        </row>
        <row r="3087">
          <cell r="D3087" t="str">
            <v>Other Office Equipment</v>
          </cell>
          <cell r="F3087">
            <v>0</v>
          </cell>
        </row>
        <row r="3088">
          <cell r="D3088" t="str">
            <v>Other Office Equipment</v>
          </cell>
          <cell r="F3088">
            <v>0</v>
          </cell>
        </row>
        <row r="3089">
          <cell r="D3089" t="str">
            <v>Other Office Equipment</v>
          </cell>
          <cell r="F3089">
            <v>0</v>
          </cell>
        </row>
        <row r="3090">
          <cell r="D3090" t="str">
            <v>Other Office Equipment</v>
          </cell>
          <cell r="F3090">
            <v>0</v>
          </cell>
        </row>
        <row r="3091">
          <cell r="D3091" t="str">
            <v>Other Office Equipment</v>
          </cell>
          <cell r="F3091">
            <v>0</v>
          </cell>
        </row>
        <row r="3092">
          <cell r="D3092" t="str">
            <v>Other Office Equipment</v>
          </cell>
          <cell r="F3092">
            <v>0</v>
          </cell>
        </row>
        <row r="3093">
          <cell r="D3093" t="str">
            <v>Other Office Equipment</v>
          </cell>
          <cell r="F3093">
            <v>0</v>
          </cell>
        </row>
        <row r="3094">
          <cell r="D3094" t="str">
            <v>Other Office Equipment</v>
          </cell>
          <cell r="F3094">
            <v>0</v>
          </cell>
        </row>
        <row r="3095">
          <cell r="D3095" t="str">
            <v>Other Office Equipment</v>
          </cell>
          <cell r="F3095">
            <v>0</v>
          </cell>
        </row>
        <row r="3096">
          <cell r="D3096" t="str">
            <v>Other Office Equipment</v>
          </cell>
          <cell r="F3096">
            <v>0</v>
          </cell>
        </row>
        <row r="3097">
          <cell r="D3097" t="str">
            <v>Other Office Equipment</v>
          </cell>
          <cell r="F3097">
            <v>0</v>
          </cell>
        </row>
        <row r="3098">
          <cell r="D3098" t="str">
            <v>Other Office Equipment</v>
          </cell>
          <cell r="F3098">
            <v>0</v>
          </cell>
        </row>
        <row r="3099">
          <cell r="D3099" t="str">
            <v>Other Office Equipment</v>
          </cell>
          <cell r="F3099">
            <v>0</v>
          </cell>
        </row>
        <row r="3100">
          <cell r="D3100" t="str">
            <v>Other Office Equipment</v>
          </cell>
          <cell r="F3100">
            <v>0</v>
          </cell>
        </row>
        <row r="3101">
          <cell r="D3101" t="str">
            <v>Other Office Equipment</v>
          </cell>
          <cell r="F3101">
            <v>0</v>
          </cell>
        </row>
        <row r="3102">
          <cell r="D3102" t="str">
            <v>Other Office Equipment</v>
          </cell>
          <cell r="F3102">
            <v>0</v>
          </cell>
        </row>
        <row r="3103">
          <cell r="D3103" t="str">
            <v>Other Office Equipment</v>
          </cell>
          <cell r="F3103">
            <v>0</v>
          </cell>
        </row>
        <row r="3104">
          <cell r="D3104" t="str">
            <v>Other Office Equipment</v>
          </cell>
          <cell r="F3104">
            <v>0</v>
          </cell>
        </row>
        <row r="3105">
          <cell r="D3105" t="str">
            <v>Other Office Equipment</v>
          </cell>
          <cell r="F3105">
            <v>0</v>
          </cell>
        </row>
        <row r="3106">
          <cell r="D3106" t="str">
            <v>Other Office Equipment</v>
          </cell>
          <cell r="F3106">
            <v>0</v>
          </cell>
        </row>
        <row r="3107">
          <cell r="D3107" t="str">
            <v>Other Office Equipment</v>
          </cell>
          <cell r="F3107">
            <v>0</v>
          </cell>
        </row>
        <row r="3108">
          <cell r="D3108" t="str">
            <v>Other Office Equipment</v>
          </cell>
          <cell r="F3108">
            <v>0</v>
          </cell>
        </row>
        <row r="3109">
          <cell r="D3109" t="str">
            <v>Other Office Equipment</v>
          </cell>
          <cell r="F3109">
            <v>0</v>
          </cell>
        </row>
        <row r="3110">
          <cell r="D3110" t="str">
            <v>Other Office Equipment</v>
          </cell>
          <cell r="F3110">
            <v>0</v>
          </cell>
        </row>
        <row r="3111">
          <cell r="D3111" t="str">
            <v>Other Office Equipment</v>
          </cell>
          <cell r="F3111">
            <v>0</v>
          </cell>
        </row>
        <row r="3112">
          <cell r="D3112" t="str">
            <v>Other Office Equipment</v>
          </cell>
          <cell r="F3112">
            <v>0</v>
          </cell>
        </row>
        <row r="3113">
          <cell r="D3113" t="str">
            <v>Other Office Equipment</v>
          </cell>
          <cell r="F3113">
            <v>0</v>
          </cell>
        </row>
        <row r="3114">
          <cell r="D3114" t="str">
            <v>Other Office Equipment</v>
          </cell>
          <cell r="F3114">
            <v>0</v>
          </cell>
        </row>
        <row r="3115">
          <cell r="D3115" t="str">
            <v>Other Office Equipment</v>
          </cell>
          <cell r="F3115">
            <v>0</v>
          </cell>
        </row>
        <row r="3116">
          <cell r="D3116" t="str">
            <v>Other Office Equipment</v>
          </cell>
          <cell r="F3116">
            <v>0</v>
          </cell>
        </row>
        <row r="3117">
          <cell r="D3117" t="str">
            <v>Other Office Equipment</v>
          </cell>
          <cell r="F3117">
            <v>0</v>
          </cell>
        </row>
        <row r="3118">
          <cell r="D3118" t="str">
            <v>Other Office Equipment</v>
          </cell>
          <cell r="F3118">
            <v>0</v>
          </cell>
        </row>
        <row r="3119">
          <cell r="D3119" t="str">
            <v>Other Office Equipment</v>
          </cell>
          <cell r="F3119">
            <v>0</v>
          </cell>
        </row>
        <row r="3120">
          <cell r="D3120" t="str">
            <v>Other Office Equipment</v>
          </cell>
          <cell r="F3120">
            <v>0</v>
          </cell>
        </row>
        <row r="3121">
          <cell r="D3121" t="str">
            <v>Other Office Equipment</v>
          </cell>
          <cell r="F3121">
            <v>0</v>
          </cell>
        </row>
        <row r="3122">
          <cell r="D3122" t="str">
            <v>Other Office Equipment</v>
          </cell>
          <cell r="F3122">
            <v>0</v>
          </cell>
        </row>
        <row r="3123">
          <cell r="D3123" t="str">
            <v>Other Office Equipment</v>
          </cell>
          <cell r="F3123">
            <v>0</v>
          </cell>
        </row>
        <row r="3124">
          <cell r="D3124" t="str">
            <v>Other Office Equipment</v>
          </cell>
          <cell r="F3124">
            <v>0</v>
          </cell>
        </row>
        <row r="3125">
          <cell r="D3125" t="str">
            <v>Other Office Equipment</v>
          </cell>
          <cell r="F3125">
            <v>0</v>
          </cell>
        </row>
        <row r="3126">
          <cell r="D3126" t="str">
            <v>Other Office Equipment</v>
          </cell>
          <cell r="F3126">
            <v>0</v>
          </cell>
        </row>
        <row r="3127">
          <cell r="D3127" t="str">
            <v>Other Office Equipment</v>
          </cell>
          <cell r="F3127">
            <v>0</v>
          </cell>
        </row>
        <row r="3128">
          <cell r="D3128" t="str">
            <v>Other Office Equipment</v>
          </cell>
          <cell r="F3128">
            <v>0</v>
          </cell>
        </row>
        <row r="3129">
          <cell r="D3129" t="str">
            <v>Other Office Equipment</v>
          </cell>
          <cell r="F3129">
            <v>0</v>
          </cell>
        </row>
        <row r="3130">
          <cell r="D3130" t="str">
            <v>Other Office Equipment</v>
          </cell>
          <cell r="F3130">
            <v>0</v>
          </cell>
        </row>
        <row r="3131">
          <cell r="D3131" t="str">
            <v>Other Office Equipment</v>
          </cell>
          <cell r="F3131">
            <v>0</v>
          </cell>
        </row>
        <row r="3132">
          <cell r="D3132" t="str">
            <v>Other Office Equipment</v>
          </cell>
          <cell r="F3132">
            <v>0</v>
          </cell>
        </row>
        <row r="3133">
          <cell r="D3133" t="str">
            <v>Other Office Equipment</v>
          </cell>
          <cell r="F3133">
            <v>0</v>
          </cell>
        </row>
        <row r="3134">
          <cell r="D3134" t="str">
            <v>Other Office Equipment</v>
          </cell>
          <cell r="F3134">
            <v>0</v>
          </cell>
        </row>
        <row r="3135">
          <cell r="D3135" t="str">
            <v>Other Office Equipment</v>
          </cell>
          <cell r="F3135">
            <v>0</v>
          </cell>
        </row>
        <row r="3136">
          <cell r="D3136" t="str">
            <v>Other Office Equipment</v>
          </cell>
          <cell r="F3136">
            <v>0</v>
          </cell>
        </row>
        <row r="3137">
          <cell r="D3137" t="str">
            <v>Other Office Equipment</v>
          </cell>
          <cell r="F3137">
            <v>0</v>
          </cell>
        </row>
        <row r="3138">
          <cell r="D3138" t="str">
            <v>Other Office Equipment</v>
          </cell>
          <cell r="F3138">
            <v>0</v>
          </cell>
        </row>
        <row r="3139">
          <cell r="D3139" t="str">
            <v>Other Office Equipment</v>
          </cell>
          <cell r="F3139">
            <v>0</v>
          </cell>
        </row>
        <row r="3140">
          <cell r="D3140" t="str">
            <v>Other Office Equipment</v>
          </cell>
          <cell r="F3140">
            <v>0</v>
          </cell>
        </row>
        <row r="3141">
          <cell r="D3141" t="str">
            <v>Other Office Equipment</v>
          </cell>
          <cell r="F3141">
            <v>0</v>
          </cell>
        </row>
        <row r="3142">
          <cell r="D3142" t="str">
            <v>Other Office Equipment</v>
          </cell>
          <cell r="F3142">
            <v>0</v>
          </cell>
        </row>
        <row r="3143">
          <cell r="D3143" t="str">
            <v>Other Office Equipment</v>
          </cell>
          <cell r="F3143">
            <v>0</v>
          </cell>
        </row>
        <row r="3144">
          <cell r="D3144" t="str">
            <v>Other Office Equipment</v>
          </cell>
          <cell r="F3144">
            <v>0</v>
          </cell>
        </row>
        <row r="3145">
          <cell r="D3145" t="str">
            <v>Other Office Equipment</v>
          </cell>
          <cell r="F3145">
            <v>0</v>
          </cell>
        </row>
        <row r="3146">
          <cell r="D3146" t="str">
            <v>Other Office Equipment</v>
          </cell>
          <cell r="F3146">
            <v>0</v>
          </cell>
        </row>
        <row r="3147">
          <cell r="D3147" t="str">
            <v>Other Office Equipment</v>
          </cell>
          <cell r="F3147">
            <v>0</v>
          </cell>
        </row>
        <row r="3148">
          <cell r="D3148" t="str">
            <v>Other Office Equipment</v>
          </cell>
          <cell r="F3148">
            <v>0</v>
          </cell>
        </row>
        <row r="3149">
          <cell r="D3149" t="str">
            <v>Other Office Equipment</v>
          </cell>
          <cell r="F3149">
            <v>0</v>
          </cell>
        </row>
        <row r="3150">
          <cell r="D3150" t="str">
            <v>Other Office Equipment</v>
          </cell>
          <cell r="F3150">
            <v>0</v>
          </cell>
        </row>
        <row r="3151">
          <cell r="D3151" t="str">
            <v>Other Office Equipment</v>
          </cell>
          <cell r="F3151">
            <v>0</v>
          </cell>
        </row>
        <row r="3152">
          <cell r="D3152" t="str">
            <v>Other Office Equipment</v>
          </cell>
          <cell r="F3152">
            <v>0</v>
          </cell>
        </row>
        <row r="3153">
          <cell r="D3153" t="str">
            <v>Other Office Equipment</v>
          </cell>
          <cell r="F3153">
            <v>0</v>
          </cell>
        </row>
        <row r="3154">
          <cell r="D3154" t="str">
            <v>Other Office Equipment</v>
          </cell>
          <cell r="F3154">
            <v>0</v>
          </cell>
        </row>
        <row r="3155">
          <cell r="D3155" t="str">
            <v>Other Office Equipment</v>
          </cell>
          <cell r="F3155">
            <v>0</v>
          </cell>
        </row>
        <row r="3156">
          <cell r="D3156" t="str">
            <v>Other Office Equipment</v>
          </cell>
          <cell r="F3156">
            <v>0</v>
          </cell>
        </row>
        <row r="3157">
          <cell r="D3157" t="str">
            <v>Other Office Equipment</v>
          </cell>
          <cell r="F3157">
            <v>0</v>
          </cell>
        </row>
        <row r="3158">
          <cell r="D3158" t="str">
            <v>Other Office Equipment</v>
          </cell>
          <cell r="F3158">
            <v>0</v>
          </cell>
        </row>
        <row r="3159">
          <cell r="D3159" t="str">
            <v>Other Office Equipment</v>
          </cell>
          <cell r="F3159">
            <v>0</v>
          </cell>
        </row>
        <row r="3160">
          <cell r="D3160" t="str">
            <v>Other Office Equipment</v>
          </cell>
          <cell r="F3160">
            <v>0</v>
          </cell>
        </row>
        <row r="3161">
          <cell r="D3161" t="str">
            <v>Other Office Equipment</v>
          </cell>
          <cell r="F3161">
            <v>0</v>
          </cell>
        </row>
        <row r="3162">
          <cell r="D3162" t="str">
            <v>Other Office Equipment</v>
          </cell>
          <cell r="F3162">
            <v>0</v>
          </cell>
        </row>
        <row r="3163">
          <cell r="D3163" t="str">
            <v>Other Office Equipment</v>
          </cell>
          <cell r="F3163">
            <v>0</v>
          </cell>
        </row>
        <row r="3164">
          <cell r="D3164" t="str">
            <v>Other Office Equipment</v>
          </cell>
          <cell r="F3164">
            <v>0</v>
          </cell>
        </row>
        <row r="3165">
          <cell r="D3165" t="str">
            <v>Other Office Equipment</v>
          </cell>
          <cell r="F3165">
            <v>0</v>
          </cell>
        </row>
        <row r="3166">
          <cell r="D3166" t="str">
            <v>Other Office Equipment</v>
          </cell>
          <cell r="F3166">
            <v>0</v>
          </cell>
        </row>
        <row r="3167">
          <cell r="D3167" t="str">
            <v>Other Office Equipment</v>
          </cell>
          <cell r="F3167">
            <v>0</v>
          </cell>
        </row>
        <row r="3168">
          <cell r="D3168" t="str">
            <v>Other Office Equipment</v>
          </cell>
          <cell r="F3168">
            <v>0</v>
          </cell>
        </row>
        <row r="3169">
          <cell r="D3169" t="str">
            <v>Other Office Equipment</v>
          </cell>
          <cell r="F3169">
            <v>0</v>
          </cell>
        </row>
        <row r="3170">
          <cell r="D3170" t="str">
            <v>Other Office Equipment</v>
          </cell>
          <cell r="F3170">
            <v>0</v>
          </cell>
        </row>
        <row r="3171">
          <cell r="D3171" t="str">
            <v>Other Office Equipment</v>
          </cell>
          <cell r="F3171">
            <v>0</v>
          </cell>
        </row>
        <row r="3172">
          <cell r="D3172" t="str">
            <v>Other Office Equipment</v>
          </cell>
          <cell r="F3172">
            <v>0</v>
          </cell>
        </row>
        <row r="3173">
          <cell r="D3173" t="str">
            <v>Other Office Equipment</v>
          </cell>
          <cell r="F3173">
            <v>0</v>
          </cell>
        </row>
        <row r="3174">
          <cell r="D3174" t="str">
            <v>Other Office Equipment</v>
          </cell>
          <cell r="F3174">
            <v>0</v>
          </cell>
        </row>
        <row r="3175">
          <cell r="D3175" t="str">
            <v>Other Office Equipment</v>
          </cell>
          <cell r="F3175">
            <v>0</v>
          </cell>
        </row>
        <row r="3176">
          <cell r="D3176" t="str">
            <v>Other Office Equipment</v>
          </cell>
          <cell r="F3176">
            <v>0</v>
          </cell>
        </row>
        <row r="3177">
          <cell r="D3177" t="str">
            <v>Other Office Equipment</v>
          </cell>
          <cell r="F3177">
            <v>0</v>
          </cell>
        </row>
        <row r="3178">
          <cell r="D3178" t="str">
            <v>Other Office Equipment</v>
          </cell>
          <cell r="F3178">
            <v>0</v>
          </cell>
        </row>
        <row r="3179">
          <cell r="D3179" t="str">
            <v>Other Office Equipment</v>
          </cell>
          <cell r="F3179">
            <v>0</v>
          </cell>
        </row>
        <row r="3180">
          <cell r="D3180" t="str">
            <v>Other Office Equipment</v>
          </cell>
          <cell r="F3180">
            <v>0</v>
          </cell>
        </row>
        <row r="3181">
          <cell r="D3181" t="str">
            <v>Other Office Equipment</v>
          </cell>
          <cell r="F3181">
            <v>0</v>
          </cell>
        </row>
        <row r="3182">
          <cell r="D3182" t="str">
            <v>Other Office Equipment</v>
          </cell>
          <cell r="F3182">
            <v>0</v>
          </cell>
        </row>
        <row r="3183">
          <cell r="D3183" t="str">
            <v>Other Office Equipment</v>
          </cell>
          <cell r="F3183">
            <v>0</v>
          </cell>
        </row>
        <row r="3184">
          <cell r="D3184" t="str">
            <v>Other Office Equipment</v>
          </cell>
          <cell r="F3184">
            <v>0</v>
          </cell>
        </row>
        <row r="3185">
          <cell r="D3185" t="str">
            <v>Other Office Equipment</v>
          </cell>
          <cell r="F3185">
            <v>0</v>
          </cell>
        </row>
        <row r="3186">
          <cell r="D3186" t="str">
            <v>Other Office Equipment</v>
          </cell>
          <cell r="F3186">
            <v>0</v>
          </cell>
        </row>
        <row r="3187">
          <cell r="D3187" t="str">
            <v>Other Office Equipment</v>
          </cell>
          <cell r="F3187">
            <v>0</v>
          </cell>
        </row>
        <row r="3188">
          <cell r="D3188" t="str">
            <v>Other Office Equipment</v>
          </cell>
          <cell r="F3188">
            <v>0</v>
          </cell>
        </row>
        <row r="3189">
          <cell r="D3189" t="str">
            <v>Other Office Equipment</v>
          </cell>
          <cell r="F3189">
            <v>0</v>
          </cell>
        </row>
        <row r="3190">
          <cell r="D3190" t="str">
            <v>Other Office Equipment</v>
          </cell>
          <cell r="F3190">
            <v>0</v>
          </cell>
        </row>
        <row r="3191">
          <cell r="D3191" t="str">
            <v>Other Office Equipment</v>
          </cell>
          <cell r="F3191">
            <v>0</v>
          </cell>
        </row>
        <row r="3192">
          <cell r="D3192" t="str">
            <v>Other Office Equipment</v>
          </cell>
          <cell r="F3192">
            <v>0</v>
          </cell>
        </row>
        <row r="3193">
          <cell r="D3193" t="str">
            <v>Other Office Equipment</v>
          </cell>
          <cell r="F3193">
            <v>0</v>
          </cell>
        </row>
        <row r="3194">
          <cell r="D3194" t="str">
            <v>Other Office Equipment</v>
          </cell>
          <cell r="F3194">
            <v>0</v>
          </cell>
        </row>
        <row r="3195">
          <cell r="D3195" t="str">
            <v>Other Office Equipment</v>
          </cell>
          <cell r="F3195">
            <v>0</v>
          </cell>
        </row>
        <row r="3196">
          <cell r="D3196" t="str">
            <v>Other Office Equipment</v>
          </cell>
          <cell r="F3196">
            <v>0</v>
          </cell>
        </row>
        <row r="3197">
          <cell r="D3197" t="str">
            <v>Other Office Equipment</v>
          </cell>
          <cell r="F3197">
            <v>0</v>
          </cell>
        </row>
        <row r="3198">
          <cell r="D3198" t="str">
            <v>Other Office Equipment</v>
          </cell>
          <cell r="F3198">
            <v>0</v>
          </cell>
        </row>
        <row r="3199">
          <cell r="D3199" t="str">
            <v>Other Office Equipment</v>
          </cell>
          <cell r="F3199">
            <v>0</v>
          </cell>
        </row>
        <row r="3200">
          <cell r="D3200" t="str">
            <v>Other Office Equipment</v>
          </cell>
          <cell r="F3200">
            <v>0</v>
          </cell>
        </row>
        <row r="3201">
          <cell r="D3201" t="str">
            <v>Other Office Equipment</v>
          </cell>
          <cell r="F3201">
            <v>0</v>
          </cell>
        </row>
        <row r="3202">
          <cell r="D3202" t="str">
            <v>Other Office Equipment</v>
          </cell>
          <cell r="F3202">
            <v>0</v>
          </cell>
        </row>
        <row r="3203">
          <cell r="D3203" t="str">
            <v>Other Office Equipment</v>
          </cell>
          <cell r="F3203">
            <v>0</v>
          </cell>
        </row>
        <row r="3204">
          <cell r="D3204" t="str">
            <v>Other Office Equipment</v>
          </cell>
          <cell r="F3204">
            <v>0</v>
          </cell>
        </row>
        <row r="3205">
          <cell r="D3205" t="str">
            <v>Other Office Equipment</v>
          </cell>
          <cell r="F3205">
            <v>0</v>
          </cell>
        </row>
        <row r="3206">
          <cell r="D3206" t="str">
            <v>Other Office Equipment</v>
          </cell>
          <cell r="F3206">
            <v>0</v>
          </cell>
        </row>
        <row r="3207">
          <cell r="D3207" t="str">
            <v>Other Office Equipment</v>
          </cell>
          <cell r="F3207">
            <v>0</v>
          </cell>
        </row>
        <row r="3208">
          <cell r="D3208" t="str">
            <v>Other Office Equipment</v>
          </cell>
          <cell r="F3208">
            <v>0</v>
          </cell>
        </row>
        <row r="3209">
          <cell r="D3209" t="str">
            <v>Other Office Equipment</v>
          </cell>
          <cell r="F3209">
            <v>0</v>
          </cell>
        </row>
        <row r="3210">
          <cell r="D3210" t="str">
            <v>Other Office Equipment</v>
          </cell>
          <cell r="F3210">
            <v>0</v>
          </cell>
        </row>
        <row r="3211">
          <cell r="D3211" t="str">
            <v>Other Office Equipment</v>
          </cell>
          <cell r="F3211">
            <v>0</v>
          </cell>
        </row>
        <row r="3212">
          <cell r="D3212" t="str">
            <v>Other Office Equipment</v>
          </cell>
          <cell r="F3212">
            <v>0</v>
          </cell>
        </row>
        <row r="3213">
          <cell r="D3213" t="str">
            <v>Other Office Equipment</v>
          </cell>
          <cell r="F3213">
            <v>0</v>
          </cell>
        </row>
        <row r="3214">
          <cell r="D3214" t="str">
            <v>Other Office Equipment</v>
          </cell>
          <cell r="F3214">
            <v>0</v>
          </cell>
        </row>
        <row r="3215">
          <cell r="D3215" t="str">
            <v>Other Office Equipment</v>
          </cell>
          <cell r="F3215">
            <v>0</v>
          </cell>
        </row>
        <row r="3216">
          <cell r="D3216" t="str">
            <v>Other Office Equipment</v>
          </cell>
          <cell r="F3216">
            <v>0</v>
          </cell>
        </row>
        <row r="3217">
          <cell r="D3217" t="str">
            <v>Other Office Equipment</v>
          </cell>
          <cell r="F3217">
            <v>0</v>
          </cell>
        </row>
        <row r="3218">
          <cell r="D3218" t="str">
            <v>Other Office Equipment</v>
          </cell>
          <cell r="F3218">
            <v>0</v>
          </cell>
        </row>
        <row r="3219">
          <cell r="D3219" t="str">
            <v>Other Office Equipment</v>
          </cell>
          <cell r="F3219">
            <v>0</v>
          </cell>
        </row>
        <row r="3220">
          <cell r="D3220" t="str">
            <v>Other Office Equipment</v>
          </cell>
          <cell r="F3220">
            <v>0</v>
          </cell>
        </row>
        <row r="3221">
          <cell r="D3221" t="str">
            <v>Other Office Equipment</v>
          </cell>
          <cell r="F3221">
            <v>0</v>
          </cell>
        </row>
        <row r="3222">
          <cell r="D3222" t="str">
            <v>Other Office Equipment</v>
          </cell>
          <cell r="F3222">
            <v>0</v>
          </cell>
        </row>
        <row r="3223">
          <cell r="D3223" t="str">
            <v>Other Office Equipment</v>
          </cell>
          <cell r="F3223">
            <v>0</v>
          </cell>
        </row>
        <row r="3224">
          <cell r="D3224" t="str">
            <v>Other Office Equipment</v>
          </cell>
          <cell r="F3224">
            <v>0</v>
          </cell>
        </row>
        <row r="3225">
          <cell r="D3225" t="str">
            <v>Other Office Equipment</v>
          </cell>
          <cell r="F3225">
            <v>0</v>
          </cell>
        </row>
        <row r="3226">
          <cell r="D3226" t="str">
            <v>Other Office Equipment</v>
          </cell>
          <cell r="F3226">
            <v>0</v>
          </cell>
        </row>
        <row r="3227">
          <cell r="D3227" t="str">
            <v>Other Office Equipment</v>
          </cell>
          <cell r="F3227">
            <v>0</v>
          </cell>
        </row>
        <row r="3228">
          <cell r="D3228" t="str">
            <v>Other Office Equipment</v>
          </cell>
          <cell r="F3228">
            <v>0</v>
          </cell>
        </row>
        <row r="3229">
          <cell r="D3229" t="str">
            <v>Other Office Equipment</v>
          </cell>
          <cell r="F3229">
            <v>0</v>
          </cell>
        </row>
        <row r="3230">
          <cell r="D3230" t="str">
            <v>Other Office Equipment</v>
          </cell>
          <cell r="F3230">
            <v>0</v>
          </cell>
        </row>
        <row r="3231">
          <cell r="D3231" t="str">
            <v>Other Office Equipment</v>
          </cell>
          <cell r="F3231">
            <v>0</v>
          </cell>
        </row>
        <row r="3232">
          <cell r="D3232" t="str">
            <v>Other Office Equipment</v>
          </cell>
          <cell r="F3232">
            <v>0</v>
          </cell>
        </row>
        <row r="3233">
          <cell r="D3233" t="str">
            <v>Other Office Equipment</v>
          </cell>
          <cell r="F3233">
            <v>0</v>
          </cell>
        </row>
        <row r="3234">
          <cell r="D3234" t="str">
            <v>Other Office Equipment</v>
          </cell>
          <cell r="F3234">
            <v>0</v>
          </cell>
        </row>
        <row r="3235">
          <cell r="D3235" t="str">
            <v>Other Office Equipment</v>
          </cell>
          <cell r="F3235">
            <v>0</v>
          </cell>
        </row>
        <row r="3236">
          <cell r="D3236" t="str">
            <v>Other Office Equipment</v>
          </cell>
          <cell r="F3236">
            <v>0</v>
          </cell>
        </row>
        <row r="3237">
          <cell r="D3237" t="str">
            <v>Other Office Equipment</v>
          </cell>
          <cell r="F3237">
            <v>0</v>
          </cell>
        </row>
        <row r="3238">
          <cell r="D3238" t="str">
            <v>Other Office Equipment</v>
          </cell>
          <cell r="F3238">
            <v>0</v>
          </cell>
        </row>
        <row r="3239">
          <cell r="D3239" t="str">
            <v>Other Office Equipment</v>
          </cell>
          <cell r="F3239">
            <v>0</v>
          </cell>
        </row>
        <row r="3240">
          <cell r="D3240" t="str">
            <v>Other Office Equipment</v>
          </cell>
          <cell r="F3240">
            <v>0</v>
          </cell>
        </row>
        <row r="3241">
          <cell r="D3241" t="str">
            <v>Other Office Equipment</v>
          </cell>
          <cell r="F3241">
            <v>0</v>
          </cell>
        </row>
        <row r="3242">
          <cell r="D3242" t="str">
            <v>Other Office Equipment</v>
          </cell>
          <cell r="F3242">
            <v>0</v>
          </cell>
        </row>
        <row r="3243">
          <cell r="D3243" t="str">
            <v>Other Office Equipment</v>
          </cell>
          <cell r="F3243">
            <v>0</v>
          </cell>
        </row>
        <row r="3244">
          <cell r="D3244" t="str">
            <v>Other Office Equipment</v>
          </cell>
          <cell r="F3244">
            <v>0</v>
          </cell>
        </row>
        <row r="3245">
          <cell r="D3245" t="str">
            <v>Other Office Equipment</v>
          </cell>
          <cell r="F3245">
            <v>0</v>
          </cell>
        </row>
        <row r="3246">
          <cell r="D3246" t="str">
            <v>Other Office Equipment</v>
          </cell>
          <cell r="F3246">
            <v>0</v>
          </cell>
        </row>
        <row r="3247">
          <cell r="D3247" t="str">
            <v>Other Office Equipment</v>
          </cell>
          <cell r="F3247">
            <v>0</v>
          </cell>
        </row>
        <row r="3248">
          <cell r="D3248" t="str">
            <v>Other Office Equipment</v>
          </cell>
          <cell r="F3248">
            <v>0</v>
          </cell>
        </row>
        <row r="3249">
          <cell r="D3249" t="str">
            <v>Other Office Equipment</v>
          </cell>
          <cell r="F3249">
            <v>0</v>
          </cell>
        </row>
        <row r="3250">
          <cell r="D3250" t="str">
            <v>Other Office Equipment</v>
          </cell>
          <cell r="F3250">
            <v>0</v>
          </cell>
        </row>
        <row r="3251">
          <cell r="D3251" t="str">
            <v>Other Office Equipment</v>
          </cell>
          <cell r="F3251">
            <v>0</v>
          </cell>
        </row>
        <row r="3252">
          <cell r="D3252" t="str">
            <v>Other Office Equipment</v>
          </cell>
          <cell r="F3252">
            <v>0</v>
          </cell>
        </row>
        <row r="3253">
          <cell r="D3253" t="str">
            <v>Other Office Equipment</v>
          </cell>
          <cell r="F3253">
            <v>0</v>
          </cell>
        </row>
        <row r="3254">
          <cell r="D3254" t="str">
            <v>Other Office Equipment</v>
          </cell>
          <cell r="F3254">
            <v>0</v>
          </cell>
        </row>
        <row r="3255">
          <cell r="D3255" t="str">
            <v>Other Office Equipment</v>
          </cell>
          <cell r="F3255">
            <v>0</v>
          </cell>
        </row>
        <row r="3256">
          <cell r="D3256" t="str">
            <v>Other Office Equipment</v>
          </cell>
          <cell r="F3256">
            <v>0</v>
          </cell>
        </row>
        <row r="3257">
          <cell r="D3257" t="str">
            <v>Other Office Equipment</v>
          </cell>
          <cell r="F3257">
            <v>0</v>
          </cell>
        </row>
        <row r="3258">
          <cell r="D3258" t="str">
            <v>Other Office Equipment</v>
          </cell>
          <cell r="F3258">
            <v>0</v>
          </cell>
        </row>
        <row r="3259">
          <cell r="D3259" t="str">
            <v>Other Office Equipment</v>
          </cell>
          <cell r="F3259">
            <v>0</v>
          </cell>
        </row>
        <row r="3260">
          <cell r="D3260" t="str">
            <v>Other Office Equipment</v>
          </cell>
          <cell r="F3260">
            <v>0</v>
          </cell>
        </row>
        <row r="3261">
          <cell r="D3261" t="str">
            <v>Other Office Equipment</v>
          </cell>
          <cell r="F3261">
            <v>0</v>
          </cell>
        </row>
        <row r="3262">
          <cell r="D3262" t="str">
            <v>Other Office Equipment</v>
          </cell>
          <cell r="F3262">
            <v>0</v>
          </cell>
        </row>
        <row r="3263">
          <cell r="D3263" t="str">
            <v>Other Office Equipment</v>
          </cell>
          <cell r="F3263">
            <v>0</v>
          </cell>
        </row>
        <row r="3264">
          <cell r="D3264" t="str">
            <v>Other Office Equipment</v>
          </cell>
          <cell r="F3264">
            <v>0</v>
          </cell>
        </row>
        <row r="3265">
          <cell r="D3265" t="str">
            <v>Other Office Equipment</v>
          </cell>
          <cell r="F3265">
            <v>0</v>
          </cell>
        </row>
        <row r="3266">
          <cell r="D3266" t="str">
            <v>Other Office Equipment</v>
          </cell>
          <cell r="F3266">
            <v>0</v>
          </cell>
        </row>
        <row r="3267">
          <cell r="D3267" t="str">
            <v>Other Office Equipment</v>
          </cell>
          <cell r="F3267">
            <v>0</v>
          </cell>
        </row>
        <row r="3268">
          <cell r="D3268" t="str">
            <v>Other Office Equipment</v>
          </cell>
          <cell r="F3268">
            <v>0</v>
          </cell>
        </row>
        <row r="3269">
          <cell r="D3269" t="str">
            <v>Other Office Equipment</v>
          </cell>
          <cell r="F3269">
            <v>0</v>
          </cell>
        </row>
        <row r="3270">
          <cell r="D3270" t="str">
            <v>Other Office Equipment</v>
          </cell>
          <cell r="F3270">
            <v>0</v>
          </cell>
        </row>
        <row r="3271">
          <cell r="D3271" t="str">
            <v>Other Office Equipment</v>
          </cell>
          <cell r="F3271">
            <v>0</v>
          </cell>
        </row>
        <row r="3272">
          <cell r="D3272" t="str">
            <v>Other Office Equipment</v>
          </cell>
          <cell r="F3272">
            <v>0</v>
          </cell>
        </row>
        <row r="3273">
          <cell r="D3273" t="str">
            <v>Other Office Equipment</v>
          </cell>
          <cell r="F3273">
            <v>0</v>
          </cell>
        </row>
        <row r="3274">
          <cell r="D3274" t="str">
            <v>Other Office Equipment</v>
          </cell>
          <cell r="F3274">
            <v>0</v>
          </cell>
        </row>
        <row r="3275">
          <cell r="D3275" t="str">
            <v>Other Office Equipment</v>
          </cell>
          <cell r="F3275">
            <v>0</v>
          </cell>
        </row>
        <row r="3276">
          <cell r="D3276" t="str">
            <v>Other Office Equipment</v>
          </cell>
          <cell r="F3276">
            <v>0</v>
          </cell>
        </row>
        <row r="3277">
          <cell r="D3277" t="str">
            <v>Other Office Equipment</v>
          </cell>
          <cell r="F3277">
            <v>0</v>
          </cell>
        </row>
        <row r="3278">
          <cell r="D3278" t="str">
            <v>Other Office Equipment</v>
          </cell>
          <cell r="F3278">
            <v>0</v>
          </cell>
        </row>
        <row r="3279">
          <cell r="D3279" t="str">
            <v>Other Office Equipment</v>
          </cell>
          <cell r="F3279">
            <v>0</v>
          </cell>
        </row>
        <row r="3280">
          <cell r="D3280" t="str">
            <v>Other Office Equipment</v>
          </cell>
          <cell r="F3280">
            <v>0</v>
          </cell>
        </row>
        <row r="3281">
          <cell r="D3281" t="str">
            <v>Other Office Equipment</v>
          </cell>
          <cell r="F3281">
            <v>0</v>
          </cell>
        </row>
        <row r="3282">
          <cell r="D3282" t="str">
            <v>Other Office Equipment</v>
          </cell>
          <cell r="F3282">
            <v>0</v>
          </cell>
        </row>
        <row r="3283">
          <cell r="D3283" t="str">
            <v>Other Office Equipment</v>
          </cell>
          <cell r="F3283">
            <v>0</v>
          </cell>
        </row>
        <row r="3284">
          <cell r="D3284" t="str">
            <v>Other Office Equipment</v>
          </cell>
          <cell r="F3284">
            <v>0</v>
          </cell>
        </row>
        <row r="3285">
          <cell r="D3285" t="str">
            <v>Other Office Equipment</v>
          </cell>
          <cell r="F3285">
            <v>0</v>
          </cell>
        </row>
        <row r="3286">
          <cell r="D3286" t="str">
            <v>Other Office Equipment</v>
          </cell>
          <cell r="F3286">
            <v>0</v>
          </cell>
        </row>
        <row r="3287">
          <cell r="D3287" t="str">
            <v>Other Office Equipment</v>
          </cell>
          <cell r="F3287">
            <v>0</v>
          </cell>
        </row>
        <row r="3288">
          <cell r="D3288" t="str">
            <v>Other Office Equipment</v>
          </cell>
          <cell r="F3288">
            <v>0</v>
          </cell>
        </row>
        <row r="3289">
          <cell r="D3289" t="str">
            <v>Other Office Equipment</v>
          </cell>
          <cell r="F3289">
            <v>0</v>
          </cell>
        </row>
        <row r="3290">
          <cell r="D3290" t="str">
            <v>Other Office Equipment</v>
          </cell>
          <cell r="F3290">
            <v>0</v>
          </cell>
        </row>
        <row r="3291">
          <cell r="D3291" t="str">
            <v>Other Office Equipment</v>
          </cell>
          <cell r="F3291">
            <v>0</v>
          </cell>
        </row>
        <row r="3292">
          <cell r="D3292" t="str">
            <v>Other Office Equipment</v>
          </cell>
          <cell r="F3292">
            <v>0</v>
          </cell>
        </row>
        <row r="3293">
          <cell r="D3293" t="str">
            <v>Other Office Equipment</v>
          </cell>
          <cell r="F3293">
            <v>0</v>
          </cell>
        </row>
        <row r="3294">
          <cell r="D3294" t="str">
            <v>Other Office Equipment</v>
          </cell>
          <cell r="F3294">
            <v>0</v>
          </cell>
        </row>
        <row r="3295">
          <cell r="D3295" t="str">
            <v>Other Office Equipment</v>
          </cell>
          <cell r="F3295">
            <v>0</v>
          </cell>
        </row>
        <row r="3296">
          <cell r="D3296" t="str">
            <v>Other Office Equipment</v>
          </cell>
          <cell r="F3296">
            <v>0</v>
          </cell>
        </row>
        <row r="3297">
          <cell r="D3297" t="str">
            <v>Other Office Equipment</v>
          </cell>
          <cell r="F3297">
            <v>0</v>
          </cell>
        </row>
        <row r="3298">
          <cell r="D3298" t="str">
            <v>Other Office Equipment</v>
          </cell>
          <cell r="F3298">
            <v>0</v>
          </cell>
        </row>
        <row r="3299">
          <cell r="D3299" t="str">
            <v>Other Office Equipment</v>
          </cell>
          <cell r="F3299">
            <v>0</v>
          </cell>
        </row>
        <row r="3300">
          <cell r="D3300" t="str">
            <v>Other Office Equipment</v>
          </cell>
          <cell r="F3300">
            <v>0</v>
          </cell>
        </row>
        <row r="3301">
          <cell r="D3301" t="str">
            <v>Other Office Equipment</v>
          </cell>
          <cell r="F3301">
            <v>0</v>
          </cell>
        </row>
        <row r="3302">
          <cell r="D3302" t="str">
            <v>Other Office Equipment</v>
          </cell>
          <cell r="F3302">
            <v>0</v>
          </cell>
        </row>
        <row r="3303">
          <cell r="D3303" t="str">
            <v>Other Office Equipment</v>
          </cell>
          <cell r="F3303">
            <v>0</v>
          </cell>
        </row>
        <row r="3304">
          <cell r="D3304" t="str">
            <v>Other Office Equipment</v>
          </cell>
          <cell r="F3304">
            <v>0</v>
          </cell>
        </row>
        <row r="3305">
          <cell r="D3305" t="str">
            <v>Other Office Equipment</v>
          </cell>
          <cell r="F3305">
            <v>0</v>
          </cell>
        </row>
        <row r="3306">
          <cell r="D3306" t="str">
            <v>Other Office Equipment</v>
          </cell>
          <cell r="F3306">
            <v>0</v>
          </cell>
        </row>
        <row r="3307">
          <cell r="D3307" t="str">
            <v>Other Office Equipment</v>
          </cell>
          <cell r="F3307">
            <v>0</v>
          </cell>
        </row>
        <row r="3308">
          <cell r="D3308" t="str">
            <v>Other Office Equipment</v>
          </cell>
          <cell r="F3308">
            <v>0</v>
          </cell>
        </row>
        <row r="3309">
          <cell r="D3309" t="str">
            <v>Other Office Equipment</v>
          </cell>
          <cell r="F3309">
            <v>0</v>
          </cell>
        </row>
        <row r="3310">
          <cell r="D3310" t="str">
            <v>Other Office Equipment</v>
          </cell>
          <cell r="F3310">
            <v>0</v>
          </cell>
        </row>
        <row r="3311">
          <cell r="D3311" t="str">
            <v>Other Office Equipment</v>
          </cell>
          <cell r="F3311">
            <v>0</v>
          </cell>
        </row>
        <row r="3312">
          <cell r="D3312" t="str">
            <v>Other Office Equipment</v>
          </cell>
          <cell r="F3312">
            <v>0</v>
          </cell>
        </row>
        <row r="3313">
          <cell r="D3313" t="str">
            <v>Other Office Equipment</v>
          </cell>
          <cell r="F3313">
            <v>0</v>
          </cell>
        </row>
        <row r="3314">
          <cell r="D3314" t="str">
            <v>Other Office Equipment</v>
          </cell>
          <cell r="F3314">
            <v>0</v>
          </cell>
        </row>
        <row r="3315">
          <cell r="D3315" t="str">
            <v>Other Office Equipment</v>
          </cell>
          <cell r="F3315">
            <v>0</v>
          </cell>
        </row>
        <row r="3316">
          <cell r="D3316" t="str">
            <v>Other Office Equipment</v>
          </cell>
          <cell r="F3316">
            <v>0</v>
          </cell>
        </row>
        <row r="3317">
          <cell r="D3317" t="str">
            <v>Other Office Equipment</v>
          </cell>
          <cell r="F3317">
            <v>0</v>
          </cell>
        </row>
        <row r="3318">
          <cell r="D3318" t="str">
            <v>Other Office Equipment</v>
          </cell>
          <cell r="F3318">
            <v>0</v>
          </cell>
        </row>
        <row r="3319">
          <cell r="D3319" t="str">
            <v>Other Office Equipment</v>
          </cell>
          <cell r="F3319">
            <v>0</v>
          </cell>
        </row>
        <row r="3320">
          <cell r="D3320" t="str">
            <v>Other Office Equipment</v>
          </cell>
          <cell r="F3320">
            <v>0</v>
          </cell>
        </row>
        <row r="3321">
          <cell r="D3321" t="str">
            <v>Other Office Equipment</v>
          </cell>
          <cell r="F3321">
            <v>0</v>
          </cell>
        </row>
        <row r="3322">
          <cell r="D3322" t="str">
            <v>Other Office Equipment</v>
          </cell>
          <cell r="F3322">
            <v>0</v>
          </cell>
        </row>
        <row r="3323">
          <cell r="D3323" t="str">
            <v>Other Office Equipment</v>
          </cell>
          <cell r="F3323">
            <v>0</v>
          </cell>
        </row>
        <row r="3324">
          <cell r="D3324" t="str">
            <v>Other Office Equipment</v>
          </cell>
          <cell r="F3324">
            <v>0</v>
          </cell>
        </row>
        <row r="3325">
          <cell r="D3325" t="str">
            <v>Other Office Equipment</v>
          </cell>
          <cell r="F3325">
            <v>0</v>
          </cell>
        </row>
        <row r="3326">
          <cell r="D3326" t="str">
            <v>Other Office Equipment</v>
          </cell>
          <cell r="F3326">
            <v>0</v>
          </cell>
        </row>
        <row r="3327">
          <cell r="D3327" t="str">
            <v>Other Office Equipment</v>
          </cell>
          <cell r="F3327">
            <v>0</v>
          </cell>
        </row>
        <row r="3328">
          <cell r="D3328" t="str">
            <v>Other Office Equipment</v>
          </cell>
          <cell r="F3328">
            <v>0</v>
          </cell>
        </row>
        <row r="3329">
          <cell r="D3329" t="str">
            <v>Other Office Equipment</v>
          </cell>
          <cell r="F3329">
            <v>0</v>
          </cell>
        </row>
        <row r="3330">
          <cell r="D3330" t="str">
            <v>Other Office Equipment</v>
          </cell>
          <cell r="F3330">
            <v>0</v>
          </cell>
        </row>
        <row r="3331">
          <cell r="D3331" t="str">
            <v>Other Office Equipment</v>
          </cell>
          <cell r="F3331">
            <v>0</v>
          </cell>
        </row>
        <row r="3332">
          <cell r="D3332" t="str">
            <v>Other Office Equipment</v>
          </cell>
          <cell r="F3332">
            <v>0</v>
          </cell>
        </row>
        <row r="3333">
          <cell r="D3333" t="str">
            <v>Other Office Equipment</v>
          </cell>
          <cell r="F3333">
            <v>0</v>
          </cell>
        </row>
        <row r="3334">
          <cell r="D3334" t="str">
            <v>Other Office Equipment</v>
          </cell>
          <cell r="F3334">
            <v>0</v>
          </cell>
        </row>
        <row r="3335">
          <cell r="D3335" t="str">
            <v>Other Office Equipment</v>
          </cell>
          <cell r="F3335">
            <v>0</v>
          </cell>
        </row>
        <row r="3336">
          <cell r="D3336" t="str">
            <v>Other Office Equipment</v>
          </cell>
          <cell r="F3336">
            <v>0</v>
          </cell>
        </row>
        <row r="3337">
          <cell r="D3337" t="str">
            <v>Other Office Equipment</v>
          </cell>
          <cell r="F3337">
            <v>0</v>
          </cell>
        </row>
        <row r="3338">
          <cell r="D3338" t="str">
            <v>Other Office Equipment</v>
          </cell>
          <cell r="F3338">
            <v>0</v>
          </cell>
        </row>
        <row r="3339">
          <cell r="D3339" t="str">
            <v>Other Office Equipment</v>
          </cell>
          <cell r="F3339">
            <v>0</v>
          </cell>
        </row>
        <row r="3340">
          <cell r="D3340" t="str">
            <v>Other Office Equipment</v>
          </cell>
          <cell r="F3340">
            <v>0</v>
          </cell>
        </row>
        <row r="3341">
          <cell r="D3341" t="str">
            <v>Other Office Equipment</v>
          </cell>
          <cell r="F3341">
            <v>0</v>
          </cell>
        </row>
        <row r="3342">
          <cell r="D3342" t="str">
            <v>Other Office Equipment</v>
          </cell>
          <cell r="F3342">
            <v>0</v>
          </cell>
        </row>
        <row r="3343">
          <cell r="D3343" t="str">
            <v>Other Office Equipment</v>
          </cell>
          <cell r="F3343">
            <v>0</v>
          </cell>
        </row>
        <row r="3344">
          <cell r="D3344" t="str">
            <v>Other Office Equipment</v>
          </cell>
          <cell r="F3344">
            <v>0</v>
          </cell>
        </row>
        <row r="3345">
          <cell r="D3345" t="str">
            <v>Other Office Equipment</v>
          </cell>
          <cell r="F3345">
            <v>0</v>
          </cell>
        </row>
        <row r="3346">
          <cell r="D3346" t="str">
            <v>Other Office Equipment</v>
          </cell>
          <cell r="F3346">
            <v>0</v>
          </cell>
        </row>
        <row r="3347">
          <cell r="D3347" t="str">
            <v>Other Office Equipment</v>
          </cell>
          <cell r="F3347">
            <v>0</v>
          </cell>
        </row>
        <row r="3348">
          <cell r="D3348" t="str">
            <v>Other Office Equipment</v>
          </cell>
          <cell r="F3348">
            <v>0</v>
          </cell>
        </row>
        <row r="3349">
          <cell r="D3349" t="str">
            <v>Other Office Equipment</v>
          </cell>
          <cell r="F3349">
            <v>0</v>
          </cell>
        </row>
        <row r="3350">
          <cell r="D3350" t="str">
            <v>Other Office Equipment</v>
          </cell>
          <cell r="F3350">
            <v>0</v>
          </cell>
        </row>
        <row r="3351">
          <cell r="D3351" t="str">
            <v>Other Office Equipment</v>
          </cell>
          <cell r="F3351">
            <v>0</v>
          </cell>
        </row>
        <row r="3352">
          <cell r="D3352" t="str">
            <v>Other Office Equipment</v>
          </cell>
          <cell r="F3352">
            <v>0</v>
          </cell>
        </row>
        <row r="3353">
          <cell r="D3353" t="str">
            <v>Other Office Equipment</v>
          </cell>
          <cell r="F3353">
            <v>0</v>
          </cell>
        </row>
        <row r="3354">
          <cell r="D3354" t="str">
            <v>Other Office Equipment</v>
          </cell>
          <cell r="F3354">
            <v>0</v>
          </cell>
        </row>
        <row r="3355">
          <cell r="D3355" t="str">
            <v>Other Office Equipment</v>
          </cell>
          <cell r="F3355">
            <v>0</v>
          </cell>
        </row>
        <row r="3356">
          <cell r="D3356" t="str">
            <v>Other Office Equipment</v>
          </cell>
          <cell r="F3356">
            <v>0</v>
          </cell>
        </row>
        <row r="3357">
          <cell r="D3357" t="str">
            <v>Other Office Equipment</v>
          </cell>
          <cell r="F3357">
            <v>0</v>
          </cell>
        </row>
        <row r="3358">
          <cell r="D3358" t="str">
            <v>Other Office Equipment</v>
          </cell>
          <cell r="F3358">
            <v>0</v>
          </cell>
        </row>
        <row r="3359">
          <cell r="D3359" t="str">
            <v>Other Office Equipment</v>
          </cell>
          <cell r="F3359">
            <v>0</v>
          </cell>
        </row>
        <row r="3360">
          <cell r="D3360" t="str">
            <v>Other Office Equipment</v>
          </cell>
          <cell r="F3360">
            <v>0</v>
          </cell>
        </row>
        <row r="3361">
          <cell r="D3361" t="str">
            <v>Other Office Equipment</v>
          </cell>
          <cell r="F3361">
            <v>0</v>
          </cell>
        </row>
        <row r="3362">
          <cell r="D3362" t="str">
            <v>Other Office Equipment</v>
          </cell>
          <cell r="F3362">
            <v>0</v>
          </cell>
        </row>
        <row r="3363">
          <cell r="D3363" t="str">
            <v>Other Office Equipment</v>
          </cell>
          <cell r="F3363">
            <v>0</v>
          </cell>
        </row>
        <row r="3364">
          <cell r="D3364" t="str">
            <v>Other Office Equipment</v>
          </cell>
          <cell r="F3364">
            <v>0</v>
          </cell>
        </row>
        <row r="3365">
          <cell r="D3365" t="str">
            <v>Other Office Equipment</v>
          </cell>
          <cell r="F3365">
            <v>0</v>
          </cell>
        </row>
        <row r="3366">
          <cell r="D3366" t="str">
            <v>Other Office Equipment</v>
          </cell>
          <cell r="F3366">
            <v>0</v>
          </cell>
        </row>
        <row r="3367">
          <cell r="D3367" t="str">
            <v>Other Office Equipment</v>
          </cell>
          <cell r="F3367">
            <v>0</v>
          </cell>
        </row>
        <row r="3368">
          <cell r="D3368" t="str">
            <v>Other Office Equipment</v>
          </cell>
          <cell r="F3368">
            <v>0</v>
          </cell>
        </row>
        <row r="3369">
          <cell r="D3369" t="str">
            <v>Other Office Equipment</v>
          </cell>
          <cell r="F3369">
            <v>0</v>
          </cell>
        </row>
        <row r="3370">
          <cell r="D3370" t="str">
            <v>Other Office Equipment</v>
          </cell>
          <cell r="F3370">
            <v>0</v>
          </cell>
        </row>
        <row r="3371">
          <cell r="D3371" t="str">
            <v>Other Office Equipment</v>
          </cell>
          <cell r="F3371">
            <v>0</v>
          </cell>
        </row>
        <row r="3372">
          <cell r="D3372" t="str">
            <v>Other Office Equipment</v>
          </cell>
          <cell r="F3372">
            <v>0</v>
          </cell>
        </row>
        <row r="3373">
          <cell r="D3373" t="str">
            <v>Other Office Equipment</v>
          </cell>
          <cell r="F3373">
            <v>0</v>
          </cell>
        </row>
        <row r="3374">
          <cell r="D3374" t="str">
            <v>Other Office Equipment</v>
          </cell>
          <cell r="F3374">
            <v>0</v>
          </cell>
        </row>
        <row r="3375">
          <cell r="D3375" t="str">
            <v>Other Office Equipment</v>
          </cell>
          <cell r="F3375">
            <v>0</v>
          </cell>
        </row>
        <row r="3376">
          <cell r="D3376" t="str">
            <v>Other Office Equipment</v>
          </cell>
          <cell r="F3376">
            <v>0</v>
          </cell>
        </row>
        <row r="3377">
          <cell r="D3377" t="str">
            <v>Other Office Equipment</v>
          </cell>
          <cell r="F3377">
            <v>0</v>
          </cell>
        </row>
        <row r="3378">
          <cell r="D3378" t="str">
            <v>Other Office Equipment</v>
          </cell>
          <cell r="F3378">
            <v>0</v>
          </cell>
        </row>
        <row r="3379">
          <cell r="D3379" t="str">
            <v>Other Office Equipment</v>
          </cell>
          <cell r="F3379">
            <v>0</v>
          </cell>
        </row>
        <row r="3380">
          <cell r="D3380" t="str">
            <v>Other Office Equipment</v>
          </cell>
          <cell r="F3380">
            <v>0</v>
          </cell>
        </row>
        <row r="3381">
          <cell r="D3381" t="str">
            <v>Other Office Equipment</v>
          </cell>
          <cell r="F3381">
            <v>0</v>
          </cell>
        </row>
        <row r="3382">
          <cell r="D3382" t="str">
            <v>Other Office Equipment</v>
          </cell>
          <cell r="F3382">
            <v>0</v>
          </cell>
        </row>
        <row r="3383">
          <cell r="D3383" t="str">
            <v>Other Office Equipment</v>
          </cell>
          <cell r="F3383">
            <v>0</v>
          </cell>
        </row>
        <row r="3384">
          <cell r="D3384" t="str">
            <v>Other Office Equipment</v>
          </cell>
          <cell r="F3384">
            <v>0</v>
          </cell>
        </row>
        <row r="3385">
          <cell r="D3385" t="str">
            <v>Other Office Equipment</v>
          </cell>
          <cell r="F3385">
            <v>0</v>
          </cell>
        </row>
        <row r="3386">
          <cell r="D3386" t="str">
            <v>Other Office Equipment</v>
          </cell>
          <cell r="F3386">
            <v>0</v>
          </cell>
        </row>
        <row r="3387">
          <cell r="D3387" t="str">
            <v>Other Office Equipment</v>
          </cell>
          <cell r="F3387">
            <v>0</v>
          </cell>
        </row>
        <row r="3388">
          <cell r="D3388" t="str">
            <v>Other Office Equipment</v>
          </cell>
          <cell r="F3388">
            <v>0</v>
          </cell>
        </row>
        <row r="3389">
          <cell r="D3389" t="str">
            <v>Other Office Equipment</v>
          </cell>
          <cell r="F3389">
            <v>0</v>
          </cell>
        </row>
        <row r="3390">
          <cell r="D3390" t="str">
            <v>Other Office Equipment</v>
          </cell>
          <cell r="F3390">
            <v>0</v>
          </cell>
        </row>
        <row r="3391">
          <cell r="D3391" t="str">
            <v>Other Office Equipment</v>
          </cell>
          <cell r="F3391">
            <v>0</v>
          </cell>
        </row>
        <row r="3392">
          <cell r="D3392" t="str">
            <v>Other Office Equipment</v>
          </cell>
          <cell r="F3392">
            <v>0</v>
          </cell>
        </row>
        <row r="3393">
          <cell r="D3393" t="str">
            <v>Other Office Equipment</v>
          </cell>
          <cell r="F3393">
            <v>0</v>
          </cell>
        </row>
        <row r="3394">
          <cell r="D3394" t="str">
            <v>Other Office Equipment</v>
          </cell>
          <cell r="F3394">
            <v>0</v>
          </cell>
        </row>
        <row r="3395">
          <cell r="D3395" t="str">
            <v>Other Office Equipment</v>
          </cell>
          <cell r="F3395">
            <v>0</v>
          </cell>
        </row>
        <row r="3396">
          <cell r="D3396" t="str">
            <v>Other Office Equipment</v>
          </cell>
          <cell r="F3396">
            <v>0</v>
          </cell>
        </row>
        <row r="3397">
          <cell r="D3397" t="str">
            <v>Other Office Equipment</v>
          </cell>
          <cell r="F3397">
            <v>0</v>
          </cell>
        </row>
        <row r="3398">
          <cell r="D3398" t="str">
            <v>Other Office Equipment</v>
          </cell>
          <cell r="F3398">
            <v>0</v>
          </cell>
        </row>
        <row r="3399">
          <cell r="D3399" t="str">
            <v>Other Office Equipment</v>
          </cell>
          <cell r="F3399">
            <v>0</v>
          </cell>
        </row>
        <row r="3400">
          <cell r="D3400" t="str">
            <v>Other Office Equipment</v>
          </cell>
          <cell r="F3400">
            <v>0</v>
          </cell>
        </row>
        <row r="3401">
          <cell r="D3401" t="str">
            <v>Other Office Equipment</v>
          </cell>
          <cell r="F3401">
            <v>0</v>
          </cell>
        </row>
        <row r="3402">
          <cell r="D3402" t="str">
            <v>Other Office Equipment</v>
          </cell>
          <cell r="F3402">
            <v>0</v>
          </cell>
        </row>
        <row r="3403">
          <cell r="D3403" t="str">
            <v>Other Office Equipment</v>
          </cell>
          <cell r="F3403">
            <v>0</v>
          </cell>
        </row>
        <row r="3404">
          <cell r="D3404" t="str">
            <v>Other Office Equipment</v>
          </cell>
          <cell r="F3404">
            <v>0</v>
          </cell>
        </row>
        <row r="3405">
          <cell r="D3405" t="str">
            <v>Other Office Equipment</v>
          </cell>
          <cell r="F3405">
            <v>0</v>
          </cell>
        </row>
        <row r="3406">
          <cell r="D3406" t="str">
            <v>Other Office Equipment</v>
          </cell>
          <cell r="F3406">
            <v>0</v>
          </cell>
        </row>
        <row r="3407">
          <cell r="D3407" t="str">
            <v>Other Office Equipment</v>
          </cell>
          <cell r="F3407">
            <v>0</v>
          </cell>
        </row>
        <row r="3408">
          <cell r="D3408" t="str">
            <v>Other Office Equipment</v>
          </cell>
          <cell r="F3408">
            <v>0</v>
          </cell>
        </row>
        <row r="3409">
          <cell r="D3409" t="str">
            <v>Other Office Equipment</v>
          </cell>
          <cell r="F3409">
            <v>0</v>
          </cell>
        </row>
        <row r="3410">
          <cell r="D3410" t="str">
            <v>Other Office Equipment</v>
          </cell>
          <cell r="F3410">
            <v>0</v>
          </cell>
        </row>
        <row r="3411">
          <cell r="D3411" t="str">
            <v>Other Office Equipment</v>
          </cell>
          <cell r="F3411">
            <v>0</v>
          </cell>
        </row>
        <row r="3412">
          <cell r="D3412" t="str">
            <v>Other Office Equipment</v>
          </cell>
          <cell r="F3412">
            <v>0</v>
          </cell>
        </row>
        <row r="3413">
          <cell r="D3413" t="str">
            <v>Other Office Equipment</v>
          </cell>
          <cell r="F3413">
            <v>0</v>
          </cell>
        </row>
        <row r="3414">
          <cell r="D3414" t="str">
            <v>Other Office Equipment</v>
          </cell>
          <cell r="F3414">
            <v>0</v>
          </cell>
        </row>
        <row r="3415">
          <cell r="D3415" t="str">
            <v>Other Office Equipment</v>
          </cell>
          <cell r="F3415">
            <v>0</v>
          </cell>
        </row>
        <row r="3416">
          <cell r="D3416" t="str">
            <v>Other Office Equipment</v>
          </cell>
          <cell r="F3416">
            <v>0</v>
          </cell>
        </row>
        <row r="3417">
          <cell r="D3417" t="str">
            <v>Other Office Equipment</v>
          </cell>
          <cell r="F3417">
            <v>0</v>
          </cell>
        </row>
        <row r="3418">
          <cell r="D3418" t="str">
            <v>Other Office Equipment</v>
          </cell>
          <cell r="F3418">
            <v>0</v>
          </cell>
        </row>
        <row r="3419">
          <cell r="D3419" t="str">
            <v>Other Office Equipment</v>
          </cell>
          <cell r="F3419">
            <v>0</v>
          </cell>
        </row>
        <row r="3420">
          <cell r="D3420" t="str">
            <v>Other Office Equipment</v>
          </cell>
          <cell r="F3420">
            <v>0</v>
          </cell>
        </row>
        <row r="3421">
          <cell r="D3421" t="str">
            <v>Other Office Equipment</v>
          </cell>
          <cell r="F3421">
            <v>0</v>
          </cell>
        </row>
        <row r="3422">
          <cell r="D3422" t="str">
            <v>Other Office Equipment</v>
          </cell>
          <cell r="F3422">
            <v>0</v>
          </cell>
        </row>
        <row r="3423">
          <cell r="D3423" t="str">
            <v>Other Office Equipment</v>
          </cell>
          <cell r="F3423">
            <v>0</v>
          </cell>
        </row>
        <row r="3424">
          <cell r="D3424" t="str">
            <v>Other Office Equipment</v>
          </cell>
          <cell r="F3424">
            <v>0</v>
          </cell>
        </row>
        <row r="3425">
          <cell r="D3425" t="str">
            <v>Other Office Equipment</v>
          </cell>
          <cell r="F3425">
            <v>0</v>
          </cell>
        </row>
        <row r="3426">
          <cell r="D3426" t="str">
            <v>Other Office Equipment</v>
          </cell>
          <cell r="F3426">
            <v>0</v>
          </cell>
        </row>
        <row r="3427">
          <cell r="D3427" t="str">
            <v>Other Office Equipment</v>
          </cell>
          <cell r="F3427">
            <v>0</v>
          </cell>
        </row>
        <row r="3428">
          <cell r="D3428" t="str">
            <v>Other Office Equipment</v>
          </cell>
          <cell r="F3428">
            <v>0</v>
          </cell>
        </row>
        <row r="3429">
          <cell r="D3429" t="str">
            <v>Other Office Equipment</v>
          </cell>
          <cell r="F3429">
            <v>0</v>
          </cell>
        </row>
        <row r="3430">
          <cell r="D3430" t="str">
            <v>Other Office Equipment</v>
          </cell>
          <cell r="F3430">
            <v>0</v>
          </cell>
        </row>
        <row r="3431">
          <cell r="D3431" t="str">
            <v>Other Office Equipment</v>
          </cell>
          <cell r="F3431">
            <v>0</v>
          </cell>
        </row>
        <row r="3432">
          <cell r="D3432" t="str">
            <v>Other Office Equipment</v>
          </cell>
          <cell r="F3432">
            <v>0</v>
          </cell>
        </row>
        <row r="3433">
          <cell r="D3433" t="str">
            <v>Other Office Equipment</v>
          </cell>
          <cell r="F3433">
            <v>0</v>
          </cell>
        </row>
        <row r="3434">
          <cell r="D3434" t="str">
            <v>Other Office Equipment</v>
          </cell>
          <cell r="F3434">
            <v>0</v>
          </cell>
        </row>
        <row r="3435">
          <cell r="D3435" t="str">
            <v>Other Office Equipment</v>
          </cell>
          <cell r="F3435">
            <v>0</v>
          </cell>
        </row>
        <row r="3436">
          <cell r="D3436" t="str">
            <v>Other Office Equipment</v>
          </cell>
          <cell r="F3436">
            <v>0</v>
          </cell>
        </row>
        <row r="3437">
          <cell r="D3437" t="str">
            <v>Other Office Equipment</v>
          </cell>
          <cell r="F3437">
            <v>0</v>
          </cell>
        </row>
        <row r="3438">
          <cell r="D3438" t="str">
            <v>Other Office Equipment</v>
          </cell>
          <cell r="F3438">
            <v>0</v>
          </cell>
        </row>
        <row r="3439">
          <cell r="D3439" t="str">
            <v>Other Office Equipment</v>
          </cell>
          <cell r="F3439">
            <v>0</v>
          </cell>
        </row>
        <row r="3440">
          <cell r="D3440" t="str">
            <v>Other Office Equipment</v>
          </cell>
          <cell r="F3440">
            <v>0</v>
          </cell>
        </row>
        <row r="3441">
          <cell r="D3441" t="str">
            <v>Other Office Equipment</v>
          </cell>
          <cell r="F3441">
            <v>0</v>
          </cell>
        </row>
        <row r="3442">
          <cell r="D3442" t="str">
            <v>Other Office Equipment</v>
          </cell>
          <cell r="F3442">
            <v>0</v>
          </cell>
        </row>
        <row r="3443">
          <cell r="D3443" t="str">
            <v>Other Office Equipment</v>
          </cell>
          <cell r="F3443">
            <v>0</v>
          </cell>
        </row>
        <row r="3444">
          <cell r="D3444" t="str">
            <v>Other Office Equipment</v>
          </cell>
          <cell r="F3444">
            <v>0</v>
          </cell>
        </row>
        <row r="3445">
          <cell r="D3445" t="str">
            <v>Other Office Equipment</v>
          </cell>
          <cell r="F3445">
            <v>0</v>
          </cell>
        </row>
        <row r="3446">
          <cell r="D3446" t="str">
            <v>Other Office Equipment</v>
          </cell>
          <cell r="F3446">
            <v>0</v>
          </cell>
        </row>
        <row r="3447">
          <cell r="D3447" t="str">
            <v>Other Office Equipment</v>
          </cell>
          <cell r="F3447">
            <v>0</v>
          </cell>
        </row>
        <row r="3448">
          <cell r="D3448" t="str">
            <v>Other Office Equipment</v>
          </cell>
          <cell r="F3448">
            <v>0</v>
          </cell>
        </row>
        <row r="3449">
          <cell r="D3449" t="str">
            <v>Other Office Equipment</v>
          </cell>
          <cell r="F3449">
            <v>0</v>
          </cell>
        </row>
        <row r="3450">
          <cell r="D3450" t="str">
            <v>Other Office Equipment</v>
          </cell>
          <cell r="F3450">
            <v>0</v>
          </cell>
        </row>
        <row r="3451">
          <cell r="D3451" t="str">
            <v>Other Office Equipment</v>
          </cell>
          <cell r="F3451">
            <v>0</v>
          </cell>
        </row>
        <row r="3452">
          <cell r="D3452" t="str">
            <v>Other Office Equipment</v>
          </cell>
          <cell r="F3452">
            <v>0</v>
          </cell>
        </row>
        <row r="3453">
          <cell r="D3453" t="str">
            <v>Other Office Equipment</v>
          </cell>
          <cell r="F3453">
            <v>0</v>
          </cell>
        </row>
        <row r="3454">
          <cell r="D3454" t="str">
            <v>Other Office Equipment</v>
          </cell>
          <cell r="F3454">
            <v>0</v>
          </cell>
        </row>
        <row r="3455">
          <cell r="D3455" t="str">
            <v>Other Office Equipment</v>
          </cell>
          <cell r="F3455">
            <v>0</v>
          </cell>
        </row>
        <row r="3456">
          <cell r="D3456" t="str">
            <v>Other Office Equipment</v>
          </cell>
          <cell r="F3456">
            <v>0</v>
          </cell>
        </row>
        <row r="3457">
          <cell r="D3457" t="str">
            <v>Other Office Equipment</v>
          </cell>
          <cell r="F3457">
            <v>0</v>
          </cell>
        </row>
        <row r="3458">
          <cell r="D3458" t="str">
            <v>Other Office Equipment</v>
          </cell>
          <cell r="F3458">
            <v>0</v>
          </cell>
        </row>
        <row r="3459">
          <cell r="D3459" t="str">
            <v>Other Office Equipment</v>
          </cell>
          <cell r="F3459">
            <v>0</v>
          </cell>
        </row>
        <row r="3460">
          <cell r="D3460" t="str">
            <v>Other Office Equipment</v>
          </cell>
          <cell r="F3460">
            <v>0</v>
          </cell>
        </row>
        <row r="3461">
          <cell r="D3461" t="str">
            <v>Other Office Equipment</v>
          </cell>
          <cell r="F3461">
            <v>0</v>
          </cell>
        </row>
        <row r="3462">
          <cell r="D3462" t="str">
            <v>Other Office Equipment</v>
          </cell>
          <cell r="F3462">
            <v>0</v>
          </cell>
        </row>
        <row r="3463">
          <cell r="D3463" t="str">
            <v>Other Office Equipment</v>
          </cell>
          <cell r="F3463">
            <v>0</v>
          </cell>
        </row>
        <row r="3464">
          <cell r="D3464" t="str">
            <v>Other Office Equipment</v>
          </cell>
          <cell r="F3464">
            <v>0</v>
          </cell>
        </row>
        <row r="3465">
          <cell r="D3465" t="str">
            <v>Other Office Equipment</v>
          </cell>
          <cell r="F3465">
            <v>0</v>
          </cell>
        </row>
        <row r="3466">
          <cell r="D3466" t="str">
            <v>Other Office Equipment</v>
          </cell>
          <cell r="F3466">
            <v>0</v>
          </cell>
        </row>
        <row r="3467">
          <cell r="D3467" t="str">
            <v>Other Office Equipment</v>
          </cell>
          <cell r="F3467">
            <v>0</v>
          </cell>
        </row>
        <row r="3468">
          <cell r="D3468" t="str">
            <v>Other Office Equipment</v>
          </cell>
          <cell r="F3468">
            <v>0</v>
          </cell>
        </row>
        <row r="3469">
          <cell r="D3469" t="str">
            <v>Other Office Equipment</v>
          </cell>
          <cell r="F3469">
            <v>0</v>
          </cell>
        </row>
        <row r="3470">
          <cell r="D3470" t="str">
            <v>Other Office Equipment</v>
          </cell>
          <cell r="F3470">
            <v>0</v>
          </cell>
        </row>
        <row r="3471">
          <cell r="D3471" t="str">
            <v>Other Office Equipment</v>
          </cell>
          <cell r="F3471">
            <v>0</v>
          </cell>
        </row>
        <row r="3472">
          <cell r="D3472" t="str">
            <v>Other Office Equipment</v>
          </cell>
          <cell r="F3472">
            <v>0</v>
          </cell>
        </row>
        <row r="3473">
          <cell r="D3473" t="str">
            <v>Other Office Equipment</v>
          </cell>
          <cell r="F3473">
            <v>0</v>
          </cell>
        </row>
        <row r="3474">
          <cell r="D3474" t="str">
            <v>Other Office Equipment</v>
          </cell>
          <cell r="F3474">
            <v>0</v>
          </cell>
        </row>
        <row r="3475">
          <cell r="D3475" t="str">
            <v>Other Office Equipment</v>
          </cell>
          <cell r="F3475">
            <v>0</v>
          </cell>
        </row>
        <row r="3476">
          <cell r="D3476" t="str">
            <v>Other Office Equipment</v>
          </cell>
          <cell r="F3476">
            <v>0</v>
          </cell>
        </row>
        <row r="3477">
          <cell r="D3477" t="str">
            <v>Other Office Equipment</v>
          </cell>
          <cell r="F3477">
            <v>0</v>
          </cell>
        </row>
        <row r="3478">
          <cell r="D3478" t="str">
            <v>Other Office Equipment</v>
          </cell>
          <cell r="F3478">
            <v>0</v>
          </cell>
        </row>
        <row r="3479">
          <cell r="D3479" t="str">
            <v>Other Office Equipment</v>
          </cell>
          <cell r="F3479">
            <v>0</v>
          </cell>
        </row>
        <row r="3480">
          <cell r="D3480" t="str">
            <v>Other Office Equipment</v>
          </cell>
          <cell r="F3480">
            <v>0</v>
          </cell>
        </row>
        <row r="3481">
          <cell r="D3481" t="str">
            <v>Other Office Equipment</v>
          </cell>
          <cell r="F3481">
            <v>0</v>
          </cell>
        </row>
        <row r="3482">
          <cell r="D3482" t="str">
            <v>Other Office Equipment</v>
          </cell>
          <cell r="F3482">
            <v>0</v>
          </cell>
        </row>
        <row r="3483">
          <cell r="D3483" t="str">
            <v>Other Office Equipment</v>
          </cell>
          <cell r="F3483">
            <v>0</v>
          </cell>
        </row>
        <row r="3484">
          <cell r="D3484" t="str">
            <v>Other Office Equipment</v>
          </cell>
          <cell r="F3484">
            <v>0</v>
          </cell>
        </row>
        <row r="3485">
          <cell r="D3485" t="str">
            <v>Other Office Equipment</v>
          </cell>
          <cell r="F3485">
            <v>0</v>
          </cell>
        </row>
        <row r="3486">
          <cell r="D3486" t="str">
            <v>Other Office Equipment</v>
          </cell>
          <cell r="F3486">
            <v>0</v>
          </cell>
        </row>
        <row r="3487">
          <cell r="D3487" t="str">
            <v>Other Office Equipment</v>
          </cell>
          <cell r="F3487">
            <v>0</v>
          </cell>
        </row>
        <row r="3488">
          <cell r="D3488" t="str">
            <v>Other Office Equipment</v>
          </cell>
          <cell r="F3488">
            <v>0</v>
          </cell>
        </row>
        <row r="3489">
          <cell r="D3489" t="str">
            <v>Other Office Equipment</v>
          </cell>
          <cell r="F3489">
            <v>0</v>
          </cell>
        </row>
        <row r="3490">
          <cell r="D3490" t="str">
            <v>Other Office Equipment</v>
          </cell>
          <cell r="F3490">
            <v>0</v>
          </cell>
        </row>
        <row r="3491">
          <cell r="D3491" t="str">
            <v>Other Office Equipment</v>
          </cell>
          <cell r="F3491">
            <v>0</v>
          </cell>
        </row>
        <row r="3492">
          <cell r="D3492" t="str">
            <v>Other Office Equipment</v>
          </cell>
          <cell r="F3492">
            <v>0</v>
          </cell>
        </row>
        <row r="3493">
          <cell r="D3493" t="str">
            <v>Other Office Equipment</v>
          </cell>
          <cell r="F3493">
            <v>0</v>
          </cell>
        </row>
        <row r="3494">
          <cell r="D3494" t="str">
            <v>Other Office Equipment</v>
          </cell>
          <cell r="F3494">
            <v>0</v>
          </cell>
        </row>
        <row r="3495">
          <cell r="D3495" t="str">
            <v>Other Office Equipment</v>
          </cell>
          <cell r="F3495">
            <v>0</v>
          </cell>
        </row>
        <row r="3496">
          <cell r="D3496" t="str">
            <v>Other Office Equipment</v>
          </cell>
          <cell r="F3496">
            <v>0</v>
          </cell>
        </row>
        <row r="3497">
          <cell r="D3497" t="str">
            <v>Other Office Equipment</v>
          </cell>
          <cell r="F3497">
            <v>0</v>
          </cell>
        </row>
        <row r="3498">
          <cell r="D3498" t="str">
            <v>Other Office Equipment</v>
          </cell>
          <cell r="F3498">
            <v>0</v>
          </cell>
        </row>
        <row r="3499">
          <cell r="D3499" t="str">
            <v>Other Office Equipment</v>
          </cell>
          <cell r="F3499">
            <v>0</v>
          </cell>
        </row>
        <row r="3500">
          <cell r="D3500" t="str">
            <v>Other Office Equipment</v>
          </cell>
          <cell r="F3500">
            <v>0</v>
          </cell>
        </row>
        <row r="3501">
          <cell r="D3501" t="str">
            <v>Other Office Equipment</v>
          </cell>
          <cell r="F3501">
            <v>0</v>
          </cell>
        </row>
        <row r="3502">
          <cell r="D3502" t="str">
            <v>Other Office Equipment</v>
          </cell>
          <cell r="F3502">
            <v>0</v>
          </cell>
        </row>
        <row r="3503">
          <cell r="D3503" t="str">
            <v>Other Office Equipment</v>
          </cell>
          <cell r="F3503">
            <v>0</v>
          </cell>
        </row>
        <row r="3504">
          <cell r="D3504" t="str">
            <v>Other Office Equipment</v>
          </cell>
          <cell r="F3504">
            <v>0</v>
          </cell>
        </row>
        <row r="3505">
          <cell r="D3505" t="str">
            <v>Other Office Equipment</v>
          </cell>
          <cell r="F3505">
            <v>0</v>
          </cell>
        </row>
        <row r="3506">
          <cell r="D3506" t="str">
            <v>Other Office Equipment</v>
          </cell>
          <cell r="F3506">
            <v>0</v>
          </cell>
        </row>
        <row r="3507">
          <cell r="D3507" t="str">
            <v>Other Office Equipment</v>
          </cell>
          <cell r="F3507">
            <v>0</v>
          </cell>
        </row>
        <row r="3508">
          <cell r="D3508" t="str">
            <v>Other Office Equipment</v>
          </cell>
          <cell r="F3508">
            <v>0</v>
          </cell>
        </row>
        <row r="3509">
          <cell r="D3509" t="str">
            <v>Other Office Equipment</v>
          </cell>
          <cell r="F3509">
            <v>0</v>
          </cell>
        </row>
        <row r="3510">
          <cell r="D3510" t="str">
            <v>Other Office Equipment</v>
          </cell>
          <cell r="F3510">
            <v>0</v>
          </cell>
        </row>
        <row r="3511">
          <cell r="D3511" t="str">
            <v>Other Office Equipment</v>
          </cell>
          <cell r="F3511">
            <v>0</v>
          </cell>
        </row>
        <row r="3512">
          <cell r="D3512" t="str">
            <v>Other Office Equipment</v>
          </cell>
          <cell r="F3512">
            <v>0</v>
          </cell>
        </row>
        <row r="3513">
          <cell r="D3513" t="str">
            <v>Other Office Equipment</v>
          </cell>
          <cell r="F3513">
            <v>0</v>
          </cell>
        </row>
        <row r="3514">
          <cell r="D3514" t="str">
            <v>Other Office Equipment</v>
          </cell>
          <cell r="F3514">
            <v>0</v>
          </cell>
        </row>
        <row r="3515">
          <cell r="D3515" t="str">
            <v>Other Office Equipment</v>
          </cell>
          <cell r="F3515">
            <v>0</v>
          </cell>
        </row>
        <row r="3516">
          <cell r="D3516" t="str">
            <v>Other Office Equipment</v>
          </cell>
          <cell r="F3516">
            <v>0</v>
          </cell>
        </row>
        <row r="3517">
          <cell r="D3517" t="str">
            <v>Other Office Equipment</v>
          </cell>
          <cell r="F3517">
            <v>0</v>
          </cell>
        </row>
        <row r="3518">
          <cell r="D3518" t="str">
            <v>Other Office Equipment</v>
          </cell>
          <cell r="F3518">
            <v>0</v>
          </cell>
        </row>
        <row r="3519">
          <cell r="D3519" t="str">
            <v>Other Office Equipment</v>
          </cell>
          <cell r="F3519">
            <v>0</v>
          </cell>
        </row>
        <row r="3520">
          <cell r="D3520" t="str">
            <v>Other Office Equipment</v>
          </cell>
          <cell r="F3520">
            <v>0</v>
          </cell>
        </row>
        <row r="3521">
          <cell r="D3521" t="str">
            <v>Other Office Equipment</v>
          </cell>
          <cell r="F3521">
            <v>0</v>
          </cell>
        </row>
        <row r="3522">
          <cell r="D3522" t="str">
            <v>Other Office Equipment</v>
          </cell>
          <cell r="F3522">
            <v>0</v>
          </cell>
        </row>
        <row r="3523">
          <cell r="D3523" t="str">
            <v>Other Office Equipment</v>
          </cell>
          <cell r="F3523">
            <v>0</v>
          </cell>
        </row>
        <row r="3524">
          <cell r="D3524" t="str">
            <v>Other Office Equipment</v>
          </cell>
          <cell r="F3524">
            <v>0</v>
          </cell>
        </row>
        <row r="3525">
          <cell r="D3525" t="str">
            <v>Other Office Equipment</v>
          </cell>
          <cell r="F3525">
            <v>0</v>
          </cell>
        </row>
        <row r="3526">
          <cell r="D3526" t="str">
            <v>Other Office Equipment</v>
          </cell>
          <cell r="F3526">
            <v>0</v>
          </cell>
        </row>
        <row r="3527">
          <cell r="D3527" t="str">
            <v>Other Office Equipment</v>
          </cell>
          <cell r="F3527">
            <v>0</v>
          </cell>
        </row>
        <row r="3528">
          <cell r="D3528" t="str">
            <v>Other Office Equipment</v>
          </cell>
          <cell r="F3528">
            <v>0</v>
          </cell>
        </row>
        <row r="3529">
          <cell r="D3529" t="str">
            <v>Other Office Equipment</v>
          </cell>
          <cell r="F3529">
            <v>0</v>
          </cell>
        </row>
        <row r="3530">
          <cell r="D3530" t="str">
            <v>Other Office Equipment</v>
          </cell>
          <cell r="F3530">
            <v>0</v>
          </cell>
        </row>
        <row r="3531">
          <cell r="D3531" t="str">
            <v>Other Office Equipment</v>
          </cell>
          <cell r="F3531">
            <v>0</v>
          </cell>
        </row>
        <row r="3532">
          <cell r="D3532" t="str">
            <v>Other Office Equipment</v>
          </cell>
          <cell r="F3532">
            <v>0</v>
          </cell>
        </row>
        <row r="3533">
          <cell r="D3533" t="str">
            <v>Other Office Equipment</v>
          </cell>
          <cell r="F3533">
            <v>0</v>
          </cell>
        </row>
        <row r="3534">
          <cell r="D3534" t="str">
            <v>Other Office Equipment</v>
          </cell>
          <cell r="F3534">
            <v>0</v>
          </cell>
        </row>
        <row r="3535">
          <cell r="D3535" t="str">
            <v>Other Office Equipment</v>
          </cell>
          <cell r="F3535">
            <v>0</v>
          </cell>
        </row>
        <row r="3536">
          <cell r="D3536" t="str">
            <v>Other Office Equipment</v>
          </cell>
          <cell r="F3536">
            <v>0</v>
          </cell>
        </row>
        <row r="3537">
          <cell r="D3537" t="str">
            <v>Other Office Equipment</v>
          </cell>
          <cell r="F3537">
            <v>0</v>
          </cell>
        </row>
        <row r="3538">
          <cell r="D3538" t="str">
            <v>Other Office Equipment</v>
          </cell>
          <cell r="F3538">
            <v>0</v>
          </cell>
        </row>
        <row r="3539">
          <cell r="D3539" t="str">
            <v>Other Office Equipment</v>
          </cell>
          <cell r="F3539">
            <v>0</v>
          </cell>
        </row>
        <row r="3540">
          <cell r="D3540" t="str">
            <v>Other Office Equipment</v>
          </cell>
          <cell r="F3540">
            <v>0</v>
          </cell>
        </row>
        <row r="3541">
          <cell r="D3541" t="str">
            <v>Other Office Equipment</v>
          </cell>
          <cell r="F3541">
            <v>0</v>
          </cell>
        </row>
        <row r="3542">
          <cell r="D3542" t="str">
            <v>Other Office Equipment</v>
          </cell>
          <cell r="F3542">
            <v>0</v>
          </cell>
        </row>
        <row r="3543">
          <cell r="D3543" t="str">
            <v>Other Office Equipment</v>
          </cell>
          <cell r="F3543">
            <v>0</v>
          </cell>
        </row>
        <row r="3544">
          <cell r="D3544" t="str">
            <v>Other Office Equipment</v>
          </cell>
          <cell r="F3544">
            <v>0</v>
          </cell>
        </row>
        <row r="3545">
          <cell r="D3545" t="str">
            <v>Other Office Equipment</v>
          </cell>
          <cell r="F3545">
            <v>0</v>
          </cell>
        </row>
        <row r="3546">
          <cell r="D3546" t="str">
            <v>Other Office Equipment</v>
          </cell>
          <cell r="F3546">
            <v>0</v>
          </cell>
        </row>
        <row r="3547">
          <cell r="D3547" t="str">
            <v>Other Office Equipment</v>
          </cell>
          <cell r="F3547">
            <v>0</v>
          </cell>
        </row>
        <row r="3548">
          <cell r="D3548" t="str">
            <v>Other Office Equipment</v>
          </cell>
          <cell r="F3548">
            <v>0</v>
          </cell>
        </row>
        <row r="3549">
          <cell r="D3549" t="str">
            <v>Other Office Equipment</v>
          </cell>
          <cell r="F3549">
            <v>0</v>
          </cell>
        </row>
        <row r="3550">
          <cell r="D3550" t="str">
            <v>Other Office Equipment</v>
          </cell>
          <cell r="F3550">
            <v>0</v>
          </cell>
        </row>
        <row r="3551">
          <cell r="D3551" t="str">
            <v>Other Office Equipment</v>
          </cell>
          <cell r="F3551">
            <v>0</v>
          </cell>
        </row>
        <row r="3552">
          <cell r="D3552" t="str">
            <v>Other Office Equipment</v>
          </cell>
          <cell r="F3552">
            <v>0</v>
          </cell>
        </row>
        <row r="3553">
          <cell r="D3553" t="str">
            <v>Other Office Equipment</v>
          </cell>
          <cell r="F3553">
            <v>0</v>
          </cell>
        </row>
        <row r="3554">
          <cell r="D3554" t="str">
            <v>Other Office Equipment</v>
          </cell>
          <cell r="F3554">
            <v>0</v>
          </cell>
        </row>
        <row r="3555">
          <cell r="D3555" t="str">
            <v>Other Office Equipment</v>
          </cell>
          <cell r="F3555">
            <v>0</v>
          </cell>
        </row>
        <row r="3556">
          <cell r="D3556" t="str">
            <v>Other Office Equipment</v>
          </cell>
          <cell r="F3556">
            <v>0</v>
          </cell>
        </row>
        <row r="3557">
          <cell r="D3557" t="str">
            <v>Other Office Equipment</v>
          </cell>
          <cell r="F3557">
            <v>0</v>
          </cell>
        </row>
        <row r="3558">
          <cell r="D3558" t="str">
            <v>Other Office Equipment</v>
          </cell>
          <cell r="F3558">
            <v>0</v>
          </cell>
        </row>
        <row r="3559">
          <cell r="D3559" t="str">
            <v>Other Office Equipment</v>
          </cell>
          <cell r="F3559">
            <v>0</v>
          </cell>
        </row>
        <row r="3560">
          <cell r="D3560" t="str">
            <v>Other Office Equipment</v>
          </cell>
          <cell r="F3560">
            <v>0</v>
          </cell>
        </row>
        <row r="3561">
          <cell r="D3561" t="str">
            <v>Other Office Equipment</v>
          </cell>
          <cell r="F3561">
            <v>0</v>
          </cell>
        </row>
        <row r="3562">
          <cell r="D3562" t="str">
            <v>Other Office Equipment</v>
          </cell>
          <cell r="F3562">
            <v>0</v>
          </cell>
        </row>
        <row r="3563">
          <cell r="D3563" t="str">
            <v>Other Office Equipment</v>
          </cell>
          <cell r="F3563">
            <v>0</v>
          </cell>
        </row>
        <row r="3564">
          <cell r="D3564" t="str">
            <v>Other Office Equipment</v>
          </cell>
          <cell r="F3564">
            <v>0</v>
          </cell>
        </row>
        <row r="3565">
          <cell r="D3565" t="str">
            <v>Other Office Equipment</v>
          </cell>
          <cell r="F3565">
            <v>0</v>
          </cell>
        </row>
        <row r="3566">
          <cell r="D3566" t="str">
            <v>Other Office Equipment</v>
          </cell>
          <cell r="F3566">
            <v>0</v>
          </cell>
        </row>
        <row r="3567">
          <cell r="D3567" t="str">
            <v>Other Office Equipment</v>
          </cell>
          <cell r="F3567">
            <v>0</v>
          </cell>
        </row>
        <row r="3568">
          <cell r="D3568" t="str">
            <v>Other Office Equipment</v>
          </cell>
          <cell r="F3568">
            <v>0</v>
          </cell>
        </row>
        <row r="3569">
          <cell r="D3569" t="str">
            <v>Other Office Equipment</v>
          </cell>
          <cell r="F3569">
            <v>0</v>
          </cell>
        </row>
        <row r="3570">
          <cell r="D3570" t="str">
            <v>Other Office Equipment</v>
          </cell>
          <cell r="F3570">
            <v>0</v>
          </cell>
        </row>
        <row r="3571">
          <cell r="D3571" t="str">
            <v>Other Office Equipment</v>
          </cell>
          <cell r="F3571">
            <v>0</v>
          </cell>
        </row>
        <row r="3572">
          <cell r="D3572" t="str">
            <v>Other Office Equipment</v>
          </cell>
          <cell r="F3572">
            <v>0</v>
          </cell>
        </row>
        <row r="3573">
          <cell r="D3573" t="str">
            <v>Other Office Equipment</v>
          </cell>
          <cell r="F3573">
            <v>0</v>
          </cell>
        </row>
        <row r="3574">
          <cell r="D3574" t="str">
            <v>Other Office Equipment</v>
          </cell>
          <cell r="F3574">
            <v>0</v>
          </cell>
        </row>
        <row r="3575">
          <cell r="D3575" t="str">
            <v>Other Office Equipment</v>
          </cell>
          <cell r="F3575">
            <v>0</v>
          </cell>
        </row>
        <row r="3576">
          <cell r="D3576" t="str">
            <v>Other Office Equipment</v>
          </cell>
          <cell r="F3576">
            <v>0</v>
          </cell>
        </row>
        <row r="3577">
          <cell r="D3577" t="str">
            <v>Other Office Equipment</v>
          </cell>
          <cell r="F3577">
            <v>0</v>
          </cell>
        </row>
        <row r="3578">
          <cell r="D3578" t="str">
            <v>Other Office Equipment</v>
          </cell>
          <cell r="F3578">
            <v>0</v>
          </cell>
        </row>
        <row r="3579">
          <cell r="D3579" t="str">
            <v>Other Office Equipment</v>
          </cell>
          <cell r="F3579">
            <v>0</v>
          </cell>
        </row>
        <row r="3580">
          <cell r="D3580" t="str">
            <v>Other Office Equipment</v>
          </cell>
          <cell r="F3580">
            <v>0</v>
          </cell>
        </row>
        <row r="3581">
          <cell r="D3581" t="str">
            <v>Other Office Equipment</v>
          </cell>
          <cell r="F3581">
            <v>0</v>
          </cell>
        </row>
        <row r="3582">
          <cell r="D3582" t="str">
            <v>Other Office Equipment</v>
          </cell>
          <cell r="F3582">
            <v>0</v>
          </cell>
        </row>
        <row r="3583">
          <cell r="D3583" t="str">
            <v>Other Office Equipment</v>
          </cell>
          <cell r="F3583">
            <v>0</v>
          </cell>
        </row>
        <row r="3584">
          <cell r="D3584" t="str">
            <v>Other Office Equipment</v>
          </cell>
          <cell r="F3584">
            <v>0</v>
          </cell>
        </row>
        <row r="3585">
          <cell r="D3585" t="str">
            <v>Other Office Equipment</v>
          </cell>
          <cell r="F3585">
            <v>0</v>
          </cell>
        </row>
        <row r="3586">
          <cell r="D3586" t="str">
            <v>Other Office Equipment</v>
          </cell>
          <cell r="F3586">
            <v>0</v>
          </cell>
        </row>
        <row r="3587">
          <cell r="D3587" t="str">
            <v>Other Office Equipment</v>
          </cell>
          <cell r="F3587">
            <v>0</v>
          </cell>
        </row>
        <row r="3588">
          <cell r="D3588" t="str">
            <v>Other Office Equipment</v>
          </cell>
          <cell r="F3588">
            <v>0</v>
          </cell>
        </row>
        <row r="3589">
          <cell r="D3589" t="str">
            <v>Other Office Equipment</v>
          </cell>
          <cell r="F3589">
            <v>0</v>
          </cell>
        </row>
        <row r="3590">
          <cell r="D3590" t="str">
            <v>Other Office Equipment</v>
          </cell>
          <cell r="F3590">
            <v>0</v>
          </cell>
        </row>
        <row r="3591">
          <cell r="D3591" t="str">
            <v>Other Office Equipment</v>
          </cell>
          <cell r="F3591">
            <v>0</v>
          </cell>
        </row>
        <row r="3592">
          <cell r="D3592" t="str">
            <v>Other Office Equipment</v>
          </cell>
          <cell r="F3592">
            <v>0</v>
          </cell>
        </row>
        <row r="3593">
          <cell r="D3593" t="str">
            <v>Other Office Equipment</v>
          </cell>
          <cell r="F3593">
            <v>0</v>
          </cell>
        </row>
        <row r="3594">
          <cell r="D3594" t="str">
            <v>Other Office Equipment</v>
          </cell>
          <cell r="F3594">
            <v>0</v>
          </cell>
        </row>
        <row r="3595">
          <cell r="D3595" t="str">
            <v>Other Office Equipment</v>
          </cell>
          <cell r="F3595">
            <v>0</v>
          </cell>
        </row>
        <row r="3596">
          <cell r="D3596" t="str">
            <v>Other Office Equipment</v>
          </cell>
          <cell r="F3596">
            <v>0</v>
          </cell>
        </row>
        <row r="3597">
          <cell r="D3597" t="str">
            <v>Other Office Equipment</v>
          </cell>
          <cell r="F3597">
            <v>0</v>
          </cell>
        </row>
        <row r="3598">
          <cell r="D3598" t="str">
            <v>Other Office Equipment</v>
          </cell>
          <cell r="F3598">
            <v>0</v>
          </cell>
        </row>
        <row r="3599">
          <cell r="D3599" t="str">
            <v>Other Office Equipment</v>
          </cell>
          <cell r="F3599">
            <v>0</v>
          </cell>
        </row>
        <row r="3600">
          <cell r="D3600" t="str">
            <v>Other Office Equipment</v>
          </cell>
          <cell r="F3600">
            <v>0</v>
          </cell>
        </row>
        <row r="3601">
          <cell r="D3601" t="str">
            <v>Other Office Equipment</v>
          </cell>
          <cell r="F3601">
            <v>0</v>
          </cell>
        </row>
        <row r="3602">
          <cell r="D3602" t="str">
            <v>Other Office Equipment</v>
          </cell>
          <cell r="F3602">
            <v>0</v>
          </cell>
        </row>
        <row r="3603">
          <cell r="D3603" t="str">
            <v>Other Office Equipment</v>
          </cell>
          <cell r="F3603">
            <v>0</v>
          </cell>
        </row>
        <row r="3604">
          <cell r="D3604" t="str">
            <v>Other Office Equipment</v>
          </cell>
          <cell r="F3604">
            <v>0</v>
          </cell>
        </row>
        <row r="3605">
          <cell r="D3605" t="str">
            <v>Other Office Equipment</v>
          </cell>
          <cell r="F3605">
            <v>0</v>
          </cell>
        </row>
        <row r="3606">
          <cell r="D3606" t="str">
            <v>Other Office Equipment</v>
          </cell>
          <cell r="F3606">
            <v>0</v>
          </cell>
        </row>
        <row r="3607">
          <cell r="D3607" t="str">
            <v>Other Office Equipment</v>
          </cell>
          <cell r="F3607">
            <v>0</v>
          </cell>
        </row>
        <row r="3608">
          <cell r="D3608" t="str">
            <v>Other Office Equipment</v>
          </cell>
          <cell r="F3608">
            <v>0</v>
          </cell>
        </row>
        <row r="3609">
          <cell r="D3609" t="str">
            <v>Other Office Equipment</v>
          </cell>
          <cell r="F3609">
            <v>0</v>
          </cell>
        </row>
        <row r="3610">
          <cell r="D3610" t="str">
            <v>Other Office Equipment</v>
          </cell>
          <cell r="F3610">
            <v>0</v>
          </cell>
        </row>
        <row r="3611">
          <cell r="D3611" t="str">
            <v>Other Office Equipment</v>
          </cell>
          <cell r="F3611">
            <v>0</v>
          </cell>
        </row>
        <row r="3612">
          <cell r="D3612" t="str">
            <v>Other Office Equipment</v>
          </cell>
          <cell r="F3612">
            <v>0</v>
          </cell>
        </row>
        <row r="3613">
          <cell r="D3613" t="str">
            <v>Other Office Equipment</v>
          </cell>
          <cell r="F3613">
            <v>0</v>
          </cell>
        </row>
        <row r="3614">
          <cell r="D3614" t="str">
            <v>Other Office Equipment</v>
          </cell>
          <cell r="F3614">
            <v>0</v>
          </cell>
        </row>
        <row r="3615">
          <cell r="D3615" t="str">
            <v>Other Office Equipment</v>
          </cell>
          <cell r="F3615">
            <v>0</v>
          </cell>
        </row>
        <row r="3616">
          <cell r="D3616" t="str">
            <v>Other Office Equipment</v>
          </cell>
          <cell r="F3616">
            <v>0</v>
          </cell>
        </row>
        <row r="3617">
          <cell r="D3617" t="str">
            <v>Other Office Equipment</v>
          </cell>
          <cell r="F3617">
            <v>0</v>
          </cell>
        </row>
        <row r="3618">
          <cell r="D3618" t="str">
            <v>Other Office Equipment</v>
          </cell>
          <cell r="F3618">
            <v>0</v>
          </cell>
        </row>
        <row r="3619">
          <cell r="D3619" t="str">
            <v>Other Office Equipment</v>
          </cell>
          <cell r="F3619">
            <v>0</v>
          </cell>
        </row>
        <row r="3620">
          <cell r="D3620" t="str">
            <v>Other Office Equipment</v>
          </cell>
          <cell r="F3620">
            <v>0</v>
          </cell>
        </row>
        <row r="3621">
          <cell r="D3621" t="str">
            <v>Other Office Equipment</v>
          </cell>
          <cell r="F3621">
            <v>0</v>
          </cell>
        </row>
        <row r="3622">
          <cell r="D3622" t="str">
            <v>Other Office Equipment</v>
          </cell>
          <cell r="F3622">
            <v>0</v>
          </cell>
        </row>
        <row r="3623">
          <cell r="D3623" t="str">
            <v>Other Office Equipment</v>
          </cell>
          <cell r="F3623">
            <v>0</v>
          </cell>
        </row>
        <row r="3624">
          <cell r="D3624" t="str">
            <v>Other Office Equipment</v>
          </cell>
          <cell r="F3624">
            <v>0</v>
          </cell>
        </row>
        <row r="3625">
          <cell r="D3625" t="str">
            <v>Other Office Equipment</v>
          </cell>
          <cell r="F3625">
            <v>0</v>
          </cell>
        </row>
        <row r="3626">
          <cell r="D3626" t="str">
            <v>Other Office Equipment</v>
          </cell>
          <cell r="F3626">
            <v>0</v>
          </cell>
        </row>
        <row r="3627">
          <cell r="D3627" t="str">
            <v>Other Office Equipment</v>
          </cell>
          <cell r="F3627">
            <v>0</v>
          </cell>
        </row>
        <row r="3628">
          <cell r="D3628" t="str">
            <v>Other Office Equipment</v>
          </cell>
          <cell r="F3628">
            <v>0</v>
          </cell>
        </row>
        <row r="3629">
          <cell r="D3629" t="str">
            <v>Other Office Equipment</v>
          </cell>
          <cell r="F3629">
            <v>0</v>
          </cell>
        </row>
        <row r="3630">
          <cell r="D3630" t="str">
            <v>Other Office Equipment</v>
          </cell>
          <cell r="F3630">
            <v>0</v>
          </cell>
        </row>
        <row r="3631">
          <cell r="D3631" t="str">
            <v>Other Office Equipment</v>
          </cell>
          <cell r="F3631">
            <v>0</v>
          </cell>
        </row>
        <row r="3632">
          <cell r="D3632" t="str">
            <v>Other Office Equipment</v>
          </cell>
          <cell r="F3632">
            <v>0</v>
          </cell>
        </row>
        <row r="3633">
          <cell r="D3633" t="str">
            <v>Other Office Equipment</v>
          </cell>
          <cell r="F3633">
            <v>0</v>
          </cell>
        </row>
        <row r="3634">
          <cell r="D3634" t="str">
            <v>Other Office Equipment</v>
          </cell>
          <cell r="F3634">
            <v>0</v>
          </cell>
        </row>
        <row r="3635">
          <cell r="D3635" t="str">
            <v>Other Office Equipment</v>
          </cell>
          <cell r="F3635">
            <v>0</v>
          </cell>
        </row>
        <row r="3636">
          <cell r="D3636" t="str">
            <v>Other Office Equipment</v>
          </cell>
          <cell r="F3636">
            <v>0</v>
          </cell>
        </row>
        <row r="3637">
          <cell r="D3637" t="str">
            <v>Other Office Equipment</v>
          </cell>
          <cell r="F3637">
            <v>0</v>
          </cell>
        </row>
        <row r="3638">
          <cell r="D3638" t="str">
            <v>Other Office Equipment</v>
          </cell>
          <cell r="F3638">
            <v>0</v>
          </cell>
        </row>
        <row r="3639">
          <cell r="D3639" t="str">
            <v>Other Office Equipment</v>
          </cell>
          <cell r="F3639">
            <v>0</v>
          </cell>
        </row>
        <row r="3640">
          <cell r="D3640" t="str">
            <v>Other Office Equipment</v>
          </cell>
          <cell r="F3640">
            <v>0</v>
          </cell>
        </row>
        <row r="3641">
          <cell r="D3641" t="str">
            <v>Other Office Equipment</v>
          </cell>
          <cell r="F3641">
            <v>0</v>
          </cell>
        </row>
        <row r="3642">
          <cell r="D3642" t="str">
            <v>Other Office Equipment</v>
          </cell>
          <cell r="F3642">
            <v>0</v>
          </cell>
        </row>
        <row r="3643">
          <cell r="D3643" t="str">
            <v>Other Office Equipment</v>
          </cell>
          <cell r="F3643">
            <v>0</v>
          </cell>
        </row>
        <row r="3644">
          <cell r="D3644" t="str">
            <v>Other Office Equipment</v>
          </cell>
          <cell r="F3644">
            <v>0</v>
          </cell>
        </row>
        <row r="3645">
          <cell r="D3645" t="str">
            <v>Other Office Equipment</v>
          </cell>
          <cell r="F3645">
            <v>0</v>
          </cell>
        </row>
        <row r="3646">
          <cell r="D3646" t="str">
            <v>Other Office Equipment</v>
          </cell>
          <cell r="F3646">
            <v>0</v>
          </cell>
        </row>
        <row r="3647">
          <cell r="D3647" t="str">
            <v>Other Office Equipment</v>
          </cell>
          <cell r="F3647">
            <v>0</v>
          </cell>
        </row>
        <row r="3648">
          <cell r="D3648" t="str">
            <v>Other Office Equipment</v>
          </cell>
          <cell r="F3648">
            <v>0</v>
          </cell>
        </row>
        <row r="3649">
          <cell r="D3649" t="str">
            <v>Other Office Equipment</v>
          </cell>
          <cell r="F3649">
            <v>0</v>
          </cell>
        </row>
        <row r="3650">
          <cell r="D3650" t="str">
            <v>Other Office Equipment</v>
          </cell>
          <cell r="F3650">
            <v>0</v>
          </cell>
        </row>
        <row r="3651">
          <cell r="D3651" t="str">
            <v>Other Office Equipment</v>
          </cell>
          <cell r="F3651">
            <v>0</v>
          </cell>
        </row>
        <row r="3652">
          <cell r="D3652" t="str">
            <v>Other Office Equipment</v>
          </cell>
          <cell r="F3652">
            <v>0</v>
          </cell>
        </row>
        <row r="3653">
          <cell r="D3653" t="str">
            <v>Other Office Equipment</v>
          </cell>
          <cell r="F3653">
            <v>0</v>
          </cell>
        </row>
        <row r="3654">
          <cell r="D3654" t="str">
            <v>Other Office Equipment</v>
          </cell>
          <cell r="F3654">
            <v>0</v>
          </cell>
        </row>
        <row r="3655">
          <cell r="D3655" t="str">
            <v>Other Office Equipment</v>
          </cell>
          <cell r="F3655">
            <v>0</v>
          </cell>
        </row>
        <row r="3656">
          <cell r="D3656" t="str">
            <v>Other Office Equipment</v>
          </cell>
          <cell r="F3656">
            <v>0</v>
          </cell>
        </row>
        <row r="3657">
          <cell r="D3657" t="str">
            <v>Other Office Equipment</v>
          </cell>
          <cell r="F3657">
            <v>0</v>
          </cell>
        </row>
        <row r="3658">
          <cell r="D3658" t="str">
            <v>Other Office Equipment</v>
          </cell>
          <cell r="F3658">
            <v>0</v>
          </cell>
        </row>
        <row r="3659">
          <cell r="D3659" t="str">
            <v>Other Office Equipment</v>
          </cell>
          <cell r="F3659">
            <v>0</v>
          </cell>
        </row>
        <row r="3660">
          <cell r="D3660" t="str">
            <v>Other Office Equipment</v>
          </cell>
          <cell r="F3660">
            <v>0</v>
          </cell>
        </row>
        <row r="3661">
          <cell r="D3661" t="str">
            <v>Other Office Equipment</v>
          </cell>
          <cell r="F3661">
            <v>0</v>
          </cell>
        </row>
        <row r="3662">
          <cell r="D3662" t="str">
            <v>Other Office Equipment</v>
          </cell>
          <cell r="F3662">
            <v>0</v>
          </cell>
        </row>
        <row r="3663">
          <cell r="D3663" t="str">
            <v>Other Office Equipment</v>
          </cell>
          <cell r="F3663">
            <v>0</v>
          </cell>
        </row>
        <row r="3664">
          <cell r="D3664" t="str">
            <v>Other Office Equipment</v>
          </cell>
          <cell r="F3664">
            <v>0</v>
          </cell>
        </row>
        <row r="3665">
          <cell r="D3665" t="str">
            <v>Other Office Equipment</v>
          </cell>
          <cell r="F3665">
            <v>0</v>
          </cell>
        </row>
        <row r="3666">
          <cell r="D3666" t="str">
            <v>Other Office Equipment</v>
          </cell>
          <cell r="F3666">
            <v>0</v>
          </cell>
        </row>
        <row r="3667">
          <cell r="D3667" t="str">
            <v>Other Office Equipment</v>
          </cell>
          <cell r="F3667">
            <v>0</v>
          </cell>
        </row>
        <row r="3668">
          <cell r="D3668" t="str">
            <v>Other Office Equipment</v>
          </cell>
          <cell r="F3668">
            <v>0</v>
          </cell>
        </row>
        <row r="3669">
          <cell r="D3669" t="str">
            <v>Other Office Equipment</v>
          </cell>
          <cell r="F3669">
            <v>0</v>
          </cell>
        </row>
        <row r="3670">
          <cell r="D3670" t="str">
            <v>Other Office Equipment</v>
          </cell>
          <cell r="F3670">
            <v>0</v>
          </cell>
        </row>
        <row r="3671">
          <cell r="D3671" t="str">
            <v>Other Office Equipment</v>
          </cell>
          <cell r="F3671">
            <v>0</v>
          </cell>
        </row>
        <row r="3672">
          <cell r="D3672" t="str">
            <v>Other Office Equipment</v>
          </cell>
          <cell r="F3672">
            <v>0</v>
          </cell>
        </row>
        <row r="3673">
          <cell r="D3673" t="str">
            <v>Other Office Equipment</v>
          </cell>
          <cell r="F3673">
            <v>0</v>
          </cell>
        </row>
        <row r="3674">
          <cell r="D3674" t="str">
            <v>Other Office Equipment</v>
          </cell>
          <cell r="F3674">
            <v>0</v>
          </cell>
        </row>
        <row r="3675">
          <cell r="D3675" t="str">
            <v>Other Office Equipment</v>
          </cell>
          <cell r="F3675">
            <v>0</v>
          </cell>
        </row>
        <row r="3676">
          <cell r="D3676" t="str">
            <v>Other Office Equipment</v>
          </cell>
          <cell r="F3676">
            <v>0</v>
          </cell>
        </row>
        <row r="3677">
          <cell r="D3677" t="str">
            <v>Other Office Equipment</v>
          </cell>
          <cell r="F3677">
            <v>0</v>
          </cell>
        </row>
        <row r="3678">
          <cell r="D3678" t="str">
            <v>Other Office Equipment</v>
          </cell>
          <cell r="F3678">
            <v>0</v>
          </cell>
        </row>
        <row r="3679">
          <cell r="D3679" t="str">
            <v>Other Office Equipment</v>
          </cell>
          <cell r="F3679">
            <v>0</v>
          </cell>
        </row>
        <row r="3680">
          <cell r="D3680" t="str">
            <v>Other Office Equipment</v>
          </cell>
          <cell r="F3680">
            <v>0</v>
          </cell>
        </row>
        <row r="3681">
          <cell r="D3681" t="str">
            <v>Other Office Equipment</v>
          </cell>
          <cell r="F3681">
            <v>0</v>
          </cell>
        </row>
        <row r="3682">
          <cell r="D3682" t="str">
            <v>Other Office Equipment</v>
          </cell>
          <cell r="F3682">
            <v>0</v>
          </cell>
        </row>
        <row r="3683">
          <cell r="D3683" t="str">
            <v>Other Office Equipment</v>
          </cell>
          <cell r="F3683">
            <v>0</v>
          </cell>
        </row>
        <row r="3684">
          <cell r="D3684" t="str">
            <v>Other Office Equipment</v>
          </cell>
          <cell r="F3684">
            <v>0</v>
          </cell>
        </row>
        <row r="3685">
          <cell r="D3685" t="str">
            <v>Other Office Equipment</v>
          </cell>
          <cell r="F3685">
            <v>0</v>
          </cell>
        </row>
        <row r="3686">
          <cell r="D3686" t="str">
            <v>Other Office Equipment</v>
          </cell>
          <cell r="F3686">
            <v>0</v>
          </cell>
        </row>
        <row r="3687">
          <cell r="D3687" t="str">
            <v>Other Office Equipment</v>
          </cell>
          <cell r="F3687">
            <v>0</v>
          </cell>
        </row>
        <row r="3688">
          <cell r="D3688" t="str">
            <v>Other Office Equipment</v>
          </cell>
          <cell r="F3688">
            <v>0</v>
          </cell>
        </row>
        <row r="3689">
          <cell r="D3689" t="str">
            <v>Other Office Equipment</v>
          </cell>
          <cell r="F3689">
            <v>0</v>
          </cell>
        </row>
        <row r="3690">
          <cell r="D3690" t="str">
            <v>Other Office Equipment</v>
          </cell>
          <cell r="F3690">
            <v>0</v>
          </cell>
        </row>
        <row r="3691">
          <cell r="D3691" t="str">
            <v>Other Office Equipment</v>
          </cell>
          <cell r="F3691">
            <v>0</v>
          </cell>
        </row>
        <row r="3692">
          <cell r="D3692" t="str">
            <v>Other Office Equipment</v>
          </cell>
          <cell r="F3692">
            <v>0</v>
          </cell>
        </row>
        <row r="3693">
          <cell r="D3693" t="str">
            <v>Other Office Equipment</v>
          </cell>
          <cell r="F3693">
            <v>0</v>
          </cell>
        </row>
        <row r="3694">
          <cell r="D3694" t="str">
            <v>Other Office Equipment</v>
          </cell>
          <cell r="F3694">
            <v>0</v>
          </cell>
        </row>
        <row r="3695">
          <cell r="D3695" t="str">
            <v>Other Office Equipment</v>
          </cell>
          <cell r="F3695">
            <v>0</v>
          </cell>
        </row>
        <row r="3696">
          <cell r="D3696" t="str">
            <v>Other Office Equipment</v>
          </cell>
          <cell r="F3696">
            <v>0</v>
          </cell>
        </row>
        <row r="3697">
          <cell r="D3697" t="str">
            <v>Other Office Equipment</v>
          </cell>
          <cell r="F3697">
            <v>0</v>
          </cell>
        </row>
        <row r="3698">
          <cell r="D3698" t="str">
            <v>Other Office Equipment</v>
          </cell>
          <cell r="F3698">
            <v>0</v>
          </cell>
        </row>
        <row r="3699">
          <cell r="D3699" t="str">
            <v>Other Office Equipment</v>
          </cell>
          <cell r="F3699">
            <v>0</v>
          </cell>
        </row>
        <row r="3700">
          <cell r="D3700" t="str">
            <v>Other Office Equipment</v>
          </cell>
          <cell r="F3700">
            <v>0</v>
          </cell>
        </row>
        <row r="3701">
          <cell r="D3701" t="str">
            <v>Other Office Equipment</v>
          </cell>
          <cell r="F3701">
            <v>0</v>
          </cell>
        </row>
        <row r="3702">
          <cell r="D3702" t="str">
            <v>Other Office Equipment</v>
          </cell>
          <cell r="F3702">
            <v>0</v>
          </cell>
        </row>
        <row r="3703">
          <cell r="D3703" t="str">
            <v>Other Office Equipment</v>
          </cell>
          <cell r="F3703">
            <v>0</v>
          </cell>
        </row>
        <row r="3704">
          <cell r="D3704" t="str">
            <v>Other Office Equipment</v>
          </cell>
          <cell r="F3704">
            <v>0</v>
          </cell>
        </row>
        <row r="3705">
          <cell r="D3705" t="str">
            <v>Other Office Equipment</v>
          </cell>
          <cell r="F3705">
            <v>0</v>
          </cell>
        </row>
        <row r="3706">
          <cell r="D3706" t="str">
            <v>Other Office Equipment</v>
          </cell>
          <cell r="F3706">
            <v>0</v>
          </cell>
        </row>
        <row r="3707">
          <cell r="D3707" t="str">
            <v>Other Office Equipment</v>
          </cell>
          <cell r="F3707">
            <v>0</v>
          </cell>
        </row>
        <row r="3708">
          <cell r="D3708" t="str">
            <v>Other Office Equipment</v>
          </cell>
          <cell r="F3708">
            <v>0</v>
          </cell>
        </row>
        <row r="3709">
          <cell r="D3709" t="str">
            <v>Other Office Equipment</v>
          </cell>
          <cell r="F3709">
            <v>0</v>
          </cell>
        </row>
        <row r="3710">
          <cell r="D3710" t="str">
            <v>Other Office Equipment</v>
          </cell>
          <cell r="F3710">
            <v>0</v>
          </cell>
        </row>
        <row r="3711">
          <cell r="D3711" t="str">
            <v>Other Office Equipment</v>
          </cell>
          <cell r="F3711">
            <v>0</v>
          </cell>
        </row>
        <row r="3712">
          <cell r="D3712" t="str">
            <v>Other Office Equipment</v>
          </cell>
          <cell r="F3712">
            <v>0</v>
          </cell>
        </row>
        <row r="3713">
          <cell r="D3713" t="str">
            <v>Other Office Equipment</v>
          </cell>
          <cell r="F3713">
            <v>0</v>
          </cell>
        </row>
        <row r="3714">
          <cell r="D3714" t="str">
            <v>Other Office Equipment</v>
          </cell>
          <cell r="F3714">
            <v>0</v>
          </cell>
        </row>
        <row r="3715">
          <cell r="D3715" t="str">
            <v>Other Office Equipment</v>
          </cell>
          <cell r="F3715">
            <v>0</v>
          </cell>
        </row>
        <row r="3716">
          <cell r="D3716" t="str">
            <v>Other Office Equipment</v>
          </cell>
          <cell r="F3716">
            <v>0</v>
          </cell>
        </row>
        <row r="3717">
          <cell r="D3717" t="str">
            <v>Other Office Equipment</v>
          </cell>
          <cell r="F3717">
            <v>0</v>
          </cell>
        </row>
        <row r="3718">
          <cell r="D3718" t="str">
            <v>Other Office Equipment</v>
          </cell>
          <cell r="F3718">
            <v>0</v>
          </cell>
        </row>
        <row r="3719">
          <cell r="D3719" t="str">
            <v>Other Office Equipment</v>
          </cell>
          <cell r="F3719">
            <v>0</v>
          </cell>
        </row>
        <row r="3720">
          <cell r="D3720" t="str">
            <v>Other Office Equipment</v>
          </cell>
          <cell r="F3720">
            <v>0</v>
          </cell>
        </row>
        <row r="3721">
          <cell r="D3721" t="str">
            <v>Other Office Equipment</v>
          </cell>
          <cell r="F3721">
            <v>0</v>
          </cell>
        </row>
        <row r="3722">
          <cell r="D3722" t="str">
            <v>Other Office Equipment</v>
          </cell>
          <cell r="F3722">
            <v>0</v>
          </cell>
        </row>
        <row r="3723">
          <cell r="D3723" t="str">
            <v>Other Office Equipment</v>
          </cell>
          <cell r="F3723">
            <v>0</v>
          </cell>
        </row>
        <row r="3724">
          <cell r="D3724" t="str">
            <v>Other Office Equipment</v>
          </cell>
          <cell r="F3724">
            <v>0</v>
          </cell>
        </row>
        <row r="3725">
          <cell r="D3725" t="str">
            <v>Other Office Equipment</v>
          </cell>
          <cell r="F3725">
            <v>0</v>
          </cell>
        </row>
        <row r="3726">
          <cell r="D3726" t="str">
            <v>Other Office Equipment</v>
          </cell>
          <cell r="F3726">
            <v>0</v>
          </cell>
        </row>
        <row r="3727">
          <cell r="D3727" t="str">
            <v>Other Office Equipment</v>
          </cell>
          <cell r="F3727">
            <v>0</v>
          </cell>
        </row>
        <row r="3728">
          <cell r="D3728" t="str">
            <v>Other Office Equipment</v>
          </cell>
          <cell r="F3728">
            <v>0</v>
          </cell>
        </row>
        <row r="3729">
          <cell r="D3729" t="str">
            <v>Other Office Equipment</v>
          </cell>
          <cell r="F3729">
            <v>0</v>
          </cell>
        </row>
        <row r="3730">
          <cell r="D3730" t="str">
            <v>Other Office Equipment</v>
          </cell>
          <cell r="F3730">
            <v>0</v>
          </cell>
        </row>
        <row r="3731">
          <cell r="D3731" t="str">
            <v>Other Office Equipment</v>
          </cell>
          <cell r="F3731">
            <v>0</v>
          </cell>
        </row>
        <row r="3732">
          <cell r="D3732" t="str">
            <v>Other Office Equipment</v>
          </cell>
          <cell r="F3732">
            <v>0</v>
          </cell>
        </row>
        <row r="3733">
          <cell r="D3733" t="str">
            <v>Other Office Equipment</v>
          </cell>
          <cell r="F3733">
            <v>0</v>
          </cell>
        </row>
        <row r="3734">
          <cell r="D3734" t="str">
            <v>Other Office Equipment</v>
          </cell>
          <cell r="F3734">
            <v>0</v>
          </cell>
        </row>
        <row r="3735">
          <cell r="D3735" t="str">
            <v>Other Office Equipment</v>
          </cell>
          <cell r="F3735">
            <v>0</v>
          </cell>
        </row>
        <row r="3736">
          <cell r="D3736" t="str">
            <v>Other Office Equipment</v>
          </cell>
          <cell r="F3736">
            <v>0</v>
          </cell>
        </row>
        <row r="3737">
          <cell r="D3737" t="str">
            <v>Other Office Equipment</v>
          </cell>
          <cell r="F3737">
            <v>0</v>
          </cell>
        </row>
        <row r="3738">
          <cell r="D3738" t="str">
            <v>Other Office Equipment</v>
          </cell>
          <cell r="F3738">
            <v>0</v>
          </cell>
        </row>
        <row r="3739">
          <cell r="D3739" t="str">
            <v>Other Office Equipment</v>
          </cell>
          <cell r="F3739">
            <v>0</v>
          </cell>
        </row>
        <row r="3740">
          <cell r="D3740" t="str">
            <v>Other Office Equipment</v>
          </cell>
          <cell r="F3740">
            <v>0</v>
          </cell>
        </row>
        <row r="3741">
          <cell r="D3741" t="str">
            <v>Other Office Equipment</v>
          </cell>
          <cell r="F3741">
            <v>0</v>
          </cell>
        </row>
        <row r="3742">
          <cell r="D3742" t="str">
            <v>Other Office Equipment</v>
          </cell>
          <cell r="F3742">
            <v>0</v>
          </cell>
        </row>
        <row r="3743">
          <cell r="D3743" t="str">
            <v>Other Office Equipment</v>
          </cell>
          <cell r="F3743">
            <v>0</v>
          </cell>
        </row>
        <row r="3744">
          <cell r="D3744" t="str">
            <v>Other Office Equipment</v>
          </cell>
          <cell r="F3744">
            <v>0</v>
          </cell>
        </row>
        <row r="3745">
          <cell r="D3745" t="str">
            <v>Other Office Equipment</v>
          </cell>
          <cell r="F3745">
            <v>0</v>
          </cell>
        </row>
        <row r="3746">
          <cell r="D3746" t="str">
            <v>Other Office Equipment</v>
          </cell>
          <cell r="F3746">
            <v>0</v>
          </cell>
        </row>
        <row r="3747">
          <cell r="D3747" t="str">
            <v>Other Office Equipment</v>
          </cell>
          <cell r="F3747">
            <v>0</v>
          </cell>
        </row>
        <row r="3748">
          <cell r="D3748" t="str">
            <v>Other Office Equipment</v>
          </cell>
          <cell r="F3748">
            <v>0</v>
          </cell>
        </row>
        <row r="3749">
          <cell r="D3749" t="str">
            <v>Other Office Equipment</v>
          </cell>
          <cell r="F3749">
            <v>0</v>
          </cell>
        </row>
        <row r="3750">
          <cell r="D3750" t="str">
            <v>Other Office Equipment</v>
          </cell>
          <cell r="F3750">
            <v>0</v>
          </cell>
        </row>
        <row r="3751">
          <cell r="D3751" t="str">
            <v>Other Office Equipment</v>
          </cell>
          <cell r="F3751">
            <v>0</v>
          </cell>
        </row>
        <row r="3752">
          <cell r="D3752" t="str">
            <v>Other Office Equipment</v>
          </cell>
          <cell r="F3752">
            <v>0</v>
          </cell>
        </row>
        <row r="3753">
          <cell r="D3753" t="str">
            <v>Other Office Equipment</v>
          </cell>
          <cell r="F3753">
            <v>0</v>
          </cell>
        </row>
        <row r="3754">
          <cell r="D3754" t="str">
            <v>Other Office Equipment</v>
          </cell>
          <cell r="F3754">
            <v>0</v>
          </cell>
        </row>
        <row r="3755">
          <cell r="D3755" t="str">
            <v>Other Office Equipment</v>
          </cell>
          <cell r="F3755">
            <v>0</v>
          </cell>
        </row>
        <row r="3756">
          <cell r="D3756" t="str">
            <v>Other Office Equipment</v>
          </cell>
          <cell r="F3756">
            <v>0</v>
          </cell>
        </row>
        <row r="3757">
          <cell r="D3757" t="str">
            <v>Other Office Equipment</v>
          </cell>
          <cell r="F3757">
            <v>0</v>
          </cell>
        </row>
        <row r="3758">
          <cell r="D3758" t="str">
            <v>Other Office Equipment</v>
          </cell>
          <cell r="F3758">
            <v>0</v>
          </cell>
        </row>
        <row r="3759">
          <cell r="D3759" t="str">
            <v>Other Office Equipment</v>
          </cell>
          <cell r="F3759">
            <v>0</v>
          </cell>
        </row>
        <row r="3760">
          <cell r="D3760" t="str">
            <v>Other Office Equipment</v>
          </cell>
          <cell r="F3760">
            <v>0</v>
          </cell>
        </row>
        <row r="3761">
          <cell r="D3761" t="str">
            <v>Other Office Equipment</v>
          </cell>
          <cell r="F3761">
            <v>0</v>
          </cell>
        </row>
        <row r="3762">
          <cell r="D3762" t="str">
            <v>Other Office Equipment</v>
          </cell>
          <cell r="F3762">
            <v>0</v>
          </cell>
        </row>
        <row r="3763">
          <cell r="D3763" t="str">
            <v>Other Office Equipment</v>
          </cell>
          <cell r="F3763">
            <v>0</v>
          </cell>
        </row>
        <row r="3764">
          <cell r="D3764" t="str">
            <v>Other Office Equipment</v>
          </cell>
          <cell r="F3764">
            <v>0</v>
          </cell>
        </row>
        <row r="3765">
          <cell r="D3765" t="str">
            <v>Other Office Equipment</v>
          </cell>
          <cell r="F3765">
            <v>0</v>
          </cell>
        </row>
        <row r="3766">
          <cell r="D3766" t="str">
            <v>Other Office Equipment</v>
          </cell>
          <cell r="F3766">
            <v>0</v>
          </cell>
        </row>
        <row r="3767">
          <cell r="D3767" t="str">
            <v>Other Office Equipment</v>
          </cell>
          <cell r="F3767">
            <v>0</v>
          </cell>
        </row>
        <row r="3768">
          <cell r="D3768" t="str">
            <v>Other Office Equipment</v>
          </cell>
          <cell r="F3768">
            <v>0</v>
          </cell>
        </row>
        <row r="3769">
          <cell r="D3769" t="str">
            <v>Other Office Equipment</v>
          </cell>
          <cell r="F3769">
            <v>0</v>
          </cell>
        </row>
        <row r="3770">
          <cell r="D3770" t="str">
            <v>Other Office Equipment</v>
          </cell>
          <cell r="F3770">
            <v>0</v>
          </cell>
        </row>
        <row r="3771">
          <cell r="D3771" t="str">
            <v>Other Office Equipment</v>
          </cell>
          <cell r="F3771">
            <v>0</v>
          </cell>
        </row>
        <row r="3772">
          <cell r="D3772" t="str">
            <v>Other Office Equipment</v>
          </cell>
          <cell r="F3772">
            <v>0</v>
          </cell>
        </row>
        <row r="3773">
          <cell r="D3773" t="str">
            <v>Other Office Equipment</v>
          </cell>
          <cell r="F3773">
            <v>0</v>
          </cell>
        </row>
        <row r="3774">
          <cell r="D3774" t="str">
            <v>Other Office Equipment</v>
          </cell>
          <cell r="F3774">
            <v>0</v>
          </cell>
        </row>
        <row r="3775">
          <cell r="D3775" t="str">
            <v>Other Office Equipment</v>
          </cell>
          <cell r="F3775">
            <v>0</v>
          </cell>
        </row>
        <row r="3776">
          <cell r="D3776" t="str">
            <v>Other Office Equipment</v>
          </cell>
          <cell r="F3776">
            <v>0</v>
          </cell>
        </row>
        <row r="3777">
          <cell r="D3777" t="str">
            <v>Other Office Equipment</v>
          </cell>
          <cell r="F3777">
            <v>0</v>
          </cell>
        </row>
        <row r="3778">
          <cell r="D3778" t="str">
            <v>Other Office Equipment</v>
          </cell>
          <cell r="F3778">
            <v>0</v>
          </cell>
        </row>
        <row r="3779">
          <cell r="D3779" t="str">
            <v>Other Office Equipment</v>
          </cell>
          <cell r="F3779">
            <v>0</v>
          </cell>
        </row>
        <row r="3780">
          <cell r="D3780" t="str">
            <v>Other Office Equipment</v>
          </cell>
          <cell r="F3780">
            <v>0</v>
          </cell>
        </row>
        <row r="3781">
          <cell r="D3781" t="str">
            <v>Other Office Equipment</v>
          </cell>
          <cell r="F3781">
            <v>0</v>
          </cell>
        </row>
        <row r="3782">
          <cell r="D3782" t="str">
            <v>Other Office Equipment</v>
          </cell>
          <cell r="F3782">
            <v>0</v>
          </cell>
        </row>
        <row r="3783">
          <cell r="D3783" t="str">
            <v>Other Office Equipment</v>
          </cell>
          <cell r="F3783">
            <v>0</v>
          </cell>
        </row>
        <row r="3784">
          <cell r="D3784" t="str">
            <v>Other Office Equipment</v>
          </cell>
          <cell r="F3784">
            <v>0</v>
          </cell>
        </row>
        <row r="3785">
          <cell r="D3785" t="str">
            <v>Other Office Equipment</v>
          </cell>
          <cell r="F3785">
            <v>0</v>
          </cell>
        </row>
        <row r="3786">
          <cell r="D3786" t="str">
            <v>Other Office Equipment</v>
          </cell>
          <cell r="F3786">
            <v>0</v>
          </cell>
        </row>
        <row r="3787">
          <cell r="D3787" t="str">
            <v>Other Office Equipment</v>
          </cell>
          <cell r="F3787">
            <v>0</v>
          </cell>
        </row>
        <row r="3788">
          <cell r="D3788" t="str">
            <v>Other Office Equipment</v>
          </cell>
          <cell r="F3788">
            <v>0</v>
          </cell>
        </row>
        <row r="3789">
          <cell r="D3789" t="str">
            <v>Other Office Equipment</v>
          </cell>
          <cell r="F3789">
            <v>0</v>
          </cell>
        </row>
        <row r="3790">
          <cell r="D3790" t="str">
            <v>Other Office Equipment</v>
          </cell>
          <cell r="F3790">
            <v>0</v>
          </cell>
        </row>
        <row r="3791">
          <cell r="D3791" t="str">
            <v>Other Office Equipment</v>
          </cell>
          <cell r="F3791">
            <v>0</v>
          </cell>
        </row>
        <row r="3792">
          <cell r="D3792" t="str">
            <v>Other Office Equipment</v>
          </cell>
          <cell r="F3792">
            <v>0</v>
          </cell>
        </row>
        <row r="3793">
          <cell r="D3793" t="str">
            <v>Other Office Equipment</v>
          </cell>
          <cell r="F3793">
            <v>0</v>
          </cell>
        </row>
        <row r="3794">
          <cell r="D3794" t="str">
            <v>Other Office Equipment</v>
          </cell>
          <cell r="F3794">
            <v>0</v>
          </cell>
        </row>
        <row r="3795">
          <cell r="D3795" t="str">
            <v>Other Office Equipment</v>
          </cell>
          <cell r="F3795">
            <v>0</v>
          </cell>
        </row>
        <row r="3796">
          <cell r="D3796" t="str">
            <v>Other Office Equipment</v>
          </cell>
          <cell r="F3796">
            <v>0</v>
          </cell>
        </row>
        <row r="3797">
          <cell r="D3797" t="str">
            <v>Other Office Equipment</v>
          </cell>
          <cell r="F3797">
            <v>0</v>
          </cell>
        </row>
        <row r="3798">
          <cell r="D3798" t="str">
            <v>Other Office Equipment</v>
          </cell>
          <cell r="F3798">
            <v>0</v>
          </cell>
        </row>
        <row r="3799">
          <cell r="D3799" t="str">
            <v>Other Office Equipment</v>
          </cell>
          <cell r="F3799">
            <v>0</v>
          </cell>
        </row>
        <row r="3800">
          <cell r="D3800" t="str">
            <v>Other Office Equipment</v>
          </cell>
          <cell r="F3800">
            <v>0</v>
          </cell>
        </row>
        <row r="3801">
          <cell r="D3801" t="str">
            <v>Other Office Equipment</v>
          </cell>
          <cell r="F3801">
            <v>0</v>
          </cell>
        </row>
        <row r="3802">
          <cell r="D3802" t="str">
            <v>Other Office Equipment</v>
          </cell>
          <cell r="F3802">
            <v>0</v>
          </cell>
        </row>
        <row r="3803">
          <cell r="D3803" t="str">
            <v>Other Office Equipment</v>
          </cell>
          <cell r="F3803">
            <v>0</v>
          </cell>
        </row>
        <row r="3804">
          <cell r="D3804" t="str">
            <v>Other Office Equipment</v>
          </cell>
          <cell r="F3804">
            <v>0</v>
          </cell>
        </row>
        <row r="3805">
          <cell r="D3805" t="str">
            <v>Other Office Equipment</v>
          </cell>
          <cell r="F3805">
            <v>0</v>
          </cell>
        </row>
        <row r="3806">
          <cell r="D3806" t="str">
            <v>Other Office Equipment</v>
          </cell>
          <cell r="F3806">
            <v>0</v>
          </cell>
        </row>
        <row r="3807">
          <cell r="D3807" t="str">
            <v>Other Office Equipment</v>
          </cell>
          <cell r="F3807">
            <v>0</v>
          </cell>
        </row>
        <row r="3808">
          <cell r="D3808" t="str">
            <v>Other Office Equipment</v>
          </cell>
          <cell r="F3808">
            <v>0</v>
          </cell>
        </row>
        <row r="3809">
          <cell r="D3809" t="str">
            <v>Other Office Equipment</v>
          </cell>
          <cell r="F3809">
            <v>0</v>
          </cell>
        </row>
        <row r="3810">
          <cell r="D3810" t="str">
            <v>Other Office Equipment</v>
          </cell>
          <cell r="F3810">
            <v>0</v>
          </cell>
        </row>
        <row r="3811">
          <cell r="D3811" t="str">
            <v>Other Office Equipment</v>
          </cell>
          <cell r="F3811">
            <v>0</v>
          </cell>
        </row>
        <row r="3812">
          <cell r="D3812" t="str">
            <v>Other Office Equipment</v>
          </cell>
          <cell r="F3812">
            <v>0</v>
          </cell>
        </row>
        <row r="3813">
          <cell r="D3813" t="str">
            <v>Other Office Equipment</v>
          </cell>
          <cell r="F3813">
            <v>0</v>
          </cell>
        </row>
        <row r="3814">
          <cell r="D3814" t="str">
            <v>Other Office Equipment</v>
          </cell>
          <cell r="F3814">
            <v>0</v>
          </cell>
        </row>
        <row r="3815">
          <cell r="D3815" t="str">
            <v>Other Office Equipment</v>
          </cell>
          <cell r="F3815">
            <v>0</v>
          </cell>
        </row>
        <row r="3816">
          <cell r="D3816" t="str">
            <v>Other Office Equipment</v>
          </cell>
          <cell r="F3816">
            <v>0</v>
          </cell>
        </row>
        <row r="3817">
          <cell r="D3817" t="str">
            <v>Other Office Equipment</v>
          </cell>
          <cell r="F3817">
            <v>0</v>
          </cell>
        </row>
        <row r="3818">
          <cell r="D3818" t="str">
            <v>Other Office Equipment</v>
          </cell>
          <cell r="F3818">
            <v>0</v>
          </cell>
        </row>
        <row r="3819">
          <cell r="D3819" t="str">
            <v>Other Office Equipment</v>
          </cell>
          <cell r="F3819">
            <v>0</v>
          </cell>
        </row>
        <row r="3820">
          <cell r="D3820" t="str">
            <v>Other Office Equipment</v>
          </cell>
          <cell r="F3820">
            <v>0</v>
          </cell>
        </row>
        <row r="3821">
          <cell r="D3821" t="str">
            <v>Other Office Equipment</v>
          </cell>
          <cell r="F3821">
            <v>0</v>
          </cell>
        </row>
        <row r="3822">
          <cell r="D3822" t="str">
            <v>Other Office Equipment</v>
          </cell>
          <cell r="F3822">
            <v>0</v>
          </cell>
        </row>
        <row r="3823">
          <cell r="D3823" t="str">
            <v>Other Office Equipment</v>
          </cell>
          <cell r="F3823">
            <v>0</v>
          </cell>
        </row>
        <row r="3824">
          <cell r="D3824" t="str">
            <v>Other Office Equipment</v>
          </cell>
          <cell r="F3824">
            <v>0</v>
          </cell>
        </row>
        <row r="3825">
          <cell r="D3825" t="str">
            <v>Other Office Equipment</v>
          </cell>
          <cell r="F3825">
            <v>0</v>
          </cell>
        </row>
        <row r="3826">
          <cell r="D3826" t="str">
            <v>Other Office Equipment</v>
          </cell>
          <cell r="F3826">
            <v>0</v>
          </cell>
        </row>
        <row r="3827">
          <cell r="D3827" t="str">
            <v>Other Office Equipment</v>
          </cell>
          <cell r="F3827">
            <v>0</v>
          </cell>
        </row>
        <row r="3828">
          <cell r="D3828" t="str">
            <v>Other Office Equipment</v>
          </cell>
          <cell r="F3828">
            <v>0</v>
          </cell>
        </row>
        <row r="3829">
          <cell r="D3829" t="str">
            <v>Other Office Equipment</v>
          </cell>
          <cell r="F3829">
            <v>0</v>
          </cell>
        </row>
        <row r="3830">
          <cell r="D3830" t="str">
            <v>Other Office Equipment</v>
          </cell>
          <cell r="F3830">
            <v>0</v>
          </cell>
        </row>
        <row r="3831">
          <cell r="D3831" t="str">
            <v>Other Office Equipment</v>
          </cell>
          <cell r="F3831">
            <v>0</v>
          </cell>
        </row>
        <row r="3832">
          <cell r="D3832" t="str">
            <v>Other Office Equipment</v>
          </cell>
          <cell r="F3832">
            <v>0</v>
          </cell>
        </row>
        <row r="3833">
          <cell r="D3833" t="str">
            <v>Other Office Equipment</v>
          </cell>
          <cell r="F3833">
            <v>0</v>
          </cell>
        </row>
        <row r="3834">
          <cell r="D3834" t="str">
            <v>Other Office Equipment</v>
          </cell>
          <cell r="F3834">
            <v>0</v>
          </cell>
        </row>
        <row r="3835">
          <cell r="D3835" t="str">
            <v>Other Office Equipment</v>
          </cell>
          <cell r="F3835">
            <v>0</v>
          </cell>
        </row>
        <row r="3836">
          <cell r="D3836" t="str">
            <v>Other Office Equipment</v>
          </cell>
          <cell r="F3836">
            <v>0</v>
          </cell>
        </row>
        <row r="3837">
          <cell r="D3837" t="str">
            <v>Other Office Equipment</v>
          </cell>
          <cell r="F3837">
            <v>0</v>
          </cell>
        </row>
        <row r="3838">
          <cell r="D3838" t="str">
            <v>Other Office Equipment</v>
          </cell>
          <cell r="F3838">
            <v>0</v>
          </cell>
        </row>
        <row r="3839">
          <cell r="D3839" t="str">
            <v>Other Office Equipment</v>
          </cell>
          <cell r="F3839">
            <v>0</v>
          </cell>
        </row>
        <row r="3840">
          <cell r="D3840" t="str">
            <v>Other Office Equipment</v>
          </cell>
          <cell r="F3840">
            <v>0</v>
          </cell>
        </row>
        <row r="3841">
          <cell r="D3841" t="str">
            <v>Other Office Equipment</v>
          </cell>
          <cell r="F3841">
            <v>0</v>
          </cell>
        </row>
        <row r="3842">
          <cell r="D3842" t="str">
            <v>Other Office Equipment</v>
          </cell>
          <cell r="F3842">
            <v>0</v>
          </cell>
        </row>
        <row r="3843">
          <cell r="D3843" t="str">
            <v>Other Office Equipment</v>
          </cell>
          <cell r="F3843">
            <v>0</v>
          </cell>
        </row>
        <row r="3844">
          <cell r="D3844" t="str">
            <v>Other Office Equipment</v>
          </cell>
          <cell r="F3844">
            <v>0</v>
          </cell>
        </row>
        <row r="3845">
          <cell r="D3845" t="str">
            <v>Other Office Equipment</v>
          </cell>
          <cell r="F3845">
            <v>0</v>
          </cell>
        </row>
        <row r="3846">
          <cell r="D3846" t="str">
            <v>Other Office Equipment</v>
          </cell>
          <cell r="F3846">
            <v>0</v>
          </cell>
        </row>
        <row r="3847">
          <cell r="D3847" t="str">
            <v>Other Office Equipment</v>
          </cell>
          <cell r="F3847">
            <v>0</v>
          </cell>
        </row>
        <row r="3848">
          <cell r="D3848" t="str">
            <v>Other Office Equipment</v>
          </cell>
          <cell r="F3848">
            <v>0</v>
          </cell>
        </row>
        <row r="3849">
          <cell r="D3849" t="str">
            <v>Other Office Equipment</v>
          </cell>
          <cell r="F3849">
            <v>0</v>
          </cell>
        </row>
        <row r="3850">
          <cell r="D3850" t="str">
            <v>Other Office Equipment</v>
          </cell>
          <cell r="F3850">
            <v>0</v>
          </cell>
        </row>
        <row r="3851">
          <cell r="D3851" t="str">
            <v>Other Office Equipment</v>
          </cell>
          <cell r="F3851">
            <v>0</v>
          </cell>
        </row>
        <row r="3852">
          <cell r="D3852" t="str">
            <v>Other Office Equipment</v>
          </cell>
          <cell r="F3852">
            <v>0</v>
          </cell>
        </row>
        <row r="3853">
          <cell r="D3853" t="str">
            <v>Other Office Equipment</v>
          </cell>
          <cell r="F3853">
            <v>0</v>
          </cell>
        </row>
        <row r="3854">
          <cell r="D3854" t="str">
            <v>Other Office Equipment</v>
          </cell>
          <cell r="F3854">
            <v>0</v>
          </cell>
        </row>
        <row r="3855">
          <cell r="D3855" t="str">
            <v>Other Office Equipment</v>
          </cell>
          <cell r="F3855">
            <v>0</v>
          </cell>
        </row>
        <row r="3856">
          <cell r="D3856" t="str">
            <v>Other Office Equipment</v>
          </cell>
          <cell r="F3856">
            <v>0</v>
          </cell>
        </row>
        <row r="3857">
          <cell r="D3857" t="str">
            <v>Other Office Equipment</v>
          </cell>
          <cell r="F3857">
            <v>0</v>
          </cell>
        </row>
        <row r="3858">
          <cell r="D3858" t="str">
            <v>Other Office Equipment</v>
          </cell>
          <cell r="F3858">
            <v>0</v>
          </cell>
        </row>
        <row r="3859">
          <cell r="D3859" t="str">
            <v>Other Office Equipment</v>
          </cell>
          <cell r="F3859">
            <v>0</v>
          </cell>
        </row>
        <row r="3860">
          <cell r="D3860" t="str">
            <v>Other Office Equipment</v>
          </cell>
          <cell r="F3860">
            <v>0</v>
          </cell>
        </row>
        <row r="3861">
          <cell r="D3861" t="str">
            <v>Other Office Equipment</v>
          </cell>
          <cell r="F3861">
            <v>0</v>
          </cell>
        </row>
        <row r="3862">
          <cell r="D3862" t="str">
            <v>Other Office Equipment</v>
          </cell>
          <cell r="F3862">
            <v>0</v>
          </cell>
        </row>
        <row r="3863">
          <cell r="D3863" t="str">
            <v>Other Office Equipment</v>
          </cell>
          <cell r="F3863">
            <v>0</v>
          </cell>
        </row>
        <row r="3864">
          <cell r="D3864" t="str">
            <v>Other Office Equipment</v>
          </cell>
          <cell r="F3864">
            <v>0</v>
          </cell>
        </row>
        <row r="3865">
          <cell r="D3865" t="str">
            <v>Other Office Equipment</v>
          </cell>
          <cell r="F3865">
            <v>0</v>
          </cell>
        </row>
        <row r="3866">
          <cell r="D3866" t="str">
            <v>Other Office Equipment</v>
          </cell>
          <cell r="F3866">
            <v>0</v>
          </cell>
        </row>
        <row r="3867">
          <cell r="D3867" t="str">
            <v>Other Office Equipment</v>
          </cell>
          <cell r="F3867">
            <v>0</v>
          </cell>
        </row>
        <row r="3868">
          <cell r="D3868" t="str">
            <v>Other Office Equipment</v>
          </cell>
          <cell r="F3868">
            <v>0</v>
          </cell>
        </row>
        <row r="3869">
          <cell r="D3869" t="str">
            <v>Other Office Equipment</v>
          </cell>
          <cell r="F3869">
            <v>0</v>
          </cell>
        </row>
        <row r="3870">
          <cell r="D3870" t="str">
            <v>Other Office Equipment</v>
          </cell>
          <cell r="F3870">
            <v>0</v>
          </cell>
        </row>
        <row r="3871">
          <cell r="D3871" t="str">
            <v>Other Office Equipment</v>
          </cell>
          <cell r="F3871">
            <v>0</v>
          </cell>
        </row>
        <row r="3872">
          <cell r="D3872" t="str">
            <v>Other Office Equipment</v>
          </cell>
          <cell r="F3872">
            <v>0</v>
          </cell>
        </row>
        <row r="3873">
          <cell r="D3873" t="str">
            <v>Other Office Equipment</v>
          </cell>
          <cell r="F3873">
            <v>0</v>
          </cell>
        </row>
        <row r="3874">
          <cell r="D3874" t="str">
            <v>Other Office Equipment</v>
          </cell>
          <cell r="F3874">
            <v>0</v>
          </cell>
        </row>
        <row r="3875">
          <cell r="D3875" t="str">
            <v>Other Office Equipment</v>
          </cell>
          <cell r="F3875">
            <v>0</v>
          </cell>
        </row>
        <row r="3876">
          <cell r="D3876" t="str">
            <v>Other Office Equipment</v>
          </cell>
          <cell r="F3876">
            <v>0</v>
          </cell>
        </row>
        <row r="3877">
          <cell r="D3877" t="str">
            <v>Other Office Equipment</v>
          </cell>
          <cell r="F3877">
            <v>0</v>
          </cell>
        </row>
        <row r="3878">
          <cell r="D3878" t="str">
            <v>Other Office Equipment</v>
          </cell>
          <cell r="F3878">
            <v>0</v>
          </cell>
        </row>
        <row r="3879">
          <cell r="D3879" t="str">
            <v>Other Office Equipment</v>
          </cell>
          <cell r="F3879">
            <v>0</v>
          </cell>
        </row>
        <row r="3880">
          <cell r="D3880" t="str">
            <v>Other Office Equipment</v>
          </cell>
          <cell r="F3880">
            <v>0</v>
          </cell>
        </row>
        <row r="3881">
          <cell r="D3881" t="str">
            <v>Other Office Equipment</v>
          </cell>
          <cell r="F3881">
            <v>0</v>
          </cell>
        </row>
        <row r="3882">
          <cell r="D3882" t="str">
            <v>Other Office Equipment</v>
          </cell>
          <cell r="F3882">
            <v>0</v>
          </cell>
        </row>
        <row r="3883">
          <cell r="D3883" t="str">
            <v>Other Office Equipment</v>
          </cell>
          <cell r="F3883">
            <v>0</v>
          </cell>
        </row>
        <row r="3884">
          <cell r="D3884" t="str">
            <v>Other Office Equipment</v>
          </cell>
          <cell r="F3884">
            <v>0</v>
          </cell>
        </row>
        <row r="3885">
          <cell r="D3885" t="str">
            <v>Other Office Equipment</v>
          </cell>
          <cell r="F3885">
            <v>0</v>
          </cell>
        </row>
        <row r="3886">
          <cell r="D3886" t="str">
            <v>Other Office Equipment</v>
          </cell>
          <cell r="F3886">
            <v>0</v>
          </cell>
        </row>
        <row r="3887">
          <cell r="D3887" t="str">
            <v>Other Office Equipment</v>
          </cell>
          <cell r="F3887">
            <v>0</v>
          </cell>
        </row>
        <row r="3888">
          <cell r="D3888" t="str">
            <v>Other Office Equipment</v>
          </cell>
          <cell r="F3888">
            <v>0</v>
          </cell>
        </row>
        <row r="3889">
          <cell r="D3889" t="str">
            <v>Other Office Equipment</v>
          </cell>
          <cell r="F3889">
            <v>0</v>
          </cell>
        </row>
        <row r="3890">
          <cell r="D3890" t="str">
            <v>Other Office Equipment</v>
          </cell>
          <cell r="F3890">
            <v>0</v>
          </cell>
        </row>
        <row r="3891">
          <cell r="D3891" t="str">
            <v>Other Office Equipment</v>
          </cell>
          <cell r="F3891">
            <v>0</v>
          </cell>
        </row>
        <row r="3892">
          <cell r="D3892" t="str">
            <v>Other Office Equipment</v>
          </cell>
          <cell r="F3892">
            <v>0</v>
          </cell>
        </row>
        <row r="3893">
          <cell r="D3893" t="str">
            <v>Other Office Equipment</v>
          </cell>
          <cell r="F3893">
            <v>0</v>
          </cell>
        </row>
        <row r="3894">
          <cell r="D3894" t="str">
            <v>Other Office Equipment</v>
          </cell>
          <cell r="F3894">
            <v>0</v>
          </cell>
        </row>
        <row r="3895">
          <cell r="D3895" t="str">
            <v>Other Office Equipment</v>
          </cell>
          <cell r="F3895">
            <v>0</v>
          </cell>
        </row>
        <row r="3896">
          <cell r="D3896" t="str">
            <v>Other Office Equipment</v>
          </cell>
          <cell r="F3896">
            <v>0</v>
          </cell>
        </row>
        <row r="3897">
          <cell r="D3897" t="str">
            <v>Other Office Equipment</v>
          </cell>
          <cell r="F3897">
            <v>0</v>
          </cell>
        </row>
        <row r="3898">
          <cell r="D3898" t="str">
            <v>Other Office Equipment</v>
          </cell>
          <cell r="F3898">
            <v>0</v>
          </cell>
        </row>
        <row r="3899">
          <cell r="D3899" t="str">
            <v>Other Office Equipment</v>
          </cell>
          <cell r="F3899">
            <v>0</v>
          </cell>
        </row>
        <row r="3900">
          <cell r="D3900" t="str">
            <v>Other Office Equipment</v>
          </cell>
          <cell r="F3900">
            <v>0</v>
          </cell>
        </row>
        <row r="3901">
          <cell r="D3901" t="str">
            <v>Other Office Equipment</v>
          </cell>
          <cell r="F3901">
            <v>0</v>
          </cell>
        </row>
        <row r="3902">
          <cell r="D3902" t="str">
            <v>Other Office Equipment</v>
          </cell>
          <cell r="F3902">
            <v>0</v>
          </cell>
        </row>
        <row r="3903">
          <cell r="D3903" t="str">
            <v>Other Office Equipment</v>
          </cell>
          <cell r="F3903">
            <v>0</v>
          </cell>
        </row>
        <row r="3904">
          <cell r="D3904" t="str">
            <v>Other Office Equipment</v>
          </cell>
          <cell r="F3904">
            <v>0</v>
          </cell>
        </row>
        <row r="3905">
          <cell r="D3905" t="str">
            <v>Other Office Equipment</v>
          </cell>
          <cell r="F3905">
            <v>0</v>
          </cell>
        </row>
        <row r="3906">
          <cell r="D3906" t="str">
            <v>Other Office Equipment</v>
          </cell>
          <cell r="F3906">
            <v>0</v>
          </cell>
        </row>
        <row r="3907">
          <cell r="D3907" t="str">
            <v>Other Office Equipment</v>
          </cell>
          <cell r="F3907">
            <v>0</v>
          </cell>
        </row>
        <row r="3908">
          <cell r="D3908" t="str">
            <v>Other Office Equipment</v>
          </cell>
          <cell r="F3908">
            <v>0</v>
          </cell>
        </row>
        <row r="3909">
          <cell r="D3909" t="str">
            <v>Other Office Equipment</v>
          </cell>
          <cell r="F3909">
            <v>0</v>
          </cell>
        </row>
        <row r="3910">
          <cell r="D3910" t="str">
            <v>Other Office Equipment</v>
          </cell>
          <cell r="F3910">
            <v>0</v>
          </cell>
        </row>
        <row r="3911">
          <cell r="D3911" t="str">
            <v>Other Office Equipment</v>
          </cell>
          <cell r="F3911">
            <v>0</v>
          </cell>
        </row>
        <row r="3912">
          <cell r="D3912" t="str">
            <v>Other Office Equipment</v>
          </cell>
          <cell r="F3912">
            <v>0</v>
          </cell>
        </row>
        <row r="3913">
          <cell r="D3913" t="str">
            <v>Other Office Equipment</v>
          </cell>
          <cell r="F3913">
            <v>0</v>
          </cell>
        </row>
        <row r="3914">
          <cell r="D3914" t="str">
            <v>Other Office Equipment</v>
          </cell>
          <cell r="F3914">
            <v>0</v>
          </cell>
        </row>
        <row r="3915">
          <cell r="D3915" t="str">
            <v>Other Office Equipment</v>
          </cell>
          <cell r="F3915">
            <v>0</v>
          </cell>
        </row>
        <row r="3916">
          <cell r="D3916" t="str">
            <v>Other Office Equipment</v>
          </cell>
          <cell r="F3916">
            <v>0</v>
          </cell>
        </row>
        <row r="3917">
          <cell r="D3917" t="str">
            <v>Other Office Equipment</v>
          </cell>
          <cell r="F3917">
            <v>0</v>
          </cell>
        </row>
        <row r="3918">
          <cell r="D3918" t="str">
            <v>Other Office Equipment</v>
          </cell>
          <cell r="F3918">
            <v>0</v>
          </cell>
        </row>
        <row r="3919">
          <cell r="D3919" t="str">
            <v>Other Office Equipment</v>
          </cell>
          <cell r="F3919">
            <v>0</v>
          </cell>
        </row>
        <row r="3920">
          <cell r="D3920" t="str">
            <v>Other Office Equipment</v>
          </cell>
          <cell r="F3920">
            <v>0</v>
          </cell>
        </row>
        <row r="3921">
          <cell r="D3921" t="str">
            <v>Other Office Equipment</v>
          </cell>
          <cell r="F3921">
            <v>0</v>
          </cell>
        </row>
        <row r="3922">
          <cell r="D3922" t="str">
            <v>Other Office Equipment</v>
          </cell>
          <cell r="F3922">
            <v>0</v>
          </cell>
        </row>
        <row r="3923">
          <cell r="D3923" t="str">
            <v>Other Office Equipment</v>
          </cell>
          <cell r="F3923">
            <v>0</v>
          </cell>
        </row>
        <row r="3924">
          <cell r="D3924" t="str">
            <v>Other Office Equipment</v>
          </cell>
          <cell r="F3924">
            <v>0</v>
          </cell>
        </row>
        <row r="3925">
          <cell r="D3925" t="str">
            <v>Other Office Equipment</v>
          </cell>
          <cell r="F3925">
            <v>0</v>
          </cell>
        </row>
        <row r="3926">
          <cell r="D3926" t="str">
            <v>Other Office Equipment</v>
          </cell>
          <cell r="F3926">
            <v>0</v>
          </cell>
        </row>
        <row r="3927">
          <cell r="D3927" t="str">
            <v>Other Office Equipment</v>
          </cell>
          <cell r="F3927">
            <v>0</v>
          </cell>
        </row>
        <row r="3928">
          <cell r="D3928" t="str">
            <v>Other Office Equipment</v>
          </cell>
          <cell r="F3928">
            <v>0</v>
          </cell>
        </row>
        <row r="3929">
          <cell r="D3929" t="str">
            <v>Other Office Equipment</v>
          </cell>
          <cell r="F3929">
            <v>0</v>
          </cell>
        </row>
        <row r="3930">
          <cell r="D3930" t="str">
            <v>Other Office Equipment</v>
          </cell>
          <cell r="F3930">
            <v>0</v>
          </cell>
        </row>
        <row r="3931">
          <cell r="D3931" t="str">
            <v>Other Office Equipment</v>
          </cell>
          <cell r="F3931">
            <v>0</v>
          </cell>
        </row>
        <row r="3932">
          <cell r="D3932" t="str">
            <v>Other Office Equipment</v>
          </cell>
          <cell r="F3932">
            <v>0</v>
          </cell>
        </row>
        <row r="3933">
          <cell r="D3933" t="str">
            <v>Other Office Equipment</v>
          </cell>
          <cell r="F3933">
            <v>0</v>
          </cell>
        </row>
        <row r="3934">
          <cell r="D3934" t="str">
            <v>Other Office Equipment</v>
          </cell>
          <cell r="F3934">
            <v>0</v>
          </cell>
        </row>
        <row r="3935">
          <cell r="D3935" t="str">
            <v>Other Office Equipment</v>
          </cell>
          <cell r="F3935">
            <v>0</v>
          </cell>
        </row>
        <row r="3936">
          <cell r="D3936" t="str">
            <v>Other Office Equipment</v>
          </cell>
          <cell r="F3936">
            <v>0</v>
          </cell>
        </row>
        <row r="3937">
          <cell r="D3937" t="str">
            <v>Other Office Equipment</v>
          </cell>
          <cell r="F3937">
            <v>0</v>
          </cell>
        </row>
        <row r="3938">
          <cell r="D3938" t="str">
            <v>Other Office Equipment</v>
          </cell>
          <cell r="F3938">
            <v>0</v>
          </cell>
        </row>
        <row r="3939">
          <cell r="D3939" t="str">
            <v>Other Office Equipment</v>
          </cell>
          <cell r="F3939">
            <v>0</v>
          </cell>
        </row>
        <row r="3940">
          <cell r="D3940" t="str">
            <v>Other Office Equipment</v>
          </cell>
          <cell r="F3940">
            <v>0</v>
          </cell>
        </row>
        <row r="3941">
          <cell r="D3941" t="str">
            <v>Other Office Equipment</v>
          </cell>
          <cell r="F3941">
            <v>0</v>
          </cell>
        </row>
        <row r="3942">
          <cell r="D3942" t="str">
            <v>Other Office Equipment</v>
          </cell>
          <cell r="F3942">
            <v>0</v>
          </cell>
        </row>
        <row r="3943">
          <cell r="D3943" t="str">
            <v>Other Office Equipment</v>
          </cell>
          <cell r="F3943">
            <v>0</v>
          </cell>
        </row>
        <row r="3944">
          <cell r="D3944" t="str">
            <v>Other Office Equipment</v>
          </cell>
          <cell r="F3944">
            <v>0</v>
          </cell>
        </row>
        <row r="3945">
          <cell r="D3945" t="str">
            <v>Other Office Equipment</v>
          </cell>
          <cell r="F3945">
            <v>0</v>
          </cell>
        </row>
        <row r="3946">
          <cell r="D3946" t="str">
            <v>Other Office Equipment</v>
          </cell>
          <cell r="F3946">
            <v>0</v>
          </cell>
        </row>
        <row r="3947">
          <cell r="D3947" t="str">
            <v>Other Office Equipment</v>
          </cell>
          <cell r="F3947">
            <v>0</v>
          </cell>
        </row>
        <row r="3948">
          <cell r="D3948" t="str">
            <v>Other Office Equipment</v>
          </cell>
          <cell r="F3948">
            <v>0</v>
          </cell>
        </row>
        <row r="3949">
          <cell r="D3949" t="str">
            <v>Other Office Equipment</v>
          </cell>
          <cell r="F3949">
            <v>0</v>
          </cell>
        </row>
        <row r="3950">
          <cell r="D3950" t="str">
            <v>Other Office Equipment</v>
          </cell>
          <cell r="F3950">
            <v>0</v>
          </cell>
        </row>
        <row r="3951">
          <cell r="D3951" t="str">
            <v>Other Office Equipment</v>
          </cell>
          <cell r="F3951">
            <v>0</v>
          </cell>
        </row>
        <row r="3952">
          <cell r="D3952" t="str">
            <v>Other Office Equipment</v>
          </cell>
          <cell r="F3952">
            <v>0</v>
          </cell>
        </row>
        <row r="3953">
          <cell r="D3953" t="str">
            <v>Other Office Equipment</v>
          </cell>
          <cell r="F3953">
            <v>0</v>
          </cell>
        </row>
        <row r="3954">
          <cell r="D3954" t="str">
            <v>Other Office Equipment</v>
          </cell>
          <cell r="F3954">
            <v>0</v>
          </cell>
        </row>
        <row r="3955">
          <cell r="D3955" t="str">
            <v>Other Office Equipment</v>
          </cell>
          <cell r="F3955">
            <v>0</v>
          </cell>
        </row>
        <row r="3956">
          <cell r="D3956" t="str">
            <v>Other Office Equipment</v>
          </cell>
          <cell r="F3956">
            <v>0</v>
          </cell>
        </row>
        <row r="3957">
          <cell r="D3957" t="str">
            <v>Other Office Equipment</v>
          </cell>
          <cell r="F3957">
            <v>0</v>
          </cell>
        </row>
        <row r="3958">
          <cell r="D3958" t="str">
            <v>Other Office Equipment</v>
          </cell>
          <cell r="F3958">
            <v>0</v>
          </cell>
        </row>
        <row r="3959">
          <cell r="D3959" t="str">
            <v>Other Office Equipment</v>
          </cell>
          <cell r="F3959">
            <v>0</v>
          </cell>
        </row>
        <row r="3960">
          <cell r="D3960" t="str">
            <v>Other Office Equipment</v>
          </cell>
          <cell r="F3960">
            <v>0</v>
          </cell>
        </row>
        <row r="3961">
          <cell r="D3961" t="str">
            <v>Other Office Equipment</v>
          </cell>
          <cell r="F3961">
            <v>0</v>
          </cell>
        </row>
        <row r="3962">
          <cell r="D3962" t="str">
            <v>Other Office Equipment</v>
          </cell>
          <cell r="F3962">
            <v>0</v>
          </cell>
        </row>
        <row r="3963">
          <cell r="D3963" t="str">
            <v>Other Office Equipment</v>
          </cell>
          <cell r="F3963">
            <v>0</v>
          </cell>
        </row>
        <row r="3964">
          <cell r="D3964" t="str">
            <v>Other Office Equipment</v>
          </cell>
          <cell r="F3964">
            <v>0</v>
          </cell>
        </row>
        <row r="3965">
          <cell r="D3965" t="str">
            <v>Other Office Equipment</v>
          </cell>
          <cell r="F3965">
            <v>0</v>
          </cell>
        </row>
        <row r="3966">
          <cell r="D3966" t="str">
            <v>Other Office Equipment</v>
          </cell>
          <cell r="F3966">
            <v>0</v>
          </cell>
        </row>
        <row r="3967">
          <cell r="D3967" t="str">
            <v>Other Office Equipment</v>
          </cell>
          <cell r="F3967">
            <v>0</v>
          </cell>
        </row>
        <row r="3968">
          <cell r="D3968" t="str">
            <v>Other Office Equipment</v>
          </cell>
          <cell r="F3968">
            <v>0</v>
          </cell>
        </row>
        <row r="3969">
          <cell r="D3969" t="str">
            <v>Other Office Equipment</v>
          </cell>
          <cell r="F3969">
            <v>0</v>
          </cell>
        </row>
        <row r="3970">
          <cell r="D3970" t="str">
            <v>Other Office Equipment</v>
          </cell>
          <cell r="F3970">
            <v>0</v>
          </cell>
        </row>
        <row r="3971">
          <cell r="D3971" t="str">
            <v>Other Office Equipment</v>
          </cell>
          <cell r="F3971">
            <v>0</v>
          </cell>
        </row>
        <row r="3972">
          <cell r="D3972" t="str">
            <v>Other Office Equipment</v>
          </cell>
          <cell r="F3972">
            <v>0</v>
          </cell>
        </row>
        <row r="3973">
          <cell r="D3973" t="str">
            <v>Other Office Equipment</v>
          </cell>
          <cell r="F3973">
            <v>0</v>
          </cell>
        </row>
        <row r="3974">
          <cell r="D3974" t="str">
            <v>Other Office Equipment</v>
          </cell>
          <cell r="F3974">
            <v>0</v>
          </cell>
        </row>
        <row r="3975">
          <cell r="D3975" t="str">
            <v>Other Office Equipment</v>
          </cell>
          <cell r="F3975">
            <v>0</v>
          </cell>
        </row>
        <row r="3976">
          <cell r="D3976" t="str">
            <v>Other Office Equipment</v>
          </cell>
          <cell r="F3976">
            <v>0</v>
          </cell>
        </row>
        <row r="3977">
          <cell r="D3977" t="str">
            <v>Other Office Equipment</v>
          </cell>
          <cell r="F3977">
            <v>0</v>
          </cell>
        </row>
        <row r="3978">
          <cell r="D3978" t="str">
            <v>Other Office Equipment</v>
          </cell>
          <cell r="F3978">
            <v>0</v>
          </cell>
        </row>
        <row r="3979">
          <cell r="D3979" t="str">
            <v>Other Office Equipment</v>
          </cell>
          <cell r="F3979">
            <v>0</v>
          </cell>
        </row>
        <row r="3980">
          <cell r="D3980" t="str">
            <v>Other Office Equipment</v>
          </cell>
          <cell r="F3980">
            <v>0</v>
          </cell>
        </row>
        <row r="3981">
          <cell r="D3981" t="str">
            <v>Other Office Equipment</v>
          </cell>
          <cell r="F3981">
            <v>0</v>
          </cell>
        </row>
        <row r="3982">
          <cell r="D3982" t="str">
            <v>Other Office Equipment</v>
          </cell>
          <cell r="F3982">
            <v>0</v>
          </cell>
        </row>
        <row r="3983">
          <cell r="D3983" t="str">
            <v>Other Office Equipment</v>
          </cell>
          <cell r="F3983">
            <v>0</v>
          </cell>
        </row>
        <row r="3984">
          <cell r="D3984" t="str">
            <v>Other Office Equipment</v>
          </cell>
          <cell r="F3984">
            <v>0</v>
          </cell>
        </row>
        <row r="3985">
          <cell r="D3985" t="str">
            <v>Other Office Equipment</v>
          </cell>
          <cell r="F3985">
            <v>0</v>
          </cell>
        </row>
        <row r="3986">
          <cell r="D3986" t="str">
            <v>Other Office Equipment</v>
          </cell>
          <cell r="F3986">
            <v>0</v>
          </cell>
        </row>
        <row r="3987">
          <cell r="D3987" t="str">
            <v>Other Office Equipment</v>
          </cell>
          <cell r="F3987">
            <v>0</v>
          </cell>
        </row>
        <row r="3988">
          <cell r="D3988" t="str">
            <v>Other Office Equipment</v>
          </cell>
          <cell r="F3988">
            <v>0</v>
          </cell>
        </row>
        <row r="3989">
          <cell r="D3989" t="str">
            <v>Other Office Equipment</v>
          </cell>
          <cell r="F3989">
            <v>0</v>
          </cell>
        </row>
        <row r="3990">
          <cell r="D3990" t="str">
            <v>Other Office Equipment</v>
          </cell>
          <cell r="F3990">
            <v>0</v>
          </cell>
        </row>
        <row r="3991">
          <cell r="D3991" t="str">
            <v>Other Office Equipment</v>
          </cell>
          <cell r="F3991">
            <v>0</v>
          </cell>
        </row>
        <row r="3992">
          <cell r="D3992" t="str">
            <v>Other Office Equipment</v>
          </cell>
          <cell r="F3992">
            <v>0</v>
          </cell>
        </row>
        <row r="3993">
          <cell r="D3993" t="str">
            <v>Other Office Equipment</v>
          </cell>
          <cell r="F3993">
            <v>0</v>
          </cell>
        </row>
        <row r="3994">
          <cell r="D3994" t="str">
            <v>Other Office Equipment</v>
          </cell>
          <cell r="F3994">
            <v>0</v>
          </cell>
        </row>
        <row r="3995">
          <cell r="D3995" t="str">
            <v>Other Office Equipment</v>
          </cell>
          <cell r="F3995">
            <v>0</v>
          </cell>
        </row>
        <row r="3996">
          <cell r="D3996" t="str">
            <v>Other Office Equipment</v>
          </cell>
          <cell r="F3996">
            <v>0</v>
          </cell>
        </row>
        <row r="3997">
          <cell r="D3997" t="str">
            <v>Other Office Equipment</v>
          </cell>
          <cell r="F3997">
            <v>0</v>
          </cell>
        </row>
        <row r="3998">
          <cell r="D3998" t="str">
            <v>Other Office Equipment</v>
          </cell>
          <cell r="F3998">
            <v>0</v>
          </cell>
        </row>
        <row r="3999">
          <cell r="D3999" t="str">
            <v>Other Office Equipment</v>
          </cell>
          <cell r="F3999">
            <v>0</v>
          </cell>
        </row>
        <row r="4000">
          <cell r="D4000" t="str">
            <v>Other Office Equipment</v>
          </cell>
          <cell r="F4000">
            <v>0</v>
          </cell>
        </row>
        <row r="4001">
          <cell r="D4001" t="str">
            <v>Other Office Equipment</v>
          </cell>
          <cell r="F4001">
            <v>0</v>
          </cell>
        </row>
        <row r="4002">
          <cell r="D4002" t="str">
            <v>Other Office Equipment</v>
          </cell>
          <cell r="F4002">
            <v>0</v>
          </cell>
        </row>
        <row r="4003">
          <cell r="D4003" t="str">
            <v>Other Office Equipment</v>
          </cell>
          <cell r="F4003">
            <v>0</v>
          </cell>
        </row>
        <row r="4004">
          <cell r="D4004" t="str">
            <v>Other Office Equipment</v>
          </cell>
          <cell r="F4004">
            <v>0</v>
          </cell>
        </row>
        <row r="4005">
          <cell r="D4005" t="str">
            <v>Other Office Equipment</v>
          </cell>
          <cell r="F4005">
            <v>0</v>
          </cell>
        </row>
        <row r="4006">
          <cell r="D4006" t="str">
            <v>Other Office Equipment</v>
          </cell>
          <cell r="F4006">
            <v>0</v>
          </cell>
        </row>
        <row r="4007">
          <cell r="D4007" t="str">
            <v>Other Office Equipment</v>
          </cell>
          <cell r="F4007">
            <v>0</v>
          </cell>
        </row>
        <row r="4008">
          <cell r="D4008" t="str">
            <v>Other Office Equipment</v>
          </cell>
          <cell r="F4008">
            <v>0</v>
          </cell>
        </row>
        <row r="4009">
          <cell r="D4009" t="str">
            <v>Other Office Equipment</v>
          </cell>
          <cell r="F4009">
            <v>0</v>
          </cell>
        </row>
        <row r="4010">
          <cell r="D4010" t="str">
            <v>Other Office Equipment</v>
          </cell>
          <cell r="F4010">
            <v>0</v>
          </cell>
        </row>
        <row r="4011">
          <cell r="D4011" t="str">
            <v>Other Office Equipment</v>
          </cell>
          <cell r="F4011">
            <v>0</v>
          </cell>
        </row>
        <row r="4012">
          <cell r="D4012" t="str">
            <v>Other Office Equipment</v>
          </cell>
          <cell r="F4012">
            <v>0</v>
          </cell>
        </row>
        <row r="4013">
          <cell r="D4013" t="str">
            <v>Other Office Equipment</v>
          </cell>
          <cell r="F4013">
            <v>0</v>
          </cell>
        </row>
        <row r="4014">
          <cell r="D4014" t="str">
            <v>Other Office Equipment</v>
          </cell>
          <cell r="F4014">
            <v>0</v>
          </cell>
        </row>
        <row r="4015">
          <cell r="D4015" t="str">
            <v>Other Office Equipment</v>
          </cell>
          <cell r="F4015">
            <v>0</v>
          </cell>
        </row>
        <row r="4016">
          <cell r="D4016" t="str">
            <v>Other Office Equipment</v>
          </cell>
          <cell r="F4016">
            <v>0</v>
          </cell>
        </row>
        <row r="4017">
          <cell r="D4017" t="str">
            <v>Other Office Equipment</v>
          </cell>
          <cell r="F4017">
            <v>0</v>
          </cell>
        </row>
        <row r="4018">
          <cell r="D4018" t="str">
            <v>Other Office Equipment</v>
          </cell>
          <cell r="F4018">
            <v>0</v>
          </cell>
        </row>
        <row r="4019">
          <cell r="D4019" t="str">
            <v>Other Office Equipment</v>
          </cell>
          <cell r="F4019">
            <v>0</v>
          </cell>
        </row>
        <row r="4020">
          <cell r="D4020" t="str">
            <v>Other Office Equipment</v>
          </cell>
          <cell r="F4020">
            <v>0</v>
          </cell>
        </row>
        <row r="4021">
          <cell r="D4021" t="str">
            <v>Other Office Equipment</v>
          </cell>
          <cell r="F4021">
            <v>0</v>
          </cell>
        </row>
        <row r="4022">
          <cell r="D4022" t="str">
            <v>Other Office Equipment</v>
          </cell>
          <cell r="F4022">
            <v>0</v>
          </cell>
        </row>
        <row r="4023">
          <cell r="D4023" t="str">
            <v>Other Office Equipment</v>
          </cell>
          <cell r="F4023">
            <v>0</v>
          </cell>
        </row>
        <row r="4024">
          <cell r="D4024" t="str">
            <v>Other Office Equipment</v>
          </cell>
          <cell r="F4024">
            <v>0</v>
          </cell>
        </row>
        <row r="4025">
          <cell r="D4025" t="str">
            <v>Other Office Equipment</v>
          </cell>
          <cell r="F4025">
            <v>0</v>
          </cell>
        </row>
        <row r="4026">
          <cell r="D4026" t="str">
            <v>Other Office Equipment</v>
          </cell>
          <cell r="F4026">
            <v>0</v>
          </cell>
        </row>
        <row r="4027">
          <cell r="D4027" t="str">
            <v>Other Office Equipment</v>
          </cell>
          <cell r="F4027">
            <v>0</v>
          </cell>
        </row>
        <row r="4028">
          <cell r="D4028" t="str">
            <v>Other Office Equipment</v>
          </cell>
          <cell r="F4028">
            <v>0</v>
          </cell>
        </row>
        <row r="4029">
          <cell r="D4029" t="str">
            <v>Other Office Equipment</v>
          </cell>
          <cell r="F4029">
            <v>0</v>
          </cell>
        </row>
        <row r="4030">
          <cell r="D4030" t="str">
            <v>Other Office Equipment</v>
          </cell>
          <cell r="F4030">
            <v>0</v>
          </cell>
        </row>
        <row r="4031">
          <cell r="D4031" t="str">
            <v>Other Office Equipment</v>
          </cell>
          <cell r="F4031">
            <v>0</v>
          </cell>
        </row>
        <row r="4032">
          <cell r="D4032" t="str">
            <v>Other Office Equipment</v>
          </cell>
          <cell r="F4032">
            <v>0</v>
          </cell>
        </row>
        <row r="4033">
          <cell r="D4033" t="str">
            <v>Other Office Equipment</v>
          </cell>
          <cell r="F4033">
            <v>0</v>
          </cell>
        </row>
        <row r="4034">
          <cell r="D4034" t="str">
            <v>Other Office Equipment</v>
          </cell>
          <cell r="F4034">
            <v>0</v>
          </cell>
        </row>
        <row r="4035">
          <cell r="D4035" t="str">
            <v>Other Office Equipment</v>
          </cell>
          <cell r="F4035">
            <v>0</v>
          </cell>
        </row>
        <row r="4036">
          <cell r="D4036" t="str">
            <v>Other Office Equipment</v>
          </cell>
          <cell r="F4036">
            <v>0</v>
          </cell>
        </row>
        <row r="4037">
          <cell r="D4037" t="str">
            <v>Other Office Equipment</v>
          </cell>
          <cell r="F4037">
            <v>0</v>
          </cell>
        </row>
        <row r="4038">
          <cell r="D4038" t="str">
            <v>Other Office Equipment</v>
          </cell>
          <cell r="F4038">
            <v>0</v>
          </cell>
        </row>
        <row r="4039">
          <cell r="D4039" t="str">
            <v>Other Office Equipment</v>
          </cell>
          <cell r="F4039">
            <v>0</v>
          </cell>
        </row>
        <row r="4040">
          <cell r="D4040" t="str">
            <v>Other Office Equipment</v>
          </cell>
          <cell r="F4040">
            <v>0</v>
          </cell>
        </row>
        <row r="4041">
          <cell r="D4041" t="str">
            <v>Other Office Equipment</v>
          </cell>
          <cell r="F4041">
            <v>0</v>
          </cell>
        </row>
        <row r="4042">
          <cell r="D4042" t="str">
            <v>Other Office Equipment</v>
          </cell>
          <cell r="F4042">
            <v>0</v>
          </cell>
        </row>
        <row r="4043">
          <cell r="D4043" t="str">
            <v>Other Office Equipment</v>
          </cell>
          <cell r="F4043">
            <v>0</v>
          </cell>
        </row>
        <row r="4044">
          <cell r="D4044" t="str">
            <v>Other Office Equipment</v>
          </cell>
          <cell r="F4044">
            <v>0</v>
          </cell>
        </row>
        <row r="4045">
          <cell r="D4045" t="str">
            <v>Other Office Equipment</v>
          </cell>
          <cell r="F4045">
            <v>0</v>
          </cell>
        </row>
        <row r="4046">
          <cell r="D4046" t="str">
            <v>Other Office Equipment</v>
          </cell>
          <cell r="F4046">
            <v>0</v>
          </cell>
        </row>
        <row r="4047">
          <cell r="D4047" t="str">
            <v>Other Office Equipment</v>
          </cell>
          <cell r="F4047">
            <v>0</v>
          </cell>
        </row>
        <row r="4048">
          <cell r="D4048" t="str">
            <v>Other Office Equipment</v>
          </cell>
          <cell r="F4048">
            <v>0</v>
          </cell>
        </row>
        <row r="4049">
          <cell r="D4049" t="str">
            <v>Other Office Equipment</v>
          </cell>
          <cell r="F4049">
            <v>0</v>
          </cell>
        </row>
        <row r="4050">
          <cell r="D4050" t="str">
            <v>Other Office Equipment</v>
          </cell>
          <cell r="F4050">
            <v>0</v>
          </cell>
        </row>
        <row r="4051">
          <cell r="D4051" t="str">
            <v>Other Office Equipment</v>
          </cell>
          <cell r="F4051">
            <v>0</v>
          </cell>
        </row>
        <row r="4052">
          <cell r="D4052" t="str">
            <v>Other Office Equipment</v>
          </cell>
          <cell r="F4052">
            <v>0</v>
          </cell>
        </row>
        <row r="4053">
          <cell r="D4053" t="str">
            <v>Other Office Equipment</v>
          </cell>
          <cell r="F4053">
            <v>0</v>
          </cell>
        </row>
        <row r="4054">
          <cell r="D4054" t="str">
            <v>Other Office Equipment</v>
          </cell>
          <cell r="F4054">
            <v>0</v>
          </cell>
        </row>
        <row r="4055">
          <cell r="D4055" t="str">
            <v>Other Office Equipment</v>
          </cell>
          <cell r="F4055">
            <v>0</v>
          </cell>
        </row>
        <row r="4056">
          <cell r="D4056" t="str">
            <v>Other Office Equipment</v>
          </cell>
          <cell r="F4056">
            <v>0</v>
          </cell>
        </row>
        <row r="4057">
          <cell r="D4057" t="str">
            <v>Other Office Equipment</v>
          </cell>
          <cell r="F4057">
            <v>0</v>
          </cell>
        </row>
        <row r="4058">
          <cell r="D4058" t="str">
            <v>Other Office Equipment</v>
          </cell>
          <cell r="F4058">
            <v>0</v>
          </cell>
        </row>
        <row r="4059">
          <cell r="D4059" t="str">
            <v>Other Office Equipment</v>
          </cell>
          <cell r="F4059">
            <v>0</v>
          </cell>
        </row>
        <row r="4060">
          <cell r="D4060" t="str">
            <v>Other Office Equipment</v>
          </cell>
          <cell r="F4060">
            <v>0</v>
          </cell>
        </row>
        <row r="4061">
          <cell r="D4061" t="str">
            <v>Other Office Equipment</v>
          </cell>
          <cell r="F4061">
            <v>0</v>
          </cell>
        </row>
        <row r="4062">
          <cell r="D4062" t="str">
            <v>Other Office Equipment</v>
          </cell>
          <cell r="F4062">
            <v>0</v>
          </cell>
        </row>
        <row r="4063">
          <cell r="D4063" t="str">
            <v>Other Office Equipment</v>
          </cell>
          <cell r="F4063">
            <v>0</v>
          </cell>
        </row>
        <row r="4064">
          <cell r="D4064" t="str">
            <v>Other Office Equipment</v>
          </cell>
          <cell r="F4064">
            <v>0</v>
          </cell>
        </row>
        <row r="4065">
          <cell r="D4065" t="str">
            <v>Other Office Equipment</v>
          </cell>
          <cell r="F4065">
            <v>0</v>
          </cell>
        </row>
        <row r="4066">
          <cell r="D4066" t="str">
            <v>Other Office Equipment</v>
          </cell>
          <cell r="F4066">
            <v>0</v>
          </cell>
        </row>
        <row r="4067">
          <cell r="D4067" t="str">
            <v>Other Office Equipment</v>
          </cell>
          <cell r="F4067">
            <v>0</v>
          </cell>
        </row>
        <row r="4068">
          <cell r="D4068" t="str">
            <v>Other Office Equipment</v>
          </cell>
          <cell r="F4068">
            <v>0</v>
          </cell>
        </row>
        <row r="4069">
          <cell r="D4069" t="str">
            <v>Other Office Equipment</v>
          </cell>
          <cell r="F4069">
            <v>0</v>
          </cell>
        </row>
        <row r="4070">
          <cell r="D4070" t="str">
            <v>Other Office Equipment</v>
          </cell>
          <cell r="F4070">
            <v>0</v>
          </cell>
        </row>
        <row r="4071">
          <cell r="D4071" t="str">
            <v>Other Office Equipment</v>
          </cell>
          <cell r="F4071">
            <v>0</v>
          </cell>
        </row>
        <row r="4072">
          <cell r="D4072" t="str">
            <v>Other Office Equipment</v>
          </cell>
          <cell r="F4072">
            <v>0</v>
          </cell>
        </row>
        <row r="4073">
          <cell r="D4073" t="str">
            <v>Other Office Equipment</v>
          </cell>
          <cell r="F4073">
            <v>0</v>
          </cell>
        </row>
        <row r="4074">
          <cell r="D4074" t="str">
            <v>Other Office Equipment</v>
          </cell>
          <cell r="F4074">
            <v>0</v>
          </cell>
        </row>
        <row r="4075">
          <cell r="D4075" t="str">
            <v>Other Office Equipment</v>
          </cell>
          <cell r="F4075">
            <v>0</v>
          </cell>
        </row>
        <row r="4076">
          <cell r="D4076" t="str">
            <v>Other Office Equipment</v>
          </cell>
          <cell r="F4076">
            <v>0</v>
          </cell>
        </row>
        <row r="4077">
          <cell r="D4077" t="str">
            <v>Other Office Equipment</v>
          </cell>
          <cell r="F4077">
            <v>0</v>
          </cell>
        </row>
        <row r="4078">
          <cell r="D4078" t="str">
            <v>Other Office Equipment</v>
          </cell>
          <cell r="F4078">
            <v>0</v>
          </cell>
        </row>
        <row r="4079">
          <cell r="D4079" t="str">
            <v>Other Office Equipment</v>
          </cell>
          <cell r="F4079">
            <v>0</v>
          </cell>
        </row>
        <row r="4080">
          <cell r="D4080" t="str">
            <v>Other Office Equipment</v>
          </cell>
          <cell r="F4080">
            <v>0</v>
          </cell>
        </row>
        <row r="4081">
          <cell r="D4081" t="str">
            <v>Other Office Equipment</v>
          </cell>
          <cell r="F4081">
            <v>0</v>
          </cell>
        </row>
        <row r="4082">
          <cell r="D4082" t="str">
            <v>Other Office Equipment</v>
          </cell>
          <cell r="F4082">
            <v>0</v>
          </cell>
        </row>
        <row r="4083">
          <cell r="D4083" t="str">
            <v>Other Office Equipment</v>
          </cell>
          <cell r="F4083">
            <v>0</v>
          </cell>
        </row>
        <row r="4084">
          <cell r="D4084" t="str">
            <v>Other Office Equipment</v>
          </cell>
          <cell r="F4084">
            <v>0</v>
          </cell>
        </row>
        <row r="4085">
          <cell r="D4085" t="str">
            <v>Other Office Equipment</v>
          </cell>
          <cell r="F4085">
            <v>0</v>
          </cell>
        </row>
        <row r="4086">
          <cell r="D4086" t="str">
            <v>Other Office Equipment</v>
          </cell>
          <cell r="F4086">
            <v>0</v>
          </cell>
        </row>
        <row r="4087">
          <cell r="D4087" t="str">
            <v>Other Office Equipment</v>
          </cell>
          <cell r="F4087">
            <v>0</v>
          </cell>
        </row>
        <row r="4088">
          <cell r="D4088" t="str">
            <v>Other Office Equipment</v>
          </cell>
          <cell r="F4088">
            <v>0</v>
          </cell>
        </row>
        <row r="4089">
          <cell r="D4089" t="str">
            <v>Other Office Equipment</v>
          </cell>
          <cell r="F4089">
            <v>0</v>
          </cell>
        </row>
        <row r="4090">
          <cell r="D4090" t="str">
            <v>Other Office Equipment</v>
          </cell>
          <cell r="F4090">
            <v>0</v>
          </cell>
        </row>
        <row r="4091">
          <cell r="D4091" t="str">
            <v>Other Office Equipment</v>
          </cell>
          <cell r="F4091">
            <v>0</v>
          </cell>
        </row>
        <row r="4092">
          <cell r="D4092" t="str">
            <v>IT&amp;NS</v>
          </cell>
          <cell r="F4092">
            <v>81310.674863387976</v>
          </cell>
          <cell r="G4092">
            <v>275</v>
          </cell>
          <cell r="H4092">
            <v>70929.613219552353</v>
          </cell>
        </row>
        <row r="4093">
          <cell r="D4093" t="str">
            <v>IT&amp;NS</v>
          </cell>
          <cell r="F4093">
            <v>102838.36885245901</v>
          </cell>
          <cell r="G4093">
            <v>275</v>
          </cell>
          <cell r="H4093">
            <v>89404.053783965865</v>
          </cell>
        </row>
        <row r="4094">
          <cell r="D4094" t="str">
            <v>IT&amp;NS</v>
          </cell>
          <cell r="F4094">
            <v>52134.491530054642</v>
          </cell>
          <cell r="G4094">
            <v>275</v>
          </cell>
          <cell r="H4094">
            <v>45478.399064301222</v>
          </cell>
        </row>
        <row r="4095">
          <cell r="D4095" t="str">
            <v>IT&amp;NS</v>
          </cell>
          <cell r="F4095">
            <v>52134.491530054642</v>
          </cell>
          <cell r="G4095">
            <v>275</v>
          </cell>
          <cell r="H4095">
            <v>45478.399064301222</v>
          </cell>
        </row>
        <row r="4096">
          <cell r="D4096" t="str">
            <v>IT&amp;NS</v>
          </cell>
          <cell r="F4096">
            <v>52134.491530054642</v>
          </cell>
          <cell r="G4096">
            <v>275</v>
          </cell>
          <cell r="H4096">
            <v>45478.399064301222</v>
          </cell>
        </row>
        <row r="4097">
          <cell r="D4097" t="str">
            <v>IT&amp;NS</v>
          </cell>
          <cell r="F4097">
            <v>52134.491530054642</v>
          </cell>
          <cell r="G4097">
            <v>275</v>
          </cell>
          <cell r="H4097">
            <v>45478.399064301222</v>
          </cell>
        </row>
        <row r="4098">
          <cell r="D4098" t="str">
            <v>IT&amp;NS</v>
          </cell>
          <cell r="F4098">
            <v>52134.491530054642</v>
          </cell>
          <cell r="G4098">
            <v>275</v>
          </cell>
          <cell r="H4098">
            <v>45478.399064301222</v>
          </cell>
        </row>
        <row r="4099">
          <cell r="D4099" t="str">
            <v>IT&amp;NS</v>
          </cell>
          <cell r="F4099">
            <v>50887.385245901642</v>
          </cell>
          <cell r="G4099">
            <v>275</v>
          </cell>
          <cell r="H4099">
            <v>44414.487985627668</v>
          </cell>
        </row>
        <row r="4100">
          <cell r="D4100" t="str">
            <v>IT&amp;NS</v>
          </cell>
          <cell r="F4100">
            <v>50887.385245901642</v>
          </cell>
          <cell r="G4100">
            <v>275</v>
          </cell>
          <cell r="H4100">
            <v>44414.487985627668</v>
          </cell>
        </row>
        <row r="4101">
          <cell r="D4101" t="str">
            <v>IT&amp;NS</v>
          </cell>
          <cell r="F4101">
            <v>50887.385245901642</v>
          </cell>
          <cell r="G4101">
            <v>275</v>
          </cell>
          <cell r="H4101">
            <v>44414.487985627668</v>
          </cell>
        </row>
        <row r="4102">
          <cell r="D4102" t="str">
            <v>IT&amp;NS</v>
          </cell>
          <cell r="F4102">
            <v>50887.385245901642</v>
          </cell>
          <cell r="G4102">
            <v>275</v>
          </cell>
          <cell r="H4102">
            <v>44414.487985627668</v>
          </cell>
        </row>
        <row r="4103">
          <cell r="D4103" t="str">
            <v>IT&amp;NS</v>
          </cell>
          <cell r="F4103">
            <v>50887.385245901642</v>
          </cell>
          <cell r="G4103">
            <v>275</v>
          </cell>
          <cell r="H4103">
            <v>44414.487985627668</v>
          </cell>
        </row>
        <row r="4104">
          <cell r="D4104" t="str">
            <v>IT&amp;NS</v>
          </cell>
          <cell r="F4104">
            <v>50887.385245901642</v>
          </cell>
          <cell r="G4104">
            <v>275</v>
          </cell>
          <cell r="H4104">
            <v>44414.487985627668</v>
          </cell>
        </row>
        <row r="4105">
          <cell r="D4105" t="str">
            <v>IT&amp;NS</v>
          </cell>
          <cell r="F4105">
            <v>50887.385245901642</v>
          </cell>
          <cell r="G4105">
            <v>275</v>
          </cell>
          <cell r="H4105">
            <v>44414.487985627668</v>
          </cell>
        </row>
        <row r="4106">
          <cell r="D4106" t="str">
            <v>IT&amp;NS</v>
          </cell>
          <cell r="F4106">
            <v>50887.385245901642</v>
          </cell>
          <cell r="G4106">
            <v>275</v>
          </cell>
          <cell r="H4106">
            <v>44414.487985627668</v>
          </cell>
        </row>
        <row r="4107">
          <cell r="D4107" t="str">
            <v>IT&amp;NS</v>
          </cell>
          <cell r="F4107">
            <v>105040.09508196721</v>
          </cell>
          <cell r="G4107">
            <v>275</v>
          </cell>
          <cell r="H4107">
            <v>91788.975218953521</v>
          </cell>
        </row>
        <row r="4108">
          <cell r="D4108" t="str">
            <v>IT&amp;NS</v>
          </cell>
          <cell r="F4108">
            <v>95533.864754098366</v>
          </cell>
          <cell r="G4108">
            <v>275</v>
          </cell>
          <cell r="H4108">
            <v>83381.916123961375</v>
          </cell>
        </row>
        <row r="4109">
          <cell r="D4109" t="str">
            <v>IT&amp;NS</v>
          </cell>
          <cell r="F4109">
            <v>81611.844262295082</v>
          </cell>
          <cell r="G4109">
            <v>275</v>
          </cell>
          <cell r="H4109">
            <v>71230.78261845946</v>
          </cell>
        </row>
        <row r="4110">
          <cell r="D4110" t="str">
            <v>IT&amp;NS</v>
          </cell>
          <cell r="F4110">
            <v>79711.998360655736</v>
          </cell>
          <cell r="G4110">
            <v>275</v>
          </cell>
          <cell r="H4110">
            <v>69697.327127779019</v>
          </cell>
        </row>
        <row r="4111">
          <cell r="D4111" t="str">
            <v>IT&amp;NS</v>
          </cell>
          <cell r="F4111">
            <v>51568.116666666669</v>
          </cell>
          <cell r="G4111">
            <v>275</v>
          </cell>
          <cell r="H4111">
            <v>45095.219406392695</v>
          </cell>
        </row>
        <row r="4112">
          <cell r="D4112" t="str">
            <v>IT&amp;NS</v>
          </cell>
          <cell r="F4112">
            <v>51568.116666666669</v>
          </cell>
          <cell r="G4112">
            <v>275</v>
          </cell>
          <cell r="H4112">
            <v>45095.219406392695</v>
          </cell>
        </row>
        <row r="4113">
          <cell r="D4113" t="str">
            <v>IT&amp;NS</v>
          </cell>
          <cell r="F4113">
            <v>51568.116666666669</v>
          </cell>
          <cell r="G4113">
            <v>275</v>
          </cell>
          <cell r="H4113">
            <v>45095.219406392695</v>
          </cell>
        </row>
        <row r="4114">
          <cell r="D4114" t="str">
            <v>IT&amp;NS</v>
          </cell>
          <cell r="F4114">
            <v>51568.116666666669</v>
          </cell>
          <cell r="G4114">
            <v>275</v>
          </cell>
          <cell r="H4114">
            <v>45095.219406392695</v>
          </cell>
        </row>
        <row r="4115">
          <cell r="D4115" t="str">
            <v>IT&amp;NS</v>
          </cell>
          <cell r="F4115">
            <v>51568.116666666669</v>
          </cell>
          <cell r="G4115">
            <v>275</v>
          </cell>
          <cell r="H4115">
            <v>45095.219406392695</v>
          </cell>
        </row>
        <row r="4116">
          <cell r="D4116" t="str">
            <v>IT&amp;NS</v>
          </cell>
          <cell r="F4116">
            <v>51568.116666666669</v>
          </cell>
          <cell r="G4116">
            <v>275</v>
          </cell>
          <cell r="H4116">
            <v>45095.219406392695</v>
          </cell>
        </row>
        <row r="4117">
          <cell r="D4117" t="str">
            <v>IT&amp;NS</v>
          </cell>
          <cell r="F4117">
            <v>51568.116666666669</v>
          </cell>
          <cell r="G4117">
            <v>275</v>
          </cell>
          <cell r="H4117">
            <v>45095.219406392695</v>
          </cell>
        </row>
        <row r="4118">
          <cell r="D4118" t="str">
            <v>IT&amp;NS</v>
          </cell>
          <cell r="F4118">
            <v>51568.116666666669</v>
          </cell>
          <cell r="G4118">
            <v>275</v>
          </cell>
          <cell r="H4118">
            <v>45095.219406392695</v>
          </cell>
        </row>
        <row r="4119">
          <cell r="D4119" t="str">
            <v>IT&amp;NS</v>
          </cell>
          <cell r="F4119">
            <v>51568.116666666669</v>
          </cell>
          <cell r="G4119">
            <v>275</v>
          </cell>
          <cell r="H4119">
            <v>45095.219406392695</v>
          </cell>
        </row>
        <row r="4120">
          <cell r="D4120" t="str">
            <v>IT&amp;NS</v>
          </cell>
          <cell r="F4120">
            <v>50477.071721311477</v>
          </cell>
          <cell r="G4120">
            <v>275</v>
          </cell>
          <cell r="H4120">
            <v>44065.239529530656</v>
          </cell>
        </row>
        <row r="4121">
          <cell r="D4121" t="str">
            <v>IT&amp;NS</v>
          </cell>
          <cell r="F4121">
            <v>50477.071721311477</v>
          </cell>
          <cell r="G4121">
            <v>275</v>
          </cell>
          <cell r="H4121">
            <v>44065.239529530656</v>
          </cell>
        </row>
        <row r="4122">
          <cell r="D4122" t="str">
            <v>IT&amp;NS</v>
          </cell>
          <cell r="F4122">
            <v>50477.071721311477</v>
          </cell>
          <cell r="G4122">
            <v>275</v>
          </cell>
          <cell r="H4122">
            <v>44065.239529530656</v>
          </cell>
        </row>
        <row r="4123">
          <cell r="D4123" t="str">
            <v>IT&amp;NS</v>
          </cell>
          <cell r="F4123">
            <v>50477.071721311477</v>
          </cell>
          <cell r="G4123">
            <v>275</v>
          </cell>
          <cell r="H4123">
            <v>44065.239529530656</v>
          </cell>
        </row>
        <row r="4124">
          <cell r="D4124" t="str">
            <v>IT&amp;NS</v>
          </cell>
          <cell r="F4124">
            <v>50477.071721311477</v>
          </cell>
          <cell r="G4124">
            <v>275</v>
          </cell>
          <cell r="H4124">
            <v>44065.239529530656</v>
          </cell>
        </row>
        <row r="4125">
          <cell r="D4125" t="str">
            <v>IT&amp;NS</v>
          </cell>
          <cell r="F4125">
            <v>50477.071721311477</v>
          </cell>
          <cell r="G4125">
            <v>275</v>
          </cell>
          <cell r="H4125">
            <v>44065.239529530656</v>
          </cell>
        </row>
        <row r="4126">
          <cell r="D4126" t="str">
            <v>IT&amp;NS</v>
          </cell>
          <cell r="F4126">
            <v>50477.071721311477</v>
          </cell>
          <cell r="G4126">
            <v>275</v>
          </cell>
          <cell r="H4126">
            <v>44065.239529530656</v>
          </cell>
        </row>
        <row r="4127">
          <cell r="D4127" t="str">
            <v>IT&amp;NS</v>
          </cell>
          <cell r="F4127">
            <v>50477.071721311477</v>
          </cell>
          <cell r="G4127">
            <v>275</v>
          </cell>
          <cell r="H4127">
            <v>44065.239529530656</v>
          </cell>
        </row>
        <row r="4128">
          <cell r="D4128" t="str">
            <v>IT&amp;NS</v>
          </cell>
          <cell r="F4128">
            <v>50477.071721311477</v>
          </cell>
          <cell r="G4128">
            <v>275</v>
          </cell>
          <cell r="H4128">
            <v>44065.239529530656</v>
          </cell>
        </row>
        <row r="4129">
          <cell r="D4129" t="str">
            <v>IT&amp;NS</v>
          </cell>
          <cell r="F4129">
            <v>50477.071721311477</v>
          </cell>
          <cell r="G4129">
            <v>275</v>
          </cell>
          <cell r="H4129">
            <v>44065.239529530656</v>
          </cell>
        </row>
        <row r="4130">
          <cell r="D4130" t="str">
            <v>IT&amp;NS</v>
          </cell>
          <cell r="F4130">
            <v>50918.860655737706</v>
          </cell>
          <cell r="G4130">
            <v>275</v>
          </cell>
          <cell r="H4130">
            <v>44507.028463956885</v>
          </cell>
        </row>
        <row r="4131">
          <cell r="D4131" t="str">
            <v>IT&amp;NS</v>
          </cell>
          <cell r="F4131">
            <v>50918.860655737706</v>
          </cell>
          <cell r="G4131">
            <v>275</v>
          </cell>
          <cell r="H4131">
            <v>44507.028463956885</v>
          </cell>
        </row>
        <row r="4132">
          <cell r="D4132" t="str">
            <v>IT&amp;NS</v>
          </cell>
          <cell r="F4132">
            <v>50918.860655737706</v>
          </cell>
          <cell r="G4132">
            <v>275</v>
          </cell>
          <cell r="H4132">
            <v>44507.028463956885</v>
          </cell>
        </row>
        <row r="4133">
          <cell r="D4133" t="str">
            <v>IT&amp;NS</v>
          </cell>
          <cell r="F4133">
            <v>50918.860655737706</v>
          </cell>
          <cell r="G4133">
            <v>275</v>
          </cell>
          <cell r="H4133">
            <v>44507.028463956885</v>
          </cell>
        </row>
        <row r="4134">
          <cell r="D4134" t="str">
            <v>IT&amp;NS</v>
          </cell>
          <cell r="F4134">
            <v>50918.860655737706</v>
          </cell>
          <cell r="G4134">
            <v>275</v>
          </cell>
          <cell r="H4134">
            <v>44507.028463956885</v>
          </cell>
        </row>
        <row r="4135">
          <cell r="D4135" t="str">
            <v>IT&amp;NS</v>
          </cell>
          <cell r="F4135">
            <v>79893.585792349724</v>
          </cell>
          <cell r="G4135">
            <v>275</v>
          </cell>
          <cell r="H4135">
            <v>69878.914559473007</v>
          </cell>
        </row>
        <row r="4136">
          <cell r="D4136" t="str">
            <v>IT&amp;NS</v>
          </cell>
          <cell r="F4136">
            <v>79893.585792349724</v>
          </cell>
          <cell r="G4136">
            <v>275</v>
          </cell>
          <cell r="H4136">
            <v>69878.914559473007</v>
          </cell>
        </row>
        <row r="4137">
          <cell r="D4137" t="str">
            <v>IT&amp;NS</v>
          </cell>
          <cell r="F4137">
            <v>38175.952148822405</v>
          </cell>
          <cell r="G4137">
            <v>275</v>
          </cell>
          <cell r="H4137">
            <v>33388.415361219668</v>
          </cell>
        </row>
        <row r="4138">
          <cell r="D4138" t="str">
            <v>IT&amp;NS</v>
          </cell>
          <cell r="F4138">
            <v>48693.456284153006</v>
          </cell>
          <cell r="G4138">
            <v>275</v>
          </cell>
          <cell r="H4138">
            <v>42586.949434837938</v>
          </cell>
        </row>
        <row r="4139">
          <cell r="D4139" t="str">
            <v>IT&amp;NS</v>
          </cell>
          <cell r="F4139">
            <v>48693.456284153006</v>
          </cell>
          <cell r="G4139">
            <v>275</v>
          </cell>
          <cell r="H4139">
            <v>42586.949434837938</v>
          </cell>
        </row>
        <row r="4140">
          <cell r="D4140" t="str">
            <v>IT&amp;NS</v>
          </cell>
          <cell r="F4140">
            <v>48109.134808743169</v>
          </cell>
          <cell r="G4140">
            <v>275</v>
          </cell>
          <cell r="H4140">
            <v>42075.906041619877</v>
          </cell>
        </row>
        <row r="4141">
          <cell r="D4141" t="str">
            <v>IT&amp;NS</v>
          </cell>
          <cell r="F4141">
            <v>41348.942622950817</v>
          </cell>
          <cell r="G4141">
            <v>275</v>
          </cell>
          <cell r="H4141">
            <v>36219.476869526159</v>
          </cell>
        </row>
        <row r="4142">
          <cell r="D4142" t="str">
            <v>IT&amp;NS</v>
          </cell>
          <cell r="F4142">
            <v>41516.357377049178</v>
          </cell>
          <cell r="G4142">
            <v>275</v>
          </cell>
          <cell r="H4142">
            <v>36386.89162362452</v>
          </cell>
        </row>
        <row r="4143">
          <cell r="D4143" t="str">
            <v>IT&amp;NS</v>
          </cell>
          <cell r="F4143">
            <v>41516.357377049178</v>
          </cell>
          <cell r="G4143">
            <v>275</v>
          </cell>
          <cell r="H4143">
            <v>36386.89162362452</v>
          </cell>
        </row>
        <row r="4144">
          <cell r="D4144" t="str">
            <v>IT&amp;NS</v>
          </cell>
          <cell r="F4144">
            <v>41516.357377049178</v>
          </cell>
          <cell r="G4144">
            <v>275</v>
          </cell>
          <cell r="H4144">
            <v>36386.89162362452</v>
          </cell>
        </row>
        <row r="4145">
          <cell r="D4145" t="str">
            <v>IT&amp;NS</v>
          </cell>
          <cell r="F4145">
            <v>41516.357377049178</v>
          </cell>
          <cell r="G4145">
            <v>275</v>
          </cell>
          <cell r="H4145">
            <v>36386.89162362452</v>
          </cell>
        </row>
        <row r="4146">
          <cell r="D4146" t="str">
            <v>IT&amp;NS</v>
          </cell>
          <cell r="F4146">
            <v>41516.357377049178</v>
          </cell>
          <cell r="G4146">
            <v>275</v>
          </cell>
          <cell r="H4146">
            <v>36386.89162362452</v>
          </cell>
        </row>
        <row r="4147">
          <cell r="D4147" t="str">
            <v>IT&amp;NS</v>
          </cell>
          <cell r="F4147">
            <v>41516.357377049178</v>
          </cell>
          <cell r="G4147">
            <v>275</v>
          </cell>
          <cell r="H4147">
            <v>36386.89162362452</v>
          </cell>
        </row>
        <row r="4148">
          <cell r="D4148" t="str">
            <v>IT&amp;NS</v>
          </cell>
          <cell r="F4148">
            <v>38859.9</v>
          </cell>
          <cell r="G4148">
            <v>275</v>
          </cell>
          <cell r="H4148">
            <v>32631.263013698634</v>
          </cell>
        </row>
        <row r="4149">
          <cell r="D4149" t="str">
            <v>IT&amp;NS</v>
          </cell>
          <cell r="F4149">
            <v>38587.9</v>
          </cell>
          <cell r="G4149">
            <v>275</v>
          </cell>
          <cell r="H4149">
            <v>32359.263013698634</v>
          </cell>
        </row>
        <row r="4150">
          <cell r="D4150" t="str">
            <v>IT&amp;NS</v>
          </cell>
          <cell r="F4150">
            <v>38859.9</v>
          </cell>
          <cell r="G4150">
            <v>275</v>
          </cell>
          <cell r="H4150">
            <v>32631.263013698634</v>
          </cell>
        </row>
        <row r="4151">
          <cell r="D4151" t="str">
            <v>IT&amp;NS</v>
          </cell>
          <cell r="F4151">
            <v>105953.12554644809</v>
          </cell>
          <cell r="G4151">
            <v>275</v>
          </cell>
          <cell r="H4151">
            <v>92702.0056834344</v>
          </cell>
        </row>
        <row r="4152">
          <cell r="D4152" t="str">
            <v>IT&amp;NS</v>
          </cell>
          <cell r="F4152">
            <v>41367.54426229508</v>
          </cell>
          <cell r="G4152">
            <v>275</v>
          </cell>
          <cell r="H4152">
            <v>36238.078508870422</v>
          </cell>
        </row>
        <row r="4153">
          <cell r="D4153" t="str">
            <v>IT&amp;NS</v>
          </cell>
          <cell r="F4153">
            <v>41367.54426229508</v>
          </cell>
          <cell r="G4153">
            <v>275</v>
          </cell>
          <cell r="H4153">
            <v>36238.078508870422</v>
          </cell>
        </row>
        <row r="4154">
          <cell r="D4154" t="str">
            <v>IT&amp;NS</v>
          </cell>
          <cell r="F4154">
            <v>41795.381967213114</v>
          </cell>
          <cell r="G4154">
            <v>275</v>
          </cell>
          <cell r="H4154">
            <v>36665.916213788456</v>
          </cell>
        </row>
        <row r="4155">
          <cell r="D4155" t="str">
            <v>IT&amp;NS</v>
          </cell>
          <cell r="F4155">
            <v>41795.381967213114</v>
          </cell>
          <cell r="G4155">
            <v>275</v>
          </cell>
          <cell r="H4155">
            <v>36665.916213788456</v>
          </cell>
        </row>
        <row r="4156">
          <cell r="D4156" t="str">
            <v>IT&amp;NS</v>
          </cell>
          <cell r="F4156">
            <v>41813.983606557376</v>
          </cell>
          <cell r="G4156">
            <v>275</v>
          </cell>
          <cell r="H4156">
            <v>36684.517853132718</v>
          </cell>
        </row>
        <row r="4157">
          <cell r="D4157" t="str">
            <v>IT&amp;NS</v>
          </cell>
          <cell r="F4157">
            <v>41813.983606557376</v>
          </cell>
          <cell r="G4157">
            <v>275</v>
          </cell>
          <cell r="H4157">
            <v>36684.517853132718</v>
          </cell>
        </row>
        <row r="4158">
          <cell r="D4158" t="str">
            <v>IT&amp;NS</v>
          </cell>
          <cell r="F4158">
            <v>41813.983606557376</v>
          </cell>
          <cell r="G4158">
            <v>275</v>
          </cell>
          <cell r="H4158">
            <v>36684.517853132718</v>
          </cell>
        </row>
        <row r="4159">
          <cell r="D4159" t="str">
            <v>IT&amp;NS</v>
          </cell>
          <cell r="F4159">
            <v>41813.983606557376</v>
          </cell>
          <cell r="G4159">
            <v>275</v>
          </cell>
          <cell r="H4159">
            <v>36684.517853132718</v>
          </cell>
        </row>
        <row r="4160">
          <cell r="D4160" t="str">
            <v>IT&amp;NS</v>
          </cell>
          <cell r="F4160">
            <v>41813.983606557376</v>
          </cell>
          <cell r="G4160">
            <v>275</v>
          </cell>
          <cell r="H4160">
            <v>36684.517853132718</v>
          </cell>
        </row>
        <row r="4161">
          <cell r="D4161" t="str">
            <v>IT&amp;NS</v>
          </cell>
          <cell r="F4161">
            <v>46843.05</v>
          </cell>
          <cell r="G4161">
            <v>275</v>
          </cell>
          <cell r="H4161">
            <v>39576.306849315071</v>
          </cell>
        </row>
        <row r="4162">
          <cell r="D4162" t="str">
            <v>IT&amp;NS</v>
          </cell>
          <cell r="F4162">
            <v>46843.05</v>
          </cell>
          <cell r="G4162">
            <v>275</v>
          </cell>
          <cell r="H4162">
            <v>39576.306849315071</v>
          </cell>
        </row>
        <row r="4163">
          <cell r="D4163" t="str">
            <v>IT&amp;NS</v>
          </cell>
          <cell r="F4163">
            <v>46843.05</v>
          </cell>
          <cell r="G4163">
            <v>275</v>
          </cell>
          <cell r="H4163">
            <v>39576.306849315071</v>
          </cell>
        </row>
        <row r="4164">
          <cell r="D4164" t="str">
            <v>IT&amp;NS</v>
          </cell>
          <cell r="F4164">
            <v>76101.450163934423</v>
          </cell>
          <cell r="G4164">
            <v>275</v>
          </cell>
          <cell r="H4164">
            <v>66765.822492701554</v>
          </cell>
        </row>
        <row r="4165">
          <cell r="D4165" t="str">
            <v>IT&amp;NS</v>
          </cell>
          <cell r="F4165">
            <v>41925.593442622951</v>
          </cell>
          <cell r="G4165">
            <v>275</v>
          </cell>
          <cell r="H4165">
            <v>36796.127689198293</v>
          </cell>
        </row>
        <row r="4166">
          <cell r="D4166" t="str">
            <v>IT&amp;NS</v>
          </cell>
          <cell r="F4166">
            <v>41925.593442622951</v>
          </cell>
          <cell r="G4166">
            <v>275</v>
          </cell>
          <cell r="H4166">
            <v>36796.127689198293</v>
          </cell>
        </row>
        <row r="4167">
          <cell r="D4167" t="str">
            <v>IT&amp;NS</v>
          </cell>
          <cell r="F4167">
            <v>41925.593442622951</v>
          </cell>
          <cell r="G4167">
            <v>275</v>
          </cell>
          <cell r="H4167">
            <v>36796.127689198293</v>
          </cell>
        </row>
        <row r="4168">
          <cell r="D4168" t="str">
            <v>IT&amp;NS</v>
          </cell>
          <cell r="F4168">
            <v>41925.593442622951</v>
          </cell>
          <cell r="G4168">
            <v>275</v>
          </cell>
          <cell r="H4168">
            <v>36796.127689198293</v>
          </cell>
        </row>
        <row r="4169">
          <cell r="D4169" t="str">
            <v>IT&amp;NS</v>
          </cell>
          <cell r="F4169">
            <v>73457.850000000006</v>
          </cell>
          <cell r="G4169">
            <v>275</v>
          </cell>
          <cell r="H4169">
            <v>62282.942465753433</v>
          </cell>
        </row>
        <row r="4170">
          <cell r="D4170" t="str">
            <v>IT&amp;NS</v>
          </cell>
          <cell r="F4170">
            <v>49855.05</v>
          </cell>
          <cell r="G4170">
            <v>275</v>
          </cell>
          <cell r="H4170">
            <v>42588.306849315071</v>
          </cell>
        </row>
        <row r="4171">
          <cell r="D4171" t="str">
            <v>IT&amp;NS</v>
          </cell>
          <cell r="F4171">
            <v>47767.05</v>
          </cell>
          <cell r="G4171">
            <v>275</v>
          </cell>
          <cell r="H4171">
            <v>40500.306849315071</v>
          </cell>
        </row>
        <row r="4172">
          <cell r="D4172" t="str">
            <v>IT&amp;NS</v>
          </cell>
          <cell r="F4172">
            <v>49855.05</v>
          </cell>
          <cell r="G4172">
            <v>275</v>
          </cell>
          <cell r="H4172">
            <v>42588.306849315071</v>
          </cell>
        </row>
        <row r="4173">
          <cell r="D4173" t="str">
            <v>IT&amp;NS</v>
          </cell>
          <cell r="F4173">
            <v>49855.05</v>
          </cell>
          <cell r="G4173">
            <v>275</v>
          </cell>
          <cell r="H4173">
            <v>42588.306849315071</v>
          </cell>
        </row>
        <row r="4174">
          <cell r="D4174" t="str">
            <v>IT&amp;NS</v>
          </cell>
          <cell r="F4174">
            <v>49855.05</v>
          </cell>
          <cell r="G4174">
            <v>275</v>
          </cell>
          <cell r="H4174">
            <v>42588.306849315071</v>
          </cell>
        </row>
        <row r="4175">
          <cell r="D4175" t="str">
            <v>IT&amp;NS</v>
          </cell>
          <cell r="F4175">
            <v>49855.05</v>
          </cell>
          <cell r="G4175">
            <v>275</v>
          </cell>
          <cell r="H4175">
            <v>42588.306849315071</v>
          </cell>
        </row>
        <row r="4176">
          <cell r="D4176" t="str">
            <v>IT&amp;NS</v>
          </cell>
          <cell r="F4176">
            <v>48851.05</v>
          </cell>
          <cell r="G4176">
            <v>275</v>
          </cell>
          <cell r="H4176">
            <v>41584.306849315071</v>
          </cell>
        </row>
        <row r="4177">
          <cell r="D4177" t="str">
            <v>IT&amp;NS</v>
          </cell>
          <cell r="F4177">
            <v>49168.05</v>
          </cell>
          <cell r="G4177">
            <v>275</v>
          </cell>
          <cell r="H4177">
            <v>41901.306849315071</v>
          </cell>
        </row>
        <row r="4178">
          <cell r="D4178" t="str">
            <v>IT&amp;NS</v>
          </cell>
          <cell r="F4178">
            <v>49168.05</v>
          </cell>
          <cell r="G4178">
            <v>275</v>
          </cell>
          <cell r="H4178">
            <v>41901.306849315071</v>
          </cell>
        </row>
        <row r="4179">
          <cell r="D4179" t="str">
            <v>IT&amp;NS</v>
          </cell>
          <cell r="F4179">
            <v>49168.05</v>
          </cell>
          <cell r="G4179">
            <v>275</v>
          </cell>
          <cell r="H4179">
            <v>41901.306849315071</v>
          </cell>
        </row>
        <row r="4180">
          <cell r="D4180" t="str">
            <v>IT&amp;NS</v>
          </cell>
          <cell r="F4180">
            <v>49379.05</v>
          </cell>
          <cell r="G4180">
            <v>275</v>
          </cell>
          <cell r="H4180">
            <v>42112.306849315071</v>
          </cell>
        </row>
        <row r="4181">
          <cell r="D4181" t="str">
            <v>IT&amp;NS</v>
          </cell>
          <cell r="F4181">
            <v>49379.05</v>
          </cell>
          <cell r="G4181">
            <v>275</v>
          </cell>
          <cell r="H4181">
            <v>42112.306849315071</v>
          </cell>
        </row>
        <row r="4182">
          <cell r="D4182" t="str">
            <v>IT&amp;NS</v>
          </cell>
          <cell r="F4182">
            <v>49379.05</v>
          </cell>
          <cell r="G4182">
            <v>275</v>
          </cell>
          <cell r="H4182">
            <v>42112.306849315071</v>
          </cell>
        </row>
        <row r="4183">
          <cell r="D4183" t="str">
            <v>IT&amp;NS</v>
          </cell>
          <cell r="F4183">
            <v>78883.5</v>
          </cell>
          <cell r="G4183">
            <v>275</v>
          </cell>
          <cell r="H4183">
            <v>67281.136986301368</v>
          </cell>
        </row>
        <row r="4184">
          <cell r="D4184" t="str">
            <v>IT&amp;NS</v>
          </cell>
          <cell r="F4184">
            <v>49855.05</v>
          </cell>
          <cell r="G4184">
            <v>275</v>
          </cell>
          <cell r="H4184">
            <v>42588.306849315071</v>
          </cell>
        </row>
        <row r="4185">
          <cell r="D4185" t="str">
            <v>IT&amp;NS</v>
          </cell>
          <cell r="F4185">
            <v>40887.26</v>
          </cell>
          <cell r="G4185">
            <v>275</v>
          </cell>
          <cell r="H4185">
            <v>34854.031232876718</v>
          </cell>
        </row>
        <row r="4186">
          <cell r="D4186" t="str">
            <v>IT&amp;NS</v>
          </cell>
          <cell r="F4186">
            <v>101653.83508196722</v>
          </cell>
          <cell r="G4186">
            <v>275</v>
          </cell>
          <cell r="H4186">
            <v>87022.644671008311</v>
          </cell>
        </row>
        <row r="4187">
          <cell r="D4187" t="str">
            <v>IT&amp;NS</v>
          </cell>
          <cell r="F4187">
            <v>49867.492786885246</v>
          </cell>
          <cell r="G4187">
            <v>275</v>
          </cell>
          <cell r="H4187">
            <v>42686.240732090722</v>
          </cell>
        </row>
        <row r="4188">
          <cell r="D4188" t="str">
            <v>IT&amp;NS</v>
          </cell>
          <cell r="F4188">
            <v>49867.492786885246</v>
          </cell>
          <cell r="G4188">
            <v>275</v>
          </cell>
          <cell r="H4188">
            <v>42686.240732090722</v>
          </cell>
        </row>
        <row r="4189">
          <cell r="D4189" t="str">
            <v>IT&amp;NS</v>
          </cell>
          <cell r="F4189">
            <v>49867.492786885246</v>
          </cell>
          <cell r="G4189">
            <v>275</v>
          </cell>
          <cell r="H4189">
            <v>42686.240732090722</v>
          </cell>
        </row>
        <row r="4190">
          <cell r="D4190" t="str">
            <v>IT&amp;NS</v>
          </cell>
          <cell r="F4190">
            <v>49867.492786885246</v>
          </cell>
          <cell r="G4190">
            <v>275</v>
          </cell>
          <cell r="H4190">
            <v>42686.240732090722</v>
          </cell>
        </row>
        <row r="4191">
          <cell r="D4191" t="str">
            <v>IT&amp;NS</v>
          </cell>
          <cell r="F4191">
            <v>49867.492786885246</v>
          </cell>
          <cell r="G4191">
            <v>275</v>
          </cell>
          <cell r="H4191">
            <v>42686.240732090722</v>
          </cell>
        </row>
        <row r="4192">
          <cell r="D4192" t="str">
            <v>IT&amp;NS</v>
          </cell>
          <cell r="F4192">
            <v>49867.492786885246</v>
          </cell>
          <cell r="G4192">
            <v>275</v>
          </cell>
          <cell r="H4192">
            <v>42686.240732090722</v>
          </cell>
        </row>
        <row r="4193">
          <cell r="D4193" t="str">
            <v>IT&amp;NS</v>
          </cell>
          <cell r="F4193">
            <v>80610.303278688531</v>
          </cell>
          <cell r="G4193">
            <v>275</v>
          </cell>
          <cell r="H4193">
            <v>69007.940264989898</v>
          </cell>
        </row>
        <row r="4194">
          <cell r="D4194" t="str">
            <v>IT&amp;NS</v>
          </cell>
          <cell r="F4194">
            <v>100580.71758196721</v>
          </cell>
          <cell r="G4194">
            <v>275</v>
          </cell>
          <cell r="H4194">
            <v>86126.615869638452</v>
          </cell>
        </row>
        <row r="4195">
          <cell r="D4195" t="str">
            <v>IT&amp;NS</v>
          </cell>
          <cell r="F4195">
            <v>50180.000327868853</v>
          </cell>
          <cell r="G4195">
            <v>275</v>
          </cell>
          <cell r="H4195">
            <v>42998.748273074336</v>
          </cell>
        </row>
        <row r="4196">
          <cell r="D4196" t="str">
            <v>IT&amp;NS</v>
          </cell>
          <cell r="F4196">
            <v>49783.641393442624</v>
          </cell>
          <cell r="G4196">
            <v>275</v>
          </cell>
          <cell r="H4196">
            <v>42761.158516730298</v>
          </cell>
        </row>
        <row r="4197">
          <cell r="D4197" t="str">
            <v>IT&amp;NS</v>
          </cell>
          <cell r="F4197">
            <v>49783.641393442624</v>
          </cell>
          <cell r="G4197">
            <v>275</v>
          </cell>
          <cell r="H4197">
            <v>42761.158516730298</v>
          </cell>
        </row>
        <row r="4198">
          <cell r="D4198" t="str">
            <v>IT&amp;NS</v>
          </cell>
          <cell r="F4198">
            <v>49783.641393442624</v>
          </cell>
          <cell r="G4198">
            <v>275</v>
          </cell>
          <cell r="H4198">
            <v>42761.158516730298</v>
          </cell>
        </row>
        <row r="4199">
          <cell r="D4199" t="str">
            <v>IT&amp;NS</v>
          </cell>
          <cell r="F4199">
            <v>64106.334016393448</v>
          </cell>
          <cell r="G4199">
            <v>275</v>
          </cell>
          <cell r="H4199">
            <v>55007.638810913995</v>
          </cell>
        </row>
        <row r="4200">
          <cell r="D4200" t="str">
            <v>IT&amp;NS</v>
          </cell>
          <cell r="F4200">
            <v>49959.662841530051</v>
          </cell>
          <cell r="G4200">
            <v>275</v>
          </cell>
          <cell r="H4200">
            <v>42876.114896324572</v>
          </cell>
        </row>
        <row r="4201">
          <cell r="D4201" t="str">
            <v>IT&amp;NS</v>
          </cell>
          <cell r="F4201">
            <v>49959.662841530051</v>
          </cell>
          <cell r="G4201">
            <v>275</v>
          </cell>
          <cell r="H4201">
            <v>42876.114896324572</v>
          </cell>
        </row>
        <row r="4202">
          <cell r="D4202" t="str">
            <v>IT&amp;NS</v>
          </cell>
          <cell r="F4202">
            <v>49959.662841530051</v>
          </cell>
          <cell r="G4202">
            <v>275</v>
          </cell>
          <cell r="H4202">
            <v>42876.114896324572</v>
          </cell>
        </row>
        <row r="4203">
          <cell r="D4203" t="str">
            <v>IT&amp;NS</v>
          </cell>
          <cell r="F4203">
            <v>49959.662841530051</v>
          </cell>
          <cell r="G4203">
            <v>275</v>
          </cell>
          <cell r="H4203">
            <v>42876.114896324572</v>
          </cell>
        </row>
        <row r="4204">
          <cell r="D4204" t="str">
            <v>IT&amp;NS</v>
          </cell>
          <cell r="F4204">
            <v>49959.662841530051</v>
          </cell>
          <cell r="G4204">
            <v>275</v>
          </cell>
          <cell r="H4204">
            <v>42876.114896324572</v>
          </cell>
        </row>
        <row r="4205">
          <cell r="D4205" t="str">
            <v>IT&amp;NS</v>
          </cell>
          <cell r="F4205">
            <v>64799.245081967216</v>
          </cell>
          <cell r="G4205">
            <v>275</v>
          </cell>
          <cell r="H4205">
            <v>55700.549876487763</v>
          </cell>
        </row>
        <row r="4206">
          <cell r="D4206" t="str">
            <v>IT&amp;NS</v>
          </cell>
          <cell r="F4206">
            <v>93211.5</v>
          </cell>
          <cell r="G4206">
            <v>275</v>
          </cell>
          <cell r="H4206">
            <v>76723.931506849316</v>
          </cell>
        </row>
        <row r="4207">
          <cell r="D4207" t="str">
            <v>IT&amp;NS</v>
          </cell>
          <cell r="F4207">
            <v>20892.105</v>
          </cell>
          <cell r="G4207">
            <v>275</v>
          </cell>
          <cell r="H4207">
            <v>17234.307397260272</v>
          </cell>
        </row>
        <row r="4208">
          <cell r="D4208" t="str">
            <v>IT&amp;NS</v>
          </cell>
          <cell r="F4208">
            <v>15554.380000000001</v>
          </cell>
          <cell r="G4208">
            <v>275</v>
          </cell>
          <cell r="H4208">
            <v>12843.090958904111</v>
          </cell>
        </row>
        <row r="4209">
          <cell r="D4209" t="str">
            <v>IT&amp;NS</v>
          </cell>
          <cell r="F4209">
            <v>62495.520000000004</v>
          </cell>
          <cell r="G4209">
            <v>275</v>
          </cell>
          <cell r="H4209">
            <v>51650.363835616445</v>
          </cell>
        </row>
        <row r="4210">
          <cell r="D4210" t="str">
            <v>IT&amp;NS</v>
          </cell>
          <cell r="F4210">
            <v>31385.760000000002</v>
          </cell>
          <cell r="G4210">
            <v>275</v>
          </cell>
          <cell r="H4210">
            <v>25963.181917808222</v>
          </cell>
        </row>
        <row r="4211">
          <cell r="D4211" t="str">
            <v>IT&amp;NS</v>
          </cell>
          <cell r="F4211">
            <v>15702.380000000001</v>
          </cell>
          <cell r="G4211">
            <v>275</v>
          </cell>
          <cell r="H4211">
            <v>12991.090958904111</v>
          </cell>
        </row>
        <row r="4212">
          <cell r="D4212" t="str">
            <v>IT&amp;NS</v>
          </cell>
          <cell r="F4212">
            <v>15811.380000000001</v>
          </cell>
          <cell r="G4212">
            <v>275</v>
          </cell>
          <cell r="H4212">
            <v>13100.090958904111</v>
          </cell>
        </row>
        <row r="4213">
          <cell r="D4213" t="str">
            <v>IT&amp;NS</v>
          </cell>
          <cell r="F4213">
            <v>19862.724999999999</v>
          </cell>
          <cell r="G4213">
            <v>275</v>
          </cell>
          <cell r="H4213">
            <v>16473.613698630135</v>
          </cell>
        </row>
        <row r="4214">
          <cell r="D4214" t="str">
            <v>IT&amp;NS</v>
          </cell>
          <cell r="F4214">
            <v>19874.724999999999</v>
          </cell>
          <cell r="G4214">
            <v>275</v>
          </cell>
          <cell r="H4214">
            <v>16485.613698630135</v>
          </cell>
        </row>
        <row r="4215">
          <cell r="D4215" t="str">
            <v>IT&amp;NS</v>
          </cell>
          <cell r="F4215">
            <v>15177.69</v>
          </cell>
          <cell r="G4215">
            <v>275</v>
          </cell>
          <cell r="H4215">
            <v>12600.744109589043</v>
          </cell>
        </row>
        <row r="4216">
          <cell r="D4216" t="str">
            <v>IT&amp;NS</v>
          </cell>
          <cell r="F4216">
            <v>15205.69</v>
          </cell>
          <cell r="G4216">
            <v>275</v>
          </cell>
          <cell r="H4216">
            <v>12628.744109589043</v>
          </cell>
        </row>
        <row r="4217">
          <cell r="D4217" t="str">
            <v>IT&amp;NS</v>
          </cell>
          <cell r="F4217">
            <v>15346.69</v>
          </cell>
          <cell r="G4217">
            <v>275</v>
          </cell>
          <cell r="H4217">
            <v>12769.744109589043</v>
          </cell>
        </row>
        <row r="4218">
          <cell r="D4218" t="str">
            <v>IT&amp;NS</v>
          </cell>
          <cell r="F4218">
            <v>38279.736000000004</v>
          </cell>
          <cell r="G4218">
            <v>275</v>
          </cell>
          <cell r="H4218">
            <v>31948.509698630143</v>
          </cell>
        </row>
        <row r="4219">
          <cell r="D4219" t="str">
            <v>IT&amp;NS</v>
          </cell>
          <cell r="F4219">
            <v>19139.368000000002</v>
          </cell>
          <cell r="G4219">
            <v>275</v>
          </cell>
          <cell r="H4219">
            <v>15973.754849315072</v>
          </cell>
        </row>
        <row r="4220">
          <cell r="D4220" t="str">
            <v>IT&amp;NS</v>
          </cell>
          <cell r="F4220">
            <v>16983.7</v>
          </cell>
          <cell r="G4220">
            <v>275</v>
          </cell>
          <cell r="H4220">
            <v>14174.706849315069</v>
          </cell>
        </row>
        <row r="4221">
          <cell r="D4221" t="str">
            <v>IT&amp;NS</v>
          </cell>
          <cell r="F4221">
            <v>75409.8</v>
          </cell>
          <cell r="G4221">
            <v>275</v>
          </cell>
          <cell r="H4221">
            <v>62952.526027397267</v>
          </cell>
        </row>
        <row r="4222">
          <cell r="D4222" t="str">
            <v>IT&amp;NS</v>
          </cell>
          <cell r="F4222">
            <v>38179.9</v>
          </cell>
          <cell r="G4222">
            <v>275</v>
          </cell>
          <cell r="H4222">
            <v>31951.263013698634</v>
          </cell>
        </row>
        <row r="4223">
          <cell r="D4223" t="str">
            <v>IT&amp;NS</v>
          </cell>
          <cell r="F4223">
            <v>59962</v>
          </cell>
          <cell r="G4223">
            <v>275</v>
          </cell>
          <cell r="H4223">
            <v>50191.589041095889</v>
          </cell>
        </row>
        <row r="4224">
          <cell r="D4224" t="str">
            <v>IT&amp;NS</v>
          </cell>
          <cell r="F4224">
            <v>22873.95</v>
          </cell>
          <cell r="G4224">
            <v>275</v>
          </cell>
          <cell r="H4224">
            <v>19148.980821917808</v>
          </cell>
        </row>
        <row r="4225">
          <cell r="D4225" t="str">
            <v>IT&amp;NS</v>
          </cell>
          <cell r="F4225">
            <v>76541.8</v>
          </cell>
          <cell r="G4225">
            <v>275</v>
          </cell>
          <cell r="H4225">
            <v>64084.526027397267</v>
          </cell>
        </row>
        <row r="4226">
          <cell r="D4226" t="str">
            <v>IT&amp;NS</v>
          </cell>
          <cell r="F4226">
            <v>24878.75</v>
          </cell>
          <cell r="G4226">
            <v>275</v>
          </cell>
          <cell r="H4226">
            <v>20909.520547945205</v>
          </cell>
        </row>
        <row r="4227">
          <cell r="D4227" t="str">
            <v>IT&amp;NS</v>
          </cell>
          <cell r="F4227">
            <v>28966.5468</v>
          </cell>
          <cell r="G4227">
            <v>275</v>
          </cell>
          <cell r="H4227">
            <v>24387.643704109589</v>
          </cell>
        </row>
        <row r="4228">
          <cell r="D4228" t="str">
            <v>IT&amp;NS</v>
          </cell>
          <cell r="F4228">
            <v>49339.22</v>
          </cell>
          <cell r="G4228">
            <v>275</v>
          </cell>
          <cell r="H4228">
            <v>41791.577534246579</v>
          </cell>
        </row>
        <row r="4229">
          <cell r="D4229" t="str">
            <v>IT&amp;NS</v>
          </cell>
          <cell r="F4229">
            <v>48745.05</v>
          </cell>
          <cell r="G4229">
            <v>275</v>
          </cell>
          <cell r="H4229">
            <v>41478.306849315071</v>
          </cell>
        </row>
        <row r="4230">
          <cell r="D4230" t="str">
            <v>IT&amp;NS</v>
          </cell>
          <cell r="F4230">
            <v>63776.376366120217</v>
          </cell>
          <cell r="G4230">
            <v>275</v>
          </cell>
          <cell r="H4230">
            <v>54677.681160640765</v>
          </cell>
        </row>
        <row r="4231">
          <cell r="D4231" t="str">
            <v>IT&amp;NS</v>
          </cell>
          <cell r="F4231">
            <v>50414.380983606556</v>
          </cell>
          <cell r="G4231">
            <v>275</v>
          </cell>
          <cell r="H4231">
            <v>43233.128928812032</v>
          </cell>
        </row>
        <row r="4232">
          <cell r="D4232" t="str">
            <v>IT&amp;NS</v>
          </cell>
          <cell r="F4232">
            <v>40519.602732240441</v>
          </cell>
          <cell r="G4232">
            <v>275</v>
          </cell>
          <cell r="H4232">
            <v>34901.616430870577</v>
          </cell>
        </row>
        <row r="4233">
          <cell r="D4233" t="str">
            <v>IT&amp;NS</v>
          </cell>
          <cell r="F4233">
            <v>50336.25409836066</v>
          </cell>
          <cell r="G4233">
            <v>275</v>
          </cell>
          <cell r="H4233">
            <v>43155.002043566143</v>
          </cell>
        </row>
        <row r="4234">
          <cell r="D4234" t="str">
            <v>IT&amp;NS</v>
          </cell>
          <cell r="F4234">
            <v>50336.25409836066</v>
          </cell>
          <cell r="G4234">
            <v>275</v>
          </cell>
          <cell r="H4234">
            <v>43155.002043566143</v>
          </cell>
        </row>
        <row r="4235">
          <cell r="D4235" t="str">
            <v>IT&amp;NS</v>
          </cell>
          <cell r="F4235">
            <v>80762.897814207652</v>
          </cell>
          <cell r="G4235">
            <v>275</v>
          </cell>
          <cell r="H4235">
            <v>69649.055348454232</v>
          </cell>
        </row>
        <row r="4236">
          <cell r="D4236" t="str">
            <v>IT&amp;NS</v>
          </cell>
          <cell r="F4236">
            <v>41707.331147540986</v>
          </cell>
          <cell r="G4236">
            <v>275</v>
          </cell>
          <cell r="H4236">
            <v>35845.084572198524</v>
          </cell>
        </row>
        <row r="4237">
          <cell r="D4237" t="str">
            <v>IT&amp;NS</v>
          </cell>
          <cell r="F4237">
            <v>64743.278278688522</v>
          </cell>
          <cell r="G4237">
            <v>275</v>
          </cell>
          <cell r="H4237">
            <v>55766.713210195368</v>
          </cell>
        </row>
        <row r="4238">
          <cell r="D4238" t="str">
            <v>IT&amp;NS</v>
          </cell>
          <cell r="F4238">
            <v>41707.331147540986</v>
          </cell>
          <cell r="G4238">
            <v>275</v>
          </cell>
          <cell r="H4238">
            <v>35845.084572198524</v>
          </cell>
        </row>
        <row r="4239">
          <cell r="D4239" t="str">
            <v>IT&amp;NS</v>
          </cell>
          <cell r="F4239">
            <v>41707.331147540986</v>
          </cell>
          <cell r="G4239">
            <v>275</v>
          </cell>
          <cell r="H4239">
            <v>35845.084572198524</v>
          </cell>
        </row>
        <row r="4240">
          <cell r="D4240" t="str">
            <v>IT&amp;NS</v>
          </cell>
          <cell r="F4240">
            <v>41707.331147540986</v>
          </cell>
          <cell r="G4240">
            <v>275</v>
          </cell>
          <cell r="H4240">
            <v>35845.084572198524</v>
          </cell>
        </row>
        <row r="4241">
          <cell r="D4241" t="str">
            <v>IT&amp;NS</v>
          </cell>
          <cell r="F4241">
            <v>41707.331147540986</v>
          </cell>
          <cell r="G4241">
            <v>275</v>
          </cell>
          <cell r="H4241">
            <v>35845.084572198524</v>
          </cell>
        </row>
        <row r="4242">
          <cell r="D4242" t="str">
            <v>IT&amp;NS</v>
          </cell>
          <cell r="F4242">
            <v>41707.331147540986</v>
          </cell>
          <cell r="G4242">
            <v>275</v>
          </cell>
          <cell r="H4242">
            <v>35845.084572198524</v>
          </cell>
        </row>
        <row r="4243">
          <cell r="D4243" t="str">
            <v>IT&amp;NS</v>
          </cell>
          <cell r="F4243">
            <v>41707.331147540986</v>
          </cell>
          <cell r="G4243">
            <v>275</v>
          </cell>
          <cell r="H4243">
            <v>35845.084572198524</v>
          </cell>
        </row>
        <row r="4244">
          <cell r="D4244" t="str">
            <v>IT&amp;NS</v>
          </cell>
          <cell r="F4244">
            <v>42111.252459016396</v>
          </cell>
          <cell r="G4244">
            <v>275</v>
          </cell>
          <cell r="H4244">
            <v>36249.005883673934</v>
          </cell>
        </row>
        <row r="4245">
          <cell r="D4245" t="str">
            <v>IT&amp;NS</v>
          </cell>
          <cell r="F4245">
            <v>41028.933333333334</v>
          </cell>
          <cell r="G4245">
            <v>275</v>
          </cell>
          <cell r="H4245">
            <v>35410.947031963471</v>
          </cell>
        </row>
        <row r="4246">
          <cell r="D4246" t="str">
            <v>IT&amp;NS</v>
          </cell>
          <cell r="F4246">
            <v>41028.933333333334</v>
          </cell>
          <cell r="G4246">
            <v>275</v>
          </cell>
          <cell r="H4246">
            <v>35410.947031963471</v>
          </cell>
        </row>
        <row r="4247">
          <cell r="D4247" t="str">
            <v>IT&amp;NS</v>
          </cell>
          <cell r="F4247">
            <v>96392.214480874318</v>
          </cell>
          <cell r="G4247">
            <v>275</v>
          </cell>
          <cell r="H4247">
            <v>82640.361056216789</v>
          </cell>
        </row>
        <row r="4248">
          <cell r="D4248" t="str">
            <v>IT&amp;NS</v>
          </cell>
          <cell r="F4248">
            <v>49470.4412568306</v>
          </cell>
          <cell r="G4248">
            <v>275</v>
          </cell>
          <cell r="H4248">
            <v>42753.283722584027</v>
          </cell>
        </row>
        <row r="4249">
          <cell r="D4249" t="str">
            <v>IT&amp;NS</v>
          </cell>
          <cell r="F4249">
            <v>49470.4412568306</v>
          </cell>
          <cell r="G4249">
            <v>275</v>
          </cell>
          <cell r="H4249">
            <v>42753.283722584027</v>
          </cell>
        </row>
        <row r="4250">
          <cell r="D4250" t="str">
            <v>IT&amp;NS</v>
          </cell>
          <cell r="F4250">
            <v>49470.4412568306</v>
          </cell>
          <cell r="G4250">
            <v>275</v>
          </cell>
          <cell r="H4250">
            <v>42753.283722584027</v>
          </cell>
        </row>
        <row r="4251">
          <cell r="D4251" t="str">
            <v>IT&amp;NS</v>
          </cell>
          <cell r="F4251">
            <v>49470.4412568306</v>
          </cell>
          <cell r="G4251">
            <v>275</v>
          </cell>
          <cell r="H4251">
            <v>42753.283722584027</v>
          </cell>
        </row>
        <row r="4252">
          <cell r="D4252" t="str">
            <v>IT&amp;NS</v>
          </cell>
          <cell r="F4252">
            <v>49470.4412568306</v>
          </cell>
          <cell r="G4252">
            <v>275</v>
          </cell>
          <cell r="H4252">
            <v>42753.283722584027</v>
          </cell>
        </row>
        <row r="4253">
          <cell r="D4253" t="str">
            <v>IT&amp;NS</v>
          </cell>
          <cell r="F4253">
            <v>0</v>
          </cell>
          <cell r="G4253">
            <v>275</v>
          </cell>
          <cell r="H4253">
            <v>0</v>
          </cell>
        </row>
        <row r="4254">
          <cell r="D4254" t="str">
            <v>IT&amp;NS</v>
          </cell>
          <cell r="F4254">
            <v>8840.4799999999959</v>
          </cell>
          <cell r="G4254">
            <v>275</v>
          </cell>
          <cell r="H4254">
            <v>-3519.0898630137035</v>
          </cell>
        </row>
        <row r="4255">
          <cell r="D4255" t="str">
            <v>IT&amp;NS</v>
          </cell>
          <cell r="F4255">
            <v>39670.887131147538</v>
          </cell>
          <cell r="G4255">
            <v>275</v>
          </cell>
          <cell r="H4255">
            <v>34156.711446216032</v>
          </cell>
        </row>
        <row r="4256">
          <cell r="D4256" t="str">
            <v>IT&amp;NS</v>
          </cell>
          <cell r="F4256">
            <v>70569.200000000012</v>
          </cell>
          <cell r="G4256">
            <v>275</v>
          </cell>
          <cell r="H4256">
            <v>51272.638356164396</v>
          </cell>
        </row>
        <row r="4257">
          <cell r="D4257" t="str">
            <v>IT&amp;NS</v>
          </cell>
          <cell r="F4257">
            <v>50032.357377049178</v>
          </cell>
          <cell r="G4257">
            <v>275</v>
          </cell>
          <cell r="H4257">
            <v>43070.939568829999</v>
          </cell>
        </row>
        <row r="4258">
          <cell r="D4258" t="str">
            <v>IT&amp;NS</v>
          </cell>
          <cell r="F4258">
            <v>50032.357377049178</v>
          </cell>
          <cell r="G4258">
            <v>275</v>
          </cell>
          <cell r="H4258">
            <v>43070.939568829999</v>
          </cell>
        </row>
        <row r="4259">
          <cell r="D4259" t="str">
            <v>IT&amp;NS</v>
          </cell>
          <cell r="F4259">
            <v>50032.357377049178</v>
          </cell>
          <cell r="G4259">
            <v>275</v>
          </cell>
          <cell r="H4259">
            <v>43070.939568829999</v>
          </cell>
        </row>
        <row r="4260">
          <cell r="D4260" t="str">
            <v>IT&amp;NS</v>
          </cell>
          <cell r="F4260">
            <v>50032.357377049178</v>
          </cell>
          <cell r="G4260">
            <v>275</v>
          </cell>
          <cell r="H4260">
            <v>43070.939568829999</v>
          </cell>
        </row>
        <row r="4261">
          <cell r="D4261" t="str">
            <v>IT&amp;NS</v>
          </cell>
          <cell r="F4261">
            <v>67570.889344262294</v>
          </cell>
          <cell r="G4261">
            <v>275</v>
          </cell>
          <cell r="H4261">
            <v>58472.194138782841</v>
          </cell>
        </row>
        <row r="4262">
          <cell r="D4262" t="str">
            <v>IT&amp;NS</v>
          </cell>
          <cell r="F4262">
            <v>49446.081967213118</v>
          </cell>
          <cell r="G4262">
            <v>275</v>
          </cell>
          <cell r="H4262">
            <v>42728.924432966545</v>
          </cell>
        </row>
        <row r="4263">
          <cell r="D4263" t="str">
            <v>IT&amp;NS</v>
          </cell>
          <cell r="F4263">
            <v>49446.09095740984</v>
          </cell>
          <cell r="G4263">
            <v>275</v>
          </cell>
          <cell r="H4263">
            <v>42728.932201861899</v>
          </cell>
        </row>
        <row r="4264">
          <cell r="D4264" t="str">
            <v>IT&amp;NS</v>
          </cell>
          <cell r="F4264">
            <v>54997.034400000004</v>
          </cell>
          <cell r="G4264">
            <v>275</v>
          </cell>
          <cell r="H4264">
            <v>40911.03292054795</v>
          </cell>
        </row>
        <row r="4265">
          <cell r="D4265" t="str">
            <v>IT&amp;NS</v>
          </cell>
          <cell r="F4265">
            <v>43174.203278688525</v>
          </cell>
          <cell r="G4265">
            <v>275</v>
          </cell>
          <cell r="H4265">
            <v>37311.956703346063</v>
          </cell>
        </row>
        <row r="4266">
          <cell r="D4266" t="str">
            <v>IT&amp;NS</v>
          </cell>
          <cell r="F4266">
            <v>65882.628688524594</v>
          </cell>
          <cell r="G4266">
            <v>275</v>
          </cell>
          <cell r="H4266">
            <v>56906.06362003144</v>
          </cell>
        </row>
        <row r="4267">
          <cell r="D4267" t="str">
            <v>IT&amp;NS</v>
          </cell>
          <cell r="F4267">
            <v>51348.649999999994</v>
          </cell>
          <cell r="G4267">
            <v>275</v>
          </cell>
          <cell r="H4267">
            <v>41150.783561643831</v>
          </cell>
        </row>
        <row r="4268">
          <cell r="D4268" t="str">
            <v>IT&amp;NS</v>
          </cell>
          <cell r="F4268">
            <v>54797.649999999994</v>
          </cell>
          <cell r="G4268">
            <v>275</v>
          </cell>
          <cell r="H4268">
            <v>44599.783561643831</v>
          </cell>
        </row>
        <row r="4269">
          <cell r="D4269" t="str">
            <v>IT&amp;NS</v>
          </cell>
          <cell r="F4269">
            <v>38836.050000000003</v>
          </cell>
          <cell r="G4269">
            <v>275</v>
          </cell>
          <cell r="H4269">
            <v>31569.306849315071</v>
          </cell>
        </row>
        <row r="4270">
          <cell r="D4270" t="str">
            <v>IT&amp;NS</v>
          </cell>
          <cell r="F4270">
            <v>102327.29999999999</v>
          </cell>
          <cell r="G4270">
            <v>275</v>
          </cell>
          <cell r="H4270">
            <v>81931.567123287663</v>
          </cell>
        </row>
        <row r="4271">
          <cell r="D4271" t="str">
            <v>IT&amp;NS</v>
          </cell>
          <cell r="F4271">
            <v>77393.274999999994</v>
          </cell>
          <cell r="G4271">
            <v>275</v>
          </cell>
          <cell r="H4271">
            <v>61241.564383561636</v>
          </cell>
        </row>
        <row r="4272">
          <cell r="D4272" t="str">
            <v>IT&amp;NS</v>
          </cell>
          <cell r="F4272">
            <v>51107.199999999997</v>
          </cell>
          <cell r="G4272">
            <v>275</v>
          </cell>
          <cell r="H4272">
            <v>40359.747945205476</v>
          </cell>
        </row>
        <row r="4273">
          <cell r="D4273" t="str">
            <v>IT&amp;NS</v>
          </cell>
          <cell r="F4273">
            <v>38123.050000000003</v>
          </cell>
          <cell r="G4273">
            <v>275</v>
          </cell>
          <cell r="H4273">
            <v>30856.306849315071</v>
          </cell>
        </row>
        <row r="4274">
          <cell r="D4274" t="str">
            <v>IT&amp;NS</v>
          </cell>
          <cell r="F4274">
            <v>33334.5</v>
          </cell>
          <cell r="G4274">
            <v>275</v>
          </cell>
          <cell r="H4274">
            <v>26617.342465753423</v>
          </cell>
        </row>
        <row r="4275">
          <cell r="D4275" t="str">
            <v>IT&amp;NS</v>
          </cell>
          <cell r="F4275">
            <v>0</v>
          </cell>
          <cell r="G4275">
            <v>275</v>
          </cell>
          <cell r="H4275">
            <v>0</v>
          </cell>
        </row>
        <row r="4276">
          <cell r="D4276" t="str">
            <v>IT&amp;NS</v>
          </cell>
          <cell r="F4276">
            <v>45748.196721311477</v>
          </cell>
          <cell r="G4276">
            <v>275</v>
          </cell>
          <cell r="H4276">
            <v>39641.689871996408</v>
          </cell>
        </row>
        <row r="4277">
          <cell r="D4277" t="str">
            <v>IT&amp;NS</v>
          </cell>
          <cell r="F4277">
            <v>45748.196721311477</v>
          </cell>
          <cell r="G4277">
            <v>275</v>
          </cell>
          <cell r="H4277">
            <v>39641.689871996408</v>
          </cell>
        </row>
        <row r="4278">
          <cell r="D4278" t="str">
            <v>IT&amp;NS</v>
          </cell>
          <cell r="F4278">
            <v>45748.196721311477</v>
          </cell>
          <cell r="G4278">
            <v>275</v>
          </cell>
          <cell r="H4278">
            <v>39641.689871996408</v>
          </cell>
        </row>
        <row r="4279">
          <cell r="D4279" t="str">
            <v>IT&amp;NS</v>
          </cell>
          <cell r="F4279">
            <v>45748.196721311477</v>
          </cell>
          <cell r="G4279">
            <v>275</v>
          </cell>
          <cell r="H4279">
            <v>39641.689871996408</v>
          </cell>
        </row>
        <row r="4280">
          <cell r="D4280" t="str">
            <v>IT&amp;NS</v>
          </cell>
          <cell r="F4280">
            <v>45748.196721311477</v>
          </cell>
          <cell r="G4280">
            <v>275</v>
          </cell>
          <cell r="H4280">
            <v>39641.689871996408</v>
          </cell>
        </row>
        <row r="4281">
          <cell r="D4281" t="str">
            <v>IT&amp;NS</v>
          </cell>
          <cell r="F4281">
            <v>68263.800409836069</v>
          </cell>
          <cell r="G4281">
            <v>275</v>
          </cell>
          <cell r="H4281">
            <v>59165.105204356616</v>
          </cell>
        </row>
        <row r="4282">
          <cell r="D4282" t="str">
            <v>IT&amp;NS</v>
          </cell>
          <cell r="F4282">
            <v>49957.62704918033</v>
          </cell>
          <cell r="G4282">
            <v>275</v>
          </cell>
          <cell r="H4282">
            <v>43240.469514933757</v>
          </cell>
        </row>
        <row r="4283">
          <cell r="D4283" t="str">
            <v>IT&amp;NS</v>
          </cell>
          <cell r="F4283">
            <v>49957.62704918033</v>
          </cell>
          <cell r="G4283">
            <v>275</v>
          </cell>
          <cell r="H4283">
            <v>43240.469514933757</v>
          </cell>
        </row>
        <row r="4284">
          <cell r="D4284" t="str">
            <v>IT&amp;NS</v>
          </cell>
          <cell r="F4284">
            <v>49957.62704918033</v>
          </cell>
          <cell r="G4284">
            <v>275</v>
          </cell>
          <cell r="H4284">
            <v>43240.469514933757</v>
          </cell>
        </row>
        <row r="4285">
          <cell r="D4285" t="str">
            <v>IT&amp;NS</v>
          </cell>
          <cell r="F4285">
            <v>49957.62704918033</v>
          </cell>
          <cell r="G4285">
            <v>275</v>
          </cell>
          <cell r="H4285">
            <v>43240.469514933757</v>
          </cell>
        </row>
        <row r="4286">
          <cell r="D4286" t="str">
            <v>IT&amp;NS</v>
          </cell>
          <cell r="F4286">
            <v>49957.62704918033</v>
          </cell>
          <cell r="G4286">
            <v>275</v>
          </cell>
          <cell r="H4286">
            <v>43240.469514933757</v>
          </cell>
        </row>
        <row r="4287">
          <cell r="D4287" t="str">
            <v>IT&amp;NS</v>
          </cell>
          <cell r="F4287">
            <v>46323.961748633883</v>
          </cell>
          <cell r="G4287">
            <v>275</v>
          </cell>
          <cell r="H4287">
            <v>40217.454899318815</v>
          </cell>
        </row>
        <row r="4288">
          <cell r="D4288" t="str">
            <v>IT&amp;NS</v>
          </cell>
          <cell r="F4288">
            <v>46323.961748633883</v>
          </cell>
          <cell r="G4288">
            <v>275</v>
          </cell>
          <cell r="H4288">
            <v>40217.454899318815</v>
          </cell>
        </row>
        <row r="4289">
          <cell r="D4289" t="str">
            <v>IT&amp;NS</v>
          </cell>
          <cell r="F4289">
            <v>46323.961748633883</v>
          </cell>
          <cell r="G4289">
            <v>275</v>
          </cell>
          <cell r="H4289">
            <v>40217.454899318815</v>
          </cell>
        </row>
        <row r="4290">
          <cell r="D4290" t="str">
            <v>IT&amp;NS</v>
          </cell>
          <cell r="F4290">
            <v>46323.961748633883</v>
          </cell>
          <cell r="G4290">
            <v>275</v>
          </cell>
          <cell r="H4290">
            <v>40217.454899318815</v>
          </cell>
        </row>
        <row r="4291">
          <cell r="D4291" t="str">
            <v>IT&amp;NS</v>
          </cell>
          <cell r="F4291">
            <v>46323.961748633883</v>
          </cell>
          <cell r="G4291">
            <v>275</v>
          </cell>
          <cell r="H4291">
            <v>40217.454899318815</v>
          </cell>
        </row>
        <row r="4292">
          <cell r="D4292" t="str">
            <v>IT&amp;NS</v>
          </cell>
          <cell r="F4292">
            <v>45385.093333333331</v>
          </cell>
          <cell r="G4292">
            <v>275</v>
          </cell>
          <cell r="H4292">
            <v>39425.142648401823</v>
          </cell>
        </row>
        <row r="4293">
          <cell r="D4293" t="str">
            <v>IT&amp;NS</v>
          </cell>
          <cell r="F4293">
            <v>15998.279999999999</v>
          </cell>
          <cell r="G4293">
            <v>275</v>
          </cell>
          <cell r="H4293">
            <v>13164.860821917808</v>
          </cell>
        </row>
        <row r="4294">
          <cell r="D4294" t="str">
            <v>IT&amp;NS</v>
          </cell>
          <cell r="F4294">
            <v>26269.840799999998</v>
          </cell>
          <cell r="G4294">
            <v>275</v>
          </cell>
          <cell r="H4294">
            <v>22440.816745205477</v>
          </cell>
        </row>
        <row r="4295">
          <cell r="D4295" t="str">
            <v>IT&amp;NS</v>
          </cell>
          <cell r="F4295">
            <v>26269.840799999998</v>
          </cell>
          <cell r="G4295">
            <v>275</v>
          </cell>
          <cell r="H4295">
            <v>22440.816745205477</v>
          </cell>
        </row>
        <row r="4296">
          <cell r="D4296" t="str">
            <v>IT&amp;NS</v>
          </cell>
          <cell r="F4296">
            <v>26269.840799999998</v>
          </cell>
          <cell r="G4296">
            <v>275</v>
          </cell>
          <cell r="H4296">
            <v>22440.816745205477</v>
          </cell>
        </row>
        <row r="4297">
          <cell r="D4297" t="str">
            <v>IT&amp;NS</v>
          </cell>
          <cell r="F4297">
            <v>26269.840799999998</v>
          </cell>
          <cell r="G4297">
            <v>275</v>
          </cell>
          <cell r="H4297">
            <v>22440.816745205477</v>
          </cell>
        </row>
        <row r="4298">
          <cell r="D4298" t="str">
            <v>IT&amp;NS</v>
          </cell>
          <cell r="F4298">
            <v>26269.840799999998</v>
          </cell>
          <cell r="G4298">
            <v>275</v>
          </cell>
          <cell r="H4298">
            <v>22440.816745205477</v>
          </cell>
        </row>
        <row r="4299">
          <cell r="D4299" t="str">
            <v>IT&amp;NS</v>
          </cell>
          <cell r="F4299">
            <v>21045.115846994537</v>
          </cell>
          <cell r="G4299">
            <v>275</v>
          </cell>
          <cell r="H4299">
            <v>18358.252833295905</v>
          </cell>
        </row>
        <row r="4300">
          <cell r="D4300" t="str">
            <v>IT&amp;NS</v>
          </cell>
          <cell r="F4300">
            <v>21045.115846994537</v>
          </cell>
          <cell r="G4300">
            <v>275</v>
          </cell>
          <cell r="H4300">
            <v>18358.252833295905</v>
          </cell>
        </row>
        <row r="4301">
          <cell r="D4301" t="str">
            <v>IT&amp;NS</v>
          </cell>
          <cell r="F4301">
            <v>21045.115846994537</v>
          </cell>
          <cell r="G4301">
            <v>275</v>
          </cell>
          <cell r="H4301">
            <v>18358.252833295905</v>
          </cell>
        </row>
        <row r="4302">
          <cell r="D4302" t="str">
            <v>IT&amp;NS</v>
          </cell>
          <cell r="F4302">
            <v>21045.115846994537</v>
          </cell>
          <cell r="G4302">
            <v>275</v>
          </cell>
          <cell r="H4302">
            <v>18358.252833295905</v>
          </cell>
        </row>
        <row r="4303">
          <cell r="D4303" t="str">
            <v>IT&amp;NS</v>
          </cell>
          <cell r="F4303">
            <v>21045.115846994537</v>
          </cell>
          <cell r="G4303">
            <v>275</v>
          </cell>
          <cell r="H4303">
            <v>18358.252833295905</v>
          </cell>
        </row>
        <row r="4304">
          <cell r="D4304" t="str">
            <v>IT&amp;NS</v>
          </cell>
          <cell r="F4304">
            <v>21045.115846994537</v>
          </cell>
          <cell r="G4304">
            <v>275</v>
          </cell>
          <cell r="H4304">
            <v>18358.252833295905</v>
          </cell>
        </row>
        <row r="4305">
          <cell r="D4305" t="str">
            <v>IT&amp;NS</v>
          </cell>
          <cell r="F4305">
            <v>25822.403825136611</v>
          </cell>
          <cell r="G4305">
            <v>275</v>
          </cell>
          <cell r="H4305">
            <v>22476.038071711955</v>
          </cell>
        </row>
        <row r="4306">
          <cell r="D4306" t="str">
            <v>IT&amp;NS</v>
          </cell>
          <cell r="F4306">
            <v>25822.403825136611</v>
          </cell>
          <cell r="G4306">
            <v>275</v>
          </cell>
          <cell r="H4306">
            <v>22476.038071711955</v>
          </cell>
        </row>
        <row r="4307">
          <cell r="D4307" t="str">
            <v>IT&amp;NS</v>
          </cell>
          <cell r="F4307">
            <v>25822.403825136611</v>
          </cell>
          <cell r="G4307">
            <v>275</v>
          </cell>
          <cell r="H4307">
            <v>22476.038071711955</v>
          </cell>
        </row>
        <row r="4308">
          <cell r="D4308" t="str">
            <v>IT&amp;NS</v>
          </cell>
          <cell r="F4308">
            <v>25822.403825136611</v>
          </cell>
          <cell r="G4308">
            <v>275</v>
          </cell>
          <cell r="H4308">
            <v>22476.038071711955</v>
          </cell>
        </row>
        <row r="4309">
          <cell r="D4309" t="str">
            <v>IT&amp;NS</v>
          </cell>
          <cell r="F4309">
            <v>20051.316393442623</v>
          </cell>
          <cell r="G4309">
            <v>275</v>
          </cell>
          <cell r="H4309">
            <v>17486.583516730294</v>
          </cell>
        </row>
        <row r="4310">
          <cell r="D4310" t="str">
            <v>IT&amp;NS</v>
          </cell>
          <cell r="F4310">
            <v>20051.316393442623</v>
          </cell>
          <cell r="G4310">
            <v>275</v>
          </cell>
          <cell r="H4310">
            <v>17486.583516730294</v>
          </cell>
        </row>
        <row r="4311">
          <cell r="D4311" t="str">
            <v>IT&amp;NS</v>
          </cell>
          <cell r="F4311">
            <v>20051.316393442623</v>
          </cell>
          <cell r="G4311">
            <v>275</v>
          </cell>
          <cell r="H4311">
            <v>17486.583516730294</v>
          </cell>
        </row>
        <row r="4312">
          <cell r="D4312" t="str">
            <v>IT&amp;NS</v>
          </cell>
          <cell r="F4312">
            <v>20051.316393442623</v>
          </cell>
          <cell r="G4312">
            <v>275</v>
          </cell>
          <cell r="H4312">
            <v>17486.583516730294</v>
          </cell>
        </row>
        <row r="4313">
          <cell r="D4313" t="str">
            <v>IT&amp;NS</v>
          </cell>
          <cell r="F4313">
            <v>20051.316393442623</v>
          </cell>
          <cell r="G4313">
            <v>275</v>
          </cell>
          <cell r="H4313">
            <v>17486.583516730294</v>
          </cell>
        </row>
        <row r="4314">
          <cell r="D4314" t="str">
            <v>IT&amp;NS</v>
          </cell>
          <cell r="F4314">
            <v>20051.316393442623</v>
          </cell>
          <cell r="G4314">
            <v>275</v>
          </cell>
          <cell r="H4314">
            <v>17486.583516730294</v>
          </cell>
        </row>
        <row r="4315">
          <cell r="D4315" t="str">
            <v>IT&amp;NS</v>
          </cell>
          <cell r="F4315">
            <v>20051.316393442623</v>
          </cell>
          <cell r="G4315">
            <v>275</v>
          </cell>
          <cell r="H4315">
            <v>17486.583516730294</v>
          </cell>
        </row>
        <row r="4316">
          <cell r="D4316" t="str">
            <v>IT&amp;NS</v>
          </cell>
          <cell r="F4316">
            <v>20051.316393442623</v>
          </cell>
          <cell r="G4316">
            <v>275</v>
          </cell>
          <cell r="H4316">
            <v>17486.583516730294</v>
          </cell>
        </row>
        <row r="4317">
          <cell r="D4317" t="str">
            <v>IT&amp;NS</v>
          </cell>
          <cell r="F4317">
            <v>20051.316393442623</v>
          </cell>
          <cell r="G4317">
            <v>275</v>
          </cell>
          <cell r="H4317">
            <v>17486.583516730294</v>
          </cell>
        </row>
        <row r="4318">
          <cell r="D4318" t="str">
            <v>IT&amp;NS</v>
          </cell>
          <cell r="F4318">
            <v>20051.316393442623</v>
          </cell>
          <cell r="G4318">
            <v>275</v>
          </cell>
          <cell r="H4318">
            <v>17486.583516730294</v>
          </cell>
        </row>
        <row r="4319">
          <cell r="D4319" t="str">
            <v>IT&amp;NS</v>
          </cell>
          <cell r="F4319">
            <v>20051.316393442623</v>
          </cell>
          <cell r="G4319">
            <v>275</v>
          </cell>
          <cell r="H4319">
            <v>17486.583516730294</v>
          </cell>
        </row>
        <row r="4320">
          <cell r="D4320" t="str">
            <v>IT&amp;NS</v>
          </cell>
          <cell r="F4320">
            <v>20051.316393442623</v>
          </cell>
          <cell r="G4320">
            <v>275</v>
          </cell>
          <cell r="H4320">
            <v>17486.583516730294</v>
          </cell>
        </row>
        <row r="4321">
          <cell r="D4321" t="str">
            <v>IT&amp;NS</v>
          </cell>
          <cell r="F4321">
            <v>20051.316393442623</v>
          </cell>
          <cell r="G4321">
            <v>275</v>
          </cell>
          <cell r="H4321">
            <v>17486.583516730294</v>
          </cell>
        </row>
        <row r="4322">
          <cell r="D4322" t="str">
            <v>IT&amp;NS</v>
          </cell>
          <cell r="F4322">
            <v>20051.316393442623</v>
          </cell>
          <cell r="G4322">
            <v>275</v>
          </cell>
          <cell r="H4322">
            <v>17486.583516730294</v>
          </cell>
        </row>
        <row r="4323">
          <cell r="D4323" t="str">
            <v>IT&amp;NS</v>
          </cell>
          <cell r="F4323">
            <v>20051.316393442623</v>
          </cell>
          <cell r="G4323">
            <v>275</v>
          </cell>
          <cell r="H4323">
            <v>17486.583516730294</v>
          </cell>
        </row>
        <row r="4324">
          <cell r="D4324" t="str">
            <v>IT&amp;NS</v>
          </cell>
          <cell r="F4324">
            <v>20051.316393442623</v>
          </cell>
          <cell r="G4324">
            <v>275</v>
          </cell>
          <cell r="H4324">
            <v>17486.583516730294</v>
          </cell>
        </row>
        <row r="4325">
          <cell r="D4325" t="str">
            <v>IT&amp;NS</v>
          </cell>
          <cell r="F4325">
            <v>20051.316393442623</v>
          </cell>
          <cell r="G4325">
            <v>275</v>
          </cell>
          <cell r="H4325">
            <v>17486.583516730294</v>
          </cell>
        </row>
        <row r="4326">
          <cell r="D4326" t="str">
            <v>IT&amp;NS</v>
          </cell>
          <cell r="F4326">
            <v>20051.316393442623</v>
          </cell>
          <cell r="G4326">
            <v>275</v>
          </cell>
          <cell r="H4326">
            <v>17486.583516730294</v>
          </cell>
        </row>
        <row r="4327">
          <cell r="D4327" t="str">
            <v>IT&amp;NS</v>
          </cell>
          <cell r="F4327">
            <v>20051.316393442623</v>
          </cell>
          <cell r="G4327">
            <v>275</v>
          </cell>
          <cell r="H4327">
            <v>17486.583516730294</v>
          </cell>
        </row>
        <row r="4328">
          <cell r="D4328" t="str">
            <v>IT&amp;NS</v>
          </cell>
          <cell r="F4328">
            <v>20051.316393442623</v>
          </cell>
          <cell r="G4328">
            <v>275</v>
          </cell>
          <cell r="H4328">
            <v>17486.583516730294</v>
          </cell>
        </row>
        <row r="4329">
          <cell r="D4329" t="str">
            <v>IT&amp;NS</v>
          </cell>
          <cell r="F4329">
            <v>20051.316393442623</v>
          </cell>
          <cell r="G4329">
            <v>275</v>
          </cell>
          <cell r="H4329">
            <v>17486.583516730294</v>
          </cell>
        </row>
        <row r="4330">
          <cell r="D4330" t="str">
            <v>IT&amp;NS</v>
          </cell>
          <cell r="F4330">
            <v>20051.316393442623</v>
          </cell>
          <cell r="G4330">
            <v>275</v>
          </cell>
          <cell r="H4330">
            <v>17486.583516730294</v>
          </cell>
        </row>
        <row r="4331">
          <cell r="D4331" t="str">
            <v>IT&amp;NS</v>
          </cell>
          <cell r="F4331">
            <v>20051.316393442623</v>
          </cell>
          <cell r="G4331">
            <v>275</v>
          </cell>
          <cell r="H4331">
            <v>17486.583516730294</v>
          </cell>
        </row>
        <row r="4332">
          <cell r="D4332" t="str">
            <v>IT&amp;NS</v>
          </cell>
          <cell r="F4332">
            <v>20051.316393442623</v>
          </cell>
          <cell r="G4332">
            <v>275</v>
          </cell>
          <cell r="H4332">
            <v>17486.583516730294</v>
          </cell>
        </row>
        <row r="4333">
          <cell r="D4333" t="str">
            <v>IT&amp;NS</v>
          </cell>
          <cell r="F4333">
            <v>20051.316393442623</v>
          </cell>
          <cell r="G4333">
            <v>275</v>
          </cell>
          <cell r="H4333">
            <v>17486.583516730294</v>
          </cell>
        </row>
        <row r="4334">
          <cell r="D4334" t="str">
            <v>IT&amp;NS</v>
          </cell>
          <cell r="F4334">
            <v>20051.316393442623</v>
          </cell>
          <cell r="G4334">
            <v>275</v>
          </cell>
          <cell r="H4334">
            <v>17486.583516730294</v>
          </cell>
        </row>
        <row r="4335">
          <cell r="D4335" t="str">
            <v>IT&amp;NS</v>
          </cell>
          <cell r="F4335">
            <v>20051.316393442623</v>
          </cell>
          <cell r="G4335">
            <v>275</v>
          </cell>
          <cell r="H4335">
            <v>17486.583516730294</v>
          </cell>
        </row>
        <row r="4336">
          <cell r="D4336" t="str">
            <v>IT&amp;NS</v>
          </cell>
          <cell r="F4336">
            <v>20051.316393442623</v>
          </cell>
          <cell r="G4336">
            <v>275</v>
          </cell>
          <cell r="H4336">
            <v>17486.583516730294</v>
          </cell>
        </row>
        <row r="4337">
          <cell r="D4337" t="str">
            <v>IT&amp;NS</v>
          </cell>
          <cell r="F4337">
            <v>20051.316393442623</v>
          </cell>
          <cell r="G4337">
            <v>275</v>
          </cell>
          <cell r="H4337">
            <v>17486.583516730294</v>
          </cell>
        </row>
        <row r="4338">
          <cell r="D4338" t="str">
            <v>IT&amp;NS</v>
          </cell>
          <cell r="F4338">
            <v>20051.316393442623</v>
          </cell>
          <cell r="G4338">
            <v>275</v>
          </cell>
          <cell r="H4338">
            <v>17486.583516730294</v>
          </cell>
        </row>
        <row r="4339">
          <cell r="D4339" t="str">
            <v>IT&amp;NS</v>
          </cell>
          <cell r="F4339">
            <v>20051.316393442623</v>
          </cell>
          <cell r="G4339">
            <v>275</v>
          </cell>
          <cell r="H4339">
            <v>17486.583516730294</v>
          </cell>
        </row>
        <row r="4340">
          <cell r="D4340" t="str">
            <v>IT&amp;NS</v>
          </cell>
          <cell r="F4340">
            <v>20051.316393442623</v>
          </cell>
          <cell r="G4340">
            <v>275</v>
          </cell>
          <cell r="H4340">
            <v>17486.583516730294</v>
          </cell>
        </row>
        <row r="4341">
          <cell r="D4341" t="str">
            <v>IT&amp;NS</v>
          </cell>
          <cell r="F4341">
            <v>20051.316393442623</v>
          </cell>
          <cell r="G4341">
            <v>275</v>
          </cell>
          <cell r="H4341">
            <v>17486.583516730294</v>
          </cell>
        </row>
        <row r="4342">
          <cell r="D4342" t="str">
            <v>IT&amp;NS</v>
          </cell>
          <cell r="F4342">
            <v>20051.316393442623</v>
          </cell>
          <cell r="G4342">
            <v>275</v>
          </cell>
          <cell r="H4342">
            <v>17486.583516730294</v>
          </cell>
        </row>
        <row r="4343">
          <cell r="D4343" t="str">
            <v>IT&amp;NS</v>
          </cell>
          <cell r="F4343">
            <v>20051.316393442623</v>
          </cell>
          <cell r="G4343">
            <v>275</v>
          </cell>
          <cell r="H4343">
            <v>17486.583516730294</v>
          </cell>
        </row>
        <row r="4344">
          <cell r="D4344" t="str">
            <v>IT&amp;NS</v>
          </cell>
          <cell r="F4344">
            <v>20051.316393442623</v>
          </cell>
          <cell r="G4344">
            <v>275</v>
          </cell>
          <cell r="H4344">
            <v>17486.583516730294</v>
          </cell>
        </row>
        <row r="4345">
          <cell r="D4345" t="str">
            <v>IT&amp;NS</v>
          </cell>
          <cell r="F4345">
            <v>20051.316393442623</v>
          </cell>
          <cell r="G4345">
            <v>275</v>
          </cell>
          <cell r="H4345">
            <v>17486.583516730294</v>
          </cell>
        </row>
        <row r="4346">
          <cell r="D4346" t="str">
            <v>IT&amp;NS</v>
          </cell>
          <cell r="F4346">
            <v>20051.316393442623</v>
          </cell>
          <cell r="G4346">
            <v>275</v>
          </cell>
          <cell r="H4346">
            <v>17486.583516730294</v>
          </cell>
        </row>
        <row r="4347">
          <cell r="D4347" t="str">
            <v>IT&amp;NS</v>
          </cell>
          <cell r="F4347">
            <v>20051.316393442623</v>
          </cell>
          <cell r="G4347">
            <v>275</v>
          </cell>
          <cell r="H4347">
            <v>17486.583516730294</v>
          </cell>
        </row>
        <row r="4348">
          <cell r="D4348" t="str">
            <v>IT&amp;NS</v>
          </cell>
          <cell r="F4348">
            <v>20051.316393442623</v>
          </cell>
          <cell r="G4348">
            <v>275</v>
          </cell>
          <cell r="H4348">
            <v>17486.583516730294</v>
          </cell>
        </row>
        <row r="4349">
          <cell r="D4349" t="str">
            <v>IT&amp;NS</v>
          </cell>
          <cell r="F4349">
            <v>20051.316393442623</v>
          </cell>
          <cell r="G4349">
            <v>275</v>
          </cell>
          <cell r="H4349">
            <v>17486.583516730294</v>
          </cell>
        </row>
        <row r="4350">
          <cell r="D4350" t="str">
            <v>IT&amp;NS</v>
          </cell>
          <cell r="F4350">
            <v>20051.316393442623</v>
          </cell>
          <cell r="G4350">
            <v>275</v>
          </cell>
          <cell r="H4350">
            <v>17486.583516730294</v>
          </cell>
        </row>
        <row r="4351">
          <cell r="D4351" t="str">
            <v>IT&amp;NS</v>
          </cell>
          <cell r="F4351">
            <v>20051.316393442623</v>
          </cell>
          <cell r="G4351">
            <v>275</v>
          </cell>
          <cell r="H4351">
            <v>17486.583516730294</v>
          </cell>
        </row>
        <row r="4352">
          <cell r="D4352" t="str">
            <v>IT&amp;NS</v>
          </cell>
          <cell r="F4352">
            <v>20051.316393442623</v>
          </cell>
          <cell r="G4352">
            <v>275</v>
          </cell>
          <cell r="H4352">
            <v>17486.583516730294</v>
          </cell>
        </row>
        <row r="4353">
          <cell r="D4353" t="str">
            <v>IT&amp;NS</v>
          </cell>
          <cell r="F4353">
            <v>20051.316393442623</v>
          </cell>
          <cell r="G4353">
            <v>275</v>
          </cell>
          <cell r="H4353">
            <v>17486.583516730294</v>
          </cell>
        </row>
        <row r="4354">
          <cell r="D4354" t="str">
            <v>IT&amp;NS</v>
          </cell>
          <cell r="F4354">
            <v>20051.316393442623</v>
          </cell>
          <cell r="G4354">
            <v>275</v>
          </cell>
          <cell r="H4354">
            <v>17486.583516730294</v>
          </cell>
        </row>
        <row r="4355">
          <cell r="D4355" t="str">
            <v>IT&amp;NS</v>
          </cell>
          <cell r="F4355">
            <v>20051.316393442623</v>
          </cell>
          <cell r="G4355">
            <v>275</v>
          </cell>
          <cell r="H4355">
            <v>17486.583516730294</v>
          </cell>
        </row>
        <row r="4356">
          <cell r="D4356" t="str">
            <v>IT&amp;NS</v>
          </cell>
          <cell r="F4356">
            <v>20051.316393442623</v>
          </cell>
          <cell r="G4356">
            <v>275</v>
          </cell>
          <cell r="H4356">
            <v>17486.583516730294</v>
          </cell>
        </row>
        <row r="4357">
          <cell r="D4357" t="str">
            <v>IT&amp;NS</v>
          </cell>
          <cell r="F4357">
            <v>20051.316393442623</v>
          </cell>
          <cell r="G4357">
            <v>275</v>
          </cell>
          <cell r="H4357">
            <v>17486.583516730294</v>
          </cell>
        </row>
        <row r="4358">
          <cell r="D4358" t="str">
            <v>IT&amp;NS</v>
          </cell>
          <cell r="F4358">
            <v>20051.316393442623</v>
          </cell>
          <cell r="G4358">
            <v>275</v>
          </cell>
          <cell r="H4358">
            <v>17486.583516730294</v>
          </cell>
        </row>
        <row r="4359">
          <cell r="D4359" t="str">
            <v>IT&amp;NS</v>
          </cell>
          <cell r="F4359">
            <v>20375.498524590163</v>
          </cell>
          <cell r="G4359">
            <v>275</v>
          </cell>
          <cell r="H4359">
            <v>17774.126606781945</v>
          </cell>
        </row>
        <row r="4360">
          <cell r="D4360" t="str">
            <v>IT&amp;NS</v>
          </cell>
          <cell r="F4360">
            <v>20375.498524590163</v>
          </cell>
          <cell r="G4360">
            <v>275</v>
          </cell>
          <cell r="H4360">
            <v>17774.126606781945</v>
          </cell>
        </row>
        <row r="4361">
          <cell r="D4361" t="str">
            <v>IT&amp;NS</v>
          </cell>
          <cell r="F4361">
            <v>20375.498524590163</v>
          </cell>
          <cell r="G4361">
            <v>275</v>
          </cell>
          <cell r="H4361">
            <v>17774.126606781945</v>
          </cell>
        </row>
        <row r="4362">
          <cell r="D4362" t="str">
            <v>IT&amp;NS</v>
          </cell>
          <cell r="F4362">
            <v>20375.498524590163</v>
          </cell>
          <cell r="G4362">
            <v>275</v>
          </cell>
          <cell r="H4362">
            <v>17774.126606781945</v>
          </cell>
        </row>
        <row r="4363">
          <cell r="D4363" t="str">
            <v>IT&amp;NS</v>
          </cell>
          <cell r="F4363">
            <v>20375.498524590163</v>
          </cell>
          <cell r="G4363">
            <v>275</v>
          </cell>
          <cell r="H4363">
            <v>17774.126606781945</v>
          </cell>
        </row>
        <row r="4364">
          <cell r="D4364" t="str">
            <v>IT&amp;NS</v>
          </cell>
          <cell r="F4364">
            <v>20375.498524590163</v>
          </cell>
          <cell r="G4364">
            <v>275</v>
          </cell>
          <cell r="H4364">
            <v>17774.126606781945</v>
          </cell>
        </row>
        <row r="4365">
          <cell r="D4365" t="str">
            <v>IT&amp;NS</v>
          </cell>
          <cell r="F4365">
            <v>20375.498524590163</v>
          </cell>
          <cell r="G4365">
            <v>275</v>
          </cell>
          <cell r="H4365">
            <v>17774.126606781945</v>
          </cell>
        </row>
        <row r="4366">
          <cell r="D4366" t="str">
            <v>IT&amp;NS</v>
          </cell>
          <cell r="F4366">
            <v>20375.498524590163</v>
          </cell>
          <cell r="G4366">
            <v>275</v>
          </cell>
          <cell r="H4366">
            <v>17774.126606781945</v>
          </cell>
        </row>
        <row r="4367">
          <cell r="D4367" t="str">
            <v>IT&amp;NS</v>
          </cell>
          <cell r="F4367">
            <v>20375.498524590163</v>
          </cell>
          <cell r="G4367">
            <v>275</v>
          </cell>
          <cell r="H4367">
            <v>17774.126606781945</v>
          </cell>
        </row>
        <row r="4368">
          <cell r="D4368" t="str">
            <v>IT&amp;NS</v>
          </cell>
          <cell r="F4368">
            <v>20375.498524590163</v>
          </cell>
          <cell r="G4368">
            <v>275</v>
          </cell>
          <cell r="H4368">
            <v>17774.126606781945</v>
          </cell>
        </row>
        <row r="4369">
          <cell r="D4369" t="str">
            <v>IT&amp;NS</v>
          </cell>
          <cell r="F4369">
            <v>20375.498524590163</v>
          </cell>
          <cell r="G4369">
            <v>275</v>
          </cell>
          <cell r="H4369">
            <v>17774.126606781945</v>
          </cell>
        </row>
        <row r="4370">
          <cell r="D4370" t="str">
            <v>IT&amp;NS</v>
          </cell>
          <cell r="F4370">
            <v>20375.498524590163</v>
          </cell>
          <cell r="G4370">
            <v>275</v>
          </cell>
          <cell r="H4370">
            <v>17774.126606781945</v>
          </cell>
        </row>
        <row r="4371">
          <cell r="D4371" t="str">
            <v>IT&amp;NS</v>
          </cell>
          <cell r="F4371">
            <v>20375.498524590163</v>
          </cell>
          <cell r="G4371">
            <v>275</v>
          </cell>
          <cell r="H4371">
            <v>17774.126606781945</v>
          </cell>
        </row>
        <row r="4372">
          <cell r="D4372" t="str">
            <v>IT&amp;NS</v>
          </cell>
          <cell r="F4372">
            <v>20375.498524590163</v>
          </cell>
          <cell r="G4372">
            <v>275</v>
          </cell>
          <cell r="H4372">
            <v>17774.126606781945</v>
          </cell>
        </row>
        <row r="4373">
          <cell r="D4373" t="str">
            <v>IT&amp;NS</v>
          </cell>
          <cell r="F4373">
            <v>28484.630709289617</v>
          </cell>
          <cell r="G4373">
            <v>275</v>
          </cell>
          <cell r="H4373">
            <v>24700.794805180027</v>
          </cell>
        </row>
        <row r="4374">
          <cell r="D4374" t="str">
            <v>IT&amp;NS</v>
          </cell>
          <cell r="F4374">
            <v>23283.379098360656</v>
          </cell>
          <cell r="G4374">
            <v>275</v>
          </cell>
          <cell r="H4374">
            <v>20321.723276442848</v>
          </cell>
        </row>
        <row r="4375">
          <cell r="D4375" t="str">
            <v>IT&amp;NS</v>
          </cell>
          <cell r="F4375">
            <v>27757.148372950818</v>
          </cell>
          <cell r="G4375">
            <v>275</v>
          </cell>
          <cell r="H4375">
            <v>24226.42717774534</v>
          </cell>
        </row>
        <row r="4376">
          <cell r="D4376" t="str">
            <v>IT&amp;NS</v>
          </cell>
          <cell r="F4376">
            <v>27757.148372950818</v>
          </cell>
          <cell r="G4376">
            <v>275</v>
          </cell>
          <cell r="H4376">
            <v>24226.42717774534</v>
          </cell>
        </row>
        <row r="4377">
          <cell r="D4377" t="str">
            <v>IT&amp;NS</v>
          </cell>
          <cell r="F4377">
            <v>22055.526885245901</v>
          </cell>
          <cell r="G4377">
            <v>275</v>
          </cell>
          <cell r="H4377">
            <v>19252.640241410285</v>
          </cell>
        </row>
        <row r="4378">
          <cell r="D4378" t="str">
            <v>IT&amp;NS</v>
          </cell>
          <cell r="F4378">
            <v>22055.526885245901</v>
          </cell>
          <cell r="G4378">
            <v>275</v>
          </cell>
          <cell r="H4378">
            <v>19252.640241410285</v>
          </cell>
        </row>
        <row r="4379">
          <cell r="D4379" t="str">
            <v>IT&amp;NS</v>
          </cell>
          <cell r="F4379">
            <v>22055.526885245901</v>
          </cell>
          <cell r="G4379">
            <v>275</v>
          </cell>
          <cell r="H4379">
            <v>19252.640241410285</v>
          </cell>
        </row>
        <row r="4380">
          <cell r="D4380" t="str">
            <v>IT&amp;NS</v>
          </cell>
          <cell r="F4380">
            <v>22055.526885245901</v>
          </cell>
          <cell r="G4380">
            <v>275</v>
          </cell>
          <cell r="H4380">
            <v>19252.640241410285</v>
          </cell>
        </row>
        <row r="4381">
          <cell r="D4381" t="str">
            <v>IT&amp;NS</v>
          </cell>
          <cell r="F4381">
            <v>22584.090710382512</v>
          </cell>
          <cell r="G4381">
            <v>275</v>
          </cell>
          <cell r="H4381">
            <v>19714.032491204431</v>
          </cell>
        </row>
        <row r="4382">
          <cell r="D4382" t="str">
            <v>IT&amp;NS</v>
          </cell>
          <cell r="F4382">
            <v>20835.023770491804</v>
          </cell>
          <cell r="G4382">
            <v>275</v>
          </cell>
          <cell r="H4382">
            <v>18184.799797889063</v>
          </cell>
        </row>
        <row r="4383">
          <cell r="D4383" t="str">
            <v>IT&amp;NS</v>
          </cell>
          <cell r="F4383">
            <v>20835.023770491804</v>
          </cell>
          <cell r="G4383">
            <v>275</v>
          </cell>
          <cell r="H4383">
            <v>18184.799797889063</v>
          </cell>
        </row>
        <row r="4384">
          <cell r="D4384" t="str">
            <v>IT&amp;NS</v>
          </cell>
          <cell r="F4384">
            <v>20330.340983606558</v>
          </cell>
          <cell r="G4384">
            <v>275</v>
          </cell>
          <cell r="H4384">
            <v>17765.608106894229</v>
          </cell>
        </row>
        <row r="4385">
          <cell r="D4385" t="str">
            <v>IT&amp;NS</v>
          </cell>
          <cell r="F4385">
            <v>20330.340983606558</v>
          </cell>
          <cell r="G4385">
            <v>275</v>
          </cell>
          <cell r="H4385">
            <v>17765.608106894229</v>
          </cell>
        </row>
        <row r="4386">
          <cell r="D4386" t="str">
            <v>IT&amp;NS</v>
          </cell>
          <cell r="F4386">
            <v>20330.340983606558</v>
          </cell>
          <cell r="G4386">
            <v>275</v>
          </cell>
          <cell r="H4386">
            <v>17765.608106894229</v>
          </cell>
        </row>
        <row r="4387">
          <cell r="D4387" t="str">
            <v>IT&amp;NS</v>
          </cell>
          <cell r="F4387">
            <v>20330.340983606558</v>
          </cell>
          <cell r="G4387">
            <v>275</v>
          </cell>
          <cell r="H4387">
            <v>17765.608106894229</v>
          </cell>
        </row>
        <row r="4388">
          <cell r="D4388" t="str">
            <v>IT&amp;NS</v>
          </cell>
          <cell r="F4388">
            <v>20330.340983606558</v>
          </cell>
          <cell r="G4388">
            <v>275</v>
          </cell>
          <cell r="H4388">
            <v>17765.608106894229</v>
          </cell>
        </row>
        <row r="4389">
          <cell r="D4389" t="str">
            <v>IT&amp;NS</v>
          </cell>
          <cell r="F4389">
            <v>20255.934426229509</v>
          </cell>
          <cell r="G4389">
            <v>275</v>
          </cell>
          <cell r="H4389">
            <v>17691.20154951718</v>
          </cell>
        </row>
        <row r="4390">
          <cell r="D4390" t="str">
            <v>IT&amp;NS</v>
          </cell>
          <cell r="F4390">
            <v>20255.934426229509</v>
          </cell>
          <cell r="G4390">
            <v>275</v>
          </cell>
          <cell r="H4390">
            <v>17691.20154951718</v>
          </cell>
        </row>
        <row r="4391">
          <cell r="D4391" t="str">
            <v>IT&amp;NS</v>
          </cell>
          <cell r="F4391">
            <v>20255.934426229509</v>
          </cell>
          <cell r="G4391">
            <v>275</v>
          </cell>
          <cell r="H4391">
            <v>17691.20154951718</v>
          </cell>
        </row>
        <row r="4392">
          <cell r="D4392" t="str">
            <v>IT&amp;NS</v>
          </cell>
          <cell r="F4392">
            <v>20255.934426229509</v>
          </cell>
          <cell r="G4392">
            <v>275</v>
          </cell>
          <cell r="H4392">
            <v>17691.20154951718</v>
          </cell>
        </row>
        <row r="4393">
          <cell r="D4393" t="str">
            <v>IT&amp;NS</v>
          </cell>
          <cell r="F4393">
            <v>20255.934426229509</v>
          </cell>
          <cell r="G4393">
            <v>275</v>
          </cell>
          <cell r="H4393">
            <v>17691.20154951718</v>
          </cell>
        </row>
        <row r="4394">
          <cell r="D4394" t="str">
            <v>IT&amp;NS</v>
          </cell>
          <cell r="F4394">
            <v>20122.419098360657</v>
          </cell>
          <cell r="G4394">
            <v>275</v>
          </cell>
          <cell r="H4394">
            <v>17594.32526274422</v>
          </cell>
        </row>
        <row r="4395">
          <cell r="D4395" t="str">
            <v>IT&amp;NS</v>
          </cell>
          <cell r="F4395">
            <v>20122.419098360657</v>
          </cell>
          <cell r="G4395">
            <v>275</v>
          </cell>
          <cell r="H4395">
            <v>17594.32526274422</v>
          </cell>
        </row>
        <row r="4396">
          <cell r="D4396" t="str">
            <v>IT&amp;NS</v>
          </cell>
          <cell r="F4396">
            <v>20122.419098360657</v>
          </cell>
          <cell r="G4396">
            <v>275</v>
          </cell>
          <cell r="H4396">
            <v>17594.32526274422</v>
          </cell>
        </row>
        <row r="4397">
          <cell r="D4397" t="str">
            <v>IT&amp;NS</v>
          </cell>
          <cell r="F4397">
            <v>19394.814754098359</v>
          </cell>
          <cell r="G4397">
            <v>275</v>
          </cell>
          <cell r="H4397">
            <v>16927.785986975072</v>
          </cell>
        </row>
        <row r="4398">
          <cell r="D4398" t="str">
            <v>IT&amp;NS</v>
          </cell>
          <cell r="F4398">
            <v>19394.814754098359</v>
          </cell>
          <cell r="G4398">
            <v>275</v>
          </cell>
          <cell r="H4398">
            <v>16927.785986975072</v>
          </cell>
        </row>
        <row r="4399">
          <cell r="D4399" t="str">
            <v>IT&amp;NS</v>
          </cell>
          <cell r="F4399">
            <v>19394.814754098359</v>
          </cell>
          <cell r="G4399">
            <v>275</v>
          </cell>
          <cell r="H4399">
            <v>16927.785986975072</v>
          </cell>
        </row>
        <row r="4400">
          <cell r="D4400" t="str">
            <v>IT&amp;NS</v>
          </cell>
          <cell r="F4400">
            <v>19394.814754098359</v>
          </cell>
          <cell r="G4400">
            <v>275</v>
          </cell>
          <cell r="H4400">
            <v>16927.785986975072</v>
          </cell>
        </row>
        <row r="4401">
          <cell r="D4401" t="str">
            <v>IT&amp;NS</v>
          </cell>
          <cell r="F4401">
            <v>23043.421073442623</v>
          </cell>
          <cell r="G4401">
            <v>275</v>
          </cell>
          <cell r="H4401">
            <v>20112.288015360431</v>
          </cell>
        </row>
        <row r="4402">
          <cell r="D4402" t="str">
            <v>IT&amp;NS</v>
          </cell>
          <cell r="F4402">
            <v>23043.421073442623</v>
          </cell>
          <cell r="G4402">
            <v>275</v>
          </cell>
          <cell r="H4402">
            <v>20112.288015360431</v>
          </cell>
        </row>
        <row r="4403">
          <cell r="D4403" t="str">
            <v>IT&amp;NS</v>
          </cell>
          <cell r="F4403">
            <v>23283.379098360656</v>
          </cell>
          <cell r="G4403">
            <v>275</v>
          </cell>
          <cell r="H4403">
            <v>20321.723276442848</v>
          </cell>
        </row>
        <row r="4404">
          <cell r="D4404" t="str">
            <v>IT&amp;NS</v>
          </cell>
          <cell r="F4404">
            <v>24590.195423497269</v>
          </cell>
          <cell r="G4404">
            <v>275</v>
          </cell>
          <cell r="H4404">
            <v>21506.409464593158</v>
          </cell>
        </row>
        <row r="4405">
          <cell r="D4405" t="str">
            <v>IT&amp;NS</v>
          </cell>
          <cell r="F4405">
            <v>20051.887388284151</v>
          </cell>
          <cell r="G4405">
            <v>275</v>
          </cell>
          <cell r="H4405">
            <v>17537.237638147166</v>
          </cell>
        </row>
        <row r="4406">
          <cell r="D4406" t="str">
            <v>IT&amp;NS</v>
          </cell>
          <cell r="F4406">
            <v>23372.859016393442</v>
          </cell>
          <cell r="G4406">
            <v>275</v>
          </cell>
          <cell r="H4406">
            <v>20441.735728722211</v>
          </cell>
        </row>
        <row r="4407">
          <cell r="D4407" t="str">
            <v>IT&amp;NS</v>
          </cell>
          <cell r="F4407">
            <v>25873.991639344262</v>
          </cell>
          <cell r="G4407">
            <v>275</v>
          </cell>
          <cell r="H4407">
            <v>22635.100406467551</v>
          </cell>
        </row>
        <row r="4408">
          <cell r="D4408" t="str">
            <v>IT&amp;NS</v>
          </cell>
          <cell r="F4408">
            <v>28144.817732240437</v>
          </cell>
          <cell r="G4408">
            <v>275</v>
          </cell>
          <cell r="H4408">
            <v>24615.256773336328</v>
          </cell>
        </row>
        <row r="4409">
          <cell r="D4409" t="str">
            <v>IT&amp;NS</v>
          </cell>
          <cell r="F4409">
            <v>23627.967213114753</v>
          </cell>
          <cell r="G4409">
            <v>275</v>
          </cell>
          <cell r="H4409">
            <v>20696.843925443522</v>
          </cell>
        </row>
        <row r="4410">
          <cell r="D4410" t="str">
            <v>IT&amp;NS</v>
          </cell>
          <cell r="F4410">
            <v>23627.967213114753</v>
          </cell>
          <cell r="G4410">
            <v>275</v>
          </cell>
          <cell r="H4410">
            <v>20696.843925443522</v>
          </cell>
        </row>
        <row r="4411">
          <cell r="D4411" t="str">
            <v>IT&amp;NS</v>
          </cell>
          <cell r="F4411">
            <v>23627.967213114753</v>
          </cell>
          <cell r="G4411">
            <v>275</v>
          </cell>
          <cell r="H4411">
            <v>20696.843925443522</v>
          </cell>
        </row>
        <row r="4412">
          <cell r="D4412" t="str">
            <v>IT&amp;NS</v>
          </cell>
          <cell r="F4412">
            <v>26366.215573770492</v>
          </cell>
          <cell r="G4412">
            <v>275</v>
          </cell>
          <cell r="H4412">
            <v>23068.701875140356</v>
          </cell>
        </row>
        <row r="4413">
          <cell r="D4413" t="str">
            <v>IT&amp;NS</v>
          </cell>
          <cell r="F4413">
            <v>26366.215573770492</v>
          </cell>
          <cell r="G4413">
            <v>275</v>
          </cell>
          <cell r="H4413">
            <v>23068.701875140356</v>
          </cell>
        </row>
        <row r="4414">
          <cell r="D4414" t="str">
            <v>IT&amp;NS</v>
          </cell>
          <cell r="F4414">
            <v>26366.215573770492</v>
          </cell>
          <cell r="G4414">
            <v>275</v>
          </cell>
          <cell r="H4414">
            <v>23068.701875140356</v>
          </cell>
        </row>
        <row r="4415">
          <cell r="D4415" t="str">
            <v>IT&amp;NS</v>
          </cell>
          <cell r="F4415">
            <v>26366.215573770492</v>
          </cell>
          <cell r="G4415">
            <v>275</v>
          </cell>
          <cell r="H4415">
            <v>23068.701875140356</v>
          </cell>
        </row>
        <row r="4416">
          <cell r="D4416" t="str">
            <v>IT&amp;NS</v>
          </cell>
          <cell r="F4416">
            <v>26366.215573770492</v>
          </cell>
          <cell r="G4416">
            <v>275</v>
          </cell>
          <cell r="H4416">
            <v>23068.701875140356</v>
          </cell>
        </row>
        <row r="4417">
          <cell r="D4417" t="str">
            <v>IT&amp;NS</v>
          </cell>
          <cell r="F4417">
            <v>26366.215573770492</v>
          </cell>
          <cell r="G4417">
            <v>275</v>
          </cell>
          <cell r="H4417">
            <v>23068.701875140356</v>
          </cell>
        </row>
        <row r="4418">
          <cell r="D4418" t="str">
            <v>IT&amp;NS</v>
          </cell>
          <cell r="F4418">
            <v>26366.215573770492</v>
          </cell>
          <cell r="G4418">
            <v>275</v>
          </cell>
          <cell r="H4418">
            <v>23068.701875140356</v>
          </cell>
        </row>
        <row r="4419">
          <cell r="D4419" t="str">
            <v>IT&amp;NS</v>
          </cell>
          <cell r="F4419">
            <v>18554.003551912567</v>
          </cell>
          <cell r="G4419">
            <v>275</v>
          </cell>
          <cell r="H4419">
            <v>16233.53094917284</v>
          </cell>
        </row>
        <row r="4420">
          <cell r="D4420" t="str">
            <v>IT&amp;NS</v>
          </cell>
          <cell r="F4420">
            <v>18554.003551912567</v>
          </cell>
          <cell r="G4420">
            <v>275</v>
          </cell>
          <cell r="H4420">
            <v>16233.53094917284</v>
          </cell>
        </row>
        <row r="4421">
          <cell r="D4421" t="str">
            <v>IT&amp;NS</v>
          </cell>
          <cell r="F4421">
            <v>18554.003551912567</v>
          </cell>
          <cell r="G4421">
            <v>275</v>
          </cell>
          <cell r="H4421">
            <v>16233.53094917284</v>
          </cell>
        </row>
        <row r="4422">
          <cell r="D4422" t="str">
            <v>IT&amp;NS</v>
          </cell>
          <cell r="F4422">
            <v>18554.003551912567</v>
          </cell>
          <cell r="G4422">
            <v>275</v>
          </cell>
          <cell r="H4422">
            <v>16233.53094917284</v>
          </cell>
        </row>
        <row r="4423">
          <cell r="D4423" t="str">
            <v>IT&amp;NS</v>
          </cell>
          <cell r="F4423">
            <v>18554.003551912567</v>
          </cell>
          <cell r="G4423">
            <v>275</v>
          </cell>
          <cell r="H4423">
            <v>16233.53094917284</v>
          </cell>
        </row>
        <row r="4424">
          <cell r="D4424" t="str">
            <v>IT&amp;NS</v>
          </cell>
          <cell r="F4424">
            <v>18554.003551912567</v>
          </cell>
          <cell r="G4424">
            <v>275</v>
          </cell>
          <cell r="H4424">
            <v>16233.53094917284</v>
          </cell>
        </row>
        <row r="4425">
          <cell r="D4425" t="str">
            <v>IT&amp;NS</v>
          </cell>
          <cell r="F4425">
            <v>18554.003551912567</v>
          </cell>
          <cell r="G4425">
            <v>275</v>
          </cell>
          <cell r="H4425">
            <v>16233.53094917284</v>
          </cell>
        </row>
        <row r="4426">
          <cell r="D4426" t="str">
            <v>IT&amp;NS</v>
          </cell>
          <cell r="F4426">
            <v>18554.003551912567</v>
          </cell>
          <cell r="G4426">
            <v>275</v>
          </cell>
          <cell r="H4426">
            <v>16233.53094917284</v>
          </cell>
        </row>
        <row r="4427">
          <cell r="D4427" t="str">
            <v>IT&amp;NS</v>
          </cell>
          <cell r="F4427">
            <v>18554.003551912567</v>
          </cell>
          <cell r="G4427">
            <v>275</v>
          </cell>
          <cell r="H4427">
            <v>16233.53094917284</v>
          </cell>
        </row>
        <row r="4428">
          <cell r="D4428" t="str">
            <v>IT&amp;NS</v>
          </cell>
          <cell r="F4428">
            <v>18554.003551912567</v>
          </cell>
          <cell r="G4428">
            <v>275</v>
          </cell>
          <cell r="H4428">
            <v>16233.53094917284</v>
          </cell>
        </row>
        <row r="4429">
          <cell r="D4429" t="str">
            <v>IT&amp;NS</v>
          </cell>
          <cell r="F4429">
            <v>22009.442240437158</v>
          </cell>
          <cell r="G4429">
            <v>275</v>
          </cell>
          <cell r="H4429">
            <v>19249.301144546745</v>
          </cell>
        </row>
        <row r="4430">
          <cell r="D4430" t="str">
            <v>IT&amp;NS</v>
          </cell>
          <cell r="F4430">
            <v>20902.299699453553</v>
          </cell>
          <cell r="G4430">
            <v>275</v>
          </cell>
          <cell r="H4430">
            <v>18252.075726850813</v>
          </cell>
        </row>
        <row r="4431">
          <cell r="D4431" t="str">
            <v>IT&amp;NS</v>
          </cell>
          <cell r="F4431">
            <v>20902.299699453553</v>
          </cell>
          <cell r="G4431">
            <v>275</v>
          </cell>
          <cell r="H4431">
            <v>18252.075726850813</v>
          </cell>
        </row>
        <row r="4432">
          <cell r="D4432" t="str">
            <v>IT&amp;NS</v>
          </cell>
          <cell r="F4432">
            <v>20902.299699453553</v>
          </cell>
          <cell r="G4432">
            <v>275</v>
          </cell>
          <cell r="H4432">
            <v>18252.075726850813</v>
          </cell>
        </row>
        <row r="4433">
          <cell r="D4433" t="str">
            <v>IT&amp;NS</v>
          </cell>
          <cell r="F4433">
            <v>26684.014043715848</v>
          </cell>
          <cell r="G4433">
            <v>275</v>
          </cell>
          <cell r="H4433">
            <v>23337.648290291188</v>
          </cell>
        </row>
        <row r="4434">
          <cell r="D4434" t="str">
            <v>IT&amp;NS</v>
          </cell>
          <cell r="F4434">
            <v>29897.782158469945</v>
          </cell>
          <cell r="G4434">
            <v>275</v>
          </cell>
          <cell r="H4434">
            <v>26148.386952990491</v>
          </cell>
        </row>
        <row r="4435">
          <cell r="D4435" t="str">
            <v>IT&amp;NS</v>
          </cell>
          <cell r="F4435">
            <v>20702.775000000001</v>
          </cell>
          <cell r="G4435">
            <v>275</v>
          </cell>
          <cell r="H4435">
            <v>17374.728767123292</v>
          </cell>
        </row>
        <row r="4436">
          <cell r="D4436" t="str">
            <v>IT&amp;NS</v>
          </cell>
          <cell r="F4436">
            <v>21832.334016393441</v>
          </cell>
          <cell r="G4436">
            <v>275</v>
          </cell>
          <cell r="H4436">
            <v>19084.405934201659</v>
          </cell>
        </row>
        <row r="4437">
          <cell r="D4437" t="str">
            <v>IT&amp;NS</v>
          </cell>
          <cell r="F4437">
            <v>21832.334016393441</v>
          </cell>
          <cell r="G4437">
            <v>275</v>
          </cell>
          <cell r="H4437">
            <v>19084.405934201659</v>
          </cell>
        </row>
        <row r="4438">
          <cell r="D4438" t="str">
            <v>IT&amp;NS</v>
          </cell>
          <cell r="F4438">
            <v>25938.906748633879</v>
          </cell>
          <cell r="G4438">
            <v>275</v>
          </cell>
          <cell r="H4438">
            <v>22726.884145894153</v>
          </cell>
        </row>
        <row r="4439">
          <cell r="D4439" t="str">
            <v>IT&amp;NS</v>
          </cell>
          <cell r="F4439">
            <v>25938.906748633879</v>
          </cell>
          <cell r="G4439">
            <v>275</v>
          </cell>
          <cell r="H4439">
            <v>22726.884145894153</v>
          </cell>
        </row>
        <row r="4440">
          <cell r="D4440" t="str">
            <v>IT&amp;NS</v>
          </cell>
          <cell r="F4440">
            <v>25938.906748633879</v>
          </cell>
          <cell r="G4440">
            <v>275</v>
          </cell>
          <cell r="H4440">
            <v>22726.884145894153</v>
          </cell>
        </row>
        <row r="4441">
          <cell r="D4441" t="str">
            <v>IT&amp;NS</v>
          </cell>
          <cell r="F4441">
            <v>25938.906748633879</v>
          </cell>
          <cell r="G4441">
            <v>275</v>
          </cell>
          <cell r="H4441">
            <v>22726.884145894153</v>
          </cell>
        </row>
        <row r="4442">
          <cell r="D4442" t="str">
            <v>IT&amp;NS</v>
          </cell>
          <cell r="F4442">
            <v>25938.906748633879</v>
          </cell>
          <cell r="G4442">
            <v>275</v>
          </cell>
          <cell r="H4442">
            <v>22726.884145894153</v>
          </cell>
        </row>
        <row r="4443">
          <cell r="D4443" t="str">
            <v>IT&amp;NS</v>
          </cell>
          <cell r="F4443">
            <v>25938.906748633879</v>
          </cell>
          <cell r="G4443">
            <v>275</v>
          </cell>
          <cell r="H4443">
            <v>22726.884145894153</v>
          </cell>
        </row>
        <row r="4444">
          <cell r="D4444" t="str">
            <v>IT&amp;NS</v>
          </cell>
          <cell r="F4444">
            <v>25938.906748633879</v>
          </cell>
          <cell r="G4444">
            <v>275</v>
          </cell>
          <cell r="H4444">
            <v>22726.884145894153</v>
          </cell>
        </row>
        <row r="4445">
          <cell r="D4445" t="str">
            <v>IT&amp;NS</v>
          </cell>
          <cell r="F4445">
            <v>25938.906748633879</v>
          </cell>
          <cell r="G4445">
            <v>275</v>
          </cell>
          <cell r="H4445">
            <v>22726.884145894153</v>
          </cell>
        </row>
        <row r="4446">
          <cell r="D4446" t="str">
            <v>IT&amp;NS</v>
          </cell>
          <cell r="F4446">
            <v>25938.906748633879</v>
          </cell>
          <cell r="G4446">
            <v>275</v>
          </cell>
          <cell r="H4446">
            <v>22726.884145894153</v>
          </cell>
        </row>
        <row r="4447">
          <cell r="D4447" t="str">
            <v>IT&amp;NS</v>
          </cell>
          <cell r="F4447">
            <v>25938.906748633879</v>
          </cell>
          <cell r="G4447">
            <v>275</v>
          </cell>
          <cell r="H4447">
            <v>22726.884145894153</v>
          </cell>
        </row>
        <row r="4448">
          <cell r="D4448" t="str">
            <v>IT&amp;NS</v>
          </cell>
          <cell r="F4448">
            <v>25938.906748633879</v>
          </cell>
          <cell r="G4448">
            <v>275</v>
          </cell>
          <cell r="H4448">
            <v>22726.884145894153</v>
          </cell>
        </row>
        <row r="4449">
          <cell r="D4449" t="str">
            <v>IT&amp;NS</v>
          </cell>
          <cell r="F4449">
            <v>25938.906748633879</v>
          </cell>
          <cell r="G4449">
            <v>275</v>
          </cell>
          <cell r="H4449">
            <v>22726.884145894153</v>
          </cell>
        </row>
        <row r="4450">
          <cell r="D4450" t="str">
            <v>IT&amp;NS</v>
          </cell>
          <cell r="F4450">
            <v>25938.906748633879</v>
          </cell>
          <cell r="G4450">
            <v>275</v>
          </cell>
          <cell r="H4450">
            <v>22726.884145894153</v>
          </cell>
        </row>
        <row r="4451">
          <cell r="D4451" t="str">
            <v>IT&amp;NS</v>
          </cell>
          <cell r="F4451">
            <v>25938.906748633879</v>
          </cell>
          <cell r="G4451">
            <v>275</v>
          </cell>
          <cell r="H4451">
            <v>22726.884145894153</v>
          </cell>
        </row>
        <row r="4452">
          <cell r="D4452" t="str">
            <v>IT&amp;NS</v>
          </cell>
          <cell r="F4452">
            <v>25938.906748633879</v>
          </cell>
          <cell r="G4452">
            <v>275</v>
          </cell>
          <cell r="H4452">
            <v>22726.884145894153</v>
          </cell>
        </row>
        <row r="4453">
          <cell r="D4453" t="str">
            <v>IT&amp;NS</v>
          </cell>
          <cell r="F4453">
            <v>25938.906748633879</v>
          </cell>
          <cell r="G4453">
            <v>275</v>
          </cell>
          <cell r="H4453">
            <v>22726.884145894153</v>
          </cell>
        </row>
        <row r="4454">
          <cell r="D4454" t="str">
            <v>IT&amp;NS</v>
          </cell>
          <cell r="F4454">
            <v>25938.906748633879</v>
          </cell>
          <cell r="G4454">
            <v>275</v>
          </cell>
          <cell r="H4454">
            <v>22726.884145894153</v>
          </cell>
        </row>
        <row r="4455">
          <cell r="D4455" t="str">
            <v>IT&amp;NS</v>
          </cell>
          <cell r="F4455">
            <v>20182.779890710382</v>
          </cell>
          <cell r="G4455">
            <v>275</v>
          </cell>
          <cell r="H4455">
            <v>17642.473041395315</v>
          </cell>
        </row>
        <row r="4456">
          <cell r="D4456" t="str">
            <v>IT&amp;NS</v>
          </cell>
          <cell r="F4456">
            <v>21121.46</v>
          </cell>
          <cell r="G4456">
            <v>275</v>
          </cell>
          <cell r="H4456">
            <v>17775.09424657534</v>
          </cell>
        </row>
        <row r="4457">
          <cell r="D4457" t="str">
            <v>IT&amp;NS</v>
          </cell>
          <cell r="F4457">
            <v>21121.46</v>
          </cell>
          <cell r="G4457">
            <v>275</v>
          </cell>
          <cell r="H4457">
            <v>17775.09424657534</v>
          </cell>
        </row>
        <row r="4458">
          <cell r="D4458" t="str">
            <v>IT&amp;NS</v>
          </cell>
          <cell r="F4458">
            <v>21121.46</v>
          </cell>
          <cell r="G4458">
            <v>275</v>
          </cell>
          <cell r="H4458">
            <v>17775.09424657534</v>
          </cell>
        </row>
        <row r="4459">
          <cell r="D4459" t="str">
            <v>IT&amp;NS</v>
          </cell>
          <cell r="F4459">
            <v>0</v>
          </cell>
          <cell r="G4459">
            <v>275</v>
          </cell>
          <cell r="H4459">
            <v>0</v>
          </cell>
        </row>
        <row r="4460">
          <cell r="D4460" t="str">
            <v>IT&amp;NS</v>
          </cell>
          <cell r="F4460">
            <v>12608.479781420765</v>
          </cell>
          <cell r="G4460">
            <v>275</v>
          </cell>
          <cell r="H4460">
            <v>11020.788000598848</v>
          </cell>
        </row>
        <row r="4461">
          <cell r="D4461" t="str">
            <v>IT&amp;NS</v>
          </cell>
          <cell r="F4461">
            <v>24921.145229508198</v>
          </cell>
          <cell r="G4461">
            <v>275</v>
          </cell>
          <cell r="H4461">
            <v>21783.011359645185</v>
          </cell>
        </row>
        <row r="4462">
          <cell r="D4462" t="str">
            <v>IT&amp;NS</v>
          </cell>
          <cell r="F4462">
            <v>12414.503169398908</v>
          </cell>
          <cell r="G4462">
            <v>275</v>
          </cell>
          <cell r="H4462">
            <v>10851.23741597425</v>
          </cell>
        </row>
        <row r="4463">
          <cell r="D4463" t="str">
            <v>IT&amp;NS</v>
          </cell>
          <cell r="F4463">
            <v>28324.110655737706</v>
          </cell>
          <cell r="G4463">
            <v>275</v>
          </cell>
          <cell r="H4463">
            <v>24721.271614641817</v>
          </cell>
        </row>
        <row r="4464">
          <cell r="D4464" t="str">
            <v>IT&amp;NS</v>
          </cell>
          <cell r="F4464">
            <v>22083.204918032789</v>
          </cell>
          <cell r="G4464">
            <v>275</v>
          </cell>
          <cell r="H4464">
            <v>19274.211767347857</v>
          </cell>
        </row>
        <row r="4465">
          <cell r="D4465" t="str">
            <v>IT&amp;NS</v>
          </cell>
          <cell r="F4465">
            <v>22083.204918032789</v>
          </cell>
          <cell r="G4465">
            <v>275</v>
          </cell>
          <cell r="H4465">
            <v>19274.211767347857</v>
          </cell>
        </row>
        <row r="4466">
          <cell r="D4466" t="str">
            <v>IT&amp;NS</v>
          </cell>
          <cell r="F4466">
            <v>22083.204918032789</v>
          </cell>
          <cell r="G4466">
            <v>275</v>
          </cell>
          <cell r="H4466">
            <v>19274.211767347857</v>
          </cell>
        </row>
        <row r="4467">
          <cell r="D4467" t="str">
            <v>IT&amp;NS</v>
          </cell>
          <cell r="F4467">
            <v>22083.204918032789</v>
          </cell>
          <cell r="G4467">
            <v>275</v>
          </cell>
          <cell r="H4467">
            <v>19274.211767347857</v>
          </cell>
        </row>
        <row r="4468">
          <cell r="D4468" t="str">
            <v>IT&amp;NS</v>
          </cell>
          <cell r="F4468">
            <v>20258.940163934425</v>
          </cell>
          <cell r="G4468">
            <v>275</v>
          </cell>
          <cell r="H4468">
            <v>17681.994273523465</v>
          </cell>
        </row>
        <row r="4469">
          <cell r="D4469" t="str">
            <v>IT&amp;NS</v>
          </cell>
          <cell r="F4469">
            <v>25441.159562841531</v>
          </cell>
          <cell r="G4469">
            <v>275</v>
          </cell>
          <cell r="H4469">
            <v>22277.989014896324</v>
          </cell>
        </row>
        <row r="4470">
          <cell r="D4470" t="str">
            <v>IT&amp;NS</v>
          </cell>
          <cell r="F4470">
            <v>22161.184426229509</v>
          </cell>
          <cell r="G4470">
            <v>275</v>
          </cell>
          <cell r="H4470">
            <v>19413.256344037727</v>
          </cell>
        </row>
        <row r="4471">
          <cell r="D4471" t="str">
            <v>IT&amp;NS</v>
          </cell>
          <cell r="F4471">
            <v>24121.216681639344</v>
          </cell>
          <cell r="G4471">
            <v>275</v>
          </cell>
          <cell r="H4471">
            <v>21159.548646707837</v>
          </cell>
        </row>
        <row r="4472">
          <cell r="D4472" t="str">
            <v>IT&amp;NS</v>
          </cell>
          <cell r="F4472">
            <v>17208.054754098361</v>
          </cell>
          <cell r="G4472">
            <v>275</v>
          </cell>
          <cell r="H4472">
            <v>15095.203384235347</v>
          </cell>
        </row>
        <row r="4473">
          <cell r="D4473" t="str">
            <v>IT&amp;NS</v>
          </cell>
          <cell r="F4473">
            <v>23576.339592344262</v>
          </cell>
          <cell r="G4473">
            <v>275</v>
          </cell>
          <cell r="H4473">
            <v>20688.00337686481</v>
          </cell>
        </row>
        <row r="4474">
          <cell r="D4474" t="str">
            <v>IT&amp;NS</v>
          </cell>
          <cell r="F4474">
            <v>23576.339592344262</v>
          </cell>
          <cell r="G4474">
            <v>275</v>
          </cell>
          <cell r="H4474">
            <v>20688.00337686481</v>
          </cell>
        </row>
        <row r="4475">
          <cell r="D4475" t="str">
            <v>IT&amp;NS</v>
          </cell>
          <cell r="F4475">
            <v>23576.339592344262</v>
          </cell>
          <cell r="G4475">
            <v>275</v>
          </cell>
          <cell r="H4475">
            <v>20688.00337686481</v>
          </cell>
        </row>
        <row r="4476">
          <cell r="D4476" t="str">
            <v>IT&amp;NS</v>
          </cell>
          <cell r="F4476">
            <v>23576.339592344262</v>
          </cell>
          <cell r="G4476">
            <v>275</v>
          </cell>
          <cell r="H4476">
            <v>20688.00337686481</v>
          </cell>
        </row>
        <row r="4477">
          <cell r="D4477" t="str">
            <v>IT&amp;NS</v>
          </cell>
          <cell r="F4477">
            <v>23576.339592344262</v>
          </cell>
          <cell r="G4477">
            <v>275</v>
          </cell>
          <cell r="H4477">
            <v>20688.00337686481</v>
          </cell>
        </row>
        <row r="4478">
          <cell r="D4478" t="str">
            <v>IT&amp;NS</v>
          </cell>
          <cell r="F4478">
            <v>23576.339592344262</v>
          </cell>
          <cell r="G4478">
            <v>275</v>
          </cell>
          <cell r="H4478">
            <v>20688.00337686481</v>
          </cell>
        </row>
        <row r="4479">
          <cell r="D4479" t="str">
            <v>IT&amp;NS</v>
          </cell>
          <cell r="F4479">
            <v>23576.339592344262</v>
          </cell>
          <cell r="G4479">
            <v>275</v>
          </cell>
          <cell r="H4479">
            <v>20688.00337686481</v>
          </cell>
        </row>
        <row r="4480">
          <cell r="D4480" t="str">
            <v>IT&amp;NS</v>
          </cell>
          <cell r="F4480">
            <v>23576.339592344262</v>
          </cell>
          <cell r="G4480">
            <v>275</v>
          </cell>
          <cell r="H4480">
            <v>20688.00337686481</v>
          </cell>
        </row>
        <row r="4481">
          <cell r="D4481" t="str">
            <v>IT&amp;NS</v>
          </cell>
          <cell r="F4481">
            <v>23576.339592344262</v>
          </cell>
          <cell r="G4481">
            <v>275</v>
          </cell>
          <cell r="H4481">
            <v>20688.00337686481</v>
          </cell>
        </row>
        <row r="4482">
          <cell r="D4482" t="str">
            <v>IT&amp;NS</v>
          </cell>
          <cell r="F4482">
            <v>23576.339592344262</v>
          </cell>
          <cell r="G4482">
            <v>275</v>
          </cell>
          <cell r="H4482">
            <v>20688.00337686481</v>
          </cell>
        </row>
        <row r="4483">
          <cell r="D4483" t="str">
            <v>IT&amp;NS</v>
          </cell>
          <cell r="F4483">
            <v>23576.339592344262</v>
          </cell>
          <cell r="G4483">
            <v>275</v>
          </cell>
          <cell r="H4483">
            <v>20688.00337686481</v>
          </cell>
        </row>
        <row r="4484">
          <cell r="D4484" t="str">
            <v>IT&amp;NS</v>
          </cell>
          <cell r="F4484">
            <v>23576.339592344262</v>
          </cell>
          <cell r="G4484">
            <v>275</v>
          </cell>
          <cell r="H4484">
            <v>20688.00337686481</v>
          </cell>
        </row>
        <row r="4485">
          <cell r="D4485" t="str">
            <v>IT&amp;NS</v>
          </cell>
          <cell r="F4485">
            <v>25973.8512568306</v>
          </cell>
          <cell r="G4485">
            <v>275</v>
          </cell>
          <cell r="H4485">
            <v>22761.828654090874</v>
          </cell>
        </row>
        <row r="4486">
          <cell r="D4486" t="str">
            <v>IT&amp;NS</v>
          </cell>
          <cell r="F4486">
            <v>25973.8512568306</v>
          </cell>
          <cell r="G4486">
            <v>275</v>
          </cell>
          <cell r="H4486">
            <v>22761.828654090874</v>
          </cell>
        </row>
        <row r="4487">
          <cell r="D4487" t="str">
            <v>IT&amp;NS</v>
          </cell>
          <cell r="F4487">
            <v>25973.8512568306</v>
          </cell>
          <cell r="G4487">
            <v>275</v>
          </cell>
          <cell r="H4487">
            <v>22761.828654090874</v>
          </cell>
        </row>
        <row r="4488">
          <cell r="D4488" t="str">
            <v>IT&amp;NS</v>
          </cell>
          <cell r="F4488">
            <v>25973.8512568306</v>
          </cell>
          <cell r="G4488">
            <v>275</v>
          </cell>
          <cell r="H4488">
            <v>22761.828654090874</v>
          </cell>
        </row>
        <row r="4489">
          <cell r="D4489" t="str">
            <v>IT&amp;NS</v>
          </cell>
          <cell r="F4489">
            <v>25973.8512568306</v>
          </cell>
          <cell r="G4489">
            <v>275</v>
          </cell>
          <cell r="H4489">
            <v>22761.828654090874</v>
          </cell>
        </row>
        <row r="4490">
          <cell r="D4490" t="str">
            <v>IT&amp;NS</v>
          </cell>
          <cell r="F4490">
            <v>25973.8512568306</v>
          </cell>
          <cell r="G4490">
            <v>275</v>
          </cell>
          <cell r="H4490">
            <v>22761.828654090874</v>
          </cell>
        </row>
        <row r="4491">
          <cell r="D4491" t="str">
            <v>IT&amp;NS</v>
          </cell>
          <cell r="F4491">
            <v>25973.8512568306</v>
          </cell>
          <cell r="G4491">
            <v>275</v>
          </cell>
          <cell r="H4491">
            <v>22761.828654090874</v>
          </cell>
        </row>
        <row r="4492">
          <cell r="D4492" t="str">
            <v>IT&amp;NS</v>
          </cell>
          <cell r="F4492">
            <v>25973.8512568306</v>
          </cell>
          <cell r="G4492">
            <v>275</v>
          </cell>
          <cell r="H4492">
            <v>22761.828654090874</v>
          </cell>
        </row>
        <row r="4493">
          <cell r="D4493" t="str">
            <v>IT&amp;NS</v>
          </cell>
          <cell r="F4493">
            <v>25973.8512568306</v>
          </cell>
          <cell r="G4493">
            <v>275</v>
          </cell>
          <cell r="H4493">
            <v>22761.828654090874</v>
          </cell>
        </row>
        <row r="4494">
          <cell r="D4494" t="str">
            <v>IT&amp;NS</v>
          </cell>
          <cell r="F4494">
            <v>25973.8512568306</v>
          </cell>
          <cell r="G4494">
            <v>275</v>
          </cell>
          <cell r="H4494">
            <v>22761.828654090874</v>
          </cell>
        </row>
        <row r="4495">
          <cell r="D4495" t="str">
            <v>IT&amp;NS</v>
          </cell>
          <cell r="F4495">
            <v>16736.476775956286</v>
          </cell>
          <cell r="G4495">
            <v>275</v>
          </cell>
          <cell r="H4495">
            <v>14660.264447189162</v>
          </cell>
        </row>
        <row r="4496">
          <cell r="D4496" t="str">
            <v>IT&amp;NS</v>
          </cell>
          <cell r="F4496">
            <v>25232.768360655737</v>
          </cell>
          <cell r="G4496">
            <v>275</v>
          </cell>
          <cell r="H4496">
            <v>22142.87589490231</v>
          </cell>
        </row>
        <row r="4497">
          <cell r="D4497" t="str">
            <v>IT&amp;NS</v>
          </cell>
          <cell r="F4497">
            <v>25232.768360655737</v>
          </cell>
          <cell r="G4497">
            <v>275</v>
          </cell>
          <cell r="H4497">
            <v>22142.87589490231</v>
          </cell>
        </row>
        <row r="4498">
          <cell r="D4498" t="str">
            <v>IT&amp;NS</v>
          </cell>
          <cell r="F4498">
            <v>25232.768360655737</v>
          </cell>
          <cell r="G4498">
            <v>275</v>
          </cell>
          <cell r="H4498">
            <v>22142.87589490231</v>
          </cell>
        </row>
        <row r="4499">
          <cell r="D4499" t="str">
            <v>IT&amp;NS</v>
          </cell>
          <cell r="F4499">
            <v>25232.768360655737</v>
          </cell>
          <cell r="G4499">
            <v>275</v>
          </cell>
          <cell r="H4499">
            <v>22142.87589490231</v>
          </cell>
        </row>
        <row r="4500">
          <cell r="D4500" t="str">
            <v>IT&amp;NS</v>
          </cell>
          <cell r="F4500">
            <v>25232.768360655737</v>
          </cell>
          <cell r="G4500">
            <v>275</v>
          </cell>
          <cell r="H4500">
            <v>22142.87589490231</v>
          </cell>
        </row>
        <row r="4501">
          <cell r="D4501" t="str">
            <v>IT&amp;NS</v>
          </cell>
          <cell r="F4501">
            <v>25232.768360655737</v>
          </cell>
          <cell r="G4501">
            <v>275</v>
          </cell>
          <cell r="H4501">
            <v>22142.87589490231</v>
          </cell>
        </row>
        <row r="4502">
          <cell r="D4502" t="str">
            <v>IT&amp;NS</v>
          </cell>
          <cell r="F4502">
            <v>25232.768360655737</v>
          </cell>
          <cell r="G4502">
            <v>275</v>
          </cell>
          <cell r="H4502">
            <v>22142.87589490231</v>
          </cell>
        </row>
        <row r="4503">
          <cell r="D4503" t="str">
            <v>IT&amp;NS</v>
          </cell>
          <cell r="F4503">
            <v>25232.768360655737</v>
          </cell>
          <cell r="G4503">
            <v>275</v>
          </cell>
          <cell r="H4503">
            <v>22142.87589490231</v>
          </cell>
        </row>
        <row r="4504">
          <cell r="D4504" t="str">
            <v>IT&amp;NS</v>
          </cell>
          <cell r="F4504">
            <v>25232.768360655737</v>
          </cell>
          <cell r="G4504">
            <v>275</v>
          </cell>
          <cell r="H4504">
            <v>22142.87589490231</v>
          </cell>
        </row>
        <row r="4505">
          <cell r="D4505" t="str">
            <v>IT&amp;NS</v>
          </cell>
          <cell r="F4505">
            <v>25232.768360655737</v>
          </cell>
          <cell r="G4505">
            <v>275</v>
          </cell>
          <cell r="H4505">
            <v>22142.87589490231</v>
          </cell>
        </row>
        <row r="4506">
          <cell r="D4506" t="str">
            <v>IT&amp;NS</v>
          </cell>
          <cell r="F4506">
            <v>25232.768360655737</v>
          </cell>
          <cell r="G4506">
            <v>275</v>
          </cell>
          <cell r="H4506">
            <v>22142.87589490231</v>
          </cell>
        </row>
        <row r="4507">
          <cell r="D4507" t="str">
            <v>IT&amp;NS</v>
          </cell>
          <cell r="F4507">
            <v>25232.768360655737</v>
          </cell>
          <cell r="G4507">
            <v>275</v>
          </cell>
          <cell r="H4507">
            <v>22142.87589490231</v>
          </cell>
        </row>
        <row r="4508">
          <cell r="D4508" t="str">
            <v>IT&amp;NS</v>
          </cell>
          <cell r="F4508">
            <v>25232.768360655737</v>
          </cell>
          <cell r="G4508">
            <v>275</v>
          </cell>
          <cell r="H4508">
            <v>22142.87589490231</v>
          </cell>
        </row>
        <row r="4509">
          <cell r="D4509" t="str">
            <v>IT&amp;NS</v>
          </cell>
          <cell r="F4509">
            <v>25232.768360655737</v>
          </cell>
          <cell r="G4509">
            <v>275</v>
          </cell>
          <cell r="H4509">
            <v>22142.87589490231</v>
          </cell>
        </row>
        <row r="4510">
          <cell r="D4510" t="str">
            <v>IT&amp;NS</v>
          </cell>
          <cell r="F4510">
            <v>25232.768360655737</v>
          </cell>
          <cell r="G4510">
            <v>275</v>
          </cell>
          <cell r="H4510">
            <v>22142.87589490231</v>
          </cell>
        </row>
        <row r="4511">
          <cell r="D4511" t="str">
            <v>IT&amp;NS</v>
          </cell>
          <cell r="F4511">
            <v>25232.768360655737</v>
          </cell>
          <cell r="G4511">
            <v>275</v>
          </cell>
          <cell r="H4511">
            <v>22142.87589490231</v>
          </cell>
        </row>
        <row r="4512">
          <cell r="D4512" t="str">
            <v>IT&amp;NS</v>
          </cell>
          <cell r="F4512">
            <v>25232.768360655737</v>
          </cell>
          <cell r="G4512">
            <v>275</v>
          </cell>
          <cell r="H4512">
            <v>22142.87589490231</v>
          </cell>
        </row>
        <row r="4513">
          <cell r="D4513" t="str">
            <v>IT&amp;NS</v>
          </cell>
          <cell r="F4513">
            <v>25232.768360655737</v>
          </cell>
          <cell r="G4513">
            <v>275</v>
          </cell>
          <cell r="H4513">
            <v>22142.87589490231</v>
          </cell>
        </row>
        <row r="4514">
          <cell r="D4514" t="str">
            <v>IT&amp;NS</v>
          </cell>
          <cell r="F4514">
            <v>25232.768360655737</v>
          </cell>
          <cell r="G4514">
            <v>275</v>
          </cell>
          <cell r="H4514">
            <v>22142.87589490231</v>
          </cell>
        </row>
        <row r="4515">
          <cell r="D4515" t="str">
            <v>IT&amp;NS</v>
          </cell>
          <cell r="F4515">
            <v>25232.768360655737</v>
          </cell>
          <cell r="G4515">
            <v>275</v>
          </cell>
          <cell r="H4515">
            <v>22142.87589490231</v>
          </cell>
        </row>
        <row r="4516">
          <cell r="D4516" t="str">
            <v>IT&amp;NS</v>
          </cell>
          <cell r="F4516">
            <v>25232.768360655737</v>
          </cell>
          <cell r="G4516">
            <v>275</v>
          </cell>
          <cell r="H4516">
            <v>22142.87589490231</v>
          </cell>
        </row>
        <row r="4517">
          <cell r="D4517" t="str">
            <v>IT&amp;NS</v>
          </cell>
          <cell r="F4517">
            <v>25232.768360655737</v>
          </cell>
          <cell r="G4517">
            <v>275</v>
          </cell>
          <cell r="H4517">
            <v>22142.87589490231</v>
          </cell>
        </row>
        <row r="4518">
          <cell r="D4518" t="str">
            <v>IT&amp;NS</v>
          </cell>
          <cell r="F4518">
            <v>25232.768360655737</v>
          </cell>
          <cell r="G4518">
            <v>275</v>
          </cell>
          <cell r="H4518">
            <v>22142.87589490231</v>
          </cell>
        </row>
        <row r="4519">
          <cell r="D4519" t="str">
            <v>IT&amp;NS</v>
          </cell>
          <cell r="F4519">
            <v>25232.768360655737</v>
          </cell>
          <cell r="G4519">
            <v>275</v>
          </cell>
          <cell r="H4519">
            <v>22142.87589490231</v>
          </cell>
        </row>
        <row r="4520">
          <cell r="D4520" t="str">
            <v>IT&amp;NS</v>
          </cell>
          <cell r="F4520">
            <v>25232.768360655737</v>
          </cell>
          <cell r="G4520">
            <v>275</v>
          </cell>
          <cell r="H4520">
            <v>22142.87589490231</v>
          </cell>
        </row>
        <row r="4521">
          <cell r="D4521" t="str">
            <v>IT&amp;NS</v>
          </cell>
          <cell r="F4521">
            <v>25232.768360655737</v>
          </cell>
          <cell r="G4521">
            <v>275</v>
          </cell>
          <cell r="H4521">
            <v>22142.87589490231</v>
          </cell>
        </row>
        <row r="4522">
          <cell r="D4522" t="str">
            <v>IT&amp;NS</v>
          </cell>
          <cell r="F4522">
            <v>25232.768360655737</v>
          </cell>
          <cell r="G4522">
            <v>275</v>
          </cell>
          <cell r="H4522">
            <v>22142.87589490231</v>
          </cell>
        </row>
        <row r="4523">
          <cell r="D4523" t="str">
            <v>IT&amp;NS</v>
          </cell>
          <cell r="F4523">
            <v>25232.768360655737</v>
          </cell>
          <cell r="G4523">
            <v>275</v>
          </cell>
          <cell r="H4523">
            <v>22142.87589490231</v>
          </cell>
        </row>
        <row r="4524">
          <cell r="D4524" t="str">
            <v>IT&amp;NS</v>
          </cell>
          <cell r="F4524">
            <v>25232.768360655737</v>
          </cell>
          <cell r="G4524">
            <v>275</v>
          </cell>
          <cell r="H4524">
            <v>22142.87589490231</v>
          </cell>
        </row>
        <row r="4525">
          <cell r="D4525" t="str">
            <v>IT&amp;NS</v>
          </cell>
          <cell r="F4525">
            <v>25232.768360655737</v>
          </cell>
          <cell r="G4525">
            <v>275</v>
          </cell>
          <cell r="H4525">
            <v>22142.87589490231</v>
          </cell>
        </row>
        <row r="4526">
          <cell r="D4526" t="str">
            <v>IT&amp;NS</v>
          </cell>
          <cell r="F4526">
            <v>24089.273082</v>
          </cell>
          <cell r="G4526">
            <v>275</v>
          </cell>
          <cell r="H4526">
            <v>20578.08293830137</v>
          </cell>
        </row>
        <row r="4527">
          <cell r="D4527" t="str">
            <v>IT&amp;NS</v>
          </cell>
          <cell r="F4527">
            <v>24089.273082</v>
          </cell>
          <cell r="G4527">
            <v>275</v>
          </cell>
          <cell r="H4527">
            <v>20578.08293830137</v>
          </cell>
        </row>
        <row r="4528">
          <cell r="D4528" t="str">
            <v>IT&amp;NS</v>
          </cell>
          <cell r="F4528">
            <v>28016.675200000001</v>
          </cell>
          <cell r="G4528">
            <v>275</v>
          </cell>
          <cell r="H4528">
            <v>23291.704460273973</v>
          </cell>
        </row>
        <row r="4529">
          <cell r="D4529" t="str">
            <v>IT&amp;NS</v>
          </cell>
          <cell r="F4529">
            <v>23165.836199999998</v>
          </cell>
          <cell r="G4529">
            <v>275</v>
          </cell>
          <cell r="H4529">
            <v>19345.849775342464</v>
          </cell>
        </row>
        <row r="4530">
          <cell r="D4530" t="str">
            <v>IT&amp;NS</v>
          </cell>
          <cell r="F4530">
            <v>23492.722829803279</v>
          </cell>
          <cell r="G4530">
            <v>275</v>
          </cell>
          <cell r="H4530">
            <v>20520.888682269033</v>
          </cell>
        </row>
        <row r="4531">
          <cell r="D4531" t="str">
            <v>IT&amp;NS</v>
          </cell>
          <cell r="F4531">
            <v>23492.713175262295</v>
          </cell>
          <cell r="G4531">
            <v>275</v>
          </cell>
          <cell r="H4531">
            <v>20520.880249029418</v>
          </cell>
        </row>
        <row r="4532">
          <cell r="D4532" t="str">
            <v>IT&amp;NS</v>
          </cell>
          <cell r="F4532">
            <v>23492.713175262295</v>
          </cell>
          <cell r="G4532">
            <v>275</v>
          </cell>
          <cell r="H4532">
            <v>20520.880249029418</v>
          </cell>
        </row>
        <row r="4533">
          <cell r="D4533" t="str">
            <v>IT&amp;NS</v>
          </cell>
          <cell r="F4533">
            <v>19949.497923497267</v>
          </cell>
          <cell r="G4533">
            <v>275</v>
          </cell>
          <cell r="H4533">
            <v>17482.46915637398</v>
          </cell>
        </row>
        <row r="4534">
          <cell r="D4534" t="str">
            <v>IT&amp;NS</v>
          </cell>
          <cell r="F4534">
            <v>23165.836199999998</v>
          </cell>
          <cell r="G4534">
            <v>275</v>
          </cell>
          <cell r="H4534">
            <v>19345.849775342464</v>
          </cell>
        </row>
        <row r="4535">
          <cell r="D4535" t="str">
            <v>IT&amp;NS</v>
          </cell>
          <cell r="F4535">
            <v>19949.497923497267</v>
          </cell>
          <cell r="G4535">
            <v>275</v>
          </cell>
          <cell r="H4535">
            <v>17482.46915637398</v>
          </cell>
        </row>
        <row r="4536">
          <cell r="D4536" t="str">
            <v>IT&amp;NS</v>
          </cell>
          <cell r="F4536">
            <v>22171.149590163935</v>
          </cell>
          <cell r="G4536">
            <v>275</v>
          </cell>
          <cell r="H4536">
            <v>19423.221507972154</v>
          </cell>
        </row>
        <row r="4537">
          <cell r="D4537" t="str">
            <v>IT&amp;NS</v>
          </cell>
          <cell r="F4537">
            <v>22171.149590163935</v>
          </cell>
          <cell r="G4537">
            <v>275</v>
          </cell>
          <cell r="H4537">
            <v>19423.221507972154</v>
          </cell>
        </row>
        <row r="4538">
          <cell r="D4538" t="str">
            <v>IT&amp;NS</v>
          </cell>
          <cell r="F4538">
            <v>32758.148907103827</v>
          </cell>
          <cell r="G4538">
            <v>275</v>
          </cell>
          <cell r="H4538">
            <v>28666.789318062732</v>
          </cell>
        </row>
        <row r="4539">
          <cell r="D4539" t="str">
            <v>IT&amp;NS</v>
          </cell>
          <cell r="F4539">
            <v>14594.488729508197</v>
          </cell>
          <cell r="G4539">
            <v>275</v>
          </cell>
          <cell r="H4539">
            <v>12771.696434987649</v>
          </cell>
        </row>
        <row r="4540">
          <cell r="D4540" t="str">
            <v>IT&amp;NS</v>
          </cell>
          <cell r="F4540">
            <v>21172.3</v>
          </cell>
          <cell r="G4540">
            <v>275</v>
          </cell>
          <cell r="H4540">
            <v>17874.786301369862</v>
          </cell>
        </row>
        <row r="4541">
          <cell r="D4541" t="str">
            <v>IT&amp;NS</v>
          </cell>
          <cell r="F4541">
            <v>21172.3</v>
          </cell>
          <cell r="G4541">
            <v>275</v>
          </cell>
          <cell r="H4541">
            <v>17874.786301369862</v>
          </cell>
        </row>
        <row r="4542">
          <cell r="D4542" t="str">
            <v>IT&amp;NS</v>
          </cell>
          <cell r="F4542">
            <v>21172.3</v>
          </cell>
          <cell r="G4542">
            <v>275</v>
          </cell>
          <cell r="H4542">
            <v>17874.786301369862</v>
          </cell>
        </row>
        <row r="4543">
          <cell r="D4543" t="str">
            <v>IT&amp;NS</v>
          </cell>
          <cell r="F4543">
            <v>21172.3</v>
          </cell>
          <cell r="G4543">
            <v>275</v>
          </cell>
          <cell r="H4543">
            <v>17874.786301369862</v>
          </cell>
        </row>
        <row r="4544">
          <cell r="D4544" t="str">
            <v>IT&amp;NS</v>
          </cell>
          <cell r="F4544">
            <v>21187.3</v>
          </cell>
          <cell r="G4544">
            <v>275</v>
          </cell>
          <cell r="H4544">
            <v>17889.786301369862</v>
          </cell>
        </row>
        <row r="4545">
          <cell r="D4545" t="str">
            <v>IT&amp;NS</v>
          </cell>
          <cell r="F4545">
            <v>21187.3</v>
          </cell>
          <cell r="G4545">
            <v>275</v>
          </cell>
          <cell r="H4545">
            <v>17889.786301369862</v>
          </cell>
        </row>
        <row r="4546">
          <cell r="D4546" t="str">
            <v>IT&amp;NS</v>
          </cell>
          <cell r="F4546">
            <v>21268.3</v>
          </cell>
          <cell r="G4546">
            <v>275</v>
          </cell>
          <cell r="H4546">
            <v>17970.786301369862</v>
          </cell>
        </row>
        <row r="4547">
          <cell r="D4547" t="str">
            <v>IT&amp;NS</v>
          </cell>
          <cell r="F4547">
            <v>18722.304098360655</v>
          </cell>
          <cell r="G4547">
            <v>275</v>
          </cell>
          <cell r="H4547">
            <v>16401.831495620929</v>
          </cell>
        </row>
        <row r="4548">
          <cell r="D4548" t="str">
            <v>IT&amp;NS</v>
          </cell>
          <cell r="F4548">
            <v>18722.304098360655</v>
          </cell>
          <cell r="G4548">
            <v>275</v>
          </cell>
          <cell r="H4548">
            <v>16401.831495620929</v>
          </cell>
        </row>
        <row r="4549">
          <cell r="D4549" t="str">
            <v>IT&amp;NS</v>
          </cell>
          <cell r="F4549">
            <v>18722.304098360655</v>
          </cell>
          <cell r="G4549">
            <v>275</v>
          </cell>
          <cell r="H4549">
            <v>16401.831495620929</v>
          </cell>
        </row>
        <row r="4550">
          <cell r="D4550" t="str">
            <v>IT&amp;NS</v>
          </cell>
          <cell r="F4550">
            <v>22240.905737704918</v>
          </cell>
          <cell r="G4550">
            <v>275</v>
          </cell>
          <cell r="H4550">
            <v>19492.977655513136</v>
          </cell>
        </row>
        <row r="4551">
          <cell r="D4551" t="str">
            <v>IT&amp;NS</v>
          </cell>
          <cell r="F4551">
            <v>21352.3</v>
          </cell>
          <cell r="G4551">
            <v>275</v>
          </cell>
          <cell r="H4551">
            <v>18054.786301369862</v>
          </cell>
        </row>
        <row r="4552">
          <cell r="D4552" t="str">
            <v>IT&amp;NS</v>
          </cell>
          <cell r="F4552">
            <v>21352.3</v>
          </cell>
          <cell r="G4552">
            <v>275</v>
          </cell>
          <cell r="H4552">
            <v>18054.786301369862</v>
          </cell>
        </row>
        <row r="4553">
          <cell r="D4553" t="str">
            <v>IT&amp;NS</v>
          </cell>
          <cell r="F4553">
            <v>42937.431475409838</v>
          </cell>
          <cell r="G4553">
            <v>275</v>
          </cell>
          <cell r="H4553">
            <v>37475.771749382438</v>
          </cell>
        </row>
        <row r="4554">
          <cell r="D4554" t="str">
            <v>IT&amp;NS</v>
          </cell>
          <cell r="F4554">
            <v>27545.437647540984</v>
          </cell>
          <cell r="G4554">
            <v>275</v>
          </cell>
          <cell r="H4554">
            <v>24041.646147540985</v>
          </cell>
        </row>
        <row r="4555">
          <cell r="D4555" t="str">
            <v>IT&amp;NS</v>
          </cell>
          <cell r="F4555">
            <v>27545.437647540984</v>
          </cell>
          <cell r="G4555">
            <v>275</v>
          </cell>
          <cell r="H4555">
            <v>24041.646147540985</v>
          </cell>
        </row>
        <row r="4556">
          <cell r="D4556" t="str">
            <v>IT&amp;NS</v>
          </cell>
          <cell r="F4556">
            <v>27545.437647540984</v>
          </cell>
          <cell r="G4556">
            <v>275</v>
          </cell>
          <cell r="H4556">
            <v>24041.646147540985</v>
          </cell>
        </row>
        <row r="4557">
          <cell r="D4557" t="str">
            <v>IT&amp;NS</v>
          </cell>
          <cell r="F4557">
            <v>24761.033549180327</v>
          </cell>
          <cell r="G4557">
            <v>275</v>
          </cell>
          <cell r="H4557">
            <v>21611.419446440603</v>
          </cell>
        </row>
        <row r="4558">
          <cell r="D4558" t="str">
            <v>IT&amp;NS</v>
          </cell>
          <cell r="F4558">
            <v>24761.033549180327</v>
          </cell>
          <cell r="G4558">
            <v>275</v>
          </cell>
          <cell r="H4558">
            <v>21611.419446440603</v>
          </cell>
        </row>
        <row r="4559">
          <cell r="D4559" t="str">
            <v>IT&amp;NS</v>
          </cell>
          <cell r="F4559">
            <v>229665.33114754097</v>
          </cell>
          <cell r="G4559">
            <v>275</v>
          </cell>
          <cell r="H4559">
            <v>200451.80238041768</v>
          </cell>
        </row>
        <row r="4560">
          <cell r="D4560" t="str">
            <v>IT&amp;NS</v>
          </cell>
          <cell r="F4560">
            <v>27545.437647540984</v>
          </cell>
          <cell r="G4560">
            <v>275</v>
          </cell>
          <cell r="H4560">
            <v>24041.646147540985</v>
          </cell>
        </row>
        <row r="4561">
          <cell r="D4561" t="str">
            <v>IT&amp;NS</v>
          </cell>
          <cell r="F4561">
            <v>27545.437647540984</v>
          </cell>
          <cell r="G4561">
            <v>275</v>
          </cell>
          <cell r="H4561">
            <v>24041.646147540985</v>
          </cell>
        </row>
        <row r="4562">
          <cell r="D4562" t="str">
            <v>IT&amp;NS</v>
          </cell>
          <cell r="F4562">
            <v>22966.5331147541</v>
          </cell>
          <cell r="G4562">
            <v>275</v>
          </cell>
          <cell r="H4562">
            <v>20045.180238041772</v>
          </cell>
        </row>
        <row r="4563">
          <cell r="D4563" t="str">
            <v>IT&amp;NS</v>
          </cell>
          <cell r="F4563">
            <v>22966.5331147541</v>
          </cell>
          <cell r="G4563">
            <v>275</v>
          </cell>
          <cell r="H4563">
            <v>20045.180238041772</v>
          </cell>
        </row>
        <row r="4564">
          <cell r="D4564" t="str">
            <v>IT&amp;NS</v>
          </cell>
          <cell r="F4564">
            <v>22966.5331147541</v>
          </cell>
          <cell r="G4564">
            <v>275</v>
          </cell>
          <cell r="H4564">
            <v>20045.180238041772</v>
          </cell>
        </row>
        <row r="4565">
          <cell r="D4565" t="str">
            <v>IT&amp;NS</v>
          </cell>
          <cell r="F4565">
            <v>22966.5331147541</v>
          </cell>
          <cell r="G4565">
            <v>275</v>
          </cell>
          <cell r="H4565">
            <v>20045.180238041772</v>
          </cell>
        </row>
        <row r="4566">
          <cell r="D4566" t="str">
            <v>IT&amp;NS</v>
          </cell>
          <cell r="F4566">
            <v>22966.5331147541</v>
          </cell>
          <cell r="G4566">
            <v>275</v>
          </cell>
          <cell r="H4566">
            <v>20045.180238041772</v>
          </cell>
        </row>
        <row r="4567">
          <cell r="D4567" t="str">
            <v>IT&amp;NS</v>
          </cell>
          <cell r="F4567">
            <v>22966.5331147541</v>
          </cell>
          <cell r="G4567">
            <v>275</v>
          </cell>
          <cell r="H4567">
            <v>20045.180238041772</v>
          </cell>
        </row>
        <row r="4568">
          <cell r="D4568" t="str">
            <v>IT&amp;NS</v>
          </cell>
          <cell r="F4568">
            <v>22966.5331147541</v>
          </cell>
          <cell r="G4568">
            <v>275</v>
          </cell>
          <cell r="H4568">
            <v>20045.180238041772</v>
          </cell>
        </row>
        <row r="4569">
          <cell r="D4569" t="str">
            <v>IT&amp;NS</v>
          </cell>
          <cell r="F4569">
            <v>22966.5331147541</v>
          </cell>
          <cell r="G4569">
            <v>275</v>
          </cell>
          <cell r="H4569">
            <v>20045.180238041772</v>
          </cell>
        </row>
        <row r="4570">
          <cell r="D4570" t="str">
            <v>IT&amp;NS</v>
          </cell>
          <cell r="F4570">
            <v>22966.5331147541</v>
          </cell>
          <cell r="G4570">
            <v>275</v>
          </cell>
          <cell r="H4570">
            <v>20045.180238041772</v>
          </cell>
        </row>
        <row r="4571">
          <cell r="D4571" t="str">
            <v>IT&amp;NS</v>
          </cell>
          <cell r="F4571">
            <v>22966.5331147541</v>
          </cell>
          <cell r="G4571">
            <v>275</v>
          </cell>
          <cell r="H4571">
            <v>20045.180238041772</v>
          </cell>
        </row>
        <row r="4572">
          <cell r="D4572" t="str">
            <v>IT&amp;NS</v>
          </cell>
          <cell r="F4572">
            <v>21639.3</v>
          </cell>
          <cell r="G4572">
            <v>275</v>
          </cell>
          <cell r="H4572">
            <v>18341.786301369862</v>
          </cell>
        </row>
        <row r="4573">
          <cell r="D4573" t="str">
            <v>IT&amp;NS</v>
          </cell>
          <cell r="F4573">
            <v>21639.3</v>
          </cell>
          <cell r="G4573">
            <v>275</v>
          </cell>
          <cell r="H4573">
            <v>18341.786301369862</v>
          </cell>
        </row>
        <row r="4574">
          <cell r="D4574" t="str">
            <v>IT&amp;NS</v>
          </cell>
          <cell r="F4574">
            <v>21676.3</v>
          </cell>
          <cell r="G4574">
            <v>275</v>
          </cell>
          <cell r="H4574">
            <v>18378.786301369862</v>
          </cell>
        </row>
        <row r="4575">
          <cell r="D4575" t="str">
            <v>IT&amp;NS</v>
          </cell>
          <cell r="F4575">
            <v>21676.3</v>
          </cell>
          <cell r="G4575">
            <v>275</v>
          </cell>
          <cell r="H4575">
            <v>18378.786301369862</v>
          </cell>
        </row>
        <row r="4576">
          <cell r="D4576" t="str">
            <v>IT&amp;NS</v>
          </cell>
          <cell r="F4576">
            <v>21676.3</v>
          </cell>
          <cell r="G4576">
            <v>275</v>
          </cell>
          <cell r="H4576">
            <v>18378.786301369862</v>
          </cell>
        </row>
        <row r="4577">
          <cell r="D4577" t="str">
            <v>IT&amp;NS</v>
          </cell>
          <cell r="F4577">
            <v>23796.36</v>
          </cell>
          <cell r="G4577">
            <v>275</v>
          </cell>
          <cell r="H4577">
            <v>20327.864109589042</v>
          </cell>
        </row>
        <row r="4578">
          <cell r="D4578" t="str">
            <v>IT&amp;NS</v>
          </cell>
          <cell r="F4578">
            <v>21975.3</v>
          </cell>
          <cell r="G4578">
            <v>275</v>
          </cell>
          <cell r="H4578">
            <v>18677.786301369862</v>
          </cell>
        </row>
        <row r="4579">
          <cell r="D4579" t="str">
            <v>IT&amp;NS</v>
          </cell>
          <cell r="F4579">
            <v>21975.3</v>
          </cell>
          <cell r="G4579">
            <v>275</v>
          </cell>
          <cell r="H4579">
            <v>18677.786301369862</v>
          </cell>
        </row>
        <row r="4580">
          <cell r="D4580" t="str">
            <v>IT&amp;NS</v>
          </cell>
          <cell r="F4580">
            <v>22599.3</v>
          </cell>
          <cell r="G4580">
            <v>275</v>
          </cell>
          <cell r="H4580">
            <v>19301.786301369862</v>
          </cell>
        </row>
        <row r="4581">
          <cell r="D4581" t="str">
            <v>IT&amp;NS</v>
          </cell>
          <cell r="F4581">
            <v>22599.3</v>
          </cell>
          <cell r="G4581">
            <v>275</v>
          </cell>
          <cell r="H4581">
            <v>19301.786301369862</v>
          </cell>
        </row>
        <row r="4582">
          <cell r="D4582" t="str">
            <v>IT&amp;NS</v>
          </cell>
          <cell r="F4582">
            <v>22599.3</v>
          </cell>
          <cell r="G4582">
            <v>275</v>
          </cell>
          <cell r="H4582">
            <v>19301.786301369862</v>
          </cell>
        </row>
        <row r="4583">
          <cell r="D4583" t="str">
            <v>IT&amp;NS</v>
          </cell>
          <cell r="F4583">
            <v>22563.3</v>
          </cell>
          <cell r="G4583">
            <v>275</v>
          </cell>
          <cell r="H4583">
            <v>19265.786301369862</v>
          </cell>
        </row>
        <row r="4584">
          <cell r="D4584" t="str">
            <v>IT&amp;NS</v>
          </cell>
          <cell r="F4584">
            <v>22563.3</v>
          </cell>
          <cell r="G4584">
            <v>275</v>
          </cell>
          <cell r="H4584">
            <v>19265.786301369862</v>
          </cell>
        </row>
        <row r="4585">
          <cell r="D4585" t="str">
            <v>IT&amp;NS</v>
          </cell>
          <cell r="F4585">
            <v>22563.3</v>
          </cell>
          <cell r="G4585">
            <v>275</v>
          </cell>
          <cell r="H4585">
            <v>19265.786301369862</v>
          </cell>
        </row>
        <row r="4586">
          <cell r="D4586" t="str">
            <v>IT&amp;NS</v>
          </cell>
          <cell r="F4586">
            <v>22563.3</v>
          </cell>
          <cell r="G4586">
            <v>275</v>
          </cell>
          <cell r="H4586">
            <v>19265.786301369862</v>
          </cell>
        </row>
        <row r="4587">
          <cell r="D4587" t="str">
            <v>IT&amp;NS</v>
          </cell>
          <cell r="F4587">
            <v>33282.516000000003</v>
          </cell>
          <cell r="G4587">
            <v>275</v>
          </cell>
          <cell r="H4587">
            <v>28392.425315068496</v>
          </cell>
        </row>
        <row r="4588">
          <cell r="D4588" t="str">
            <v>IT&amp;NS</v>
          </cell>
          <cell r="F4588">
            <v>25723.53</v>
          </cell>
          <cell r="G4588">
            <v>275</v>
          </cell>
          <cell r="H4588">
            <v>21974.134794520545</v>
          </cell>
        </row>
        <row r="4589">
          <cell r="D4589" t="str">
            <v>IT&amp;NS</v>
          </cell>
          <cell r="F4589">
            <v>25723.53</v>
          </cell>
          <cell r="G4589">
            <v>275</v>
          </cell>
          <cell r="H4589">
            <v>21974.134794520545</v>
          </cell>
        </row>
        <row r="4590">
          <cell r="D4590" t="str">
            <v>IT&amp;NS</v>
          </cell>
          <cell r="F4590">
            <v>21781.907076502732</v>
          </cell>
          <cell r="G4590">
            <v>275</v>
          </cell>
          <cell r="H4590">
            <v>18618.736528557529</v>
          </cell>
        </row>
        <row r="4591">
          <cell r="D4591" t="str">
            <v>IT&amp;NS</v>
          </cell>
          <cell r="F4591">
            <v>21781.907076502732</v>
          </cell>
          <cell r="G4591">
            <v>275</v>
          </cell>
          <cell r="H4591">
            <v>18618.736528557529</v>
          </cell>
        </row>
        <row r="4592">
          <cell r="D4592" t="str">
            <v>IT&amp;NS</v>
          </cell>
          <cell r="F4592">
            <v>21781.907076502732</v>
          </cell>
          <cell r="G4592">
            <v>275</v>
          </cell>
          <cell r="H4592">
            <v>18618.736528557529</v>
          </cell>
        </row>
        <row r="4593">
          <cell r="D4593" t="str">
            <v>IT&amp;NS</v>
          </cell>
          <cell r="F4593">
            <v>21976.914262295082</v>
          </cell>
          <cell r="G4593">
            <v>275</v>
          </cell>
          <cell r="H4593">
            <v>18813.743714349876</v>
          </cell>
        </row>
        <row r="4594">
          <cell r="D4594" t="str">
            <v>IT&amp;NS</v>
          </cell>
          <cell r="F4594">
            <v>21976.914262295082</v>
          </cell>
          <cell r="G4594">
            <v>275</v>
          </cell>
          <cell r="H4594">
            <v>18813.743714349876</v>
          </cell>
        </row>
        <row r="4595">
          <cell r="D4595" t="str">
            <v>IT&amp;NS</v>
          </cell>
          <cell r="F4595">
            <v>21976.914262295082</v>
          </cell>
          <cell r="G4595">
            <v>275</v>
          </cell>
          <cell r="H4595">
            <v>18813.743714349876</v>
          </cell>
        </row>
        <row r="4596">
          <cell r="D4596" t="str">
            <v>IT&amp;NS</v>
          </cell>
          <cell r="F4596">
            <v>21976.914262295082</v>
          </cell>
          <cell r="G4596">
            <v>275</v>
          </cell>
          <cell r="H4596">
            <v>18813.743714349876</v>
          </cell>
        </row>
        <row r="4597">
          <cell r="D4597" t="str">
            <v>IT&amp;NS</v>
          </cell>
          <cell r="F4597">
            <v>21976.914262295082</v>
          </cell>
          <cell r="G4597">
            <v>275</v>
          </cell>
          <cell r="H4597">
            <v>18813.743714349876</v>
          </cell>
        </row>
        <row r="4598">
          <cell r="D4598" t="str">
            <v>IT&amp;NS</v>
          </cell>
          <cell r="F4598">
            <v>21976.914262295082</v>
          </cell>
          <cell r="G4598">
            <v>275</v>
          </cell>
          <cell r="H4598">
            <v>18813.743714349876</v>
          </cell>
        </row>
        <row r="4599">
          <cell r="D4599" t="str">
            <v>IT&amp;NS</v>
          </cell>
          <cell r="F4599">
            <v>21976.914262295082</v>
          </cell>
          <cell r="G4599">
            <v>275</v>
          </cell>
          <cell r="H4599">
            <v>18813.743714349876</v>
          </cell>
        </row>
        <row r="4600">
          <cell r="D4600" t="str">
            <v>IT&amp;NS</v>
          </cell>
          <cell r="F4600">
            <v>22647.216393442621</v>
          </cell>
          <cell r="G4600">
            <v>275</v>
          </cell>
          <cell r="H4600">
            <v>19349.702694812484</v>
          </cell>
        </row>
        <row r="4601">
          <cell r="D4601" t="str">
            <v>IT&amp;NS</v>
          </cell>
          <cell r="F4601">
            <v>22647.216393442621</v>
          </cell>
          <cell r="G4601">
            <v>275</v>
          </cell>
          <cell r="H4601">
            <v>19349.702694812484</v>
          </cell>
        </row>
        <row r="4602">
          <cell r="D4602" t="str">
            <v>IT&amp;NS</v>
          </cell>
          <cell r="F4602">
            <v>22647.216393442621</v>
          </cell>
          <cell r="G4602">
            <v>275</v>
          </cell>
          <cell r="H4602">
            <v>19349.702694812484</v>
          </cell>
        </row>
        <row r="4603">
          <cell r="D4603" t="str">
            <v>IT&amp;NS</v>
          </cell>
          <cell r="F4603">
            <v>21781.907076502732</v>
          </cell>
          <cell r="G4603">
            <v>275</v>
          </cell>
          <cell r="H4603">
            <v>18618.736528557529</v>
          </cell>
        </row>
        <row r="4604">
          <cell r="D4604" t="str">
            <v>IT&amp;NS</v>
          </cell>
          <cell r="F4604">
            <v>21781.907076502732</v>
          </cell>
          <cell r="G4604">
            <v>275</v>
          </cell>
          <cell r="H4604">
            <v>18618.736528557529</v>
          </cell>
        </row>
        <row r="4605">
          <cell r="D4605" t="str">
            <v>IT&amp;NS</v>
          </cell>
          <cell r="F4605">
            <v>21781.907076502732</v>
          </cell>
          <cell r="G4605">
            <v>275</v>
          </cell>
          <cell r="H4605">
            <v>18618.736528557529</v>
          </cell>
        </row>
        <row r="4606">
          <cell r="D4606" t="str">
            <v>IT&amp;NS</v>
          </cell>
          <cell r="F4606">
            <v>21781.907076502732</v>
          </cell>
          <cell r="G4606">
            <v>275</v>
          </cell>
          <cell r="H4606">
            <v>18618.736528557529</v>
          </cell>
        </row>
        <row r="4607">
          <cell r="D4607" t="str">
            <v>IT&amp;NS</v>
          </cell>
          <cell r="F4607">
            <v>21781.907076502732</v>
          </cell>
          <cell r="G4607">
            <v>275</v>
          </cell>
          <cell r="H4607">
            <v>18618.736528557529</v>
          </cell>
        </row>
        <row r="4608">
          <cell r="D4608" t="str">
            <v>IT&amp;NS</v>
          </cell>
          <cell r="F4608">
            <v>21781.907076502732</v>
          </cell>
          <cell r="G4608">
            <v>275</v>
          </cell>
          <cell r="H4608">
            <v>18618.736528557529</v>
          </cell>
        </row>
        <row r="4609">
          <cell r="D4609" t="str">
            <v>IT&amp;NS</v>
          </cell>
          <cell r="F4609">
            <v>21781.907076502732</v>
          </cell>
          <cell r="G4609">
            <v>275</v>
          </cell>
          <cell r="H4609">
            <v>18618.736528557529</v>
          </cell>
        </row>
        <row r="4610">
          <cell r="D4610" t="str">
            <v>IT&amp;NS</v>
          </cell>
          <cell r="F4610">
            <v>21896.617185792351</v>
          </cell>
          <cell r="G4610">
            <v>275</v>
          </cell>
          <cell r="H4610">
            <v>18733.446637847148</v>
          </cell>
        </row>
        <row r="4611">
          <cell r="D4611" t="str">
            <v>IT&amp;NS</v>
          </cell>
          <cell r="F4611">
            <v>21896.617185792351</v>
          </cell>
          <cell r="G4611">
            <v>275</v>
          </cell>
          <cell r="H4611">
            <v>18733.446637847148</v>
          </cell>
        </row>
        <row r="4612">
          <cell r="D4612" t="str">
            <v>IT&amp;NS</v>
          </cell>
          <cell r="F4612">
            <v>21896.617185792351</v>
          </cell>
          <cell r="G4612">
            <v>275</v>
          </cell>
          <cell r="H4612">
            <v>18733.446637847148</v>
          </cell>
        </row>
        <row r="4613">
          <cell r="D4613" t="str">
            <v>IT&amp;NS</v>
          </cell>
          <cell r="F4613">
            <v>22103.09538251366</v>
          </cell>
          <cell r="G4613">
            <v>275</v>
          </cell>
          <cell r="H4613">
            <v>18939.924834568454</v>
          </cell>
        </row>
        <row r="4614">
          <cell r="D4614" t="str">
            <v>IT&amp;NS</v>
          </cell>
          <cell r="F4614">
            <v>22103.09538251366</v>
          </cell>
          <cell r="G4614">
            <v>275</v>
          </cell>
          <cell r="H4614">
            <v>18939.924834568454</v>
          </cell>
        </row>
        <row r="4615">
          <cell r="D4615" t="str">
            <v>IT&amp;NS</v>
          </cell>
          <cell r="F4615">
            <v>22126.037404371586</v>
          </cell>
          <cell r="G4615">
            <v>275</v>
          </cell>
          <cell r="H4615">
            <v>18962.866856426379</v>
          </cell>
        </row>
        <row r="4616">
          <cell r="D4616" t="str">
            <v>IT&amp;NS</v>
          </cell>
          <cell r="F4616">
            <v>19987.446639344264</v>
          </cell>
          <cell r="G4616">
            <v>275</v>
          </cell>
          <cell r="H4616">
            <v>17141.81444756344</v>
          </cell>
        </row>
        <row r="4617">
          <cell r="D4617" t="str">
            <v>IT&amp;NS</v>
          </cell>
          <cell r="F4617">
            <v>19987.446639344264</v>
          </cell>
          <cell r="G4617">
            <v>275</v>
          </cell>
          <cell r="H4617">
            <v>17141.81444756344</v>
          </cell>
        </row>
        <row r="4618">
          <cell r="D4618" t="str">
            <v>IT&amp;NS</v>
          </cell>
          <cell r="F4618">
            <v>21942.501229508198</v>
          </cell>
          <cell r="G4618">
            <v>275</v>
          </cell>
          <cell r="H4618">
            <v>18779.330681562991</v>
          </cell>
        </row>
        <row r="4619">
          <cell r="D4619" t="str">
            <v>IT&amp;NS</v>
          </cell>
          <cell r="F4619">
            <v>21942.501229508198</v>
          </cell>
          <cell r="G4619">
            <v>275</v>
          </cell>
          <cell r="H4619">
            <v>18779.330681562991</v>
          </cell>
        </row>
        <row r="4620">
          <cell r="D4620" t="str">
            <v>IT&amp;NS</v>
          </cell>
          <cell r="F4620">
            <v>20070.002486338799</v>
          </cell>
          <cell r="G4620">
            <v>275</v>
          </cell>
          <cell r="H4620">
            <v>17224.370294557979</v>
          </cell>
        </row>
        <row r="4621">
          <cell r="D4621" t="str">
            <v>IT&amp;NS</v>
          </cell>
          <cell r="F4621">
            <v>20070.002486338799</v>
          </cell>
          <cell r="G4621">
            <v>275</v>
          </cell>
          <cell r="H4621">
            <v>17224.370294557979</v>
          </cell>
        </row>
        <row r="4622">
          <cell r="D4622" t="str">
            <v>IT&amp;NS</v>
          </cell>
          <cell r="F4622">
            <v>20070.002486338799</v>
          </cell>
          <cell r="G4622">
            <v>275</v>
          </cell>
          <cell r="H4622">
            <v>17224.370294557979</v>
          </cell>
        </row>
        <row r="4623">
          <cell r="D4623" t="str">
            <v>IT&amp;NS</v>
          </cell>
          <cell r="F4623">
            <v>20070.002486338799</v>
          </cell>
          <cell r="G4623">
            <v>275</v>
          </cell>
          <cell r="H4623">
            <v>17224.370294557979</v>
          </cell>
        </row>
        <row r="4624">
          <cell r="D4624" t="str">
            <v>IT&amp;NS</v>
          </cell>
          <cell r="F4624">
            <v>20070.002486338799</v>
          </cell>
          <cell r="G4624">
            <v>275</v>
          </cell>
          <cell r="H4624">
            <v>17224.370294557979</v>
          </cell>
        </row>
        <row r="4625">
          <cell r="D4625" t="str">
            <v>IT&amp;NS</v>
          </cell>
          <cell r="F4625">
            <v>20070.002486338799</v>
          </cell>
          <cell r="G4625">
            <v>275</v>
          </cell>
          <cell r="H4625">
            <v>17224.370294557979</v>
          </cell>
        </row>
        <row r="4626">
          <cell r="D4626" t="str">
            <v>IT&amp;NS</v>
          </cell>
          <cell r="F4626">
            <v>20162.877814207652</v>
          </cell>
          <cell r="G4626">
            <v>275</v>
          </cell>
          <cell r="H4626">
            <v>17317.245622426832</v>
          </cell>
        </row>
        <row r="4627">
          <cell r="D4627" t="str">
            <v>IT&amp;NS</v>
          </cell>
          <cell r="F4627">
            <v>20162.877814207652</v>
          </cell>
          <cell r="G4627">
            <v>275</v>
          </cell>
          <cell r="H4627">
            <v>17317.245622426832</v>
          </cell>
        </row>
        <row r="4628">
          <cell r="D4628" t="str">
            <v>IT&amp;NS</v>
          </cell>
          <cell r="F4628">
            <v>20162.877814207652</v>
          </cell>
          <cell r="G4628">
            <v>275</v>
          </cell>
          <cell r="H4628">
            <v>17317.245622426832</v>
          </cell>
        </row>
        <row r="4629">
          <cell r="D4629" t="str">
            <v>IT&amp;NS</v>
          </cell>
          <cell r="F4629">
            <v>20162.877814207652</v>
          </cell>
          <cell r="G4629">
            <v>275</v>
          </cell>
          <cell r="H4629">
            <v>17317.245622426832</v>
          </cell>
        </row>
        <row r="4630">
          <cell r="D4630" t="str">
            <v>IT&amp;NS</v>
          </cell>
          <cell r="F4630">
            <v>20162.877814207652</v>
          </cell>
          <cell r="G4630">
            <v>275</v>
          </cell>
          <cell r="H4630">
            <v>17317.245622426832</v>
          </cell>
        </row>
        <row r="4631">
          <cell r="D4631" t="str">
            <v>IT&amp;NS</v>
          </cell>
          <cell r="F4631">
            <v>20008.085601092898</v>
          </cell>
          <cell r="G4631">
            <v>275</v>
          </cell>
          <cell r="H4631">
            <v>17162.453409312075</v>
          </cell>
        </row>
        <row r="4632">
          <cell r="D4632" t="str">
            <v>IT&amp;NS</v>
          </cell>
          <cell r="F4632">
            <v>20008.085601092898</v>
          </cell>
          <cell r="G4632">
            <v>275</v>
          </cell>
          <cell r="H4632">
            <v>17162.453409312075</v>
          </cell>
        </row>
        <row r="4633">
          <cell r="D4633" t="str">
            <v>IT&amp;NS</v>
          </cell>
          <cell r="F4633">
            <v>20008.085601092898</v>
          </cell>
          <cell r="G4633">
            <v>275</v>
          </cell>
          <cell r="H4633">
            <v>17162.453409312075</v>
          </cell>
        </row>
        <row r="4634">
          <cell r="D4634" t="str">
            <v>IT&amp;NS</v>
          </cell>
          <cell r="F4634">
            <v>20008.085601092898</v>
          </cell>
          <cell r="G4634">
            <v>275</v>
          </cell>
          <cell r="H4634">
            <v>17162.453409312075</v>
          </cell>
        </row>
        <row r="4635">
          <cell r="D4635" t="str">
            <v>IT&amp;NS</v>
          </cell>
          <cell r="F4635">
            <v>20008.085601092898</v>
          </cell>
          <cell r="G4635">
            <v>275</v>
          </cell>
          <cell r="H4635">
            <v>17162.453409312075</v>
          </cell>
        </row>
        <row r="4636">
          <cell r="D4636" t="str">
            <v>IT&amp;NS</v>
          </cell>
          <cell r="F4636">
            <v>19597.163934426229</v>
          </cell>
          <cell r="G4636">
            <v>275</v>
          </cell>
          <cell r="H4636">
            <v>16837.022838535817</v>
          </cell>
        </row>
        <row r="4637">
          <cell r="D4637" t="str">
            <v>IT&amp;NS</v>
          </cell>
          <cell r="F4637">
            <v>19597.163934426229</v>
          </cell>
          <cell r="G4637">
            <v>275</v>
          </cell>
          <cell r="H4637">
            <v>16837.022838535817</v>
          </cell>
        </row>
        <row r="4638">
          <cell r="D4638" t="str">
            <v>IT&amp;NS</v>
          </cell>
          <cell r="F4638">
            <v>19597.163934426229</v>
          </cell>
          <cell r="G4638">
            <v>275</v>
          </cell>
          <cell r="H4638">
            <v>16837.022838535817</v>
          </cell>
        </row>
        <row r="4639">
          <cell r="D4639" t="str">
            <v>IT&amp;NS</v>
          </cell>
          <cell r="F4639">
            <v>19597.163934426229</v>
          </cell>
          <cell r="G4639">
            <v>275</v>
          </cell>
          <cell r="H4639">
            <v>16837.022838535817</v>
          </cell>
        </row>
        <row r="4640">
          <cell r="D4640" t="str">
            <v>IT&amp;NS</v>
          </cell>
          <cell r="F4640">
            <v>19597.163934426229</v>
          </cell>
          <cell r="G4640">
            <v>275</v>
          </cell>
          <cell r="H4640">
            <v>16837.022838535817</v>
          </cell>
        </row>
        <row r="4641">
          <cell r="D4641" t="str">
            <v>IT&amp;NS</v>
          </cell>
          <cell r="F4641">
            <v>19687.249016393442</v>
          </cell>
          <cell r="G4641">
            <v>275</v>
          </cell>
          <cell r="H4641">
            <v>16927.107920503029</v>
          </cell>
        </row>
        <row r="4642">
          <cell r="D4642" t="str">
            <v>IT&amp;NS</v>
          </cell>
          <cell r="F4642">
            <v>19687.249016393442</v>
          </cell>
          <cell r="G4642">
            <v>275</v>
          </cell>
          <cell r="H4642">
            <v>16927.107920503029</v>
          </cell>
        </row>
        <row r="4643">
          <cell r="D4643" t="str">
            <v>IT&amp;NS</v>
          </cell>
          <cell r="F4643">
            <v>19687.249016393442</v>
          </cell>
          <cell r="G4643">
            <v>275</v>
          </cell>
          <cell r="H4643">
            <v>16927.107920503029</v>
          </cell>
        </row>
        <row r="4644">
          <cell r="D4644" t="str">
            <v>IT&amp;NS</v>
          </cell>
          <cell r="F4644">
            <v>19687.249016393442</v>
          </cell>
          <cell r="G4644">
            <v>275</v>
          </cell>
          <cell r="H4644">
            <v>16927.107920503029</v>
          </cell>
        </row>
        <row r="4645">
          <cell r="D4645" t="str">
            <v>IT&amp;NS</v>
          </cell>
          <cell r="F4645">
            <v>19687.249016393442</v>
          </cell>
          <cell r="G4645">
            <v>275</v>
          </cell>
          <cell r="H4645">
            <v>16927.107920503029</v>
          </cell>
        </row>
        <row r="4646">
          <cell r="D4646" t="str">
            <v>IT&amp;NS</v>
          </cell>
          <cell r="F4646">
            <v>73391.459999999992</v>
          </cell>
          <cell r="G4646">
            <v>275</v>
          </cell>
          <cell r="H4646">
            <v>60274.683287671229</v>
          </cell>
        </row>
        <row r="4647">
          <cell r="D4647" t="str">
            <v>IT&amp;NS</v>
          </cell>
          <cell r="F4647">
            <v>44100.49</v>
          </cell>
          <cell r="G4647">
            <v>275</v>
          </cell>
          <cell r="H4647">
            <v>36394.078356164384</v>
          </cell>
        </row>
        <row r="4648">
          <cell r="D4648" t="str">
            <v>IT&amp;NS</v>
          </cell>
          <cell r="F4648">
            <v>75760.36</v>
          </cell>
          <cell r="G4648">
            <v>275</v>
          </cell>
          <cell r="H4648">
            <v>62521.453150684931</v>
          </cell>
        </row>
        <row r="4649">
          <cell r="D4649" t="str">
            <v>IT&amp;NS</v>
          </cell>
          <cell r="F4649">
            <v>64041.060000000005</v>
          </cell>
          <cell r="G4649">
            <v>275</v>
          </cell>
          <cell r="H4649">
            <v>52878.365479452063</v>
          </cell>
        </row>
        <row r="4650">
          <cell r="D4650" t="str">
            <v>IT&amp;NS</v>
          </cell>
          <cell r="F4650">
            <v>64503.375</v>
          </cell>
          <cell r="G4650">
            <v>275</v>
          </cell>
          <cell r="H4650">
            <v>53359</v>
          </cell>
        </row>
        <row r="4651">
          <cell r="D4651" t="str">
            <v>IT&amp;NS</v>
          </cell>
          <cell r="F4651">
            <v>93956.75</v>
          </cell>
          <cell r="G4651">
            <v>275</v>
          </cell>
          <cell r="H4651">
            <v>77774.506849315076</v>
          </cell>
        </row>
        <row r="4652">
          <cell r="D4652" t="str">
            <v>IT&amp;NS</v>
          </cell>
          <cell r="F4652">
            <v>35359.379999999997</v>
          </cell>
          <cell r="G4652">
            <v>275</v>
          </cell>
          <cell r="H4652">
            <v>30205.488219178078</v>
          </cell>
        </row>
        <row r="4653">
          <cell r="D4653" t="str">
            <v>IT&amp;NS</v>
          </cell>
          <cell r="F4653">
            <v>64659</v>
          </cell>
          <cell r="G4653">
            <v>275</v>
          </cell>
          <cell r="H4653">
            <v>53667.287671232873</v>
          </cell>
        </row>
        <row r="4654">
          <cell r="D4654" t="str">
            <v>IT&amp;NS</v>
          </cell>
          <cell r="F4654">
            <v>33437.08</v>
          </cell>
          <cell r="G4654">
            <v>275</v>
          </cell>
          <cell r="H4654">
            <v>27916.79780821918</v>
          </cell>
        </row>
        <row r="4655">
          <cell r="D4655" t="str">
            <v>IT&amp;NS</v>
          </cell>
          <cell r="F4655">
            <v>16913.014999999999</v>
          </cell>
          <cell r="G4655">
            <v>275</v>
          </cell>
          <cell r="H4655">
            <v>14122.341369863014</v>
          </cell>
        </row>
        <row r="4656">
          <cell r="D4656" t="str">
            <v>IT&amp;NS</v>
          </cell>
          <cell r="F4656">
            <v>60658.01</v>
          </cell>
          <cell r="G4656">
            <v>275</v>
          </cell>
          <cell r="H4656">
            <v>50655.551780821916</v>
          </cell>
        </row>
        <row r="4657">
          <cell r="D4657" t="str">
            <v>IT&amp;NS</v>
          </cell>
          <cell r="F4657">
            <v>55112.8148</v>
          </cell>
          <cell r="G4657">
            <v>275</v>
          </cell>
          <cell r="H4657">
            <v>46024.867046575338</v>
          </cell>
        </row>
        <row r="4658">
          <cell r="D4658" t="str">
            <v>IT&amp;NS</v>
          </cell>
          <cell r="F4658">
            <v>46636.672399999996</v>
          </cell>
          <cell r="G4658">
            <v>275</v>
          </cell>
          <cell r="H4658">
            <v>38996.699550684927</v>
          </cell>
        </row>
        <row r="4659">
          <cell r="D4659" t="str">
            <v>IT&amp;NS</v>
          </cell>
          <cell r="F4659">
            <v>14543.154999999999</v>
          </cell>
          <cell r="G4659">
            <v>275</v>
          </cell>
          <cell r="H4659">
            <v>12167.723835616438</v>
          </cell>
        </row>
        <row r="4660">
          <cell r="D4660" t="str">
            <v>IT&amp;NS</v>
          </cell>
          <cell r="F4660">
            <v>17699.440000000002</v>
          </cell>
          <cell r="G4660">
            <v>275</v>
          </cell>
          <cell r="H4660">
            <v>14817.16876712329</v>
          </cell>
        </row>
        <row r="4661">
          <cell r="D4661" t="str">
            <v>IT&amp;NS</v>
          </cell>
          <cell r="F4661">
            <v>23707.836199999998</v>
          </cell>
          <cell r="G4661">
            <v>275</v>
          </cell>
          <cell r="H4661">
            <v>19887.849775342464</v>
          </cell>
        </row>
        <row r="4662">
          <cell r="D4662" t="str">
            <v>IT&amp;NS</v>
          </cell>
          <cell r="F4662">
            <v>23804.836199999998</v>
          </cell>
          <cell r="G4662">
            <v>275</v>
          </cell>
          <cell r="H4662">
            <v>19984.849775342464</v>
          </cell>
        </row>
        <row r="4663">
          <cell r="D4663" t="str">
            <v>IT&amp;NS</v>
          </cell>
          <cell r="F4663">
            <v>66446.720000000001</v>
          </cell>
          <cell r="G4663">
            <v>275</v>
          </cell>
          <cell r="H4663">
            <v>55845.824109589041</v>
          </cell>
        </row>
        <row r="4664">
          <cell r="D4664" t="str">
            <v>IT&amp;NS</v>
          </cell>
          <cell r="F4664">
            <v>25934.3076</v>
          </cell>
          <cell r="G4664">
            <v>275</v>
          </cell>
          <cell r="H4664">
            <v>21825.361271232876</v>
          </cell>
        </row>
        <row r="4665">
          <cell r="D4665" t="str">
            <v>IT&amp;NS</v>
          </cell>
          <cell r="F4665">
            <v>57291.547500000001</v>
          </cell>
          <cell r="G4665">
            <v>275</v>
          </cell>
          <cell r="H4665">
            <v>48250.864109589042</v>
          </cell>
        </row>
        <row r="4666">
          <cell r="D4666" t="str">
            <v>IT&amp;NS</v>
          </cell>
          <cell r="F4666">
            <v>22490.047500000001</v>
          </cell>
          <cell r="G4666">
            <v>275</v>
          </cell>
          <cell r="H4666">
            <v>18945.220273972605</v>
          </cell>
        </row>
        <row r="4667">
          <cell r="D4667" t="str">
            <v>IT&amp;NS</v>
          </cell>
          <cell r="F4667">
            <v>17335.444</v>
          </cell>
          <cell r="G4667">
            <v>275</v>
          </cell>
          <cell r="H4667">
            <v>14604.6141369863</v>
          </cell>
        </row>
        <row r="4668">
          <cell r="D4668" t="str">
            <v>IT&amp;NS</v>
          </cell>
          <cell r="F4668">
            <v>38641.630000000005</v>
          </cell>
          <cell r="G4668">
            <v>275</v>
          </cell>
          <cell r="H4668">
            <v>32571.762191780828</v>
          </cell>
        </row>
        <row r="4669">
          <cell r="D4669" t="str">
            <v>IT&amp;NS</v>
          </cell>
          <cell r="F4669">
            <v>23981.699000000001</v>
          </cell>
          <cell r="G4669">
            <v>275</v>
          </cell>
          <cell r="H4669">
            <v>20218.869479452056</v>
          </cell>
        </row>
        <row r="4670">
          <cell r="D4670" t="str">
            <v>IT&amp;NS</v>
          </cell>
          <cell r="F4670">
            <v>40475.800000000003</v>
          </cell>
          <cell r="G4670">
            <v>275</v>
          </cell>
          <cell r="H4670">
            <v>34125.032876712336</v>
          </cell>
        </row>
        <row r="4671">
          <cell r="D4671" t="str">
            <v>IT&amp;NS</v>
          </cell>
          <cell r="F4671">
            <v>17914.805</v>
          </cell>
          <cell r="G4671">
            <v>275</v>
          </cell>
          <cell r="H4671">
            <v>15111.918356164384</v>
          </cell>
        </row>
        <row r="4672">
          <cell r="D4672" t="str">
            <v>IT&amp;NS</v>
          </cell>
          <cell r="F4672">
            <v>39442.949999999997</v>
          </cell>
          <cell r="G4672">
            <v>275</v>
          </cell>
          <cell r="H4672">
            <v>33275.378082191775</v>
          </cell>
        </row>
        <row r="4673">
          <cell r="D4673" t="str">
            <v>IT&amp;NS</v>
          </cell>
          <cell r="F4673">
            <v>38775.017999999996</v>
          </cell>
          <cell r="G4673">
            <v>275</v>
          </cell>
          <cell r="H4673">
            <v>32739.346630136984</v>
          </cell>
        </row>
        <row r="4674">
          <cell r="D4674" t="str">
            <v>IT&amp;NS</v>
          </cell>
          <cell r="F4674">
            <v>39779.949999999997</v>
          </cell>
          <cell r="G4674">
            <v>275</v>
          </cell>
          <cell r="H4674">
            <v>33612.378082191775</v>
          </cell>
        </row>
        <row r="4675">
          <cell r="D4675" t="str">
            <v>IT&amp;NS</v>
          </cell>
          <cell r="F4675">
            <v>20688.400000000001</v>
          </cell>
          <cell r="G4675">
            <v>275</v>
          </cell>
          <cell r="H4675">
            <v>17513.016438356168</v>
          </cell>
        </row>
        <row r="4676">
          <cell r="D4676" t="str">
            <v>IT&amp;NS</v>
          </cell>
          <cell r="F4676">
            <v>39808</v>
          </cell>
          <cell r="G4676">
            <v>275</v>
          </cell>
          <cell r="H4676">
            <v>33701.493150684932</v>
          </cell>
        </row>
        <row r="4677">
          <cell r="D4677" t="str">
            <v>IT&amp;NS</v>
          </cell>
          <cell r="F4677">
            <v>25247.402600000001</v>
          </cell>
          <cell r="G4677">
            <v>275</v>
          </cell>
          <cell r="H4677">
            <v>21376.610038356164</v>
          </cell>
        </row>
        <row r="4678">
          <cell r="D4678" t="str">
            <v>IT&amp;NS</v>
          </cell>
          <cell r="F4678">
            <v>18226.152000000002</v>
          </cell>
          <cell r="G4678">
            <v>275</v>
          </cell>
          <cell r="H4678">
            <v>15431.814465753427</v>
          </cell>
        </row>
        <row r="4679">
          <cell r="D4679" t="str">
            <v>IT&amp;NS</v>
          </cell>
          <cell r="F4679">
            <v>31649.164199999999</v>
          </cell>
          <cell r="G4679">
            <v>275</v>
          </cell>
          <cell r="H4679">
            <v>26813.055035616439</v>
          </cell>
        </row>
        <row r="4680">
          <cell r="D4680" t="str">
            <v>IT&amp;NS</v>
          </cell>
          <cell r="F4680">
            <v>23857.42</v>
          </cell>
          <cell r="G4680">
            <v>275</v>
          </cell>
          <cell r="H4680">
            <v>20217.941917808217</v>
          </cell>
        </row>
        <row r="4681">
          <cell r="D4681" t="str">
            <v>IT&amp;NS</v>
          </cell>
          <cell r="F4681">
            <v>64847.899999999994</v>
          </cell>
          <cell r="G4681">
            <v>275</v>
          </cell>
          <cell r="H4681">
            <v>54955.358904109584</v>
          </cell>
        </row>
        <row r="4682">
          <cell r="D4682" t="str">
            <v>IT&amp;NS</v>
          </cell>
          <cell r="F4682">
            <v>40074</v>
          </cell>
          <cell r="G4682">
            <v>275</v>
          </cell>
          <cell r="H4682">
            <v>33967.493150684932</v>
          </cell>
        </row>
        <row r="4683">
          <cell r="D4683" t="str">
            <v>IT&amp;NS</v>
          </cell>
          <cell r="F4683">
            <v>25727.59</v>
          </cell>
          <cell r="G4683">
            <v>275</v>
          </cell>
          <cell r="H4683">
            <v>21807.212602739724</v>
          </cell>
        </row>
        <row r="4684">
          <cell r="D4684" t="str">
            <v>IT&amp;NS</v>
          </cell>
          <cell r="F4684">
            <v>42501.7</v>
          </cell>
          <cell r="G4684">
            <v>275</v>
          </cell>
          <cell r="H4684">
            <v>36028.802739726023</v>
          </cell>
        </row>
        <row r="4685">
          <cell r="D4685" t="str">
            <v>IT&amp;NS</v>
          </cell>
          <cell r="F4685">
            <v>23219.73</v>
          </cell>
          <cell r="G4685">
            <v>275</v>
          </cell>
          <cell r="H4685">
            <v>19714.595068493152</v>
          </cell>
        </row>
        <row r="4686">
          <cell r="D4686" t="str">
            <v>IT&amp;NS</v>
          </cell>
          <cell r="F4686">
            <v>11338.6</v>
          </cell>
          <cell r="G4686">
            <v>275</v>
          </cell>
          <cell r="H4686">
            <v>9628.7780821917804</v>
          </cell>
        </row>
        <row r="4687">
          <cell r="D4687" t="str">
            <v>IT&amp;NS</v>
          </cell>
          <cell r="F4687">
            <v>13930.880000000001</v>
          </cell>
          <cell r="G4687">
            <v>275</v>
          </cell>
          <cell r="H4687">
            <v>11830.241643835618</v>
          </cell>
        </row>
        <row r="4688">
          <cell r="D4688" t="str">
            <v>IT&amp;NS</v>
          </cell>
          <cell r="F4688">
            <v>20259.5</v>
          </cell>
          <cell r="G4688">
            <v>275</v>
          </cell>
          <cell r="H4688">
            <v>17206.246575342466</v>
          </cell>
        </row>
        <row r="4689">
          <cell r="D4689" t="str">
            <v>IT&amp;NS</v>
          </cell>
          <cell r="F4689">
            <v>20270.5</v>
          </cell>
          <cell r="G4689">
            <v>275</v>
          </cell>
          <cell r="H4689">
            <v>17217.246575342466</v>
          </cell>
        </row>
        <row r="4690">
          <cell r="D4690" t="str">
            <v>IT&amp;NS</v>
          </cell>
          <cell r="F4690">
            <v>23188.940000000002</v>
          </cell>
          <cell r="G4690">
            <v>275</v>
          </cell>
          <cell r="H4690">
            <v>19696.018082191782</v>
          </cell>
        </row>
        <row r="4691">
          <cell r="D4691" t="str">
            <v>IT&amp;NS</v>
          </cell>
          <cell r="F4691">
            <v>44985.5</v>
          </cell>
          <cell r="G4691">
            <v>275</v>
          </cell>
          <cell r="H4691">
            <v>38268.342465753427</v>
          </cell>
        </row>
        <row r="4692">
          <cell r="D4692" t="str">
            <v>IT&amp;NS</v>
          </cell>
          <cell r="F4692">
            <v>49472.219400000002</v>
          </cell>
          <cell r="G4692">
            <v>275</v>
          </cell>
          <cell r="H4692">
            <v>42085.055934246579</v>
          </cell>
        </row>
        <row r="4693">
          <cell r="D4693" t="str">
            <v>IT&amp;NS</v>
          </cell>
          <cell r="F4693">
            <v>23241.360000000001</v>
          </cell>
          <cell r="G4693">
            <v>275</v>
          </cell>
          <cell r="H4693">
            <v>19772.864109589042</v>
          </cell>
        </row>
        <row r="4694">
          <cell r="D4694" t="str">
            <v>IT&amp;NS</v>
          </cell>
          <cell r="F4694">
            <v>18710.014999999999</v>
          </cell>
          <cell r="G4694">
            <v>275</v>
          </cell>
          <cell r="H4694">
            <v>15919.341369863014</v>
          </cell>
        </row>
        <row r="4695">
          <cell r="D4695" t="str">
            <v>IT&amp;NS</v>
          </cell>
          <cell r="F4695">
            <v>47440.0262</v>
          </cell>
          <cell r="G4695">
            <v>275</v>
          </cell>
          <cell r="H4695">
            <v>40432.443200000002</v>
          </cell>
        </row>
        <row r="4696">
          <cell r="D4696" t="str">
            <v>IT&amp;NS</v>
          </cell>
          <cell r="F4696">
            <v>22827.145</v>
          </cell>
          <cell r="G4696">
            <v>275</v>
          </cell>
          <cell r="H4696">
            <v>19462.459726027399</v>
          </cell>
        </row>
        <row r="4697">
          <cell r="D4697" t="str">
            <v>IT&amp;NS</v>
          </cell>
          <cell r="F4697">
            <v>71498.217399999994</v>
          </cell>
          <cell r="G4697">
            <v>275</v>
          </cell>
          <cell r="H4697">
            <v>60982.079824657529</v>
          </cell>
        </row>
        <row r="4698">
          <cell r="D4698" t="str">
            <v>IT&amp;NS</v>
          </cell>
          <cell r="F4698">
            <v>21253.45</v>
          </cell>
          <cell r="G4698">
            <v>275</v>
          </cell>
          <cell r="H4698">
            <v>18139.131506849317</v>
          </cell>
        </row>
        <row r="4699">
          <cell r="D4699" t="str">
            <v>IT&amp;NS</v>
          </cell>
          <cell r="F4699">
            <v>47848.0262</v>
          </cell>
          <cell r="G4699">
            <v>275</v>
          </cell>
          <cell r="H4699">
            <v>40840.443200000002</v>
          </cell>
        </row>
        <row r="4700">
          <cell r="D4700" t="str">
            <v>IT&amp;NS</v>
          </cell>
          <cell r="F4700">
            <v>78302.44</v>
          </cell>
          <cell r="G4700">
            <v>275</v>
          </cell>
          <cell r="H4700">
            <v>66871.0591780822</v>
          </cell>
        </row>
        <row r="4701">
          <cell r="D4701" t="str">
            <v>IT&amp;NS</v>
          </cell>
          <cell r="F4701">
            <v>19680.650000000001</v>
          </cell>
          <cell r="G4701">
            <v>275</v>
          </cell>
          <cell r="H4701">
            <v>16810.59178082192</v>
          </cell>
        </row>
        <row r="4702">
          <cell r="D4702" t="str">
            <v>IT&amp;NS</v>
          </cell>
          <cell r="F4702">
            <v>146236.15</v>
          </cell>
          <cell r="G4702">
            <v>275</v>
          </cell>
          <cell r="H4702">
            <v>124435.92054794519</v>
          </cell>
        </row>
        <row r="4703">
          <cell r="D4703" t="str">
            <v>IT&amp;NS</v>
          </cell>
          <cell r="F4703">
            <v>20171.715273224043</v>
          </cell>
          <cell r="G4703">
            <v>275</v>
          </cell>
          <cell r="H4703">
            <v>17374.935136237742</v>
          </cell>
        </row>
        <row r="4704">
          <cell r="D4704" t="str">
            <v>IT&amp;NS</v>
          </cell>
          <cell r="F4704">
            <v>20171.715273224043</v>
          </cell>
          <cell r="G4704">
            <v>275</v>
          </cell>
          <cell r="H4704">
            <v>17374.935136237742</v>
          </cell>
        </row>
        <row r="4705">
          <cell r="D4705" t="str">
            <v>IT&amp;NS</v>
          </cell>
          <cell r="F4705">
            <v>20171.715273224043</v>
          </cell>
          <cell r="G4705">
            <v>275</v>
          </cell>
          <cell r="H4705">
            <v>17374.935136237742</v>
          </cell>
        </row>
        <row r="4706">
          <cell r="D4706" t="str">
            <v>IT&amp;NS</v>
          </cell>
          <cell r="F4706">
            <v>20171.715273224043</v>
          </cell>
          <cell r="G4706">
            <v>275</v>
          </cell>
          <cell r="H4706">
            <v>17374.935136237742</v>
          </cell>
        </row>
        <row r="4707">
          <cell r="D4707" t="str">
            <v>IT&amp;NS</v>
          </cell>
          <cell r="F4707">
            <v>20171.715273224043</v>
          </cell>
          <cell r="G4707">
            <v>275</v>
          </cell>
          <cell r="H4707">
            <v>17374.935136237742</v>
          </cell>
        </row>
        <row r="4708">
          <cell r="D4708" t="str">
            <v>IT&amp;NS</v>
          </cell>
          <cell r="F4708">
            <v>20387.340573770492</v>
          </cell>
          <cell r="G4708">
            <v>275</v>
          </cell>
          <cell r="H4708">
            <v>17547.814888838984</v>
          </cell>
        </row>
        <row r="4709">
          <cell r="D4709" t="str">
            <v>IT&amp;NS</v>
          </cell>
          <cell r="F4709">
            <v>20387.340573770492</v>
          </cell>
          <cell r="G4709">
            <v>275</v>
          </cell>
          <cell r="H4709">
            <v>17547.814888838984</v>
          </cell>
        </row>
        <row r="4710">
          <cell r="D4710" t="str">
            <v>IT&amp;NS</v>
          </cell>
          <cell r="F4710">
            <v>20387.340573770492</v>
          </cell>
          <cell r="G4710">
            <v>275</v>
          </cell>
          <cell r="H4710">
            <v>17547.814888838984</v>
          </cell>
        </row>
        <row r="4711">
          <cell r="D4711" t="str">
            <v>IT&amp;NS</v>
          </cell>
          <cell r="F4711">
            <v>20387.340573770492</v>
          </cell>
          <cell r="G4711">
            <v>275</v>
          </cell>
          <cell r="H4711">
            <v>17547.814888838984</v>
          </cell>
        </row>
        <row r="4712">
          <cell r="D4712" t="str">
            <v>IT&amp;NS</v>
          </cell>
          <cell r="F4712">
            <v>20387.340573770492</v>
          </cell>
          <cell r="G4712">
            <v>275</v>
          </cell>
          <cell r="H4712">
            <v>17547.814888838984</v>
          </cell>
        </row>
        <row r="4713">
          <cell r="D4713" t="str">
            <v>IT&amp;NS</v>
          </cell>
          <cell r="F4713">
            <v>21636.800163934426</v>
          </cell>
          <cell r="G4713">
            <v>275</v>
          </cell>
          <cell r="H4713">
            <v>18626.292287222095</v>
          </cell>
        </row>
        <row r="4714">
          <cell r="D4714" t="str">
            <v>IT&amp;NS</v>
          </cell>
          <cell r="F4714">
            <v>21636.800163934426</v>
          </cell>
          <cell r="G4714">
            <v>275</v>
          </cell>
          <cell r="H4714">
            <v>18626.292287222095</v>
          </cell>
        </row>
        <row r="4715">
          <cell r="D4715" t="str">
            <v>IT&amp;NS</v>
          </cell>
          <cell r="F4715">
            <v>21636.800163934426</v>
          </cell>
          <cell r="G4715">
            <v>275</v>
          </cell>
          <cell r="H4715">
            <v>18626.292287222095</v>
          </cell>
        </row>
        <row r="4716">
          <cell r="D4716" t="str">
            <v>IT&amp;NS</v>
          </cell>
          <cell r="F4716">
            <v>21636.800163934426</v>
          </cell>
          <cell r="G4716">
            <v>275</v>
          </cell>
          <cell r="H4716">
            <v>18626.292287222095</v>
          </cell>
        </row>
        <row r="4717">
          <cell r="D4717" t="str">
            <v>IT&amp;NS</v>
          </cell>
          <cell r="F4717">
            <v>21636.800163934426</v>
          </cell>
          <cell r="G4717">
            <v>275</v>
          </cell>
          <cell r="H4717">
            <v>18626.292287222095</v>
          </cell>
        </row>
        <row r="4718">
          <cell r="D4718" t="str">
            <v>IT&amp;NS</v>
          </cell>
          <cell r="F4718">
            <v>21636.800163934426</v>
          </cell>
          <cell r="G4718">
            <v>275</v>
          </cell>
          <cell r="H4718">
            <v>18626.292287222095</v>
          </cell>
        </row>
        <row r="4719">
          <cell r="D4719" t="str">
            <v>IT&amp;NS</v>
          </cell>
          <cell r="F4719">
            <v>20425.273333333334</v>
          </cell>
          <cell r="G4719">
            <v>275</v>
          </cell>
          <cell r="H4719">
            <v>17628.493196347034</v>
          </cell>
        </row>
        <row r="4720">
          <cell r="D4720" t="str">
            <v>IT&amp;NS</v>
          </cell>
          <cell r="F4720">
            <v>20425.273333333334</v>
          </cell>
          <cell r="G4720">
            <v>275</v>
          </cell>
          <cell r="H4720">
            <v>17628.493196347034</v>
          </cell>
        </row>
        <row r="4721">
          <cell r="D4721" t="str">
            <v>IT&amp;NS</v>
          </cell>
          <cell r="F4721">
            <v>20425.273333333334</v>
          </cell>
          <cell r="G4721">
            <v>275</v>
          </cell>
          <cell r="H4721">
            <v>17628.493196347034</v>
          </cell>
        </row>
        <row r="4722">
          <cell r="D4722" t="str">
            <v>IT&amp;NS</v>
          </cell>
          <cell r="F4722">
            <v>20425.273333333334</v>
          </cell>
          <cell r="G4722">
            <v>275</v>
          </cell>
          <cell r="H4722">
            <v>17628.493196347034</v>
          </cell>
        </row>
        <row r="4723">
          <cell r="D4723" t="str">
            <v>IT&amp;NS</v>
          </cell>
          <cell r="F4723">
            <v>20425.273333333334</v>
          </cell>
          <cell r="G4723">
            <v>275</v>
          </cell>
          <cell r="H4723">
            <v>17628.493196347034</v>
          </cell>
        </row>
        <row r="4724">
          <cell r="D4724" t="str">
            <v>IT&amp;NS</v>
          </cell>
          <cell r="F4724">
            <v>20312.842841530055</v>
          </cell>
          <cell r="G4724">
            <v>275</v>
          </cell>
          <cell r="H4724">
            <v>17558.808252488958</v>
          </cell>
        </row>
        <row r="4725">
          <cell r="D4725" t="str">
            <v>IT&amp;NS</v>
          </cell>
          <cell r="F4725">
            <v>20312.842841530055</v>
          </cell>
          <cell r="G4725">
            <v>275</v>
          </cell>
          <cell r="H4725">
            <v>17558.808252488958</v>
          </cell>
        </row>
        <row r="4726">
          <cell r="D4726" t="str">
            <v>IT&amp;NS</v>
          </cell>
          <cell r="F4726">
            <v>20312.842841530055</v>
          </cell>
          <cell r="G4726">
            <v>275</v>
          </cell>
          <cell r="H4726">
            <v>17558.808252488958</v>
          </cell>
        </row>
        <row r="4727">
          <cell r="D4727" t="str">
            <v>IT&amp;NS</v>
          </cell>
          <cell r="F4727">
            <v>20312.842841530055</v>
          </cell>
          <cell r="G4727">
            <v>275</v>
          </cell>
          <cell r="H4727">
            <v>17558.808252488958</v>
          </cell>
        </row>
        <row r="4728">
          <cell r="D4728" t="str">
            <v>IT&amp;NS</v>
          </cell>
          <cell r="F4728">
            <v>20312.842841530055</v>
          </cell>
          <cell r="G4728">
            <v>275</v>
          </cell>
          <cell r="H4728">
            <v>17558.808252488958</v>
          </cell>
        </row>
        <row r="4729">
          <cell r="D4729" t="str">
            <v>IT&amp;NS</v>
          </cell>
          <cell r="F4729">
            <v>20222.426885245903</v>
          </cell>
          <cell r="G4729">
            <v>275</v>
          </cell>
          <cell r="H4729">
            <v>17425.646748259602</v>
          </cell>
        </row>
        <row r="4730">
          <cell r="D4730" t="str">
            <v>IT&amp;NS</v>
          </cell>
          <cell r="F4730">
            <v>20222.426885245903</v>
          </cell>
          <cell r="G4730">
            <v>275</v>
          </cell>
          <cell r="H4730">
            <v>17425.646748259602</v>
          </cell>
        </row>
        <row r="4731">
          <cell r="D4731" t="str">
            <v>IT&amp;NS</v>
          </cell>
          <cell r="F4731">
            <v>20222.426885245903</v>
          </cell>
          <cell r="G4731">
            <v>275</v>
          </cell>
          <cell r="H4731">
            <v>17425.646748259602</v>
          </cell>
        </row>
        <row r="4732">
          <cell r="D4732" t="str">
            <v>IT&amp;NS</v>
          </cell>
          <cell r="F4732">
            <v>23500.845696174863</v>
          </cell>
          <cell r="G4732">
            <v>275</v>
          </cell>
          <cell r="H4732">
            <v>20192.584545489932</v>
          </cell>
        </row>
        <row r="4733">
          <cell r="D4733" t="str">
            <v>IT&amp;NS</v>
          </cell>
          <cell r="F4733">
            <v>23500.845696174863</v>
          </cell>
          <cell r="G4733">
            <v>275</v>
          </cell>
          <cell r="H4733">
            <v>20192.584545489932</v>
          </cell>
        </row>
        <row r="4734">
          <cell r="D4734" t="str">
            <v>IT&amp;NS</v>
          </cell>
          <cell r="F4734">
            <v>23500.845696174863</v>
          </cell>
          <cell r="G4734">
            <v>275</v>
          </cell>
          <cell r="H4734">
            <v>20192.584545489932</v>
          </cell>
        </row>
        <row r="4735">
          <cell r="D4735" t="str">
            <v>IT&amp;NS</v>
          </cell>
          <cell r="F4735">
            <v>23500.845696174863</v>
          </cell>
          <cell r="G4735">
            <v>275</v>
          </cell>
          <cell r="H4735">
            <v>20192.584545489932</v>
          </cell>
        </row>
        <row r="4736">
          <cell r="D4736" t="str">
            <v>IT&amp;NS</v>
          </cell>
          <cell r="F4736">
            <v>23500.845696174863</v>
          </cell>
          <cell r="G4736">
            <v>275</v>
          </cell>
          <cell r="H4736">
            <v>20192.584545489932</v>
          </cell>
        </row>
        <row r="4737">
          <cell r="D4737" t="str">
            <v>IT&amp;NS</v>
          </cell>
          <cell r="F4737">
            <v>23500.845696174863</v>
          </cell>
          <cell r="G4737">
            <v>275</v>
          </cell>
          <cell r="H4737">
            <v>20192.584545489932</v>
          </cell>
        </row>
        <row r="4738">
          <cell r="D4738" t="str">
            <v>IT&amp;NS</v>
          </cell>
          <cell r="F4738">
            <v>23500.845696174863</v>
          </cell>
          <cell r="G4738">
            <v>275</v>
          </cell>
          <cell r="H4738">
            <v>20192.584545489932</v>
          </cell>
        </row>
        <row r="4739">
          <cell r="D4739" t="str">
            <v>IT&amp;NS</v>
          </cell>
          <cell r="F4739">
            <v>23500.845696174863</v>
          </cell>
          <cell r="G4739">
            <v>275</v>
          </cell>
          <cell r="H4739">
            <v>20192.584545489932</v>
          </cell>
        </row>
        <row r="4740">
          <cell r="D4740" t="str">
            <v>IT&amp;NS</v>
          </cell>
          <cell r="F4740">
            <v>23500.845696174863</v>
          </cell>
          <cell r="G4740">
            <v>275</v>
          </cell>
          <cell r="H4740">
            <v>20192.584545489932</v>
          </cell>
        </row>
        <row r="4741">
          <cell r="D4741" t="str">
            <v>IT&amp;NS</v>
          </cell>
          <cell r="F4741">
            <v>23500.845696174863</v>
          </cell>
          <cell r="G4741">
            <v>275</v>
          </cell>
          <cell r="H4741">
            <v>20192.584545489932</v>
          </cell>
        </row>
        <row r="4742">
          <cell r="D4742" t="str">
            <v>IT&amp;NS</v>
          </cell>
          <cell r="F4742">
            <v>23500.845696174863</v>
          </cell>
          <cell r="G4742">
            <v>275</v>
          </cell>
          <cell r="H4742">
            <v>20192.584545489932</v>
          </cell>
        </row>
        <row r="4743">
          <cell r="D4743" t="str">
            <v>IT&amp;NS</v>
          </cell>
          <cell r="F4743">
            <v>23500.845696174863</v>
          </cell>
          <cell r="G4743">
            <v>275</v>
          </cell>
          <cell r="H4743">
            <v>20192.584545489932</v>
          </cell>
        </row>
        <row r="4744">
          <cell r="D4744" t="str">
            <v>IT&amp;NS</v>
          </cell>
          <cell r="F4744">
            <v>23500.845696174863</v>
          </cell>
          <cell r="G4744">
            <v>275</v>
          </cell>
          <cell r="H4744">
            <v>20192.584545489932</v>
          </cell>
        </row>
        <row r="4745">
          <cell r="D4745" t="str">
            <v>IT&amp;NS</v>
          </cell>
          <cell r="F4745">
            <v>24118.558415300547</v>
          </cell>
          <cell r="G4745">
            <v>275</v>
          </cell>
          <cell r="H4745">
            <v>20723.340607081369</v>
          </cell>
        </row>
        <row r="4746">
          <cell r="D4746" t="str">
            <v>IT&amp;NS</v>
          </cell>
          <cell r="F4746">
            <v>24118.558415300547</v>
          </cell>
          <cell r="G4746">
            <v>275</v>
          </cell>
          <cell r="H4746">
            <v>20723.340607081369</v>
          </cell>
        </row>
        <row r="4747">
          <cell r="D4747" t="str">
            <v>IT&amp;NS</v>
          </cell>
          <cell r="F4747">
            <v>24118.558415300547</v>
          </cell>
          <cell r="G4747">
            <v>275</v>
          </cell>
          <cell r="H4747">
            <v>20723.340607081369</v>
          </cell>
        </row>
        <row r="4748">
          <cell r="D4748" t="str">
            <v>IT&amp;NS</v>
          </cell>
          <cell r="F4748">
            <v>24118.558415300547</v>
          </cell>
          <cell r="G4748">
            <v>275</v>
          </cell>
          <cell r="H4748">
            <v>20723.340607081369</v>
          </cell>
        </row>
        <row r="4749">
          <cell r="D4749" t="str">
            <v>IT&amp;NS</v>
          </cell>
          <cell r="F4749">
            <v>24118.558415300547</v>
          </cell>
          <cell r="G4749">
            <v>275</v>
          </cell>
          <cell r="H4749">
            <v>20723.340607081369</v>
          </cell>
        </row>
        <row r="4750">
          <cell r="D4750" t="str">
            <v>IT&amp;NS</v>
          </cell>
          <cell r="F4750">
            <v>24118.558415300547</v>
          </cell>
          <cell r="G4750">
            <v>275</v>
          </cell>
          <cell r="H4750">
            <v>20723.340607081369</v>
          </cell>
        </row>
        <row r="4751">
          <cell r="D4751" t="str">
            <v>IT&amp;NS</v>
          </cell>
          <cell r="F4751">
            <v>24118.558415300547</v>
          </cell>
          <cell r="G4751">
            <v>275</v>
          </cell>
          <cell r="H4751">
            <v>20723.340607081369</v>
          </cell>
        </row>
        <row r="4752">
          <cell r="D4752" t="str">
            <v>IT&amp;NS</v>
          </cell>
          <cell r="F4752">
            <v>24118.558415300547</v>
          </cell>
          <cell r="G4752">
            <v>275</v>
          </cell>
          <cell r="H4752">
            <v>20723.340607081369</v>
          </cell>
        </row>
        <row r="4753">
          <cell r="D4753" t="str">
            <v>IT&amp;NS</v>
          </cell>
          <cell r="F4753">
            <v>24118.558415300547</v>
          </cell>
          <cell r="G4753">
            <v>275</v>
          </cell>
          <cell r="H4753">
            <v>20723.340607081369</v>
          </cell>
        </row>
        <row r="4754">
          <cell r="D4754" t="str">
            <v>IT&amp;NS</v>
          </cell>
          <cell r="F4754">
            <v>24118.558415300547</v>
          </cell>
          <cell r="G4754">
            <v>275</v>
          </cell>
          <cell r="H4754">
            <v>20723.340607081369</v>
          </cell>
        </row>
        <row r="4755">
          <cell r="D4755" t="str">
            <v>IT&amp;NS</v>
          </cell>
          <cell r="F4755">
            <v>24354.025846994537</v>
          </cell>
          <cell r="G4755">
            <v>275</v>
          </cell>
          <cell r="H4755">
            <v>21007.660093569881</v>
          </cell>
        </row>
        <row r="4756">
          <cell r="D4756" t="str">
            <v>IT&amp;NS</v>
          </cell>
          <cell r="F4756">
            <v>24354.025846994537</v>
          </cell>
          <cell r="G4756">
            <v>275</v>
          </cell>
          <cell r="H4756">
            <v>21007.660093569881</v>
          </cell>
        </row>
        <row r="4757">
          <cell r="D4757" t="str">
            <v>IT&amp;NS</v>
          </cell>
          <cell r="F4757">
            <v>24354.025846994537</v>
          </cell>
          <cell r="G4757">
            <v>275</v>
          </cell>
          <cell r="H4757">
            <v>21007.660093569881</v>
          </cell>
        </row>
        <row r="4758">
          <cell r="D4758" t="str">
            <v>IT&amp;NS</v>
          </cell>
          <cell r="F4758">
            <v>24354.025846994537</v>
          </cell>
          <cell r="G4758">
            <v>275</v>
          </cell>
          <cell r="H4758">
            <v>21007.660093569881</v>
          </cell>
        </row>
        <row r="4759">
          <cell r="D4759" t="str">
            <v>IT&amp;NS</v>
          </cell>
          <cell r="F4759">
            <v>24906.559289617486</v>
          </cell>
          <cell r="G4759">
            <v>275</v>
          </cell>
          <cell r="H4759">
            <v>21511.341481398307</v>
          </cell>
        </row>
        <row r="4760">
          <cell r="D4760" t="str">
            <v>IT&amp;NS</v>
          </cell>
          <cell r="F4760">
            <v>24906.559289617486</v>
          </cell>
          <cell r="G4760">
            <v>275</v>
          </cell>
          <cell r="H4760">
            <v>21511.341481398307</v>
          </cell>
        </row>
        <row r="4761">
          <cell r="D4761" t="str">
            <v>IT&amp;NS</v>
          </cell>
          <cell r="F4761">
            <v>24906.559289617486</v>
          </cell>
          <cell r="G4761">
            <v>275</v>
          </cell>
          <cell r="H4761">
            <v>21511.341481398307</v>
          </cell>
        </row>
        <row r="4762">
          <cell r="D4762" t="str">
            <v>IT&amp;NS</v>
          </cell>
          <cell r="F4762">
            <v>24906.559289617486</v>
          </cell>
          <cell r="G4762">
            <v>275</v>
          </cell>
          <cell r="H4762">
            <v>21511.341481398307</v>
          </cell>
        </row>
        <row r="4763">
          <cell r="D4763" t="str">
            <v>IT&amp;NS</v>
          </cell>
          <cell r="F4763">
            <v>24100.704275409837</v>
          </cell>
          <cell r="G4763">
            <v>275</v>
          </cell>
          <cell r="H4763">
            <v>20792.443124724905</v>
          </cell>
        </row>
        <row r="4764">
          <cell r="D4764" t="str">
            <v>IT&amp;NS</v>
          </cell>
          <cell r="F4764">
            <v>21137.370355191255</v>
          </cell>
          <cell r="G4764">
            <v>275</v>
          </cell>
          <cell r="H4764">
            <v>18267.312136013174</v>
          </cell>
        </row>
        <row r="4765">
          <cell r="D4765" t="str">
            <v>IT&amp;NS</v>
          </cell>
          <cell r="F4765">
            <v>21137.370355191255</v>
          </cell>
          <cell r="G4765">
            <v>275</v>
          </cell>
          <cell r="H4765">
            <v>18267.312136013174</v>
          </cell>
        </row>
        <row r="4766">
          <cell r="D4766" t="str">
            <v>IT&amp;NS</v>
          </cell>
          <cell r="F4766">
            <v>21137.370355191255</v>
          </cell>
          <cell r="G4766">
            <v>275</v>
          </cell>
          <cell r="H4766">
            <v>18267.312136013174</v>
          </cell>
        </row>
        <row r="4767">
          <cell r="D4767" t="str">
            <v>IT&amp;NS</v>
          </cell>
          <cell r="F4767">
            <v>20960.433333333334</v>
          </cell>
          <cell r="G4767">
            <v>275</v>
          </cell>
          <cell r="H4767">
            <v>18090.375114155253</v>
          </cell>
        </row>
        <row r="4768">
          <cell r="D4768" t="str">
            <v>IT&amp;NS</v>
          </cell>
          <cell r="F4768">
            <v>0</v>
          </cell>
          <cell r="G4768">
            <v>275</v>
          </cell>
          <cell r="H4768">
            <v>0</v>
          </cell>
        </row>
        <row r="4769">
          <cell r="D4769" t="str">
            <v>IT&amp;NS</v>
          </cell>
          <cell r="F4769">
            <v>20960.433333333334</v>
          </cell>
          <cell r="G4769">
            <v>275</v>
          </cell>
          <cell r="H4769">
            <v>18090.375114155253</v>
          </cell>
        </row>
        <row r="4770">
          <cell r="D4770" t="str">
            <v>IT&amp;NS</v>
          </cell>
          <cell r="F4770">
            <v>20960.433333333334</v>
          </cell>
          <cell r="G4770">
            <v>275</v>
          </cell>
          <cell r="H4770">
            <v>18090.375114155253</v>
          </cell>
        </row>
        <row r="4771">
          <cell r="D4771" t="str">
            <v>IT&amp;NS</v>
          </cell>
          <cell r="F4771">
            <v>20960.433333333334</v>
          </cell>
          <cell r="G4771">
            <v>275</v>
          </cell>
          <cell r="H4771">
            <v>18090.375114155253</v>
          </cell>
        </row>
        <row r="4772">
          <cell r="D4772" t="str">
            <v>IT&amp;NS</v>
          </cell>
          <cell r="F4772">
            <v>20960.433333333334</v>
          </cell>
          <cell r="G4772">
            <v>275</v>
          </cell>
          <cell r="H4772">
            <v>18090.375114155253</v>
          </cell>
        </row>
        <row r="4773">
          <cell r="D4773" t="str">
            <v>IT&amp;NS</v>
          </cell>
          <cell r="F4773">
            <v>0</v>
          </cell>
          <cell r="G4773">
            <v>275</v>
          </cell>
          <cell r="H4773">
            <v>0</v>
          </cell>
        </row>
        <row r="4774">
          <cell r="D4774" t="str">
            <v>IT&amp;NS</v>
          </cell>
          <cell r="F4774">
            <v>24507.462950819674</v>
          </cell>
          <cell r="G4774">
            <v>275</v>
          </cell>
          <cell r="H4774">
            <v>21197.736238490907</v>
          </cell>
        </row>
        <row r="4775">
          <cell r="D4775" t="str">
            <v>IT&amp;NS</v>
          </cell>
          <cell r="F4775">
            <v>24507.462950819674</v>
          </cell>
          <cell r="G4775">
            <v>275</v>
          </cell>
          <cell r="H4775">
            <v>21197.736238490907</v>
          </cell>
        </row>
        <row r="4776">
          <cell r="D4776" t="str">
            <v>IT&amp;NS</v>
          </cell>
          <cell r="F4776">
            <v>24507.462950819674</v>
          </cell>
          <cell r="G4776">
            <v>275</v>
          </cell>
          <cell r="H4776">
            <v>21197.736238490907</v>
          </cell>
        </row>
        <row r="4777">
          <cell r="D4777" t="str">
            <v>IT&amp;NS</v>
          </cell>
          <cell r="F4777">
            <v>24507.462950819674</v>
          </cell>
          <cell r="G4777">
            <v>275</v>
          </cell>
          <cell r="H4777">
            <v>21197.736238490907</v>
          </cell>
        </row>
        <row r="4778">
          <cell r="D4778" t="str">
            <v>IT&amp;NS</v>
          </cell>
          <cell r="F4778">
            <v>0</v>
          </cell>
          <cell r="G4778">
            <v>275</v>
          </cell>
          <cell r="H4778">
            <v>0</v>
          </cell>
        </row>
        <row r="4779">
          <cell r="D4779" t="str">
            <v>IT&amp;NS</v>
          </cell>
          <cell r="F4779">
            <v>0</v>
          </cell>
          <cell r="G4779">
            <v>275</v>
          </cell>
          <cell r="H4779">
            <v>0</v>
          </cell>
        </row>
        <row r="4780">
          <cell r="D4780" t="str">
            <v>IT&amp;NS</v>
          </cell>
          <cell r="F4780">
            <v>0</v>
          </cell>
          <cell r="G4780">
            <v>275</v>
          </cell>
          <cell r="H4780">
            <v>0</v>
          </cell>
        </row>
        <row r="4781">
          <cell r="D4781" t="str">
            <v>IT&amp;NS</v>
          </cell>
          <cell r="F4781">
            <v>0</v>
          </cell>
          <cell r="G4781">
            <v>275</v>
          </cell>
          <cell r="H4781">
            <v>0</v>
          </cell>
        </row>
        <row r="4782">
          <cell r="D4782" t="str">
            <v>IT&amp;NS</v>
          </cell>
          <cell r="F4782">
            <v>0</v>
          </cell>
          <cell r="G4782">
            <v>275</v>
          </cell>
          <cell r="H4782">
            <v>0</v>
          </cell>
        </row>
        <row r="4783">
          <cell r="D4783" t="str">
            <v>IT&amp;NS</v>
          </cell>
          <cell r="F4783">
            <v>0</v>
          </cell>
          <cell r="G4783">
            <v>275</v>
          </cell>
          <cell r="H4783">
            <v>0</v>
          </cell>
        </row>
        <row r="4784">
          <cell r="D4784" t="str">
            <v>IT&amp;NS</v>
          </cell>
          <cell r="F4784">
            <v>0</v>
          </cell>
          <cell r="G4784">
            <v>275</v>
          </cell>
          <cell r="H4784">
            <v>0</v>
          </cell>
        </row>
        <row r="4785">
          <cell r="D4785" t="str">
            <v>IT&amp;NS</v>
          </cell>
          <cell r="F4785">
            <v>0</v>
          </cell>
          <cell r="G4785">
            <v>275</v>
          </cell>
          <cell r="H4785">
            <v>0</v>
          </cell>
        </row>
        <row r="4786">
          <cell r="D4786" t="str">
            <v>IT&amp;NS</v>
          </cell>
          <cell r="F4786">
            <v>0</v>
          </cell>
          <cell r="G4786">
            <v>275</v>
          </cell>
          <cell r="H4786">
            <v>0</v>
          </cell>
        </row>
        <row r="4787">
          <cell r="D4787" t="str">
            <v>IT&amp;NS</v>
          </cell>
          <cell r="F4787">
            <v>24507.462950819674</v>
          </cell>
          <cell r="G4787">
            <v>275</v>
          </cell>
          <cell r="H4787">
            <v>21197.736238490907</v>
          </cell>
        </row>
        <row r="4788">
          <cell r="D4788" t="str">
            <v>IT&amp;NS</v>
          </cell>
          <cell r="F4788">
            <v>24507.462950819674</v>
          </cell>
          <cell r="G4788">
            <v>275</v>
          </cell>
          <cell r="H4788">
            <v>21197.736238490907</v>
          </cell>
        </row>
        <row r="4789">
          <cell r="D4789" t="str">
            <v>IT&amp;NS</v>
          </cell>
          <cell r="F4789">
            <v>24507.462950819674</v>
          </cell>
          <cell r="G4789">
            <v>275</v>
          </cell>
          <cell r="H4789">
            <v>21197.736238490907</v>
          </cell>
        </row>
        <row r="4790">
          <cell r="D4790" t="str">
            <v>IT&amp;NS</v>
          </cell>
          <cell r="F4790">
            <v>24507.462950819674</v>
          </cell>
          <cell r="G4790">
            <v>275</v>
          </cell>
          <cell r="H4790">
            <v>21197.736238490907</v>
          </cell>
        </row>
        <row r="4791">
          <cell r="D4791" t="str">
            <v>IT&amp;NS</v>
          </cell>
          <cell r="F4791">
            <v>24507.462950819674</v>
          </cell>
          <cell r="G4791">
            <v>275</v>
          </cell>
          <cell r="H4791">
            <v>21197.736238490907</v>
          </cell>
        </row>
        <row r="4792">
          <cell r="D4792" t="str">
            <v>IT&amp;NS</v>
          </cell>
          <cell r="F4792">
            <v>24507.462950819674</v>
          </cell>
          <cell r="G4792">
            <v>275</v>
          </cell>
          <cell r="H4792">
            <v>21197.736238490907</v>
          </cell>
        </row>
        <row r="4793">
          <cell r="D4793" t="str">
            <v>IT&amp;NS</v>
          </cell>
          <cell r="F4793">
            <v>24354.025846994537</v>
          </cell>
          <cell r="G4793">
            <v>275</v>
          </cell>
          <cell r="H4793">
            <v>21007.660093569881</v>
          </cell>
        </row>
        <row r="4794">
          <cell r="D4794" t="str">
            <v>IT&amp;NS</v>
          </cell>
          <cell r="F4794">
            <v>24354.025846994537</v>
          </cell>
          <cell r="G4794">
            <v>275</v>
          </cell>
          <cell r="H4794">
            <v>21007.660093569881</v>
          </cell>
        </row>
        <row r="4795">
          <cell r="D4795" t="str">
            <v>IT&amp;NS</v>
          </cell>
          <cell r="F4795">
            <v>24354.025846994537</v>
          </cell>
          <cell r="G4795">
            <v>275</v>
          </cell>
          <cell r="H4795">
            <v>21007.660093569881</v>
          </cell>
        </row>
        <row r="4796">
          <cell r="D4796" t="str">
            <v>IT&amp;NS</v>
          </cell>
          <cell r="F4796">
            <v>24354.025846994537</v>
          </cell>
          <cell r="G4796">
            <v>275</v>
          </cell>
          <cell r="H4796">
            <v>21007.660093569881</v>
          </cell>
        </row>
        <row r="4797">
          <cell r="D4797" t="str">
            <v>IT&amp;NS</v>
          </cell>
          <cell r="F4797">
            <v>24354.025846994537</v>
          </cell>
          <cell r="G4797">
            <v>275</v>
          </cell>
          <cell r="H4797">
            <v>21007.660093569881</v>
          </cell>
        </row>
        <row r="4798">
          <cell r="D4798" t="str">
            <v>IT&amp;NS</v>
          </cell>
          <cell r="F4798">
            <v>24354.025846994537</v>
          </cell>
          <cell r="G4798">
            <v>275</v>
          </cell>
          <cell r="H4798">
            <v>21007.660093569881</v>
          </cell>
        </row>
        <row r="4799">
          <cell r="D4799" t="str">
            <v>IT&amp;NS</v>
          </cell>
          <cell r="F4799">
            <v>0</v>
          </cell>
          <cell r="G4799">
            <v>275</v>
          </cell>
          <cell r="H4799">
            <v>0</v>
          </cell>
        </row>
        <row r="4800">
          <cell r="D4800" t="str">
            <v>IT&amp;NS</v>
          </cell>
          <cell r="F4800">
            <v>24354.025846994537</v>
          </cell>
          <cell r="G4800">
            <v>275</v>
          </cell>
          <cell r="H4800">
            <v>21007.660093569881</v>
          </cell>
        </row>
        <row r="4801">
          <cell r="D4801" t="str">
            <v>IT&amp;NS</v>
          </cell>
          <cell r="F4801">
            <v>24354.025846994537</v>
          </cell>
          <cell r="G4801">
            <v>275</v>
          </cell>
          <cell r="H4801">
            <v>21007.660093569881</v>
          </cell>
        </row>
        <row r="4802">
          <cell r="D4802" t="str">
            <v>IT&amp;NS</v>
          </cell>
          <cell r="F4802">
            <v>24354.025846994537</v>
          </cell>
          <cell r="G4802">
            <v>275</v>
          </cell>
          <cell r="H4802">
            <v>21007.660093569881</v>
          </cell>
        </row>
        <row r="4803">
          <cell r="D4803" t="str">
            <v>IT&amp;NS</v>
          </cell>
          <cell r="F4803">
            <v>24354.025846994537</v>
          </cell>
          <cell r="G4803">
            <v>275</v>
          </cell>
          <cell r="H4803">
            <v>21007.660093569881</v>
          </cell>
        </row>
        <row r="4804">
          <cell r="D4804" t="str">
            <v>IT&amp;NS</v>
          </cell>
          <cell r="F4804">
            <v>0</v>
          </cell>
          <cell r="G4804">
            <v>275</v>
          </cell>
          <cell r="H4804">
            <v>0</v>
          </cell>
        </row>
        <row r="4805">
          <cell r="D4805" t="str">
            <v>IT&amp;NS</v>
          </cell>
          <cell r="F4805">
            <v>0</v>
          </cell>
          <cell r="G4805">
            <v>275</v>
          </cell>
          <cell r="H4805">
            <v>0</v>
          </cell>
        </row>
        <row r="4806">
          <cell r="D4806" t="str">
            <v>IT&amp;NS</v>
          </cell>
          <cell r="F4806">
            <v>0</v>
          </cell>
          <cell r="G4806">
            <v>275</v>
          </cell>
          <cell r="H4806">
            <v>0</v>
          </cell>
        </row>
        <row r="4807">
          <cell r="D4807" t="str">
            <v>IT&amp;NS</v>
          </cell>
          <cell r="F4807">
            <v>29218.293709016394</v>
          </cell>
          <cell r="G4807">
            <v>275</v>
          </cell>
          <cell r="H4807">
            <v>25270.437030934201</v>
          </cell>
        </row>
        <row r="4808">
          <cell r="D4808" t="str">
            <v>IT&amp;NS</v>
          </cell>
          <cell r="F4808">
            <v>0</v>
          </cell>
          <cell r="G4808">
            <v>275</v>
          </cell>
          <cell r="H4808">
            <v>0</v>
          </cell>
        </row>
        <row r="4809">
          <cell r="D4809" t="str">
            <v>IT&amp;NS</v>
          </cell>
          <cell r="F4809">
            <v>29218.293709016394</v>
          </cell>
          <cell r="G4809">
            <v>275</v>
          </cell>
          <cell r="H4809">
            <v>25270.437030934201</v>
          </cell>
        </row>
        <row r="4810">
          <cell r="D4810" t="str">
            <v>IT&amp;NS</v>
          </cell>
          <cell r="F4810">
            <v>0</v>
          </cell>
          <cell r="G4810">
            <v>275</v>
          </cell>
          <cell r="H4810">
            <v>0</v>
          </cell>
        </row>
        <row r="4811">
          <cell r="D4811" t="str">
            <v>IT&amp;NS</v>
          </cell>
          <cell r="F4811">
            <v>0</v>
          </cell>
          <cell r="G4811">
            <v>275</v>
          </cell>
          <cell r="H4811">
            <v>0</v>
          </cell>
        </row>
        <row r="4812">
          <cell r="D4812" t="str">
            <v>IT&amp;NS</v>
          </cell>
          <cell r="F4812">
            <v>0</v>
          </cell>
          <cell r="G4812">
            <v>275</v>
          </cell>
          <cell r="H4812">
            <v>0</v>
          </cell>
        </row>
        <row r="4813">
          <cell r="D4813" t="str">
            <v>IT&amp;NS</v>
          </cell>
          <cell r="F4813">
            <v>0</v>
          </cell>
          <cell r="G4813">
            <v>275</v>
          </cell>
          <cell r="H4813">
            <v>0</v>
          </cell>
        </row>
        <row r="4814">
          <cell r="D4814" t="str">
            <v>IT&amp;NS</v>
          </cell>
          <cell r="F4814">
            <v>0</v>
          </cell>
          <cell r="G4814">
            <v>275</v>
          </cell>
          <cell r="H4814">
            <v>0</v>
          </cell>
        </row>
        <row r="4815">
          <cell r="D4815" t="str">
            <v>IT&amp;NS</v>
          </cell>
          <cell r="F4815">
            <v>0</v>
          </cell>
          <cell r="G4815">
            <v>275</v>
          </cell>
          <cell r="H4815">
            <v>0</v>
          </cell>
        </row>
        <row r="4816">
          <cell r="D4816" t="str">
            <v>IT&amp;NS</v>
          </cell>
          <cell r="F4816">
            <v>0</v>
          </cell>
          <cell r="G4816">
            <v>275</v>
          </cell>
          <cell r="H4816">
            <v>0</v>
          </cell>
        </row>
        <row r="4817">
          <cell r="D4817" t="str">
            <v>IT&amp;NS</v>
          </cell>
          <cell r="F4817">
            <v>0</v>
          </cell>
          <cell r="G4817">
            <v>275</v>
          </cell>
          <cell r="H4817">
            <v>0</v>
          </cell>
        </row>
        <row r="4818">
          <cell r="D4818" t="str">
            <v>IT&amp;NS</v>
          </cell>
          <cell r="F4818">
            <v>0</v>
          </cell>
          <cell r="G4818">
            <v>275</v>
          </cell>
          <cell r="H4818">
            <v>0</v>
          </cell>
        </row>
        <row r="4819">
          <cell r="D4819" t="str">
            <v>IT&amp;NS</v>
          </cell>
          <cell r="F4819">
            <v>0</v>
          </cell>
          <cell r="G4819">
            <v>275</v>
          </cell>
          <cell r="H4819">
            <v>0</v>
          </cell>
        </row>
        <row r="4820">
          <cell r="D4820" t="str">
            <v>IT&amp;NS</v>
          </cell>
          <cell r="F4820">
            <v>0</v>
          </cell>
          <cell r="G4820">
            <v>275</v>
          </cell>
          <cell r="H4820">
            <v>0</v>
          </cell>
        </row>
        <row r="4821">
          <cell r="D4821" t="str">
            <v>IT&amp;NS</v>
          </cell>
          <cell r="F4821">
            <v>0</v>
          </cell>
          <cell r="G4821">
            <v>275</v>
          </cell>
          <cell r="H4821">
            <v>0</v>
          </cell>
        </row>
        <row r="4822">
          <cell r="D4822" t="str">
            <v>IT&amp;NS</v>
          </cell>
          <cell r="F4822">
            <v>0</v>
          </cell>
          <cell r="G4822">
            <v>275</v>
          </cell>
          <cell r="H4822">
            <v>0</v>
          </cell>
        </row>
        <row r="4823">
          <cell r="D4823" t="str">
            <v>IT&amp;NS</v>
          </cell>
          <cell r="F4823">
            <v>3869.6290000000008</v>
          </cell>
          <cell r="G4823">
            <v>275</v>
          </cell>
          <cell r="H4823">
            <v>509.82893150684959</v>
          </cell>
        </row>
        <row r="4824">
          <cell r="D4824" t="str">
            <v>IT&amp;NS</v>
          </cell>
          <cell r="F4824">
            <v>4000.8760000000002</v>
          </cell>
          <cell r="G4824">
            <v>275</v>
          </cell>
          <cell r="H4824">
            <v>527.4949041095897</v>
          </cell>
        </row>
        <row r="4825">
          <cell r="D4825" t="str">
            <v>IT&amp;NS</v>
          </cell>
          <cell r="F4825">
            <v>2931.1800000000003</v>
          </cell>
          <cell r="G4825">
            <v>275</v>
          </cell>
          <cell r="H4825">
            <v>-24.369315068493052</v>
          </cell>
        </row>
        <row r="4826">
          <cell r="D4826" t="str">
            <v>IT&amp;NS</v>
          </cell>
          <cell r="F4826">
            <v>4090.0869999999995</v>
          </cell>
          <cell r="G4826">
            <v>275</v>
          </cell>
          <cell r="H4826">
            <v>361.45391780821865</v>
          </cell>
        </row>
        <row r="4827">
          <cell r="D4827" t="str">
            <v>IT&amp;NS</v>
          </cell>
          <cell r="F4827">
            <v>11955.009999999995</v>
          </cell>
          <cell r="G4827">
            <v>275</v>
          </cell>
          <cell r="H4827">
            <v>1952.551780821912</v>
          </cell>
        </row>
        <row r="4828">
          <cell r="D4828" t="str">
            <v>IT&amp;NS</v>
          </cell>
          <cell r="F4828">
            <v>3280.635000000002</v>
          </cell>
          <cell r="G4828">
            <v>275</v>
          </cell>
          <cell r="H4828">
            <v>758.64767123287902</v>
          </cell>
        </row>
        <row r="4829">
          <cell r="D4829" t="str">
            <v>IT&amp;NS</v>
          </cell>
          <cell r="F4829">
            <v>3081.5550000000003</v>
          </cell>
          <cell r="G4829">
            <v>275</v>
          </cell>
          <cell r="H4829">
            <v>-26.65698630136967</v>
          </cell>
        </row>
        <row r="4830">
          <cell r="D4830" t="str">
            <v>IT&amp;NS</v>
          </cell>
          <cell r="F4830">
            <v>13398.574999999997</v>
          </cell>
          <cell r="G4830">
            <v>275</v>
          </cell>
          <cell r="H4830">
            <v>4941.0630136986274</v>
          </cell>
        </row>
        <row r="4831">
          <cell r="D4831" t="str">
            <v>IT&amp;NS</v>
          </cell>
          <cell r="F4831">
            <v>5347.755000000001</v>
          </cell>
          <cell r="G4831">
            <v>275</v>
          </cell>
          <cell r="H4831">
            <v>2483.8032876712341</v>
          </cell>
        </row>
        <row r="4832">
          <cell r="D4832" t="str">
            <v>IT&amp;NS</v>
          </cell>
          <cell r="F4832">
            <v>16560.059999999998</v>
          </cell>
          <cell r="G4832">
            <v>275</v>
          </cell>
          <cell r="H4832">
            <v>11503.87232876712</v>
          </cell>
        </row>
        <row r="4833">
          <cell r="D4833" t="str">
            <v>IT&amp;NS</v>
          </cell>
          <cell r="F4833">
            <v>11169.880000000001</v>
          </cell>
          <cell r="G4833">
            <v>275</v>
          </cell>
          <cell r="H4833">
            <v>7847.9402739726038</v>
          </cell>
        </row>
        <row r="4834">
          <cell r="D4834" t="str">
            <v>IT&amp;NS</v>
          </cell>
          <cell r="F4834">
            <v>17559.11</v>
          </cell>
          <cell r="G4834">
            <v>275</v>
          </cell>
          <cell r="H4834">
            <v>12563.987397260276</v>
          </cell>
        </row>
        <row r="4835">
          <cell r="D4835" t="str">
            <v>IT&amp;NS</v>
          </cell>
          <cell r="F4835">
            <v>9279.0550000000003</v>
          </cell>
          <cell r="G4835">
            <v>275</v>
          </cell>
          <cell r="H4835">
            <v>6781.4936986301382</v>
          </cell>
        </row>
        <row r="4836">
          <cell r="D4836" t="str">
            <v>IT&amp;NS</v>
          </cell>
          <cell r="F4836">
            <v>11100.705</v>
          </cell>
          <cell r="G4836">
            <v>275</v>
          </cell>
          <cell r="H4836">
            <v>8175.6882191780824</v>
          </cell>
        </row>
        <row r="4837">
          <cell r="D4837" t="str">
            <v>IT&amp;NS</v>
          </cell>
          <cell r="F4837">
            <v>22296.04</v>
          </cell>
          <cell r="G4837">
            <v>275</v>
          </cell>
          <cell r="H4837">
            <v>16482.645479452054</v>
          </cell>
        </row>
        <row r="4838">
          <cell r="D4838" t="str">
            <v>IT&amp;NS</v>
          </cell>
          <cell r="F4838">
            <v>11471.130000000001</v>
          </cell>
          <cell r="G4838">
            <v>275</v>
          </cell>
          <cell r="H4838">
            <v>8454.515616438357</v>
          </cell>
        </row>
        <row r="4839">
          <cell r="D4839" t="str">
            <v>IT&amp;NS</v>
          </cell>
          <cell r="F4839">
            <v>100753.29000000001</v>
          </cell>
          <cell r="G4839">
            <v>275</v>
          </cell>
          <cell r="H4839">
            <v>74483.097534246583</v>
          </cell>
        </row>
        <row r="4840">
          <cell r="D4840" t="str">
            <v>IT&amp;NS</v>
          </cell>
          <cell r="F4840">
            <v>11569.130000000001</v>
          </cell>
          <cell r="G4840">
            <v>275</v>
          </cell>
          <cell r="H4840">
            <v>8552.515616438357</v>
          </cell>
        </row>
        <row r="4841">
          <cell r="D4841" t="str">
            <v>IT&amp;NS</v>
          </cell>
          <cell r="F4841">
            <v>102090.29000000001</v>
          </cell>
          <cell r="G4841">
            <v>275</v>
          </cell>
          <cell r="H4841">
            <v>75820.097534246583</v>
          </cell>
        </row>
        <row r="4842">
          <cell r="D4842" t="str">
            <v>IT&amp;NS</v>
          </cell>
          <cell r="F4842">
            <v>23446.260000000002</v>
          </cell>
          <cell r="G4842">
            <v>275</v>
          </cell>
          <cell r="H4842">
            <v>17413.031232876714</v>
          </cell>
        </row>
        <row r="4843">
          <cell r="D4843" t="str">
            <v>IT&amp;NS</v>
          </cell>
          <cell r="F4843">
            <v>11666.02</v>
          </cell>
          <cell r="G4843">
            <v>275</v>
          </cell>
          <cell r="H4843">
            <v>8759.3227397260271</v>
          </cell>
        </row>
        <row r="4844">
          <cell r="D4844" t="str">
            <v>IT&amp;NS</v>
          </cell>
          <cell r="F4844">
            <v>11952.755000000001</v>
          </cell>
          <cell r="G4844">
            <v>275</v>
          </cell>
          <cell r="H4844">
            <v>9088.803287671235</v>
          </cell>
        </row>
        <row r="4845">
          <cell r="D4845" t="str">
            <v>IT&amp;NS</v>
          </cell>
          <cell r="F4845">
            <v>11774.7</v>
          </cell>
          <cell r="G4845">
            <v>275</v>
          </cell>
          <cell r="H4845">
            <v>8965.7068493150691</v>
          </cell>
        </row>
        <row r="4846">
          <cell r="D4846" t="str">
            <v>IT&amp;NS</v>
          </cell>
          <cell r="F4846">
            <v>17878.64</v>
          </cell>
          <cell r="G4846">
            <v>275</v>
          </cell>
          <cell r="H4846">
            <v>12798.026301369862</v>
          </cell>
        </row>
        <row r="4847">
          <cell r="D4847" t="str">
            <v>IT&amp;NS</v>
          </cell>
          <cell r="F4847">
            <v>10794.825000000001</v>
          </cell>
          <cell r="G4847">
            <v>275</v>
          </cell>
          <cell r="H4847">
            <v>7527.8438356164388</v>
          </cell>
        </row>
        <row r="4848">
          <cell r="D4848" t="str">
            <v>IT&amp;NS</v>
          </cell>
          <cell r="F4848">
            <v>11781.625</v>
          </cell>
          <cell r="G4848">
            <v>275</v>
          </cell>
          <cell r="H4848">
            <v>8270.3835616438355</v>
          </cell>
        </row>
        <row r="4849">
          <cell r="D4849" t="str">
            <v>IT&amp;NS</v>
          </cell>
          <cell r="F4849">
            <v>11294.6</v>
          </cell>
          <cell r="G4849">
            <v>275</v>
          </cell>
          <cell r="H4849">
            <v>8363.4767123287675</v>
          </cell>
        </row>
        <row r="4850">
          <cell r="D4850" t="str">
            <v>IT&amp;NS</v>
          </cell>
          <cell r="F4850">
            <v>28495.180484972676</v>
          </cell>
          <cell r="G4850">
            <v>275</v>
          </cell>
          <cell r="H4850">
            <v>24645.027916479525</v>
          </cell>
        </row>
        <row r="4851">
          <cell r="D4851" t="str">
            <v>IT&amp;NS</v>
          </cell>
          <cell r="F4851">
            <v>28856.737096994537</v>
          </cell>
          <cell r="G4851">
            <v>275</v>
          </cell>
          <cell r="H4851">
            <v>24957.732473706867</v>
          </cell>
        </row>
        <row r="4852">
          <cell r="D4852" t="str">
            <v>IT&amp;NS</v>
          </cell>
          <cell r="F4852">
            <v>11670.92</v>
          </cell>
          <cell r="G4852">
            <v>275</v>
          </cell>
          <cell r="H4852">
            <v>8642.0926027397254</v>
          </cell>
        </row>
        <row r="4853">
          <cell r="D4853" t="str">
            <v>IT&amp;NS</v>
          </cell>
          <cell r="F4853">
            <v>11828.34</v>
          </cell>
          <cell r="G4853">
            <v>275</v>
          </cell>
          <cell r="H4853">
            <v>8823.9386301369868</v>
          </cell>
        </row>
        <row r="4854">
          <cell r="D4854" t="str">
            <v>IT&amp;NS</v>
          </cell>
          <cell r="F4854">
            <v>16574.766598360657</v>
          </cell>
          <cell r="G4854">
            <v>275</v>
          </cell>
          <cell r="H4854">
            <v>14162.696392881204</v>
          </cell>
        </row>
        <row r="4855">
          <cell r="D4855" t="str">
            <v>IT&amp;NS</v>
          </cell>
          <cell r="F4855">
            <v>13537.86</v>
          </cell>
          <cell r="G4855">
            <v>275</v>
          </cell>
          <cell r="H4855">
            <v>10680.014794520548</v>
          </cell>
        </row>
        <row r="4856">
          <cell r="D4856" t="str">
            <v>IT&amp;NS</v>
          </cell>
          <cell r="F4856">
            <v>13469.7</v>
          </cell>
          <cell r="G4856">
            <v>275</v>
          </cell>
          <cell r="H4856">
            <v>10660.706849315069</v>
          </cell>
        </row>
        <row r="4857">
          <cell r="D4857" t="str">
            <v>IT&amp;NS</v>
          </cell>
          <cell r="F4857">
            <v>14420.650000000001</v>
          </cell>
          <cell r="G4857">
            <v>275</v>
          </cell>
          <cell r="H4857">
            <v>11550.59178082192</v>
          </cell>
        </row>
        <row r="4858">
          <cell r="D4858" t="str">
            <v>IT&amp;NS</v>
          </cell>
          <cell r="F4858">
            <v>19984.762841530057</v>
          </cell>
          <cell r="G4858">
            <v>275</v>
          </cell>
          <cell r="H4858">
            <v>17175.769690845125</v>
          </cell>
        </row>
        <row r="4859">
          <cell r="D4859" t="str">
            <v>IT&amp;NS</v>
          </cell>
          <cell r="F4859">
            <v>18120.373599999999</v>
          </cell>
          <cell r="G4859">
            <v>275</v>
          </cell>
          <cell r="H4859">
            <v>14678.257819178081</v>
          </cell>
        </row>
        <row r="4860">
          <cell r="D4860" t="str">
            <v>IT&amp;NS</v>
          </cell>
          <cell r="F4860">
            <v>20096.815573770491</v>
          </cell>
          <cell r="G4860">
            <v>275</v>
          </cell>
          <cell r="H4860">
            <v>17287.822423085559</v>
          </cell>
        </row>
        <row r="4861">
          <cell r="D4861" t="str">
            <v>IT&amp;NS</v>
          </cell>
          <cell r="F4861">
            <v>18154.6656</v>
          </cell>
          <cell r="G4861">
            <v>275</v>
          </cell>
          <cell r="H4861">
            <v>14776.05749041096</v>
          </cell>
        </row>
        <row r="4862">
          <cell r="D4862" t="str">
            <v>IT&amp;NS</v>
          </cell>
          <cell r="F4862">
            <v>19801.403825136611</v>
          </cell>
          <cell r="G4862">
            <v>275</v>
          </cell>
          <cell r="H4862">
            <v>16992.410674451679</v>
          </cell>
        </row>
        <row r="4863">
          <cell r="D4863" t="str">
            <v>IT&amp;NS</v>
          </cell>
          <cell r="F4863">
            <v>19801.403825136611</v>
          </cell>
          <cell r="G4863">
            <v>275</v>
          </cell>
          <cell r="H4863">
            <v>16992.410674451679</v>
          </cell>
        </row>
        <row r="4864">
          <cell r="D4864" t="str">
            <v>IT&amp;NS</v>
          </cell>
          <cell r="F4864">
            <v>11937.7</v>
          </cell>
          <cell r="G4864">
            <v>275</v>
          </cell>
          <cell r="H4864">
            <v>9128.7068493150691</v>
          </cell>
        </row>
        <row r="4865">
          <cell r="D4865" t="str">
            <v>IT&amp;NS</v>
          </cell>
          <cell r="F4865">
            <v>11937.7</v>
          </cell>
          <cell r="G4865">
            <v>275</v>
          </cell>
          <cell r="H4865">
            <v>9128.7068493150691</v>
          </cell>
        </row>
        <row r="4866">
          <cell r="D4866" t="str">
            <v>IT&amp;NS</v>
          </cell>
          <cell r="F4866">
            <v>16334.882000000001</v>
          </cell>
          <cell r="G4866">
            <v>275</v>
          </cell>
          <cell r="H4866">
            <v>12478.012273972605</v>
          </cell>
        </row>
        <row r="4867">
          <cell r="D4867" t="str">
            <v>IT&amp;NS</v>
          </cell>
          <cell r="F4867">
            <v>13603.77</v>
          </cell>
          <cell r="G4867">
            <v>275</v>
          </cell>
          <cell r="H4867">
            <v>10391.747397260275</v>
          </cell>
        </row>
        <row r="4868">
          <cell r="D4868" t="str">
            <v>IT&amp;NS</v>
          </cell>
          <cell r="F4868">
            <v>14981.7</v>
          </cell>
          <cell r="G4868">
            <v>275</v>
          </cell>
          <cell r="H4868">
            <v>12172.706849315069</v>
          </cell>
        </row>
        <row r="4869">
          <cell r="D4869" t="str">
            <v>IT&amp;NS</v>
          </cell>
          <cell r="F4869">
            <v>0</v>
          </cell>
          <cell r="G4869">
            <v>275</v>
          </cell>
          <cell r="H4869">
            <v>0</v>
          </cell>
        </row>
        <row r="4870">
          <cell r="D4870" t="str">
            <v>IT&amp;NS</v>
          </cell>
          <cell r="F4870">
            <v>20330.578770491804</v>
          </cell>
          <cell r="G4870">
            <v>275</v>
          </cell>
          <cell r="H4870">
            <v>17436.094523916461</v>
          </cell>
        </row>
        <row r="4871">
          <cell r="D4871" t="str">
            <v>IT&amp;NS</v>
          </cell>
          <cell r="F4871">
            <v>23354.422590163937</v>
          </cell>
          <cell r="G4871">
            <v>275</v>
          </cell>
          <cell r="H4871">
            <v>20108.203549068046</v>
          </cell>
        </row>
        <row r="4872">
          <cell r="D4872" t="str">
            <v>IT&amp;NS</v>
          </cell>
          <cell r="F4872">
            <v>0</v>
          </cell>
          <cell r="G4872">
            <v>275</v>
          </cell>
          <cell r="H4872">
            <v>0</v>
          </cell>
        </row>
        <row r="4873">
          <cell r="D4873" t="str">
            <v>IT&amp;NS</v>
          </cell>
          <cell r="F4873">
            <v>747.23500000000058</v>
          </cell>
          <cell r="G4873">
            <v>275</v>
          </cell>
          <cell r="H4873">
            <v>-4705.8756164383549</v>
          </cell>
        </row>
        <row r="4874">
          <cell r="D4874" t="str">
            <v>IT&amp;NS</v>
          </cell>
          <cell r="F4874">
            <v>21660.215778688525</v>
          </cell>
          <cell r="G4874">
            <v>275</v>
          </cell>
          <cell r="H4874">
            <v>18576.429819784415</v>
          </cell>
        </row>
        <row r="4875">
          <cell r="D4875" t="str">
            <v>IT&amp;NS</v>
          </cell>
          <cell r="F4875">
            <v>21660.224356991803</v>
          </cell>
          <cell r="G4875">
            <v>275</v>
          </cell>
          <cell r="H4875">
            <v>18576.437176786323</v>
          </cell>
        </row>
        <row r="4876">
          <cell r="D4876" t="str">
            <v>IT&amp;NS</v>
          </cell>
          <cell r="F4876">
            <v>21839.145833333332</v>
          </cell>
          <cell r="G4876">
            <v>275</v>
          </cell>
          <cell r="H4876">
            <v>18755.359874429221</v>
          </cell>
        </row>
        <row r="4877">
          <cell r="D4877" t="str">
            <v>IT&amp;NS</v>
          </cell>
          <cell r="F4877">
            <v>21264.215437158469</v>
          </cell>
          <cell r="G4877">
            <v>275</v>
          </cell>
          <cell r="H4877">
            <v>18302.559615240662</v>
          </cell>
        </row>
        <row r="4878">
          <cell r="D4878" t="str">
            <v>IT&amp;NS</v>
          </cell>
          <cell r="F4878">
            <v>996.18000000000029</v>
          </cell>
          <cell r="G4878">
            <v>275</v>
          </cell>
          <cell r="H4878">
            <v>-1959.3693150684931</v>
          </cell>
        </row>
        <row r="4879">
          <cell r="D4879" t="str">
            <v>IT&amp;NS</v>
          </cell>
          <cell r="F4879">
            <v>3025.5550000000003</v>
          </cell>
          <cell r="G4879">
            <v>275</v>
          </cell>
          <cell r="H4879">
            <v>-82.65698630136967</v>
          </cell>
        </row>
        <row r="4880">
          <cell r="D4880" t="str">
            <v>IT&amp;NS</v>
          </cell>
          <cell r="F4880">
            <v>18052.839344262295</v>
          </cell>
          <cell r="G4880">
            <v>275</v>
          </cell>
          <cell r="H4880">
            <v>15585.810577139007</v>
          </cell>
        </row>
        <row r="4881">
          <cell r="D4881" t="str">
            <v>IT&amp;NS</v>
          </cell>
          <cell r="F4881">
            <v>18133.357868852458</v>
          </cell>
          <cell r="G4881">
            <v>275</v>
          </cell>
          <cell r="H4881">
            <v>15666.32910172917</v>
          </cell>
        </row>
        <row r="4882">
          <cell r="D4882" t="str">
            <v>IT&amp;NS</v>
          </cell>
          <cell r="F4882">
            <v>20754.027909836066</v>
          </cell>
          <cell r="G4882">
            <v>275</v>
          </cell>
          <cell r="H4882">
            <v>17987.780307096342</v>
          </cell>
        </row>
        <row r="4883">
          <cell r="D4883" t="str">
            <v>IT&amp;NS</v>
          </cell>
          <cell r="F4883">
            <v>20754.027909836066</v>
          </cell>
          <cell r="G4883">
            <v>275</v>
          </cell>
          <cell r="H4883">
            <v>17987.780307096342</v>
          </cell>
        </row>
        <row r="4884">
          <cell r="D4884" t="str">
            <v>IT&amp;NS</v>
          </cell>
          <cell r="F4884">
            <v>20754.027909836066</v>
          </cell>
          <cell r="G4884">
            <v>275</v>
          </cell>
          <cell r="H4884">
            <v>17987.780307096342</v>
          </cell>
        </row>
        <row r="4885">
          <cell r="D4885" t="str">
            <v>IT&amp;NS</v>
          </cell>
          <cell r="F4885">
            <v>20754.027909836066</v>
          </cell>
          <cell r="G4885">
            <v>275</v>
          </cell>
          <cell r="H4885">
            <v>17987.780307096342</v>
          </cell>
        </row>
        <row r="4886">
          <cell r="D4886" t="str">
            <v>IT&amp;NS</v>
          </cell>
          <cell r="F4886">
            <v>20754.027909836066</v>
          </cell>
          <cell r="G4886">
            <v>275</v>
          </cell>
          <cell r="H4886">
            <v>17987.780307096342</v>
          </cell>
        </row>
        <row r="4887">
          <cell r="D4887" t="str">
            <v>IT&amp;NS</v>
          </cell>
          <cell r="F4887">
            <v>20754.027909836066</v>
          </cell>
          <cell r="G4887">
            <v>275</v>
          </cell>
          <cell r="H4887">
            <v>17987.780307096342</v>
          </cell>
        </row>
        <row r="4888">
          <cell r="D4888" t="str">
            <v>IT&amp;NS</v>
          </cell>
          <cell r="F4888">
            <v>20754.027909836066</v>
          </cell>
          <cell r="G4888">
            <v>275</v>
          </cell>
          <cell r="H4888">
            <v>17987.780307096342</v>
          </cell>
        </row>
        <row r="4889">
          <cell r="D4889" t="str">
            <v>IT&amp;NS</v>
          </cell>
          <cell r="F4889">
            <v>20754.027909836066</v>
          </cell>
          <cell r="G4889">
            <v>275</v>
          </cell>
          <cell r="H4889">
            <v>17987.780307096342</v>
          </cell>
        </row>
        <row r="4890">
          <cell r="D4890" t="str">
            <v>IT&amp;NS</v>
          </cell>
          <cell r="F4890">
            <v>20754.027909836066</v>
          </cell>
          <cell r="G4890">
            <v>275</v>
          </cell>
          <cell r="H4890">
            <v>17987.780307096342</v>
          </cell>
        </row>
        <row r="4891">
          <cell r="D4891" t="str">
            <v>IT&amp;NS</v>
          </cell>
          <cell r="F4891">
            <v>20754.027909836066</v>
          </cell>
          <cell r="G4891">
            <v>275</v>
          </cell>
          <cell r="H4891">
            <v>17987.780307096342</v>
          </cell>
        </row>
        <row r="4892">
          <cell r="D4892" t="str">
            <v>IT&amp;NS</v>
          </cell>
          <cell r="F4892">
            <v>20754.027909836066</v>
          </cell>
          <cell r="G4892">
            <v>275</v>
          </cell>
          <cell r="H4892">
            <v>17987.780307096342</v>
          </cell>
        </row>
        <row r="4893">
          <cell r="D4893" t="str">
            <v>IT&amp;NS</v>
          </cell>
          <cell r="F4893">
            <v>20754.027909836066</v>
          </cell>
          <cell r="G4893">
            <v>275</v>
          </cell>
          <cell r="H4893">
            <v>17987.780307096342</v>
          </cell>
        </row>
        <row r="4894">
          <cell r="D4894" t="str">
            <v>IT&amp;NS</v>
          </cell>
          <cell r="F4894">
            <v>20754.027909836066</v>
          </cell>
          <cell r="G4894">
            <v>275</v>
          </cell>
          <cell r="H4894">
            <v>17987.780307096342</v>
          </cell>
        </row>
        <row r="4895">
          <cell r="D4895" t="str">
            <v>IT&amp;NS</v>
          </cell>
          <cell r="F4895">
            <v>20754.027909836066</v>
          </cell>
          <cell r="G4895">
            <v>275</v>
          </cell>
          <cell r="H4895">
            <v>17987.780307096342</v>
          </cell>
        </row>
        <row r="4896">
          <cell r="D4896" t="str">
            <v>IT&amp;NS</v>
          </cell>
          <cell r="F4896">
            <v>20754.027909836066</v>
          </cell>
          <cell r="G4896">
            <v>275</v>
          </cell>
          <cell r="H4896">
            <v>17987.780307096342</v>
          </cell>
        </row>
        <row r="4897">
          <cell r="D4897" t="str">
            <v>IT&amp;NS</v>
          </cell>
          <cell r="F4897">
            <v>20754.027909836066</v>
          </cell>
          <cell r="G4897">
            <v>275</v>
          </cell>
          <cell r="H4897">
            <v>17987.780307096342</v>
          </cell>
        </row>
        <row r="4898">
          <cell r="D4898" t="str">
            <v>IT&amp;NS</v>
          </cell>
          <cell r="F4898">
            <v>20754.027909836066</v>
          </cell>
          <cell r="G4898">
            <v>275</v>
          </cell>
          <cell r="H4898">
            <v>17987.780307096342</v>
          </cell>
        </row>
        <row r="4899">
          <cell r="D4899" t="str">
            <v>IT&amp;NS</v>
          </cell>
          <cell r="F4899">
            <v>20754.027909836066</v>
          </cell>
          <cell r="G4899">
            <v>275</v>
          </cell>
          <cell r="H4899">
            <v>17987.780307096342</v>
          </cell>
        </row>
        <row r="4900">
          <cell r="D4900" t="str">
            <v>IT&amp;NS</v>
          </cell>
          <cell r="F4900">
            <v>20754.027909836066</v>
          </cell>
          <cell r="G4900">
            <v>275</v>
          </cell>
          <cell r="H4900">
            <v>17987.780307096342</v>
          </cell>
        </row>
        <row r="4901">
          <cell r="D4901" t="str">
            <v>IT&amp;NS</v>
          </cell>
          <cell r="F4901">
            <v>20754.027909836066</v>
          </cell>
          <cell r="G4901">
            <v>275</v>
          </cell>
          <cell r="H4901">
            <v>17987.780307096342</v>
          </cell>
        </row>
        <row r="4902">
          <cell r="D4902" t="str">
            <v>IT&amp;NS</v>
          </cell>
          <cell r="F4902">
            <v>20754.027909836066</v>
          </cell>
          <cell r="G4902">
            <v>275</v>
          </cell>
          <cell r="H4902">
            <v>17987.780307096342</v>
          </cell>
        </row>
        <row r="4903">
          <cell r="D4903" t="str">
            <v>IT&amp;NS</v>
          </cell>
          <cell r="F4903">
            <v>20754.027909836066</v>
          </cell>
          <cell r="G4903">
            <v>275</v>
          </cell>
          <cell r="H4903">
            <v>17987.780307096342</v>
          </cell>
        </row>
        <row r="4904">
          <cell r="D4904" t="str">
            <v>IT&amp;NS</v>
          </cell>
          <cell r="F4904">
            <v>20754.027909836066</v>
          </cell>
          <cell r="G4904">
            <v>275</v>
          </cell>
          <cell r="H4904">
            <v>17987.780307096342</v>
          </cell>
        </row>
        <row r="4905">
          <cell r="D4905" t="str">
            <v>IT&amp;NS</v>
          </cell>
          <cell r="F4905">
            <v>20754.027909836066</v>
          </cell>
          <cell r="G4905">
            <v>275</v>
          </cell>
          <cell r="H4905">
            <v>17987.780307096342</v>
          </cell>
        </row>
        <row r="4906">
          <cell r="D4906" t="str">
            <v>IT&amp;NS</v>
          </cell>
          <cell r="F4906">
            <v>20754.027909836066</v>
          </cell>
          <cell r="G4906">
            <v>275</v>
          </cell>
          <cell r="H4906">
            <v>17987.780307096342</v>
          </cell>
        </row>
        <row r="4907">
          <cell r="D4907" t="str">
            <v>IT&amp;NS</v>
          </cell>
          <cell r="F4907">
            <v>20754.027909836066</v>
          </cell>
          <cell r="G4907">
            <v>275</v>
          </cell>
          <cell r="H4907">
            <v>17987.780307096342</v>
          </cell>
        </row>
        <row r="4908">
          <cell r="D4908" t="str">
            <v>IT&amp;NS</v>
          </cell>
          <cell r="F4908">
            <v>20754.027909836066</v>
          </cell>
          <cell r="G4908">
            <v>275</v>
          </cell>
          <cell r="H4908">
            <v>17987.780307096342</v>
          </cell>
        </row>
        <row r="4909">
          <cell r="D4909" t="str">
            <v>IT&amp;NS</v>
          </cell>
          <cell r="F4909">
            <v>20754.027909836066</v>
          </cell>
          <cell r="G4909">
            <v>275</v>
          </cell>
          <cell r="H4909">
            <v>17987.780307096342</v>
          </cell>
        </row>
        <row r="4910">
          <cell r="D4910" t="str">
            <v>IT&amp;NS</v>
          </cell>
          <cell r="F4910">
            <v>20754.027909836066</v>
          </cell>
          <cell r="G4910">
            <v>275</v>
          </cell>
          <cell r="H4910">
            <v>17987.780307096342</v>
          </cell>
        </row>
        <row r="4911">
          <cell r="D4911" t="str">
            <v>IT&amp;NS</v>
          </cell>
          <cell r="F4911">
            <v>20754.027909836066</v>
          </cell>
          <cell r="G4911">
            <v>275</v>
          </cell>
          <cell r="H4911">
            <v>17987.780307096342</v>
          </cell>
        </row>
        <row r="4912">
          <cell r="D4912" t="str">
            <v>IT&amp;NS</v>
          </cell>
          <cell r="F4912">
            <v>20754.027909836066</v>
          </cell>
          <cell r="G4912">
            <v>275</v>
          </cell>
          <cell r="H4912">
            <v>17987.780307096342</v>
          </cell>
        </row>
        <row r="4913">
          <cell r="D4913" t="str">
            <v>IT&amp;NS</v>
          </cell>
          <cell r="F4913">
            <v>20754.027909836066</v>
          </cell>
          <cell r="G4913">
            <v>275</v>
          </cell>
          <cell r="H4913">
            <v>17987.780307096342</v>
          </cell>
        </row>
        <row r="4914">
          <cell r="D4914" t="str">
            <v>IT&amp;NS</v>
          </cell>
          <cell r="F4914">
            <v>20754.027909836066</v>
          </cell>
          <cell r="G4914">
            <v>275</v>
          </cell>
          <cell r="H4914">
            <v>17987.780307096342</v>
          </cell>
        </row>
        <row r="4915">
          <cell r="D4915" t="str">
            <v>IT&amp;NS</v>
          </cell>
          <cell r="F4915">
            <v>20754.027909836066</v>
          </cell>
          <cell r="G4915">
            <v>275</v>
          </cell>
          <cell r="H4915">
            <v>17987.780307096342</v>
          </cell>
        </row>
        <row r="4916">
          <cell r="D4916" t="str">
            <v>IT&amp;NS</v>
          </cell>
          <cell r="F4916">
            <v>20754.027909836066</v>
          </cell>
          <cell r="G4916">
            <v>275</v>
          </cell>
          <cell r="H4916">
            <v>17987.780307096342</v>
          </cell>
        </row>
        <row r="4917">
          <cell r="D4917" t="str">
            <v>IT&amp;NS</v>
          </cell>
          <cell r="F4917">
            <v>20754.027909836066</v>
          </cell>
          <cell r="G4917">
            <v>275</v>
          </cell>
          <cell r="H4917">
            <v>17987.780307096342</v>
          </cell>
        </row>
        <row r="4918">
          <cell r="D4918" t="str">
            <v>IT&amp;NS</v>
          </cell>
          <cell r="F4918">
            <v>20754.027909836066</v>
          </cell>
          <cell r="G4918">
            <v>275</v>
          </cell>
          <cell r="H4918">
            <v>17987.780307096342</v>
          </cell>
        </row>
        <row r="4919">
          <cell r="D4919" t="str">
            <v>IT&amp;NS</v>
          </cell>
          <cell r="F4919">
            <v>20754.027909836066</v>
          </cell>
          <cell r="G4919">
            <v>275</v>
          </cell>
          <cell r="H4919">
            <v>17987.780307096342</v>
          </cell>
        </row>
        <row r="4920">
          <cell r="D4920" t="str">
            <v>IT&amp;NS</v>
          </cell>
          <cell r="F4920">
            <v>20754.027909836066</v>
          </cell>
          <cell r="G4920">
            <v>275</v>
          </cell>
          <cell r="H4920">
            <v>17987.780307096342</v>
          </cell>
        </row>
        <row r="4921">
          <cell r="D4921" t="str">
            <v>IT&amp;NS</v>
          </cell>
          <cell r="F4921">
            <v>20754.027909836066</v>
          </cell>
          <cell r="G4921">
            <v>275</v>
          </cell>
          <cell r="H4921">
            <v>17987.780307096342</v>
          </cell>
        </row>
        <row r="4922">
          <cell r="D4922" t="str">
            <v>IT&amp;NS</v>
          </cell>
          <cell r="F4922">
            <v>20754.027909836066</v>
          </cell>
          <cell r="G4922">
            <v>275</v>
          </cell>
          <cell r="H4922">
            <v>17987.780307096342</v>
          </cell>
        </row>
        <row r="4923">
          <cell r="D4923" t="str">
            <v>IT&amp;NS</v>
          </cell>
          <cell r="F4923">
            <v>20754.027909836066</v>
          </cell>
          <cell r="G4923">
            <v>275</v>
          </cell>
          <cell r="H4923">
            <v>17987.780307096342</v>
          </cell>
        </row>
        <row r="4924">
          <cell r="D4924" t="str">
            <v>IT&amp;NS</v>
          </cell>
          <cell r="F4924">
            <v>20754.027909836066</v>
          </cell>
          <cell r="G4924">
            <v>275</v>
          </cell>
          <cell r="H4924">
            <v>17987.780307096342</v>
          </cell>
        </row>
        <row r="4925">
          <cell r="D4925" t="str">
            <v>IT&amp;NS</v>
          </cell>
          <cell r="F4925">
            <v>20754.027909836066</v>
          </cell>
          <cell r="G4925">
            <v>275</v>
          </cell>
          <cell r="H4925">
            <v>17987.780307096342</v>
          </cell>
        </row>
        <row r="4926">
          <cell r="D4926" t="str">
            <v>IT&amp;NS</v>
          </cell>
          <cell r="F4926">
            <v>20754.027909836066</v>
          </cell>
          <cell r="G4926">
            <v>275</v>
          </cell>
          <cell r="H4926">
            <v>17987.780307096342</v>
          </cell>
        </row>
        <row r="4927">
          <cell r="D4927" t="str">
            <v>IT&amp;NS</v>
          </cell>
          <cell r="F4927">
            <v>20754.027909836066</v>
          </cell>
          <cell r="G4927">
            <v>275</v>
          </cell>
          <cell r="H4927">
            <v>17987.780307096342</v>
          </cell>
        </row>
        <row r="4928">
          <cell r="D4928" t="str">
            <v>IT&amp;NS</v>
          </cell>
          <cell r="F4928">
            <v>20754.027909836066</v>
          </cell>
          <cell r="G4928">
            <v>275</v>
          </cell>
          <cell r="H4928">
            <v>17987.780307096342</v>
          </cell>
        </row>
        <row r="4929">
          <cell r="D4929" t="str">
            <v>IT&amp;NS</v>
          </cell>
          <cell r="F4929">
            <v>20754.027909836066</v>
          </cell>
          <cell r="G4929">
            <v>275</v>
          </cell>
          <cell r="H4929">
            <v>17987.780307096342</v>
          </cell>
        </row>
        <row r="4930">
          <cell r="D4930" t="str">
            <v>IT&amp;NS</v>
          </cell>
          <cell r="F4930">
            <v>20754.027909836066</v>
          </cell>
          <cell r="G4930">
            <v>275</v>
          </cell>
          <cell r="H4930">
            <v>17987.780307096342</v>
          </cell>
        </row>
        <row r="4931">
          <cell r="D4931" t="str">
            <v>IT&amp;NS</v>
          </cell>
          <cell r="F4931">
            <v>20754.027909836066</v>
          </cell>
          <cell r="G4931">
            <v>275</v>
          </cell>
          <cell r="H4931">
            <v>17987.780307096342</v>
          </cell>
        </row>
        <row r="4932">
          <cell r="D4932" t="str">
            <v>IT&amp;NS</v>
          </cell>
          <cell r="F4932">
            <v>20754.027909836066</v>
          </cell>
          <cell r="G4932">
            <v>275</v>
          </cell>
          <cell r="H4932">
            <v>17987.780307096342</v>
          </cell>
        </row>
        <row r="4933">
          <cell r="D4933" t="str">
            <v>IT&amp;NS</v>
          </cell>
          <cell r="F4933">
            <v>20754.027909836066</v>
          </cell>
          <cell r="G4933">
            <v>275</v>
          </cell>
          <cell r="H4933">
            <v>17987.780307096342</v>
          </cell>
        </row>
        <row r="4934">
          <cell r="D4934" t="str">
            <v>IT&amp;NS</v>
          </cell>
          <cell r="F4934">
            <v>28946.924999999999</v>
          </cell>
          <cell r="G4934">
            <v>275</v>
          </cell>
          <cell r="H4934">
            <v>25099.825684931508</v>
          </cell>
        </row>
        <row r="4935">
          <cell r="D4935" t="str">
            <v>IT&amp;NS</v>
          </cell>
          <cell r="F4935">
            <v>28946.924999999999</v>
          </cell>
          <cell r="G4935">
            <v>275</v>
          </cell>
          <cell r="H4935">
            <v>25099.825684931508</v>
          </cell>
        </row>
        <row r="4936">
          <cell r="D4936" t="str">
            <v>IT&amp;NS</v>
          </cell>
          <cell r="F4936">
            <v>28667.900409836067</v>
          </cell>
          <cell r="G4936">
            <v>275</v>
          </cell>
          <cell r="H4936">
            <v>24820.801094767576</v>
          </cell>
        </row>
        <row r="4937">
          <cell r="D4937" t="str">
            <v>IT&amp;NS</v>
          </cell>
          <cell r="F4937">
            <v>28667.900409836067</v>
          </cell>
          <cell r="G4937">
            <v>275</v>
          </cell>
          <cell r="H4937">
            <v>24820.801094767576</v>
          </cell>
        </row>
        <row r="4938">
          <cell r="D4938" t="str">
            <v>IT&amp;NS</v>
          </cell>
          <cell r="F4938">
            <v>28667.900409836067</v>
          </cell>
          <cell r="G4938">
            <v>275</v>
          </cell>
          <cell r="H4938">
            <v>24820.801094767576</v>
          </cell>
        </row>
        <row r="4939">
          <cell r="D4939" t="str">
            <v>IT&amp;NS</v>
          </cell>
          <cell r="F4939">
            <v>28667.900409836067</v>
          </cell>
          <cell r="G4939">
            <v>275</v>
          </cell>
          <cell r="H4939">
            <v>24820.801094767576</v>
          </cell>
        </row>
        <row r="4940">
          <cell r="D4940" t="str">
            <v>IT&amp;NS</v>
          </cell>
          <cell r="F4940">
            <v>63454.850000000006</v>
          </cell>
          <cell r="G4940">
            <v>275</v>
          </cell>
          <cell r="H4940">
            <v>51058.641095890416</v>
          </cell>
        </row>
        <row r="4941">
          <cell r="D4941" t="str">
            <v>IT&amp;NS</v>
          </cell>
          <cell r="F4941">
            <v>40832.76</v>
          </cell>
          <cell r="G4941">
            <v>275</v>
          </cell>
          <cell r="H4941">
            <v>32967.579178082196</v>
          </cell>
        </row>
        <row r="4942">
          <cell r="D4942" t="str">
            <v>IT&amp;NS</v>
          </cell>
          <cell r="F4942">
            <v>23145.163</v>
          </cell>
          <cell r="G4942">
            <v>275</v>
          </cell>
          <cell r="H4942">
            <v>18630.011835616438</v>
          </cell>
        </row>
        <row r="4943">
          <cell r="D4943" t="str">
            <v>IT&amp;NS</v>
          </cell>
          <cell r="F4943">
            <v>18802.75</v>
          </cell>
          <cell r="G4943">
            <v>275</v>
          </cell>
          <cell r="H4943">
            <v>14833.520547945205</v>
          </cell>
        </row>
        <row r="4944">
          <cell r="D4944" t="str">
            <v>IT&amp;NS</v>
          </cell>
          <cell r="F4944">
            <v>17664.849999999999</v>
          </cell>
          <cell r="G4944">
            <v>275</v>
          </cell>
          <cell r="H4944">
            <v>13817.750684931505</v>
          </cell>
        </row>
        <row r="4945">
          <cell r="D4945" t="str">
            <v>IT&amp;NS</v>
          </cell>
          <cell r="F4945">
            <v>16734.45</v>
          </cell>
          <cell r="G4945">
            <v>275</v>
          </cell>
          <cell r="H4945">
            <v>13620.131506849317</v>
          </cell>
        </row>
        <row r="4946">
          <cell r="D4946" t="str">
            <v>IT&amp;NS</v>
          </cell>
          <cell r="F4946">
            <v>18235.277999999998</v>
          </cell>
          <cell r="G4946">
            <v>275</v>
          </cell>
          <cell r="H4946">
            <v>14715.487452054793</v>
          </cell>
        </row>
        <row r="4947">
          <cell r="D4947" t="str">
            <v>IT&amp;NS</v>
          </cell>
          <cell r="F4947">
            <v>16834.317999999999</v>
          </cell>
          <cell r="G4947">
            <v>275</v>
          </cell>
          <cell r="H4947">
            <v>13607.639780821917</v>
          </cell>
        </row>
        <row r="4948">
          <cell r="D4948" t="str">
            <v>IT&amp;NS</v>
          </cell>
          <cell r="F4948">
            <v>18641.063999999998</v>
          </cell>
          <cell r="G4948">
            <v>275</v>
          </cell>
          <cell r="H4948">
            <v>14957.61906849315</v>
          </cell>
        </row>
        <row r="4949">
          <cell r="D4949" t="str">
            <v>IT&amp;NS</v>
          </cell>
          <cell r="F4949">
            <v>10967.612000000001</v>
          </cell>
          <cell r="G4949">
            <v>275</v>
          </cell>
          <cell r="H4949">
            <v>8490.8128219178088</v>
          </cell>
        </row>
        <row r="4950">
          <cell r="D4950" t="str">
            <v>IT&amp;NS</v>
          </cell>
          <cell r="F4950">
            <v>16591.772000000001</v>
          </cell>
          <cell r="G4950">
            <v>275</v>
          </cell>
          <cell r="H4950">
            <v>12844.819397260275</v>
          </cell>
        </row>
        <row r="4951">
          <cell r="D4951" t="str">
            <v>IT&amp;NS</v>
          </cell>
          <cell r="F4951">
            <v>29034.304</v>
          </cell>
          <cell r="G4951">
            <v>275</v>
          </cell>
          <cell r="H4951">
            <v>23445.62893150685</v>
          </cell>
        </row>
        <row r="4952">
          <cell r="D4952" t="str">
            <v>IT&amp;NS</v>
          </cell>
          <cell r="F4952">
            <v>13534.272000000001</v>
          </cell>
          <cell r="G4952">
            <v>275</v>
          </cell>
          <cell r="H4952">
            <v>10397.970082191781</v>
          </cell>
        </row>
        <row r="4953">
          <cell r="D4953" t="str">
            <v>IT&amp;NS</v>
          </cell>
          <cell r="F4953">
            <v>44949.14</v>
          </cell>
          <cell r="G4953">
            <v>275</v>
          </cell>
          <cell r="H4953">
            <v>36815.272876712334</v>
          </cell>
        </row>
        <row r="4954">
          <cell r="D4954" t="str">
            <v>IT&amp;NS</v>
          </cell>
          <cell r="F4954">
            <v>44683.14</v>
          </cell>
          <cell r="G4954">
            <v>275</v>
          </cell>
          <cell r="H4954">
            <v>36549.272876712334</v>
          </cell>
        </row>
        <row r="4955">
          <cell r="D4955" t="str">
            <v>IT&amp;NS</v>
          </cell>
          <cell r="F4955">
            <v>88419.28</v>
          </cell>
          <cell r="G4955">
            <v>275</v>
          </cell>
          <cell r="H4955">
            <v>72151.545753424667</v>
          </cell>
        </row>
        <row r="4956">
          <cell r="D4956" t="str">
            <v>IT&amp;NS</v>
          </cell>
          <cell r="F4956">
            <v>30188.400000000001</v>
          </cell>
          <cell r="G4956">
            <v>275</v>
          </cell>
          <cell r="H4956">
            <v>24570.413698630138</v>
          </cell>
        </row>
        <row r="4957">
          <cell r="D4957" t="str">
            <v>IT&amp;NS</v>
          </cell>
          <cell r="F4957">
            <v>30290.400000000001</v>
          </cell>
          <cell r="G4957">
            <v>275</v>
          </cell>
          <cell r="H4957">
            <v>24672.413698630138</v>
          </cell>
        </row>
        <row r="4958">
          <cell r="D4958" t="str">
            <v>IT&amp;NS</v>
          </cell>
          <cell r="F4958">
            <v>26286.400000000001</v>
          </cell>
          <cell r="G4958">
            <v>275</v>
          </cell>
          <cell r="H4958">
            <v>20668.413698630138</v>
          </cell>
        </row>
        <row r="4959">
          <cell r="D4959" t="str">
            <v>IT&amp;NS</v>
          </cell>
          <cell r="F4959">
            <v>25877.4</v>
          </cell>
          <cell r="G4959">
            <v>275</v>
          </cell>
          <cell r="H4959">
            <v>20259.413698630138</v>
          </cell>
        </row>
        <row r="4960">
          <cell r="D4960" t="str">
            <v>IT&amp;NS</v>
          </cell>
          <cell r="F4960">
            <v>38975</v>
          </cell>
          <cell r="G4960">
            <v>275</v>
          </cell>
          <cell r="H4960">
            <v>30425.890410958906</v>
          </cell>
        </row>
        <row r="4961">
          <cell r="D4961" t="str">
            <v>IT&amp;NS</v>
          </cell>
          <cell r="F4961">
            <v>24774.400000000001</v>
          </cell>
          <cell r="G4961">
            <v>275</v>
          </cell>
          <cell r="H4961">
            <v>19156.413698630138</v>
          </cell>
        </row>
        <row r="4962">
          <cell r="D4962" t="str">
            <v>IT&amp;NS</v>
          </cell>
          <cell r="F4962">
            <v>18063.166000000001</v>
          </cell>
          <cell r="G4962">
            <v>275</v>
          </cell>
          <cell r="H4962">
            <v>13966.921205479453</v>
          </cell>
        </row>
        <row r="4963">
          <cell r="D4963" t="str">
            <v>IT&amp;NS</v>
          </cell>
          <cell r="F4963">
            <v>24774.400000000001</v>
          </cell>
          <cell r="G4963">
            <v>275</v>
          </cell>
          <cell r="H4963">
            <v>19156.413698630138</v>
          </cell>
        </row>
        <row r="4964">
          <cell r="D4964" t="str">
            <v>IT&amp;NS</v>
          </cell>
          <cell r="F4964">
            <v>49221.8</v>
          </cell>
          <cell r="G4964">
            <v>275</v>
          </cell>
          <cell r="H4964">
            <v>37985.827397260276</v>
          </cell>
        </row>
        <row r="4965">
          <cell r="D4965" t="str">
            <v>IT&amp;NS</v>
          </cell>
          <cell r="F4965">
            <v>36518.1</v>
          </cell>
          <cell r="G4965">
            <v>275</v>
          </cell>
          <cell r="H4965">
            <v>28091.120547945204</v>
          </cell>
        </row>
        <row r="4966">
          <cell r="D4966" t="str">
            <v>IT&amp;NS</v>
          </cell>
          <cell r="F4966">
            <v>35629.1</v>
          </cell>
          <cell r="G4966">
            <v>275</v>
          </cell>
          <cell r="H4966">
            <v>27202.120547945204</v>
          </cell>
        </row>
        <row r="4967">
          <cell r="D4967" t="str">
            <v>IT&amp;NS</v>
          </cell>
          <cell r="F4967">
            <v>26379.2284</v>
          </cell>
          <cell r="G4967">
            <v>275</v>
          </cell>
          <cell r="H4967">
            <v>21470.085413698631</v>
          </cell>
        </row>
        <row r="4968">
          <cell r="D4968" t="str">
            <v>IT&amp;NS</v>
          </cell>
          <cell r="F4968">
            <v>16468.112399999998</v>
          </cell>
          <cell r="G4968">
            <v>275</v>
          </cell>
          <cell r="H4968">
            <v>13273.676536986299</v>
          </cell>
        </row>
        <row r="4969">
          <cell r="D4969" t="str">
            <v>IT&amp;NS</v>
          </cell>
          <cell r="F4969">
            <v>53271.810000000005</v>
          </cell>
          <cell r="G4969">
            <v>275</v>
          </cell>
          <cell r="H4969">
            <v>43025.09150684932</v>
          </cell>
        </row>
        <row r="4970">
          <cell r="D4970" t="str">
            <v>IT&amp;NS</v>
          </cell>
          <cell r="F4970">
            <v>21281.188000000002</v>
          </cell>
          <cell r="G4970">
            <v>275</v>
          </cell>
          <cell r="H4970">
            <v>17407.220054794521</v>
          </cell>
        </row>
        <row r="4971">
          <cell r="D4971" t="str">
            <v>IT&amp;NS</v>
          </cell>
          <cell r="F4971">
            <v>17790.25</v>
          </cell>
          <cell r="G4971">
            <v>275</v>
          </cell>
          <cell r="H4971">
            <v>14431.671232876712</v>
          </cell>
        </row>
        <row r="4972">
          <cell r="D4972" t="str">
            <v>IT&amp;NS</v>
          </cell>
          <cell r="F4972">
            <v>42956.198400000001</v>
          </cell>
          <cell r="G4972">
            <v>275</v>
          </cell>
          <cell r="H4972">
            <v>35079.293084931509</v>
          </cell>
        </row>
        <row r="4973">
          <cell r="D4973" t="str">
            <v>IT&amp;NS</v>
          </cell>
          <cell r="F4973">
            <v>73682.899999999994</v>
          </cell>
          <cell r="G4973">
            <v>275</v>
          </cell>
          <cell r="H4973">
            <v>60126.454794520541</v>
          </cell>
        </row>
        <row r="4974">
          <cell r="D4974" t="str">
            <v>IT&amp;NS</v>
          </cell>
          <cell r="F4974">
            <v>187059.09999999998</v>
          </cell>
          <cell r="G4974">
            <v>275</v>
          </cell>
          <cell r="H4974">
            <v>150542.18904109587</v>
          </cell>
        </row>
        <row r="4975">
          <cell r="D4975" t="str">
            <v>IT&amp;NS</v>
          </cell>
          <cell r="F4975">
            <v>9299.32</v>
          </cell>
          <cell r="G4975">
            <v>275</v>
          </cell>
          <cell r="H4975">
            <v>6759.0131506849311</v>
          </cell>
        </row>
        <row r="4976">
          <cell r="D4976" t="str">
            <v>IT&amp;NS</v>
          </cell>
          <cell r="F4976">
            <v>25168.452546448087</v>
          </cell>
          <cell r="G4976">
            <v>275</v>
          </cell>
          <cell r="H4976">
            <v>21860.191395763155</v>
          </cell>
        </row>
        <row r="4977">
          <cell r="D4977" t="str">
            <v>IT&amp;NS</v>
          </cell>
          <cell r="F4977">
            <v>17399.744644808743</v>
          </cell>
          <cell r="G4977">
            <v>275</v>
          </cell>
          <cell r="H4977">
            <v>14932.715877685456</v>
          </cell>
        </row>
        <row r="4978">
          <cell r="D4978" t="str">
            <v>IT&amp;NS</v>
          </cell>
          <cell r="F4978">
            <v>17399.744644808743</v>
          </cell>
          <cell r="G4978">
            <v>275</v>
          </cell>
          <cell r="H4978">
            <v>14932.715877685456</v>
          </cell>
        </row>
        <row r="4979">
          <cell r="D4979" t="str">
            <v>IT&amp;NS</v>
          </cell>
          <cell r="F4979">
            <v>17444.477158469945</v>
          </cell>
          <cell r="G4979">
            <v>275</v>
          </cell>
          <cell r="H4979">
            <v>14977.448391346657</v>
          </cell>
        </row>
        <row r="4980">
          <cell r="D4980" t="str">
            <v>IT&amp;NS</v>
          </cell>
          <cell r="F4980">
            <v>25230.62306010929</v>
          </cell>
          <cell r="G4980">
            <v>275</v>
          </cell>
          <cell r="H4980">
            <v>21737.70114230107</v>
          </cell>
        </row>
        <row r="4981">
          <cell r="D4981" t="str">
            <v>IT&amp;NS</v>
          </cell>
          <cell r="F4981">
            <v>25230.62306010929</v>
          </cell>
          <cell r="G4981">
            <v>275</v>
          </cell>
          <cell r="H4981">
            <v>21737.70114230107</v>
          </cell>
        </row>
        <row r="4982">
          <cell r="D4982" t="str">
            <v>IT&amp;NS</v>
          </cell>
          <cell r="F4982">
            <v>17748.65825136612</v>
          </cell>
          <cell r="G4982">
            <v>275</v>
          </cell>
          <cell r="H4982">
            <v>15281.629484242832</v>
          </cell>
        </row>
        <row r="4983">
          <cell r="D4983" t="str">
            <v>IT&amp;NS</v>
          </cell>
          <cell r="F4983">
            <v>17605.514207650274</v>
          </cell>
          <cell r="G4983">
            <v>275</v>
          </cell>
          <cell r="H4983">
            <v>15138.485440526987</v>
          </cell>
        </row>
        <row r="4984">
          <cell r="D4984" t="str">
            <v>IT&amp;NS</v>
          </cell>
          <cell r="F4984">
            <v>17605.514207650274</v>
          </cell>
          <cell r="G4984">
            <v>275</v>
          </cell>
          <cell r="H4984">
            <v>15138.485440526987</v>
          </cell>
        </row>
        <row r="4985">
          <cell r="D4985" t="str">
            <v>IT&amp;NS</v>
          </cell>
          <cell r="F4985">
            <v>17963.374316939891</v>
          </cell>
          <cell r="G4985">
            <v>275</v>
          </cell>
          <cell r="H4985">
            <v>15496.345549816604</v>
          </cell>
        </row>
        <row r="4986">
          <cell r="D4986" t="str">
            <v>IT&amp;NS</v>
          </cell>
          <cell r="F4986">
            <v>20061.000546448089</v>
          </cell>
          <cell r="G4986">
            <v>275</v>
          </cell>
          <cell r="H4986">
            <v>17374.137532749461</v>
          </cell>
        </row>
        <row r="4987">
          <cell r="D4987" t="str">
            <v>IT&amp;NS</v>
          </cell>
          <cell r="F4987">
            <v>20061.000546448089</v>
          </cell>
          <cell r="G4987">
            <v>275</v>
          </cell>
          <cell r="H4987">
            <v>17374.137532749461</v>
          </cell>
        </row>
        <row r="4988">
          <cell r="D4988" t="str">
            <v>IT&amp;NS</v>
          </cell>
          <cell r="F4988">
            <v>20061.000546448089</v>
          </cell>
          <cell r="G4988">
            <v>275</v>
          </cell>
          <cell r="H4988">
            <v>17374.137532749461</v>
          </cell>
        </row>
        <row r="4989">
          <cell r="D4989" t="str">
            <v>IT&amp;NS</v>
          </cell>
          <cell r="F4989">
            <v>20061.000546448089</v>
          </cell>
          <cell r="G4989">
            <v>275</v>
          </cell>
          <cell r="H4989">
            <v>17374.137532749461</v>
          </cell>
        </row>
        <row r="4990">
          <cell r="D4990" t="str">
            <v>IT&amp;NS</v>
          </cell>
          <cell r="F4990">
            <v>20061.000546448089</v>
          </cell>
          <cell r="G4990">
            <v>275</v>
          </cell>
          <cell r="H4990">
            <v>17374.137532749461</v>
          </cell>
        </row>
        <row r="4991">
          <cell r="D4991" t="str">
            <v>IT&amp;NS</v>
          </cell>
          <cell r="F4991">
            <v>20109.719125683059</v>
          </cell>
          <cell r="G4991">
            <v>275</v>
          </cell>
          <cell r="H4991">
            <v>17422.856111984431</v>
          </cell>
        </row>
        <row r="4992">
          <cell r="D4992" t="str">
            <v>IT&amp;NS</v>
          </cell>
          <cell r="F4992">
            <v>20109.719125683059</v>
          </cell>
          <cell r="G4992">
            <v>275</v>
          </cell>
          <cell r="H4992">
            <v>17422.856111984431</v>
          </cell>
        </row>
        <row r="4993">
          <cell r="D4993" t="str">
            <v>IT&amp;NS</v>
          </cell>
          <cell r="F4993">
            <v>20109.719125683059</v>
          </cell>
          <cell r="G4993">
            <v>275</v>
          </cell>
          <cell r="H4993">
            <v>17422.856111984431</v>
          </cell>
        </row>
        <row r="4994">
          <cell r="D4994" t="str">
            <v>IT&amp;NS</v>
          </cell>
          <cell r="F4994">
            <v>20109.719125683059</v>
          </cell>
          <cell r="G4994">
            <v>275</v>
          </cell>
          <cell r="H4994">
            <v>17422.856111984431</v>
          </cell>
        </row>
        <row r="4995">
          <cell r="D4995" t="str">
            <v>IT&amp;NS</v>
          </cell>
          <cell r="F4995">
            <v>20109.719125683059</v>
          </cell>
          <cell r="G4995">
            <v>275</v>
          </cell>
          <cell r="H4995">
            <v>17422.856111984431</v>
          </cell>
        </row>
        <row r="4996">
          <cell r="D4996" t="str">
            <v>IT&amp;NS</v>
          </cell>
          <cell r="F4996">
            <v>25660.206700000002</v>
          </cell>
          <cell r="G4996">
            <v>275</v>
          </cell>
          <cell r="H4996">
            <v>21059.19804931507</v>
          </cell>
        </row>
        <row r="4997">
          <cell r="D4997" t="str">
            <v>IT&amp;NS</v>
          </cell>
          <cell r="F4997">
            <v>28072.521803278687</v>
          </cell>
          <cell r="G4997">
            <v>275</v>
          </cell>
          <cell r="H4997">
            <v>24420.830707388275</v>
          </cell>
        </row>
        <row r="4998">
          <cell r="D4998" t="str">
            <v>IT&amp;NS</v>
          </cell>
          <cell r="F4998">
            <v>17189.615000000002</v>
          </cell>
          <cell r="G4998">
            <v>275</v>
          </cell>
          <cell r="H4998">
            <v>14954.633493150686</v>
          </cell>
        </row>
        <row r="4999">
          <cell r="D4999" t="str">
            <v>IT&amp;NS</v>
          </cell>
          <cell r="F4999">
            <v>24181.108032786884</v>
          </cell>
          <cell r="G4999">
            <v>275</v>
          </cell>
          <cell r="H4999">
            <v>20993.51145744442</v>
          </cell>
        </row>
        <row r="5000">
          <cell r="D5000" t="str">
            <v>IT&amp;NS</v>
          </cell>
          <cell r="F5000">
            <v>24181.108032786884</v>
          </cell>
          <cell r="G5000">
            <v>275</v>
          </cell>
          <cell r="H5000">
            <v>20993.51145744442</v>
          </cell>
        </row>
        <row r="5001">
          <cell r="D5001" t="str">
            <v>IT&amp;NS</v>
          </cell>
          <cell r="F5001">
            <v>24181.108032786884</v>
          </cell>
          <cell r="G5001">
            <v>275</v>
          </cell>
          <cell r="H5001">
            <v>20993.51145744442</v>
          </cell>
        </row>
        <row r="5002">
          <cell r="D5002" t="str">
            <v>IT&amp;NS</v>
          </cell>
          <cell r="F5002">
            <v>24181.108032786884</v>
          </cell>
          <cell r="G5002">
            <v>275</v>
          </cell>
          <cell r="H5002">
            <v>20993.51145744442</v>
          </cell>
        </row>
        <row r="5003">
          <cell r="D5003" t="str">
            <v>IT&amp;NS</v>
          </cell>
          <cell r="F5003">
            <v>26034.066502732239</v>
          </cell>
          <cell r="G5003">
            <v>275</v>
          </cell>
          <cell r="H5003">
            <v>22602.209653417172</v>
          </cell>
        </row>
        <row r="5004">
          <cell r="D5004" t="str">
            <v>IT&amp;NS</v>
          </cell>
          <cell r="F5004">
            <v>23428.862666666668</v>
          </cell>
          <cell r="G5004">
            <v>275</v>
          </cell>
          <cell r="H5004">
            <v>20120.601515981736</v>
          </cell>
        </row>
        <row r="5005">
          <cell r="D5005" t="str">
            <v>IT&amp;NS</v>
          </cell>
          <cell r="F5005">
            <v>25723.53</v>
          </cell>
          <cell r="G5005">
            <v>275</v>
          </cell>
          <cell r="H5005">
            <v>21974.134794520545</v>
          </cell>
        </row>
        <row r="5006">
          <cell r="D5006" t="str">
            <v>IT&amp;NS</v>
          </cell>
          <cell r="F5006">
            <v>25723.53</v>
          </cell>
          <cell r="G5006">
            <v>275</v>
          </cell>
          <cell r="H5006">
            <v>21974.134794520545</v>
          </cell>
        </row>
        <row r="5007">
          <cell r="D5007" t="str">
            <v>IT&amp;NS</v>
          </cell>
          <cell r="F5007">
            <v>25723.53</v>
          </cell>
          <cell r="G5007">
            <v>275</v>
          </cell>
          <cell r="H5007">
            <v>21974.134794520545</v>
          </cell>
        </row>
        <row r="5008">
          <cell r="D5008" t="str">
            <v>IT&amp;NS</v>
          </cell>
          <cell r="F5008">
            <v>25723.53</v>
          </cell>
          <cell r="G5008">
            <v>275</v>
          </cell>
          <cell r="H5008">
            <v>21974.134794520545</v>
          </cell>
        </row>
        <row r="5009">
          <cell r="D5009" t="str">
            <v>IT&amp;NS</v>
          </cell>
          <cell r="F5009">
            <v>25723.53</v>
          </cell>
          <cell r="G5009">
            <v>275</v>
          </cell>
          <cell r="H5009">
            <v>21974.134794520545</v>
          </cell>
        </row>
        <row r="5010">
          <cell r="D5010" t="str">
            <v>IT&amp;NS</v>
          </cell>
          <cell r="F5010">
            <v>25723.53</v>
          </cell>
          <cell r="G5010">
            <v>275</v>
          </cell>
          <cell r="H5010">
            <v>21974.134794520545</v>
          </cell>
        </row>
        <row r="5011">
          <cell r="D5011" t="str">
            <v>IT&amp;NS</v>
          </cell>
          <cell r="F5011">
            <v>25737.126912568307</v>
          </cell>
          <cell r="G5011">
            <v>275</v>
          </cell>
          <cell r="H5011">
            <v>21987.731707088853</v>
          </cell>
        </row>
        <row r="5012">
          <cell r="D5012" t="str">
            <v>IT&amp;NS</v>
          </cell>
          <cell r="F5012">
            <v>23428.862666666668</v>
          </cell>
          <cell r="G5012">
            <v>275</v>
          </cell>
          <cell r="H5012">
            <v>20120.601515981736</v>
          </cell>
        </row>
        <row r="5013">
          <cell r="D5013" t="str">
            <v>IT&amp;NS</v>
          </cell>
          <cell r="F5013">
            <v>18884.864098360656</v>
          </cell>
          <cell r="G5013">
            <v>275</v>
          </cell>
          <cell r="H5013">
            <v>16417.835331237369</v>
          </cell>
        </row>
        <row r="5014">
          <cell r="D5014" t="str">
            <v>IT&amp;NS</v>
          </cell>
          <cell r="F5014">
            <v>110900.24799999999</v>
          </cell>
          <cell r="G5014">
            <v>275</v>
          </cell>
          <cell r="H5014">
            <v>94642.284164383556</v>
          </cell>
        </row>
        <row r="5015">
          <cell r="D5015" t="str">
            <v>IT&amp;NS</v>
          </cell>
          <cell r="F5015">
            <v>90737.972000000009</v>
          </cell>
          <cell r="G5015">
            <v>275</v>
          </cell>
          <cell r="H5015">
            <v>77464.868712328782</v>
          </cell>
        </row>
        <row r="5016">
          <cell r="D5016" t="str">
            <v>IT&amp;NS</v>
          </cell>
          <cell r="F5016">
            <v>95450.707999999999</v>
          </cell>
          <cell r="G5016">
            <v>275</v>
          </cell>
          <cell r="H5016">
            <v>79510.282520547946</v>
          </cell>
        </row>
        <row r="5017">
          <cell r="D5017" t="str">
            <v>IT&amp;NS</v>
          </cell>
          <cell r="F5017">
            <v>17492.567999999999</v>
          </cell>
          <cell r="G5017">
            <v>275</v>
          </cell>
          <cell r="H5017">
            <v>14571.215123287671</v>
          </cell>
        </row>
        <row r="5018">
          <cell r="D5018" t="str">
            <v>IT&amp;NS</v>
          </cell>
          <cell r="F5018">
            <v>1219693</v>
          </cell>
          <cell r="G5018">
            <v>275</v>
          </cell>
          <cell r="H5018">
            <v>969326.21917808219</v>
          </cell>
        </row>
        <row r="5019">
          <cell r="D5019" t="str">
            <v>IT&amp;NS</v>
          </cell>
          <cell r="F5019">
            <v>98543.249289617481</v>
          </cell>
          <cell r="G5019">
            <v>275</v>
          </cell>
          <cell r="H5019">
            <v>85143.130659480492</v>
          </cell>
        </row>
        <row r="5020">
          <cell r="D5020" t="str">
            <v>IT&amp;NS</v>
          </cell>
          <cell r="F5020">
            <v>0</v>
          </cell>
          <cell r="G5020">
            <v>275</v>
          </cell>
          <cell r="H5020">
            <v>0</v>
          </cell>
        </row>
        <row r="5021">
          <cell r="D5021" t="str">
            <v>IT&amp;NS</v>
          </cell>
          <cell r="F5021">
            <v>191892.27540983606</v>
          </cell>
          <cell r="G5021">
            <v>275</v>
          </cell>
          <cell r="H5021">
            <v>165512.16582079497</v>
          </cell>
        </row>
        <row r="5022">
          <cell r="D5022" t="str">
            <v>IT&amp;NS</v>
          </cell>
          <cell r="F5022">
            <v>34371.53</v>
          </cell>
          <cell r="G5022">
            <v>275</v>
          </cell>
          <cell r="H5022">
            <v>25736.92931506849</v>
          </cell>
        </row>
        <row r="5023">
          <cell r="D5023" t="str">
            <v>IT&amp;NS</v>
          </cell>
          <cell r="F5023">
            <v>0</v>
          </cell>
          <cell r="G5023">
            <v>275</v>
          </cell>
          <cell r="H5023">
            <v>0</v>
          </cell>
        </row>
        <row r="5024">
          <cell r="D5024" t="str">
            <v>IT&amp;NS</v>
          </cell>
          <cell r="F5024">
            <v>0</v>
          </cell>
          <cell r="G5024">
            <v>275</v>
          </cell>
          <cell r="H5024">
            <v>0</v>
          </cell>
        </row>
        <row r="5025">
          <cell r="D5025" t="str">
            <v>IT&amp;NS</v>
          </cell>
          <cell r="F5025">
            <v>0</v>
          </cell>
          <cell r="G5025">
            <v>275</v>
          </cell>
          <cell r="H5025">
            <v>0</v>
          </cell>
        </row>
        <row r="5026">
          <cell r="D5026" t="str">
            <v>IT&amp;NS</v>
          </cell>
          <cell r="F5026">
            <v>4492.0874999999996</v>
          </cell>
          <cell r="G5026">
            <v>275</v>
          </cell>
          <cell r="H5026">
            <v>3682.9753424657529</v>
          </cell>
        </row>
        <row r="5027">
          <cell r="D5027" t="str">
            <v>IT&amp;NS</v>
          </cell>
          <cell r="F5027">
            <v>0</v>
          </cell>
          <cell r="G5027">
            <v>275</v>
          </cell>
          <cell r="H5027">
            <v>0</v>
          </cell>
        </row>
        <row r="5028">
          <cell r="D5028" t="str">
            <v>IT&amp;NS</v>
          </cell>
          <cell r="F5028">
            <v>0</v>
          </cell>
          <cell r="G5028">
            <v>275</v>
          </cell>
          <cell r="H5028">
            <v>0</v>
          </cell>
        </row>
        <row r="5029">
          <cell r="D5029" t="str">
            <v>IT&amp;NS</v>
          </cell>
          <cell r="F5029">
            <v>0</v>
          </cell>
          <cell r="G5029">
            <v>275</v>
          </cell>
          <cell r="H5029">
            <v>0</v>
          </cell>
        </row>
        <row r="5030">
          <cell r="D5030" t="str">
            <v>IT&amp;NS</v>
          </cell>
          <cell r="F5030">
            <v>0</v>
          </cell>
          <cell r="G5030">
            <v>275</v>
          </cell>
          <cell r="H5030">
            <v>0</v>
          </cell>
        </row>
        <row r="5031">
          <cell r="D5031" t="str">
            <v>IT&amp;NS</v>
          </cell>
          <cell r="F5031">
            <v>0</v>
          </cell>
          <cell r="G5031">
            <v>275</v>
          </cell>
          <cell r="H5031">
            <v>0</v>
          </cell>
        </row>
        <row r="5032">
          <cell r="D5032" t="str">
            <v>IT&amp;NS</v>
          </cell>
          <cell r="F5032">
            <v>0</v>
          </cell>
          <cell r="G5032">
            <v>275</v>
          </cell>
          <cell r="H5032">
            <v>0</v>
          </cell>
        </row>
        <row r="5033">
          <cell r="D5033" t="str">
            <v>IT&amp;NS</v>
          </cell>
          <cell r="F5033">
            <v>38441.005464480877</v>
          </cell>
          <cell r="G5033">
            <v>275</v>
          </cell>
          <cell r="H5033">
            <v>33555.799985028825</v>
          </cell>
        </row>
        <row r="5034">
          <cell r="D5034" t="str">
            <v>IT&amp;NS</v>
          </cell>
          <cell r="F5034">
            <v>0</v>
          </cell>
          <cell r="G5034">
            <v>275</v>
          </cell>
          <cell r="H5034">
            <v>0</v>
          </cell>
        </row>
        <row r="5035">
          <cell r="D5035" t="str">
            <v>IT&amp;NS</v>
          </cell>
          <cell r="F5035">
            <v>0</v>
          </cell>
          <cell r="G5035">
            <v>275</v>
          </cell>
          <cell r="H5035">
            <v>0</v>
          </cell>
        </row>
        <row r="5036">
          <cell r="D5036" t="str">
            <v>IT&amp;NS</v>
          </cell>
          <cell r="F5036">
            <v>0</v>
          </cell>
          <cell r="G5036">
            <v>275</v>
          </cell>
          <cell r="H5036">
            <v>0</v>
          </cell>
        </row>
        <row r="5037">
          <cell r="D5037" t="str">
            <v>IT&amp;NS</v>
          </cell>
          <cell r="F5037">
            <v>40364.443989071042</v>
          </cell>
          <cell r="G5037">
            <v>275</v>
          </cell>
          <cell r="H5037">
            <v>35357.108372632683</v>
          </cell>
        </row>
        <row r="5038">
          <cell r="D5038" t="str">
            <v>IT&amp;NS</v>
          </cell>
          <cell r="F5038">
            <v>8667.4352185792341</v>
          </cell>
          <cell r="G5038">
            <v>275</v>
          </cell>
          <cell r="H5038">
            <v>7580.4769994011522</v>
          </cell>
        </row>
        <row r="5039">
          <cell r="D5039" t="str">
            <v>IT&amp;NS</v>
          </cell>
          <cell r="F5039">
            <v>0</v>
          </cell>
          <cell r="G5039">
            <v>275</v>
          </cell>
          <cell r="H5039">
            <v>0</v>
          </cell>
        </row>
        <row r="5040">
          <cell r="D5040" t="str">
            <v>IT&amp;NS</v>
          </cell>
          <cell r="F5040">
            <v>0</v>
          </cell>
          <cell r="G5040">
            <v>275</v>
          </cell>
          <cell r="H5040">
            <v>0</v>
          </cell>
        </row>
        <row r="5041">
          <cell r="D5041" t="str">
            <v>IT&amp;NS</v>
          </cell>
          <cell r="F5041">
            <v>0</v>
          </cell>
          <cell r="G5041">
            <v>275</v>
          </cell>
          <cell r="H5041">
            <v>0</v>
          </cell>
        </row>
        <row r="5042">
          <cell r="D5042" t="str">
            <v>IT&amp;NS</v>
          </cell>
          <cell r="F5042">
            <v>0</v>
          </cell>
          <cell r="G5042">
            <v>275</v>
          </cell>
          <cell r="H5042">
            <v>0</v>
          </cell>
        </row>
        <row r="5043">
          <cell r="D5043" t="str">
            <v>IT&amp;NS</v>
          </cell>
          <cell r="F5043">
            <v>0</v>
          </cell>
          <cell r="G5043">
            <v>275</v>
          </cell>
          <cell r="H5043">
            <v>0</v>
          </cell>
        </row>
        <row r="5044">
          <cell r="D5044" t="str">
            <v>IT&amp;NS</v>
          </cell>
          <cell r="F5044">
            <v>0</v>
          </cell>
          <cell r="G5044">
            <v>275</v>
          </cell>
          <cell r="H5044">
            <v>0</v>
          </cell>
        </row>
        <row r="5045">
          <cell r="D5045" t="str">
            <v>IT&amp;NS</v>
          </cell>
          <cell r="F5045">
            <v>0</v>
          </cell>
          <cell r="G5045">
            <v>275</v>
          </cell>
          <cell r="H5045">
            <v>0</v>
          </cell>
        </row>
        <row r="5046">
          <cell r="D5046" t="str">
            <v>IT&amp;NS</v>
          </cell>
          <cell r="F5046">
            <v>0</v>
          </cell>
          <cell r="G5046">
            <v>275</v>
          </cell>
          <cell r="H5046">
            <v>0</v>
          </cell>
        </row>
        <row r="5047">
          <cell r="D5047" t="str">
            <v>IT&amp;NS</v>
          </cell>
          <cell r="F5047">
            <v>0</v>
          </cell>
          <cell r="G5047">
            <v>275</v>
          </cell>
          <cell r="H5047">
            <v>0</v>
          </cell>
        </row>
        <row r="5048">
          <cell r="D5048" t="str">
            <v>IT&amp;NS</v>
          </cell>
          <cell r="F5048">
            <v>0</v>
          </cell>
          <cell r="G5048">
            <v>275</v>
          </cell>
          <cell r="H5048">
            <v>0</v>
          </cell>
        </row>
        <row r="5049">
          <cell r="D5049" t="str">
            <v>IT&amp;NS</v>
          </cell>
          <cell r="F5049">
            <v>0</v>
          </cell>
          <cell r="G5049">
            <v>275</v>
          </cell>
          <cell r="H5049">
            <v>0</v>
          </cell>
        </row>
        <row r="5050">
          <cell r="D5050" t="str">
            <v>IT&amp;NS</v>
          </cell>
          <cell r="F5050">
            <v>38405.573770491806</v>
          </cell>
          <cell r="G5050">
            <v>275</v>
          </cell>
          <cell r="H5050">
            <v>33520.368291039755</v>
          </cell>
        </row>
        <row r="5051">
          <cell r="D5051" t="str">
            <v>IT&amp;NS</v>
          </cell>
          <cell r="F5051">
            <v>21448.801452338797</v>
          </cell>
          <cell r="G5051">
            <v>275</v>
          </cell>
          <cell r="H5051">
            <v>18796.363260352497</v>
          </cell>
        </row>
        <row r="5052">
          <cell r="D5052" t="str">
            <v>IT&amp;NS</v>
          </cell>
          <cell r="F5052">
            <v>8641.2540983606559</v>
          </cell>
          <cell r="G5052">
            <v>275</v>
          </cell>
          <cell r="H5052">
            <v>7542.0828654839443</v>
          </cell>
        </row>
        <row r="5053">
          <cell r="D5053" t="str">
            <v>IT&amp;NS</v>
          </cell>
          <cell r="F5053">
            <v>0</v>
          </cell>
          <cell r="G5053">
            <v>275</v>
          </cell>
          <cell r="H5053">
            <v>0</v>
          </cell>
        </row>
        <row r="5054">
          <cell r="D5054" t="str">
            <v>IT&amp;NS</v>
          </cell>
          <cell r="F5054">
            <v>0</v>
          </cell>
          <cell r="G5054">
            <v>275</v>
          </cell>
          <cell r="H5054">
            <v>0</v>
          </cell>
        </row>
        <row r="5055">
          <cell r="D5055" t="str">
            <v>IT&amp;NS</v>
          </cell>
          <cell r="F5055">
            <v>0</v>
          </cell>
          <cell r="G5055">
            <v>275</v>
          </cell>
          <cell r="H5055">
            <v>0</v>
          </cell>
        </row>
        <row r="5056">
          <cell r="D5056" t="str">
            <v>IT&amp;NS</v>
          </cell>
          <cell r="F5056">
            <v>0</v>
          </cell>
          <cell r="G5056">
            <v>275</v>
          </cell>
          <cell r="H5056">
            <v>0</v>
          </cell>
        </row>
        <row r="5057">
          <cell r="D5057" t="str">
            <v>IT&amp;NS</v>
          </cell>
          <cell r="F5057">
            <v>0</v>
          </cell>
          <cell r="G5057">
            <v>275</v>
          </cell>
          <cell r="H5057">
            <v>0</v>
          </cell>
        </row>
        <row r="5058">
          <cell r="D5058" t="str">
            <v>IT&amp;NS</v>
          </cell>
          <cell r="F5058">
            <v>0</v>
          </cell>
          <cell r="G5058">
            <v>275</v>
          </cell>
          <cell r="H5058">
            <v>0</v>
          </cell>
        </row>
        <row r="5059">
          <cell r="D5059" t="str">
            <v>IT&amp;NS</v>
          </cell>
          <cell r="F5059">
            <v>0</v>
          </cell>
          <cell r="G5059">
            <v>275</v>
          </cell>
          <cell r="H5059">
            <v>0</v>
          </cell>
        </row>
        <row r="5060">
          <cell r="D5060" t="str">
            <v>IT&amp;NS</v>
          </cell>
          <cell r="F5060">
            <v>0</v>
          </cell>
          <cell r="G5060">
            <v>275</v>
          </cell>
          <cell r="H5060">
            <v>0</v>
          </cell>
        </row>
        <row r="5061">
          <cell r="D5061" t="str">
            <v>IT&amp;NS</v>
          </cell>
          <cell r="F5061">
            <v>0</v>
          </cell>
          <cell r="G5061">
            <v>275</v>
          </cell>
          <cell r="H5061">
            <v>0</v>
          </cell>
        </row>
        <row r="5062">
          <cell r="D5062" t="str">
            <v>IT&amp;NS</v>
          </cell>
          <cell r="F5062">
            <v>0</v>
          </cell>
          <cell r="G5062">
            <v>275</v>
          </cell>
          <cell r="H5062">
            <v>0</v>
          </cell>
        </row>
        <row r="5063">
          <cell r="D5063" t="str">
            <v>IT&amp;NS</v>
          </cell>
          <cell r="F5063">
            <v>0</v>
          </cell>
          <cell r="G5063">
            <v>275</v>
          </cell>
          <cell r="H5063">
            <v>0</v>
          </cell>
        </row>
        <row r="5064">
          <cell r="D5064" t="str">
            <v>IT&amp;NS</v>
          </cell>
          <cell r="F5064">
            <v>0</v>
          </cell>
          <cell r="G5064">
            <v>275</v>
          </cell>
          <cell r="H5064">
            <v>0</v>
          </cell>
        </row>
        <row r="5065">
          <cell r="D5065" t="str">
            <v>IT&amp;NS</v>
          </cell>
          <cell r="F5065">
            <v>0</v>
          </cell>
          <cell r="G5065">
            <v>275</v>
          </cell>
          <cell r="H5065">
            <v>0</v>
          </cell>
        </row>
        <row r="5066">
          <cell r="D5066" t="str">
            <v>IT&amp;NS</v>
          </cell>
          <cell r="F5066">
            <v>0</v>
          </cell>
          <cell r="G5066">
            <v>275</v>
          </cell>
          <cell r="H5066">
            <v>0</v>
          </cell>
        </row>
        <row r="5067">
          <cell r="D5067" t="str">
            <v>IT&amp;NS</v>
          </cell>
          <cell r="F5067">
            <v>0</v>
          </cell>
          <cell r="G5067">
            <v>275</v>
          </cell>
          <cell r="H5067">
            <v>0</v>
          </cell>
        </row>
        <row r="5068">
          <cell r="D5068" t="str">
            <v>IT&amp;NS</v>
          </cell>
          <cell r="F5068">
            <v>0</v>
          </cell>
          <cell r="G5068">
            <v>275</v>
          </cell>
          <cell r="H5068">
            <v>0</v>
          </cell>
        </row>
        <row r="5069">
          <cell r="D5069" t="str">
            <v>IT&amp;NS</v>
          </cell>
          <cell r="F5069">
            <v>0</v>
          </cell>
          <cell r="G5069">
            <v>275</v>
          </cell>
          <cell r="H5069">
            <v>0</v>
          </cell>
        </row>
        <row r="5070">
          <cell r="D5070" t="str">
            <v>IT&amp;NS</v>
          </cell>
          <cell r="F5070">
            <v>0</v>
          </cell>
          <cell r="G5070">
            <v>275</v>
          </cell>
          <cell r="H5070">
            <v>0</v>
          </cell>
        </row>
        <row r="5071">
          <cell r="D5071" t="str">
            <v>IT&amp;NS</v>
          </cell>
          <cell r="F5071">
            <v>59408.621926229505</v>
          </cell>
          <cell r="G5071">
            <v>275</v>
          </cell>
          <cell r="H5071">
            <v>51851.819700202104</v>
          </cell>
        </row>
        <row r="5072">
          <cell r="D5072" t="str">
            <v>IT&amp;NS</v>
          </cell>
          <cell r="F5072">
            <v>0</v>
          </cell>
          <cell r="G5072">
            <v>275</v>
          </cell>
          <cell r="H5072">
            <v>0</v>
          </cell>
        </row>
        <row r="5073">
          <cell r="D5073" t="str">
            <v>IT&amp;NS</v>
          </cell>
          <cell r="F5073">
            <v>0</v>
          </cell>
          <cell r="G5073">
            <v>275</v>
          </cell>
          <cell r="H5073">
            <v>0</v>
          </cell>
        </row>
        <row r="5074">
          <cell r="D5074" t="str">
            <v>IT&amp;NS</v>
          </cell>
          <cell r="F5074">
            <v>7314.1454918032787</v>
          </cell>
          <cell r="G5074">
            <v>275</v>
          </cell>
          <cell r="H5074">
            <v>6276.0393274197168</v>
          </cell>
        </row>
        <row r="5075">
          <cell r="D5075" t="str">
            <v>IT&amp;NS</v>
          </cell>
          <cell r="F5075">
            <v>5008.2847540983603</v>
          </cell>
          <cell r="G5075">
            <v>275</v>
          </cell>
          <cell r="H5075">
            <v>4312.1429732764427</v>
          </cell>
        </row>
        <row r="5076">
          <cell r="D5076" t="str">
            <v>IT&amp;NS</v>
          </cell>
          <cell r="F5076">
            <v>0</v>
          </cell>
          <cell r="G5076">
            <v>275</v>
          </cell>
          <cell r="H5076">
            <v>0</v>
          </cell>
        </row>
        <row r="5077">
          <cell r="D5077" t="str">
            <v>IT&amp;NS</v>
          </cell>
          <cell r="F5077">
            <v>0</v>
          </cell>
          <cell r="G5077">
            <v>275</v>
          </cell>
          <cell r="H5077">
            <v>0</v>
          </cell>
        </row>
        <row r="5078">
          <cell r="D5078" t="str">
            <v>IT&amp;NS</v>
          </cell>
          <cell r="F5078">
            <v>0</v>
          </cell>
          <cell r="G5078">
            <v>275</v>
          </cell>
          <cell r="H5078">
            <v>0</v>
          </cell>
        </row>
        <row r="5079">
          <cell r="D5079" t="str">
            <v>IT&amp;NS</v>
          </cell>
          <cell r="F5079">
            <v>0</v>
          </cell>
          <cell r="G5079">
            <v>275</v>
          </cell>
          <cell r="H5079">
            <v>0</v>
          </cell>
        </row>
        <row r="5080">
          <cell r="D5080" t="str">
            <v>IT&amp;NS</v>
          </cell>
          <cell r="F5080">
            <v>0</v>
          </cell>
          <cell r="G5080">
            <v>275</v>
          </cell>
          <cell r="H5080">
            <v>0</v>
          </cell>
        </row>
        <row r="5081">
          <cell r="D5081" t="str">
            <v>IT&amp;NS</v>
          </cell>
          <cell r="F5081">
            <v>0</v>
          </cell>
          <cell r="G5081">
            <v>275</v>
          </cell>
          <cell r="H5081">
            <v>0</v>
          </cell>
        </row>
        <row r="5082">
          <cell r="D5082" t="str">
            <v>IT&amp;NS</v>
          </cell>
          <cell r="F5082">
            <v>27404.041724754097</v>
          </cell>
          <cell r="G5082">
            <v>275</v>
          </cell>
          <cell r="H5082">
            <v>23989.121882836291</v>
          </cell>
        </row>
        <row r="5083">
          <cell r="D5083" t="str">
            <v>IT&amp;NS</v>
          </cell>
          <cell r="F5083">
            <v>27404.090728237705</v>
          </cell>
          <cell r="G5083">
            <v>275</v>
          </cell>
          <cell r="H5083">
            <v>23989.164779813047</v>
          </cell>
        </row>
        <row r="5084">
          <cell r="D5084" t="str">
            <v>IT&amp;NS</v>
          </cell>
          <cell r="F5084">
            <v>12536.747424303279</v>
          </cell>
          <cell r="G5084">
            <v>275</v>
          </cell>
          <cell r="H5084">
            <v>10974.496572316977</v>
          </cell>
        </row>
        <row r="5085">
          <cell r="D5085" t="str">
            <v>IT&amp;NS</v>
          </cell>
          <cell r="F5085">
            <v>12536.747424303279</v>
          </cell>
          <cell r="G5085">
            <v>275</v>
          </cell>
          <cell r="H5085">
            <v>10974.496572316977</v>
          </cell>
        </row>
        <row r="5086">
          <cell r="D5086" t="str">
            <v>IT&amp;NS</v>
          </cell>
          <cell r="F5086">
            <v>12536.747424303279</v>
          </cell>
          <cell r="G5086">
            <v>275</v>
          </cell>
          <cell r="H5086">
            <v>10974.496572316977</v>
          </cell>
        </row>
        <row r="5087">
          <cell r="D5087" t="str">
            <v>IT&amp;NS</v>
          </cell>
          <cell r="F5087">
            <v>12536.747424303279</v>
          </cell>
          <cell r="G5087">
            <v>275</v>
          </cell>
          <cell r="H5087">
            <v>10974.496572316977</v>
          </cell>
        </row>
        <row r="5088">
          <cell r="D5088" t="str">
            <v>IT&amp;NS</v>
          </cell>
          <cell r="F5088">
            <v>12536.747424303279</v>
          </cell>
          <cell r="G5088">
            <v>275</v>
          </cell>
          <cell r="H5088">
            <v>10974.496572316977</v>
          </cell>
        </row>
        <row r="5089">
          <cell r="D5089" t="str">
            <v>IT&amp;NS</v>
          </cell>
          <cell r="F5089">
            <v>12536.747424303279</v>
          </cell>
          <cell r="G5089">
            <v>275</v>
          </cell>
          <cell r="H5089">
            <v>10974.496572316977</v>
          </cell>
        </row>
        <row r="5090">
          <cell r="D5090" t="str">
            <v>IT&amp;NS</v>
          </cell>
          <cell r="F5090">
            <v>12536.747424303279</v>
          </cell>
          <cell r="G5090">
            <v>275</v>
          </cell>
          <cell r="H5090">
            <v>10974.496572316977</v>
          </cell>
        </row>
        <row r="5091">
          <cell r="D5091" t="str">
            <v>IT&amp;NS</v>
          </cell>
          <cell r="F5091">
            <v>12536.747424303279</v>
          </cell>
          <cell r="G5091">
            <v>275</v>
          </cell>
          <cell r="H5091">
            <v>10974.496572316977</v>
          </cell>
        </row>
        <row r="5092">
          <cell r="D5092" t="str">
            <v>IT&amp;NS</v>
          </cell>
          <cell r="F5092">
            <v>12536.747424303279</v>
          </cell>
          <cell r="G5092">
            <v>275</v>
          </cell>
          <cell r="H5092">
            <v>10974.496572316977</v>
          </cell>
        </row>
        <row r="5093">
          <cell r="D5093" t="str">
            <v>IT&amp;NS</v>
          </cell>
          <cell r="F5093">
            <v>12536.747424303279</v>
          </cell>
          <cell r="G5093">
            <v>275</v>
          </cell>
          <cell r="H5093">
            <v>10974.496572316977</v>
          </cell>
        </row>
        <row r="5094">
          <cell r="D5094" t="str">
            <v>IT&amp;NS</v>
          </cell>
          <cell r="F5094">
            <v>12536.747424303279</v>
          </cell>
          <cell r="G5094">
            <v>275</v>
          </cell>
          <cell r="H5094">
            <v>10974.496572316977</v>
          </cell>
        </row>
        <row r="5095">
          <cell r="D5095" t="str">
            <v>IT&amp;NS</v>
          </cell>
          <cell r="F5095">
            <v>12536.776826393441</v>
          </cell>
          <cell r="G5095">
            <v>275</v>
          </cell>
          <cell r="H5095">
            <v>10974.522310503031</v>
          </cell>
        </row>
        <row r="5096">
          <cell r="D5096" t="str">
            <v>IT&amp;NS</v>
          </cell>
          <cell r="F5096">
            <v>13518.072</v>
          </cell>
          <cell r="G5096">
            <v>275</v>
          </cell>
          <cell r="H5096">
            <v>11358.811178082193</v>
          </cell>
        </row>
        <row r="5097">
          <cell r="D5097" t="str">
            <v>IT&amp;NS</v>
          </cell>
          <cell r="F5097">
            <v>168456.9</v>
          </cell>
          <cell r="G5097">
            <v>275</v>
          </cell>
          <cell r="H5097">
            <v>142687.44109589042</v>
          </cell>
        </row>
        <row r="5098">
          <cell r="D5098" t="str">
            <v>IT&amp;NS</v>
          </cell>
          <cell r="F5098">
            <v>16873.690000000002</v>
          </cell>
          <cell r="G5098">
            <v>275</v>
          </cell>
          <cell r="H5098">
            <v>14296.744109589043</v>
          </cell>
        </row>
        <row r="5099">
          <cell r="D5099" t="str">
            <v>IT&amp;NS</v>
          </cell>
          <cell r="F5099">
            <v>0</v>
          </cell>
          <cell r="G5099">
            <v>275</v>
          </cell>
          <cell r="H5099">
            <v>0</v>
          </cell>
        </row>
        <row r="5100">
          <cell r="D5100" t="str">
            <v>IT&amp;NS</v>
          </cell>
          <cell r="F5100">
            <v>0</v>
          </cell>
          <cell r="G5100">
            <v>275</v>
          </cell>
          <cell r="H5100">
            <v>0</v>
          </cell>
        </row>
        <row r="5101">
          <cell r="D5101" t="str">
            <v>IT&amp;NS</v>
          </cell>
          <cell r="F5101">
            <v>0</v>
          </cell>
          <cell r="G5101">
            <v>275</v>
          </cell>
          <cell r="H5101">
            <v>0</v>
          </cell>
        </row>
        <row r="5102">
          <cell r="D5102" t="str">
            <v>IT&amp;NS</v>
          </cell>
          <cell r="F5102">
            <v>0</v>
          </cell>
          <cell r="G5102">
            <v>275</v>
          </cell>
          <cell r="H5102">
            <v>0</v>
          </cell>
        </row>
        <row r="5103">
          <cell r="D5103" t="str">
            <v>IT&amp;NS</v>
          </cell>
          <cell r="F5103">
            <v>0</v>
          </cell>
          <cell r="G5103">
            <v>275</v>
          </cell>
          <cell r="H5103">
            <v>0</v>
          </cell>
        </row>
        <row r="5104">
          <cell r="D5104" t="str">
            <v>IT&amp;NS</v>
          </cell>
          <cell r="F5104">
            <v>0</v>
          </cell>
          <cell r="G5104">
            <v>275</v>
          </cell>
          <cell r="H5104">
            <v>0</v>
          </cell>
        </row>
        <row r="5105">
          <cell r="D5105" t="str">
            <v>IT&amp;NS</v>
          </cell>
          <cell r="F5105">
            <v>0</v>
          </cell>
          <cell r="G5105">
            <v>275</v>
          </cell>
          <cell r="H5105">
            <v>0</v>
          </cell>
        </row>
        <row r="5106">
          <cell r="D5106" t="str">
            <v>IT&amp;NS</v>
          </cell>
          <cell r="F5106">
            <v>0</v>
          </cell>
          <cell r="G5106">
            <v>275</v>
          </cell>
          <cell r="H5106">
            <v>0</v>
          </cell>
        </row>
        <row r="5107">
          <cell r="D5107" t="str">
            <v>IT&amp;NS</v>
          </cell>
          <cell r="F5107">
            <v>0</v>
          </cell>
          <cell r="G5107">
            <v>275</v>
          </cell>
          <cell r="H5107">
            <v>0</v>
          </cell>
        </row>
        <row r="5108">
          <cell r="D5108" t="str">
            <v>IT&amp;NS</v>
          </cell>
          <cell r="F5108">
            <v>0</v>
          </cell>
          <cell r="G5108">
            <v>275</v>
          </cell>
          <cell r="H5108">
            <v>0</v>
          </cell>
        </row>
        <row r="5109">
          <cell r="D5109" t="str">
            <v>IT&amp;NS</v>
          </cell>
          <cell r="F5109">
            <v>0</v>
          </cell>
          <cell r="G5109">
            <v>275</v>
          </cell>
          <cell r="H5109">
            <v>0</v>
          </cell>
        </row>
        <row r="5110">
          <cell r="D5110" t="str">
            <v>IT&amp;NS</v>
          </cell>
          <cell r="F5110">
            <v>0</v>
          </cell>
          <cell r="G5110">
            <v>275</v>
          </cell>
          <cell r="H5110">
            <v>0</v>
          </cell>
        </row>
        <row r="5111">
          <cell r="D5111" t="str">
            <v>IT&amp;NS</v>
          </cell>
          <cell r="F5111">
            <v>0</v>
          </cell>
          <cell r="G5111">
            <v>275</v>
          </cell>
          <cell r="H5111">
            <v>0</v>
          </cell>
        </row>
        <row r="5112">
          <cell r="D5112" t="str">
            <v>IT&amp;NS</v>
          </cell>
          <cell r="F5112">
            <v>0</v>
          </cell>
          <cell r="G5112">
            <v>275</v>
          </cell>
          <cell r="H5112">
            <v>0</v>
          </cell>
        </row>
        <row r="5113">
          <cell r="D5113" t="str">
            <v>IT&amp;NS</v>
          </cell>
          <cell r="F5113">
            <v>0</v>
          </cell>
          <cell r="G5113">
            <v>275</v>
          </cell>
          <cell r="H5113">
            <v>0</v>
          </cell>
        </row>
        <row r="5114">
          <cell r="D5114" t="str">
            <v>IT&amp;NS</v>
          </cell>
          <cell r="F5114">
            <v>0</v>
          </cell>
          <cell r="G5114">
            <v>275</v>
          </cell>
          <cell r="H5114">
            <v>0</v>
          </cell>
        </row>
        <row r="5115">
          <cell r="D5115" t="str">
            <v>IT&amp;NS</v>
          </cell>
          <cell r="F5115">
            <v>0</v>
          </cell>
          <cell r="G5115">
            <v>275</v>
          </cell>
          <cell r="H5115">
            <v>0</v>
          </cell>
        </row>
        <row r="5116">
          <cell r="D5116" t="str">
            <v>IT&amp;NS</v>
          </cell>
          <cell r="F5116">
            <v>0</v>
          </cell>
          <cell r="G5116">
            <v>275</v>
          </cell>
          <cell r="H5116">
            <v>0</v>
          </cell>
        </row>
        <row r="5117">
          <cell r="D5117" t="str">
            <v>IT&amp;NS</v>
          </cell>
          <cell r="F5117">
            <v>0</v>
          </cell>
          <cell r="G5117">
            <v>275</v>
          </cell>
          <cell r="H5117">
            <v>0</v>
          </cell>
        </row>
        <row r="5118">
          <cell r="D5118" t="str">
            <v>IT&amp;NS</v>
          </cell>
          <cell r="F5118">
            <v>0</v>
          </cell>
          <cell r="G5118">
            <v>275</v>
          </cell>
          <cell r="H5118">
            <v>0</v>
          </cell>
        </row>
        <row r="5119">
          <cell r="D5119" t="str">
            <v>IT&amp;NS</v>
          </cell>
          <cell r="F5119">
            <v>0</v>
          </cell>
          <cell r="G5119">
            <v>275</v>
          </cell>
          <cell r="H5119">
            <v>0</v>
          </cell>
        </row>
        <row r="5120">
          <cell r="D5120" t="str">
            <v>IT&amp;NS</v>
          </cell>
          <cell r="F5120">
            <v>0</v>
          </cell>
          <cell r="G5120">
            <v>275</v>
          </cell>
          <cell r="H5120">
            <v>0</v>
          </cell>
        </row>
        <row r="5121">
          <cell r="D5121" t="str">
            <v>IT&amp;NS</v>
          </cell>
          <cell r="F5121">
            <v>0</v>
          </cell>
          <cell r="G5121">
            <v>275</v>
          </cell>
          <cell r="H5121">
            <v>0</v>
          </cell>
        </row>
        <row r="5122">
          <cell r="D5122" t="str">
            <v>IT&amp;NS</v>
          </cell>
          <cell r="F5122">
            <v>0</v>
          </cell>
          <cell r="G5122">
            <v>275</v>
          </cell>
          <cell r="H5122">
            <v>0</v>
          </cell>
        </row>
        <row r="5123">
          <cell r="D5123" t="str">
            <v>IT&amp;NS</v>
          </cell>
          <cell r="F5123">
            <v>0</v>
          </cell>
          <cell r="G5123">
            <v>275</v>
          </cell>
          <cell r="H5123">
            <v>0</v>
          </cell>
        </row>
        <row r="5124">
          <cell r="D5124" t="str">
            <v>IT&amp;NS</v>
          </cell>
          <cell r="F5124">
            <v>0</v>
          </cell>
          <cell r="G5124">
            <v>275</v>
          </cell>
          <cell r="H5124">
            <v>0</v>
          </cell>
        </row>
        <row r="5125">
          <cell r="D5125" t="str">
            <v>IT&amp;NS</v>
          </cell>
          <cell r="F5125">
            <v>0</v>
          </cell>
          <cell r="G5125">
            <v>275</v>
          </cell>
          <cell r="H5125">
            <v>0</v>
          </cell>
        </row>
        <row r="5126">
          <cell r="D5126" t="str">
            <v>IT&amp;NS</v>
          </cell>
          <cell r="F5126">
            <v>17325.72324472131</v>
          </cell>
          <cell r="G5126">
            <v>275</v>
          </cell>
          <cell r="H5126">
            <v>14968.572519241858</v>
          </cell>
        </row>
        <row r="5127">
          <cell r="D5127" t="str">
            <v>IT&amp;NS</v>
          </cell>
          <cell r="F5127">
            <v>9221.4272584918035</v>
          </cell>
          <cell r="G5127">
            <v>275</v>
          </cell>
          <cell r="H5127">
            <v>7951.1920066424882</v>
          </cell>
        </row>
        <row r="5128">
          <cell r="D5128" t="str">
            <v>IT&amp;NS</v>
          </cell>
          <cell r="F5128">
            <v>0</v>
          </cell>
          <cell r="G5128">
            <v>275</v>
          </cell>
          <cell r="H5128">
            <v>0</v>
          </cell>
        </row>
        <row r="5129">
          <cell r="D5129" t="str">
            <v>IT&amp;NS</v>
          </cell>
          <cell r="F5129">
            <v>0</v>
          </cell>
          <cell r="G5129">
            <v>275</v>
          </cell>
          <cell r="H5129">
            <v>0</v>
          </cell>
        </row>
        <row r="5130">
          <cell r="D5130" t="str">
            <v>IT&amp;NS</v>
          </cell>
          <cell r="F5130">
            <v>16121.196</v>
          </cell>
          <cell r="G5130">
            <v>275</v>
          </cell>
          <cell r="H5130">
            <v>13771.412164383561</v>
          </cell>
        </row>
        <row r="5131">
          <cell r="D5131" t="str">
            <v>IT&amp;NS</v>
          </cell>
          <cell r="F5131">
            <v>17871.444</v>
          </cell>
          <cell r="G5131">
            <v>275</v>
          </cell>
          <cell r="H5131">
            <v>15140.6141369863</v>
          </cell>
        </row>
        <row r="5132">
          <cell r="D5132" t="str">
            <v>IT&amp;NS</v>
          </cell>
          <cell r="F5132">
            <v>0</v>
          </cell>
          <cell r="G5132">
            <v>275</v>
          </cell>
          <cell r="H5132">
            <v>0</v>
          </cell>
        </row>
        <row r="5133">
          <cell r="D5133" t="str">
            <v>IT&amp;NS</v>
          </cell>
          <cell r="F5133">
            <v>0</v>
          </cell>
          <cell r="G5133">
            <v>275</v>
          </cell>
          <cell r="H5133">
            <v>0</v>
          </cell>
        </row>
        <row r="5134">
          <cell r="D5134" t="str">
            <v>IT&amp;NS</v>
          </cell>
          <cell r="F5134">
            <v>0</v>
          </cell>
          <cell r="G5134">
            <v>275</v>
          </cell>
          <cell r="H5134">
            <v>0</v>
          </cell>
        </row>
        <row r="5135">
          <cell r="D5135" t="str">
            <v>IT&amp;NS</v>
          </cell>
          <cell r="F5135">
            <v>0</v>
          </cell>
          <cell r="G5135">
            <v>275</v>
          </cell>
          <cell r="H5135">
            <v>0</v>
          </cell>
        </row>
        <row r="5136">
          <cell r="D5136" t="str">
            <v>IT&amp;NS</v>
          </cell>
          <cell r="F5136">
            <v>0</v>
          </cell>
          <cell r="G5136">
            <v>275</v>
          </cell>
          <cell r="H5136">
            <v>0</v>
          </cell>
        </row>
        <row r="5137">
          <cell r="D5137" t="str">
            <v>IT&amp;NS</v>
          </cell>
          <cell r="F5137">
            <v>9990.3824999999997</v>
          </cell>
          <cell r="G5137">
            <v>275</v>
          </cell>
          <cell r="H5137">
            <v>8442.3830136986289</v>
          </cell>
        </row>
        <row r="5138">
          <cell r="D5138" t="str">
            <v>IT&amp;NS</v>
          </cell>
          <cell r="F5138">
            <v>0</v>
          </cell>
          <cell r="G5138">
            <v>275</v>
          </cell>
          <cell r="H5138">
            <v>0</v>
          </cell>
        </row>
        <row r="5139">
          <cell r="D5139" t="str">
            <v>IT&amp;NS</v>
          </cell>
          <cell r="F5139">
            <v>0</v>
          </cell>
          <cell r="G5139">
            <v>275</v>
          </cell>
          <cell r="H5139">
            <v>0</v>
          </cell>
        </row>
        <row r="5140">
          <cell r="D5140" t="str">
            <v>IT&amp;NS</v>
          </cell>
          <cell r="F5140">
            <v>7105.0311475409835</v>
          </cell>
          <cell r="G5140">
            <v>275</v>
          </cell>
          <cell r="H5140">
            <v>6201.2681338423536</v>
          </cell>
        </row>
        <row r="5141">
          <cell r="D5141" t="str">
            <v>IT&amp;NS</v>
          </cell>
          <cell r="F5141">
            <v>6367.6090163934423</v>
          </cell>
          <cell r="G5141">
            <v>275</v>
          </cell>
          <cell r="H5141">
            <v>5463.8460026948123</v>
          </cell>
        </row>
        <row r="5142">
          <cell r="D5142" t="str">
            <v>IT&amp;NS</v>
          </cell>
          <cell r="F5142">
            <v>16431.679475409837</v>
          </cell>
          <cell r="G5142">
            <v>275</v>
          </cell>
          <cell r="H5142">
            <v>14145.403311026275</v>
          </cell>
        </row>
        <row r="5143">
          <cell r="D5143" t="str">
            <v>IT&amp;NS</v>
          </cell>
          <cell r="F5143">
            <v>0</v>
          </cell>
          <cell r="G5143">
            <v>275</v>
          </cell>
          <cell r="H5143">
            <v>0</v>
          </cell>
        </row>
        <row r="5144">
          <cell r="D5144" t="str">
            <v>IT&amp;NS</v>
          </cell>
          <cell r="F5144">
            <v>0</v>
          </cell>
          <cell r="G5144">
            <v>275</v>
          </cell>
          <cell r="H5144">
            <v>0</v>
          </cell>
        </row>
        <row r="5145">
          <cell r="D5145" t="str">
            <v>IT&amp;NS</v>
          </cell>
          <cell r="F5145">
            <v>0</v>
          </cell>
          <cell r="G5145">
            <v>275</v>
          </cell>
          <cell r="H5145">
            <v>0</v>
          </cell>
        </row>
        <row r="5146">
          <cell r="D5146" t="str">
            <v>IT&amp;NS</v>
          </cell>
          <cell r="F5146">
            <v>0</v>
          </cell>
          <cell r="G5146">
            <v>275</v>
          </cell>
          <cell r="H5146">
            <v>0</v>
          </cell>
        </row>
        <row r="5147">
          <cell r="D5147" t="str">
            <v>IT&amp;NS</v>
          </cell>
          <cell r="F5147">
            <v>0</v>
          </cell>
          <cell r="G5147">
            <v>275</v>
          </cell>
          <cell r="H5147">
            <v>0</v>
          </cell>
        </row>
        <row r="5148">
          <cell r="D5148" t="str">
            <v>IT&amp;NS</v>
          </cell>
          <cell r="F5148">
            <v>0</v>
          </cell>
          <cell r="G5148">
            <v>275</v>
          </cell>
          <cell r="H5148">
            <v>0</v>
          </cell>
        </row>
        <row r="5149">
          <cell r="D5149" t="str">
            <v>IT&amp;NS</v>
          </cell>
          <cell r="F5149">
            <v>0</v>
          </cell>
          <cell r="G5149">
            <v>275</v>
          </cell>
          <cell r="H5149">
            <v>0</v>
          </cell>
        </row>
        <row r="5150">
          <cell r="D5150" t="str">
            <v>IT&amp;NS</v>
          </cell>
          <cell r="F5150">
            <v>0</v>
          </cell>
          <cell r="G5150">
            <v>275</v>
          </cell>
          <cell r="H5150">
            <v>0</v>
          </cell>
        </row>
        <row r="5151">
          <cell r="D5151" t="str">
            <v>IT&amp;NS</v>
          </cell>
          <cell r="F5151">
            <v>0</v>
          </cell>
          <cell r="G5151">
            <v>275</v>
          </cell>
          <cell r="H5151">
            <v>0</v>
          </cell>
        </row>
        <row r="5152">
          <cell r="D5152" t="str">
            <v>IT&amp;NS</v>
          </cell>
          <cell r="F5152">
            <v>0</v>
          </cell>
          <cell r="G5152">
            <v>275</v>
          </cell>
          <cell r="H5152">
            <v>0</v>
          </cell>
        </row>
        <row r="5153">
          <cell r="D5153" t="str">
            <v>IT&amp;NS</v>
          </cell>
          <cell r="F5153">
            <v>0</v>
          </cell>
          <cell r="G5153">
            <v>275</v>
          </cell>
          <cell r="H5153">
            <v>0</v>
          </cell>
        </row>
        <row r="5154">
          <cell r="D5154" t="str">
            <v>IT&amp;NS</v>
          </cell>
          <cell r="F5154">
            <v>0</v>
          </cell>
          <cell r="G5154">
            <v>275</v>
          </cell>
          <cell r="H5154">
            <v>0</v>
          </cell>
        </row>
        <row r="5155">
          <cell r="D5155" t="str">
            <v>IT&amp;NS</v>
          </cell>
          <cell r="F5155">
            <v>0</v>
          </cell>
          <cell r="G5155">
            <v>275</v>
          </cell>
          <cell r="H5155">
            <v>0</v>
          </cell>
        </row>
        <row r="5156">
          <cell r="D5156" t="str">
            <v>IT&amp;NS</v>
          </cell>
          <cell r="F5156">
            <v>0</v>
          </cell>
          <cell r="G5156">
            <v>275</v>
          </cell>
          <cell r="H5156">
            <v>0</v>
          </cell>
        </row>
        <row r="5157">
          <cell r="D5157" t="str">
            <v>IT&amp;NS</v>
          </cell>
          <cell r="F5157">
            <v>0</v>
          </cell>
          <cell r="G5157">
            <v>275</v>
          </cell>
          <cell r="H5157">
            <v>0</v>
          </cell>
        </row>
        <row r="5158">
          <cell r="D5158" t="str">
            <v>IT&amp;NS</v>
          </cell>
          <cell r="F5158">
            <v>0</v>
          </cell>
          <cell r="G5158">
            <v>275</v>
          </cell>
          <cell r="H5158">
            <v>0</v>
          </cell>
        </row>
        <row r="5159">
          <cell r="D5159" t="str">
            <v>IT&amp;NS</v>
          </cell>
          <cell r="F5159">
            <v>0</v>
          </cell>
          <cell r="G5159">
            <v>275</v>
          </cell>
          <cell r="H5159">
            <v>0</v>
          </cell>
        </row>
        <row r="5160">
          <cell r="D5160" t="str">
            <v>IT&amp;NS</v>
          </cell>
          <cell r="F5160">
            <v>0</v>
          </cell>
          <cell r="G5160">
            <v>275</v>
          </cell>
          <cell r="H5160">
            <v>0</v>
          </cell>
        </row>
        <row r="5161">
          <cell r="D5161" t="str">
            <v>IT&amp;NS</v>
          </cell>
          <cell r="F5161">
            <v>0</v>
          </cell>
          <cell r="G5161">
            <v>275</v>
          </cell>
          <cell r="H5161">
            <v>0</v>
          </cell>
        </row>
        <row r="5162">
          <cell r="D5162" t="str">
            <v>IT&amp;NS</v>
          </cell>
          <cell r="F5162">
            <v>0</v>
          </cell>
          <cell r="G5162">
            <v>275</v>
          </cell>
          <cell r="H5162">
            <v>0</v>
          </cell>
        </row>
        <row r="5163">
          <cell r="D5163" t="str">
            <v>IT&amp;NS</v>
          </cell>
          <cell r="F5163">
            <v>0</v>
          </cell>
          <cell r="G5163">
            <v>275</v>
          </cell>
          <cell r="H5163">
            <v>0</v>
          </cell>
        </row>
        <row r="5164">
          <cell r="D5164" t="str">
            <v>IT&amp;NS</v>
          </cell>
          <cell r="F5164">
            <v>0</v>
          </cell>
          <cell r="G5164">
            <v>275</v>
          </cell>
          <cell r="H5164">
            <v>0</v>
          </cell>
        </row>
        <row r="5165">
          <cell r="D5165" t="str">
            <v>IT&amp;NS</v>
          </cell>
          <cell r="F5165">
            <v>0</v>
          </cell>
          <cell r="G5165">
            <v>275</v>
          </cell>
          <cell r="H5165">
            <v>0</v>
          </cell>
        </row>
        <row r="5166">
          <cell r="D5166" t="str">
            <v>IT&amp;NS</v>
          </cell>
          <cell r="F5166">
            <v>8702.85480874317</v>
          </cell>
          <cell r="G5166">
            <v>275</v>
          </cell>
          <cell r="H5166">
            <v>7545.6717607979645</v>
          </cell>
        </row>
        <row r="5167">
          <cell r="D5167" t="str">
            <v>IT&amp;NS</v>
          </cell>
          <cell r="F5167">
            <v>14127.9612568306</v>
          </cell>
          <cell r="G5167">
            <v>275</v>
          </cell>
          <cell r="H5167">
            <v>12344.8612568306</v>
          </cell>
        </row>
        <row r="5168">
          <cell r="D5168" t="str">
            <v>IT&amp;NS</v>
          </cell>
          <cell r="F5168">
            <v>0</v>
          </cell>
          <cell r="G5168">
            <v>275</v>
          </cell>
          <cell r="H5168">
            <v>0</v>
          </cell>
        </row>
        <row r="5169">
          <cell r="D5169" t="str">
            <v>IT&amp;NS</v>
          </cell>
          <cell r="F5169">
            <v>0</v>
          </cell>
          <cell r="G5169">
            <v>275</v>
          </cell>
          <cell r="H5169">
            <v>0</v>
          </cell>
        </row>
        <row r="5170">
          <cell r="D5170" t="str">
            <v>IT&amp;NS</v>
          </cell>
          <cell r="F5170">
            <v>8515.9131830601091</v>
          </cell>
          <cell r="G5170">
            <v>275</v>
          </cell>
          <cell r="H5170">
            <v>7459.4874981286021</v>
          </cell>
        </row>
        <row r="5171">
          <cell r="D5171" t="str">
            <v>IT&amp;NS</v>
          </cell>
          <cell r="F5171">
            <v>8489.0958196721313</v>
          </cell>
          <cell r="G5171">
            <v>275</v>
          </cell>
          <cell r="H5171">
            <v>7432.6701347406242</v>
          </cell>
        </row>
        <row r="5172">
          <cell r="D5172" t="str">
            <v>IT&amp;NS</v>
          </cell>
          <cell r="F5172">
            <v>8489.0958196721313</v>
          </cell>
          <cell r="G5172">
            <v>275</v>
          </cell>
          <cell r="H5172">
            <v>7432.6701347406242</v>
          </cell>
        </row>
        <row r="5173">
          <cell r="D5173" t="str">
            <v>IT&amp;NS</v>
          </cell>
          <cell r="F5173">
            <v>8489.0958196721313</v>
          </cell>
          <cell r="G5173">
            <v>275</v>
          </cell>
          <cell r="H5173">
            <v>7432.6701347406242</v>
          </cell>
        </row>
        <row r="5174">
          <cell r="D5174" t="str">
            <v>IT&amp;NS</v>
          </cell>
          <cell r="F5174">
            <v>8489.0958196721313</v>
          </cell>
          <cell r="G5174">
            <v>275</v>
          </cell>
          <cell r="H5174">
            <v>7432.6701347406242</v>
          </cell>
        </row>
        <row r="5175">
          <cell r="D5175" t="str">
            <v>IT&amp;NS</v>
          </cell>
          <cell r="F5175">
            <v>0</v>
          </cell>
          <cell r="G5175">
            <v>275</v>
          </cell>
          <cell r="H5175">
            <v>0</v>
          </cell>
        </row>
        <row r="5176">
          <cell r="D5176" t="str">
            <v>IT&amp;NS</v>
          </cell>
          <cell r="F5176">
            <v>0</v>
          </cell>
          <cell r="G5176">
            <v>275</v>
          </cell>
          <cell r="H5176">
            <v>0</v>
          </cell>
        </row>
        <row r="5177">
          <cell r="D5177" t="str">
            <v>IT&amp;NS</v>
          </cell>
          <cell r="F5177">
            <v>7380.1535019672128</v>
          </cell>
          <cell r="G5177">
            <v>275</v>
          </cell>
          <cell r="H5177">
            <v>6473.1906786795416</v>
          </cell>
        </row>
        <row r="5178">
          <cell r="D5178" t="str">
            <v>IT&amp;NS</v>
          </cell>
          <cell r="F5178">
            <v>7508.3360314207648</v>
          </cell>
          <cell r="G5178">
            <v>275</v>
          </cell>
          <cell r="H5178">
            <v>6589.3067505988474</v>
          </cell>
        </row>
        <row r="5179">
          <cell r="D5179" t="str">
            <v>IT&amp;NS</v>
          </cell>
          <cell r="F5179">
            <v>7508.3360314207648</v>
          </cell>
          <cell r="G5179">
            <v>275</v>
          </cell>
          <cell r="H5179">
            <v>6589.3067505988474</v>
          </cell>
        </row>
        <row r="5180">
          <cell r="D5180" t="str">
            <v>IT&amp;NS</v>
          </cell>
          <cell r="F5180">
            <v>7763.3644672131149</v>
          </cell>
          <cell r="G5180">
            <v>275</v>
          </cell>
          <cell r="H5180">
            <v>6658.086727487088</v>
          </cell>
        </row>
        <row r="5181">
          <cell r="D5181" t="str">
            <v>IT&amp;NS</v>
          </cell>
          <cell r="F5181">
            <v>0</v>
          </cell>
          <cell r="G5181">
            <v>275</v>
          </cell>
          <cell r="H5181">
            <v>0</v>
          </cell>
        </row>
        <row r="5182">
          <cell r="D5182" t="str">
            <v>IT&amp;NS</v>
          </cell>
          <cell r="F5182">
            <v>6691.68</v>
          </cell>
          <cell r="G5182">
            <v>275</v>
          </cell>
          <cell r="H5182">
            <v>5568.0827397260273</v>
          </cell>
        </row>
        <row r="5183">
          <cell r="D5183" t="str">
            <v>IT&amp;NS</v>
          </cell>
          <cell r="F5183">
            <v>92134.14</v>
          </cell>
          <cell r="G5183">
            <v>275</v>
          </cell>
          <cell r="H5183">
            <v>76672.464657534249</v>
          </cell>
        </row>
        <row r="5184">
          <cell r="D5184" t="str">
            <v>IT&amp;NS</v>
          </cell>
          <cell r="F5184">
            <v>0</v>
          </cell>
          <cell r="G5184">
            <v>275</v>
          </cell>
          <cell r="H5184">
            <v>0</v>
          </cell>
        </row>
        <row r="5185">
          <cell r="D5185" t="str">
            <v>IT&amp;NS</v>
          </cell>
          <cell r="F5185">
            <v>8284.5604737459016</v>
          </cell>
          <cell r="G5185">
            <v>275</v>
          </cell>
          <cell r="H5185">
            <v>7124.2496729924769</v>
          </cell>
        </row>
        <row r="5186">
          <cell r="D5186" t="str">
            <v>IT&amp;NS</v>
          </cell>
          <cell r="F5186">
            <v>8579.6466554644812</v>
          </cell>
          <cell r="G5186">
            <v>275</v>
          </cell>
          <cell r="H5186">
            <v>7346.0528873137964</v>
          </cell>
        </row>
        <row r="5187">
          <cell r="D5187" t="str">
            <v>IT&amp;NS</v>
          </cell>
          <cell r="F5187">
            <v>7790.6455737704919</v>
          </cell>
          <cell r="G5187">
            <v>275</v>
          </cell>
          <cell r="H5187">
            <v>6728.1133819896695</v>
          </cell>
        </row>
        <row r="5188">
          <cell r="D5188" t="str">
            <v>IT&amp;NS</v>
          </cell>
          <cell r="F5188">
            <v>7790.6455737704919</v>
          </cell>
          <cell r="G5188">
            <v>275</v>
          </cell>
          <cell r="H5188">
            <v>6728.1133819896695</v>
          </cell>
        </row>
        <row r="5189">
          <cell r="D5189" t="str">
            <v>IT&amp;NS</v>
          </cell>
          <cell r="F5189">
            <v>0</v>
          </cell>
          <cell r="G5189">
            <v>275</v>
          </cell>
          <cell r="H5189">
            <v>0</v>
          </cell>
        </row>
        <row r="5190">
          <cell r="D5190" t="str">
            <v>IT&amp;NS</v>
          </cell>
          <cell r="F5190">
            <v>7665.1935519125691</v>
          </cell>
          <cell r="G5190">
            <v>275</v>
          </cell>
          <cell r="H5190">
            <v>6553.8093053372268</v>
          </cell>
        </row>
        <row r="5191">
          <cell r="D5191" t="str">
            <v>IT&amp;NS</v>
          </cell>
          <cell r="F5191">
            <v>7665.1935519125691</v>
          </cell>
          <cell r="G5191">
            <v>275</v>
          </cell>
          <cell r="H5191">
            <v>6553.8093053372268</v>
          </cell>
        </row>
        <row r="5192">
          <cell r="D5192" t="str">
            <v>IT&amp;NS</v>
          </cell>
          <cell r="F5192">
            <v>12153.625409836066</v>
          </cell>
          <cell r="G5192">
            <v>275</v>
          </cell>
          <cell r="H5192">
            <v>10565.933629014149</v>
          </cell>
        </row>
        <row r="5193">
          <cell r="D5193" t="str">
            <v>IT&amp;NS</v>
          </cell>
          <cell r="F5193">
            <v>0</v>
          </cell>
          <cell r="G5193">
            <v>275</v>
          </cell>
          <cell r="H5193">
            <v>0</v>
          </cell>
        </row>
        <row r="5194">
          <cell r="D5194" t="str">
            <v>IT&amp;NS</v>
          </cell>
          <cell r="F5194">
            <v>0</v>
          </cell>
          <cell r="G5194">
            <v>275</v>
          </cell>
          <cell r="H5194">
            <v>0</v>
          </cell>
        </row>
        <row r="5195">
          <cell r="D5195" t="str">
            <v>IT&amp;NS</v>
          </cell>
          <cell r="F5195">
            <v>0</v>
          </cell>
          <cell r="G5195">
            <v>275</v>
          </cell>
          <cell r="H5195">
            <v>0</v>
          </cell>
        </row>
        <row r="5196">
          <cell r="D5196" t="str">
            <v>IT&amp;NS</v>
          </cell>
          <cell r="F5196">
            <v>0</v>
          </cell>
          <cell r="G5196">
            <v>275</v>
          </cell>
          <cell r="H5196">
            <v>0</v>
          </cell>
        </row>
        <row r="5197">
          <cell r="D5197" t="str">
            <v>IT&amp;NS</v>
          </cell>
          <cell r="F5197">
            <v>0</v>
          </cell>
          <cell r="G5197">
            <v>275</v>
          </cell>
          <cell r="H5197">
            <v>0</v>
          </cell>
        </row>
        <row r="5198">
          <cell r="D5198" t="str">
            <v>IT&amp;NS</v>
          </cell>
          <cell r="F5198">
            <v>0</v>
          </cell>
          <cell r="G5198">
            <v>275</v>
          </cell>
          <cell r="H5198">
            <v>0</v>
          </cell>
        </row>
        <row r="5199">
          <cell r="D5199" t="str">
            <v>IT&amp;NS</v>
          </cell>
          <cell r="F5199">
            <v>0</v>
          </cell>
          <cell r="G5199">
            <v>275</v>
          </cell>
          <cell r="H5199">
            <v>0</v>
          </cell>
        </row>
        <row r="5200">
          <cell r="D5200" t="str">
            <v>IT&amp;NS</v>
          </cell>
          <cell r="F5200">
            <v>0</v>
          </cell>
          <cell r="G5200">
            <v>275</v>
          </cell>
          <cell r="H5200">
            <v>0</v>
          </cell>
        </row>
        <row r="5201">
          <cell r="D5201" t="str">
            <v>IT&amp;NS</v>
          </cell>
          <cell r="F5201">
            <v>0</v>
          </cell>
          <cell r="G5201">
            <v>275</v>
          </cell>
          <cell r="H5201">
            <v>0</v>
          </cell>
        </row>
        <row r="5202">
          <cell r="D5202" t="str">
            <v>IT&amp;NS</v>
          </cell>
          <cell r="F5202">
            <v>0</v>
          </cell>
          <cell r="G5202">
            <v>275</v>
          </cell>
          <cell r="H5202">
            <v>0</v>
          </cell>
        </row>
        <row r="5203">
          <cell r="D5203" t="str">
            <v>IT&amp;NS</v>
          </cell>
          <cell r="F5203">
            <v>0</v>
          </cell>
          <cell r="G5203">
            <v>275</v>
          </cell>
          <cell r="H5203">
            <v>0</v>
          </cell>
        </row>
        <row r="5204">
          <cell r="D5204" t="str">
            <v>IT&amp;NS</v>
          </cell>
          <cell r="F5204">
            <v>0</v>
          </cell>
          <cell r="G5204">
            <v>275</v>
          </cell>
          <cell r="H5204">
            <v>0</v>
          </cell>
        </row>
        <row r="5205">
          <cell r="D5205" t="str">
            <v>IT&amp;NS</v>
          </cell>
          <cell r="F5205">
            <v>0</v>
          </cell>
          <cell r="G5205">
            <v>275</v>
          </cell>
          <cell r="H5205">
            <v>0</v>
          </cell>
        </row>
        <row r="5206">
          <cell r="D5206" t="str">
            <v>IT&amp;NS</v>
          </cell>
          <cell r="F5206">
            <v>0</v>
          </cell>
          <cell r="G5206">
            <v>275</v>
          </cell>
          <cell r="H5206">
            <v>0</v>
          </cell>
        </row>
        <row r="5207">
          <cell r="D5207" t="str">
            <v>IT&amp;NS</v>
          </cell>
          <cell r="F5207">
            <v>0</v>
          </cell>
          <cell r="G5207">
            <v>275</v>
          </cell>
          <cell r="H5207">
            <v>0</v>
          </cell>
        </row>
        <row r="5208">
          <cell r="D5208" t="str">
            <v>IT&amp;NS</v>
          </cell>
          <cell r="F5208">
            <v>0</v>
          </cell>
          <cell r="G5208">
            <v>275</v>
          </cell>
          <cell r="H5208">
            <v>0</v>
          </cell>
        </row>
        <row r="5209">
          <cell r="D5209" t="str">
            <v>IT&amp;NS</v>
          </cell>
          <cell r="F5209">
            <v>0</v>
          </cell>
          <cell r="G5209">
            <v>275</v>
          </cell>
          <cell r="H5209">
            <v>0</v>
          </cell>
        </row>
        <row r="5210">
          <cell r="D5210" t="str">
            <v>IT&amp;NS</v>
          </cell>
          <cell r="F5210">
            <v>4608.45</v>
          </cell>
          <cell r="G5210">
            <v>275</v>
          </cell>
          <cell r="H5210">
            <v>3936.7342465753422</v>
          </cell>
        </row>
        <row r="5211">
          <cell r="D5211" t="str">
            <v>IT&amp;NS</v>
          </cell>
          <cell r="F5211">
            <v>10465.518852459016</v>
          </cell>
          <cell r="G5211">
            <v>275</v>
          </cell>
          <cell r="H5211">
            <v>9134.3003593083304</v>
          </cell>
        </row>
        <row r="5212">
          <cell r="D5212" t="str">
            <v>IT&amp;NS</v>
          </cell>
          <cell r="F5212">
            <v>5358.7161202185789</v>
          </cell>
          <cell r="G5212">
            <v>275</v>
          </cell>
          <cell r="H5212">
            <v>4687.0003667939218</v>
          </cell>
        </row>
        <row r="5213">
          <cell r="D5213" t="str">
            <v>IT&amp;NS</v>
          </cell>
          <cell r="F5213">
            <v>0</v>
          </cell>
          <cell r="G5213">
            <v>275</v>
          </cell>
          <cell r="H5213">
            <v>0</v>
          </cell>
        </row>
        <row r="5214">
          <cell r="D5214" t="str">
            <v>IT&amp;NS</v>
          </cell>
          <cell r="F5214">
            <v>0</v>
          </cell>
          <cell r="G5214">
            <v>275</v>
          </cell>
          <cell r="H5214">
            <v>0</v>
          </cell>
        </row>
        <row r="5215">
          <cell r="D5215" t="str">
            <v>IT&amp;NS</v>
          </cell>
          <cell r="F5215">
            <v>0</v>
          </cell>
          <cell r="G5215">
            <v>275</v>
          </cell>
          <cell r="H5215">
            <v>0</v>
          </cell>
        </row>
        <row r="5216">
          <cell r="D5216" t="str">
            <v>IT&amp;NS</v>
          </cell>
          <cell r="F5216">
            <v>0</v>
          </cell>
          <cell r="G5216">
            <v>275</v>
          </cell>
          <cell r="H5216">
            <v>0</v>
          </cell>
        </row>
        <row r="5217">
          <cell r="D5217" t="str">
            <v>IT&amp;NS</v>
          </cell>
          <cell r="F5217">
            <v>0</v>
          </cell>
          <cell r="G5217">
            <v>275</v>
          </cell>
          <cell r="H5217">
            <v>0</v>
          </cell>
        </row>
        <row r="5218">
          <cell r="D5218" t="str">
            <v>IT&amp;NS</v>
          </cell>
          <cell r="F5218">
            <v>0</v>
          </cell>
          <cell r="G5218">
            <v>275</v>
          </cell>
          <cell r="H5218">
            <v>0</v>
          </cell>
        </row>
        <row r="5219">
          <cell r="D5219" t="str">
            <v>IT&amp;NS</v>
          </cell>
          <cell r="F5219">
            <v>0</v>
          </cell>
          <cell r="G5219">
            <v>275</v>
          </cell>
          <cell r="H5219">
            <v>0</v>
          </cell>
        </row>
        <row r="5220">
          <cell r="D5220" t="str">
            <v>IT&amp;NS</v>
          </cell>
          <cell r="F5220">
            <v>0</v>
          </cell>
          <cell r="G5220">
            <v>275</v>
          </cell>
          <cell r="H5220">
            <v>0</v>
          </cell>
        </row>
        <row r="5221">
          <cell r="D5221" t="str">
            <v>IT&amp;NS</v>
          </cell>
          <cell r="F5221">
            <v>0</v>
          </cell>
          <cell r="G5221">
            <v>275</v>
          </cell>
          <cell r="H5221">
            <v>0</v>
          </cell>
        </row>
        <row r="5222">
          <cell r="D5222" t="str">
            <v>IT&amp;NS</v>
          </cell>
          <cell r="F5222">
            <v>0</v>
          </cell>
          <cell r="G5222">
            <v>275</v>
          </cell>
          <cell r="H5222">
            <v>0</v>
          </cell>
        </row>
        <row r="5223">
          <cell r="D5223" t="str">
            <v>IT&amp;NS</v>
          </cell>
          <cell r="F5223">
            <v>0</v>
          </cell>
          <cell r="G5223">
            <v>275</v>
          </cell>
          <cell r="H5223">
            <v>0</v>
          </cell>
        </row>
        <row r="5224">
          <cell r="D5224" t="str">
            <v>IT&amp;NS</v>
          </cell>
          <cell r="F5224">
            <v>0</v>
          </cell>
          <cell r="G5224">
            <v>275</v>
          </cell>
          <cell r="H5224">
            <v>0</v>
          </cell>
        </row>
        <row r="5225">
          <cell r="D5225" t="str">
            <v>IT&amp;NS</v>
          </cell>
          <cell r="F5225">
            <v>0</v>
          </cell>
          <cell r="G5225">
            <v>275</v>
          </cell>
          <cell r="H5225">
            <v>0</v>
          </cell>
        </row>
        <row r="5226">
          <cell r="D5226" t="str">
            <v>IT&amp;NS</v>
          </cell>
          <cell r="F5226">
            <v>54919.97049180328</v>
          </cell>
          <cell r="G5226">
            <v>275</v>
          </cell>
          <cell r="H5226">
            <v>47934.12665618684</v>
          </cell>
        </row>
        <row r="5227">
          <cell r="D5227" t="str">
            <v>IT&amp;NS</v>
          </cell>
          <cell r="F5227">
            <v>0</v>
          </cell>
          <cell r="G5227">
            <v>275</v>
          </cell>
          <cell r="H5227">
            <v>0</v>
          </cell>
        </row>
        <row r="5228">
          <cell r="D5228" t="str">
            <v>IT&amp;NS</v>
          </cell>
          <cell r="F5228">
            <v>0</v>
          </cell>
          <cell r="G5228">
            <v>275</v>
          </cell>
          <cell r="H5228">
            <v>0</v>
          </cell>
        </row>
        <row r="5229">
          <cell r="D5229" t="str">
            <v>IT&amp;NS</v>
          </cell>
          <cell r="F5229">
            <v>0</v>
          </cell>
          <cell r="G5229">
            <v>275</v>
          </cell>
          <cell r="H5229">
            <v>0</v>
          </cell>
        </row>
        <row r="5230">
          <cell r="D5230" t="str">
            <v>IT&amp;NS</v>
          </cell>
          <cell r="F5230">
            <v>12689.086885245903</v>
          </cell>
          <cell r="G5230">
            <v>275</v>
          </cell>
          <cell r="H5230">
            <v>11101.395104423986</v>
          </cell>
        </row>
        <row r="5231">
          <cell r="D5231" t="str">
            <v>IT&amp;NS</v>
          </cell>
          <cell r="F5231">
            <v>0</v>
          </cell>
          <cell r="G5231">
            <v>275</v>
          </cell>
          <cell r="H5231">
            <v>0</v>
          </cell>
        </row>
        <row r="5232">
          <cell r="D5232" t="str">
            <v>IT&amp;NS</v>
          </cell>
          <cell r="F5232">
            <v>0</v>
          </cell>
          <cell r="G5232">
            <v>275</v>
          </cell>
          <cell r="H5232">
            <v>0</v>
          </cell>
        </row>
        <row r="5233">
          <cell r="D5233" t="str">
            <v>IT&amp;NS</v>
          </cell>
          <cell r="F5233">
            <v>0</v>
          </cell>
          <cell r="G5233">
            <v>275</v>
          </cell>
          <cell r="H5233">
            <v>0</v>
          </cell>
        </row>
        <row r="5234">
          <cell r="D5234" t="str">
            <v>IT&amp;NS</v>
          </cell>
          <cell r="F5234">
            <v>0</v>
          </cell>
          <cell r="G5234">
            <v>275</v>
          </cell>
          <cell r="H5234">
            <v>0</v>
          </cell>
        </row>
        <row r="5235">
          <cell r="D5235" t="str">
            <v>IT&amp;NS</v>
          </cell>
          <cell r="F5235">
            <v>0</v>
          </cell>
          <cell r="G5235">
            <v>275</v>
          </cell>
          <cell r="H5235">
            <v>0</v>
          </cell>
        </row>
        <row r="5236">
          <cell r="D5236" t="str">
            <v>IT&amp;NS</v>
          </cell>
          <cell r="F5236">
            <v>0</v>
          </cell>
          <cell r="G5236">
            <v>275</v>
          </cell>
          <cell r="H5236">
            <v>0</v>
          </cell>
        </row>
        <row r="5237">
          <cell r="D5237" t="str">
            <v>IT&amp;NS</v>
          </cell>
          <cell r="F5237">
            <v>0</v>
          </cell>
          <cell r="G5237">
            <v>275</v>
          </cell>
          <cell r="H5237">
            <v>0</v>
          </cell>
        </row>
        <row r="5238">
          <cell r="D5238" t="str">
            <v>IT&amp;NS</v>
          </cell>
          <cell r="F5238">
            <v>12729.39043715847</v>
          </cell>
          <cell r="G5238">
            <v>275</v>
          </cell>
          <cell r="H5238">
            <v>11141.698656336554</v>
          </cell>
        </row>
        <row r="5239">
          <cell r="D5239" t="str">
            <v>IT&amp;NS</v>
          </cell>
          <cell r="F5239">
            <v>0</v>
          </cell>
          <cell r="G5239">
            <v>275</v>
          </cell>
          <cell r="H5239">
            <v>0</v>
          </cell>
        </row>
        <row r="5240">
          <cell r="D5240" t="str">
            <v>IT&amp;NS</v>
          </cell>
          <cell r="F5240">
            <v>0</v>
          </cell>
          <cell r="G5240">
            <v>275</v>
          </cell>
          <cell r="H5240">
            <v>0</v>
          </cell>
        </row>
        <row r="5241">
          <cell r="D5241" t="str">
            <v>IT&amp;NS</v>
          </cell>
          <cell r="F5241">
            <v>0</v>
          </cell>
          <cell r="G5241">
            <v>275</v>
          </cell>
          <cell r="H5241">
            <v>0</v>
          </cell>
        </row>
        <row r="5242">
          <cell r="D5242" t="str">
            <v>IT&amp;NS</v>
          </cell>
          <cell r="F5242">
            <v>0</v>
          </cell>
          <cell r="G5242">
            <v>275</v>
          </cell>
          <cell r="H5242">
            <v>0</v>
          </cell>
        </row>
        <row r="5243">
          <cell r="D5243" t="str">
            <v>IT&amp;NS</v>
          </cell>
          <cell r="F5243">
            <v>8489.0958196721313</v>
          </cell>
          <cell r="G5243">
            <v>275</v>
          </cell>
          <cell r="H5243">
            <v>7432.6701347406242</v>
          </cell>
        </row>
        <row r="5244">
          <cell r="D5244" t="str">
            <v>IT&amp;NS</v>
          </cell>
          <cell r="F5244">
            <v>0</v>
          </cell>
          <cell r="G5244">
            <v>275</v>
          </cell>
          <cell r="H5244">
            <v>0</v>
          </cell>
        </row>
        <row r="5245">
          <cell r="D5245" t="str">
            <v>IT&amp;NS</v>
          </cell>
          <cell r="F5245">
            <v>0</v>
          </cell>
          <cell r="G5245">
            <v>275</v>
          </cell>
          <cell r="H5245">
            <v>0</v>
          </cell>
        </row>
        <row r="5246">
          <cell r="D5246" t="str">
            <v>IT&amp;NS</v>
          </cell>
          <cell r="F5246">
            <v>0</v>
          </cell>
          <cell r="G5246">
            <v>275</v>
          </cell>
          <cell r="H5246">
            <v>0</v>
          </cell>
        </row>
        <row r="5247">
          <cell r="D5247" t="str">
            <v>IT&amp;NS</v>
          </cell>
          <cell r="F5247">
            <v>0</v>
          </cell>
          <cell r="G5247">
            <v>275</v>
          </cell>
          <cell r="H5247">
            <v>0</v>
          </cell>
        </row>
        <row r="5248">
          <cell r="D5248" t="str">
            <v>IT&amp;NS</v>
          </cell>
          <cell r="F5248">
            <v>0</v>
          </cell>
          <cell r="G5248">
            <v>275</v>
          </cell>
          <cell r="H5248">
            <v>0</v>
          </cell>
        </row>
        <row r="5249">
          <cell r="D5249" t="str">
            <v>IT&amp;NS</v>
          </cell>
          <cell r="F5249">
            <v>0</v>
          </cell>
          <cell r="G5249">
            <v>275</v>
          </cell>
          <cell r="H5249">
            <v>0</v>
          </cell>
        </row>
        <row r="5250">
          <cell r="D5250" t="str">
            <v>IT&amp;NS</v>
          </cell>
          <cell r="F5250">
            <v>0</v>
          </cell>
          <cell r="G5250">
            <v>275</v>
          </cell>
          <cell r="H5250">
            <v>0</v>
          </cell>
        </row>
        <row r="5251">
          <cell r="D5251" t="str">
            <v>IT&amp;NS</v>
          </cell>
          <cell r="F5251">
            <v>0</v>
          </cell>
          <cell r="G5251">
            <v>275</v>
          </cell>
          <cell r="H5251">
            <v>0</v>
          </cell>
        </row>
        <row r="5252">
          <cell r="D5252" t="str">
            <v>IT&amp;NS</v>
          </cell>
          <cell r="F5252">
            <v>4621.1421</v>
          </cell>
          <cell r="G5252">
            <v>275</v>
          </cell>
          <cell r="H5252">
            <v>3864.0573808219178</v>
          </cell>
        </row>
        <row r="5253">
          <cell r="D5253" t="str">
            <v>IT&amp;NS</v>
          </cell>
          <cell r="F5253">
            <v>4980.1337210000002</v>
          </cell>
          <cell r="G5253">
            <v>275</v>
          </cell>
          <cell r="H5253">
            <v>4223.0502231232877</v>
          </cell>
        </row>
        <row r="5254">
          <cell r="D5254" t="str">
            <v>IT&amp;NS</v>
          </cell>
          <cell r="F5254">
            <v>0</v>
          </cell>
          <cell r="G5254">
            <v>275</v>
          </cell>
          <cell r="H5254">
            <v>0</v>
          </cell>
        </row>
        <row r="5255">
          <cell r="D5255" t="str">
            <v>IT&amp;NS</v>
          </cell>
          <cell r="F5255">
            <v>4980.1337210000002</v>
          </cell>
          <cell r="G5255">
            <v>275</v>
          </cell>
          <cell r="H5255">
            <v>4223.0502231232877</v>
          </cell>
        </row>
        <row r="5256">
          <cell r="D5256" t="str">
            <v>IT&amp;NS</v>
          </cell>
          <cell r="F5256">
            <v>11446.523621</v>
          </cell>
          <cell r="G5256">
            <v>275</v>
          </cell>
          <cell r="H5256">
            <v>9604.8023765479447</v>
          </cell>
        </row>
        <row r="5257">
          <cell r="D5257" t="str">
            <v>IT&amp;NS</v>
          </cell>
          <cell r="F5257">
            <v>11446.523621</v>
          </cell>
          <cell r="G5257">
            <v>275</v>
          </cell>
          <cell r="H5257">
            <v>9604.8023765479447</v>
          </cell>
        </row>
        <row r="5258">
          <cell r="D5258" t="str">
            <v>IT&amp;NS</v>
          </cell>
          <cell r="F5258">
            <v>0</v>
          </cell>
          <cell r="G5258">
            <v>275</v>
          </cell>
          <cell r="H5258">
            <v>0</v>
          </cell>
        </row>
        <row r="5259">
          <cell r="D5259" t="str">
            <v>IT&amp;NS</v>
          </cell>
          <cell r="F5259">
            <v>0</v>
          </cell>
          <cell r="G5259">
            <v>275</v>
          </cell>
          <cell r="H5259">
            <v>0</v>
          </cell>
        </row>
        <row r="5260">
          <cell r="D5260" t="str">
            <v>IT&amp;NS</v>
          </cell>
          <cell r="F5260">
            <v>0</v>
          </cell>
          <cell r="G5260">
            <v>275</v>
          </cell>
          <cell r="H5260">
            <v>0</v>
          </cell>
        </row>
        <row r="5261">
          <cell r="D5261" t="str">
            <v>IT&amp;NS</v>
          </cell>
          <cell r="F5261">
            <v>0</v>
          </cell>
          <cell r="G5261">
            <v>275</v>
          </cell>
          <cell r="H5261">
            <v>0</v>
          </cell>
        </row>
        <row r="5262">
          <cell r="D5262" t="str">
            <v>IT&amp;NS</v>
          </cell>
          <cell r="F5262">
            <v>0</v>
          </cell>
          <cell r="G5262">
            <v>275</v>
          </cell>
          <cell r="H5262">
            <v>0</v>
          </cell>
        </row>
        <row r="5263">
          <cell r="D5263" t="str">
            <v>IT&amp;NS</v>
          </cell>
          <cell r="F5263">
            <v>0</v>
          </cell>
          <cell r="G5263">
            <v>275</v>
          </cell>
          <cell r="H5263">
            <v>0</v>
          </cell>
        </row>
        <row r="5264">
          <cell r="D5264" t="str">
            <v>IT&amp;NS</v>
          </cell>
          <cell r="F5264">
            <v>0</v>
          </cell>
          <cell r="G5264">
            <v>275</v>
          </cell>
          <cell r="H5264">
            <v>0</v>
          </cell>
        </row>
        <row r="5265">
          <cell r="D5265" t="str">
            <v>IT&amp;NS</v>
          </cell>
          <cell r="F5265">
            <v>0</v>
          </cell>
          <cell r="G5265">
            <v>275</v>
          </cell>
          <cell r="H5265">
            <v>0</v>
          </cell>
        </row>
        <row r="5266">
          <cell r="D5266" t="str">
            <v>IT&amp;NS</v>
          </cell>
          <cell r="F5266">
            <v>0</v>
          </cell>
          <cell r="G5266">
            <v>275</v>
          </cell>
          <cell r="H5266">
            <v>0</v>
          </cell>
        </row>
        <row r="5267">
          <cell r="D5267" t="str">
            <v>IT&amp;NS</v>
          </cell>
          <cell r="F5267">
            <v>0</v>
          </cell>
          <cell r="G5267">
            <v>275</v>
          </cell>
          <cell r="H5267">
            <v>0</v>
          </cell>
        </row>
        <row r="5268">
          <cell r="D5268" t="str">
            <v>IT&amp;NS</v>
          </cell>
          <cell r="F5268">
            <v>0</v>
          </cell>
          <cell r="G5268">
            <v>275</v>
          </cell>
          <cell r="H5268">
            <v>0</v>
          </cell>
        </row>
        <row r="5269">
          <cell r="D5269" t="str">
            <v>IT&amp;NS</v>
          </cell>
          <cell r="F5269">
            <v>0</v>
          </cell>
          <cell r="G5269">
            <v>275</v>
          </cell>
          <cell r="H5269">
            <v>0</v>
          </cell>
        </row>
        <row r="5270">
          <cell r="D5270" t="str">
            <v>IT&amp;NS</v>
          </cell>
          <cell r="F5270">
            <v>0</v>
          </cell>
          <cell r="G5270">
            <v>275</v>
          </cell>
          <cell r="H5270">
            <v>0</v>
          </cell>
        </row>
        <row r="5271">
          <cell r="D5271" t="str">
            <v>IT&amp;NS</v>
          </cell>
          <cell r="F5271">
            <v>0</v>
          </cell>
          <cell r="G5271">
            <v>275</v>
          </cell>
          <cell r="H5271">
            <v>0</v>
          </cell>
        </row>
        <row r="5272">
          <cell r="D5272" t="str">
            <v>IT&amp;NS</v>
          </cell>
          <cell r="F5272">
            <v>0</v>
          </cell>
          <cell r="G5272">
            <v>275</v>
          </cell>
          <cell r="H5272">
            <v>0</v>
          </cell>
        </row>
        <row r="5273">
          <cell r="D5273" t="str">
            <v>IT&amp;NS</v>
          </cell>
          <cell r="F5273">
            <v>0</v>
          </cell>
          <cell r="G5273">
            <v>275</v>
          </cell>
          <cell r="H5273">
            <v>0</v>
          </cell>
        </row>
        <row r="5274">
          <cell r="D5274" t="str">
            <v>IT&amp;NS</v>
          </cell>
          <cell r="F5274">
            <v>0</v>
          </cell>
          <cell r="G5274">
            <v>275</v>
          </cell>
          <cell r="H5274">
            <v>0</v>
          </cell>
        </row>
        <row r="5275">
          <cell r="D5275" t="str">
            <v>IT&amp;NS</v>
          </cell>
          <cell r="F5275">
            <v>4413.2083999999995</v>
          </cell>
          <cell r="G5275">
            <v>275</v>
          </cell>
          <cell r="H5275">
            <v>3632.0640438356158</v>
          </cell>
        </row>
        <row r="5276">
          <cell r="D5276" t="str">
            <v>IT&amp;NS</v>
          </cell>
          <cell r="F5276">
            <v>8618.1424000000006</v>
          </cell>
          <cell r="G5276">
            <v>275</v>
          </cell>
          <cell r="H5276">
            <v>7170.1674958904114</v>
          </cell>
        </row>
        <row r="5277">
          <cell r="D5277" t="str">
            <v>IT&amp;NS</v>
          </cell>
          <cell r="F5277">
            <v>0</v>
          </cell>
          <cell r="G5277">
            <v>275</v>
          </cell>
          <cell r="H5277">
            <v>0</v>
          </cell>
        </row>
        <row r="5278">
          <cell r="D5278" t="str">
            <v>IT&amp;NS</v>
          </cell>
          <cell r="F5278">
            <v>0</v>
          </cell>
          <cell r="G5278">
            <v>275</v>
          </cell>
          <cell r="H5278">
            <v>0</v>
          </cell>
        </row>
        <row r="5279">
          <cell r="D5279" t="str">
            <v>IT&amp;NS</v>
          </cell>
          <cell r="F5279">
            <v>0</v>
          </cell>
          <cell r="G5279">
            <v>275</v>
          </cell>
          <cell r="H5279">
            <v>0</v>
          </cell>
        </row>
        <row r="5280">
          <cell r="D5280" t="str">
            <v>IT&amp;NS</v>
          </cell>
          <cell r="F5280">
            <v>0</v>
          </cell>
          <cell r="G5280">
            <v>275</v>
          </cell>
          <cell r="H5280">
            <v>0</v>
          </cell>
        </row>
        <row r="5281">
          <cell r="D5281" t="str">
            <v>IT&amp;NS</v>
          </cell>
          <cell r="F5281">
            <v>0</v>
          </cell>
          <cell r="G5281">
            <v>275</v>
          </cell>
          <cell r="H5281">
            <v>0</v>
          </cell>
        </row>
        <row r="5282">
          <cell r="D5282" t="str">
            <v>IT&amp;NS</v>
          </cell>
          <cell r="F5282">
            <v>0</v>
          </cell>
          <cell r="G5282">
            <v>275</v>
          </cell>
          <cell r="H5282">
            <v>0</v>
          </cell>
        </row>
        <row r="5283">
          <cell r="D5283" t="str">
            <v>IT&amp;NS</v>
          </cell>
          <cell r="F5283">
            <v>0</v>
          </cell>
          <cell r="G5283">
            <v>275</v>
          </cell>
          <cell r="H5283">
            <v>0</v>
          </cell>
        </row>
        <row r="5284">
          <cell r="D5284" t="str">
            <v>IT&amp;NS</v>
          </cell>
          <cell r="F5284">
            <v>0</v>
          </cell>
          <cell r="G5284">
            <v>275</v>
          </cell>
          <cell r="H5284">
            <v>0</v>
          </cell>
        </row>
        <row r="5285">
          <cell r="D5285" t="str">
            <v>IT&amp;NS</v>
          </cell>
          <cell r="F5285">
            <v>0</v>
          </cell>
          <cell r="G5285">
            <v>275</v>
          </cell>
          <cell r="H5285">
            <v>0</v>
          </cell>
        </row>
        <row r="5286">
          <cell r="D5286" t="str">
            <v>IT&amp;NS</v>
          </cell>
          <cell r="F5286">
            <v>0</v>
          </cell>
          <cell r="G5286">
            <v>275</v>
          </cell>
          <cell r="H5286">
            <v>0</v>
          </cell>
        </row>
        <row r="5287">
          <cell r="D5287" t="str">
            <v>IT&amp;NS</v>
          </cell>
          <cell r="F5287">
            <v>0</v>
          </cell>
          <cell r="G5287">
            <v>275</v>
          </cell>
          <cell r="H5287">
            <v>0</v>
          </cell>
        </row>
        <row r="5288">
          <cell r="D5288" t="str">
            <v>IT&amp;NS</v>
          </cell>
          <cell r="F5288">
            <v>0</v>
          </cell>
          <cell r="G5288">
            <v>275</v>
          </cell>
          <cell r="H5288">
            <v>0</v>
          </cell>
        </row>
        <row r="5289">
          <cell r="D5289" t="str">
            <v>IT&amp;NS</v>
          </cell>
          <cell r="F5289">
            <v>12049.119016393443</v>
          </cell>
          <cell r="G5289">
            <v>275</v>
          </cell>
          <cell r="H5289">
            <v>10314.871071187963</v>
          </cell>
        </row>
        <row r="5290">
          <cell r="D5290" t="str">
            <v>IT&amp;NS</v>
          </cell>
          <cell r="F5290">
            <v>0</v>
          </cell>
          <cell r="G5290">
            <v>275</v>
          </cell>
          <cell r="H5290">
            <v>0</v>
          </cell>
        </row>
        <row r="5291">
          <cell r="D5291" t="str">
            <v>IT&amp;NS</v>
          </cell>
          <cell r="F5291">
            <v>0</v>
          </cell>
          <cell r="G5291">
            <v>275</v>
          </cell>
          <cell r="H5291">
            <v>0</v>
          </cell>
        </row>
        <row r="5292">
          <cell r="D5292" t="str">
            <v>IT&amp;NS</v>
          </cell>
          <cell r="F5292">
            <v>0</v>
          </cell>
          <cell r="G5292">
            <v>275</v>
          </cell>
          <cell r="H5292">
            <v>0</v>
          </cell>
        </row>
        <row r="5293">
          <cell r="D5293" t="str">
            <v>IT&amp;NS</v>
          </cell>
          <cell r="F5293">
            <v>0</v>
          </cell>
          <cell r="G5293">
            <v>275</v>
          </cell>
          <cell r="H5293">
            <v>0</v>
          </cell>
        </row>
        <row r="5294">
          <cell r="D5294" t="str">
            <v>IT&amp;NS</v>
          </cell>
          <cell r="F5294">
            <v>0</v>
          </cell>
          <cell r="G5294">
            <v>275</v>
          </cell>
          <cell r="H5294">
            <v>0</v>
          </cell>
        </row>
        <row r="5295">
          <cell r="D5295" t="str">
            <v>IT&amp;NS</v>
          </cell>
          <cell r="F5295">
            <v>0</v>
          </cell>
          <cell r="G5295">
            <v>275</v>
          </cell>
          <cell r="H5295">
            <v>0</v>
          </cell>
        </row>
        <row r="5296">
          <cell r="D5296" t="str">
            <v>IT&amp;NS</v>
          </cell>
          <cell r="F5296">
            <v>0</v>
          </cell>
          <cell r="G5296">
            <v>275</v>
          </cell>
          <cell r="H5296">
            <v>0</v>
          </cell>
        </row>
        <row r="5297">
          <cell r="D5297" t="str">
            <v>IT&amp;NS</v>
          </cell>
          <cell r="F5297">
            <v>0</v>
          </cell>
          <cell r="G5297">
            <v>275</v>
          </cell>
          <cell r="H5297">
            <v>0</v>
          </cell>
        </row>
        <row r="5298">
          <cell r="D5298" t="str">
            <v>IT&amp;NS</v>
          </cell>
          <cell r="F5298">
            <v>0</v>
          </cell>
          <cell r="G5298">
            <v>275</v>
          </cell>
          <cell r="H5298">
            <v>0</v>
          </cell>
        </row>
        <row r="5299">
          <cell r="D5299" t="str">
            <v>IT&amp;NS</v>
          </cell>
          <cell r="F5299">
            <v>0</v>
          </cell>
          <cell r="G5299">
            <v>275</v>
          </cell>
          <cell r="H5299">
            <v>0</v>
          </cell>
        </row>
        <row r="5300">
          <cell r="D5300" t="str">
            <v>IT&amp;NS</v>
          </cell>
          <cell r="F5300">
            <v>0</v>
          </cell>
          <cell r="G5300">
            <v>275</v>
          </cell>
          <cell r="H5300">
            <v>0</v>
          </cell>
        </row>
        <row r="5301">
          <cell r="D5301" t="str">
            <v>IT&amp;NS</v>
          </cell>
          <cell r="F5301">
            <v>0</v>
          </cell>
          <cell r="G5301">
            <v>275</v>
          </cell>
          <cell r="H5301">
            <v>0</v>
          </cell>
        </row>
        <row r="5302">
          <cell r="D5302" t="str">
            <v>IT&amp;NS</v>
          </cell>
          <cell r="F5302">
            <v>0</v>
          </cell>
          <cell r="G5302">
            <v>275</v>
          </cell>
          <cell r="H5302">
            <v>0</v>
          </cell>
        </row>
        <row r="5303">
          <cell r="D5303" t="str">
            <v>IT&amp;NS</v>
          </cell>
          <cell r="F5303">
            <v>0</v>
          </cell>
          <cell r="G5303">
            <v>275</v>
          </cell>
          <cell r="H5303">
            <v>0</v>
          </cell>
        </row>
        <row r="5304">
          <cell r="D5304" t="str">
            <v>IT&amp;NS</v>
          </cell>
          <cell r="F5304">
            <v>0</v>
          </cell>
          <cell r="G5304">
            <v>275</v>
          </cell>
          <cell r="H5304">
            <v>0</v>
          </cell>
        </row>
        <row r="5305">
          <cell r="D5305" t="str">
            <v>IT&amp;NS</v>
          </cell>
          <cell r="F5305">
            <v>0</v>
          </cell>
          <cell r="G5305">
            <v>275</v>
          </cell>
          <cell r="H5305">
            <v>0</v>
          </cell>
        </row>
        <row r="5306">
          <cell r="D5306" t="str">
            <v>IT&amp;NS</v>
          </cell>
          <cell r="F5306">
            <v>0</v>
          </cell>
          <cell r="G5306">
            <v>275</v>
          </cell>
          <cell r="H5306">
            <v>0</v>
          </cell>
        </row>
        <row r="5307">
          <cell r="D5307" t="str">
            <v>IT&amp;NS</v>
          </cell>
          <cell r="F5307">
            <v>0</v>
          </cell>
          <cell r="G5307">
            <v>275</v>
          </cell>
          <cell r="H5307">
            <v>0</v>
          </cell>
        </row>
        <row r="5308">
          <cell r="D5308" t="str">
            <v>IT&amp;NS</v>
          </cell>
          <cell r="F5308">
            <v>0</v>
          </cell>
          <cell r="G5308">
            <v>275</v>
          </cell>
          <cell r="H5308">
            <v>0</v>
          </cell>
        </row>
        <row r="5309">
          <cell r="D5309" t="str">
            <v>IT&amp;NS</v>
          </cell>
          <cell r="F5309">
            <v>0</v>
          </cell>
          <cell r="G5309">
            <v>275</v>
          </cell>
          <cell r="H5309">
            <v>0</v>
          </cell>
        </row>
        <row r="5310">
          <cell r="D5310" t="str">
            <v>IT&amp;NS</v>
          </cell>
          <cell r="F5310">
            <v>0</v>
          </cell>
          <cell r="G5310">
            <v>275</v>
          </cell>
          <cell r="H5310">
            <v>0</v>
          </cell>
        </row>
        <row r="5311">
          <cell r="D5311" t="str">
            <v>IT&amp;NS</v>
          </cell>
          <cell r="F5311">
            <v>0</v>
          </cell>
          <cell r="G5311">
            <v>275</v>
          </cell>
          <cell r="H5311">
            <v>0</v>
          </cell>
        </row>
        <row r="5312">
          <cell r="D5312" t="str">
            <v>IT&amp;NS</v>
          </cell>
          <cell r="F5312">
            <v>0</v>
          </cell>
          <cell r="G5312">
            <v>275</v>
          </cell>
          <cell r="H5312">
            <v>0</v>
          </cell>
        </row>
        <row r="5313">
          <cell r="D5313" t="str">
            <v>IT&amp;NS</v>
          </cell>
          <cell r="F5313">
            <v>0</v>
          </cell>
          <cell r="G5313">
            <v>275</v>
          </cell>
          <cell r="H5313">
            <v>0</v>
          </cell>
        </row>
        <row r="5314">
          <cell r="D5314" t="str">
            <v>IT&amp;NS</v>
          </cell>
          <cell r="F5314">
            <v>0</v>
          </cell>
          <cell r="G5314">
            <v>275</v>
          </cell>
          <cell r="H5314">
            <v>0</v>
          </cell>
        </row>
        <row r="5315">
          <cell r="D5315" t="str">
            <v>IT&amp;NS</v>
          </cell>
          <cell r="F5315">
            <v>0</v>
          </cell>
          <cell r="G5315">
            <v>275</v>
          </cell>
          <cell r="H5315">
            <v>0</v>
          </cell>
        </row>
        <row r="5316">
          <cell r="D5316" t="str">
            <v>IT&amp;NS</v>
          </cell>
          <cell r="F5316">
            <v>0</v>
          </cell>
          <cell r="G5316">
            <v>275</v>
          </cell>
          <cell r="H5316">
            <v>0</v>
          </cell>
        </row>
        <row r="5317">
          <cell r="D5317" t="str">
            <v>IT&amp;NS</v>
          </cell>
          <cell r="F5317">
            <v>0</v>
          </cell>
          <cell r="G5317">
            <v>275</v>
          </cell>
          <cell r="H5317">
            <v>0</v>
          </cell>
        </row>
        <row r="5318">
          <cell r="D5318" t="str">
            <v>IT&amp;NS</v>
          </cell>
          <cell r="F5318">
            <v>0</v>
          </cell>
          <cell r="G5318">
            <v>275</v>
          </cell>
          <cell r="H5318">
            <v>0</v>
          </cell>
        </row>
        <row r="5319">
          <cell r="D5319" t="str">
            <v>IT&amp;NS</v>
          </cell>
          <cell r="F5319">
            <v>0</v>
          </cell>
          <cell r="G5319">
            <v>275</v>
          </cell>
          <cell r="H5319">
            <v>0</v>
          </cell>
        </row>
        <row r="5320">
          <cell r="D5320" t="str">
            <v>IT&amp;NS</v>
          </cell>
          <cell r="F5320">
            <v>0</v>
          </cell>
          <cell r="G5320">
            <v>275</v>
          </cell>
          <cell r="H5320">
            <v>0</v>
          </cell>
        </row>
        <row r="5321">
          <cell r="D5321" t="str">
            <v>IT&amp;NS</v>
          </cell>
          <cell r="F5321">
            <v>0</v>
          </cell>
          <cell r="G5321">
            <v>275</v>
          </cell>
          <cell r="H5321">
            <v>0</v>
          </cell>
        </row>
        <row r="5322">
          <cell r="D5322" t="str">
            <v>IT&amp;NS</v>
          </cell>
          <cell r="F5322">
            <v>0</v>
          </cell>
          <cell r="G5322">
            <v>275</v>
          </cell>
          <cell r="H5322">
            <v>0</v>
          </cell>
        </row>
        <row r="5323">
          <cell r="D5323" t="str">
            <v>IT&amp;NS</v>
          </cell>
          <cell r="F5323">
            <v>0</v>
          </cell>
          <cell r="G5323">
            <v>275</v>
          </cell>
          <cell r="H5323">
            <v>0</v>
          </cell>
        </row>
        <row r="5324">
          <cell r="D5324" t="str">
            <v>IT&amp;NS</v>
          </cell>
          <cell r="F5324">
            <v>0</v>
          </cell>
          <cell r="G5324">
            <v>275</v>
          </cell>
          <cell r="H5324">
            <v>0</v>
          </cell>
        </row>
        <row r="5325">
          <cell r="D5325" t="str">
            <v>IT&amp;NS</v>
          </cell>
          <cell r="F5325">
            <v>0</v>
          </cell>
          <cell r="G5325">
            <v>275</v>
          </cell>
          <cell r="H5325">
            <v>0</v>
          </cell>
        </row>
        <row r="5326">
          <cell r="D5326" t="str">
            <v>IT&amp;NS</v>
          </cell>
          <cell r="F5326">
            <v>0</v>
          </cell>
          <cell r="G5326">
            <v>275</v>
          </cell>
          <cell r="H5326">
            <v>0</v>
          </cell>
        </row>
        <row r="5327">
          <cell r="D5327" t="str">
            <v>IT&amp;NS</v>
          </cell>
          <cell r="F5327">
            <v>0</v>
          </cell>
          <cell r="G5327">
            <v>275</v>
          </cell>
          <cell r="H5327">
            <v>0</v>
          </cell>
        </row>
        <row r="5328">
          <cell r="D5328" t="str">
            <v>IT&amp;NS</v>
          </cell>
          <cell r="F5328">
            <v>0</v>
          </cell>
          <cell r="G5328">
            <v>275</v>
          </cell>
          <cell r="H5328">
            <v>0</v>
          </cell>
        </row>
        <row r="5329">
          <cell r="D5329" t="str">
            <v>IT&amp;NS</v>
          </cell>
          <cell r="F5329">
            <v>0</v>
          </cell>
          <cell r="G5329">
            <v>275</v>
          </cell>
          <cell r="H5329">
            <v>0</v>
          </cell>
        </row>
        <row r="5330">
          <cell r="D5330" t="str">
            <v>IT&amp;NS</v>
          </cell>
          <cell r="F5330">
            <v>0</v>
          </cell>
          <cell r="G5330">
            <v>275</v>
          </cell>
          <cell r="H5330">
            <v>0</v>
          </cell>
        </row>
        <row r="5331">
          <cell r="D5331" t="str">
            <v>IT&amp;NS</v>
          </cell>
          <cell r="F5331">
            <v>0</v>
          </cell>
          <cell r="G5331">
            <v>275</v>
          </cell>
          <cell r="H5331">
            <v>0</v>
          </cell>
        </row>
        <row r="5332">
          <cell r="D5332" t="str">
            <v>IT&amp;NS</v>
          </cell>
          <cell r="F5332">
            <v>0</v>
          </cell>
          <cell r="G5332">
            <v>275</v>
          </cell>
          <cell r="H5332">
            <v>0</v>
          </cell>
        </row>
        <row r="5333">
          <cell r="D5333" t="str">
            <v>IT&amp;NS</v>
          </cell>
          <cell r="F5333">
            <v>0</v>
          </cell>
          <cell r="G5333">
            <v>275</v>
          </cell>
          <cell r="H5333">
            <v>0</v>
          </cell>
        </row>
        <row r="5334">
          <cell r="D5334" t="str">
            <v>IT&amp;NS</v>
          </cell>
          <cell r="F5334">
            <v>0</v>
          </cell>
          <cell r="G5334">
            <v>275</v>
          </cell>
          <cell r="H5334">
            <v>0</v>
          </cell>
        </row>
        <row r="5335">
          <cell r="D5335" t="str">
            <v>IT&amp;NS</v>
          </cell>
          <cell r="F5335">
            <v>0</v>
          </cell>
          <cell r="G5335">
            <v>275</v>
          </cell>
          <cell r="H5335">
            <v>0</v>
          </cell>
        </row>
        <row r="5336">
          <cell r="D5336" t="str">
            <v>IT&amp;NS</v>
          </cell>
          <cell r="F5336">
            <v>0</v>
          </cell>
          <cell r="G5336">
            <v>275</v>
          </cell>
          <cell r="H5336">
            <v>0</v>
          </cell>
        </row>
        <row r="5337">
          <cell r="D5337" t="str">
            <v>IT&amp;NS</v>
          </cell>
          <cell r="F5337">
            <v>0</v>
          </cell>
          <cell r="G5337">
            <v>275</v>
          </cell>
          <cell r="H5337">
            <v>0</v>
          </cell>
        </row>
        <row r="5338">
          <cell r="D5338" t="str">
            <v>IT&amp;NS</v>
          </cell>
          <cell r="F5338">
            <v>0</v>
          </cell>
          <cell r="G5338">
            <v>275</v>
          </cell>
          <cell r="H5338">
            <v>0</v>
          </cell>
        </row>
        <row r="5339">
          <cell r="D5339" t="str">
            <v>IT&amp;NS</v>
          </cell>
          <cell r="F5339">
            <v>0</v>
          </cell>
          <cell r="G5339">
            <v>275</v>
          </cell>
          <cell r="H5339">
            <v>0</v>
          </cell>
        </row>
        <row r="5340">
          <cell r="D5340" t="str">
            <v>IT&amp;NS</v>
          </cell>
          <cell r="F5340">
            <v>0</v>
          </cell>
          <cell r="G5340">
            <v>275</v>
          </cell>
          <cell r="H5340">
            <v>0</v>
          </cell>
        </row>
        <row r="5341">
          <cell r="D5341" t="str">
            <v>IT&amp;NS</v>
          </cell>
          <cell r="F5341">
            <v>0</v>
          </cell>
          <cell r="G5341">
            <v>275</v>
          </cell>
          <cell r="H5341">
            <v>0</v>
          </cell>
        </row>
        <row r="5342">
          <cell r="D5342" t="str">
            <v>IT&amp;NS</v>
          </cell>
          <cell r="F5342">
            <v>0</v>
          </cell>
          <cell r="G5342">
            <v>275</v>
          </cell>
          <cell r="H5342">
            <v>0</v>
          </cell>
        </row>
        <row r="5343">
          <cell r="D5343" t="str">
            <v>IT&amp;NS</v>
          </cell>
          <cell r="F5343">
            <v>0</v>
          </cell>
          <cell r="G5343">
            <v>275</v>
          </cell>
          <cell r="H5343">
            <v>0</v>
          </cell>
        </row>
        <row r="5344">
          <cell r="D5344" t="str">
            <v>IT&amp;NS</v>
          </cell>
          <cell r="F5344">
            <v>0</v>
          </cell>
          <cell r="G5344">
            <v>275</v>
          </cell>
          <cell r="H5344">
            <v>0</v>
          </cell>
        </row>
        <row r="5345">
          <cell r="D5345" t="str">
            <v>IT&amp;NS</v>
          </cell>
          <cell r="F5345">
            <v>0</v>
          </cell>
          <cell r="G5345">
            <v>275</v>
          </cell>
          <cell r="H5345">
            <v>0</v>
          </cell>
        </row>
        <row r="5346">
          <cell r="D5346" t="str">
            <v>IT&amp;NS</v>
          </cell>
          <cell r="F5346">
            <v>0</v>
          </cell>
          <cell r="G5346">
            <v>275</v>
          </cell>
          <cell r="H5346">
            <v>0</v>
          </cell>
        </row>
        <row r="5347">
          <cell r="D5347" t="str">
            <v>IT&amp;NS</v>
          </cell>
          <cell r="F5347">
            <v>0</v>
          </cell>
          <cell r="G5347">
            <v>275</v>
          </cell>
          <cell r="H5347">
            <v>0</v>
          </cell>
        </row>
        <row r="5348">
          <cell r="D5348" t="str">
            <v>IT&amp;NS</v>
          </cell>
          <cell r="F5348">
            <v>0</v>
          </cell>
          <cell r="G5348">
            <v>275</v>
          </cell>
          <cell r="H5348">
            <v>0</v>
          </cell>
        </row>
        <row r="5349">
          <cell r="D5349" t="str">
            <v>IT&amp;NS</v>
          </cell>
          <cell r="F5349">
            <v>0</v>
          </cell>
          <cell r="G5349">
            <v>275</v>
          </cell>
          <cell r="H5349">
            <v>0</v>
          </cell>
        </row>
        <row r="5350">
          <cell r="D5350" t="str">
            <v>IT&amp;NS</v>
          </cell>
          <cell r="F5350">
            <v>0</v>
          </cell>
          <cell r="G5350">
            <v>275</v>
          </cell>
          <cell r="H5350">
            <v>0</v>
          </cell>
        </row>
        <row r="5351">
          <cell r="D5351" t="str">
            <v>IT&amp;NS</v>
          </cell>
          <cell r="F5351">
            <v>0</v>
          </cell>
          <cell r="G5351">
            <v>275</v>
          </cell>
          <cell r="H5351">
            <v>0</v>
          </cell>
        </row>
        <row r="5352">
          <cell r="D5352" t="str">
            <v>IT&amp;NS</v>
          </cell>
          <cell r="F5352">
            <v>0</v>
          </cell>
          <cell r="G5352">
            <v>275</v>
          </cell>
          <cell r="H5352">
            <v>0</v>
          </cell>
        </row>
        <row r="5353">
          <cell r="D5353" t="str">
            <v>IT&amp;NS</v>
          </cell>
          <cell r="F5353">
            <v>0</v>
          </cell>
          <cell r="G5353">
            <v>275</v>
          </cell>
          <cell r="H5353">
            <v>0</v>
          </cell>
        </row>
        <row r="5354">
          <cell r="D5354" t="str">
            <v>IT&amp;NS</v>
          </cell>
          <cell r="F5354">
            <v>0</v>
          </cell>
          <cell r="G5354">
            <v>275</v>
          </cell>
          <cell r="H5354">
            <v>0</v>
          </cell>
        </row>
        <row r="5355">
          <cell r="D5355" t="str">
            <v>IT&amp;NS</v>
          </cell>
          <cell r="F5355">
            <v>0</v>
          </cell>
          <cell r="G5355">
            <v>275</v>
          </cell>
          <cell r="H5355">
            <v>0</v>
          </cell>
        </row>
        <row r="5356">
          <cell r="D5356" t="str">
            <v>IT&amp;NS</v>
          </cell>
          <cell r="F5356">
            <v>0</v>
          </cell>
          <cell r="G5356">
            <v>275</v>
          </cell>
          <cell r="H5356">
            <v>0</v>
          </cell>
        </row>
        <row r="5357">
          <cell r="D5357" t="str">
            <v>IT&amp;NS</v>
          </cell>
          <cell r="F5357">
            <v>0</v>
          </cell>
          <cell r="G5357">
            <v>275</v>
          </cell>
          <cell r="H5357">
            <v>0</v>
          </cell>
        </row>
        <row r="5358">
          <cell r="D5358" t="str">
            <v>IT&amp;NS</v>
          </cell>
          <cell r="F5358">
            <v>0</v>
          </cell>
          <cell r="G5358">
            <v>275</v>
          </cell>
          <cell r="H5358">
            <v>0</v>
          </cell>
        </row>
        <row r="5359">
          <cell r="D5359" t="str">
            <v>IT&amp;NS</v>
          </cell>
          <cell r="F5359">
            <v>0</v>
          </cell>
          <cell r="G5359">
            <v>275</v>
          </cell>
          <cell r="H5359">
            <v>0</v>
          </cell>
        </row>
        <row r="5360">
          <cell r="D5360" t="str">
            <v>IT&amp;NS</v>
          </cell>
          <cell r="F5360">
            <v>0</v>
          </cell>
          <cell r="G5360">
            <v>275</v>
          </cell>
          <cell r="H5360">
            <v>0</v>
          </cell>
        </row>
        <row r="5361">
          <cell r="D5361" t="str">
            <v>IT&amp;NS</v>
          </cell>
          <cell r="F5361">
            <v>0</v>
          </cell>
          <cell r="G5361">
            <v>275</v>
          </cell>
          <cell r="H5361">
            <v>0</v>
          </cell>
        </row>
        <row r="5362">
          <cell r="D5362" t="str">
            <v>IT&amp;NS</v>
          </cell>
          <cell r="F5362">
            <v>0</v>
          </cell>
          <cell r="G5362">
            <v>275</v>
          </cell>
          <cell r="H5362">
            <v>0</v>
          </cell>
        </row>
        <row r="5363">
          <cell r="D5363" t="str">
            <v>IT&amp;NS</v>
          </cell>
          <cell r="F5363">
            <v>0</v>
          </cell>
          <cell r="G5363">
            <v>275</v>
          </cell>
          <cell r="H5363">
            <v>0</v>
          </cell>
        </row>
        <row r="5364">
          <cell r="D5364" t="str">
            <v>IT&amp;NS</v>
          </cell>
          <cell r="F5364">
            <v>0</v>
          </cell>
          <cell r="G5364">
            <v>275</v>
          </cell>
          <cell r="H5364">
            <v>0</v>
          </cell>
        </row>
        <row r="5365">
          <cell r="D5365" t="str">
            <v>IT&amp;NS</v>
          </cell>
          <cell r="F5365">
            <v>0</v>
          </cell>
          <cell r="G5365">
            <v>275</v>
          </cell>
          <cell r="H5365">
            <v>0</v>
          </cell>
        </row>
        <row r="5366">
          <cell r="D5366" t="str">
            <v>IT&amp;NS</v>
          </cell>
          <cell r="F5366">
            <v>0</v>
          </cell>
          <cell r="G5366">
            <v>275</v>
          </cell>
          <cell r="H5366">
            <v>0</v>
          </cell>
        </row>
        <row r="5367">
          <cell r="D5367" t="str">
            <v>IT&amp;NS</v>
          </cell>
          <cell r="F5367">
            <v>0</v>
          </cell>
          <cell r="G5367">
            <v>275</v>
          </cell>
          <cell r="H5367">
            <v>0</v>
          </cell>
        </row>
        <row r="5368">
          <cell r="D5368" t="str">
            <v>IT&amp;NS</v>
          </cell>
          <cell r="F5368">
            <v>0</v>
          </cell>
          <cell r="G5368">
            <v>275</v>
          </cell>
          <cell r="H5368">
            <v>0</v>
          </cell>
        </row>
        <row r="5369">
          <cell r="D5369" t="str">
            <v>IT&amp;NS</v>
          </cell>
          <cell r="F5369">
            <v>0</v>
          </cell>
          <cell r="G5369">
            <v>275</v>
          </cell>
          <cell r="H5369">
            <v>0</v>
          </cell>
        </row>
        <row r="5370">
          <cell r="D5370" t="str">
            <v>IT&amp;NS</v>
          </cell>
          <cell r="F5370">
            <v>0</v>
          </cell>
          <cell r="G5370">
            <v>275</v>
          </cell>
          <cell r="H5370">
            <v>0</v>
          </cell>
        </row>
        <row r="5371">
          <cell r="D5371" t="str">
            <v>IT&amp;NS</v>
          </cell>
          <cell r="F5371">
            <v>0</v>
          </cell>
          <cell r="G5371">
            <v>275</v>
          </cell>
          <cell r="H5371">
            <v>0</v>
          </cell>
        </row>
        <row r="5372">
          <cell r="D5372" t="str">
            <v>IT&amp;NS</v>
          </cell>
          <cell r="F5372">
            <v>0</v>
          </cell>
          <cell r="G5372">
            <v>275</v>
          </cell>
          <cell r="H5372">
            <v>0</v>
          </cell>
        </row>
        <row r="5373">
          <cell r="D5373" t="str">
            <v>IT&amp;NS</v>
          </cell>
          <cell r="F5373">
            <v>0</v>
          </cell>
          <cell r="G5373">
            <v>275</v>
          </cell>
          <cell r="H5373">
            <v>0</v>
          </cell>
        </row>
        <row r="5374">
          <cell r="D5374" t="str">
            <v>IT&amp;NS</v>
          </cell>
          <cell r="F5374">
            <v>0</v>
          </cell>
          <cell r="G5374">
            <v>275</v>
          </cell>
          <cell r="H5374">
            <v>0</v>
          </cell>
        </row>
        <row r="5375">
          <cell r="D5375" t="str">
            <v>IT&amp;NS</v>
          </cell>
          <cell r="F5375">
            <v>0</v>
          </cell>
          <cell r="G5375">
            <v>275</v>
          </cell>
          <cell r="H5375">
            <v>0</v>
          </cell>
        </row>
        <row r="5376">
          <cell r="D5376" t="str">
            <v>IT&amp;NS</v>
          </cell>
          <cell r="F5376">
            <v>0</v>
          </cell>
          <cell r="G5376">
            <v>275</v>
          </cell>
          <cell r="H5376">
            <v>0</v>
          </cell>
        </row>
        <row r="5377">
          <cell r="D5377" t="str">
            <v>IT&amp;NS</v>
          </cell>
          <cell r="F5377">
            <v>0</v>
          </cell>
          <cell r="G5377">
            <v>275</v>
          </cell>
          <cell r="H5377">
            <v>0</v>
          </cell>
        </row>
        <row r="5378">
          <cell r="D5378" t="str">
            <v>IT&amp;NS</v>
          </cell>
          <cell r="F5378">
            <v>0</v>
          </cell>
          <cell r="G5378">
            <v>275</v>
          </cell>
          <cell r="H5378">
            <v>0</v>
          </cell>
        </row>
        <row r="5379">
          <cell r="D5379" t="str">
            <v>IT&amp;NS</v>
          </cell>
          <cell r="F5379">
            <v>0</v>
          </cell>
          <cell r="G5379">
            <v>275</v>
          </cell>
          <cell r="H5379">
            <v>0</v>
          </cell>
        </row>
        <row r="5380">
          <cell r="D5380" t="str">
            <v>IT&amp;NS</v>
          </cell>
          <cell r="F5380">
            <v>0</v>
          </cell>
          <cell r="G5380">
            <v>275</v>
          </cell>
          <cell r="H5380">
            <v>0</v>
          </cell>
        </row>
        <row r="5381">
          <cell r="D5381" t="str">
            <v>IT&amp;NS</v>
          </cell>
          <cell r="F5381">
            <v>0</v>
          </cell>
          <cell r="G5381">
            <v>275</v>
          </cell>
          <cell r="H5381">
            <v>0</v>
          </cell>
        </row>
        <row r="5382">
          <cell r="D5382" t="str">
            <v>IT&amp;NS</v>
          </cell>
          <cell r="F5382">
            <v>0</v>
          </cell>
          <cell r="G5382">
            <v>275</v>
          </cell>
          <cell r="H5382">
            <v>0</v>
          </cell>
        </row>
        <row r="5383">
          <cell r="D5383" t="str">
            <v>IT&amp;NS</v>
          </cell>
          <cell r="F5383">
            <v>0</v>
          </cell>
          <cell r="G5383">
            <v>275</v>
          </cell>
          <cell r="H5383">
            <v>0</v>
          </cell>
        </row>
        <row r="5384">
          <cell r="D5384" t="str">
            <v>IT&amp;NS</v>
          </cell>
          <cell r="F5384">
            <v>0</v>
          </cell>
          <cell r="G5384">
            <v>275</v>
          </cell>
          <cell r="H5384">
            <v>0</v>
          </cell>
        </row>
        <row r="5385">
          <cell r="D5385" t="str">
            <v>IT&amp;NS</v>
          </cell>
          <cell r="F5385">
            <v>0</v>
          </cell>
          <cell r="G5385">
            <v>275</v>
          </cell>
          <cell r="H5385">
            <v>0</v>
          </cell>
        </row>
        <row r="5386">
          <cell r="D5386" t="str">
            <v>IT&amp;NS</v>
          </cell>
          <cell r="F5386">
            <v>0</v>
          </cell>
          <cell r="G5386">
            <v>275</v>
          </cell>
          <cell r="H5386">
            <v>0</v>
          </cell>
        </row>
        <row r="5387">
          <cell r="D5387" t="str">
            <v>IT&amp;NS</v>
          </cell>
          <cell r="F5387">
            <v>0</v>
          </cell>
          <cell r="G5387">
            <v>275</v>
          </cell>
          <cell r="H5387">
            <v>0</v>
          </cell>
        </row>
        <row r="5388">
          <cell r="D5388" t="str">
            <v>IT&amp;NS</v>
          </cell>
          <cell r="F5388">
            <v>0</v>
          </cell>
          <cell r="G5388">
            <v>275</v>
          </cell>
          <cell r="H5388">
            <v>0</v>
          </cell>
        </row>
        <row r="5389">
          <cell r="D5389" t="str">
            <v>IT&amp;NS</v>
          </cell>
          <cell r="F5389">
            <v>33230.865398907103</v>
          </cell>
          <cell r="G5389">
            <v>275</v>
          </cell>
          <cell r="H5389">
            <v>28531.297727674224</v>
          </cell>
        </row>
        <row r="5390">
          <cell r="D5390" t="str">
            <v>IT&amp;NS</v>
          </cell>
          <cell r="F5390">
            <v>33230.865398907103</v>
          </cell>
          <cell r="G5390">
            <v>275</v>
          </cell>
          <cell r="H5390">
            <v>28531.297727674224</v>
          </cell>
        </row>
        <row r="5391">
          <cell r="D5391" t="str">
            <v>IT&amp;NS</v>
          </cell>
          <cell r="F5391">
            <v>30499.559999999998</v>
          </cell>
          <cell r="G5391">
            <v>275</v>
          </cell>
          <cell r="H5391">
            <v>26054.023013698628</v>
          </cell>
        </row>
        <row r="5392">
          <cell r="D5392" t="str">
            <v>IT&amp;NS</v>
          </cell>
          <cell r="F5392">
            <v>0</v>
          </cell>
          <cell r="G5392">
            <v>275</v>
          </cell>
          <cell r="H5392">
            <v>0</v>
          </cell>
        </row>
        <row r="5393">
          <cell r="D5393" t="str">
            <v>IT&amp;NS</v>
          </cell>
          <cell r="F5393">
            <v>0</v>
          </cell>
          <cell r="G5393">
            <v>275</v>
          </cell>
          <cell r="H5393">
            <v>0</v>
          </cell>
        </row>
        <row r="5394">
          <cell r="D5394" t="str">
            <v>IT&amp;NS</v>
          </cell>
          <cell r="F5394">
            <v>0</v>
          </cell>
          <cell r="G5394">
            <v>275</v>
          </cell>
          <cell r="H5394">
            <v>0</v>
          </cell>
        </row>
        <row r="5395">
          <cell r="D5395" t="str">
            <v>IT&amp;NS</v>
          </cell>
          <cell r="F5395">
            <v>5979.625</v>
          </cell>
          <cell r="G5395">
            <v>275</v>
          </cell>
          <cell r="H5395">
            <v>4910.9863013698632</v>
          </cell>
        </row>
        <row r="5396">
          <cell r="D5396" t="str">
            <v>IT&amp;NS</v>
          </cell>
          <cell r="F5396">
            <v>6017.52</v>
          </cell>
          <cell r="G5396">
            <v>275</v>
          </cell>
          <cell r="H5396">
            <v>4942.7747945205483</v>
          </cell>
        </row>
        <row r="5397">
          <cell r="D5397" t="str">
            <v>IT&amp;NS</v>
          </cell>
          <cell r="F5397">
            <v>44307.8102</v>
          </cell>
          <cell r="G5397">
            <v>275</v>
          </cell>
          <cell r="H5397">
            <v>36450.201446575345</v>
          </cell>
        </row>
        <row r="5398">
          <cell r="D5398" t="str">
            <v>IT&amp;NS</v>
          </cell>
          <cell r="F5398">
            <v>89944.707999999999</v>
          </cell>
          <cell r="G5398">
            <v>275</v>
          </cell>
          <cell r="H5398">
            <v>74004.282520547946</v>
          </cell>
        </row>
        <row r="5399">
          <cell r="D5399" t="str">
            <v>IT&amp;NS</v>
          </cell>
          <cell r="F5399">
            <v>0</v>
          </cell>
          <cell r="G5399">
            <v>275</v>
          </cell>
          <cell r="H5399">
            <v>0</v>
          </cell>
        </row>
        <row r="5400">
          <cell r="D5400" t="str">
            <v>IT&amp;NS</v>
          </cell>
          <cell r="F5400">
            <v>18489.249599999999</v>
          </cell>
          <cell r="G5400">
            <v>275</v>
          </cell>
          <cell r="H5400">
            <v>15237.656832876712</v>
          </cell>
        </row>
        <row r="5401">
          <cell r="D5401" t="str">
            <v>IT&amp;NS</v>
          </cell>
          <cell r="F5401">
            <v>6295.415</v>
          </cell>
          <cell r="G5401">
            <v>275</v>
          </cell>
          <cell r="H5401">
            <v>5214.5632876712325</v>
          </cell>
        </row>
        <row r="5402">
          <cell r="D5402" t="str">
            <v>IT&amp;NS</v>
          </cell>
          <cell r="F5402">
            <v>4065.03</v>
          </cell>
          <cell r="G5402">
            <v>275</v>
          </cell>
          <cell r="H5402">
            <v>3368.8882191780826</v>
          </cell>
        </row>
        <row r="5403">
          <cell r="D5403" t="str">
            <v>IT&amp;NS</v>
          </cell>
          <cell r="F5403">
            <v>51589.850000000006</v>
          </cell>
          <cell r="G5403">
            <v>275</v>
          </cell>
          <cell r="H5403">
            <v>42857.545205479459</v>
          </cell>
        </row>
        <row r="5404">
          <cell r="D5404" t="str">
            <v>IT&amp;NS</v>
          </cell>
          <cell r="F5404">
            <v>12990.515000000001</v>
          </cell>
          <cell r="G5404">
            <v>275</v>
          </cell>
          <cell r="H5404">
            <v>10810.492054794522</v>
          </cell>
        </row>
        <row r="5405">
          <cell r="D5405" t="str">
            <v>IT&amp;NS</v>
          </cell>
          <cell r="F5405">
            <v>16853.014999999999</v>
          </cell>
          <cell r="G5405">
            <v>275</v>
          </cell>
          <cell r="H5405">
            <v>14062.341369863014</v>
          </cell>
        </row>
        <row r="5406">
          <cell r="D5406" t="str">
            <v>IT&amp;NS</v>
          </cell>
          <cell r="F5406">
            <v>5316.88</v>
          </cell>
          <cell r="G5406">
            <v>275</v>
          </cell>
          <cell r="H5406">
            <v>4437.5430136986306</v>
          </cell>
        </row>
        <row r="5407">
          <cell r="D5407" t="str">
            <v>IT&amp;NS</v>
          </cell>
          <cell r="F5407">
            <v>0</v>
          </cell>
          <cell r="G5407">
            <v>275</v>
          </cell>
          <cell r="H5407">
            <v>0</v>
          </cell>
        </row>
        <row r="5408">
          <cell r="D5408" t="str">
            <v>IT&amp;NS</v>
          </cell>
          <cell r="F5408">
            <v>0</v>
          </cell>
          <cell r="G5408">
            <v>275</v>
          </cell>
          <cell r="H5408">
            <v>0</v>
          </cell>
        </row>
        <row r="5409">
          <cell r="D5409" t="str">
            <v>IT&amp;NS</v>
          </cell>
          <cell r="F5409">
            <v>0</v>
          </cell>
          <cell r="G5409">
            <v>275</v>
          </cell>
          <cell r="H5409">
            <v>0</v>
          </cell>
        </row>
        <row r="5410">
          <cell r="D5410" t="str">
            <v>IT&amp;NS</v>
          </cell>
          <cell r="F5410">
            <v>5768.4030999999995</v>
          </cell>
          <cell r="G5410">
            <v>275</v>
          </cell>
          <cell r="H5410">
            <v>4817.1314630136985</v>
          </cell>
        </row>
        <row r="5411">
          <cell r="D5411" t="str">
            <v>IT&amp;NS</v>
          </cell>
          <cell r="F5411">
            <v>0</v>
          </cell>
          <cell r="G5411">
            <v>275</v>
          </cell>
          <cell r="H5411">
            <v>0</v>
          </cell>
        </row>
        <row r="5412">
          <cell r="D5412" t="str">
            <v>IT&amp;NS</v>
          </cell>
          <cell r="F5412">
            <v>0</v>
          </cell>
          <cell r="G5412">
            <v>275</v>
          </cell>
          <cell r="H5412">
            <v>0</v>
          </cell>
        </row>
        <row r="5413">
          <cell r="D5413" t="str">
            <v>IT&amp;NS</v>
          </cell>
          <cell r="F5413">
            <v>12443.436799999999</v>
          </cell>
          <cell r="G5413">
            <v>275</v>
          </cell>
          <cell r="H5413">
            <v>10417.053567123286</v>
          </cell>
        </row>
        <row r="5414">
          <cell r="D5414" t="str">
            <v>IT&amp;NS</v>
          </cell>
          <cell r="F5414">
            <v>10799.76</v>
          </cell>
          <cell r="G5414">
            <v>275</v>
          </cell>
          <cell r="H5414">
            <v>9041.0860273972612</v>
          </cell>
        </row>
        <row r="5415">
          <cell r="D5415" t="str">
            <v>IT&amp;NS</v>
          </cell>
          <cell r="F5415">
            <v>0</v>
          </cell>
          <cell r="G5415">
            <v>275</v>
          </cell>
          <cell r="H5415">
            <v>0</v>
          </cell>
        </row>
        <row r="5416">
          <cell r="D5416" t="str">
            <v>IT&amp;NS</v>
          </cell>
          <cell r="F5416">
            <v>4554.5050000000001</v>
          </cell>
          <cell r="G5416">
            <v>275</v>
          </cell>
          <cell r="H5416">
            <v>3827.8306849315068</v>
          </cell>
        </row>
        <row r="5417">
          <cell r="D5417" t="str">
            <v>IT&amp;NS</v>
          </cell>
          <cell r="F5417">
            <v>0</v>
          </cell>
          <cell r="G5417">
            <v>275</v>
          </cell>
          <cell r="H5417">
            <v>0</v>
          </cell>
        </row>
        <row r="5418">
          <cell r="D5418" t="str">
            <v>IT&amp;NS</v>
          </cell>
          <cell r="F5418">
            <v>0</v>
          </cell>
          <cell r="G5418">
            <v>275</v>
          </cell>
          <cell r="H5418">
            <v>0</v>
          </cell>
        </row>
        <row r="5419">
          <cell r="D5419" t="str">
            <v>IT&amp;NS</v>
          </cell>
          <cell r="F5419">
            <v>0</v>
          </cell>
          <cell r="G5419">
            <v>275</v>
          </cell>
          <cell r="H5419">
            <v>0</v>
          </cell>
        </row>
        <row r="5420">
          <cell r="D5420" t="str">
            <v>IT&amp;NS</v>
          </cell>
          <cell r="F5420">
            <v>34171.454400000002</v>
          </cell>
          <cell r="G5420">
            <v>275</v>
          </cell>
          <cell r="H5420">
            <v>28658.988536986304</v>
          </cell>
        </row>
        <row r="5421">
          <cell r="D5421" t="str">
            <v>IT&amp;NS</v>
          </cell>
          <cell r="F5421">
            <v>22754.15</v>
          </cell>
          <cell r="G5421">
            <v>275</v>
          </cell>
          <cell r="H5421">
            <v>19273.441095890412</v>
          </cell>
        </row>
        <row r="5422">
          <cell r="D5422" t="str">
            <v>IT&amp;NS</v>
          </cell>
          <cell r="F5422">
            <v>4758.5050000000001</v>
          </cell>
          <cell r="G5422">
            <v>275</v>
          </cell>
          <cell r="H5422">
            <v>4031.8306849315068</v>
          </cell>
        </row>
        <row r="5423">
          <cell r="D5423" t="str">
            <v>IT&amp;NS</v>
          </cell>
          <cell r="F5423">
            <v>1318439.5</v>
          </cell>
          <cell r="G5423">
            <v>275</v>
          </cell>
          <cell r="H5423">
            <v>1117535.4246575343</v>
          </cell>
        </row>
        <row r="5424">
          <cell r="D5424" t="str">
            <v>IT&amp;NS</v>
          </cell>
          <cell r="F5424">
            <v>35597.599999999999</v>
          </cell>
          <cell r="G5424">
            <v>275</v>
          </cell>
          <cell r="H5424">
            <v>30223.873972602738</v>
          </cell>
        </row>
        <row r="5425">
          <cell r="D5425" t="str">
            <v>IT&amp;NS</v>
          </cell>
          <cell r="F5425">
            <v>27258.440000000002</v>
          </cell>
          <cell r="G5425">
            <v>275</v>
          </cell>
          <cell r="H5425">
            <v>23154.867397260277</v>
          </cell>
        </row>
        <row r="5426">
          <cell r="D5426" t="str">
            <v>IT&amp;NS</v>
          </cell>
          <cell r="F5426">
            <v>11357.6</v>
          </cell>
          <cell r="G5426">
            <v>275</v>
          </cell>
          <cell r="H5426">
            <v>9647.7780821917804</v>
          </cell>
        </row>
        <row r="5427">
          <cell r="D5427" t="str">
            <v>IT&amp;NS</v>
          </cell>
          <cell r="F5427">
            <v>9491.43</v>
          </cell>
          <cell r="G5427">
            <v>275</v>
          </cell>
          <cell r="H5427">
            <v>8062.507397260274</v>
          </cell>
        </row>
        <row r="5428">
          <cell r="D5428" t="str">
            <v>IT&amp;NS</v>
          </cell>
          <cell r="F5428">
            <v>5064.4960000000001</v>
          </cell>
          <cell r="G5428">
            <v>275</v>
          </cell>
          <cell r="H5428">
            <v>4302.4039452054794</v>
          </cell>
        </row>
        <row r="5429">
          <cell r="D5429" t="str">
            <v>IT&amp;NS</v>
          </cell>
          <cell r="F5429">
            <v>13243.6855</v>
          </cell>
          <cell r="G5429">
            <v>275</v>
          </cell>
          <cell r="H5429">
            <v>11259.681424657534</v>
          </cell>
        </row>
        <row r="5430">
          <cell r="D5430" t="str">
            <v>IT&amp;NS</v>
          </cell>
          <cell r="F5430">
            <v>11537.6</v>
          </cell>
          <cell r="G5430">
            <v>275</v>
          </cell>
          <cell r="H5430">
            <v>9827.7780821917804</v>
          </cell>
        </row>
        <row r="5431">
          <cell r="D5431" t="str">
            <v>IT&amp;NS</v>
          </cell>
          <cell r="F5431">
            <v>0</v>
          </cell>
          <cell r="G5431">
            <v>275</v>
          </cell>
          <cell r="H5431">
            <v>0</v>
          </cell>
        </row>
        <row r="5432">
          <cell r="D5432" t="str">
            <v>IT&amp;NS</v>
          </cell>
          <cell r="F5432">
            <v>4977.3725999999997</v>
          </cell>
          <cell r="G5432">
            <v>275</v>
          </cell>
          <cell r="H5432">
            <v>4245.3245589041089</v>
          </cell>
        </row>
        <row r="5433">
          <cell r="D5433" t="str">
            <v>IT&amp;NS</v>
          </cell>
          <cell r="F5433">
            <v>0</v>
          </cell>
          <cell r="G5433">
            <v>275</v>
          </cell>
          <cell r="H5433">
            <v>0</v>
          </cell>
        </row>
        <row r="5434">
          <cell r="D5434" t="str">
            <v>IT&amp;NS</v>
          </cell>
          <cell r="F5434">
            <v>0</v>
          </cell>
          <cell r="G5434">
            <v>275</v>
          </cell>
          <cell r="H5434">
            <v>0</v>
          </cell>
        </row>
        <row r="5435">
          <cell r="D5435" t="str">
            <v>IT&amp;NS</v>
          </cell>
          <cell r="F5435">
            <v>0</v>
          </cell>
          <cell r="G5435">
            <v>275</v>
          </cell>
          <cell r="H5435">
            <v>0</v>
          </cell>
        </row>
        <row r="5436">
          <cell r="D5436" t="str">
            <v>IT&amp;NS</v>
          </cell>
          <cell r="F5436">
            <v>0</v>
          </cell>
          <cell r="G5436">
            <v>275</v>
          </cell>
          <cell r="H5436">
            <v>0</v>
          </cell>
        </row>
        <row r="5437">
          <cell r="D5437" t="str">
            <v>IT&amp;NS</v>
          </cell>
          <cell r="F5437">
            <v>0</v>
          </cell>
          <cell r="G5437">
            <v>275</v>
          </cell>
          <cell r="H5437">
            <v>0</v>
          </cell>
        </row>
        <row r="5438">
          <cell r="D5438" t="str">
            <v>IT&amp;NS</v>
          </cell>
          <cell r="F5438">
            <v>42641.9</v>
          </cell>
          <cell r="G5438">
            <v>275</v>
          </cell>
          <cell r="H5438">
            <v>36413.263013698634</v>
          </cell>
        </row>
        <row r="5439">
          <cell r="D5439" t="str">
            <v>IT&amp;NS</v>
          </cell>
          <cell r="F5439">
            <v>24013.081600000001</v>
          </cell>
          <cell r="G5439">
            <v>275</v>
          </cell>
          <cell r="H5439">
            <v>20507.458147945206</v>
          </cell>
        </row>
        <row r="5440">
          <cell r="D5440" t="str">
            <v>IT&amp;NS</v>
          </cell>
          <cell r="F5440">
            <v>4871.9296000000004</v>
          </cell>
          <cell r="G5440">
            <v>275</v>
          </cell>
          <cell r="H5440">
            <v>4160.6436821917814</v>
          </cell>
        </row>
        <row r="5441">
          <cell r="D5441" t="str">
            <v>IT&amp;NS</v>
          </cell>
          <cell r="F5441">
            <v>16269.4792</v>
          </cell>
          <cell r="G5441">
            <v>275</v>
          </cell>
          <cell r="H5441">
            <v>13894.292295890411</v>
          </cell>
        </row>
        <row r="5442">
          <cell r="D5442" t="str">
            <v>IT&amp;NS</v>
          </cell>
          <cell r="F5442">
            <v>7220.7528000000002</v>
          </cell>
          <cell r="G5442">
            <v>275</v>
          </cell>
          <cell r="H5442">
            <v>6166.5254575342469</v>
          </cell>
        </row>
        <row r="5443">
          <cell r="D5443" t="str">
            <v>IT&amp;NS</v>
          </cell>
          <cell r="F5443">
            <v>6281.25</v>
          </cell>
          <cell r="G5443">
            <v>275</v>
          </cell>
          <cell r="H5443">
            <v>5365.2739726027394</v>
          </cell>
        </row>
        <row r="5444">
          <cell r="D5444" t="str">
            <v>IT&amp;NS</v>
          </cell>
          <cell r="F5444">
            <v>14236.3</v>
          </cell>
          <cell r="G5444">
            <v>275</v>
          </cell>
          <cell r="H5444">
            <v>12160.087671232875</v>
          </cell>
        </row>
        <row r="5445">
          <cell r="D5445" t="str">
            <v>IT&amp;NS</v>
          </cell>
          <cell r="F5445">
            <v>0</v>
          </cell>
          <cell r="G5445">
            <v>275</v>
          </cell>
          <cell r="H5445">
            <v>0</v>
          </cell>
        </row>
        <row r="5446">
          <cell r="D5446" t="str">
            <v>IT&amp;NS</v>
          </cell>
          <cell r="F5446">
            <v>0</v>
          </cell>
          <cell r="G5446">
            <v>275</v>
          </cell>
          <cell r="H5446">
            <v>0</v>
          </cell>
        </row>
        <row r="5447">
          <cell r="D5447" t="str">
            <v>IT&amp;NS</v>
          </cell>
          <cell r="F5447">
            <v>0</v>
          </cell>
          <cell r="G5447">
            <v>275</v>
          </cell>
          <cell r="H5447">
            <v>0</v>
          </cell>
        </row>
        <row r="5448">
          <cell r="D5448" t="str">
            <v>IT&amp;NS</v>
          </cell>
          <cell r="F5448">
            <v>0</v>
          </cell>
          <cell r="G5448">
            <v>275</v>
          </cell>
          <cell r="H5448">
            <v>0</v>
          </cell>
        </row>
        <row r="5449">
          <cell r="D5449" t="str">
            <v>IT&amp;NS</v>
          </cell>
          <cell r="F5449">
            <v>0</v>
          </cell>
          <cell r="G5449">
            <v>275</v>
          </cell>
          <cell r="H5449">
            <v>0</v>
          </cell>
        </row>
        <row r="5450">
          <cell r="D5450" t="str">
            <v>IT&amp;NS</v>
          </cell>
          <cell r="F5450">
            <v>5364.8</v>
          </cell>
          <cell r="G5450">
            <v>275</v>
          </cell>
          <cell r="H5450">
            <v>3899.2383561643837</v>
          </cell>
        </row>
        <row r="5451">
          <cell r="D5451" t="str">
            <v>IT&amp;NS</v>
          </cell>
          <cell r="F5451">
            <v>2588.4499999999998</v>
          </cell>
          <cell r="G5451">
            <v>275</v>
          </cell>
          <cell r="H5451">
            <v>1916.7342465753422</v>
          </cell>
        </row>
        <row r="5452">
          <cell r="D5452" t="str">
            <v>IT&amp;NS</v>
          </cell>
          <cell r="F5452">
            <v>5455.1</v>
          </cell>
          <cell r="G5452">
            <v>275</v>
          </cell>
          <cell r="H5452">
            <v>4355.9287671232887</v>
          </cell>
        </row>
        <row r="5453">
          <cell r="D5453" t="str">
            <v>IT&amp;NS</v>
          </cell>
          <cell r="F5453">
            <v>4758.25</v>
          </cell>
          <cell r="G5453">
            <v>275</v>
          </cell>
          <cell r="H5453">
            <v>3842.2739726027398</v>
          </cell>
        </row>
        <row r="5454">
          <cell r="D5454" t="str">
            <v>IT&amp;NS</v>
          </cell>
          <cell r="F5454">
            <v>-340</v>
          </cell>
          <cell r="G5454">
            <v>275</v>
          </cell>
          <cell r="H5454">
            <v>-340</v>
          </cell>
        </row>
        <row r="5455">
          <cell r="D5455" t="str">
            <v>IT&amp;NS</v>
          </cell>
          <cell r="F5455">
            <v>5062.04</v>
          </cell>
          <cell r="G5455">
            <v>275</v>
          </cell>
          <cell r="H5455">
            <v>4133.8509589041096</v>
          </cell>
        </row>
        <row r="5456">
          <cell r="D5456" t="str">
            <v>IT&amp;NS</v>
          </cell>
          <cell r="F5456">
            <v>14514.654999999999</v>
          </cell>
          <cell r="G5456">
            <v>275</v>
          </cell>
          <cell r="H5456">
            <v>11528.57315068493</v>
          </cell>
        </row>
        <row r="5457">
          <cell r="D5457" t="str">
            <v>IT&amp;NS</v>
          </cell>
          <cell r="F5457">
            <v>99439.904299999995</v>
          </cell>
          <cell r="G5457">
            <v>275</v>
          </cell>
          <cell r="H5457">
            <v>80458.804799999998</v>
          </cell>
        </row>
        <row r="5458">
          <cell r="D5458" t="str">
            <v>IT&amp;NS</v>
          </cell>
          <cell r="F5458">
            <v>29251.950100000002</v>
          </cell>
          <cell r="G5458">
            <v>275</v>
          </cell>
          <cell r="H5458">
            <v>23668.282367123291</v>
          </cell>
        </row>
        <row r="5459">
          <cell r="D5459" t="str">
            <v>IT&amp;NS</v>
          </cell>
          <cell r="F5459">
            <v>4490.6288000000004</v>
          </cell>
          <cell r="G5459">
            <v>275</v>
          </cell>
          <cell r="H5459">
            <v>3626.9244712328773</v>
          </cell>
        </row>
        <row r="5460">
          <cell r="D5460" t="str">
            <v>IT&amp;NS</v>
          </cell>
          <cell r="F5460">
            <v>-421</v>
          </cell>
          <cell r="G5460">
            <v>275</v>
          </cell>
          <cell r="H5460">
            <v>-421</v>
          </cell>
        </row>
        <row r="5461">
          <cell r="D5461" t="str">
            <v>IT&amp;NS</v>
          </cell>
          <cell r="F5461">
            <v>-405</v>
          </cell>
          <cell r="G5461">
            <v>275</v>
          </cell>
          <cell r="H5461">
            <v>-405</v>
          </cell>
        </row>
        <row r="5462">
          <cell r="D5462" t="str">
            <v>IT&amp;NS</v>
          </cell>
          <cell r="F5462">
            <v>-308</v>
          </cell>
          <cell r="G5462">
            <v>275</v>
          </cell>
          <cell r="H5462">
            <v>-308</v>
          </cell>
        </row>
        <row r="5463">
          <cell r="D5463" t="str">
            <v>IT&amp;NS</v>
          </cell>
          <cell r="F5463">
            <v>-616</v>
          </cell>
          <cell r="G5463">
            <v>275</v>
          </cell>
          <cell r="H5463">
            <v>-616</v>
          </cell>
        </row>
        <row r="5464">
          <cell r="D5464" t="str">
            <v>IT&amp;NS</v>
          </cell>
          <cell r="F5464">
            <v>659694</v>
          </cell>
          <cell r="G5464">
            <v>275</v>
          </cell>
          <cell r="H5464">
            <v>531457.35616438359</v>
          </cell>
        </row>
        <row r="5465">
          <cell r="D5465" t="str">
            <v>IT&amp;NS</v>
          </cell>
          <cell r="F5465">
            <v>580421</v>
          </cell>
          <cell r="G5465">
            <v>275</v>
          </cell>
          <cell r="H5465">
            <v>452184.35616438359</v>
          </cell>
        </row>
        <row r="5466">
          <cell r="D5466" t="str">
            <v>IT&amp;NS</v>
          </cell>
          <cell r="F5466">
            <v>128712.05594262294</v>
          </cell>
          <cell r="G5466">
            <v>275</v>
          </cell>
          <cell r="H5466">
            <v>110946.70089125307</v>
          </cell>
        </row>
        <row r="5467">
          <cell r="D5467" t="str">
            <v>IT&amp;NS</v>
          </cell>
          <cell r="F5467">
            <v>13953.557495901639</v>
          </cell>
          <cell r="G5467">
            <v>275</v>
          </cell>
          <cell r="H5467">
            <v>11947.295203093421</v>
          </cell>
        </row>
        <row r="5468">
          <cell r="D5468" t="str">
            <v>IT&amp;NS</v>
          </cell>
          <cell r="F5468">
            <v>12415.325845683059</v>
          </cell>
          <cell r="G5468">
            <v>275</v>
          </cell>
          <cell r="H5468">
            <v>10630.232681847443</v>
          </cell>
        </row>
        <row r="5469">
          <cell r="D5469" t="str">
            <v>IT&amp;NS</v>
          </cell>
          <cell r="F5469">
            <v>0</v>
          </cell>
          <cell r="G5469">
            <v>275</v>
          </cell>
          <cell r="H5469">
            <v>0</v>
          </cell>
        </row>
        <row r="5470">
          <cell r="D5470" t="str">
            <v>IT&amp;NS</v>
          </cell>
          <cell r="F5470">
            <v>0</v>
          </cell>
          <cell r="G5470">
            <v>275</v>
          </cell>
          <cell r="H5470">
            <v>0</v>
          </cell>
        </row>
        <row r="5471">
          <cell r="D5471" t="str">
            <v>IT&amp;NS</v>
          </cell>
          <cell r="F5471">
            <v>0</v>
          </cell>
          <cell r="G5471">
            <v>275</v>
          </cell>
          <cell r="H5471">
            <v>0</v>
          </cell>
        </row>
        <row r="5472">
          <cell r="D5472" t="str">
            <v>IT&amp;NS</v>
          </cell>
          <cell r="F5472">
            <v>0</v>
          </cell>
          <cell r="G5472">
            <v>275</v>
          </cell>
          <cell r="H5472">
            <v>0</v>
          </cell>
        </row>
        <row r="5473">
          <cell r="D5473" t="str">
            <v>IT&amp;NS</v>
          </cell>
          <cell r="F5473">
            <v>0</v>
          </cell>
          <cell r="G5473">
            <v>275</v>
          </cell>
          <cell r="H5473">
            <v>0</v>
          </cell>
        </row>
        <row r="5474">
          <cell r="D5474" t="str">
            <v>IT&amp;NS</v>
          </cell>
          <cell r="F5474">
            <v>0</v>
          </cell>
          <cell r="G5474">
            <v>275</v>
          </cell>
          <cell r="H5474">
            <v>0</v>
          </cell>
        </row>
        <row r="5475">
          <cell r="D5475" t="str">
            <v>IT&amp;NS</v>
          </cell>
          <cell r="F5475">
            <v>0</v>
          </cell>
          <cell r="G5475">
            <v>275</v>
          </cell>
          <cell r="H5475">
            <v>0</v>
          </cell>
        </row>
        <row r="5476">
          <cell r="D5476" t="str">
            <v>IT&amp;NS</v>
          </cell>
          <cell r="F5476">
            <v>0</v>
          </cell>
          <cell r="G5476">
            <v>275</v>
          </cell>
          <cell r="H5476">
            <v>0</v>
          </cell>
        </row>
        <row r="5477">
          <cell r="D5477" t="str">
            <v>IT&amp;NS</v>
          </cell>
          <cell r="F5477">
            <v>0</v>
          </cell>
          <cell r="G5477">
            <v>275</v>
          </cell>
          <cell r="H5477">
            <v>0</v>
          </cell>
        </row>
        <row r="5478">
          <cell r="D5478" t="str">
            <v>IT&amp;NS</v>
          </cell>
          <cell r="F5478">
            <v>0</v>
          </cell>
          <cell r="G5478">
            <v>275</v>
          </cell>
          <cell r="H5478">
            <v>0</v>
          </cell>
        </row>
        <row r="5479">
          <cell r="D5479" t="str">
            <v>IT&amp;NS</v>
          </cell>
          <cell r="F5479">
            <v>0</v>
          </cell>
          <cell r="G5479">
            <v>275</v>
          </cell>
          <cell r="H5479">
            <v>0</v>
          </cell>
        </row>
        <row r="5480">
          <cell r="D5480" t="str">
            <v>IT&amp;NS</v>
          </cell>
          <cell r="F5480">
            <v>0</v>
          </cell>
          <cell r="G5480">
            <v>275</v>
          </cell>
          <cell r="H5480">
            <v>0</v>
          </cell>
        </row>
        <row r="5481">
          <cell r="D5481" t="str">
            <v>IT&amp;NS</v>
          </cell>
          <cell r="F5481">
            <v>0</v>
          </cell>
          <cell r="G5481">
            <v>275</v>
          </cell>
          <cell r="H5481">
            <v>0</v>
          </cell>
        </row>
        <row r="5482">
          <cell r="D5482" t="str">
            <v>IT&amp;NS</v>
          </cell>
          <cell r="F5482">
            <v>0</v>
          </cell>
          <cell r="G5482">
            <v>275</v>
          </cell>
          <cell r="H5482">
            <v>0</v>
          </cell>
        </row>
        <row r="5483">
          <cell r="D5483" t="str">
            <v>IT&amp;NS</v>
          </cell>
          <cell r="F5483">
            <v>0</v>
          </cell>
          <cell r="G5483">
            <v>275</v>
          </cell>
          <cell r="H5483">
            <v>0</v>
          </cell>
        </row>
        <row r="5484">
          <cell r="D5484" t="str">
            <v>IT&amp;NS</v>
          </cell>
          <cell r="F5484">
            <v>0</v>
          </cell>
          <cell r="G5484">
            <v>275</v>
          </cell>
          <cell r="H5484">
            <v>0</v>
          </cell>
        </row>
        <row r="5485">
          <cell r="D5485" t="str">
            <v>IT&amp;NS</v>
          </cell>
          <cell r="F5485">
            <v>0</v>
          </cell>
          <cell r="G5485">
            <v>275</v>
          </cell>
          <cell r="H5485">
            <v>0</v>
          </cell>
        </row>
        <row r="5486">
          <cell r="D5486" t="str">
            <v>IT&amp;NS</v>
          </cell>
          <cell r="F5486">
            <v>0</v>
          </cell>
          <cell r="G5486">
            <v>275</v>
          </cell>
          <cell r="H5486">
            <v>0</v>
          </cell>
        </row>
        <row r="5487">
          <cell r="D5487" t="str">
            <v>IT&amp;NS</v>
          </cell>
          <cell r="F5487">
            <v>0</v>
          </cell>
          <cell r="G5487">
            <v>275</v>
          </cell>
          <cell r="H5487">
            <v>0</v>
          </cell>
        </row>
        <row r="5488">
          <cell r="D5488" t="str">
            <v>IT&amp;NS</v>
          </cell>
          <cell r="F5488">
            <v>0</v>
          </cell>
          <cell r="G5488">
            <v>275</v>
          </cell>
          <cell r="H5488">
            <v>0</v>
          </cell>
        </row>
        <row r="5489">
          <cell r="D5489" t="str">
            <v>IT&amp;NS</v>
          </cell>
          <cell r="F5489">
            <v>0</v>
          </cell>
          <cell r="G5489">
            <v>275</v>
          </cell>
          <cell r="H5489">
            <v>0</v>
          </cell>
        </row>
        <row r="5490">
          <cell r="D5490" t="str">
            <v>IT&amp;NS</v>
          </cell>
          <cell r="F5490">
            <v>0</v>
          </cell>
          <cell r="G5490">
            <v>275</v>
          </cell>
          <cell r="H5490">
            <v>0</v>
          </cell>
        </row>
        <row r="5491">
          <cell r="D5491" t="str">
            <v>IT&amp;NS</v>
          </cell>
          <cell r="F5491">
            <v>0</v>
          </cell>
          <cell r="G5491">
            <v>275</v>
          </cell>
          <cell r="H5491">
            <v>0</v>
          </cell>
        </row>
        <row r="5492">
          <cell r="D5492" t="str">
            <v>IT&amp;NS</v>
          </cell>
          <cell r="F5492">
            <v>0</v>
          </cell>
          <cell r="G5492">
            <v>275</v>
          </cell>
          <cell r="H5492">
            <v>0</v>
          </cell>
        </row>
        <row r="5493">
          <cell r="D5493" t="str">
            <v>IT&amp;NS</v>
          </cell>
          <cell r="F5493">
            <v>0</v>
          </cell>
          <cell r="G5493">
            <v>275</v>
          </cell>
          <cell r="H5493">
            <v>0</v>
          </cell>
        </row>
        <row r="5494">
          <cell r="D5494" t="str">
            <v>IT&amp;NS</v>
          </cell>
          <cell r="F5494">
            <v>0</v>
          </cell>
          <cell r="G5494">
            <v>275</v>
          </cell>
          <cell r="H5494">
            <v>0</v>
          </cell>
        </row>
        <row r="5495">
          <cell r="D5495" t="str">
            <v>IT&amp;NS</v>
          </cell>
          <cell r="F5495">
            <v>0</v>
          </cell>
          <cell r="G5495">
            <v>275</v>
          </cell>
          <cell r="H5495">
            <v>0</v>
          </cell>
        </row>
        <row r="5496">
          <cell r="D5496" t="str">
            <v>IT&amp;NS</v>
          </cell>
          <cell r="F5496">
            <v>0</v>
          </cell>
          <cell r="G5496">
            <v>275</v>
          </cell>
          <cell r="H5496">
            <v>0</v>
          </cell>
        </row>
        <row r="5497">
          <cell r="D5497" t="str">
            <v>IT&amp;NS</v>
          </cell>
          <cell r="F5497">
            <v>0</v>
          </cell>
          <cell r="G5497">
            <v>275</v>
          </cell>
          <cell r="H5497">
            <v>0</v>
          </cell>
        </row>
        <row r="5498">
          <cell r="D5498" t="str">
            <v>IT&amp;NS</v>
          </cell>
          <cell r="F5498">
            <v>0</v>
          </cell>
          <cell r="G5498">
            <v>275</v>
          </cell>
          <cell r="H5498">
            <v>0</v>
          </cell>
        </row>
        <row r="5499">
          <cell r="D5499" t="str">
            <v>IT&amp;NS</v>
          </cell>
          <cell r="F5499">
            <v>0</v>
          </cell>
          <cell r="G5499">
            <v>275</v>
          </cell>
          <cell r="H5499">
            <v>0</v>
          </cell>
        </row>
        <row r="5500">
          <cell r="D5500" t="str">
            <v>IT&amp;NS</v>
          </cell>
          <cell r="F5500">
            <v>0</v>
          </cell>
          <cell r="G5500">
            <v>275</v>
          </cell>
          <cell r="H5500">
            <v>0</v>
          </cell>
        </row>
        <row r="5501">
          <cell r="D5501" t="str">
            <v>IT&amp;NS</v>
          </cell>
          <cell r="F5501">
            <v>0</v>
          </cell>
          <cell r="G5501">
            <v>275</v>
          </cell>
          <cell r="H5501">
            <v>0</v>
          </cell>
        </row>
        <row r="5502">
          <cell r="D5502" t="str">
            <v>IT&amp;NS</v>
          </cell>
          <cell r="F5502">
            <v>0</v>
          </cell>
          <cell r="G5502">
            <v>275</v>
          </cell>
          <cell r="H5502">
            <v>0</v>
          </cell>
        </row>
        <row r="5503">
          <cell r="D5503" t="str">
            <v>IT&amp;NS</v>
          </cell>
          <cell r="F5503">
            <v>26231.041398907102</v>
          </cell>
          <cell r="G5503">
            <v>275</v>
          </cell>
          <cell r="H5503">
            <v>22674.611809866008</v>
          </cell>
        </row>
        <row r="5504">
          <cell r="D5504" t="str">
            <v>IT&amp;NS</v>
          </cell>
          <cell r="F5504">
            <v>24357.395584699454</v>
          </cell>
          <cell r="G5504">
            <v>275</v>
          </cell>
          <cell r="H5504">
            <v>21054.996680589866</v>
          </cell>
        </row>
        <row r="5505">
          <cell r="D5505" t="str">
            <v>IT&amp;NS</v>
          </cell>
          <cell r="F5505">
            <v>10385.601016393442</v>
          </cell>
          <cell r="G5505">
            <v>275</v>
          </cell>
          <cell r="H5505">
            <v>8942.0227972153607</v>
          </cell>
        </row>
        <row r="5506">
          <cell r="D5506" t="str">
            <v>IT&amp;NS</v>
          </cell>
          <cell r="F5506">
            <v>0</v>
          </cell>
          <cell r="G5506">
            <v>275</v>
          </cell>
          <cell r="H5506">
            <v>0</v>
          </cell>
        </row>
        <row r="5507">
          <cell r="D5507" t="str">
            <v>IT&amp;NS</v>
          </cell>
          <cell r="F5507">
            <v>0</v>
          </cell>
          <cell r="G5507">
            <v>275</v>
          </cell>
          <cell r="H5507">
            <v>0</v>
          </cell>
        </row>
        <row r="5508">
          <cell r="D5508" t="str">
            <v>IT&amp;NS</v>
          </cell>
          <cell r="F5508">
            <v>0</v>
          </cell>
          <cell r="G5508">
            <v>275</v>
          </cell>
          <cell r="H5508">
            <v>0</v>
          </cell>
        </row>
        <row r="5509">
          <cell r="D5509" t="str">
            <v>IT&amp;NS</v>
          </cell>
          <cell r="F5509">
            <v>0</v>
          </cell>
          <cell r="G5509">
            <v>275</v>
          </cell>
          <cell r="H5509">
            <v>0</v>
          </cell>
        </row>
        <row r="5510">
          <cell r="D5510" t="str">
            <v>IT&amp;NS</v>
          </cell>
          <cell r="F5510">
            <v>0</v>
          </cell>
          <cell r="G5510">
            <v>275</v>
          </cell>
          <cell r="H5510">
            <v>0</v>
          </cell>
        </row>
        <row r="5511">
          <cell r="D5511" t="str">
            <v>IT&amp;NS</v>
          </cell>
          <cell r="F5511">
            <v>6585.13</v>
          </cell>
          <cell r="G5511">
            <v>275</v>
          </cell>
          <cell r="H5511">
            <v>4789.81698630137</v>
          </cell>
        </row>
        <row r="5512">
          <cell r="D5512" t="str">
            <v>IT&amp;NS</v>
          </cell>
          <cell r="F5512">
            <v>18157.326631147542</v>
          </cell>
          <cell r="G5512">
            <v>275</v>
          </cell>
          <cell r="H5512">
            <v>15715.945192791378</v>
          </cell>
        </row>
        <row r="5513">
          <cell r="D5513" t="str">
            <v>IT&amp;NS</v>
          </cell>
          <cell r="F5513">
            <v>0</v>
          </cell>
          <cell r="G5513">
            <v>275</v>
          </cell>
          <cell r="H5513">
            <v>0</v>
          </cell>
        </row>
        <row r="5514">
          <cell r="D5514" t="str">
            <v>IT&amp;NS</v>
          </cell>
          <cell r="F5514">
            <v>0</v>
          </cell>
          <cell r="G5514">
            <v>275</v>
          </cell>
          <cell r="H5514">
            <v>0</v>
          </cell>
        </row>
        <row r="5515">
          <cell r="D5515" t="str">
            <v>IT&amp;NS</v>
          </cell>
          <cell r="F5515">
            <v>14543.52753304918</v>
          </cell>
          <cell r="G5515">
            <v>275</v>
          </cell>
          <cell r="H5515">
            <v>12564.892298528632</v>
          </cell>
        </row>
        <row r="5516">
          <cell r="D5516" t="str">
            <v>IT&amp;NS</v>
          </cell>
          <cell r="F5516">
            <v>0</v>
          </cell>
          <cell r="G5516">
            <v>275</v>
          </cell>
          <cell r="H5516">
            <v>0</v>
          </cell>
        </row>
        <row r="5517">
          <cell r="D5517" t="str">
            <v>IT&amp;NS</v>
          </cell>
          <cell r="F5517">
            <v>7301.85</v>
          </cell>
          <cell r="G5517">
            <v>275</v>
          </cell>
          <cell r="H5517">
            <v>5897.3534246575346</v>
          </cell>
        </row>
        <row r="5518">
          <cell r="D5518" t="str">
            <v>IT&amp;NS</v>
          </cell>
          <cell r="F5518">
            <v>4604.83</v>
          </cell>
          <cell r="G5518">
            <v>275</v>
          </cell>
          <cell r="H5518">
            <v>3664.4279452054798</v>
          </cell>
        </row>
        <row r="5519">
          <cell r="D5519" t="str">
            <v>IT&amp;NS</v>
          </cell>
          <cell r="F5519">
            <v>0</v>
          </cell>
          <cell r="G5519">
            <v>275</v>
          </cell>
          <cell r="H5519">
            <v>0</v>
          </cell>
        </row>
        <row r="5520">
          <cell r="D5520" t="str">
            <v>IT&amp;NS</v>
          </cell>
          <cell r="F5520">
            <v>1538.08</v>
          </cell>
          <cell r="G5520">
            <v>275</v>
          </cell>
          <cell r="H5520">
            <v>903.00328767123278</v>
          </cell>
        </row>
        <row r="5521">
          <cell r="D5521" t="str">
            <v>IT&amp;NS</v>
          </cell>
          <cell r="F5521">
            <v>0</v>
          </cell>
          <cell r="G5521">
            <v>275</v>
          </cell>
          <cell r="H5521">
            <v>0</v>
          </cell>
        </row>
        <row r="5522">
          <cell r="D5522" t="str">
            <v>IT&amp;NS</v>
          </cell>
          <cell r="F5522">
            <v>0</v>
          </cell>
          <cell r="G5522">
            <v>275</v>
          </cell>
          <cell r="H5522">
            <v>0</v>
          </cell>
        </row>
        <row r="5523">
          <cell r="D5523" t="str">
            <v>IT&amp;NS</v>
          </cell>
          <cell r="F5523">
            <v>73649.524852459013</v>
          </cell>
          <cell r="G5523">
            <v>275</v>
          </cell>
          <cell r="H5523">
            <v>63945.552688075448</v>
          </cell>
        </row>
        <row r="5524">
          <cell r="D5524" t="str">
            <v>IT&amp;NS</v>
          </cell>
          <cell r="F5524">
            <v>0</v>
          </cell>
          <cell r="G5524">
            <v>275</v>
          </cell>
          <cell r="H5524">
            <v>0</v>
          </cell>
        </row>
        <row r="5525">
          <cell r="D5525" t="str">
            <v>IT&amp;NS</v>
          </cell>
          <cell r="F5525">
            <v>0</v>
          </cell>
          <cell r="G5525">
            <v>275</v>
          </cell>
          <cell r="H5525">
            <v>0</v>
          </cell>
        </row>
        <row r="5526">
          <cell r="D5526" t="str">
            <v>IT&amp;NS</v>
          </cell>
          <cell r="F5526">
            <v>0</v>
          </cell>
          <cell r="G5526">
            <v>275</v>
          </cell>
          <cell r="H5526">
            <v>0</v>
          </cell>
        </row>
        <row r="5527">
          <cell r="D5527" t="str">
            <v>IT&amp;NS</v>
          </cell>
          <cell r="F5527">
            <v>0</v>
          </cell>
          <cell r="G5527">
            <v>275</v>
          </cell>
          <cell r="H5527">
            <v>0</v>
          </cell>
        </row>
        <row r="5528">
          <cell r="D5528" t="str">
            <v>IT&amp;NS</v>
          </cell>
          <cell r="F5528">
            <v>0</v>
          </cell>
          <cell r="G5528">
            <v>275</v>
          </cell>
          <cell r="H5528">
            <v>0</v>
          </cell>
        </row>
        <row r="5529">
          <cell r="D5529" t="str">
            <v>IT&amp;NS</v>
          </cell>
          <cell r="F5529">
            <v>0</v>
          </cell>
          <cell r="G5529">
            <v>275</v>
          </cell>
          <cell r="H5529">
            <v>0</v>
          </cell>
        </row>
        <row r="5530">
          <cell r="D5530" t="str">
            <v>IT&amp;NS</v>
          </cell>
          <cell r="F5530">
            <v>0</v>
          </cell>
          <cell r="G5530">
            <v>275</v>
          </cell>
          <cell r="H5530">
            <v>0</v>
          </cell>
        </row>
        <row r="5531">
          <cell r="D5531" t="str">
            <v>IT&amp;NS</v>
          </cell>
          <cell r="F5531">
            <v>0</v>
          </cell>
          <cell r="G5531">
            <v>275</v>
          </cell>
          <cell r="H5531">
            <v>0</v>
          </cell>
        </row>
        <row r="5532">
          <cell r="D5532" t="str">
            <v>IT&amp;NS</v>
          </cell>
          <cell r="F5532">
            <v>0</v>
          </cell>
          <cell r="G5532">
            <v>275</v>
          </cell>
          <cell r="H5532">
            <v>0</v>
          </cell>
        </row>
        <row r="5533">
          <cell r="D5533" t="str">
            <v>IT&amp;NS</v>
          </cell>
          <cell r="F5533">
            <v>0</v>
          </cell>
          <cell r="G5533">
            <v>275</v>
          </cell>
          <cell r="H5533">
            <v>0</v>
          </cell>
        </row>
        <row r="5534">
          <cell r="D5534" t="str">
            <v>IT&amp;NS</v>
          </cell>
          <cell r="F5534">
            <v>0</v>
          </cell>
          <cell r="G5534">
            <v>275</v>
          </cell>
          <cell r="H5534">
            <v>0</v>
          </cell>
        </row>
        <row r="5535">
          <cell r="D5535" t="str">
            <v>IT&amp;NS</v>
          </cell>
          <cell r="F5535">
            <v>0</v>
          </cell>
          <cell r="G5535">
            <v>275</v>
          </cell>
          <cell r="H5535">
            <v>0</v>
          </cell>
        </row>
        <row r="5536">
          <cell r="D5536" t="str">
            <v>IT&amp;NS</v>
          </cell>
          <cell r="F5536">
            <v>0</v>
          </cell>
          <cell r="G5536">
            <v>275</v>
          </cell>
          <cell r="H5536">
            <v>0</v>
          </cell>
        </row>
        <row r="5537">
          <cell r="D5537" t="str">
            <v>IT&amp;NS</v>
          </cell>
          <cell r="F5537">
            <v>0</v>
          </cell>
          <cell r="G5537">
            <v>275</v>
          </cell>
          <cell r="H5537">
            <v>0</v>
          </cell>
        </row>
        <row r="5538">
          <cell r="D5538" t="str">
            <v>IT&amp;NS</v>
          </cell>
          <cell r="F5538">
            <v>0</v>
          </cell>
          <cell r="G5538">
            <v>275</v>
          </cell>
          <cell r="H5538">
            <v>0</v>
          </cell>
        </row>
        <row r="5539">
          <cell r="D5539" t="str">
            <v>IT&amp;NS</v>
          </cell>
          <cell r="F5539">
            <v>0</v>
          </cell>
          <cell r="G5539">
            <v>275</v>
          </cell>
          <cell r="H5539">
            <v>0</v>
          </cell>
        </row>
        <row r="5540">
          <cell r="D5540" t="str">
            <v>IT&amp;NS</v>
          </cell>
          <cell r="F5540">
            <v>0</v>
          </cell>
          <cell r="G5540">
            <v>275</v>
          </cell>
          <cell r="H5540">
            <v>0</v>
          </cell>
        </row>
        <row r="5541">
          <cell r="D5541" t="str">
            <v>IT&amp;NS</v>
          </cell>
          <cell r="F5541">
            <v>0</v>
          </cell>
          <cell r="G5541">
            <v>275</v>
          </cell>
          <cell r="H5541">
            <v>0</v>
          </cell>
        </row>
        <row r="5542">
          <cell r="D5542" t="str">
            <v>IT&amp;NS</v>
          </cell>
          <cell r="F5542">
            <v>0</v>
          </cell>
          <cell r="G5542">
            <v>275</v>
          </cell>
          <cell r="H5542">
            <v>0</v>
          </cell>
        </row>
        <row r="5543">
          <cell r="D5543" t="str">
            <v>IT&amp;NS</v>
          </cell>
          <cell r="F5543">
            <v>0</v>
          </cell>
          <cell r="G5543">
            <v>275</v>
          </cell>
          <cell r="H5543">
            <v>0</v>
          </cell>
        </row>
        <row r="5544">
          <cell r="D5544" t="str">
            <v>IT&amp;NS</v>
          </cell>
          <cell r="F5544">
            <v>0</v>
          </cell>
          <cell r="G5544">
            <v>275</v>
          </cell>
          <cell r="H5544">
            <v>0</v>
          </cell>
        </row>
        <row r="5545">
          <cell r="D5545" t="str">
            <v>IT&amp;NS</v>
          </cell>
          <cell r="F5545">
            <v>0</v>
          </cell>
          <cell r="G5545">
            <v>275</v>
          </cell>
          <cell r="H5545">
            <v>0</v>
          </cell>
        </row>
        <row r="5546">
          <cell r="D5546" t="str">
            <v>IT&amp;NS</v>
          </cell>
          <cell r="F5546">
            <v>0</v>
          </cell>
          <cell r="G5546">
            <v>275</v>
          </cell>
          <cell r="H5546">
            <v>0</v>
          </cell>
        </row>
        <row r="5547">
          <cell r="D5547" t="str">
            <v>IT&amp;NS</v>
          </cell>
          <cell r="F5547">
            <v>0</v>
          </cell>
          <cell r="G5547">
            <v>275</v>
          </cell>
          <cell r="H5547">
            <v>0</v>
          </cell>
        </row>
        <row r="5548">
          <cell r="D5548" t="str">
            <v>IT&amp;NS</v>
          </cell>
          <cell r="F5548">
            <v>0</v>
          </cell>
          <cell r="G5548">
            <v>275</v>
          </cell>
          <cell r="H5548">
            <v>0</v>
          </cell>
        </row>
        <row r="5549">
          <cell r="D5549" t="str">
            <v>IT&amp;NS</v>
          </cell>
          <cell r="F5549">
            <v>0</v>
          </cell>
          <cell r="G5549">
            <v>275</v>
          </cell>
          <cell r="H5549">
            <v>0</v>
          </cell>
        </row>
        <row r="5550">
          <cell r="D5550" t="str">
            <v>IT&amp;NS</v>
          </cell>
          <cell r="F5550">
            <v>0</v>
          </cell>
          <cell r="G5550">
            <v>275</v>
          </cell>
          <cell r="H5550">
            <v>0</v>
          </cell>
        </row>
        <row r="5551">
          <cell r="D5551" t="str">
            <v>IT&amp;NS</v>
          </cell>
          <cell r="F5551">
            <v>0</v>
          </cell>
          <cell r="G5551">
            <v>275</v>
          </cell>
          <cell r="H5551">
            <v>0</v>
          </cell>
        </row>
        <row r="5552">
          <cell r="D5552" t="str">
            <v>IT&amp;NS</v>
          </cell>
          <cell r="F5552">
            <v>0</v>
          </cell>
          <cell r="G5552">
            <v>275</v>
          </cell>
          <cell r="H5552">
            <v>0</v>
          </cell>
        </row>
        <row r="5553">
          <cell r="D5553" t="str">
            <v>IT&amp;NS</v>
          </cell>
          <cell r="F5553">
            <v>0</v>
          </cell>
          <cell r="G5553">
            <v>275</v>
          </cell>
          <cell r="H5553">
            <v>0</v>
          </cell>
        </row>
        <row r="5554">
          <cell r="D5554" t="str">
            <v>IT&amp;NS</v>
          </cell>
          <cell r="F5554">
            <v>0</v>
          </cell>
          <cell r="G5554">
            <v>275</v>
          </cell>
          <cell r="H5554">
            <v>0</v>
          </cell>
        </row>
        <row r="5555">
          <cell r="D5555" t="str">
            <v>IT&amp;NS</v>
          </cell>
          <cell r="F5555">
            <v>0</v>
          </cell>
          <cell r="G5555">
            <v>275</v>
          </cell>
          <cell r="H5555">
            <v>0</v>
          </cell>
        </row>
        <row r="5556">
          <cell r="D5556" t="str">
            <v>IT&amp;NS</v>
          </cell>
          <cell r="F5556">
            <v>0</v>
          </cell>
          <cell r="G5556">
            <v>275</v>
          </cell>
          <cell r="H5556">
            <v>0</v>
          </cell>
        </row>
        <row r="5557">
          <cell r="D5557" t="str">
            <v>IT&amp;NS</v>
          </cell>
          <cell r="F5557">
            <v>0</v>
          </cell>
          <cell r="G5557">
            <v>275</v>
          </cell>
          <cell r="H5557">
            <v>0</v>
          </cell>
        </row>
        <row r="5558">
          <cell r="D5558" t="str">
            <v>IT&amp;NS</v>
          </cell>
          <cell r="F5558">
            <v>0</v>
          </cell>
          <cell r="G5558">
            <v>275</v>
          </cell>
          <cell r="H5558">
            <v>0</v>
          </cell>
        </row>
        <row r="5559">
          <cell r="D5559" t="str">
            <v>IT&amp;NS</v>
          </cell>
          <cell r="F5559">
            <v>0</v>
          </cell>
          <cell r="G5559">
            <v>275</v>
          </cell>
          <cell r="H5559">
            <v>0</v>
          </cell>
        </row>
        <row r="5560">
          <cell r="D5560" t="str">
            <v>IT&amp;NS</v>
          </cell>
          <cell r="F5560">
            <v>0</v>
          </cell>
          <cell r="G5560">
            <v>275</v>
          </cell>
          <cell r="H5560">
            <v>0</v>
          </cell>
        </row>
        <row r="5561">
          <cell r="D5561" t="str">
            <v>IT&amp;NS</v>
          </cell>
          <cell r="F5561">
            <v>0</v>
          </cell>
          <cell r="G5561">
            <v>275</v>
          </cell>
          <cell r="H5561">
            <v>0</v>
          </cell>
        </row>
        <row r="5562">
          <cell r="D5562" t="str">
            <v>IT&amp;NS</v>
          </cell>
          <cell r="F5562">
            <v>0</v>
          </cell>
          <cell r="G5562">
            <v>275</v>
          </cell>
          <cell r="H5562">
            <v>0</v>
          </cell>
        </row>
        <row r="5563">
          <cell r="D5563" t="str">
            <v>IT&amp;NS</v>
          </cell>
          <cell r="F5563">
            <v>0</v>
          </cell>
          <cell r="G5563">
            <v>275</v>
          </cell>
          <cell r="H5563">
            <v>0</v>
          </cell>
        </row>
        <row r="5564">
          <cell r="D5564" t="str">
            <v>IT&amp;NS</v>
          </cell>
          <cell r="F5564">
            <v>0</v>
          </cell>
          <cell r="G5564">
            <v>275</v>
          </cell>
          <cell r="H5564">
            <v>0</v>
          </cell>
        </row>
        <row r="5565">
          <cell r="D5565" t="str">
            <v>IT&amp;NS</v>
          </cell>
          <cell r="F5565">
            <v>0</v>
          </cell>
          <cell r="G5565">
            <v>275</v>
          </cell>
          <cell r="H5565">
            <v>0</v>
          </cell>
        </row>
        <row r="5566">
          <cell r="D5566" t="str">
            <v>IT&amp;NS</v>
          </cell>
          <cell r="F5566">
            <v>0</v>
          </cell>
          <cell r="G5566">
            <v>275</v>
          </cell>
          <cell r="H5566">
            <v>0</v>
          </cell>
        </row>
        <row r="5567">
          <cell r="D5567" t="str">
            <v>IT&amp;NS</v>
          </cell>
          <cell r="F5567">
            <v>0</v>
          </cell>
          <cell r="G5567">
            <v>275</v>
          </cell>
          <cell r="H5567">
            <v>0</v>
          </cell>
        </row>
        <row r="5568">
          <cell r="D5568" t="str">
            <v>IT&amp;NS</v>
          </cell>
          <cell r="F5568">
            <v>0</v>
          </cell>
          <cell r="G5568">
            <v>275</v>
          </cell>
          <cell r="H5568">
            <v>0</v>
          </cell>
        </row>
        <row r="5569">
          <cell r="D5569" t="str">
            <v>IT&amp;NS</v>
          </cell>
          <cell r="F5569">
            <v>0</v>
          </cell>
          <cell r="G5569">
            <v>275</v>
          </cell>
          <cell r="H5569">
            <v>0</v>
          </cell>
        </row>
        <row r="5570">
          <cell r="D5570" t="str">
            <v>IT&amp;NS</v>
          </cell>
          <cell r="F5570">
            <v>0</v>
          </cell>
          <cell r="G5570">
            <v>275</v>
          </cell>
          <cell r="H5570">
            <v>0</v>
          </cell>
        </row>
        <row r="5571">
          <cell r="D5571" t="str">
            <v>IT&amp;NS</v>
          </cell>
          <cell r="F5571">
            <v>0</v>
          </cell>
          <cell r="G5571">
            <v>275</v>
          </cell>
          <cell r="H5571">
            <v>0</v>
          </cell>
        </row>
        <row r="5572">
          <cell r="D5572" t="str">
            <v>IT&amp;NS</v>
          </cell>
          <cell r="F5572">
            <v>0</v>
          </cell>
          <cell r="G5572">
            <v>275</v>
          </cell>
          <cell r="H5572">
            <v>0</v>
          </cell>
        </row>
        <row r="5573">
          <cell r="D5573" t="str">
            <v>IT&amp;NS</v>
          </cell>
          <cell r="F5573">
            <v>0</v>
          </cell>
          <cell r="G5573">
            <v>275</v>
          </cell>
          <cell r="H5573">
            <v>0</v>
          </cell>
        </row>
        <row r="5574">
          <cell r="D5574" t="str">
            <v>IT&amp;NS</v>
          </cell>
          <cell r="F5574">
            <v>0</v>
          </cell>
          <cell r="G5574">
            <v>275</v>
          </cell>
          <cell r="H5574">
            <v>0</v>
          </cell>
        </row>
        <row r="5575">
          <cell r="D5575" t="str">
            <v>IT&amp;NS</v>
          </cell>
          <cell r="F5575">
            <v>0</v>
          </cell>
          <cell r="G5575">
            <v>275</v>
          </cell>
          <cell r="H5575">
            <v>0</v>
          </cell>
        </row>
        <row r="5576">
          <cell r="D5576" t="str">
            <v>IT&amp;NS</v>
          </cell>
          <cell r="F5576">
            <v>0</v>
          </cell>
          <cell r="G5576">
            <v>275</v>
          </cell>
          <cell r="H5576">
            <v>0</v>
          </cell>
        </row>
        <row r="5577">
          <cell r="D5577" t="str">
            <v>IT&amp;NS</v>
          </cell>
          <cell r="F5577">
            <v>0</v>
          </cell>
          <cell r="G5577">
            <v>275</v>
          </cell>
          <cell r="H5577">
            <v>0</v>
          </cell>
        </row>
        <row r="5578">
          <cell r="D5578" t="str">
            <v>IT&amp;NS</v>
          </cell>
          <cell r="F5578">
            <v>0</v>
          </cell>
          <cell r="G5578">
            <v>275</v>
          </cell>
          <cell r="H5578">
            <v>0</v>
          </cell>
        </row>
        <row r="5579">
          <cell r="D5579" t="str">
            <v>IT&amp;NS</v>
          </cell>
          <cell r="F5579">
            <v>0</v>
          </cell>
          <cell r="G5579">
            <v>275</v>
          </cell>
          <cell r="H5579">
            <v>0</v>
          </cell>
        </row>
        <row r="5580">
          <cell r="D5580" t="str">
            <v>IT&amp;NS</v>
          </cell>
          <cell r="F5580">
            <v>0</v>
          </cell>
          <cell r="G5580">
            <v>275</v>
          </cell>
          <cell r="H5580">
            <v>0</v>
          </cell>
        </row>
        <row r="5581">
          <cell r="D5581" t="str">
            <v>IT&amp;NS</v>
          </cell>
          <cell r="F5581">
            <v>0</v>
          </cell>
          <cell r="G5581">
            <v>275</v>
          </cell>
          <cell r="H5581">
            <v>0</v>
          </cell>
        </row>
        <row r="5582">
          <cell r="D5582" t="str">
            <v>IT&amp;NS</v>
          </cell>
          <cell r="F5582">
            <v>0</v>
          </cell>
          <cell r="G5582">
            <v>275</v>
          </cell>
          <cell r="H5582">
            <v>0</v>
          </cell>
        </row>
        <row r="5583">
          <cell r="D5583" t="str">
            <v>IT&amp;NS</v>
          </cell>
          <cell r="F5583">
            <v>0</v>
          </cell>
          <cell r="G5583">
            <v>275</v>
          </cell>
          <cell r="H5583">
            <v>0</v>
          </cell>
        </row>
        <row r="5584">
          <cell r="D5584" t="str">
            <v>IT&amp;NS</v>
          </cell>
          <cell r="F5584">
            <v>0</v>
          </cell>
          <cell r="G5584">
            <v>275</v>
          </cell>
          <cell r="H5584">
            <v>0</v>
          </cell>
        </row>
        <row r="5585">
          <cell r="D5585" t="str">
            <v>IT&amp;NS</v>
          </cell>
          <cell r="F5585">
            <v>0</v>
          </cell>
          <cell r="G5585">
            <v>275</v>
          </cell>
          <cell r="H5585">
            <v>0</v>
          </cell>
        </row>
        <row r="5586">
          <cell r="D5586" t="str">
            <v>IT&amp;NS</v>
          </cell>
          <cell r="F5586">
            <v>0</v>
          </cell>
          <cell r="G5586">
            <v>275</v>
          </cell>
          <cell r="H5586">
            <v>0</v>
          </cell>
        </row>
        <row r="5587">
          <cell r="D5587" t="str">
            <v>IT&amp;NS</v>
          </cell>
          <cell r="F5587">
            <v>0</v>
          </cell>
          <cell r="G5587">
            <v>275</v>
          </cell>
          <cell r="H5587">
            <v>0</v>
          </cell>
        </row>
        <row r="5588">
          <cell r="D5588" t="str">
            <v>IT&amp;NS</v>
          </cell>
          <cell r="F5588">
            <v>0</v>
          </cell>
          <cell r="G5588">
            <v>275</v>
          </cell>
          <cell r="H5588">
            <v>0</v>
          </cell>
        </row>
        <row r="5589">
          <cell r="D5589" t="str">
            <v>IT&amp;NS</v>
          </cell>
          <cell r="F5589">
            <v>0</v>
          </cell>
          <cell r="G5589">
            <v>275</v>
          </cell>
          <cell r="H5589">
            <v>0</v>
          </cell>
        </row>
        <row r="5590">
          <cell r="D5590" t="str">
            <v>IT&amp;NS</v>
          </cell>
          <cell r="F5590">
            <v>0</v>
          </cell>
          <cell r="G5590">
            <v>275</v>
          </cell>
          <cell r="H5590">
            <v>0</v>
          </cell>
        </row>
        <row r="5591">
          <cell r="D5591" t="str">
            <v>IT&amp;NS</v>
          </cell>
          <cell r="F5591">
            <v>0</v>
          </cell>
          <cell r="G5591">
            <v>275</v>
          </cell>
          <cell r="H5591">
            <v>0</v>
          </cell>
        </row>
        <row r="5592">
          <cell r="D5592" t="str">
            <v>IT&amp;NS</v>
          </cell>
          <cell r="F5592">
            <v>0</v>
          </cell>
          <cell r="G5592">
            <v>275</v>
          </cell>
          <cell r="H5592">
            <v>0</v>
          </cell>
        </row>
        <row r="5593">
          <cell r="D5593" t="str">
            <v>IT&amp;NS</v>
          </cell>
          <cell r="F5593">
            <v>0</v>
          </cell>
          <cell r="G5593">
            <v>275</v>
          </cell>
          <cell r="H5593">
            <v>0</v>
          </cell>
        </row>
        <row r="5594">
          <cell r="D5594" t="str">
            <v>IT&amp;NS</v>
          </cell>
          <cell r="F5594">
            <v>0</v>
          </cell>
          <cell r="G5594">
            <v>275</v>
          </cell>
          <cell r="H5594">
            <v>0</v>
          </cell>
        </row>
        <row r="5595">
          <cell r="D5595" t="str">
            <v>IT&amp;NS</v>
          </cell>
          <cell r="F5595">
            <v>0</v>
          </cell>
          <cell r="G5595">
            <v>275</v>
          </cell>
          <cell r="H5595">
            <v>0</v>
          </cell>
        </row>
        <row r="5596">
          <cell r="D5596" t="str">
            <v>IT&amp;NS</v>
          </cell>
          <cell r="F5596">
            <v>0</v>
          </cell>
          <cell r="G5596">
            <v>275</v>
          </cell>
          <cell r="H5596">
            <v>0</v>
          </cell>
        </row>
        <row r="5597">
          <cell r="D5597" t="str">
            <v>IT&amp;NS</v>
          </cell>
          <cell r="F5597">
            <v>0</v>
          </cell>
          <cell r="G5597">
            <v>275</v>
          </cell>
          <cell r="H5597">
            <v>0</v>
          </cell>
        </row>
        <row r="5598">
          <cell r="D5598" t="str">
            <v>IT&amp;NS</v>
          </cell>
          <cell r="F5598">
            <v>0</v>
          </cell>
          <cell r="G5598">
            <v>275</v>
          </cell>
          <cell r="H5598">
            <v>0</v>
          </cell>
        </row>
        <row r="5599">
          <cell r="D5599" t="str">
            <v>IT&amp;NS</v>
          </cell>
          <cell r="F5599">
            <v>0</v>
          </cell>
          <cell r="G5599">
            <v>275</v>
          </cell>
          <cell r="H5599">
            <v>0</v>
          </cell>
        </row>
        <row r="5600">
          <cell r="D5600" t="str">
            <v>IT&amp;NS</v>
          </cell>
          <cell r="F5600">
            <v>0</v>
          </cell>
          <cell r="G5600">
            <v>275</v>
          </cell>
          <cell r="H5600">
            <v>0</v>
          </cell>
        </row>
        <row r="5601">
          <cell r="D5601" t="str">
            <v>IT&amp;NS</v>
          </cell>
          <cell r="F5601">
            <v>0</v>
          </cell>
          <cell r="G5601">
            <v>275</v>
          </cell>
          <cell r="H5601">
            <v>0</v>
          </cell>
        </row>
        <row r="5602">
          <cell r="D5602" t="str">
            <v>IT&amp;NS</v>
          </cell>
          <cell r="F5602">
            <v>0</v>
          </cell>
          <cell r="G5602">
            <v>275</v>
          </cell>
          <cell r="H5602">
            <v>0</v>
          </cell>
        </row>
        <row r="5603">
          <cell r="D5603" t="str">
            <v>IT&amp;NS</v>
          </cell>
          <cell r="F5603">
            <v>0</v>
          </cell>
          <cell r="G5603">
            <v>275</v>
          </cell>
          <cell r="H5603">
            <v>0</v>
          </cell>
        </row>
        <row r="5604">
          <cell r="D5604" t="str">
            <v>IT&amp;NS</v>
          </cell>
          <cell r="F5604">
            <v>0</v>
          </cell>
          <cell r="G5604">
            <v>275</v>
          </cell>
          <cell r="H5604">
            <v>0</v>
          </cell>
        </row>
        <row r="5605">
          <cell r="D5605" t="str">
            <v>IT&amp;NS</v>
          </cell>
          <cell r="F5605">
            <v>0</v>
          </cell>
          <cell r="G5605">
            <v>275</v>
          </cell>
          <cell r="H5605">
            <v>0</v>
          </cell>
        </row>
        <row r="5606">
          <cell r="D5606" t="str">
            <v>IT&amp;NS</v>
          </cell>
          <cell r="F5606">
            <v>0</v>
          </cell>
          <cell r="G5606">
            <v>275</v>
          </cell>
          <cell r="H5606">
            <v>0</v>
          </cell>
        </row>
        <row r="5607">
          <cell r="D5607" t="str">
            <v>IT&amp;NS</v>
          </cell>
          <cell r="F5607">
            <v>0</v>
          </cell>
          <cell r="G5607">
            <v>275</v>
          </cell>
          <cell r="H5607">
            <v>0</v>
          </cell>
        </row>
        <row r="5608">
          <cell r="D5608" t="str">
            <v>IT&amp;NS</v>
          </cell>
          <cell r="F5608">
            <v>0</v>
          </cell>
          <cell r="G5608">
            <v>275</v>
          </cell>
          <cell r="H5608">
            <v>0</v>
          </cell>
        </row>
        <row r="5609">
          <cell r="D5609" t="str">
            <v>IT&amp;NS</v>
          </cell>
          <cell r="F5609">
            <v>0</v>
          </cell>
          <cell r="G5609">
            <v>275</v>
          </cell>
          <cell r="H5609">
            <v>0</v>
          </cell>
        </row>
        <row r="5610">
          <cell r="D5610" t="str">
            <v>IT&amp;NS</v>
          </cell>
          <cell r="F5610">
            <v>0</v>
          </cell>
          <cell r="G5610">
            <v>275</v>
          </cell>
          <cell r="H5610">
            <v>0</v>
          </cell>
        </row>
        <row r="5611">
          <cell r="D5611" t="str">
            <v>IT&amp;NS</v>
          </cell>
          <cell r="F5611">
            <v>0</v>
          </cell>
          <cell r="G5611">
            <v>275</v>
          </cell>
          <cell r="H5611">
            <v>0</v>
          </cell>
        </row>
        <row r="5612">
          <cell r="D5612" t="str">
            <v>IT&amp;NS</v>
          </cell>
          <cell r="F5612">
            <v>0</v>
          </cell>
          <cell r="G5612">
            <v>275</v>
          </cell>
          <cell r="H5612">
            <v>0</v>
          </cell>
        </row>
        <row r="5613">
          <cell r="D5613" t="str">
            <v>IT&amp;NS</v>
          </cell>
          <cell r="F5613">
            <v>0</v>
          </cell>
          <cell r="G5613">
            <v>275</v>
          </cell>
          <cell r="H5613">
            <v>0</v>
          </cell>
        </row>
        <row r="5614">
          <cell r="D5614" t="str">
            <v>IT&amp;NS</v>
          </cell>
          <cell r="F5614">
            <v>0</v>
          </cell>
          <cell r="G5614">
            <v>275</v>
          </cell>
          <cell r="H5614">
            <v>0</v>
          </cell>
        </row>
        <row r="5615">
          <cell r="D5615" t="str">
            <v>IT&amp;NS</v>
          </cell>
          <cell r="F5615">
            <v>0</v>
          </cell>
          <cell r="G5615">
            <v>275</v>
          </cell>
          <cell r="H5615">
            <v>0</v>
          </cell>
        </row>
        <row r="5616">
          <cell r="D5616" t="str">
            <v>IT&amp;NS</v>
          </cell>
          <cell r="F5616">
            <v>0</v>
          </cell>
          <cell r="G5616">
            <v>275</v>
          </cell>
          <cell r="H5616">
            <v>0</v>
          </cell>
        </row>
        <row r="5617">
          <cell r="D5617" t="str">
            <v>IT&amp;NS</v>
          </cell>
          <cell r="F5617">
            <v>0</v>
          </cell>
          <cell r="G5617">
            <v>275</v>
          </cell>
          <cell r="H5617">
            <v>0</v>
          </cell>
        </row>
        <row r="5618">
          <cell r="D5618" t="str">
            <v>IT&amp;NS</v>
          </cell>
          <cell r="F5618">
            <v>0</v>
          </cell>
          <cell r="G5618">
            <v>275</v>
          </cell>
          <cell r="H5618">
            <v>0</v>
          </cell>
        </row>
        <row r="5619">
          <cell r="D5619" t="str">
            <v>IT&amp;NS</v>
          </cell>
          <cell r="F5619">
            <v>0</v>
          </cell>
          <cell r="G5619">
            <v>275</v>
          </cell>
          <cell r="H5619">
            <v>0</v>
          </cell>
        </row>
        <row r="5620">
          <cell r="D5620" t="str">
            <v>IT&amp;NS</v>
          </cell>
          <cell r="F5620">
            <v>0</v>
          </cell>
          <cell r="G5620">
            <v>275</v>
          </cell>
          <cell r="H5620">
            <v>0</v>
          </cell>
        </row>
        <row r="5621">
          <cell r="D5621" t="str">
            <v>IT&amp;NS</v>
          </cell>
          <cell r="F5621">
            <v>0</v>
          </cell>
          <cell r="G5621">
            <v>275</v>
          </cell>
          <cell r="H5621">
            <v>0</v>
          </cell>
        </row>
        <row r="5622">
          <cell r="D5622" t="str">
            <v>IT&amp;NS</v>
          </cell>
          <cell r="F5622">
            <v>0</v>
          </cell>
          <cell r="G5622">
            <v>275</v>
          </cell>
          <cell r="H5622">
            <v>0</v>
          </cell>
        </row>
        <row r="5623">
          <cell r="D5623" t="str">
            <v>IT&amp;NS</v>
          </cell>
          <cell r="F5623">
            <v>0</v>
          </cell>
          <cell r="G5623">
            <v>275</v>
          </cell>
          <cell r="H5623">
            <v>0</v>
          </cell>
        </row>
        <row r="5624">
          <cell r="D5624" t="str">
            <v>IT&amp;NS</v>
          </cell>
          <cell r="F5624">
            <v>0</v>
          </cell>
          <cell r="G5624">
            <v>275</v>
          </cell>
          <cell r="H5624">
            <v>0</v>
          </cell>
        </row>
        <row r="5625">
          <cell r="D5625" t="str">
            <v>IT&amp;NS</v>
          </cell>
          <cell r="F5625">
            <v>0</v>
          </cell>
          <cell r="G5625">
            <v>275</v>
          </cell>
          <cell r="H5625">
            <v>0</v>
          </cell>
        </row>
        <row r="5626">
          <cell r="D5626" t="str">
            <v>IT&amp;NS</v>
          </cell>
          <cell r="F5626">
            <v>0</v>
          </cell>
          <cell r="G5626">
            <v>275</v>
          </cell>
          <cell r="H5626">
            <v>0</v>
          </cell>
        </row>
        <row r="5627">
          <cell r="D5627" t="str">
            <v>IT&amp;NS</v>
          </cell>
          <cell r="F5627">
            <v>0</v>
          </cell>
          <cell r="G5627">
            <v>275</v>
          </cell>
          <cell r="H5627">
            <v>0</v>
          </cell>
        </row>
        <row r="5628">
          <cell r="D5628" t="str">
            <v>IT&amp;NS</v>
          </cell>
          <cell r="F5628">
            <v>0</v>
          </cell>
          <cell r="G5628">
            <v>275</v>
          </cell>
          <cell r="H5628">
            <v>0</v>
          </cell>
        </row>
        <row r="5629">
          <cell r="D5629" t="str">
            <v>IT&amp;NS</v>
          </cell>
          <cell r="F5629">
            <v>0</v>
          </cell>
          <cell r="G5629">
            <v>275</v>
          </cell>
          <cell r="H5629">
            <v>0</v>
          </cell>
        </row>
        <row r="5630">
          <cell r="D5630" t="str">
            <v>IT&amp;NS</v>
          </cell>
          <cell r="F5630">
            <v>0</v>
          </cell>
          <cell r="G5630">
            <v>275</v>
          </cell>
          <cell r="H5630">
            <v>0</v>
          </cell>
        </row>
        <row r="5631">
          <cell r="D5631" t="str">
            <v>IT&amp;NS</v>
          </cell>
          <cell r="F5631">
            <v>0</v>
          </cell>
          <cell r="G5631">
            <v>275</v>
          </cell>
          <cell r="H5631">
            <v>0</v>
          </cell>
        </row>
        <row r="5632">
          <cell r="D5632" t="str">
            <v>IT&amp;NS</v>
          </cell>
          <cell r="F5632">
            <v>0</v>
          </cell>
          <cell r="G5632">
            <v>275</v>
          </cell>
          <cell r="H5632">
            <v>0</v>
          </cell>
        </row>
        <row r="5633">
          <cell r="D5633" t="str">
            <v>IT&amp;NS</v>
          </cell>
          <cell r="F5633">
            <v>0</v>
          </cell>
          <cell r="G5633">
            <v>275</v>
          </cell>
          <cell r="H5633">
            <v>0</v>
          </cell>
        </row>
        <row r="5634">
          <cell r="D5634" t="str">
            <v>IT&amp;NS</v>
          </cell>
          <cell r="F5634">
            <v>0</v>
          </cell>
          <cell r="G5634">
            <v>275</v>
          </cell>
          <cell r="H5634">
            <v>0</v>
          </cell>
        </row>
        <row r="5635">
          <cell r="D5635" t="str">
            <v>IT&amp;NS</v>
          </cell>
          <cell r="F5635">
            <v>0</v>
          </cell>
          <cell r="G5635">
            <v>275</v>
          </cell>
          <cell r="H5635">
            <v>0</v>
          </cell>
        </row>
        <row r="5636">
          <cell r="D5636" t="str">
            <v>IT&amp;NS</v>
          </cell>
          <cell r="F5636">
            <v>0</v>
          </cell>
          <cell r="G5636">
            <v>275</v>
          </cell>
          <cell r="H5636">
            <v>0</v>
          </cell>
        </row>
        <row r="5637">
          <cell r="D5637" t="str">
            <v>IT&amp;NS</v>
          </cell>
          <cell r="F5637">
            <v>0</v>
          </cell>
          <cell r="G5637">
            <v>275</v>
          </cell>
          <cell r="H5637">
            <v>0</v>
          </cell>
        </row>
        <row r="5638">
          <cell r="D5638" t="str">
            <v>IT&amp;NS</v>
          </cell>
          <cell r="F5638">
            <v>0</v>
          </cell>
          <cell r="G5638">
            <v>275</v>
          </cell>
          <cell r="H5638">
            <v>0</v>
          </cell>
        </row>
        <row r="5639">
          <cell r="D5639" t="str">
            <v>IT&amp;NS</v>
          </cell>
          <cell r="F5639">
            <v>0</v>
          </cell>
          <cell r="G5639">
            <v>275</v>
          </cell>
          <cell r="H5639">
            <v>0</v>
          </cell>
        </row>
        <row r="5640">
          <cell r="D5640" t="str">
            <v>IT&amp;NS</v>
          </cell>
          <cell r="F5640">
            <v>0</v>
          </cell>
          <cell r="G5640">
            <v>275</v>
          </cell>
          <cell r="H5640">
            <v>0</v>
          </cell>
        </row>
        <row r="5641">
          <cell r="D5641" t="str">
            <v>IT&amp;NS</v>
          </cell>
          <cell r="F5641">
            <v>0</v>
          </cell>
          <cell r="G5641">
            <v>275</v>
          </cell>
          <cell r="H5641">
            <v>0</v>
          </cell>
        </row>
        <row r="5642">
          <cell r="D5642" t="str">
            <v>IT&amp;NS</v>
          </cell>
          <cell r="F5642">
            <v>0</v>
          </cell>
          <cell r="G5642">
            <v>275</v>
          </cell>
          <cell r="H5642">
            <v>0</v>
          </cell>
        </row>
        <row r="5643">
          <cell r="D5643" t="str">
            <v>IT&amp;NS</v>
          </cell>
          <cell r="F5643">
            <v>0</v>
          </cell>
          <cell r="G5643">
            <v>275</v>
          </cell>
          <cell r="H5643">
            <v>0</v>
          </cell>
        </row>
        <row r="5644">
          <cell r="D5644" t="str">
            <v>IT&amp;NS</v>
          </cell>
          <cell r="F5644">
            <v>0</v>
          </cell>
          <cell r="G5644">
            <v>275</v>
          </cell>
          <cell r="H5644">
            <v>0</v>
          </cell>
        </row>
        <row r="5645">
          <cell r="D5645" t="str">
            <v>IT&amp;NS</v>
          </cell>
          <cell r="F5645">
            <v>0</v>
          </cell>
          <cell r="G5645">
            <v>275</v>
          </cell>
          <cell r="H5645">
            <v>0</v>
          </cell>
        </row>
        <row r="5646">
          <cell r="D5646" t="str">
            <v>IT&amp;NS</v>
          </cell>
          <cell r="F5646">
            <v>17694.86</v>
          </cell>
          <cell r="G5646">
            <v>275</v>
          </cell>
          <cell r="H5646">
            <v>14837.014794520548</v>
          </cell>
        </row>
        <row r="5647">
          <cell r="D5647" t="str">
            <v>IT&amp;NS</v>
          </cell>
          <cell r="F5647">
            <v>17694.86</v>
          </cell>
          <cell r="G5647">
            <v>275</v>
          </cell>
          <cell r="H5647">
            <v>14837.014794520548</v>
          </cell>
        </row>
        <row r="5648">
          <cell r="D5648" t="str">
            <v>IT&amp;NS</v>
          </cell>
          <cell r="F5648">
            <v>17694.86</v>
          </cell>
          <cell r="G5648">
            <v>275</v>
          </cell>
          <cell r="H5648">
            <v>14837.014794520548</v>
          </cell>
        </row>
        <row r="5649">
          <cell r="D5649" t="str">
            <v>IT&amp;NS</v>
          </cell>
          <cell r="F5649">
            <v>17694.86</v>
          </cell>
          <cell r="G5649">
            <v>275</v>
          </cell>
          <cell r="H5649">
            <v>14837.014794520548</v>
          </cell>
        </row>
        <row r="5650">
          <cell r="D5650" t="str">
            <v>IT&amp;NS</v>
          </cell>
          <cell r="F5650">
            <v>17694.86</v>
          </cell>
          <cell r="G5650">
            <v>275</v>
          </cell>
          <cell r="H5650">
            <v>14837.014794520548</v>
          </cell>
        </row>
        <row r="5651">
          <cell r="D5651" t="str">
            <v>IT&amp;NS</v>
          </cell>
          <cell r="F5651">
            <v>17694.86</v>
          </cell>
          <cell r="G5651">
            <v>275</v>
          </cell>
          <cell r="H5651">
            <v>14837.014794520548</v>
          </cell>
        </row>
        <row r="5652">
          <cell r="D5652" t="str">
            <v>IT&amp;NS</v>
          </cell>
          <cell r="F5652">
            <v>0</v>
          </cell>
          <cell r="G5652">
            <v>275</v>
          </cell>
          <cell r="H5652">
            <v>0</v>
          </cell>
        </row>
        <row r="5653">
          <cell r="D5653" t="str">
            <v>IT&amp;NS</v>
          </cell>
          <cell r="F5653">
            <v>3126.6800000000003</v>
          </cell>
          <cell r="G5653">
            <v>275</v>
          </cell>
          <cell r="H5653">
            <v>781.78136986301433</v>
          </cell>
        </row>
        <row r="5654">
          <cell r="D5654" t="str">
            <v>IT&amp;NS</v>
          </cell>
          <cell r="F5654">
            <v>0</v>
          </cell>
          <cell r="G5654">
            <v>275</v>
          </cell>
          <cell r="H5654">
            <v>0</v>
          </cell>
        </row>
        <row r="5655">
          <cell r="D5655" t="str">
            <v>IT&amp;NS</v>
          </cell>
          <cell r="F5655">
            <v>0</v>
          </cell>
          <cell r="G5655">
            <v>275</v>
          </cell>
          <cell r="H5655">
            <v>0</v>
          </cell>
        </row>
        <row r="5656">
          <cell r="D5656" t="str">
            <v>IT&amp;NS</v>
          </cell>
          <cell r="F5656">
            <v>39980.04</v>
          </cell>
          <cell r="G5656">
            <v>275</v>
          </cell>
          <cell r="H5656">
            <v>31724.042739726028</v>
          </cell>
        </row>
        <row r="5657">
          <cell r="D5657" t="str">
            <v>IT&amp;NS</v>
          </cell>
          <cell r="F5657">
            <v>42349.850000000006</v>
          </cell>
          <cell r="G5657">
            <v>275</v>
          </cell>
          <cell r="H5657">
            <v>33617.545205479459</v>
          </cell>
        </row>
        <row r="5658">
          <cell r="D5658" t="str">
            <v>IT&amp;NS</v>
          </cell>
          <cell r="F5658">
            <v>68731.467999999993</v>
          </cell>
          <cell r="G5658">
            <v>275</v>
          </cell>
          <cell r="H5658">
            <v>54696.272657534239</v>
          </cell>
        </row>
        <row r="5659">
          <cell r="D5659" t="str">
            <v>IT&amp;NS</v>
          </cell>
          <cell r="F5659">
            <v>859181.86442103819</v>
          </cell>
          <cell r="G5659">
            <v>275</v>
          </cell>
          <cell r="H5659">
            <v>738109.49655117514</v>
          </cell>
        </row>
        <row r="5660">
          <cell r="D5660" t="str">
            <v>IT&amp;NS</v>
          </cell>
          <cell r="F5660">
            <v>0</v>
          </cell>
          <cell r="G5660">
            <v>275</v>
          </cell>
          <cell r="H5660">
            <v>0</v>
          </cell>
        </row>
        <row r="5661">
          <cell r="D5661" t="str">
            <v>IT&amp;NS</v>
          </cell>
          <cell r="F5661">
            <v>11905.727868852458</v>
          </cell>
          <cell r="G5661">
            <v>275</v>
          </cell>
          <cell r="H5661">
            <v>10391.314170222322</v>
          </cell>
        </row>
        <row r="5662">
          <cell r="D5662" t="str">
            <v>IT&amp;NS</v>
          </cell>
          <cell r="F5662">
            <v>11905.727868852458</v>
          </cell>
          <cell r="G5662">
            <v>275</v>
          </cell>
          <cell r="H5662">
            <v>10391.314170222322</v>
          </cell>
        </row>
        <row r="5663">
          <cell r="D5663" t="str">
            <v>IT&amp;NS</v>
          </cell>
          <cell r="F5663">
            <v>11905.727868852458</v>
          </cell>
          <cell r="G5663">
            <v>275</v>
          </cell>
          <cell r="H5663">
            <v>10391.314170222322</v>
          </cell>
        </row>
        <row r="5664">
          <cell r="D5664" t="str">
            <v>IT&amp;NS</v>
          </cell>
          <cell r="F5664">
            <v>11905.727868852458</v>
          </cell>
          <cell r="G5664">
            <v>275</v>
          </cell>
          <cell r="H5664">
            <v>10391.314170222322</v>
          </cell>
        </row>
        <row r="5665">
          <cell r="D5665" t="str">
            <v>IT&amp;NS</v>
          </cell>
          <cell r="F5665">
            <v>11905.727868852458</v>
          </cell>
          <cell r="G5665">
            <v>275</v>
          </cell>
          <cell r="H5665">
            <v>10391.314170222322</v>
          </cell>
        </row>
        <row r="5666">
          <cell r="D5666" t="str">
            <v>IT&amp;NS</v>
          </cell>
          <cell r="F5666">
            <v>11905.727868852458</v>
          </cell>
          <cell r="G5666">
            <v>275</v>
          </cell>
          <cell r="H5666">
            <v>10391.314170222322</v>
          </cell>
        </row>
        <row r="5667">
          <cell r="D5667" t="str">
            <v>IT&amp;NS</v>
          </cell>
          <cell r="F5667">
            <v>11905.727868852458</v>
          </cell>
          <cell r="G5667">
            <v>275</v>
          </cell>
          <cell r="H5667">
            <v>10391.314170222322</v>
          </cell>
        </row>
        <row r="5668">
          <cell r="D5668" t="str">
            <v>IT&amp;NS</v>
          </cell>
          <cell r="F5668">
            <v>11905.727868852458</v>
          </cell>
          <cell r="G5668">
            <v>275</v>
          </cell>
          <cell r="H5668">
            <v>10391.314170222322</v>
          </cell>
        </row>
        <row r="5669">
          <cell r="D5669" t="str">
            <v>IT&amp;NS</v>
          </cell>
          <cell r="F5669">
            <v>11905.727868852458</v>
          </cell>
          <cell r="G5669">
            <v>275</v>
          </cell>
          <cell r="H5669">
            <v>10391.314170222322</v>
          </cell>
        </row>
        <row r="5670">
          <cell r="D5670" t="str">
            <v>IT&amp;NS</v>
          </cell>
          <cell r="F5670">
            <v>11905.727868852458</v>
          </cell>
          <cell r="G5670">
            <v>275</v>
          </cell>
          <cell r="H5670">
            <v>10391.314170222322</v>
          </cell>
        </row>
        <row r="5671">
          <cell r="D5671" t="str">
            <v>IT&amp;NS</v>
          </cell>
          <cell r="F5671">
            <v>11905.727868852458</v>
          </cell>
          <cell r="G5671">
            <v>275</v>
          </cell>
          <cell r="H5671">
            <v>10391.314170222322</v>
          </cell>
        </row>
        <row r="5672">
          <cell r="D5672" t="str">
            <v>IT&amp;NS</v>
          </cell>
          <cell r="F5672">
            <v>65533.61</v>
          </cell>
          <cell r="G5672">
            <v>275</v>
          </cell>
          <cell r="H5672">
            <v>53821.3298630137</v>
          </cell>
        </row>
        <row r="5673">
          <cell r="D5673" t="str">
            <v>IT&amp;NS</v>
          </cell>
          <cell r="F5673">
            <v>0</v>
          </cell>
          <cell r="G5673">
            <v>275</v>
          </cell>
          <cell r="H5673">
            <v>0</v>
          </cell>
        </row>
        <row r="5674">
          <cell r="D5674" t="str">
            <v>IT&amp;NS</v>
          </cell>
          <cell r="F5674">
            <v>5353.6149999999998</v>
          </cell>
          <cell r="G5674">
            <v>275</v>
          </cell>
          <cell r="H5674">
            <v>4517.0235616438349</v>
          </cell>
        </row>
        <row r="5675">
          <cell r="D5675" t="str">
            <v>IT&amp;NS</v>
          </cell>
          <cell r="F5675">
            <v>0</v>
          </cell>
          <cell r="G5675">
            <v>275</v>
          </cell>
          <cell r="H5675">
            <v>0</v>
          </cell>
        </row>
        <row r="5676">
          <cell r="D5676" t="str">
            <v>IT&amp;NS</v>
          </cell>
          <cell r="F5676">
            <v>13533.147930054645</v>
          </cell>
          <cell r="G5676">
            <v>275</v>
          </cell>
          <cell r="H5676">
            <v>11640.61932731492</v>
          </cell>
        </row>
        <row r="5677">
          <cell r="D5677" t="str">
            <v>IT&amp;NS</v>
          </cell>
          <cell r="F5677">
            <v>13533.147930054645</v>
          </cell>
          <cell r="G5677">
            <v>275</v>
          </cell>
          <cell r="H5677">
            <v>11640.61932731492</v>
          </cell>
        </row>
        <row r="5678">
          <cell r="D5678" t="str">
            <v>IT&amp;NS</v>
          </cell>
          <cell r="F5678">
            <v>13533.147930054645</v>
          </cell>
          <cell r="G5678">
            <v>275</v>
          </cell>
          <cell r="H5678">
            <v>11640.61932731492</v>
          </cell>
        </row>
        <row r="5679">
          <cell r="D5679" t="str">
            <v>IT&amp;NS</v>
          </cell>
          <cell r="F5679">
            <v>13533.147930054645</v>
          </cell>
          <cell r="G5679">
            <v>275</v>
          </cell>
          <cell r="H5679">
            <v>11640.61932731492</v>
          </cell>
        </row>
        <row r="5680">
          <cell r="D5680" t="str">
            <v>IT&amp;NS</v>
          </cell>
          <cell r="F5680">
            <v>13533.147930054645</v>
          </cell>
          <cell r="G5680">
            <v>275</v>
          </cell>
          <cell r="H5680">
            <v>11640.61932731492</v>
          </cell>
        </row>
        <row r="5681">
          <cell r="D5681" t="str">
            <v>IT&amp;NS</v>
          </cell>
          <cell r="F5681">
            <v>13533.147930054645</v>
          </cell>
          <cell r="G5681">
            <v>275</v>
          </cell>
          <cell r="H5681">
            <v>11640.61932731492</v>
          </cell>
        </row>
        <row r="5682">
          <cell r="D5682" t="str">
            <v>IT&amp;NS</v>
          </cell>
          <cell r="F5682">
            <v>13533.147930054645</v>
          </cell>
          <cell r="G5682">
            <v>275</v>
          </cell>
          <cell r="H5682">
            <v>11640.61932731492</v>
          </cell>
        </row>
        <row r="5683">
          <cell r="D5683" t="str">
            <v>IT&amp;NS</v>
          </cell>
          <cell r="F5683">
            <v>13533.147930054645</v>
          </cell>
          <cell r="G5683">
            <v>275</v>
          </cell>
          <cell r="H5683">
            <v>11640.61932731492</v>
          </cell>
        </row>
        <row r="5684">
          <cell r="D5684" t="str">
            <v>IT&amp;NS</v>
          </cell>
          <cell r="F5684">
            <v>13533.147930054645</v>
          </cell>
          <cell r="G5684">
            <v>275</v>
          </cell>
          <cell r="H5684">
            <v>11640.61932731492</v>
          </cell>
        </row>
        <row r="5685">
          <cell r="D5685" t="str">
            <v>IT&amp;NS</v>
          </cell>
          <cell r="F5685">
            <v>13533.147930054645</v>
          </cell>
          <cell r="G5685">
            <v>275</v>
          </cell>
          <cell r="H5685">
            <v>11640.61932731492</v>
          </cell>
        </row>
        <row r="5686">
          <cell r="D5686" t="str">
            <v>IT&amp;NS</v>
          </cell>
          <cell r="F5686">
            <v>0</v>
          </cell>
          <cell r="G5686">
            <v>275</v>
          </cell>
          <cell r="H5686">
            <v>0</v>
          </cell>
        </row>
        <row r="5687">
          <cell r="D5687" t="str">
            <v>IT&amp;NS</v>
          </cell>
          <cell r="F5687">
            <v>0</v>
          </cell>
          <cell r="G5687">
            <v>275</v>
          </cell>
          <cell r="H5687">
            <v>0</v>
          </cell>
        </row>
        <row r="5688">
          <cell r="D5688" t="str">
            <v>IT&amp;NS</v>
          </cell>
          <cell r="F5688">
            <v>0</v>
          </cell>
          <cell r="G5688">
            <v>275</v>
          </cell>
          <cell r="H5688">
            <v>0</v>
          </cell>
        </row>
        <row r="5689">
          <cell r="D5689" t="str">
            <v>IT&amp;NS</v>
          </cell>
          <cell r="F5689">
            <v>0</v>
          </cell>
          <cell r="G5689">
            <v>275</v>
          </cell>
          <cell r="H5689">
            <v>0</v>
          </cell>
        </row>
        <row r="5690">
          <cell r="D5690" t="str">
            <v>IT&amp;NS</v>
          </cell>
          <cell r="F5690">
            <v>0</v>
          </cell>
          <cell r="G5690">
            <v>275</v>
          </cell>
          <cell r="H5690">
            <v>0</v>
          </cell>
        </row>
        <row r="5691">
          <cell r="D5691" t="str">
            <v>IT&amp;NS</v>
          </cell>
          <cell r="F5691">
            <v>0</v>
          </cell>
          <cell r="G5691">
            <v>275</v>
          </cell>
          <cell r="H5691">
            <v>0</v>
          </cell>
        </row>
        <row r="5692">
          <cell r="D5692" t="str">
            <v>IT&amp;NS</v>
          </cell>
          <cell r="F5692">
            <v>0</v>
          </cell>
          <cell r="G5692">
            <v>275</v>
          </cell>
          <cell r="H5692">
            <v>0</v>
          </cell>
        </row>
        <row r="5693">
          <cell r="D5693" t="str">
            <v>IT&amp;NS</v>
          </cell>
          <cell r="F5693">
            <v>0</v>
          </cell>
          <cell r="G5693">
            <v>275</v>
          </cell>
          <cell r="H5693">
            <v>0</v>
          </cell>
        </row>
        <row r="5694">
          <cell r="D5694" t="str">
            <v>IT&amp;NS</v>
          </cell>
          <cell r="F5694">
            <v>0</v>
          </cell>
          <cell r="G5694">
            <v>275</v>
          </cell>
          <cell r="H5694">
            <v>0</v>
          </cell>
        </row>
        <row r="5695">
          <cell r="D5695" t="str">
            <v>IT&amp;NS</v>
          </cell>
          <cell r="F5695">
            <v>0</v>
          </cell>
          <cell r="G5695">
            <v>275</v>
          </cell>
          <cell r="H5695">
            <v>0</v>
          </cell>
        </row>
        <row r="5696">
          <cell r="D5696" t="str">
            <v>IT&amp;NS</v>
          </cell>
          <cell r="F5696">
            <v>0</v>
          </cell>
          <cell r="G5696">
            <v>275</v>
          </cell>
          <cell r="H5696">
            <v>0</v>
          </cell>
        </row>
        <row r="5697">
          <cell r="D5697" t="str">
            <v>IT&amp;NS</v>
          </cell>
          <cell r="F5697">
            <v>0</v>
          </cell>
          <cell r="G5697">
            <v>275</v>
          </cell>
          <cell r="H5697">
            <v>0</v>
          </cell>
        </row>
        <row r="5698">
          <cell r="D5698" t="str">
            <v>IT&amp;NS</v>
          </cell>
          <cell r="F5698">
            <v>0</v>
          </cell>
          <cell r="G5698">
            <v>275</v>
          </cell>
          <cell r="H5698">
            <v>0</v>
          </cell>
        </row>
        <row r="5699">
          <cell r="D5699" t="str">
            <v>IT&amp;NS</v>
          </cell>
          <cell r="F5699">
            <v>0</v>
          </cell>
          <cell r="G5699">
            <v>275</v>
          </cell>
          <cell r="H5699">
            <v>0</v>
          </cell>
        </row>
        <row r="5700">
          <cell r="D5700" t="str">
            <v>IT&amp;NS</v>
          </cell>
          <cell r="F5700">
            <v>12597.11286759836</v>
          </cell>
          <cell r="G5700">
            <v>275</v>
          </cell>
          <cell r="H5700">
            <v>10850.540770269592</v>
          </cell>
        </row>
        <row r="5701">
          <cell r="D5701" t="str">
            <v>IT&amp;NS</v>
          </cell>
          <cell r="F5701">
            <v>12597.121676207651</v>
          </cell>
          <cell r="G5701">
            <v>275</v>
          </cell>
          <cell r="H5701">
            <v>10850.548357577514</v>
          </cell>
        </row>
        <row r="5702">
          <cell r="D5702" t="str">
            <v>IT&amp;NS</v>
          </cell>
          <cell r="F5702">
            <v>0</v>
          </cell>
          <cell r="G5702">
            <v>275</v>
          </cell>
          <cell r="H5702">
            <v>0</v>
          </cell>
        </row>
        <row r="5703">
          <cell r="D5703" t="str">
            <v>IT&amp;NS</v>
          </cell>
          <cell r="F5703">
            <v>0</v>
          </cell>
          <cell r="G5703">
            <v>275</v>
          </cell>
          <cell r="H5703">
            <v>0</v>
          </cell>
        </row>
        <row r="5704">
          <cell r="D5704" t="str">
            <v>IT&amp;NS</v>
          </cell>
          <cell r="F5704">
            <v>0</v>
          </cell>
          <cell r="G5704">
            <v>275</v>
          </cell>
          <cell r="H5704">
            <v>0</v>
          </cell>
        </row>
        <row r="5705">
          <cell r="D5705" t="str">
            <v>IT&amp;NS</v>
          </cell>
          <cell r="F5705">
            <v>0</v>
          </cell>
          <cell r="G5705">
            <v>275</v>
          </cell>
          <cell r="H5705">
            <v>0</v>
          </cell>
        </row>
        <row r="5706">
          <cell r="D5706" t="str">
            <v>IT&amp;NS</v>
          </cell>
          <cell r="F5706">
            <v>0</v>
          </cell>
          <cell r="G5706">
            <v>275</v>
          </cell>
          <cell r="H5706">
            <v>0</v>
          </cell>
        </row>
        <row r="5707">
          <cell r="D5707" t="str">
            <v>IT&amp;NS</v>
          </cell>
          <cell r="F5707">
            <v>0</v>
          </cell>
          <cell r="G5707">
            <v>275</v>
          </cell>
          <cell r="H5707">
            <v>0</v>
          </cell>
        </row>
        <row r="5708">
          <cell r="D5708" t="str">
            <v>IT&amp;NS</v>
          </cell>
          <cell r="F5708">
            <v>0</v>
          </cell>
          <cell r="G5708">
            <v>275</v>
          </cell>
          <cell r="H5708">
            <v>0</v>
          </cell>
        </row>
        <row r="5709">
          <cell r="D5709" t="str">
            <v>IT&amp;NS</v>
          </cell>
          <cell r="F5709">
            <v>0</v>
          </cell>
          <cell r="G5709">
            <v>275</v>
          </cell>
          <cell r="H5709">
            <v>0</v>
          </cell>
        </row>
        <row r="5710">
          <cell r="D5710" t="str">
            <v>IT&amp;NS</v>
          </cell>
          <cell r="F5710">
            <v>0</v>
          </cell>
          <cell r="G5710">
            <v>275</v>
          </cell>
          <cell r="H5710">
            <v>0</v>
          </cell>
        </row>
        <row r="5711">
          <cell r="D5711" t="str">
            <v>IT&amp;NS</v>
          </cell>
          <cell r="F5711">
            <v>0</v>
          </cell>
          <cell r="G5711">
            <v>275</v>
          </cell>
          <cell r="H5711">
            <v>0</v>
          </cell>
        </row>
        <row r="5712">
          <cell r="D5712" t="str">
            <v>IT&amp;NS</v>
          </cell>
          <cell r="F5712">
            <v>3753.4</v>
          </cell>
          <cell r="G5712">
            <v>275</v>
          </cell>
          <cell r="H5712">
            <v>3020.6191780821919</v>
          </cell>
        </row>
        <row r="5713">
          <cell r="D5713" t="str">
            <v>IT&amp;NS</v>
          </cell>
          <cell r="F5713">
            <v>69378.436513661203</v>
          </cell>
          <cell r="G5713">
            <v>275</v>
          </cell>
          <cell r="H5713">
            <v>60677.885554757093</v>
          </cell>
        </row>
        <row r="5714">
          <cell r="D5714" t="str">
            <v>IT&amp;NS</v>
          </cell>
          <cell r="F5714">
            <v>0</v>
          </cell>
          <cell r="G5714">
            <v>275</v>
          </cell>
          <cell r="H5714">
            <v>0</v>
          </cell>
        </row>
        <row r="5715">
          <cell r="D5715" t="str">
            <v>IT&amp;NS</v>
          </cell>
          <cell r="F5715">
            <v>24963.622950819674</v>
          </cell>
          <cell r="G5715">
            <v>275</v>
          </cell>
          <cell r="H5715">
            <v>21788.23938917584</v>
          </cell>
        </row>
        <row r="5716">
          <cell r="D5716" t="str">
            <v>IT&amp;NS</v>
          </cell>
          <cell r="F5716">
            <v>24963.622950819674</v>
          </cell>
          <cell r="G5716">
            <v>275</v>
          </cell>
          <cell r="H5716">
            <v>21788.23938917584</v>
          </cell>
        </row>
        <row r="5717">
          <cell r="D5717" t="str">
            <v>IT&amp;NS</v>
          </cell>
          <cell r="F5717">
            <v>24963.622950819674</v>
          </cell>
          <cell r="G5717">
            <v>275</v>
          </cell>
          <cell r="H5717">
            <v>21788.23938917584</v>
          </cell>
        </row>
        <row r="5718">
          <cell r="D5718" t="str">
            <v>IT&amp;NS</v>
          </cell>
          <cell r="F5718">
            <v>24963.622950819674</v>
          </cell>
          <cell r="G5718">
            <v>275</v>
          </cell>
          <cell r="H5718">
            <v>21788.23938917584</v>
          </cell>
        </row>
        <row r="5719">
          <cell r="D5719" t="str">
            <v>IT&amp;NS</v>
          </cell>
          <cell r="F5719">
            <v>14086.688524590165</v>
          </cell>
          <cell r="G5719">
            <v>275</v>
          </cell>
          <cell r="H5719">
            <v>12132.606332809342</v>
          </cell>
        </row>
        <row r="5720">
          <cell r="D5720" t="str">
            <v>IT&amp;NS</v>
          </cell>
          <cell r="F5720">
            <v>5110.3521000000001</v>
          </cell>
          <cell r="G5720">
            <v>275</v>
          </cell>
          <cell r="H5720">
            <v>4365.4803945205476</v>
          </cell>
        </row>
        <row r="5721">
          <cell r="D5721" t="str">
            <v>IT&amp;NS</v>
          </cell>
          <cell r="F5721">
            <v>5110.3521000000001</v>
          </cell>
          <cell r="G5721">
            <v>275</v>
          </cell>
          <cell r="H5721">
            <v>4365.4803945205476</v>
          </cell>
        </row>
        <row r="5722">
          <cell r="D5722" t="str">
            <v>IT&amp;NS</v>
          </cell>
          <cell r="F5722">
            <v>4896.3521000000001</v>
          </cell>
          <cell r="G5722">
            <v>275</v>
          </cell>
          <cell r="H5722">
            <v>4151.4803945205476</v>
          </cell>
        </row>
        <row r="5723">
          <cell r="D5723" t="str">
            <v>IT&amp;NS</v>
          </cell>
          <cell r="F5723">
            <v>5110.3521000000001</v>
          </cell>
          <cell r="G5723">
            <v>275</v>
          </cell>
          <cell r="H5723">
            <v>4365.4803945205476</v>
          </cell>
        </row>
        <row r="5724">
          <cell r="D5724" t="str">
            <v>IT&amp;NS</v>
          </cell>
          <cell r="F5724">
            <v>5110.3521000000001</v>
          </cell>
          <cell r="G5724">
            <v>275</v>
          </cell>
          <cell r="H5724">
            <v>4365.4803945205476</v>
          </cell>
        </row>
        <row r="5725">
          <cell r="D5725" t="str">
            <v>IT&amp;NS</v>
          </cell>
          <cell r="F5725">
            <v>5110.3521000000001</v>
          </cell>
          <cell r="G5725">
            <v>275</v>
          </cell>
          <cell r="H5725">
            <v>4365.4803945205476</v>
          </cell>
        </row>
        <row r="5726">
          <cell r="D5726" t="str">
            <v>IT&amp;NS</v>
          </cell>
          <cell r="F5726">
            <v>5110.3521000000001</v>
          </cell>
          <cell r="G5726">
            <v>275</v>
          </cell>
          <cell r="H5726">
            <v>4365.4803945205476</v>
          </cell>
        </row>
        <row r="5727">
          <cell r="D5727" t="str">
            <v>IT&amp;NS</v>
          </cell>
          <cell r="F5727">
            <v>4996.3521000000001</v>
          </cell>
          <cell r="G5727">
            <v>275</v>
          </cell>
          <cell r="H5727">
            <v>4251.4803945205476</v>
          </cell>
        </row>
        <row r="5728">
          <cell r="D5728" t="str">
            <v>IT&amp;NS</v>
          </cell>
          <cell r="F5728">
            <v>5029.3521000000001</v>
          </cell>
          <cell r="G5728">
            <v>275</v>
          </cell>
          <cell r="H5728">
            <v>4284.4803945205476</v>
          </cell>
        </row>
        <row r="5729">
          <cell r="D5729" t="str">
            <v>IT&amp;NS</v>
          </cell>
          <cell r="F5729">
            <v>0</v>
          </cell>
          <cell r="G5729">
            <v>275</v>
          </cell>
          <cell r="H5729">
            <v>0</v>
          </cell>
        </row>
        <row r="5730">
          <cell r="D5730" t="str">
            <v>IT&amp;NS</v>
          </cell>
          <cell r="F5730">
            <v>0</v>
          </cell>
          <cell r="G5730">
            <v>275</v>
          </cell>
          <cell r="H5730">
            <v>0</v>
          </cell>
        </row>
        <row r="5731">
          <cell r="D5731" t="str">
            <v>IT&amp;NS</v>
          </cell>
          <cell r="F5731">
            <v>0</v>
          </cell>
          <cell r="G5731">
            <v>275</v>
          </cell>
          <cell r="H5731">
            <v>0</v>
          </cell>
        </row>
        <row r="5732">
          <cell r="D5732" t="str">
            <v>IT&amp;NS</v>
          </cell>
          <cell r="F5732">
            <v>0</v>
          </cell>
          <cell r="G5732">
            <v>275</v>
          </cell>
          <cell r="H5732">
            <v>0</v>
          </cell>
        </row>
        <row r="5733">
          <cell r="D5733" t="str">
            <v>IT&amp;NS</v>
          </cell>
          <cell r="F5733">
            <v>0</v>
          </cell>
          <cell r="G5733">
            <v>275</v>
          </cell>
          <cell r="H5733">
            <v>0</v>
          </cell>
        </row>
        <row r="5734">
          <cell r="D5734" t="str">
            <v>IT&amp;NS</v>
          </cell>
          <cell r="F5734">
            <v>0</v>
          </cell>
          <cell r="G5734">
            <v>275</v>
          </cell>
          <cell r="H5734">
            <v>0</v>
          </cell>
        </row>
        <row r="5735">
          <cell r="D5735" t="str">
            <v>IT&amp;NS</v>
          </cell>
          <cell r="F5735">
            <v>0</v>
          </cell>
          <cell r="G5735">
            <v>275</v>
          </cell>
          <cell r="H5735">
            <v>0</v>
          </cell>
        </row>
        <row r="5736">
          <cell r="D5736" t="str">
            <v>IT&amp;NS</v>
          </cell>
          <cell r="F5736">
            <v>0</v>
          </cell>
          <cell r="G5736">
            <v>275</v>
          </cell>
          <cell r="H5736">
            <v>0</v>
          </cell>
        </row>
        <row r="5737">
          <cell r="D5737" t="str">
            <v>IT&amp;NS</v>
          </cell>
          <cell r="F5737">
            <v>4684</v>
          </cell>
          <cell r="G5737">
            <v>275</v>
          </cell>
          <cell r="H5737">
            <v>3462.6986301369861</v>
          </cell>
        </row>
        <row r="5738">
          <cell r="D5738" t="str">
            <v>IT&amp;NS</v>
          </cell>
          <cell r="F5738">
            <v>0</v>
          </cell>
          <cell r="G5738">
            <v>275</v>
          </cell>
          <cell r="H5738">
            <v>0</v>
          </cell>
        </row>
        <row r="5739">
          <cell r="D5739" t="str">
            <v>IT&amp;NS</v>
          </cell>
          <cell r="F5739">
            <v>4746</v>
          </cell>
          <cell r="G5739">
            <v>275</v>
          </cell>
          <cell r="H5739">
            <v>3524.6986301369861</v>
          </cell>
        </row>
        <row r="5740">
          <cell r="D5740" t="str">
            <v>IT&amp;NS</v>
          </cell>
          <cell r="F5740">
            <v>0</v>
          </cell>
          <cell r="G5740">
            <v>275</v>
          </cell>
          <cell r="H5740">
            <v>0</v>
          </cell>
        </row>
        <row r="5741">
          <cell r="D5741" t="str">
            <v>IT&amp;NS</v>
          </cell>
          <cell r="F5741">
            <v>3440.3500000000004</v>
          </cell>
          <cell r="G5741">
            <v>275</v>
          </cell>
          <cell r="H5741">
            <v>2646.5041095890415</v>
          </cell>
        </row>
        <row r="5742">
          <cell r="D5742" t="str">
            <v>IT&amp;NS</v>
          </cell>
          <cell r="F5742">
            <v>4381.3500000000004</v>
          </cell>
          <cell r="G5742">
            <v>275</v>
          </cell>
          <cell r="H5742">
            <v>3587.5041095890415</v>
          </cell>
        </row>
        <row r="5743">
          <cell r="D5743" t="str">
            <v>IT&amp;NS</v>
          </cell>
          <cell r="F5743">
            <v>0</v>
          </cell>
          <cell r="G5743">
            <v>275</v>
          </cell>
          <cell r="H5743">
            <v>0</v>
          </cell>
        </row>
        <row r="5744">
          <cell r="D5744" t="str">
            <v>IT&amp;NS</v>
          </cell>
          <cell r="F5744">
            <v>50692.95</v>
          </cell>
          <cell r="G5744">
            <v>275</v>
          </cell>
          <cell r="H5744">
            <v>43304.076712328766</v>
          </cell>
        </row>
        <row r="5745">
          <cell r="D5745" t="str">
            <v>IT&amp;NS</v>
          </cell>
          <cell r="F5745">
            <v>50692.95</v>
          </cell>
          <cell r="G5745">
            <v>275</v>
          </cell>
          <cell r="H5745">
            <v>43304.076712328766</v>
          </cell>
        </row>
        <row r="5746">
          <cell r="D5746" t="str">
            <v>IT&amp;NS</v>
          </cell>
          <cell r="F5746">
            <v>0</v>
          </cell>
          <cell r="G5746">
            <v>275</v>
          </cell>
          <cell r="H5746">
            <v>0</v>
          </cell>
        </row>
        <row r="5747">
          <cell r="D5747" t="str">
            <v>IT&amp;NS</v>
          </cell>
          <cell r="F5747">
            <v>0</v>
          </cell>
          <cell r="G5747">
            <v>275</v>
          </cell>
          <cell r="H5747">
            <v>0</v>
          </cell>
        </row>
        <row r="5748">
          <cell r="D5748" t="str">
            <v>IT&amp;NS</v>
          </cell>
          <cell r="F5748">
            <v>14663.25</v>
          </cell>
          <cell r="G5748">
            <v>275</v>
          </cell>
          <cell r="H5748">
            <v>12525.972602739726</v>
          </cell>
        </row>
        <row r="5749">
          <cell r="D5749" t="str">
            <v>IT&amp;NS</v>
          </cell>
          <cell r="F5749">
            <v>14663.25</v>
          </cell>
          <cell r="G5749">
            <v>275</v>
          </cell>
          <cell r="H5749">
            <v>12525.972602739726</v>
          </cell>
        </row>
        <row r="5750">
          <cell r="D5750" t="str">
            <v>IT&amp;NS</v>
          </cell>
          <cell r="F5750">
            <v>0</v>
          </cell>
          <cell r="G5750">
            <v>275</v>
          </cell>
          <cell r="H5750">
            <v>0</v>
          </cell>
        </row>
        <row r="5751">
          <cell r="D5751" t="str">
            <v>IT&amp;NS</v>
          </cell>
          <cell r="F5751">
            <v>0</v>
          </cell>
          <cell r="G5751">
            <v>275</v>
          </cell>
          <cell r="H5751">
            <v>0</v>
          </cell>
        </row>
        <row r="5752">
          <cell r="D5752" t="str">
            <v>IT&amp;NS</v>
          </cell>
          <cell r="F5752">
            <v>30661.508196721312</v>
          </cell>
          <cell r="G5752">
            <v>275</v>
          </cell>
          <cell r="H5752">
            <v>26631.213676173367</v>
          </cell>
        </row>
        <row r="5753">
          <cell r="D5753" t="str">
            <v>IT&amp;NS</v>
          </cell>
          <cell r="F5753">
            <v>64905.419672131145</v>
          </cell>
          <cell r="G5753">
            <v>275</v>
          </cell>
          <cell r="H5753">
            <v>56649.422411857173</v>
          </cell>
        </row>
        <row r="5754">
          <cell r="D5754" t="str">
            <v>IT&amp;NS</v>
          </cell>
          <cell r="F5754">
            <v>66432.348524590168</v>
          </cell>
          <cell r="G5754">
            <v>275</v>
          </cell>
          <cell r="H5754">
            <v>58176.351264316196</v>
          </cell>
        </row>
        <row r="5755">
          <cell r="D5755" t="str">
            <v>IT&amp;NS</v>
          </cell>
          <cell r="F5755">
            <v>59909.850000000006</v>
          </cell>
          <cell r="G5755">
            <v>275</v>
          </cell>
          <cell r="H5755">
            <v>51177.545205479459</v>
          </cell>
        </row>
        <row r="5756">
          <cell r="D5756" t="str">
            <v>IT&amp;NS</v>
          </cell>
          <cell r="F5756">
            <v>43302.850000000006</v>
          </cell>
          <cell r="G5756">
            <v>275</v>
          </cell>
          <cell r="H5756">
            <v>34570.545205479459</v>
          </cell>
        </row>
        <row r="5757">
          <cell r="D5757" t="str">
            <v>IT&amp;NS</v>
          </cell>
          <cell r="F5757">
            <v>59935.415956284152</v>
          </cell>
          <cell r="G5757">
            <v>275</v>
          </cell>
          <cell r="H5757">
            <v>51679.41869601018</v>
          </cell>
        </row>
        <row r="5758">
          <cell r="D5758" t="str">
            <v>IT&amp;NS</v>
          </cell>
          <cell r="F5758">
            <v>61133.007213114754</v>
          </cell>
          <cell r="G5758">
            <v>275</v>
          </cell>
          <cell r="H5758">
            <v>52877.009952840781</v>
          </cell>
        </row>
        <row r="5759">
          <cell r="D5759" t="str">
            <v>IT&amp;NS</v>
          </cell>
          <cell r="F5759">
            <v>60534.211584699457</v>
          </cell>
          <cell r="G5759">
            <v>275</v>
          </cell>
          <cell r="H5759">
            <v>52278.214324425484</v>
          </cell>
        </row>
        <row r="5760">
          <cell r="D5760" t="str">
            <v>IT&amp;NS</v>
          </cell>
          <cell r="F5760">
            <v>60534.211584699457</v>
          </cell>
          <cell r="G5760">
            <v>275</v>
          </cell>
          <cell r="H5760">
            <v>52278.214324425484</v>
          </cell>
        </row>
        <row r="5761">
          <cell r="D5761" t="str">
            <v>IT&amp;NS</v>
          </cell>
          <cell r="F5761">
            <v>59725.837486338802</v>
          </cell>
          <cell r="G5761">
            <v>275</v>
          </cell>
          <cell r="H5761">
            <v>51469.840226064829</v>
          </cell>
        </row>
        <row r="5762">
          <cell r="D5762" t="str">
            <v>IT&amp;NS</v>
          </cell>
          <cell r="F5762">
            <v>60773.729836065577</v>
          </cell>
          <cell r="G5762">
            <v>275</v>
          </cell>
          <cell r="H5762">
            <v>52517.732575791604</v>
          </cell>
        </row>
        <row r="5763">
          <cell r="D5763" t="str">
            <v>IT&amp;NS</v>
          </cell>
          <cell r="F5763">
            <v>6974.2960690710379</v>
          </cell>
          <cell r="G5763">
            <v>275</v>
          </cell>
          <cell r="H5763">
            <v>6107.1623260573397</v>
          </cell>
        </row>
        <row r="5764">
          <cell r="D5764" t="str">
            <v>IT&amp;NS</v>
          </cell>
          <cell r="F5764">
            <v>10071.908469945356</v>
          </cell>
          <cell r="G5764">
            <v>275</v>
          </cell>
          <cell r="H5764">
            <v>8813.9680589864529</v>
          </cell>
        </row>
        <row r="5765">
          <cell r="D5765" t="str">
            <v>IT&amp;NS</v>
          </cell>
          <cell r="F5765">
            <v>0</v>
          </cell>
          <cell r="G5765">
            <v>275</v>
          </cell>
          <cell r="H5765">
            <v>0</v>
          </cell>
        </row>
        <row r="5766">
          <cell r="D5766" t="str">
            <v>IT&amp;NS</v>
          </cell>
          <cell r="F5766">
            <v>11784.08</v>
          </cell>
          <cell r="G5766">
            <v>275</v>
          </cell>
          <cell r="H5766">
            <v>9927.7019178082192</v>
          </cell>
        </row>
        <row r="5767">
          <cell r="D5767" t="str">
            <v>IT&amp;NS</v>
          </cell>
          <cell r="F5767">
            <v>5652.8249999999998</v>
          </cell>
          <cell r="G5767">
            <v>275</v>
          </cell>
          <cell r="H5767">
            <v>4828.4465753424656</v>
          </cell>
        </row>
        <row r="5768">
          <cell r="D5768" t="str">
            <v>IT&amp;NS</v>
          </cell>
          <cell r="F5768">
            <v>3991.77</v>
          </cell>
          <cell r="G5768">
            <v>275</v>
          </cell>
          <cell r="H5768">
            <v>3222.3501369863015</v>
          </cell>
        </row>
        <row r="5769">
          <cell r="D5769" t="str">
            <v>IT&amp;NS</v>
          </cell>
          <cell r="F5769">
            <v>3869.2999999999993</v>
          </cell>
          <cell r="G5769">
            <v>275</v>
          </cell>
          <cell r="H5769">
            <v>571.78630136986249</v>
          </cell>
        </row>
        <row r="5770">
          <cell r="D5770" t="str">
            <v>IT&amp;NS</v>
          </cell>
          <cell r="F5770">
            <v>6903.16</v>
          </cell>
          <cell r="G5770">
            <v>275</v>
          </cell>
          <cell r="H5770">
            <v>5633.006575342466</v>
          </cell>
        </row>
        <row r="5771">
          <cell r="D5771" t="str">
            <v>IT&amp;NS</v>
          </cell>
          <cell r="F5771">
            <v>7953.8931759562838</v>
          </cell>
          <cell r="G5771">
            <v>275</v>
          </cell>
          <cell r="H5771">
            <v>6912.3673677371062</v>
          </cell>
        </row>
        <row r="5772">
          <cell r="D5772" t="str">
            <v>IT&amp;NS</v>
          </cell>
          <cell r="F5772">
            <v>0</v>
          </cell>
          <cell r="G5772">
            <v>275</v>
          </cell>
          <cell r="H5772">
            <v>0</v>
          </cell>
        </row>
        <row r="5773">
          <cell r="D5773" t="str">
            <v>IT&amp;NS</v>
          </cell>
          <cell r="F5773">
            <v>0</v>
          </cell>
          <cell r="G5773">
            <v>275</v>
          </cell>
          <cell r="H5773">
            <v>0</v>
          </cell>
        </row>
        <row r="5774">
          <cell r="D5774" t="str">
            <v>IT&amp;NS</v>
          </cell>
          <cell r="F5774">
            <v>10801.567622950819</v>
          </cell>
          <cell r="G5774">
            <v>275</v>
          </cell>
          <cell r="H5774">
            <v>9427.6035818549281</v>
          </cell>
        </row>
        <row r="5775">
          <cell r="D5775" t="str">
            <v>IT&amp;NS</v>
          </cell>
          <cell r="F5775">
            <v>11377.651229508198</v>
          </cell>
          <cell r="G5775">
            <v>275</v>
          </cell>
          <cell r="H5775">
            <v>9930.4091062205262</v>
          </cell>
        </row>
        <row r="5776">
          <cell r="D5776" t="str">
            <v>IT&amp;NS</v>
          </cell>
          <cell r="F5776">
            <v>5514.8723770491806</v>
          </cell>
          <cell r="G5776">
            <v>275</v>
          </cell>
          <cell r="H5776">
            <v>4824.8371030765775</v>
          </cell>
        </row>
        <row r="5777">
          <cell r="D5777" t="str">
            <v>IT&amp;NS</v>
          </cell>
          <cell r="F5777">
            <v>6493.9012431693991</v>
          </cell>
          <cell r="G5777">
            <v>275</v>
          </cell>
          <cell r="H5777">
            <v>5681.7358322104947</v>
          </cell>
        </row>
        <row r="5778">
          <cell r="D5778" t="str">
            <v>IT&amp;NS</v>
          </cell>
          <cell r="F5778">
            <v>22755.302459016395</v>
          </cell>
          <cell r="G5778">
            <v>275</v>
          </cell>
          <cell r="H5778">
            <v>19860.818212441052</v>
          </cell>
        </row>
        <row r="5779">
          <cell r="D5779" t="str">
            <v>IT&amp;NS</v>
          </cell>
          <cell r="F5779">
            <v>15554.25737704918</v>
          </cell>
          <cell r="G5779">
            <v>275</v>
          </cell>
          <cell r="H5779">
            <v>13575.749157871098</v>
          </cell>
        </row>
        <row r="5780">
          <cell r="D5780" t="str">
            <v>IT&amp;NS</v>
          </cell>
          <cell r="F5780">
            <v>8470.4971584699451</v>
          </cell>
          <cell r="G5780">
            <v>275</v>
          </cell>
          <cell r="H5780">
            <v>7420.1779803877535</v>
          </cell>
        </row>
        <row r="5781">
          <cell r="D5781" t="str">
            <v>IT&amp;NS</v>
          </cell>
          <cell r="F5781">
            <v>10903.5</v>
          </cell>
          <cell r="G5781">
            <v>275</v>
          </cell>
          <cell r="H5781">
            <v>9071.5479452054788</v>
          </cell>
        </row>
        <row r="5782">
          <cell r="D5782" t="str">
            <v>IT&amp;NS</v>
          </cell>
          <cell r="F5782">
            <v>4031.3631999999998</v>
          </cell>
          <cell r="G5782">
            <v>275</v>
          </cell>
          <cell r="H5782">
            <v>3370.883419178082</v>
          </cell>
        </row>
        <row r="5783">
          <cell r="D5783" t="str">
            <v>IT&amp;NS</v>
          </cell>
          <cell r="F5783">
            <v>4756.0210000000006</v>
          </cell>
          <cell r="G5783">
            <v>275</v>
          </cell>
          <cell r="H5783">
            <v>4024.4614794520558</v>
          </cell>
        </row>
        <row r="5784">
          <cell r="D5784" t="str">
            <v>IT&amp;NS</v>
          </cell>
          <cell r="F5784">
            <v>12525.924999999999</v>
          </cell>
          <cell r="G5784">
            <v>275</v>
          </cell>
          <cell r="H5784">
            <v>10602.375342465753</v>
          </cell>
        </row>
        <row r="5785">
          <cell r="D5785" t="str">
            <v>IT&amp;NS</v>
          </cell>
          <cell r="F5785">
            <v>12074.71</v>
          </cell>
          <cell r="G5785">
            <v>275</v>
          </cell>
          <cell r="H5785">
            <v>10254.970958904109</v>
          </cell>
        </row>
        <row r="5786">
          <cell r="D5786" t="str">
            <v>IT&amp;NS</v>
          </cell>
          <cell r="F5786">
            <v>0</v>
          </cell>
          <cell r="G5786">
            <v>275</v>
          </cell>
          <cell r="H5786">
            <v>0</v>
          </cell>
        </row>
        <row r="5787">
          <cell r="D5787" t="str">
            <v>IT&amp;NS</v>
          </cell>
          <cell r="F5787">
            <v>13044.4</v>
          </cell>
          <cell r="G5787">
            <v>275</v>
          </cell>
          <cell r="H5787">
            <v>11090.317808219177</v>
          </cell>
        </row>
        <row r="5788">
          <cell r="D5788" t="str">
            <v>IT&amp;NS</v>
          </cell>
          <cell r="F5788">
            <v>0</v>
          </cell>
          <cell r="G5788">
            <v>275</v>
          </cell>
          <cell r="H5788">
            <v>0</v>
          </cell>
        </row>
        <row r="5789">
          <cell r="D5789" t="str">
            <v>IT&amp;NS</v>
          </cell>
          <cell r="F5789">
            <v>0</v>
          </cell>
          <cell r="G5789">
            <v>275</v>
          </cell>
          <cell r="H5789">
            <v>0</v>
          </cell>
        </row>
        <row r="5790">
          <cell r="D5790" t="str">
            <v>IT&amp;NS</v>
          </cell>
          <cell r="F5790">
            <v>6964.92</v>
          </cell>
          <cell r="G5790">
            <v>275</v>
          </cell>
          <cell r="H5790">
            <v>5157.3939726027402</v>
          </cell>
        </row>
        <row r="5791">
          <cell r="D5791" t="str">
            <v>IT&amp;NS</v>
          </cell>
          <cell r="F5791">
            <v>5050.4784</v>
          </cell>
          <cell r="G5791">
            <v>275</v>
          </cell>
          <cell r="H5791">
            <v>4110.5648657534248</v>
          </cell>
        </row>
        <row r="5792">
          <cell r="D5792" t="str">
            <v>IT&amp;NS</v>
          </cell>
          <cell r="F5792">
            <v>0</v>
          </cell>
          <cell r="G5792">
            <v>275</v>
          </cell>
          <cell r="H5792">
            <v>0</v>
          </cell>
        </row>
        <row r="5793">
          <cell r="D5793" t="str">
            <v>IT&amp;NS</v>
          </cell>
          <cell r="F5793">
            <v>7299.6500252568312</v>
          </cell>
          <cell r="G5793">
            <v>275</v>
          </cell>
          <cell r="H5793">
            <v>6282.9630442979269</v>
          </cell>
        </row>
        <row r="5794">
          <cell r="D5794" t="str">
            <v>IT&amp;NS</v>
          </cell>
          <cell r="F5794">
            <v>9091.7649999999994</v>
          </cell>
          <cell r="G5794">
            <v>275</v>
          </cell>
          <cell r="H5794">
            <v>7217.0673972602735</v>
          </cell>
        </row>
        <row r="5795">
          <cell r="D5795" t="str">
            <v>IT&amp;NS</v>
          </cell>
          <cell r="F5795">
            <v>4425.9349999999995</v>
          </cell>
          <cell r="G5795">
            <v>275</v>
          </cell>
          <cell r="H5795">
            <v>3491.6394520547938</v>
          </cell>
        </row>
        <row r="5796">
          <cell r="D5796" t="str">
            <v>IT&amp;NS</v>
          </cell>
          <cell r="F5796">
            <v>11261.364</v>
          </cell>
          <cell r="G5796">
            <v>275</v>
          </cell>
          <cell r="H5796">
            <v>9165.6108493150678</v>
          </cell>
        </row>
        <row r="5797">
          <cell r="D5797" t="str">
            <v>IT&amp;NS</v>
          </cell>
          <cell r="F5797">
            <v>10758.277</v>
          </cell>
          <cell r="G5797">
            <v>275</v>
          </cell>
          <cell r="H5797">
            <v>8727.2528219178093</v>
          </cell>
        </row>
        <row r="5798">
          <cell r="D5798" t="str">
            <v>IT&amp;NS</v>
          </cell>
          <cell r="F5798">
            <v>-421</v>
          </cell>
          <cell r="G5798">
            <v>275</v>
          </cell>
          <cell r="H5798">
            <v>-421</v>
          </cell>
        </row>
        <row r="5799">
          <cell r="D5799" t="str">
            <v>IT&amp;NS</v>
          </cell>
          <cell r="F5799">
            <v>0</v>
          </cell>
          <cell r="G5799">
            <v>275</v>
          </cell>
          <cell r="H5799">
            <v>0</v>
          </cell>
        </row>
        <row r="5800">
          <cell r="D5800" t="str">
            <v>IT&amp;NS</v>
          </cell>
          <cell r="F5800">
            <v>6170.3021311475413</v>
          </cell>
          <cell r="G5800">
            <v>275</v>
          </cell>
          <cell r="H5800">
            <v>5364.2432270379522</v>
          </cell>
        </row>
        <row r="5801">
          <cell r="D5801" t="str">
            <v>IT&amp;NS</v>
          </cell>
          <cell r="F5801">
            <v>8017.1635245901643</v>
          </cell>
          <cell r="G5801">
            <v>275</v>
          </cell>
          <cell r="H5801">
            <v>6997.3768807545484</v>
          </cell>
        </row>
        <row r="5802">
          <cell r="D5802" t="str">
            <v>IT&amp;NS</v>
          </cell>
          <cell r="F5802">
            <v>6864.99631147541</v>
          </cell>
          <cell r="G5802">
            <v>275</v>
          </cell>
          <cell r="H5802">
            <v>5991.765832023355</v>
          </cell>
        </row>
        <row r="5803">
          <cell r="D5803" t="str">
            <v>IT&amp;NS</v>
          </cell>
          <cell r="F5803">
            <v>6604.3380532786887</v>
          </cell>
          <cell r="G5803">
            <v>275</v>
          </cell>
          <cell r="H5803">
            <v>5770.7998683471815</v>
          </cell>
        </row>
        <row r="5804">
          <cell r="D5804" t="str">
            <v>IT&amp;NS</v>
          </cell>
          <cell r="F5804">
            <v>6384.9266393442622</v>
          </cell>
          <cell r="G5804">
            <v>275</v>
          </cell>
          <cell r="H5804">
            <v>5572.7612283853578</v>
          </cell>
        </row>
        <row r="5805">
          <cell r="D5805" t="str">
            <v>IT&amp;NS</v>
          </cell>
          <cell r="F5805">
            <v>6384.9266393442622</v>
          </cell>
          <cell r="G5805">
            <v>275</v>
          </cell>
          <cell r="H5805">
            <v>5572.7612283853578</v>
          </cell>
        </row>
        <row r="5806">
          <cell r="D5806" t="str">
            <v>IT&amp;NS</v>
          </cell>
          <cell r="F5806">
            <v>6576.9545081967217</v>
          </cell>
          <cell r="G5806">
            <v>275</v>
          </cell>
          <cell r="H5806">
            <v>5740.3630698405577</v>
          </cell>
        </row>
        <row r="5807">
          <cell r="D5807" t="str">
            <v>IT&amp;NS</v>
          </cell>
          <cell r="F5807">
            <v>19394.814754098359</v>
          </cell>
          <cell r="G5807">
            <v>275</v>
          </cell>
          <cell r="H5807">
            <v>16927.785986975072</v>
          </cell>
        </row>
        <row r="5808">
          <cell r="D5808" t="str">
            <v>IT&amp;NS</v>
          </cell>
          <cell r="F5808">
            <v>6576.9545081967217</v>
          </cell>
          <cell r="G5808">
            <v>275</v>
          </cell>
          <cell r="H5808">
            <v>5740.3630698405577</v>
          </cell>
        </row>
        <row r="5809">
          <cell r="D5809" t="str">
            <v>IT&amp;NS</v>
          </cell>
          <cell r="F5809">
            <v>6864.99631147541</v>
          </cell>
          <cell r="G5809">
            <v>275</v>
          </cell>
          <cell r="H5809">
            <v>5991.765832023355</v>
          </cell>
        </row>
        <row r="5810">
          <cell r="D5810" t="str">
            <v>IT&amp;NS</v>
          </cell>
          <cell r="F5810">
            <v>19960.90975409836</v>
          </cell>
          <cell r="G5810">
            <v>275</v>
          </cell>
          <cell r="H5810">
            <v>17463.348452728496</v>
          </cell>
        </row>
        <row r="5811">
          <cell r="D5811" t="str">
            <v>IT&amp;NS</v>
          </cell>
          <cell r="F5811">
            <v>19960.90975409836</v>
          </cell>
          <cell r="G5811">
            <v>275</v>
          </cell>
          <cell r="H5811">
            <v>17463.348452728496</v>
          </cell>
        </row>
        <row r="5812">
          <cell r="D5812" t="str">
            <v>IT&amp;NS</v>
          </cell>
          <cell r="F5812">
            <v>5843.2147540983606</v>
          </cell>
          <cell r="G5812">
            <v>275</v>
          </cell>
          <cell r="H5812">
            <v>5110.4339321805528</v>
          </cell>
        </row>
        <row r="5813">
          <cell r="D5813" t="str">
            <v>IT&amp;NS</v>
          </cell>
          <cell r="F5813">
            <v>6573.6165983606561</v>
          </cell>
          <cell r="G5813">
            <v>275</v>
          </cell>
          <cell r="H5813">
            <v>5749.2381737031219</v>
          </cell>
        </row>
        <row r="5814">
          <cell r="D5814" t="str">
            <v>IT&amp;NS</v>
          </cell>
          <cell r="F5814">
            <v>6817.3176083715844</v>
          </cell>
          <cell r="G5814">
            <v>275</v>
          </cell>
          <cell r="H5814">
            <v>5962.377338234598</v>
          </cell>
        </row>
        <row r="5815">
          <cell r="D5815" t="str">
            <v>IT&amp;NS</v>
          </cell>
          <cell r="F5815">
            <v>14510.72788220765</v>
          </cell>
          <cell r="G5815">
            <v>275</v>
          </cell>
          <cell r="H5815">
            <v>12690.9790707008</v>
          </cell>
        </row>
        <row r="5816">
          <cell r="D5816" t="str">
            <v>IT&amp;NS</v>
          </cell>
          <cell r="F5816">
            <v>5551.287744983606</v>
          </cell>
          <cell r="G5816">
            <v>275</v>
          </cell>
          <cell r="H5816">
            <v>4855.1166529288112</v>
          </cell>
        </row>
        <row r="5817">
          <cell r="D5817" t="str">
            <v>IT&amp;NS</v>
          </cell>
          <cell r="F5817">
            <v>15137.084918032788</v>
          </cell>
          <cell r="G5817">
            <v>275</v>
          </cell>
          <cell r="H5817">
            <v>13231.854781046486</v>
          </cell>
        </row>
        <row r="5818">
          <cell r="D5818" t="str">
            <v>IT&amp;NS</v>
          </cell>
          <cell r="F5818">
            <v>17763.48</v>
          </cell>
          <cell r="G5818">
            <v>275</v>
          </cell>
          <cell r="H5818">
            <v>15174.321095890411</v>
          </cell>
        </row>
        <row r="5819">
          <cell r="D5819" t="str">
            <v>IT&amp;NS</v>
          </cell>
          <cell r="F5819">
            <v>6624.9614754098357</v>
          </cell>
          <cell r="G5819">
            <v>275</v>
          </cell>
          <cell r="H5819">
            <v>5782.2635302043564</v>
          </cell>
        </row>
        <row r="5820">
          <cell r="D5820" t="str">
            <v>IT&amp;NS</v>
          </cell>
          <cell r="F5820">
            <v>5040.7315573770493</v>
          </cell>
          <cell r="G5820">
            <v>275</v>
          </cell>
          <cell r="H5820">
            <v>4399.548338198967</v>
          </cell>
        </row>
        <row r="5821">
          <cell r="D5821" t="str">
            <v>IT&amp;NS</v>
          </cell>
          <cell r="F5821">
            <v>42937.431475409838</v>
          </cell>
          <cell r="G5821">
            <v>275</v>
          </cell>
          <cell r="H5821">
            <v>37475.771749382438</v>
          </cell>
        </row>
        <row r="5822">
          <cell r="D5822" t="str">
            <v>IT&amp;NS</v>
          </cell>
          <cell r="F5822">
            <v>5417.1784153005465</v>
          </cell>
          <cell r="G5822">
            <v>275</v>
          </cell>
          <cell r="H5822">
            <v>4745.4626618758884</v>
          </cell>
        </row>
        <row r="5823">
          <cell r="D5823" t="str">
            <v>IT&amp;NS</v>
          </cell>
          <cell r="F5823">
            <v>5280.7663934426228</v>
          </cell>
          <cell r="G5823">
            <v>275</v>
          </cell>
          <cell r="H5823">
            <v>4609.0506400179656</v>
          </cell>
        </row>
        <row r="5824">
          <cell r="D5824" t="str">
            <v>IT&amp;NS</v>
          </cell>
          <cell r="F5824">
            <v>0</v>
          </cell>
          <cell r="G5824">
            <v>275</v>
          </cell>
          <cell r="H5824">
            <v>0</v>
          </cell>
        </row>
        <row r="5825">
          <cell r="D5825" t="str">
            <v>IT&amp;NS</v>
          </cell>
          <cell r="F5825">
            <v>0</v>
          </cell>
          <cell r="G5825">
            <v>275</v>
          </cell>
          <cell r="H5825">
            <v>0</v>
          </cell>
        </row>
        <row r="5826">
          <cell r="D5826" t="str">
            <v>IT&amp;NS</v>
          </cell>
          <cell r="F5826">
            <v>6635.3845194153009</v>
          </cell>
          <cell r="G5826">
            <v>275</v>
          </cell>
          <cell r="H5826">
            <v>5822.4838850317392</v>
          </cell>
        </row>
        <row r="5827">
          <cell r="D5827" t="str">
            <v>IT&amp;NS</v>
          </cell>
          <cell r="F5827">
            <v>7568.4826636775961</v>
          </cell>
          <cell r="G5827">
            <v>275</v>
          </cell>
          <cell r="H5827">
            <v>6641.2682210748562</v>
          </cell>
        </row>
        <row r="5828">
          <cell r="D5828" t="str">
            <v>IT&amp;NS</v>
          </cell>
          <cell r="F5828">
            <v>7568.4826636775961</v>
          </cell>
          <cell r="G5828">
            <v>275</v>
          </cell>
          <cell r="H5828">
            <v>6641.2682210748562</v>
          </cell>
        </row>
        <row r="5829">
          <cell r="D5829" t="str">
            <v>IT&amp;NS</v>
          </cell>
          <cell r="F5829">
            <v>5671.2249590163938</v>
          </cell>
          <cell r="G5829">
            <v>275</v>
          </cell>
          <cell r="H5829">
            <v>4956.7636576465311</v>
          </cell>
        </row>
        <row r="5830">
          <cell r="D5830" t="str">
            <v>IT&amp;NS</v>
          </cell>
          <cell r="F5830">
            <v>5845.685655737705</v>
          </cell>
          <cell r="G5830">
            <v>275</v>
          </cell>
          <cell r="H5830">
            <v>5002.9877105322257</v>
          </cell>
        </row>
        <row r="5831">
          <cell r="D5831" t="str">
            <v>IT&amp;NS</v>
          </cell>
          <cell r="F5831">
            <v>5845.685655737705</v>
          </cell>
          <cell r="G5831">
            <v>275</v>
          </cell>
          <cell r="H5831">
            <v>5002.9877105322257</v>
          </cell>
        </row>
        <row r="5832">
          <cell r="D5832" t="str">
            <v>IT&amp;NS</v>
          </cell>
          <cell r="F5832">
            <v>17452.336885245903</v>
          </cell>
          <cell r="G5832">
            <v>275</v>
          </cell>
          <cell r="H5832">
            <v>14936.456063328094</v>
          </cell>
        </row>
        <row r="5833">
          <cell r="D5833" t="str">
            <v>IT&amp;NS</v>
          </cell>
          <cell r="F5833">
            <v>5900.4084562841526</v>
          </cell>
          <cell r="G5833">
            <v>275</v>
          </cell>
          <cell r="H5833">
            <v>5063.8170179279878</v>
          </cell>
        </row>
        <row r="5834">
          <cell r="D5834" t="str">
            <v>IT&amp;NS</v>
          </cell>
          <cell r="F5834">
            <v>40474.050000000003</v>
          </cell>
          <cell r="G5834">
            <v>275</v>
          </cell>
          <cell r="H5834">
            <v>33207.306849315071</v>
          </cell>
        </row>
        <row r="5835">
          <cell r="D5835" t="str">
            <v>IT&amp;NS</v>
          </cell>
          <cell r="F5835">
            <v>5213.9349999999995</v>
          </cell>
          <cell r="G5835">
            <v>275</v>
          </cell>
          <cell r="H5835">
            <v>4279.6394520547938</v>
          </cell>
        </row>
        <row r="5836">
          <cell r="D5836" t="str">
            <v>IT&amp;NS</v>
          </cell>
          <cell r="F5836">
            <v>5227.9349999999995</v>
          </cell>
          <cell r="G5836">
            <v>275</v>
          </cell>
          <cell r="H5836">
            <v>4293.6394520547938</v>
          </cell>
        </row>
        <row r="5837">
          <cell r="D5837" t="str">
            <v>IT&amp;NS</v>
          </cell>
          <cell r="F5837">
            <v>10215.605</v>
          </cell>
          <cell r="G5837">
            <v>275</v>
          </cell>
          <cell r="H5837">
            <v>8389.7594520547937</v>
          </cell>
        </row>
        <row r="5838">
          <cell r="D5838" t="str">
            <v>IT&amp;NS</v>
          </cell>
          <cell r="F5838">
            <v>8458.2749999999996</v>
          </cell>
          <cell r="G5838">
            <v>275</v>
          </cell>
          <cell r="H5838">
            <v>6962.1808219178074</v>
          </cell>
        </row>
        <row r="5839">
          <cell r="D5839" t="str">
            <v>IT&amp;NS</v>
          </cell>
          <cell r="F5839">
            <v>3609.08</v>
          </cell>
          <cell r="G5839">
            <v>275</v>
          </cell>
          <cell r="H5839">
            <v>2974.003287671233</v>
          </cell>
        </row>
        <row r="5840">
          <cell r="D5840" t="str">
            <v>IT&amp;NS</v>
          </cell>
          <cell r="F5840">
            <v>13289.054400000001</v>
          </cell>
          <cell r="G5840">
            <v>275</v>
          </cell>
          <cell r="H5840">
            <v>10951.972098630138</v>
          </cell>
        </row>
        <row r="5841">
          <cell r="D5841" t="str">
            <v>IT&amp;NS</v>
          </cell>
          <cell r="F5841">
            <v>5318.25</v>
          </cell>
          <cell r="G5841">
            <v>275</v>
          </cell>
          <cell r="H5841">
            <v>4402.2739726027394</v>
          </cell>
        </row>
        <row r="5842">
          <cell r="D5842" t="str">
            <v>IT&amp;NS</v>
          </cell>
          <cell r="F5842">
            <v>5318.25</v>
          </cell>
          <cell r="G5842">
            <v>275</v>
          </cell>
          <cell r="H5842">
            <v>4402.2739726027394</v>
          </cell>
        </row>
        <row r="5843">
          <cell r="D5843" t="str">
            <v>IT&amp;NS</v>
          </cell>
          <cell r="F5843">
            <v>5321.25</v>
          </cell>
          <cell r="G5843">
            <v>275</v>
          </cell>
          <cell r="H5843">
            <v>4405.2739726027394</v>
          </cell>
        </row>
        <row r="5844">
          <cell r="D5844" t="str">
            <v>IT&amp;NS</v>
          </cell>
          <cell r="F5844">
            <v>0</v>
          </cell>
          <cell r="G5844">
            <v>275</v>
          </cell>
          <cell r="H5844">
            <v>0</v>
          </cell>
        </row>
        <row r="5845">
          <cell r="D5845" t="str">
            <v>IT&amp;NS</v>
          </cell>
          <cell r="F5845">
            <v>10170.18</v>
          </cell>
          <cell r="G5845">
            <v>275</v>
          </cell>
          <cell r="H5845">
            <v>8435.9320547945208</v>
          </cell>
        </row>
        <row r="5846">
          <cell r="D5846" t="str">
            <v>IT&amp;NS</v>
          </cell>
          <cell r="F5846">
            <v>15226.900000000001</v>
          </cell>
          <cell r="G5846">
            <v>275</v>
          </cell>
          <cell r="H5846">
            <v>12662.167123287672</v>
          </cell>
        </row>
        <row r="5847">
          <cell r="D5847" t="str">
            <v>IT&amp;NS</v>
          </cell>
          <cell r="F5847">
            <v>15226.900000000001</v>
          </cell>
          <cell r="G5847">
            <v>275</v>
          </cell>
          <cell r="H5847">
            <v>12662.167123287672</v>
          </cell>
        </row>
        <row r="5848">
          <cell r="D5848" t="str">
            <v>IT&amp;NS</v>
          </cell>
          <cell r="F5848">
            <v>5119.3</v>
          </cell>
          <cell r="G5848">
            <v>275</v>
          </cell>
          <cell r="H5848">
            <v>4264.3890410958902</v>
          </cell>
        </row>
        <row r="5849">
          <cell r="D5849" t="str">
            <v>IT&amp;NS</v>
          </cell>
          <cell r="F5849">
            <v>9019.380000000001</v>
          </cell>
          <cell r="G5849">
            <v>275</v>
          </cell>
          <cell r="H5849">
            <v>7529.3923287671241</v>
          </cell>
        </row>
        <row r="5850">
          <cell r="D5850" t="str">
            <v>IT&amp;NS</v>
          </cell>
          <cell r="F5850">
            <v>5086.3456000000006</v>
          </cell>
          <cell r="G5850">
            <v>275</v>
          </cell>
          <cell r="H5850">
            <v>4248.0443397260278</v>
          </cell>
        </row>
        <row r="5851">
          <cell r="D5851" t="str">
            <v>IT&amp;NS</v>
          </cell>
          <cell r="F5851">
            <v>5485.88</v>
          </cell>
          <cell r="G5851">
            <v>275</v>
          </cell>
          <cell r="H5851">
            <v>4606.5430136986306</v>
          </cell>
        </row>
        <row r="5852">
          <cell r="D5852" t="str">
            <v>IT&amp;NS</v>
          </cell>
          <cell r="F5852">
            <v>10872.116</v>
          </cell>
          <cell r="G5852">
            <v>275</v>
          </cell>
          <cell r="H5852">
            <v>9157.4088767123285</v>
          </cell>
        </row>
        <row r="5853">
          <cell r="D5853" t="str">
            <v>IT&amp;NS</v>
          </cell>
          <cell r="F5853">
            <v>0</v>
          </cell>
          <cell r="G5853">
            <v>275</v>
          </cell>
          <cell r="H5853">
            <v>0</v>
          </cell>
        </row>
        <row r="5854">
          <cell r="D5854" t="str">
            <v>IT&amp;NS</v>
          </cell>
          <cell r="F5854">
            <v>42142.65</v>
          </cell>
          <cell r="G5854">
            <v>275</v>
          </cell>
          <cell r="H5854">
            <v>35608.687671232881</v>
          </cell>
        </row>
        <row r="5855">
          <cell r="D5855" t="str">
            <v>IT&amp;NS</v>
          </cell>
          <cell r="F5855">
            <v>43750.92</v>
          </cell>
          <cell r="G5855">
            <v>275</v>
          </cell>
          <cell r="H5855">
            <v>37058.188493150679</v>
          </cell>
        </row>
        <row r="5856">
          <cell r="D5856" t="str">
            <v>IT&amp;NS</v>
          </cell>
          <cell r="F5856">
            <v>5482.93</v>
          </cell>
          <cell r="G5856">
            <v>275</v>
          </cell>
          <cell r="H5856">
            <v>4664.6580821917814</v>
          </cell>
        </row>
        <row r="5857">
          <cell r="D5857" t="str">
            <v>IT&amp;NS</v>
          </cell>
          <cell r="F5857">
            <v>4761.82</v>
          </cell>
          <cell r="G5857">
            <v>275</v>
          </cell>
          <cell r="H5857">
            <v>4053.4652054794519</v>
          </cell>
        </row>
        <row r="5858">
          <cell r="D5858" t="str">
            <v>IT&amp;NS</v>
          </cell>
          <cell r="F5858">
            <v>31513.724999999999</v>
          </cell>
          <cell r="G5858">
            <v>275</v>
          </cell>
          <cell r="H5858">
            <v>26903.312328767122</v>
          </cell>
        </row>
        <row r="5859">
          <cell r="D5859" t="str">
            <v>IT&amp;NS</v>
          </cell>
          <cell r="F5859">
            <v>5637.8249999999998</v>
          </cell>
          <cell r="G5859">
            <v>275</v>
          </cell>
          <cell r="H5859">
            <v>4813.4465753424656</v>
          </cell>
        </row>
        <row r="5860">
          <cell r="D5860" t="str">
            <v>IT&amp;NS</v>
          </cell>
          <cell r="F5860">
            <v>5691.72</v>
          </cell>
          <cell r="G5860">
            <v>275</v>
          </cell>
          <cell r="H5860">
            <v>4861.2350684931507</v>
          </cell>
        </row>
        <row r="5861">
          <cell r="D5861" t="str">
            <v>IT&amp;NS</v>
          </cell>
          <cell r="F5861">
            <v>0</v>
          </cell>
          <cell r="G5861">
            <v>275</v>
          </cell>
          <cell r="H5861">
            <v>0</v>
          </cell>
        </row>
        <row r="5862">
          <cell r="D5862" t="str">
            <v>IT&amp;NS</v>
          </cell>
          <cell r="F5862">
            <v>0</v>
          </cell>
          <cell r="G5862">
            <v>275</v>
          </cell>
          <cell r="H5862">
            <v>0</v>
          </cell>
        </row>
        <row r="5863">
          <cell r="D5863" t="str">
            <v>IT&amp;NS</v>
          </cell>
          <cell r="F5863">
            <v>2563.08</v>
          </cell>
          <cell r="G5863">
            <v>275</v>
          </cell>
          <cell r="H5863">
            <v>706.70191780821915</v>
          </cell>
        </row>
        <row r="5864">
          <cell r="D5864" t="str">
            <v>IT&amp;NS</v>
          </cell>
          <cell r="F5864">
            <v>5526.3263167404366</v>
          </cell>
          <cell r="G5864">
            <v>275</v>
          </cell>
          <cell r="H5864">
            <v>4750.7498735212585</v>
          </cell>
        </row>
        <row r="5865">
          <cell r="D5865" t="str">
            <v>IT&amp;NS</v>
          </cell>
          <cell r="F5865">
            <v>9172.68</v>
          </cell>
          <cell r="G5865">
            <v>275</v>
          </cell>
          <cell r="H5865">
            <v>6827.7813698630143</v>
          </cell>
        </row>
        <row r="5866">
          <cell r="D5866" t="str">
            <v>IT&amp;NS</v>
          </cell>
          <cell r="F5866">
            <v>13139.836065573771</v>
          </cell>
          <cell r="G5866">
            <v>275</v>
          </cell>
          <cell r="H5866">
            <v>11307.884010779249</v>
          </cell>
        </row>
        <row r="5867">
          <cell r="D5867" t="str">
            <v>IT&amp;NS</v>
          </cell>
          <cell r="F5867">
            <v>0</v>
          </cell>
          <cell r="G5867">
            <v>275</v>
          </cell>
          <cell r="H5867">
            <v>0</v>
          </cell>
        </row>
        <row r="5868">
          <cell r="D5868" t="str">
            <v>IT&amp;NS</v>
          </cell>
          <cell r="F5868">
            <v>5129.5349264508195</v>
          </cell>
          <cell r="G5868">
            <v>275</v>
          </cell>
          <cell r="H5868">
            <v>4421.181353231641</v>
          </cell>
        </row>
        <row r="5869">
          <cell r="D5869" t="str">
            <v>IT&amp;NS</v>
          </cell>
          <cell r="F5869">
            <v>5129.5526145327867</v>
          </cell>
          <cell r="G5869">
            <v>275</v>
          </cell>
          <cell r="H5869">
            <v>4421.1965987108688</v>
          </cell>
        </row>
        <row r="5870">
          <cell r="D5870" t="str">
            <v>IT&amp;NS</v>
          </cell>
          <cell r="F5870">
            <v>4715.509918032787</v>
          </cell>
          <cell r="G5870">
            <v>275</v>
          </cell>
          <cell r="H5870">
            <v>4068.2201920053899</v>
          </cell>
        </row>
        <row r="5871">
          <cell r="D5871" t="str">
            <v>IT&amp;NS</v>
          </cell>
          <cell r="F5871">
            <v>4562.9321857923496</v>
          </cell>
          <cell r="G5871">
            <v>275</v>
          </cell>
          <cell r="H5871">
            <v>3915.6424597649525</v>
          </cell>
        </row>
        <row r="5872">
          <cell r="D5872" t="str">
            <v>IT&amp;NS</v>
          </cell>
          <cell r="F5872">
            <v>0</v>
          </cell>
          <cell r="G5872">
            <v>275</v>
          </cell>
          <cell r="H5872">
            <v>0</v>
          </cell>
        </row>
        <row r="5873">
          <cell r="D5873" t="str">
            <v>IT&amp;NS</v>
          </cell>
          <cell r="F5873">
            <v>10123.450000000001</v>
          </cell>
          <cell r="G5873">
            <v>275</v>
          </cell>
          <cell r="H5873">
            <v>8230.4328767123297</v>
          </cell>
        </row>
        <row r="5874">
          <cell r="D5874" t="str">
            <v>IT&amp;NS</v>
          </cell>
          <cell r="F5874">
            <v>0</v>
          </cell>
          <cell r="G5874">
            <v>275</v>
          </cell>
          <cell r="H5874">
            <v>0</v>
          </cell>
        </row>
        <row r="5875">
          <cell r="D5875" t="str">
            <v>IT&amp;NS</v>
          </cell>
          <cell r="F5875">
            <v>2668.7200000000012</v>
          </cell>
          <cell r="G5875">
            <v>275</v>
          </cell>
          <cell r="H5875">
            <v>616.93369863013868</v>
          </cell>
        </row>
        <row r="5876">
          <cell r="D5876" t="str">
            <v>IT&amp;NS</v>
          </cell>
          <cell r="F5876">
            <v>1553.7200000000003</v>
          </cell>
          <cell r="G5876">
            <v>275</v>
          </cell>
          <cell r="H5876">
            <v>723.23506849315095</v>
          </cell>
        </row>
        <row r="5877">
          <cell r="D5877" t="str">
            <v>IT&amp;NS</v>
          </cell>
          <cell r="F5877">
            <v>0</v>
          </cell>
          <cell r="G5877">
            <v>275</v>
          </cell>
          <cell r="H5877">
            <v>0</v>
          </cell>
        </row>
        <row r="5878">
          <cell r="D5878" t="str">
            <v>IT&amp;NS</v>
          </cell>
          <cell r="F5878">
            <v>6087.4507650273226</v>
          </cell>
          <cell r="G5878">
            <v>275</v>
          </cell>
          <cell r="H5878">
            <v>5220.3267924245829</v>
          </cell>
        </row>
        <row r="5879">
          <cell r="D5879" t="str">
            <v>IT&amp;NS</v>
          </cell>
          <cell r="F5879">
            <v>7081.0977343060113</v>
          </cell>
          <cell r="G5879">
            <v>275</v>
          </cell>
          <cell r="H5879">
            <v>6094.8504686895731</v>
          </cell>
        </row>
        <row r="5880">
          <cell r="D5880" t="str">
            <v>IT&amp;NS</v>
          </cell>
          <cell r="F5880">
            <v>13685.919999999998</v>
          </cell>
          <cell r="G5880">
            <v>275</v>
          </cell>
          <cell r="H5880">
            <v>5771.8871232876691</v>
          </cell>
        </row>
        <row r="5881">
          <cell r="D5881" t="str">
            <v>IT&amp;NS</v>
          </cell>
          <cell r="F5881">
            <v>4230.0499999999993</v>
          </cell>
          <cell r="G5881">
            <v>275</v>
          </cell>
          <cell r="H5881">
            <v>3069.8136986301361</v>
          </cell>
        </row>
        <row r="5882">
          <cell r="D5882" t="str">
            <v>IT&amp;NS</v>
          </cell>
          <cell r="F5882">
            <v>4576.0499999999993</v>
          </cell>
          <cell r="G5882">
            <v>275</v>
          </cell>
          <cell r="H5882">
            <v>3415.8136986301361</v>
          </cell>
        </row>
        <row r="5883">
          <cell r="D5883" t="str">
            <v>IT&amp;NS</v>
          </cell>
          <cell r="F5883">
            <v>4645.8500000000004</v>
          </cell>
          <cell r="G5883">
            <v>275</v>
          </cell>
          <cell r="H5883">
            <v>3241.3534246575346</v>
          </cell>
        </row>
        <row r="5884">
          <cell r="D5884" t="str">
            <v>IT&amp;NS</v>
          </cell>
          <cell r="F5884">
            <v>18783.998770491802</v>
          </cell>
          <cell r="G5884">
            <v>275</v>
          </cell>
          <cell r="H5884">
            <v>16280.330962272625</v>
          </cell>
        </row>
        <row r="5885">
          <cell r="D5885" t="str">
            <v>IT&amp;NS</v>
          </cell>
          <cell r="F5885">
            <v>18629.649453551912</v>
          </cell>
          <cell r="G5885">
            <v>275</v>
          </cell>
          <cell r="H5885">
            <v>16125.981645332735</v>
          </cell>
        </row>
        <row r="5886">
          <cell r="D5886" t="str">
            <v>IT&amp;NS</v>
          </cell>
          <cell r="F5886">
            <v>4550.3</v>
          </cell>
          <cell r="G5886">
            <v>275</v>
          </cell>
          <cell r="H5886">
            <v>3695.3890410958907</v>
          </cell>
        </row>
        <row r="5887">
          <cell r="D5887" t="str">
            <v>IT&amp;NS</v>
          </cell>
          <cell r="F5887">
            <v>9752.9567999999999</v>
          </cell>
          <cell r="G5887">
            <v>275</v>
          </cell>
          <cell r="H5887">
            <v>7873.1297315068496</v>
          </cell>
        </row>
        <row r="5888">
          <cell r="D5888" t="str">
            <v>IT&amp;NS</v>
          </cell>
          <cell r="F5888">
            <v>25827.52</v>
          </cell>
          <cell r="G5888">
            <v>275</v>
          </cell>
          <cell r="H5888">
            <v>19867.569315068493</v>
          </cell>
        </row>
        <row r="5889">
          <cell r="D5889" t="str">
            <v>IT&amp;NS</v>
          </cell>
          <cell r="F5889">
            <v>5978.1688000000004</v>
          </cell>
          <cell r="G5889">
            <v>275</v>
          </cell>
          <cell r="H5889">
            <v>4796.9261150684933</v>
          </cell>
        </row>
        <row r="5890">
          <cell r="D5890" t="str">
            <v>IT&amp;NS</v>
          </cell>
          <cell r="F5890">
            <v>12298.900000000001</v>
          </cell>
          <cell r="G5890">
            <v>275</v>
          </cell>
          <cell r="H5890">
            <v>9734.1671232876724</v>
          </cell>
        </row>
        <row r="5891">
          <cell r="D5891" t="str">
            <v>IT&amp;NS</v>
          </cell>
          <cell r="F5891">
            <v>4247.0499999999993</v>
          </cell>
          <cell r="G5891">
            <v>275</v>
          </cell>
          <cell r="H5891">
            <v>3086.8136986301361</v>
          </cell>
        </row>
        <row r="5892">
          <cell r="D5892" t="str">
            <v>IT&amp;NS</v>
          </cell>
          <cell r="F5892">
            <v>5900.4084562841526</v>
          </cell>
          <cell r="G5892">
            <v>275</v>
          </cell>
          <cell r="H5892">
            <v>5063.8170179279878</v>
          </cell>
        </row>
        <row r="5893">
          <cell r="D5893" t="str">
            <v>IT&amp;NS</v>
          </cell>
          <cell r="F5893">
            <v>11151.753333333334</v>
          </cell>
          <cell r="G5893">
            <v>275</v>
          </cell>
          <cell r="H5893">
            <v>9661.7656621004571</v>
          </cell>
        </row>
        <row r="5894">
          <cell r="D5894" t="str">
            <v>IT&amp;NS</v>
          </cell>
          <cell r="F5894">
            <v>6250.7399619672133</v>
          </cell>
          <cell r="G5894">
            <v>275</v>
          </cell>
          <cell r="H5894">
            <v>5389.7066192959801</v>
          </cell>
        </row>
        <row r="5895">
          <cell r="D5895" t="str">
            <v>IT&amp;NS</v>
          </cell>
          <cell r="F5895">
            <v>5899.9884323497263</v>
          </cell>
          <cell r="G5895">
            <v>275</v>
          </cell>
          <cell r="H5895">
            <v>5124.4119891305481</v>
          </cell>
        </row>
        <row r="5896">
          <cell r="D5896" t="str">
            <v>IT&amp;NS</v>
          </cell>
          <cell r="F5896">
            <v>7177.9035978142074</v>
          </cell>
          <cell r="G5896">
            <v>275</v>
          </cell>
          <cell r="H5896">
            <v>6237.9900635676322</v>
          </cell>
        </row>
        <row r="5897">
          <cell r="D5897" t="str">
            <v>IT&amp;NS</v>
          </cell>
          <cell r="F5897">
            <v>13699.975409836066</v>
          </cell>
          <cell r="G5897">
            <v>275</v>
          </cell>
          <cell r="H5897">
            <v>11794.745272849765</v>
          </cell>
        </row>
        <row r="5898">
          <cell r="D5898" t="str">
            <v>IT&amp;NS</v>
          </cell>
          <cell r="F5898">
            <v>5255.249617486339</v>
          </cell>
          <cell r="G5898">
            <v>275</v>
          </cell>
          <cell r="H5898">
            <v>4571.3208503630512</v>
          </cell>
        </row>
        <row r="5899">
          <cell r="D5899" t="str">
            <v>IT&amp;NS</v>
          </cell>
          <cell r="F5899">
            <v>5364.4662725901635</v>
          </cell>
          <cell r="G5899">
            <v>275</v>
          </cell>
          <cell r="H5899">
            <v>4668.2951805353687</v>
          </cell>
        </row>
        <row r="5900">
          <cell r="D5900" t="str">
            <v>IT&amp;NS</v>
          </cell>
          <cell r="F5900">
            <v>6407.8582377049179</v>
          </cell>
          <cell r="G5900">
            <v>275</v>
          </cell>
          <cell r="H5900">
            <v>5574.3200527734107</v>
          </cell>
        </row>
        <row r="5901">
          <cell r="D5901" t="str">
            <v>IT&amp;NS</v>
          </cell>
          <cell r="F5901">
            <v>5340.009365770492</v>
          </cell>
          <cell r="G5901">
            <v>275</v>
          </cell>
          <cell r="H5901">
            <v>4649.935010154054</v>
          </cell>
        </row>
        <row r="5902">
          <cell r="D5902" t="str">
            <v>IT&amp;NS</v>
          </cell>
          <cell r="F5902">
            <v>6438.5464754098357</v>
          </cell>
          <cell r="G5902">
            <v>275</v>
          </cell>
          <cell r="H5902">
            <v>5595.8485302043564</v>
          </cell>
        </row>
        <row r="5903">
          <cell r="D5903" t="str">
            <v>IT&amp;NS</v>
          </cell>
          <cell r="F5903">
            <v>19610.221584699455</v>
          </cell>
          <cell r="G5903">
            <v>275</v>
          </cell>
          <cell r="H5903">
            <v>17106.553776480276</v>
          </cell>
        </row>
        <row r="5904">
          <cell r="D5904" t="str">
            <v>IT&amp;NS</v>
          </cell>
          <cell r="F5904">
            <v>19483.11038251366</v>
          </cell>
          <cell r="G5904">
            <v>275</v>
          </cell>
          <cell r="H5904">
            <v>16979.44257429448</v>
          </cell>
        </row>
        <row r="5905">
          <cell r="D5905" t="str">
            <v>IT&amp;NS</v>
          </cell>
          <cell r="F5905">
            <v>19243.653923497266</v>
          </cell>
          <cell r="G5905">
            <v>275</v>
          </cell>
          <cell r="H5905">
            <v>16830.362416647949</v>
          </cell>
        </row>
        <row r="5906">
          <cell r="D5906" t="str">
            <v>IT&amp;NS</v>
          </cell>
          <cell r="F5906">
            <v>18737.241978142076</v>
          </cell>
          <cell r="G5906">
            <v>275</v>
          </cell>
          <cell r="H5906">
            <v>16387.458142525637</v>
          </cell>
        </row>
        <row r="5907">
          <cell r="D5907" t="str">
            <v>IT&amp;NS</v>
          </cell>
          <cell r="F5907">
            <v>43551.427300546449</v>
          </cell>
          <cell r="G5907">
            <v>275</v>
          </cell>
          <cell r="H5907">
            <v>38089.76757451905</v>
          </cell>
        </row>
        <row r="5908">
          <cell r="D5908" t="str">
            <v>IT&amp;NS</v>
          </cell>
          <cell r="F5908">
            <v>305367.1868852459</v>
          </cell>
          <cell r="G5908">
            <v>275</v>
          </cell>
          <cell r="H5908">
            <v>267262.58414551988</v>
          </cell>
        </row>
        <row r="5909">
          <cell r="D5909" t="str">
            <v>IT&amp;NS</v>
          </cell>
          <cell r="F5909">
            <v>123857.97540983607</v>
          </cell>
          <cell r="G5909">
            <v>275</v>
          </cell>
          <cell r="H5909">
            <v>108103.1877386032</v>
          </cell>
        </row>
        <row r="5910">
          <cell r="D5910" t="str">
            <v>IT&amp;NS</v>
          </cell>
          <cell r="F5910">
            <v>308864.74098360655</v>
          </cell>
          <cell r="G5910">
            <v>275</v>
          </cell>
          <cell r="H5910">
            <v>264409.37112059287</v>
          </cell>
        </row>
        <row r="5911">
          <cell r="D5911" t="str">
            <v>IT&amp;NS</v>
          </cell>
          <cell r="F5911">
            <v>63605.537568306012</v>
          </cell>
          <cell r="G5911">
            <v>275</v>
          </cell>
          <cell r="H5911">
            <v>54751.102636799165</v>
          </cell>
        </row>
        <row r="5912">
          <cell r="D5912" t="str">
            <v>IT&amp;NS</v>
          </cell>
          <cell r="F5912">
            <v>65181.322295081969</v>
          </cell>
          <cell r="G5912">
            <v>275</v>
          </cell>
          <cell r="H5912">
            <v>55972.709966314847</v>
          </cell>
        </row>
        <row r="5913">
          <cell r="D5913" t="str">
            <v>IT&amp;NS</v>
          </cell>
          <cell r="F5913">
            <v>0</v>
          </cell>
          <cell r="G5913">
            <v>275</v>
          </cell>
          <cell r="H5913">
            <v>0</v>
          </cell>
        </row>
        <row r="5914">
          <cell r="D5914" t="str">
            <v>IT&amp;NS</v>
          </cell>
          <cell r="F5914">
            <v>337421.44743169402</v>
          </cell>
          <cell r="G5914">
            <v>275</v>
          </cell>
          <cell r="H5914">
            <v>290425.77071936527</v>
          </cell>
        </row>
        <row r="5915">
          <cell r="D5915" t="str">
            <v>IT&amp;NS</v>
          </cell>
          <cell r="F5915">
            <v>17666.82914237705</v>
          </cell>
          <cell r="G5915">
            <v>275</v>
          </cell>
          <cell r="H5915">
            <v>15187.428592377049</v>
          </cell>
        </row>
        <row r="5916">
          <cell r="D5916" t="str">
            <v>IT&amp;NS</v>
          </cell>
          <cell r="F5916">
            <v>17449.570098360655</v>
          </cell>
          <cell r="G5916">
            <v>275</v>
          </cell>
          <cell r="H5916">
            <v>15036.27859151134</v>
          </cell>
        </row>
        <row r="5917">
          <cell r="D5917" t="str">
            <v>IT&amp;NS</v>
          </cell>
          <cell r="F5917">
            <v>17449.570098360655</v>
          </cell>
          <cell r="G5917">
            <v>275</v>
          </cell>
          <cell r="H5917">
            <v>15036.27859151134</v>
          </cell>
        </row>
        <row r="5918">
          <cell r="D5918" t="str">
            <v>IT&amp;NS</v>
          </cell>
          <cell r="F5918">
            <v>17449.570098360655</v>
          </cell>
          <cell r="G5918">
            <v>275</v>
          </cell>
          <cell r="H5918">
            <v>15036.27859151134</v>
          </cell>
        </row>
        <row r="5919">
          <cell r="D5919" t="str">
            <v>IT&amp;NS</v>
          </cell>
          <cell r="F5919">
            <v>39768.420765027324</v>
          </cell>
          <cell r="G5919">
            <v>275</v>
          </cell>
          <cell r="H5919">
            <v>34306.761038999924</v>
          </cell>
        </row>
        <row r="5920">
          <cell r="D5920" t="str">
            <v>IT&amp;NS</v>
          </cell>
          <cell r="F5920">
            <v>17449.570098360655</v>
          </cell>
          <cell r="G5920">
            <v>275</v>
          </cell>
          <cell r="H5920">
            <v>15036.27859151134</v>
          </cell>
        </row>
        <row r="5921">
          <cell r="D5921" t="str">
            <v>IT&amp;NS</v>
          </cell>
          <cell r="F5921">
            <v>0</v>
          </cell>
          <cell r="G5921">
            <v>275</v>
          </cell>
          <cell r="H5921">
            <v>0</v>
          </cell>
        </row>
        <row r="5922">
          <cell r="D5922" t="str">
            <v>IT&amp;NS</v>
          </cell>
          <cell r="F5922">
            <v>0</v>
          </cell>
          <cell r="G5922">
            <v>275</v>
          </cell>
          <cell r="H5922">
            <v>0</v>
          </cell>
        </row>
        <row r="5923">
          <cell r="D5923" t="str">
            <v>IT&amp;NS</v>
          </cell>
          <cell r="F5923">
            <v>0</v>
          </cell>
          <cell r="G5923">
            <v>275</v>
          </cell>
          <cell r="H5923">
            <v>0</v>
          </cell>
        </row>
        <row r="5924">
          <cell r="D5924" t="str">
            <v>IT&amp;NS</v>
          </cell>
          <cell r="F5924">
            <v>8171.4119672131146</v>
          </cell>
          <cell r="G5924">
            <v>275</v>
          </cell>
          <cell r="H5924">
            <v>7035.6016932405118</v>
          </cell>
        </row>
        <row r="5925">
          <cell r="D5925" t="str">
            <v>IT&amp;NS</v>
          </cell>
          <cell r="F5925">
            <v>6187.2900000000009</v>
          </cell>
          <cell r="G5925">
            <v>275</v>
          </cell>
          <cell r="H5925">
            <v>4343.1249315068499</v>
          </cell>
        </row>
        <row r="5926">
          <cell r="D5926" t="str">
            <v>IT&amp;NS</v>
          </cell>
          <cell r="F5926">
            <v>39293.069158469945</v>
          </cell>
          <cell r="G5926">
            <v>275</v>
          </cell>
          <cell r="H5926">
            <v>33831.409432442546</v>
          </cell>
        </row>
        <row r="5927">
          <cell r="D5927" t="str">
            <v>IT&amp;NS</v>
          </cell>
          <cell r="F5927">
            <v>9095.2999999999993</v>
          </cell>
          <cell r="G5927">
            <v>275</v>
          </cell>
          <cell r="H5927">
            <v>7019.0876712328754</v>
          </cell>
        </row>
        <row r="5928">
          <cell r="D5928" t="str">
            <v>IT&amp;NS</v>
          </cell>
          <cell r="F5928">
            <v>12064.099999999999</v>
          </cell>
          <cell r="G5928">
            <v>275</v>
          </cell>
          <cell r="H5928">
            <v>9743.6273972602721</v>
          </cell>
        </row>
        <row r="5929">
          <cell r="D5929" t="str">
            <v>IT&amp;NS</v>
          </cell>
          <cell r="F5929">
            <v>36427.4</v>
          </cell>
          <cell r="G5929">
            <v>275</v>
          </cell>
          <cell r="H5929">
            <v>29588.112328767125</v>
          </cell>
        </row>
        <row r="5930">
          <cell r="D5930" t="str">
            <v>IT&amp;NS</v>
          </cell>
          <cell r="F5930">
            <v>329401.43770491803</v>
          </cell>
          <cell r="G5930">
            <v>275</v>
          </cell>
          <cell r="H5930">
            <v>285581.14455423312</v>
          </cell>
        </row>
        <row r="5931">
          <cell r="D5931" t="str">
            <v>IT&amp;NS</v>
          </cell>
          <cell r="F5931">
            <v>17011.988677595629</v>
          </cell>
          <cell r="G5931">
            <v>275</v>
          </cell>
          <cell r="H5931">
            <v>14598.697170746314</v>
          </cell>
        </row>
        <row r="5932">
          <cell r="D5932" t="str">
            <v>IT&amp;NS</v>
          </cell>
          <cell r="F5932">
            <v>17011.988677595629</v>
          </cell>
          <cell r="G5932">
            <v>275</v>
          </cell>
          <cell r="H5932">
            <v>14598.697170746314</v>
          </cell>
        </row>
        <row r="5933">
          <cell r="D5933" t="str">
            <v>IT&amp;NS</v>
          </cell>
          <cell r="F5933">
            <v>50902.425000000003</v>
          </cell>
          <cell r="G5933">
            <v>275</v>
          </cell>
          <cell r="H5933">
            <v>43483.019178082199</v>
          </cell>
        </row>
        <row r="5934">
          <cell r="D5934" t="str">
            <v>IT&amp;NS</v>
          </cell>
          <cell r="F5934">
            <v>0</v>
          </cell>
          <cell r="G5934">
            <v>275</v>
          </cell>
          <cell r="H5934">
            <v>0</v>
          </cell>
        </row>
        <row r="5935">
          <cell r="D5935" t="str">
            <v>IT&amp;NS</v>
          </cell>
          <cell r="F5935">
            <v>45186.14</v>
          </cell>
          <cell r="G5935">
            <v>275</v>
          </cell>
          <cell r="H5935">
            <v>37052.272876712334</v>
          </cell>
        </row>
        <row r="5936">
          <cell r="D5936" t="str">
            <v>IT&amp;NS</v>
          </cell>
          <cell r="F5936">
            <v>0</v>
          </cell>
          <cell r="G5936">
            <v>275</v>
          </cell>
          <cell r="H5936">
            <v>0</v>
          </cell>
        </row>
        <row r="5937">
          <cell r="D5937" t="str">
            <v>IT&amp;NS</v>
          </cell>
          <cell r="F5937">
            <v>0</v>
          </cell>
          <cell r="G5937">
            <v>275</v>
          </cell>
          <cell r="H5937">
            <v>0</v>
          </cell>
        </row>
        <row r="5938">
          <cell r="D5938" t="str">
            <v>IT&amp;NS</v>
          </cell>
          <cell r="F5938">
            <v>123741.072</v>
          </cell>
          <cell r="G5938">
            <v>275</v>
          </cell>
          <cell r="H5938">
            <v>105704.89336986301</v>
          </cell>
        </row>
        <row r="5939">
          <cell r="D5939" t="str">
            <v>IT&amp;NS</v>
          </cell>
          <cell r="F5939">
            <v>123741.072</v>
          </cell>
          <cell r="G5939">
            <v>275</v>
          </cell>
          <cell r="H5939">
            <v>105704.89336986301</v>
          </cell>
        </row>
        <row r="5940">
          <cell r="D5940" t="str">
            <v>IT&amp;NS</v>
          </cell>
          <cell r="F5940">
            <v>123741.072</v>
          </cell>
          <cell r="G5940">
            <v>275</v>
          </cell>
          <cell r="H5940">
            <v>105704.89336986301</v>
          </cell>
        </row>
        <row r="5941">
          <cell r="F5941">
            <v>4246.666666666667</v>
          </cell>
          <cell r="G5941">
            <v>8493.3333333333321</v>
          </cell>
          <cell r="H5941">
            <v>3195.1664386684906</v>
          </cell>
        </row>
        <row r="5942">
          <cell r="F5942">
            <v>4246.666666666667</v>
          </cell>
          <cell r="G5942">
            <v>8493.3333333333321</v>
          </cell>
          <cell r="H5942">
            <v>3195.1664386684906</v>
          </cell>
        </row>
        <row r="5943">
          <cell r="F5943">
            <v>4246.666666666667</v>
          </cell>
          <cell r="G5943">
            <v>8493.3333333333321</v>
          </cell>
          <cell r="H5943">
            <v>3195.1664386684906</v>
          </cell>
        </row>
        <row r="5944">
          <cell r="F5944">
            <v>4246.666666666667</v>
          </cell>
          <cell r="G5944">
            <v>8493.3333333333321</v>
          </cell>
          <cell r="H5944">
            <v>3195.1664386684906</v>
          </cell>
        </row>
        <row r="5945">
          <cell r="F5945">
            <v>4246.666666666667</v>
          </cell>
          <cell r="G5945">
            <v>8493.3333333333321</v>
          </cell>
          <cell r="H5945">
            <v>3195.1664386684906</v>
          </cell>
        </row>
        <row r="5946">
          <cell r="F5946">
            <v>4246.666666666667</v>
          </cell>
          <cell r="G5946">
            <v>8493.3333333333321</v>
          </cell>
          <cell r="H5946">
            <v>3195.1664386684906</v>
          </cell>
        </row>
        <row r="5947">
          <cell r="F5947">
            <v>4246.666666666667</v>
          </cell>
          <cell r="G5947">
            <v>8493.3333333333321</v>
          </cell>
          <cell r="H5947">
            <v>3195.1664386684906</v>
          </cell>
        </row>
        <row r="5948">
          <cell r="F5948">
            <v>4246.666666666667</v>
          </cell>
          <cell r="G5948">
            <v>8493.3333333333321</v>
          </cell>
          <cell r="H5948">
            <v>3195.1664386684906</v>
          </cell>
        </row>
        <row r="5949">
          <cell r="F5949">
            <v>4246.666666666667</v>
          </cell>
          <cell r="G5949">
            <v>8493.3333333333321</v>
          </cell>
          <cell r="H5949">
            <v>3195.1664386684906</v>
          </cell>
        </row>
        <row r="5950">
          <cell r="F5950">
            <v>4246.666666666667</v>
          </cell>
          <cell r="G5950">
            <v>8493.3333333333321</v>
          </cell>
          <cell r="H5950">
            <v>3195.1664386684906</v>
          </cell>
        </row>
        <row r="5951">
          <cell r="F5951">
            <v>4194.666666666667</v>
          </cell>
          <cell r="G5951">
            <v>8389.3333333333321</v>
          </cell>
          <cell r="H5951">
            <v>3156.0419516643865</v>
          </cell>
        </row>
        <row r="5952">
          <cell r="F5952">
            <v>4194.666666666667</v>
          </cell>
          <cell r="G5952">
            <v>8389.3333333333321</v>
          </cell>
          <cell r="H5952">
            <v>3156.0419516643865</v>
          </cell>
        </row>
        <row r="5953">
          <cell r="F5953">
            <v>4194.666666666667</v>
          </cell>
          <cell r="G5953">
            <v>8389.3333333333321</v>
          </cell>
          <cell r="H5953">
            <v>3156.0419516643865</v>
          </cell>
        </row>
        <row r="5954">
          <cell r="F5954">
            <v>4194.666666666667</v>
          </cell>
          <cell r="G5954">
            <v>8389.3333333333321</v>
          </cell>
          <cell r="H5954">
            <v>3156.0419516643865</v>
          </cell>
        </row>
        <row r="5955">
          <cell r="F5955">
            <v>4194.666666666667</v>
          </cell>
          <cell r="G5955">
            <v>8389.3333333333321</v>
          </cell>
          <cell r="H5955">
            <v>3156.0419516643865</v>
          </cell>
        </row>
        <row r="5956">
          <cell r="F5956">
            <v>4194.666666666667</v>
          </cell>
          <cell r="G5956">
            <v>8389.3333333333321</v>
          </cell>
          <cell r="H5956">
            <v>3156.0419516643865</v>
          </cell>
        </row>
        <row r="5957">
          <cell r="F5957">
            <v>4194.666666666667</v>
          </cell>
          <cell r="G5957">
            <v>8389.3333333333321</v>
          </cell>
          <cell r="H5957">
            <v>3156.0419516643865</v>
          </cell>
        </row>
        <row r="5958">
          <cell r="F5958">
            <v>4194.666666666667</v>
          </cell>
          <cell r="G5958">
            <v>8389.3333333333321</v>
          </cell>
          <cell r="H5958">
            <v>3156.0419516643865</v>
          </cell>
        </row>
        <row r="5959">
          <cell r="F5959">
            <v>4194.666666666667</v>
          </cell>
          <cell r="G5959">
            <v>8389.3333333333321</v>
          </cell>
          <cell r="H5959">
            <v>3156.0419516643865</v>
          </cell>
        </row>
        <row r="5960">
          <cell r="F5960">
            <v>4194.666666666667</v>
          </cell>
          <cell r="G5960">
            <v>8389.3333333333321</v>
          </cell>
          <cell r="H5960">
            <v>3156.0419516643865</v>
          </cell>
        </row>
        <row r="5961">
          <cell r="F5961">
            <v>4194.666666666667</v>
          </cell>
          <cell r="G5961">
            <v>8389.3333333333321</v>
          </cell>
          <cell r="H5961">
            <v>3156.0419516643865</v>
          </cell>
        </row>
        <row r="5962">
          <cell r="F5962">
            <v>4194.666666666667</v>
          </cell>
          <cell r="G5962">
            <v>8389.3333333333321</v>
          </cell>
          <cell r="H5962">
            <v>3156.0419516643865</v>
          </cell>
        </row>
        <row r="5963">
          <cell r="F5963">
            <v>4194.666666666667</v>
          </cell>
          <cell r="G5963">
            <v>8389.3333333333321</v>
          </cell>
          <cell r="H5963">
            <v>3156.0419516643865</v>
          </cell>
        </row>
        <row r="5964">
          <cell r="F5964">
            <v>4194.666666666667</v>
          </cell>
          <cell r="G5964">
            <v>8389.3333333333321</v>
          </cell>
          <cell r="H5964">
            <v>3156.0419516643865</v>
          </cell>
        </row>
        <row r="5965">
          <cell r="D5965" t="str">
            <v>IT&amp;NS</v>
          </cell>
          <cell r="F5965">
            <v>4194.666666666667</v>
          </cell>
          <cell r="G5965">
            <v>8389.3333333333321</v>
          </cell>
          <cell r="H5965">
            <v>3156.0419516643865</v>
          </cell>
        </row>
        <row r="5966">
          <cell r="D5966" t="str">
            <v>IT&amp;NS</v>
          </cell>
          <cell r="F5966">
            <v>14560</v>
          </cell>
          <cell r="G5966">
            <v>0</v>
          </cell>
          <cell r="H5966">
            <v>0</v>
          </cell>
        </row>
        <row r="5967">
          <cell r="D5967" t="str">
            <v>IT&amp;NS</v>
          </cell>
          <cell r="F5967">
            <v>92185.600000000006</v>
          </cell>
          <cell r="G5967">
            <v>0</v>
          </cell>
          <cell r="H5967">
            <v>0</v>
          </cell>
        </row>
        <row r="5968">
          <cell r="D5968" t="str">
            <v>IT&amp;NS</v>
          </cell>
          <cell r="F5968">
            <v>92185.600000000006</v>
          </cell>
          <cell r="G5968">
            <v>0</v>
          </cell>
          <cell r="H5968">
            <v>0</v>
          </cell>
        </row>
        <row r="5969">
          <cell r="D5969" t="str">
            <v>IT&amp;NS</v>
          </cell>
          <cell r="F5969">
            <v>622300</v>
          </cell>
          <cell r="G5969">
            <v>1244600</v>
          </cell>
          <cell r="H5969">
            <v>468214.77428180573</v>
          </cell>
        </row>
        <row r="5970">
          <cell r="D5970" t="str">
            <v>IT&amp;NS</v>
          </cell>
          <cell r="F5970">
            <v>15225.6</v>
          </cell>
          <cell r="G5970">
            <v>0</v>
          </cell>
          <cell r="H5970">
            <v>0</v>
          </cell>
        </row>
        <row r="5971">
          <cell r="D5971" t="str">
            <v>IT&amp;NS</v>
          </cell>
          <cell r="F5971">
            <v>15225.6</v>
          </cell>
          <cell r="G5971">
            <v>0</v>
          </cell>
          <cell r="H5971">
            <v>0</v>
          </cell>
        </row>
        <row r="5972">
          <cell r="D5972" t="str">
            <v>IT&amp;NS</v>
          </cell>
          <cell r="F5972">
            <v>15225.6</v>
          </cell>
          <cell r="G5972">
            <v>0</v>
          </cell>
          <cell r="H5972">
            <v>0</v>
          </cell>
        </row>
        <row r="5973">
          <cell r="D5973" t="str">
            <v>IT&amp;NS</v>
          </cell>
          <cell r="F5973">
            <v>15225.6</v>
          </cell>
          <cell r="G5973">
            <v>0</v>
          </cell>
          <cell r="H5973">
            <v>0</v>
          </cell>
        </row>
        <row r="5974">
          <cell r="D5974" t="str">
            <v>IT&amp;NS</v>
          </cell>
          <cell r="F5974">
            <v>15225.6</v>
          </cell>
          <cell r="G5974">
            <v>0</v>
          </cell>
          <cell r="H5974">
            <v>0</v>
          </cell>
        </row>
        <row r="5975">
          <cell r="D5975" t="str">
            <v>IT&amp;NS</v>
          </cell>
          <cell r="F5975">
            <v>15225.6</v>
          </cell>
          <cell r="G5975">
            <v>0</v>
          </cell>
          <cell r="H5975">
            <v>0</v>
          </cell>
        </row>
        <row r="5976">
          <cell r="D5976" t="str">
            <v>IT&amp;NS</v>
          </cell>
          <cell r="F5976">
            <v>15225.6</v>
          </cell>
          <cell r="G5976">
            <v>0</v>
          </cell>
          <cell r="H5976">
            <v>0</v>
          </cell>
        </row>
        <row r="5977">
          <cell r="D5977" t="str">
            <v>IT&amp;NS</v>
          </cell>
          <cell r="F5977">
            <v>15225.6</v>
          </cell>
          <cell r="G5977">
            <v>0</v>
          </cell>
          <cell r="H5977">
            <v>0</v>
          </cell>
        </row>
        <row r="5978">
          <cell r="D5978" t="str">
            <v>IT&amp;NS</v>
          </cell>
          <cell r="F5978">
            <v>15225.6</v>
          </cell>
          <cell r="G5978">
            <v>0</v>
          </cell>
          <cell r="H5978">
            <v>0</v>
          </cell>
        </row>
        <row r="5979">
          <cell r="D5979" t="str">
            <v>IT&amp;NS</v>
          </cell>
          <cell r="F5979">
            <v>15225.6</v>
          </cell>
          <cell r="G5979">
            <v>0</v>
          </cell>
          <cell r="H5979">
            <v>0</v>
          </cell>
        </row>
        <row r="5980">
          <cell r="D5980" t="str">
            <v>IT&amp;NS</v>
          </cell>
          <cell r="F5980">
            <v>15225.6</v>
          </cell>
          <cell r="G5980">
            <v>0</v>
          </cell>
          <cell r="H5980">
            <v>0</v>
          </cell>
        </row>
        <row r="5981">
          <cell r="D5981" t="str">
            <v>IT&amp;NS</v>
          </cell>
          <cell r="F5981">
            <v>15225.6</v>
          </cell>
          <cell r="G5981">
            <v>0</v>
          </cell>
          <cell r="H5981">
            <v>0</v>
          </cell>
        </row>
        <row r="5982">
          <cell r="D5982" t="str">
            <v>IT&amp;NS</v>
          </cell>
          <cell r="F5982">
            <v>15225.6</v>
          </cell>
          <cell r="G5982">
            <v>0</v>
          </cell>
          <cell r="H5982">
            <v>0</v>
          </cell>
        </row>
        <row r="5983">
          <cell r="D5983" t="str">
            <v>IT&amp;NS</v>
          </cell>
          <cell r="F5983">
            <v>15225.6</v>
          </cell>
          <cell r="G5983">
            <v>0</v>
          </cell>
          <cell r="H5983">
            <v>0</v>
          </cell>
        </row>
        <row r="5984">
          <cell r="D5984" t="str">
            <v>IT&amp;NS</v>
          </cell>
          <cell r="F5984">
            <v>15225.6</v>
          </cell>
          <cell r="G5984">
            <v>0</v>
          </cell>
          <cell r="H5984">
            <v>0</v>
          </cell>
        </row>
        <row r="5985">
          <cell r="D5985" t="str">
            <v>IT&amp;NS</v>
          </cell>
          <cell r="F5985">
            <v>15225.6</v>
          </cell>
          <cell r="G5985">
            <v>0</v>
          </cell>
          <cell r="H5985">
            <v>0</v>
          </cell>
        </row>
        <row r="5986">
          <cell r="D5986" t="str">
            <v>IT&amp;NS</v>
          </cell>
          <cell r="F5986">
            <v>15225.6</v>
          </cell>
          <cell r="G5986">
            <v>0</v>
          </cell>
          <cell r="H5986">
            <v>0</v>
          </cell>
        </row>
        <row r="5987">
          <cell r="D5987" t="str">
            <v>IT&amp;NS</v>
          </cell>
          <cell r="F5987">
            <v>15225.6</v>
          </cell>
          <cell r="G5987">
            <v>0</v>
          </cell>
          <cell r="H5987">
            <v>0</v>
          </cell>
        </row>
        <row r="5988">
          <cell r="D5988" t="str">
            <v>IT&amp;NS</v>
          </cell>
          <cell r="F5988">
            <v>15225.6</v>
          </cell>
          <cell r="G5988">
            <v>0</v>
          </cell>
          <cell r="H5988">
            <v>0</v>
          </cell>
        </row>
        <row r="5989">
          <cell r="D5989" t="str">
            <v>IT&amp;NS</v>
          </cell>
          <cell r="F5989">
            <v>15225.6</v>
          </cell>
          <cell r="G5989">
            <v>0</v>
          </cell>
          <cell r="H5989">
            <v>0</v>
          </cell>
        </row>
        <row r="5990">
          <cell r="D5990" t="str">
            <v>IT&amp;NS</v>
          </cell>
          <cell r="F5990">
            <v>15225.6</v>
          </cell>
          <cell r="G5990">
            <v>0</v>
          </cell>
          <cell r="H5990">
            <v>0</v>
          </cell>
        </row>
        <row r="5991">
          <cell r="D5991" t="str">
            <v>IT&amp;NS</v>
          </cell>
          <cell r="F5991">
            <v>15225.6</v>
          </cell>
          <cell r="G5991">
            <v>0</v>
          </cell>
          <cell r="H5991">
            <v>0</v>
          </cell>
        </row>
        <row r="5992">
          <cell r="D5992" t="str">
            <v>IT&amp;NS</v>
          </cell>
          <cell r="F5992">
            <v>15225.6</v>
          </cell>
          <cell r="G5992">
            <v>0</v>
          </cell>
          <cell r="H5992">
            <v>0</v>
          </cell>
        </row>
        <row r="5993">
          <cell r="D5993" t="str">
            <v>IT&amp;NS</v>
          </cell>
          <cell r="F5993">
            <v>15225.6</v>
          </cell>
          <cell r="G5993">
            <v>0</v>
          </cell>
          <cell r="H5993">
            <v>0</v>
          </cell>
        </row>
        <row r="5994">
          <cell r="D5994" t="str">
            <v>IT&amp;NS</v>
          </cell>
          <cell r="F5994">
            <v>15225.6</v>
          </cell>
          <cell r="G5994">
            <v>0</v>
          </cell>
          <cell r="H5994">
            <v>0</v>
          </cell>
        </row>
        <row r="5995">
          <cell r="D5995" t="str">
            <v>IT&amp;NS</v>
          </cell>
          <cell r="F5995">
            <v>15225.6</v>
          </cell>
          <cell r="G5995">
            <v>0</v>
          </cell>
          <cell r="H5995">
            <v>0</v>
          </cell>
        </row>
        <row r="5996">
          <cell r="D5996" t="str">
            <v>IT&amp;NS</v>
          </cell>
          <cell r="F5996">
            <v>15225.6</v>
          </cell>
          <cell r="G5996">
            <v>0</v>
          </cell>
          <cell r="H5996">
            <v>0</v>
          </cell>
        </row>
        <row r="5997">
          <cell r="D5997" t="str">
            <v>IT&amp;NS</v>
          </cell>
          <cell r="F5997">
            <v>15225.6</v>
          </cell>
          <cell r="G5997">
            <v>0</v>
          </cell>
          <cell r="H5997">
            <v>0</v>
          </cell>
        </row>
        <row r="5998">
          <cell r="D5998" t="str">
            <v>IT&amp;NS</v>
          </cell>
          <cell r="F5998">
            <v>15225.6</v>
          </cell>
          <cell r="G5998">
            <v>0</v>
          </cell>
          <cell r="H5998">
            <v>0</v>
          </cell>
        </row>
        <row r="5999">
          <cell r="D5999" t="str">
            <v>IT&amp;NS</v>
          </cell>
          <cell r="F5999">
            <v>15225.6</v>
          </cell>
          <cell r="G5999">
            <v>0</v>
          </cell>
          <cell r="H5999">
            <v>0</v>
          </cell>
        </row>
        <row r="6000">
          <cell r="D6000" t="str">
            <v>IT&amp;NS</v>
          </cell>
          <cell r="F6000">
            <v>15225.6</v>
          </cell>
          <cell r="G6000">
            <v>0</v>
          </cell>
          <cell r="H6000">
            <v>0</v>
          </cell>
        </row>
        <row r="6001">
          <cell r="D6001" t="str">
            <v>IT&amp;NS</v>
          </cell>
          <cell r="F6001">
            <v>15225.6</v>
          </cell>
          <cell r="G6001">
            <v>0</v>
          </cell>
          <cell r="H6001">
            <v>0</v>
          </cell>
        </row>
        <row r="6002">
          <cell r="D6002" t="str">
            <v>IT&amp;NS</v>
          </cell>
          <cell r="F6002">
            <v>15225.6</v>
          </cell>
          <cell r="G6002">
            <v>0</v>
          </cell>
          <cell r="H6002">
            <v>0</v>
          </cell>
        </row>
        <row r="6003">
          <cell r="D6003" t="str">
            <v>IT&amp;NS</v>
          </cell>
          <cell r="F6003">
            <v>15225.6</v>
          </cell>
          <cell r="G6003">
            <v>0</v>
          </cell>
          <cell r="H6003">
            <v>0</v>
          </cell>
        </row>
        <row r="6004">
          <cell r="D6004" t="str">
            <v>IT&amp;NS</v>
          </cell>
          <cell r="F6004">
            <v>15225.6</v>
          </cell>
          <cell r="G6004">
            <v>0</v>
          </cell>
          <cell r="H6004">
            <v>0</v>
          </cell>
        </row>
        <row r="6005">
          <cell r="D6005" t="str">
            <v>IT&amp;NS</v>
          </cell>
          <cell r="F6005">
            <v>15225.6</v>
          </cell>
          <cell r="G6005">
            <v>0</v>
          </cell>
          <cell r="H6005">
            <v>0</v>
          </cell>
        </row>
        <row r="6006">
          <cell r="D6006" t="str">
            <v>IT&amp;NS</v>
          </cell>
          <cell r="F6006">
            <v>15225.6</v>
          </cell>
          <cell r="G6006">
            <v>0</v>
          </cell>
          <cell r="H6006">
            <v>0</v>
          </cell>
        </row>
        <row r="6007">
          <cell r="D6007" t="str">
            <v>IT&amp;NS</v>
          </cell>
          <cell r="F6007">
            <v>15225.6</v>
          </cell>
          <cell r="G6007">
            <v>0</v>
          </cell>
          <cell r="H6007">
            <v>0</v>
          </cell>
        </row>
        <row r="6008">
          <cell r="D6008" t="str">
            <v>IT&amp;NS</v>
          </cell>
          <cell r="F6008">
            <v>15225.6</v>
          </cell>
          <cell r="G6008">
            <v>0</v>
          </cell>
          <cell r="H6008">
            <v>0</v>
          </cell>
        </row>
        <row r="6009">
          <cell r="D6009" t="str">
            <v>IT&amp;NS</v>
          </cell>
          <cell r="F6009">
            <v>15225.6</v>
          </cell>
          <cell r="G6009">
            <v>0</v>
          </cell>
          <cell r="H6009">
            <v>0</v>
          </cell>
        </row>
        <row r="6010">
          <cell r="D6010" t="str">
            <v>IT&amp;NS</v>
          </cell>
          <cell r="F6010">
            <v>15225.6</v>
          </cell>
          <cell r="G6010">
            <v>0</v>
          </cell>
          <cell r="H6010">
            <v>0</v>
          </cell>
        </row>
        <row r="6011">
          <cell r="D6011" t="str">
            <v>IT&amp;NS</v>
          </cell>
          <cell r="F6011">
            <v>15225.6</v>
          </cell>
          <cell r="G6011">
            <v>0</v>
          </cell>
          <cell r="H6011">
            <v>0</v>
          </cell>
        </row>
        <row r="6012">
          <cell r="D6012" t="str">
            <v>IT&amp;NS</v>
          </cell>
          <cell r="F6012">
            <v>15225.6</v>
          </cell>
          <cell r="G6012">
            <v>0</v>
          </cell>
          <cell r="H6012">
            <v>0</v>
          </cell>
        </row>
        <row r="6013">
          <cell r="D6013" t="str">
            <v>IT&amp;NS</v>
          </cell>
          <cell r="F6013">
            <v>15225.6</v>
          </cell>
          <cell r="G6013">
            <v>0</v>
          </cell>
          <cell r="H6013">
            <v>0</v>
          </cell>
        </row>
        <row r="6014">
          <cell r="D6014" t="str">
            <v>IT&amp;NS</v>
          </cell>
          <cell r="F6014">
            <v>15225.6</v>
          </cell>
          <cell r="G6014">
            <v>0</v>
          </cell>
          <cell r="H6014">
            <v>0</v>
          </cell>
        </row>
        <row r="6015">
          <cell r="D6015" t="str">
            <v>IT&amp;NS</v>
          </cell>
          <cell r="F6015">
            <v>15225.6</v>
          </cell>
          <cell r="G6015">
            <v>0</v>
          </cell>
          <cell r="H6015">
            <v>0</v>
          </cell>
        </row>
        <row r="6016">
          <cell r="D6016" t="str">
            <v>IT&amp;NS</v>
          </cell>
          <cell r="F6016">
            <v>15225.6</v>
          </cell>
          <cell r="G6016">
            <v>0</v>
          </cell>
          <cell r="H6016">
            <v>0</v>
          </cell>
        </row>
        <row r="6017">
          <cell r="D6017" t="str">
            <v>IT&amp;NS</v>
          </cell>
          <cell r="F6017">
            <v>15225.6</v>
          </cell>
          <cell r="G6017">
            <v>0</v>
          </cell>
          <cell r="H6017">
            <v>0</v>
          </cell>
        </row>
        <row r="6018">
          <cell r="D6018" t="str">
            <v>IT&amp;NS</v>
          </cell>
          <cell r="F6018">
            <v>15225.6</v>
          </cell>
          <cell r="G6018">
            <v>0</v>
          </cell>
          <cell r="H6018">
            <v>0</v>
          </cell>
        </row>
        <row r="6019">
          <cell r="D6019" t="str">
            <v>IT&amp;NS</v>
          </cell>
          <cell r="F6019">
            <v>15225.6</v>
          </cell>
          <cell r="G6019">
            <v>0</v>
          </cell>
          <cell r="H6019">
            <v>0</v>
          </cell>
        </row>
        <row r="6020">
          <cell r="D6020" t="str">
            <v>IT&amp;NS</v>
          </cell>
          <cell r="F6020">
            <v>15225.6</v>
          </cell>
          <cell r="G6020">
            <v>0</v>
          </cell>
          <cell r="H6020">
            <v>0</v>
          </cell>
        </row>
        <row r="6021">
          <cell r="D6021" t="str">
            <v>IT&amp;NS</v>
          </cell>
          <cell r="F6021">
            <v>15225.6</v>
          </cell>
          <cell r="G6021">
            <v>0</v>
          </cell>
          <cell r="H6021">
            <v>0</v>
          </cell>
        </row>
        <row r="6022">
          <cell r="D6022" t="str">
            <v>IT&amp;NS</v>
          </cell>
          <cell r="F6022">
            <v>15225.6</v>
          </cell>
          <cell r="G6022">
            <v>0</v>
          </cell>
          <cell r="H6022">
            <v>0</v>
          </cell>
        </row>
        <row r="6023">
          <cell r="D6023" t="str">
            <v>IT&amp;NS</v>
          </cell>
          <cell r="F6023">
            <v>15225.6</v>
          </cell>
          <cell r="G6023">
            <v>0</v>
          </cell>
          <cell r="H6023">
            <v>0</v>
          </cell>
        </row>
        <row r="6024">
          <cell r="D6024" t="str">
            <v>IT&amp;NS</v>
          </cell>
          <cell r="F6024">
            <v>15225.6</v>
          </cell>
          <cell r="G6024">
            <v>0</v>
          </cell>
          <cell r="H6024">
            <v>0</v>
          </cell>
        </row>
        <row r="6025">
          <cell r="D6025" t="str">
            <v>IT&amp;NS</v>
          </cell>
          <cell r="F6025">
            <v>15225.6</v>
          </cell>
          <cell r="G6025">
            <v>0</v>
          </cell>
          <cell r="H6025">
            <v>0</v>
          </cell>
        </row>
        <row r="6026">
          <cell r="D6026" t="str">
            <v>IT&amp;NS</v>
          </cell>
          <cell r="F6026">
            <v>15225.6</v>
          </cell>
          <cell r="G6026">
            <v>0</v>
          </cell>
          <cell r="H6026">
            <v>0</v>
          </cell>
        </row>
        <row r="6027">
          <cell r="D6027" t="str">
            <v>IT&amp;NS</v>
          </cell>
          <cell r="F6027">
            <v>15225.6</v>
          </cell>
          <cell r="G6027">
            <v>0</v>
          </cell>
          <cell r="H6027">
            <v>0</v>
          </cell>
        </row>
        <row r="6028">
          <cell r="D6028" t="str">
            <v>IT&amp;NS</v>
          </cell>
          <cell r="F6028">
            <v>15225.6</v>
          </cell>
          <cell r="G6028">
            <v>0</v>
          </cell>
          <cell r="H6028">
            <v>0</v>
          </cell>
        </row>
        <row r="6029">
          <cell r="D6029" t="str">
            <v>IT&amp;NS</v>
          </cell>
          <cell r="F6029">
            <v>15225.6</v>
          </cell>
          <cell r="G6029">
            <v>0</v>
          </cell>
          <cell r="H6029">
            <v>0</v>
          </cell>
        </row>
        <row r="6030">
          <cell r="D6030" t="str">
            <v>IT&amp;NS</v>
          </cell>
          <cell r="F6030">
            <v>15225.6</v>
          </cell>
          <cell r="G6030">
            <v>0</v>
          </cell>
          <cell r="H6030">
            <v>0</v>
          </cell>
        </row>
        <row r="6031">
          <cell r="D6031" t="str">
            <v>IT&amp;NS</v>
          </cell>
          <cell r="F6031">
            <v>15225.6</v>
          </cell>
          <cell r="G6031">
            <v>0</v>
          </cell>
          <cell r="H6031">
            <v>0</v>
          </cell>
        </row>
        <row r="6032">
          <cell r="D6032" t="str">
            <v>IT&amp;NS</v>
          </cell>
          <cell r="F6032">
            <v>15225.6</v>
          </cell>
          <cell r="G6032">
            <v>0</v>
          </cell>
          <cell r="H6032">
            <v>0</v>
          </cell>
        </row>
        <row r="6033">
          <cell r="D6033" t="str">
            <v>IT&amp;NS</v>
          </cell>
          <cell r="F6033">
            <v>15225.6</v>
          </cell>
          <cell r="G6033">
            <v>0</v>
          </cell>
          <cell r="H6033">
            <v>0</v>
          </cell>
        </row>
        <row r="6034">
          <cell r="D6034" t="str">
            <v>IT&amp;NS</v>
          </cell>
          <cell r="F6034">
            <v>15225.6</v>
          </cell>
          <cell r="G6034">
            <v>0</v>
          </cell>
          <cell r="H6034">
            <v>0</v>
          </cell>
        </row>
        <row r="6035">
          <cell r="D6035" t="str">
            <v>IT&amp;NS</v>
          </cell>
          <cell r="F6035">
            <v>15225.6</v>
          </cell>
          <cell r="G6035">
            <v>0</v>
          </cell>
          <cell r="H6035">
            <v>0</v>
          </cell>
        </row>
        <row r="6036">
          <cell r="D6036" t="str">
            <v>IT&amp;NS</v>
          </cell>
          <cell r="F6036">
            <v>15225.6</v>
          </cell>
          <cell r="G6036">
            <v>0</v>
          </cell>
          <cell r="H6036">
            <v>0</v>
          </cell>
        </row>
        <row r="6037">
          <cell r="D6037" t="str">
            <v>IT&amp;NS</v>
          </cell>
          <cell r="F6037">
            <v>15225.6</v>
          </cell>
          <cell r="G6037">
            <v>0</v>
          </cell>
          <cell r="H6037">
            <v>0</v>
          </cell>
        </row>
        <row r="6038">
          <cell r="D6038" t="str">
            <v>IT&amp;NS</v>
          </cell>
          <cell r="F6038">
            <v>15225.6</v>
          </cell>
          <cell r="G6038">
            <v>0</v>
          </cell>
          <cell r="H6038">
            <v>0</v>
          </cell>
        </row>
        <row r="6039">
          <cell r="D6039" t="str">
            <v>IT&amp;NS</v>
          </cell>
          <cell r="F6039">
            <v>15225.6</v>
          </cell>
          <cell r="G6039">
            <v>0</v>
          </cell>
          <cell r="H6039">
            <v>0</v>
          </cell>
        </row>
        <row r="6040">
          <cell r="D6040" t="str">
            <v>IT&amp;NS</v>
          </cell>
          <cell r="F6040">
            <v>15225.6</v>
          </cell>
          <cell r="G6040">
            <v>0</v>
          </cell>
          <cell r="H6040">
            <v>0</v>
          </cell>
        </row>
        <row r="6041">
          <cell r="D6041" t="str">
            <v>IT&amp;NS</v>
          </cell>
          <cell r="F6041">
            <v>15225.6</v>
          </cell>
          <cell r="G6041">
            <v>0</v>
          </cell>
          <cell r="H6041">
            <v>0</v>
          </cell>
        </row>
        <row r="6042">
          <cell r="D6042" t="str">
            <v>IT&amp;NS</v>
          </cell>
          <cell r="F6042">
            <v>15225.6</v>
          </cell>
          <cell r="G6042">
            <v>0</v>
          </cell>
          <cell r="H6042">
            <v>0</v>
          </cell>
        </row>
        <row r="6043">
          <cell r="D6043" t="str">
            <v>IT&amp;NS</v>
          </cell>
          <cell r="F6043">
            <v>15225.6</v>
          </cell>
          <cell r="G6043">
            <v>0</v>
          </cell>
          <cell r="H6043">
            <v>0</v>
          </cell>
        </row>
        <row r="6044">
          <cell r="D6044" t="str">
            <v>IT&amp;NS</v>
          </cell>
          <cell r="F6044">
            <v>15225.6</v>
          </cell>
          <cell r="G6044">
            <v>0</v>
          </cell>
          <cell r="H6044">
            <v>0</v>
          </cell>
        </row>
        <row r="6045">
          <cell r="D6045" t="str">
            <v>IT&amp;NS</v>
          </cell>
          <cell r="F6045">
            <v>15225.6</v>
          </cell>
          <cell r="G6045">
            <v>0</v>
          </cell>
          <cell r="H6045">
            <v>0</v>
          </cell>
        </row>
        <row r="6046">
          <cell r="D6046" t="str">
            <v>IT&amp;NS</v>
          </cell>
          <cell r="F6046">
            <v>15225.6</v>
          </cell>
          <cell r="G6046">
            <v>0</v>
          </cell>
          <cell r="H6046">
            <v>0</v>
          </cell>
        </row>
        <row r="6047">
          <cell r="D6047" t="str">
            <v>IT&amp;NS</v>
          </cell>
          <cell r="F6047">
            <v>15225.6</v>
          </cell>
          <cell r="G6047">
            <v>0</v>
          </cell>
          <cell r="H6047">
            <v>0</v>
          </cell>
        </row>
        <row r="6048">
          <cell r="D6048" t="str">
            <v>IT&amp;NS</v>
          </cell>
          <cell r="F6048">
            <v>15225.6</v>
          </cell>
          <cell r="G6048">
            <v>0</v>
          </cell>
          <cell r="H6048">
            <v>0</v>
          </cell>
        </row>
        <row r="6049">
          <cell r="D6049" t="str">
            <v>IT&amp;NS</v>
          </cell>
          <cell r="F6049">
            <v>15225.6</v>
          </cell>
          <cell r="G6049">
            <v>0</v>
          </cell>
          <cell r="H6049">
            <v>0</v>
          </cell>
        </row>
        <row r="6050">
          <cell r="D6050" t="str">
            <v>IT&amp;NS</v>
          </cell>
          <cell r="F6050">
            <v>15225.6</v>
          </cell>
          <cell r="G6050">
            <v>0</v>
          </cell>
          <cell r="H6050">
            <v>0</v>
          </cell>
        </row>
        <row r="6051">
          <cell r="D6051" t="str">
            <v>IT&amp;NS</v>
          </cell>
          <cell r="F6051">
            <v>15225.6</v>
          </cell>
          <cell r="G6051">
            <v>0</v>
          </cell>
          <cell r="H6051">
            <v>0</v>
          </cell>
        </row>
        <row r="6052">
          <cell r="D6052" t="str">
            <v>IT&amp;NS</v>
          </cell>
          <cell r="F6052">
            <v>15225.6</v>
          </cell>
          <cell r="G6052">
            <v>0</v>
          </cell>
          <cell r="H6052">
            <v>0</v>
          </cell>
        </row>
        <row r="6053">
          <cell r="D6053" t="str">
            <v>IT&amp;NS</v>
          </cell>
          <cell r="F6053">
            <v>15225.6</v>
          </cell>
          <cell r="G6053">
            <v>0</v>
          </cell>
          <cell r="H6053">
            <v>0</v>
          </cell>
        </row>
        <row r="6054">
          <cell r="D6054" t="str">
            <v>IT&amp;NS</v>
          </cell>
          <cell r="F6054">
            <v>15225.6</v>
          </cell>
          <cell r="G6054">
            <v>0</v>
          </cell>
          <cell r="H6054">
            <v>0</v>
          </cell>
        </row>
        <row r="6055">
          <cell r="D6055" t="str">
            <v>IT&amp;NS</v>
          </cell>
          <cell r="F6055">
            <v>15225.6</v>
          </cell>
          <cell r="G6055">
            <v>0</v>
          </cell>
          <cell r="H6055">
            <v>0</v>
          </cell>
        </row>
        <row r="6056">
          <cell r="D6056" t="str">
            <v>IT&amp;NS</v>
          </cell>
          <cell r="F6056">
            <v>15225.41</v>
          </cell>
          <cell r="G6056">
            <v>0.19000000000050932</v>
          </cell>
          <cell r="H6056">
            <v>7.1477428180766162E-2</v>
          </cell>
        </row>
        <row r="6057">
          <cell r="D6057" t="str">
            <v>IT&amp;NS</v>
          </cell>
          <cell r="F6057">
            <v>15225.6</v>
          </cell>
          <cell r="G6057">
            <v>0</v>
          </cell>
          <cell r="H6057">
            <v>0</v>
          </cell>
        </row>
        <row r="6058">
          <cell r="D6058" t="str">
            <v>IT&amp;NS</v>
          </cell>
          <cell r="F6058">
            <v>15225.6</v>
          </cell>
          <cell r="G6058">
            <v>0</v>
          </cell>
          <cell r="H6058">
            <v>0</v>
          </cell>
        </row>
        <row r="6059">
          <cell r="D6059" t="str">
            <v>IT&amp;NS</v>
          </cell>
          <cell r="F6059">
            <v>15225.6</v>
          </cell>
          <cell r="G6059">
            <v>0</v>
          </cell>
          <cell r="H6059">
            <v>0</v>
          </cell>
        </row>
        <row r="6060">
          <cell r="D6060" t="str">
            <v>IT&amp;NS</v>
          </cell>
          <cell r="F6060">
            <v>15225.6</v>
          </cell>
          <cell r="G6060">
            <v>0</v>
          </cell>
          <cell r="H6060">
            <v>0</v>
          </cell>
        </row>
        <row r="6061">
          <cell r="D6061" t="str">
            <v>IT&amp;NS</v>
          </cell>
          <cell r="F6061">
            <v>15225.6</v>
          </cell>
          <cell r="G6061">
            <v>0</v>
          </cell>
          <cell r="H6061">
            <v>0</v>
          </cell>
        </row>
        <row r="6062">
          <cell r="D6062" t="str">
            <v>IT&amp;NS</v>
          </cell>
          <cell r="F6062">
            <v>15225.6</v>
          </cell>
          <cell r="G6062">
            <v>0</v>
          </cell>
          <cell r="H6062">
            <v>0</v>
          </cell>
        </row>
        <row r="6063">
          <cell r="D6063" t="str">
            <v>IT&amp;NS</v>
          </cell>
          <cell r="F6063">
            <v>15225.6</v>
          </cell>
          <cell r="G6063">
            <v>0</v>
          </cell>
          <cell r="H6063">
            <v>0</v>
          </cell>
        </row>
        <row r="6064">
          <cell r="D6064" t="str">
            <v>IT&amp;NS</v>
          </cell>
          <cell r="F6064">
            <v>15225.6</v>
          </cell>
          <cell r="G6064">
            <v>0</v>
          </cell>
          <cell r="H6064">
            <v>0</v>
          </cell>
        </row>
        <row r="6065">
          <cell r="D6065" t="str">
            <v>IT&amp;NS</v>
          </cell>
          <cell r="F6065">
            <v>15225.6</v>
          </cell>
          <cell r="G6065">
            <v>0</v>
          </cell>
          <cell r="H6065">
            <v>0</v>
          </cell>
        </row>
        <row r="6066">
          <cell r="D6066" t="str">
            <v>IT&amp;NS</v>
          </cell>
          <cell r="F6066">
            <v>15225.6</v>
          </cell>
          <cell r="G6066">
            <v>0</v>
          </cell>
          <cell r="H6066">
            <v>0</v>
          </cell>
        </row>
        <row r="6067">
          <cell r="D6067" t="str">
            <v>IT&amp;NS</v>
          </cell>
          <cell r="F6067">
            <v>15225.6</v>
          </cell>
          <cell r="G6067">
            <v>0</v>
          </cell>
          <cell r="H6067">
            <v>0</v>
          </cell>
        </row>
        <row r="6068">
          <cell r="D6068" t="str">
            <v>IT&amp;NS</v>
          </cell>
          <cell r="F6068">
            <v>15225.6</v>
          </cell>
          <cell r="G6068">
            <v>0</v>
          </cell>
          <cell r="H6068">
            <v>0</v>
          </cell>
        </row>
        <row r="6069">
          <cell r="D6069" t="str">
            <v>IT&amp;NS</v>
          </cell>
          <cell r="F6069">
            <v>15225.6</v>
          </cell>
          <cell r="G6069">
            <v>0</v>
          </cell>
          <cell r="H6069">
            <v>0</v>
          </cell>
        </row>
        <row r="6070">
          <cell r="D6070" t="str">
            <v>IT&amp;NS</v>
          </cell>
          <cell r="F6070">
            <v>15225.6</v>
          </cell>
          <cell r="G6070">
            <v>0</v>
          </cell>
          <cell r="H6070">
            <v>0</v>
          </cell>
        </row>
        <row r="6071">
          <cell r="D6071" t="str">
            <v>IT&amp;NS</v>
          </cell>
          <cell r="F6071">
            <v>15225.6</v>
          </cell>
          <cell r="G6071">
            <v>0</v>
          </cell>
          <cell r="H6071">
            <v>0</v>
          </cell>
        </row>
        <row r="6072">
          <cell r="D6072" t="str">
            <v>IT&amp;NS</v>
          </cell>
          <cell r="F6072">
            <v>15225.6</v>
          </cell>
          <cell r="G6072">
            <v>0</v>
          </cell>
          <cell r="H6072">
            <v>0</v>
          </cell>
        </row>
        <row r="6073">
          <cell r="D6073" t="str">
            <v>IT&amp;NS</v>
          </cell>
          <cell r="F6073">
            <v>15225.6</v>
          </cell>
          <cell r="G6073">
            <v>0</v>
          </cell>
          <cell r="H6073">
            <v>0</v>
          </cell>
        </row>
        <row r="6074">
          <cell r="D6074" t="str">
            <v>IT&amp;NS</v>
          </cell>
          <cell r="F6074">
            <v>15225.6</v>
          </cell>
          <cell r="G6074">
            <v>0</v>
          </cell>
          <cell r="H6074">
            <v>0</v>
          </cell>
        </row>
        <row r="6075">
          <cell r="D6075" t="str">
            <v>IT&amp;NS</v>
          </cell>
          <cell r="F6075">
            <v>15225.6</v>
          </cell>
          <cell r="G6075">
            <v>0</v>
          </cell>
          <cell r="H6075">
            <v>0</v>
          </cell>
        </row>
        <row r="6076">
          <cell r="D6076" t="str">
            <v>IT&amp;NS</v>
          </cell>
          <cell r="F6076">
            <v>15225.6</v>
          </cell>
          <cell r="G6076">
            <v>0</v>
          </cell>
          <cell r="H6076">
            <v>0</v>
          </cell>
        </row>
        <row r="6077">
          <cell r="D6077" t="str">
            <v>IT&amp;NS</v>
          </cell>
          <cell r="F6077">
            <v>15225.6</v>
          </cell>
          <cell r="G6077">
            <v>0</v>
          </cell>
          <cell r="H6077">
            <v>0</v>
          </cell>
        </row>
        <row r="6078">
          <cell r="D6078" t="str">
            <v>IT&amp;NS</v>
          </cell>
          <cell r="F6078">
            <v>15225.6</v>
          </cell>
          <cell r="G6078">
            <v>0</v>
          </cell>
          <cell r="H6078">
            <v>0</v>
          </cell>
        </row>
        <row r="6079">
          <cell r="D6079" t="str">
            <v>IT&amp;NS</v>
          </cell>
          <cell r="F6079">
            <v>15225.6</v>
          </cell>
          <cell r="G6079">
            <v>0</v>
          </cell>
          <cell r="H6079">
            <v>0</v>
          </cell>
        </row>
        <row r="6080">
          <cell r="D6080" t="str">
            <v>IT&amp;NS</v>
          </cell>
          <cell r="F6080">
            <v>15225.6</v>
          </cell>
          <cell r="G6080">
            <v>0</v>
          </cell>
          <cell r="H6080">
            <v>0</v>
          </cell>
        </row>
        <row r="6081">
          <cell r="D6081" t="str">
            <v>IT&amp;NS</v>
          </cell>
          <cell r="F6081">
            <v>15225.6</v>
          </cell>
          <cell r="G6081">
            <v>0</v>
          </cell>
          <cell r="H6081">
            <v>0</v>
          </cell>
        </row>
        <row r="6082">
          <cell r="D6082" t="str">
            <v>IT&amp;NS</v>
          </cell>
          <cell r="F6082">
            <v>15225.6</v>
          </cell>
          <cell r="G6082">
            <v>0</v>
          </cell>
          <cell r="H6082">
            <v>0</v>
          </cell>
        </row>
        <row r="6083">
          <cell r="D6083" t="str">
            <v>IT&amp;NS</v>
          </cell>
          <cell r="F6083">
            <v>15225.6</v>
          </cell>
          <cell r="G6083">
            <v>0</v>
          </cell>
          <cell r="H6083">
            <v>0</v>
          </cell>
        </row>
        <row r="6084">
          <cell r="D6084" t="str">
            <v>IT&amp;NS</v>
          </cell>
          <cell r="F6084">
            <v>15225.6</v>
          </cell>
          <cell r="G6084">
            <v>0</v>
          </cell>
          <cell r="H6084">
            <v>0</v>
          </cell>
        </row>
        <row r="6085">
          <cell r="D6085" t="str">
            <v>IT&amp;NS</v>
          </cell>
          <cell r="F6085">
            <v>15225.6</v>
          </cell>
          <cell r="G6085">
            <v>0</v>
          </cell>
          <cell r="H6085">
            <v>0</v>
          </cell>
        </row>
        <row r="6086">
          <cell r="D6086" t="str">
            <v>IT&amp;NS</v>
          </cell>
          <cell r="F6086">
            <v>15225.6</v>
          </cell>
          <cell r="G6086">
            <v>0</v>
          </cell>
          <cell r="H6086">
            <v>0</v>
          </cell>
        </row>
        <row r="6087">
          <cell r="D6087" t="str">
            <v>IT&amp;NS</v>
          </cell>
          <cell r="F6087">
            <v>15225.6</v>
          </cell>
          <cell r="G6087">
            <v>0</v>
          </cell>
          <cell r="H6087">
            <v>0</v>
          </cell>
        </row>
        <row r="6088">
          <cell r="D6088" t="str">
            <v>IT&amp;NS</v>
          </cell>
          <cell r="F6088">
            <v>15225.6</v>
          </cell>
          <cell r="G6088">
            <v>0</v>
          </cell>
          <cell r="H6088">
            <v>0</v>
          </cell>
        </row>
        <row r="6089">
          <cell r="D6089" t="str">
            <v>IT&amp;NS</v>
          </cell>
          <cell r="F6089">
            <v>15225.6</v>
          </cell>
          <cell r="G6089">
            <v>0</v>
          </cell>
          <cell r="H6089">
            <v>0</v>
          </cell>
        </row>
        <row r="6090">
          <cell r="D6090" t="str">
            <v>IT&amp;NS</v>
          </cell>
          <cell r="F6090">
            <v>15225.6</v>
          </cell>
          <cell r="G6090">
            <v>0</v>
          </cell>
          <cell r="H6090">
            <v>0</v>
          </cell>
        </row>
        <row r="6091">
          <cell r="D6091" t="str">
            <v>IT&amp;NS</v>
          </cell>
          <cell r="F6091">
            <v>15225.6</v>
          </cell>
          <cell r="G6091">
            <v>0</v>
          </cell>
          <cell r="H6091">
            <v>0</v>
          </cell>
        </row>
        <row r="6092">
          <cell r="D6092" t="str">
            <v>IT&amp;NS</v>
          </cell>
          <cell r="F6092">
            <v>15225.6</v>
          </cell>
          <cell r="G6092">
            <v>0</v>
          </cell>
          <cell r="H6092">
            <v>0</v>
          </cell>
        </row>
        <row r="6093">
          <cell r="D6093" t="str">
            <v>IT&amp;NS</v>
          </cell>
          <cell r="F6093">
            <v>15225.6</v>
          </cell>
          <cell r="G6093">
            <v>0</v>
          </cell>
          <cell r="H6093">
            <v>0</v>
          </cell>
        </row>
        <row r="6094">
          <cell r="D6094" t="str">
            <v>IT&amp;NS</v>
          </cell>
          <cell r="F6094">
            <v>15225.6</v>
          </cell>
          <cell r="G6094">
            <v>0</v>
          </cell>
          <cell r="H6094">
            <v>0</v>
          </cell>
        </row>
        <row r="6095">
          <cell r="D6095" t="str">
            <v>IT&amp;NS</v>
          </cell>
          <cell r="F6095">
            <v>15225.6</v>
          </cell>
          <cell r="G6095">
            <v>0</v>
          </cell>
          <cell r="H6095">
            <v>0</v>
          </cell>
        </row>
        <row r="6096">
          <cell r="D6096" t="str">
            <v>IT&amp;NS</v>
          </cell>
          <cell r="F6096">
            <v>15225.6</v>
          </cell>
          <cell r="G6096">
            <v>0</v>
          </cell>
          <cell r="H6096">
            <v>0</v>
          </cell>
        </row>
        <row r="6097">
          <cell r="D6097" t="str">
            <v>IT&amp;NS</v>
          </cell>
          <cell r="F6097">
            <v>15225.6</v>
          </cell>
          <cell r="G6097">
            <v>0</v>
          </cell>
          <cell r="H6097">
            <v>0</v>
          </cell>
        </row>
        <row r="6098">
          <cell r="D6098" t="str">
            <v>IT&amp;NS</v>
          </cell>
          <cell r="F6098">
            <v>15225.6</v>
          </cell>
          <cell r="G6098">
            <v>0</v>
          </cell>
          <cell r="H6098">
            <v>0</v>
          </cell>
        </row>
        <row r="6099">
          <cell r="D6099" t="str">
            <v>IT&amp;NS</v>
          </cell>
          <cell r="F6099">
            <v>15225.6</v>
          </cell>
          <cell r="G6099">
            <v>0</v>
          </cell>
          <cell r="H6099">
            <v>0</v>
          </cell>
        </row>
        <row r="6100">
          <cell r="D6100" t="str">
            <v>IT&amp;NS</v>
          </cell>
          <cell r="F6100">
            <v>15225.6</v>
          </cell>
          <cell r="G6100">
            <v>0</v>
          </cell>
          <cell r="H6100">
            <v>0</v>
          </cell>
        </row>
        <row r="6101">
          <cell r="D6101" t="str">
            <v>IT&amp;NS</v>
          </cell>
          <cell r="F6101">
            <v>15225.6</v>
          </cell>
          <cell r="G6101">
            <v>0</v>
          </cell>
          <cell r="H6101">
            <v>0</v>
          </cell>
        </row>
        <row r="6102">
          <cell r="D6102" t="str">
            <v>IT&amp;NS</v>
          </cell>
          <cell r="F6102">
            <v>15225.6</v>
          </cell>
          <cell r="G6102">
            <v>0</v>
          </cell>
          <cell r="H6102">
            <v>0</v>
          </cell>
        </row>
        <row r="6103">
          <cell r="D6103" t="str">
            <v>IT&amp;NS</v>
          </cell>
          <cell r="F6103">
            <v>15225.6</v>
          </cell>
          <cell r="G6103">
            <v>0</v>
          </cell>
          <cell r="H6103">
            <v>0</v>
          </cell>
        </row>
        <row r="6104">
          <cell r="D6104" t="str">
            <v>IT&amp;NS</v>
          </cell>
          <cell r="F6104">
            <v>15225.6</v>
          </cell>
          <cell r="G6104">
            <v>0</v>
          </cell>
          <cell r="H6104">
            <v>0</v>
          </cell>
        </row>
        <row r="6105">
          <cell r="D6105" t="str">
            <v>IT&amp;NS</v>
          </cell>
          <cell r="F6105">
            <v>15225.6</v>
          </cell>
          <cell r="G6105">
            <v>0</v>
          </cell>
          <cell r="H6105">
            <v>0</v>
          </cell>
        </row>
        <row r="6106">
          <cell r="D6106" t="str">
            <v>IT&amp;NS</v>
          </cell>
          <cell r="F6106">
            <v>15225.6</v>
          </cell>
          <cell r="G6106">
            <v>0</v>
          </cell>
          <cell r="H6106">
            <v>0</v>
          </cell>
        </row>
        <row r="6107">
          <cell r="D6107" t="str">
            <v>IT&amp;NS</v>
          </cell>
          <cell r="F6107">
            <v>15225.6</v>
          </cell>
          <cell r="G6107">
            <v>0</v>
          </cell>
          <cell r="H6107">
            <v>0</v>
          </cell>
        </row>
        <row r="6108">
          <cell r="D6108" t="str">
            <v>IT&amp;NS</v>
          </cell>
          <cell r="F6108">
            <v>15225.6</v>
          </cell>
          <cell r="G6108">
            <v>0</v>
          </cell>
          <cell r="H6108">
            <v>0</v>
          </cell>
        </row>
        <row r="6109">
          <cell r="D6109" t="str">
            <v>IT&amp;NS</v>
          </cell>
          <cell r="F6109">
            <v>15225.6</v>
          </cell>
          <cell r="G6109">
            <v>0</v>
          </cell>
          <cell r="H6109">
            <v>0</v>
          </cell>
        </row>
        <row r="6110">
          <cell r="D6110" t="str">
            <v>IT&amp;NS</v>
          </cell>
          <cell r="F6110">
            <v>15225.6</v>
          </cell>
          <cell r="G6110">
            <v>0</v>
          </cell>
          <cell r="H6110">
            <v>0</v>
          </cell>
        </row>
        <row r="6111">
          <cell r="D6111" t="str">
            <v>IT&amp;NS</v>
          </cell>
          <cell r="F6111">
            <v>15225.6</v>
          </cell>
          <cell r="G6111">
            <v>0</v>
          </cell>
          <cell r="H6111">
            <v>0</v>
          </cell>
        </row>
        <row r="6112">
          <cell r="D6112" t="str">
            <v>IT&amp;NS</v>
          </cell>
          <cell r="F6112">
            <v>15225.6</v>
          </cell>
          <cell r="G6112">
            <v>0</v>
          </cell>
          <cell r="H6112">
            <v>0</v>
          </cell>
        </row>
        <row r="6113">
          <cell r="D6113" t="str">
            <v>IT&amp;NS</v>
          </cell>
          <cell r="F6113">
            <v>15225.6</v>
          </cell>
          <cell r="G6113">
            <v>0</v>
          </cell>
          <cell r="H6113">
            <v>0</v>
          </cell>
        </row>
        <row r="6114">
          <cell r="D6114" t="str">
            <v>IT&amp;NS</v>
          </cell>
          <cell r="F6114">
            <v>15225.6</v>
          </cell>
          <cell r="G6114">
            <v>0</v>
          </cell>
          <cell r="H6114">
            <v>0</v>
          </cell>
        </row>
        <row r="6115">
          <cell r="D6115" t="str">
            <v>IT&amp;NS</v>
          </cell>
          <cell r="F6115">
            <v>15225.6</v>
          </cell>
          <cell r="G6115">
            <v>0</v>
          </cell>
          <cell r="H6115">
            <v>0</v>
          </cell>
        </row>
        <row r="6116">
          <cell r="D6116" t="str">
            <v>IT&amp;NS</v>
          </cell>
          <cell r="F6116">
            <v>15225.6</v>
          </cell>
          <cell r="G6116">
            <v>0</v>
          </cell>
          <cell r="H6116">
            <v>0</v>
          </cell>
        </row>
        <row r="6117">
          <cell r="D6117" t="str">
            <v>IT&amp;NS</v>
          </cell>
          <cell r="F6117">
            <v>15225.6</v>
          </cell>
          <cell r="G6117">
            <v>0</v>
          </cell>
          <cell r="H6117">
            <v>0</v>
          </cell>
        </row>
        <row r="6118">
          <cell r="D6118" t="str">
            <v>IT&amp;NS</v>
          </cell>
          <cell r="F6118">
            <v>15225.6</v>
          </cell>
          <cell r="G6118">
            <v>0</v>
          </cell>
          <cell r="H6118">
            <v>0</v>
          </cell>
        </row>
        <row r="6119">
          <cell r="D6119" t="str">
            <v>IT&amp;NS</v>
          </cell>
          <cell r="F6119">
            <v>15225.6</v>
          </cell>
          <cell r="G6119">
            <v>0</v>
          </cell>
          <cell r="H6119">
            <v>0</v>
          </cell>
        </row>
        <row r="6120">
          <cell r="D6120" t="str">
            <v>IT&amp;NS</v>
          </cell>
          <cell r="F6120">
            <v>15225.6</v>
          </cell>
          <cell r="G6120">
            <v>0</v>
          </cell>
          <cell r="H6120">
            <v>0</v>
          </cell>
        </row>
        <row r="6121">
          <cell r="D6121" t="str">
            <v>IT&amp;NS</v>
          </cell>
          <cell r="F6121">
            <v>15225.6</v>
          </cell>
          <cell r="G6121">
            <v>0</v>
          </cell>
          <cell r="H6121">
            <v>0</v>
          </cell>
        </row>
        <row r="6122">
          <cell r="D6122" t="str">
            <v>IT&amp;NS</v>
          </cell>
          <cell r="F6122">
            <v>15225.6</v>
          </cell>
          <cell r="G6122">
            <v>0</v>
          </cell>
          <cell r="H6122">
            <v>0</v>
          </cell>
        </row>
        <row r="6123">
          <cell r="D6123" t="str">
            <v>IT&amp;NS</v>
          </cell>
          <cell r="F6123">
            <v>15225.6</v>
          </cell>
          <cell r="G6123">
            <v>0</v>
          </cell>
          <cell r="H6123">
            <v>0</v>
          </cell>
        </row>
        <row r="6124">
          <cell r="D6124" t="str">
            <v>IT&amp;NS</v>
          </cell>
          <cell r="F6124">
            <v>15225.6</v>
          </cell>
          <cell r="G6124">
            <v>0</v>
          </cell>
          <cell r="H6124">
            <v>0</v>
          </cell>
        </row>
        <row r="6125">
          <cell r="D6125" t="str">
            <v>IT&amp;NS</v>
          </cell>
          <cell r="F6125">
            <v>15225.6</v>
          </cell>
          <cell r="G6125">
            <v>0</v>
          </cell>
          <cell r="H6125">
            <v>0</v>
          </cell>
        </row>
        <row r="6126">
          <cell r="D6126" t="str">
            <v>IT&amp;NS</v>
          </cell>
          <cell r="F6126">
            <v>15225.6</v>
          </cell>
          <cell r="G6126">
            <v>0</v>
          </cell>
          <cell r="H6126">
            <v>0</v>
          </cell>
        </row>
        <row r="6127">
          <cell r="D6127" t="str">
            <v>IT&amp;NS</v>
          </cell>
          <cell r="F6127">
            <v>15225.6</v>
          </cell>
          <cell r="G6127">
            <v>0</v>
          </cell>
          <cell r="H6127">
            <v>0</v>
          </cell>
        </row>
        <row r="6128">
          <cell r="D6128" t="str">
            <v>IT&amp;NS</v>
          </cell>
          <cell r="F6128">
            <v>15225.6</v>
          </cell>
          <cell r="G6128">
            <v>0</v>
          </cell>
          <cell r="H6128">
            <v>0</v>
          </cell>
        </row>
        <row r="6129">
          <cell r="D6129" t="str">
            <v>IT&amp;NS</v>
          </cell>
          <cell r="F6129">
            <v>15225.6</v>
          </cell>
          <cell r="G6129">
            <v>0</v>
          </cell>
          <cell r="H6129">
            <v>0</v>
          </cell>
        </row>
        <row r="6130">
          <cell r="D6130" t="str">
            <v>IT&amp;NS</v>
          </cell>
          <cell r="F6130">
            <v>15225.6</v>
          </cell>
          <cell r="G6130">
            <v>0</v>
          </cell>
          <cell r="H6130">
            <v>0</v>
          </cell>
        </row>
        <row r="6131">
          <cell r="D6131" t="str">
            <v>IT&amp;NS</v>
          </cell>
          <cell r="F6131">
            <v>15225.6</v>
          </cell>
          <cell r="G6131">
            <v>0</v>
          </cell>
          <cell r="H6131">
            <v>0</v>
          </cell>
        </row>
        <row r="6132">
          <cell r="D6132" t="str">
            <v>IT&amp;NS</v>
          </cell>
          <cell r="F6132">
            <v>15225.6</v>
          </cell>
          <cell r="G6132">
            <v>0</v>
          </cell>
          <cell r="H6132">
            <v>0</v>
          </cell>
        </row>
        <row r="6133">
          <cell r="D6133" t="str">
            <v>IT&amp;NS</v>
          </cell>
          <cell r="F6133">
            <v>15225.6</v>
          </cell>
          <cell r="G6133">
            <v>0</v>
          </cell>
          <cell r="H6133">
            <v>0</v>
          </cell>
        </row>
        <row r="6134">
          <cell r="D6134" t="str">
            <v>IT&amp;NS</v>
          </cell>
          <cell r="F6134">
            <v>15225.6</v>
          </cell>
          <cell r="G6134">
            <v>0</v>
          </cell>
          <cell r="H6134">
            <v>0</v>
          </cell>
        </row>
        <row r="6135">
          <cell r="D6135" t="str">
            <v>IT&amp;NS</v>
          </cell>
          <cell r="F6135">
            <v>15225.6</v>
          </cell>
          <cell r="G6135">
            <v>0</v>
          </cell>
          <cell r="H6135">
            <v>0</v>
          </cell>
        </row>
        <row r="6136">
          <cell r="D6136" t="str">
            <v>IT&amp;NS</v>
          </cell>
          <cell r="F6136">
            <v>15225.6</v>
          </cell>
          <cell r="G6136">
            <v>0</v>
          </cell>
          <cell r="H6136">
            <v>0</v>
          </cell>
        </row>
        <row r="6137">
          <cell r="D6137" t="str">
            <v>IT&amp;NS</v>
          </cell>
          <cell r="F6137">
            <v>15225.6</v>
          </cell>
          <cell r="G6137">
            <v>0</v>
          </cell>
          <cell r="H6137">
            <v>0</v>
          </cell>
        </row>
        <row r="6138">
          <cell r="D6138" t="str">
            <v>IT&amp;NS</v>
          </cell>
          <cell r="F6138">
            <v>15225.6</v>
          </cell>
          <cell r="G6138">
            <v>0</v>
          </cell>
          <cell r="H6138">
            <v>0</v>
          </cell>
        </row>
        <row r="6139">
          <cell r="D6139" t="str">
            <v>IT&amp;NS</v>
          </cell>
          <cell r="F6139">
            <v>15225.6</v>
          </cell>
          <cell r="G6139">
            <v>0</v>
          </cell>
          <cell r="H6139">
            <v>0</v>
          </cell>
        </row>
        <row r="6140">
          <cell r="D6140" t="str">
            <v>IT&amp;NS</v>
          </cell>
          <cell r="F6140">
            <v>15225.6</v>
          </cell>
          <cell r="G6140">
            <v>0</v>
          </cell>
          <cell r="H6140">
            <v>0</v>
          </cell>
        </row>
        <row r="6141">
          <cell r="D6141" t="str">
            <v>IT&amp;NS</v>
          </cell>
          <cell r="F6141">
            <v>15225.6</v>
          </cell>
          <cell r="G6141">
            <v>0</v>
          </cell>
          <cell r="H6141">
            <v>0</v>
          </cell>
        </row>
        <row r="6142">
          <cell r="D6142" t="str">
            <v>IT&amp;NS</v>
          </cell>
          <cell r="F6142">
            <v>15225.6</v>
          </cell>
          <cell r="G6142">
            <v>0</v>
          </cell>
          <cell r="H6142">
            <v>0</v>
          </cell>
        </row>
        <row r="6143">
          <cell r="D6143" t="str">
            <v>IT&amp;NS</v>
          </cell>
          <cell r="F6143">
            <v>15225.6</v>
          </cell>
          <cell r="G6143">
            <v>0</v>
          </cell>
          <cell r="H6143">
            <v>0</v>
          </cell>
        </row>
        <row r="6144">
          <cell r="D6144" t="str">
            <v>IT&amp;NS</v>
          </cell>
          <cell r="F6144">
            <v>15225.6</v>
          </cell>
          <cell r="G6144">
            <v>0</v>
          </cell>
          <cell r="H6144">
            <v>0</v>
          </cell>
        </row>
        <row r="6145">
          <cell r="D6145" t="str">
            <v>IT&amp;NS</v>
          </cell>
          <cell r="F6145">
            <v>15225.6</v>
          </cell>
          <cell r="G6145">
            <v>0</v>
          </cell>
          <cell r="H6145">
            <v>0</v>
          </cell>
        </row>
        <row r="6146">
          <cell r="D6146" t="str">
            <v>IT&amp;NS</v>
          </cell>
          <cell r="F6146">
            <v>15225.6</v>
          </cell>
          <cell r="G6146">
            <v>0</v>
          </cell>
          <cell r="H6146">
            <v>0</v>
          </cell>
        </row>
        <row r="6147">
          <cell r="D6147" t="str">
            <v>IT&amp;NS</v>
          </cell>
          <cell r="F6147">
            <v>15225.6</v>
          </cell>
          <cell r="G6147">
            <v>0</v>
          </cell>
          <cell r="H6147">
            <v>0</v>
          </cell>
        </row>
        <row r="6148">
          <cell r="D6148" t="str">
            <v>IT&amp;NS</v>
          </cell>
          <cell r="F6148">
            <v>15225.6</v>
          </cell>
          <cell r="G6148">
            <v>0</v>
          </cell>
          <cell r="H6148">
            <v>0</v>
          </cell>
        </row>
        <row r="6149">
          <cell r="D6149" t="str">
            <v>IT&amp;NS</v>
          </cell>
          <cell r="F6149">
            <v>15225.6</v>
          </cell>
          <cell r="G6149">
            <v>0</v>
          </cell>
          <cell r="H6149">
            <v>0</v>
          </cell>
        </row>
        <row r="6150">
          <cell r="D6150" t="str">
            <v>IT&amp;NS</v>
          </cell>
          <cell r="F6150">
            <v>15225.6</v>
          </cell>
          <cell r="G6150">
            <v>0</v>
          </cell>
          <cell r="H6150">
            <v>0</v>
          </cell>
        </row>
        <row r="6151">
          <cell r="D6151" t="str">
            <v>IT&amp;NS</v>
          </cell>
          <cell r="F6151">
            <v>15225.6</v>
          </cell>
          <cell r="G6151">
            <v>0</v>
          </cell>
          <cell r="H6151">
            <v>0</v>
          </cell>
        </row>
        <row r="6152">
          <cell r="D6152" t="str">
            <v>IT&amp;NS</v>
          </cell>
          <cell r="F6152">
            <v>15225.6</v>
          </cell>
          <cell r="G6152">
            <v>0</v>
          </cell>
          <cell r="H6152">
            <v>0</v>
          </cell>
        </row>
        <row r="6153">
          <cell r="D6153" t="str">
            <v>IT&amp;NS</v>
          </cell>
          <cell r="F6153">
            <v>15225.6</v>
          </cell>
          <cell r="G6153">
            <v>0</v>
          </cell>
          <cell r="H6153">
            <v>0</v>
          </cell>
        </row>
        <row r="6154">
          <cell r="D6154" t="str">
            <v>IT&amp;NS</v>
          </cell>
          <cell r="F6154">
            <v>15225.6</v>
          </cell>
          <cell r="G6154">
            <v>0</v>
          </cell>
          <cell r="H6154">
            <v>0</v>
          </cell>
        </row>
        <row r="6155">
          <cell r="D6155" t="str">
            <v>IT&amp;NS</v>
          </cell>
          <cell r="F6155">
            <v>15225.6</v>
          </cell>
          <cell r="G6155">
            <v>0</v>
          </cell>
          <cell r="H6155">
            <v>0</v>
          </cell>
        </row>
        <row r="6156">
          <cell r="D6156" t="str">
            <v>IT&amp;NS</v>
          </cell>
          <cell r="F6156">
            <v>15225.6</v>
          </cell>
          <cell r="G6156">
            <v>0</v>
          </cell>
          <cell r="H6156">
            <v>0</v>
          </cell>
        </row>
        <row r="6157">
          <cell r="D6157" t="str">
            <v>IT&amp;NS</v>
          </cell>
          <cell r="F6157">
            <v>15225.6</v>
          </cell>
          <cell r="G6157">
            <v>0</v>
          </cell>
          <cell r="H6157">
            <v>0</v>
          </cell>
        </row>
        <row r="6158">
          <cell r="D6158" t="str">
            <v>IT&amp;NS</v>
          </cell>
          <cell r="F6158">
            <v>15225.6</v>
          </cell>
          <cell r="G6158">
            <v>0</v>
          </cell>
          <cell r="H6158">
            <v>0</v>
          </cell>
        </row>
        <row r="6159">
          <cell r="D6159" t="str">
            <v>IT&amp;NS</v>
          </cell>
          <cell r="F6159">
            <v>15225.6</v>
          </cell>
          <cell r="G6159">
            <v>0</v>
          </cell>
          <cell r="H6159">
            <v>0</v>
          </cell>
        </row>
        <row r="6160">
          <cell r="D6160" t="str">
            <v>IT&amp;NS</v>
          </cell>
          <cell r="F6160">
            <v>15225.6</v>
          </cell>
          <cell r="G6160">
            <v>0</v>
          </cell>
          <cell r="H6160">
            <v>0</v>
          </cell>
        </row>
        <row r="6161">
          <cell r="D6161" t="str">
            <v>IT&amp;NS</v>
          </cell>
          <cell r="F6161">
            <v>15225.6</v>
          </cell>
          <cell r="G6161">
            <v>0</v>
          </cell>
          <cell r="H6161">
            <v>0</v>
          </cell>
        </row>
        <row r="6162">
          <cell r="D6162" t="str">
            <v>IT&amp;NS</v>
          </cell>
          <cell r="F6162">
            <v>15225.6</v>
          </cell>
          <cell r="G6162">
            <v>0</v>
          </cell>
          <cell r="H6162">
            <v>0</v>
          </cell>
        </row>
        <row r="6163">
          <cell r="D6163" t="str">
            <v>IT&amp;NS</v>
          </cell>
          <cell r="F6163">
            <v>15225.6</v>
          </cell>
          <cell r="G6163">
            <v>0</v>
          </cell>
          <cell r="H6163">
            <v>0</v>
          </cell>
        </row>
        <row r="6164">
          <cell r="D6164" t="str">
            <v>IT&amp;NS</v>
          </cell>
          <cell r="F6164">
            <v>15225.6</v>
          </cell>
          <cell r="G6164">
            <v>0</v>
          </cell>
          <cell r="H6164">
            <v>0</v>
          </cell>
        </row>
        <row r="6165">
          <cell r="D6165" t="str">
            <v>IT&amp;NS</v>
          </cell>
          <cell r="F6165">
            <v>15225.6</v>
          </cell>
          <cell r="G6165">
            <v>0</v>
          </cell>
          <cell r="H6165">
            <v>0</v>
          </cell>
        </row>
        <row r="6166">
          <cell r="D6166" t="str">
            <v>IT&amp;NS</v>
          </cell>
          <cell r="F6166">
            <v>15225.6</v>
          </cell>
          <cell r="G6166">
            <v>0</v>
          </cell>
          <cell r="H6166">
            <v>0</v>
          </cell>
        </row>
        <row r="6167">
          <cell r="D6167" t="str">
            <v>IT&amp;NS</v>
          </cell>
          <cell r="F6167">
            <v>15225.6</v>
          </cell>
          <cell r="G6167">
            <v>0</v>
          </cell>
          <cell r="H6167">
            <v>0</v>
          </cell>
        </row>
        <row r="6168">
          <cell r="D6168" t="str">
            <v>IT&amp;NS</v>
          </cell>
          <cell r="F6168">
            <v>15225.6</v>
          </cell>
          <cell r="G6168">
            <v>0</v>
          </cell>
          <cell r="H6168">
            <v>0</v>
          </cell>
        </row>
        <row r="6169">
          <cell r="D6169" t="str">
            <v>IT&amp;NS</v>
          </cell>
          <cell r="F6169">
            <v>15225.6</v>
          </cell>
          <cell r="G6169">
            <v>0</v>
          </cell>
          <cell r="H6169">
            <v>0</v>
          </cell>
        </row>
        <row r="6170">
          <cell r="D6170" t="str">
            <v>IT&amp;NS</v>
          </cell>
          <cell r="F6170">
            <v>15225.6</v>
          </cell>
          <cell r="G6170">
            <v>0</v>
          </cell>
          <cell r="H6170">
            <v>0</v>
          </cell>
        </row>
        <row r="6171">
          <cell r="D6171" t="str">
            <v>IT&amp;NS</v>
          </cell>
          <cell r="F6171">
            <v>15225.6</v>
          </cell>
          <cell r="G6171">
            <v>0</v>
          </cell>
          <cell r="H6171">
            <v>0</v>
          </cell>
        </row>
        <row r="6172">
          <cell r="D6172" t="str">
            <v>IT&amp;NS</v>
          </cell>
          <cell r="F6172">
            <v>15225.6</v>
          </cell>
          <cell r="G6172">
            <v>0</v>
          </cell>
          <cell r="H6172">
            <v>0</v>
          </cell>
        </row>
        <row r="6173">
          <cell r="D6173" t="str">
            <v>IT&amp;NS</v>
          </cell>
          <cell r="F6173">
            <v>15225.6</v>
          </cell>
          <cell r="G6173">
            <v>0</v>
          </cell>
          <cell r="H6173">
            <v>0</v>
          </cell>
        </row>
        <row r="6174">
          <cell r="D6174" t="str">
            <v>IT&amp;NS</v>
          </cell>
          <cell r="F6174">
            <v>15225.6</v>
          </cell>
          <cell r="G6174">
            <v>0</v>
          </cell>
          <cell r="H6174">
            <v>0</v>
          </cell>
        </row>
        <row r="6175">
          <cell r="D6175" t="str">
            <v>IT&amp;NS</v>
          </cell>
          <cell r="F6175">
            <v>15225.6</v>
          </cell>
          <cell r="G6175">
            <v>0</v>
          </cell>
          <cell r="H6175">
            <v>0</v>
          </cell>
        </row>
        <row r="6176">
          <cell r="D6176" t="str">
            <v>IT&amp;NS</v>
          </cell>
          <cell r="F6176">
            <v>15225.6</v>
          </cell>
          <cell r="G6176">
            <v>0</v>
          </cell>
          <cell r="H6176">
            <v>0</v>
          </cell>
        </row>
        <row r="6177">
          <cell r="D6177" t="str">
            <v>IT&amp;NS</v>
          </cell>
          <cell r="F6177">
            <v>15225.6</v>
          </cell>
          <cell r="G6177">
            <v>0</v>
          </cell>
          <cell r="H6177">
            <v>0</v>
          </cell>
        </row>
        <row r="6178">
          <cell r="D6178" t="str">
            <v>IT&amp;NS</v>
          </cell>
          <cell r="F6178">
            <v>15225.6</v>
          </cell>
          <cell r="G6178">
            <v>0</v>
          </cell>
          <cell r="H6178">
            <v>0</v>
          </cell>
        </row>
        <row r="6179">
          <cell r="D6179" t="str">
            <v>IT&amp;NS</v>
          </cell>
          <cell r="F6179">
            <v>15225.6</v>
          </cell>
          <cell r="G6179">
            <v>0</v>
          </cell>
          <cell r="H6179">
            <v>0</v>
          </cell>
        </row>
        <row r="6180">
          <cell r="D6180" t="str">
            <v>IT&amp;NS</v>
          </cell>
          <cell r="F6180">
            <v>15225.6</v>
          </cell>
          <cell r="G6180">
            <v>0</v>
          </cell>
          <cell r="H6180">
            <v>0</v>
          </cell>
        </row>
        <row r="6181">
          <cell r="D6181" t="str">
            <v>IT&amp;NS</v>
          </cell>
          <cell r="F6181">
            <v>15225.6</v>
          </cell>
          <cell r="G6181">
            <v>0</v>
          </cell>
          <cell r="H6181">
            <v>0</v>
          </cell>
        </row>
        <row r="6182">
          <cell r="D6182" t="str">
            <v>IT&amp;NS</v>
          </cell>
          <cell r="F6182">
            <v>15225.6</v>
          </cell>
          <cell r="G6182">
            <v>0</v>
          </cell>
          <cell r="H6182">
            <v>0</v>
          </cell>
        </row>
        <row r="6183">
          <cell r="D6183" t="str">
            <v>IT&amp;NS</v>
          </cell>
          <cell r="F6183">
            <v>15225.6</v>
          </cell>
          <cell r="G6183">
            <v>0</v>
          </cell>
          <cell r="H6183">
            <v>0</v>
          </cell>
        </row>
        <row r="6184">
          <cell r="D6184" t="str">
            <v>IT&amp;NS</v>
          </cell>
          <cell r="F6184">
            <v>15225.6</v>
          </cell>
          <cell r="G6184">
            <v>0</v>
          </cell>
          <cell r="H6184">
            <v>0</v>
          </cell>
        </row>
        <row r="6185">
          <cell r="D6185" t="str">
            <v>IT&amp;NS</v>
          </cell>
          <cell r="F6185">
            <v>15225.6</v>
          </cell>
          <cell r="G6185">
            <v>0</v>
          </cell>
          <cell r="H6185">
            <v>0</v>
          </cell>
        </row>
        <row r="6186">
          <cell r="D6186" t="str">
            <v>IT&amp;NS</v>
          </cell>
          <cell r="F6186">
            <v>15225.6</v>
          </cell>
          <cell r="G6186">
            <v>0</v>
          </cell>
          <cell r="H6186">
            <v>0</v>
          </cell>
        </row>
        <row r="6187">
          <cell r="D6187" t="str">
            <v>IT&amp;NS</v>
          </cell>
          <cell r="F6187">
            <v>15225.6</v>
          </cell>
          <cell r="G6187">
            <v>0</v>
          </cell>
          <cell r="H6187">
            <v>0</v>
          </cell>
        </row>
        <row r="6188">
          <cell r="D6188" t="str">
            <v>IT&amp;NS</v>
          </cell>
          <cell r="F6188">
            <v>15225.6</v>
          </cell>
          <cell r="G6188">
            <v>0</v>
          </cell>
          <cell r="H6188">
            <v>0</v>
          </cell>
        </row>
        <row r="6189">
          <cell r="D6189" t="str">
            <v>IT&amp;NS</v>
          </cell>
          <cell r="F6189">
            <v>15225.6</v>
          </cell>
          <cell r="G6189">
            <v>0</v>
          </cell>
          <cell r="H6189">
            <v>0</v>
          </cell>
        </row>
        <row r="6190">
          <cell r="D6190" t="str">
            <v>IT&amp;NS</v>
          </cell>
          <cell r="F6190">
            <v>15225.6</v>
          </cell>
          <cell r="G6190">
            <v>0</v>
          </cell>
          <cell r="H6190">
            <v>0</v>
          </cell>
        </row>
        <row r="6191">
          <cell r="D6191" t="str">
            <v>IT&amp;NS</v>
          </cell>
          <cell r="F6191">
            <v>15225.6</v>
          </cell>
          <cell r="G6191">
            <v>0</v>
          </cell>
          <cell r="H6191">
            <v>0</v>
          </cell>
        </row>
        <row r="6192">
          <cell r="D6192" t="str">
            <v>IT&amp;NS</v>
          </cell>
          <cell r="F6192">
            <v>15225.6</v>
          </cell>
          <cell r="G6192">
            <v>0</v>
          </cell>
          <cell r="H6192">
            <v>0</v>
          </cell>
        </row>
        <row r="6193">
          <cell r="D6193" t="str">
            <v>IT&amp;NS</v>
          </cell>
          <cell r="F6193">
            <v>15225.6</v>
          </cell>
          <cell r="G6193">
            <v>0</v>
          </cell>
          <cell r="H6193">
            <v>0</v>
          </cell>
        </row>
        <row r="6194">
          <cell r="D6194" t="str">
            <v>IT&amp;NS</v>
          </cell>
          <cell r="F6194">
            <v>15225.6</v>
          </cell>
          <cell r="G6194">
            <v>0</v>
          </cell>
          <cell r="H6194">
            <v>0</v>
          </cell>
        </row>
        <row r="6195">
          <cell r="D6195" t="str">
            <v>IT&amp;NS</v>
          </cell>
          <cell r="F6195">
            <v>15225.6</v>
          </cell>
          <cell r="G6195">
            <v>0</v>
          </cell>
          <cell r="H6195">
            <v>0</v>
          </cell>
        </row>
        <row r="6196">
          <cell r="D6196" t="str">
            <v>IT&amp;NS</v>
          </cell>
          <cell r="F6196">
            <v>15225.6</v>
          </cell>
          <cell r="G6196">
            <v>0</v>
          </cell>
          <cell r="H6196">
            <v>0</v>
          </cell>
        </row>
        <row r="6197">
          <cell r="D6197" t="str">
            <v>IT&amp;NS</v>
          </cell>
          <cell r="F6197">
            <v>15225.6</v>
          </cell>
          <cell r="G6197">
            <v>0</v>
          </cell>
          <cell r="H6197">
            <v>0</v>
          </cell>
        </row>
        <row r="6198">
          <cell r="D6198" t="str">
            <v>IT&amp;NS</v>
          </cell>
          <cell r="F6198">
            <v>15225.6</v>
          </cell>
          <cell r="G6198">
            <v>0</v>
          </cell>
          <cell r="H6198">
            <v>0</v>
          </cell>
        </row>
        <row r="6199">
          <cell r="D6199" t="str">
            <v>IT&amp;NS</v>
          </cell>
          <cell r="F6199">
            <v>15225.6</v>
          </cell>
          <cell r="G6199">
            <v>0</v>
          </cell>
          <cell r="H6199">
            <v>0</v>
          </cell>
        </row>
        <row r="6200">
          <cell r="D6200" t="str">
            <v>IT&amp;NS</v>
          </cell>
          <cell r="F6200">
            <v>15225.6</v>
          </cell>
          <cell r="G6200">
            <v>0</v>
          </cell>
          <cell r="H6200">
            <v>0</v>
          </cell>
        </row>
        <row r="6201">
          <cell r="D6201" t="str">
            <v>IT&amp;NS</v>
          </cell>
          <cell r="F6201">
            <v>15225.6</v>
          </cell>
          <cell r="G6201">
            <v>0</v>
          </cell>
          <cell r="H6201">
            <v>0</v>
          </cell>
        </row>
        <row r="6202">
          <cell r="D6202" t="str">
            <v>IT&amp;NS</v>
          </cell>
          <cell r="F6202">
            <v>15225.6</v>
          </cell>
          <cell r="G6202">
            <v>0</v>
          </cell>
          <cell r="H6202">
            <v>0</v>
          </cell>
        </row>
        <row r="6203">
          <cell r="D6203" t="str">
            <v>IT&amp;NS</v>
          </cell>
          <cell r="F6203">
            <v>15225.6</v>
          </cell>
          <cell r="G6203">
            <v>0</v>
          </cell>
          <cell r="H6203">
            <v>0</v>
          </cell>
        </row>
        <row r="6204">
          <cell r="D6204" t="str">
            <v>IT&amp;NS</v>
          </cell>
          <cell r="F6204">
            <v>15225.6</v>
          </cell>
          <cell r="G6204">
            <v>0</v>
          </cell>
          <cell r="H6204">
            <v>0</v>
          </cell>
        </row>
        <row r="6205">
          <cell r="D6205" t="str">
            <v>IT&amp;NS</v>
          </cell>
          <cell r="F6205">
            <v>15225.6</v>
          </cell>
          <cell r="G6205">
            <v>0</v>
          </cell>
          <cell r="H6205">
            <v>0</v>
          </cell>
        </row>
        <row r="6206">
          <cell r="D6206" t="str">
            <v>IT&amp;NS</v>
          </cell>
          <cell r="F6206">
            <v>15225.6</v>
          </cell>
          <cell r="G6206">
            <v>0</v>
          </cell>
          <cell r="H6206">
            <v>0</v>
          </cell>
        </row>
        <row r="6207">
          <cell r="D6207" t="str">
            <v>IT&amp;NS</v>
          </cell>
          <cell r="F6207">
            <v>15225.6</v>
          </cell>
          <cell r="G6207">
            <v>0</v>
          </cell>
          <cell r="H6207">
            <v>0</v>
          </cell>
        </row>
        <row r="6208">
          <cell r="D6208" t="str">
            <v>IT&amp;NS</v>
          </cell>
          <cell r="F6208">
            <v>15225.6</v>
          </cell>
          <cell r="G6208">
            <v>0</v>
          </cell>
          <cell r="H6208">
            <v>0</v>
          </cell>
        </row>
        <row r="6209">
          <cell r="D6209" t="str">
            <v>IT&amp;NS</v>
          </cell>
          <cell r="F6209">
            <v>15225.6</v>
          </cell>
          <cell r="G6209">
            <v>0</v>
          </cell>
          <cell r="H6209">
            <v>0</v>
          </cell>
        </row>
        <row r="6210">
          <cell r="D6210" t="str">
            <v>IT&amp;NS</v>
          </cell>
          <cell r="F6210">
            <v>15225.6</v>
          </cell>
          <cell r="G6210">
            <v>0</v>
          </cell>
          <cell r="H6210">
            <v>0</v>
          </cell>
        </row>
        <row r="6211">
          <cell r="D6211" t="str">
            <v>IT&amp;NS</v>
          </cell>
          <cell r="F6211">
            <v>15225.6</v>
          </cell>
          <cell r="G6211">
            <v>0</v>
          </cell>
          <cell r="H6211">
            <v>0</v>
          </cell>
        </row>
        <row r="6212">
          <cell r="D6212" t="str">
            <v>IT&amp;NS</v>
          </cell>
          <cell r="F6212">
            <v>15225.6</v>
          </cell>
          <cell r="G6212">
            <v>0</v>
          </cell>
          <cell r="H6212">
            <v>0</v>
          </cell>
        </row>
        <row r="6213">
          <cell r="D6213" t="str">
            <v>IT&amp;NS</v>
          </cell>
          <cell r="F6213">
            <v>15225.6</v>
          </cell>
          <cell r="G6213">
            <v>0</v>
          </cell>
          <cell r="H6213">
            <v>0</v>
          </cell>
        </row>
        <row r="6214">
          <cell r="D6214" t="str">
            <v>IT&amp;NS</v>
          </cell>
          <cell r="F6214">
            <v>15225.6</v>
          </cell>
          <cell r="G6214">
            <v>0</v>
          </cell>
          <cell r="H6214">
            <v>0</v>
          </cell>
        </row>
        <row r="6215">
          <cell r="D6215" t="str">
            <v>IT&amp;NS</v>
          </cell>
          <cell r="F6215">
            <v>15225.6</v>
          </cell>
          <cell r="G6215">
            <v>0</v>
          </cell>
          <cell r="H6215">
            <v>0</v>
          </cell>
        </row>
        <row r="6216">
          <cell r="D6216" t="str">
            <v>IT&amp;NS</v>
          </cell>
          <cell r="F6216">
            <v>15225.6</v>
          </cell>
          <cell r="G6216">
            <v>0</v>
          </cell>
          <cell r="H6216">
            <v>0</v>
          </cell>
        </row>
        <row r="6217">
          <cell r="D6217" t="str">
            <v>IT&amp;NS</v>
          </cell>
          <cell r="F6217">
            <v>15225.6</v>
          </cell>
          <cell r="G6217">
            <v>0</v>
          </cell>
          <cell r="H6217">
            <v>0</v>
          </cell>
        </row>
        <row r="6218">
          <cell r="D6218" t="str">
            <v>IT&amp;NS</v>
          </cell>
          <cell r="F6218">
            <v>15225.6</v>
          </cell>
          <cell r="G6218">
            <v>0</v>
          </cell>
          <cell r="H6218">
            <v>0</v>
          </cell>
        </row>
        <row r="6219">
          <cell r="D6219" t="str">
            <v>IT&amp;NS</v>
          </cell>
          <cell r="F6219">
            <v>15225.6</v>
          </cell>
          <cell r="G6219">
            <v>0</v>
          </cell>
          <cell r="H6219">
            <v>0</v>
          </cell>
        </row>
        <row r="6220">
          <cell r="D6220" t="str">
            <v>IT&amp;NS</v>
          </cell>
          <cell r="F6220">
            <v>6983.333333333333</v>
          </cell>
          <cell r="G6220">
            <v>13966.666666666668</v>
          </cell>
          <cell r="H6220">
            <v>5254.2179662562703</v>
          </cell>
        </row>
        <row r="6221">
          <cell r="D6221" t="str">
            <v>IT&amp;NS</v>
          </cell>
          <cell r="F6221">
            <v>6983.333333333333</v>
          </cell>
          <cell r="G6221">
            <v>13966.666666666668</v>
          </cell>
          <cell r="H6221">
            <v>5254.2179662562703</v>
          </cell>
        </row>
        <row r="6222">
          <cell r="D6222" t="str">
            <v>IT&amp;NS</v>
          </cell>
          <cell r="F6222">
            <v>6983.333333333333</v>
          </cell>
          <cell r="G6222">
            <v>13966.666666666668</v>
          </cell>
          <cell r="H6222">
            <v>5254.2179662562703</v>
          </cell>
        </row>
        <row r="6223">
          <cell r="D6223" t="str">
            <v>IT&amp;NS</v>
          </cell>
          <cell r="F6223">
            <v>6983.333333333333</v>
          </cell>
          <cell r="G6223">
            <v>13966.666666666668</v>
          </cell>
          <cell r="H6223">
            <v>5254.2179662562703</v>
          </cell>
        </row>
        <row r="6224">
          <cell r="D6224" t="str">
            <v>IT&amp;NS</v>
          </cell>
          <cell r="F6224">
            <v>6983.333333333333</v>
          </cell>
          <cell r="G6224">
            <v>13966.666666666668</v>
          </cell>
          <cell r="H6224">
            <v>5254.2179662562703</v>
          </cell>
        </row>
        <row r="6225">
          <cell r="D6225" t="str">
            <v>IT&amp;NS</v>
          </cell>
          <cell r="F6225">
            <v>6983.333333333333</v>
          </cell>
          <cell r="G6225">
            <v>13966.666666666668</v>
          </cell>
          <cell r="H6225">
            <v>5254.2179662562703</v>
          </cell>
        </row>
        <row r="6226">
          <cell r="D6226" t="str">
            <v>IT&amp;NS</v>
          </cell>
          <cell r="F6226">
            <v>6983.333333333333</v>
          </cell>
          <cell r="G6226">
            <v>13966.666666666668</v>
          </cell>
          <cell r="H6226">
            <v>5254.2179662562703</v>
          </cell>
        </row>
        <row r="6227">
          <cell r="D6227" t="str">
            <v>IT&amp;NS</v>
          </cell>
          <cell r="F6227">
            <v>6983.333333333333</v>
          </cell>
          <cell r="G6227">
            <v>13966.666666666668</v>
          </cell>
          <cell r="H6227">
            <v>5254.2179662562703</v>
          </cell>
        </row>
        <row r="6228">
          <cell r="D6228" t="str">
            <v>IT&amp;NS</v>
          </cell>
          <cell r="F6228">
            <v>6983.333333333333</v>
          </cell>
          <cell r="G6228">
            <v>13966.666666666668</v>
          </cell>
          <cell r="H6228">
            <v>5254.2179662562703</v>
          </cell>
        </row>
        <row r="6229">
          <cell r="D6229" t="str">
            <v>IT&amp;NS</v>
          </cell>
          <cell r="F6229">
            <v>6983.333333333333</v>
          </cell>
          <cell r="G6229">
            <v>13966.666666666668</v>
          </cell>
          <cell r="H6229">
            <v>5254.2179662562703</v>
          </cell>
        </row>
        <row r="6230">
          <cell r="D6230" t="str">
            <v>IT&amp;NS</v>
          </cell>
          <cell r="F6230">
            <v>6983.333333333333</v>
          </cell>
          <cell r="G6230">
            <v>13966.666666666668</v>
          </cell>
          <cell r="H6230">
            <v>5254.2179662562703</v>
          </cell>
        </row>
        <row r="6231">
          <cell r="D6231" t="str">
            <v>IT&amp;NS</v>
          </cell>
          <cell r="F6231">
            <v>6983.333333333333</v>
          </cell>
          <cell r="G6231">
            <v>13966.666666666668</v>
          </cell>
          <cell r="H6231">
            <v>5254.2179662562703</v>
          </cell>
        </row>
        <row r="6232">
          <cell r="D6232" t="str">
            <v>IT&amp;NS</v>
          </cell>
          <cell r="F6232">
            <v>6983.333333333333</v>
          </cell>
          <cell r="G6232">
            <v>13966.666666666668</v>
          </cell>
          <cell r="H6232">
            <v>5254.2179662562703</v>
          </cell>
        </row>
        <row r="6233">
          <cell r="D6233" t="str">
            <v>IT&amp;NS</v>
          </cell>
          <cell r="F6233">
            <v>6983.333333333333</v>
          </cell>
          <cell r="G6233">
            <v>13966.666666666668</v>
          </cell>
          <cell r="H6233">
            <v>5254.2179662562703</v>
          </cell>
        </row>
        <row r="6234">
          <cell r="D6234" t="str">
            <v>IT&amp;NS</v>
          </cell>
          <cell r="F6234">
            <v>119599.99</v>
          </cell>
          <cell r="G6234">
            <v>9.9999999947613105E-3</v>
          </cell>
          <cell r="H6234">
            <v>3.761969902269987E-3</v>
          </cell>
        </row>
        <row r="6235">
          <cell r="D6235" t="str">
            <v>IT&amp;NS</v>
          </cell>
          <cell r="F6235">
            <v>17451.25</v>
          </cell>
          <cell r="G6235">
            <v>0</v>
          </cell>
          <cell r="H6235">
            <v>0</v>
          </cell>
        </row>
        <row r="6236">
          <cell r="D6236" t="str">
            <v>IT&amp;NS</v>
          </cell>
          <cell r="F6236">
            <v>17451.25</v>
          </cell>
          <cell r="G6236">
            <v>0</v>
          </cell>
          <cell r="H6236">
            <v>0</v>
          </cell>
        </row>
        <row r="6237">
          <cell r="D6237" t="str">
            <v>IT&amp;NS</v>
          </cell>
          <cell r="F6237">
            <v>17451.25</v>
          </cell>
          <cell r="G6237">
            <v>0</v>
          </cell>
          <cell r="H6237">
            <v>0</v>
          </cell>
        </row>
        <row r="6238">
          <cell r="D6238" t="str">
            <v>IT&amp;NS</v>
          </cell>
          <cell r="F6238">
            <v>17451.25</v>
          </cell>
          <cell r="G6238">
            <v>0</v>
          </cell>
          <cell r="H6238">
            <v>0</v>
          </cell>
        </row>
        <row r="6239">
          <cell r="D6239" t="str">
            <v>IT&amp;NS</v>
          </cell>
          <cell r="F6239">
            <v>37666.666666666664</v>
          </cell>
          <cell r="G6239">
            <v>75333.333333333343</v>
          </cell>
          <cell r="H6239">
            <v>28340.173278613773</v>
          </cell>
        </row>
        <row r="6240">
          <cell r="D6240" t="str">
            <v>IT&amp;NS</v>
          </cell>
          <cell r="F6240">
            <v>37666.666666666664</v>
          </cell>
          <cell r="G6240">
            <v>75333.333333333343</v>
          </cell>
          <cell r="H6240">
            <v>28340.173278613773</v>
          </cell>
        </row>
        <row r="6241">
          <cell r="D6241" t="str">
            <v>IT&amp;NS</v>
          </cell>
          <cell r="F6241">
            <v>37666.666666666664</v>
          </cell>
          <cell r="G6241">
            <v>75333.333333333343</v>
          </cell>
          <cell r="H6241">
            <v>28340.173278613773</v>
          </cell>
        </row>
        <row r="6242">
          <cell r="D6242" t="str">
            <v>IT&amp;NS</v>
          </cell>
          <cell r="F6242">
            <v>37666.666666666664</v>
          </cell>
          <cell r="G6242">
            <v>75333.333333333343</v>
          </cell>
          <cell r="H6242">
            <v>28340.173278613773</v>
          </cell>
        </row>
        <row r="6243">
          <cell r="D6243" t="str">
            <v>IT&amp;NS</v>
          </cell>
          <cell r="F6243">
            <v>37666.666666666664</v>
          </cell>
          <cell r="G6243">
            <v>75333.333333333343</v>
          </cell>
          <cell r="H6243">
            <v>28340.173278613773</v>
          </cell>
        </row>
        <row r="6244">
          <cell r="D6244" t="str">
            <v>IT&amp;NS</v>
          </cell>
          <cell r="F6244">
            <v>37666.666666666664</v>
          </cell>
          <cell r="G6244">
            <v>75333.333333333343</v>
          </cell>
          <cell r="H6244">
            <v>28340.173278613773</v>
          </cell>
        </row>
        <row r="6245">
          <cell r="D6245" t="str">
            <v>IT&amp;NS</v>
          </cell>
          <cell r="F6245">
            <v>5736.68</v>
          </cell>
          <cell r="G6245">
            <v>11473.36</v>
          </cell>
          <cell r="H6245">
            <v>4316.2435020519833</v>
          </cell>
        </row>
        <row r="6246">
          <cell r="D6246" t="str">
            <v>IT&amp;NS</v>
          </cell>
          <cell r="F6246">
            <v>5736.68</v>
          </cell>
          <cell r="G6246">
            <v>11473.36</v>
          </cell>
          <cell r="H6246">
            <v>4316.2435020519833</v>
          </cell>
        </row>
        <row r="6247">
          <cell r="D6247" t="str">
            <v>IT&amp;NS</v>
          </cell>
          <cell r="F6247">
            <v>6099.6399999999994</v>
          </cell>
          <cell r="G6247">
            <v>12199.279999999999</v>
          </cell>
          <cell r="H6247">
            <v>4589.3324213406286</v>
          </cell>
        </row>
        <row r="6248">
          <cell r="D6248" t="str">
            <v>IT&amp;NS</v>
          </cell>
          <cell r="F6248">
            <v>1895.4</v>
          </cell>
          <cell r="G6248">
            <v>0</v>
          </cell>
          <cell r="H6248">
            <v>0</v>
          </cell>
        </row>
        <row r="6249">
          <cell r="D6249" t="str">
            <v>IT&amp;NS</v>
          </cell>
          <cell r="F6249">
            <v>1895.4</v>
          </cell>
          <cell r="G6249">
            <v>0</v>
          </cell>
          <cell r="H6249">
            <v>0</v>
          </cell>
        </row>
        <row r="6250">
          <cell r="D6250" t="str">
            <v>IT&amp;NS</v>
          </cell>
          <cell r="F6250">
            <v>1895.4</v>
          </cell>
          <cell r="G6250">
            <v>0</v>
          </cell>
          <cell r="H6250">
            <v>0</v>
          </cell>
        </row>
        <row r="6251">
          <cell r="D6251" t="str">
            <v>IT&amp;NS</v>
          </cell>
          <cell r="F6251">
            <v>1895.4</v>
          </cell>
          <cell r="G6251">
            <v>0</v>
          </cell>
          <cell r="H6251">
            <v>0</v>
          </cell>
        </row>
        <row r="6252">
          <cell r="D6252" t="str">
            <v>IT&amp;NS</v>
          </cell>
          <cell r="F6252">
            <v>1895.4</v>
          </cell>
          <cell r="G6252">
            <v>0</v>
          </cell>
          <cell r="H6252">
            <v>0</v>
          </cell>
        </row>
        <row r="6253">
          <cell r="D6253" t="str">
            <v>IT&amp;NS</v>
          </cell>
          <cell r="F6253">
            <v>1895.4</v>
          </cell>
          <cell r="G6253">
            <v>0</v>
          </cell>
          <cell r="H6253">
            <v>0</v>
          </cell>
        </row>
        <row r="6254">
          <cell r="D6254" t="str">
            <v>IT&amp;NS</v>
          </cell>
          <cell r="F6254">
            <v>1895.4</v>
          </cell>
          <cell r="G6254">
            <v>0</v>
          </cell>
          <cell r="H6254">
            <v>0</v>
          </cell>
        </row>
        <row r="6255">
          <cell r="D6255" t="str">
            <v>IT&amp;NS</v>
          </cell>
          <cell r="F6255">
            <v>1895.4</v>
          </cell>
          <cell r="G6255">
            <v>0</v>
          </cell>
          <cell r="H6255">
            <v>0</v>
          </cell>
        </row>
        <row r="6256">
          <cell r="D6256" t="str">
            <v>IT&amp;NS</v>
          </cell>
          <cell r="F6256">
            <v>1895.4</v>
          </cell>
          <cell r="G6256">
            <v>0</v>
          </cell>
          <cell r="H6256">
            <v>0</v>
          </cell>
        </row>
        <row r="6257">
          <cell r="D6257" t="str">
            <v>IT&amp;NS</v>
          </cell>
          <cell r="F6257">
            <v>1895.4</v>
          </cell>
          <cell r="G6257">
            <v>0</v>
          </cell>
          <cell r="H6257">
            <v>0</v>
          </cell>
        </row>
        <row r="6258">
          <cell r="D6258" t="str">
            <v>IT&amp;NS</v>
          </cell>
          <cell r="F6258">
            <v>3229.2</v>
          </cell>
          <cell r="G6258">
            <v>0</v>
          </cell>
          <cell r="H6258">
            <v>0</v>
          </cell>
        </row>
        <row r="6259">
          <cell r="D6259" t="str">
            <v>IT&amp;NS</v>
          </cell>
          <cell r="F6259">
            <v>3229.2</v>
          </cell>
          <cell r="G6259">
            <v>0</v>
          </cell>
          <cell r="H6259">
            <v>0</v>
          </cell>
        </row>
        <row r="6260">
          <cell r="D6260" t="str">
            <v>IT&amp;NS</v>
          </cell>
          <cell r="F6260">
            <v>3229.2</v>
          </cell>
          <cell r="G6260">
            <v>0</v>
          </cell>
          <cell r="H6260">
            <v>0</v>
          </cell>
        </row>
        <row r="6261">
          <cell r="D6261" t="str">
            <v>IT&amp;NS</v>
          </cell>
          <cell r="F6261">
            <v>3229.2</v>
          </cell>
          <cell r="G6261">
            <v>0</v>
          </cell>
          <cell r="H6261">
            <v>0</v>
          </cell>
        </row>
        <row r="6262">
          <cell r="D6262" t="str">
            <v>IT&amp;NS</v>
          </cell>
          <cell r="F6262">
            <v>3229.2</v>
          </cell>
          <cell r="G6262">
            <v>0</v>
          </cell>
          <cell r="H6262">
            <v>0</v>
          </cell>
        </row>
        <row r="6263">
          <cell r="D6263" t="str">
            <v>IT&amp;NS</v>
          </cell>
          <cell r="F6263">
            <v>6806.8</v>
          </cell>
          <cell r="G6263">
            <v>0</v>
          </cell>
          <cell r="H6263">
            <v>0</v>
          </cell>
        </row>
        <row r="6264">
          <cell r="D6264" t="str">
            <v>IT&amp;NS</v>
          </cell>
          <cell r="F6264">
            <v>6806.8</v>
          </cell>
          <cell r="G6264">
            <v>0</v>
          </cell>
          <cell r="H6264">
            <v>0</v>
          </cell>
        </row>
        <row r="6265">
          <cell r="D6265" t="str">
            <v>IT&amp;NS</v>
          </cell>
          <cell r="F6265">
            <v>6806.8</v>
          </cell>
          <cell r="G6265">
            <v>0</v>
          </cell>
          <cell r="H6265">
            <v>0</v>
          </cell>
        </row>
        <row r="6266">
          <cell r="D6266" t="str">
            <v>IT&amp;NS</v>
          </cell>
          <cell r="F6266">
            <v>6806.8</v>
          </cell>
          <cell r="G6266">
            <v>0</v>
          </cell>
          <cell r="H6266">
            <v>0</v>
          </cell>
        </row>
        <row r="6267">
          <cell r="D6267" t="str">
            <v>IT&amp;NS</v>
          </cell>
          <cell r="F6267">
            <v>6806.8</v>
          </cell>
          <cell r="G6267">
            <v>0</v>
          </cell>
          <cell r="H6267">
            <v>0</v>
          </cell>
        </row>
        <row r="6268">
          <cell r="D6268" t="str">
            <v>IT&amp;NS</v>
          </cell>
          <cell r="F6268">
            <v>6806.8</v>
          </cell>
          <cell r="G6268">
            <v>0</v>
          </cell>
          <cell r="H6268">
            <v>0</v>
          </cell>
        </row>
        <row r="6269">
          <cell r="D6269" t="str">
            <v>IT&amp;NS</v>
          </cell>
          <cell r="F6269">
            <v>6806.8</v>
          </cell>
          <cell r="G6269">
            <v>0</v>
          </cell>
          <cell r="H6269">
            <v>0</v>
          </cell>
        </row>
        <row r="6270">
          <cell r="D6270" t="str">
            <v>IT&amp;NS</v>
          </cell>
          <cell r="F6270">
            <v>6806.8</v>
          </cell>
          <cell r="G6270">
            <v>0</v>
          </cell>
          <cell r="H6270">
            <v>0</v>
          </cell>
        </row>
        <row r="6271">
          <cell r="D6271" t="str">
            <v>IT&amp;NS</v>
          </cell>
          <cell r="F6271">
            <v>6806.8</v>
          </cell>
          <cell r="G6271">
            <v>0</v>
          </cell>
          <cell r="H6271">
            <v>0</v>
          </cell>
        </row>
        <row r="6272">
          <cell r="D6272" t="str">
            <v>IT&amp;NS</v>
          </cell>
          <cell r="F6272">
            <v>6806.8</v>
          </cell>
          <cell r="G6272">
            <v>0</v>
          </cell>
          <cell r="H6272">
            <v>0</v>
          </cell>
        </row>
        <row r="6273">
          <cell r="D6273" t="str">
            <v>IT&amp;NS</v>
          </cell>
          <cell r="F6273">
            <v>6806.8</v>
          </cell>
          <cell r="G6273">
            <v>0</v>
          </cell>
          <cell r="H6273">
            <v>0</v>
          </cell>
        </row>
        <row r="6274">
          <cell r="D6274" t="str">
            <v>IT&amp;NS</v>
          </cell>
          <cell r="F6274">
            <v>6806.8</v>
          </cell>
          <cell r="G6274">
            <v>0</v>
          </cell>
          <cell r="H6274">
            <v>0</v>
          </cell>
        </row>
        <row r="6275">
          <cell r="D6275" t="str">
            <v>IT&amp;NS</v>
          </cell>
          <cell r="F6275">
            <v>6806.8</v>
          </cell>
          <cell r="G6275">
            <v>0</v>
          </cell>
          <cell r="H6275">
            <v>0</v>
          </cell>
        </row>
        <row r="6276">
          <cell r="D6276" t="str">
            <v>IT&amp;NS</v>
          </cell>
          <cell r="F6276">
            <v>6806.8</v>
          </cell>
          <cell r="G6276">
            <v>0</v>
          </cell>
          <cell r="H6276">
            <v>0</v>
          </cell>
        </row>
        <row r="6277">
          <cell r="D6277" t="str">
            <v>IT&amp;NS</v>
          </cell>
          <cell r="F6277">
            <v>6806.8</v>
          </cell>
          <cell r="G6277">
            <v>0</v>
          </cell>
          <cell r="H6277">
            <v>0</v>
          </cell>
        </row>
        <row r="6278">
          <cell r="D6278" t="str">
            <v>IT&amp;NS</v>
          </cell>
          <cell r="F6278">
            <v>6806.8</v>
          </cell>
          <cell r="G6278">
            <v>0</v>
          </cell>
          <cell r="H6278">
            <v>0</v>
          </cell>
        </row>
        <row r="6279">
          <cell r="D6279" t="str">
            <v>IT&amp;NS</v>
          </cell>
          <cell r="F6279">
            <v>6806.8</v>
          </cell>
          <cell r="G6279">
            <v>0</v>
          </cell>
          <cell r="H6279">
            <v>0</v>
          </cell>
        </row>
        <row r="6280">
          <cell r="D6280" t="str">
            <v>IT&amp;NS</v>
          </cell>
          <cell r="F6280">
            <v>6806.8</v>
          </cell>
          <cell r="G6280">
            <v>0</v>
          </cell>
          <cell r="H6280">
            <v>0</v>
          </cell>
        </row>
        <row r="6281">
          <cell r="D6281" t="str">
            <v>IT&amp;NS</v>
          </cell>
          <cell r="F6281">
            <v>6806.8</v>
          </cell>
          <cell r="G6281">
            <v>0</v>
          </cell>
          <cell r="H6281">
            <v>0</v>
          </cell>
        </row>
        <row r="6282">
          <cell r="D6282" t="str">
            <v>IT&amp;NS</v>
          </cell>
          <cell r="F6282">
            <v>6806.8</v>
          </cell>
          <cell r="G6282">
            <v>0</v>
          </cell>
          <cell r="H6282">
            <v>0</v>
          </cell>
        </row>
        <row r="6283">
          <cell r="D6283" t="str">
            <v>IT&amp;NS</v>
          </cell>
          <cell r="F6283">
            <v>6806.8</v>
          </cell>
          <cell r="G6283">
            <v>0</v>
          </cell>
          <cell r="H6283">
            <v>0</v>
          </cell>
        </row>
        <row r="6284">
          <cell r="D6284" t="str">
            <v>IT&amp;NS</v>
          </cell>
          <cell r="F6284">
            <v>6806.8</v>
          </cell>
          <cell r="G6284">
            <v>0</v>
          </cell>
          <cell r="H6284">
            <v>0</v>
          </cell>
        </row>
        <row r="6285">
          <cell r="D6285" t="str">
            <v>IT&amp;NS</v>
          </cell>
          <cell r="F6285">
            <v>6806.8</v>
          </cell>
          <cell r="G6285">
            <v>0</v>
          </cell>
          <cell r="H6285">
            <v>0</v>
          </cell>
        </row>
        <row r="6286">
          <cell r="D6286" t="str">
            <v>IT&amp;NS</v>
          </cell>
          <cell r="F6286">
            <v>6806.8</v>
          </cell>
          <cell r="G6286">
            <v>0</v>
          </cell>
          <cell r="H6286">
            <v>0</v>
          </cell>
        </row>
        <row r="6287">
          <cell r="D6287" t="str">
            <v>IT&amp;NS</v>
          </cell>
          <cell r="F6287">
            <v>6806.8</v>
          </cell>
          <cell r="G6287">
            <v>0</v>
          </cell>
          <cell r="H6287">
            <v>0</v>
          </cell>
        </row>
        <row r="6288">
          <cell r="D6288" t="str">
            <v>IT&amp;NS</v>
          </cell>
          <cell r="F6288">
            <v>6806.8</v>
          </cell>
          <cell r="G6288">
            <v>0</v>
          </cell>
          <cell r="H6288">
            <v>0</v>
          </cell>
        </row>
        <row r="6289">
          <cell r="D6289" t="str">
            <v>IT&amp;NS</v>
          </cell>
          <cell r="F6289">
            <v>6806.8</v>
          </cell>
          <cell r="G6289">
            <v>0</v>
          </cell>
          <cell r="H6289">
            <v>0</v>
          </cell>
        </row>
        <row r="6290">
          <cell r="D6290" t="str">
            <v>IT&amp;NS</v>
          </cell>
          <cell r="F6290">
            <v>6806.8</v>
          </cell>
          <cell r="G6290">
            <v>0</v>
          </cell>
          <cell r="H6290">
            <v>0</v>
          </cell>
        </row>
        <row r="6291">
          <cell r="D6291" t="str">
            <v>IT&amp;NS</v>
          </cell>
          <cell r="F6291">
            <v>6806.8</v>
          </cell>
          <cell r="G6291">
            <v>0</v>
          </cell>
          <cell r="H6291">
            <v>0</v>
          </cell>
        </row>
        <row r="6292">
          <cell r="D6292" t="str">
            <v>IT&amp;NS</v>
          </cell>
          <cell r="F6292">
            <v>6806.8</v>
          </cell>
          <cell r="G6292">
            <v>0</v>
          </cell>
          <cell r="H6292">
            <v>0</v>
          </cell>
        </row>
        <row r="6293">
          <cell r="D6293" t="str">
            <v>IT&amp;NS</v>
          </cell>
          <cell r="F6293">
            <v>6806.8</v>
          </cell>
          <cell r="G6293">
            <v>0</v>
          </cell>
          <cell r="H6293">
            <v>0</v>
          </cell>
        </row>
        <row r="6294">
          <cell r="D6294" t="str">
            <v>IT&amp;NS</v>
          </cell>
          <cell r="F6294">
            <v>6806.8</v>
          </cell>
          <cell r="G6294">
            <v>0</v>
          </cell>
          <cell r="H6294">
            <v>0</v>
          </cell>
        </row>
        <row r="6295">
          <cell r="D6295" t="str">
            <v>IT&amp;NS</v>
          </cell>
          <cell r="F6295">
            <v>6806.8</v>
          </cell>
          <cell r="G6295">
            <v>0</v>
          </cell>
          <cell r="H6295">
            <v>0</v>
          </cell>
        </row>
        <row r="6296">
          <cell r="D6296" t="str">
            <v>IT&amp;NS</v>
          </cell>
          <cell r="F6296">
            <v>6806.8</v>
          </cell>
          <cell r="G6296">
            <v>0</v>
          </cell>
          <cell r="H6296">
            <v>0</v>
          </cell>
        </row>
        <row r="6297">
          <cell r="D6297" t="str">
            <v>IT&amp;NS</v>
          </cell>
          <cell r="F6297">
            <v>6806.8</v>
          </cell>
          <cell r="G6297">
            <v>0</v>
          </cell>
          <cell r="H6297">
            <v>0</v>
          </cell>
        </row>
        <row r="6298">
          <cell r="D6298" t="str">
            <v>IT&amp;NS</v>
          </cell>
          <cell r="F6298">
            <v>6806.8</v>
          </cell>
          <cell r="G6298">
            <v>0</v>
          </cell>
          <cell r="H6298">
            <v>0</v>
          </cell>
        </row>
        <row r="6299">
          <cell r="D6299" t="str">
            <v>IT&amp;NS</v>
          </cell>
          <cell r="F6299">
            <v>6806.8</v>
          </cell>
          <cell r="G6299">
            <v>0</v>
          </cell>
          <cell r="H6299">
            <v>0</v>
          </cell>
        </row>
        <row r="6300">
          <cell r="D6300" t="str">
            <v>IT&amp;NS</v>
          </cell>
          <cell r="F6300">
            <v>6806.8</v>
          </cell>
          <cell r="G6300">
            <v>0</v>
          </cell>
          <cell r="H6300">
            <v>0</v>
          </cell>
        </row>
        <row r="6301">
          <cell r="D6301" t="str">
            <v>IT&amp;NS</v>
          </cell>
          <cell r="F6301">
            <v>6806.8</v>
          </cell>
          <cell r="G6301">
            <v>0</v>
          </cell>
          <cell r="H6301">
            <v>0</v>
          </cell>
        </row>
        <row r="6302">
          <cell r="D6302" t="str">
            <v>IT&amp;NS</v>
          </cell>
          <cell r="F6302">
            <v>6806.8</v>
          </cell>
          <cell r="G6302">
            <v>0</v>
          </cell>
          <cell r="H6302">
            <v>0</v>
          </cell>
        </row>
        <row r="6303">
          <cell r="D6303" t="str">
            <v>IT&amp;NS</v>
          </cell>
          <cell r="F6303">
            <v>6806.8</v>
          </cell>
          <cell r="G6303">
            <v>0</v>
          </cell>
          <cell r="H6303">
            <v>0</v>
          </cell>
        </row>
        <row r="6304">
          <cell r="D6304" t="str">
            <v>IT&amp;NS</v>
          </cell>
          <cell r="F6304">
            <v>6806.8</v>
          </cell>
          <cell r="G6304">
            <v>0</v>
          </cell>
          <cell r="H6304">
            <v>0</v>
          </cell>
        </row>
        <row r="6305">
          <cell r="D6305" t="str">
            <v>IT&amp;NS</v>
          </cell>
          <cell r="F6305">
            <v>6806.8</v>
          </cell>
          <cell r="G6305">
            <v>0</v>
          </cell>
          <cell r="H6305">
            <v>0</v>
          </cell>
        </row>
        <row r="6306">
          <cell r="D6306" t="str">
            <v>IT&amp;NS</v>
          </cell>
          <cell r="F6306">
            <v>6806.8</v>
          </cell>
          <cell r="G6306">
            <v>0</v>
          </cell>
          <cell r="H6306">
            <v>0</v>
          </cell>
        </row>
        <row r="6307">
          <cell r="D6307" t="str">
            <v>IT&amp;NS</v>
          </cell>
          <cell r="F6307">
            <v>6806.8</v>
          </cell>
          <cell r="G6307">
            <v>0</v>
          </cell>
          <cell r="H6307">
            <v>0</v>
          </cell>
        </row>
        <row r="6308">
          <cell r="D6308" t="str">
            <v>IT&amp;NS</v>
          </cell>
          <cell r="F6308">
            <v>6806.8</v>
          </cell>
          <cell r="G6308">
            <v>0</v>
          </cell>
          <cell r="H6308">
            <v>0</v>
          </cell>
        </row>
        <row r="6309">
          <cell r="D6309" t="str">
            <v>IT&amp;NS</v>
          </cell>
          <cell r="F6309">
            <v>6806.8</v>
          </cell>
          <cell r="G6309">
            <v>0</v>
          </cell>
          <cell r="H6309">
            <v>0</v>
          </cell>
        </row>
        <row r="6310">
          <cell r="D6310" t="str">
            <v>IT&amp;NS</v>
          </cell>
          <cell r="F6310">
            <v>6806.8</v>
          </cell>
          <cell r="G6310">
            <v>0</v>
          </cell>
          <cell r="H6310">
            <v>0</v>
          </cell>
        </row>
        <row r="6311">
          <cell r="D6311" t="str">
            <v>IT&amp;NS</v>
          </cell>
          <cell r="F6311">
            <v>6806.8</v>
          </cell>
          <cell r="G6311">
            <v>0</v>
          </cell>
          <cell r="H6311">
            <v>0</v>
          </cell>
        </row>
        <row r="6312">
          <cell r="D6312" t="str">
            <v>IT&amp;NS</v>
          </cell>
          <cell r="F6312">
            <v>6806.8</v>
          </cell>
          <cell r="G6312">
            <v>0</v>
          </cell>
          <cell r="H6312">
            <v>0</v>
          </cell>
        </row>
        <row r="6313">
          <cell r="D6313" t="str">
            <v>IT&amp;NS</v>
          </cell>
          <cell r="F6313">
            <v>6806.8</v>
          </cell>
          <cell r="G6313">
            <v>0</v>
          </cell>
          <cell r="H6313">
            <v>0</v>
          </cell>
        </row>
        <row r="6314">
          <cell r="D6314" t="str">
            <v>IT&amp;NS</v>
          </cell>
          <cell r="F6314">
            <v>6806.8</v>
          </cell>
          <cell r="G6314">
            <v>0</v>
          </cell>
          <cell r="H6314">
            <v>0</v>
          </cell>
        </row>
        <row r="6315">
          <cell r="D6315" t="str">
            <v>IT&amp;NS</v>
          </cell>
          <cell r="F6315">
            <v>6806.8</v>
          </cell>
          <cell r="G6315">
            <v>0</v>
          </cell>
          <cell r="H6315">
            <v>0</v>
          </cell>
        </row>
        <row r="6316">
          <cell r="D6316" t="str">
            <v>IT&amp;NS</v>
          </cell>
          <cell r="F6316">
            <v>6806.8</v>
          </cell>
          <cell r="G6316">
            <v>0</v>
          </cell>
          <cell r="H6316">
            <v>0</v>
          </cell>
        </row>
        <row r="6317">
          <cell r="D6317" t="str">
            <v>IT&amp;NS</v>
          </cell>
          <cell r="F6317">
            <v>6806.8</v>
          </cell>
          <cell r="G6317">
            <v>0</v>
          </cell>
          <cell r="H6317">
            <v>0</v>
          </cell>
        </row>
        <row r="6318">
          <cell r="D6318" t="str">
            <v>IT&amp;NS</v>
          </cell>
          <cell r="F6318">
            <v>6806.8</v>
          </cell>
          <cell r="G6318">
            <v>0</v>
          </cell>
          <cell r="H6318">
            <v>0</v>
          </cell>
        </row>
        <row r="6319">
          <cell r="D6319" t="str">
            <v>IT&amp;NS</v>
          </cell>
          <cell r="F6319">
            <v>3099.2</v>
          </cell>
          <cell r="G6319">
            <v>0</v>
          </cell>
          <cell r="H6319">
            <v>0</v>
          </cell>
        </row>
        <row r="6320">
          <cell r="D6320" t="str">
            <v>IT&amp;NS</v>
          </cell>
          <cell r="F6320">
            <v>3099.2</v>
          </cell>
          <cell r="G6320">
            <v>0</v>
          </cell>
          <cell r="H6320">
            <v>0</v>
          </cell>
        </row>
        <row r="6321">
          <cell r="D6321" t="str">
            <v>IT&amp;NS</v>
          </cell>
          <cell r="F6321">
            <v>3099.2</v>
          </cell>
          <cell r="G6321">
            <v>0</v>
          </cell>
          <cell r="H6321">
            <v>0</v>
          </cell>
        </row>
        <row r="6322">
          <cell r="D6322" t="str">
            <v>IT&amp;NS</v>
          </cell>
          <cell r="F6322">
            <v>3099.2</v>
          </cell>
          <cell r="G6322">
            <v>0</v>
          </cell>
          <cell r="H6322">
            <v>0</v>
          </cell>
        </row>
        <row r="6323">
          <cell r="D6323" t="str">
            <v>IT&amp;NS</v>
          </cell>
          <cell r="F6323">
            <v>3099.2</v>
          </cell>
          <cell r="G6323">
            <v>0</v>
          </cell>
          <cell r="H6323">
            <v>0</v>
          </cell>
        </row>
        <row r="6324">
          <cell r="D6324" t="str">
            <v>IT&amp;NS</v>
          </cell>
          <cell r="F6324">
            <v>3099.2</v>
          </cell>
          <cell r="G6324">
            <v>0</v>
          </cell>
          <cell r="H6324">
            <v>0</v>
          </cell>
        </row>
        <row r="6325">
          <cell r="D6325" t="str">
            <v>IT&amp;NS</v>
          </cell>
          <cell r="F6325">
            <v>3099.2</v>
          </cell>
          <cell r="G6325">
            <v>0</v>
          </cell>
          <cell r="H6325">
            <v>0</v>
          </cell>
        </row>
        <row r="6326">
          <cell r="D6326" t="str">
            <v>IT&amp;NS</v>
          </cell>
          <cell r="F6326">
            <v>3099.2</v>
          </cell>
          <cell r="G6326">
            <v>0</v>
          </cell>
          <cell r="H6326">
            <v>0</v>
          </cell>
        </row>
        <row r="6327">
          <cell r="D6327" t="str">
            <v>IT&amp;NS</v>
          </cell>
          <cell r="F6327">
            <v>3099.2</v>
          </cell>
          <cell r="G6327">
            <v>0</v>
          </cell>
          <cell r="H6327">
            <v>0</v>
          </cell>
        </row>
        <row r="6328">
          <cell r="D6328" t="str">
            <v>IT&amp;NS</v>
          </cell>
          <cell r="F6328">
            <v>3099.2</v>
          </cell>
          <cell r="G6328">
            <v>0</v>
          </cell>
          <cell r="H6328">
            <v>0</v>
          </cell>
        </row>
        <row r="6329">
          <cell r="D6329" t="str">
            <v>IT&amp;NS</v>
          </cell>
          <cell r="F6329">
            <v>3099.2</v>
          </cell>
          <cell r="G6329">
            <v>0</v>
          </cell>
          <cell r="H6329">
            <v>0</v>
          </cell>
        </row>
        <row r="6330">
          <cell r="D6330" t="str">
            <v>IT&amp;NS</v>
          </cell>
          <cell r="F6330">
            <v>3099.2</v>
          </cell>
          <cell r="G6330">
            <v>0</v>
          </cell>
          <cell r="H6330">
            <v>0</v>
          </cell>
        </row>
        <row r="6331">
          <cell r="D6331" t="str">
            <v>IT&amp;NS</v>
          </cell>
          <cell r="F6331">
            <v>3099.2</v>
          </cell>
          <cell r="G6331">
            <v>0</v>
          </cell>
          <cell r="H6331">
            <v>0</v>
          </cell>
        </row>
        <row r="6332">
          <cell r="D6332" t="str">
            <v>IT&amp;NS</v>
          </cell>
          <cell r="F6332">
            <v>3099.2</v>
          </cell>
          <cell r="G6332">
            <v>0</v>
          </cell>
          <cell r="H6332">
            <v>0</v>
          </cell>
        </row>
        <row r="6333">
          <cell r="D6333" t="str">
            <v>IT&amp;NS</v>
          </cell>
          <cell r="F6333">
            <v>3099.2</v>
          </cell>
          <cell r="G6333">
            <v>0</v>
          </cell>
          <cell r="H6333">
            <v>0</v>
          </cell>
        </row>
        <row r="6334">
          <cell r="D6334" t="str">
            <v>IT&amp;NS</v>
          </cell>
          <cell r="F6334">
            <v>3099.2</v>
          </cell>
          <cell r="G6334">
            <v>0</v>
          </cell>
          <cell r="H6334">
            <v>0</v>
          </cell>
        </row>
        <row r="6335">
          <cell r="D6335" t="str">
            <v>IT&amp;NS</v>
          </cell>
          <cell r="F6335">
            <v>3099.2</v>
          </cell>
          <cell r="G6335">
            <v>0</v>
          </cell>
          <cell r="H6335">
            <v>0</v>
          </cell>
        </row>
        <row r="6336">
          <cell r="D6336" t="str">
            <v>IT&amp;NS</v>
          </cell>
          <cell r="F6336">
            <v>3099.2</v>
          </cell>
          <cell r="G6336">
            <v>0</v>
          </cell>
          <cell r="H6336">
            <v>0</v>
          </cell>
        </row>
        <row r="6337">
          <cell r="D6337" t="str">
            <v>IT&amp;NS</v>
          </cell>
          <cell r="F6337">
            <v>3099.2</v>
          </cell>
          <cell r="G6337">
            <v>0</v>
          </cell>
          <cell r="H6337">
            <v>0</v>
          </cell>
        </row>
        <row r="6338">
          <cell r="D6338" t="str">
            <v>IT&amp;NS</v>
          </cell>
          <cell r="F6338">
            <v>3099.2</v>
          </cell>
          <cell r="G6338">
            <v>0</v>
          </cell>
          <cell r="H6338">
            <v>0</v>
          </cell>
        </row>
        <row r="6339">
          <cell r="D6339" t="str">
            <v>IT&amp;NS</v>
          </cell>
          <cell r="F6339">
            <v>3099.2</v>
          </cell>
          <cell r="G6339">
            <v>0</v>
          </cell>
          <cell r="H6339">
            <v>0</v>
          </cell>
        </row>
        <row r="6340">
          <cell r="D6340" t="str">
            <v>IT&amp;NS</v>
          </cell>
          <cell r="F6340">
            <v>3099.2</v>
          </cell>
          <cell r="G6340">
            <v>0</v>
          </cell>
          <cell r="H6340">
            <v>0</v>
          </cell>
        </row>
        <row r="6341">
          <cell r="D6341" t="str">
            <v>IT&amp;NS</v>
          </cell>
          <cell r="F6341">
            <v>3099.2</v>
          </cell>
          <cell r="G6341">
            <v>0</v>
          </cell>
          <cell r="H6341">
            <v>0</v>
          </cell>
        </row>
        <row r="6342">
          <cell r="D6342" t="str">
            <v>IT&amp;NS</v>
          </cell>
          <cell r="F6342">
            <v>3099.2</v>
          </cell>
          <cell r="G6342">
            <v>0</v>
          </cell>
          <cell r="H6342">
            <v>0</v>
          </cell>
        </row>
        <row r="6343">
          <cell r="D6343" t="str">
            <v>IT&amp;NS</v>
          </cell>
          <cell r="F6343">
            <v>3099.2</v>
          </cell>
          <cell r="G6343">
            <v>0</v>
          </cell>
          <cell r="H6343">
            <v>0</v>
          </cell>
        </row>
        <row r="6344">
          <cell r="D6344" t="str">
            <v>IT&amp;NS</v>
          </cell>
          <cell r="F6344">
            <v>3099.2</v>
          </cell>
          <cell r="G6344">
            <v>0</v>
          </cell>
          <cell r="H6344">
            <v>0</v>
          </cell>
        </row>
        <row r="6345">
          <cell r="D6345" t="str">
            <v>IT&amp;NS</v>
          </cell>
          <cell r="F6345">
            <v>3099.2</v>
          </cell>
          <cell r="G6345">
            <v>0</v>
          </cell>
          <cell r="H6345">
            <v>0</v>
          </cell>
        </row>
        <row r="6346">
          <cell r="D6346" t="str">
            <v>IT&amp;NS</v>
          </cell>
          <cell r="F6346">
            <v>3099.2</v>
          </cell>
          <cell r="G6346">
            <v>0</v>
          </cell>
          <cell r="H6346">
            <v>0</v>
          </cell>
        </row>
        <row r="6347">
          <cell r="D6347" t="str">
            <v>IT&amp;NS</v>
          </cell>
          <cell r="F6347">
            <v>3099.2</v>
          </cell>
          <cell r="G6347">
            <v>0</v>
          </cell>
          <cell r="H6347">
            <v>0</v>
          </cell>
        </row>
        <row r="6348">
          <cell r="D6348" t="str">
            <v>IT&amp;NS</v>
          </cell>
          <cell r="F6348">
            <v>3099.2</v>
          </cell>
          <cell r="G6348">
            <v>0</v>
          </cell>
          <cell r="H6348">
            <v>0</v>
          </cell>
        </row>
        <row r="6349">
          <cell r="D6349" t="str">
            <v>IT&amp;NS</v>
          </cell>
          <cell r="F6349">
            <v>3099.2</v>
          </cell>
          <cell r="G6349">
            <v>0</v>
          </cell>
          <cell r="H6349">
            <v>0</v>
          </cell>
        </row>
        <row r="6350">
          <cell r="D6350" t="str">
            <v>IT&amp;NS</v>
          </cell>
          <cell r="F6350">
            <v>3099.2</v>
          </cell>
          <cell r="G6350">
            <v>0</v>
          </cell>
          <cell r="H6350">
            <v>0</v>
          </cell>
        </row>
        <row r="6351">
          <cell r="D6351" t="str">
            <v>IT&amp;NS</v>
          </cell>
          <cell r="F6351">
            <v>3099.2</v>
          </cell>
          <cell r="G6351">
            <v>0</v>
          </cell>
          <cell r="H6351">
            <v>0</v>
          </cell>
        </row>
        <row r="6352">
          <cell r="D6352" t="str">
            <v>IT&amp;NS</v>
          </cell>
          <cell r="F6352">
            <v>3099.2</v>
          </cell>
          <cell r="G6352">
            <v>0</v>
          </cell>
          <cell r="H6352">
            <v>0</v>
          </cell>
        </row>
        <row r="6353">
          <cell r="D6353" t="str">
            <v>IT&amp;NS</v>
          </cell>
          <cell r="F6353">
            <v>3099.2</v>
          </cell>
          <cell r="G6353">
            <v>0</v>
          </cell>
          <cell r="H6353">
            <v>0</v>
          </cell>
        </row>
        <row r="6354">
          <cell r="D6354" t="str">
            <v>IT&amp;NS</v>
          </cell>
          <cell r="F6354">
            <v>3099.2</v>
          </cell>
          <cell r="G6354">
            <v>0</v>
          </cell>
          <cell r="H6354">
            <v>0</v>
          </cell>
        </row>
        <row r="6355">
          <cell r="D6355" t="str">
            <v>IT&amp;NS</v>
          </cell>
          <cell r="F6355">
            <v>3099.2</v>
          </cell>
          <cell r="G6355">
            <v>0</v>
          </cell>
          <cell r="H6355">
            <v>0</v>
          </cell>
        </row>
        <row r="6356">
          <cell r="D6356" t="str">
            <v>IT&amp;NS</v>
          </cell>
          <cell r="F6356">
            <v>3099.2</v>
          </cell>
          <cell r="G6356">
            <v>0</v>
          </cell>
          <cell r="H6356">
            <v>0</v>
          </cell>
        </row>
        <row r="6357">
          <cell r="D6357" t="str">
            <v>IT&amp;NS</v>
          </cell>
          <cell r="F6357">
            <v>3099.2</v>
          </cell>
          <cell r="G6357">
            <v>0</v>
          </cell>
          <cell r="H6357">
            <v>0</v>
          </cell>
        </row>
        <row r="6358">
          <cell r="D6358" t="str">
            <v>IT&amp;NS</v>
          </cell>
          <cell r="F6358">
            <v>3099.2</v>
          </cell>
          <cell r="G6358">
            <v>0</v>
          </cell>
          <cell r="H6358">
            <v>0</v>
          </cell>
        </row>
        <row r="6359">
          <cell r="D6359" t="str">
            <v>IT&amp;NS</v>
          </cell>
          <cell r="F6359">
            <v>3099.2</v>
          </cell>
          <cell r="G6359">
            <v>0</v>
          </cell>
          <cell r="H6359">
            <v>0</v>
          </cell>
        </row>
        <row r="6360">
          <cell r="D6360" t="str">
            <v>IT&amp;NS</v>
          </cell>
          <cell r="F6360">
            <v>3099.2</v>
          </cell>
          <cell r="G6360">
            <v>0</v>
          </cell>
          <cell r="H6360">
            <v>0</v>
          </cell>
        </row>
        <row r="6361">
          <cell r="D6361" t="str">
            <v>IT&amp;NS</v>
          </cell>
          <cell r="F6361">
            <v>3099.2</v>
          </cell>
          <cell r="G6361">
            <v>0</v>
          </cell>
          <cell r="H6361">
            <v>0</v>
          </cell>
        </row>
        <row r="6362">
          <cell r="D6362" t="str">
            <v>IT&amp;NS</v>
          </cell>
          <cell r="F6362">
            <v>3099.2</v>
          </cell>
          <cell r="G6362">
            <v>0</v>
          </cell>
          <cell r="H6362">
            <v>0</v>
          </cell>
        </row>
        <row r="6363">
          <cell r="D6363" t="str">
            <v>IT&amp;NS</v>
          </cell>
          <cell r="F6363">
            <v>3099.2</v>
          </cell>
          <cell r="G6363">
            <v>0</v>
          </cell>
          <cell r="H6363">
            <v>0</v>
          </cell>
        </row>
        <row r="6364">
          <cell r="D6364" t="str">
            <v>IT&amp;NS</v>
          </cell>
          <cell r="F6364">
            <v>3099.2</v>
          </cell>
          <cell r="G6364">
            <v>0</v>
          </cell>
          <cell r="H6364">
            <v>0</v>
          </cell>
        </row>
        <row r="6365">
          <cell r="D6365" t="str">
            <v>IT&amp;NS</v>
          </cell>
          <cell r="F6365">
            <v>3099.2</v>
          </cell>
          <cell r="G6365">
            <v>0</v>
          </cell>
          <cell r="H6365">
            <v>0</v>
          </cell>
        </row>
        <row r="6366">
          <cell r="D6366" t="str">
            <v>IT&amp;NS</v>
          </cell>
          <cell r="F6366">
            <v>3099.2</v>
          </cell>
          <cell r="G6366">
            <v>0</v>
          </cell>
          <cell r="H6366">
            <v>0</v>
          </cell>
        </row>
        <row r="6367">
          <cell r="D6367" t="str">
            <v>IT&amp;NS</v>
          </cell>
          <cell r="F6367">
            <v>3099.2</v>
          </cell>
          <cell r="G6367">
            <v>0</v>
          </cell>
          <cell r="H6367">
            <v>0</v>
          </cell>
        </row>
        <row r="6368">
          <cell r="D6368" t="str">
            <v>IT&amp;NS</v>
          </cell>
          <cell r="F6368">
            <v>3099.2</v>
          </cell>
          <cell r="G6368">
            <v>0</v>
          </cell>
          <cell r="H6368">
            <v>0</v>
          </cell>
        </row>
        <row r="6369">
          <cell r="D6369" t="str">
            <v>IT&amp;NS</v>
          </cell>
          <cell r="F6369">
            <v>3099.2</v>
          </cell>
          <cell r="G6369">
            <v>0</v>
          </cell>
          <cell r="H6369">
            <v>0</v>
          </cell>
        </row>
        <row r="6370">
          <cell r="D6370" t="str">
            <v>IT&amp;NS</v>
          </cell>
          <cell r="F6370">
            <v>3099.2</v>
          </cell>
          <cell r="G6370">
            <v>0</v>
          </cell>
          <cell r="H6370">
            <v>0</v>
          </cell>
        </row>
        <row r="6371">
          <cell r="D6371" t="str">
            <v>IT&amp;NS</v>
          </cell>
          <cell r="F6371">
            <v>3099.2</v>
          </cell>
          <cell r="G6371">
            <v>0</v>
          </cell>
          <cell r="H6371">
            <v>0</v>
          </cell>
        </row>
        <row r="6372">
          <cell r="D6372" t="str">
            <v>IT&amp;NS</v>
          </cell>
          <cell r="F6372">
            <v>3099.2</v>
          </cell>
          <cell r="G6372">
            <v>0</v>
          </cell>
          <cell r="H6372">
            <v>0</v>
          </cell>
        </row>
        <row r="6373">
          <cell r="D6373" t="str">
            <v>IT&amp;NS</v>
          </cell>
          <cell r="F6373">
            <v>3099.2</v>
          </cell>
          <cell r="G6373">
            <v>0</v>
          </cell>
          <cell r="H6373">
            <v>0</v>
          </cell>
        </row>
        <row r="6374">
          <cell r="D6374" t="str">
            <v>IT&amp;NS</v>
          </cell>
          <cell r="F6374">
            <v>3099.2</v>
          </cell>
          <cell r="G6374">
            <v>0</v>
          </cell>
          <cell r="H6374">
            <v>0</v>
          </cell>
        </row>
        <row r="6375">
          <cell r="D6375" t="str">
            <v>IT&amp;NS</v>
          </cell>
          <cell r="F6375">
            <v>3099.2</v>
          </cell>
          <cell r="G6375">
            <v>0</v>
          </cell>
          <cell r="H6375">
            <v>0</v>
          </cell>
        </row>
        <row r="6376">
          <cell r="D6376" t="str">
            <v>IT&amp;NS</v>
          </cell>
          <cell r="F6376">
            <v>3099.2</v>
          </cell>
          <cell r="G6376">
            <v>0</v>
          </cell>
          <cell r="H6376">
            <v>0</v>
          </cell>
        </row>
        <row r="6377">
          <cell r="D6377" t="str">
            <v>IT&amp;NS</v>
          </cell>
          <cell r="F6377">
            <v>3099.2</v>
          </cell>
          <cell r="G6377">
            <v>0</v>
          </cell>
          <cell r="H6377">
            <v>0</v>
          </cell>
        </row>
        <row r="6378">
          <cell r="D6378" t="str">
            <v>IT&amp;NS</v>
          </cell>
          <cell r="F6378">
            <v>3099.2</v>
          </cell>
          <cell r="G6378">
            <v>0</v>
          </cell>
          <cell r="H6378">
            <v>0</v>
          </cell>
        </row>
        <row r="6379">
          <cell r="D6379" t="str">
            <v>IT&amp;NS</v>
          </cell>
          <cell r="F6379">
            <v>3099.2</v>
          </cell>
          <cell r="G6379">
            <v>0</v>
          </cell>
          <cell r="H6379">
            <v>0</v>
          </cell>
        </row>
        <row r="6380">
          <cell r="D6380" t="str">
            <v>IT&amp;NS</v>
          </cell>
          <cell r="F6380">
            <v>3099.2</v>
          </cell>
          <cell r="G6380">
            <v>0</v>
          </cell>
          <cell r="H6380">
            <v>0</v>
          </cell>
        </row>
        <row r="6381">
          <cell r="D6381" t="str">
            <v>IT&amp;NS</v>
          </cell>
          <cell r="F6381">
            <v>3099.2</v>
          </cell>
          <cell r="G6381">
            <v>0</v>
          </cell>
          <cell r="H6381">
            <v>0</v>
          </cell>
        </row>
        <row r="6382">
          <cell r="D6382" t="str">
            <v>IT&amp;NS</v>
          </cell>
          <cell r="F6382">
            <v>3099.2</v>
          </cell>
          <cell r="G6382">
            <v>0</v>
          </cell>
          <cell r="H6382">
            <v>0</v>
          </cell>
        </row>
        <row r="6383">
          <cell r="D6383" t="str">
            <v>IT&amp;NS</v>
          </cell>
          <cell r="F6383">
            <v>3099.2</v>
          </cell>
          <cell r="G6383">
            <v>0</v>
          </cell>
          <cell r="H6383">
            <v>0</v>
          </cell>
        </row>
        <row r="6384">
          <cell r="D6384" t="str">
            <v>IT&amp;NS</v>
          </cell>
          <cell r="F6384">
            <v>3099.2</v>
          </cell>
          <cell r="G6384">
            <v>0</v>
          </cell>
          <cell r="H6384">
            <v>0</v>
          </cell>
        </row>
        <row r="6385">
          <cell r="D6385" t="str">
            <v>IT&amp;NS</v>
          </cell>
          <cell r="F6385">
            <v>3099.2</v>
          </cell>
          <cell r="G6385">
            <v>0</v>
          </cell>
          <cell r="H6385">
            <v>0</v>
          </cell>
        </row>
        <row r="6386">
          <cell r="D6386" t="str">
            <v>IT&amp;NS</v>
          </cell>
          <cell r="F6386">
            <v>3099.2</v>
          </cell>
          <cell r="G6386">
            <v>0</v>
          </cell>
          <cell r="H6386">
            <v>0</v>
          </cell>
        </row>
        <row r="6387">
          <cell r="D6387" t="str">
            <v>IT&amp;NS</v>
          </cell>
          <cell r="F6387">
            <v>3099.2</v>
          </cell>
          <cell r="G6387">
            <v>0</v>
          </cell>
          <cell r="H6387">
            <v>0</v>
          </cell>
        </row>
        <row r="6388">
          <cell r="D6388" t="str">
            <v>IT&amp;NS</v>
          </cell>
          <cell r="F6388">
            <v>3099.2</v>
          </cell>
          <cell r="G6388">
            <v>0</v>
          </cell>
          <cell r="H6388">
            <v>0</v>
          </cell>
        </row>
        <row r="6389">
          <cell r="D6389" t="str">
            <v>IT&amp;NS</v>
          </cell>
          <cell r="F6389">
            <v>3099.2</v>
          </cell>
          <cell r="G6389">
            <v>0</v>
          </cell>
          <cell r="H6389">
            <v>0</v>
          </cell>
        </row>
        <row r="6390">
          <cell r="D6390" t="str">
            <v>IT&amp;NS</v>
          </cell>
          <cell r="F6390">
            <v>3099.2</v>
          </cell>
          <cell r="G6390">
            <v>0</v>
          </cell>
          <cell r="H6390">
            <v>0</v>
          </cell>
        </row>
        <row r="6391">
          <cell r="D6391" t="str">
            <v>IT&amp;NS</v>
          </cell>
          <cell r="F6391">
            <v>3099.2</v>
          </cell>
          <cell r="G6391">
            <v>0</v>
          </cell>
          <cell r="H6391">
            <v>0</v>
          </cell>
        </row>
        <row r="6392">
          <cell r="D6392" t="str">
            <v>IT&amp;NS</v>
          </cell>
          <cell r="F6392">
            <v>3099.2</v>
          </cell>
          <cell r="G6392">
            <v>0</v>
          </cell>
          <cell r="H6392">
            <v>0</v>
          </cell>
        </row>
        <row r="6393">
          <cell r="D6393" t="str">
            <v>IT&amp;NS</v>
          </cell>
          <cell r="F6393">
            <v>3099.2</v>
          </cell>
          <cell r="G6393">
            <v>0</v>
          </cell>
          <cell r="H6393">
            <v>0</v>
          </cell>
        </row>
        <row r="6394">
          <cell r="D6394" t="str">
            <v>IT&amp;NS</v>
          </cell>
          <cell r="F6394">
            <v>3099.2</v>
          </cell>
          <cell r="G6394">
            <v>0</v>
          </cell>
          <cell r="H6394">
            <v>0</v>
          </cell>
        </row>
        <row r="6395">
          <cell r="D6395" t="str">
            <v>IT&amp;NS</v>
          </cell>
          <cell r="F6395">
            <v>3099.2</v>
          </cell>
          <cell r="G6395">
            <v>0</v>
          </cell>
          <cell r="H6395">
            <v>0</v>
          </cell>
        </row>
        <row r="6396">
          <cell r="D6396" t="str">
            <v>IT&amp;NS</v>
          </cell>
          <cell r="F6396">
            <v>3099.2</v>
          </cell>
          <cell r="G6396">
            <v>0</v>
          </cell>
          <cell r="H6396">
            <v>0</v>
          </cell>
        </row>
        <row r="6397">
          <cell r="D6397" t="str">
            <v>IT&amp;NS</v>
          </cell>
          <cell r="F6397">
            <v>3099.2</v>
          </cell>
          <cell r="G6397">
            <v>0</v>
          </cell>
          <cell r="H6397">
            <v>0</v>
          </cell>
        </row>
        <row r="6398">
          <cell r="D6398" t="str">
            <v>IT&amp;NS</v>
          </cell>
          <cell r="F6398">
            <v>3099.2</v>
          </cell>
          <cell r="G6398">
            <v>0</v>
          </cell>
          <cell r="H6398">
            <v>0</v>
          </cell>
        </row>
        <row r="6399">
          <cell r="D6399" t="str">
            <v>IT&amp;NS</v>
          </cell>
          <cell r="F6399">
            <v>3099.2</v>
          </cell>
          <cell r="G6399">
            <v>0</v>
          </cell>
          <cell r="H6399">
            <v>0</v>
          </cell>
        </row>
        <row r="6400">
          <cell r="D6400" t="str">
            <v>IT&amp;NS</v>
          </cell>
          <cell r="F6400">
            <v>3099.2</v>
          </cell>
          <cell r="G6400">
            <v>0</v>
          </cell>
          <cell r="H6400">
            <v>0</v>
          </cell>
        </row>
        <row r="6401">
          <cell r="D6401" t="str">
            <v>IT&amp;NS</v>
          </cell>
          <cell r="F6401">
            <v>3099.2</v>
          </cell>
          <cell r="G6401">
            <v>0</v>
          </cell>
          <cell r="H6401">
            <v>0</v>
          </cell>
        </row>
        <row r="6402">
          <cell r="D6402" t="str">
            <v>IT&amp;NS</v>
          </cell>
          <cell r="F6402">
            <v>3099.2</v>
          </cell>
          <cell r="G6402">
            <v>0</v>
          </cell>
          <cell r="H6402">
            <v>0</v>
          </cell>
        </row>
        <row r="6403">
          <cell r="D6403" t="str">
            <v>IT&amp;NS</v>
          </cell>
          <cell r="F6403">
            <v>3099.2</v>
          </cell>
          <cell r="G6403">
            <v>0</v>
          </cell>
          <cell r="H6403">
            <v>0</v>
          </cell>
        </row>
        <row r="6404">
          <cell r="D6404" t="str">
            <v>IT&amp;NS</v>
          </cell>
          <cell r="F6404">
            <v>3099.2</v>
          </cell>
          <cell r="G6404">
            <v>0</v>
          </cell>
          <cell r="H6404">
            <v>0</v>
          </cell>
        </row>
        <row r="6405">
          <cell r="D6405" t="str">
            <v>IT&amp;NS</v>
          </cell>
          <cell r="F6405">
            <v>3099.2</v>
          </cell>
          <cell r="G6405">
            <v>0</v>
          </cell>
          <cell r="H6405">
            <v>0</v>
          </cell>
        </row>
        <row r="6406">
          <cell r="D6406" t="str">
            <v>IT&amp;NS</v>
          </cell>
          <cell r="F6406">
            <v>3099.2</v>
          </cell>
          <cell r="G6406">
            <v>0</v>
          </cell>
          <cell r="H6406">
            <v>0</v>
          </cell>
        </row>
        <row r="6407">
          <cell r="D6407" t="str">
            <v>IT&amp;NS</v>
          </cell>
          <cell r="F6407">
            <v>3099.2</v>
          </cell>
          <cell r="G6407">
            <v>0</v>
          </cell>
          <cell r="H6407">
            <v>0</v>
          </cell>
        </row>
        <row r="6408">
          <cell r="D6408" t="str">
            <v>IT&amp;NS</v>
          </cell>
          <cell r="F6408">
            <v>3099.2</v>
          </cell>
          <cell r="G6408">
            <v>0</v>
          </cell>
          <cell r="H6408">
            <v>0</v>
          </cell>
        </row>
        <row r="6409">
          <cell r="D6409" t="str">
            <v>IT&amp;NS</v>
          </cell>
          <cell r="F6409">
            <v>3099.2</v>
          </cell>
          <cell r="G6409">
            <v>0</v>
          </cell>
          <cell r="H6409">
            <v>0</v>
          </cell>
        </row>
        <row r="6410">
          <cell r="D6410" t="str">
            <v>IT&amp;NS</v>
          </cell>
          <cell r="F6410">
            <v>3099.2</v>
          </cell>
          <cell r="G6410">
            <v>0</v>
          </cell>
          <cell r="H6410">
            <v>0</v>
          </cell>
        </row>
        <row r="6411">
          <cell r="D6411" t="str">
            <v>IT&amp;NS</v>
          </cell>
          <cell r="F6411">
            <v>3099.2</v>
          </cell>
          <cell r="G6411">
            <v>0</v>
          </cell>
          <cell r="H6411">
            <v>0</v>
          </cell>
        </row>
        <row r="6412">
          <cell r="D6412" t="str">
            <v>IT&amp;NS</v>
          </cell>
          <cell r="F6412">
            <v>3099.2</v>
          </cell>
          <cell r="G6412">
            <v>0</v>
          </cell>
          <cell r="H6412">
            <v>0</v>
          </cell>
        </row>
        <row r="6413">
          <cell r="D6413" t="str">
            <v>IT&amp;NS</v>
          </cell>
          <cell r="F6413">
            <v>3099.2</v>
          </cell>
          <cell r="G6413">
            <v>0</v>
          </cell>
          <cell r="H6413">
            <v>0</v>
          </cell>
        </row>
        <row r="6414">
          <cell r="D6414" t="str">
            <v>IT&amp;NS</v>
          </cell>
          <cell r="F6414">
            <v>3099.2</v>
          </cell>
          <cell r="G6414">
            <v>0</v>
          </cell>
          <cell r="H6414">
            <v>0</v>
          </cell>
        </row>
        <row r="6415">
          <cell r="D6415" t="str">
            <v>IT&amp;NS</v>
          </cell>
          <cell r="F6415">
            <v>3099.2</v>
          </cell>
          <cell r="G6415">
            <v>0</v>
          </cell>
          <cell r="H6415">
            <v>0</v>
          </cell>
        </row>
        <row r="6416">
          <cell r="D6416" t="str">
            <v>IT&amp;NS</v>
          </cell>
          <cell r="F6416">
            <v>3099.2</v>
          </cell>
          <cell r="G6416">
            <v>0</v>
          </cell>
          <cell r="H6416">
            <v>0</v>
          </cell>
        </row>
        <row r="6417">
          <cell r="D6417" t="str">
            <v>IT&amp;NS</v>
          </cell>
          <cell r="F6417">
            <v>3099.2</v>
          </cell>
          <cell r="G6417">
            <v>0</v>
          </cell>
          <cell r="H6417">
            <v>0</v>
          </cell>
        </row>
        <row r="6418">
          <cell r="D6418" t="str">
            <v>IT&amp;NS</v>
          </cell>
          <cell r="F6418">
            <v>3099.2</v>
          </cell>
          <cell r="G6418">
            <v>0</v>
          </cell>
          <cell r="H6418">
            <v>0</v>
          </cell>
        </row>
        <row r="6419">
          <cell r="D6419" t="str">
            <v>IT&amp;NS</v>
          </cell>
          <cell r="F6419">
            <v>2126.8000000000002</v>
          </cell>
          <cell r="G6419">
            <v>0</v>
          </cell>
          <cell r="H6419">
            <v>0</v>
          </cell>
        </row>
        <row r="6420">
          <cell r="D6420" t="str">
            <v>IT&amp;NS</v>
          </cell>
          <cell r="F6420">
            <v>2126.8000000000002</v>
          </cell>
          <cell r="G6420">
            <v>0</v>
          </cell>
          <cell r="H6420">
            <v>0</v>
          </cell>
        </row>
        <row r="6421">
          <cell r="D6421" t="str">
            <v>IT&amp;NS</v>
          </cell>
          <cell r="F6421">
            <v>2126.8000000000002</v>
          </cell>
          <cell r="G6421">
            <v>0</v>
          </cell>
          <cell r="H6421">
            <v>0</v>
          </cell>
        </row>
        <row r="6422">
          <cell r="D6422" t="str">
            <v>IT&amp;NS</v>
          </cell>
          <cell r="F6422">
            <v>2126.8000000000002</v>
          </cell>
          <cell r="G6422">
            <v>0</v>
          </cell>
          <cell r="H6422">
            <v>0</v>
          </cell>
        </row>
        <row r="6423">
          <cell r="D6423" t="str">
            <v>IT&amp;NS</v>
          </cell>
          <cell r="F6423">
            <v>2126.8000000000002</v>
          </cell>
          <cell r="G6423">
            <v>0</v>
          </cell>
          <cell r="H6423">
            <v>0</v>
          </cell>
        </row>
        <row r="6424">
          <cell r="D6424" t="str">
            <v>IT&amp;NS</v>
          </cell>
          <cell r="F6424">
            <v>2126.8000000000002</v>
          </cell>
          <cell r="G6424">
            <v>0</v>
          </cell>
          <cell r="H6424">
            <v>0</v>
          </cell>
        </row>
        <row r="6425">
          <cell r="D6425" t="str">
            <v>IT&amp;NS</v>
          </cell>
          <cell r="F6425">
            <v>2126.8000000000002</v>
          </cell>
          <cell r="G6425">
            <v>0</v>
          </cell>
          <cell r="H6425">
            <v>0</v>
          </cell>
        </row>
        <row r="6426">
          <cell r="D6426" t="str">
            <v>IT&amp;NS</v>
          </cell>
          <cell r="F6426">
            <v>2126.8000000000002</v>
          </cell>
          <cell r="G6426">
            <v>0</v>
          </cell>
          <cell r="H6426">
            <v>0</v>
          </cell>
        </row>
        <row r="6427">
          <cell r="D6427" t="str">
            <v>IT&amp;NS</v>
          </cell>
          <cell r="F6427">
            <v>2126.8000000000002</v>
          </cell>
          <cell r="G6427">
            <v>0</v>
          </cell>
          <cell r="H6427">
            <v>0</v>
          </cell>
        </row>
        <row r="6428">
          <cell r="D6428" t="str">
            <v>IT&amp;NS</v>
          </cell>
          <cell r="F6428">
            <v>2126.8000000000002</v>
          </cell>
          <cell r="G6428">
            <v>0</v>
          </cell>
          <cell r="H6428">
            <v>0</v>
          </cell>
        </row>
        <row r="6429">
          <cell r="D6429" t="str">
            <v>IT&amp;NS</v>
          </cell>
          <cell r="F6429">
            <v>2126.8000000000002</v>
          </cell>
          <cell r="G6429">
            <v>0</v>
          </cell>
          <cell r="H6429">
            <v>0</v>
          </cell>
        </row>
        <row r="6430">
          <cell r="D6430" t="str">
            <v>IT&amp;NS</v>
          </cell>
          <cell r="F6430">
            <v>2126.8000000000002</v>
          </cell>
          <cell r="G6430">
            <v>0</v>
          </cell>
          <cell r="H6430">
            <v>0</v>
          </cell>
        </row>
        <row r="6431">
          <cell r="D6431" t="str">
            <v>IT&amp;NS</v>
          </cell>
          <cell r="F6431">
            <v>2126.8000000000002</v>
          </cell>
          <cell r="G6431">
            <v>0</v>
          </cell>
          <cell r="H6431">
            <v>0</v>
          </cell>
        </row>
        <row r="6432">
          <cell r="D6432" t="str">
            <v>IT&amp;NS</v>
          </cell>
          <cell r="F6432">
            <v>2126.8000000000002</v>
          </cell>
          <cell r="G6432">
            <v>0</v>
          </cell>
          <cell r="H6432">
            <v>0</v>
          </cell>
        </row>
        <row r="6433">
          <cell r="D6433" t="str">
            <v>IT&amp;NS</v>
          </cell>
          <cell r="F6433">
            <v>2126.8000000000002</v>
          </cell>
          <cell r="G6433">
            <v>0</v>
          </cell>
          <cell r="H6433">
            <v>0</v>
          </cell>
        </row>
        <row r="6434">
          <cell r="D6434" t="str">
            <v>IT&amp;NS</v>
          </cell>
          <cell r="F6434">
            <v>2126.8000000000002</v>
          </cell>
          <cell r="G6434">
            <v>0</v>
          </cell>
          <cell r="H6434">
            <v>0</v>
          </cell>
        </row>
        <row r="6435">
          <cell r="D6435" t="str">
            <v>IT&amp;NS</v>
          </cell>
          <cell r="F6435">
            <v>2126.8000000000002</v>
          </cell>
          <cell r="G6435">
            <v>0</v>
          </cell>
          <cell r="H6435">
            <v>0</v>
          </cell>
        </row>
        <row r="6436">
          <cell r="D6436" t="str">
            <v>IT&amp;NS</v>
          </cell>
          <cell r="F6436">
            <v>2126.8000000000002</v>
          </cell>
          <cell r="G6436">
            <v>0</v>
          </cell>
          <cell r="H6436">
            <v>0</v>
          </cell>
        </row>
        <row r="6437">
          <cell r="D6437" t="str">
            <v>IT&amp;NS</v>
          </cell>
          <cell r="F6437">
            <v>2126.8000000000002</v>
          </cell>
          <cell r="G6437">
            <v>0</v>
          </cell>
          <cell r="H6437">
            <v>0</v>
          </cell>
        </row>
        <row r="6438">
          <cell r="D6438" t="str">
            <v>IT&amp;NS</v>
          </cell>
          <cell r="F6438">
            <v>2126.8000000000002</v>
          </cell>
          <cell r="G6438">
            <v>0</v>
          </cell>
          <cell r="H6438">
            <v>0</v>
          </cell>
        </row>
        <row r="6439">
          <cell r="D6439" t="str">
            <v>IT&amp;NS</v>
          </cell>
          <cell r="F6439">
            <v>2126.8000000000002</v>
          </cell>
          <cell r="G6439">
            <v>0</v>
          </cell>
          <cell r="H6439">
            <v>0</v>
          </cell>
        </row>
        <row r="6440">
          <cell r="D6440" t="str">
            <v>IT&amp;NS</v>
          </cell>
          <cell r="F6440">
            <v>2126.8000000000002</v>
          </cell>
          <cell r="G6440">
            <v>0</v>
          </cell>
          <cell r="H6440">
            <v>0</v>
          </cell>
        </row>
        <row r="6441">
          <cell r="D6441" t="str">
            <v>IT&amp;NS</v>
          </cell>
          <cell r="F6441">
            <v>2126.8000000000002</v>
          </cell>
          <cell r="G6441">
            <v>0</v>
          </cell>
          <cell r="H6441">
            <v>0</v>
          </cell>
        </row>
        <row r="6442">
          <cell r="D6442" t="str">
            <v>IT&amp;NS</v>
          </cell>
          <cell r="F6442">
            <v>2126.8000000000002</v>
          </cell>
          <cell r="G6442">
            <v>0</v>
          </cell>
          <cell r="H6442">
            <v>0</v>
          </cell>
        </row>
        <row r="6443">
          <cell r="D6443" t="str">
            <v>IT&amp;NS</v>
          </cell>
          <cell r="F6443">
            <v>2126.8000000000002</v>
          </cell>
          <cell r="G6443">
            <v>0</v>
          </cell>
          <cell r="H6443">
            <v>0</v>
          </cell>
        </row>
        <row r="6444">
          <cell r="D6444" t="str">
            <v>IT&amp;NS</v>
          </cell>
          <cell r="F6444">
            <v>2126.8000000000002</v>
          </cell>
          <cell r="G6444">
            <v>0</v>
          </cell>
          <cell r="H6444">
            <v>0</v>
          </cell>
        </row>
        <row r="6445">
          <cell r="D6445" t="str">
            <v>IT&amp;NS</v>
          </cell>
          <cell r="F6445">
            <v>2126.8000000000002</v>
          </cell>
          <cell r="G6445">
            <v>0</v>
          </cell>
          <cell r="H6445">
            <v>0</v>
          </cell>
        </row>
        <row r="6446">
          <cell r="D6446" t="str">
            <v>IT&amp;NS</v>
          </cell>
          <cell r="F6446">
            <v>2126.8000000000002</v>
          </cell>
          <cell r="G6446">
            <v>0</v>
          </cell>
          <cell r="H6446">
            <v>0</v>
          </cell>
        </row>
        <row r="6447">
          <cell r="D6447" t="str">
            <v>IT&amp;NS</v>
          </cell>
          <cell r="F6447">
            <v>2126.8000000000002</v>
          </cell>
          <cell r="G6447">
            <v>0</v>
          </cell>
          <cell r="H6447">
            <v>0</v>
          </cell>
        </row>
        <row r="6448">
          <cell r="D6448" t="str">
            <v>IT&amp;NS</v>
          </cell>
          <cell r="F6448">
            <v>2126.8000000000002</v>
          </cell>
          <cell r="G6448">
            <v>0</v>
          </cell>
          <cell r="H6448">
            <v>0</v>
          </cell>
        </row>
        <row r="6449">
          <cell r="D6449" t="str">
            <v>IT&amp;NS</v>
          </cell>
          <cell r="F6449">
            <v>2126.8000000000002</v>
          </cell>
          <cell r="G6449">
            <v>0</v>
          </cell>
          <cell r="H6449">
            <v>0</v>
          </cell>
        </row>
        <row r="6450">
          <cell r="D6450" t="str">
            <v>IT&amp;NS</v>
          </cell>
          <cell r="F6450">
            <v>2126.8000000000002</v>
          </cell>
          <cell r="G6450">
            <v>0</v>
          </cell>
          <cell r="H6450">
            <v>0</v>
          </cell>
        </row>
        <row r="6451">
          <cell r="D6451" t="str">
            <v>IT&amp;NS</v>
          </cell>
          <cell r="F6451">
            <v>2126.8000000000002</v>
          </cell>
          <cell r="G6451">
            <v>0</v>
          </cell>
          <cell r="H6451">
            <v>0</v>
          </cell>
        </row>
        <row r="6452">
          <cell r="D6452" t="str">
            <v>IT&amp;NS</v>
          </cell>
          <cell r="F6452">
            <v>2126.8000000000002</v>
          </cell>
          <cell r="G6452">
            <v>0</v>
          </cell>
          <cell r="H6452">
            <v>0</v>
          </cell>
        </row>
        <row r="6453">
          <cell r="D6453" t="str">
            <v>IT&amp;NS</v>
          </cell>
          <cell r="F6453">
            <v>2126.8000000000002</v>
          </cell>
          <cell r="G6453">
            <v>0</v>
          </cell>
          <cell r="H6453">
            <v>0</v>
          </cell>
        </row>
        <row r="6454">
          <cell r="D6454" t="str">
            <v>IT&amp;NS</v>
          </cell>
          <cell r="F6454">
            <v>2126.8000000000002</v>
          </cell>
          <cell r="G6454">
            <v>0</v>
          </cell>
          <cell r="H6454">
            <v>0</v>
          </cell>
        </row>
        <row r="6455">
          <cell r="D6455" t="str">
            <v>IT&amp;NS</v>
          </cell>
          <cell r="F6455">
            <v>2126.8000000000002</v>
          </cell>
          <cell r="G6455">
            <v>0</v>
          </cell>
          <cell r="H6455">
            <v>0</v>
          </cell>
        </row>
        <row r="6456">
          <cell r="D6456" t="str">
            <v>IT&amp;NS</v>
          </cell>
          <cell r="F6456">
            <v>2126.8000000000002</v>
          </cell>
          <cell r="G6456">
            <v>0</v>
          </cell>
          <cell r="H6456">
            <v>0</v>
          </cell>
        </row>
        <row r="6457">
          <cell r="D6457" t="str">
            <v>IT&amp;NS</v>
          </cell>
          <cell r="F6457">
            <v>2126.8000000000002</v>
          </cell>
          <cell r="G6457">
            <v>0</v>
          </cell>
          <cell r="H6457">
            <v>0</v>
          </cell>
        </row>
        <row r="6458">
          <cell r="D6458" t="str">
            <v>IT&amp;NS</v>
          </cell>
          <cell r="F6458">
            <v>2126.8000000000002</v>
          </cell>
          <cell r="G6458">
            <v>0</v>
          </cell>
          <cell r="H6458">
            <v>0</v>
          </cell>
        </row>
        <row r="6459">
          <cell r="D6459" t="str">
            <v>IT&amp;NS</v>
          </cell>
          <cell r="F6459">
            <v>2126.8000000000002</v>
          </cell>
          <cell r="G6459">
            <v>0</v>
          </cell>
          <cell r="H6459">
            <v>0</v>
          </cell>
        </row>
        <row r="6460">
          <cell r="D6460" t="str">
            <v>IT&amp;NS</v>
          </cell>
          <cell r="F6460">
            <v>2126.8000000000002</v>
          </cell>
          <cell r="G6460">
            <v>0</v>
          </cell>
          <cell r="H6460">
            <v>0</v>
          </cell>
        </row>
        <row r="6461">
          <cell r="D6461" t="str">
            <v>IT&amp;NS</v>
          </cell>
          <cell r="F6461">
            <v>2126.8000000000002</v>
          </cell>
          <cell r="G6461">
            <v>0</v>
          </cell>
          <cell r="H6461">
            <v>0</v>
          </cell>
        </row>
        <row r="6462">
          <cell r="D6462" t="str">
            <v>IT&amp;NS</v>
          </cell>
          <cell r="F6462">
            <v>2126.8000000000002</v>
          </cell>
          <cell r="G6462">
            <v>0</v>
          </cell>
          <cell r="H6462">
            <v>0</v>
          </cell>
        </row>
        <row r="6463">
          <cell r="D6463" t="str">
            <v>IT&amp;NS</v>
          </cell>
          <cell r="F6463">
            <v>2126.8000000000002</v>
          </cell>
          <cell r="G6463">
            <v>0</v>
          </cell>
          <cell r="H6463">
            <v>0</v>
          </cell>
        </row>
        <row r="6464">
          <cell r="D6464" t="str">
            <v>IT&amp;NS</v>
          </cell>
          <cell r="F6464">
            <v>2126.8000000000002</v>
          </cell>
          <cell r="G6464">
            <v>0</v>
          </cell>
          <cell r="H6464">
            <v>0</v>
          </cell>
        </row>
        <row r="6465">
          <cell r="D6465" t="str">
            <v>IT&amp;NS</v>
          </cell>
          <cell r="F6465">
            <v>2126.8000000000002</v>
          </cell>
          <cell r="G6465">
            <v>0</v>
          </cell>
          <cell r="H6465">
            <v>0</v>
          </cell>
        </row>
        <row r="6466">
          <cell r="D6466" t="str">
            <v>IT&amp;NS</v>
          </cell>
          <cell r="F6466">
            <v>2126.8000000000002</v>
          </cell>
          <cell r="G6466">
            <v>0</v>
          </cell>
          <cell r="H6466">
            <v>0</v>
          </cell>
        </row>
        <row r="6467">
          <cell r="D6467" t="str">
            <v>IT&amp;NS</v>
          </cell>
          <cell r="F6467">
            <v>2126.8000000000002</v>
          </cell>
          <cell r="G6467">
            <v>0</v>
          </cell>
          <cell r="H6467">
            <v>0</v>
          </cell>
        </row>
        <row r="6468">
          <cell r="D6468" t="str">
            <v>IT&amp;NS</v>
          </cell>
          <cell r="F6468">
            <v>2126.8000000000002</v>
          </cell>
          <cell r="G6468">
            <v>0</v>
          </cell>
          <cell r="H6468">
            <v>0</v>
          </cell>
        </row>
        <row r="6469">
          <cell r="D6469" t="str">
            <v>IT&amp;NS</v>
          </cell>
          <cell r="F6469">
            <v>2126.8000000000002</v>
          </cell>
          <cell r="G6469">
            <v>0</v>
          </cell>
          <cell r="H6469">
            <v>0</v>
          </cell>
        </row>
        <row r="6470">
          <cell r="D6470" t="str">
            <v>IT&amp;NS</v>
          </cell>
          <cell r="F6470">
            <v>2126.8000000000002</v>
          </cell>
          <cell r="G6470">
            <v>0</v>
          </cell>
          <cell r="H6470">
            <v>0</v>
          </cell>
        </row>
        <row r="6471">
          <cell r="D6471" t="str">
            <v>IT&amp;NS</v>
          </cell>
          <cell r="F6471">
            <v>2126.8000000000002</v>
          </cell>
          <cell r="G6471">
            <v>0</v>
          </cell>
          <cell r="H6471">
            <v>0</v>
          </cell>
        </row>
        <row r="6472">
          <cell r="D6472" t="str">
            <v>IT&amp;NS</v>
          </cell>
          <cell r="F6472">
            <v>2126.8000000000002</v>
          </cell>
          <cell r="G6472">
            <v>0</v>
          </cell>
          <cell r="H6472">
            <v>0</v>
          </cell>
        </row>
        <row r="6473">
          <cell r="D6473" t="str">
            <v>IT&amp;NS</v>
          </cell>
          <cell r="F6473">
            <v>2126.8000000000002</v>
          </cell>
          <cell r="G6473">
            <v>0</v>
          </cell>
          <cell r="H6473">
            <v>0</v>
          </cell>
        </row>
        <row r="6474">
          <cell r="D6474" t="str">
            <v>IT&amp;NS</v>
          </cell>
          <cell r="F6474">
            <v>2126.8000000000002</v>
          </cell>
          <cell r="G6474">
            <v>0</v>
          </cell>
          <cell r="H6474">
            <v>0</v>
          </cell>
        </row>
        <row r="6475">
          <cell r="D6475" t="str">
            <v>IT&amp;NS</v>
          </cell>
          <cell r="F6475">
            <v>8987.68</v>
          </cell>
          <cell r="G6475">
            <v>0</v>
          </cell>
          <cell r="H6475">
            <v>0</v>
          </cell>
        </row>
        <row r="6476">
          <cell r="D6476" t="str">
            <v>IT&amp;NS</v>
          </cell>
          <cell r="F6476">
            <v>8987.68</v>
          </cell>
          <cell r="G6476">
            <v>0</v>
          </cell>
          <cell r="H6476">
            <v>0</v>
          </cell>
        </row>
        <row r="6477">
          <cell r="D6477" t="str">
            <v>IT&amp;NS</v>
          </cell>
          <cell r="F6477">
            <v>8987.68</v>
          </cell>
          <cell r="G6477">
            <v>0</v>
          </cell>
          <cell r="H6477">
            <v>0</v>
          </cell>
        </row>
        <row r="6478">
          <cell r="D6478" t="str">
            <v>IT&amp;NS</v>
          </cell>
          <cell r="F6478">
            <v>8987.68</v>
          </cell>
          <cell r="G6478">
            <v>0</v>
          </cell>
          <cell r="H6478">
            <v>0</v>
          </cell>
        </row>
        <row r="6479">
          <cell r="D6479" t="str">
            <v>IT&amp;NS</v>
          </cell>
          <cell r="F6479">
            <v>8987.68</v>
          </cell>
          <cell r="G6479">
            <v>0</v>
          </cell>
          <cell r="H6479">
            <v>0</v>
          </cell>
        </row>
        <row r="6480">
          <cell r="D6480" t="str">
            <v>IT&amp;NS</v>
          </cell>
          <cell r="F6480">
            <v>8987.68</v>
          </cell>
          <cell r="G6480">
            <v>0</v>
          </cell>
          <cell r="H6480">
            <v>0</v>
          </cell>
        </row>
        <row r="6481">
          <cell r="D6481" t="str">
            <v>IT&amp;NS</v>
          </cell>
          <cell r="F6481">
            <v>8987.68</v>
          </cell>
          <cell r="G6481">
            <v>0</v>
          </cell>
          <cell r="H6481">
            <v>0</v>
          </cell>
        </row>
        <row r="6482">
          <cell r="D6482" t="str">
            <v>IT&amp;NS</v>
          </cell>
          <cell r="F6482">
            <v>8987.68</v>
          </cell>
          <cell r="G6482">
            <v>0</v>
          </cell>
          <cell r="H6482">
            <v>0</v>
          </cell>
        </row>
        <row r="6483">
          <cell r="D6483" t="str">
            <v>IT&amp;NS</v>
          </cell>
          <cell r="F6483">
            <v>8987.68</v>
          </cell>
          <cell r="G6483">
            <v>0</v>
          </cell>
          <cell r="H6483">
            <v>0</v>
          </cell>
        </row>
        <row r="6484">
          <cell r="D6484" t="str">
            <v>IT&amp;NS</v>
          </cell>
          <cell r="F6484">
            <v>8987.68</v>
          </cell>
          <cell r="G6484">
            <v>0</v>
          </cell>
          <cell r="H6484">
            <v>0</v>
          </cell>
        </row>
        <row r="6485">
          <cell r="D6485" t="str">
            <v>IT&amp;NS</v>
          </cell>
          <cell r="F6485">
            <v>8987.68</v>
          </cell>
          <cell r="G6485">
            <v>0</v>
          </cell>
          <cell r="H6485">
            <v>0</v>
          </cell>
        </row>
        <row r="6486">
          <cell r="D6486" t="str">
            <v>IT&amp;NS</v>
          </cell>
          <cell r="F6486">
            <v>8987.68</v>
          </cell>
          <cell r="G6486">
            <v>0</v>
          </cell>
          <cell r="H6486">
            <v>0</v>
          </cell>
        </row>
        <row r="6487">
          <cell r="D6487" t="str">
            <v>IT&amp;NS</v>
          </cell>
          <cell r="F6487">
            <v>8987.68</v>
          </cell>
          <cell r="G6487">
            <v>0</v>
          </cell>
          <cell r="H6487">
            <v>0</v>
          </cell>
        </row>
        <row r="6488">
          <cell r="D6488" t="str">
            <v>IT&amp;NS</v>
          </cell>
          <cell r="F6488">
            <v>8987.68</v>
          </cell>
          <cell r="G6488">
            <v>0</v>
          </cell>
          <cell r="H6488">
            <v>0</v>
          </cell>
        </row>
        <row r="6489">
          <cell r="D6489" t="str">
            <v>IT&amp;NS</v>
          </cell>
          <cell r="F6489">
            <v>8987.68</v>
          </cell>
          <cell r="G6489">
            <v>0</v>
          </cell>
          <cell r="H6489">
            <v>0</v>
          </cell>
        </row>
        <row r="6490">
          <cell r="D6490" t="str">
            <v>IT&amp;NS</v>
          </cell>
          <cell r="F6490">
            <v>8987.68</v>
          </cell>
          <cell r="G6490">
            <v>0</v>
          </cell>
          <cell r="H6490">
            <v>0</v>
          </cell>
        </row>
        <row r="6491">
          <cell r="D6491" t="str">
            <v>IT&amp;NS</v>
          </cell>
          <cell r="F6491">
            <v>8987.68</v>
          </cell>
          <cell r="G6491">
            <v>0</v>
          </cell>
          <cell r="H6491">
            <v>0</v>
          </cell>
        </row>
        <row r="6492">
          <cell r="D6492" t="str">
            <v>IT&amp;NS</v>
          </cell>
          <cell r="F6492">
            <v>8987.68</v>
          </cell>
          <cell r="G6492">
            <v>0</v>
          </cell>
          <cell r="H6492">
            <v>0</v>
          </cell>
        </row>
        <row r="6493">
          <cell r="D6493" t="str">
            <v>IT&amp;NS</v>
          </cell>
          <cell r="F6493">
            <v>8987.68</v>
          </cell>
          <cell r="G6493">
            <v>0</v>
          </cell>
          <cell r="H6493">
            <v>0</v>
          </cell>
        </row>
        <row r="6494">
          <cell r="D6494" t="str">
            <v>IT&amp;NS</v>
          </cell>
          <cell r="F6494">
            <v>8987.68</v>
          </cell>
          <cell r="G6494">
            <v>0</v>
          </cell>
          <cell r="H6494">
            <v>0</v>
          </cell>
        </row>
        <row r="6495">
          <cell r="D6495" t="str">
            <v>IT&amp;NS</v>
          </cell>
          <cell r="F6495">
            <v>8987.68</v>
          </cell>
          <cell r="G6495">
            <v>0</v>
          </cell>
          <cell r="H6495">
            <v>0</v>
          </cell>
        </row>
        <row r="6496">
          <cell r="D6496" t="str">
            <v>IT&amp;NS</v>
          </cell>
          <cell r="F6496">
            <v>8987.68</v>
          </cell>
          <cell r="G6496">
            <v>0</v>
          </cell>
          <cell r="H6496">
            <v>0</v>
          </cell>
        </row>
        <row r="6497">
          <cell r="D6497" t="str">
            <v>IT&amp;NS</v>
          </cell>
          <cell r="F6497">
            <v>8987.68</v>
          </cell>
          <cell r="G6497">
            <v>0</v>
          </cell>
          <cell r="H6497">
            <v>0</v>
          </cell>
        </row>
        <row r="6498">
          <cell r="D6498" t="str">
            <v>IT&amp;NS</v>
          </cell>
          <cell r="F6498">
            <v>8987.68</v>
          </cell>
          <cell r="G6498">
            <v>0</v>
          </cell>
          <cell r="H6498">
            <v>0</v>
          </cell>
        </row>
        <row r="6499">
          <cell r="D6499" t="str">
            <v>IT&amp;NS</v>
          </cell>
          <cell r="F6499">
            <v>8987.68</v>
          </cell>
          <cell r="G6499">
            <v>0</v>
          </cell>
          <cell r="H6499">
            <v>0</v>
          </cell>
        </row>
        <row r="6500">
          <cell r="D6500" t="str">
            <v>IT&amp;NS</v>
          </cell>
          <cell r="F6500">
            <v>8987.68</v>
          </cell>
          <cell r="G6500">
            <v>0</v>
          </cell>
          <cell r="H6500">
            <v>0</v>
          </cell>
        </row>
        <row r="6501">
          <cell r="D6501" t="str">
            <v>IT&amp;NS</v>
          </cell>
          <cell r="F6501">
            <v>8987.68</v>
          </cell>
          <cell r="G6501">
            <v>0</v>
          </cell>
          <cell r="H6501">
            <v>0</v>
          </cell>
        </row>
        <row r="6502">
          <cell r="D6502" t="str">
            <v>IT&amp;NS</v>
          </cell>
          <cell r="F6502">
            <v>8987.68</v>
          </cell>
          <cell r="G6502">
            <v>0</v>
          </cell>
          <cell r="H6502">
            <v>0</v>
          </cell>
        </row>
        <row r="6503">
          <cell r="D6503" t="str">
            <v>IT&amp;NS</v>
          </cell>
          <cell r="F6503">
            <v>8987.68</v>
          </cell>
          <cell r="G6503">
            <v>0</v>
          </cell>
          <cell r="H6503">
            <v>0</v>
          </cell>
        </row>
        <row r="6504">
          <cell r="D6504" t="str">
            <v>IT&amp;NS</v>
          </cell>
          <cell r="F6504">
            <v>8987.68</v>
          </cell>
          <cell r="G6504">
            <v>0</v>
          </cell>
          <cell r="H6504">
            <v>0</v>
          </cell>
        </row>
        <row r="6505">
          <cell r="D6505" t="str">
            <v>IT&amp;NS</v>
          </cell>
          <cell r="F6505">
            <v>8987.68</v>
          </cell>
          <cell r="G6505">
            <v>0</v>
          </cell>
          <cell r="H6505">
            <v>0</v>
          </cell>
        </row>
        <row r="6506">
          <cell r="D6506" t="str">
            <v>IT&amp;NS</v>
          </cell>
          <cell r="F6506">
            <v>8987.68</v>
          </cell>
          <cell r="G6506">
            <v>0</v>
          </cell>
          <cell r="H6506">
            <v>0</v>
          </cell>
        </row>
        <row r="6507">
          <cell r="D6507" t="str">
            <v>IT&amp;NS</v>
          </cell>
          <cell r="F6507">
            <v>8987.68</v>
          </cell>
          <cell r="G6507">
            <v>0</v>
          </cell>
          <cell r="H6507">
            <v>0</v>
          </cell>
        </row>
        <row r="6508">
          <cell r="D6508" t="str">
            <v>IT&amp;NS</v>
          </cell>
          <cell r="F6508">
            <v>8987.68</v>
          </cell>
          <cell r="G6508">
            <v>0</v>
          </cell>
          <cell r="H6508">
            <v>0</v>
          </cell>
        </row>
        <row r="6509">
          <cell r="D6509" t="str">
            <v>IT&amp;NS</v>
          </cell>
          <cell r="F6509">
            <v>8987.68</v>
          </cell>
          <cell r="G6509">
            <v>0</v>
          </cell>
          <cell r="H6509">
            <v>0</v>
          </cell>
        </row>
        <row r="6510">
          <cell r="D6510" t="str">
            <v>IT&amp;NS</v>
          </cell>
          <cell r="F6510">
            <v>8987.68</v>
          </cell>
          <cell r="G6510">
            <v>0</v>
          </cell>
          <cell r="H6510">
            <v>0</v>
          </cell>
        </row>
        <row r="6511">
          <cell r="D6511" t="str">
            <v>IT&amp;NS</v>
          </cell>
          <cell r="F6511">
            <v>8987.68</v>
          </cell>
          <cell r="G6511">
            <v>0</v>
          </cell>
          <cell r="H6511">
            <v>0</v>
          </cell>
        </row>
        <row r="6512">
          <cell r="D6512" t="str">
            <v>IT&amp;NS</v>
          </cell>
          <cell r="F6512">
            <v>8987.68</v>
          </cell>
          <cell r="G6512">
            <v>0</v>
          </cell>
          <cell r="H6512">
            <v>0</v>
          </cell>
        </row>
        <row r="6513">
          <cell r="D6513" t="str">
            <v>IT&amp;NS</v>
          </cell>
          <cell r="F6513">
            <v>8987.68</v>
          </cell>
          <cell r="G6513">
            <v>0</v>
          </cell>
          <cell r="H6513">
            <v>0</v>
          </cell>
        </row>
        <row r="6514">
          <cell r="D6514" t="str">
            <v>IT&amp;NS</v>
          </cell>
          <cell r="F6514">
            <v>8987.68</v>
          </cell>
          <cell r="G6514">
            <v>0</v>
          </cell>
          <cell r="H6514">
            <v>0</v>
          </cell>
        </row>
        <row r="6515">
          <cell r="D6515" t="str">
            <v>IT&amp;NS</v>
          </cell>
          <cell r="F6515">
            <v>8987.68</v>
          </cell>
          <cell r="G6515">
            <v>0</v>
          </cell>
          <cell r="H6515">
            <v>0</v>
          </cell>
        </row>
        <row r="6516">
          <cell r="D6516" t="str">
            <v>IT&amp;NS</v>
          </cell>
          <cell r="F6516">
            <v>8987.68</v>
          </cell>
          <cell r="G6516">
            <v>0</v>
          </cell>
          <cell r="H6516">
            <v>0</v>
          </cell>
        </row>
        <row r="6517">
          <cell r="D6517" t="str">
            <v>IT&amp;NS</v>
          </cell>
          <cell r="F6517">
            <v>8987.68</v>
          </cell>
          <cell r="G6517">
            <v>0</v>
          </cell>
          <cell r="H6517">
            <v>0</v>
          </cell>
        </row>
        <row r="6518">
          <cell r="D6518" t="str">
            <v>IT&amp;NS</v>
          </cell>
          <cell r="F6518">
            <v>8987.68</v>
          </cell>
          <cell r="G6518">
            <v>0</v>
          </cell>
          <cell r="H6518">
            <v>0</v>
          </cell>
        </row>
        <row r="6519">
          <cell r="D6519" t="str">
            <v>IT&amp;NS</v>
          </cell>
          <cell r="F6519">
            <v>8987.68</v>
          </cell>
          <cell r="G6519">
            <v>0</v>
          </cell>
          <cell r="H6519">
            <v>0</v>
          </cell>
        </row>
        <row r="6520">
          <cell r="D6520" t="str">
            <v>IT&amp;NS</v>
          </cell>
          <cell r="F6520">
            <v>8987.68</v>
          </cell>
          <cell r="G6520">
            <v>0</v>
          </cell>
          <cell r="H6520">
            <v>0</v>
          </cell>
        </row>
        <row r="6521">
          <cell r="D6521" t="str">
            <v>IT&amp;NS</v>
          </cell>
          <cell r="F6521">
            <v>8987.68</v>
          </cell>
          <cell r="G6521">
            <v>0</v>
          </cell>
          <cell r="H6521">
            <v>0</v>
          </cell>
        </row>
        <row r="6522">
          <cell r="D6522" t="str">
            <v>IT&amp;NS</v>
          </cell>
          <cell r="F6522">
            <v>8987.68</v>
          </cell>
          <cell r="G6522">
            <v>0</v>
          </cell>
          <cell r="H6522">
            <v>0</v>
          </cell>
        </row>
        <row r="6523">
          <cell r="D6523" t="str">
            <v>IT&amp;NS</v>
          </cell>
          <cell r="F6523">
            <v>8987.68</v>
          </cell>
          <cell r="G6523">
            <v>0</v>
          </cell>
          <cell r="H6523">
            <v>0</v>
          </cell>
        </row>
        <row r="6524">
          <cell r="D6524" t="str">
            <v>IT&amp;NS</v>
          </cell>
          <cell r="F6524">
            <v>8987.68</v>
          </cell>
          <cell r="G6524">
            <v>0</v>
          </cell>
          <cell r="H6524">
            <v>0</v>
          </cell>
        </row>
        <row r="6525">
          <cell r="D6525" t="str">
            <v>IT&amp;NS</v>
          </cell>
          <cell r="F6525">
            <v>8987.68</v>
          </cell>
          <cell r="G6525">
            <v>0</v>
          </cell>
          <cell r="H6525">
            <v>0</v>
          </cell>
        </row>
        <row r="6526">
          <cell r="D6526" t="str">
            <v>IT&amp;NS</v>
          </cell>
          <cell r="F6526">
            <v>8987.68</v>
          </cell>
          <cell r="G6526">
            <v>0</v>
          </cell>
          <cell r="H6526">
            <v>0</v>
          </cell>
        </row>
        <row r="6527">
          <cell r="D6527" t="str">
            <v>IT&amp;NS</v>
          </cell>
          <cell r="F6527">
            <v>8987.68</v>
          </cell>
          <cell r="G6527">
            <v>0</v>
          </cell>
          <cell r="H6527">
            <v>0</v>
          </cell>
        </row>
        <row r="6528">
          <cell r="D6528" t="str">
            <v>IT&amp;NS</v>
          </cell>
          <cell r="F6528">
            <v>8987.68</v>
          </cell>
          <cell r="G6528">
            <v>0</v>
          </cell>
          <cell r="H6528">
            <v>0</v>
          </cell>
        </row>
        <row r="6529">
          <cell r="D6529" t="str">
            <v>IT&amp;NS</v>
          </cell>
          <cell r="F6529">
            <v>8987.68</v>
          </cell>
          <cell r="G6529">
            <v>0</v>
          </cell>
          <cell r="H6529">
            <v>0</v>
          </cell>
        </row>
        <row r="6530">
          <cell r="D6530" t="str">
            <v>IT&amp;NS</v>
          </cell>
          <cell r="F6530">
            <v>8987.68</v>
          </cell>
          <cell r="G6530">
            <v>0</v>
          </cell>
          <cell r="H6530">
            <v>0</v>
          </cell>
        </row>
        <row r="6531">
          <cell r="D6531" t="str">
            <v>IT&amp;NS</v>
          </cell>
          <cell r="F6531">
            <v>8987.68</v>
          </cell>
          <cell r="G6531">
            <v>0</v>
          </cell>
          <cell r="H6531">
            <v>0</v>
          </cell>
        </row>
        <row r="6532">
          <cell r="D6532" t="str">
            <v>IT&amp;NS</v>
          </cell>
          <cell r="F6532">
            <v>8987.68</v>
          </cell>
          <cell r="G6532">
            <v>0</v>
          </cell>
          <cell r="H6532">
            <v>0</v>
          </cell>
        </row>
        <row r="6533">
          <cell r="D6533" t="str">
            <v>IT&amp;NS</v>
          </cell>
          <cell r="F6533">
            <v>8987.68</v>
          </cell>
          <cell r="G6533">
            <v>0</v>
          </cell>
          <cell r="H6533">
            <v>0</v>
          </cell>
        </row>
        <row r="6534">
          <cell r="D6534" t="str">
            <v>IT&amp;NS</v>
          </cell>
          <cell r="F6534">
            <v>8987.68</v>
          </cell>
          <cell r="G6534">
            <v>0</v>
          </cell>
          <cell r="H6534">
            <v>0</v>
          </cell>
        </row>
        <row r="6535">
          <cell r="D6535" t="str">
            <v>IT&amp;NS</v>
          </cell>
          <cell r="F6535">
            <v>8987.68</v>
          </cell>
          <cell r="G6535">
            <v>0</v>
          </cell>
          <cell r="H6535">
            <v>0</v>
          </cell>
        </row>
        <row r="6536">
          <cell r="D6536" t="str">
            <v>IT&amp;NS</v>
          </cell>
          <cell r="F6536">
            <v>8987.68</v>
          </cell>
          <cell r="G6536">
            <v>0</v>
          </cell>
          <cell r="H6536">
            <v>0</v>
          </cell>
        </row>
        <row r="6537">
          <cell r="D6537" t="str">
            <v>IT&amp;NS</v>
          </cell>
          <cell r="F6537">
            <v>8987.68</v>
          </cell>
          <cell r="G6537">
            <v>0</v>
          </cell>
          <cell r="H6537">
            <v>0</v>
          </cell>
        </row>
        <row r="6538">
          <cell r="D6538" t="str">
            <v>IT&amp;NS</v>
          </cell>
          <cell r="F6538">
            <v>8987.68</v>
          </cell>
          <cell r="G6538">
            <v>0</v>
          </cell>
          <cell r="H6538">
            <v>0</v>
          </cell>
        </row>
        <row r="6539">
          <cell r="D6539" t="str">
            <v>IT&amp;NS</v>
          </cell>
          <cell r="F6539">
            <v>8987.68</v>
          </cell>
          <cell r="G6539">
            <v>0</v>
          </cell>
          <cell r="H6539">
            <v>0</v>
          </cell>
        </row>
        <row r="6540">
          <cell r="D6540" t="str">
            <v>IT&amp;NS</v>
          </cell>
          <cell r="F6540">
            <v>1365.52</v>
          </cell>
          <cell r="G6540">
            <v>0</v>
          </cell>
          <cell r="H6540">
            <v>0</v>
          </cell>
        </row>
        <row r="6541">
          <cell r="D6541" t="str">
            <v>IT&amp;NS</v>
          </cell>
          <cell r="F6541">
            <v>1365.52</v>
          </cell>
          <cell r="G6541">
            <v>0</v>
          </cell>
          <cell r="H6541">
            <v>0</v>
          </cell>
        </row>
        <row r="6542">
          <cell r="D6542" t="str">
            <v>IT&amp;NS</v>
          </cell>
          <cell r="F6542">
            <v>1365.52</v>
          </cell>
          <cell r="G6542">
            <v>0</v>
          </cell>
          <cell r="H6542">
            <v>0</v>
          </cell>
        </row>
        <row r="6543">
          <cell r="D6543" t="str">
            <v>IT&amp;NS</v>
          </cell>
          <cell r="F6543">
            <v>1365.52</v>
          </cell>
          <cell r="G6543">
            <v>0</v>
          </cell>
          <cell r="H6543">
            <v>0</v>
          </cell>
        </row>
        <row r="6544">
          <cell r="D6544" t="str">
            <v>IT&amp;NS</v>
          </cell>
          <cell r="F6544">
            <v>1365.52</v>
          </cell>
          <cell r="G6544">
            <v>0</v>
          </cell>
          <cell r="H6544">
            <v>0</v>
          </cell>
        </row>
        <row r="6545">
          <cell r="D6545" t="str">
            <v>IT&amp;NS</v>
          </cell>
          <cell r="F6545">
            <v>1365.52</v>
          </cell>
          <cell r="G6545">
            <v>0</v>
          </cell>
          <cell r="H6545">
            <v>0</v>
          </cell>
        </row>
        <row r="6546">
          <cell r="D6546" t="str">
            <v>IT&amp;NS</v>
          </cell>
          <cell r="F6546">
            <v>1365.52</v>
          </cell>
          <cell r="G6546">
            <v>0</v>
          </cell>
          <cell r="H6546">
            <v>0</v>
          </cell>
        </row>
        <row r="6547">
          <cell r="D6547" t="str">
            <v>IT&amp;NS</v>
          </cell>
          <cell r="F6547">
            <v>1365.52</v>
          </cell>
          <cell r="G6547">
            <v>0</v>
          </cell>
          <cell r="H6547">
            <v>0</v>
          </cell>
        </row>
        <row r="6548">
          <cell r="D6548" t="str">
            <v>IT&amp;NS</v>
          </cell>
          <cell r="F6548">
            <v>1365.52</v>
          </cell>
          <cell r="G6548">
            <v>0</v>
          </cell>
          <cell r="H6548">
            <v>0</v>
          </cell>
        </row>
        <row r="6549">
          <cell r="D6549" t="str">
            <v>IT&amp;NS</v>
          </cell>
          <cell r="F6549">
            <v>1365.52</v>
          </cell>
          <cell r="G6549">
            <v>0</v>
          </cell>
          <cell r="H6549">
            <v>0</v>
          </cell>
        </row>
        <row r="6550">
          <cell r="D6550" t="str">
            <v>IT&amp;NS</v>
          </cell>
          <cell r="F6550">
            <v>1365.52</v>
          </cell>
          <cell r="G6550">
            <v>0</v>
          </cell>
          <cell r="H6550">
            <v>0</v>
          </cell>
        </row>
        <row r="6551">
          <cell r="D6551" t="str">
            <v>IT&amp;NS</v>
          </cell>
          <cell r="F6551">
            <v>1365.52</v>
          </cell>
          <cell r="G6551">
            <v>0</v>
          </cell>
          <cell r="H6551">
            <v>0</v>
          </cell>
        </row>
        <row r="6552">
          <cell r="D6552" t="str">
            <v>IT&amp;NS</v>
          </cell>
          <cell r="F6552">
            <v>1365.52</v>
          </cell>
          <cell r="G6552">
            <v>0</v>
          </cell>
          <cell r="H6552">
            <v>0</v>
          </cell>
        </row>
        <row r="6553">
          <cell r="D6553" t="str">
            <v>IT&amp;NS</v>
          </cell>
          <cell r="F6553">
            <v>1365.52</v>
          </cell>
          <cell r="G6553">
            <v>0</v>
          </cell>
          <cell r="H6553">
            <v>0</v>
          </cell>
        </row>
        <row r="6554">
          <cell r="D6554" t="str">
            <v>IT&amp;NS</v>
          </cell>
          <cell r="F6554">
            <v>1365.52</v>
          </cell>
          <cell r="G6554">
            <v>0</v>
          </cell>
          <cell r="H6554">
            <v>0</v>
          </cell>
        </row>
        <row r="6555">
          <cell r="D6555" t="str">
            <v>IT&amp;NS</v>
          </cell>
          <cell r="F6555">
            <v>1365.52</v>
          </cell>
          <cell r="G6555">
            <v>0</v>
          </cell>
          <cell r="H6555">
            <v>0</v>
          </cell>
        </row>
        <row r="6556">
          <cell r="D6556" t="str">
            <v>IT&amp;NS</v>
          </cell>
          <cell r="F6556">
            <v>1365.52</v>
          </cell>
          <cell r="G6556">
            <v>0</v>
          </cell>
          <cell r="H6556">
            <v>0</v>
          </cell>
        </row>
        <row r="6557">
          <cell r="D6557" t="str">
            <v>IT&amp;NS</v>
          </cell>
          <cell r="F6557">
            <v>1365.52</v>
          </cell>
          <cell r="G6557">
            <v>0</v>
          </cell>
          <cell r="H6557">
            <v>0</v>
          </cell>
        </row>
        <row r="6558">
          <cell r="D6558" t="str">
            <v>IT&amp;NS</v>
          </cell>
          <cell r="F6558">
            <v>1365.52</v>
          </cell>
          <cell r="G6558">
            <v>0</v>
          </cell>
          <cell r="H6558">
            <v>0</v>
          </cell>
        </row>
        <row r="6559">
          <cell r="D6559" t="str">
            <v>IT&amp;NS</v>
          </cell>
          <cell r="F6559">
            <v>1365.52</v>
          </cell>
          <cell r="G6559">
            <v>0</v>
          </cell>
          <cell r="H6559">
            <v>0</v>
          </cell>
        </row>
        <row r="6560">
          <cell r="D6560" t="str">
            <v>IT&amp;NS</v>
          </cell>
          <cell r="F6560">
            <v>1365.52</v>
          </cell>
          <cell r="G6560">
            <v>0</v>
          </cell>
          <cell r="H6560">
            <v>0</v>
          </cell>
        </row>
        <row r="6561">
          <cell r="D6561" t="str">
            <v>IT&amp;NS</v>
          </cell>
          <cell r="F6561">
            <v>1365.52</v>
          </cell>
          <cell r="G6561">
            <v>0</v>
          </cell>
          <cell r="H6561">
            <v>0</v>
          </cell>
        </row>
        <row r="6562">
          <cell r="D6562" t="str">
            <v>IT&amp;NS</v>
          </cell>
          <cell r="F6562">
            <v>1365.52</v>
          </cell>
          <cell r="G6562">
            <v>0</v>
          </cell>
          <cell r="H6562">
            <v>0</v>
          </cell>
        </row>
        <row r="6563">
          <cell r="D6563" t="str">
            <v>IT&amp;NS</v>
          </cell>
          <cell r="F6563">
            <v>1365.52</v>
          </cell>
          <cell r="G6563">
            <v>0</v>
          </cell>
          <cell r="H6563">
            <v>0</v>
          </cell>
        </row>
        <row r="6564">
          <cell r="D6564" t="str">
            <v>IT&amp;NS</v>
          </cell>
          <cell r="F6564">
            <v>1365.52</v>
          </cell>
          <cell r="G6564">
            <v>0</v>
          </cell>
          <cell r="H6564">
            <v>0</v>
          </cell>
        </row>
        <row r="6565">
          <cell r="D6565" t="str">
            <v>IT&amp;NS</v>
          </cell>
          <cell r="F6565">
            <v>1365.52</v>
          </cell>
          <cell r="G6565">
            <v>0</v>
          </cell>
          <cell r="H6565">
            <v>0</v>
          </cell>
        </row>
        <row r="6566">
          <cell r="D6566" t="str">
            <v>IT&amp;NS</v>
          </cell>
          <cell r="F6566">
            <v>1365.52</v>
          </cell>
          <cell r="G6566">
            <v>0</v>
          </cell>
          <cell r="H6566">
            <v>0</v>
          </cell>
        </row>
        <row r="6567">
          <cell r="D6567" t="str">
            <v>IT&amp;NS</v>
          </cell>
          <cell r="F6567">
            <v>1365.52</v>
          </cell>
          <cell r="G6567">
            <v>0</v>
          </cell>
          <cell r="H6567">
            <v>0</v>
          </cell>
        </row>
        <row r="6568">
          <cell r="D6568" t="str">
            <v>IT&amp;NS</v>
          </cell>
          <cell r="F6568">
            <v>1365.52</v>
          </cell>
          <cell r="G6568">
            <v>0</v>
          </cell>
          <cell r="H6568">
            <v>0</v>
          </cell>
        </row>
        <row r="6569">
          <cell r="D6569" t="str">
            <v>IT&amp;NS</v>
          </cell>
          <cell r="F6569">
            <v>1365.52</v>
          </cell>
          <cell r="G6569">
            <v>0</v>
          </cell>
          <cell r="H6569">
            <v>0</v>
          </cell>
        </row>
        <row r="6570">
          <cell r="D6570" t="str">
            <v>IT&amp;NS</v>
          </cell>
          <cell r="F6570">
            <v>1365.52</v>
          </cell>
          <cell r="G6570">
            <v>0</v>
          </cell>
          <cell r="H6570">
            <v>0</v>
          </cell>
        </row>
        <row r="6571">
          <cell r="D6571" t="str">
            <v>IT&amp;NS</v>
          </cell>
          <cell r="F6571">
            <v>1365.52</v>
          </cell>
          <cell r="G6571">
            <v>0</v>
          </cell>
          <cell r="H6571">
            <v>0</v>
          </cell>
        </row>
        <row r="6572">
          <cell r="D6572" t="str">
            <v>IT&amp;NS</v>
          </cell>
          <cell r="F6572">
            <v>1365.52</v>
          </cell>
          <cell r="G6572">
            <v>0</v>
          </cell>
          <cell r="H6572">
            <v>0</v>
          </cell>
        </row>
        <row r="6573">
          <cell r="D6573" t="str">
            <v>IT&amp;NS</v>
          </cell>
          <cell r="F6573">
            <v>1365.52</v>
          </cell>
          <cell r="G6573">
            <v>0</v>
          </cell>
          <cell r="H6573">
            <v>0</v>
          </cell>
        </row>
        <row r="6574">
          <cell r="D6574" t="str">
            <v>IT&amp;NS</v>
          </cell>
          <cell r="F6574">
            <v>1365.52</v>
          </cell>
          <cell r="G6574">
            <v>0</v>
          </cell>
          <cell r="H6574">
            <v>0</v>
          </cell>
        </row>
        <row r="6575">
          <cell r="D6575" t="str">
            <v>IT&amp;NS</v>
          </cell>
          <cell r="F6575">
            <v>1365.52</v>
          </cell>
          <cell r="G6575">
            <v>0</v>
          </cell>
          <cell r="H6575">
            <v>0</v>
          </cell>
        </row>
        <row r="6576">
          <cell r="D6576" t="str">
            <v>IT&amp;NS</v>
          </cell>
          <cell r="F6576">
            <v>1365.52</v>
          </cell>
          <cell r="G6576">
            <v>0</v>
          </cell>
          <cell r="H6576">
            <v>0</v>
          </cell>
        </row>
        <row r="6577">
          <cell r="D6577" t="str">
            <v>IT&amp;NS</v>
          </cell>
          <cell r="F6577">
            <v>1365.52</v>
          </cell>
          <cell r="G6577">
            <v>0</v>
          </cell>
          <cell r="H6577">
            <v>0</v>
          </cell>
        </row>
        <row r="6578">
          <cell r="D6578" t="str">
            <v>IT&amp;NS</v>
          </cell>
          <cell r="F6578">
            <v>1365.52</v>
          </cell>
          <cell r="G6578">
            <v>0</v>
          </cell>
          <cell r="H6578">
            <v>0</v>
          </cell>
        </row>
        <row r="6579">
          <cell r="D6579" t="str">
            <v>IT&amp;NS</v>
          </cell>
          <cell r="F6579">
            <v>1365.52</v>
          </cell>
          <cell r="G6579">
            <v>0</v>
          </cell>
          <cell r="H6579">
            <v>0</v>
          </cell>
        </row>
        <row r="6580">
          <cell r="D6580" t="str">
            <v>IT&amp;NS</v>
          </cell>
          <cell r="F6580">
            <v>1365.52</v>
          </cell>
          <cell r="G6580">
            <v>0</v>
          </cell>
          <cell r="H6580">
            <v>0</v>
          </cell>
        </row>
        <row r="6581">
          <cell r="D6581" t="str">
            <v>IT&amp;NS</v>
          </cell>
          <cell r="F6581">
            <v>1365.52</v>
          </cell>
          <cell r="G6581">
            <v>0</v>
          </cell>
          <cell r="H6581">
            <v>0</v>
          </cell>
        </row>
        <row r="6582">
          <cell r="D6582" t="str">
            <v>IT&amp;NS</v>
          </cell>
          <cell r="F6582">
            <v>1365.52</v>
          </cell>
          <cell r="G6582">
            <v>0</v>
          </cell>
          <cell r="H6582">
            <v>0</v>
          </cell>
        </row>
        <row r="6583">
          <cell r="D6583" t="str">
            <v>IT&amp;NS</v>
          </cell>
          <cell r="F6583">
            <v>1365.52</v>
          </cell>
          <cell r="G6583">
            <v>0</v>
          </cell>
          <cell r="H6583">
            <v>0</v>
          </cell>
        </row>
        <row r="6584">
          <cell r="D6584" t="str">
            <v>IT&amp;NS</v>
          </cell>
          <cell r="F6584">
            <v>1365.52</v>
          </cell>
          <cell r="G6584">
            <v>0</v>
          </cell>
          <cell r="H6584">
            <v>0</v>
          </cell>
        </row>
        <row r="6585">
          <cell r="D6585" t="str">
            <v>IT&amp;NS</v>
          </cell>
          <cell r="F6585">
            <v>1365.52</v>
          </cell>
          <cell r="G6585">
            <v>0</v>
          </cell>
          <cell r="H6585">
            <v>0</v>
          </cell>
        </row>
        <row r="6586">
          <cell r="D6586" t="str">
            <v>IT&amp;NS</v>
          </cell>
          <cell r="F6586">
            <v>1365.52</v>
          </cell>
          <cell r="G6586">
            <v>0</v>
          </cell>
          <cell r="H6586">
            <v>0</v>
          </cell>
        </row>
        <row r="6587">
          <cell r="D6587" t="str">
            <v>IT&amp;NS</v>
          </cell>
          <cell r="F6587">
            <v>1365.52</v>
          </cell>
          <cell r="G6587">
            <v>0</v>
          </cell>
          <cell r="H6587">
            <v>0</v>
          </cell>
        </row>
        <row r="6588">
          <cell r="D6588" t="str">
            <v>IT&amp;NS</v>
          </cell>
          <cell r="F6588">
            <v>1365.52</v>
          </cell>
          <cell r="G6588">
            <v>0</v>
          </cell>
          <cell r="H6588">
            <v>0</v>
          </cell>
        </row>
        <row r="6589">
          <cell r="D6589" t="str">
            <v>IT&amp;NS</v>
          </cell>
          <cell r="F6589">
            <v>1365.52</v>
          </cell>
          <cell r="G6589">
            <v>0</v>
          </cell>
          <cell r="H6589">
            <v>0</v>
          </cell>
        </row>
        <row r="6590">
          <cell r="D6590" t="str">
            <v>IT&amp;NS</v>
          </cell>
          <cell r="F6590">
            <v>1365.52</v>
          </cell>
          <cell r="G6590">
            <v>0</v>
          </cell>
          <cell r="H6590">
            <v>0</v>
          </cell>
        </row>
        <row r="6591">
          <cell r="D6591" t="str">
            <v>IT&amp;NS</v>
          </cell>
          <cell r="F6591">
            <v>1365.52</v>
          </cell>
          <cell r="G6591">
            <v>0</v>
          </cell>
          <cell r="H6591">
            <v>0</v>
          </cell>
        </row>
        <row r="6592">
          <cell r="D6592" t="str">
            <v>IT&amp;NS</v>
          </cell>
          <cell r="F6592">
            <v>1365.52</v>
          </cell>
          <cell r="G6592">
            <v>0</v>
          </cell>
          <cell r="H6592">
            <v>0</v>
          </cell>
        </row>
        <row r="6593">
          <cell r="D6593" t="str">
            <v>IT&amp;NS</v>
          </cell>
          <cell r="F6593">
            <v>1365.52</v>
          </cell>
          <cell r="G6593">
            <v>0</v>
          </cell>
          <cell r="H6593">
            <v>0</v>
          </cell>
        </row>
        <row r="6594">
          <cell r="D6594" t="str">
            <v>IT&amp;NS</v>
          </cell>
          <cell r="F6594">
            <v>1365.52</v>
          </cell>
          <cell r="G6594">
            <v>0</v>
          </cell>
          <cell r="H6594">
            <v>0</v>
          </cell>
        </row>
        <row r="6595">
          <cell r="D6595" t="str">
            <v>IT&amp;NS</v>
          </cell>
          <cell r="F6595">
            <v>1365.52</v>
          </cell>
          <cell r="G6595">
            <v>0</v>
          </cell>
          <cell r="H6595">
            <v>0</v>
          </cell>
        </row>
        <row r="6596">
          <cell r="D6596" t="str">
            <v>IT&amp;NS</v>
          </cell>
          <cell r="F6596">
            <v>1365.52</v>
          </cell>
          <cell r="G6596">
            <v>0</v>
          </cell>
          <cell r="H6596">
            <v>0</v>
          </cell>
        </row>
        <row r="6597">
          <cell r="D6597" t="str">
            <v>IT&amp;NS</v>
          </cell>
          <cell r="F6597">
            <v>1365.52</v>
          </cell>
          <cell r="G6597">
            <v>0</v>
          </cell>
          <cell r="H6597">
            <v>0</v>
          </cell>
        </row>
        <row r="6598">
          <cell r="D6598" t="str">
            <v>IT&amp;NS</v>
          </cell>
          <cell r="F6598">
            <v>1365.52</v>
          </cell>
          <cell r="G6598">
            <v>0</v>
          </cell>
          <cell r="H6598">
            <v>0</v>
          </cell>
        </row>
        <row r="6599">
          <cell r="D6599" t="str">
            <v>IT&amp;NS</v>
          </cell>
          <cell r="F6599">
            <v>1365.52</v>
          </cell>
          <cell r="G6599">
            <v>0</v>
          </cell>
          <cell r="H6599">
            <v>0</v>
          </cell>
        </row>
        <row r="6600">
          <cell r="D6600" t="str">
            <v>IT&amp;NS</v>
          </cell>
          <cell r="F6600">
            <v>730.08</v>
          </cell>
          <cell r="G6600">
            <v>0</v>
          </cell>
          <cell r="H6600">
            <v>0</v>
          </cell>
        </row>
        <row r="6601">
          <cell r="D6601" t="str">
            <v>IT&amp;NS</v>
          </cell>
          <cell r="F6601">
            <v>730.08</v>
          </cell>
          <cell r="G6601">
            <v>0</v>
          </cell>
          <cell r="H6601">
            <v>0</v>
          </cell>
        </row>
        <row r="6602">
          <cell r="D6602" t="str">
            <v>IT&amp;NS</v>
          </cell>
          <cell r="F6602">
            <v>730.08</v>
          </cell>
          <cell r="G6602">
            <v>0</v>
          </cell>
          <cell r="H6602">
            <v>0</v>
          </cell>
        </row>
        <row r="6603">
          <cell r="D6603" t="str">
            <v>IT&amp;NS</v>
          </cell>
          <cell r="F6603">
            <v>730.08</v>
          </cell>
          <cell r="G6603">
            <v>0</v>
          </cell>
          <cell r="H6603">
            <v>0</v>
          </cell>
        </row>
        <row r="6604">
          <cell r="D6604" t="str">
            <v>IT&amp;NS</v>
          </cell>
          <cell r="F6604">
            <v>730.08</v>
          </cell>
          <cell r="G6604">
            <v>0</v>
          </cell>
          <cell r="H6604">
            <v>0</v>
          </cell>
        </row>
        <row r="6605">
          <cell r="D6605" t="str">
            <v>IT&amp;NS</v>
          </cell>
          <cell r="F6605">
            <v>730.08</v>
          </cell>
          <cell r="G6605">
            <v>0</v>
          </cell>
          <cell r="H6605">
            <v>0</v>
          </cell>
        </row>
        <row r="6606">
          <cell r="D6606" t="str">
            <v>IT&amp;NS</v>
          </cell>
          <cell r="F6606">
            <v>730.08</v>
          </cell>
          <cell r="G6606">
            <v>0</v>
          </cell>
          <cell r="H6606">
            <v>0</v>
          </cell>
        </row>
        <row r="6607">
          <cell r="D6607" t="str">
            <v>IT&amp;NS</v>
          </cell>
          <cell r="F6607">
            <v>730.08</v>
          </cell>
          <cell r="G6607">
            <v>0</v>
          </cell>
          <cell r="H6607">
            <v>0</v>
          </cell>
        </row>
        <row r="6608">
          <cell r="D6608" t="str">
            <v>IT&amp;NS</v>
          </cell>
          <cell r="F6608">
            <v>730.08</v>
          </cell>
          <cell r="G6608">
            <v>0</v>
          </cell>
          <cell r="H6608">
            <v>0</v>
          </cell>
        </row>
        <row r="6609">
          <cell r="D6609" t="str">
            <v>IT&amp;NS</v>
          </cell>
          <cell r="F6609">
            <v>730.08</v>
          </cell>
          <cell r="G6609">
            <v>0</v>
          </cell>
          <cell r="H6609">
            <v>0</v>
          </cell>
        </row>
        <row r="6610">
          <cell r="D6610" t="str">
            <v>IT&amp;NS</v>
          </cell>
          <cell r="F6610">
            <v>730.08</v>
          </cell>
          <cell r="G6610">
            <v>0</v>
          </cell>
          <cell r="H6610">
            <v>0</v>
          </cell>
        </row>
        <row r="6611">
          <cell r="D6611" t="str">
            <v>IT&amp;NS</v>
          </cell>
          <cell r="F6611">
            <v>730.08</v>
          </cell>
          <cell r="G6611">
            <v>0</v>
          </cell>
          <cell r="H6611">
            <v>0</v>
          </cell>
        </row>
        <row r="6612">
          <cell r="D6612" t="str">
            <v>IT&amp;NS</v>
          </cell>
          <cell r="F6612">
            <v>730.08</v>
          </cell>
          <cell r="G6612">
            <v>0</v>
          </cell>
          <cell r="H6612">
            <v>0</v>
          </cell>
        </row>
        <row r="6613">
          <cell r="D6613" t="str">
            <v>IT&amp;NS</v>
          </cell>
          <cell r="F6613">
            <v>730.08</v>
          </cell>
          <cell r="G6613">
            <v>0</v>
          </cell>
          <cell r="H6613">
            <v>0</v>
          </cell>
        </row>
        <row r="6614">
          <cell r="D6614" t="str">
            <v>IT&amp;NS</v>
          </cell>
          <cell r="F6614">
            <v>730.08</v>
          </cell>
          <cell r="G6614">
            <v>0</v>
          </cell>
          <cell r="H6614">
            <v>0</v>
          </cell>
        </row>
        <row r="6615">
          <cell r="D6615" t="str">
            <v>IT&amp;NS</v>
          </cell>
          <cell r="F6615">
            <v>730.08</v>
          </cell>
          <cell r="G6615">
            <v>0</v>
          </cell>
          <cell r="H6615">
            <v>0</v>
          </cell>
        </row>
        <row r="6616">
          <cell r="D6616" t="str">
            <v>IT&amp;NS</v>
          </cell>
          <cell r="F6616">
            <v>730.08</v>
          </cell>
          <cell r="G6616">
            <v>0</v>
          </cell>
          <cell r="H6616">
            <v>0</v>
          </cell>
        </row>
        <row r="6617">
          <cell r="D6617" t="str">
            <v>IT&amp;NS</v>
          </cell>
          <cell r="F6617">
            <v>730.08</v>
          </cell>
          <cell r="G6617">
            <v>0</v>
          </cell>
          <cell r="H6617">
            <v>0</v>
          </cell>
        </row>
        <row r="6618">
          <cell r="D6618" t="str">
            <v>IT&amp;NS</v>
          </cell>
          <cell r="F6618">
            <v>730.08</v>
          </cell>
          <cell r="G6618">
            <v>0</v>
          </cell>
          <cell r="H6618">
            <v>0</v>
          </cell>
        </row>
        <row r="6619">
          <cell r="D6619" t="str">
            <v>IT&amp;NS</v>
          </cell>
          <cell r="F6619">
            <v>730.08</v>
          </cell>
          <cell r="G6619">
            <v>0</v>
          </cell>
          <cell r="H6619">
            <v>0</v>
          </cell>
        </row>
        <row r="6620">
          <cell r="D6620" t="str">
            <v>IT&amp;NS</v>
          </cell>
          <cell r="F6620">
            <v>730.08</v>
          </cell>
          <cell r="G6620">
            <v>0</v>
          </cell>
          <cell r="H6620">
            <v>0</v>
          </cell>
        </row>
        <row r="6621">
          <cell r="D6621" t="str">
            <v>IT&amp;NS</v>
          </cell>
          <cell r="F6621">
            <v>730.08</v>
          </cell>
          <cell r="G6621">
            <v>0</v>
          </cell>
          <cell r="H6621">
            <v>0</v>
          </cell>
        </row>
        <row r="6622">
          <cell r="D6622" t="str">
            <v>IT&amp;NS</v>
          </cell>
          <cell r="F6622">
            <v>730.08</v>
          </cell>
          <cell r="G6622">
            <v>0</v>
          </cell>
          <cell r="H6622">
            <v>0</v>
          </cell>
        </row>
        <row r="6623">
          <cell r="D6623" t="str">
            <v>IT&amp;NS</v>
          </cell>
          <cell r="F6623">
            <v>730.08</v>
          </cell>
          <cell r="G6623">
            <v>0</v>
          </cell>
          <cell r="H6623">
            <v>0</v>
          </cell>
        </row>
        <row r="6624">
          <cell r="D6624" t="str">
            <v>IT&amp;NS</v>
          </cell>
          <cell r="F6624">
            <v>730.08</v>
          </cell>
          <cell r="G6624">
            <v>0</v>
          </cell>
          <cell r="H6624">
            <v>0</v>
          </cell>
        </row>
        <row r="6625">
          <cell r="D6625" t="str">
            <v>IT&amp;NS</v>
          </cell>
          <cell r="F6625">
            <v>730.08</v>
          </cell>
          <cell r="G6625">
            <v>0</v>
          </cell>
          <cell r="H6625">
            <v>0</v>
          </cell>
        </row>
        <row r="6626">
          <cell r="D6626" t="str">
            <v>IT&amp;NS</v>
          </cell>
          <cell r="F6626">
            <v>730.08</v>
          </cell>
          <cell r="G6626">
            <v>0</v>
          </cell>
          <cell r="H6626">
            <v>0</v>
          </cell>
        </row>
        <row r="6627">
          <cell r="D6627" t="str">
            <v>IT&amp;NS</v>
          </cell>
          <cell r="F6627">
            <v>730.08</v>
          </cell>
          <cell r="G6627">
            <v>0</v>
          </cell>
          <cell r="H6627">
            <v>0</v>
          </cell>
        </row>
        <row r="6628">
          <cell r="D6628" t="str">
            <v>IT&amp;NS</v>
          </cell>
          <cell r="F6628">
            <v>730.08</v>
          </cell>
          <cell r="G6628">
            <v>0</v>
          </cell>
          <cell r="H6628">
            <v>0</v>
          </cell>
        </row>
        <row r="6629">
          <cell r="D6629" t="str">
            <v>IT&amp;NS</v>
          </cell>
          <cell r="F6629">
            <v>730.08</v>
          </cell>
          <cell r="G6629">
            <v>0</v>
          </cell>
          <cell r="H6629">
            <v>0</v>
          </cell>
        </row>
        <row r="6630">
          <cell r="D6630" t="str">
            <v>IT&amp;NS</v>
          </cell>
          <cell r="F6630">
            <v>730.08</v>
          </cell>
          <cell r="G6630">
            <v>0</v>
          </cell>
          <cell r="H6630">
            <v>0</v>
          </cell>
        </row>
        <row r="6631">
          <cell r="D6631" t="str">
            <v>IT&amp;NS</v>
          </cell>
          <cell r="F6631">
            <v>730.08</v>
          </cell>
          <cell r="G6631">
            <v>0</v>
          </cell>
          <cell r="H6631">
            <v>0</v>
          </cell>
        </row>
        <row r="6632">
          <cell r="D6632" t="str">
            <v>IT&amp;NS</v>
          </cell>
          <cell r="F6632">
            <v>730.08</v>
          </cell>
          <cell r="G6632">
            <v>0</v>
          </cell>
          <cell r="H6632">
            <v>0</v>
          </cell>
        </row>
        <row r="6633">
          <cell r="D6633" t="str">
            <v>IT&amp;NS</v>
          </cell>
          <cell r="F6633">
            <v>730.08</v>
          </cell>
          <cell r="G6633">
            <v>0</v>
          </cell>
          <cell r="H6633">
            <v>0</v>
          </cell>
        </row>
        <row r="6634">
          <cell r="D6634" t="str">
            <v>IT&amp;NS</v>
          </cell>
          <cell r="F6634">
            <v>730.08</v>
          </cell>
          <cell r="G6634">
            <v>0</v>
          </cell>
          <cell r="H6634">
            <v>0</v>
          </cell>
        </row>
        <row r="6635">
          <cell r="D6635" t="str">
            <v>IT&amp;NS</v>
          </cell>
          <cell r="F6635">
            <v>730.08</v>
          </cell>
          <cell r="G6635">
            <v>0</v>
          </cell>
          <cell r="H6635">
            <v>0</v>
          </cell>
        </row>
        <row r="6636">
          <cell r="D6636" t="str">
            <v>IT&amp;NS</v>
          </cell>
          <cell r="F6636">
            <v>730.08</v>
          </cell>
          <cell r="G6636">
            <v>0</v>
          </cell>
          <cell r="H6636">
            <v>0</v>
          </cell>
        </row>
        <row r="6637">
          <cell r="D6637" t="str">
            <v>IT&amp;NS</v>
          </cell>
          <cell r="F6637">
            <v>730.08</v>
          </cell>
          <cell r="G6637">
            <v>0</v>
          </cell>
          <cell r="H6637">
            <v>0</v>
          </cell>
        </row>
        <row r="6638">
          <cell r="D6638" t="str">
            <v>IT&amp;NS</v>
          </cell>
          <cell r="F6638">
            <v>730.08</v>
          </cell>
          <cell r="G6638">
            <v>0</v>
          </cell>
          <cell r="H6638">
            <v>0</v>
          </cell>
        </row>
        <row r="6639">
          <cell r="D6639" t="str">
            <v>IT&amp;NS</v>
          </cell>
          <cell r="F6639">
            <v>730.08</v>
          </cell>
          <cell r="G6639">
            <v>0</v>
          </cell>
          <cell r="H6639">
            <v>0</v>
          </cell>
        </row>
        <row r="6640">
          <cell r="D6640" t="str">
            <v>IT&amp;NS</v>
          </cell>
          <cell r="F6640">
            <v>730.08</v>
          </cell>
          <cell r="G6640">
            <v>0</v>
          </cell>
          <cell r="H6640">
            <v>0</v>
          </cell>
        </row>
        <row r="6641">
          <cell r="D6641" t="str">
            <v>IT&amp;NS</v>
          </cell>
          <cell r="F6641">
            <v>730.08</v>
          </cell>
          <cell r="G6641">
            <v>0</v>
          </cell>
          <cell r="H6641">
            <v>0</v>
          </cell>
        </row>
        <row r="6642">
          <cell r="D6642" t="str">
            <v>IT&amp;NS</v>
          </cell>
          <cell r="F6642">
            <v>730.08</v>
          </cell>
          <cell r="G6642">
            <v>0</v>
          </cell>
          <cell r="H6642">
            <v>0</v>
          </cell>
        </row>
        <row r="6643">
          <cell r="D6643" t="str">
            <v>IT&amp;NS</v>
          </cell>
          <cell r="F6643">
            <v>730.08</v>
          </cell>
          <cell r="G6643">
            <v>0</v>
          </cell>
          <cell r="H6643">
            <v>0</v>
          </cell>
        </row>
        <row r="6644">
          <cell r="D6644" t="str">
            <v>IT&amp;NS</v>
          </cell>
          <cell r="F6644">
            <v>730.08</v>
          </cell>
          <cell r="G6644">
            <v>0</v>
          </cell>
          <cell r="H6644">
            <v>0</v>
          </cell>
        </row>
        <row r="6645">
          <cell r="D6645" t="str">
            <v>IT&amp;NS</v>
          </cell>
          <cell r="F6645">
            <v>730.08</v>
          </cell>
          <cell r="G6645">
            <v>0</v>
          </cell>
          <cell r="H6645">
            <v>0</v>
          </cell>
        </row>
        <row r="6646">
          <cell r="D6646" t="str">
            <v>IT&amp;NS</v>
          </cell>
          <cell r="F6646">
            <v>730.08</v>
          </cell>
          <cell r="G6646">
            <v>0</v>
          </cell>
          <cell r="H6646">
            <v>0</v>
          </cell>
        </row>
        <row r="6647">
          <cell r="D6647" t="str">
            <v>IT&amp;NS</v>
          </cell>
          <cell r="F6647">
            <v>730.08</v>
          </cell>
          <cell r="G6647">
            <v>0</v>
          </cell>
          <cell r="H6647">
            <v>0</v>
          </cell>
        </row>
        <row r="6648">
          <cell r="D6648" t="str">
            <v>IT&amp;NS</v>
          </cell>
          <cell r="F6648">
            <v>730.08</v>
          </cell>
          <cell r="G6648">
            <v>0</v>
          </cell>
          <cell r="H6648">
            <v>0</v>
          </cell>
        </row>
        <row r="6649">
          <cell r="D6649" t="str">
            <v>IT&amp;NS</v>
          </cell>
          <cell r="F6649">
            <v>730.08</v>
          </cell>
          <cell r="G6649">
            <v>0</v>
          </cell>
          <cell r="H6649">
            <v>0</v>
          </cell>
        </row>
        <row r="6650">
          <cell r="D6650" t="str">
            <v>IT&amp;NS</v>
          </cell>
          <cell r="F6650">
            <v>730.08</v>
          </cell>
          <cell r="G6650">
            <v>0</v>
          </cell>
          <cell r="H6650">
            <v>0</v>
          </cell>
        </row>
        <row r="6651">
          <cell r="D6651" t="str">
            <v>IT&amp;NS</v>
          </cell>
          <cell r="F6651">
            <v>730.08</v>
          </cell>
          <cell r="G6651">
            <v>0</v>
          </cell>
          <cell r="H6651">
            <v>0</v>
          </cell>
        </row>
        <row r="6652">
          <cell r="D6652" t="str">
            <v>IT&amp;NS</v>
          </cell>
          <cell r="F6652">
            <v>730.08</v>
          </cell>
          <cell r="G6652">
            <v>0</v>
          </cell>
          <cell r="H6652">
            <v>0</v>
          </cell>
        </row>
        <row r="6653">
          <cell r="D6653" t="str">
            <v>IT&amp;NS</v>
          </cell>
          <cell r="F6653">
            <v>730.08</v>
          </cell>
          <cell r="G6653">
            <v>0</v>
          </cell>
          <cell r="H6653">
            <v>0</v>
          </cell>
        </row>
        <row r="6654">
          <cell r="D6654" t="str">
            <v>IT&amp;NS</v>
          </cell>
          <cell r="F6654">
            <v>730.08</v>
          </cell>
          <cell r="G6654">
            <v>0</v>
          </cell>
          <cell r="H6654">
            <v>0</v>
          </cell>
        </row>
        <row r="6655">
          <cell r="D6655" t="str">
            <v>IT&amp;NS</v>
          </cell>
          <cell r="F6655">
            <v>730.08</v>
          </cell>
          <cell r="G6655">
            <v>0</v>
          </cell>
          <cell r="H6655">
            <v>0</v>
          </cell>
        </row>
        <row r="6656">
          <cell r="D6656" t="str">
            <v>IT&amp;NS</v>
          </cell>
          <cell r="F6656">
            <v>730.08</v>
          </cell>
          <cell r="G6656">
            <v>0</v>
          </cell>
          <cell r="H6656">
            <v>0</v>
          </cell>
        </row>
        <row r="6657">
          <cell r="D6657" t="str">
            <v>IT&amp;NS</v>
          </cell>
          <cell r="F6657">
            <v>730.08</v>
          </cell>
          <cell r="G6657">
            <v>0</v>
          </cell>
          <cell r="H6657">
            <v>0</v>
          </cell>
        </row>
        <row r="6658">
          <cell r="D6658" t="str">
            <v>IT&amp;NS</v>
          </cell>
          <cell r="F6658">
            <v>730.08</v>
          </cell>
          <cell r="G6658">
            <v>0</v>
          </cell>
          <cell r="H6658">
            <v>0</v>
          </cell>
        </row>
        <row r="6659">
          <cell r="D6659" t="str">
            <v>IT&amp;NS</v>
          </cell>
          <cell r="F6659">
            <v>730.08</v>
          </cell>
          <cell r="G6659">
            <v>0</v>
          </cell>
          <cell r="H6659">
            <v>0</v>
          </cell>
        </row>
        <row r="6660">
          <cell r="D6660" t="str">
            <v>IT&amp;NS</v>
          </cell>
          <cell r="F6660">
            <v>13280.8</v>
          </cell>
          <cell r="G6660">
            <v>0</v>
          </cell>
          <cell r="H6660">
            <v>0</v>
          </cell>
        </row>
        <row r="6661">
          <cell r="D6661" t="str">
            <v>IT&amp;NS</v>
          </cell>
          <cell r="F6661">
            <v>13280.8</v>
          </cell>
          <cell r="G6661">
            <v>0</v>
          </cell>
          <cell r="H6661">
            <v>0</v>
          </cell>
        </row>
        <row r="6662">
          <cell r="D6662" t="str">
            <v>IT&amp;NS</v>
          </cell>
          <cell r="F6662">
            <v>13280.8</v>
          </cell>
          <cell r="G6662">
            <v>0</v>
          </cell>
          <cell r="H6662">
            <v>0</v>
          </cell>
        </row>
        <row r="6663">
          <cell r="D6663" t="str">
            <v>IT&amp;NS</v>
          </cell>
          <cell r="F6663">
            <v>13280.8</v>
          </cell>
          <cell r="G6663">
            <v>0</v>
          </cell>
          <cell r="H6663">
            <v>0</v>
          </cell>
        </row>
        <row r="6664">
          <cell r="D6664" t="str">
            <v>IT&amp;NS</v>
          </cell>
          <cell r="F6664">
            <v>13280.8</v>
          </cell>
          <cell r="G6664">
            <v>0</v>
          </cell>
          <cell r="H6664">
            <v>0</v>
          </cell>
        </row>
        <row r="6665">
          <cell r="D6665" t="str">
            <v>IT&amp;NS</v>
          </cell>
          <cell r="F6665">
            <v>31170</v>
          </cell>
          <cell r="G6665">
            <v>-15585</v>
          </cell>
          <cell r="H6665">
            <v>0</v>
          </cell>
        </row>
        <row r="6666">
          <cell r="D6666" t="str">
            <v>IT&amp;NS</v>
          </cell>
          <cell r="F6666">
            <v>1300</v>
          </cell>
          <cell r="G6666">
            <v>0</v>
          </cell>
          <cell r="H6666">
            <v>0</v>
          </cell>
        </row>
        <row r="6667">
          <cell r="D6667" t="str">
            <v>IT&amp;NS</v>
          </cell>
          <cell r="F6667">
            <v>1300</v>
          </cell>
          <cell r="G6667">
            <v>0</v>
          </cell>
          <cell r="H6667">
            <v>0</v>
          </cell>
        </row>
        <row r="6668">
          <cell r="D6668" t="str">
            <v>IT&amp;NS</v>
          </cell>
          <cell r="F6668">
            <v>1300</v>
          </cell>
          <cell r="G6668">
            <v>0</v>
          </cell>
          <cell r="H6668">
            <v>0</v>
          </cell>
        </row>
        <row r="6669">
          <cell r="D6669" t="str">
            <v>IT&amp;NS</v>
          </cell>
          <cell r="F6669">
            <v>1300</v>
          </cell>
          <cell r="G6669">
            <v>0</v>
          </cell>
          <cell r="H6669">
            <v>0</v>
          </cell>
        </row>
        <row r="6670">
          <cell r="D6670" t="str">
            <v>IT&amp;NS</v>
          </cell>
          <cell r="F6670">
            <v>1300</v>
          </cell>
          <cell r="G6670">
            <v>0</v>
          </cell>
          <cell r="H6670">
            <v>0</v>
          </cell>
        </row>
        <row r="6671">
          <cell r="D6671" t="str">
            <v>IT&amp;NS</v>
          </cell>
          <cell r="F6671">
            <v>1300</v>
          </cell>
          <cell r="G6671">
            <v>0</v>
          </cell>
          <cell r="H6671">
            <v>0</v>
          </cell>
        </row>
        <row r="6672">
          <cell r="D6672" t="str">
            <v>IT&amp;NS</v>
          </cell>
          <cell r="F6672">
            <v>1300</v>
          </cell>
          <cell r="G6672">
            <v>0</v>
          </cell>
          <cell r="H6672">
            <v>0</v>
          </cell>
        </row>
        <row r="6673">
          <cell r="D6673" t="str">
            <v>IT&amp;NS</v>
          </cell>
          <cell r="F6673">
            <v>1102.4000000000001</v>
          </cell>
          <cell r="G6673">
            <v>0</v>
          </cell>
          <cell r="H6673">
            <v>0</v>
          </cell>
        </row>
        <row r="6674">
          <cell r="D6674" t="str">
            <v>IT&amp;NS</v>
          </cell>
          <cell r="F6674">
            <v>1102.4000000000001</v>
          </cell>
          <cell r="G6674">
            <v>0</v>
          </cell>
          <cell r="H6674">
            <v>0</v>
          </cell>
        </row>
        <row r="6675">
          <cell r="D6675" t="str">
            <v>IT&amp;NS</v>
          </cell>
          <cell r="F6675">
            <v>1102.4000000000001</v>
          </cell>
          <cell r="G6675">
            <v>0</v>
          </cell>
          <cell r="H6675">
            <v>0</v>
          </cell>
        </row>
        <row r="6676">
          <cell r="D6676" t="str">
            <v>IT&amp;NS</v>
          </cell>
          <cell r="F6676">
            <v>1102.4000000000001</v>
          </cell>
          <cell r="G6676">
            <v>0</v>
          </cell>
          <cell r="H6676">
            <v>0</v>
          </cell>
        </row>
        <row r="6677">
          <cell r="D6677" t="str">
            <v>IT&amp;NS</v>
          </cell>
          <cell r="F6677">
            <v>1102.4000000000001</v>
          </cell>
          <cell r="G6677">
            <v>0</v>
          </cell>
          <cell r="H6677">
            <v>0</v>
          </cell>
        </row>
        <row r="6678">
          <cell r="D6678" t="str">
            <v>IT&amp;NS</v>
          </cell>
          <cell r="F6678">
            <v>1102.4000000000001</v>
          </cell>
          <cell r="G6678">
            <v>0</v>
          </cell>
          <cell r="H6678">
            <v>0</v>
          </cell>
        </row>
        <row r="6679">
          <cell r="D6679" t="str">
            <v>IT&amp;NS</v>
          </cell>
          <cell r="F6679">
            <v>1102.4000000000001</v>
          </cell>
          <cell r="G6679">
            <v>0</v>
          </cell>
          <cell r="H6679">
            <v>0</v>
          </cell>
        </row>
        <row r="6680">
          <cell r="D6680" t="str">
            <v>IT&amp;NS</v>
          </cell>
          <cell r="F6680">
            <v>1102.4000000000001</v>
          </cell>
          <cell r="G6680">
            <v>0</v>
          </cell>
          <cell r="H6680">
            <v>0</v>
          </cell>
        </row>
        <row r="6681">
          <cell r="D6681" t="str">
            <v>IT&amp;NS</v>
          </cell>
          <cell r="F6681">
            <v>1102.4000000000001</v>
          </cell>
          <cell r="G6681">
            <v>0</v>
          </cell>
          <cell r="H6681">
            <v>0</v>
          </cell>
        </row>
        <row r="6682">
          <cell r="D6682" t="str">
            <v>IT&amp;NS</v>
          </cell>
          <cell r="F6682">
            <v>1102.4000000000001</v>
          </cell>
          <cell r="G6682">
            <v>0</v>
          </cell>
          <cell r="H6682">
            <v>0</v>
          </cell>
        </row>
        <row r="6683">
          <cell r="D6683" t="str">
            <v>IT&amp;NS</v>
          </cell>
          <cell r="F6683">
            <v>1102.4000000000001</v>
          </cell>
          <cell r="G6683">
            <v>0</v>
          </cell>
          <cell r="H6683">
            <v>0</v>
          </cell>
        </row>
        <row r="6684">
          <cell r="D6684" t="str">
            <v>IT&amp;NS</v>
          </cell>
          <cell r="F6684">
            <v>1102.4000000000001</v>
          </cell>
          <cell r="G6684">
            <v>0</v>
          </cell>
          <cell r="H6684">
            <v>0</v>
          </cell>
        </row>
        <row r="6685">
          <cell r="D6685" t="str">
            <v>IT&amp;NS</v>
          </cell>
          <cell r="F6685">
            <v>1102.4000000000001</v>
          </cell>
          <cell r="G6685">
            <v>0</v>
          </cell>
          <cell r="H6685">
            <v>0</v>
          </cell>
        </row>
        <row r="6686">
          <cell r="D6686" t="str">
            <v>IT&amp;NS</v>
          </cell>
          <cell r="F6686">
            <v>1102.4000000000001</v>
          </cell>
          <cell r="G6686">
            <v>0</v>
          </cell>
          <cell r="H6686">
            <v>0</v>
          </cell>
        </row>
        <row r="6687">
          <cell r="D6687" t="str">
            <v>IT&amp;NS</v>
          </cell>
          <cell r="F6687">
            <v>1102.4000000000001</v>
          </cell>
          <cell r="G6687">
            <v>0</v>
          </cell>
          <cell r="H6687">
            <v>0</v>
          </cell>
        </row>
        <row r="6688">
          <cell r="D6688" t="str">
            <v>IT&amp;NS</v>
          </cell>
          <cell r="F6688">
            <v>1102.4000000000001</v>
          </cell>
          <cell r="G6688">
            <v>0</v>
          </cell>
          <cell r="H6688">
            <v>0</v>
          </cell>
        </row>
        <row r="6689">
          <cell r="D6689" t="str">
            <v>IT&amp;NS</v>
          </cell>
          <cell r="F6689">
            <v>1102.4000000000001</v>
          </cell>
          <cell r="G6689">
            <v>0</v>
          </cell>
          <cell r="H6689">
            <v>0</v>
          </cell>
        </row>
        <row r="6690">
          <cell r="D6690" t="str">
            <v>IT&amp;NS</v>
          </cell>
          <cell r="F6690">
            <v>1102.4000000000001</v>
          </cell>
          <cell r="G6690">
            <v>0</v>
          </cell>
          <cell r="H6690">
            <v>0</v>
          </cell>
        </row>
        <row r="6691">
          <cell r="D6691" t="str">
            <v>IT&amp;NS</v>
          </cell>
          <cell r="F6691">
            <v>1102.4000000000001</v>
          </cell>
          <cell r="G6691">
            <v>0</v>
          </cell>
          <cell r="H6691">
            <v>0</v>
          </cell>
        </row>
        <row r="6692">
          <cell r="D6692" t="str">
            <v>IT&amp;NS</v>
          </cell>
          <cell r="F6692">
            <v>1102.4000000000001</v>
          </cell>
          <cell r="G6692">
            <v>0</v>
          </cell>
          <cell r="H6692">
            <v>0</v>
          </cell>
        </row>
        <row r="6693">
          <cell r="D6693" t="str">
            <v>IT&amp;NS</v>
          </cell>
          <cell r="F6693">
            <v>1102.4000000000001</v>
          </cell>
          <cell r="G6693">
            <v>0</v>
          </cell>
          <cell r="H6693">
            <v>0</v>
          </cell>
        </row>
        <row r="6694">
          <cell r="D6694" t="str">
            <v>IT&amp;NS</v>
          </cell>
          <cell r="F6694">
            <v>1102.4000000000001</v>
          </cell>
          <cell r="G6694">
            <v>0</v>
          </cell>
          <cell r="H6694">
            <v>0</v>
          </cell>
        </row>
        <row r="6695">
          <cell r="D6695" t="str">
            <v>IT&amp;NS</v>
          </cell>
          <cell r="F6695">
            <v>1102.4000000000001</v>
          </cell>
          <cell r="G6695">
            <v>0</v>
          </cell>
          <cell r="H6695">
            <v>0</v>
          </cell>
        </row>
        <row r="6696">
          <cell r="D6696" t="str">
            <v>IT&amp;NS</v>
          </cell>
          <cell r="F6696">
            <v>1102.4000000000001</v>
          </cell>
          <cell r="G6696">
            <v>0</v>
          </cell>
          <cell r="H6696">
            <v>0</v>
          </cell>
        </row>
        <row r="6697">
          <cell r="D6697" t="str">
            <v>IT&amp;NS</v>
          </cell>
          <cell r="F6697">
            <v>1102.4000000000001</v>
          </cell>
          <cell r="G6697">
            <v>0</v>
          </cell>
          <cell r="H6697">
            <v>0</v>
          </cell>
        </row>
        <row r="6698">
          <cell r="D6698" t="str">
            <v>IT&amp;NS</v>
          </cell>
          <cell r="F6698">
            <v>1102.4000000000001</v>
          </cell>
          <cell r="G6698">
            <v>0</v>
          </cell>
          <cell r="H6698">
            <v>0</v>
          </cell>
        </row>
        <row r="6699">
          <cell r="D6699" t="str">
            <v>IT&amp;NS</v>
          </cell>
          <cell r="F6699">
            <v>1102.4000000000001</v>
          </cell>
          <cell r="G6699">
            <v>0</v>
          </cell>
          <cell r="H6699">
            <v>0</v>
          </cell>
        </row>
        <row r="6700">
          <cell r="D6700" t="str">
            <v>IT&amp;NS</v>
          </cell>
          <cell r="F6700">
            <v>1102.4000000000001</v>
          </cell>
          <cell r="G6700">
            <v>0</v>
          </cell>
          <cell r="H6700">
            <v>0</v>
          </cell>
        </row>
        <row r="6701">
          <cell r="D6701" t="str">
            <v>IT&amp;NS</v>
          </cell>
          <cell r="F6701">
            <v>1102.4000000000001</v>
          </cell>
          <cell r="G6701">
            <v>0</v>
          </cell>
          <cell r="H6701">
            <v>0</v>
          </cell>
        </row>
        <row r="6702">
          <cell r="D6702" t="str">
            <v>IT&amp;NS</v>
          </cell>
          <cell r="F6702">
            <v>1102.4000000000001</v>
          </cell>
          <cell r="G6702">
            <v>0</v>
          </cell>
          <cell r="H6702">
            <v>0</v>
          </cell>
        </row>
        <row r="6703">
          <cell r="D6703" t="str">
            <v>IT&amp;NS</v>
          </cell>
          <cell r="F6703">
            <v>1102.4000000000001</v>
          </cell>
          <cell r="G6703">
            <v>0</v>
          </cell>
          <cell r="H6703">
            <v>0</v>
          </cell>
        </row>
        <row r="6704">
          <cell r="D6704" t="str">
            <v>IT&amp;NS</v>
          </cell>
          <cell r="F6704">
            <v>1102.4000000000001</v>
          </cell>
          <cell r="G6704">
            <v>0</v>
          </cell>
          <cell r="H6704">
            <v>0</v>
          </cell>
        </row>
        <row r="6705">
          <cell r="D6705" t="str">
            <v>IT&amp;NS</v>
          </cell>
          <cell r="F6705">
            <v>1102.4000000000001</v>
          </cell>
          <cell r="G6705">
            <v>0</v>
          </cell>
          <cell r="H6705">
            <v>0</v>
          </cell>
        </row>
        <row r="6706">
          <cell r="D6706" t="str">
            <v>IT&amp;NS</v>
          </cell>
          <cell r="F6706">
            <v>1102.4000000000001</v>
          </cell>
          <cell r="G6706">
            <v>0</v>
          </cell>
          <cell r="H6706">
            <v>0</v>
          </cell>
        </row>
        <row r="6707">
          <cell r="D6707" t="str">
            <v>IT&amp;NS</v>
          </cell>
          <cell r="F6707">
            <v>1102.4000000000001</v>
          </cell>
          <cell r="G6707">
            <v>0</v>
          </cell>
          <cell r="H6707">
            <v>0</v>
          </cell>
        </row>
        <row r="6708">
          <cell r="D6708" t="str">
            <v>IT&amp;NS</v>
          </cell>
          <cell r="F6708">
            <v>1102.4000000000001</v>
          </cell>
          <cell r="G6708">
            <v>0</v>
          </cell>
          <cell r="H6708">
            <v>0</v>
          </cell>
        </row>
        <row r="6709">
          <cell r="D6709" t="str">
            <v>IT&amp;NS</v>
          </cell>
          <cell r="F6709">
            <v>1102.4000000000001</v>
          </cell>
          <cell r="G6709">
            <v>0</v>
          </cell>
          <cell r="H6709">
            <v>0</v>
          </cell>
        </row>
        <row r="6710">
          <cell r="D6710" t="str">
            <v>IT&amp;NS</v>
          </cell>
          <cell r="F6710">
            <v>1102.4000000000001</v>
          </cell>
          <cell r="G6710">
            <v>0</v>
          </cell>
          <cell r="H6710">
            <v>0</v>
          </cell>
        </row>
        <row r="6711">
          <cell r="D6711" t="str">
            <v>IT&amp;NS</v>
          </cell>
          <cell r="F6711">
            <v>1102.4000000000001</v>
          </cell>
          <cell r="G6711">
            <v>0</v>
          </cell>
          <cell r="H6711">
            <v>0</v>
          </cell>
        </row>
        <row r="6712">
          <cell r="D6712" t="str">
            <v>IT&amp;NS</v>
          </cell>
          <cell r="F6712">
            <v>1102.4000000000001</v>
          </cell>
          <cell r="G6712">
            <v>0</v>
          </cell>
          <cell r="H6712">
            <v>0</v>
          </cell>
        </row>
        <row r="6713">
          <cell r="D6713" t="str">
            <v>IT&amp;NS</v>
          </cell>
          <cell r="F6713">
            <v>1102.4000000000001</v>
          </cell>
          <cell r="G6713">
            <v>0</v>
          </cell>
          <cell r="H6713">
            <v>0</v>
          </cell>
        </row>
        <row r="6714">
          <cell r="D6714" t="str">
            <v>IT&amp;NS</v>
          </cell>
          <cell r="F6714">
            <v>1102.4000000000001</v>
          </cell>
          <cell r="G6714">
            <v>0</v>
          </cell>
          <cell r="H6714">
            <v>0</v>
          </cell>
        </row>
        <row r="6715">
          <cell r="D6715" t="str">
            <v>IT&amp;NS</v>
          </cell>
          <cell r="F6715">
            <v>1102.4000000000001</v>
          </cell>
          <cell r="G6715">
            <v>0</v>
          </cell>
          <cell r="H6715">
            <v>0</v>
          </cell>
        </row>
        <row r="6716">
          <cell r="D6716" t="str">
            <v>IT&amp;NS</v>
          </cell>
          <cell r="F6716">
            <v>1102.4000000000001</v>
          </cell>
          <cell r="G6716">
            <v>0</v>
          </cell>
          <cell r="H6716">
            <v>0</v>
          </cell>
        </row>
        <row r="6717">
          <cell r="D6717" t="str">
            <v>IT&amp;NS</v>
          </cell>
          <cell r="F6717">
            <v>1102.4000000000001</v>
          </cell>
          <cell r="G6717">
            <v>0</v>
          </cell>
          <cell r="H6717">
            <v>0</v>
          </cell>
        </row>
        <row r="6718">
          <cell r="D6718" t="str">
            <v>IT&amp;NS</v>
          </cell>
          <cell r="F6718">
            <v>1102.4000000000001</v>
          </cell>
          <cell r="G6718">
            <v>0</v>
          </cell>
          <cell r="H6718">
            <v>0</v>
          </cell>
        </row>
        <row r="6719">
          <cell r="D6719" t="str">
            <v>IT&amp;NS</v>
          </cell>
          <cell r="F6719">
            <v>1102.4000000000001</v>
          </cell>
          <cell r="G6719">
            <v>0</v>
          </cell>
          <cell r="H6719">
            <v>0</v>
          </cell>
        </row>
        <row r="6720">
          <cell r="D6720" t="str">
            <v>IT&amp;NS</v>
          </cell>
          <cell r="F6720">
            <v>1102.4000000000001</v>
          </cell>
          <cell r="G6720">
            <v>0</v>
          </cell>
          <cell r="H6720">
            <v>0</v>
          </cell>
        </row>
        <row r="6721">
          <cell r="D6721" t="str">
            <v>IT&amp;NS</v>
          </cell>
          <cell r="F6721">
            <v>1102.4000000000001</v>
          </cell>
          <cell r="G6721">
            <v>0</v>
          </cell>
          <cell r="H6721">
            <v>0</v>
          </cell>
        </row>
        <row r="6722">
          <cell r="D6722" t="str">
            <v>IT&amp;NS</v>
          </cell>
          <cell r="F6722">
            <v>1102.4000000000001</v>
          </cell>
          <cell r="G6722">
            <v>0</v>
          </cell>
          <cell r="H6722">
            <v>0</v>
          </cell>
        </row>
        <row r="6723">
          <cell r="D6723" t="str">
            <v>IT&amp;NS</v>
          </cell>
          <cell r="F6723">
            <v>1102.4000000000001</v>
          </cell>
          <cell r="G6723">
            <v>0</v>
          </cell>
          <cell r="H6723">
            <v>0</v>
          </cell>
        </row>
        <row r="6724">
          <cell r="D6724" t="str">
            <v>IT&amp;NS</v>
          </cell>
          <cell r="F6724">
            <v>1102.4000000000001</v>
          </cell>
          <cell r="G6724">
            <v>0</v>
          </cell>
          <cell r="H6724">
            <v>0</v>
          </cell>
        </row>
        <row r="6725">
          <cell r="D6725" t="str">
            <v>IT&amp;NS</v>
          </cell>
          <cell r="F6725">
            <v>1102.4000000000001</v>
          </cell>
          <cell r="G6725">
            <v>0</v>
          </cell>
          <cell r="H6725">
            <v>0</v>
          </cell>
        </row>
        <row r="6726">
          <cell r="D6726" t="str">
            <v>IT&amp;NS</v>
          </cell>
          <cell r="F6726">
            <v>1102.4000000000001</v>
          </cell>
          <cell r="G6726">
            <v>0</v>
          </cell>
          <cell r="H6726">
            <v>0</v>
          </cell>
        </row>
        <row r="6727">
          <cell r="D6727" t="str">
            <v>IT&amp;NS</v>
          </cell>
          <cell r="F6727">
            <v>1102.4000000000001</v>
          </cell>
          <cell r="G6727">
            <v>0</v>
          </cell>
          <cell r="H6727">
            <v>0</v>
          </cell>
        </row>
        <row r="6728">
          <cell r="D6728" t="str">
            <v>IT&amp;NS</v>
          </cell>
          <cell r="F6728">
            <v>1102.4000000000001</v>
          </cell>
          <cell r="G6728">
            <v>0</v>
          </cell>
          <cell r="H6728">
            <v>0</v>
          </cell>
        </row>
        <row r="6729">
          <cell r="D6729" t="str">
            <v>IT&amp;NS</v>
          </cell>
          <cell r="F6729">
            <v>1102.4000000000001</v>
          </cell>
          <cell r="G6729">
            <v>0</v>
          </cell>
          <cell r="H6729">
            <v>0</v>
          </cell>
        </row>
        <row r="6730">
          <cell r="D6730" t="str">
            <v>IT&amp;NS</v>
          </cell>
          <cell r="F6730">
            <v>1102.4000000000001</v>
          </cell>
          <cell r="G6730">
            <v>0</v>
          </cell>
          <cell r="H6730">
            <v>0</v>
          </cell>
        </row>
        <row r="6731">
          <cell r="D6731" t="str">
            <v>IT&amp;NS</v>
          </cell>
          <cell r="F6731">
            <v>1102.4000000000001</v>
          </cell>
          <cell r="G6731">
            <v>0</v>
          </cell>
          <cell r="H6731">
            <v>0</v>
          </cell>
        </row>
        <row r="6732">
          <cell r="D6732" t="str">
            <v>IT&amp;NS</v>
          </cell>
          <cell r="F6732">
            <v>1102.4000000000001</v>
          </cell>
          <cell r="G6732">
            <v>0</v>
          </cell>
          <cell r="H6732">
            <v>0</v>
          </cell>
        </row>
        <row r="6733">
          <cell r="D6733" t="str">
            <v>IT&amp;NS</v>
          </cell>
          <cell r="F6733">
            <v>1102.4000000000001</v>
          </cell>
          <cell r="G6733">
            <v>0</v>
          </cell>
          <cell r="H6733">
            <v>0</v>
          </cell>
        </row>
        <row r="6734">
          <cell r="D6734" t="str">
            <v>IT&amp;NS</v>
          </cell>
          <cell r="F6734">
            <v>1102.4000000000001</v>
          </cell>
          <cell r="G6734">
            <v>0</v>
          </cell>
          <cell r="H6734">
            <v>0</v>
          </cell>
        </row>
        <row r="6735">
          <cell r="D6735" t="str">
            <v>IT&amp;NS</v>
          </cell>
          <cell r="F6735">
            <v>1102.4000000000001</v>
          </cell>
          <cell r="G6735">
            <v>0</v>
          </cell>
          <cell r="H6735">
            <v>0</v>
          </cell>
        </row>
        <row r="6736">
          <cell r="D6736" t="str">
            <v>IT&amp;NS</v>
          </cell>
          <cell r="F6736">
            <v>1102.4000000000001</v>
          </cell>
          <cell r="G6736">
            <v>0</v>
          </cell>
          <cell r="H6736">
            <v>0</v>
          </cell>
        </row>
        <row r="6737">
          <cell r="D6737" t="str">
            <v>IT&amp;NS</v>
          </cell>
          <cell r="F6737">
            <v>1102.4000000000001</v>
          </cell>
          <cell r="G6737">
            <v>0</v>
          </cell>
          <cell r="H6737">
            <v>0</v>
          </cell>
        </row>
        <row r="6738">
          <cell r="D6738" t="str">
            <v>IT&amp;NS</v>
          </cell>
          <cell r="F6738">
            <v>1102.4000000000001</v>
          </cell>
          <cell r="G6738">
            <v>0</v>
          </cell>
          <cell r="H6738">
            <v>0</v>
          </cell>
        </row>
        <row r="6739">
          <cell r="D6739" t="str">
            <v>IT&amp;NS</v>
          </cell>
          <cell r="F6739">
            <v>1102.4000000000001</v>
          </cell>
          <cell r="G6739">
            <v>0</v>
          </cell>
          <cell r="H6739">
            <v>0</v>
          </cell>
        </row>
        <row r="6740">
          <cell r="D6740" t="str">
            <v>IT&amp;NS</v>
          </cell>
          <cell r="F6740">
            <v>1102.4000000000001</v>
          </cell>
          <cell r="G6740">
            <v>0</v>
          </cell>
          <cell r="H6740">
            <v>0</v>
          </cell>
        </row>
        <row r="6741">
          <cell r="D6741" t="str">
            <v>IT&amp;NS</v>
          </cell>
          <cell r="F6741">
            <v>1102.4000000000001</v>
          </cell>
          <cell r="G6741">
            <v>0</v>
          </cell>
          <cell r="H6741">
            <v>0</v>
          </cell>
        </row>
        <row r="6742">
          <cell r="D6742" t="str">
            <v>IT&amp;NS</v>
          </cell>
          <cell r="F6742">
            <v>1102.4000000000001</v>
          </cell>
          <cell r="G6742">
            <v>0</v>
          </cell>
          <cell r="H6742">
            <v>0</v>
          </cell>
        </row>
        <row r="6743">
          <cell r="D6743" t="str">
            <v>IT&amp;NS</v>
          </cell>
          <cell r="F6743">
            <v>1102.4000000000001</v>
          </cell>
          <cell r="G6743">
            <v>0</v>
          </cell>
          <cell r="H6743">
            <v>0</v>
          </cell>
        </row>
        <row r="6744">
          <cell r="D6744" t="str">
            <v>IT&amp;NS</v>
          </cell>
          <cell r="F6744">
            <v>1102.4000000000001</v>
          </cell>
          <cell r="G6744">
            <v>0</v>
          </cell>
          <cell r="H6744">
            <v>0</v>
          </cell>
        </row>
        <row r="6745">
          <cell r="D6745" t="str">
            <v>IT&amp;NS</v>
          </cell>
          <cell r="F6745">
            <v>1102.4000000000001</v>
          </cell>
          <cell r="G6745">
            <v>0</v>
          </cell>
          <cell r="H6745">
            <v>0</v>
          </cell>
        </row>
        <row r="6746">
          <cell r="D6746" t="str">
            <v>IT&amp;NS</v>
          </cell>
          <cell r="F6746">
            <v>1102.4000000000001</v>
          </cell>
          <cell r="G6746">
            <v>0</v>
          </cell>
          <cell r="H6746">
            <v>0</v>
          </cell>
        </row>
        <row r="6747">
          <cell r="D6747" t="str">
            <v>IT&amp;NS</v>
          </cell>
          <cell r="F6747">
            <v>1102.4000000000001</v>
          </cell>
          <cell r="G6747">
            <v>0</v>
          </cell>
          <cell r="H6747">
            <v>0</v>
          </cell>
        </row>
        <row r="6748">
          <cell r="D6748" t="str">
            <v>IT&amp;NS</v>
          </cell>
          <cell r="F6748">
            <v>1102.4000000000001</v>
          </cell>
          <cell r="G6748">
            <v>0</v>
          </cell>
          <cell r="H6748">
            <v>0</v>
          </cell>
        </row>
        <row r="6749">
          <cell r="D6749" t="str">
            <v>IT&amp;NS</v>
          </cell>
          <cell r="F6749">
            <v>1102.4000000000001</v>
          </cell>
          <cell r="G6749">
            <v>0</v>
          </cell>
          <cell r="H6749">
            <v>0</v>
          </cell>
        </row>
        <row r="6750">
          <cell r="D6750" t="str">
            <v>IT&amp;NS</v>
          </cell>
          <cell r="F6750">
            <v>1102.4000000000001</v>
          </cell>
          <cell r="G6750">
            <v>0</v>
          </cell>
          <cell r="H6750">
            <v>0</v>
          </cell>
        </row>
        <row r="6751">
          <cell r="D6751" t="str">
            <v>IT&amp;NS</v>
          </cell>
          <cell r="F6751">
            <v>1102.4000000000001</v>
          </cell>
          <cell r="G6751">
            <v>0</v>
          </cell>
          <cell r="H6751">
            <v>0</v>
          </cell>
        </row>
        <row r="6752">
          <cell r="D6752" t="str">
            <v>IT&amp;NS</v>
          </cell>
          <cell r="F6752">
            <v>1102.4000000000001</v>
          </cell>
          <cell r="G6752">
            <v>0</v>
          </cell>
          <cell r="H6752">
            <v>0</v>
          </cell>
        </row>
        <row r="6753">
          <cell r="D6753" t="str">
            <v>IT&amp;NS</v>
          </cell>
          <cell r="F6753">
            <v>1102.4000000000001</v>
          </cell>
          <cell r="G6753">
            <v>0</v>
          </cell>
          <cell r="H6753">
            <v>0</v>
          </cell>
        </row>
        <row r="6754">
          <cell r="D6754" t="str">
            <v>IT&amp;NS</v>
          </cell>
          <cell r="F6754">
            <v>1102.4000000000001</v>
          </cell>
          <cell r="G6754">
            <v>0</v>
          </cell>
          <cell r="H6754">
            <v>0</v>
          </cell>
        </row>
        <row r="6755">
          <cell r="D6755" t="str">
            <v>IT&amp;NS</v>
          </cell>
          <cell r="F6755">
            <v>1102.4000000000001</v>
          </cell>
          <cell r="G6755">
            <v>0</v>
          </cell>
          <cell r="H6755">
            <v>0</v>
          </cell>
        </row>
        <row r="6756">
          <cell r="D6756" t="str">
            <v>IT&amp;NS</v>
          </cell>
          <cell r="F6756">
            <v>1102.4000000000001</v>
          </cell>
          <cell r="G6756">
            <v>0</v>
          </cell>
          <cell r="H6756">
            <v>0</v>
          </cell>
        </row>
        <row r="6757">
          <cell r="D6757" t="str">
            <v>IT&amp;NS</v>
          </cell>
          <cell r="F6757">
            <v>1102.4000000000001</v>
          </cell>
          <cell r="G6757">
            <v>0</v>
          </cell>
          <cell r="H6757">
            <v>0</v>
          </cell>
        </row>
        <row r="6758">
          <cell r="D6758" t="str">
            <v>IT&amp;NS</v>
          </cell>
          <cell r="F6758">
            <v>1102.4000000000001</v>
          </cell>
          <cell r="G6758">
            <v>0</v>
          </cell>
          <cell r="H6758">
            <v>0</v>
          </cell>
        </row>
        <row r="6759">
          <cell r="D6759" t="str">
            <v>IT&amp;NS</v>
          </cell>
          <cell r="F6759">
            <v>1102.4000000000001</v>
          </cell>
          <cell r="G6759">
            <v>0</v>
          </cell>
          <cell r="H6759">
            <v>0</v>
          </cell>
        </row>
        <row r="6760">
          <cell r="D6760" t="str">
            <v>IT&amp;NS</v>
          </cell>
          <cell r="F6760">
            <v>1102.4000000000001</v>
          </cell>
          <cell r="G6760">
            <v>0</v>
          </cell>
          <cell r="H6760">
            <v>0</v>
          </cell>
        </row>
        <row r="6761">
          <cell r="D6761" t="str">
            <v>IT&amp;NS</v>
          </cell>
          <cell r="F6761">
            <v>1102.4000000000001</v>
          </cell>
          <cell r="G6761">
            <v>0</v>
          </cell>
          <cell r="H6761">
            <v>0</v>
          </cell>
        </row>
        <row r="6762">
          <cell r="D6762" t="str">
            <v>IT&amp;NS</v>
          </cell>
          <cell r="F6762">
            <v>1102.4000000000001</v>
          </cell>
          <cell r="G6762">
            <v>0</v>
          </cell>
          <cell r="H6762">
            <v>0</v>
          </cell>
        </row>
        <row r="6763">
          <cell r="D6763" t="str">
            <v>IT&amp;NS</v>
          </cell>
          <cell r="F6763">
            <v>1102.4000000000001</v>
          </cell>
          <cell r="G6763">
            <v>0</v>
          </cell>
          <cell r="H6763">
            <v>0</v>
          </cell>
        </row>
        <row r="6764">
          <cell r="D6764" t="str">
            <v>IT&amp;NS</v>
          </cell>
          <cell r="F6764">
            <v>1102.4000000000001</v>
          </cell>
          <cell r="G6764">
            <v>0</v>
          </cell>
          <cell r="H6764">
            <v>0</v>
          </cell>
        </row>
        <row r="6765">
          <cell r="D6765" t="str">
            <v>IT&amp;NS</v>
          </cell>
          <cell r="F6765">
            <v>1102.4000000000001</v>
          </cell>
          <cell r="G6765">
            <v>0</v>
          </cell>
          <cell r="H6765">
            <v>0</v>
          </cell>
        </row>
        <row r="6766">
          <cell r="D6766" t="str">
            <v>IT&amp;NS</v>
          </cell>
          <cell r="F6766">
            <v>1102.4000000000001</v>
          </cell>
          <cell r="G6766">
            <v>0</v>
          </cell>
          <cell r="H6766">
            <v>0</v>
          </cell>
        </row>
        <row r="6767">
          <cell r="D6767" t="str">
            <v>IT&amp;NS</v>
          </cell>
          <cell r="F6767">
            <v>1102.4000000000001</v>
          </cell>
          <cell r="G6767">
            <v>0</v>
          </cell>
          <cell r="H6767">
            <v>0</v>
          </cell>
        </row>
        <row r="6768">
          <cell r="D6768" t="str">
            <v>IT&amp;NS</v>
          </cell>
          <cell r="F6768">
            <v>1102.4000000000001</v>
          </cell>
          <cell r="G6768">
            <v>0</v>
          </cell>
          <cell r="H6768">
            <v>0</v>
          </cell>
        </row>
        <row r="6769">
          <cell r="D6769" t="str">
            <v>IT&amp;NS</v>
          </cell>
          <cell r="F6769">
            <v>1102.4000000000001</v>
          </cell>
          <cell r="G6769">
            <v>0</v>
          </cell>
          <cell r="H6769">
            <v>0</v>
          </cell>
        </row>
        <row r="6770">
          <cell r="D6770" t="str">
            <v>IT&amp;NS</v>
          </cell>
          <cell r="F6770">
            <v>1102.4000000000001</v>
          </cell>
          <cell r="G6770">
            <v>0</v>
          </cell>
          <cell r="H6770">
            <v>0</v>
          </cell>
        </row>
        <row r="6771">
          <cell r="D6771" t="str">
            <v>IT&amp;NS</v>
          </cell>
          <cell r="F6771">
            <v>1102.4000000000001</v>
          </cell>
          <cell r="G6771">
            <v>0</v>
          </cell>
          <cell r="H6771">
            <v>0</v>
          </cell>
        </row>
        <row r="6772">
          <cell r="D6772" t="str">
            <v>IT&amp;NS</v>
          </cell>
          <cell r="F6772">
            <v>1102.4000000000001</v>
          </cell>
          <cell r="G6772">
            <v>0</v>
          </cell>
          <cell r="H6772">
            <v>0</v>
          </cell>
        </row>
        <row r="6773">
          <cell r="D6773" t="str">
            <v>IT&amp;NS</v>
          </cell>
          <cell r="F6773">
            <v>1560</v>
          </cell>
          <cell r="G6773">
            <v>0</v>
          </cell>
          <cell r="H6773">
            <v>0</v>
          </cell>
        </row>
        <row r="6774">
          <cell r="D6774" t="str">
            <v>IT&amp;NS</v>
          </cell>
          <cell r="F6774">
            <v>164950</v>
          </cell>
          <cell r="G6774">
            <v>0</v>
          </cell>
          <cell r="H6774">
            <v>0</v>
          </cell>
        </row>
        <row r="6775">
          <cell r="D6775" t="str">
            <v>IT&amp;NS</v>
          </cell>
          <cell r="F6775">
            <v>17100</v>
          </cell>
          <cell r="G6775">
            <v>0</v>
          </cell>
          <cell r="H6775">
            <v>0</v>
          </cell>
        </row>
        <row r="6776">
          <cell r="D6776" t="str">
            <v>IT&amp;NS</v>
          </cell>
          <cell r="F6776">
            <v>15603.003333333332</v>
          </cell>
          <cell r="G6776">
            <v>3396.9966666666678</v>
          </cell>
          <cell r="H6776">
            <v>1277.9399224806205</v>
          </cell>
        </row>
        <row r="6777">
          <cell r="D6777" t="str">
            <v>IT&amp;NS</v>
          </cell>
          <cell r="F6777">
            <v>13988.996666666666</v>
          </cell>
          <cell r="G6777">
            <v>6011.003333333334</v>
          </cell>
          <cell r="H6777">
            <v>2261.3213634290928</v>
          </cell>
        </row>
        <row r="6778">
          <cell r="D6778" t="str">
            <v>IT&amp;NS</v>
          </cell>
          <cell r="F6778">
            <v>10542.996666666666</v>
          </cell>
          <cell r="G6778">
            <v>9457.003333333334</v>
          </cell>
          <cell r="H6778">
            <v>3557.696192430461</v>
          </cell>
        </row>
        <row r="6779">
          <cell r="D6779" t="str">
            <v>IT&amp;NS</v>
          </cell>
          <cell r="F6779">
            <v>36675</v>
          </cell>
          <cell r="G6779">
            <v>73350</v>
          </cell>
          <cell r="H6779">
            <v>27594.049247606021</v>
          </cell>
        </row>
        <row r="6780">
          <cell r="D6780" t="str">
            <v>IT&amp;NS</v>
          </cell>
          <cell r="F6780">
            <v>2236</v>
          </cell>
          <cell r="G6780">
            <v>-312</v>
          </cell>
          <cell r="H6780">
            <v>0</v>
          </cell>
        </row>
        <row r="6781">
          <cell r="D6781" t="str">
            <v>IT&amp;NS</v>
          </cell>
          <cell r="F6781">
            <v>13624</v>
          </cell>
          <cell r="G6781">
            <v>0</v>
          </cell>
          <cell r="H6781">
            <v>0</v>
          </cell>
        </row>
        <row r="6782">
          <cell r="D6782" t="str">
            <v>IT&amp;NS</v>
          </cell>
          <cell r="F6782">
            <v>13624</v>
          </cell>
          <cell r="G6782">
            <v>0</v>
          </cell>
          <cell r="H6782">
            <v>0</v>
          </cell>
        </row>
        <row r="6783">
          <cell r="D6783" t="str">
            <v>IT&amp;NS</v>
          </cell>
          <cell r="F6783">
            <v>13624</v>
          </cell>
          <cell r="G6783">
            <v>0</v>
          </cell>
          <cell r="H6783">
            <v>0</v>
          </cell>
        </row>
        <row r="6784">
          <cell r="D6784" t="str">
            <v>IT&amp;NS</v>
          </cell>
          <cell r="F6784">
            <v>13624</v>
          </cell>
          <cell r="G6784">
            <v>0</v>
          </cell>
          <cell r="H6784">
            <v>0</v>
          </cell>
        </row>
        <row r="6785">
          <cell r="D6785" t="str">
            <v>IT&amp;NS</v>
          </cell>
          <cell r="F6785">
            <v>13624</v>
          </cell>
          <cell r="G6785">
            <v>0</v>
          </cell>
          <cell r="H6785">
            <v>0</v>
          </cell>
        </row>
        <row r="6786">
          <cell r="D6786" t="str">
            <v>IT&amp;NS</v>
          </cell>
          <cell r="F6786">
            <v>13624</v>
          </cell>
          <cell r="G6786">
            <v>0</v>
          </cell>
          <cell r="H6786">
            <v>0</v>
          </cell>
        </row>
        <row r="6787">
          <cell r="D6787" t="str">
            <v>IT&amp;NS</v>
          </cell>
          <cell r="F6787">
            <v>13624</v>
          </cell>
          <cell r="G6787">
            <v>0</v>
          </cell>
          <cell r="H6787">
            <v>0</v>
          </cell>
        </row>
        <row r="6788">
          <cell r="D6788" t="str">
            <v>IT&amp;NS</v>
          </cell>
          <cell r="F6788">
            <v>13624</v>
          </cell>
          <cell r="G6788">
            <v>0</v>
          </cell>
          <cell r="H6788">
            <v>0</v>
          </cell>
        </row>
        <row r="6789">
          <cell r="D6789" t="str">
            <v>IT&amp;NS</v>
          </cell>
          <cell r="F6789">
            <v>13624</v>
          </cell>
          <cell r="G6789">
            <v>0</v>
          </cell>
          <cell r="H6789">
            <v>0</v>
          </cell>
        </row>
        <row r="6790">
          <cell r="D6790" t="str">
            <v>IT&amp;NS</v>
          </cell>
          <cell r="F6790">
            <v>13624</v>
          </cell>
          <cell r="G6790">
            <v>0</v>
          </cell>
          <cell r="H6790">
            <v>0</v>
          </cell>
        </row>
        <row r="6791">
          <cell r="D6791" t="str">
            <v>IT&amp;NS</v>
          </cell>
          <cell r="F6791">
            <v>13624</v>
          </cell>
          <cell r="G6791">
            <v>0</v>
          </cell>
          <cell r="H6791">
            <v>0</v>
          </cell>
        </row>
        <row r="6792">
          <cell r="D6792" t="str">
            <v>IT&amp;NS</v>
          </cell>
          <cell r="F6792">
            <v>13624</v>
          </cell>
          <cell r="G6792">
            <v>0</v>
          </cell>
          <cell r="H6792">
            <v>0</v>
          </cell>
        </row>
        <row r="6793">
          <cell r="D6793" t="str">
            <v>IT&amp;NS</v>
          </cell>
          <cell r="F6793">
            <v>13624</v>
          </cell>
          <cell r="G6793">
            <v>0</v>
          </cell>
          <cell r="H6793">
            <v>0</v>
          </cell>
        </row>
        <row r="6794">
          <cell r="D6794" t="str">
            <v>IT&amp;NS</v>
          </cell>
          <cell r="F6794">
            <v>13624</v>
          </cell>
          <cell r="G6794">
            <v>0</v>
          </cell>
          <cell r="H6794">
            <v>0</v>
          </cell>
        </row>
        <row r="6795">
          <cell r="D6795" t="str">
            <v>IT&amp;NS</v>
          </cell>
          <cell r="F6795">
            <v>13624</v>
          </cell>
          <cell r="G6795">
            <v>0</v>
          </cell>
          <cell r="H6795">
            <v>0</v>
          </cell>
        </row>
        <row r="6796">
          <cell r="D6796" t="str">
            <v>IT&amp;NS</v>
          </cell>
          <cell r="F6796">
            <v>13624</v>
          </cell>
          <cell r="G6796">
            <v>0</v>
          </cell>
          <cell r="H6796">
            <v>0</v>
          </cell>
        </row>
        <row r="6797">
          <cell r="D6797" t="str">
            <v>IT&amp;NS</v>
          </cell>
          <cell r="F6797">
            <v>13624</v>
          </cell>
          <cell r="G6797">
            <v>0</v>
          </cell>
          <cell r="H6797">
            <v>0</v>
          </cell>
        </row>
        <row r="6798">
          <cell r="D6798" t="str">
            <v>IT&amp;NS</v>
          </cell>
          <cell r="F6798">
            <v>13624</v>
          </cell>
          <cell r="G6798">
            <v>0</v>
          </cell>
          <cell r="H6798">
            <v>0</v>
          </cell>
        </row>
        <row r="6799">
          <cell r="D6799" t="str">
            <v>IT&amp;NS</v>
          </cell>
          <cell r="F6799">
            <v>13624</v>
          </cell>
          <cell r="G6799">
            <v>0</v>
          </cell>
          <cell r="H6799">
            <v>0</v>
          </cell>
        </row>
        <row r="6800">
          <cell r="D6800" t="str">
            <v>IT&amp;NS</v>
          </cell>
          <cell r="F6800">
            <v>13624</v>
          </cell>
          <cell r="G6800">
            <v>0</v>
          </cell>
          <cell r="H6800">
            <v>0</v>
          </cell>
        </row>
        <row r="6801">
          <cell r="D6801" t="str">
            <v>IT&amp;NS</v>
          </cell>
          <cell r="F6801">
            <v>3744</v>
          </cell>
          <cell r="G6801">
            <v>0</v>
          </cell>
          <cell r="H6801">
            <v>0</v>
          </cell>
        </row>
        <row r="6802">
          <cell r="D6802" t="str">
            <v>IT&amp;NS</v>
          </cell>
          <cell r="F6802">
            <v>3744</v>
          </cell>
          <cell r="G6802">
            <v>0</v>
          </cell>
          <cell r="H6802">
            <v>0</v>
          </cell>
        </row>
        <row r="6803">
          <cell r="D6803" t="str">
            <v>IT&amp;NS</v>
          </cell>
          <cell r="F6803">
            <v>3744</v>
          </cell>
          <cell r="G6803">
            <v>0</v>
          </cell>
          <cell r="H6803">
            <v>0</v>
          </cell>
        </row>
        <row r="6804">
          <cell r="D6804" t="str">
            <v>IT&amp;NS</v>
          </cell>
          <cell r="F6804">
            <v>3744</v>
          </cell>
          <cell r="G6804">
            <v>0</v>
          </cell>
          <cell r="H6804">
            <v>0</v>
          </cell>
        </row>
        <row r="6805">
          <cell r="D6805" t="str">
            <v>IT&amp;NS</v>
          </cell>
          <cell r="F6805">
            <v>3744</v>
          </cell>
          <cell r="G6805">
            <v>0</v>
          </cell>
          <cell r="H6805">
            <v>0</v>
          </cell>
        </row>
        <row r="6806">
          <cell r="D6806" t="str">
            <v>IT&amp;NS</v>
          </cell>
          <cell r="F6806">
            <v>3744</v>
          </cell>
          <cell r="G6806">
            <v>0</v>
          </cell>
          <cell r="H6806">
            <v>0</v>
          </cell>
        </row>
        <row r="6807">
          <cell r="D6807" t="str">
            <v>IT&amp;NS</v>
          </cell>
          <cell r="F6807">
            <v>3744</v>
          </cell>
          <cell r="G6807">
            <v>0</v>
          </cell>
          <cell r="H6807">
            <v>0</v>
          </cell>
        </row>
        <row r="6808">
          <cell r="D6808" t="str">
            <v>IT&amp;NS</v>
          </cell>
          <cell r="F6808">
            <v>3744</v>
          </cell>
          <cell r="G6808">
            <v>0</v>
          </cell>
          <cell r="H6808">
            <v>0</v>
          </cell>
        </row>
        <row r="6809">
          <cell r="D6809" t="str">
            <v>IT&amp;NS</v>
          </cell>
          <cell r="F6809">
            <v>3744</v>
          </cell>
          <cell r="G6809">
            <v>0</v>
          </cell>
          <cell r="H6809">
            <v>0</v>
          </cell>
        </row>
        <row r="6810">
          <cell r="D6810" t="str">
            <v>IT&amp;NS</v>
          </cell>
          <cell r="F6810">
            <v>3744</v>
          </cell>
          <cell r="G6810">
            <v>0</v>
          </cell>
          <cell r="H6810">
            <v>0</v>
          </cell>
        </row>
        <row r="6811">
          <cell r="D6811" t="str">
            <v>IT&amp;NS</v>
          </cell>
          <cell r="F6811">
            <v>3744</v>
          </cell>
          <cell r="G6811">
            <v>0</v>
          </cell>
          <cell r="H6811">
            <v>0</v>
          </cell>
        </row>
        <row r="6812">
          <cell r="D6812" t="str">
            <v>IT&amp;NS</v>
          </cell>
          <cell r="F6812">
            <v>3744</v>
          </cell>
          <cell r="G6812">
            <v>0</v>
          </cell>
          <cell r="H6812">
            <v>0</v>
          </cell>
        </row>
        <row r="6813">
          <cell r="D6813" t="str">
            <v>IT&amp;NS</v>
          </cell>
          <cell r="F6813">
            <v>3744</v>
          </cell>
          <cell r="G6813">
            <v>0</v>
          </cell>
          <cell r="H6813">
            <v>0</v>
          </cell>
        </row>
        <row r="6814">
          <cell r="D6814" t="str">
            <v>IT&amp;NS</v>
          </cell>
          <cell r="F6814">
            <v>3744</v>
          </cell>
          <cell r="G6814">
            <v>0</v>
          </cell>
          <cell r="H6814">
            <v>0</v>
          </cell>
        </row>
        <row r="6815">
          <cell r="D6815" t="str">
            <v>IT&amp;NS</v>
          </cell>
          <cell r="F6815">
            <v>3744</v>
          </cell>
          <cell r="G6815">
            <v>0</v>
          </cell>
          <cell r="H6815">
            <v>0</v>
          </cell>
        </row>
        <row r="6816">
          <cell r="D6816" t="str">
            <v>IT&amp;NS</v>
          </cell>
          <cell r="F6816">
            <v>3744</v>
          </cell>
          <cell r="G6816">
            <v>0</v>
          </cell>
          <cell r="H6816">
            <v>0</v>
          </cell>
        </row>
        <row r="6817">
          <cell r="D6817" t="str">
            <v>IT&amp;NS</v>
          </cell>
          <cell r="F6817">
            <v>3744</v>
          </cell>
          <cell r="G6817">
            <v>0</v>
          </cell>
          <cell r="H6817">
            <v>0</v>
          </cell>
        </row>
        <row r="6818">
          <cell r="D6818" t="str">
            <v>IT&amp;NS</v>
          </cell>
          <cell r="F6818">
            <v>3744</v>
          </cell>
          <cell r="G6818">
            <v>0</v>
          </cell>
          <cell r="H6818">
            <v>0</v>
          </cell>
        </row>
        <row r="6819">
          <cell r="D6819" t="str">
            <v>IT&amp;NS</v>
          </cell>
          <cell r="F6819">
            <v>3744</v>
          </cell>
          <cell r="G6819">
            <v>0</v>
          </cell>
          <cell r="H6819">
            <v>0</v>
          </cell>
        </row>
        <row r="6820">
          <cell r="D6820" t="str">
            <v>IT&amp;NS</v>
          </cell>
          <cell r="F6820">
            <v>3744</v>
          </cell>
          <cell r="G6820">
            <v>0</v>
          </cell>
          <cell r="H6820">
            <v>0</v>
          </cell>
        </row>
        <row r="6821">
          <cell r="D6821" t="str">
            <v>IT&amp;NS</v>
          </cell>
          <cell r="F6821">
            <v>1456</v>
          </cell>
          <cell r="G6821">
            <v>0</v>
          </cell>
          <cell r="H6821">
            <v>0</v>
          </cell>
        </row>
        <row r="6822">
          <cell r="D6822" t="str">
            <v>IT&amp;NS</v>
          </cell>
          <cell r="F6822">
            <v>1456</v>
          </cell>
          <cell r="G6822">
            <v>0</v>
          </cell>
          <cell r="H6822">
            <v>0</v>
          </cell>
        </row>
        <row r="6823">
          <cell r="D6823" t="str">
            <v>IT&amp;NS</v>
          </cell>
          <cell r="F6823">
            <v>1456</v>
          </cell>
          <cell r="G6823">
            <v>0</v>
          </cell>
          <cell r="H6823">
            <v>0</v>
          </cell>
        </row>
        <row r="6824">
          <cell r="D6824" t="str">
            <v>IT&amp;NS</v>
          </cell>
          <cell r="F6824">
            <v>1456</v>
          </cell>
          <cell r="G6824">
            <v>0</v>
          </cell>
          <cell r="H6824">
            <v>0</v>
          </cell>
        </row>
        <row r="6825">
          <cell r="D6825" t="str">
            <v>IT&amp;NS</v>
          </cell>
          <cell r="F6825">
            <v>1456</v>
          </cell>
          <cell r="G6825">
            <v>0</v>
          </cell>
          <cell r="H6825">
            <v>0</v>
          </cell>
        </row>
        <row r="6826">
          <cell r="D6826" t="str">
            <v>IT&amp;NS</v>
          </cell>
          <cell r="F6826">
            <v>1456</v>
          </cell>
          <cell r="G6826">
            <v>0</v>
          </cell>
          <cell r="H6826">
            <v>0</v>
          </cell>
        </row>
        <row r="6827">
          <cell r="D6827" t="str">
            <v>IT&amp;NS</v>
          </cell>
          <cell r="F6827">
            <v>1456</v>
          </cell>
          <cell r="G6827">
            <v>0</v>
          </cell>
          <cell r="H6827">
            <v>0</v>
          </cell>
        </row>
        <row r="6828">
          <cell r="D6828" t="str">
            <v>IT&amp;NS</v>
          </cell>
          <cell r="F6828">
            <v>1456</v>
          </cell>
          <cell r="G6828">
            <v>0</v>
          </cell>
          <cell r="H6828">
            <v>0</v>
          </cell>
        </row>
        <row r="6829">
          <cell r="D6829" t="str">
            <v>IT&amp;NS</v>
          </cell>
          <cell r="F6829">
            <v>1456</v>
          </cell>
          <cell r="G6829">
            <v>0</v>
          </cell>
          <cell r="H6829">
            <v>0</v>
          </cell>
        </row>
        <row r="6830">
          <cell r="D6830" t="str">
            <v>IT&amp;NS</v>
          </cell>
          <cell r="F6830">
            <v>1456</v>
          </cell>
          <cell r="G6830">
            <v>0</v>
          </cell>
          <cell r="H6830">
            <v>0</v>
          </cell>
        </row>
        <row r="6831">
          <cell r="D6831" t="str">
            <v>IT&amp;NS</v>
          </cell>
          <cell r="F6831">
            <v>1456</v>
          </cell>
          <cell r="G6831">
            <v>0</v>
          </cell>
          <cell r="H6831">
            <v>0</v>
          </cell>
        </row>
        <row r="6832">
          <cell r="D6832" t="str">
            <v>IT&amp;NS</v>
          </cell>
          <cell r="F6832">
            <v>1456</v>
          </cell>
          <cell r="G6832">
            <v>0</v>
          </cell>
          <cell r="H6832">
            <v>0</v>
          </cell>
        </row>
        <row r="6833">
          <cell r="D6833" t="str">
            <v>IT&amp;NS</v>
          </cell>
          <cell r="F6833">
            <v>1456</v>
          </cell>
          <cell r="G6833">
            <v>0</v>
          </cell>
          <cell r="H6833">
            <v>0</v>
          </cell>
        </row>
        <row r="6834">
          <cell r="D6834" t="str">
            <v>IT&amp;NS</v>
          </cell>
          <cell r="F6834">
            <v>1456</v>
          </cell>
          <cell r="G6834">
            <v>0</v>
          </cell>
          <cell r="H6834">
            <v>0</v>
          </cell>
        </row>
        <row r="6835">
          <cell r="D6835" t="str">
            <v>IT&amp;NS</v>
          </cell>
          <cell r="F6835">
            <v>1456</v>
          </cell>
          <cell r="G6835">
            <v>0</v>
          </cell>
          <cell r="H6835">
            <v>0</v>
          </cell>
        </row>
        <row r="6836">
          <cell r="D6836" t="str">
            <v>IT&amp;NS</v>
          </cell>
          <cell r="F6836">
            <v>1456</v>
          </cell>
          <cell r="G6836">
            <v>0</v>
          </cell>
          <cell r="H6836">
            <v>0</v>
          </cell>
        </row>
        <row r="6837">
          <cell r="D6837" t="str">
            <v>IT&amp;NS</v>
          </cell>
          <cell r="F6837">
            <v>1456</v>
          </cell>
          <cell r="G6837">
            <v>0</v>
          </cell>
          <cell r="H6837">
            <v>0</v>
          </cell>
        </row>
        <row r="6838">
          <cell r="D6838" t="str">
            <v>IT&amp;NS</v>
          </cell>
          <cell r="F6838">
            <v>1456</v>
          </cell>
          <cell r="G6838">
            <v>0</v>
          </cell>
          <cell r="H6838">
            <v>0</v>
          </cell>
        </row>
        <row r="6839">
          <cell r="D6839" t="str">
            <v>IT&amp;NS</v>
          </cell>
          <cell r="F6839">
            <v>1456</v>
          </cell>
          <cell r="G6839">
            <v>0</v>
          </cell>
          <cell r="H6839">
            <v>0</v>
          </cell>
        </row>
        <row r="6840">
          <cell r="D6840" t="str">
            <v>IT&amp;NS</v>
          </cell>
          <cell r="F6840">
            <v>1456</v>
          </cell>
          <cell r="G6840">
            <v>0</v>
          </cell>
          <cell r="H6840">
            <v>0</v>
          </cell>
        </row>
        <row r="6841">
          <cell r="D6841" t="str">
            <v>IT&amp;NS</v>
          </cell>
          <cell r="F6841">
            <v>14976</v>
          </cell>
          <cell r="G6841">
            <v>0</v>
          </cell>
          <cell r="H6841">
            <v>0</v>
          </cell>
        </row>
        <row r="6842">
          <cell r="D6842" t="str">
            <v>IT&amp;NS</v>
          </cell>
          <cell r="F6842">
            <v>14976</v>
          </cell>
          <cell r="G6842">
            <v>0</v>
          </cell>
          <cell r="H6842">
            <v>0</v>
          </cell>
        </row>
        <row r="6843">
          <cell r="D6843" t="str">
            <v>IT&amp;NS</v>
          </cell>
          <cell r="F6843">
            <v>14976</v>
          </cell>
          <cell r="G6843">
            <v>0</v>
          </cell>
          <cell r="H6843">
            <v>0</v>
          </cell>
        </row>
        <row r="6844">
          <cell r="D6844" t="str">
            <v>IT&amp;NS</v>
          </cell>
          <cell r="F6844">
            <v>14560</v>
          </cell>
          <cell r="G6844">
            <v>29120</v>
          </cell>
          <cell r="H6844">
            <v>10954.85636114911</v>
          </cell>
        </row>
        <row r="6845">
          <cell r="D6845" t="str">
            <v>IT&amp;NS</v>
          </cell>
          <cell r="F6845">
            <v>14560</v>
          </cell>
          <cell r="G6845">
            <v>29120</v>
          </cell>
          <cell r="H6845">
            <v>10954.85636114911</v>
          </cell>
        </row>
        <row r="6846">
          <cell r="D6846" t="str">
            <v>IT&amp;NS</v>
          </cell>
          <cell r="F6846">
            <v>14560</v>
          </cell>
          <cell r="G6846">
            <v>29120</v>
          </cell>
          <cell r="H6846">
            <v>10954.85636114911</v>
          </cell>
        </row>
        <row r="6847">
          <cell r="D6847" t="str">
            <v>Furnitures</v>
          </cell>
          <cell r="F6847">
            <v>0</v>
          </cell>
          <cell r="G6847">
            <v>275</v>
          </cell>
          <cell r="H6847">
            <v>0</v>
          </cell>
        </row>
        <row r="6848">
          <cell r="D6848" t="str">
            <v>Furnitures</v>
          </cell>
          <cell r="F6848">
            <v>0</v>
          </cell>
          <cell r="G6848">
            <v>275</v>
          </cell>
          <cell r="H6848">
            <v>0</v>
          </cell>
        </row>
        <row r="6849">
          <cell r="D6849" t="str">
            <v>Furnitures</v>
          </cell>
          <cell r="F6849">
            <v>0</v>
          </cell>
          <cell r="G6849">
            <v>275</v>
          </cell>
          <cell r="H6849">
            <v>0</v>
          </cell>
        </row>
        <row r="6850">
          <cell r="D6850" t="str">
            <v>Furnitures</v>
          </cell>
          <cell r="F6850">
            <v>0</v>
          </cell>
          <cell r="G6850">
            <v>275</v>
          </cell>
          <cell r="H6850">
            <v>0</v>
          </cell>
        </row>
        <row r="6851">
          <cell r="D6851" t="str">
            <v>Furnitures</v>
          </cell>
          <cell r="F6851">
            <v>0</v>
          </cell>
          <cell r="G6851">
            <v>275</v>
          </cell>
          <cell r="H6851">
            <v>0</v>
          </cell>
        </row>
        <row r="6852">
          <cell r="D6852" t="str">
            <v>Furnitures</v>
          </cell>
          <cell r="F6852">
            <v>0</v>
          </cell>
          <cell r="G6852">
            <v>275</v>
          </cell>
          <cell r="H6852">
            <v>0</v>
          </cell>
        </row>
        <row r="6853">
          <cell r="D6853" t="str">
            <v>Furnitures</v>
          </cell>
          <cell r="F6853">
            <v>0</v>
          </cell>
          <cell r="G6853">
            <v>275</v>
          </cell>
          <cell r="H6853">
            <v>0</v>
          </cell>
        </row>
        <row r="6854">
          <cell r="D6854" t="str">
            <v>Furnitures</v>
          </cell>
          <cell r="F6854">
            <v>0</v>
          </cell>
          <cell r="G6854">
            <v>275</v>
          </cell>
          <cell r="H6854">
            <v>0</v>
          </cell>
        </row>
        <row r="6855">
          <cell r="D6855" t="str">
            <v>Furnitures</v>
          </cell>
          <cell r="F6855">
            <v>0</v>
          </cell>
          <cell r="G6855">
            <v>275</v>
          </cell>
          <cell r="H6855">
            <v>0</v>
          </cell>
        </row>
        <row r="6856">
          <cell r="D6856" t="str">
            <v>Furnitures</v>
          </cell>
          <cell r="F6856">
            <v>0</v>
          </cell>
          <cell r="G6856">
            <v>275</v>
          </cell>
          <cell r="H6856">
            <v>0</v>
          </cell>
        </row>
        <row r="6857">
          <cell r="D6857" t="str">
            <v>Furnitures</v>
          </cell>
          <cell r="F6857">
            <v>0</v>
          </cell>
          <cell r="G6857">
            <v>275</v>
          </cell>
          <cell r="H6857">
            <v>0</v>
          </cell>
        </row>
        <row r="6858">
          <cell r="D6858" t="str">
            <v>Furnitures</v>
          </cell>
          <cell r="F6858">
            <v>0</v>
          </cell>
          <cell r="G6858">
            <v>275</v>
          </cell>
          <cell r="H6858">
            <v>0</v>
          </cell>
        </row>
        <row r="6859">
          <cell r="D6859" t="str">
            <v>Furnitures</v>
          </cell>
          <cell r="F6859">
            <v>0</v>
          </cell>
          <cell r="G6859">
            <v>275</v>
          </cell>
          <cell r="H6859">
            <v>0</v>
          </cell>
        </row>
        <row r="6860">
          <cell r="D6860" t="str">
            <v>Furnitures</v>
          </cell>
          <cell r="F6860">
            <v>0</v>
          </cell>
          <cell r="G6860">
            <v>275</v>
          </cell>
          <cell r="H6860">
            <v>0</v>
          </cell>
        </row>
        <row r="6861">
          <cell r="D6861" t="str">
            <v>Furnitures</v>
          </cell>
          <cell r="F6861">
            <v>0</v>
          </cell>
          <cell r="G6861">
            <v>275</v>
          </cell>
          <cell r="H6861">
            <v>0</v>
          </cell>
        </row>
        <row r="6862">
          <cell r="D6862" t="str">
            <v>Furnitures</v>
          </cell>
          <cell r="F6862">
            <v>0</v>
          </cell>
          <cell r="G6862">
            <v>275</v>
          </cell>
          <cell r="H6862">
            <v>0</v>
          </cell>
        </row>
        <row r="6863">
          <cell r="D6863" t="str">
            <v>Furnitures</v>
          </cell>
          <cell r="F6863">
            <v>0</v>
          </cell>
          <cell r="G6863">
            <v>275</v>
          </cell>
          <cell r="H6863">
            <v>0</v>
          </cell>
        </row>
        <row r="6864">
          <cell r="D6864" t="str">
            <v>Furnitures</v>
          </cell>
          <cell r="F6864">
            <v>0</v>
          </cell>
          <cell r="G6864">
            <v>275</v>
          </cell>
          <cell r="H6864">
            <v>0</v>
          </cell>
        </row>
        <row r="6865">
          <cell r="D6865" t="str">
            <v>Furnitures</v>
          </cell>
          <cell r="F6865">
            <v>0</v>
          </cell>
          <cell r="G6865">
            <v>275</v>
          </cell>
          <cell r="H6865">
            <v>0</v>
          </cell>
        </row>
        <row r="6866">
          <cell r="D6866" t="str">
            <v>Furnitures</v>
          </cell>
          <cell r="F6866">
            <v>0</v>
          </cell>
          <cell r="G6866">
            <v>275</v>
          </cell>
          <cell r="H6866">
            <v>0</v>
          </cell>
        </row>
        <row r="6867">
          <cell r="D6867" t="str">
            <v>Furnitures</v>
          </cell>
          <cell r="F6867">
            <v>0</v>
          </cell>
          <cell r="G6867">
            <v>275</v>
          </cell>
          <cell r="H6867">
            <v>0</v>
          </cell>
        </row>
        <row r="6868">
          <cell r="D6868" t="str">
            <v>Furnitures</v>
          </cell>
          <cell r="F6868">
            <v>0</v>
          </cell>
          <cell r="G6868">
            <v>275</v>
          </cell>
          <cell r="H6868">
            <v>0</v>
          </cell>
        </row>
        <row r="6869">
          <cell r="D6869" t="str">
            <v>Furnitures</v>
          </cell>
          <cell r="F6869">
            <v>0</v>
          </cell>
          <cell r="G6869">
            <v>275</v>
          </cell>
          <cell r="H6869">
            <v>0</v>
          </cell>
        </row>
        <row r="6870">
          <cell r="D6870" t="str">
            <v>Furnitures</v>
          </cell>
          <cell r="F6870">
            <v>0</v>
          </cell>
          <cell r="G6870">
            <v>275</v>
          </cell>
          <cell r="H6870">
            <v>0</v>
          </cell>
        </row>
        <row r="6871">
          <cell r="D6871" t="str">
            <v>Furnitures</v>
          </cell>
          <cell r="F6871">
            <v>0</v>
          </cell>
          <cell r="G6871">
            <v>275</v>
          </cell>
          <cell r="H6871">
            <v>0</v>
          </cell>
        </row>
        <row r="6872">
          <cell r="D6872" t="str">
            <v>Furnitures</v>
          </cell>
          <cell r="F6872">
            <v>0</v>
          </cell>
          <cell r="G6872">
            <v>275</v>
          </cell>
          <cell r="H6872">
            <v>0</v>
          </cell>
        </row>
        <row r="6873">
          <cell r="D6873" t="str">
            <v>Furnitures</v>
          </cell>
          <cell r="F6873">
            <v>0</v>
          </cell>
          <cell r="G6873">
            <v>275</v>
          </cell>
          <cell r="H6873">
            <v>0</v>
          </cell>
        </row>
        <row r="6874">
          <cell r="D6874" t="str">
            <v>Furnitures</v>
          </cell>
          <cell r="F6874">
            <v>0</v>
          </cell>
          <cell r="G6874">
            <v>275</v>
          </cell>
          <cell r="H6874">
            <v>0</v>
          </cell>
        </row>
        <row r="6875">
          <cell r="D6875" t="str">
            <v>Furnitures</v>
          </cell>
          <cell r="F6875">
            <v>0</v>
          </cell>
          <cell r="G6875">
            <v>275</v>
          </cell>
          <cell r="H6875">
            <v>0</v>
          </cell>
        </row>
        <row r="6876">
          <cell r="D6876" t="str">
            <v>Furnitures</v>
          </cell>
          <cell r="F6876">
            <v>0</v>
          </cell>
          <cell r="G6876">
            <v>275</v>
          </cell>
          <cell r="H6876">
            <v>0</v>
          </cell>
        </row>
        <row r="6877">
          <cell r="D6877" t="str">
            <v>Furnitures</v>
          </cell>
          <cell r="F6877">
            <v>0</v>
          </cell>
          <cell r="G6877">
            <v>275</v>
          </cell>
          <cell r="H6877">
            <v>0</v>
          </cell>
        </row>
        <row r="6878">
          <cell r="D6878" t="str">
            <v>Furnitures</v>
          </cell>
          <cell r="F6878">
            <v>0</v>
          </cell>
          <cell r="G6878">
            <v>275</v>
          </cell>
          <cell r="H6878">
            <v>0</v>
          </cell>
        </row>
        <row r="6879">
          <cell r="D6879" t="str">
            <v>Furnitures</v>
          </cell>
          <cell r="F6879">
            <v>0</v>
          </cell>
          <cell r="G6879">
            <v>275</v>
          </cell>
          <cell r="H6879">
            <v>0</v>
          </cell>
        </row>
        <row r="6880">
          <cell r="D6880" t="str">
            <v>Furnitures</v>
          </cell>
          <cell r="F6880">
            <v>0</v>
          </cell>
          <cell r="G6880">
            <v>275</v>
          </cell>
          <cell r="H6880">
            <v>0</v>
          </cell>
        </row>
        <row r="6881">
          <cell r="D6881" t="str">
            <v>Furnitures</v>
          </cell>
          <cell r="F6881">
            <v>0</v>
          </cell>
          <cell r="G6881">
            <v>275</v>
          </cell>
          <cell r="H6881">
            <v>0</v>
          </cell>
        </row>
        <row r="6882">
          <cell r="D6882" t="str">
            <v>Furnitures</v>
          </cell>
          <cell r="F6882">
            <v>0</v>
          </cell>
          <cell r="G6882">
            <v>275</v>
          </cell>
          <cell r="H6882">
            <v>0</v>
          </cell>
        </row>
        <row r="6883">
          <cell r="D6883" t="str">
            <v>Furnitures</v>
          </cell>
          <cell r="F6883">
            <v>0</v>
          </cell>
          <cell r="G6883">
            <v>275</v>
          </cell>
          <cell r="H6883">
            <v>0</v>
          </cell>
        </row>
        <row r="6884">
          <cell r="D6884" t="str">
            <v>Furnitures</v>
          </cell>
          <cell r="F6884">
            <v>0</v>
          </cell>
          <cell r="G6884">
            <v>275</v>
          </cell>
          <cell r="H6884">
            <v>0</v>
          </cell>
        </row>
        <row r="6885">
          <cell r="D6885" t="str">
            <v>Furnitures</v>
          </cell>
          <cell r="F6885">
            <v>0</v>
          </cell>
          <cell r="G6885">
            <v>275</v>
          </cell>
          <cell r="H6885">
            <v>0</v>
          </cell>
        </row>
        <row r="6886">
          <cell r="D6886" t="str">
            <v>Furnitures</v>
          </cell>
          <cell r="F6886">
            <v>0</v>
          </cell>
          <cell r="G6886">
            <v>275</v>
          </cell>
          <cell r="H6886">
            <v>0</v>
          </cell>
        </row>
        <row r="6887">
          <cell r="D6887" t="str">
            <v>Furnitures</v>
          </cell>
          <cell r="F6887">
            <v>0</v>
          </cell>
          <cell r="G6887">
            <v>275</v>
          </cell>
          <cell r="H6887">
            <v>0</v>
          </cell>
        </row>
        <row r="6888">
          <cell r="D6888" t="str">
            <v>Furnitures</v>
          </cell>
          <cell r="F6888">
            <v>0</v>
          </cell>
          <cell r="G6888">
            <v>275</v>
          </cell>
          <cell r="H6888">
            <v>0</v>
          </cell>
        </row>
        <row r="6889">
          <cell r="D6889" t="str">
            <v>Furnitures</v>
          </cell>
          <cell r="F6889">
            <v>0</v>
          </cell>
          <cell r="G6889">
            <v>275</v>
          </cell>
          <cell r="H6889">
            <v>0</v>
          </cell>
        </row>
        <row r="6890">
          <cell r="D6890" t="str">
            <v>Furnitures</v>
          </cell>
          <cell r="F6890">
            <v>0</v>
          </cell>
          <cell r="G6890">
            <v>275</v>
          </cell>
          <cell r="H6890">
            <v>0</v>
          </cell>
        </row>
        <row r="6891">
          <cell r="D6891" t="str">
            <v>Furnitures</v>
          </cell>
          <cell r="F6891">
            <v>0</v>
          </cell>
          <cell r="G6891">
            <v>275</v>
          </cell>
          <cell r="H6891">
            <v>0</v>
          </cell>
        </row>
        <row r="6892">
          <cell r="D6892" t="str">
            <v>Furnitures</v>
          </cell>
          <cell r="F6892">
            <v>0</v>
          </cell>
          <cell r="G6892">
            <v>275</v>
          </cell>
          <cell r="H6892">
            <v>0</v>
          </cell>
        </row>
        <row r="6893">
          <cell r="D6893" t="str">
            <v>Furnitures</v>
          </cell>
          <cell r="F6893">
            <v>0</v>
          </cell>
          <cell r="G6893">
            <v>275</v>
          </cell>
          <cell r="H6893">
            <v>0</v>
          </cell>
        </row>
        <row r="6894">
          <cell r="D6894" t="str">
            <v>Furnitures</v>
          </cell>
          <cell r="F6894">
            <v>0</v>
          </cell>
          <cell r="G6894">
            <v>275</v>
          </cell>
          <cell r="H6894">
            <v>0</v>
          </cell>
        </row>
        <row r="6895">
          <cell r="D6895" t="str">
            <v>Furnitures</v>
          </cell>
          <cell r="F6895">
            <v>0</v>
          </cell>
          <cell r="G6895">
            <v>275</v>
          </cell>
          <cell r="H6895">
            <v>0</v>
          </cell>
        </row>
        <row r="6896">
          <cell r="D6896" t="str">
            <v>Furnitures</v>
          </cell>
          <cell r="F6896">
            <v>0</v>
          </cell>
          <cell r="G6896">
            <v>275</v>
          </cell>
          <cell r="H6896">
            <v>0</v>
          </cell>
        </row>
        <row r="6897">
          <cell r="D6897" t="str">
            <v>Furnitures</v>
          </cell>
          <cell r="F6897">
            <v>0</v>
          </cell>
          <cell r="G6897">
            <v>275</v>
          </cell>
          <cell r="H6897">
            <v>0</v>
          </cell>
        </row>
        <row r="6898">
          <cell r="D6898" t="str">
            <v>Furnitures</v>
          </cell>
          <cell r="F6898">
            <v>0</v>
          </cell>
          <cell r="G6898">
            <v>275</v>
          </cell>
          <cell r="H6898">
            <v>0</v>
          </cell>
        </row>
        <row r="6899">
          <cell r="D6899" t="str">
            <v>Furnitures</v>
          </cell>
          <cell r="F6899">
            <v>5191.6949999999997</v>
          </cell>
          <cell r="G6899">
            <v>275</v>
          </cell>
          <cell r="H6899">
            <v>4912.6980821917805</v>
          </cell>
        </row>
        <row r="6900">
          <cell r="D6900" t="str">
            <v>Furnitures</v>
          </cell>
          <cell r="F6900">
            <v>0</v>
          </cell>
          <cell r="G6900">
            <v>275</v>
          </cell>
          <cell r="H6900">
            <v>0</v>
          </cell>
        </row>
        <row r="6901">
          <cell r="D6901" t="str">
            <v>Furnitures</v>
          </cell>
          <cell r="F6901">
            <v>0</v>
          </cell>
          <cell r="G6901">
            <v>275</v>
          </cell>
          <cell r="H6901">
            <v>0</v>
          </cell>
        </row>
        <row r="6902">
          <cell r="D6902" t="str">
            <v>Furnitures</v>
          </cell>
          <cell r="F6902">
            <v>0</v>
          </cell>
          <cell r="G6902">
            <v>275</v>
          </cell>
          <cell r="H6902">
            <v>0</v>
          </cell>
        </row>
        <row r="6903">
          <cell r="D6903" t="str">
            <v>Furnitures</v>
          </cell>
          <cell r="F6903">
            <v>0</v>
          </cell>
          <cell r="G6903">
            <v>275</v>
          </cell>
          <cell r="H6903">
            <v>0</v>
          </cell>
        </row>
        <row r="6904">
          <cell r="D6904" t="str">
            <v>Furnitures</v>
          </cell>
          <cell r="F6904">
            <v>0</v>
          </cell>
          <cell r="G6904">
            <v>275</v>
          </cell>
          <cell r="H6904">
            <v>0</v>
          </cell>
        </row>
        <row r="6905">
          <cell r="D6905" t="str">
            <v>Furnitures</v>
          </cell>
          <cell r="F6905">
            <v>0</v>
          </cell>
          <cell r="G6905">
            <v>275</v>
          </cell>
          <cell r="H6905">
            <v>0</v>
          </cell>
        </row>
        <row r="6906">
          <cell r="D6906" t="str">
            <v>Furnitures</v>
          </cell>
          <cell r="F6906">
            <v>0</v>
          </cell>
          <cell r="G6906">
            <v>275</v>
          </cell>
          <cell r="H6906">
            <v>0</v>
          </cell>
        </row>
        <row r="6907">
          <cell r="D6907" t="str">
            <v>Furnitures</v>
          </cell>
          <cell r="F6907">
            <v>0</v>
          </cell>
          <cell r="G6907">
            <v>275</v>
          </cell>
          <cell r="H6907">
            <v>0</v>
          </cell>
        </row>
        <row r="6908">
          <cell r="D6908" t="str">
            <v>Furnitures</v>
          </cell>
          <cell r="F6908">
            <v>0</v>
          </cell>
          <cell r="G6908">
            <v>275</v>
          </cell>
          <cell r="H6908">
            <v>0</v>
          </cell>
        </row>
        <row r="6909">
          <cell r="D6909" t="str">
            <v>Furnitures</v>
          </cell>
          <cell r="F6909">
            <v>0</v>
          </cell>
          <cell r="G6909">
            <v>275</v>
          </cell>
          <cell r="H6909">
            <v>0</v>
          </cell>
        </row>
        <row r="6910">
          <cell r="D6910" t="str">
            <v>Furnitures</v>
          </cell>
          <cell r="F6910">
            <v>0</v>
          </cell>
          <cell r="G6910">
            <v>275</v>
          </cell>
          <cell r="H6910">
            <v>0</v>
          </cell>
        </row>
        <row r="6911">
          <cell r="D6911" t="str">
            <v>Furnitures</v>
          </cell>
          <cell r="F6911">
            <v>0</v>
          </cell>
          <cell r="G6911">
            <v>275</v>
          </cell>
          <cell r="H6911">
            <v>0</v>
          </cell>
        </row>
        <row r="6912">
          <cell r="D6912" t="str">
            <v>Furnitures</v>
          </cell>
          <cell r="F6912">
            <v>0</v>
          </cell>
          <cell r="G6912">
            <v>275</v>
          </cell>
          <cell r="H6912">
            <v>0</v>
          </cell>
        </row>
        <row r="6913">
          <cell r="D6913" t="str">
            <v>Furnitures</v>
          </cell>
          <cell r="F6913">
            <v>0</v>
          </cell>
          <cell r="G6913">
            <v>275</v>
          </cell>
          <cell r="H6913">
            <v>0</v>
          </cell>
        </row>
        <row r="6914">
          <cell r="D6914" t="str">
            <v>Furnitures</v>
          </cell>
          <cell r="F6914">
            <v>0</v>
          </cell>
          <cell r="G6914">
            <v>275</v>
          </cell>
          <cell r="H6914">
            <v>0</v>
          </cell>
        </row>
        <row r="6915">
          <cell r="D6915" t="str">
            <v>Furnitures</v>
          </cell>
          <cell r="F6915">
            <v>0</v>
          </cell>
          <cell r="G6915">
            <v>275</v>
          </cell>
          <cell r="H6915">
            <v>0</v>
          </cell>
        </row>
        <row r="6916">
          <cell r="D6916" t="str">
            <v>Furnitures</v>
          </cell>
          <cell r="F6916">
            <v>0</v>
          </cell>
          <cell r="G6916">
            <v>275</v>
          </cell>
          <cell r="H6916">
            <v>0</v>
          </cell>
        </row>
        <row r="6917">
          <cell r="D6917" t="str">
            <v>Furnitures</v>
          </cell>
          <cell r="F6917">
            <v>0</v>
          </cell>
          <cell r="G6917">
            <v>275</v>
          </cell>
          <cell r="H6917">
            <v>0</v>
          </cell>
        </row>
        <row r="6918">
          <cell r="D6918" t="str">
            <v>Furnitures</v>
          </cell>
          <cell r="F6918">
            <v>0</v>
          </cell>
          <cell r="G6918">
            <v>275</v>
          </cell>
          <cell r="H6918">
            <v>0</v>
          </cell>
        </row>
        <row r="6919">
          <cell r="D6919" t="str">
            <v>Furnitures</v>
          </cell>
          <cell r="F6919">
            <v>0</v>
          </cell>
          <cell r="G6919">
            <v>275</v>
          </cell>
          <cell r="H6919">
            <v>0</v>
          </cell>
        </row>
        <row r="6920">
          <cell r="D6920" t="str">
            <v>Furnitures</v>
          </cell>
          <cell r="F6920">
            <v>0</v>
          </cell>
          <cell r="G6920">
            <v>275</v>
          </cell>
          <cell r="H6920">
            <v>0</v>
          </cell>
        </row>
        <row r="6921">
          <cell r="D6921" t="str">
            <v>Furnitures</v>
          </cell>
          <cell r="F6921">
            <v>0</v>
          </cell>
          <cell r="G6921">
            <v>275</v>
          </cell>
          <cell r="H6921">
            <v>0</v>
          </cell>
        </row>
        <row r="6922">
          <cell r="D6922" t="str">
            <v>Furnitures</v>
          </cell>
          <cell r="F6922">
            <v>6507.6187499999996</v>
          </cell>
          <cell r="G6922">
            <v>275</v>
          </cell>
          <cell r="H6922">
            <v>6158.8726027397261</v>
          </cell>
        </row>
        <row r="6923">
          <cell r="D6923" t="str">
            <v>Furnitures</v>
          </cell>
          <cell r="F6923">
            <v>0</v>
          </cell>
          <cell r="G6923">
            <v>275</v>
          </cell>
          <cell r="H6923">
            <v>0</v>
          </cell>
        </row>
        <row r="6924">
          <cell r="D6924" t="str">
            <v>Furnitures</v>
          </cell>
          <cell r="F6924">
            <v>0</v>
          </cell>
          <cell r="G6924">
            <v>275</v>
          </cell>
          <cell r="H6924">
            <v>0</v>
          </cell>
        </row>
        <row r="6925">
          <cell r="D6925" t="str">
            <v>Furnitures</v>
          </cell>
          <cell r="F6925">
            <v>0</v>
          </cell>
          <cell r="G6925">
            <v>275</v>
          </cell>
          <cell r="H6925">
            <v>0</v>
          </cell>
        </row>
        <row r="6926">
          <cell r="D6926" t="str">
            <v>Furnitures</v>
          </cell>
          <cell r="F6926">
            <v>0</v>
          </cell>
          <cell r="G6926">
            <v>275</v>
          </cell>
          <cell r="H6926">
            <v>0</v>
          </cell>
        </row>
        <row r="6927">
          <cell r="D6927" t="str">
            <v>Furnitures</v>
          </cell>
          <cell r="F6927">
            <v>0</v>
          </cell>
          <cell r="G6927">
            <v>275</v>
          </cell>
          <cell r="H6927">
            <v>0</v>
          </cell>
        </row>
        <row r="6928">
          <cell r="D6928" t="str">
            <v>Furnitures</v>
          </cell>
          <cell r="F6928">
            <v>0</v>
          </cell>
          <cell r="G6928">
            <v>275</v>
          </cell>
          <cell r="H6928">
            <v>0</v>
          </cell>
        </row>
        <row r="6929">
          <cell r="D6929" t="str">
            <v>Furnitures</v>
          </cell>
          <cell r="F6929">
            <v>0</v>
          </cell>
          <cell r="G6929">
            <v>275</v>
          </cell>
          <cell r="H6929">
            <v>0</v>
          </cell>
        </row>
        <row r="6930">
          <cell r="D6930" t="str">
            <v>Furnitures</v>
          </cell>
          <cell r="F6930">
            <v>0</v>
          </cell>
          <cell r="G6930">
            <v>275</v>
          </cell>
          <cell r="H6930">
            <v>0</v>
          </cell>
        </row>
        <row r="6931">
          <cell r="D6931" t="str">
            <v>Furnitures</v>
          </cell>
          <cell r="F6931">
            <v>0</v>
          </cell>
          <cell r="G6931">
            <v>275</v>
          </cell>
          <cell r="H6931">
            <v>0</v>
          </cell>
        </row>
        <row r="6932">
          <cell r="D6932" t="str">
            <v>Furnitures</v>
          </cell>
          <cell r="F6932">
            <v>0</v>
          </cell>
          <cell r="G6932">
            <v>275</v>
          </cell>
          <cell r="H6932">
            <v>0</v>
          </cell>
        </row>
        <row r="6933">
          <cell r="D6933" t="str">
            <v>Furnitures</v>
          </cell>
          <cell r="F6933">
            <v>0</v>
          </cell>
          <cell r="G6933">
            <v>275</v>
          </cell>
          <cell r="H6933">
            <v>0</v>
          </cell>
        </row>
        <row r="6934">
          <cell r="D6934" t="str">
            <v>Furnitures</v>
          </cell>
          <cell r="F6934">
            <v>0</v>
          </cell>
          <cell r="G6934">
            <v>275</v>
          </cell>
          <cell r="H6934">
            <v>0</v>
          </cell>
        </row>
        <row r="6935">
          <cell r="D6935" t="str">
            <v>Furnitures</v>
          </cell>
          <cell r="F6935">
            <v>0</v>
          </cell>
          <cell r="G6935">
            <v>275</v>
          </cell>
          <cell r="H6935">
            <v>0</v>
          </cell>
        </row>
        <row r="6936">
          <cell r="D6936" t="str">
            <v>Furnitures</v>
          </cell>
          <cell r="F6936">
            <v>0</v>
          </cell>
          <cell r="G6936">
            <v>275</v>
          </cell>
          <cell r="H6936">
            <v>0</v>
          </cell>
        </row>
        <row r="6937">
          <cell r="D6937" t="str">
            <v>Furnitures</v>
          </cell>
          <cell r="F6937">
            <v>0</v>
          </cell>
          <cell r="G6937">
            <v>275</v>
          </cell>
          <cell r="H6937">
            <v>0</v>
          </cell>
        </row>
        <row r="6938">
          <cell r="D6938" t="str">
            <v>Furnitures</v>
          </cell>
          <cell r="F6938">
            <v>0</v>
          </cell>
          <cell r="G6938">
            <v>275</v>
          </cell>
          <cell r="H6938">
            <v>0</v>
          </cell>
        </row>
        <row r="6939">
          <cell r="D6939" t="str">
            <v>Furnitures</v>
          </cell>
          <cell r="F6939">
            <v>0</v>
          </cell>
          <cell r="G6939">
            <v>275</v>
          </cell>
          <cell r="H6939">
            <v>0</v>
          </cell>
        </row>
        <row r="6940">
          <cell r="D6940" t="str">
            <v>Furnitures</v>
          </cell>
          <cell r="F6940">
            <v>0</v>
          </cell>
          <cell r="G6940">
            <v>275</v>
          </cell>
          <cell r="H6940">
            <v>0</v>
          </cell>
        </row>
        <row r="6941">
          <cell r="D6941" t="str">
            <v>Furnitures</v>
          </cell>
          <cell r="F6941">
            <v>0</v>
          </cell>
          <cell r="G6941">
            <v>275</v>
          </cell>
          <cell r="H6941">
            <v>0</v>
          </cell>
        </row>
        <row r="6942">
          <cell r="D6942" t="str">
            <v>Furnitures</v>
          </cell>
          <cell r="F6942">
            <v>0</v>
          </cell>
          <cell r="G6942">
            <v>275</v>
          </cell>
          <cell r="H6942">
            <v>0</v>
          </cell>
        </row>
        <row r="6943">
          <cell r="D6943" t="str">
            <v>Furnitures</v>
          </cell>
          <cell r="F6943">
            <v>0</v>
          </cell>
          <cell r="G6943">
            <v>275</v>
          </cell>
          <cell r="H6943">
            <v>0</v>
          </cell>
        </row>
        <row r="6944">
          <cell r="D6944" t="str">
            <v>Furnitures</v>
          </cell>
          <cell r="F6944">
            <v>0</v>
          </cell>
          <cell r="G6944">
            <v>275</v>
          </cell>
          <cell r="H6944">
            <v>0</v>
          </cell>
        </row>
        <row r="6945">
          <cell r="D6945" t="str">
            <v>Furnitures</v>
          </cell>
          <cell r="F6945">
            <v>0</v>
          </cell>
          <cell r="G6945">
            <v>275</v>
          </cell>
          <cell r="H6945">
            <v>0</v>
          </cell>
        </row>
        <row r="6946">
          <cell r="D6946" t="str">
            <v>Furnitures</v>
          </cell>
          <cell r="F6946">
            <v>0</v>
          </cell>
          <cell r="G6946">
            <v>275</v>
          </cell>
          <cell r="H6946">
            <v>0</v>
          </cell>
        </row>
        <row r="6947">
          <cell r="D6947" t="str">
            <v>Furnitures</v>
          </cell>
          <cell r="F6947">
            <v>0</v>
          </cell>
          <cell r="G6947">
            <v>275</v>
          </cell>
          <cell r="H6947">
            <v>0</v>
          </cell>
        </row>
        <row r="6948">
          <cell r="D6948" t="str">
            <v>Furnitures</v>
          </cell>
          <cell r="F6948">
            <v>0</v>
          </cell>
          <cell r="G6948">
            <v>275</v>
          </cell>
          <cell r="H6948">
            <v>0</v>
          </cell>
        </row>
        <row r="6949">
          <cell r="D6949" t="str">
            <v>Furnitures</v>
          </cell>
          <cell r="F6949">
            <v>0</v>
          </cell>
          <cell r="G6949">
            <v>275</v>
          </cell>
          <cell r="H6949">
            <v>0</v>
          </cell>
        </row>
        <row r="6950">
          <cell r="D6950" t="str">
            <v>Furnitures</v>
          </cell>
          <cell r="F6950">
            <v>0</v>
          </cell>
          <cell r="G6950">
            <v>275</v>
          </cell>
          <cell r="H6950">
            <v>0</v>
          </cell>
        </row>
        <row r="6951">
          <cell r="D6951" t="str">
            <v>Furnitures</v>
          </cell>
          <cell r="F6951">
            <v>0</v>
          </cell>
          <cell r="G6951">
            <v>275</v>
          </cell>
          <cell r="H6951">
            <v>0</v>
          </cell>
        </row>
        <row r="6952">
          <cell r="D6952" t="str">
            <v>Furnitures</v>
          </cell>
          <cell r="F6952">
            <v>0</v>
          </cell>
          <cell r="G6952">
            <v>275</v>
          </cell>
          <cell r="H6952">
            <v>0</v>
          </cell>
        </row>
        <row r="6953">
          <cell r="D6953" t="str">
            <v>Furnitures</v>
          </cell>
          <cell r="F6953">
            <v>0</v>
          </cell>
          <cell r="G6953">
            <v>275</v>
          </cell>
          <cell r="H6953">
            <v>0</v>
          </cell>
        </row>
        <row r="6954">
          <cell r="D6954" t="str">
            <v>Furnitures</v>
          </cell>
          <cell r="F6954">
            <v>0</v>
          </cell>
          <cell r="G6954">
            <v>275</v>
          </cell>
          <cell r="H6954">
            <v>0</v>
          </cell>
        </row>
        <row r="6955">
          <cell r="D6955" t="str">
            <v>Furnitures</v>
          </cell>
          <cell r="F6955">
            <v>0</v>
          </cell>
          <cell r="G6955">
            <v>275</v>
          </cell>
          <cell r="H6955">
            <v>0</v>
          </cell>
        </row>
        <row r="6956">
          <cell r="D6956" t="str">
            <v>Furnitures</v>
          </cell>
          <cell r="F6956">
            <v>0</v>
          </cell>
          <cell r="G6956">
            <v>275</v>
          </cell>
          <cell r="H6956">
            <v>0</v>
          </cell>
        </row>
        <row r="6957">
          <cell r="D6957" t="str">
            <v>Furnitures</v>
          </cell>
          <cell r="F6957">
            <v>0</v>
          </cell>
          <cell r="G6957">
            <v>275</v>
          </cell>
          <cell r="H6957">
            <v>0</v>
          </cell>
        </row>
        <row r="6958">
          <cell r="D6958" t="str">
            <v>Furnitures</v>
          </cell>
          <cell r="F6958">
            <v>0</v>
          </cell>
          <cell r="G6958">
            <v>275</v>
          </cell>
          <cell r="H6958">
            <v>0</v>
          </cell>
        </row>
        <row r="6959">
          <cell r="D6959" t="str">
            <v>Furnitures</v>
          </cell>
          <cell r="F6959">
            <v>0</v>
          </cell>
          <cell r="G6959">
            <v>275</v>
          </cell>
          <cell r="H6959">
            <v>0</v>
          </cell>
        </row>
        <row r="6960">
          <cell r="D6960" t="str">
            <v>Furnitures</v>
          </cell>
          <cell r="F6960">
            <v>0</v>
          </cell>
          <cell r="G6960">
            <v>275</v>
          </cell>
          <cell r="H6960">
            <v>0</v>
          </cell>
        </row>
        <row r="6961">
          <cell r="D6961" t="str">
            <v>Furnitures</v>
          </cell>
          <cell r="F6961">
            <v>0</v>
          </cell>
          <cell r="G6961">
            <v>275</v>
          </cell>
          <cell r="H6961">
            <v>0</v>
          </cell>
        </row>
        <row r="6962">
          <cell r="D6962" t="str">
            <v>Furnitures</v>
          </cell>
          <cell r="F6962">
            <v>0</v>
          </cell>
          <cell r="G6962">
            <v>275</v>
          </cell>
          <cell r="H6962">
            <v>0</v>
          </cell>
        </row>
        <row r="6963">
          <cell r="D6963" t="str">
            <v>Furnitures</v>
          </cell>
          <cell r="F6963">
            <v>0</v>
          </cell>
          <cell r="G6963">
            <v>275</v>
          </cell>
          <cell r="H6963">
            <v>0</v>
          </cell>
        </row>
        <row r="6964">
          <cell r="D6964" t="str">
            <v>Furnitures</v>
          </cell>
          <cell r="F6964">
            <v>0</v>
          </cell>
          <cell r="G6964">
            <v>275</v>
          </cell>
          <cell r="H6964">
            <v>0</v>
          </cell>
        </row>
        <row r="6965">
          <cell r="D6965" t="str">
            <v>Furnitures</v>
          </cell>
          <cell r="F6965">
            <v>0</v>
          </cell>
          <cell r="G6965">
            <v>275</v>
          </cell>
          <cell r="H6965">
            <v>0</v>
          </cell>
        </row>
        <row r="6966">
          <cell r="D6966" t="str">
            <v>Furnitures</v>
          </cell>
          <cell r="F6966">
            <v>0</v>
          </cell>
          <cell r="G6966">
            <v>275</v>
          </cell>
          <cell r="H6966">
            <v>0</v>
          </cell>
        </row>
        <row r="6967">
          <cell r="D6967" t="str">
            <v>Furnitures</v>
          </cell>
          <cell r="F6967">
            <v>0</v>
          </cell>
          <cell r="G6967">
            <v>275</v>
          </cell>
          <cell r="H6967">
            <v>0</v>
          </cell>
        </row>
        <row r="6968">
          <cell r="D6968" t="str">
            <v>Furnitures</v>
          </cell>
          <cell r="F6968">
            <v>0</v>
          </cell>
          <cell r="G6968">
            <v>275</v>
          </cell>
          <cell r="H6968">
            <v>0</v>
          </cell>
        </row>
        <row r="6969">
          <cell r="D6969" t="str">
            <v>Furnitures</v>
          </cell>
          <cell r="F6969">
            <v>0</v>
          </cell>
          <cell r="G6969">
            <v>275</v>
          </cell>
          <cell r="H6969">
            <v>0</v>
          </cell>
        </row>
        <row r="6970">
          <cell r="D6970" t="str">
            <v>Furnitures</v>
          </cell>
          <cell r="F6970">
            <v>0</v>
          </cell>
          <cell r="G6970">
            <v>275</v>
          </cell>
          <cell r="H6970">
            <v>0</v>
          </cell>
        </row>
        <row r="6971">
          <cell r="D6971" t="str">
            <v>Furnitures</v>
          </cell>
          <cell r="F6971">
            <v>0</v>
          </cell>
          <cell r="G6971">
            <v>275</v>
          </cell>
          <cell r="H6971">
            <v>0</v>
          </cell>
        </row>
        <row r="6972">
          <cell r="D6972" t="str">
            <v>Furnitures</v>
          </cell>
          <cell r="F6972">
            <v>0</v>
          </cell>
          <cell r="G6972">
            <v>275</v>
          </cell>
          <cell r="H6972">
            <v>0</v>
          </cell>
        </row>
        <row r="6973">
          <cell r="D6973" t="str">
            <v>Furnitures</v>
          </cell>
          <cell r="F6973">
            <v>0</v>
          </cell>
          <cell r="G6973">
            <v>275</v>
          </cell>
          <cell r="H6973">
            <v>0</v>
          </cell>
        </row>
        <row r="6974">
          <cell r="D6974" t="str">
            <v>Furnitures</v>
          </cell>
          <cell r="F6974">
            <v>0</v>
          </cell>
          <cell r="G6974">
            <v>275</v>
          </cell>
          <cell r="H6974">
            <v>0</v>
          </cell>
        </row>
        <row r="6975">
          <cell r="D6975" t="str">
            <v>Furnitures</v>
          </cell>
          <cell r="F6975">
            <v>0</v>
          </cell>
          <cell r="G6975">
            <v>275</v>
          </cell>
          <cell r="H6975">
            <v>0</v>
          </cell>
        </row>
        <row r="6976">
          <cell r="D6976" t="str">
            <v>Furnitures</v>
          </cell>
          <cell r="F6976">
            <v>0</v>
          </cell>
          <cell r="G6976">
            <v>275</v>
          </cell>
          <cell r="H6976">
            <v>0</v>
          </cell>
        </row>
        <row r="6977">
          <cell r="D6977" t="str">
            <v>Furnitures</v>
          </cell>
          <cell r="F6977">
            <v>0</v>
          </cell>
          <cell r="G6977">
            <v>275</v>
          </cell>
          <cell r="H6977">
            <v>0</v>
          </cell>
        </row>
        <row r="6978">
          <cell r="D6978" t="str">
            <v>Furnitures</v>
          </cell>
          <cell r="F6978">
            <v>0</v>
          </cell>
          <cell r="G6978">
            <v>275</v>
          </cell>
          <cell r="H6978">
            <v>0</v>
          </cell>
        </row>
        <row r="6979">
          <cell r="D6979" t="str">
            <v>Furnitures</v>
          </cell>
          <cell r="F6979">
            <v>0</v>
          </cell>
          <cell r="G6979">
            <v>275</v>
          </cell>
          <cell r="H6979">
            <v>0</v>
          </cell>
        </row>
        <row r="6980">
          <cell r="D6980" t="str">
            <v>Furnitures</v>
          </cell>
          <cell r="F6980">
            <v>0</v>
          </cell>
          <cell r="G6980">
            <v>275</v>
          </cell>
          <cell r="H6980">
            <v>0</v>
          </cell>
        </row>
        <row r="6981">
          <cell r="D6981" t="str">
            <v>Furnitures</v>
          </cell>
          <cell r="F6981">
            <v>0</v>
          </cell>
          <cell r="G6981">
            <v>275</v>
          </cell>
          <cell r="H6981">
            <v>0</v>
          </cell>
        </row>
        <row r="6982">
          <cell r="D6982" t="str">
            <v>Furnitures</v>
          </cell>
          <cell r="F6982">
            <v>0</v>
          </cell>
          <cell r="G6982">
            <v>275</v>
          </cell>
          <cell r="H6982">
            <v>0</v>
          </cell>
        </row>
        <row r="6983">
          <cell r="D6983" t="str">
            <v>Furnitures</v>
          </cell>
          <cell r="F6983">
            <v>0</v>
          </cell>
          <cell r="G6983">
            <v>275</v>
          </cell>
          <cell r="H6983">
            <v>0</v>
          </cell>
        </row>
        <row r="6984">
          <cell r="D6984" t="str">
            <v>Furnitures</v>
          </cell>
          <cell r="F6984">
            <v>0</v>
          </cell>
          <cell r="G6984">
            <v>275</v>
          </cell>
          <cell r="H6984">
            <v>0</v>
          </cell>
        </row>
        <row r="6985">
          <cell r="D6985" t="str">
            <v>Furnitures</v>
          </cell>
          <cell r="F6985">
            <v>0</v>
          </cell>
          <cell r="G6985">
            <v>275</v>
          </cell>
          <cell r="H6985">
            <v>0</v>
          </cell>
        </row>
        <row r="6986">
          <cell r="D6986" t="str">
            <v>Furnitures</v>
          </cell>
          <cell r="F6986">
            <v>0</v>
          </cell>
          <cell r="G6986">
            <v>275</v>
          </cell>
          <cell r="H6986">
            <v>0</v>
          </cell>
        </row>
        <row r="6987">
          <cell r="D6987" t="str">
            <v>Furnitures</v>
          </cell>
          <cell r="F6987">
            <v>0</v>
          </cell>
          <cell r="G6987">
            <v>275</v>
          </cell>
          <cell r="H6987">
            <v>0</v>
          </cell>
        </row>
        <row r="6988">
          <cell r="D6988" t="str">
            <v>Furnitures</v>
          </cell>
          <cell r="F6988">
            <v>0</v>
          </cell>
          <cell r="G6988">
            <v>275</v>
          </cell>
          <cell r="H6988">
            <v>0</v>
          </cell>
        </row>
        <row r="6989">
          <cell r="D6989" t="str">
            <v>Furnitures</v>
          </cell>
          <cell r="F6989">
            <v>0</v>
          </cell>
          <cell r="G6989">
            <v>275</v>
          </cell>
          <cell r="H6989">
            <v>0</v>
          </cell>
        </row>
        <row r="6990">
          <cell r="D6990" t="str">
            <v>Furnitures</v>
          </cell>
          <cell r="F6990">
            <v>0</v>
          </cell>
          <cell r="G6990">
            <v>275</v>
          </cell>
          <cell r="H6990">
            <v>0</v>
          </cell>
        </row>
        <row r="6991">
          <cell r="D6991" t="str">
            <v>Furnitures</v>
          </cell>
          <cell r="F6991">
            <v>0</v>
          </cell>
          <cell r="G6991">
            <v>275</v>
          </cell>
          <cell r="H6991">
            <v>0</v>
          </cell>
        </row>
        <row r="6992">
          <cell r="D6992" t="str">
            <v>Furnitures</v>
          </cell>
          <cell r="F6992">
            <v>0</v>
          </cell>
          <cell r="G6992">
            <v>275</v>
          </cell>
          <cell r="H6992">
            <v>0</v>
          </cell>
        </row>
        <row r="6993">
          <cell r="D6993" t="str">
            <v>Furnitures</v>
          </cell>
          <cell r="F6993">
            <v>0</v>
          </cell>
          <cell r="G6993">
            <v>275</v>
          </cell>
          <cell r="H6993">
            <v>0</v>
          </cell>
        </row>
        <row r="6994">
          <cell r="D6994" t="str">
            <v>Furnitures</v>
          </cell>
          <cell r="F6994">
            <v>0</v>
          </cell>
          <cell r="G6994">
            <v>275</v>
          </cell>
          <cell r="H6994">
            <v>0</v>
          </cell>
        </row>
        <row r="6995">
          <cell r="D6995" t="str">
            <v>Furnitures</v>
          </cell>
          <cell r="F6995">
            <v>0</v>
          </cell>
          <cell r="G6995">
            <v>275</v>
          </cell>
          <cell r="H6995">
            <v>0</v>
          </cell>
        </row>
        <row r="6996">
          <cell r="D6996" t="str">
            <v>Furnitures</v>
          </cell>
          <cell r="F6996">
            <v>0</v>
          </cell>
          <cell r="G6996">
            <v>275</v>
          </cell>
          <cell r="H6996">
            <v>0</v>
          </cell>
        </row>
        <row r="6997">
          <cell r="D6997" t="str">
            <v>Furnitures</v>
          </cell>
          <cell r="F6997">
            <v>0</v>
          </cell>
          <cell r="G6997">
            <v>275</v>
          </cell>
          <cell r="H6997">
            <v>0</v>
          </cell>
        </row>
        <row r="6998">
          <cell r="D6998" t="str">
            <v>Furnitures</v>
          </cell>
          <cell r="F6998">
            <v>0</v>
          </cell>
          <cell r="G6998">
            <v>275</v>
          </cell>
          <cell r="H6998">
            <v>0</v>
          </cell>
        </row>
        <row r="6999">
          <cell r="D6999" t="str">
            <v>Furnitures</v>
          </cell>
          <cell r="F6999">
            <v>0</v>
          </cell>
          <cell r="G6999">
            <v>275</v>
          </cell>
          <cell r="H6999">
            <v>0</v>
          </cell>
        </row>
        <row r="7000">
          <cell r="D7000" t="str">
            <v>Furnitures</v>
          </cell>
          <cell r="F7000">
            <v>0</v>
          </cell>
          <cell r="G7000">
            <v>275</v>
          </cell>
          <cell r="H7000">
            <v>0</v>
          </cell>
        </row>
        <row r="7001">
          <cell r="D7001" t="str">
            <v>Furnitures</v>
          </cell>
          <cell r="F7001">
            <v>0</v>
          </cell>
          <cell r="G7001">
            <v>275</v>
          </cell>
          <cell r="H7001">
            <v>0</v>
          </cell>
        </row>
        <row r="7002">
          <cell r="D7002" t="str">
            <v>Furnitures</v>
          </cell>
          <cell r="F7002">
            <v>0</v>
          </cell>
          <cell r="G7002">
            <v>275</v>
          </cell>
          <cell r="H7002">
            <v>0</v>
          </cell>
        </row>
        <row r="7003">
          <cell r="D7003" t="str">
            <v>Furnitures</v>
          </cell>
          <cell r="F7003">
            <v>0</v>
          </cell>
          <cell r="G7003">
            <v>275</v>
          </cell>
          <cell r="H7003">
            <v>0</v>
          </cell>
        </row>
        <row r="7004">
          <cell r="D7004" t="str">
            <v>Furnitures</v>
          </cell>
          <cell r="F7004">
            <v>0</v>
          </cell>
          <cell r="G7004">
            <v>275</v>
          </cell>
          <cell r="H7004">
            <v>0</v>
          </cell>
        </row>
        <row r="7005">
          <cell r="D7005" t="str">
            <v>Furnitures</v>
          </cell>
          <cell r="F7005">
            <v>0</v>
          </cell>
          <cell r="G7005">
            <v>275</v>
          </cell>
          <cell r="H7005">
            <v>0</v>
          </cell>
        </row>
        <row r="7006">
          <cell r="D7006" t="str">
            <v>Furnitures</v>
          </cell>
          <cell r="F7006">
            <v>0</v>
          </cell>
          <cell r="G7006">
            <v>275</v>
          </cell>
          <cell r="H7006">
            <v>0</v>
          </cell>
        </row>
        <row r="7007">
          <cell r="D7007" t="str">
            <v>Furnitures</v>
          </cell>
          <cell r="F7007">
            <v>0</v>
          </cell>
          <cell r="G7007">
            <v>275</v>
          </cell>
          <cell r="H7007">
            <v>0</v>
          </cell>
        </row>
        <row r="7008">
          <cell r="D7008" t="str">
            <v>Furnitures</v>
          </cell>
          <cell r="F7008">
            <v>0</v>
          </cell>
          <cell r="G7008">
            <v>275</v>
          </cell>
          <cell r="H7008">
            <v>0</v>
          </cell>
        </row>
        <row r="7009">
          <cell r="D7009" t="str">
            <v>Furnitures</v>
          </cell>
          <cell r="F7009">
            <v>0</v>
          </cell>
          <cell r="G7009">
            <v>275</v>
          </cell>
          <cell r="H7009">
            <v>0</v>
          </cell>
        </row>
        <row r="7010">
          <cell r="D7010" t="str">
            <v>Furnitures</v>
          </cell>
          <cell r="F7010">
            <v>0</v>
          </cell>
          <cell r="G7010">
            <v>275</v>
          </cell>
          <cell r="H7010">
            <v>0</v>
          </cell>
        </row>
        <row r="7011">
          <cell r="D7011" t="str">
            <v>Furnitures</v>
          </cell>
          <cell r="F7011">
            <v>0</v>
          </cell>
          <cell r="G7011">
            <v>275</v>
          </cell>
          <cell r="H7011">
            <v>0</v>
          </cell>
        </row>
        <row r="7012">
          <cell r="D7012" t="str">
            <v>Furnitures</v>
          </cell>
          <cell r="F7012">
            <v>0</v>
          </cell>
          <cell r="G7012">
            <v>275</v>
          </cell>
          <cell r="H7012">
            <v>0</v>
          </cell>
        </row>
        <row r="7013">
          <cell r="D7013" t="str">
            <v>Furnitures</v>
          </cell>
          <cell r="F7013">
            <v>0</v>
          </cell>
          <cell r="G7013">
            <v>275</v>
          </cell>
          <cell r="H7013">
            <v>0</v>
          </cell>
        </row>
        <row r="7014">
          <cell r="D7014" t="str">
            <v>Furnitures</v>
          </cell>
          <cell r="F7014">
            <v>0</v>
          </cell>
          <cell r="G7014">
            <v>275</v>
          </cell>
          <cell r="H7014">
            <v>0</v>
          </cell>
        </row>
        <row r="7015">
          <cell r="D7015" t="str">
            <v>Furnitures</v>
          </cell>
          <cell r="F7015">
            <v>0</v>
          </cell>
          <cell r="G7015">
            <v>275</v>
          </cell>
          <cell r="H7015">
            <v>0</v>
          </cell>
        </row>
        <row r="7016">
          <cell r="D7016" t="str">
            <v>Furnitures</v>
          </cell>
          <cell r="F7016">
            <v>0</v>
          </cell>
          <cell r="G7016">
            <v>275</v>
          </cell>
          <cell r="H7016">
            <v>0</v>
          </cell>
        </row>
        <row r="7017">
          <cell r="D7017" t="str">
            <v>Furnitures</v>
          </cell>
          <cell r="F7017">
            <v>0</v>
          </cell>
          <cell r="G7017">
            <v>275</v>
          </cell>
          <cell r="H7017">
            <v>0</v>
          </cell>
        </row>
        <row r="7018">
          <cell r="D7018" t="str">
            <v>Furnitures</v>
          </cell>
          <cell r="F7018">
            <v>0</v>
          </cell>
          <cell r="G7018">
            <v>275</v>
          </cell>
          <cell r="H7018">
            <v>0</v>
          </cell>
        </row>
        <row r="7019">
          <cell r="D7019" t="str">
            <v>Furnitures</v>
          </cell>
          <cell r="F7019">
            <v>0</v>
          </cell>
          <cell r="G7019">
            <v>275</v>
          </cell>
          <cell r="H7019">
            <v>0</v>
          </cell>
        </row>
        <row r="7020">
          <cell r="D7020" t="str">
            <v>Furnitures</v>
          </cell>
          <cell r="F7020">
            <v>0</v>
          </cell>
          <cell r="G7020">
            <v>275</v>
          </cell>
          <cell r="H7020">
            <v>0</v>
          </cell>
        </row>
        <row r="7021">
          <cell r="D7021" t="str">
            <v>Furnitures</v>
          </cell>
          <cell r="F7021">
            <v>0</v>
          </cell>
          <cell r="G7021">
            <v>275</v>
          </cell>
          <cell r="H7021">
            <v>0</v>
          </cell>
        </row>
        <row r="7022">
          <cell r="D7022" t="str">
            <v>Furnitures</v>
          </cell>
          <cell r="F7022">
            <v>0</v>
          </cell>
          <cell r="G7022">
            <v>275</v>
          </cell>
          <cell r="H7022">
            <v>0</v>
          </cell>
        </row>
        <row r="7023">
          <cell r="D7023" t="str">
            <v>Furnitures</v>
          </cell>
          <cell r="F7023">
            <v>0</v>
          </cell>
          <cell r="G7023">
            <v>275</v>
          </cell>
          <cell r="H7023">
            <v>0</v>
          </cell>
        </row>
        <row r="7024">
          <cell r="D7024" t="str">
            <v>Furnitures</v>
          </cell>
          <cell r="F7024">
            <v>0</v>
          </cell>
          <cell r="G7024">
            <v>275</v>
          </cell>
          <cell r="H7024">
            <v>0</v>
          </cell>
        </row>
        <row r="7025">
          <cell r="D7025" t="str">
            <v>Furnitures</v>
          </cell>
          <cell r="F7025">
            <v>0</v>
          </cell>
          <cell r="G7025">
            <v>275</v>
          </cell>
          <cell r="H7025">
            <v>0</v>
          </cell>
        </row>
        <row r="7026">
          <cell r="D7026" t="str">
            <v>Furnitures</v>
          </cell>
          <cell r="F7026">
            <v>0</v>
          </cell>
          <cell r="G7026">
            <v>275</v>
          </cell>
          <cell r="H7026">
            <v>0</v>
          </cell>
        </row>
        <row r="7027">
          <cell r="D7027" t="str">
            <v>Furnitures</v>
          </cell>
          <cell r="F7027">
            <v>0</v>
          </cell>
          <cell r="G7027">
            <v>275</v>
          </cell>
          <cell r="H7027">
            <v>0</v>
          </cell>
        </row>
        <row r="7028">
          <cell r="D7028" t="str">
            <v>Furnitures</v>
          </cell>
          <cell r="F7028">
            <v>0</v>
          </cell>
          <cell r="G7028">
            <v>275</v>
          </cell>
          <cell r="H7028">
            <v>0</v>
          </cell>
        </row>
        <row r="7029">
          <cell r="D7029" t="str">
            <v>Furnitures</v>
          </cell>
          <cell r="F7029">
            <v>0</v>
          </cell>
          <cell r="G7029">
            <v>275</v>
          </cell>
          <cell r="H7029">
            <v>0</v>
          </cell>
        </row>
        <row r="7030">
          <cell r="D7030" t="str">
            <v>Furnitures</v>
          </cell>
          <cell r="F7030">
            <v>0</v>
          </cell>
          <cell r="G7030">
            <v>275</v>
          </cell>
          <cell r="H7030">
            <v>0</v>
          </cell>
        </row>
        <row r="7031">
          <cell r="D7031" t="str">
            <v>Furnitures</v>
          </cell>
          <cell r="F7031">
            <v>0</v>
          </cell>
          <cell r="G7031">
            <v>275</v>
          </cell>
          <cell r="H7031">
            <v>0</v>
          </cell>
        </row>
        <row r="7032">
          <cell r="D7032" t="str">
            <v>Furnitures</v>
          </cell>
          <cell r="F7032">
            <v>0</v>
          </cell>
          <cell r="G7032">
            <v>275</v>
          </cell>
          <cell r="H7032">
            <v>0</v>
          </cell>
        </row>
        <row r="7033">
          <cell r="D7033" t="str">
            <v>Furnitures</v>
          </cell>
          <cell r="F7033">
            <v>0</v>
          </cell>
          <cell r="G7033">
            <v>275</v>
          </cell>
          <cell r="H7033">
            <v>0</v>
          </cell>
        </row>
        <row r="7034">
          <cell r="D7034" t="str">
            <v>Furnitures</v>
          </cell>
          <cell r="F7034">
            <v>0</v>
          </cell>
          <cell r="G7034">
            <v>275</v>
          </cell>
          <cell r="H7034">
            <v>0</v>
          </cell>
        </row>
        <row r="7035">
          <cell r="D7035" t="str">
            <v>Furnitures</v>
          </cell>
          <cell r="F7035">
            <v>0</v>
          </cell>
          <cell r="G7035">
            <v>275</v>
          </cell>
          <cell r="H7035">
            <v>0</v>
          </cell>
        </row>
        <row r="7036">
          <cell r="D7036" t="str">
            <v>Furnitures</v>
          </cell>
          <cell r="F7036">
            <v>0</v>
          </cell>
          <cell r="G7036">
            <v>275</v>
          </cell>
          <cell r="H7036">
            <v>0</v>
          </cell>
        </row>
        <row r="7037">
          <cell r="D7037" t="str">
            <v>Furnitures</v>
          </cell>
          <cell r="F7037">
            <v>0</v>
          </cell>
          <cell r="G7037">
            <v>275</v>
          </cell>
          <cell r="H7037">
            <v>0</v>
          </cell>
        </row>
        <row r="7038">
          <cell r="D7038" t="str">
            <v>Furnitures</v>
          </cell>
          <cell r="F7038">
            <v>0</v>
          </cell>
          <cell r="G7038">
            <v>275</v>
          </cell>
          <cell r="H7038">
            <v>0</v>
          </cell>
        </row>
        <row r="7039">
          <cell r="D7039" t="str">
            <v>Furnitures</v>
          </cell>
          <cell r="F7039">
            <v>0</v>
          </cell>
          <cell r="G7039">
            <v>275</v>
          </cell>
          <cell r="H7039">
            <v>0</v>
          </cell>
        </row>
        <row r="7040">
          <cell r="D7040" t="str">
            <v>Furnitures</v>
          </cell>
          <cell r="F7040">
            <v>0</v>
          </cell>
          <cell r="G7040">
            <v>275</v>
          </cell>
          <cell r="H7040">
            <v>0</v>
          </cell>
        </row>
        <row r="7041">
          <cell r="D7041" t="str">
            <v>Furnitures</v>
          </cell>
          <cell r="F7041">
            <v>0</v>
          </cell>
          <cell r="G7041">
            <v>275</v>
          </cell>
          <cell r="H7041">
            <v>0</v>
          </cell>
        </row>
        <row r="7042">
          <cell r="D7042" t="str">
            <v>Furnitures</v>
          </cell>
          <cell r="F7042">
            <v>0</v>
          </cell>
          <cell r="G7042">
            <v>275</v>
          </cell>
          <cell r="H7042">
            <v>0</v>
          </cell>
        </row>
        <row r="7043">
          <cell r="D7043" t="str">
            <v>Furnitures</v>
          </cell>
          <cell r="F7043">
            <v>0</v>
          </cell>
          <cell r="G7043">
            <v>275</v>
          </cell>
          <cell r="H7043">
            <v>0</v>
          </cell>
        </row>
        <row r="7044">
          <cell r="D7044" t="str">
            <v>Furnitures</v>
          </cell>
          <cell r="F7044">
            <v>0</v>
          </cell>
          <cell r="G7044">
            <v>275</v>
          </cell>
          <cell r="H7044">
            <v>0</v>
          </cell>
        </row>
        <row r="7045">
          <cell r="D7045" t="str">
            <v>Furnitures</v>
          </cell>
          <cell r="F7045">
            <v>0</v>
          </cell>
          <cell r="G7045">
            <v>275</v>
          </cell>
          <cell r="H7045">
            <v>0</v>
          </cell>
        </row>
        <row r="7046">
          <cell r="D7046" t="str">
            <v>Furnitures</v>
          </cell>
          <cell r="F7046">
            <v>0</v>
          </cell>
          <cell r="G7046">
            <v>275</v>
          </cell>
          <cell r="H7046">
            <v>0</v>
          </cell>
        </row>
        <row r="7047">
          <cell r="D7047" t="str">
            <v>Furnitures</v>
          </cell>
          <cell r="F7047">
            <v>0</v>
          </cell>
          <cell r="G7047">
            <v>275</v>
          </cell>
          <cell r="H7047">
            <v>0</v>
          </cell>
        </row>
        <row r="7048">
          <cell r="D7048" t="str">
            <v>Furnitures</v>
          </cell>
          <cell r="F7048">
            <v>0</v>
          </cell>
          <cell r="G7048">
            <v>275</v>
          </cell>
          <cell r="H7048">
            <v>0</v>
          </cell>
        </row>
        <row r="7049">
          <cell r="D7049" t="str">
            <v>Furnitures</v>
          </cell>
          <cell r="F7049">
            <v>0</v>
          </cell>
          <cell r="G7049">
            <v>275</v>
          </cell>
          <cell r="H7049">
            <v>0</v>
          </cell>
        </row>
        <row r="7050">
          <cell r="D7050" t="str">
            <v>Furnitures</v>
          </cell>
          <cell r="F7050">
            <v>0</v>
          </cell>
          <cell r="G7050">
            <v>275</v>
          </cell>
          <cell r="H7050">
            <v>0</v>
          </cell>
        </row>
        <row r="7051">
          <cell r="D7051" t="str">
            <v>Furnitures</v>
          </cell>
          <cell r="F7051">
            <v>0</v>
          </cell>
          <cell r="G7051">
            <v>275</v>
          </cell>
          <cell r="H7051">
            <v>0</v>
          </cell>
        </row>
        <row r="7052">
          <cell r="D7052" t="str">
            <v>Furnitures</v>
          </cell>
          <cell r="F7052">
            <v>0</v>
          </cell>
          <cell r="G7052">
            <v>275</v>
          </cell>
          <cell r="H7052">
            <v>0</v>
          </cell>
        </row>
        <row r="7053">
          <cell r="D7053" t="str">
            <v>Furnitures</v>
          </cell>
          <cell r="F7053">
            <v>0</v>
          </cell>
          <cell r="G7053">
            <v>275</v>
          </cell>
          <cell r="H7053">
            <v>0</v>
          </cell>
        </row>
        <row r="7054">
          <cell r="D7054" t="str">
            <v>Furnitures</v>
          </cell>
          <cell r="F7054">
            <v>0</v>
          </cell>
          <cell r="G7054">
            <v>275</v>
          </cell>
          <cell r="H7054">
            <v>0</v>
          </cell>
        </row>
        <row r="7055">
          <cell r="D7055" t="str">
            <v>Furnitures</v>
          </cell>
          <cell r="F7055">
            <v>0</v>
          </cell>
          <cell r="G7055">
            <v>275</v>
          </cell>
          <cell r="H7055">
            <v>0</v>
          </cell>
        </row>
        <row r="7056">
          <cell r="D7056" t="str">
            <v>Furnitures</v>
          </cell>
          <cell r="F7056">
            <v>0</v>
          </cell>
          <cell r="G7056">
            <v>275</v>
          </cell>
          <cell r="H7056">
            <v>0</v>
          </cell>
        </row>
        <row r="7057">
          <cell r="D7057" t="str">
            <v>Furnitures</v>
          </cell>
          <cell r="F7057">
            <v>0</v>
          </cell>
          <cell r="G7057">
            <v>275</v>
          </cell>
          <cell r="H7057">
            <v>0</v>
          </cell>
        </row>
        <row r="7058">
          <cell r="D7058" t="str">
            <v>Furnitures</v>
          </cell>
          <cell r="F7058">
            <v>0</v>
          </cell>
          <cell r="G7058">
            <v>275</v>
          </cell>
          <cell r="H7058">
            <v>0</v>
          </cell>
        </row>
        <row r="7059">
          <cell r="D7059" t="str">
            <v>Furnitures</v>
          </cell>
          <cell r="F7059">
            <v>0</v>
          </cell>
          <cell r="G7059">
            <v>275</v>
          </cell>
          <cell r="H7059">
            <v>0</v>
          </cell>
        </row>
        <row r="7060">
          <cell r="D7060" t="str">
            <v>Furnitures</v>
          </cell>
          <cell r="F7060">
            <v>0</v>
          </cell>
          <cell r="G7060">
            <v>275</v>
          </cell>
          <cell r="H7060">
            <v>0</v>
          </cell>
        </row>
        <row r="7061">
          <cell r="D7061" t="str">
            <v>Furnitures</v>
          </cell>
          <cell r="F7061">
            <v>0</v>
          </cell>
          <cell r="G7061">
            <v>275</v>
          </cell>
          <cell r="H7061">
            <v>0</v>
          </cell>
        </row>
        <row r="7062">
          <cell r="D7062" t="str">
            <v>Furnitures</v>
          </cell>
          <cell r="F7062">
            <v>0</v>
          </cell>
          <cell r="G7062">
            <v>275</v>
          </cell>
          <cell r="H7062">
            <v>0</v>
          </cell>
        </row>
        <row r="7063">
          <cell r="D7063" t="str">
            <v>Furnitures</v>
          </cell>
          <cell r="F7063">
            <v>0</v>
          </cell>
          <cell r="G7063">
            <v>275</v>
          </cell>
          <cell r="H7063">
            <v>0</v>
          </cell>
        </row>
        <row r="7064">
          <cell r="D7064" t="str">
            <v>Furnitures</v>
          </cell>
          <cell r="F7064">
            <v>0</v>
          </cell>
          <cell r="G7064">
            <v>275</v>
          </cell>
          <cell r="H7064">
            <v>0</v>
          </cell>
        </row>
        <row r="7065">
          <cell r="D7065" t="str">
            <v>Furnitures</v>
          </cell>
          <cell r="F7065">
            <v>0</v>
          </cell>
          <cell r="G7065">
            <v>275</v>
          </cell>
          <cell r="H7065">
            <v>0</v>
          </cell>
        </row>
        <row r="7066">
          <cell r="D7066" t="str">
            <v>Furnitures</v>
          </cell>
          <cell r="F7066">
            <v>0</v>
          </cell>
          <cell r="G7066">
            <v>275</v>
          </cell>
          <cell r="H7066">
            <v>0</v>
          </cell>
        </row>
        <row r="7067">
          <cell r="D7067" t="str">
            <v>Furnitures</v>
          </cell>
          <cell r="F7067">
            <v>0</v>
          </cell>
          <cell r="G7067">
            <v>275</v>
          </cell>
          <cell r="H7067">
            <v>0</v>
          </cell>
        </row>
        <row r="7068">
          <cell r="D7068" t="str">
            <v>Furnitures</v>
          </cell>
          <cell r="F7068">
            <v>6653.2997999999998</v>
          </cell>
          <cell r="G7068">
            <v>275</v>
          </cell>
          <cell r="H7068">
            <v>6291.128416438356</v>
          </cell>
        </row>
        <row r="7069">
          <cell r="D7069" t="str">
            <v>Furnitures</v>
          </cell>
          <cell r="F7069">
            <v>0</v>
          </cell>
          <cell r="G7069">
            <v>275</v>
          </cell>
          <cell r="H7069">
            <v>0</v>
          </cell>
        </row>
        <row r="7070">
          <cell r="D7070" t="str">
            <v>Furnitures</v>
          </cell>
          <cell r="F7070">
            <v>0</v>
          </cell>
          <cell r="G7070">
            <v>275</v>
          </cell>
          <cell r="H7070">
            <v>0</v>
          </cell>
        </row>
        <row r="7071">
          <cell r="D7071" t="str">
            <v>Furnitures</v>
          </cell>
          <cell r="F7071">
            <v>0</v>
          </cell>
          <cell r="G7071">
            <v>275</v>
          </cell>
          <cell r="H7071">
            <v>0</v>
          </cell>
        </row>
        <row r="7072">
          <cell r="D7072" t="str">
            <v>Furnitures</v>
          </cell>
          <cell r="F7072">
            <v>0</v>
          </cell>
          <cell r="G7072">
            <v>275</v>
          </cell>
          <cell r="H7072">
            <v>0</v>
          </cell>
        </row>
        <row r="7073">
          <cell r="D7073" t="str">
            <v>Furnitures</v>
          </cell>
          <cell r="F7073">
            <v>0</v>
          </cell>
          <cell r="G7073">
            <v>275</v>
          </cell>
          <cell r="H7073">
            <v>0</v>
          </cell>
        </row>
        <row r="7074">
          <cell r="D7074" t="str">
            <v>Furnitures</v>
          </cell>
          <cell r="F7074">
            <v>0</v>
          </cell>
          <cell r="G7074">
            <v>275</v>
          </cell>
          <cell r="H7074">
            <v>0</v>
          </cell>
        </row>
        <row r="7075">
          <cell r="D7075" t="str">
            <v>Furnitures</v>
          </cell>
          <cell r="F7075">
            <v>0</v>
          </cell>
          <cell r="G7075">
            <v>275</v>
          </cell>
          <cell r="H7075">
            <v>0</v>
          </cell>
        </row>
        <row r="7076">
          <cell r="D7076" t="str">
            <v>Furnitures</v>
          </cell>
          <cell r="F7076">
            <v>0</v>
          </cell>
          <cell r="G7076">
            <v>275</v>
          </cell>
          <cell r="H7076">
            <v>0</v>
          </cell>
        </row>
        <row r="7077">
          <cell r="D7077" t="str">
            <v>Furnitures</v>
          </cell>
          <cell r="F7077">
            <v>0</v>
          </cell>
          <cell r="G7077">
            <v>275</v>
          </cell>
          <cell r="H7077">
            <v>0</v>
          </cell>
        </row>
        <row r="7078">
          <cell r="D7078" t="str">
            <v>Furnitures</v>
          </cell>
          <cell r="F7078">
            <v>0</v>
          </cell>
          <cell r="G7078">
            <v>275</v>
          </cell>
          <cell r="H7078">
            <v>0</v>
          </cell>
        </row>
        <row r="7079">
          <cell r="D7079" t="str">
            <v>Furnitures</v>
          </cell>
          <cell r="F7079">
            <v>0</v>
          </cell>
          <cell r="G7079">
            <v>275</v>
          </cell>
          <cell r="H7079">
            <v>0</v>
          </cell>
        </row>
        <row r="7080">
          <cell r="D7080" t="str">
            <v>Furnitures</v>
          </cell>
          <cell r="F7080">
            <v>0</v>
          </cell>
          <cell r="G7080">
            <v>275</v>
          </cell>
          <cell r="H7080">
            <v>0</v>
          </cell>
        </row>
        <row r="7081">
          <cell r="D7081" t="str">
            <v>Furnitures</v>
          </cell>
          <cell r="F7081">
            <v>0</v>
          </cell>
          <cell r="G7081">
            <v>275</v>
          </cell>
          <cell r="H7081">
            <v>0</v>
          </cell>
        </row>
        <row r="7082">
          <cell r="D7082" t="str">
            <v>Furnitures</v>
          </cell>
          <cell r="F7082">
            <v>0</v>
          </cell>
          <cell r="G7082">
            <v>275</v>
          </cell>
          <cell r="H7082">
            <v>0</v>
          </cell>
        </row>
        <row r="7083">
          <cell r="D7083" t="str">
            <v>Furnitures</v>
          </cell>
          <cell r="F7083">
            <v>0</v>
          </cell>
          <cell r="G7083">
            <v>275</v>
          </cell>
          <cell r="H7083">
            <v>0</v>
          </cell>
        </row>
        <row r="7084">
          <cell r="D7084" t="str">
            <v>Furnitures</v>
          </cell>
          <cell r="F7084">
            <v>0</v>
          </cell>
          <cell r="G7084">
            <v>275</v>
          </cell>
          <cell r="H7084">
            <v>0</v>
          </cell>
        </row>
        <row r="7085">
          <cell r="D7085" t="str">
            <v>Furnitures</v>
          </cell>
          <cell r="F7085">
            <v>0</v>
          </cell>
          <cell r="G7085">
            <v>275</v>
          </cell>
          <cell r="H7085">
            <v>0</v>
          </cell>
        </row>
        <row r="7086">
          <cell r="D7086" t="str">
            <v>Furnitures</v>
          </cell>
          <cell r="F7086">
            <v>0</v>
          </cell>
          <cell r="G7086">
            <v>275</v>
          </cell>
          <cell r="H7086">
            <v>0</v>
          </cell>
        </row>
        <row r="7087">
          <cell r="D7087" t="str">
            <v>Furnitures</v>
          </cell>
          <cell r="F7087">
            <v>0</v>
          </cell>
          <cell r="G7087">
            <v>275</v>
          </cell>
          <cell r="H7087">
            <v>0</v>
          </cell>
        </row>
        <row r="7088">
          <cell r="D7088" t="str">
            <v>Furnitures</v>
          </cell>
          <cell r="F7088">
            <v>0</v>
          </cell>
          <cell r="G7088">
            <v>275</v>
          </cell>
          <cell r="H7088">
            <v>0</v>
          </cell>
        </row>
        <row r="7089">
          <cell r="D7089" t="str">
            <v>Furnitures</v>
          </cell>
          <cell r="F7089">
            <v>0</v>
          </cell>
          <cell r="G7089">
            <v>275</v>
          </cell>
          <cell r="H7089">
            <v>0</v>
          </cell>
        </row>
        <row r="7090">
          <cell r="D7090" t="str">
            <v>Furnitures</v>
          </cell>
          <cell r="F7090">
            <v>0</v>
          </cell>
          <cell r="G7090">
            <v>275</v>
          </cell>
          <cell r="H7090">
            <v>0</v>
          </cell>
        </row>
        <row r="7091">
          <cell r="D7091" t="str">
            <v>Furnitures</v>
          </cell>
          <cell r="F7091">
            <v>0</v>
          </cell>
          <cell r="G7091">
            <v>275</v>
          </cell>
          <cell r="H7091">
            <v>0</v>
          </cell>
        </row>
        <row r="7092">
          <cell r="D7092" t="str">
            <v>Furnitures</v>
          </cell>
          <cell r="F7092">
            <v>0</v>
          </cell>
          <cell r="G7092">
            <v>275</v>
          </cell>
          <cell r="H7092">
            <v>0</v>
          </cell>
        </row>
        <row r="7093">
          <cell r="D7093" t="str">
            <v>Furnitures</v>
          </cell>
          <cell r="F7093">
            <v>0</v>
          </cell>
          <cell r="G7093">
            <v>275</v>
          </cell>
          <cell r="H7093">
            <v>0</v>
          </cell>
        </row>
        <row r="7094">
          <cell r="D7094" t="str">
            <v>Furnitures</v>
          </cell>
          <cell r="F7094">
            <v>0</v>
          </cell>
          <cell r="G7094">
            <v>275</v>
          </cell>
          <cell r="H7094">
            <v>0</v>
          </cell>
        </row>
        <row r="7095">
          <cell r="D7095" t="str">
            <v>Furnitures</v>
          </cell>
          <cell r="F7095">
            <v>0</v>
          </cell>
          <cell r="G7095">
            <v>275</v>
          </cell>
          <cell r="H7095">
            <v>0</v>
          </cell>
        </row>
        <row r="7096">
          <cell r="D7096" t="str">
            <v>Furnitures</v>
          </cell>
          <cell r="F7096">
            <v>0</v>
          </cell>
          <cell r="G7096">
            <v>275</v>
          </cell>
          <cell r="H7096">
            <v>0</v>
          </cell>
        </row>
        <row r="7097">
          <cell r="D7097" t="str">
            <v>Furnitures</v>
          </cell>
          <cell r="F7097">
            <v>0</v>
          </cell>
          <cell r="G7097">
            <v>275</v>
          </cell>
          <cell r="H7097">
            <v>0</v>
          </cell>
        </row>
        <row r="7098">
          <cell r="D7098" t="str">
            <v>Furnitures</v>
          </cell>
          <cell r="F7098">
            <v>0</v>
          </cell>
          <cell r="G7098">
            <v>275</v>
          </cell>
          <cell r="H7098">
            <v>0</v>
          </cell>
        </row>
        <row r="7099">
          <cell r="D7099" t="str">
            <v>Furnitures</v>
          </cell>
          <cell r="F7099">
            <v>0</v>
          </cell>
          <cell r="G7099">
            <v>275</v>
          </cell>
          <cell r="H7099">
            <v>0</v>
          </cell>
        </row>
        <row r="7100">
          <cell r="D7100" t="str">
            <v>Furnitures</v>
          </cell>
          <cell r="F7100">
            <v>0</v>
          </cell>
          <cell r="G7100">
            <v>275</v>
          </cell>
          <cell r="H7100">
            <v>0</v>
          </cell>
        </row>
        <row r="7101">
          <cell r="D7101" t="str">
            <v>Furnitures</v>
          </cell>
          <cell r="F7101">
            <v>0</v>
          </cell>
          <cell r="G7101">
            <v>275</v>
          </cell>
          <cell r="H7101">
            <v>0</v>
          </cell>
        </row>
        <row r="7102">
          <cell r="D7102" t="str">
            <v>Furnitures</v>
          </cell>
          <cell r="F7102">
            <v>0</v>
          </cell>
          <cell r="G7102">
            <v>275</v>
          </cell>
          <cell r="H7102">
            <v>0</v>
          </cell>
        </row>
        <row r="7103">
          <cell r="D7103" t="str">
            <v>Furnitures</v>
          </cell>
          <cell r="F7103">
            <v>0</v>
          </cell>
          <cell r="G7103">
            <v>275</v>
          </cell>
          <cell r="H7103">
            <v>0</v>
          </cell>
        </row>
        <row r="7104">
          <cell r="D7104" t="str">
            <v>Furnitures</v>
          </cell>
          <cell r="F7104">
            <v>0</v>
          </cell>
          <cell r="G7104">
            <v>275</v>
          </cell>
          <cell r="H7104">
            <v>0</v>
          </cell>
        </row>
        <row r="7105">
          <cell r="D7105" t="str">
            <v>Furnitures</v>
          </cell>
          <cell r="F7105">
            <v>0</v>
          </cell>
          <cell r="G7105">
            <v>275</v>
          </cell>
          <cell r="H7105">
            <v>0</v>
          </cell>
        </row>
        <row r="7106">
          <cell r="D7106" t="str">
            <v>Furnitures</v>
          </cell>
          <cell r="F7106">
            <v>0</v>
          </cell>
          <cell r="G7106">
            <v>275</v>
          </cell>
          <cell r="H7106">
            <v>0</v>
          </cell>
        </row>
        <row r="7107">
          <cell r="D7107" t="str">
            <v>Furnitures</v>
          </cell>
          <cell r="F7107">
            <v>0</v>
          </cell>
          <cell r="G7107">
            <v>275</v>
          </cell>
          <cell r="H7107">
            <v>0</v>
          </cell>
        </row>
        <row r="7108">
          <cell r="D7108" t="str">
            <v>Furnitures</v>
          </cell>
          <cell r="F7108">
            <v>0</v>
          </cell>
          <cell r="G7108">
            <v>275</v>
          </cell>
          <cell r="H7108">
            <v>0</v>
          </cell>
        </row>
        <row r="7109">
          <cell r="D7109" t="str">
            <v>Furnitures</v>
          </cell>
          <cell r="F7109">
            <v>0</v>
          </cell>
          <cell r="G7109">
            <v>275</v>
          </cell>
          <cell r="H7109">
            <v>0</v>
          </cell>
        </row>
        <row r="7110">
          <cell r="D7110" t="str">
            <v>Furnitures</v>
          </cell>
          <cell r="F7110">
            <v>0</v>
          </cell>
          <cell r="G7110">
            <v>275</v>
          </cell>
          <cell r="H7110">
            <v>0</v>
          </cell>
        </row>
        <row r="7111">
          <cell r="D7111" t="str">
            <v>Furnitures</v>
          </cell>
          <cell r="F7111">
            <v>0</v>
          </cell>
          <cell r="G7111">
            <v>275</v>
          </cell>
          <cell r="H7111">
            <v>0</v>
          </cell>
        </row>
        <row r="7112">
          <cell r="D7112" t="str">
            <v>Furnitures</v>
          </cell>
          <cell r="F7112">
            <v>0</v>
          </cell>
          <cell r="G7112">
            <v>275</v>
          </cell>
          <cell r="H7112">
            <v>0</v>
          </cell>
        </row>
        <row r="7113">
          <cell r="D7113" t="str">
            <v>Furnitures</v>
          </cell>
          <cell r="F7113">
            <v>0</v>
          </cell>
          <cell r="G7113">
            <v>275</v>
          </cell>
          <cell r="H7113">
            <v>0</v>
          </cell>
        </row>
        <row r="7114">
          <cell r="D7114" t="str">
            <v>Furnitures</v>
          </cell>
          <cell r="F7114">
            <v>0</v>
          </cell>
          <cell r="G7114">
            <v>275</v>
          </cell>
          <cell r="H7114">
            <v>0</v>
          </cell>
        </row>
        <row r="7115">
          <cell r="D7115" t="str">
            <v>Furnitures</v>
          </cell>
          <cell r="F7115">
            <v>0</v>
          </cell>
          <cell r="G7115">
            <v>275</v>
          </cell>
          <cell r="H7115">
            <v>0</v>
          </cell>
        </row>
        <row r="7116">
          <cell r="D7116" t="str">
            <v>Furnitures</v>
          </cell>
          <cell r="F7116">
            <v>0</v>
          </cell>
          <cell r="G7116">
            <v>275</v>
          </cell>
          <cell r="H7116">
            <v>0</v>
          </cell>
        </row>
        <row r="7117">
          <cell r="D7117" t="str">
            <v>Furnitures</v>
          </cell>
          <cell r="F7117">
            <v>0</v>
          </cell>
          <cell r="G7117">
            <v>275</v>
          </cell>
          <cell r="H7117">
            <v>0</v>
          </cell>
        </row>
        <row r="7118">
          <cell r="D7118" t="str">
            <v>Furnitures</v>
          </cell>
          <cell r="F7118">
            <v>0</v>
          </cell>
          <cell r="G7118">
            <v>275</v>
          </cell>
          <cell r="H7118">
            <v>0</v>
          </cell>
        </row>
        <row r="7119">
          <cell r="D7119" t="str">
            <v>Furnitures</v>
          </cell>
          <cell r="F7119">
            <v>0</v>
          </cell>
          <cell r="G7119">
            <v>275</v>
          </cell>
          <cell r="H7119">
            <v>0</v>
          </cell>
        </row>
        <row r="7120">
          <cell r="D7120" t="str">
            <v>Furnitures</v>
          </cell>
          <cell r="F7120">
            <v>0</v>
          </cell>
          <cell r="G7120">
            <v>275</v>
          </cell>
          <cell r="H7120">
            <v>0</v>
          </cell>
        </row>
        <row r="7121">
          <cell r="D7121" t="str">
            <v>Furnitures</v>
          </cell>
          <cell r="F7121">
            <v>0</v>
          </cell>
          <cell r="G7121">
            <v>275</v>
          </cell>
          <cell r="H7121">
            <v>0</v>
          </cell>
        </row>
        <row r="7122">
          <cell r="D7122" t="str">
            <v>Furnitures</v>
          </cell>
          <cell r="F7122">
            <v>0</v>
          </cell>
          <cell r="G7122">
            <v>275</v>
          </cell>
          <cell r="H7122">
            <v>0</v>
          </cell>
        </row>
        <row r="7123">
          <cell r="D7123" t="str">
            <v>Furnitures</v>
          </cell>
          <cell r="F7123">
            <v>0</v>
          </cell>
          <cell r="G7123">
            <v>275</v>
          </cell>
          <cell r="H7123">
            <v>0</v>
          </cell>
        </row>
        <row r="7124">
          <cell r="D7124" t="str">
            <v>Furnitures</v>
          </cell>
          <cell r="F7124">
            <v>0</v>
          </cell>
          <cell r="G7124">
            <v>275</v>
          </cell>
          <cell r="H7124">
            <v>0</v>
          </cell>
        </row>
        <row r="7125">
          <cell r="D7125" t="str">
            <v>Furnitures</v>
          </cell>
          <cell r="F7125">
            <v>0</v>
          </cell>
          <cell r="G7125">
            <v>275</v>
          </cell>
          <cell r="H7125">
            <v>0</v>
          </cell>
        </row>
        <row r="7126">
          <cell r="D7126" t="str">
            <v>Furnitures</v>
          </cell>
          <cell r="F7126">
            <v>0</v>
          </cell>
          <cell r="G7126">
            <v>275</v>
          </cell>
          <cell r="H7126">
            <v>0</v>
          </cell>
        </row>
        <row r="7127">
          <cell r="D7127" t="str">
            <v>Furnitures</v>
          </cell>
          <cell r="F7127">
            <v>0</v>
          </cell>
          <cell r="G7127">
            <v>275</v>
          </cell>
          <cell r="H7127">
            <v>0</v>
          </cell>
        </row>
        <row r="7128">
          <cell r="D7128" t="str">
            <v>Furnitures</v>
          </cell>
          <cell r="F7128">
            <v>0</v>
          </cell>
          <cell r="G7128">
            <v>275</v>
          </cell>
          <cell r="H7128">
            <v>0</v>
          </cell>
        </row>
        <row r="7129">
          <cell r="D7129" t="str">
            <v>Furnitures</v>
          </cell>
          <cell r="F7129">
            <v>0</v>
          </cell>
          <cell r="G7129">
            <v>275</v>
          </cell>
          <cell r="H7129">
            <v>0</v>
          </cell>
        </row>
        <row r="7130">
          <cell r="D7130" t="str">
            <v>Furnitures</v>
          </cell>
          <cell r="F7130">
            <v>0</v>
          </cell>
          <cell r="G7130">
            <v>275</v>
          </cell>
          <cell r="H7130">
            <v>0</v>
          </cell>
        </row>
        <row r="7131">
          <cell r="D7131" t="str">
            <v>Furnitures</v>
          </cell>
          <cell r="F7131">
            <v>0</v>
          </cell>
          <cell r="G7131">
            <v>275</v>
          </cell>
          <cell r="H7131">
            <v>0</v>
          </cell>
        </row>
        <row r="7132">
          <cell r="D7132" t="str">
            <v>Furnitures</v>
          </cell>
          <cell r="F7132">
            <v>0</v>
          </cell>
          <cell r="G7132">
            <v>275</v>
          </cell>
          <cell r="H7132">
            <v>0</v>
          </cell>
        </row>
        <row r="7133">
          <cell r="D7133" t="str">
            <v>Furnitures</v>
          </cell>
          <cell r="F7133">
            <v>0</v>
          </cell>
          <cell r="G7133">
            <v>275</v>
          </cell>
          <cell r="H7133">
            <v>0</v>
          </cell>
        </row>
        <row r="7134">
          <cell r="D7134" t="str">
            <v>Furnitures</v>
          </cell>
          <cell r="F7134">
            <v>0</v>
          </cell>
          <cell r="G7134">
            <v>275</v>
          </cell>
          <cell r="H7134">
            <v>0</v>
          </cell>
        </row>
        <row r="7135">
          <cell r="D7135" t="str">
            <v>Furnitures</v>
          </cell>
          <cell r="F7135">
            <v>0</v>
          </cell>
          <cell r="G7135">
            <v>275</v>
          </cell>
          <cell r="H7135">
            <v>0</v>
          </cell>
        </row>
        <row r="7136">
          <cell r="D7136" t="str">
            <v>Furnitures</v>
          </cell>
          <cell r="F7136">
            <v>0</v>
          </cell>
          <cell r="G7136">
            <v>275</v>
          </cell>
          <cell r="H7136">
            <v>0</v>
          </cell>
        </row>
        <row r="7137">
          <cell r="D7137" t="str">
            <v>Furnitures</v>
          </cell>
          <cell r="F7137">
            <v>0</v>
          </cell>
          <cell r="G7137">
            <v>275</v>
          </cell>
          <cell r="H7137">
            <v>0</v>
          </cell>
        </row>
        <row r="7138">
          <cell r="D7138" t="str">
            <v>Furnitures</v>
          </cell>
          <cell r="F7138">
            <v>0</v>
          </cell>
          <cell r="G7138">
            <v>275</v>
          </cell>
          <cell r="H7138">
            <v>0</v>
          </cell>
        </row>
        <row r="7139">
          <cell r="D7139" t="str">
            <v>Furnitures</v>
          </cell>
          <cell r="F7139">
            <v>0</v>
          </cell>
          <cell r="G7139">
            <v>275</v>
          </cell>
          <cell r="H7139">
            <v>0</v>
          </cell>
        </row>
        <row r="7140">
          <cell r="D7140" t="str">
            <v>Furnitures</v>
          </cell>
          <cell r="F7140">
            <v>0</v>
          </cell>
          <cell r="G7140">
            <v>275</v>
          </cell>
          <cell r="H7140">
            <v>0</v>
          </cell>
        </row>
        <row r="7141">
          <cell r="D7141" t="str">
            <v>Furnitures</v>
          </cell>
          <cell r="F7141">
            <v>0</v>
          </cell>
          <cell r="G7141">
            <v>275</v>
          </cell>
          <cell r="H7141">
            <v>0</v>
          </cell>
        </row>
        <row r="7142">
          <cell r="D7142" t="str">
            <v>Furnitures</v>
          </cell>
          <cell r="F7142">
            <v>0</v>
          </cell>
          <cell r="G7142">
            <v>275</v>
          </cell>
          <cell r="H7142">
            <v>0</v>
          </cell>
        </row>
        <row r="7143">
          <cell r="D7143" t="str">
            <v>Furnitures</v>
          </cell>
          <cell r="F7143">
            <v>0</v>
          </cell>
          <cell r="G7143">
            <v>275</v>
          </cell>
          <cell r="H7143">
            <v>0</v>
          </cell>
        </row>
        <row r="7144">
          <cell r="D7144" t="str">
            <v>Furnitures</v>
          </cell>
          <cell r="F7144">
            <v>0</v>
          </cell>
          <cell r="G7144">
            <v>275</v>
          </cell>
          <cell r="H7144">
            <v>0</v>
          </cell>
        </row>
        <row r="7145">
          <cell r="D7145" t="str">
            <v>Furnitures</v>
          </cell>
          <cell r="F7145">
            <v>0</v>
          </cell>
          <cell r="G7145">
            <v>275</v>
          </cell>
          <cell r="H7145">
            <v>0</v>
          </cell>
        </row>
        <row r="7146">
          <cell r="D7146" t="str">
            <v>Furnitures</v>
          </cell>
          <cell r="F7146">
            <v>0</v>
          </cell>
          <cell r="G7146">
            <v>275</v>
          </cell>
          <cell r="H7146">
            <v>0</v>
          </cell>
        </row>
        <row r="7147">
          <cell r="D7147" t="str">
            <v>Furnitures</v>
          </cell>
          <cell r="F7147">
            <v>0</v>
          </cell>
          <cell r="G7147">
            <v>275</v>
          </cell>
          <cell r="H7147">
            <v>0</v>
          </cell>
        </row>
        <row r="7148">
          <cell r="D7148" t="str">
            <v>Furnitures</v>
          </cell>
          <cell r="F7148">
            <v>0</v>
          </cell>
          <cell r="G7148">
            <v>275</v>
          </cell>
          <cell r="H7148">
            <v>0</v>
          </cell>
        </row>
        <row r="7149">
          <cell r="D7149" t="str">
            <v>Furnitures</v>
          </cell>
          <cell r="F7149">
            <v>0</v>
          </cell>
          <cell r="G7149">
            <v>275</v>
          </cell>
          <cell r="H7149">
            <v>0</v>
          </cell>
        </row>
        <row r="7150">
          <cell r="D7150" t="str">
            <v>Furnitures</v>
          </cell>
          <cell r="F7150">
            <v>0</v>
          </cell>
          <cell r="G7150">
            <v>275</v>
          </cell>
          <cell r="H7150">
            <v>0</v>
          </cell>
        </row>
        <row r="7151">
          <cell r="D7151" t="str">
            <v>Furnitures</v>
          </cell>
          <cell r="F7151">
            <v>0</v>
          </cell>
          <cell r="G7151">
            <v>275</v>
          </cell>
          <cell r="H7151">
            <v>0</v>
          </cell>
        </row>
        <row r="7152">
          <cell r="D7152" t="str">
            <v>Furnitures</v>
          </cell>
          <cell r="F7152">
            <v>0</v>
          </cell>
          <cell r="G7152">
            <v>275</v>
          </cell>
          <cell r="H7152">
            <v>0</v>
          </cell>
        </row>
        <row r="7153">
          <cell r="D7153" t="str">
            <v>Furnitures</v>
          </cell>
          <cell r="F7153">
            <v>0</v>
          </cell>
          <cell r="G7153">
            <v>275</v>
          </cell>
          <cell r="H7153">
            <v>0</v>
          </cell>
        </row>
        <row r="7154">
          <cell r="D7154" t="str">
            <v>Furnitures</v>
          </cell>
          <cell r="F7154">
            <v>0</v>
          </cell>
          <cell r="G7154">
            <v>275</v>
          </cell>
          <cell r="H7154">
            <v>0</v>
          </cell>
        </row>
        <row r="7155">
          <cell r="D7155" t="str">
            <v>Furnitures</v>
          </cell>
          <cell r="F7155">
            <v>0</v>
          </cell>
          <cell r="G7155">
            <v>275</v>
          </cell>
          <cell r="H7155">
            <v>0</v>
          </cell>
        </row>
        <row r="7156">
          <cell r="D7156" t="str">
            <v>Furnitures</v>
          </cell>
          <cell r="F7156">
            <v>0</v>
          </cell>
          <cell r="G7156">
            <v>275</v>
          </cell>
          <cell r="H7156">
            <v>0</v>
          </cell>
        </row>
        <row r="7157">
          <cell r="D7157" t="str">
            <v>Furnitures</v>
          </cell>
          <cell r="F7157">
            <v>0</v>
          </cell>
          <cell r="G7157">
            <v>275</v>
          </cell>
          <cell r="H7157">
            <v>0</v>
          </cell>
        </row>
        <row r="7158">
          <cell r="D7158" t="str">
            <v>Furnitures</v>
          </cell>
          <cell r="F7158">
            <v>0</v>
          </cell>
          <cell r="G7158">
            <v>275</v>
          </cell>
          <cell r="H7158">
            <v>0</v>
          </cell>
        </row>
        <row r="7159">
          <cell r="D7159" t="str">
            <v>Furnitures</v>
          </cell>
          <cell r="F7159">
            <v>0</v>
          </cell>
          <cell r="G7159">
            <v>275</v>
          </cell>
          <cell r="H7159">
            <v>0</v>
          </cell>
        </row>
        <row r="7160">
          <cell r="D7160" t="str">
            <v>Furnitures</v>
          </cell>
          <cell r="F7160">
            <v>0</v>
          </cell>
          <cell r="G7160">
            <v>275</v>
          </cell>
          <cell r="H7160">
            <v>0</v>
          </cell>
        </row>
        <row r="7161">
          <cell r="D7161" t="str">
            <v>Furnitures</v>
          </cell>
          <cell r="F7161">
            <v>0</v>
          </cell>
          <cell r="G7161">
            <v>275</v>
          </cell>
          <cell r="H7161">
            <v>0</v>
          </cell>
        </row>
        <row r="7162">
          <cell r="D7162" t="str">
            <v>Furnitures</v>
          </cell>
          <cell r="F7162">
            <v>0</v>
          </cell>
          <cell r="G7162">
            <v>275</v>
          </cell>
          <cell r="H7162">
            <v>0</v>
          </cell>
        </row>
        <row r="7163">
          <cell r="D7163" t="str">
            <v>Furnitures</v>
          </cell>
          <cell r="F7163">
            <v>0</v>
          </cell>
          <cell r="G7163">
            <v>275</v>
          </cell>
          <cell r="H7163">
            <v>0</v>
          </cell>
        </row>
        <row r="7164">
          <cell r="D7164" t="str">
            <v>Furnitures</v>
          </cell>
          <cell r="F7164">
            <v>0</v>
          </cell>
          <cell r="G7164">
            <v>275</v>
          </cell>
          <cell r="H7164">
            <v>0</v>
          </cell>
        </row>
        <row r="7165">
          <cell r="D7165" t="str">
            <v>Furnitures</v>
          </cell>
          <cell r="F7165">
            <v>0</v>
          </cell>
          <cell r="G7165">
            <v>275</v>
          </cell>
          <cell r="H7165">
            <v>0</v>
          </cell>
        </row>
        <row r="7166">
          <cell r="D7166" t="str">
            <v>Furnitures</v>
          </cell>
          <cell r="F7166">
            <v>0</v>
          </cell>
          <cell r="G7166">
            <v>275</v>
          </cell>
          <cell r="H7166">
            <v>0</v>
          </cell>
        </row>
        <row r="7167">
          <cell r="D7167" t="str">
            <v>Furnitures</v>
          </cell>
          <cell r="F7167">
            <v>0</v>
          </cell>
          <cell r="G7167">
            <v>275</v>
          </cell>
          <cell r="H7167">
            <v>0</v>
          </cell>
        </row>
        <row r="7168">
          <cell r="D7168" t="str">
            <v>Furnitures</v>
          </cell>
          <cell r="F7168">
            <v>0</v>
          </cell>
          <cell r="G7168">
            <v>275</v>
          </cell>
          <cell r="H7168">
            <v>0</v>
          </cell>
        </row>
        <row r="7169">
          <cell r="D7169" t="str">
            <v>Furnitures</v>
          </cell>
          <cell r="F7169">
            <v>0</v>
          </cell>
          <cell r="G7169">
            <v>275</v>
          </cell>
          <cell r="H7169">
            <v>0</v>
          </cell>
        </row>
        <row r="7170">
          <cell r="D7170" t="str">
            <v>Furnitures</v>
          </cell>
          <cell r="F7170">
            <v>0</v>
          </cell>
          <cell r="G7170">
            <v>275</v>
          </cell>
          <cell r="H7170">
            <v>0</v>
          </cell>
        </row>
        <row r="7171">
          <cell r="D7171" t="str">
            <v>Furnitures</v>
          </cell>
          <cell r="F7171">
            <v>0</v>
          </cell>
          <cell r="G7171">
            <v>275</v>
          </cell>
          <cell r="H7171">
            <v>0</v>
          </cell>
        </row>
        <row r="7172">
          <cell r="D7172" t="str">
            <v>Furnitures</v>
          </cell>
          <cell r="F7172">
            <v>0</v>
          </cell>
          <cell r="G7172">
            <v>275</v>
          </cell>
          <cell r="H7172">
            <v>0</v>
          </cell>
        </row>
        <row r="7173">
          <cell r="D7173" t="str">
            <v>Furnitures</v>
          </cell>
          <cell r="F7173">
            <v>0</v>
          </cell>
          <cell r="G7173">
            <v>275</v>
          </cell>
          <cell r="H7173">
            <v>0</v>
          </cell>
        </row>
        <row r="7174">
          <cell r="D7174" t="str">
            <v>Furnitures</v>
          </cell>
          <cell r="F7174">
            <v>0</v>
          </cell>
          <cell r="G7174">
            <v>275</v>
          </cell>
          <cell r="H7174">
            <v>0</v>
          </cell>
        </row>
        <row r="7175">
          <cell r="D7175" t="str">
            <v>Furnitures</v>
          </cell>
          <cell r="F7175">
            <v>0</v>
          </cell>
          <cell r="G7175">
            <v>275</v>
          </cell>
          <cell r="H7175">
            <v>0</v>
          </cell>
        </row>
        <row r="7176">
          <cell r="D7176" t="str">
            <v>Furnitures</v>
          </cell>
          <cell r="F7176">
            <v>0</v>
          </cell>
          <cell r="G7176">
            <v>275</v>
          </cell>
          <cell r="H7176">
            <v>0</v>
          </cell>
        </row>
        <row r="7177">
          <cell r="D7177" t="str">
            <v>Furnitures</v>
          </cell>
          <cell r="F7177">
            <v>0</v>
          </cell>
          <cell r="G7177">
            <v>275</v>
          </cell>
          <cell r="H7177">
            <v>0</v>
          </cell>
        </row>
        <row r="7178">
          <cell r="D7178" t="str">
            <v>Furnitures</v>
          </cell>
          <cell r="F7178">
            <v>0</v>
          </cell>
          <cell r="G7178">
            <v>275</v>
          </cell>
          <cell r="H7178">
            <v>0</v>
          </cell>
        </row>
        <row r="7179">
          <cell r="D7179" t="str">
            <v>Furnitures</v>
          </cell>
          <cell r="F7179">
            <v>0</v>
          </cell>
          <cell r="G7179">
            <v>275</v>
          </cell>
          <cell r="H7179">
            <v>0</v>
          </cell>
        </row>
        <row r="7180">
          <cell r="D7180" t="str">
            <v>Furnitures</v>
          </cell>
          <cell r="F7180">
            <v>0</v>
          </cell>
          <cell r="G7180">
            <v>275</v>
          </cell>
          <cell r="H7180">
            <v>0</v>
          </cell>
        </row>
        <row r="7181">
          <cell r="D7181" t="str">
            <v>Furnitures</v>
          </cell>
          <cell r="F7181">
            <v>0</v>
          </cell>
          <cell r="G7181">
            <v>275</v>
          </cell>
          <cell r="H7181">
            <v>0</v>
          </cell>
        </row>
        <row r="7182">
          <cell r="D7182" t="str">
            <v>Furnitures</v>
          </cell>
          <cell r="F7182">
            <v>0</v>
          </cell>
          <cell r="G7182">
            <v>275</v>
          </cell>
          <cell r="H7182">
            <v>0</v>
          </cell>
        </row>
        <row r="7183">
          <cell r="D7183" t="str">
            <v>Furnitures</v>
          </cell>
          <cell r="F7183">
            <v>0</v>
          </cell>
          <cell r="G7183">
            <v>275</v>
          </cell>
          <cell r="H7183">
            <v>0</v>
          </cell>
        </row>
        <row r="7184">
          <cell r="D7184" t="str">
            <v>Furnitures</v>
          </cell>
          <cell r="F7184">
            <v>0</v>
          </cell>
          <cell r="G7184">
            <v>275</v>
          </cell>
          <cell r="H7184">
            <v>0</v>
          </cell>
        </row>
        <row r="7185">
          <cell r="D7185" t="str">
            <v>Furnitures</v>
          </cell>
          <cell r="F7185">
            <v>0</v>
          </cell>
          <cell r="G7185">
            <v>275</v>
          </cell>
          <cell r="H7185">
            <v>0</v>
          </cell>
        </row>
        <row r="7186">
          <cell r="D7186" t="str">
            <v>Furnitures</v>
          </cell>
          <cell r="F7186">
            <v>0</v>
          </cell>
          <cell r="G7186">
            <v>275</v>
          </cell>
          <cell r="H7186">
            <v>0</v>
          </cell>
        </row>
        <row r="7187">
          <cell r="D7187" t="str">
            <v>Furnitures</v>
          </cell>
          <cell r="F7187">
            <v>0</v>
          </cell>
          <cell r="G7187">
            <v>275</v>
          </cell>
          <cell r="H7187">
            <v>0</v>
          </cell>
        </row>
        <row r="7188">
          <cell r="D7188" t="str">
            <v>Furnitures</v>
          </cell>
          <cell r="F7188">
            <v>0</v>
          </cell>
          <cell r="G7188">
            <v>275</v>
          </cell>
          <cell r="H7188">
            <v>0</v>
          </cell>
        </row>
        <row r="7189">
          <cell r="D7189" t="str">
            <v>Furnitures</v>
          </cell>
          <cell r="F7189">
            <v>0</v>
          </cell>
          <cell r="G7189">
            <v>275</v>
          </cell>
          <cell r="H7189">
            <v>0</v>
          </cell>
        </row>
        <row r="7190">
          <cell r="D7190" t="str">
            <v>Furnitures</v>
          </cell>
          <cell r="F7190">
            <v>0</v>
          </cell>
          <cell r="G7190">
            <v>275</v>
          </cell>
          <cell r="H7190">
            <v>0</v>
          </cell>
        </row>
        <row r="7191">
          <cell r="D7191" t="str">
            <v>Furnitures</v>
          </cell>
          <cell r="F7191">
            <v>0</v>
          </cell>
          <cell r="G7191">
            <v>275</v>
          </cell>
          <cell r="H7191">
            <v>0</v>
          </cell>
        </row>
        <row r="7192">
          <cell r="D7192" t="str">
            <v>Furnitures</v>
          </cell>
          <cell r="F7192">
            <v>0</v>
          </cell>
          <cell r="G7192">
            <v>275</v>
          </cell>
          <cell r="H7192">
            <v>0</v>
          </cell>
        </row>
        <row r="7193">
          <cell r="D7193" t="str">
            <v>Furnitures</v>
          </cell>
          <cell r="F7193">
            <v>0</v>
          </cell>
          <cell r="G7193">
            <v>275</v>
          </cell>
          <cell r="H7193">
            <v>0</v>
          </cell>
        </row>
        <row r="7194">
          <cell r="D7194" t="str">
            <v>Furnitures</v>
          </cell>
          <cell r="F7194">
            <v>0</v>
          </cell>
          <cell r="G7194">
            <v>275</v>
          </cell>
          <cell r="H7194">
            <v>0</v>
          </cell>
        </row>
        <row r="7195">
          <cell r="D7195" t="str">
            <v>Furnitures</v>
          </cell>
          <cell r="F7195">
            <v>0</v>
          </cell>
          <cell r="G7195">
            <v>275</v>
          </cell>
          <cell r="H7195">
            <v>0</v>
          </cell>
        </row>
        <row r="7196">
          <cell r="D7196" t="str">
            <v>Furnitures</v>
          </cell>
          <cell r="F7196">
            <v>0</v>
          </cell>
          <cell r="G7196">
            <v>275</v>
          </cell>
          <cell r="H7196">
            <v>0</v>
          </cell>
        </row>
        <row r="7197">
          <cell r="D7197" t="str">
            <v>Furnitures</v>
          </cell>
          <cell r="F7197">
            <v>0</v>
          </cell>
          <cell r="G7197">
            <v>275</v>
          </cell>
          <cell r="H7197">
            <v>0</v>
          </cell>
        </row>
        <row r="7198">
          <cell r="D7198" t="str">
            <v>Furnitures</v>
          </cell>
          <cell r="F7198">
            <v>0</v>
          </cell>
          <cell r="G7198">
            <v>275</v>
          </cell>
          <cell r="H7198">
            <v>0</v>
          </cell>
        </row>
        <row r="7199">
          <cell r="D7199" t="str">
            <v>Furnitures</v>
          </cell>
          <cell r="F7199">
            <v>0</v>
          </cell>
          <cell r="G7199">
            <v>275</v>
          </cell>
          <cell r="H7199">
            <v>0</v>
          </cell>
        </row>
        <row r="7200">
          <cell r="D7200" t="str">
            <v>Furnitures</v>
          </cell>
          <cell r="F7200">
            <v>0</v>
          </cell>
          <cell r="G7200">
            <v>275</v>
          </cell>
          <cell r="H7200">
            <v>0</v>
          </cell>
        </row>
        <row r="7201">
          <cell r="D7201" t="str">
            <v>Furnitures</v>
          </cell>
          <cell r="F7201">
            <v>0</v>
          </cell>
          <cell r="G7201">
            <v>275</v>
          </cell>
          <cell r="H7201">
            <v>0</v>
          </cell>
        </row>
        <row r="7202">
          <cell r="D7202" t="str">
            <v>Furnitures</v>
          </cell>
          <cell r="F7202">
            <v>10116.36</v>
          </cell>
          <cell r="G7202">
            <v>275</v>
          </cell>
          <cell r="H7202">
            <v>9601.2887671232875</v>
          </cell>
        </row>
        <row r="7203">
          <cell r="D7203" t="str">
            <v>Furnitures</v>
          </cell>
          <cell r="F7203">
            <v>10116.36</v>
          </cell>
          <cell r="G7203">
            <v>275</v>
          </cell>
          <cell r="H7203">
            <v>9601.2887671232875</v>
          </cell>
        </row>
        <row r="7204">
          <cell r="D7204" t="str">
            <v>Furnitures</v>
          </cell>
          <cell r="F7204">
            <v>5268.9375</v>
          </cell>
          <cell r="G7204">
            <v>275</v>
          </cell>
          <cell r="H7204">
            <v>5000.6712328767126</v>
          </cell>
        </row>
        <row r="7205">
          <cell r="D7205" t="str">
            <v>Furnitures</v>
          </cell>
          <cell r="F7205">
            <v>0</v>
          </cell>
          <cell r="G7205">
            <v>275</v>
          </cell>
          <cell r="H7205">
            <v>0</v>
          </cell>
        </row>
        <row r="7206">
          <cell r="D7206" t="str">
            <v>Furnitures</v>
          </cell>
          <cell r="F7206">
            <v>0</v>
          </cell>
          <cell r="G7206">
            <v>275</v>
          </cell>
          <cell r="H7206">
            <v>0</v>
          </cell>
        </row>
        <row r="7207">
          <cell r="D7207" t="str">
            <v>Furnitures</v>
          </cell>
          <cell r="F7207">
            <v>7165.7550000000001</v>
          </cell>
          <cell r="G7207">
            <v>275</v>
          </cell>
          <cell r="H7207">
            <v>6800.9128767123293</v>
          </cell>
        </row>
        <row r="7208">
          <cell r="D7208" t="str">
            <v>Furnitures</v>
          </cell>
          <cell r="F7208">
            <v>7693.1171000000004</v>
          </cell>
          <cell r="G7208">
            <v>275</v>
          </cell>
          <cell r="H7208">
            <v>7301.4245041095892</v>
          </cell>
        </row>
        <row r="7209">
          <cell r="D7209" t="str">
            <v>Furnitures</v>
          </cell>
          <cell r="F7209">
            <v>0</v>
          </cell>
          <cell r="G7209">
            <v>275</v>
          </cell>
          <cell r="H7209">
            <v>0</v>
          </cell>
        </row>
        <row r="7210">
          <cell r="D7210" t="str">
            <v>Furnitures</v>
          </cell>
          <cell r="F7210">
            <v>0</v>
          </cell>
          <cell r="G7210">
            <v>275</v>
          </cell>
          <cell r="H7210">
            <v>0</v>
          </cell>
        </row>
        <row r="7211">
          <cell r="D7211" t="str">
            <v>Furnitures</v>
          </cell>
          <cell r="F7211">
            <v>0</v>
          </cell>
          <cell r="G7211">
            <v>275</v>
          </cell>
          <cell r="H7211">
            <v>0</v>
          </cell>
        </row>
        <row r="7212">
          <cell r="D7212" t="str">
            <v>Furnitures</v>
          </cell>
          <cell r="F7212">
            <v>0</v>
          </cell>
          <cell r="G7212">
            <v>275</v>
          </cell>
          <cell r="H7212">
            <v>0</v>
          </cell>
        </row>
        <row r="7213">
          <cell r="D7213" t="str">
            <v>Furnitures</v>
          </cell>
          <cell r="F7213">
            <v>0</v>
          </cell>
          <cell r="G7213">
            <v>275</v>
          </cell>
          <cell r="H7213">
            <v>0</v>
          </cell>
        </row>
        <row r="7214">
          <cell r="D7214" t="str">
            <v>Furnitures</v>
          </cell>
          <cell r="F7214">
            <v>0</v>
          </cell>
          <cell r="G7214">
            <v>275</v>
          </cell>
          <cell r="H7214">
            <v>0</v>
          </cell>
        </row>
        <row r="7215">
          <cell r="D7215" t="str">
            <v>Furnitures</v>
          </cell>
          <cell r="F7215">
            <v>0</v>
          </cell>
          <cell r="G7215">
            <v>275</v>
          </cell>
          <cell r="H7215">
            <v>0</v>
          </cell>
        </row>
        <row r="7216">
          <cell r="D7216" t="str">
            <v>Furnitures</v>
          </cell>
          <cell r="F7216">
            <v>9905.6025000000009</v>
          </cell>
          <cell r="G7216">
            <v>275</v>
          </cell>
          <cell r="H7216">
            <v>9401.2619178082205</v>
          </cell>
        </row>
        <row r="7217">
          <cell r="D7217" t="str">
            <v>Furnitures</v>
          </cell>
          <cell r="F7217">
            <v>0</v>
          </cell>
          <cell r="G7217">
            <v>275</v>
          </cell>
          <cell r="H7217">
            <v>0</v>
          </cell>
        </row>
        <row r="7218">
          <cell r="D7218" t="str">
            <v>Furnitures</v>
          </cell>
          <cell r="F7218">
            <v>0</v>
          </cell>
          <cell r="G7218">
            <v>275</v>
          </cell>
          <cell r="H7218">
            <v>0</v>
          </cell>
        </row>
        <row r="7219">
          <cell r="D7219" t="str">
            <v>Furnitures</v>
          </cell>
          <cell r="F7219">
            <v>5479.6949999999997</v>
          </cell>
          <cell r="G7219">
            <v>275</v>
          </cell>
          <cell r="H7219">
            <v>5200.6980821917805</v>
          </cell>
        </row>
        <row r="7220">
          <cell r="D7220" t="str">
            <v>Furnitures</v>
          </cell>
          <cell r="F7220">
            <v>0</v>
          </cell>
          <cell r="G7220">
            <v>275</v>
          </cell>
          <cell r="H7220">
            <v>0</v>
          </cell>
        </row>
        <row r="7221">
          <cell r="D7221" t="str">
            <v>Furnitures</v>
          </cell>
          <cell r="F7221">
            <v>0</v>
          </cell>
          <cell r="G7221">
            <v>275</v>
          </cell>
          <cell r="H7221">
            <v>0</v>
          </cell>
        </row>
        <row r="7222">
          <cell r="D7222" t="str">
            <v>Furnitures</v>
          </cell>
          <cell r="F7222">
            <v>0</v>
          </cell>
          <cell r="G7222">
            <v>275</v>
          </cell>
          <cell r="H7222">
            <v>0</v>
          </cell>
        </row>
        <row r="7223">
          <cell r="D7223" t="str">
            <v>Furnitures</v>
          </cell>
          <cell r="F7223">
            <v>0</v>
          </cell>
          <cell r="G7223">
            <v>275</v>
          </cell>
          <cell r="H7223">
            <v>0</v>
          </cell>
        </row>
        <row r="7224">
          <cell r="D7224" t="str">
            <v>Furnitures</v>
          </cell>
          <cell r="F7224">
            <v>5268.9375</v>
          </cell>
          <cell r="G7224">
            <v>275</v>
          </cell>
          <cell r="H7224">
            <v>5000.6712328767126</v>
          </cell>
        </row>
        <row r="7225">
          <cell r="D7225" t="str">
            <v>Furnitures</v>
          </cell>
          <cell r="F7225">
            <v>0</v>
          </cell>
          <cell r="G7225">
            <v>275</v>
          </cell>
          <cell r="H7225">
            <v>0</v>
          </cell>
        </row>
        <row r="7226">
          <cell r="D7226" t="str">
            <v>Furnitures</v>
          </cell>
          <cell r="F7226">
            <v>0</v>
          </cell>
          <cell r="G7226">
            <v>275</v>
          </cell>
          <cell r="H7226">
            <v>0</v>
          </cell>
        </row>
        <row r="7227">
          <cell r="D7227" t="str">
            <v>Furnitures</v>
          </cell>
          <cell r="F7227">
            <v>0</v>
          </cell>
          <cell r="G7227">
            <v>275</v>
          </cell>
          <cell r="H7227">
            <v>0</v>
          </cell>
        </row>
        <row r="7228">
          <cell r="D7228" t="str">
            <v>Furnitures</v>
          </cell>
          <cell r="F7228">
            <v>5058.18</v>
          </cell>
          <cell r="G7228">
            <v>275</v>
          </cell>
          <cell r="H7228">
            <v>4800.6443835616437</v>
          </cell>
        </row>
        <row r="7229">
          <cell r="D7229" t="str">
            <v>Furnitures</v>
          </cell>
          <cell r="F7229">
            <v>0</v>
          </cell>
          <cell r="G7229">
            <v>275</v>
          </cell>
          <cell r="H7229">
            <v>0</v>
          </cell>
        </row>
        <row r="7230">
          <cell r="D7230" t="str">
            <v>Furnitures</v>
          </cell>
          <cell r="F7230">
            <v>0</v>
          </cell>
          <cell r="G7230">
            <v>275</v>
          </cell>
          <cell r="H7230">
            <v>0</v>
          </cell>
        </row>
        <row r="7231">
          <cell r="D7231" t="str">
            <v>Furnitures</v>
          </cell>
          <cell r="F7231">
            <v>4899.8777</v>
          </cell>
          <cell r="G7231">
            <v>275</v>
          </cell>
          <cell r="H7231">
            <v>4650.4019945205482</v>
          </cell>
        </row>
        <row r="7232">
          <cell r="D7232" t="str">
            <v>Furnitures</v>
          </cell>
          <cell r="F7232">
            <v>0</v>
          </cell>
          <cell r="G7232">
            <v>275</v>
          </cell>
          <cell r="H7232">
            <v>0</v>
          </cell>
        </row>
        <row r="7233">
          <cell r="D7233" t="str">
            <v>Furnitures</v>
          </cell>
          <cell r="F7233">
            <v>0</v>
          </cell>
          <cell r="G7233">
            <v>275</v>
          </cell>
          <cell r="H7233">
            <v>0</v>
          </cell>
        </row>
        <row r="7234">
          <cell r="D7234" t="str">
            <v>Furnitures</v>
          </cell>
          <cell r="F7234">
            <v>0</v>
          </cell>
          <cell r="G7234">
            <v>275</v>
          </cell>
          <cell r="H7234">
            <v>0</v>
          </cell>
        </row>
        <row r="7235">
          <cell r="D7235" t="str">
            <v>Furnitures</v>
          </cell>
          <cell r="F7235">
            <v>0</v>
          </cell>
          <cell r="G7235">
            <v>275</v>
          </cell>
          <cell r="H7235">
            <v>0</v>
          </cell>
        </row>
        <row r="7236">
          <cell r="D7236" t="str">
            <v>Furnitures</v>
          </cell>
          <cell r="F7236">
            <v>0</v>
          </cell>
          <cell r="G7236">
            <v>275</v>
          </cell>
          <cell r="H7236">
            <v>0</v>
          </cell>
        </row>
        <row r="7237">
          <cell r="D7237" t="str">
            <v>Furnitures</v>
          </cell>
          <cell r="F7237">
            <v>0</v>
          </cell>
          <cell r="G7237">
            <v>275</v>
          </cell>
          <cell r="H7237">
            <v>0</v>
          </cell>
        </row>
        <row r="7238">
          <cell r="D7238" t="str">
            <v>Furnitures</v>
          </cell>
          <cell r="F7238">
            <v>0</v>
          </cell>
          <cell r="G7238">
            <v>275</v>
          </cell>
          <cell r="H7238">
            <v>0</v>
          </cell>
        </row>
        <row r="7239">
          <cell r="D7239" t="str">
            <v>Furnitures</v>
          </cell>
          <cell r="F7239">
            <v>0</v>
          </cell>
          <cell r="G7239">
            <v>275</v>
          </cell>
          <cell r="H7239">
            <v>0</v>
          </cell>
        </row>
        <row r="7240">
          <cell r="D7240" t="str">
            <v>Furnitures</v>
          </cell>
          <cell r="F7240">
            <v>0</v>
          </cell>
          <cell r="G7240">
            <v>275</v>
          </cell>
          <cell r="H7240">
            <v>0</v>
          </cell>
        </row>
        <row r="7241">
          <cell r="D7241" t="str">
            <v>Furnitures</v>
          </cell>
          <cell r="F7241">
            <v>0</v>
          </cell>
          <cell r="G7241">
            <v>275</v>
          </cell>
          <cell r="H7241">
            <v>0</v>
          </cell>
        </row>
        <row r="7242">
          <cell r="D7242" t="str">
            <v>Furnitures</v>
          </cell>
          <cell r="F7242">
            <v>0</v>
          </cell>
          <cell r="G7242">
            <v>275</v>
          </cell>
          <cell r="H7242">
            <v>0</v>
          </cell>
        </row>
        <row r="7243">
          <cell r="D7243" t="str">
            <v>Furnitures</v>
          </cell>
          <cell r="F7243">
            <v>0</v>
          </cell>
          <cell r="G7243">
            <v>275</v>
          </cell>
          <cell r="H7243">
            <v>0</v>
          </cell>
        </row>
        <row r="7244">
          <cell r="D7244" t="str">
            <v>Furnitures</v>
          </cell>
          <cell r="F7244">
            <v>0</v>
          </cell>
          <cell r="G7244">
            <v>275</v>
          </cell>
          <cell r="H7244">
            <v>0</v>
          </cell>
        </row>
        <row r="7245">
          <cell r="D7245" t="str">
            <v>Furnitures</v>
          </cell>
          <cell r="F7245">
            <v>0</v>
          </cell>
          <cell r="G7245">
            <v>275</v>
          </cell>
          <cell r="H7245">
            <v>0</v>
          </cell>
        </row>
        <row r="7246">
          <cell r="D7246" t="str">
            <v>Furnitures</v>
          </cell>
          <cell r="F7246">
            <v>0</v>
          </cell>
          <cell r="G7246">
            <v>275</v>
          </cell>
          <cell r="H7246">
            <v>0</v>
          </cell>
        </row>
        <row r="7247">
          <cell r="D7247" t="str">
            <v>Furnitures</v>
          </cell>
          <cell r="F7247">
            <v>8536.1471000000001</v>
          </cell>
          <cell r="G7247">
            <v>275</v>
          </cell>
          <cell r="H7247">
            <v>8101.5319013698636</v>
          </cell>
        </row>
        <row r="7248">
          <cell r="D7248" t="str">
            <v>Furnitures</v>
          </cell>
          <cell r="F7248">
            <v>4847.4224999999997</v>
          </cell>
          <cell r="G7248">
            <v>275</v>
          </cell>
          <cell r="H7248">
            <v>4600.6175342465749</v>
          </cell>
        </row>
        <row r="7249">
          <cell r="D7249" t="str">
            <v>Furnitures</v>
          </cell>
          <cell r="F7249">
            <v>0</v>
          </cell>
          <cell r="G7249">
            <v>275</v>
          </cell>
          <cell r="H7249">
            <v>0</v>
          </cell>
        </row>
        <row r="7250">
          <cell r="D7250" t="str">
            <v>Furnitures</v>
          </cell>
          <cell r="F7250">
            <v>0</v>
          </cell>
          <cell r="G7250">
            <v>275</v>
          </cell>
          <cell r="H7250">
            <v>0</v>
          </cell>
        </row>
        <row r="7251">
          <cell r="D7251" t="str">
            <v>Furnitures</v>
          </cell>
          <cell r="F7251">
            <v>11064.3004</v>
          </cell>
          <cell r="G7251">
            <v>275</v>
          </cell>
          <cell r="H7251">
            <v>10500.965084931508</v>
          </cell>
        </row>
        <row r="7252">
          <cell r="D7252" t="str">
            <v>Furnitures</v>
          </cell>
          <cell r="F7252">
            <v>0</v>
          </cell>
          <cell r="G7252">
            <v>275</v>
          </cell>
          <cell r="H7252">
            <v>0</v>
          </cell>
        </row>
        <row r="7253">
          <cell r="D7253" t="str">
            <v>Furnitures</v>
          </cell>
          <cell r="F7253">
            <v>0</v>
          </cell>
          <cell r="G7253">
            <v>275</v>
          </cell>
          <cell r="H7253">
            <v>0</v>
          </cell>
        </row>
        <row r="7254">
          <cell r="D7254" t="str">
            <v>Furnitures</v>
          </cell>
          <cell r="F7254">
            <v>0</v>
          </cell>
          <cell r="G7254">
            <v>275</v>
          </cell>
          <cell r="H7254">
            <v>0</v>
          </cell>
        </row>
        <row r="7255">
          <cell r="D7255" t="str">
            <v>Furnitures</v>
          </cell>
          <cell r="F7255">
            <v>0</v>
          </cell>
          <cell r="G7255">
            <v>275</v>
          </cell>
          <cell r="H7255">
            <v>0</v>
          </cell>
        </row>
        <row r="7256">
          <cell r="D7256" t="str">
            <v>Furnitures</v>
          </cell>
          <cell r="F7256">
            <v>0</v>
          </cell>
          <cell r="G7256">
            <v>275</v>
          </cell>
          <cell r="H7256">
            <v>0</v>
          </cell>
        </row>
        <row r="7257">
          <cell r="D7257" t="str">
            <v>Furnitures</v>
          </cell>
          <cell r="F7257">
            <v>0</v>
          </cell>
          <cell r="G7257">
            <v>275</v>
          </cell>
          <cell r="H7257">
            <v>0</v>
          </cell>
        </row>
        <row r="7258">
          <cell r="D7258" t="str">
            <v>Furnitures</v>
          </cell>
          <cell r="F7258">
            <v>0</v>
          </cell>
          <cell r="G7258">
            <v>275</v>
          </cell>
          <cell r="H7258">
            <v>0</v>
          </cell>
        </row>
        <row r="7259">
          <cell r="D7259" t="str">
            <v>Furnitures</v>
          </cell>
          <cell r="F7259">
            <v>0</v>
          </cell>
          <cell r="G7259">
            <v>275</v>
          </cell>
          <cell r="H7259">
            <v>0</v>
          </cell>
        </row>
        <row r="7260">
          <cell r="D7260" t="str">
            <v>Furnitures</v>
          </cell>
          <cell r="F7260">
            <v>0</v>
          </cell>
          <cell r="G7260">
            <v>275</v>
          </cell>
          <cell r="H7260">
            <v>0</v>
          </cell>
        </row>
        <row r="7261">
          <cell r="D7261" t="str">
            <v>Furnitures</v>
          </cell>
          <cell r="F7261">
            <v>12162.112800000001</v>
          </cell>
          <cell r="G7261">
            <v>275</v>
          </cell>
          <cell r="H7261">
            <v>11542.882717808219</v>
          </cell>
        </row>
        <row r="7262">
          <cell r="D7262" t="str">
            <v>Furnitures</v>
          </cell>
          <cell r="F7262">
            <v>16517.767800000001</v>
          </cell>
          <cell r="G7262">
            <v>275</v>
          </cell>
          <cell r="H7262">
            <v>15676.770936986302</v>
          </cell>
        </row>
        <row r="7263">
          <cell r="D7263" t="str">
            <v>Furnitures</v>
          </cell>
          <cell r="F7263">
            <v>26555.445</v>
          </cell>
          <cell r="G7263">
            <v>275</v>
          </cell>
          <cell r="H7263">
            <v>25203.383013698629</v>
          </cell>
        </row>
        <row r="7264">
          <cell r="D7264" t="str">
            <v>Furnitures</v>
          </cell>
          <cell r="F7264">
            <v>37936.35</v>
          </cell>
          <cell r="G7264">
            <v>275</v>
          </cell>
          <cell r="H7264">
            <v>36004.832876712331</v>
          </cell>
        </row>
        <row r="7265">
          <cell r="D7265" t="str">
            <v>Furnitures</v>
          </cell>
          <cell r="F7265">
            <v>24026.355</v>
          </cell>
          <cell r="G7265">
            <v>275</v>
          </cell>
          <cell r="H7265">
            <v>22803.060821917807</v>
          </cell>
        </row>
        <row r="7266">
          <cell r="D7266" t="str">
            <v>Furnitures</v>
          </cell>
          <cell r="F7266">
            <v>35144.047299999998</v>
          </cell>
          <cell r="G7266">
            <v>275</v>
          </cell>
          <cell r="H7266">
            <v>33354.699375342461</v>
          </cell>
        </row>
        <row r="7267">
          <cell r="D7267" t="str">
            <v>Furnitures</v>
          </cell>
          <cell r="F7267">
            <v>12645.45</v>
          </cell>
          <cell r="G7267">
            <v>275</v>
          </cell>
          <cell r="H7267">
            <v>12001.61095890411</v>
          </cell>
        </row>
        <row r="7268">
          <cell r="D7268" t="str">
            <v>Furnitures</v>
          </cell>
          <cell r="F7268">
            <v>34774.987500000003</v>
          </cell>
          <cell r="G7268">
            <v>275</v>
          </cell>
          <cell r="H7268">
            <v>33004.430136986302</v>
          </cell>
        </row>
        <row r="7269">
          <cell r="D7269" t="str">
            <v>Furnitures</v>
          </cell>
          <cell r="F7269">
            <v>29801.110499999999</v>
          </cell>
          <cell r="G7269">
            <v>275</v>
          </cell>
          <cell r="H7269">
            <v>28283.796493150683</v>
          </cell>
        </row>
        <row r="7270">
          <cell r="D7270" t="str">
            <v>Furnitures</v>
          </cell>
          <cell r="F7270">
            <v>5268.9375</v>
          </cell>
          <cell r="G7270">
            <v>275</v>
          </cell>
          <cell r="H7270">
            <v>5000.6712328767126</v>
          </cell>
        </row>
        <row r="7271">
          <cell r="D7271" t="str">
            <v>Furnitures</v>
          </cell>
          <cell r="F7271">
            <v>0</v>
          </cell>
          <cell r="G7271">
            <v>275</v>
          </cell>
          <cell r="H7271">
            <v>0</v>
          </cell>
        </row>
        <row r="7272">
          <cell r="D7272" t="str">
            <v>Furnitures</v>
          </cell>
          <cell r="F7272">
            <v>0</v>
          </cell>
          <cell r="G7272">
            <v>275</v>
          </cell>
          <cell r="H7272">
            <v>0</v>
          </cell>
        </row>
        <row r="7273">
          <cell r="D7273" t="str">
            <v>Furnitures</v>
          </cell>
          <cell r="F7273">
            <v>9765.0974999999999</v>
          </cell>
          <cell r="G7273">
            <v>275</v>
          </cell>
          <cell r="H7273">
            <v>9267.9106849315067</v>
          </cell>
        </row>
        <row r="7274">
          <cell r="D7274" t="str">
            <v>Furnitures</v>
          </cell>
          <cell r="F7274">
            <v>13172.812099999999</v>
          </cell>
          <cell r="G7274">
            <v>275</v>
          </cell>
          <cell r="H7274">
            <v>12502.12258630137</v>
          </cell>
        </row>
        <row r="7275">
          <cell r="D7275" t="str">
            <v>Furnitures</v>
          </cell>
          <cell r="F7275">
            <v>12645.45</v>
          </cell>
          <cell r="G7275">
            <v>275</v>
          </cell>
          <cell r="H7275">
            <v>12001.61095890411</v>
          </cell>
        </row>
        <row r="7276">
          <cell r="D7276" t="str">
            <v>Furnitures</v>
          </cell>
          <cell r="F7276">
            <v>6533.4825000000001</v>
          </cell>
          <cell r="G7276">
            <v>275</v>
          </cell>
          <cell r="H7276">
            <v>6200.8323287671237</v>
          </cell>
        </row>
        <row r="7277">
          <cell r="D7277" t="str">
            <v>Furnitures</v>
          </cell>
          <cell r="F7277">
            <v>0</v>
          </cell>
          <cell r="G7277">
            <v>275</v>
          </cell>
          <cell r="H7277">
            <v>0</v>
          </cell>
        </row>
        <row r="7278">
          <cell r="D7278" t="str">
            <v>Furnitures</v>
          </cell>
          <cell r="F7278">
            <v>12645.45</v>
          </cell>
          <cell r="G7278">
            <v>275</v>
          </cell>
          <cell r="H7278">
            <v>12001.61095890411</v>
          </cell>
        </row>
        <row r="7279">
          <cell r="D7279" t="str">
            <v>Furnitures</v>
          </cell>
          <cell r="F7279">
            <v>0</v>
          </cell>
          <cell r="G7279">
            <v>275</v>
          </cell>
          <cell r="H7279">
            <v>0</v>
          </cell>
        </row>
        <row r="7280">
          <cell r="D7280" t="str">
            <v>Furnitures</v>
          </cell>
          <cell r="F7280">
            <v>6322.7250000000004</v>
          </cell>
          <cell r="G7280">
            <v>275</v>
          </cell>
          <cell r="H7280">
            <v>6000.8054794520549</v>
          </cell>
        </row>
        <row r="7281">
          <cell r="D7281" t="str">
            <v>Furnitures</v>
          </cell>
          <cell r="F7281">
            <v>0</v>
          </cell>
          <cell r="G7281">
            <v>275</v>
          </cell>
          <cell r="H7281">
            <v>0</v>
          </cell>
        </row>
        <row r="7282">
          <cell r="D7282" t="str">
            <v>Furnitures</v>
          </cell>
          <cell r="F7282">
            <v>0</v>
          </cell>
          <cell r="G7282">
            <v>275</v>
          </cell>
          <cell r="H7282">
            <v>0</v>
          </cell>
        </row>
        <row r="7283">
          <cell r="D7283" t="str">
            <v>Furnitures</v>
          </cell>
          <cell r="F7283">
            <v>6007.0571</v>
          </cell>
          <cell r="G7283">
            <v>275</v>
          </cell>
          <cell r="H7283">
            <v>5701.2097095890413</v>
          </cell>
        </row>
        <row r="7284">
          <cell r="D7284" t="str">
            <v>Furnitures</v>
          </cell>
          <cell r="F7284">
            <v>27398.474999999999</v>
          </cell>
          <cell r="G7284">
            <v>275</v>
          </cell>
          <cell r="H7284">
            <v>26003.490410958904</v>
          </cell>
        </row>
        <row r="7285">
          <cell r="D7285" t="str">
            <v>Furnitures</v>
          </cell>
          <cell r="F7285">
            <v>6585.9377000000004</v>
          </cell>
          <cell r="G7285">
            <v>275</v>
          </cell>
          <cell r="H7285">
            <v>6250.6167890410961</v>
          </cell>
        </row>
        <row r="7286">
          <cell r="D7286" t="str">
            <v>Furnitures</v>
          </cell>
          <cell r="F7286">
            <v>35565.562299999998</v>
          </cell>
          <cell r="G7286">
            <v>275</v>
          </cell>
          <cell r="H7286">
            <v>33754.753073972599</v>
          </cell>
        </row>
        <row r="7287">
          <cell r="D7287" t="str">
            <v>Furnitures</v>
          </cell>
          <cell r="F7287">
            <v>60592.312899999997</v>
          </cell>
          <cell r="G7287">
            <v>275</v>
          </cell>
          <cell r="H7287">
            <v>57507.274673972599</v>
          </cell>
        </row>
        <row r="7288">
          <cell r="D7288" t="str">
            <v>Furnitures</v>
          </cell>
          <cell r="F7288">
            <v>23710.687099999999</v>
          </cell>
          <cell r="G7288">
            <v>275</v>
          </cell>
          <cell r="H7288">
            <v>22503.465052054795</v>
          </cell>
        </row>
        <row r="7289">
          <cell r="D7289" t="str">
            <v>Furnitures</v>
          </cell>
          <cell r="F7289">
            <v>29506.05</v>
          </cell>
          <cell r="G7289">
            <v>275</v>
          </cell>
          <cell r="H7289">
            <v>28003.758904109589</v>
          </cell>
        </row>
        <row r="7290">
          <cell r="D7290" t="str">
            <v>Furnitures</v>
          </cell>
          <cell r="F7290">
            <v>7903.8746000000001</v>
          </cell>
          <cell r="G7290">
            <v>275</v>
          </cell>
          <cell r="H7290">
            <v>7501.451353424658</v>
          </cell>
        </row>
        <row r="7291">
          <cell r="D7291" t="str">
            <v>Furnitures</v>
          </cell>
          <cell r="F7291">
            <v>7376.5124999999998</v>
          </cell>
          <cell r="G7291">
            <v>275</v>
          </cell>
          <cell r="H7291">
            <v>7000.9397260273972</v>
          </cell>
        </row>
        <row r="7292">
          <cell r="D7292" t="str">
            <v>Furnitures</v>
          </cell>
          <cell r="F7292">
            <v>75872.7</v>
          </cell>
          <cell r="G7292">
            <v>275</v>
          </cell>
          <cell r="H7292">
            <v>72009.665753424662</v>
          </cell>
        </row>
        <row r="7293">
          <cell r="D7293" t="str">
            <v>Furnitures</v>
          </cell>
          <cell r="F7293">
            <v>28978.687900000001</v>
          </cell>
          <cell r="G7293">
            <v>275</v>
          </cell>
          <cell r="H7293">
            <v>27503.247276712329</v>
          </cell>
        </row>
        <row r="7294">
          <cell r="D7294" t="str">
            <v>Furnitures</v>
          </cell>
          <cell r="F7294">
            <v>29506.05</v>
          </cell>
          <cell r="G7294">
            <v>275</v>
          </cell>
          <cell r="H7294">
            <v>28003.758904109589</v>
          </cell>
        </row>
        <row r="7295">
          <cell r="D7295" t="str">
            <v>Furnitures</v>
          </cell>
          <cell r="F7295">
            <v>0</v>
          </cell>
          <cell r="G7295">
            <v>275</v>
          </cell>
          <cell r="H7295">
            <v>0</v>
          </cell>
        </row>
        <row r="7296">
          <cell r="D7296" t="str">
            <v>Furnitures</v>
          </cell>
          <cell r="F7296">
            <v>0</v>
          </cell>
          <cell r="G7296">
            <v>275</v>
          </cell>
          <cell r="H7296">
            <v>0</v>
          </cell>
        </row>
        <row r="7297">
          <cell r="D7297" t="str">
            <v>Furnitures</v>
          </cell>
          <cell r="F7297">
            <v>0</v>
          </cell>
          <cell r="G7297">
            <v>275</v>
          </cell>
          <cell r="H7297">
            <v>0</v>
          </cell>
        </row>
        <row r="7298">
          <cell r="D7298" t="str">
            <v>Furnitures</v>
          </cell>
          <cell r="F7298">
            <v>5901.21</v>
          </cell>
          <cell r="G7298">
            <v>275</v>
          </cell>
          <cell r="H7298">
            <v>5600.7517808219181</v>
          </cell>
        </row>
        <row r="7299">
          <cell r="D7299" t="str">
            <v>Furnitures</v>
          </cell>
          <cell r="F7299">
            <v>6111.9674999999997</v>
          </cell>
          <cell r="G7299">
            <v>275</v>
          </cell>
          <cell r="H7299">
            <v>5800.7786301369861</v>
          </cell>
        </row>
        <row r="7300">
          <cell r="D7300" t="str">
            <v>Furnitures</v>
          </cell>
          <cell r="F7300">
            <v>0</v>
          </cell>
          <cell r="G7300">
            <v>275</v>
          </cell>
          <cell r="H7300">
            <v>0</v>
          </cell>
        </row>
        <row r="7301">
          <cell r="D7301" t="str">
            <v>Furnitures</v>
          </cell>
          <cell r="F7301">
            <v>0</v>
          </cell>
          <cell r="G7301">
            <v>275</v>
          </cell>
          <cell r="H7301">
            <v>0</v>
          </cell>
        </row>
        <row r="7302">
          <cell r="D7302" t="str">
            <v>Furnitures</v>
          </cell>
          <cell r="F7302">
            <v>0</v>
          </cell>
          <cell r="G7302">
            <v>275</v>
          </cell>
          <cell r="H7302">
            <v>0</v>
          </cell>
        </row>
        <row r="7303">
          <cell r="D7303" t="str">
            <v>Furnitures</v>
          </cell>
          <cell r="F7303">
            <v>0</v>
          </cell>
          <cell r="G7303">
            <v>275</v>
          </cell>
          <cell r="H7303">
            <v>0</v>
          </cell>
        </row>
        <row r="7304">
          <cell r="D7304" t="str">
            <v>Furnitures</v>
          </cell>
          <cell r="F7304">
            <v>5901.21</v>
          </cell>
          <cell r="G7304">
            <v>275</v>
          </cell>
          <cell r="H7304">
            <v>5600.7517808219181</v>
          </cell>
        </row>
        <row r="7305">
          <cell r="D7305" t="str">
            <v>Furnitures</v>
          </cell>
          <cell r="F7305">
            <v>0</v>
          </cell>
          <cell r="G7305">
            <v>275</v>
          </cell>
          <cell r="H7305">
            <v>0</v>
          </cell>
        </row>
        <row r="7306">
          <cell r="D7306" t="str">
            <v>Furnitures</v>
          </cell>
          <cell r="F7306">
            <v>0</v>
          </cell>
          <cell r="G7306">
            <v>275</v>
          </cell>
          <cell r="H7306">
            <v>0</v>
          </cell>
        </row>
        <row r="7307">
          <cell r="D7307" t="str">
            <v>Furnitures</v>
          </cell>
          <cell r="F7307">
            <v>6111.9674999999997</v>
          </cell>
          <cell r="G7307">
            <v>275</v>
          </cell>
          <cell r="H7307">
            <v>5800.7786301369861</v>
          </cell>
        </row>
        <row r="7308">
          <cell r="D7308" t="str">
            <v>Furnitures</v>
          </cell>
          <cell r="F7308">
            <v>15680.358</v>
          </cell>
          <cell r="G7308">
            <v>275</v>
          </cell>
          <cell r="H7308">
            <v>14881.997589041097</v>
          </cell>
        </row>
        <row r="7309">
          <cell r="D7309" t="str">
            <v>Furnitures</v>
          </cell>
          <cell r="F7309">
            <v>14700.569799999999</v>
          </cell>
          <cell r="G7309">
            <v>275</v>
          </cell>
          <cell r="H7309">
            <v>13952.094991780821</v>
          </cell>
        </row>
        <row r="7310">
          <cell r="D7310" t="str">
            <v>Furnitures</v>
          </cell>
          <cell r="F7310">
            <v>20580.235700000001</v>
          </cell>
          <cell r="G7310">
            <v>275</v>
          </cell>
          <cell r="H7310">
            <v>19532.399583561644</v>
          </cell>
        </row>
        <row r="7311">
          <cell r="D7311" t="str">
            <v>Furnitures</v>
          </cell>
          <cell r="F7311">
            <v>61647.037100000001</v>
          </cell>
          <cell r="G7311">
            <v>275</v>
          </cell>
          <cell r="H7311">
            <v>58508.297928767126</v>
          </cell>
        </row>
        <row r="7312">
          <cell r="D7312" t="str">
            <v>Furnitures</v>
          </cell>
          <cell r="F7312">
            <v>8641.0575000000008</v>
          </cell>
          <cell r="G7312">
            <v>275</v>
          </cell>
          <cell r="H7312">
            <v>8201.1008219178093</v>
          </cell>
        </row>
        <row r="7313">
          <cell r="D7313" t="str">
            <v>Furnitures</v>
          </cell>
          <cell r="F7313">
            <v>8851.8150000000005</v>
          </cell>
          <cell r="G7313">
            <v>275</v>
          </cell>
          <cell r="H7313">
            <v>8401.1276712328781</v>
          </cell>
        </row>
        <row r="7314">
          <cell r="D7314" t="str">
            <v>Furnitures</v>
          </cell>
          <cell r="F7314">
            <v>0</v>
          </cell>
          <cell r="G7314">
            <v>275</v>
          </cell>
          <cell r="H7314">
            <v>0</v>
          </cell>
        </row>
        <row r="7315">
          <cell r="D7315" t="str">
            <v>Furnitures</v>
          </cell>
          <cell r="F7315">
            <v>16860.599999999999</v>
          </cell>
          <cell r="G7315">
            <v>275</v>
          </cell>
          <cell r="H7315">
            <v>16002.147945205477</v>
          </cell>
        </row>
        <row r="7316">
          <cell r="D7316" t="str">
            <v>Furnitures</v>
          </cell>
          <cell r="F7316">
            <v>15806.8125</v>
          </cell>
          <cell r="G7316">
            <v>275</v>
          </cell>
          <cell r="H7316">
            <v>15002.013698630137</v>
          </cell>
        </row>
        <row r="7317">
          <cell r="D7317" t="str">
            <v>Furnitures</v>
          </cell>
          <cell r="F7317">
            <v>11708.75</v>
          </cell>
          <cell r="G7317">
            <v>275</v>
          </cell>
          <cell r="H7317">
            <v>11112.602739726028</v>
          </cell>
        </row>
        <row r="7318">
          <cell r="D7318" t="str">
            <v>Furnitures</v>
          </cell>
          <cell r="F7318">
            <v>0</v>
          </cell>
          <cell r="G7318">
            <v>275</v>
          </cell>
          <cell r="H7318">
            <v>0</v>
          </cell>
        </row>
        <row r="7319">
          <cell r="D7319" t="str">
            <v>Furnitures</v>
          </cell>
          <cell r="F7319">
            <v>0</v>
          </cell>
          <cell r="G7319">
            <v>275</v>
          </cell>
          <cell r="H7319">
            <v>0</v>
          </cell>
        </row>
        <row r="7320">
          <cell r="D7320" t="str">
            <v>Furnitures</v>
          </cell>
          <cell r="F7320">
            <v>0</v>
          </cell>
          <cell r="G7320">
            <v>275</v>
          </cell>
          <cell r="H7320">
            <v>0</v>
          </cell>
        </row>
        <row r="7321">
          <cell r="D7321" t="str">
            <v>Furnitures</v>
          </cell>
          <cell r="F7321">
            <v>10865.72</v>
          </cell>
          <cell r="G7321">
            <v>275</v>
          </cell>
          <cell r="H7321">
            <v>10312.495342465752</v>
          </cell>
        </row>
        <row r="7322">
          <cell r="D7322" t="str">
            <v>Furnitures</v>
          </cell>
          <cell r="F7322">
            <v>0</v>
          </cell>
          <cell r="G7322">
            <v>275</v>
          </cell>
          <cell r="H7322">
            <v>0</v>
          </cell>
        </row>
        <row r="7323">
          <cell r="D7323" t="str">
            <v>Furnitures</v>
          </cell>
          <cell r="F7323">
            <v>8242.9599999999991</v>
          </cell>
          <cell r="G7323">
            <v>275</v>
          </cell>
          <cell r="H7323">
            <v>7823.2723287671224</v>
          </cell>
        </row>
        <row r="7324">
          <cell r="D7324" t="str">
            <v>Furnitures</v>
          </cell>
          <cell r="F7324">
            <v>0</v>
          </cell>
          <cell r="G7324">
            <v>275</v>
          </cell>
          <cell r="H7324">
            <v>0</v>
          </cell>
        </row>
        <row r="7325">
          <cell r="D7325" t="str">
            <v>Furnitures</v>
          </cell>
          <cell r="F7325">
            <v>6088.55</v>
          </cell>
          <cell r="G7325">
            <v>275</v>
          </cell>
          <cell r="H7325">
            <v>5778.5534246575344</v>
          </cell>
        </row>
        <row r="7326">
          <cell r="D7326" t="str">
            <v>Furnitures</v>
          </cell>
          <cell r="F7326">
            <v>8992.32</v>
          </cell>
          <cell r="G7326">
            <v>275</v>
          </cell>
          <cell r="H7326">
            <v>8534.4789041095883</v>
          </cell>
        </row>
        <row r="7327">
          <cell r="D7327" t="str">
            <v>Furnitures</v>
          </cell>
          <cell r="F7327">
            <v>11989.76</v>
          </cell>
          <cell r="G7327">
            <v>275</v>
          </cell>
          <cell r="H7327">
            <v>11379.305205479452</v>
          </cell>
        </row>
        <row r="7328">
          <cell r="D7328" t="str">
            <v>Furnitures</v>
          </cell>
          <cell r="F7328">
            <v>8242.9599999999991</v>
          </cell>
          <cell r="G7328">
            <v>275</v>
          </cell>
          <cell r="H7328">
            <v>7823.2723287671224</v>
          </cell>
        </row>
        <row r="7329">
          <cell r="D7329" t="str">
            <v>Furnitures</v>
          </cell>
          <cell r="F7329">
            <v>0</v>
          </cell>
          <cell r="G7329">
            <v>275</v>
          </cell>
          <cell r="H7329">
            <v>0</v>
          </cell>
        </row>
        <row r="7330">
          <cell r="D7330" t="str">
            <v>Furnitures</v>
          </cell>
          <cell r="F7330">
            <v>0</v>
          </cell>
          <cell r="G7330">
            <v>275</v>
          </cell>
          <cell r="H7330">
            <v>0</v>
          </cell>
        </row>
        <row r="7331">
          <cell r="D7331" t="str">
            <v>Furnitures</v>
          </cell>
          <cell r="F7331">
            <v>0</v>
          </cell>
          <cell r="G7331">
            <v>275</v>
          </cell>
          <cell r="H7331">
            <v>0</v>
          </cell>
        </row>
        <row r="7332">
          <cell r="D7332" t="str">
            <v>Furnitures</v>
          </cell>
          <cell r="F7332">
            <v>9484.0874999999996</v>
          </cell>
          <cell r="G7332">
            <v>275</v>
          </cell>
          <cell r="H7332">
            <v>9001.2082191780828</v>
          </cell>
        </row>
        <row r="7333">
          <cell r="D7333" t="str">
            <v>Furnitures</v>
          </cell>
          <cell r="F7333">
            <v>6217.8145999999997</v>
          </cell>
          <cell r="G7333">
            <v>275</v>
          </cell>
          <cell r="H7333">
            <v>5901.2365589041092</v>
          </cell>
        </row>
        <row r="7334">
          <cell r="D7334" t="str">
            <v>Furnitures</v>
          </cell>
          <cell r="F7334">
            <v>6322.7250000000004</v>
          </cell>
          <cell r="G7334">
            <v>275</v>
          </cell>
          <cell r="H7334">
            <v>6000.8054794520549</v>
          </cell>
        </row>
        <row r="7335">
          <cell r="D7335" t="str">
            <v>Furnitures</v>
          </cell>
          <cell r="F7335">
            <v>0</v>
          </cell>
          <cell r="G7335">
            <v>275</v>
          </cell>
          <cell r="H7335">
            <v>0</v>
          </cell>
        </row>
        <row r="7336">
          <cell r="D7336" t="str">
            <v>Furnitures</v>
          </cell>
          <cell r="F7336">
            <v>7165.7550000000001</v>
          </cell>
          <cell r="G7336">
            <v>275</v>
          </cell>
          <cell r="H7336">
            <v>6800.9128767123293</v>
          </cell>
        </row>
        <row r="7337">
          <cell r="D7337" t="str">
            <v>Furnitures</v>
          </cell>
          <cell r="F7337">
            <v>0</v>
          </cell>
          <cell r="G7337">
            <v>275</v>
          </cell>
          <cell r="H7337">
            <v>0</v>
          </cell>
        </row>
        <row r="7338">
          <cell r="D7338" t="str">
            <v>Furnitures</v>
          </cell>
          <cell r="F7338">
            <v>0</v>
          </cell>
          <cell r="G7338">
            <v>275</v>
          </cell>
          <cell r="H7338">
            <v>0</v>
          </cell>
        </row>
        <row r="7339">
          <cell r="D7339" t="str">
            <v>Furnitures</v>
          </cell>
          <cell r="F7339">
            <v>0</v>
          </cell>
          <cell r="G7339">
            <v>275</v>
          </cell>
          <cell r="H7339">
            <v>0</v>
          </cell>
        </row>
        <row r="7340">
          <cell r="D7340" t="str">
            <v>Furnitures</v>
          </cell>
          <cell r="F7340">
            <v>0</v>
          </cell>
          <cell r="G7340">
            <v>275</v>
          </cell>
          <cell r="H7340">
            <v>0</v>
          </cell>
        </row>
        <row r="7341">
          <cell r="D7341" t="str">
            <v>Furnitures</v>
          </cell>
          <cell r="F7341">
            <v>9367</v>
          </cell>
          <cell r="G7341">
            <v>275</v>
          </cell>
          <cell r="H7341">
            <v>8890.0821917808225</v>
          </cell>
        </row>
        <row r="7342">
          <cell r="D7342" t="str">
            <v>Furnitures</v>
          </cell>
          <cell r="F7342">
            <v>6556.9</v>
          </cell>
          <cell r="G7342">
            <v>275</v>
          </cell>
          <cell r="H7342">
            <v>6223.0575342465754</v>
          </cell>
        </row>
        <row r="7343">
          <cell r="D7343" t="str">
            <v>Furnitures</v>
          </cell>
          <cell r="F7343">
            <v>0</v>
          </cell>
          <cell r="G7343">
            <v>275</v>
          </cell>
          <cell r="H7343">
            <v>0</v>
          </cell>
        </row>
        <row r="7344">
          <cell r="D7344" t="str">
            <v>Furnitures</v>
          </cell>
          <cell r="F7344">
            <v>13066.965</v>
          </cell>
          <cell r="G7344">
            <v>275</v>
          </cell>
          <cell r="H7344">
            <v>12401.664657534247</v>
          </cell>
        </row>
        <row r="7345">
          <cell r="D7345" t="str">
            <v>Furnitures</v>
          </cell>
          <cell r="F7345">
            <v>7271.6021000000001</v>
          </cell>
          <cell r="G7345">
            <v>275</v>
          </cell>
          <cell r="H7345">
            <v>6901.3708054794524</v>
          </cell>
        </row>
        <row r="7346">
          <cell r="D7346" t="str">
            <v>Furnitures</v>
          </cell>
          <cell r="F7346">
            <v>0</v>
          </cell>
          <cell r="G7346">
            <v>275</v>
          </cell>
          <cell r="H7346">
            <v>0</v>
          </cell>
        </row>
        <row r="7347">
          <cell r="D7347" t="str">
            <v>Furnitures</v>
          </cell>
          <cell r="F7347">
            <v>6217.8145999999997</v>
          </cell>
          <cell r="G7347">
            <v>275</v>
          </cell>
          <cell r="H7347">
            <v>5901.2365589041092</v>
          </cell>
        </row>
        <row r="7348">
          <cell r="D7348" t="str">
            <v>Furnitures</v>
          </cell>
          <cell r="F7348">
            <v>0</v>
          </cell>
          <cell r="G7348">
            <v>275</v>
          </cell>
          <cell r="H7348">
            <v>0</v>
          </cell>
        </row>
        <row r="7349">
          <cell r="D7349" t="str">
            <v>Furnitures</v>
          </cell>
          <cell r="F7349">
            <v>0</v>
          </cell>
          <cell r="G7349">
            <v>275</v>
          </cell>
          <cell r="H7349">
            <v>0</v>
          </cell>
        </row>
        <row r="7350">
          <cell r="D7350" t="str">
            <v>Furnitures</v>
          </cell>
          <cell r="F7350">
            <v>5620.2</v>
          </cell>
          <cell r="G7350">
            <v>275</v>
          </cell>
          <cell r="H7350">
            <v>5334.0493150684933</v>
          </cell>
        </row>
        <row r="7351">
          <cell r="D7351" t="str">
            <v>Furnitures</v>
          </cell>
          <cell r="F7351">
            <v>0</v>
          </cell>
          <cell r="G7351">
            <v>275</v>
          </cell>
          <cell r="H7351">
            <v>0</v>
          </cell>
        </row>
        <row r="7352">
          <cell r="D7352" t="str">
            <v>Furnitures</v>
          </cell>
          <cell r="F7352">
            <v>8777.8156999999992</v>
          </cell>
          <cell r="G7352">
            <v>275</v>
          </cell>
          <cell r="H7352">
            <v>8330.896021917808</v>
          </cell>
        </row>
        <row r="7353">
          <cell r="D7353" t="str">
            <v>Furnitures</v>
          </cell>
          <cell r="F7353">
            <v>11048.3765</v>
          </cell>
          <cell r="G7353">
            <v>275</v>
          </cell>
          <cell r="H7353">
            <v>10485.851945205481</v>
          </cell>
        </row>
        <row r="7354">
          <cell r="D7354" t="str">
            <v>Furnitures</v>
          </cell>
          <cell r="F7354">
            <v>14454.217699999999</v>
          </cell>
          <cell r="G7354">
            <v>275</v>
          </cell>
          <cell r="H7354">
            <v>13718.285830136985</v>
          </cell>
        </row>
        <row r="7355">
          <cell r="D7355" t="str">
            <v>Furnitures</v>
          </cell>
          <cell r="F7355">
            <v>8494.9323000000004</v>
          </cell>
          <cell r="G7355">
            <v>275</v>
          </cell>
          <cell r="H7355">
            <v>8062.4155397260274</v>
          </cell>
        </row>
        <row r="7356">
          <cell r="D7356" t="str">
            <v>Furnitures</v>
          </cell>
          <cell r="F7356">
            <v>0</v>
          </cell>
          <cell r="G7356">
            <v>275</v>
          </cell>
          <cell r="H7356">
            <v>0</v>
          </cell>
        </row>
        <row r="7357">
          <cell r="D7357" t="str">
            <v>Furnitures</v>
          </cell>
          <cell r="F7357">
            <v>10116.36</v>
          </cell>
          <cell r="G7357">
            <v>275</v>
          </cell>
          <cell r="H7357">
            <v>9601.2887671232875</v>
          </cell>
        </row>
        <row r="7358">
          <cell r="D7358" t="str">
            <v>Furnitures</v>
          </cell>
          <cell r="F7358">
            <v>0</v>
          </cell>
          <cell r="G7358">
            <v>275</v>
          </cell>
          <cell r="H7358">
            <v>0</v>
          </cell>
        </row>
        <row r="7359">
          <cell r="D7359" t="str">
            <v>Furnitures</v>
          </cell>
          <cell r="F7359">
            <v>21076.686699999998</v>
          </cell>
          <cell r="G7359">
            <v>275</v>
          </cell>
          <cell r="H7359">
            <v>20003.573939726026</v>
          </cell>
        </row>
        <row r="7360">
          <cell r="D7360" t="str">
            <v>Furnitures</v>
          </cell>
          <cell r="F7360">
            <v>14170.3976</v>
          </cell>
          <cell r="G7360">
            <v>275</v>
          </cell>
          <cell r="H7360">
            <v>13448.916339726027</v>
          </cell>
        </row>
        <row r="7361">
          <cell r="D7361" t="str">
            <v>Furnitures</v>
          </cell>
          <cell r="F7361">
            <v>33375.557699999998</v>
          </cell>
          <cell r="G7361">
            <v>275</v>
          </cell>
          <cell r="H7361">
            <v>31676.251857534244</v>
          </cell>
        </row>
        <row r="7362">
          <cell r="D7362" t="str">
            <v>Furnitures</v>
          </cell>
          <cell r="F7362">
            <v>26280.991900000001</v>
          </cell>
          <cell r="G7362">
            <v>275</v>
          </cell>
          <cell r="H7362">
            <v>24942.903605479452</v>
          </cell>
        </row>
        <row r="7363">
          <cell r="D7363" t="str">
            <v>Furnitures</v>
          </cell>
          <cell r="F7363">
            <v>0</v>
          </cell>
          <cell r="G7363">
            <v>275</v>
          </cell>
          <cell r="H7363">
            <v>0</v>
          </cell>
        </row>
        <row r="7364">
          <cell r="D7364" t="str">
            <v>Furnitures</v>
          </cell>
          <cell r="F7364">
            <v>0</v>
          </cell>
          <cell r="G7364">
            <v>275</v>
          </cell>
          <cell r="H7364">
            <v>0</v>
          </cell>
        </row>
        <row r="7365">
          <cell r="D7365" t="str">
            <v>Furnitures</v>
          </cell>
          <cell r="F7365">
            <v>26368.105</v>
          </cell>
          <cell r="G7365">
            <v>275</v>
          </cell>
          <cell r="H7365">
            <v>25025.581369863012</v>
          </cell>
        </row>
        <row r="7366">
          <cell r="D7366" t="str">
            <v>Furnitures</v>
          </cell>
          <cell r="F7366">
            <v>7660.3325999999997</v>
          </cell>
          <cell r="G7366">
            <v>275</v>
          </cell>
          <cell r="H7366">
            <v>7270.3092164383561</v>
          </cell>
        </row>
        <row r="7367">
          <cell r="D7367" t="str">
            <v>Furnitures</v>
          </cell>
          <cell r="F7367">
            <v>5511.5428000000002</v>
          </cell>
          <cell r="G7367">
            <v>275</v>
          </cell>
          <cell r="H7367">
            <v>5230.9243616438362</v>
          </cell>
        </row>
        <row r="7368">
          <cell r="D7368" t="str">
            <v>Furnitures</v>
          </cell>
          <cell r="F7368">
            <v>0</v>
          </cell>
          <cell r="G7368">
            <v>275</v>
          </cell>
          <cell r="H7368">
            <v>0</v>
          </cell>
        </row>
        <row r="7369">
          <cell r="D7369" t="str">
            <v>Furnitures</v>
          </cell>
          <cell r="F7369">
            <v>0</v>
          </cell>
          <cell r="G7369">
            <v>275</v>
          </cell>
          <cell r="H7369">
            <v>0</v>
          </cell>
        </row>
        <row r="7370">
          <cell r="D7370" t="str">
            <v>Furnitures</v>
          </cell>
          <cell r="F7370">
            <v>0</v>
          </cell>
          <cell r="G7370">
            <v>275</v>
          </cell>
          <cell r="H7370">
            <v>0</v>
          </cell>
        </row>
        <row r="7371">
          <cell r="D7371" t="str">
            <v>Furnitures</v>
          </cell>
          <cell r="F7371">
            <v>0</v>
          </cell>
          <cell r="G7371">
            <v>275</v>
          </cell>
          <cell r="H7371">
            <v>0</v>
          </cell>
        </row>
        <row r="7372">
          <cell r="D7372" t="str">
            <v>Furnitures</v>
          </cell>
          <cell r="F7372">
            <v>0</v>
          </cell>
          <cell r="G7372">
            <v>275</v>
          </cell>
          <cell r="H7372">
            <v>0</v>
          </cell>
        </row>
        <row r="7373">
          <cell r="D7373" t="str">
            <v>Furnitures</v>
          </cell>
          <cell r="F7373">
            <v>0</v>
          </cell>
          <cell r="G7373">
            <v>275</v>
          </cell>
          <cell r="H7373">
            <v>0</v>
          </cell>
        </row>
        <row r="7374">
          <cell r="D7374" t="str">
            <v>Furnitures</v>
          </cell>
          <cell r="F7374">
            <v>0</v>
          </cell>
          <cell r="G7374">
            <v>275</v>
          </cell>
          <cell r="H7374">
            <v>0</v>
          </cell>
        </row>
        <row r="7375">
          <cell r="D7375" t="str">
            <v>Furnitures</v>
          </cell>
          <cell r="F7375">
            <v>0</v>
          </cell>
          <cell r="G7375">
            <v>275</v>
          </cell>
          <cell r="H7375">
            <v>0</v>
          </cell>
        </row>
        <row r="7376">
          <cell r="D7376" t="str">
            <v>Furnitures</v>
          </cell>
          <cell r="F7376">
            <v>0</v>
          </cell>
          <cell r="G7376">
            <v>275</v>
          </cell>
          <cell r="H7376">
            <v>0</v>
          </cell>
        </row>
        <row r="7377">
          <cell r="D7377" t="str">
            <v>Furnitures</v>
          </cell>
          <cell r="F7377">
            <v>0</v>
          </cell>
          <cell r="G7377">
            <v>275</v>
          </cell>
          <cell r="H7377">
            <v>0</v>
          </cell>
        </row>
        <row r="7378">
          <cell r="D7378" t="str">
            <v>Furnitures</v>
          </cell>
          <cell r="F7378">
            <v>7306.26</v>
          </cell>
          <cell r="G7378">
            <v>275</v>
          </cell>
          <cell r="H7378">
            <v>6934.2641095890413</v>
          </cell>
        </row>
        <row r="7379">
          <cell r="D7379" t="str">
            <v>Furnitures</v>
          </cell>
          <cell r="F7379">
            <v>0</v>
          </cell>
          <cell r="G7379">
            <v>275</v>
          </cell>
          <cell r="H7379">
            <v>0</v>
          </cell>
        </row>
        <row r="7380">
          <cell r="D7380" t="str">
            <v>Furnitures</v>
          </cell>
          <cell r="F7380">
            <v>0</v>
          </cell>
          <cell r="G7380">
            <v>275</v>
          </cell>
          <cell r="H7380">
            <v>0</v>
          </cell>
        </row>
        <row r="7381">
          <cell r="D7381" t="str">
            <v>Furnitures</v>
          </cell>
          <cell r="F7381">
            <v>7362.4619999999995</v>
          </cell>
          <cell r="G7381">
            <v>275</v>
          </cell>
          <cell r="H7381">
            <v>6987.604602739726</v>
          </cell>
        </row>
        <row r="7382">
          <cell r="D7382" t="str">
            <v>Furnitures</v>
          </cell>
          <cell r="F7382">
            <v>0</v>
          </cell>
          <cell r="G7382">
            <v>275</v>
          </cell>
          <cell r="H7382">
            <v>0</v>
          </cell>
        </row>
        <row r="7383">
          <cell r="D7383" t="str">
            <v>Furnitures</v>
          </cell>
          <cell r="F7383">
            <v>0</v>
          </cell>
          <cell r="G7383">
            <v>275</v>
          </cell>
          <cell r="H7383">
            <v>0</v>
          </cell>
        </row>
        <row r="7384">
          <cell r="D7384" t="str">
            <v>Furnitures</v>
          </cell>
          <cell r="F7384">
            <v>0</v>
          </cell>
          <cell r="G7384">
            <v>275</v>
          </cell>
          <cell r="H7384">
            <v>0</v>
          </cell>
        </row>
        <row r="7385">
          <cell r="D7385" t="str">
            <v>Furnitures</v>
          </cell>
          <cell r="F7385">
            <v>0</v>
          </cell>
          <cell r="G7385">
            <v>275</v>
          </cell>
          <cell r="H7385">
            <v>0</v>
          </cell>
        </row>
        <row r="7386">
          <cell r="D7386" t="str">
            <v>Furnitures</v>
          </cell>
          <cell r="F7386">
            <v>0</v>
          </cell>
          <cell r="G7386">
            <v>275</v>
          </cell>
          <cell r="H7386">
            <v>0</v>
          </cell>
        </row>
        <row r="7387">
          <cell r="D7387" t="str">
            <v>Furnitures</v>
          </cell>
          <cell r="F7387">
            <v>0</v>
          </cell>
          <cell r="G7387">
            <v>275</v>
          </cell>
          <cell r="H7387">
            <v>0</v>
          </cell>
        </row>
        <row r="7388">
          <cell r="D7388" t="str">
            <v>Furnitures</v>
          </cell>
          <cell r="F7388">
            <v>0</v>
          </cell>
          <cell r="G7388">
            <v>275</v>
          </cell>
          <cell r="H7388">
            <v>0</v>
          </cell>
        </row>
        <row r="7389">
          <cell r="D7389" t="str">
            <v>Furnitures</v>
          </cell>
          <cell r="F7389">
            <v>0</v>
          </cell>
          <cell r="G7389">
            <v>275</v>
          </cell>
          <cell r="H7389">
            <v>0</v>
          </cell>
        </row>
        <row r="7390">
          <cell r="D7390" t="str">
            <v>Furnitures</v>
          </cell>
          <cell r="F7390">
            <v>7118.92</v>
          </cell>
          <cell r="G7390">
            <v>275</v>
          </cell>
          <cell r="H7390">
            <v>6756.462465753425</v>
          </cell>
        </row>
        <row r="7391">
          <cell r="D7391" t="str">
            <v>Furnitures</v>
          </cell>
          <cell r="F7391">
            <v>0</v>
          </cell>
          <cell r="G7391">
            <v>275</v>
          </cell>
          <cell r="H7391">
            <v>0</v>
          </cell>
        </row>
        <row r="7392">
          <cell r="D7392" t="str">
            <v>Furnitures</v>
          </cell>
          <cell r="F7392">
            <v>0</v>
          </cell>
          <cell r="G7392">
            <v>275</v>
          </cell>
          <cell r="H7392">
            <v>0</v>
          </cell>
        </row>
        <row r="7393">
          <cell r="D7393" t="str">
            <v>Furnitures</v>
          </cell>
          <cell r="F7393">
            <v>0</v>
          </cell>
          <cell r="G7393">
            <v>275</v>
          </cell>
          <cell r="H7393">
            <v>0</v>
          </cell>
        </row>
        <row r="7394">
          <cell r="D7394" t="str">
            <v>Furnitures</v>
          </cell>
          <cell r="F7394">
            <v>0</v>
          </cell>
          <cell r="G7394">
            <v>275</v>
          </cell>
          <cell r="H7394">
            <v>0</v>
          </cell>
        </row>
        <row r="7395">
          <cell r="D7395" t="str">
            <v>Furnitures</v>
          </cell>
          <cell r="F7395">
            <v>6088.55</v>
          </cell>
          <cell r="G7395">
            <v>275</v>
          </cell>
          <cell r="H7395">
            <v>5778.5534246575344</v>
          </cell>
        </row>
        <row r="7396">
          <cell r="D7396" t="str">
            <v>Furnitures</v>
          </cell>
          <cell r="F7396">
            <v>8345.9969999999994</v>
          </cell>
          <cell r="G7396">
            <v>275</v>
          </cell>
          <cell r="H7396">
            <v>7921.0632328767115</v>
          </cell>
        </row>
        <row r="7397">
          <cell r="D7397" t="str">
            <v>Furnitures</v>
          </cell>
          <cell r="F7397">
            <v>5339.19</v>
          </cell>
          <cell r="G7397">
            <v>275</v>
          </cell>
          <cell r="H7397">
            <v>5067.3468493150685</v>
          </cell>
        </row>
        <row r="7398">
          <cell r="D7398" t="str">
            <v>Furnitures</v>
          </cell>
          <cell r="F7398">
            <v>0</v>
          </cell>
          <cell r="G7398">
            <v>275</v>
          </cell>
          <cell r="H7398">
            <v>0</v>
          </cell>
        </row>
        <row r="7399">
          <cell r="D7399" t="str">
            <v>Furnitures</v>
          </cell>
          <cell r="F7399">
            <v>9367</v>
          </cell>
          <cell r="G7399">
            <v>275</v>
          </cell>
          <cell r="H7399">
            <v>8890.0821917808225</v>
          </cell>
        </row>
        <row r="7400">
          <cell r="D7400" t="str">
            <v>Furnitures</v>
          </cell>
          <cell r="F7400">
            <v>7118.92</v>
          </cell>
          <cell r="G7400">
            <v>275</v>
          </cell>
          <cell r="H7400">
            <v>6756.462465753425</v>
          </cell>
        </row>
        <row r="7401">
          <cell r="D7401" t="str">
            <v>Furnitures</v>
          </cell>
          <cell r="F7401">
            <v>7118.92</v>
          </cell>
          <cell r="G7401">
            <v>275</v>
          </cell>
          <cell r="H7401">
            <v>6756.462465753425</v>
          </cell>
        </row>
        <row r="7402">
          <cell r="D7402" t="str">
            <v>Furnitures</v>
          </cell>
          <cell r="F7402">
            <v>0</v>
          </cell>
          <cell r="G7402">
            <v>275</v>
          </cell>
          <cell r="H7402">
            <v>0</v>
          </cell>
        </row>
        <row r="7403">
          <cell r="D7403" t="str">
            <v>Furnitures</v>
          </cell>
          <cell r="F7403">
            <v>0</v>
          </cell>
          <cell r="G7403">
            <v>275</v>
          </cell>
          <cell r="H7403">
            <v>0</v>
          </cell>
        </row>
        <row r="7404">
          <cell r="D7404" t="str">
            <v>Furnitures</v>
          </cell>
          <cell r="F7404">
            <v>0</v>
          </cell>
          <cell r="G7404">
            <v>275</v>
          </cell>
          <cell r="H7404">
            <v>0</v>
          </cell>
        </row>
        <row r="7405">
          <cell r="D7405" t="str">
            <v>Furnitures</v>
          </cell>
          <cell r="F7405">
            <v>35407.26</v>
          </cell>
          <cell r="G7405">
            <v>275</v>
          </cell>
          <cell r="H7405">
            <v>33604.510684931513</v>
          </cell>
        </row>
        <row r="7406">
          <cell r="D7406" t="str">
            <v>Furnitures</v>
          </cell>
          <cell r="F7406">
            <v>0</v>
          </cell>
          <cell r="G7406">
            <v>275</v>
          </cell>
          <cell r="H7406">
            <v>0</v>
          </cell>
        </row>
        <row r="7407">
          <cell r="D7407" t="str">
            <v>Furnitures</v>
          </cell>
          <cell r="F7407">
            <v>60065.887499999997</v>
          </cell>
          <cell r="G7407">
            <v>275</v>
          </cell>
          <cell r="H7407">
            <v>57007.652054794518</v>
          </cell>
        </row>
        <row r="7408">
          <cell r="D7408" t="str">
            <v>Furnitures</v>
          </cell>
          <cell r="F7408">
            <v>25818.2621</v>
          </cell>
          <cell r="G7408">
            <v>275</v>
          </cell>
          <cell r="H7408">
            <v>24503.733545205479</v>
          </cell>
        </row>
        <row r="7409">
          <cell r="D7409" t="str">
            <v>Furnitures</v>
          </cell>
          <cell r="F7409">
            <v>510820.91470000002</v>
          </cell>
          <cell r="G7409">
            <v>275</v>
          </cell>
          <cell r="H7409">
            <v>484812.63125479454</v>
          </cell>
        </row>
        <row r="7410">
          <cell r="D7410" t="str">
            <v>Furnitures</v>
          </cell>
          <cell r="F7410">
            <v>216921.9227</v>
          </cell>
          <cell r="G7410">
            <v>275</v>
          </cell>
          <cell r="H7410">
            <v>205877.41240547944</v>
          </cell>
        </row>
        <row r="7411">
          <cell r="D7411" t="str">
            <v>Furnitures</v>
          </cell>
          <cell r="F7411">
            <v>642576.19999999995</v>
          </cell>
          <cell r="G7411">
            <v>275</v>
          </cell>
          <cell r="H7411">
            <v>609859.63835616433</v>
          </cell>
        </row>
        <row r="7412">
          <cell r="D7412" t="str">
            <v>Furnitures</v>
          </cell>
          <cell r="F7412">
            <v>227252.78700000001</v>
          </cell>
          <cell r="G7412">
            <v>275</v>
          </cell>
          <cell r="H7412">
            <v>215682.28405479452</v>
          </cell>
        </row>
        <row r="7413">
          <cell r="D7413" t="str">
            <v>Furnitures</v>
          </cell>
          <cell r="F7413">
            <v>180853.35250000001</v>
          </cell>
          <cell r="G7413">
            <v>275</v>
          </cell>
          <cell r="H7413">
            <v>171645.26191780824</v>
          </cell>
        </row>
        <row r="7414">
          <cell r="D7414" t="str">
            <v>Furnitures</v>
          </cell>
          <cell r="F7414">
            <v>181551.19399999999</v>
          </cell>
          <cell r="G7414">
            <v>275</v>
          </cell>
          <cell r="H7414">
            <v>172307.57304109589</v>
          </cell>
        </row>
        <row r="7415">
          <cell r="D7415" t="str">
            <v>Furnitures</v>
          </cell>
          <cell r="F7415">
            <v>15680.358</v>
          </cell>
          <cell r="G7415">
            <v>275</v>
          </cell>
          <cell r="H7415">
            <v>14881.997589041097</v>
          </cell>
        </row>
        <row r="7416">
          <cell r="D7416" t="str">
            <v>Furnitures</v>
          </cell>
          <cell r="F7416">
            <v>0</v>
          </cell>
          <cell r="G7416">
            <v>275</v>
          </cell>
          <cell r="H7416">
            <v>0</v>
          </cell>
        </row>
        <row r="7417">
          <cell r="D7417" t="str">
            <v>Furnitures</v>
          </cell>
          <cell r="F7417">
            <v>9800.6921000000002</v>
          </cell>
          <cell r="G7417">
            <v>275</v>
          </cell>
          <cell r="H7417">
            <v>9301.6929972602738</v>
          </cell>
        </row>
        <row r="7418">
          <cell r="D7418" t="str">
            <v>Furnitures</v>
          </cell>
          <cell r="F7418">
            <v>5389.7718000000004</v>
          </cell>
          <cell r="G7418">
            <v>275</v>
          </cell>
          <cell r="H7418">
            <v>5115.3532931506852</v>
          </cell>
        </row>
        <row r="7419">
          <cell r="D7419" t="str">
            <v>Furnitures</v>
          </cell>
          <cell r="F7419">
            <v>0</v>
          </cell>
          <cell r="G7419">
            <v>275</v>
          </cell>
          <cell r="H7419">
            <v>0</v>
          </cell>
        </row>
        <row r="7420">
          <cell r="D7420" t="str">
            <v>Furnitures</v>
          </cell>
          <cell r="F7420">
            <v>5488.1252999999997</v>
          </cell>
          <cell r="G7420">
            <v>275</v>
          </cell>
          <cell r="H7420">
            <v>5208.6991561643836</v>
          </cell>
        </row>
        <row r="7421">
          <cell r="D7421" t="str">
            <v>Furnitures</v>
          </cell>
          <cell r="F7421">
            <v>89923.199999999997</v>
          </cell>
          <cell r="G7421">
            <v>275</v>
          </cell>
          <cell r="H7421">
            <v>85344.789041095893</v>
          </cell>
        </row>
        <row r="7422">
          <cell r="D7422" t="str">
            <v>Furnitures</v>
          </cell>
          <cell r="F7422">
            <v>10537.875</v>
          </cell>
          <cell r="G7422">
            <v>275</v>
          </cell>
          <cell r="H7422">
            <v>10001.342465753425</v>
          </cell>
        </row>
        <row r="7423">
          <cell r="D7423" t="str">
            <v>Furnitures</v>
          </cell>
          <cell r="F7423">
            <v>0</v>
          </cell>
          <cell r="G7423">
            <v>275</v>
          </cell>
          <cell r="H7423">
            <v>0</v>
          </cell>
        </row>
        <row r="7424">
          <cell r="D7424" t="str">
            <v>Furnitures</v>
          </cell>
          <cell r="F7424">
            <v>16860.599999999999</v>
          </cell>
          <cell r="G7424">
            <v>275</v>
          </cell>
          <cell r="H7424">
            <v>16002.147945205477</v>
          </cell>
        </row>
        <row r="7425">
          <cell r="D7425" t="str">
            <v>Furnitures</v>
          </cell>
          <cell r="F7425">
            <v>5901.21</v>
          </cell>
          <cell r="G7425">
            <v>275</v>
          </cell>
          <cell r="H7425">
            <v>5600.7517808219181</v>
          </cell>
        </row>
        <row r="7426">
          <cell r="D7426" t="str">
            <v>Furnitures</v>
          </cell>
          <cell r="F7426">
            <v>0</v>
          </cell>
          <cell r="G7426">
            <v>275</v>
          </cell>
          <cell r="H7426">
            <v>0</v>
          </cell>
        </row>
        <row r="7427">
          <cell r="D7427" t="str">
            <v>Furnitures</v>
          </cell>
          <cell r="F7427">
            <v>5795.3629000000001</v>
          </cell>
          <cell r="G7427">
            <v>275</v>
          </cell>
          <cell r="H7427">
            <v>5500.293852054795</v>
          </cell>
        </row>
        <row r="7428">
          <cell r="D7428" t="str">
            <v>Furnitures</v>
          </cell>
          <cell r="F7428">
            <v>6556.9</v>
          </cell>
          <cell r="G7428">
            <v>275</v>
          </cell>
          <cell r="H7428">
            <v>6223.0575342465754</v>
          </cell>
        </row>
        <row r="7429">
          <cell r="D7429" t="str">
            <v>Furnitures</v>
          </cell>
          <cell r="F7429">
            <v>0</v>
          </cell>
          <cell r="G7429">
            <v>275</v>
          </cell>
          <cell r="H7429">
            <v>0</v>
          </cell>
        </row>
        <row r="7430">
          <cell r="D7430" t="str">
            <v>Furnitures</v>
          </cell>
          <cell r="F7430">
            <v>10491.04</v>
          </cell>
          <cell r="G7430">
            <v>275</v>
          </cell>
          <cell r="H7430">
            <v>9956.8920547945218</v>
          </cell>
        </row>
        <row r="7431">
          <cell r="D7431" t="str">
            <v>Furnitures</v>
          </cell>
          <cell r="F7431">
            <v>8992.32</v>
          </cell>
          <cell r="G7431">
            <v>275</v>
          </cell>
          <cell r="H7431">
            <v>8534.4789041095883</v>
          </cell>
        </row>
        <row r="7432">
          <cell r="D7432" t="str">
            <v>Furnitures</v>
          </cell>
          <cell r="F7432">
            <v>6182.22</v>
          </cell>
          <cell r="G7432">
            <v>275</v>
          </cell>
          <cell r="H7432">
            <v>5867.4542465753429</v>
          </cell>
        </row>
        <row r="7433">
          <cell r="D7433" t="str">
            <v>Furnitures</v>
          </cell>
          <cell r="F7433">
            <v>0</v>
          </cell>
          <cell r="G7433">
            <v>275</v>
          </cell>
          <cell r="H7433">
            <v>0</v>
          </cell>
        </row>
        <row r="7434">
          <cell r="D7434" t="str">
            <v>Furnitures</v>
          </cell>
          <cell r="F7434">
            <v>0</v>
          </cell>
          <cell r="G7434">
            <v>275</v>
          </cell>
          <cell r="H7434">
            <v>0</v>
          </cell>
        </row>
        <row r="7435">
          <cell r="D7435" t="str">
            <v>Furnitures</v>
          </cell>
          <cell r="F7435">
            <v>50249.271500000003</v>
          </cell>
          <cell r="G7435">
            <v>275</v>
          </cell>
          <cell r="H7435">
            <v>47690.845917808219</v>
          </cell>
        </row>
        <row r="7436">
          <cell r="D7436" t="str">
            <v>Furnitures</v>
          </cell>
          <cell r="F7436">
            <v>45329.723100000003</v>
          </cell>
          <cell r="G7436">
            <v>275</v>
          </cell>
          <cell r="H7436">
            <v>43021.774750684934</v>
          </cell>
        </row>
        <row r="7437">
          <cell r="D7437" t="str">
            <v>Furnitures</v>
          </cell>
          <cell r="F7437">
            <v>0</v>
          </cell>
          <cell r="G7437">
            <v>275</v>
          </cell>
          <cell r="H7437">
            <v>0</v>
          </cell>
        </row>
        <row r="7438">
          <cell r="D7438" t="str">
            <v>Furnitures</v>
          </cell>
          <cell r="F7438">
            <v>0</v>
          </cell>
          <cell r="G7438">
            <v>275</v>
          </cell>
          <cell r="H7438">
            <v>0</v>
          </cell>
        </row>
        <row r="7439">
          <cell r="D7439" t="str">
            <v>Furnitures</v>
          </cell>
          <cell r="F7439">
            <v>0</v>
          </cell>
          <cell r="G7439">
            <v>275</v>
          </cell>
          <cell r="H7439">
            <v>0</v>
          </cell>
        </row>
        <row r="7440">
          <cell r="D7440" t="str">
            <v>Furnitures</v>
          </cell>
          <cell r="F7440">
            <v>16228.962100000001</v>
          </cell>
          <cell r="G7440">
            <v>275</v>
          </cell>
          <cell r="H7440">
            <v>15343.659572602741</v>
          </cell>
        </row>
        <row r="7441">
          <cell r="D7441" t="str">
            <v>Furnitures</v>
          </cell>
          <cell r="F7441">
            <v>15688.1448</v>
          </cell>
          <cell r="G7441">
            <v>275</v>
          </cell>
          <cell r="H7441">
            <v>14832.363484931508</v>
          </cell>
        </row>
        <row r="7442">
          <cell r="D7442" t="str">
            <v>Furnitures</v>
          </cell>
          <cell r="F7442">
            <v>15245.1746</v>
          </cell>
          <cell r="G7442">
            <v>275</v>
          </cell>
          <cell r="H7442">
            <v>14413.525326027397</v>
          </cell>
        </row>
        <row r="7443">
          <cell r="D7443" t="str">
            <v>Furnitures</v>
          </cell>
          <cell r="F7443">
            <v>33440.775000000001</v>
          </cell>
          <cell r="G7443">
            <v>275</v>
          </cell>
          <cell r="H7443">
            <v>31616.564383561647</v>
          </cell>
        </row>
        <row r="7444">
          <cell r="D7444" t="str">
            <v>Furnitures</v>
          </cell>
          <cell r="F7444">
            <v>5753.4227000000001</v>
          </cell>
          <cell r="G7444">
            <v>275</v>
          </cell>
          <cell r="H7444">
            <v>5439.5630904109594</v>
          </cell>
        </row>
        <row r="7445">
          <cell r="D7445" t="str">
            <v>Furnitures</v>
          </cell>
          <cell r="F7445">
            <v>0</v>
          </cell>
          <cell r="G7445">
            <v>275</v>
          </cell>
          <cell r="H7445">
            <v>0</v>
          </cell>
        </row>
        <row r="7446">
          <cell r="D7446" t="str">
            <v>Furnitures</v>
          </cell>
          <cell r="F7446">
            <v>0</v>
          </cell>
          <cell r="G7446">
            <v>275</v>
          </cell>
          <cell r="H7446">
            <v>0</v>
          </cell>
        </row>
        <row r="7447">
          <cell r="D7447" t="str">
            <v>Furnitures</v>
          </cell>
          <cell r="F7447">
            <v>9212.9446000000007</v>
          </cell>
          <cell r="G7447">
            <v>275</v>
          </cell>
          <cell r="H7447">
            <v>8710.3686136986307</v>
          </cell>
        </row>
        <row r="7448">
          <cell r="D7448" t="str">
            <v>Furnitures</v>
          </cell>
          <cell r="F7448">
            <v>0</v>
          </cell>
          <cell r="G7448">
            <v>275</v>
          </cell>
          <cell r="H7448">
            <v>0</v>
          </cell>
        </row>
        <row r="7449">
          <cell r="D7449" t="str">
            <v>Furnitures</v>
          </cell>
          <cell r="F7449">
            <v>0</v>
          </cell>
          <cell r="G7449">
            <v>275</v>
          </cell>
          <cell r="H7449">
            <v>0</v>
          </cell>
        </row>
        <row r="7450">
          <cell r="D7450" t="str">
            <v>Furnitures</v>
          </cell>
          <cell r="F7450">
            <v>7098.1939000000002</v>
          </cell>
          <cell r="G7450">
            <v>275</v>
          </cell>
          <cell r="H7450">
            <v>6711.079715068493</v>
          </cell>
        </row>
        <row r="7451">
          <cell r="D7451" t="str">
            <v>Furnitures</v>
          </cell>
          <cell r="F7451">
            <v>7186.1171000000004</v>
          </cell>
          <cell r="G7451">
            <v>275</v>
          </cell>
          <cell r="H7451">
            <v>6794.4245041095892</v>
          </cell>
        </row>
        <row r="7452">
          <cell r="D7452" t="str">
            <v>Furnitures</v>
          </cell>
          <cell r="F7452">
            <v>15060.417100000001</v>
          </cell>
          <cell r="G7452">
            <v>275</v>
          </cell>
          <cell r="H7452">
            <v>14239.49847671233</v>
          </cell>
        </row>
        <row r="7453">
          <cell r="D7453" t="str">
            <v>Furnitures</v>
          </cell>
          <cell r="F7453">
            <v>4428.5753999999997</v>
          </cell>
          <cell r="G7453">
            <v>275</v>
          </cell>
          <cell r="H7453">
            <v>4187.1596054794518</v>
          </cell>
        </row>
        <row r="7454">
          <cell r="D7454" t="str">
            <v>Furnitures</v>
          </cell>
          <cell r="F7454">
            <v>5413.3629000000001</v>
          </cell>
          <cell r="G7454">
            <v>275</v>
          </cell>
          <cell r="H7454">
            <v>5118.293852054795</v>
          </cell>
        </row>
        <row r="7455">
          <cell r="D7455" t="str">
            <v>Furnitures</v>
          </cell>
          <cell r="F7455">
            <v>4822.1536999999998</v>
          </cell>
          <cell r="G7455">
            <v>275</v>
          </cell>
          <cell r="H7455">
            <v>4559.3242958904111</v>
          </cell>
        </row>
        <row r="7456">
          <cell r="D7456" t="str">
            <v>Furnitures</v>
          </cell>
          <cell r="F7456">
            <v>10892.915000000001</v>
          </cell>
          <cell r="G7456">
            <v>275</v>
          </cell>
          <cell r="H7456">
            <v>10299.152328767124</v>
          </cell>
        </row>
        <row r="7457">
          <cell r="D7457" t="str">
            <v>Furnitures</v>
          </cell>
          <cell r="F7457">
            <v>0</v>
          </cell>
          <cell r="G7457">
            <v>275</v>
          </cell>
          <cell r="H7457">
            <v>0</v>
          </cell>
        </row>
        <row r="7458">
          <cell r="D7458" t="str">
            <v>Furnitures</v>
          </cell>
          <cell r="F7458">
            <v>21462.770199999999</v>
          </cell>
          <cell r="G7458">
            <v>275</v>
          </cell>
          <cell r="H7458">
            <v>20294.035419178083</v>
          </cell>
        </row>
        <row r="7459">
          <cell r="D7459" t="str">
            <v>Furnitures</v>
          </cell>
          <cell r="F7459">
            <v>10949.75</v>
          </cell>
          <cell r="G7459">
            <v>275</v>
          </cell>
          <cell r="H7459">
            <v>10353.602739726028</v>
          </cell>
        </row>
        <row r="7460">
          <cell r="D7460" t="str">
            <v>Furnitures</v>
          </cell>
          <cell r="F7460">
            <v>0</v>
          </cell>
          <cell r="G7460">
            <v>275</v>
          </cell>
          <cell r="H7460">
            <v>0</v>
          </cell>
        </row>
        <row r="7461">
          <cell r="D7461" t="str">
            <v>Furnitures</v>
          </cell>
          <cell r="F7461">
            <v>0</v>
          </cell>
          <cell r="G7461">
            <v>275</v>
          </cell>
          <cell r="H7461">
            <v>0</v>
          </cell>
        </row>
        <row r="7462">
          <cell r="D7462" t="str">
            <v>Furnitures</v>
          </cell>
          <cell r="F7462">
            <v>6789.4250000000002</v>
          </cell>
          <cell r="G7462">
            <v>275</v>
          </cell>
          <cell r="H7462">
            <v>6419.813698630137</v>
          </cell>
        </row>
        <row r="7463">
          <cell r="D7463" t="str">
            <v>Furnitures</v>
          </cell>
          <cell r="F7463">
            <v>4928.9375</v>
          </cell>
          <cell r="G7463">
            <v>275</v>
          </cell>
          <cell r="H7463">
            <v>4660.6712328767126</v>
          </cell>
        </row>
        <row r="7464">
          <cell r="D7464" t="str">
            <v>Furnitures</v>
          </cell>
          <cell r="F7464">
            <v>64051.240100000003</v>
          </cell>
          <cell r="G7464">
            <v>275</v>
          </cell>
          <cell r="H7464">
            <v>60097.44839452055</v>
          </cell>
        </row>
        <row r="7465">
          <cell r="D7465" t="str">
            <v>Furnitures</v>
          </cell>
          <cell r="F7465">
            <v>0</v>
          </cell>
          <cell r="G7465">
            <v>275</v>
          </cell>
          <cell r="H7465">
            <v>0</v>
          </cell>
        </row>
        <row r="7466">
          <cell r="D7466" t="str">
            <v>Furnitures</v>
          </cell>
          <cell r="F7466">
            <v>42983.3</v>
          </cell>
          <cell r="G7466">
            <v>275</v>
          </cell>
          <cell r="H7466">
            <v>40646.402739726029</v>
          </cell>
        </row>
        <row r="7467">
          <cell r="D7467" t="str">
            <v>Furnitures</v>
          </cell>
          <cell r="F7467">
            <v>0</v>
          </cell>
          <cell r="G7467">
            <v>275</v>
          </cell>
          <cell r="H7467">
            <v>0</v>
          </cell>
        </row>
        <row r="7468">
          <cell r="D7468" t="str">
            <v>Furnitures</v>
          </cell>
          <cell r="F7468">
            <v>0</v>
          </cell>
          <cell r="G7468">
            <v>275</v>
          </cell>
          <cell r="H7468">
            <v>0</v>
          </cell>
        </row>
        <row r="7469">
          <cell r="D7469" t="str">
            <v>Furnitures</v>
          </cell>
          <cell r="F7469">
            <v>0</v>
          </cell>
          <cell r="G7469">
            <v>275</v>
          </cell>
          <cell r="H7469">
            <v>0</v>
          </cell>
        </row>
        <row r="7470">
          <cell r="D7470" t="str">
            <v>Furnitures</v>
          </cell>
          <cell r="F7470">
            <v>0</v>
          </cell>
          <cell r="G7470">
            <v>275</v>
          </cell>
          <cell r="H7470">
            <v>0</v>
          </cell>
        </row>
        <row r="7471">
          <cell r="D7471" t="str">
            <v>Furnitures</v>
          </cell>
          <cell r="F7471">
            <v>0</v>
          </cell>
          <cell r="G7471">
            <v>275</v>
          </cell>
          <cell r="H7471">
            <v>0</v>
          </cell>
        </row>
        <row r="7472">
          <cell r="D7472" t="str">
            <v>Furnitures</v>
          </cell>
          <cell r="F7472">
            <v>0</v>
          </cell>
          <cell r="G7472">
            <v>275</v>
          </cell>
          <cell r="H7472">
            <v>0</v>
          </cell>
        </row>
        <row r="7473">
          <cell r="D7473" t="str">
            <v>Furnitures</v>
          </cell>
          <cell r="F7473">
            <v>0</v>
          </cell>
          <cell r="G7473">
            <v>275</v>
          </cell>
          <cell r="H7473">
            <v>0</v>
          </cell>
        </row>
        <row r="7474">
          <cell r="D7474" t="str">
            <v>Furnitures</v>
          </cell>
          <cell r="F7474">
            <v>28926.530999999999</v>
          </cell>
          <cell r="G7474">
            <v>275</v>
          </cell>
          <cell r="H7474">
            <v>27356.040657534246</v>
          </cell>
        </row>
        <row r="7475">
          <cell r="D7475" t="str">
            <v>Furnitures</v>
          </cell>
          <cell r="F7475">
            <v>0</v>
          </cell>
          <cell r="G7475">
            <v>275</v>
          </cell>
          <cell r="H7475">
            <v>0</v>
          </cell>
        </row>
        <row r="7476">
          <cell r="D7476" t="str">
            <v>Furnitures</v>
          </cell>
          <cell r="F7476">
            <v>0</v>
          </cell>
          <cell r="G7476">
            <v>275</v>
          </cell>
          <cell r="H7476">
            <v>0</v>
          </cell>
        </row>
        <row r="7477">
          <cell r="D7477" t="str">
            <v>Furnitures</v>
          </cell>
          <cell r="F7477">
            <v>0</v>
          </cell>
          <cell r="G7477">
            <v>275</v>
          </cell>
          <cell r="H7477">
            <v>0</v>
          </cell>
        </row>
        <row r="7478">
          <cell r="D7478" t="str">
            <v>Furnitures</v>
          </cell>
          <cell r="F7478">
            <v>0</v>
          </cell>
          <cell r="G7478">
            <v>275</v>
          </cell>
          <cell r="H7478">
            <v>0</v>
          </cell>
        </row>
        <row r="7479">
          <cell r="D7479" t="str">
            <v>Furnitures</v>
          </cell>
          <cell r="F7479">
            <v>0</v>
          </cell>
          <cell r="G7479">
            <v>275</v>
          </cell>
          <cell r="H7479">
            <v>0</v>
          </cell>
        </row>
        <row r="7480">
          <cell r="D7480" t="str">
            <v>Furnitures</v>
          </cell>
          <cell r="F7480">
            <v>0</v>
          </cell>
          <cell r="G7480">
            <v>275</v>
          </cell>
          <cell r="H7480">
            <v>0</v>
          </cell>
        </row>
        <row r="7481">
          <cell r="D7481" t="str">
            <v>Furnitures</v>
          </cell>
          <cell r="F7481">
            <v>199932.03590000002</v>
          </cell>
          <cell r="G7481">
            <v>275</v>
          </cell>
          <cell r="H7481">
            <v>189088.02185205481</v>
          </cell>
        </row>
        <row r="7482">
          <cell r="D7482" t="str">
            <v>Furnitures</v>
          </cell>
          <cell r="F7482">
            <v>18219.689999999999</v>
          </cell>
          <cell r="G7482">
            <v>275</v>
          </cell>
          <cell r="H7482">
            <v>17232.4701369863</v>
          </cell>
        </row>
        <row r="7483">
          <cell r="D7483" t="str">
            <v>Furnitures</v>
          </cell>
          <cell r="F7483">
            <v>5228.9979999999996</v>
          </cell>
          <cell r="G7483">
            <v>275</v>
          </cell>
          <cell r="H7483">
            <v>4945.7088219178077</v>
          </cell>
        </row>
        <row r="7484">
          <cell r="D7484" t="str">
            <v>Furnitures</v>
          </cell>
          <cell r="F7484">
            <v>0</v>
          </cell>
          <cell r="G7484">
            <v>275</v>
          </cell>
          <cell r="H7484">
            <v>0</v>
          </cell>
        </row>
        <row r="7485">
          <cell r="D7485" t="str">
            <v>Furnitures</v>
          </cell>
          <cell r="F7485">
            <v>0</v>
          </cell>
          <cell r="G7485">
            <v>275</v>
          </cell>
          <cell r="H7485">
            <v>0</v>
          </cell>
        </row>
        <row r="7486">
          <cell r="D7486" t="str">
            <v>Furnitures</v>
          </cell>
          <cell r="F7486">
            <v>0</v>
          </cell>
          <cell r="G7486">
            <v>275</v>
          </cell>
          <cell r="H7486">
            <v>0</v>
          </cell>
        </row>
        <row r="7487">
          <cell r="D7487" t="str">
            <v>Furnitures</v>
          </cell>
          <cell r="F7487">
            <v>9507.36</v>
          </cell>
          <cell r="G7487">
            <v>275</v>
          </cell>
          <cell r="H7487">
            <v>8992.2887671232875</v>
          </cell>
        </row>
        <row r="7488">
          <cell r="D7488" t="str">
            <v>Furnitures</v>
          </cell>
          <cell r="F7488">
            <v>63881.459799999997</v>
          </cell>
          <cell r="G7488">
            <v>275</v>
          </cell>
          <cell r="H7488">
            <v>60428.861019178083</v>
          </cell>
        </row>
        <row r="7489">
          <cell r="D7489" t="str">
            <v>Furnitures</v>
          </cell>
          <cell r="F7489">
            <v>0</v>
          </cell>
          <cell r="G7489">
            <v>275</v>
          </cell>
          <cell r="H7489">
            <v>0</v>
          </cell>
        </row>
        <row r="7490">
          <cell r="D7490" t="str">
            <v>Furnitures</v>
          </cell>
          <cell r="F7490">
            <v>0</v>
          </cell>
          <cell r="G7490">
            <v>275</v>
          </cell>
          <cell r="H7490">
            <v>0</v>
          </cell>
        </row>
        <row r="7491">
          <cell r="D7491" t="str">
            <v>Furnitures</v>
          </cell>
          <cell r="F7491">
            <v>322100.40110000002</v>
          </cell>
          <cell r="G7491">
            <v>275</v>
          </cell>
          <cell r="H7491">
            <v>304705.63480547949</v>
          </cell>
        </row>
        <row r="7492">
          <cell r="D7492" t="str">
            <v>Furnitures</v>
          </cell>
          <cell r="F7492">
            <v>6855.6653999999999</v>
          </cell>
          <cell r="G7492">
            <v>275</v>
          </cell>
          <cell r="H7492">
            <v>6485.4817972602741</v>
          </cell>
        </row>
        <row r="7493">
          <cell r="D7493" t="str">
            <v>Furnitures</v>
          </cell>
          <cell r="F7493">
            <v>5967.7250000000004</v>
          </cell>
          <cell r="G7493">
            <v>275</v>
          </cell>
          <cell r="H7493">
            <v>5645.8054794520549</v>
          </cell>
        </row>
        <row r="7494">
          <cell r="D7494" t="str">
            <v>Furnitures</v>
          </cell>
          <cell r="F7494">
            <v>4888.0142999999998</v>
          </cell>
          <cell r="G7494">
            <v>275</v>
          </cell>
          <cell r="H7494">
            <v>4624.3264438356164</v>
          </cell>
        </row>
        <row r="7495">
          <cell r="D7495" t="str">
            <v>Furnitures</v>
          </cell>
          <cell r="F7495">
            <v>0</v>
          </cell>
          <cell r="G7495">
            <v>275</v>
          </cell>
          <cell r="H7495">
            <v>0</v>
          </cell>
        </row>
        <row r="7496">
          <cell r="D7496" t="str">
            <v>Furnitures</v>
          </cell>
          <cell r="F7496">
            <v>0</v>
          </cell>
          <cell r="G7496">
            <v>275</v>
          </cell>
          <cell r="H7496">
            <v>0</v>
          </cell>
        </row>
        <row r="7497">
          <cell r="D7497" t="str">
            <v>Furnitures</v>
          </cell>
          <cell r="F7497">
            <v>27397.042099999999</v>
          </cell>
          <cell r="G7497">
            <v>275</v>
          </cell>
          <cell r="H7497">
            <v>25920.361490410956</v>
          </cell>
        </row>
        <row r="7498">
          <cell r="D7498" t="str">
            <v>Furnitures</v>
          </cell>
          <cell r="F7498">
            <v>0</v>
          </cell>
          <cell r="G7498">
            <v>275</v>
          </cell>
          <cell r="H7498">
            <v>0</v>
          </cell>
        </row>
        <row r="7499">
          <cell r="D7499" t="str">
            <v>Furnitures</v>
          </cell>
          <cell r="F7499">
            <v>114623.7154</v>
          </cell>
          <cell r="G7499">
            <v>275</v>
          </cell>
          <cell r="H7499">
            <v>108458.98042739727</v>
          </cell>
        </row>
        <row r="7500">
          <cell r="D7500" t="str">
            <v>Furnitures</v>
          </cell>
          <cell r="F7500">
            <v>0</v>
          </cell>
          <cell r="G7500">
            <v>275</v>
          </cell>
          <cell r="H7500">
            <v>0</v>
          </cell>
        </row>
        <row r="7501">
          <cell r="D7501" t="str">
            <v>Furnitures</v>
          </cell>
          <cell r="F7501">
            <v>0</v>
          </cell>
          <cell r="G7501">
            <v>275</v>
          </cell>
          <cell r="H7501">
            <v>0</v>
          </cell>
        </row>
        <row r="7502">
          <cell r="D7502" t="str">
            <v>Furnitures</v>
          </cell>
          <cell r="F7502">
            <v>0</v>
          </cell>
          <cell r="G7502">
            <v>275</v>
          </cell>
          <cell r="H7502">
            <v>0</v>
          </cell>
        </row>
        <row r="7503">
          <cell r="D7503" t="str">
            <v>Furnitures</v>
          </cell>
          <cell r="F7503">
            <v>0</v>
          </cell>
          <cell r="G7503">
            <v>275</v>
          </cell>
          <cell r="H7503">
            <v>0</v>
          </cell>
        </row>
        <row r="7504">
          <cell r="D7504" t="str">
            <v>Furnitures</v>
          </cell>
          <cell r="F7504">
            <v>0</v>
          </cell>
          <cell r="G7504">
            <v>275</v>
          </cell>
          <cell r="H7504">
            <v>0</v>
          </cell>
        </row>
        <row r="7505">
          <cell r="D7505" t="str">
            <v>Furnitures</v>
          </cell>
          <cell r="F7505">
            <v>0</v>
          </cell>
          <cell r="G7505">
            <v>275</v>
          </cell>
          <cell r="H7505">
            <v>0</v>
          </cell>
        </row>
        <row r="7506">
          <cell r="D7506" t="str">
            <v>Furnitures</v>
          </cell>
          <cell r="F7506">
            <v>18679.7</v>
          </cell>
          <cell r="G7506">
            <v>275</v>
          </cell>
          <cell r="H7506">
            <v>17678.172602739727</v>
          </cell>
        </row>
        <row r="7507">
          <cell r="D7507" t="str">
            <v>Furnitures</v>
          </cell>
          <cell r="F7507">
            <v>44856.236900000004</v>
          </cell>
          <cell r="G7507">
            <v>275</v>
          </cell>
          <cell r="H7507">
            <v>42452.237304109593</v>
          </cell>
        </row>
        <row r="7508">
          <cell r="D7508" t="str">
            <v>Furnitures</v>
          </cell>
          <cell r="F7508">
            <v>18623.763999999999</v>
          </cell>
          <cell r="G7508">
            <v>275</v>
          </cell>
          <cell r="H7508">
            <v>17626.05194520548</v>
          </cell>
        </row>
        <row r="7509">
          <cell r="D7509" t="str">
            <v>Furnitures</v>
          </cell>
          <cell r="F7509">
            <v>8906</v>
          </cell>
          <cell r="G7509">
            <v>275</v>
          </cell>
          <cell r="H7509">
            <v>8429.0821917808225</v>
          </cell>
        </row>
        <row r="7510">
          <cell r="D7510" t="str">
            <v>Furnitures</v>
          </cell>
          <cell r="F7510">
            <v>38478.136299999998</v>
          </cell>
          <cell r="G7510">
            <v>275</v>
          </cell>
          <cell r="H7510">
            <v>36418.375978082193</v>
          </cell>
        </row>
        <row r="7511">
          <cell r="D7511" t="str">
            <v>Furnitures</v>
          </cell>
          <cell r="F7511">
            <v>0</v>
          </cell>
          <cell r="G7511">
            <v>275</v>
          </cell>
          <cell r="H7511">
            <v>0</v>
          </cell>
        </row>
        <row r="7512">
          <cell r="D7512" t="str">
            <v>Furnitures</v>
          </cell>
          <cell r="F7512">
            <v>0</v>
          </cell>
          <cell r="G7512">
            <v>275</v>
          </cell>
          <cell r="H7512">
            <v>0</v>
          </cell>
        </row>
        <row r="7513">
          <cell r="D7513" t="str">
            <v>Furnitures</v>
          </cell>
          <cell r="F7513">
            <v>0</v>
          </cell>
          <cell r="G7513">
            <v>275</v>
          </cell>
          <cell r="H7513">
            <v>0</v>
          </cell>
        </row>
        <row r="7514">
          <cell r="D7514" t="str">
            <v>Furnitures</v>
          </cell>
          <cell r="F7514">
            <v>0</v>
          </cell>
          <cell r="G7514">
            <v>275</v>
          </cell>
          <cell r="H7514">
            <v>0</v>
          </cell>
        </row>
        <row r="7515">
          <cell r="D7515" t="str">
            <v>Furnitures</v>
          </cell>
          <cell r="F7515">
            <v>5539.9070000000002</v>
          </cell>
          <cell r="G7515">
            <v>275</v>
          </cell>
          <cell r="H7515">
            <v>5243.741041095891</v>
          </cell>
        </row>
        <row r="7516">
          <cell r="D7516" t="str">
            <v>Furnitures</v>
          </cell>
          <cell r="F7516">
            <v>0</v>
          </cell>
          <cell r="G7516">
            <v>275</v>
          </cell>
          <cell r="H7516">
            <v>0</v>
          </cell>
        </row>
        <row r="7517">
          <cell r="D7517" t="str">
            <v>Furnitures</v>
          </cell>
          <cell r="F7517">
            <v>0</v>
          </cell>
          <cell r="G7517">
            <v>275</v>
          </cell>
          <cell r="H7517">
            <v>0</v>
          </cell>
        </row>
        <row r="7518">
          <cell r="D7518" t="str">
            <v>Furnitures</v>
          </cell>
          <cell r="F7518">
            <v>12316.46</v>
          </cell>
          <cell r="G7518">
            <v>275</v>
          </cell>
          <cell r="H7518">
            <v>11658.313424657534</v>
          </cell>
        </row>
        <row r="7519">
          <cell r="D7519" t="str">
            <v>Furnitures</v>
          </cell>
          <cell r="F7519">
            <v>5179.8599999999997</v>
          </cell>
          <cell r="G7519">
            <v>275</v>
          </cell>
          <cell r="H7519">
            <v>4903.2476712328762</v>
          </cell>
        </row>
        <row r="7520">
          <cell r="D7520" t="str">
            <v>Furnitures</v>
          </cell>
          <cell r="F7520">
            <v>17944.492900000001</v>
          </cell>
          <cell r="G7520">
            <v>275</v>
          </cell>
          <cell r="H7520">
            <v>16986.50809863014</v>
          </cell>
        </row>
        <row r="7521">
          <cell r="D7521" t="str">
            <v>Furnitures</v>
          </cell>
          <cell r="F7521">
            <v>13386.449500000001</v>
          </cell>
          <cell r="G7521">
            <v>275</v>
          </cell>
          <cell r="H7521">
            <v>12671.788164383563</v>
          </cell>
        </row>
        <row r="7522">
          <cell r="D7522" t="str">
            <v>Furnitures</v>
          </cell>
          <cell r="F7522">
            <v>0</v>
          </cell>
          <cell r="G7522">
            <v>275</v>
          </cell>
          <cell r="H7522">
            <v>0</v>
          </cell>
        </row>
        <row r="7523">
          <cell r="D7523" t="str">
            <v>Furnitures</v>
          </cell>
          <cell r="F7523">
            <v>5500.3252000000002</v>
          </cell>
          <cell r="G7523">
            <v>275</v>
          </cell>
          <cell r="H7523">
            <v>5206.7345972602743</v>
          </cell>
        </row>
        <row r="7524">
          <cell r="D7524" t="str">
            <v>Furnitures</v>
          </cell>
          <cell r="F7524">
            <v>0</v>
          </cell>
          <cell r="G7524">
            <v>275</v>
          </cell>
          <cell r="H7524">
            <v>0</v>
          </cell>
        </row>
        <row r="7525">
          <cell r="D7525" t="str">
            <v>Furnitures</v>
          </cell>
          <cell r="F7525">
            <v>0</v>
          </cell>
          <cell r="G7525">
            <v>275</v>
          </cell>
          <cell r="H7525">
            <v>0</v>
          </cell>
        </row>
        <row r="7526">
          <cell r="D7526" t="str">
            <v>Furnitures</v>
          </cell>
          <cell r="F7526">
            <v>0</v>
          </cell>
          <cell r="G7526">
            <v>275</v>
          </cell>
          <cell r="H7526">
            <v>0</v>
          </cell>
        </row>
        <row r="7527">
          <cell r="D7527" t="str">
            <v>Furnitures</v>
          </cell>
          <cell r="F7527">
            <v>0</v>
          </cell>
          <cell r="G7527">
            <v>275</v>
          </cell>
          <cell r="H7527">
            <v>0</v>
          </cell>
        </row>
        <row r="7528">
          <cell r="D7528" t="str">
            <v>Furnitures</v>
          </cell>
          <cell r="F7528">
            <v>0</v>
          </cell>
          <cell r="G7528">
            <v>275</v>
          </cell>
          <cell r="H7528">
            <v>0</v>
          </cell>
        </row>
        <row r="7529">
          <cell r="D7529" t="str">
            <v>Furnitures</v>
          </cell>
          <cell r="F7529">
            <v>0</v>
          </cell>
          <cell r="G7529">
            <v>275</v>
          </cell>
          <cell r="H7529">
            <v>0</v>
          </cell>
        </row>
        <row r="7530">
          <cell r="D7530" t="str">
            <v>Furnitures</v>
          </cell>
          <cell r="F7530">
            <v>7093.9804999999997</v>
          </cell>
          <cell r="G7530">
            <v>275</v>
          </cell>
          <cell r="H7530">
            <v>6716.5000547945201</v>
          </cell>
        </row>
        <row r="7531">
          <cell r="D7531" t="str">
            <v>Furnitures</v>
          </cell>
          <cell r="F7531">
            <v>0</v>
          </cell>
          <cell r="G7531">
            <v>275</v>
          </cell>
          <cell r="H7531">
            <v>0</v>
          </cell>
        </row>
        <row r="7532">
          <cell r="D7532" t="str">
            <v>Furnitures</v>
          </cell>
          <cell r="F7532">
            <v>0</v>
          </cell>
          <cell r="G7532">
            <v>275</v>
          </cell>
          <cell r="H7532">
            <v>0</v>
          </cell>
        </row>
        <row r="7533">
          <cell r="D7533" t="str">
            <v>Furnitures</v>
          </cell>
          <cell r="F7533">
            <v>0</v>
          </cell>
          <cell r="G7533">
            <v>275</v>
          </cell>
          <cell r="H7533">
            <v>0</v>
          </cell>
        </row>
        <row r="7534">
          <cell r="D7534" t="str">
            <v>Furnitures</v>
          </cell>
          <cell r="F7534">
            <v>8021.4650000000001</v>
          </cell>
          <cell r="G7534">
            <v>275</v>
          </cell>
          <cell r="H7534">
            <v>7594.6235616438362</v>
          </cell>
        </row>
        <row r="7535">
          <cell r="D7535" t="str">
            <v>Furnitures</v>
          </cell>
          <cell r="F7535">
            <v>16625.785</v>
          </cell>
          <cell r="G7535">
            <v>275</v>
          </cell>
          <cell r="H7535">
            <v>15741.102465753425</v>
          </cell>
        </row>
        <row r="7536">
          <cell r="D7536" t="str">
            <v>Furnitures</v>
          </cell>
          <cell r="F7536">
            <v>12609.812099999999</v>
          </cell>
          <cell r="G7536">
            <v>275</v>
          </cell>
          <cell r="H7536">
            <v>11939.12258630137</v>
          </cell>
        </row>
        <row r="7537">
          <cell r="D7537" t="str">
            <v>Furnitures</v>
          </cell>
          <cell r="F7537">
            <v>4539.5120999999999</v>
          </cell>
          <cell r="G7537">
            <v>275</v>
          </cell>
          <cell r="H7537">
            <v>4298.0486136986301</v>
          </cell>
        </row>
        <row r="7538">
          <cell r="D7538" t="str">
            <v>Furnitures</v>
          </cell>
          <cell r="F7538">
            <v>0</v>
          </cell>
          <cell r="G7538">
            <v>275</v>
          </cell>
          <cell r="H7538">
            <v>0</v>
          </cell>
        </row>
        <row r="7539">
          <cell r="D7539" t="str">
            <v>Furnitures</v>
          </cell>
          <cell r="F7539">
            <v>22164.49</v>
          </cell>
          <cell r="G7539">
            <v>275</v>
          </cell>
          <cell r="H7539">
            <v>20986.503013698632</v>
          </cell>
        </row>
        <row r="7540">
          <cell r="D7540" t="str">
            <v>Furnitures</v>
          </cell>
          <cell r="F7540">
            <v>9364.0974999999999</v>
          </cell>
          <cell r="G7540">
            <v>275</v>
          </cell>
          <cell r="H7540">
            <v>8866.9106849315067</v>
          </cell>
        </row>
        <row r="7541">
          <cell r="D7541" t="str">
            <v>Furnitures</v>
          </cell>
          <cell r="F7541">
            <v>0</v>
          </cell>
          <cell r="G7541">
            <v>275</v>
          </cell>
          <cell r="H7541">
            <v>0</v>
          </cell>
        </row>
        <row r="7542">
          <cell r="D7542" t="str">
            <v>Furnitures</v>
          </cell>
          <cell r="F7542">
            <v>7664.9243999999999</v>
          </cell>
          <cell r="G7542">
            <v>275</v>
          </cell>
          <cell r="H7542">
            <v>7258.0181260273966</v>
          </cell>
        </row>
        <row r="7543">
          <cell r="D7543" t="str">
            <v>Furnitures</v>
          </cell>
          <cell r="F7543">
            <v>0</v>
          </cell>
          <cell r="G7543">
            <v>275</v>
          </cell>
          <cell r="H7543">
            <v>0</v>
          </cell>
        </row>
        <row r="7544">
          <cell r="D7544" t="str">
            <v>Furnitures</v>
          </cell>
          <cell r="F7544">
            <v>5661.21</v>
          </cell>
          <cell r="G7544">
            <v>275</v>
          </cell>
          <cell r="H7544">
            <v>5360.7517808219181</v>
          </cell>
        </row>
        <row r="7545">
          <cell r="D7545" t="str">
            <v>Furnitures</v>
          </cell>
          <cell r="F7545">
            <v>26293.0952</v>
          </cell>
          <cell r="G7545">
            <v>275</v>
          </cell>
          <cell r="H7545">
            <v>24897.824460273972</v>
          </cell>
        </row>
        <row r="7546">
          <cell r="D7546" t="str">
            <v>Furnitures</v>
          </cell>
          <cell r="F7546">
            <v>6056.4845999999998</v>
          </cell>
          <cell r="G7546">
            <v>275</v>
          </cell>
          <cell r="H7546">
            <v>5735.1373808219178</v>
          </cell>
        </row>
        <row r="7547">
          <cell r="D7547" t="str">
            <v>Furnitures</v>
          </cell>
          <cell r="F7547">
            <v>0</v>
          </cell>
          <cell r="G7547">
            <v>275</v>
          </cell>
          <cell r="H7547">
            <v>0</v>
          </cell>
        </row>
        <row r="7548">
          <cell r="D7548" t="str">
            <v>Furnitures</v>
          </cell>
          <cell r="F7548">
            <v>0</v>
          </cell>
          <cell r="G7548">
            <v>275</v>
          </cell>
          <cell r="H7548">
            <v>0</v>
          </cell>
        </row>
        <row r="7549">
          <cell r="D7549" t="str">
            <v>Furnitures</v>
          </cell>
          <cell r="F7549">
            <v>0</v>
          </cell>
          <cell r="G7549">
            <v>275</v>
          </cell>
          <cell r="H7549">
            <v>0</v>
          </cell>
        </row>
        <row r="7550">
          <cell r="D7550" t="str">
            <v>Furnitures</v>
          </cell>
          <cell r="F7550">
            <v>0</v>
          </cell>
          <cell r="G7550">
            <v>275</v>
          </cell>
          <cell r="H7550">
            <v>0</v>
          </cell>
        </row>
        <row r="7551">
          <cell r="D7551" t="str">
            <v>Furnitures</v>
          </cell>
          <cell r="F7551">
            <v>0</v>
          </cell>
          <cell r="G7551">
            <v>275</v>
          </cell>
          <cell r="H7551">
            <v>0</v>
          </cell>
        </row>
        <row r="7552">
          <cell r="D7552" t="str">
            <v>Furnitures</v>
          </cell>
          <cell r="F7552">
            <v>6009.9660999999996</v>
          </cell>
          <cell r="G7552">
            <v>275</v>
          </cell>
          <cell r="H7552">
            <v>5691.2419287671228</v>
          </cell>
        </row>
        <row r="7553">
          <cell r="D7553" t="str">
            <v>Furnitures</v>
          </cell>
          <cell r="F7553">
            <v>6971.2983999999997</v>
          </cell>
          <cell r="G7553">
            <v>275</v>
          </cell>
          <cell r="H7553">
            <v>6601.5917150684927</v>
          </cell>
        </row>
        <row r="7554">
          <cell r="D7554" t="str">
            <v>Furnitures</v>
          </cell>
          <cell r="F7554">
            <v>5418.6175000000003</v>
          </cell>
          <cell r="G7554">
            <v>275</v>
          </cell>
          <cell r="H7554">
            <v>5131.2745205479459</v>
          </cell>
        </row>
        <row r="7555">
          <cell r="D7555" t="str">
            <v>Furnitures</v>
          </cell>
          <cell r="F7555">
            <v>0</v>
          </cell>
          <cell r="G7555">
            <v>275</v>
          </cell>
          <cell r="H7555">
            <v>0</v>
          </cell>
        </row>
        <row r="7556">
          <cell r="D7556" t="str">
            <v>Furnitures</v>
          </cell>
          <cell r="F7556">
            <v>0</v>
          </cell>
          <cell r="G7556">
            <v>275</v>
          </cell>
          <cell r="H7556">
            <v>0</v>
          </cell>
        </row>
        <row r="7557">
          <cell r="D7557" t="str">
            <v>Furnitures</v>
          </cell>
          <cell r="F7557">
            <v>7746.2402000000002</v>
          </cell>
          <cell r="G7557">
            <v>275</v>
          </cell>
          <cell r="H7557">
            <v>7335.8047342465752</v>
          </cell>
        </row>
        <row r="7558">
          <cell r="D7558" t="str">
            <v>Furnitures</v>
          </cell>
          <cell r="F7558">
            <v>0</v>
          </cell>
          <cell r="G7558">
            <v>275</v>
          </cell>
          <cell r="H7558">
            <v>0</v>
          </cell>
        </row>
        <row r="7559">
          <cell r="D7559" t="str">
            <v>Furnitures</v>
          </cell>
          <cell r="F7559">
            <v>0</v>
          </cell>
          <cell r="G7559">
            <v>275</v>
          </cell>
          <cell r="H7559">
            <v>0</v>
          </cell>
        </row>
        <row r="7560">
          <cell r="D7560" t="str">
            <v>Furnitures</v>
          </cell>
          <cell r="F7560">
            <v>0</v>
          </cell>
          <cell r="G7560">
            <v>275</v>
          </cell>
          <cell r="H7560">
            <v>0</v>
          </cell>
        </row>
        <row r="7561">
          <cell r="D7561" t="str">
            <v>Furnitures</v>
          </cell>
          <cell r="F7561">
            <v>4613.9040000000005</v>
          </cell>
          <cell r="G7561">
            <v>275</v>
          </cell>
          <cell r="H7561">
            <v>4369.7220821917817</v>
          </cell>
        </row>
        <row r="7562">
          <cell r="D7562" t="str">
            <v>Furnitures</v>
          </cell>
          <cell r="F7562">
            <v>5939.9162999999999</v>
          </cell>
          <cell r="G7562">
            <v>275</v>
          </cell>
          <cell r="H7562">
            <v>5625.6751561643832</v>
          </cell>
        </row>
        <row r="7563">
          <cell r="D7563" t="str">
            <v>Furnitures</v>
          </cell>
          <cell r="F7563">
            <v>10283.873600000001</v>
          </cell>
          <cell r="G7563">
            <v>275</v>
          </cell>
          <cell r="H7563">
            <v>9739.8057643835618</v>
          </cell>
        </row>
        <row r="7564">
          <cell r="D7564" t="str">
            <v>Furnitures</v>
          </cell>
          <cell r="F7564">
            <v>5679.21</v>
          </cell>
          <cell r="G7564">
            <v>275</v>
          </cell>
          <cell r="H7564">
            <v>5378.7517808219181</v>
          </cell>
        </row>
        <row r="7565">
          <cell r="D7565" t="str">
            <v>Furnitures</v>
          </cell>
          <cell r="F7565">
            <v>22063.3655</v>
          </cell>
          <cell r="G7565">
            <v>275</v>
          </cell>
          <cell r="H7565">
            <v>20896.586082191781</v>
          </cell>
        </row>
        <row r="7566">
          <cell r="D7566" t="str">
            <v>Furnitures</v>
          </cell>
          <cell r="F7566">
            <v>0</v>
          </cell>
          <cell r="G7566">
            <v>275</v>
          </cell>
          <cell r="H7566">
            <v>0</v>
          </cell>
        </row>
        <row r="7567">
          <cell r="D7567" t="str">
            <v>Furnitures</v>
          </cell>
          <cell r="F7567">
            <v>0</v>
          </cell>
          <cell r="G7567">
            <v>275</v>
          </cell>
          <cell r="H7567">
            <v>0</v>
          </cell>
        </row>
        <row r="7568">
          <cell r="D7568" t="str">
            <v>Furnitures</v>
          </cell>
          <cell r="F7568">
            <v>5554.3252000000002</v>
          </cell>
          <cell r="G7568">
            <v>275</v>
          </cell>
          <cell r="H7568">
            <v>5260.7345972602743</v>
          </cell>
        </row>
        <row r="7569">
          <cell r="D7569" t="str">
            <v>Furnitures</v>
          </cell>
          <cell r="F7569">
            <v>0</v>
          </cell>
          <cell r="G7569">
            <v>275</v>
          </cell>
          <cell r="H7569">
            <v>0</v>
          </cell>
        </row>
        <row r="7570">
          <cell r="D7570" t="str">
            <v>Furnitures</v>
          </cell>
          <cell r="F7570">
            <v>0</v>
          </cell>
          <cell r="G7570">
            <v>275</v>
          </cell>
          <cell r="H7570">
            <v>0</v>
          </cell>
        </row>
        <row r="7571">
          <cell r="D7571" t="str">
            <v>Furnitures</v>
          </cell>
          <cell r="F7571">
            <v>0</v>
          </cell>
          <cell r="G7571">
            <v>275</v>
          </cell>
          <cell r="H7571">
            <v>0</v>
          </cell>
        </row>
        <row r="7572">
          <cell r="D7572" t="str">
            <v>Furnitures</v>
          </cell>
          <cell r="F7572">
            <v>0</v>
          </cell>
          <cell r="G7572">
            <v>275</v>
          </cell>
          <cell r="H7572">
            <v>0</v>
          </cell>
        </row>
        <row r="7573">
          <cell r="D7573" t="str">
            <v>Furnitures</v>
          </cell>
          <cell r="F7573">
            <v>0</v>
          </cell>
          <cell r="G7573">
            <v>275</v>
          </cell>
          <cell r="H7573">
            <v>0</v>
          </cell>
        </row>
        <row r="7574">
          <cell r="D7574" t="str">
            <v>Furnitures</v>
          </cell>
          <cell r="F7574">
            <v>0</v>
          </cell>
          <cell r="G7574">
            <v>275</v>
          </cell>
          <cell r="H7574">
            <v>0</v>
          </cell>
        </row>
        <row r="7575">
          <cell r="D7575" t="str">
            <v>Furnitures</v>
          </cell>
          <cell r="F7575">
            <v>7331.8774000000003</v>
          </cell>
          <cell r="G7575">
            <v>275</v>
          </cell>
          <cell r="H7575">
            <v>6944.5247561643837</v>
          </cell>
        </row>
        <row r="7576">
          <cell r="D7576" t="str">
            <v>Furnitures</v>
          </cell>
          <cell r="F7576">
            <v>5209.6957000000002</v>
          </cell>
          <cell r="G7576">
            <v>275</v>
          </cell>
          <cell r="H7576">
            <v>4934.4664328767121</v>
          </cell>
        </row>
        <row r="7577">
          <cell r="D7577" t="str">
            <v>Furnitures</v>
          </cell>
          <cell r="F7577">
            <v>0</v>
          </cell>
          <cell r="G7577">
            <v>275</v>
          </cell>
          <cell r="H7577">
            <v>0</v>
          </cell>
        </row>
        <row r="7578">
          <cell r="D7578" t="str">
            <v>Furnitures</v>
          </cell>
          <cell r="F7578">
            <v>0</v>
          </cell>
          <cell r="G7578">
            <v>275</v>
          </cell>
          <cell r="H7578">
            <v>0</v>
          </cell>
        </row>
        <row r="7579">
          <cell r="D7579" t="str">
            <v>Furnitures</v>
          </cell>
          <cell r="F7579">
            <v>17365.297900000001</v>
          </cell>
          <cell r="G7579">
            <v>275</v>
          </cell>
          <cell r="H7579">
            <v>16447.851112328768</v>
          </cell>
        </row>
        <row r="7580">
          <cell r="D7580" t="str">
            <v>Furnitures</v>
          </cell>
          <cell r="F7580">
            <v>61745.279999999999</v>
          </cell>
          <cell r="G7580">
            <v>275</v>
          </cell>
          <cell r="H7580">
            <v>58483.162191780822</v>
          </cell>
        </row>
        <row r="7581">
          <cell r="D7581" t="str">
            <v>Furnitures</v>
          </cell>
          <cell r="F7581">
            <v>11577.1775</v>
          </cell>
          <cell r="G7581">
            <v>275</v>
          </cell>
          <cell r="H7581">
            <v>10965.530410958903</v>
          </cell>
        </row>
        <row r="7582">
          <cell r="D7582" t="str">
            <v>Furnitures</v>
          </cell>
          <cell r="F7582">
            <v>11577.1775</v>
          </cell>
          <cell r="G7582">
            <v>275</v>
          </cell>
          <cell r="H7582">
            <v>10965.530410958903</v>
          </cell>
        </row>
        <row r="7583">
          <cell r="D7583" t="str">
            <v>Furnitures</v>
          </cell>
          <cell r="F7583">
            <v>6753.4526999999998</v>
          </cell>
          <cell r="G7583">
            <v>275</v>
          </cell>
          <cell r="H7583">
            <v>6396.6704876712329</v>
          </cell>
        </row>
        <row r="7584">
          <cell r="D7584" t="str">
            <v>Furnitures</v>
          </cell>
          <cell r="F7584">
            <v>5209.6957000000002</v>
          </cell>
          <cell r="G7584">
            <v>275</v>
          </cell>
          <cell r="H7584">
            <v>4934.4664328767121</v>
          </cell>
        </row>
        <row r="7585">
          <cell r="D7585" t="str">
            <v>Furnitures</v>
          </cell>
          <cell r="F7585">
            <v>4813.7248</v>
          </cell>
          <cell r="G7585">
            <v>275</v>
          </cell>
          <cell r="H7585">
            <v>4558.8599232876713</v>
          </cell>
        </row>
        <row r="7586">
          <cell r="D7586" t="str">
            <v>Furnitures</v>
          </cell>
          <cell r="F7586">
            <v>44379.982100000001</v>
          </cell>
          <cell r="G7586">
            <v>275</v>
          </cell>
          <cell r="H7586">
            <v>42035.311079452054</v>
          </cell>
        </row>
        <row r="7587">
          <cell r="D7587" t="str">
            <v>Furnitures</v>
          </cell>
          <cell r="F7587">
            <v>41678.438999999998</v>
          </cell>
          <cell r="G7587">
            <v>275</v>
          </cell>
          <cell r="H7587">
            <v>39476.509479452056</v>
          </cell>
        </row>
        <row r="7588">
          <cell r="D7588" t="str">
            <v>Furnitures</v>
          </cell>
          <cell r="F7588">
            <v>44379.982100000001</v>
          </cell>
          <cell r="G7588">
            <v>275</v>
          </cell>
          <cell r="H7588">
            <v>42035.311079452054</v>
          </cell>
        </row>
        <row r="7589">
          <cell r="D7589" t="str">
            <v>Furnitures</v>
          </cell>
          <cell r="F7589">
            <v>19005.281800000001</v>
          </cell>
          <cell r="G7589">
            <v>275</v>
          </cell>
          <cell r="H7589">
            <v>18001.179046575344</v>
          </cell>
        </row>
        <row r="7590">
          <cell r="D7590" t="str">
            <v>Furnitures</v>
          </cell>
          <cell r="F7590">
            <v>0</v>
          </cell>
          <cell r="G7590">
            <v>275</v>
          </cell>
          <cell r="H7590">
            <v>0</v>
          </cell>
        </row>
        <row r="7591">
          <cell r="D7591" t="str">
            <v>Furnitures</v>
          </cell>
          <cell r="F7591">
            <v>0</v>
          </cell>
          <cell r="G7591">
            <v>275</v>
          </cell>
          <cell r="H7591">
            <v>0</v>
          </cell>
        </row>
        <row r="7592">
          <cell r="D7592" t="str">
            <v>Furnitures</v>
          </cell>
          <cell r="F7592">
            <v>0</v>
          </cell>
          <cell r="G7592">
            <v>275</v>
          </cell>
          <cell r="H7592">
            <v>0</v>
          </cell>
        </row>
        <row r="7593">
          <cell r="D7593" t="str">
            <v>Furnitures</v>
          </cell>
          <cell r="F7593">
            <v>0</v>
          </cell>
          <cell r="G7593">
            <v>275</v>
          </cell>
          <cell r="H7593">
            <v>0</v>
          </cell>
        </row>
        <row r="7594">
          <cell r="D7594" t="str">
            <v>Furnitures</v>
          </cell>
          <cell r="F7594">
            <v>0</v>
          </cell>
          <cell r="G7594">
            <v>275</v>
          </cell>
          <cell r="H7594">
            <v>0</v>
          </cell>
        </row>
        <row r="7595">
          <cell r="D7595" t="str">
            <v>Furnitures</v>
          </cell>
          <cell r="F7595">
            <v>0</v>
          </cell>
          <cell r="G7595">
            <v>275</v>
          </cell>
          <cell r="H7595">
            <v>0</v>
          </cell>
        </row>
        <row r="7596">
          <cell r="D7596" t="str">
            <v>Furnitures</v>
          </cell>
          <cell r="F7596">
            <v>14229.025</v>
          </cell>
          <cell r="G7596">
            <v>275</v>
          </cell>
          <cell r="H7596">
            <v>13477.879452054794</v>
          </cell>
        </row>
        <row r="7597">
          <cell r="D7597" t="str">
            <v>Furnitures</v>
          </cell>
          <cell r="F7597">
            <v>0</v>
          </cell>
          <cell r="G7597">
            <v>275</v>
          </cell>
          <cell r="H7597">
            <v>0</v>
          </cell>
        </row>
        <row r="7598">
          <cell r="D7598" t="str">
            <v>Furnitures</v>
          </cell>
          <cell r="F7598">
            <v>8838.6728000000003</v>
          </cell>
          <cell r="G7598">
            <v>275</v>
          </cell>
          <cell r="H7598">
            <v>8372.0564164383559</v>
          </cell>
        </row>
        <row r="7599">
          <cell r="D7599" t="str">
            <v>Furnitures</v>
          </cell>
          <cell r="F7599">
            <v>6707.9975000000004</v>
          </cell>
          <cell r="G7599">
            <v>275</v>
          </cell>
          <cell r="H7599">
            <v>6353.8860273972605</v>
          </cell>
        </row>
        <row r="7600">
          <cell r="D7600" t="str">
            <v>Furnitures</v>
          </cell>
          <cell r="F7600">
            <v>0</v>
          </cell>
          <cell r="G7600">
            <v>275</v>
          </cell>
          <cell r="H7600">
            <v>0</v>
          </cell>
        </row>
        <row r="7601">
          <cell r="D7601" t="str">
            <v>Furnitures</v>
          </cell>
          <cell r="F7601">
            <v>0</v>
          </cell>
          <cell r="G7601">
            <v>275</v>
          </cell>
          <cell r="H7601">
            <v>0</v>
          </cell>
        </row>
        <row r="7602">
          <cell r="D7602" t="str">
            <v>Furnitures</v>
          </cell>
          <cell r="F7602">
            <v>0</v>
          </cell>
          <cell r="G7602">
            <v>275</v>
          </cell>
          <cell r="H7602">
            <v>0</v>
          </cell>
        </row>
        <row r="7603">
          <cell r="D7603" t="str">
            <v>Furnitures</v>
          </cell>
          <cell r="F7603">
            <v>5563.3252000000002</v>
          </cell>
          <cell r="G7603">
            <v>275</v>
          </cell>
          <cell r="H7603">
            <v>5269.7345972602743</v>
          </cell>
        </row>
        <row r="7604">
          <cell r="D7604" t="str">
            <v>Furnitures</v>
          </cell>
          <cell r="F7604">
            <v>0</v>
          </cell>
          <cell r="G7604">
            <v>275</v>
          </cell>
          <cell r="H7604">
            <v>0</v>
          </cell>
        </row>
        <row r="7605">
          <cell r="D7605" t="str">
            <v>Furnitures</v>
          </cell>
          <cell r="F7605">
            <v>6551.2016000000003</v>
          </cell>
          <cell r="G7605">
            <v>275</v>
          </cell>
          <cell r="H7605">
            <v>6205.5315726027402</v>
          </cell>
        </row>
        <row r="7606">
          <cell r="D7606" t="str">
            <v>Furnitures</v>
          </cell>
          <cell r="F7606">
            <v>0</v>
          </cell>
          <cell r="G7606">
            <v>275</v>
          </cell>
          <cell r="H7606">
            <v>0</v>
          </cell>
        </row>
        <row r="7607">
          <cell r="D7607" t="str">
            <v>Furnitures</v>
          </cell>
          <cell r="F7607">
            <v>0</v>
          </cell>
          <cell r="G7607">
            <v>275</v>
          </cell>
          <cell r="H7607">
            <v>0</v>
          </cell>
        </row>
        <row r="7608">
          <cell r="D7608" t="str">
            <v>Furnitures</v>
          </cell>
          <cell r="F7608">
            <v>0</v>
          </cell>
          <cell r="G7608">
            <v>275</v>
          </cell>
          <cell r="H7608">
            <v>0</v>
          </cell>
        </row>
        <row r="7609">
          <cell r="D7609" t="str">
            <v>Furnitures</v>
          </cell>
          <cell r="F7609">
            <v>0</v>
          </cell>
          <cell r="G7609">
            <v>275</v>
          </cell>
          <cell r="H7609">
            <v>0</v>
          </cell>
        </row>
        <row r="7610">
          <cell r="D7610" t="str">
            <v>Furnitures</v>
          </cell>
          <cell r="F7610">
            <v>0</v>
          </cell>
          <cell r="G7610">
            <v>275</v>
          </cell>
          <cell r="H7610">
            <v>0</v>
          </cell>
        </row>
        <row r="7611">
          <cell r="D7611" t="str">
            <v>Furnitures</v>
          </cell>
          <cell r="F7611">
            <v>0</v>
          </cell>
          <cell r="G7611">
            <v>275</v>
          </cell>
          <cell r="H7611">
            <v>0</v>
          </cell>
        </row>
        <row r="7612">
          <cell r="D7612" t="str">
            <v>Furnitures</v>
          </cell>
          <cell r="F7612">
            <v>6841.7179999999998</v>
          </cell>
          <cell r="G7612">
            <v>275</v>
          </cell>
          <cell r="H7612">
            <v>6482.1219726027393</v>
          </cell>
        </row>
        <row r="7613">
          <cell r="D7613" t="str">
            <v>Furnitures</v>
          </cell>
          <cell r="F7613">
            <v>0</v>
          </cell>
          <cell r="G7613">
            <v>275</v>
          </cell>
          <cell r="H7613">
            <v>0</v>
          </cell>
        </row>
        <row r="7614">
          <cell r="D7614" t="str">
            <v>Furnitures</v>
          </cell>
          <cell r="F7614">
            <v>0</v>
          </cell>
          <cell r="G7614">
            <v>275</v>
          </cell>
          <cell r="H7614">
            <v>0</v>
          </cell>
        </row>
        <row r="7615">
          <cell r="D7615" t="str">
            <v>Furnitures</v>
          </cell>
          <cell r="F7615">
            <v>0</v>
          </cell>
          <cell r="G7615">
            <v>275</v>
          </cell>
          <cell r="H7615">
            <v>0</v>
          </cell>
        </row>
        <row r="7616">
          <cell r="D7616" t="str">
            <v>Furnitures</v>
          </cell>
          <cell r="F7616">
            <v>28078.624599999999</v>
          </cell>
          <cell r="G7616">
            <v>275</v>
          </cell>
          <cell r="H7616">
            <v>26603.136284931505</v>
          </cell>
        </row>
        <row r="7617">
          <cell r="D7617" t="str">
            <v>Furnitures</v>
          </cell>
          <cell r="F7617">
            <v>0</v>
          </cell>
          <cell r="G7617">
            <v>275</v>
          </cell>
          <cell r="H7617">
            <v>0</v>
          </cell>
        </row>
        <row r="7618">
          <cell r="D7618" t="str">
            <v>Furnitures</v>
          </cell>
          <cell r="F7618">
            <v>0</v>
          </cell>
          <cell r="G7618">
            <v>275</v>
          </cell>
          <cell r="H7618">
            <v>0</v>
          </cell>
        </row>
        <row r="7619">
          <cell r="D7619" t="str">
            <v>Furnitures</v>
          </cell>
          <cell r="F7619">
            <v>0</v>
          </cell>
          <cell r="G7619">
            <v>275</v>
          </cell>
          <cell r="H7619">
            <v>0</v>
          </cell>
        </row>
        <row r="7620">
          <cell r="D7620" t="str">
            <v>Furnitures</v>
          </cell>
          <cell r="F7620">
            <v>4585.335</v>
          </cell>
          <cell r="G7620">
            <v>275</v>
          </cell>
          <cell r="H7620">
            <v>4344.4915068493156</v>
          </cell>
        </row>
        <row r="7621">
          <cell r="D7621" t="str">
            <v>Furnitures</v>
          </cell>
          <cell r="F7621">
            <v>7997.3903</v>
          </cell>
          <cell r="G7621">
            <v>275</v>
          </cell>
          <cell r="H7621">
            <v>7577.2734027397264</v>
          </cell>
        </row>
        <row r="7622">
          <cell r="D7622" t="str">
            <v>Furnitures</v>
          </cell>
          <cell r="F7622">
            <v>5332.2390999999998</v>
          </cell>
          <cell r="G7622">
            <v>275</v>
          </cell>
          <cell r="H7622">
            <v>5052.1452712328764</v>
          </cell>
        </row>
        <row r="7623">
          <cell r="D7623" t="str">
            <v>Furnitures</v>
          </cell>
          <cell r="F7623">
            <v>0</v>
          </cell>
          <cell r="G7623">
            <v>275</v>
          </cell>
          <cell r="H7623">
            <v>0</v>
          </cell>
        </row>
        <row r="7624">
          <cell r="D7624" t="str">
            <v>Furnitures</v>
          </cell>
          <cell r="F7624">
            <v>9193.0874999999996</v>
          </cell>
          <cell r="G7624">
            <v>275</v>
          </cell>
          <cell r="H7624">
            <v>8710.2082191780828</v>
          </cell>
        </row>
        <row r="7625">
          <cell r="D7625" t="str">
            <v>Furnitures</v>
          </cell>
          <cell r="F7625">
            <v>0</v>
          </cell>
          <cell r="G7625">
            <v>275</v>
          </cell>
          <cell r="H7625">
            <v>0</v>
          </cell>
        </row>
        <row r="7626">
          <cell r="D7626" t="str">
            <v>Furnitures</v>
          </cell>
          <cell r="F7626">
            <v>0</v>
          </cell>
          <cell r="G7626">
            <v>275</v>
          </cell>
          <cell r="H7626">
            <v>0</v>
          </cell>
        </row>
        <row r="7627">
          <cell r="D7627" t="str">
            <v>Furnitures</v>
          </cell>
          <cell r="F7627">
            <v>38835.925000000003</v>
          </cell>
          <cell r="G7627">
            <v>275</v>
          </cell>
          <cell r="H7627">
            <v>36797.101369863019</v>
          </cell>
        </row>
        <row r="7628">
          <cell r="D7628" t="str">
            <v>Furnitures</v>
          </cell>
          <cell r="F7628">
            <v>14308.025</v>
          </cell>
          <cell r="G7628">
            <v>275</v>
          </cell>
          <cell r="H7628">
            <v>13556.879452054794</v>
          </cell>
        </row>
        <row r="7629">
          <cell r="D7629" t="str">
            <v>Furnitures</v>
          </cell>
          <cell r="F7629">
            <v>0</v>
          </cell>
          <cell r="G7629">
            <v>275</v>
          </cell>
          <cell r="H7629">
            <v>0</v>
          </cell>
        </row>
        <row r="7630">
          <cell r="D7630" t="str">
            <v>Furnitures</v>
          </cell>
          <cell r="F7630">
            <v>28758.631099999999</v>
          </cell>
          <cell r="G7630">
            <v>275</v>
          </cell>
          <cell r="H7630">
            <v>27249.996997260274</v>
          </cell>
        </row>
        <row r="7631">
          <cell r="D7631" t="str">
            <v>Furnitures</v>
          </cell>
          <cell r="F7631">
            <v>0</v>
          </cell>
          <cell r="G7631">
            <v>275</v>
          </cell>
          <cell r="H7631">
            <v>0</v>
          </cell>
        </row>
        <row r="7632">
          <cell r="D7632" t="str">
            <v>Furnitures</v>
          </cell>
          <cell r="F7632">
            <v>5418.1117999999997</v>
          </cell>
          <cell r="G7632">
            <v>275</v>
          </cell>
          <cell r="H7632">
            <v>5134.1549369863014</v>
          </cell>
        </row>
        <row r="7633">
          <cell r="D7633" t="str">
            <v>Furnitures</v>
          </cell>
          <cell r="F7633">
            <v>0</v>
          </cell>
          <cell r="G7633">
            <v>275</v>
          </cell>
          <cell r="H7633">
            <v>0</v>
          </cell>
        </row>
        <row r="7634">
          <cell r="D7634" t="str">
            <v>Furnitures</v>
          </cell>
          <cell r="F7634">
            <v>0</v>
          </cell>
          <cell r="G7634">
            <v>275</v>
          </cell>
          <cell r="H7634">
            <v>0</v>
          </cell>
        </row>
        <row r="7635">
          <cell r="D7635" t="str">
            <v>Furnitures</v>
          </cell>
          <cell r="F7635">
            <v>0</v>
          </cell>
          <cell r="G7635">
            <v>275</v>
          </cell>
          <cell r="H7635">
            <v>0</v>
          </cell>
        </row>
        <row r="7636">
          <cell r="D7636" t="str">
            <v>Furnitures</v>
          </cell>
          <cell r="F7636">
            <v>0</v>
          </cell>
          <cell r="G7636">
            <v>275</v>
          </cell>
          <cell r="H7636">
            <v>0</v>
          </cell>
        </row>
        <row r="7637">
          <cell r="D7637" t="str">
            <v>Furnitures</v>
          </cell>
          <cell r="F7637">
            <v>0</v>
          </cell>
          <cell r="G7637">
            <v>275</v>
          </cell>
          <cell r="H7637">
            <v>0</v>
          </cell>
        </row>
        <row r="7638">
          <cell r="D7638" t="str">
            <v>Furnitures</v>
          </cell>
          <cell r="F7638">
            <v>5023.9638000000004</v>
          </cell>
          <cell r="G7638">
            <v>275</v>
          </cell>
          <cell r="H7638">
            <v>4760.9913205479461</v>
          </cell>
        </row>
        <row r="7639">
          <cell r="D7639" t="str">
            <v>Furnitures</v>
          </cell>
          <cell r="F7639">
            <v>15821.745000000001</v>
          </cell>
          <cell r="G7639">
            <v>275</v>
          </cell>
          <cell r="H7639">
            <v>14994.292602739726</v>
          </cell>
        </row>
        <row r="7640">
          <cell r="D7640" t="str">
            <v>Furnitures</v>
          </cell>
          <cell r="F7640">
            <v>57759.160499999998</v>
          </cell>
          <cell r="G7640">
            <v>275</v>
          </cell>
          <cell r="H7640">
            <v>54739.555397260272</v>
          </cell>
        </row>
        <row r="7641">
          <cell r="D7641" t="str">
            <v>Furnitures</v>
          </cell>
          <cell r="F7641">
            <v>4927.18</v>
          </cell>
          <cell r="G7641">
            <v>275</v>
          </cell>
          <cell r="H7641">
            <v>4669.6443835616437</v>
          </cell>
        </row>
        <row r="7642">
          <cell r="D7642" t="str">
            <v>Furnitures</v>
          </cell>
          <cell r="F7642">
            <v>9854.36</v>
          </cell>
          <cell r="G7642">
            <v>275</v>
          </cell>
          <cell r="H7642">
            <v>9339.2887671232875</v>
          </cell>
        </row>
        <row r="7643">
          <cell r="D7643" t="str">
            <v>Furnitures</v>
          </cell>
          <cell r="F7643">
            <v>0</v>
          </cell>
          <cell r="G7643">
            <v>275</v>
          </cell>
          <cell r="H7643">
            <v>0</v>
          </cell>
        </row>
        <row r="7644">
          <cell r="D7644" t="str">
            <v>Furnitures</v>
          </cell>
          <cell r="F7644">
            <v>9427.9210999999996</v>
          </cell>
          <cell r="G7644">
            <v>275</v>
          </cell>
          <cell r="H7644">
            <v>8935.1219287671229</v>
          </cell>
        </row>
        <row r="7645">
          <cell r="D7645" t="str">
            <v>Furnitures</v>
          </cell>
          <cell r="F7645">
            <v>4631.6891999999998</v>
          </cell>
          <cell r="G7645">
            <v>275</v>
          </cell>
          <cell r="H7645">
            <v>4389.6057205479447</v>
          </cell>
        </row>
        <row r="7646">
          <cell r="D7646" t="str">
            <v>Furnitures</v>
          </cell>
          <cell r="F7646">
            <v>4732.6629000000003</v>
          </cell>
          <cell r="G7646">
            <v>275</v>
          </cell>
          <cell r="H7646">
            <v>4485.285632876713</v>
          </cell>
        </row>
        <row r="7647">
          <cell r="D7647" t="str">
            <v>Furnitures</v>
          </cell>
          <cell r="F7647">
            <v>0</v>
          </cell>
          <cell r="G7647">
            <v>275</v>
          </cell>
          <cell r="H7647">
            <v>0</v>
          </cell>
        </row>
        <row r="7648">
          <cell r="D7648" t="str">
            <v>Furnitures</v>
          </cell>
          <cell r="F7648">
            <v>0</v>
          </cell>
          <cell r="G7648">
            <v>275</v>
          </cell>
          <cell r="H7648">
            <v>0</v>
          </cell>
        </row>
        <row r="7649">
          <cell r="D7649" t="str">
            <v>Furnitures</v>
          </cell>
          <cell r="F7649">
            <v>12331.45</v>
          </cell>
          <cell r="G7649">
            <v>275</v>
          </cell>
          <cell r="H7649">
            <v>11687.61095890411</v>
          </cell>
        </row>
        <row r="7650">
          <cell r="D7650" t="str">
            <v>Furnitures</v>
          </cell>
          <cell r="F7650">
            <v>0</v>
          </cell>
          <cell r="G7650">
            <v>275</v>
          </cell>
          <cell r="H7650">
            <v>0</v>
          </cell>
        </row>
        <row r="7651">
          <cell r="D7651" t="str">
            <v>Furnitures</v>
          </cell>
          <cell r="F7651">
            <v>0</v>
          </cell>
          <cell r="G7651">
            <v>275</v>
          </cell>
          <cell r="H7651">
            <v>0</v>
          </cell>
        </row>
        <row r="7652">
          <cell r="D7652" t="str">
            <v>Furnitures</v>
          </cell>
          <cell r="F7652">
            <v>0</v>
          </cell>
          <cell r="G7652">
            <v>275</v>
          </cell>
          <cell r="H7652">
            <v>0</v>
          </cell>
        </row>
        <row r="7653">
          <cell r="D7653" t="str">
            <v>Furnitures</v>
          </cell>
          <cell r="F7653">
            <v>4933.18</v>
          </cell>
          <cell r="G7653">
            <v>275</v>
          </cell>
          <cell r="H7653">
            <v>4675.6443835616437</v>
          </cell>
        </row>
        <row r="7654">
          <cell r="D7654" t="str">
            <v>Furnitures</v>
          </cell>
          <cell r="F7654">
            <v>0</v>
          </cell>
          <cell r="G7654">
            <v>275</v>
          </cell>
          <cell r="H7654">
            <v>0</v>
          </cell>
        </row>
        <row r="7655">
          <cell r="D7655" t="str">
            <v>Furnitures</v>
          </cell>
          <cell r="F7655">
            <v>6578.24</v>
          </cell>
          <cell r="G7655">
            <v>275</v>
          </cell>
          <cell r="H7655">
            <v>6234.8591780821916</v>
          </cell>
        </row>
        <row r="7656">
          <cell r="D7656" t="str">
            <v>Furnitures</v>
          </cell>
          <cell r="F7656">
            <v>0</v>
          </cell>
          <cell r="G7656">
            <v>275</v>
          </cell>
          <cell r="H7656">
            <v>0</v>
          </cell>
        </row>
        <row r="7657">
          <cell r="D7657" t="str">
            <v>Furnitures</v>
          </cell>
          <cell r="F7657">
            <v>6120.2698</v>
          </cell>
          <cell r="G7657">
            <v>275</v>
          </cell>
          <cell r="H7657">
            <v>5801.0210191780825</v>
          </cell>
        </row>
        <row r="7658">
          <cell r="D7658" t="str">
            <v>Furnitures</v>
          </cell>
          <cell r="F7658">
            <v>0</v>
          </cell>
          <cell r="G7658">
            <v>275</v>
          </cell>
          <cell r="H7658">
            <v>0</v>
          </cell>
        </row>
        <row r="7659">
          <cell r="D7659" t="str">
            <v>Furnitures</v>
          </cell>
          <cell r="F7659">
            <v>0</v>
          </cell>
          <cell r="G7659">
            <v>275</v>
          </cell>
          <cell r="H7659">
            <v>0</v>
          </cell>
        </row>
        <row r="7660">
          <cell r="D7660" t="str">
            <v>Furnitures</v>
          </cell>
          <cell r="F7660">
            <v>7315.6</v>
          </cell>
          <cell r="G7660">
            <v>275</v>
          </cell>
          <cell r="H7660">
            <v>6934.0657534246575</v>
          </cell>
        </row>
        <row r="7661">
          <cell r="D7661" t="str">
            <v>Furnitures</v>
          </cell>
          <cell r="F7661">
            <v>0</v>
          </cell>
          <cell r="G7661">
            <v>275</v>
          </cell>
          <cell r="H7661">
            <v>0</v>
          </cell>
        </row>
        <row r="7662">
          <cell r="D7662" t="str">
            <v>Furnitures</v>
          </cell>
          <cell r="F7662">
            <v>9145</v>
          </cell>
          <cell r="G7662">
            <v>275</v>
          </cell>
          <cell r="H7662">
            <v>8668.0821917808225</v>
          </cell>
        </row>
        <row r="7663">
          <cell r="D7663" t="str">
            <v>Furnitures</v>
          </cell>
          <cell r="F7663">
            <v>0</v>
          </cell>
          <cell r="G7663">
            <v>275</v>
          </cell>
          <cell r="H7663">
            <v>0</v>
          </cell>
        </row>
        <row r="7664">
          <cell r="D7664" t="str">
            <v>Furnitures</v>
          </cell>
          <cell r="F7664">
            <v>0</v>
          </cell>
          <cell r="G7664">
            <v>275</v>
          </cell>
          <cell r="H7664">
            <v>0</v>
          </cell>
        </row>
        <row r="7665">
          <cell r="D7665" t="str">
            <v>Furnitures</v>
          </cell>
          <cell r="F7665">
            <v>0</v>
          </cell>
          <cell r="G7665">
            <v>275</v>
          </cell>
          <cell r="H7665">
            <v>0</v>
          </cell>
        </row>
        <row r="7666">
          <cell r="D7666" t="str">
            <v>Furnitures</v>
          </cell>
          <cell r="F7666">
            <v>0</v>
          </cell>
          <cell r="G7666">
            <v>275</v>
          </cell>
          <cell r="H7666">
            <v>0</v>
          </cell>
        </row>
        <row r="7667">
          <cell r="D7667" t="str">
            <v>Furnitures</v>
          </cell>
          <cell r="F7667">
            <v>0</v>
          </cell>
          <cell r="G7667">
            <v>275</v>
          </cell>
          <cell r="H7667">
            <v>0</v>
          </cell>
        </row>
        <row r="7668">
          <cell r="D7668" t="str">
            <v>Furnitures</v>
          </cell>
          <cell r="F7668">
            <v>0</v>
          </cell>
          <cell r="G7668">
            <v>275</v>
          </cell>
          <cell r="H7668">
            <v>0</v>
          </cell>
        </row>
        <row r="7669">
          <cell r="D7669" t="str">
            <v>Furnitures</v>
          </cell>
          <cell r="F7669">
            <v>0</v>
          </cell>
          <cell r="G7669">
            <v>275</v>
          </cell>
          <cell r="H7669">
            <v>0</v>
          </cell>
        </row>
        <row r="7670">
          <cell r="D7670" t="str">
            <v>Furnitures</v>
          </cell>
          <cell r="F7670">
            <v>0</v>
          </cell>
          <cell r="G7670">
            <v>275</v>
          </cell>
          <cell r="H7670">
            <v>0</v>
          </cell>
        </row>
        <row r="7671">
          <cell r="D7671" t="str">
            <v>Furnitures</v>
          </cell>
          <cell r="F7671">
            <v>0</v>
          </cell>
          <cell r="G7671">
            <v>275</v>
          </cell>
          <cell r="H7671">
            <v>0</v>
          </cell>
        </row>
        <row r="7672">
          <cell r="D7672" t="str">
            <v>Furnitures</v>
          </cell>
          <cell r="F7672">
            <v>6242.9775</v>
          </cell>
          <cell r="G7672">
            <v>275</v>
          </cell>
          <cell r="H7672">
            <v>5917.4810958904109</v>
          </cell>
        </row>
        <row r="7673">
          <cell r="D7673" t="str">
            <v>Furnitures</v>
          </cell>
          <cell r="F7673">
            <v>0</v>
          </cell>
          <cell r="G7673">
            <v>275</v>
          </cell>
          <cell r="H7673">
            <v>0</v>
          </cell>
        </row>
        <row r="7674">
          <cell r="D7674" t="str">
            <v>Furnitures</v>
          </cell>
          <cell r="F7674">
            <v>20016.995999999999</v>
          </cell>
          <cell r="G7674">
            <v>275</v>
          </cell>
          <cell r="H7674">
            <v>18973.499835616436</v>
          </cell>
        </row>
        <row r="7675">
          <cell r="D7675" t="str">
            <v>Furnitures</v>
          </cell>
          <cell r="F7675">
            <v>16930.570200000002</v>
          </cell>
          <cell r="G7675">
            <v>275</v>
          </cell>
          <cell r="H7675">
            <v>16047.986104109592</v>
          </cell>
        </row>
        <row r="7676">
          <cell r="D7676" t="str">
            <v>Furnitures</v>
          </cell>
          <cell r="F7676">
            <v>0</v>
          </cell>
          <cell r="G7676">
            <v>275</v>
          </cell>
          <cell r="H7676">
            <v>0</v>
          </cell>
        </row>
        <row r="7677">
          <cell r="D7677" t="str">
            <v>Furnitures</v>
          </cell>
          <cell r="F7677">
            <v>5408.53</v>
          </cell>
          <cell r="G7677">
            <v>275</v>
          </cell>
          <cell r="H7677">
            <v>5127.1484931506848</v>
          </cell>
        </row>
        <row r="7678">
          <cell r="D7678" t="str">
            <v>Furnitures</v>
          </cell>
          <cell r="F7678">
            <v>9488.8449999999993</v>
          </cell>
          <cell r="G7678">
            <v>275</v>
          </cell>
          <cell r="H7678">
            <v>8995.2350684931498</v>
          </cell>
        </row>
        <row r="7679">
          <cell r="D7679" t="str">
            <v>Furnitures</v>
          </cell>
          <cell r="F7679">
            <v>0</v>
          </cell>
          <cell r="G7679">
            <v>275</v>
          </cell>
          <cell r="H7679">
            <v>0</v>
          </cell>
        </row>
        <row r="7680">
          <cell r="D7680" t="str">
            <v>Furnitures</v>
          </cell>
          <cell r="F7680">
            <v>0</v>
          </cell>
          <cell r="G7680">
            <v>275</v>
          </cell>
          <cell r="H7680">
            <v>0</v>
          </cell>
        </row>
        <row r="7681">
          <cell r="D7681" t="str">
            <v>Furnitures</v>
          </cell>
          <cell r="F7681">
            <v>0</v>
          </cell>
          <cell r="G7681">
            <v>275</v>
          </cell>
          <cell r="H7681">
            <v>0</v>
          </cell>
        </row>
        <row r="7682">
          <cell r="D7682" t="str">
            <v>Furnitures</v>
          </cell>
          <cell r="F7682">
            <v>0</v>
          </cell>
          <cell r="G7682">
            <v>275</v>
          </cell>
          <cell r="H7682">
            <v>0</v>
          </cell>
        </row>
        <row r="7683">
          <cell r="D7683" t="str">
            <v>Furnitures</v>
          </cell>
          <cell r="F7683">
            <v>6400.4825000000001</v>
          </cell>
          <cell r="G7683">
            <v>275</v>
          </cell>
          <cell r="H7683">
            <v>6067.8323287671237</v>
          </cell>
        </row>
        <row r="7684">
          <cell r="D7684" t="str">
            <v>Furnitures</v>
          </cell>
          <cell r="F7684">
            <v>6711.0870999999997</v>
          </cell>
          <cell r="G7684">
            <v>275</v>
          </cell>
          <cell r="H7684">
            <v>6362.3171068493148</v>
          </cell>
        </row>
        <row r="7685">
          <cell r="D7685" t="str">
            <v>Furnitures</v>
          </cell>
          <cell r="F7685">
            <v>0</v>
          </cell>
          <cell r="G7685">
            <v>275</v>
          </cell>
          <cell r="H7685">
            <v>0</v>
          </cell>
        </row>
        <row r="7686">
          <cell r="D7686" t="str">
            <v>Furnitures</v>
          </cell>
          <cell r="F7686">
            <v>0</v>
          </cell>
          <cell r="G7686">
            <v>275</v>
          </cell>
          <cell r="H7686">
            <v>0</v>
          </cell>
        </row>
        <row r="7687">
          <cell r="D7687" t="str">
            <v>Furnitures</v>
          </cell>
          <cell r="F7687">
            <v>0</v>
          </cell>
          <cell r="G7687">
            <v>275</v>
          </cell>
          <cell r="H7687">
            <v>0</v>
          </cell>
        </row>
        <row r="7688">
          <cell r="D7688" t="str">
            <v>Furnitures</v>
          </cell>
          <cell r="F7688">
            <v>0</v>
          </cell>
          <cell r="G7688">
            <v>275</v>
          </cell>
          <cell r="H7688">
            <v>0</v>
          </cell>
        </row>
        <row r="7689">
          <cell r="D7689" t="str">
            <v>Furnitures</v>
          </cell>
          <cell r="F7689">
            <v>0</v>
          </cell>
          <cell r="G7689">
            <v>275</v>
          </cell>
          <cell r="H7689">
            <v>0</v>
          </cell>
        </row>
        <row r="7690">
          <cell r="D7690" t="str">
            <v>Furnitures</v>
          </cell>
          <cell r="F7690">
            <v>0</v>
          </cell>
          <cell r="G7690">
            <v>275</v>
          </cell>
          <cell r="H7690">
            <v>0</v>
          </cell>
        </row>
        <row r="7691">
          <cell r="D7691" t="str">
            <v>Furnitures</v>
          </cell>
          <cell r="F7691">
            <v>0</v>
          </cell>
          <cell r="G7691">
            <v>275</v>
          </cell>
          <cell r="H7691">
            <v>0</v>
          </cell>
        </row>
        <row r="7692">
          <cell r="D7692" t="str">
            <v>Furnitures</v>
          </cell>
          <cell r="F7692">
            <v>0</v>
          </cell>
          <cell r="G7692">
            <v>275</v>
          </cell>
          <cell r="H7692">
            <v>0</v>
          </cell>
        </row>
        <row r="7693">
          <cell r="D7693" t="str">
            <v>Furnitures</v>
          </cell>
          <cell r="F7693">
            <v>0</v>
          </cell>
          <cell r="G7693">
            <v>275</v>
          </cell>
          <cell r="H7693">
            <v>0</v>
          </cell>
        </row>
        <row r="7694">
          <cell r="D7694" t="str">
            <v>Furnitures</v>
          </cell>
          <cell r="F7694">
            <v>0</v>
          </cell>
          <cell r="G7694">
            <v>275</v>
          </cell>
          <cell r="H7694">
            <v>0</v>
          </cell>
        </row>
        <row r="7695">
          <cell r="D7695" t="str">
            <v>Furnitures</v>
          </cell>
          <cell r="F7695">
            <v>0</v>
          </cell>
          <cell r="G7695">
            <v>275</v>
          </cell>
          <cell r="H7695">
            <v>0</v>
          </cell>
        </row>
        <row r="7696">
          <cell r="D7696" t="str">
            <v>Furnitures</v>
          </cell>
          <cell r="F7696">
            <v>0</v>
          </cell>
          <cell r="G7696">
            <v>275</v>
          </cell>
          <cell r="H7696">
            <v>0</v>
          </cell>
        </row>
        <row r="7697">
          <cell r="D7697" t="str">
            <v>Furnitures</v>
          </cell>
          <cell r="F7697">
            <v>0</v>
          </cell>
          <cell r="G7697">
            <v>275</v>
          </cell>
          <cell r="H7697">
            <v>0</v>
          </cell>
        </row>
        <row r="7698">
          <cell r="D7698" t="str">
            <v>Furnitures</v>
          </cell>
          <cell r="F7698">
            <v>11575.660400000001</v>
          </cell>
          <cell r="G7698">
            <v>275</v>
          </cell>
          <cell r="H7698">
            <v>10974.171660273973</v>
          </cell>
        </row>
        <row r="7699">
          <cell r="D7699" t="str">
            <v>Furnitures</v>
          </cell>
          <cell r="F7699">
            <v>0</v>
          </cell>
          <cell r="G7699">
            <v>275</v>
          </cell>
          <cell r="H7699">
            <v>0</v>
          </cell>
        </row>
        <row r="7700">
          <cell r="D7700" t="str">
            <v>Furnitures</v>
          </cell>
          <cell r="F7700">
            <v>0</v>
          </cell>
          <cell r="G7700">
            <v>275</v>
          </cell>
          <cell r="H7700">
            <v>0</v>
          </cell>
        </row>
        <row r="7701">
          <cell r="D7701" t="str">
            <v>Furnitures</v>
          </cell>
          <cell r="F7701">
            <v>5421.1502</v>
          </cell>
          <cell r="G7701">
            <v>275</v>
          </cell>
          <cell r="H7701">
            <v>5139.4825424657538</v>
          </cell>
        </row>
        <row r="7702">
          <cell r="D7702" t="str">
            <v>Furnitures</v>
          </cell>
          <cell r="F7702">
            <v>0</v>
          </cell>
          <cell r="G7702">
            <v>275</v>
          </cell>
          <cell r="H7702">
            <v>0</v>
          </cell>
        </row>
        <row r="7703">
          <cell r="D7703" t="str">
            <v>Furnitures</v>
          </cell>
          <cell r="F7703">
            <v>0</v>
          </cell>
          <cell r="G7703">
            <v>275</v>
          </cell>
          <cell r="H7703">
            <v>0</v>
          </cell>
        </row>
        <row r="7704">
          <cell r="D7704" t="str">
            <v>Furnitures</v>
          </cell>
          <cell r="F7704">
            <v>0</v>
          </cell>
          <cell r="G7704">
            <v>275</v>
          </cell>
          <cell r="H7704">
            <v>0</v>
          </cell>
        </row>
        <row r="7705">
          <cell r="D7705" t="str">
            <v>Furnitures</v>
          </cell>
          <cell r="F7705">
            <v>0</v>
          </cell>
          <cell r="G7705">
            <v>275</v>
          </cell>
          <cell r="H7705">
            <v>0</v>
          </cell>
        </row>
        <row r="7706">
          <cell r="D7706" t="str">
            <v>Furnitures</v>
          </cell>
          <cell r="F7706">
            <v>0</v>
          </cell>
          <cell r="G7706">
            <v>275</v>
          </cell>
          <cell r="H7706">
            <v>0</v>
          </cell>
        </row>
        <row r="7707">
          <cell r="D7707" t="str">
            <v>Furnitures</v>
          </cell>
          <cell r="F7707">
            <v>0</v>
          </cell>
          <cell r="G7707">
            <v>275</v>
          </cell>
          <cell r="H7707">
            <v>0</v>
          </cell>
        </row>
        <row r="7708">
          <cell r="D7708" t="str">
            <v>Furnitures</v>
          </cell>
          <cell r="F7708">
            <v>0</v>
          </cell>
          <cell r="G7708">
            <v>275</v>
          </cell>
          <cell r="H7708">
            <v>0</v>
          </cell>
        </row>
        <row r="7709">
          <cell r="D7709" t="str">
            <v>Furnitures</v>
          </cell>
          <cell r="F7709">
            <v>0</v>
          </cell>
          <cell r="G7709">
            <v>275</v>
          </cell>
          <cell r="H7709">
            <v>0</v>
          </cell>
        </row>
        <row r="7710">
          <cell r="D7710" t="str">
            <v>Furnitures</v>
          </cell>
          <cell r="F7710">
            <v>0</v>
          </cell>
          <cell r="G7710">
            <v>275</v>
          </cell>
          <cell r="H7710">
            <v>0</v>
          </cell>
        </row>
        <row r="7711">
          <cell r="D7711" t="str">
            <v>Furnitures</v>
          </cell>
          <cell r="F7711">
            <v>0</v>
          </cell>
          <cell r="G7711">
            <v>275</v>
          </cell>
          <cell r="H7711">
            <v>0</v>
          </cell>
        </row>
        <row r="7712">
          <cell r="D7712" t="str">
            <v>Furnitures</v>
          </cell>
          <cell r="F7712">
            <v>0</v>
          </cell>
          <cell r="G7712">
            <v>275</v>
          </cell>
          <cell r="H7712">
            <v>0</v>
          </cell>
        </row>
        <row r="7713">
          <cell r="D7713" t="str">
            <v>Furnitures</v>
          </cell>
          <cell r="F7713">
            <v>0</v>
          </cell>
          <cell r="G7713">
            <v>275</v>
          </cell>
          <cell r="H7713">
            <v>0</v>
          </cell>
        </row>
        <row r="7714">
          <cell r="D7714" t="str">
            <v>Furnitures</v>
          </cell>
          <cell r="F7714">
            <v>0</v>
          </cell>
          <cell r="G7714">
            <v>275</v>
          </cell>
          <cell r="H7714">
            <v>0</v>
          </cell>
        </row>
        <row r="7715">
          <cell r="D7715" t="str">
            <v>Furnitures</v>
          </cell>
          <cell r="F7715">
            <v>0</v>
          </cell>
          <cell r="G7715">
            <v>275</v>
          </cell>
          <cell r="H7715">
            <v>0</v>
          </cell>
        </row>
        <row r="7716">
          <cell r="D7716" t="str">
            <v>Furnitures</v>
          </cell>
          <cell r="F7716">
            <v>0</v>
          </cell>
          <cell r="G7716">
            <v>275</v>
          </cell>
          <cell r="H7716">
            <v>0</v>
          </cell>
        </row>
        <row r="7717">
          <cell r="D7717" t="str">
            <v>Furnitures</v>
          </cell>
          <cell r="F7717">
            <v>5169.9375</v>
          </cell>
          <cell r="G7717">
            <v>275</v>
          </cell>
          <cell r="H7717">
            <v>4901.6712328767126</v>
          </cell>
        </row>
        <row r="7718">
          <cell r="D7718" t="str">
            <v>Furnitures</v>
          </cell>
          <cell r="F7718">
            <v>0</v>
          </cell>
          <cell r="G7718">
            <v>275</v>
          </cell>
          <cell r="H7718">
            <v>0</v>
          </cell>
        </row>
        <row r="7719">
          <cell r="D7719" t="str">
            <v>Furnitures</v>
          </cell>
          <cell r="F7719">
            <v>0</v>
          </cell>
          <cell r="G7719">
            <v>275</v>
          </cell>
          <cell r="H7719">
            <v>0</v>
          </cell>
        </row>
        <row r="7720">
          <cell r="D7720" t="str">
            <v>Furnitures</v>
          </cell>
          <cell r="F7720">
            <v>0</v>
          </cell>
          <cell r="G7720">
            <v>275</v>
          </cell>
          <cell r="H7720">
            <v>0</v>
          </cell>
        </row>
        <row r="7721">
          <cell r="D7721" t="str">
            <v>Furnitures</v>
          </cell>
          <cell r="F7721">
            <v>0</v>
          </cell>
          <cell r="G7721">
            <v>275</v>
          </cell>
          <cell r="H7721">
            <v>0</v>
          </cell>
        </row>
        <row r="7722">
          <cell r="D7722" t="str">
            <v>Furnitures</v>
          </cell>
          <cell r="F7722">
            <v>0</v>
          </cell>
          <cell r="G7722">
            <v>275</v>
          </cell>
          <cell r="H7722">
            <v>0</v>
          </cell>
        </row>
        <row r="7723">
          <cell r="D7723" t="str">
            <v>Furnitures</v>
          </cell>
          <cell r="F7723">
            <v>0</v>
          </cell>
          <cell r="G7723">
            <v>275</v>
          </cell>
          <cell r="H7723">
            <v>0</v>
          </cell>
        </row>
        <row r="7724">
          <cell r="D7724" t="str">
            <v>Furnitures</v>
          </cell>
          <cell r="F7724">
            <v>0</v>
          </cell>
          <cell r="G7724">
            <v>275</v>
          </cell>
          <cell r="H7724">
            <v>0</v>
          </cell>
        </row>
        <row r="7725">
          <cell r="D7725" t="str">
            <v>Furnitures</v>
          </cell>
          <cell r="F7725">
            <v>0</v>
          </cell>
          <cell r="G7725">
            <v>275</v>
          </cell>
          <cell r="H7725">
            <v>0</v>
          </cell>
        </row>
        <row r="7726">
          <cell r="D7726" t="str">
            <v>Furnitures</v>
          </cell>
          <cell r="F7726">
            <v>0</v>
          </cell>
          <cell r="G7726">
            <v>275</v>
          </cell>
          <cell r="H7726">
            <v>0</v>
          </cell>
        </row>
        <row r="7727">
          <cell r="D7727" t="str">
            <v>Furnitures</v>
          </cell>
          <cell r="F7727">
            <v>0</v>
          </cell>
          <cell r="G7727">
            <v>275</v>
          </cell>
          <cell r="H7727">
            <v>0</v>
          </cell>
        </row>
        <row r="7728">
          <cell r="D7728" t="str">
            <v>Furnitures</v>
          </cell>
          <cell r="F7728">
            <v>0</v>
          </cell>
          <cell r="G7728">
            <v>275</v>
          </cell>
          <cell r="H7728">
            <v>0</v>
          </cell>
        </row>
        <row r="7729">
          <cell r="D7729" t="str">
            <v>Furnitures</v>
          </cell>
          <cell r="F7729">
            <v>0</v>
          </cell>
          <cell r="G7729">
            <v>275</v>
          </cell>
          <cell r="H7729">
            <v>0</v>
          </cell>
        </row>
        <row r="7730">
          <cell r="D7730" t="str">
            <v>Furnitures</v>
          </cell>
          <cell r="F7730">
            <v>0</v>
          </cell>
          <cell r="G7730">
            <v>275</v>
          </cell>
          <cell r="H7730">
            <v>0</v>
          </cell>
        </row>
        <row r="7731">
          <cell r="D7731" t="str">
            <v>Furnitures</v>
          </cell>
          <cell r="F7731">
            <v>16597.387299999999</v>
          </cell>
          <cell r="G7731">
            <v>275</v>
          </cell>
          <cell r="H7731">
            <v>15752.336635616437</v>
          </cell>
        </row>
        <row r="7732">
          <cell r="D7732" t="str">
            <v>Furnitures</v>
          </cell>
          <cell r="F7732">
            <v>73782.618700000006</v>
          </cell>
          <cell r="G7732">
            <v>275</v>
          </cell>
          <cell r="H7732">
            <v>69754.523200000011</v>
          </cell>
        </row>
        <row r="7733">
          <cell r="D7733" t="str">
            <v>Furnitures</v>
          </cell>
          <cell r="F7733">
            <v>5087.9375</v>
          </cell>
          <cell r="G7733">
            <v>275</v>
          </cell>
          <cell r="H7733">
            <v>4819.6712328767126</v>
          </cell>
        </row>
        <row r="7734">
          <cell r="D7734" t="str">
            <v>Furnitures</v>
          </cell>
          <cell r="F7734">
            <v>0</v>
          </cell>
          <cell r="G7734">
            <v>275</v>
          </cell>
          <cell r="H7734">
            <v>0</v>
          </cell>
        </row>
        <row r="7735">
          <cell r="D7735" t="str">
            <v>Furnitures</v>
          </cell>
          <cell r="F7735">
            <v>11794.6078</v>
          </cell>
          <cell r="G7735">
            <v>275</v>
          </cell>
          <cell r="H7735">
            <v>11182.531484931507</v>
          </cell>
        </row>
        <row r="7736">
          <cell r="D7736" t="str">
            <v>Furnitures</v>
          </cell>
          <cell r="F7736">
            <v>0</v>
          </cell>
          <cell r="G7736">
            <v>275</v>
          </cell>
          <cell r="H7736">
            <v>0</v>
          </cell>
        </row>
        <row r="7737">
          <cell r="D7737" t="str">
            <v>Furnitures</v>
          </cell>
          <cell r="F7737">
            <v>16308.0203</v>
          </cell>
          <cell r="G7737">
            <v>275</v>
          </cell>
          <cell r="H7737">
            <v>15463.446553424657</v>
          </cell>
        </row>
        <row r="7738">
          <cell r="D7738" t="str">
            <v>Furnitures</v>
          </cell>
          <cell r="F7738">
            <v>0</v>
          </cell>
          <cell r="G7738">
            <v>275</v>
          </cell>
          <cell r="H7738">
            <v>0</v>
          </cell>
        </row>
        <row r="7739">
          <cell r="D7739" t="str">
            <v>Furnitures</v>
          </cell>
          <cell r="F7739">
            <v>0</v>
          </cell>
          <cell r="G7739">
            <v>275</v>
          </cell>
          <cell r="H7739">
            <v>0</v>
          </cell>
        </row>
        <row r="7740">
          <cell r="D7740" t="str">
            <v>Furnitures</v>
          </cell>
          <cell r="F7740">
            <v>0</v>
          </cell>
          <cell r="G7740">
            <v>275</v>
          </cell>
          <cell r="H7740">
            <v>0</v>
          </cell>
        </row>
        <row r="7741">
          <cell r="D7741" t="str">
            <v>Furnitures</v>
          </cell>
          <cell r="F7741">
            <v>0</v>
          </cell>
          <cell r="G7741">
            <v>275</v>
          </cell>
          <cell r="H7741">
            <v>0</v>
          </cell>
        </row>
        <row r="7742">
          <cell r="D7742" t="str">
            <v>Furnitures</v>
          </cell>
          <cell r="F7742">
            <v>0</v>
          </cell>
          <cell r="G7742">
            <v>275</v>
          </cell>
          <cell r="H7742">
            <v>0</v>
          </cell>
        </row>
        <row r="7743">
          <cell r="D7743" t="str">
            <v>Furnitures</v>
          </cell>
          <cell r="F7743">
            <v>0</v>
          </cell>
          <cell r="G7743">
            <v>275</v>
          </cell>
          <cell r="H7743">
            <v>0</v>
          </cell>
        </row>
        <row r="7744">
          <cell r="D7744" t="str">
            <v>Furnitures</v>
          </cell>
          <cell r="F7744">
            <v>0</v>
          </cell>
          <cell r="G7744">
            <v>275</v>
          </cell>
          <cell r="H7744">
            <v>0</v>
          </cell>
        </row>
        <row r="7745">
          <cell r="D7745" t="str">
            <v>Furnitures</v>
          </cell>
          <cell r="F7745">
            <v>4794.84</v>
          </cell>
          <cell r="G7745">
            <v>275</v>
          </cell>
          <cell r="H7745">
            <v>4546.8427397260275</v>
          </cell>
        </row>
        <row r="7746">
          <cell r="D7746" t="str">
            <v>Furnitures</v>
          </cell>
          <cell r="F7746">
            <v>13929.790199999999</v>
          </cell>
          <cell r="G7746">
            <v>275</v>
          </cell>
          <cell r="H7746">
            <v>13209.35815890411</v>
          </cell>
        </row>
        <row r="7747">
          <cell r="D7747" t="str">
            <v>Furnitures</v>
          </cell>
          <cell r="F7747">
            <v>12769.7381</v>
          </cell>
          <cell r="G7747">
            <v>275</v>
          </cell>
          <cell r="H7747">
            <v>12109.540778082192</v>
          </cell>
        </row>
        <row r="7748">
          <cell r="D7748" t="str">
            <v>Furnitures</v>
          </cell>
          <cell r="F7748">
            <v>9667.616</v>
          </cell>
          <cell r="G7748">
            <v>275</v>
          </cell>
          <cell r="H7748">
            <v>9167.8061369863008</v>
          </cell>
        </row>
        <row r="7749">
          <cell r="D7749" t="str">
            <v>Furnitures</v>
          </cell>
          <cell r="F7749">
            <v>8534.4750000000004</v>
          </cell>
          <cell r="G7749">
            <v>275</v>
          </cell>
          <cell r="H7749">
            <v>8093.326027397261</v>
          </cell>
        </row>
        <row r="7750">
          <cell r="D7750" t="str">
            <v>Furnitures</v>
          </cell>
          <cell r="F7750">
            <v>6643.24</v>
          </cell>
          <cell r="G7750">
            <v>275</v>
          </cell>
          <cell r="H7750">
            <v>6299.8591780821916</v>
          </cell>
        </row>
        <row r="7751">
          <cell r="D7751" t="str">
            <v>Furnitures</v>
          </cell>
          <cell r="F7751">
            <v>5906.88</v>
          </cell>
          <cell r="G7751">
            <v>275</v>
          </cell>
          <cell r="H7751">
            <v>5601.6526027397258</v>
          </cell>
        </row>
        <row r="7752">
          <cell r="D7752" t="str">
            <v>Furnitures</v>
          </cell>
          <cell r="F7752">
            <v>0</v>
          </cell>
          <cell r="G7752">
            <v>275</v>
          </cell>
          <cell r="H7752">
            <v>0</v>
          </cell>
        </row>
        <row r="7753">
          <cell r="D7753" t="str">
            <v>Furnitures</v>
          </cell>
          <cell r="F7753">
            <v>0</v>
          </cell>
          <cell r="G7753">
            <v>275</v>
          </cell>
          <cell r="H7753">
            <v>0</v>
          </cell>
        </row>
        <row r="7754">
          <cell r="D7754" t="str">
            <v>Furnitures</v>
          </cell>
          <cell r="F7754">
            <v>0</v>
          </cell>
          <cell r="G7754">
            <v>275</v>
          </cell>
          <cell r="H7754">
            <v>0</v>
          </cell>
        </row>
        <row r="7755">
          <cell r="D7755" t="str">
            <v>Furnitures</v>
          </cell>
          <cell r="F7755">
            <v>0</v>
          </cell>
          <cell r="G7755">
            <v>275</v>
          </cell>
          <cell r="H7755">
            <v>0</v>
          </cell>
        </row>
        <row r="7756">
          <cell r="D7756" t="str">
            <v>Furnitures</v>
          </cell>
          <cell r="F7756">
            <v>0</v>
          </cell>
          <cell r="G7756">
            <v>275</v>
          </cell>
          <cell r="H7756">
            <v>0</v>
          </cell>
        </row>
        <row r="7757">
          <cell r="D7757" t="str">
            <v>Furnitures</v>
          </cell>
          <cell r="F7757">
            <v>0</v>
          </cell>
          <cell r="G7757">
            <v>275</v>
          </cell>
          <cell r="H7757">
            <v>0</v>
          </cell>
        </row>
        <row r="7758">
          <cell r="D7758" t="str">
            <v>Furnitures</v>
          </cell>
          <cell r="F7758">
            <v>0</v>
          </cell>
          <cell r="G7758">
            <v>275</v>
          </cell>
          <cell r="H7758">
            <v>0</v>
          </cell>
        </row>
        <row r="7759">
          <cell r="D7759" t="str">
            <v>Furnitures</v>
          </cell>
          <cell r="F7759">
            <v>0</v>
          </cell>
          <cell r="G7759">
            <v>275</v>
          </cell>
          <cell r="H7759">
            <v>0</v>
          </cell>
        </row>
        <row r="7760">
          <cell r="D7760" t="str">
            <v>Furnitures</v>
          </cell>
          <cell r="F7760">
            <v>0</v>
          </cell>
          <cell r="G7760">
            <v>275</v>
          </cell>
          <cell r="H7760">
            <v>0</v>
          </cell>
        </row>
        <row r="7761">
          <cell r="D7761" t="str">
            <v>Furnitures</v>
          </cell>
          <cell r="F7761">
            <v>0</v>
          </cell>
          <cell r="G7761">
            <v>275</v>
          </cell>
          <cell r="H7761">
            <v>0</v>
          </cell>
        </row>
        <row r="7762">
          <cell r="D7762" t="str">
            <v>Furnitures</v>
          </cell>
          <cell r="F7762">
            <v>4996.18</v>
          </cell>
          <cell r="G7762">
            <v>275</v>
          </cell>
          <cell r="H7762">
            <v>4738.6443835616437</v>
          </cell>
        </row>
        <row r="7763">
          <cell r="D7763" t="str">
            <v>Furnitures</v>
          </cell>
          <cell r="F7763">
            <v>5471.1502</v>
          </cell>
          <cell r="G7763">
            <v>275</v>
          </cell>
          <cell r="H7763">
            <v>5189.4825424657538</v>
          </cell>
        </row>
        <row r="7764">
          <cell r="D7764" t="str">
            <v>Furnitures</v>
          </cell>
          <cell r="F7764">
            <v>0</v>
          </cell>
          <cell r="G7764">
            <v>275</v>
          </cell>
          <cell r="H7764">
            <v>0</v>
          </cell>
        </row>
        <row r="7765">
          <cell r="D7765" t="str">
            <v>Furnitures</v>
          </cell>
          <cell r="F7765">
            <v>19696.052100000001</v>
          </cell>
          <cell r="G7765">
            <v>275</v>
          </cell>
          <cell r="H7765">
            <v>18681.981764383563</v>
          </cell>
        </row>
        <row r="7766">
          <cell r="D7766" t="str">
            <v>Furnitures</v>
          </cell>
          <cell r="F7766">
            <v>30544.4421</v>
          </cell>
          <cell r="G7766">
            <v>275</v>
          </cell>
          <cell r="H7766">
            <v>28972.377928767124</v>
          </cell>
        </row>
        <row r="7767">
          <cell r="D7767" t="str">
            <v>Furnitures</v>
          </cell>
          <cell r="F7767">
            <v>18491.494299999998</v>
          </cell>
          <cell r="G7767">
            <v>275</v>
          </cell>
          <cell r="H7767">
            <v>17541.0448</v>
          </cell>
        </row>
        <row r="7768">
          <cell r="D7768" t="str">
            <v>Furnitures</v>
          </cell>
          <cell r="F7768">
            <v>0</v>
          </cell>
          <cell r="G7768">
            <v>275</v>
          </cell>
          <cell r="H7768">
            <v>0</v>
          </cell>
        </row>
        <row r="7769">
          <cell r="D7769" t="str">
            <v>Furnitures</v>
          </cell>
          <cell r="F7769">
            <v>0</v>
          </cell>
          <cell r="G7769">
            <v>275</v>
          </cell>
          <cell r="H7769">
            <v>0</v>
          </cell>
        </row>
        <row r="7770">
          <cell r="D7770" t="str">
            <v>Furnitures</v>
          </cell>
          <cell r="F7770">
            <v>11587.509599999999</v>
          </cell>
          <cell r="G7770">
            <v>275</v>
          </cell>
          <cell r="H7770">
            <v>10991.93464109589</v>
          </cell>
        </row>
        <row r="7771">
          <cell r="D7771" t="str">
            <v>Furnitures</v>
          </cell>
          <cell r="F7771">
            <v>5480.1502</v>
          </cell>
          <cell r="G7771">
            <v>275</v>
          </cell>
          <cell r="H7771">
            <v>5198.4825424657538</v>
          </cell>
        </row>
        <row r="7772">
          <cell r="D7772" t="str">
            <v>Furnitures</v>
          </cell>
          <cell r="F7772">
            <v>0</v>
          </cell>
          <cell r="G7772">
            <v>275</v>
          </cell>
          <cell r="H7772">
            <v>0</v>
          </cell>
        </row>
        <row r="7773">
          <cell r="D7773" t="str">
            <v>Furnitures</v>
          </cell>
          <cell r="F7773">
            <v>0</v>
          </cell>
          <cell r="G7773">
            <v>275</v>
          </cell>
          <cell r="H7773">
            <v>0</v>
          </cell>
        </row>
        <row r="7774">
          <cell r="D7774" t="str">
            <v>Furnitures</v>
          </cell>
          <cell r="F7774">
            <v>0</v>
          </cell>
          <cell r="G7774">
            <v>275</v>
          </cell>
          <cell r="H7774">
            <v>0</v>
          </cell>
        </row>
        <row r="7775">
          <cell r="D7775" t="str">
            <v>Furnitures</v>
          </cell>
          <cell r="F7775">
            <v>6866.58</v>
          </cell>
          <cell r="G7775">
            <v>275</v>
          </cell>
          <cell r="H7775">
            <v>6513.6608219178079</v>
          </cell>
        </row>
        <row r="7776">
          <cell r="D7776" t="str">
            <v>Furnitures</v>
          </cell>
          <cell r="F7776">
            <v>0</v>
          </cell>
          <cell r="G7776">
            <v>275</v>
          </cell>
          <cell r="H7776">
            <v>0</v>
          </cell>
        </row>
        <row r="7777">
          <cell r="D7777" t="str">
            <v>Furnitures</v>
          </cell>
          <cell r="F7777">
            <v>0</v>
          </cell>
          <cell r="G7777">
            <v>275</v>
          </cell>
          <cell r="H7777">
            <v>0</v>
          </cell>
        </row>
        <row r="7778">
          <cell r="D7778" t="str">
            <v>Furnitures</v>
          </cell>
          <cell r="F7778">
            <v>7518.27</v>
          </cell>
          <cell r="G7778">
            <v>275</v>
          </cell>
          <cell r="H7778">
            <v>7131.9665753424661</v>
          </cell>
        </row>
        <row r="7779">
          <cell r="D7779" t="str">
            <v>Furnitures</v>
          </cell>
          <cell r="F7779">
            <v>20435.400000000001</v>
          </cell>
          <cell r="G7779">
            <v>275</v>
          </cell>
          <cell r="H7779">
            <v>19386.180821917809</v>
          </cell>
        </row>
        <row r="7780">
          <cell r="D7780" t="str">
            <v>Furnitures</v>
          </cell>
          <cell r="F7780">
            <v>5108.8500000000004</v>
          </cell>
          <cell r="G7780">
            <v>275</v>
          </cell>
          <cell r="H7780">
            <v>4846.5452054794523</v>
          </cell>
        </row>
        <row r="7781">
          <cell r="D7781" t="str">
            <v>Furnitures</v>
          </cell>
          <cell r="F7781">
            <v>0</v>
          </cell>
          <cell r="G7781">
            <v>275</v>
          </cell>
          <cell r="H7781">
            <v>0</v>
          </cell>
        </row>
        <row r="7782">
          <cell r="D7782" t="str">
            <v>Furnitures</v>
          </cell>
          <cell r="F7782">
            <v>0</v>
          </cell>
          <cell r="G7782">
            <v>275</v>
          </cell>
          <cell r="H7782">
            <v>0</v>
          </cell>
        </row>
        <row r="7783">
          <cell r="D7783" t="str">
            <v>Furnitures</v>
          </cell>
          <cell r="F7783">
            <v>0</v>
          </cell>
          <cell r="G7783">
            <v>275</v>
          </cell>
          <cell r="H7783">
            <v>0</v>
          </cell>
        </row>
        <row r="7784">
          <cell r="D7784" t="str">
            <v>Furnitures</v>
          </cell>
          <cell r="F7784">
            <v>0</v>
          </cell>
          <cell r="G7784">
            <v>275</v>
          </cell>
          <cell r="H7784">
            <v>0</v>
          </cell>
        </row>
        <row r="7785">
          <cell r="D7785" t="str">
            <v>Furnitures</v>
          </cell>
          <cell r="F7785">
            <v>10122.3465</v>
          </cell>
          <cell r="G7785">
            <v>275</v>
          </cell>
          <cell r="H7785">
            <v>9602.7445479452053</v>
          </cell>
        </row>
        <row r="7786">
          <cell r="D7786" t="str">
            <v>Furnitures</v>
          </cell>
          <cell r="F7786">
            <v>8990.5725000000002</v>
          </cell>
          <cell r="G7786">
            <v>275</v>
          </cell>
          <cell r="H7786">
            <v>8529.1545205479451</v>
          </cell>
        </row>
        <row r="7787">
          <cell r="D7787" t="str">
            <v>Furnitures</v>
          </cell>
          <cell r="F7787">
            <v>0</v>
          </cell>
          <cell r="G7787">
            <v>275</v>
          </cell>
          <cell r="H7787">
            <v>0</v>
          </cell>
        </row>
        <row r="7788">
          <cell r="D7788" t="str">
            <v>Furnitures</v>
          </cell>
          <cell r="F7788">
            <v>5490.1502</v>
          </cell>
          <cell r="G7788">
            <v>275</v>
          </cell>
          <cell r="H7788">
            <v>5208.4825424657538</v>
          </cell>
        </row>
        <row r="7789">
          <cell r="D7789" t="str">
            <v>Furnitures</v>
          </cell>
          <cell r="F7789">
            <v>0</v>
          </cell>
          <cell r="G7789">
            <v>275</v>
          </cell>
          <cell r="H7789">
            <v>0</v>
          </cell>
        </row>
        <row r="7790">
          <cell r="D7790" t="str">
            <v>Furnitures</v>
          </cell>
          <cell r="F7790">
            <v>8889.6620999999996</v>
          </cell>
          <cell r="G7790">
            <v>275</v>
          </cell>
          <cell r="H7790">
            <v>8433.5856000000003</v>
          </cell>
        </row>
        <row r="7791">
          <cell r="D7791" t="str">
            <v>Furnitures</v>
          </cell>
          <cell r="F7791">
            <v>8158.5424999999996</v>
          </cell>
          <cell r="G7791">
            <v>275</v>
          </cell>
          <cell r="H7791">
            <v>7740.0471232876707</v>
          </cell>
        </row>
        <row r="7792">
          <cell r="D7792" t="str">
            <v>Furnitures</v>
          </cell>
          <cell r="F7792">
            <v>41862.5</v>
          </cell>
          <cell r="G7792">
            <v>275</v>
          </cell>
          <cell r="H7792">
            <v>39716.369863013701</v>
          </cell>
        </row>
        <row r="7793">
          <cell r="D7793" t="str">
            <v>Furnitures</v>
          </cell>
          <cell r="F7793">
            <v>0</v>
          </cell>
          <cell r="G7793">
            <v>275</v>
          </cell>
          <cell r="H7793">
            <v>0</v>
          </cell>
        </row>
        <row r="7794">
          <cell r="D7794" t="str">
            <v>Furnitures</v>
          </cell>
          <cell r="F7794">
            <v>0</v>
          </cell>
          <cell r="G7794">
            <v>275</v>
          </cell>
          <cell r="H7794">
            <v>0</v>
          </cell>
        </row>
        <row r="7795">
          <cell r="D7795" t="str">
            <v>Furnitures</v>
          </cell>
          <cell r="F7795">
            <v>0</v>
          </cell>
          <cell r="G7795">
            <v>275</v>
          </cell>
          <cell r="H7795">
            <v>0</v>
          </cell>
        </row>
        <row r="7796">
          <cell r="D7796" t="str">
            <v>Furnitures</v>
          </cell>
          <cell r="F7796">
            <v>0</v>
          </cell>
          <cell r="G7796">
            <v>275</v>
          </cell>
          <cell r="H7796">
            <v>0</v>
          </cell>
        </row>
        <row r="7797">
          <cell r="D7797" t="str">
            <v>Furnitures</v>
          </cell>
          <cell r="F7797">
            <v>0</v>
          </cell>
          <cell r="G7797">
            <v>275</v>
          </cell>
          <cell r="H7797">
            <v>0</v>
          </cell>
        </row>
        <row r="7798">
          <cell r="D7798" t="str">
            <v>Furnitures</v>
          </cell>
          <cell r="F7798">
            <v>0</v>
          </cell>
          <cell r="G7798">
            <v>275</v>
          </cell>
          <cell r="H7798">
            <v>0</v>
          </cell>
        </row>
        <row r="7799">
          <cell r="D7799" t="str">
            <v>Furnitures</v>
          </cell>
          <cell r="F7799">
            <v>0</v>
          </cell>
          <cell r="G7799">
            <v>275</v>
          </cell>
          <cell r="H7799">
            <v>0</v>
          </cell>
        </row>
        <row r="7800">
          <cell r="D7800" t="str">
            <v>Furnitures</v>
          </cell>
          <cell r="F7800">
            <v>6471.2548999999999</v>
          </cell>
          <cell r="G7800">
            <v>275</v>
          </cell>
          <cell r="H7800">
            <v>6139.9400986301371</v>
          </cell>
        </row>
        <row r="7801">
          <cell r="D7801" t="str">
            <v>Furnitures</v>
          </cell>
          <cell r="F7801">
            <v>0</v>
          </cell>
          <cell r="G7801">
            <v>275</v>
          </cell>
          <cell r="H7801">
            <v>0</v>
          </cell>
        </row>
        <row r="7802">
          <cell r="D7802" t="str">
            <v>Furnitures</v>
          </cell>
          <cell r="F7802">
            <v>10103.7775</v>
          </cell>
          <cell r="G7802">
            <v>275</v>
          </cell>
          <cell r="H7802">
            <v>9587.5139726027392</v>
          </cell>
        </row>
        <row r="7803">
          <cell r="D7803" t="str">
            <v>Furnitures</v>
          </cell>
          <cell r="F7803">
            <v>148876.61230000001</v>
          </cell>
          <cell r="G7803">
            <v>275</v>
          </cell>
          <cell r="H7803">
            <v>141271.2517041096</v>
          </cell>
        </row>
        <row r="7804">
          <cell r="D7804" t="str">
            <v>Furnitures</v>
          </cell>
          <cell r="F7804">
            <v>11812.254999999999</v>
          </cell>
          <cell r="G7804">
            <v>275</v>
          </cell>
          <cell r="H7804">
            <v>11208.95397260274</v>
          </cell>
        </row>
        <row r="7805">
          <cell r="D7805" t="str">
            <v>Furnitures</v>
          </cell>
          <cell r="F7805">
            <v>0</v>
          </cell>
          <cell r="G7805">
            <v>275</v>
          </cell>
          <cell r="H7805">
            <v>0</v>
          </cell>
        </row>
        <row r="7806">
          <cell r="D7806" t="str">
            <v>Furnitures</v>
          </cell>
          <cell r="F7806">
            <v>0</v>
          </cell>
          <cell r="G7806">
            <v>275</v>
          </cell>
          <cell r="H7806">
            <v>0</v>
          </cell>
        </row>
        <row r="7807">
          <cell r="D7807" t="str">
            <v>Furnitures</v>
          </cell>
          <cell r="F7807">
            <v>0</v>
          </cell>
          <cell r="G7807">
            <v>275</v>
          </cell>
          <cell r="H7807">
            <v>0</v>
          </cell>
        </row>
        <row r="7808">
          <cell r="D7808" t="str">
            <v>Furnitures</v>
          </cell>
          <cell r="F7808">
            <v>0</v>
          </cell>
          <cell r="G7808">
            <v>275</v>
          </cell>
          <cell r="H7808">
            <v>0</v>
          </cell>
        </row>
        <row r="7809">
          <cell r="D7809" t="str">
            <v>Furnitures</v>
          </cell>
          <cell r="F7809">
            <v>9331.9495000000006</v>
          </cell>
          <cell r="G7809">
            <v>275</v>
          </cell>
          <cell r="H7809">
            <v>8855.7470684931504</v>
          </cell>
        </row>
        <row r="7810">
          <cell r="D7810" t="str">
            <v>Furnitures</v>
          </cell>
          <cell r="F7810">
            <v>5345.924</v>
          </cell>
          <cell r="G7810">
            <v>275</v>
          </cell>
          <cell r="H7810">
            <v>5073.1270136986304</v>
          </cell>
        </row>
        <row r="7811">
          <cell r="D7811" t="str">
            <v>Furnitures</v>
          </cell>
          <cell r="F7811">
            <v>0</v>
          </cell>
          <cell r="G7811">
            <v>275</v>
          </cell>
          <cell r="H7811">
            <v>0</v>
          </cell>
        </row>
        <row r="7812">
          <cell r="D7812" t="str">
            <v>Furnitures</v>
          </cell>
          <cell r="F7812">
            <v>7394.3603000000003</v>
          </cell>
          <cell r="G7812">
            <v>275</v>
          </cell>
          <cell r="H7812">
            <v>7017.166005479452</v>
          </cell>
        </row>
        <row r="7813">
          <cell r="D7813" t="str">
            <v>Furnitures</v>
          </cell>
          <cell r="F7813">
            <v>0</v>
          </cell>
          <cell r="G7813">
            <v>275</v>
          </cell>
          <cell r="H7813">
            <v>0</v>
          </cell>
        </row>
        <row r="7814">
          <cell r="D7814" t="str">
            <v>Furnitures</v>
          </cell>
          <cell r="F7814">
            <v>0</v>
          </cell>
          <cell r="G7814">
            <v>275</v>
          </cell>
          <cell r="H7814">
            <v>0</v>
          </cell>
        </row>
        <row r="7815">
          <cell r="D7815" t="str">
            <v>Furnitures</v>
          </cell>
          <cell r="F7815">
            <v>6082.55</v>
          </cell>
          <cell r="G7815">
            <v>275</v>
          </cell>
          <cell r="H7815">
            <v>5772.5534246575344</v>
          </cell>
        </row>
        <row r="7816">
          <cell r="D7816" t="str">
            <v>Furnitures</v>
          </cell>
          <cell r="F7816">
            <v>0</v>
          </cell>
          <cell r="G7816">
            <v>275</v>
          </cell>
          <cell r="H7816">
            <v>0</v>
          </cell>
        </row>
        <row r="7817">
          <cell r="D7817" t="str">
            <v>Furnitures</v>
          </cell>
          <cell r="F7817">
            <v>0</v>
          </cell>
          <cell r="G7817">
            <v>275</v>
          </cell>
          <cell r="H7817">
            <v>0</v>
          </cell>
        </row>
        <row r="7818">
          <cell r="D7818" t="str">
            <v>Furnitures</v>
          </cell>
          <cell r="F7818">
            <v>0</v>
          </cell>
          <cell r="G7818">
            <v>275</v>
          </cell>
          <cell r="H7818">
            <v>0</v>
          </cell>
        </row>
        <row r="7819">
          <cell r="D7819" t="str">
            <v>Furnitures</v>
          </cell>
          <cell r="F7819">
            <v>0</v>
          </cell>
          <cell r="G7819">
            <v>275</v>
          </cell>
          <cell r="H7819">
            <v>0</v>
          </cell>
        </row>
        <row r="7820">
          <cell r="D7820" t="str">
            <v>Furnitures</v>
          </cell>
          <cell r="F7820">
            <v>11512.41</v>
          </cell>
          <cell r="G7820">
            <v>275</v>
          </cell>
          <cell r="H7820">
            <v>10925.801095890411</v>
          </cell>
        </row>
        <row r="7821">
          <cell r="D7821" t="str">
            <v>Furnitures</v>
          </cell>
          <cell r="F7821">
            <v>7018.25</v>
          </cell>
          <cell r="G7821">
            <v>275</v>
          </cell>
          <cell r="H7821">
            <v>6660.5616438356165</v>
          </cell>
        </row>
        <row r="7822">
          <cell r="D7822" t="str">
            <v>Furnitures</v>
          </cell>
          <cell r="F7822">
            <v>0</v>
          </cell>
          <cell r="G7822">
            <v>275</v>
          </cell>
          <cell r="H7822">
            <v>0</v>
          </cell>
        </row>
        <row r="7823">
          <cell r="D7823" t="str">
            <v>Furnitures</v>
          </cell>
          <cell r="F7823">
            <v>8796.98</v>
          </cell>
          <cell r="G7823">
            <v>275</v>
          </cell>
          <cell r="H7823">
            <v>8348.6772602739729</v>
          </cell>
        </row>
        <row r="7824">
          <cell r="D7824" t="str">
            <v>Furnitures</v>
          </cell>
          <cell r="F7824">
            <v>0</v>
          </cell>
          <cell r="G7824">
            <v>275</v>
          </cell>
          <cell r="H7824">
            <v>0</v>
          </cell>
        </row>
        <row r="7825">
          <cell r="D7825" t="str">
            <v>Furnitures</v>
          </cell>
          <cell r="F7825">
            <v>7556.8525</v>
          </cell>
          <cell r="G7825">
            <v>275</v>
          </cell>
          <cell r="H7825">
            <v>7171.7413698630135</v>
          </cell>
        </row>
        <row r="7826">
          <cell r="D7826" t="str">
            <v>Furnitures</v>
          </cell>
          <cell r="F7826">
            <v>5802.54</v>
          </cell>
          <cell r="G7826">
            <v>275</v>
          </cell>
          <cell r="H7826">
            <v>5506.8509589041096</v>
          </cell>
        </row>
        <row r="7827">
          <cell r="D7827" t="str">
            <v>Furnitures</v>
          </cell>
          <cell r="F7827">
            <v>4992.2945</v>
          </cell>
          <cell r="G7827">
            <v>275</v>
          </cell>
          <cell r="H7827">
            <v>4737.8588493150683</v>
          </cell>
        </row>
        <row r="7828">
          <cell r="D7828" t="str">
            <v>Furnitures</v>
          </cell>
          <cell r="F7828">
            <v>8534.7039999999997</v>
          </cell>
          <cell r="G7828">
            <v>275</v>
          </cell>
          <cell r="H7828">
            <v>8099.7549589041091</v>
          </cell>
        </row>
        <row r="7829">
          <cell r="D7829" t="str">
            <v>Furnitures</v>
          </cell>
          <cell r="F7829">
            <v>10538.1787</v>
          </cell>
          <cell r="G7829">
            <v>275</v>
          </cell>
          <cell r="H7829">
            <v>10001.121556164384</v>
          </cell>
        </row>
        <row r="7830">
          <cell r="D7830" t="str">
            <v>Furnitures</v>
          </cell>
          <cell r="F7830">
            <v>7027.6170000000002</v>
          </cell>
          <cell r="G7830">
            <v>275</v>
          </cell>
          <cell r="H7830">
            <v>6669.4517260273979</v>
          </cell>
        </row>
        <row r="7831">
          <cell r="D7831" t="str">
            <v>Furnitures</v>
          </cell>
          <cell r="F7831">
            <v>7494.0936000000002</v>
          </cell>
          <cell r="G7831">
            <v>275</v>
          </cell>
          <cell r="H7831">
            <v>7112.1778191780822</v>
          </cell>
        </row>
        <row r="7832">
          <cell r="D7832" t="str">
            <v>Furnitures</v>
          </cell>
          <cell r="F7832">
            <v>0</v>
          </cell>
          <cell r="G7832">
            <v>275</v>
          </cell>
          <cell r="H7832">
            <v>0</v>
          </cell>
        </row>
        <row r="7833">
          <cell r="D7833" t="str">
            <v>Furnitures</v>
          </cell>
          <cell r="F7833">
            <v>7378.1327000000001</v>
          </cell>
          <cell r="G7833">
            <v>275</v>
          </cell>
          <cell r="H7833">
            <v>7002.2737753424663</v>
          </cell>
        </row>
        <row r="7834">
          <cell r="D7834" t="str">
            <v>Furnitures</v>
          </cell>
          <cell r="F7834">
            <v>0</v>
          </cell>
          <cell r="G7834">
            <v>275</v>
          </cell>
          <cell r="H7834">
            <v>0</v>
          </cell>
        </row>
        <row r="7835">
          <cell r="D7835" t="str">
            <v>Furnitures</v>
          </cell>
          <cell r="F7835">
            <v>0</v>
          </cell>
          <cell r="G7835">
            <v>275</v>
          </cell>
          <cell r="H7835">
            <v>0</v>
          </cell>
        </row>
        <row r="7836">
          <cell r="D7836" t="str">
            <v>Furnitures</v>
          </cell>
          <cell r="F7836">
            <v>10303.700000000001</v>
          </cell>
          <cell r="G7836">
            <v>275</v>
          </cell>
          <cell r="H7836">
            <v>9779.0904109589046</v>
          </cell>
        </row>
        <row r="7837">
          <cell r="D7837" t="str">
            <v>Furnitures</v>
          </cell>
          <cell r="F7837">
            <v>36742.057500000003</v>
          </cell>
          <cell r="G7837">
            <v>275</v>
          </cell>
          <cell r="H7837">
            <v>34871.347397260281</v>
          </cell>
        </row>
        <row r="7838">
          <cell r="D7838" t="str">
            <v>Furnitures</v>
          </cell>
          <cell r="F7838">
            <v>20607.400000000001</v>
          </cell>
          <cell r="G7838">
            <v>275</v>
          </cell>
          <cell r="H7838">
            <v>19558.180821917809</v>
          </cell>
        </row>
        <row r="7839">
          <cell r="D7839" t="str">
            <v>Furnitures</v>
          </cell>
          <cell r="F7839">
            <v>11558.878000000001</v>
          </cell>
          <cell r="G7839">
            <v>275</v>
          </cell>
          <cell r="H7839">
            <v>10970.361424657534</v>
          </cell>
        </row>
        <row r="7840">
          <cell r="D7840" t="str">
            <v>Furnitures</v>
          </cell>
          <cell r="F7840">
            <v>67676.574999999997</v>
          </cell>
          <cell r="G7840">
            <v>275</v>
          </cell>
          <cell r="H7840">
            <v>64230.843835616433</v>
          </cell>
        </row>
        <row r="7841">
          <cell r="D7841" t="str">
            <v>Furnitures</v>
          </cell>
          <cell r="F7841">
            <v>8266.3775000000005</v>
          </cell>
          <cell r="G7841">
            <v>275</v>
          </cell>
          <cell r="H7841">
            <v>7845.4975342465759</v>
          </cell>
        </row>
        <row r="7842">
          <cell r="D7842" t="str">
            <v>Furnitures</v>
          </cell>
          <cell r="F7842">
            <v>0</v>
          </cell>
          <cell r="G7842">
            <v>275</v>
          </cell>
          <cell r="H7842">
            <v>0</v>
          </cell>
        </row>
        <row r="7843">
          <cell r="D7843" t="str">
            <v>Furnitures</v>
          </cell>
          <cell r="F7843">
            <v>6182.22</v>
          </cell>
          <cell r="G7843">
            <v>275</v>
          </cell>
          <cell r="H7843">
            <v>5867.4542465753429</v>
          </cell>
        </row>
        <row r="7844">
          <cell r="D7844" t="str">
            <v>Furnitures</v>
          </cell>
          <cell r="F7844">
            <v>23792.18</v>
          </cell>
          <cell r="G7844">
            <v>275</v>
          </cell>
          <cell r="H7844">
            <v>22580.808767123286</v>
          </cell>
        </row>
        <row r="7845">
          <cell r="D7845" t="str">
            <v>Furnitures</v>
          </cell>
          <cell r="F7845">
            <v>15585.9</v>
          </cell>
          <cell r="G7845">
            <v>275</v>
          </cell>
          <cell r="H7845">
            <v>14775.139726027397</v>
          </cell>
        </row>
        <row r="7846">
          <cell r="D7846" t="str">
            <v>Furnitures</v>
          </cell>
          <cell r="F7846">
            <v>684943.68030000012</v>
          </cell>
          <cell r="G7846">
            <v>275</v>
          </cell>
          <cell r="H7846">
            <v>282066.93258082209</v>
          </cell>
        </row>
        <row r="7847">
          <cell r="D7847" t="str">
            <v>Furnitures</v>
          </cell>
          <cell r="F7847">
            <v>21677.097268606558</v>
          </cell>
          <cell r="G7847">
            <v>275</v>
          </cell>
          <cell r="H7847">
            <v>20589.677927921628</v>
          </cell>
        </row>
        <row r="7848">
          <cell r="D7848" t="str">
            <v>Furnitures</v>
          </cell>
          <cell r="F7848">
            <v>21677.097268606558</v>
          </cell>
          <cell r="G7848">
            <v>275</v>
          </cell>
          <cell r="H7848">
            <v>20589.677927921628</v>
          </cell>
        </row>
        <row r="7849">
          <cell r="D7849" t="str">
            <v>Furnitures</v>
          </cell>
          <cell r="F7849">
            <v>15261.180428934425</v>
          </cell>
          <cell r="G7849">
            <v>275</v>
          </cell>
          <cell r="H7849">
            <v>14495.611932633055</v>
          </cell>
        </row>
        <row r="7850">
          <cell r="D7850" t="str">
            <v>Furnitures</v>
          </cell>
          <cell r="F7850">
            <v>15261.180428934425</v>
          </cell>
          <cell r="G7850">
            <v>275</v>
          </cell>
          <cell r="H7850">
            <v>14495.611932633055</v>
          </cell>
        </row>
        <row r="7851">
          <cell r="D7851" t="str">
            <v>Furnitures</v>
          </cell>
          <cell r="F7851">
            <v>15261.180428934425</v>
          </cell>
          <cell r="G7851">
            <v>275</v>
          </cell>
          <cell r="H7851">
            <v>14495.611932633055</v>
          </cell>
        </row>
        <row r="7852">
          <cell r="D7852" t="str">
            <v>Furnitures</v>
          </cell>
          <cell r="F7852">
            <v>15261.180428934425</v>
          </cell>
          <cell r="G7852">
            <v>275</v>
          </cell>
          <cell r="H7852">
            <v>14495.611932633055</v>
          </cell>
        </row>
        <row r="7853">
          <cell r="D7853" t="str">
            <v>Furnitures</v>
          </cell>
          <cell r="F7853">
            <v>15261.180428934425</v>
          </cell>
          <cell r="G7853">
            <v>275</v>
          </cell>
          <cell r="H7853">
            <v>14495.611932633055</v>
          </cell>
        </row>
        <row r="7854">
          <cell r="D7854" t="str">
            <v>Furnitures</v>
          </cell>
          <cell r="F7854">
            <v>15261.180428934425</v>
          </cell>
          <cell r="G7854">
            <v>275</v>
          </cell>
          <cell r="H7854">
            <v>14495.611932633055</v>
          </cell>
        </row>
        <row r="7855">
          <cell r="D7855" t="str">
            <v>Furnitures</v>
          </cell>
          <cell r="F7855">
            <v>15261.180428934425</v>
          </cell>
          <cell r="G7855">
            <v>275</v>
          </cell>
          <cell r="H7855">
            <v>14495.611932633055</v>
          </cell>
        </row>
        <row r="7856">
          <cell r="D7856" t="str">
            <v>Furnitures</v>
          </cell>
          <cell r="F7856">
            <v>15261.180428934425</v>
          </cell>
          <cell r="G7856">
            <v>275</v>
          </cell>
          <cell r="H7856">
            <v>14495.611932633055</v>
          </cell>
        </row>
        <row r="7857">
          <cell r="D7857" t="str">
            <v>Furnitures</v>
          </cell>
          <cell r="F7857">
            <v>15261.180428934425</v>
          </cell>
          <cell r="G7857">
            <v>275</v>
          </cell>
          <cell r="H7857">
            <v>14495.611932633055</v>
          </cell>
        </row>
        <row r="7858">
          <cell r="D7858" t="str">
            <v>Furnitures</v>
          </cell>
          <cell r="F7858">
            <v>15261.180428934425</v>
          </cell>
          <cell r="G7858">
            <v>275</v>
          </cell>
          <cell r="H7858">
            <v>14495.611932633055</v>
          </cell>
        </row>
        <row r="7859">
          <cell r="D7859" t="str">
            <v>Furnitures</v>
          </cell>
          <cell r="F7859">
            <v>15261.180428934425</v>
          </cell>
          <cell r="G7859">
            <v>275</v>
          </cell>
          <cell r="H7859">
            <v>14495.611932633055</v>
          </cell>
        </row>
        <row r="7860">
          <cell r="D7860" t="str">
            <v>Furnitures</v>
          </cell>
          <cell r="F7860">
            <v>15261.180428934425</v>
          </cell>
          <cell r="G7860">
            <v>275</v>
          </cell>
          <cell r="H7860">
            <v>14495.611932633055</v>
          </cell>
        </row>
        <row r="7861">
          <cell r="D7861" t="str">
            <v>Furnitures</v>
          </cell>
          <cell r="F7861">
            <v>15261.161414754099</v>
          </cell>
          <cell r="G7861">
            <v>275</v>
          </cell>
          <cell r="H7861">
            <v>14495.593872288346</v>
          </cell>
        </row>
        <row r="7862">
          <cell r="D7862" t="str">
            <v>Furnitures</v>
          </cell>
          <cell r="F7862">
            <v>5121.0163678278686</v>
          </cell>
          <cell r="G7862">
            <v>275</v>
          </cell>
          <cell r="H7862">
            <v>4866.1634140607457</v>
          </cell>
        </row>
        <row r="7863">
          <cell r="D7863" t="str">
            <v>Furnitures</v>
          </cell>
          <cell r="F7863">
            <v>5121.0163678278686</v>
          </cell>
          <cell r="G7863">
            <v>275</v>
          </cell>
          <cell r="H7863">
            <v>4866.1634140607457</v>
          </cell>
        </row>
        <row r="7864">
          <cell r="D7864" t="str">
            <v>Furnitures</v>
          </cell>
          <cell r="F7864">
            <v>5121.0163678278686</v>
          </cell>
          <cell r="G7864">
            <v>275</v>
          </cell>
          <cell r="H7864">
            <v>4866.1634140607457</v>
          </cell>
        </row>
        <row r="7865">
          <cell r="D7865" t="str">
            <v>Furnitures</v>
          </cell>
          <cell r="F7865">
            <v>5121.0163678278686</v>
          </cell>
          <cell r="G7865">
            <v>275</v>
          </cell>
          <cell r="H7865">
            <v>4866.1634140607457</v>
          </cell>
        </row>
        <row r="7866">
          <cell r="D7866" t="str">
            <v>Furnitures</v>
          </cell>
          <cell r="F7866">
            <v>10242.032735655737</v>
          </cell>
          <cell r="G7866">
            <v>275</v>
          </cell>
          <cell r="H7866">
            <v>9732.3268281214914</v>
          </cell>
        </row>
        <row r="7867">
          <cell r="D7867" t="str">
            <v>Furnitures</v>
          </cell>
          <cell r="F7867">
            <v>15287.58149385246</v>
          </cell>
          <cell r="G7867">
            <v>275</v>
          </cell>
          <cell r="H7867">
            <v>14526.778360290817</v>
          </cell>
        </row>
        <row r="7868">
          <cell r="D7868" t="str">
            <v>Furnitures</v>
          </cell>
          <cell r="F7868">
            <v>20484.065471311475</v>
          </cell>
          <cell r="G7868">
            <v>275</v>
          </cell>
          <cell r="H7868">
            <v>19464.653656242983</v>
          </cell>
        </row>
        <row r="7869">
          <cell r="D7869" t="str">
            <v>Furnitures</v>
          </cell>
          <cell r="F7869">
            <v>12937.304508196721</v>
          </cell>
          <cell r="G7869">
            <v>275</v>
          </cell>
          <cell r="H7869">
            <v>12293.46546710083</v>
          </cell>
        </row>
        <row r="7870">
          <cell r="D7870" t="str">
            <v>Furnitures</v>
          </cell>
          <cell r="F7870">
            <v>38127.496721311472</v>
          </cell>
          <cell r="G7870">
            <v>275</v>
          </cell>
          <cell r="H7870">
            <v>36238.902200763529</v>
          </cell>
        </row>
        <row r="7871">
          <cell r="D7871" t="str">
            <v>Furnitures</v>
          </cell>
          <cell r="F7871">
            <v>9358.5673770491812</v>
          </cell>
          <cell r="G7871">
            <v>275</v>
          </cell>
          <cell r="H7871">
            <v>8895.0032674601407</v>
          </cell>
        </row>
        <row r="7872">
          <cell r="D7872" t="str">
            <v>Furnitures</v>
          </cell>
          <cell r="F7872">
            <v>5589.1444057377048</v>
          </cell>
          <cell r="G7872">
            <v>275</v>
          </cell>
          <cell r="H7872">
            <v>5312.2936180664719</v>
          </cell>
        </row>
        <row r="7873">
          <cell r="D7873" t="str">
            <v>Furnitures</v>
          </cell>
          <cell r="F7873">
            <v>11698.209221311476</v>
          </cell>
          <cell r="G7873">
            <v>275</v>
          </cell>
          <cell r="H7873">
            <v>11118.754084325174</v>
          </cell>
        </row>
        <row r="7874">
          <cell r="D7874" t="str">
            <v>Furnitures</v>
          </cell>
          <cell r="F7874">
            <v>11698.209221311476</v>
          </cell>
          <cell r="G7874">
            <v>275</v>
          </cell>
          <cell r="H7874">
            <v>11118.754084325174</v>
          </cell>
        </row>
        <row r="7875">
          <cell r="D7875" t="str">
            <v>Furnitures</v>
          </cell>
          <cell r="F7875">
            <v>11698.209221311476</v>
          </cell>
          <cell r="G7875">
            <v>275</v>
          </cell>
          <cell r="H7875">
            <v>11118.754084325174</v>
          </cell>
        </row>
        <row r="7876">
          <cell r="D7876" t="str">
            <v>Furnitures</v>
          </cell>
          <cell r="F7876">
            <v>11698.209221311476</v>
          </cell>
          <cell r="G7876">
            <v>275</v>
          </cell>
          <cell r="H7876">
            <v>11118.754084325174</v>
          </cell>
        </row>
        <row r="7877">
          <cell r="D7877" t="str">
            <v>Furnitures</v>
          </cell>
          <cell r="F7877">
            <v>11698.209221311476</v>
          </cell>
          <cell r="G7877">
            <v>275</v>
          </cell>
          <cell r="H7877">
            <v>11118.754084325174</v>
          </cell>
        </row>
        <row r="7878">
          <cell r="D7878" t="str">
            <v>Furnitures</v>
          </cell>
          <cell r="F7878">
            <v>11698.209221311476</v>
          </cell>
          <cell r="G7878">
            <v>275</v>
          </cell>
          <cell r="H7878">
            <v>11118.754084325174</v>
          </cell>
        </row>
        <row r="7879">
          <cell r="D7879" t="str">
            <v>Furnitures</v>
          </cell>
          <cell r="F7879">
            <v>11698.209221311476</v>
          </cell>
          <cell r="G7879">
            <v>275</v>
          </cell>
          <cell r="H7879">
            <v>11118.754084325174</v>
          </cell>
        </row>
        <row r="7880">
          <cell r="D7880" t="str">
            <v>Furnitures</v>
          </cell>
          <cell r="F7880">
            <v>11698.209221311476</v>
          </cell>
          <cell r="G7880">
            <v>275</v>
          </cell>
          <cell r="H7880">
            <v>11118.754084325174</v>
          </cell>
        </row>
        <row r="7881">
          <cell r="D7881" t="str">
            <v>Furnitures</v>
          </cell>
          <cell r="F7881">
            <v>11698.209221311476</v>
          </cell>
          <cell r="G7881">
            <v>275</v>
          </cell>
          <cell r="H7881">
            <v>11118.754084325174</v>
          </cell>
        </row>
        <row r="7882">
          <cell r="D7882" t="str">
            <v>Furnitures</v>
          </cell>
          <cell r="F7882">
            <v>12564.743237704919</v>
          </cell>
          <cell r="G7882">
            <v>275</v>
          </cell>
          <cell r="H7882">
            <v>11942.365497978892</v>
          </cell>
        </row>
        <row r="7883">
          <cell r="D7883" t="str">
            <v>Furnitures</v>
          </cell>
          <cell r="F7883">
            <v>5076.2401776639344</v>
          </cell>
          <cell r="G7883">
            <v>275</v>
          </cell>
          <cell r="H7883">
            <v>4822.055862663934</v>
          </cell>
        </row>
        <row r="7884">
          <cell r="D7884" t="str">
            <v>Furnitures</v>
          </cell>
          <cell r="F7884">
            <v>5076.2401776639344</v>
          </cell>
          <cell r="G7884">
            <v>275</v>
          </cell>
          <cell r="H7884">
            <v>4822.055862663934</v>
          </cell>
        </row>
        <row r="7885">
          <cell r="D7885" t="str">
            <v>Furnitures</v>
          </cell>
          <cell r="F7885">
            <v>5076.2401776639344</v>
          </cell>
          <cell r="G7885">
            <v>275</v>
          </cell>
          <cell r="H7885">
            <v>4822.055862663934</v>
          </cell>
        </row>
        <row r="7886">
          <cell r="D7886" t="str">
            <v>Furnitures</v>
          </cell>
          <cell r="F7886">
            <v>5076.2401776639344</v>
          </cell>
          <cell r="G7886">
            <v>275</v>
          </cell>
          <cell r="H7886">
            <v>4822.055862663934</v>
          </cell>
        </row>
        <row r="7887">
          <cell r="D7887" t="str">
            <v>Furnitures</v>
          </cell>
          <cell r="F7887">
            <v>5076.2401776639344</v>
          </cell>
          <cell r="G7887">
            <v>275</v>
          </cell>
          <cell r="H7887">
            <v>4822.055862663934</v>
          </cell>
        </row>
        <row r="7888">
          <cell r="D7888" t="str">
            <v>Furnitures</v>
          </cell>
          <cell r="F7888">
            <v>5076.2401776639344</v>
          </cell>
          <cell r="G7888">
            <v>275</v>
          </cell>
          <cell r="H7888">
            <v>4822.055862663934</v>
          </cell>
        </row>
        <row r="7889">
          <cell r="D7889" t="str">
            <v>Furnitures</v>
          </cell>
          <cell r="F7889">
            <v>5076.2401776639344</v>
          </cell>
          <cell r="G7889">
            <v>275</v>
          </cell>
          <cell r="H7889">
            <v>4822.055862663934</v>
          </cell>
        </row>
        <row r="7890">
          <cell r="D7890" t="str">
            <v>Furnitures</v>
          </cell>
          <cell r="F7890">
            <v>5076.2401776639344</v>
          </cell>
          <cell r="G7890">
            <v>275</v>
          </cell>
          <cell r="H7890">
            <v>4822.055862663934</v>
          </cell>
        </row>
        <row r="7891">
          <cell r="D7891" t="str">
            <v>Furnitures</v>
          </cell>
          <cell r="F7891">
            <v>5076.2401776639344</v>
          </cell>
          <cell r="G7891">
            <v>275</v>
          </cell>
          <cell r="H7891">
            <v>4822.055862663934</v>
          </cell>
        </row>
        <row r="7892">
          <cell r="D7892" t="str">
            <v>Furnitures</v>
          </cell>
          <cell r="F7892">
            <v>5076.2401776639344</v>
          </cell>
          <cell r="G7892">
            <v>275</v>
          </cell>
          <cell r="H7892">
            <v>4822.055862663934</v>
          </cell>
        </row>
        <row r="7893">
          <cell r="D7893" t="str">
            <v>Furnitures</v>
          </cell>
          <cell r="F7893">
            <v>5076.2401776639344</v>
          </cell>
          <cell r="G7893">
            <v>275</v>
          </cell>
          <cell r="H7893">
            <v>4822.055862663934</v>
          </cell>
        </row>
        <row r="7894">
          <cell r="D7894" t="str">
            <v>Furnitures</v>
          </cell>
          <cell r="F7894">
            <v>5076.2401776639344</v>
          </cell>
          <cell r="G7894">
            <v>275</v>
          </cell>
          <cell r="H7894">
            <v>4822.055862663934</v>
          </cell>
        </row>
        <row r="7895">
          <cell r="D7895" t="str">
            <v>Furnitures</v>
          </cell>
          <cell r="F7895">
            <v>5076.2401776639344</v>
          </cell>
          <cell r="G7895">
            <v>275</v>
          </cell>
          <cell r="H7895">
            <v>4822.055862663934</v>
          </cell>
        </row>
        <row r="7896">
          <cell r="D7896" t="str">
            <v>Furnitures</v>
          </cell>
          <cell r="F7896">
            <v>5076.2401776639344</v>
          </cell>
          <cell r="G7896">
            <v>275</v>
          </cell>
          <cell r="H7896">
            <v>4822.055862663934</v>
          </cell>
        </row>
        <row r="7897">
          <cell r="D7897" t="str">
            <v>Furnitures</v>
          </cell>
          <cell r="F7897">
            <v>5076.2401776639344</v>
          </cell>
          <cell r="G7897">
            <v>275</v>
          </cell>
          <cell r="H7897">
            <v>4822.055862663934</v>
          </cell>
        </row>
        <row r="7898">
          <cell r="D7898" t="str">
            <v>Furnitures</v>
          </cell>
          <cell r="F7898">
            <v>5076.2401776639344</v>
          </cell>
          <cell r="G7898">
            <v>275</v>
          </cell>
          <cell r="H7898">
            <v>4822.055862663934</v>
          </cell>
        </row>
        <row r="7899">
          <cell r="D7899" t="str">
            <v>Furnitures</v>
          </cell>
          <cell r="F7899">
            <v>5076.2401776639344</v>
          </cell>
          <cell r="G7899">
            <v>275</v>
          </cell>
          <cell r="H7899">
            <v>4822.055862663934</v>
          </cell>
        </row>
        <row r="7900">
          <cell r="D7900" t="str">
            <v>Furnitures</v>
          </cell>
          <cell r="F7900">
            <v>5076.2401776639344</v>
          </cell>
          <cell r="G7900">
            <v>275</v>
          </cell>
          <cell r="H7900">
            <v>4822.055862663934</v>
          </cell>
        </row>
        <row r="7901">
          <cell r="D7901" t="str">
            <v>Furnitures</v>
          </cell>
          <cell r="F7901">
            <v>5076.2401776639344</v>
          </cell>
          <cell r="G7901">
            <v>275</v>
          </cell>
          <cell r="H7901">
            <v>4822.055862663934</v>
          </cell>
        </row>
        <row r="7902">
          <cell r="D7902" t="str">
            <v>Furnitures</v>
          </cell>
          <cell r="F7902">
            <v>5076.2401776639344</v>
          </cell>
          <cell r="G7902">
            <v>275</v>
          </cell>
          <cell r="H7902">
            <v>4822.055862663934</v>
          </cell>
        </row>
        <row r="7903">
          <cell r="D7903" t="str">
            <v>Furnitures</v>
          </cell>
          <cell r="F7903">
            <v>5076.2401776639344</v>
          </cell>
          <cell r="G7903">
            <v>275</v>
          </cell>
          <cell r="H7903">
            <v>4822.055862663934</v>
          </cell>
        </row>
        <row r="7904">
          <cell r="D7904" t="str">
            <v>Furnitures</v>
          </cell>
          <cell r="F7904">
            <v>5076.2401776639344</v>
          </cell>
          <cell r="G7904">
            <v>275</v>
          </cell>
          <cell r="H7904">
            <v>4822.055862663934</v>
          </cell>
        </row>
        <row r="7905">
          <cell r="D7905" t="str">
            <v>Furnitures</v>
          </cell>
          <cell r="F7905">
            <v>5076.2401776639344</v>
          </cell>
          <cell r="G7905">
            <v>275</v>
          </cell>
          <cell r="H7905">
            <v>4822.055862663934</v>
          </cell>
        </row>
        <row r="7906">
          <cell r="D7906" t="str">
            <v>Furnitures</v>
          </cell>
          <cell r="F7906">
            <v>5076.2401776639344</v>
          </cell>
          <cell r="G7906">
            <v>275</v>
          </cell>
          <cell r="H7906">
            <v>4822.055862663934</v>
          </cell>
        </row>
        <row r="7907">
          <cell r="D7907" t="str">
            <v>Furnitures</v>
          </cell>
          <cell r="F7907">
            <v>5076.2401776639344</v>
          </cell>
          <cell r="G7907">
            <v>275</v>
          </cell>
          <cell r="H7907">
            <v>4822.055862663934</v>
          </cell>
        </row>
        <row r="7908">
          <cell r="D7908" t="str">
            <v>Furnitures</v>
          </cell>
          <cell r="F7908">
            <v>5076.2401776639344</v>
          </cell>
          <cell r="G7908">
            <v>275</v>
          </cell>
          <cell r="H7908">
            <v>4822.055862663934</v>
          </cell>
        </row>
        <row r="7909">
          <cell r="D7909" t="str">
            <v>Furnitures</v>
          </cell>
          <cell r="F7909">
            <v>5076.2401776639344</v>
          </cell>
          <cell r="G7909">
            <v>275</v>
          </cell>
          <cell r="H7909">
            <v>4822.055862663934</v>
          </cell>
        </row>
        <row r="7910">
          <cell r="D7910" t="str">
            <v>Furnitures</v>
          </cell>
          <cell r="F7910">
            <v>5076.2401776639344</v>
          </cell>
          <cell r="G7910">
            <v>275</v>
          </cell>
          <cell r="H7910">
            <v>4822.055862663934</v>
          </cell>
        </row>
        <row r="7911">
          <cell r="D7911" t="str">
            <v>Furnitures</v>
          </cell>
          <cell r="F7911">
            <v>5076.2401776639344</v>
          </cell>
          <cell r="G7911">
            <v>275</v>
          </cell>
          <cell r="H7911">
            <v>4822.055862663934</v>
          </cell>
        </row>
        <row r="7912">
          <cell r="D7912" t="str">
            <v>Furnitures</v>
          </cell>
          <cell r="F7912">
            <v>5076.2401776639344</v>
          </cell>
          <cell r="G7912">
            <v>275</v>
          </cell>
          <cell r="H7912">
            <v>4822.055862663934</v>
          </cell>
        </row>
        <row r="7913">
          <cell r="D7913" t="str">
            <v>Furnitures</v>
          </cell>
          <cell r="F7913">
            <v>5076.2401776639344</v>
          </cell>
          <cell r="G7913">
            <v>275</v>
          </cell>
          <cell r="H7913">
            <v>4822.055862663934</v>
          </cell>
        </row>
        <row r="7914">
          <cell r="D7914" t="str">
            <v>Furnitures</v>
          </cell>
          <cell r="F7914">
            <v>5076.2401776639344</v>
          </cell>
          <cell r="G7914">
            <v>275</v>
          </cell>
          <cell r="H7914">
            <v>4822.055862663934</v>
          </cell>
        </row>
        <row r="7915">
          <cell r="D7915" t="str">
            <v>Furnitures</v>
          </cell>
          <cell r="F7915">
            <v>5076.2401776639344</v>
          </cell>
          <cell r="G7915">
            <v>275</v>
          </cell>
          <cell r="H7915">
            <v>4822.055862663934</v>
          </cell>
        </row>
        <row r="7916">
          <cell r="D7916" t="str">
            <v>Furnitures</v>
          </cell>
          <cell r="F7916">
            <v>5076.2401776639344</v>
          </cell>
          <cell r="G7916">
            <v>275</v>
          </cell>
          <cell r="H7916">
            <v>4822.055862663934</v>
          </cell>
        </row>
        <row r="7917">
          <cell r="D7917" t="str">
            <v>Furnitures</v>
          </cell>
          <cell r="F7917">
            <v>5076.2401776639344</v>
          </cell>
          <cell r="G7917">
            <v>275</v>
          </cell>
          <cell r="H7917">
            <v>4822.055862663934</v>
          </cell>
        </row>
        <row r="7918">
          <cell r="D7918" t="str">
            <v>Furnitures</v>
          </cell>
          <cell r="F7918">
            <v>5076.2401776639344</v>
          </cell>
          <cell r="G7918">
            <v>275</v>
          </cell>
          <cell r="H7918">
            <v>4822.055862663934</v>
          </cell>
        </row>
        <row r="7919">
          <cell r="D7919" t="str">
            <v>Furnitures</v>
          </cell>
          <cell r="F7919">
            <v>5076.2401776639344</v>
          </cell>
          <cell r="G7919">
            <v>275</v>
          </cell>
          <cell r="H7919">
            <v>4822.055862663934</v>
          </cell>
        </row>
        <row r="7920">
          <cell r="D7920" t="str">
            <v>Furnitures</v>
          </cell>
          <cell r="F7920">
            <v>5076.2401776639344</v>
          </cell>
          <cell r="G7920">
            <v>275</v>
          </cell>
          <cell r="H7920">
            <v>4822.055862663934</v>
          </cell>
        </row>
        <row r="7921">
          <cell r="D7921" t="str">
            <v>Furnitures</v>
          </cell>
          <cell r="F7921">
            <v>5076.2401776639344</v>
          </cell>
          <cell r="G7921">
            <v>275</v>
          </cell>
          <cell r="H7921">
            <v>4822.055862663934</v>
          </cell>
        </row>
        <row r="7922">
          <cell r="D7922" t="str">
            <v>Furnitures</v>
          </cell>
          <cell r="F7922">
            <v>5076.2401776639344</v>
          </cell>
          <cell r="G7922">
            <v>275</v>
          </cell>
          <cell r="H7922">
            <v>4822.055862663934</v>
          </cell>
        </row>
        <row r="7923">
          <cell r="D7923" t="str">
            <v>Furnitures</v>
          </cell>
          <cell r="F7923">
            <v>5076.2401776639344</v>
          </cell>
          <cell r="G7923">
            <v>275</v>
          </cell>
          <cell r="H7923">
            <v>4822.055862663934</v>
          </cell>
        </row>
        <row r="7924">
          <cell r="D7924" t="str">
            <v>Furnitures</v>
          </cell>
          <cell r="F7924">
            <v>5076.2401776639344</v>
          </cell>
          <cell r="G7924">
            <v>275</v>
          </cell>
          <cell r="H7924">
            <v>4822.055862663934</v>
          </cell>
        </row>
        <row r="7925">
          <cell r="D7925" t="str">
            <v>Furnitures</v>
          </cell>
          <cell r="F7925">
            <v>5076.2401776639344</v>
          </cell>
          <cell r="G7925">
            <v>275</v>
          </cell>
          <cell r="H7925">
            <v>4822.055862663934</v>
          </cell>
        </row>
        <row r="7926">
          <cell r="D7926" t="str">
            <v>Furnitures</v>
          </cell>
          <cell r="F7926">
            <v>5076.2401776639344</v>
          </cell>
          <cell r="G7926">
            <v>275</v>
          </cell>
          <cell r="H7926">
            <v>4822.055862663934</v>
          </cell>
        </row>
        <row r="7927">
          <cell r="D7927" t="str">
            <v>Furnitures</v>
          </cell>
          <cell r="F7927">
            <v>5076.2401776639344</v>
          </cell>
          <cell r="G7927">
            <v>275</v>
          </cell>
          <cell r="H7927">
            <v>4822.055862663934</v>
          </cell>
        </row>
        <row r="7928">
          <cell r="D7928" t="str">
            <v>Furnitures</v>
          </cell>
          <cell r="F7928">
            <v>5076.2401776639344</v>
          </cell>
          <cell r="G7928">
            <v>275</v>
          </cell>
          <cell r="H7928">
            <v>4822.055862663934</v>
          </cell>
        </row>
        <row r="7929">
          <cell r="D7929" t="str">
            <v>Furnitures</v>
          </cell>
          <cell r="F7929">
            <v>5076.2401776639344</v>
          </cell>
          <cell r="G7929">
            <v>275</v>
          </cell>
          <cell r="H7929">
            <v>4822.055862663934</v>
          </cell>
        </row>
        <row r="7930">
          <cell r="D7930" t="str">
            <v>Furnitures</v>
          </cell>
          <cell r="F7930">
            <v>5076.2401776639344</v>
          </cell>
          <cell r="G7930">
            <v>275</v>
          </cell>
          <cell r="H7930">
            <v>4822.055862663934</v>
          </cell>
        </row>
        <row r="7931">
          <cell r="D7931" t="str">
            <v>Furnitures</v>
          </cell>
          <cell r="F7931">
            <v>5076.2401776639344</v>
          </cell>
          <cell r="G7931">
            <v>275</v>
          </cell>
          <cell r="H7931">
            <v>4822.055862663934</v>
          </cell>
        </row>
        <row r="7932">
          <cell r="D7932" t="str">
            <v>Furnitures</v>
          </cell>
          <cell r="F7932">
            <v>5076.2401776639344</v>
          </cell>
          <cell r="G7932">
            <v>275</v>
          </cell>
          <cell r="H7932">
            <v>4822.055862663934</v>
          </cell>
        </row>
        <row r="7933">
          <cell r="D7933" t="str">
            <v>Furnitures</v>
          </cell>
          <cell r="F7933">
            <v>5076.2401776639344</v>
          </cell>
          <cell r="G7933">
            <v>275</v>
          </cell>
          <cell r="H7933">
            <v>4822.055862663934</v>
          </cell>
        </row>
        <row r="7934">
          <cell r="D7934" t="str">
            <v>Furnitures</v>
          </cell>
          <cell r="F7934">
            <v>5076.2401776639344</v>
          </cell>
          <cell r="G7934">
            <v>275</v>
          </cell>
          <cell r="H7934">
            <v>4822.055862663934</v>
          </cell>
        </row>
        <row r="7935">
          <cell r="D7935" t="str">
            <v>Furnitures</v>
          </cell>
          <cell r="F7935">
            <v>5076.2401776639344</v>
          </cell>
          <cell r="G7935">
            <v>275</v>
          </cell>
          <cell r="H7935">
            <v>4822.055862663934</v>
          </cell>
        </row>
        <row r="7936">
          <cell r="D7936" t="str">
            <v>Furnitures</v>
          </cell>
          <cell r="F7936">
            <v>5076.2401776639344</v>
          </cell>
          <cell r="G7936">
            <v>275</v>
          </cell>
          <cell r="H7936">
            <v>4822.055862663934</v>
          </cell>
        </row>
        <row r="7937">
          <cell r="D7937" t="str">
            <v>Furnitures</v>
          </cell>
          <cell r="F7937">
            <v>5076.2401776639344</v>
          </cell>
          <cell r="G7937">
            <v>275</v>
          </cell>
          <cell r="H7937">
            <v>4822.055862663934</v>
          </cell>
        </row>
        <row r="7938">
          <cell r="D7938" t="str">
            <v>Furnitures</v>
          </cell>
          <cell r="F7938">
            <v>5076.2401776639344</v>
          </cell>
          <cell r="G7938">
            <v>275</v>
          </cell>
          <cell r="H7938">
            <v>4822.055862663934</v>
          </cell>
        </row>
        <row r="7939">
          <cell r="D7939" t="str">
            <v>Furnitures</v>
          </cell>
          <cell r="F7939">
            <v>5076.2401776639344</v>
          </cell>
          <cell r="G7939">
            <v>275</v>
          </cell>
          <cell r="H7939">
            <v>4822.055862663934</v>
          </cell>
        </row>
        <row r="7940">
          <cell r="D7940" t="str">
            <v>Furnitures</v>
          </cell>
          <cell r="F7940">
            <v>5076.2401776639344</v>
          </cell>
          <cell r="G7940">
            <v>275</v>
          </cell>
          <cell r="H7940">
            <v>4822.055862663934</v>
          </cell>
        </row>
        <row r="7941">
          <cell r="D7941" t="str">
            <v>Furnitures</v>
          </cell>
          <cell r="F7941">
            <v>5076.2401776639344</v>
          </cell>
          <cell r="G7941">
            <v>275</v>
          </cell>
          <cell r="H7941">
            <v>4822.055862663934</v>
          </cell>
        </row>
        <row r="7942">
          <cell r="D7942" t="str">
            <v>Furnitures</v>
          </cell>
          <cell r="F7942">
            <v>5076.2401776639344</v>
          </cell>
          <cell r="G7942">
            <v>275</v>
          </cell>
          <cell r="H7942">
            <v>4822.055862663934</v>
          </cell>
        </row>
        <row r="7943">
          <cell r="D7943" t="str">
            <v>Furnitures</v>
          </cell>
          <cell r="F7943">
            <v>5076.2401776639344</v>
          </cell>
          <cell r="G7943">
            <v>275</v>
          </cell>
          <cell r="H7943">
            <v>4822.055862663934</v>
          </cell>
        </row>
        <row r="7944">
          <cell r="D7944" t="str">
            <v>Furnitures</v>
          </cell>
          <cell r="F7944">
            <v>5076.2401776639344</v>
          </cell>
          <cell r="G7944">
            <v>275</v>
          </cell>
          <cell r="H7944">
            <v>4822.055862663934</v>
          </cell>
        </row>
        <row r="7945">
          <cell r="D7945" t="str">
            <v>Furnitures</v>
          </cell>
          <cell r="F7945">
            <v>5076.2401776639344</v>
          </cell>
          <cell r="G7945">
            <v>275</v>
          </cell>
          <cell r="H7945">
            <v>4822.055862663934</v>
          </cell>
        </row>
        <row r="7946">
          <cell r="D7946" t="str">
            <v>Furnitures</v>
          </cell>
          <cell r="F7946">
            <v>5076.2401776639344</v>
          </cell>
          <cell r="G7946">
            <v>275</v>
          </cell>
          <cell r="H7946">
            <v>4822.055862663934</v>
          </cell>
        </row>
        <row r="7947">
          <cell r="D7947" t="str">
            <v>Furnitures</v>
          </cell>
          <cell r="F7947">
            <v>5076.2401776639344</v>
          </cell>
          <cell r="G7947">
            <v>275</v>
          </cell>
          <cell r="H7947">
            <v>4822.055862663934</v>
          </cell>
        </row>
        <row r="7948">
          <cell r="D7948" t="str">
            <v>Furnitures</v>
          </cell>
          <cell r="F7948">
            <v>5076.2401776639344</v>
          </cell>
          <cell r="G7948">
            <v>275</v>
          </cell>
          <cell r="H7948">
            <v>4822.055862663934</v>
          </cell>
        </row>
        <row r="7949">
          <cell r="D7949" t="str">
            <v>Furnitures</v>
          </cell>
          <cell r="F7949">
            <v>5076.2401776639344</v>
          </cell>
          <cell r="G7949">
            <v>275</v>
          </cell>
          <cell r="H7949">
            <v>4822.055862663934</v>
          </cell>
        </row>
        <row r="7950">
          <cell r="D7950" t="str">
            <v>Furnitures</v>
          </cell>
          <cell r="F7950">
            <v>5076.2401776639344</v>
          </cell>
          <cell r="G7950">
            <v>275</v>
          </cell>
          <cell r="H7950">
            <v>4822.055862663934</v>
          </cell>
        </row>
        <row r="7951">
          <cell r="D7951" t="str">
            <v>Furnitures</v>
          </cell>
          <cell r="F7951">
            <v>5076.2401776639344</v>
          </cell>
          <cell r="G7951">
            <v>275</v>
          </cell>
          <cell r="H7951">
            <v>4822.055862663934</v>
          </cell>
        </row>
        <row r="7952">
          <cell r="D7952" t="str">
            <v>Furnitures</v>
          </cell>
          <cell r="F7952">
            <v>5076.2401776639344</v>
          </cell>
          <cell r="G7952">
            <v>275</v>
          </cell>
          <cell r="H7952">
            <v>4822.055862663934</v>
          </cell>
        </row>
        <row r="7953">
          <cell r="D7953" t="str">
            <v>Furnitures</v>
          </cell>
          <cell r="F7953">
            <v>5076.2401776639344</v>
          </cell>
          <cell r="G7953">
            <v>275</v>
          </cell>
          <cell r="H7953">
            <v>4822.055862663934</v>
          </cell>
        </row>
        <row r="7954">
          <cell r="D7954" t="str">
            <v>Furnitures</v>
          </cell>
          <cell r="F7954">
            <v>5076.2401776639344</v>
          </cell>
          <cell r="G7954">
            <v>275</v>
          </cell>
          <cell r="H7954">
            <v>4822.055862663934</v>
          </cell>
        </row>
        <row r="7955">
          <cell r="D7955" t="str">
            <v>Furnitures</v>
          </cell>
          <cell r="F7955">
            <v>5076.2401776639344</v>
          </cell>
          <cell r="G7955">
            <v>275</v>
          </cell>
          <cell r="H7955">
            <v>4822.055862663934</v>
          </cell>
        </row>
        <row r="7956">
          <cell r="D7956" t="str">
            <v>Furnitures</v>
          </cell>
          <cell r="F7956">
            <v>5076.2401776639344</v>
          </cell>
          <cell r="G7956">
            <v>275</v>
          </cell>
          <cell r="H7956">
            <v>4822.055862663934</v>
          </cell>
        </row>
        <row r="7957">
          <cell r="D7957" t="str">
            <v>Furnitures</v>
          </cell>
          <cell r="F7957">
            <v>5076.2401776639344</v>
          </cell>
          <cell r="G7957">
            <v>275</v>
          </cell>
          <cell r="H7957">
            <v>4822.055862663934</v>
          </cell>
        </row>
        <row r="7958">
          <cell r="D7958" t="str">
            <v>Furnitures</v>
          </cell>
          <cell r="F7958">
            <v>5076.2401776639344</v>
          </cell>
          <cell r="G7958">
            <v>275</v>
          </cell>
          <cell r="H7958">
            <v>4822.055862663934</v>
          </cell>
        </row>
        <row r="7959">
          <cell r="D7959" t="str">
            <v>Furnitures</v>
          </cell>
          <cell r="F7959">
            <v>5076.2401776639344</v>
          </cell>
          <cell r="G7959">
            <v>275</v>
          </cell>
          <cell r="H7959">
            <v>4822.055862663934</v>
          </cell>
        </row>
        <row r="7960">
          <cell r="D7960" t="str">
            <v>Furnitures</v>
          </cell>
          <cell r="F7960">
            <v>5076.2401776639344</v>
          </cell>
          <cell r="G7960">
            <v>275</v>
          </cell>
          <cell r="H7960">
            <v>4822.055862663934</v>
          </cell>
        </row>
        <row r="7961">
          <cell r="D7961" t="str">
            <v>Furnitures</v>
          </cell>
          <cell r="F7961">
            <v>5076.2401776639344</v>
          </cell>
          <cell r="G7961">
            <v>275</v>
          </cell>
          <cell r="H7961">
            <v>4822.055862663934</v>
          </cell>
        </row>
        <row r="7962">
          <cell r="D7962" t="str">
            <v>Furnitures</v>
          </cell>
          <cell r="F7962">
            <v>5076.2401776639344</v>
          </cell>
          <cell r="G7962">
            <v>275</v>
          </cell>
          <cell r="H7962">
            <v>4822.055862663934</v>
          </cell>
        </row>
        <row r="7963">
          <cell r="D7963" t="str">
            <v>Furnitures</v>
          </cell>
          <cell r="F7963">
            <v>5076.2401776639344</v>
          </cell>
          <cell r="G7963">
            <v>275</v>
          </cell>
          <cell r="H7963">
            <v>4822.055862663934</v>
          </cell>
        </row>
        <row r="7964">
          <cell r="D7964" t="str">
            <v>Furnitures</v>
          </cell>
          <cell r="F7964">
            <v>5076.2401776639344</v>
          </cell>
          <cell r="G7964">
            <v>275</v>
          </cell>
          <cell r="H7964">
            <v>4822.055862663934</v>
          </cell>
        </row>
        <row r="7965">
          <cell r="D7965" t="str">
            <v>Furnitures</v>
          </cell>
          <cell r="F7965">
            <v>5076.2401776639344</v>
          </cell>
          <cell r="G7965">
            <v>275</v>
          </cell>
          <cell r="H7965">
            <v>4822.055862663934</v>
          </cell>
        </row>
        <row r="7966">
          <cell r="D7966" t="str">
            <v>Furnitures</v>
          </cell>
          <cell r="F7966">
            <v>5076.2401776639344</v>
          </cell>
          <cell r="G7966">
            <v>275</v>
          </cell>
          <cell r="H7966">
            <v>4822.055862663934</v>
          </cell>
        </row>
        <row r="7967">
          <cell r="D7967" t="str">
            <v>Furnitures</v>
          </cell>
          <cell r="F7967">
            <v>5076.2401776639344</v>
          </cell>
          <cell r="G7967">
            <v>275</v>
          </cell>
          <cell r="H7967">
            <v>4822.055862663934</v>
          </cell>
        </row>
        <row r="7968">
          <cell r="D7968" t="str">
            <v>Furnitures</v>
          </cell>
          <cell r="F7968">
            <v>5076.2401776639344</v>
          </cell>
          <cell r="G7968">
            <v>275</v>
          </cell>
          <cell r="H7968">
            <v>4822.055862663934</v>
          </cell>
        </row>
        <row r="7969">
          <cell r="D7969" t="str">
            <v>Furnitures</v>
          </cell>
          <cell r="F7969">
            <v>5076.2401776639344</v>
          </cell>
          <cell r="G7969">
            <v>275</v>
          </cell>
          <cell r="H7969">
            <v>4822.055862663934</v>
          </cell>
        </row>
        <row r="7970">
          <cell r="D7970" t="str">
            <v>Furnitures</v>
          </cell>
          <cell r="F7970">
            <v>5076.2401776639344</v>
          </cell>
          <cell r="G7970">
            <v>275</v>
          </cell>
          <cell r="H7970">
            <v>4822.055862663934</v>
          </cell>
        </row>
        <row r="7971">
          <cell r="D7971" t="str">
            <v>Furnitures</v>
          </cell>
          <cell r="F7971">
            <v>5076.2401776639344</v>
          </cell>
          <cell r="G7971">
            <v>275</v>
          </cell>
          <cell r="H7971">
            <v>4822.055862663934</v>
          </cell>
        </row>
        <row r="7972">
          <cell r="D7972" t="str">
            <v>Furnitures</v>
          </cell>
          <cell r="F7972">
            <v>5076.2401776639344</v>
          </cell>
          <cell r="G7972">
            <v>275</v>
          </cell>
          <cell r="H7972">
            <v>4822.055862663934</v>
          </cell>
        </row>
        <row r="7973">
          <cell r="D7973" t="str">
            <v>Furnitures</v>
          </cell>
          <cell r="F7973">
            <v>5076.2401776639344</v>
          </cell>
          <cell r="G7973">
            <v>275</v>
          </cell>
          <cell r="H7973">
            <v>4822.055862663934</v>
          </cell>
        </row>
        <row r="7974">
          <cell r="D7974" t="str">
            <v>Furnitures</v>
          </cell>
          <cell r="F7974">
            <v>5076.2401776639344</v>
          </cell>
          <cell r="G7974">
            <v>275</v>
          </cell>
          <cell r="H7974">
            <v>4822.055862663934</v>
          </cell>
        </row>
        <row r="7975">
          <cell r="D7975" t="str">
            <v>Furnitures</v>
          </cell>
          <cell r="F7975">
            <v>5076.2401776639344</v>
          </cell>
          <cell r="G7975">
            <v>275</v>
          </cell>
          <cell r="H7975">
            <v>4822.055862663934</v>
          </cell>
        </row>
        <row r="7976">
          <cell r="D7976" t="str">
            <v>Furnitures</v>
          </cell>
          <cell r="F7976">
            <v>5076.2401776639344</v>
          </cell>
          <cell r="G7976">
            <v>275</v>
          </cell>
          <cell r="H7976">
            <v>4822.055862663934</v>
          </cell>
        </row>
        <row r="7977">
          <cell r="D7977" t="str">
            <v>Furnitures</v>
          </cell>
          <cell r="F7977">
            <v>5076.2401776639344</v>
          </cell>
          <cell r="G7977">
            <v>275</v>
          </cell>
          <cell r="H7977">
            <v>4822.055862663934</v>
          </cell>
        </row>
        <row r="7978">
          <cell r="D7978" t="str">
            <v>Furnitures</v>
          </cell>
          <cell r="F7978">
            <v>5076.2401776639344</v>
          </cell>
          <cell r="G7978">
            <v>275</v>
          </cell>
          <cell r="H7978">
            <v>4822.055862663934</v>
          </cell>
        </row>
        <row r="7979">
          <cell r="D7979" t="str">
            <v>Furnitures</v>
          </cell>
          <cell r="F7979">
            <v>5076.2401776639344</v>
          </cell>
          <cell r="G7979">
            <v>275</v>
          </cell>
          <cell r="H7979">
            <v>4822.055862663934</v>
          </cell>
        </row>
        <row r="7980">
          <cell r="D7980" t="str">
            <v>Furnitures</v>
          </cell>
          <cell r="F7980">
            <v>5076.2401776639344</v>
          </cell>
          <cell r="G7980">
            <v>275</v>
          </cell>
          <cell r="H7980">
            <v>4822.055862663934</v>
          </cell>
        </row>
        <row r="7981">
          <cell r="D7981" t="str">
            <v>Furnitures</v>
          </cell>
          <cell r="F7981">
            <v>5076.2401776639344</v>
          </cell>
          <cell r="G7981">
            <v>275</v>
          </cell>
          <cell r="H7981">
            <v>4822.055862663934</v>
          </cell>
        </row>
        <row r="7982">
          <cell r="D7982" t="str">
            <v>Furnitures</v>
          </cell>
          <cell r="F7982">
            <v>5076.2401776639344</v>
          </cell>
          <cell r="G7982">
            <v>275</v>
          </cell>
          <cell r="H7982">
            <v>4822.055862663934</v>
          </cell>
        </row>
        <row r="7983">
          <cell r="D7983" t="str">
            <v>Furnitures</v>
          </cell>
          <cell r="F7983">
            <v>5076.2401776639344</v>
          </cell>
          <cell r="G7983">
            <v>275</v>
          </cell>
          <cell r="H7983">
            <v>4822.055862663934</v>
          </cell>
        </row>
        <row r="7984">
          <cell r="D7984" t="str">
            <v>Furnitures</v>
          </cell>
          <cell r="F7984">
            <v>5076.2401776639344</v>
          </cell>
          <cell r="G7984">
            <v>275</v>
          </cell>
          <cell r="H7984">
            <v>4822.055862663934</v>
          </cell>
        </row>
        <row r="7985">
          <cell r="D7985" t="str">
            <v>Furnitures</v>
          </cell>
          <cell r="F7985">
            <v>5076.2401776639344</v>
          </cell>
          <cell r="G7985">
            <v>275</v>
          </cell>
          <cell r="H7985">
            <v>4822.055862663934</v>
          </cell>
        </row>
        <row r="7986">
          <cell r="D7986" t="str">
            <v>Furnitures</v>
          </cell>
          <cell r="F7986">
            <v>5076.2401776639344</v>
          </cell>
          <cell r="G7986">
            <v>275</v>
          </cell>
          <cell r="H7986">
            <v>4822.055862663934</v>
          </cell>
        </row>
        <row r="7987">
          <cell r="D7987" t="str">
            <v>Furnitures</v>
          </cell>
          <cell r="F7987">
            <v>5076.2401776639344</v>
          </cell>
          <cell r="G7987">
            <v>275</v>
          </cell>
          <cell r="H7987">
            <v>4822.055862663934</v>
          </cell>
        </row>
        <row r="7988">
          <cell r="D7988" t="str">
            <v>Furnitures</v>
          </cell>
          <cell r="F7988">
            <v>5076.2401776639344</v>
          </cell>
          <cell r="G7988">
            <v>275</v>
          </cell>
          <cell r="H7988">
            <v>4822.055862663934</v>
          </cell>
        </row>
        <row r="7989">
          <cell r="D7989" t="str">
            <v>Furnitures</v>
          </cell>
          <cell r="F7989">
            <v>5076.2401776639344</v>
          </cell>
          <cell r="G7989">
            <v>275</v>
          </cell>
          <cell r="H7989">
            <v>4822.055862663934</v>
          </cell>
        </row>
        <row r="7990">
          <cell r="D7990" t="str">
            <v>Furnitures</v>
          </cell>
          <cell r="F7990">
            <v>5076.2401776639344</v>
          </cell>
          <cell r="G7990">
            <v>275</v>
          </cell>
          <cell r="H7990">
            <v>4822.055862663934</v>
          </cell>
        </row>
        <row r="7991">
          <cell r="D7991" t="str">
            <v>Furnitures</v>
          </cell>
          <cell r="F7991">
            <v>5076.2401776639344</v>
          </cell>
          <cell r="G7991">
            <v>275</v>
          </cell>
          <cell r="H7991">
            <v>4822.055862663934</v>
          </cell>
        </row>
        <row r="7992">
          <cell r="D7992" t="str">
            <v>Furnitures</v>
          </cell>
          <cell r="F7992">
            <v>5076.2401776639344</v>
          </cell>
          <cell r="G7992">
            <v>275</v>
          </cell>
          <cell r="H7992">
            <v>4822.055862663934</v>
          </cell>
        </row>
        <row r="7993">
          <cell r="D7993" t="str">
            <v>Furnitures</v>
          </cell>
          <cell r="F7993">
            <v>5076.2401776639344</v>
          </cell>
          <cell r="G7993">
            <v>275</v>
          </cell>
          <cell r="H7993">
            <v>4822.055862663934</v>
          </cell>
        </row>
        <row r="7994">
          <cell r="D7994" t="str">
            <v>Furnitures</v>
          </cell>
          <cell r="F7994">
            <v>5076.2401776639344</v>
          </cell>
          <cell r="G7994">
            <v>275</v>
          </cell>
          <cell r="H7994">
            <v>4822.055862663934</v>
          </cell>
        </row>
        <row r="7995">
          <cell r="D7995" t="str">
            <v>Furnitures</v>
          </cell>
          <cell r="F7995">
            <v>5076.2401776639344</v>
          </cell>
          <cell r="G7995">
            <v>275</v>
          </cell>
          <cell r="H7995">
            <v>4822.055862663934</v>
          </cell>
        </row>
        <row r="7996">
          <cell r="D7996" t="str">
            <v>Furnitures</v>
          </cell>
          <cell r="F7996">
            <v>5076.2401776639344</v>
          </cell>
          <cell r="G7996">
            <v>275</v>
          </cell>
          <cell r="H7996">
            <v>4822.055862663934</v>
          </cell>
        </row>
        <row r="7997">
          <cell r="D7997" t="str">
            <v>Furnitures</v>
          </cell>
          <cell r="F7997">
            <v>5076.2401776639344</v>
          </cell>
          <cell r="G7997">
            <v>275</v>
          </cell>
          <cell r="H7997">
            <v>4822.055862663934</v>
          </cell>
        </row>
        <row r="7998">
          <cell r="D7998" t="str">
            <v>Furnitures</v>
          </cell>
          <cell r="F7998">
            <v>5076.2401776639344</v>
          </cell>
          <cell r="G7998">
            <v>275</v>
          </cell>
          <cell r="H7998">
            <v>4822.055862663934</v>
          </cell>
        </row>
        <row r="7999">
          <cell r="D7999" t="str">
            <v>Furnitures</v>
          </cell>
          <cell r="F7999">
            <v>5076.2401776639344</v>
          </cell>
          <cell r="G7999">
            <v>275</v>
          </cell>
          <cell r="H7999">
            <v>4822.055862663934</v>
          </cell>
        </row>
        <row r="8000">
          <cell r="D8000" t="str">
            <v>Furnitures</v>
          </cell>
          <cell r="F8000">
            <v>5076.2401776639344</v>
          </cell>
          <cell r="G8000">
            <v>275</v>
          </cell>
          <cell r="H8000">
            <v>4822.055862663934</v>
          </cell>
        </row>
        <row r="8001">
          <cell r="D8001" t="str">
            <v>Furnitures</v>
          </cell>
          <cell r="F8001">
            <v>5076.2401776639344</v>
          </cell>
          <cell r="G8001">
            <v>275</v>
          </cell>
          <cell r="H8001">
            <v>4822.055862663934</v>
          </cell>
        </row>
        <row r="8002">
          <cell r="D8002" t="str">
            <v>Furnitures</v>
          </cell>
          <cell r="F8002">
            <v>5076.2401776639344</v>
          </cell>
          <cell r="G8002">
            <v>275</v>
          </cell>
          <cell r="H8002">
            <v>4822.055862663934</v>
          </cell>
        </row>
        <row r="8003">
          <cell r="D8003" t="str">
            <v>Furnitures</v>
          </cell>
          <cell r="F8003">
            <v>5076.2401776639344</v>
          </cell>
          <cell r="G8003">
            <v>275</v>
          </cell>
          <cell r="H8003">
            <v>4822.055862663934</v>
          </cell>
        </row>
        <row r="8004">
          <cell r="D8004" t="str">
            <v>Furnitures</v>
          </cell>
          <cell r="F8004">
            <v>5076.2401776639344</v>
          </cell>
          <cell r="G8004">
            <v>275</v>
          </cell>
          <cell r="H8004">
            <v>4822.055862663934</v>
          </cell>
        </row>
        <row r="8005">
          <cell r="D8005" t="str">
            <v>Furnitures</v>
          </cell>
          <cell r="F8005">
            <v>5076.2401776639344</v>
          </cell>
          <cell r="G8005">
            <v>275</v>
          </cell>
          <cell r="H8005">
            <v>4822.055862663934</v>
          </cell>
        </row>
        <row r="8006">
          <cell r="D8006" t="str">
            <v>Furnitures</v>
          </cell>
          <cell r="F8006">
            <v>5076.2401776639344</v>
          </cell>
          <cell r="G8006">
            <v>275</v>
          </cell>
          <cell r="H8006">
            <v>4822.055862663934</v>
          </cell>
        </row>
        <row r="8007">
          <cell r="D8007" t="str">
            <v>Furnitures</v>
          </cell>
          <cell r="F8007">
            <v>5076.2401776639344</v>
          </cell>
          <cell r="G8007">
            <v>275</v>
          </cell>
          <cell r="H8007">
            <v>4822.055862663934</v>
          </cell>
        </row>
        <row r="8008">
          <cell r="D8008" t="str">
            <v>Furnitures</v>
          </cell>
          <cell r="F8008">
            <v>5076.2401776639344</v>
          </cell>
          <cell r="G8008">
            <v>275</v>
          </cell>
          <cell r="H8008">
            <v>4822.055862663934</v>
          </cell>
        </row>
        <row r="8009">
          <cell r="D8009" t="str">
            <v>Furnitures</v>
          </cell>
          <cell r="F8009">
            <v>5076.2401776639344</v>
          </cell>
          <cell r="G8009">
            <v>275</v>
          </cell>
          <cell r="H8009">
            <v>4822.055862663934</v>
          </cell>
        </row>
        <row r="8010">
          <cell r="D8010" t="str">
            <v>Furnitures</v>
          </cell>
          <cell r="F8010">
            <v>5076.2401776639344</v>
          </cell>
          <cell r="G8010">
            <v>275</v>
          </cell>
          <cell r="H8010">
            <v>4822.055862663934</v>
          </cell>
        </row>
        <row r="8011">
          <cell r="D8011" t="str">
            <v>Furnitures</v>
          </cell>
          <cell r="F8011">
            <v>5076.2401776639344</v>
          </cell>
          <cell r="G8011">
            <v>275</v>
          </cell>
          <cell r="H8011">
            <v>4822.055862663934</v>
          </cell>
        </row>
        <row r="8012">
          <cell r="D8012" t="str">
            <v>Furnitures</v>
          </cell>
          <cell r="F8012">
            <v>5076.2401776639344</v>
          </cell>
          <cell r="G8012">
            <v>275</v>
          </cell>
          <cell r="H8012">
            <v>4822.055862663934</v>
          </cell>
        </row>
        <row r="8013">
          <cell r="D8013" t="str">
            <v>Furnitures</v>
          </cell>
          <cell r="F8013">
            <v>5076.2401776639344</v>
          </cell>
          <cell r="G8013">
            <v>275</v>
          </cell>
          <cell r="H8013">
            <v>4822.055862663934</v>
          </cell>
        </row>
        <row r="8014">
          <cell r="D8014" t="str">
            <v>Furnitures</v>
          </cell>
          <cell r="F8014">
            <v>5076.2401776639344</v>
          </cell>
          <cell r="G8014">
            <v>275</v>
          </cell>
          <cell r="H8014">
            <v>4822.055862663934</v>
          </cell>
        </row>
        <row r="8015">
          <cell r="D8015" t="str">
            <v>Furnitures</v>
          </cell>
          <cell r="F8015">
            <v>5076.2401776639344</v>
          </cell>
          <cell r="G8015">
            <v>275</v>
          </cell>
          <cell r="H8015">
            <v>4822.055862663934</v>
          </cell>
        </row>
        <row r="8016">
          <cell r="D8016" t="str">
            <v>Furnitures</v>
          </cell>
          <cell r="F8016">
            <v>5076.2401776639344</v>
          </cell>
          <cell r="G8016">
            <v>275</v>
          </cell>
          <cell r="H8016">
            <v>4822.055862663934</v>
          </cell>
        </row>
        <row r="8017">
          <cell r="D8017" t="str">
            <v>Furnitures</v>
          </cell>
          <cell r="F8017">
            <v>5076.2401776639344</v>
          </cell>
          <cell r="G8017">
            <v>275</v>
          </cell>
          <cell r="H8017">
            <v>4822.055862663934</v>
          </cell>
        </row>
        <row r="8018">
          <cell r="D8018" t="str">
            <v>Furnitures</v>
          </cell>
          <cell r="F8018">
            <v>5076.2401776639344</v>
          </cell>
          <cell r="G8018">
            <v>275</v>
          </cell>
          <cell r="H8018">
            <v>4822.055862663934</v>
          </cell>
        </row>
        <row r="8019">
          <cell r="D8019" t="str">
            <v>Furnitures</v>
          </cell>
          <cell r="F8019">
            <v>5076.2401776639344</v>
          </cell>
          <cell r="G8019">
            <v>275</v>
          </cell>
          <cell r="H8019">
            <v>4822.055862663934</v>
          </cell>
        </row>
        <row r="8020">
          <cell r="D8020" t="str">
            <v>Furnitures</v>
          </cell>
          <cell r="F8020">
            <v>5076.2401776639344</v>
          </cell>
          <cell r="G8020">
            <v>275</v>
          </cell>
          <cell r="H8020">
            <v>4822.055862663934</v>
          </cell>
        </row>
        <row r="8021">
          <cell r="D8021" t="str">
            <v>Furnitures</v>
          </cell>
          <cell r="F8021">
            <v>5076.2401776639344</v>
          </cell>
          <cell r="G8021">
            <v>275</v>
          </cell>
          <cell r="H8021">
            <v>4822.055862663934</v>
          </cell>
        </row>
        <row r="8022">
          <cell r="D8022" t="str">
            <v>Furnitures</v>
          </cell>
          <cell r="F8022">
            <v>5076.2401776639344</v>
          </cell>
          <cell r="G8022">
            <v>275</v>
          </cell>
          <cell r="H8022">
            <v>4822.055862663934</v>
          </cell>
        </row>
        <row r="8023">
          <cell r="D8023" t="str">
            <v>Furnitures</v>
          </cell>
          <cell r="F8023">
            <v>5076.2401776639344</v>
          </cell>
          <cell r="G8023">
            <v>275</v>
          </cell>
          <cell r="H8023">
            <v>4822.055862663934</v>
          </cell>
        </row>
        <row r="8024">
          <cell r="D8024" t="str">
            <v>Furnitures</v>
          </cell>
          <cell r="F8024">
            <v>5076.2401776639344</v>
          </cell>
          <cell r="G8024">
            <v>275</v>
          </cell>
          <cell r="H8024">
            <v>4822.055862663934</v>
          </cell>
        </row>
        <row r="8025">
          <cell r="D8025" t="str">
            <v>Furnitures</v>
          </cell>
          <cell r="F8025">
            <v>5076.2401776639344</v>
          </cell>
          <cell r="G8025">
            <v>275</v>
          </cell>
          <cell r="H8025">
            <v>4822.055862663934</v>
          </cell>
        </row>
        <row r="8026">
          <cell r="D8026" t="str">
            <v>Furnitures</v>
          </cell>
          <cell r="F8026">
            <v>5076.2401776639344</v>
          </cell>
          <cell r="G8026">
            <v>275</v>
          </cell>
          <cell r="H8026">
            <v>4822.055862663934</v>
          </cell>
        </row>
        <row r="8027">
          <cell r="D8027" t="str">
            <v>Furnitures</v>
          </cell>
          <cell r="F8027">
            <v>5076.2401776639344</v>
          </cell>
          <cell r="G8027">
            <v>275</v>
          </cell>
          <cell r="H8027">
            <v>4822.055862663934</v>
          </cell>
        </row>
        <row r="8028">
          <cell r="D8028" t="str">
            <v>Furnitures</v>
          </cell>
          <cell r="F8028">
            <v>5076.2401776639344</v>
          </cell>
          <cell r="G8028">
            <v>275</v>
          </cell>
          <cell r="H8028">
            <v>4822.055862663934</v>
          </cell>
        </row>
        <row r="8029">
          <cell r="D8029" t="str">
            <v>Furnitures</v>
          </cell>
          <cell r="F8029">
            <v>5076.2401776639344</v>
          </cell>
          <cell r="G8029">
            <v>275</v>
          </cell>
          <cell r="H8029">
            <v>4822.055862663934</v>
          </cell>
        </row>
        <row r="8030">
          <cell r="D8030" t="str">
            <v>Furnitures</v>
          </cell>
          <cell r="F8030">
            <v>5076.2401776639344</v>
          </cell>
          <cell r="G8030">
            <v>275</v>
          </cell>
          <cell r="H8030">
            <v>4822.055862663934</v>
          </cell>
        </row>
        <row r="8031">
          <cell r="D8031" t="str">
            <v>Furnitures</v>
          </cell>
          <cell r="F8031">
            <v>5076.2401776639344</v>
          </cell>
          <cell r="G8031">
            <v>275</v>
          </cell>
          <cell r="H8031">
            <v>4822.055862663934</v>
          </cell>
        </row>
        <row r="8032">
          <cell r="D8032" t="str">
            <v>Furnitures</v>
          </cell>
          <cell r="F8032">
            <v>5076.2401776639344</v>
          </cell>
          <cell r="G8032">
            <v>275</v>
          </cell>
          <cell r="H8032">
            <v>4822.055862663934</v>
          </cell>
        </row>
        <row r="8033">
          <cell r="D8033" t="str">
            <v>Furnitures</v>
          </cell>
          <cell r="F8033">
            <v>5076.2401776639344</v>
          </cell>
          <cell r="G8033">
            <v>275</v>
          </cell>
          <cell r="H8033">
            <v>4822.055862663934</v>
          </cell>
        </row>
        <row r="8034">
          <cell r="D8034" t="str">
            <v>Furnitures</v>
          </cell>
          <cell r="F8034">
            <v>5076.2401776639344</v>
          </cell>
          <cell r="G8034">
            <v>275</v>
          </cell>
          <cell r="H8034">
            <v>4822.055862663934</v>
          </cell>
        </row>
        <row r="8035">
          <cell r="D8035" t="str">
            <v>Furnitures</v>
          </cell>
          <cell r="F8035">
            <v>5076.2401776639344</v>
          </cell>
          <cell r="G8035">
            <v>275</v>
          </cell>
          <cell r="H8035">
            <v>4822.055862663934</v>
          </cell>
        </row>
        <row r="8036">
          <cell r="D8036" t="str">
            <v>Furnitures</v>
          </cell>
          <cell r="F8036">
            <v>5076.2401776639344</v>
          </cell>
          <cell r="G8036">
            <v>275</v>
          </cell>
          <cell r="H8036">
            <v>4822.055862663934</v>
          </cell>
        </row>
        <row r="8037">
          <cell r="D8037" t="str">
            <v>Furnitures</v>
          </cell>
          <cell r="F8037">
            <v>5076.2401776639344</v>
          </cell>
          <cell r="G8037">
            <v>275</v>
          </cell>
          <cell r="H8037">
            <v>4822.055862663934</v>
          </cell>
        </row>
        <row r="8038">
          <cell r="D8038" t="str">
            <v>Furnitures</v>
          </cell>
          <cell r="F8038">
            <v>5076.2401776639344</v>
          </cell>
          <cell r="G8038">
            <v>275</v>
          </cell>
          <cell r="H8038">
            <v>4822.055862663934</v>
          </cell>
        </row>
        <row r="8039">
          <cell r="D8039" t="str">
            <v>Furnitures</v>
          </cell>
          <cell r="F8039">
            <v>5076.2401776639344</v>
          </cell>
          <cell r="G8039">
            <v>275</v>
          </cell>
          <cell r="H8039">
            <v>4822.055862663934</v>
          </cell>
        </row>
        <row r="8040">
          <cell r="D8040" t="str">
            <v>Furnitures</v>
          </cell>
          <cell r="F8040">
            <v>5076.2401776639344</v>
          </cell>
          <cell r="G8040">
            <v>275</v>
          </cell>
          <cell r="H8040">
            <v>4822.055862663934</v>
          </cell>
        </row>
        <row r="8041">
          <cell r="D8041" t="str">
            <v>Furnitures</v>
          </cell>
          <cell r="F8041">
            <v>5076.2401776639344</v>
          </cell>
          <cell r="G8041">
            <v>275</v>
          </cell>
          <cell r="H8041">
            <v>4822.055862663934</v>
          </cell>
        </row>
        <row r="8042">
          <cell r="D8042" t="str">
            <v>Furnitures</v>
          </cell>
          <cell r="F8042">
            <v>5076.2401776639344</v>
          </cell>
          <cell r="G8042">
            <v>275</v>
          </cell>
          <cell r="H8042">
            <v>4822.055862663934</v>
          </cell>
        </row>
        <row r="8043">
          <cell r="D8043" t="str">
            <v>Furnitures</v>
          </cell>
          <cell r="F8043">
            <v>5076.2401776639344</v>
          </cell>
          <cell r="G8043">
            <v>275</v>
          </cell>
          <cell r="H8043">
            <v>4822.055862663934</v>
          </cell>
        </row>
        <row r="8044">
          <cell r="D8044" t="str">
            <v>Furnitures</v>
          </cell>
          <cell r="F8044">
            <v>5076.2401776639344</v>
          </cell>
          <cell r="G8044">
            <v>275</v>
          </cell>
          <cell r="H8044">
            <v>4822.055862663934</v>
          </cell>
        </row>
        <row r="8045">
          <cell r="D8045" t="str">
            <v>Furnitures</v>
          </cell>
          <cell r="F8045">
            <v>5076.2401776639344</v>
          </cell>
          <cell r="G8045">
            <v>275</v>
          </cell>
          <cell r="H8045">
            <v>4822.055862663934</v>
          </cell>
        </row>
        <row r="8046">
          <cell r="D8046" t="str">
            <v>Furnitures</v>
          </cell>
          <cell r="F8046">
            <v>5076.2401776639344</v>
          </cell>
          <cell r="G8046">
            <v>275</v>
          </cell>
          <cell r="H8046">
            <v>4822.055862663934</v>
          </cell>
        </row>
        <row r="8047">
          <cell r="D8047" t="str">
            <v>Furnitures</v>
          </cell>
          <cell r="F8047">
            <v>5076.2401776639344</v>
          </cell>
          <cell r="G8047">
            <v>275</v>
          </cell>
          <cell r="H8047">
            <v>4822.055862663934</v>
          </cell>
        </row>
        <row r="8048">
          <cell r="D8048" t="str">
            <v>Furnitures</v>
          </cell>
          <cell r="F8048">
            <v>5076.2401776639344</v>
          </cell>
          <cell r="G8048">
            <v>275</v>
          </cell>
          <cell r="H8048">
            <v>4822.055862663934</v>
          </cell>
        </row>
        <row r="8049">
          <cell r="D8049" t="str">
            <v>Furnitures</v>
          </cell>
          <cell r="F8049">
            <v>5076.2401776639344</v>
          </cell>
          <cell r="G8049">
            <v>275</v>
          </cell>
          <cell r="H8049">
            <v>4822.055862663934</v>
          </cell>
        </row>
        <row r="8050">
          <cell r="D8050" t="str">
            <v>Furnitures</v>
          </cell>
          <cell r="F8050">
            <v>5076.2401776639344</v>
          </cell>
          <cell r="G8050">
            <v>275</v>
          </cell>
          <cell r="H8050">
            <v>4822.055862663934</v>
          </cell>
        </row>
        <row r="8051">
          <cell r="D8051" t="str">
            <v>Furnitures</v>
          </cell>
          <cell r="F8051">
            <v>5076.2401776639344</v>
          </cell>
          <cell r="G8051">
            <v>275</v>
          </cell>
          <cell r="H8051">
            <v>4822.055862663934</v>
          </cell>
        </row>
        <row r="8052">
          <cell r="D8052" t="str">
            <v>Furnitures</v>
          </cell>
          <cell r="F8052">
            <v>5076.2401776639344</v>
          </cell>
          <cell r="G8052">
            <v>275</v>
          </cell>
          <cell r="H8052">
            <v>4822.055862663934</v>
          </cell>
        </row>
        <row r="8053">
          <cell r="D8053" t="str">
            <v>Furnitures</v>
          </cell>
          <cell r="F8053">
            <v>5076.2401776639344</v>
          </cell>
          <cell r="G8053">
            <v>275</v>
          </cell>
          <cell r="H8053">
            <v>4822.055862663934</v>
          </cell>
        </row>
        <row r="8054">
          <cell r="D8054" t="str">
            <v>Furnitures</v>
          </cell>
          <cell r="F8054">
            <v>5076.2401776639344</v>
          </cell>
          <cell r="G8054">
            <v>275</v>
          </cell>
          <cell r="H8054">
            <v>4822.055862663934</v>
          </cell>
        </row>
        <row r="8055">
          <cell r="D8055" t="str">
            <v>Furnitures</v>
          </cell>
          <cell r="F8055">
            <v>5076.2401776639344</v>
          </cell>
          <cell r="G8055">
            <v>275</v>
          </cell>
          <cell r="H8055">
            <v>4822.055862663934</v>
          </cell>
        </row>
        <row r="8056">
          <cell r="D8056" t="str">
            <v>Furnitures</v>
          </cell>
          <cell r="F8056">
            <v>5076.2401776639344</v>
          </cell>
          <cell r="G8056">
            <v>275</v>
          </cell>
          <cell r="H8056">
            <v>4822.055862663934</v>
          </cell>
        </row>
        <row r="8057">
          <cell r="D8057" t="str">
            <v>Furnitures</v>
          </cell>
          <cell r="F8057">
            <v>5076.2401776639344</v>
          </cell>
          <cell r="G8057">
            <v>275</v>
          </cell>
          <cell r="H8057">
            <v>4822.055862663934</v>
          </cell>
        </row>
        <row r="8058">
          <cell r="D8058" t="str">
            <v>Furnitures</v>
          </cell>
          <cell r="F8058">
            <v>5076.2401776639344</v>
          </cell>
          <cell r="G8058">
            <v>275</v>
          </cell>
          <cell r="H8058">
            <v>4822.055862663934</v>
          </cell>
        </row>
        <row r="8059">
          <cell r="D8059" t="str">
            <v>Furnitures</v>
          </cell>
          <cell r="F8059">
            <v>5076.2401776639344</v>
          </cell>
          <cell r="G8059">
            <v>275</v>
          </cell>
          <cell r="H8059">
            <v>4822.055862663934</v>
          </cell>
        </row>
        <row r="8060">
          <cell r="D8060" t="str">
            <v>Furnitures</v>
          </cell>
          <cell r="F8060">
            <v>5076.2401776639344</v>
          </cell>
          <cell r="G8060">
            <v>275</v>
          </cell>
          <cell r="H8060">
            <v>4822.055862663934</v>
          </cell>
        </row>
        <row r="8061">
          <cell r="D8061" t="str">
            <v>Furnitures</v>
          </cell>
          <cell r="F8061">
            <v>5076.2401776639344</v>
          </cell>
          <cell r="G8061">
            <v>275</v>
          </cell>
          <cell r="H8061">
            <v>4822.055862663934</v>
          </cell>
        </row>
        <row r="8062">
          <cell r="D8062" t="str">
            <v>Furnitures</v>
          </cell>
          <cell r="F8062">
            <v>5076.2401776639344</v>
          </cell>
          <cell r="G8062">
            <v>275</v>
          </cell>
          <cell r="H8062">
            <v>4822.055862663934</v>
          </cell>
        </row>
        <row r="8063">
          <cell r="D8063" t="str">
            <v>Furnitures</v>
          </cell>
          <cell r="F8063">
            <v>5076.2401776639344</v>
          </cell>
          <cell r="G8063">
            <v>275</v>
          </cell>
          <cell r="H8063">
            <v>4822.055862663934</v>
          </cell>
        </row>
        <row r="8064">
          <cell r="D8064" t="str">
            <v>Furnitures</v>
          </cell>
          <cell r="F8064">
            <v>5076.2401776639344</v>
          </cell>
          <cell r="G8064">
            <v>275</v>
          </cell>
          <cell r="H8064">
            <v>4822.055862663934</v>
          </cell>
        </row>
        <row r="8065">
          <cell r="D8065" t="str">
            <v>Furnitures</v>
          </cell>
          <cell r="F8065">
            <v>5076.2401776639344</v>
          </cell>
          <cell r="G8065">
            <v>275</v>
          </cell>
          <cell r="H8065">
            <v>4822.055862663934</v>
          </cell>
        </row>
        <row r="8066">
          <cell r="D8066" t="str">
            <v>Furnitures</v>
          </cell>
          <cell r="F8066">
            <v>5076.2401776639344</v>
          </cell>
          <cell r="G8066">
            <v>275</v>
          </cell>
          <cell r="H8066">
            <v>4822.055862663934</v>
          </cell>
        </row>
        <row r="8067">
          <cell r="D8067" t="str">
            <v>Furnitures</v>
          </cell>
          <cell r="F8067">
            <v>5076.2401776639344</v>
          </cell>
          <cell r="G8067">
            <v>275</v>
          </cell>
          <cell r="H8067">
            <v>4822.055862663934</v>
          </cell>
        </row>
        <row r="8068">
          <cell r="D8068" t="str">
            <v>Furnitures</v>
          </cell>
          <cell r="F8068">
            <v>5076.2401776639344</v>
          </cell>
          <cell r="G8068">
            <v>275</v>
          </cell>
          <cell r="H8068">
            <v>4822.055862663934</v>
          </cell>
        </row>
        <row r="8069">
          <cell r="D8069" t="str">
            <v>Furnitures</v>
          </cell>
          <cell r="F8069">
            <v>5076.2401776639344</v>
          </cell>
          <cell r="G8069">
            <v>275</v>
          </cell>
          <cell r="H8069">
            <v>4822.055862663934</v>
          </cell>
        </row>
        <row r="8070">
          <cell r="D8070" t="str">
            <v>Furnitures</v>
          </cell>
          <cell r="F8070">
            <v>5076.2401776639344</v>
          </cell>
          <cell r="G8070">
            <v>275</v>
          </cell>
          <cell r="H8070">
            <v>4822.055862663934</v>
          </cell>
        </row>
        <row r="8071">
          <cell r="D8071" t="str">
            <v>Furnitures</v>
          </cell>
          <cell r="F8071">
            <v>5076.2401776639344</v>
          </cell>
          <cell r="G8071">
            <v>275</v>
          </cell>
          <cell r="H8071">
            <v>4822.055862663934</v>
          </cell>
        </row>
        <row r="8072">
          <cell r="D8072" t="str">
            <v>Furnitures</v>
          </cell>
          <cell r="F8072">
            <v>5076.2401776639344</v>
          </cell>
          <cell r="G8072">
            <v>275</v>
          </cell>
          <cell r="H8072">
            <v>4822.055862663934</v>
          </cell>
        </row>
        <row r="8073">
          <cell r="D8073" t="str">
            <v>Furnitures</v>
          </cell>
          <cell r="F8073">
            <v>5076.2401776639344</v>
          </cell>
          <cell r="G8073">
            <v>275</v>
          </cell>
          <cell r="H8073">
            <v>4822.055862663934</v>
          </cell>
        </row>
        <row r="8074">
          <cell r="D8074" t="str">
            <v>Furnitures</v>
          </cell>
          <cell r="F8074">
            <v>5076.2401776639344</v>
          </cell>
          <cell r="G8074">
            <v>275</v>
          </cell>
          <cell r="H8074">
            <v>4822.055862663934</v>
          </cell>
        </row>
        <row r="8075">
          <cell r="D8075" t="str">
            <v>Furnitures</v>
          </cell>
          <cell r="F8075">
            <v>5076.2401776639344</v>
          </cell>
          <cell r="G8075">
            <v>275</v>
          </cell>
          <cell r="H8075">
            <v>4822.055862663934</v>
          </cell>
        </row>
        <row r="8076">
          <cell r="D8076" t="str">
            <v>Furnitures</v>
          </cell>
          <cell r="F8076">
            <v>5076.2401776639344</v>
          </cell>
          <cell r="G8076">
            <v>275</v>
          </cell>
          <cell r="H8076">
            <v>4822.055862663934</v>
          </cell>
        </row>
        <row r="8077">
          <cell r="D8077" t="str">
            <v>Furnitures</v>
          </cell>
          <cell r="F8077">
            <v>5076.2401776639344</v>
          </cell>
          <cell r="G8077">
            <v>275</v>
          </cell>
          <cell r="H8077">
            <v>4822.055862663934</v>
          </cell>
        </row>
        <row r="8078">
          <cell r="D8078" t="str">
            <v>Furnitures</v>
          </cell>
          <cell r="F8078">
            <v>5076.2401776639344</v>
          </cell>
          <cell r="G8078">
            <v>275</v>
          </cell>
          <cell r="H8078">
            <v>4822.055862663934</v>
          </cell>
        </row>
        <row r="8079">
          <cell r="D8079" t="str">
            <v>Furnitures</v>
          </cell>
          <cell r="F8079">
            <v>5076.2401776639344</v>
          </cell>
          <cell r="G8079">
            <v>275</v>
          </cell>
          <cell r="H8079">
            <v>4822.055862663934</v>
          </cell>
        </row>
        <row r="8080">
          <cell r="D8080" t="str">
            <v>Furnitures</v>
          </cell>
          <cell r="F8080">
            <v>5076.2401776639344</v>
          </cell>
          <cell r="G8080">
            <v>275</v>
          </cell>
          <cell r="H8080">
            <v>4822.055862663934</v>
          </cell>
        </row>
        <row r="8081">
          <cell r="D8081" t="str">
            <v>Furnitures</v>
          </cell>
          <cell r="F8081">
            <v>5076.2401776639344</v>
          </cell>
          <cell r="G8081">
            <v>275</v>
          </cell>
          <cell r="H8081">
            <v>4822.055862663934</v>
          </cell>
        </row>
        <row r="8082">
          <cell r="D8082" t="str">
            <v>Furnitures</v>
          </cell>
          <cell r="F8082">
            <v>5076.2401776639344</v>
          </cell>
          <cell r="G8082">
            <v>275</v>
          </cell>
          <cell r="H8082">
            <v>4822.055862663934</v>
          </cell>
        </row>
        <row r="8083">
          <cell r="D8083" t="str">
            <v>Furnitures</v>
          </cell>
          <cell r="F8083">
            <v>5076.2401776639344</v>
          </cell>
          <cell r="G8083">
            <v>275</v>
          </cell>
          <cell r="H8083">
            <v>4822.055862663934</v>
          </cell>
        </row>
        <row r="8084">
          <cell r="D8084" t="str">
            <v>Furnitures</v>
          </cell>
          <cell r="F8084">
            <v>5076.2401776639344</v>
          </cell>
          <cell r="G8084">
            <v>275</v>
          </cell>
          <cell r="H8084">
            <v>4822.055862663934</v>
          </cell>
        </row>
        <row r="8085">
          <cell r="D8085" t="str">
            <v>Furnitures</v>
          </cell>
          <cell r="F8085">
            <v>5076.2401776639344</v>
          </cell>
          <cell r="G8085">
            <v>275</v>
          </cell>
          <cell r="H8085">
            <v>4822.055862663934</v>
          </cell>
        </row>
        <row r="8086">
          <cell r="D8086" t="str">
            <v>Furnitures</v>
          </cell>
          <cell r="F8086">
            <v>5076.2401776639344</v>
          </cell>
          <cell r="G8086">
            <v>275</v>
          </cell>
          <cell r="H8086">
            <v>4822.055862663934</v>
          </cell>
        </row>
        <row r="8087">
          <cell r="D8087" t="str">
            <v>Furnitures</v>
          </cell>
          <cell r="F8087">
            <v>5076.2401776639344</v>
          </cell>
          <cell r="G8087">
            <v>275</v>
          </cell>
          <cell r="H8087">
            <v>4822.055862663934</v>
          </cell>
        </row>
        <row r="8088">
          <cell r="D8088" t="str">
            <v>Furnitures</v>
          </cell>
          <cell r="F8088">
            <v>5076.2401776639344</v>
          </cell>
          <cell r="G8088">
            <v>275</v>
          </cell>
          <cell r="H8088">
            <v>4822.055862663934</v>
          </cell>
        </row>
        <row r="8089">
          <cell r="D8089" t="str">
            <v>Furnitures</v>
          </cell>
          <cell r="F8089">
            <v>5076.2401776639344</v>
          </cell>
          <cell r="G8089">
            <v>275</v>
          </cell>
          <cell r="H8089">
            <v>4822.055862663934</v>
          </cell>
        </row>
        <row r="8090">
          <cell r="D8090" t="str">
            <v>Furnitures</v>
          </cell>
          <cell r="F8090">
            <v>5076.2401776639344</v>
          </cell>
          <cell r="G8090">
            <v>275</v>
          </cell>
          <cell r="H8090">
            <v>4822.055862663934</v>
          </cell>
        </row>
        <row r="8091">
          <cell r="D8091" t="str">
            <v>Furnitures</v>
          </cell>
          <cell r="F8091">
            <v>5076.2401776639344</v>
          </cell>
          <cell r="G8091">
            <v>275</v>
          </cell>
          <cell r="H8091">
            <v>4822.055862663934</v>
          </cell>
        </row>
        <row r="8092">
          <cell r="D8092" t="str">
            <v>Furnitures</v>
          </cell>
          <cell r="F8092">
            <v>5076.2401776639344</v>
          </cell>
          <cell r="G8092">
            <v>275</v>
          </cell>
          <cell r="H8092">
            <v>4822.055862663934</v>
          </cell>
        </row>
        <row r="8093">
          <cell r="D8093" t="str">
            <v>Furnitures</v>
          </cell>
          <cell r="F8093">
            <v>5076.2401776639344</v>
          </cell>
          <cell r="G8093">
            <v>275</v>
          </cell>
          <cell r="H8093">
            <v>4822.055862663934</v>
          </cell>
        </row>
        <row r="8094">
          <cell r="D8094" t="str">
            <v>Furnitures</v>
          </cell>
          <cell r="F8094">
            <v>5076.2401776639344</v>
          </cell>
          <cell r="G8094">
            <v>275</v>
          </cell>
          <cell r="H8094">
            <v>4822.055862663934</v>
          </cell>
        </row>
        <row r="8095">
          <cell r="D8095" t="str">
            <v>Furnitures</v>
          </cell>
          <cell r="F8095">
            <v>5076.2401776639344</v>
          </cell>
          <cell r="G8095">
            <v>275</v>
          </cell>
          <cell r="H8095">
            <v>4822.055862663934</v>
          </cell>
        </row>
        <row r="8096">
          <cell r="D8096" t="str">
            <v>Furnitures</v>
          </cell>
          <cell r="F8096">
            <v>5076.2401776639344</v>
          </cell>
          <cell r="G8096">
            <v>275</v>
          </cell>
          <cell r="H8096">
            <v>4822.055862663934</v>
          </cell>
        </row>
        <row r="8097">
          <cell r="D8097" t="str">
            <v>Furnitures</v>
          </cell>
          <cell r="F8097">
            <v>5076.2401776639344</v>
          </cell>
          <cell r="G8097">
            <v>275</v>
          </cell>
          <cell r="H8097">
            <v>4822.055862663934</v>
          </cell>
        </row>
        <row r="8098">
          <cell r="D8098" t="str">
            <v>Furnitures</v>
          </cell>
          <cell r="F8098">
            <v>5076.2401776639344</v>
          </cell>
          <cell r="G8098">
            <v>275</v>
          </cell>
          <cell r="H8098">
            <v>4822.055862663934</v>
          </cell>
        </row>
        <row r="8099">
          <cell r="D8099" t="str">
            <v>Furnitures</v>
          </cell>
          <cell r="F8099">
            <v>5076.2401776639344</v>
          </cell>
          <cell r="G8099">
            <v>275</v>
          </cell>
          <cell r="H8099">
            <v>4822.055862663934</v>
          </cell>
        </row>
        <row r="8100">
          <cell r="D8100" t="str">
            <v>Furnitures</v>
          </cell>
          <cell r="F8100">
            <v>5076.2401776639344</v>
          </cell>
          <cell r="G8100">
            <v>275</v>
          </cell>
          <cell r="H8100">
            <v>4822.055862663934</v>
          </cell>
        </row>
        <row r="8101">
          <cell r="D8101" t="str">
            <v>Furnitures</v>
          </cell>
          <cell r="F8101">
            <v>5076.2401776639344</v>
          </cell>
          <cell r="G8101">
            <v>275</v>
          </cell>
          <cell r="H8101">
            <v>4822.055862663934</v>
          </cell>
        </row>
        <row r="8102">
          <cell r="D8102" t="str">
            <v>Furnitures</v>
          </cell>
          <cell r="F8102">
            <v>5076.2401776639344</v>
          </cell>
          <cell r="G8102">
            <v>275</v>
          </cell>
          <cell r="H8102">
            <v>4822.055862663934</v>
          </cell>
        </row>
        <row r="8103">
          <cell r="D8103" t="str">
            <v>Furnitures</v>
          </cell>
          <cell r="F8103">
            <v>5076.2401776639344</v>
          </cell>
          <cell r="G8103">
            <v>275</v>
          </cell>
          <cell r="H8103">
            <v>4822.055862663934</v>
          </cell>
        </row>
        <row r="8104">
          <cell r="D8104" t="str">
            <v>Furnitures</v>
          </cell>
          <cell r="F8104">
            <v>5076.2401776639344</v>
          </cell>
          <cell r="G8104">
            <v>275</v>
          </cell>
          <cell r="H8104">
            <v>4822.055862663934</v>
          </cell>
        </row>
        <row r="8105">
          <cell r="D8105" t="str">
            <v>Furnitures</v>
          </cell>
          <cell r="F8105">
            <v>5076.2401776639344</v>
          </cell>
          <cell r="G8105">
            <v>275</v>
          </cell>
          <cell r="H8105">
            <v>4822.055862663934</v>
          </cell>
        </row>
        <row r="8106">
          <cell r="D8106" t="str">
            <v>Furnitures</v>
          </cell>
          <cell r="F8106">
            <v>5076.2401776639344</v>
          </cell>
          <cell r="G8106">
            <v>275</v>
          </cell>
          <cell r="H8106">
            <v>4822.055862663934</v>
          </cell>
        </row>
        <row r="8107">
          <cell r="D8107" t="str">
            <v>Furnitures</v>
          </cell>
          <cell r="F8107">
            <v>5076.2401776639344</v>
          </cell>
          <cell r="G8107">
            <v>275</v>
          </cell>
          <cell r="H8107">
            <v>4822.055862663934</v>
          </cell>
        </row>
        <row r="8108">
          <cell r="D8108" t="str">
            <v>Furnitures</v>
          </cell>
          <cell r="F8108">
            <v>5076.2401776639344</v>
          </cell>
          <cell r="G8108">
            <v>275</v>
          </cell>
          <cell r="H8108">
            <v>4822.055862663934</v>
          </cell>
        </row>
        <row r="8109">
          <cell r="D8109" t="str">
            <v>Furnitures</v>
          </cell>
          <cell r="F8109">
            <v>5076.2401776639344</v>
          </cell>
          <cell r="G8109">
            <v>275</v>
          </cell>
          <cell r="H8109">
            <v>4822.055862663934</v>
          </cell>
        </row>
        <row r="8110">
          <cell r="D8110" t="str">
            <v>Furnitures</v>
          </cell>
          <cell r="F8110">
            <v>5076.2401776639344</v>
          </cell>
          <cell r="G8110">
            <v>275</v>
          </cell>
          <cell r="H8110">
            <v>4822.055862663934</v>
          </cell>
        </row>
        <row r="8111">
          <cell r="D8111" t="str">
            <v>Furnitures</v>
          </cell>
          <cell r="F8111">
            <v>5076.2401776639344</v>
          </cell>
          <cell r="G8111">
            <v>275</v>
          </cell>
          <cell r="H8111">
            <v>4822.055862663934</v>
          </cell>
        </row>
        <row r="8112">
          <cell r="D8112" t="str">
            <v>Furnitures</v>
          </cell>
          <cell r="F8112">
            <v>5076.2401776639344</v>
          </cell>
          <cell r="G8112">
            <v>275</v>
          </cell>
          <cell r="H8112">
            <v>4822.055862663934</v>
          </cell>
        </row>
        <row r="8113">
          <cell r="D8113" t="str">
            <v>Furnitures</v>
          </cell>
          <cell r="F8113">
            <v>5076.2401776639344</v>
          </cell>
          <cell r="G8113">
            <v>275</v>
          </cell>
          <cell r="H8113">
            <v>4822.055862663934</v>
          </cell>
        </row>
        <row r="8114">
          <cell r="D8114" t="str">
            <v>Furnitures</v>
          </cell>
          <cell r="F8114">
            <v>5076.2401776639344</v>
          </cell>
          <cell r="G8114">
            <v>275</v>
          </cell>
          <cell r="H8114">
            <v>4822.055862663934</v>
          </cell>
        </row>
        <row r="8115">
          <cell r="D8115" t="str">
            <v>Furnitures</v>
          </cell>
          <cell r="F8115">
            <v>5076.2401776639344</v>
          </cell>
          <cell r="G8115">
            <v>275</v>
          </cell>
          <cell r="H8115">
            <v>4822.055862663934</v>
          </cell>
        </row>
        <row r="8116">
          <cell r="D8116" t="str">
            <v>Furnitures</v>
          </cell>
          <cell r="F8116">
            <v>5076.2401776639344</v>
          </cell>
          <cell r="G8116">
            <v>275</v>
          </cell>
          <cell r="H8116">
            <v>4822.055862663934</v>
          </cell>
        </row>
        <row r="8117">
          <cell r="D8117" t="str">
            <v>Furnitures</v>
          </cell>
          <cell r="F8117">
            <v>5076.2401776639344</v>
          </cell>
          <cell r="G8117">
            <v>275</v>
          </cell>
          <cell r="H8117">
            <v>4822.055862663934</v>
          </cell>
        </row>
        <row r="8118">
          <cell r="D8118" t="str">
            <v>Furnitures</v>
          </cell>
          <cell r="F8118">
            <v>5076.2401776639344</v>
          </cell>
          <cell r="G8118">
            <v>275</v>
          </cell>
          <cell r="H8118">
            <v>4822.055862663934</v>
          </cell>
        </row>
        <row r="8119">
          <cell r="D8119" t="str">
            <v>Furnitures</v>
          </cell>
          <cell r="F8119">
            <v>5076.2401776639344</v>
          </cell>
          <cell r="G8119">
            <v>275</v>
          </cell>
          <cell r="H8119">
            <v>4822.055862663934</v>
          </cell>
        </row>
        <row r="8120">
          <cell r="D8120" t="str">
            <v>Furnitures</v>
          </cell>
          <cell r="F8120">
            <v>5076.2401776639344</v>
          </cell>
          <cell r="G8120">
            <v>275</v>
          </cell>
          <cell r="H8120">
            <v>4822.055862663934</v>
          </cell>
        </row>
        <row r="8121">
          <cell r="D8121" t="str">
            <v>Furnitures</v>
          </cell>
          <cell r="F8121">
            <v>5076.2401776639344</v>
          </cell>
          <cell r="G8121">
            <v>275</v>
          </cell>
          <cell r="H8121">
            <v>4822.055862663934</v>
          </cell>
        </row>
        <row r="8122">
          <cell r="D8122" t="str">
            <v>Furnitures</v>
          </cell>
          <cell r="F8122">
            <v>5076.2401776639344</v>
          </cell>
          <cell r="G8122">
            <v>275</v>
          </cell>
          <cell r="H8122">
            <v>4822.055862663934</v>
          </cell>
        </row>
        <row r="8123">
          <cell r="D8123" t="str">
            <v>Furnitures</v>
          </cell>
          <cell r="F8123">
            <v>5076.2401776639344</v>
          </cell>
          <cell r="G8123">
            <v>275</v>
          </cell>
          <cell r="H8123">
            <v>4822.055862663934</v>
          </cell>
        </row>
        <row r="8124">
          <cell r="D8124" t="str">
            <v>Furnitures</v>
          </cell>
          <cell r="F8124">
            <v>5076.2401776639344</v>
          </cell>
          <cell r="G8124">
            <v>275</v>
          </cell>
          <cell r="H8124">
            <v>4822.055862663934</v>
          </cell>
        </row>
        <row r="8125">
          <cell r="D8125" t="str">
            <v>Furnitures</v>
          </cell>
          <cell r="F8125">
            <v>5076.2401776639344</v>
          </cell>
          <cell r="G8125">
            <v>275</v>
          </cell>
          <cell r="H8125">
            <v>4822.055862663934</v>
          </cell>
        </row>
        <row r="8126">
          <cell r="D8126" t="str">
            <v>Furnitures</v>
          </cell>
          <cell r="F8126">
            <v>5076.2401776639344</v>
          </cell>
          <cell r="G8126">
            <v>275</v>
          </cell>
          <cell r="H8126">
            <v>4822.055862663934</v>
          </cell>
        </row>
        <row r="8127">
          <cell r="D8127" t="str">
            <v>Furnitures</v>
          </cell>
          <cell r="F8127">
            <v>5076.2401776639344</v>
          </cell>
          <cell r="G8127">
            <v>275</v>
          </cell>
          <cell r="H8127">
            <v>4822.055862663934</v>
          </cell>
        </row>
        <row r="8128">
          <cell r="D8128" t="str">
            <v>Furnitures</v>
          </cell>
          <cell r="F8128">
            <v>5076.2401776639344</v>
          </cell>
          <cell r="G8128">
            <v>275</v>
          </cell>
          <cell r="H8128">
            <v>4822.055862663934</v>
          </cell>
        </row>
        <row r="8129">
          <cell r="D8129" t="str">
            <v>Furnitures</v>
          </cell>
          <cell r="F8129">
            <v>5076.2401776639344</v>
          </cell>
          <cell r="G8129">
            <v>275</v>
          </cell>
          <cell r="H8129">
            <v>4822.055862663934</v>
          </cell>
        </row>
        <row r="8130">
          <cell r="D8130" t="str">
            <v>Furnitures</v>
          </cell>
          <cell r="F8130">
            <v>5076.2401776639344</v>
          </cell>
          <cell r="G8130">
            <v>275</v>
          </cell>
          <cell r="H8130">
            <v>4822.055862663934</v>
          </cell>
        </row>
        <row r="8131">
          <cell r="D8131" t="str">
            <v>Furnitures</v>
          </cell>
          <cell r="F8131">
            <v>5076.2401776639344</v>
          </cell>
          <cell r="G8131">
            <v>275</v>
          </cell>
          <cell r="H8131">
            <v>4822.055862663934</v>
          </cell>
        </row>
        <row r="8132">
          <cell r="D8132" t="str">
            <v>Furnitures</v>
          </cell>
          <cell r="F8132">
            <v>5076.2401776639344</v>
          </cell>
          <cell r="G8132">
            <v>275</v>
          </cell>
          <cell r="H8132">
            <v>4822.055862663934</v>
          </cell>
        </row>
        <row r="8133">
          <cell r="D8133" t="str">
            <v>Furnitures</v>
          </cell>
          <cell r="F8133">
            <v>5076.2401776639344</v>
          </cell>
          <cell r="G8133">
            <v>275</v>
          </cell>
          <cell r="H8133">
            <v>4822.055862663934</v>
          </cell>
        </row>
        <row r="8134">
          <cell r="D8134" t="str">
            <v>Furnitures</v>
          </cell>
          <cell r="F8134">
            <v>5076.2401776639344</v>
          </cell>
          <cell r="G8134">
            <v>275</v>
          </cell>
          <cell r="H8134">
            <v>4822.055862663934</v>
          </cell>
        </row>
        <row r="8135">
          <cell r="D8135" t="str">
            <v>Furnitures</v>
          </cell>
          <cell r="F8135">
            <v>5062.3060020491803</v>
          </cell>
          <cell r="G8135">
            <v>275</v>
          </cell>
          <cell r="H8135">
            <v>4808.8194178026051</v>
          </cell>
        </row>
        <row r="8136">
          <cell r="D8136" t="str">
            <v>Furnitures</v>
          </cell>
          <cell r="F8136">
            <v>5076.2401776639344</v>
          </cell>
          <cell r="G8136">
            <v>275</v>
          </cell>
          <cell r="H8136">
            <v>4822.055862663934</v>
          </cell>
        </row>
        <row r="8137">
          <cell r="D8137" t="str">
            <v>Furnitures</v>
          </cell>
          <cell r="F8137">
            <v>5076.2401776639344</v>
          </cell>
          <cell r="G8137">
            <v>275</v>
          </cell>
          <cell r="H8137">
            <v>4822.055862663934</v>
          </cell>
        </row>
        <row r="8138">
          <cell r="D8138" t="str">
            <v>Furnitures</v>
          </cell>
          <cell r="F8138">
            <v>5076.2401776639344</v>
          </cell>
          <cell r="G8138">
            <v>275</v>
          </cell>
          <cell r="H8138">
            <v>4822.055862663934</v>
          </cell>
        </row>
        <row r="8139">
          <cell r="D8139" t="str">
            <v>Furnitures</v>
          </cell>
          <cell r="F8139">
            <v>5076.2401776639344</v>
          </cell>
          <cell r="G8139">
            <v>275</v>
          </cell>
          <cell r="H8139">
            <v>4822.055862663934</v>
          </cell>
        </row>
        <row r="8140">
          <cell r="D8140" t="str">
            <v>Furnitures</v>
          </cell>
          <cell r="F8140">
            <v>5076.2401776639344</v>
          </cell>
          <cell r="G8140">
            <v>275</v>
          </cell>
          <cell r="H8140">
            <v>4822.055862663934</v>
          </cell>
        </row>
        <row r="8141">
          <cell r="D8141" t="str">
            <v>Furnitures</v>
          </cell>
          <cell r="F8141">
            <v>5076.2401776639344</v>
          </cell>
          <cell r="G8141">
            <v>275</v>
          </cell>
          <cell r="H8141">
            <v>4822.055862663934</v>
          </cell>
        </row>
        <row r="8142">
          <cell r="D8142" t="str">
            <v>Furnitures</v>
          </cell>
          <cell r="F8142">
            <v>5076.2401776639344</v>
          </cell>
          <cell r="G8142">
            <v>275</v>
          </cell>
          <cell r="H8142">
            <v>4822.055862663934</v>
          </cell>
        </row>
        <row r="8143">
          <cell r="D8143" t="str">
            <v>Furnitures</v>
          </cell>
          <cell r="F8143">
            <v>5076.2401776639344</v>
          </cell>
          <cell r="G8143">
            <v>275</v>
          </cell>
          <cell r="H8143">
            <v>4822.055862663934</v>
          </cell>
        </row>
        <row r="8144">
          <cell r="D8144" t="str">
            <v>Furnitures</v>
          </cell>
          <cell r="F8144">
            <v>5076.2401776639344</v>
          </cell>
          <cell r="G8144">
            <v>275</v>
          </cell>
          <cell r="H8144">
            <v>4822.055862663934</v>
          </cell>
        </row>
        <row r="8145">
          <cell r="D8145" t="str">
            <v>Furnitures</v>
          </cell>
          <cell r="F8145">
            <v>5076.2401776639344</v>
          </cell>
          <cell r="G8145">
            <v>275</v>
          </cell>
          <cell r="H8145">
            <v>4822.055862663934</v>
          </cell>
        </row>
        <row r="8146">
          <cell r="D8146" t="str">
            <v>Furnitures</v>
          </cell>
          <cell r="F8146">
            <v>5076.2401776639344</v>
          </cell>
          <cell r="G8146">
            <v>275</v>
          </cell>
          <cell r="H8146">
            <v>4822.055862663934</v>
          </cell>
        </row>
        <row r="8147">
          <cell r="D8147" t="str">
            <v>Furnitures</v>
          </cell>
          <cell r="F8147">
            <v>5076.2401776639344</v>
          </cell>
          <cell r="G8147">
            <v>275</v>
          </cell>
          <cell r="H8147">
            <v>4822.055862663934</v>
          </cell>
        </row>
        <row r="8148">
          <cell r="D8148" t="str">
            <v>Furnitures</v>
          </cell>
          <cell r="F8148">
            <v>5076.2401776639344</v>
          </cell>
          <cell r="G8148">
            <v>275</v>
          </cell>
          <cell r="H8148">
            <v>4822.055862663934</v>
          </cell>
        </row>
        <row r="8149">
          <cell r="D8149" t="str">
            <v>Furnitures</v>
          </cell>
          <cell r="F8149">
            <v>5076.2401776639344</v>
          </cell>
          <cell r="G8149">
            <v>275</v>
          </cell>
          <cell r="H8149">
            <v>4822.055862663934</v>
          </cell>
        </row>
        <row r="8150">
          <cell r="D8150" t="str">
            <v>Furnitures</v>
          </cell>
          <cell r="F8150">
            <v>5076.2401776639344</v>
          </cell>
          <cell r="G8150">
            <v>275</v>
          </cell>
          <cell r="H8150">
            <v>4822.055862663934</v>
          </cell>
        </row>
        <row r="8151">
          <cell r="D8151" t="str">
            <v>Furnitures</v>
          </cell>
          <cell r="F8151">
            <v>5076.2401776639344</v>
          </cell>
          <cell r="G8151">
            <v>275</v>
          </cell>
          <cell r="H8151">
            <v>4822.055862663934</v>
          </cell>
        </row>
        <row r="8152">
          <cell r="D8152" t="str">
            <v>Furnitures</v>
          </cell>
          <cell r="F8152">
            <v>5076.2401776639344</v>
          </cell>
          <cell r="G8152">
            <v>275</v>
          </cell>
          <cell r="H8152">
            <v>4822.055862663934</v>
          </cell>
        </row>
        <row r="8153">
          <cell r="D8153" t="str">
            <v>Furnitures</v>
          </cell>
          <cell r="F8153">
            <v>5076.2401776639344</v>
          </cell>
          <cell r="G8153">
            <v>275</v>
          </cell>
          <cell r="H8153">
            <v>4822.055862663934</v>
          </cell>
        </row>
        <row r="8154">
          <cell r="D8154" t="str">
            <v>Furnitures</v>
          </cell>
          <cell r="F8154">
            <v>5076.2401776639344</v>
          </cell>
          <cell r="G8154">
            <v>275</v>
          </cell>
          <cell r="H8154">
            <v>4822.055862663934</v>
          </cell>
        </row>
        <row r="8155">
          <cell r="D8155" t="str">
            <v>Furnitures</v>
          </cell>
          <cell r="F8155">
            <v>5076.2401776639344</v>
          </cell>
          <cell r="G8155">
            <v>275</v>
          </cell>
          <cell r="H8155">
            <v>4822.055862663934</v>
          </cell>
        </row>
        <row r="8156">
          <cell r="D8156" t="str">
            <v>Furnitures</v>
          </cell>
          <cell r="F8156">
            <v>5076.2401776639344</v>
          </cell>
          <cell r="G8156">
            <v>275</v>
          </cell>
          <cell r="H8156">
            <v>4822.055862663934</v>
          </cell>
        </row>
        <row r="8157">
          <cell r="D8157" t="str">
            <v>Furnitures</v>
          </cell>
          <cell r="F8157">
            <v>5076.2401776639344</v>
          </cell>
          <cell r="G8157">
            <v>275</v>
          </cell>
          <cell r="H8157">
            <v>4822.055862663934</v>
          </cell>
        </row>
        <row r="8158">
          <cell r="D8158" t="str">
            <v>Furnitures</v>
          </cell>
          <cell r="F8158">
            <v>5076.2401776639344</v>
          </cell>
          <cell r="G8158">
            <v>275</v>
          </cell>
          <cell r="H8158">
            <v>4822.055862663934</v>
          </cell>
        </row>
        <row r="8159">
          <cell r="D8159" t="str">
            <v>Furnitures</v>
          </cell>
          <cell r="F8159">
            <v>5076.2401776639344</v>
          </cell>
          <cell r="G8159">
            <v>275</v>
          </cell>
          <cell r="H8159">
            <v>4822.055862663934</v>
          </cell>
        </row>
        <row r="8160">
          <cell r="D8160" t="str">
            <v>Furnitures</v>
          </cell>
          <cell r="F8160">
            <v>5076.2401776639344</v>
          </cell>
          <cell r="G8160">
            <v>275</v>
          </cell>
          <cell r="H8160">
            <v>4822.055862663934</v>
          </cell>
        </row>
        <row r="8161">
          <cell r="D8161" t="str">
            <v>Furnitures</v>
          </cell>
          <cell r="F8161">
            <v>5076.2401776639344</v>
          </cell>
          <cell r="G8161">
            <v>275</v>
          </cell>
          <cell r="H8161">
            <v>4822.055862663934</v>
          </cell>
        </row>
        <row r="8162">
          <cell r="D8162" t="str">
            <v>Furnitures</v>
          </cell>
          <cell r="F8162">
            <v>5076.2401776639344</v>
          </cell>
          <cell r="G8162">
            <v>275</v>
          </cell>
          <cell r="H8162">
            <v>4822.055862663934</v>
          </cell>
        </row>
        <row r="8163">
          <cell r="D8163" t="str">
            <v>Furnitures</v>
          </cell>
          <cell r="F8163">
            <v>5076.2401776639344</v>
          </cell>
          <cell r="G8163">
            <v>275</v>
          </cell>
          <cell r="H8163">
            <v>4822.055862663934</v>
          </cell>
        </row>
        <row r="8164">
          <cell r="D8164" t="str">
            <v>Furnitures</v>
          </cell>
          <cell r="F8164">
            <v>5076.2401776639344</v>
          </cell>
          <cell r="G8164">
            <v>275</v>
          </cell>
          <cell r="H8164">
            <v>4822.055862663934</v>
          </cell>
        </row>
        <row r="8165">
          <cell r="D8165" t="str">
            <v>Furnitures</v>
          </cell>
          <cell r="F8165">
            <v>5076.2401776639344</v>
          </cell>
          <cell r="G8165">
            <v>275</v>
          </cell>
          <cell r="H8165">
            <v>4822.055862663934</v>
          </cell>
        </row>
        <row r="8166">
          <cell r="D8166" t="str">
            <v>Furnitures</v>
          </cell>
          <cell r="F8166">
            <v>5076.2401776639344</v>
          </cell>
          <cell r="G8166">
            <v>275</v>
          </cell>
          <cell r="H8166">
            <v>4822.055862663934</v>
          </cell>
        </row>
        <row r="8167">
          <cell r="D8167" t="str">
            <v>Furnitures</v>
          </cell>
          <cell r="F8167">
            <v>5076.2401776639344</v>
          </cell>
          <cell r="G8167">
            <v>275</v>
          </cell>
          <cell r="H8167">
            <v>4822.055862663934</v>
          </cell>
        </row>
        <row r="8168">
          <cell r="D8168" t="str">
            <v>Furnitures</v>
          </cell>
          <cell r="F8168">
            <v>5076.2401776639344</v>
          </cell>
          <cell r="G8168">
            <v>275</v>
          </cell>
          <cell r="H8168">
            <v>4822.055862663934</v>
          </cell>
        </row>
        <row r="8169">
          <cell r="D8169" t="str">
            <v>Furnitures</v>
          </cell>
          <cell r="F8169">
            <v>5076.2401776639344</v>
          </cell>
          <cell r="G8169">
            <v>275</v>
          </cell>
          <cell r="H8169">
            <v>4822.055862663934</v>
          </cell>
        </row>
        <row r="8170">
          <cell r="D8170" t="str">
            <v>Furnitures</v>
          </cell>
          <cell r="F8170">
            <v>5076.2401776639344</v>
          </cell>
          <cell r="G8170">
            <v>275</v>
          </cell>
          <cell r="H8170">
            <v>4822.055862663934</v>
          </cell>
        </row>
        <row r="8171">
          <cell r="D8171" t="str">
            <v>Furnitures</v>
          </cell>
          <cell r="F8171">
            <v>5076.2401776639344</v>
          </cell>
          <cell r="G8171">
            <v>275</v>
          </cell>
          <cell r="H8171">
            <v>4822.055862663934</v>
          </cell>
        </row>
        <row r="8172">
          <cell r="D8172" t="str">
            <v>Furnitures</v>
          </cell>
          <cell r="F8172">
            <v>5076.2401776639344</v>
          </cell>
          <cell r="G8172">
            <v>275</v>
          </cell>
          <cell r="H8172">
            <v>4822.055862663934</v>
          </cell>
        </row>
        <row r="8173">
          <cell r="D8173" t="str">
            <v>Furnitures</v>
          </cell>
          <cell r="F8173">
            <v>5076.2401776639344</v>
          </cell>
          <cell r="G8173">
            <v>275</v>
          </cell>
          <cell r="H8173">
            <v>4822.055862663934</v>
          </cell>
        </row>
        <row r="8174">
          <cell r="D8174" t="str">
            <v>Furnitures</v>
          </cell>
          <cell r="F8174">
            <v>5076.2401776639344</v>
          </cell>
          <cell r="G8174">
            <v>275</v>
          </cell>
          <cell r="H8174">
            <v>4822.055862663934</v>
          </cell>
        </row>
        <row r="8175">
          <cell r="D8175" t="str">
            <v>Furnitures</v>
          </cell>
          <cell r="F8175">
            <v>5076.2401776639344</v>
          </cell>
          <cell r="G8175">
            <v>275</v>
          </cell>
          <cell r="H8175">
            <v>4822.055862663934</v>
          </cell>
        </row>
        <row r="8176">
          <cell r="D8176" t="str">
            <v>Furnitures</v>
          </cell>
          <cell r="F8176">
            <v>5076.2401776639344</v>
          </cell>
          <cell r="G8176">
            <v>275</v>
          </cell>
          <cell r="H8176">
            <v>4822.055862663934</v>
          </cell>
        </row>
        <row r="8177">
          <cell r="D8177" t="str">
            <v>Furnitures</v>
          </cell>
          <cell r="F8177">
            <v>5076.2401776639344</v>
          </cell>
          <cell r="G8177">
            <v>275</v>
          </cell>
          <cell r="H8177">
            <v>4822.055862663934</v>
          </cell>
        </row>
        <row r="8178">
          <cell r="D8178" t="str">
            <v>Furnitures</v>
          </cell>
          <cell r="F8178">
            <v>5076.2401776639344</v>
          </cell>
          <cell r="G8178">
            <v>275</v>
          </cell>
          <cell r="H8178">
            <v>4822.055862663934</v>
          </cell>
        </row>
        <row r="8179">
          <cell r="D8179" t="str">
            <v>Furnitures</v>
          </cell>
          <cell r="F8179">
            <v>5076.2401776639344</v>
          </cell>
          <cell r="G8179">
            <v>275</v>
          </cell>
          <cell r="H8179">
            <v>4822.055862663934</v>
          </cell>
        </row>
        <row r="8180">
          <cell r="D8180" t="str">
            <v>Furnitures</v>
          </cell>
          <cell r="F8180">
            <v>5076.2401776639344</v>
          </cell>
          <cell r="G8180">
            <v>275</v>
          </cell>
          <cell r="H8180">
            <v>4822.055862663934</v>
          </cell>
        </row>
        <row r="8181">
          <cell r="D8181" t="str">
            <v>Furnitures</v>
          </cell>
          <cell r="F8181">
            <v>5076.2401776639344</v>
          </cell>
          <cell r="G8181">
            <v>275</v>
          </cell>
          <cell r="H8181">
            <v>4822.055862663934</v>
          </cell>
        </row>
        <row r="8182">
          <cell r="D8182" t="str">
            <v>Furnitures</v>
          </cell>
          <cell r="F8182">
            <v>5076.2401776639344</v>
          </cell>
          <cell r="G8182">
            <v>275</v>
          </cell>
          <cell r="H8182">
            <v>4822.055862663934</v>
          </cell>
        </row>
        <row r="8183">
          <cell r="D8183" t="str">
            <v>Furnitures</v>
          </cell>
          <cell r="F8183">
            <v>5076.2401776639344</v>
          </cell>
          <cell r="G8183">
            <v>275</v>
          </cell>
          <cell r="H8183">
            <v>4822.055862663934</v>
          </cell>
        </row>
        <row r="8184">
          <cell r="D8184" t="str">
            <v>Furnitures</v>
          </cell>
          <cell r="F8184">
            <v>5076.2401776639344</v>
          </cell>
          <cell r="G8184">
            <v>275</v>
          </cell>
          <cell r="H8184">
            <v>4822.055862663934</v>
          </cell>
        </row>
        <row r="8185">
          <cell r="D8185" t="str">
            <v>Furnitures</v>
          </cell>
          <cell r="F8185">
            <v>5076.2401776639344</v>
          </cell>
          <cell r="G8185">
            <v>275</v>
          </cell>
          <cell r="H8185">
            <v>4822.055862663934</v>
          </cell>
        </row>
        <row r="8186">
          <cell r="D8186" t="str">
            <v>Furnitures</v>
          </cell>
          <cell r="F8186">
            <v>5076.2401776639344</v>
          </cell>
          <cell r="G8186">
            <v>275</v>
          </cell>
          <cell r="H8186">
            <v>4822.055862663934</v>
          </cell>
        </row>
        <row r="8187">
          <cell r="D8187" t="str">
            <v>Furnitures</v>
          </cell>
          <cell r="F8187">
            <v>5076.2401776639344</v>
          </cell>
          <cell r="G8187">
            <v>275</v>
          </cell>
          <cell r="H8187">
            <v>4822.055862663934</v>
          </cell>
        </row>
        <row r="8188">
          <cell r="D8188" t="str">
            <v>Furnitures</v>
          </cell>
          <cell r="F8188">
            <v>5076.2401776639344</v>
          </cell>
          <cell r="G8188">
            <v>275</v>
          </cell>
          <cell r="H8188">
            <v>4822.055862663934</v>
          </cell>
        </row>
        <row r="8189">
          <cell r="D8189" t="str">
            <v>Furnitures</v>
          </cell>
          <cell r="F8189">
            <v>5076.2401776639344</v>
          </cell>
          <cell r="G8189">
            <v>275</v>
          </cell>
          <cell r="H8189">
            <v>4822.055862663934</v>
          </cell>
        </row>
        <row r="8190">
          <cell r="D8190" t="str">
            <v>Furnitures</v>
          </cell>
          <cell r="F8190">
            <v>5076.2401776639344</v>
          </cell>
          <cell r="G8190">
            <v>275</v>
          </cell>
          <cell r="H8190">
            <v>4822.055862663934</v>
          </cell>
        </row>
        <row r="8191">
          <cell r="D8191" t="str">
            <v>Furnitures</v>
          </cell>
          <cell r="F8191">
            <v>5076.2401776639344</v>
          </cell>
          <cell r="G8191">
            <v>275</v>
          </cell>
          <cell r="H8191">
            <v>4822.055862663934</v>
          </cell>
        </row>
        <row r="8192">
          <cell r="D8192" t="str">
            <v>Furnitures</v>
          </cell>
          <cell r="F8192">
            <v>5076.2401776639344</v>
          </cell>
          <cell r="G8192">
            <v>275</v>
          </cell>
          <cell r="H8192">
            <v>4822.055862663934</v>
          </cell>
        </row>
        <row r="8193">
          <cell r="D8193" t="str">
            <v>Furnitures</v>
          </cell>
          <cell r="F8193">
            <v>5076.2401776639344</v>
          </cell>
          <cell r="G8193">
            <v>275</v>
          </cell>
          <cell r="H8193">
            <v>4822.055862663934</v>
          </cell>
        </row>
        <row r="8194">
          <cell r="D8194" t="str">
            <v>Furnitures</v>
          </cell>
          <cell r="F8194">
            <v>5076.2401776639344</v>
          </cell>
          <cell r="G8194">
            <v>275</v>
          </cell>
          <cell r="H8194">
            <v>4822.055862663934</v>
          </cell>
        </row>
        <row r="8195">
          <cell r="D8195" t="str">
            <v>Furnitures</v>
          </cell>
          <cell r="F8195">
            <v>5076.2401776639344</v>
          </cell>
          <cell r="G8195">
            <v>275</v>
          </cell>
          <cell r="H8195">
            <v>4822.055862663934</v>
          </cell>
        </row>
        <row r="8196">
          <cell r="D8196" t="str">
            <v>Furnitures</v>
          </cell>
          <cell r="F8196">
            <v>5076.2401776639344</v>
          </cell>
          <cell r="G8196">
            <v>275</v>
          </cell>
          <cell r="H8196">
            <v>4822.055862663934</v>
          </cell>
        </row>
        <row r="8197">
          <cell r="D8197" t="str">
            <v>Furnitures</v>
          </cell>
          <cell r="F8197">
            <v>5076.2401776639344</v>
          </cell>
          <cell r="G8197">
            <v>275</v>
          </cell>
          <cell r="H8197">
            <v>4822.055862663934</v>
          </cell>
        </row>
        <row r="8198">
          <cell r="D8198" t="str">
            <v>Furnitures</v>
          </cell>
          <cell r="F8198">
            <v>5076.2401776639344</v>
          </cell>
          <cell r="G8198">
            <v>275</v>
          </cell>
          <cell r="H8198">
            <v>4822.055862663934</v>
          </cell>
        </row>
        <row r="8199">
          <cell r="D8199" t="str">
            <v>Furnitures</v>
          </cell>
          <cell r="F8199">
            <v>5076.2401776639344</v>
          </cell>
          <cell r="G8199">
            <v>275</v>
          </cell>
          <cell r="H8199">
            <v>4822.055862663934</v>
          </cell>
        </row>
        <row r="8200">
          <cell r="D8200" t="str">
            <v>Furnitures</v>
          </cell>
          <cell r="F8200">
            <v>5076.2401776639344</v>
          </cell>
          <cell r="G8200">
            <v>275</v>
          </cell>
          <cell r="H8200">
            <v>4822.055862663934</v>
          </cell>
        </row>
        <row r="8201">
          <cell r="D8201" t="str">
            <v>Furnitures</v>
          </cell>
          <cell r="F8201">
            <v>5076.2401776639344</v>
          </cell>
          <cell r="G8201">
            <v>275</v>
          </cell>
          <cell r="H8201">
            <v>4822.055862663934</v>
          </cell>
        </row>
        <row r="8202">
          <cell r="D8202" t="str">
            <v>Furnitures</v>
          </cell>
          <cell r="F8202">
            <v>5076.2401776639344</v>
          </cell>
          <cell r="G8202">
            <v>275</v>
          </cell>
          <cell r="H8202">
            <v>4822.055862663934</v>
          </cell>
        </row>
        <row r="8203">
          <cell r="D8203" t="str">
            <v>Furnitures</v>
          </cell>
          <cell r="F8203">
            <v>5076.2401776639344</v>
          </cell>
          <cell r="G8203">
            <v>275</v>
          </cell>
          <cell r="H8203">
            <v>4822.055862663934</v>
          </cell>
        </row>
        <row r="8204">
          <cell r="D8204" t="str">
            <v>Furnitures</v>
          </cell>
          <cell r="F8204">
            <v>5076.2401776639344</v>
          </cell>
          <cell r="G8204">
            <v>275</v>
          </cell>
          <cell r="H8204">
            <v>4822.055862663934</v>
          </cell>
        </row>
        <row r="8205">
          <cell r="D8205" t="str">
            <v>Furnitures</v>
          </cell>
          <cell r="F8205">
            <v>5076.2401776639344</v>
          </cell>
          <cell r="G8205">
            <v>275</v>
          </cell>
          <cell r="H8205">
            <v>4822.055862663934</v>
          </cell>
        </row>
        <row r="8206">
          <cell r="D8206" t="str">
            <v>Furnitures</v>
          </cell>
          <cell r="F8206">
            <v>5076.2401776639344</v>
          </cell>
          <cell r="G8206">
            <v>275</v>
          </cell>
          <cell r="H8206">
            <v>4822.055862663934</v>
          </cell>
        </row>
        <row r="8207">
          <cell r="D8207" t="str">
            <v>Furnitures</v>
          </cell>
          <cell r="F8207">
            <v>5076.2401776639344</v>
          </cell>
          <cell r="G8207">
            <v>275</v>
          </cell>
          <cell r="H8207">
            <v>4822.055862663934</v>
          </cell>
        </row>
        <row r="8208">
          <cell r="D8208" t="str">
            <v>Furnitures</v>
          </cell>
          <cell r="F8208">
            <v>5076.2401776639344</v>
          </cell>
          <cell r="G8208">
            <v>275</v>
          </cell>
          <cell r="H8208">
            <v>4822.055862663934</v>
          </cell>
        </row>
        <row r="8209">
          <cell r="D8209" t="str">
            <v>Furnitures</v>
          </cell>
          <cell r="F8209">
            <v>5076.2401776639344</v>
          </cell>
          <cell r="G8209">
            <v>275</v>
          </cell>
          <cell r="H8209">
            <v>4822.055862663934</v>
          </cell>
        </row>
        <row r="8210">
          <cell r="D8210" t="str">
            <v>Furnitures</v>
          </cell>
          <cell r="F8210">
            <v>5076.2401776639344</v>
          </cell>
          <cell r="G8210">
            <v>275</v>
          </cell>
          <cell r="H8210">
            <v>4822.055862663934</v>
          </cell>
        </row>
        <row r="8211">
          <cell r="D8211" t="str">
            <v>Furnitures</v>
          </cell>
          <cell r="F8211">
            <v>5076.2401776639344</v>
          </cell>
          <cell r="G8211">
            <v>275</v>
          </cell>
          <cell r="H8211">
            <v>4822.055862663934</v>
          </cell>
        </row>
        <row r="8212">
          <cell r="D8212" t="str">
            <v>Furnitures</v>
          </cell>
          <cell r="F8212">
            <v>5076.2401776639344</v>
          </cell>
          <cell r="G8212">
            <v>275</v>
          </cell>
          <cell r="H8212">
            <v>4822.055862663934</v>
          </cell>
        </row>
        <row r="8213">
          <cell r="D8213" t="str">
            <v>Furnitures</v>
          </cell>
          <cell r="F8213">
            <v>5076.2401776639344</v>
          </cell>
          <cell r="G8213">
            <v>275</v>
          </cell>
          <cell r="H8213">
            <v>4822.055862663934</v>
          </cell>
        </row>
        <row r="8214">
          <cell r="D8214" t="str">
            <v>Furnitures</v>
          </cell>
          <cell r="F8214">
            <v>5076.2401776639344</v>
          </cell>
          <cell r="G8214">
            <v>275</v>
          </cell>
          <cell r="H8214">
            <v>4822.055862663934</v>
          </cell>
        </row>
        <row r="8215">
          <cell r="D8215" t="str">
            <v>Furnitures</v>
          </cell>
          <cell r="F8215">
            <v>5076.2401776639344</v>
          </cell>
          <cell r="G8215">
            <v>275</v>
          </cell>
          <cell r="H8215">
            <v>4822.055862663934</v>
          </cell>
        </row>
        <row r="8216">
          <cell r="D8216" t="str">
            <v>Furnitures</v>
          </cell>
          <cell r="F8216">
            <v>5076.2401776639344</v>
          </cell>
          <cell r="G8216">
            <v>275</v>
          </cell>
          <cell r="H8216">
            <v>4822.055862663934</v>
          </cell>
        </row>
        <row r="8217">
          <cell r="D8217" t="str">
            <v>Furnitures</v>
          </cell>
          <cell r="F8217">
            <v>5076.2401776639344</v>
          </cell>
          <cell r="G8217">
            <v>275</v>
          </cell>
          <cell r="H8217">
            <v>4822.055862663934</v>
          </cell>
        </row>
        <row r="8218">
          <cell r="D8218" t="str">
            <v>Furnitures</v>
          </cell>
          <cell r="F8218">
            <v>5076.2401776639344</v>
          </cell>
          <cell r="G8218">
            <v>275</v>
          </cell>
          <cell r="H8218">
            <v>4822.055862663934</v>
          </cell>
        </row>
        <row r="8219">
          <cell r="D8219" t="str">
            <v>Furnitures</v>
          </cell>
          <cell r="F8219">
            <v>5076.2401776639344</v>
          </cell>
          <cell r="G8219">
            <v>275</v>
          </cell>
          <cell r="H8219">
            <v>4822.055862663934</v>
          </cell>
        </row>
        <row r="8220">
          <cell r="D8220" t="str">
            <v>Furnitures</v>
          </cell>
          <cell r="F8220">
            <v>5076.2401776639344</v>
          </cell>
          <cell r="G8220">
            <v>275</v>
          </cell>
          <cell r="H8220">
            <v>4822.055862663934</v>
          </cell>
        </row>
        <row r="8221">
          <cell r="D8221" t="str">
            <v>Furnitures</v>
          </cell>
          <cell r="F8221">
            <v>5076.2401776639344</v>
          </cell>
          <cell r="G8221">
            <v>275</v>
          </cell>
          <cell r="H8221">
            <v>4822.055862663934</v>
          </cell>
        </row>
        <row r="8222">
          <cell r="D8222" t="str">
            <v>Furnitures</v>
          </cell>
          <cell r="F8222">
            <v>5076.2401776639344</v>
          </cell>
          <cell r="G8222">
            <v>275</v>
          </cell>
          <cell r="H8222">
            <v>4822.055862663934</v>
          </cell>
        </row>
        <row r="8223">
          <cell r="D8223" t="str">
            <v>Furnitures</v>
          </cell>
          <cell r="F8223">
            <v>5076.2401776639344</v>
          </cell>
          <cell r="G8223">
            <v>275</v>
          </cell>
          <cell r="H8223">
            <v>4822.055862663934</v>
          </cell>
        </row>
        <row r="8224">
          <cell r="D8224" t="str">
            <v>Furnitures</v>
          </cell>
          <cell r="F8224">
            <v>5076.2401776639344</v>
          </cell>
          <cell r="G8224">
            <v>275</v>
          </cell>
          <cell r="H8224">
            <v>4822.055862663934</v>
          </cell>
        </row>
        <row r="8225">
          <cell r="D8225" t="str">
            <v>Furnitures</v>
          </cell>
          <cell r="F8225">
            <v>5076.2401776639344</v>
          </cell>
          <cell r="G8225">
            <v>275</v>
          </cell>
          <cell r="H8225">
            <v>4822.055862663934</v>
          </cell>
        </row>
        <row r="8226">
          <cell r="D8226" t="str">
            <v>Furnitures</v>
          </cell>
          <cell r="F8226">
            <v>5076.2401776639344</v>
          </cell>
          <cell r="G8226">
            <v>275</v>
          </cell>
          <cell r="H8226">
            <v>4822.055862663934</v>
          </cell>
        </row>
        <row r="8227">
          <cell r="D8227" t="str">
            <v>Furnitures</v>
          </cell>
          <cell r="F8227">
            <v>5076.2401776639344</v>
          </cell>
          <cell r="G8227">
            <v>275</v>
          </cell>
          <cell r="H8227">
            <v>4822.055862663934</v>
          </cell>
        </row>
        <row r="8228">
          <cell r="D8228" t="str">
            <v>Furnitures</v>
          </cell>
          <cell r="F8228">
            <v>5076.2401776639344</v>
          </cell>
          <cell r="G8228">
            <v>275</v>
          </cell>
          <cell r="H8228">
            <v>4822.055862663934</v>
          </cell>
        </row>
        <row r="8229">
          <cell r="D8229" t="str">
            <v>Furnitures</v>
          </cell>
          <cell r="F8229">
            <v>5076.2401776639344</v>
          </cell>
          <cell r="G8229">
            <v>275</v>
          </cell>
          <cell r="H8229">
            <v>4822.055862663934</v>
          </cell>
        </row>
        <row r="8230">
          <cell r="D8230" t="str">
            <v>Furnitures</v>
          </cell>
          <cell r="F8230">
            <v>5076.2401776639344</v>
          </cell>
          <cell r="G8230">
            <v>275</v>
          </cell>
          <cell r="H8230">
            <v>4822.055862663934</v>
          </cell>
        </row>
        <row r="8231">
          <cell r="D8231" t="str">
            <v>Furnitures</v>
          </cell>
          <cell r="F8231">
            <v>5076.2401776639344</v>
          </cell>
          <cell r="G8231">
            <v>275</v>
          </cell>
          <cell r="H8231">
            <v>4822.055862663934</v>
          </cell>
        </row>
        <row r="8232">
          <cell r="D8232" t="str">
            <v>Furnitures</v>
          </cell>
          <cell r="F8232">
            <v>5076.2401776639344</v>
          </cell>
          <cell r="G8232">
            <v>275</v>
          </cell>
          <cell r="H8232">
            <v>4822.055862663934</v>
          </cell>
        </row>
        <row r="8233">
          <cell r="D8233" t="str">
            <v>Furnitures</v>
          </cell>
          <cell r="F8233">
            <v>5076.2401776639344</v>
          </cell>
          <cell r="G8233">
            <v>275</v>
          </cell>
          <cell r="H8233">
            <v>4822.055862663934</v>
          </cell>
        </row>
        <row r="8234">
          <cell r="D8234" t="str">
            <v>Furnitures</v>
          </cell>
          <cell r="F8234">
            <v>5076.2401776639344</v>
          </cell>
          <cell r="G8234">
            <v>275</v>
          </cell>
          <cell r="H8234">
            <v>4822.055862663934</v>
          </cell>
        </row>
        <row r="8235">
          <cell r="D8235" t="str">
            <v>Furnitures</v>
          </cell>
          <cell r="F8235">
            <v>5076.2401776639344</v>
          </cell>
          <cell r="G8235">
            <v>275</v>
          </cell>
          <cell r="H8235">
            <v>4822.055862663934</v>
          </cell>
        </row>
        <row r="8236">
          <cell r="D8236" t="str">
            <v>Furnitures</v>
          </cell>
          <cell r="F8236">
            <v>5076.2401776639344</v>
          </cell>
          <cell r="G8236">
            <v>275</v>
          </cell>
          <cell r="H8236">
            <v>4822.055862663934</v>
          </cell>
        </row>
        <row r="8237">
          <cell r="D8237" t="str">
            <v>Furnitures</v>
          </cell>
          <cell r="F8237">
            <v>5076.2401776639344</v>
          </cell>
          <cell r="G8237">
            <v>275</v>
          </cell>
          <cell r="H8237">
            <v>4822.055862663934</v>
          </cell>
        </row>
        <row r="8238">
          <cell r="D8238" t="str">
            <v>Furnitures</v>
          </cell>
          <cell r="F8238">
            <v>5076.2401776639344</v>
          </cell>
          <cell r="G8238">
            <v>275</v>
          </cell>
          <cell r="H8238">
            <v>4822.055862663934</v>
          </cell>
        </row>
        <row r="8239">
          <cell r="D8239" t="str">
            <v>Furnitures</v>
          </cell>
          <cell r="F8239">
            <v>5076.2401776639344</v>
          </cell>
          <cell r="G8239">
            <v>275</v>
          </cell>
          <cell r="H8239">
            <v>4822.055862663934</v>
          </cell>
        </row>
        <row r="8240">
          <cell r="D8240" t="str">
            <v>Furnitures</v>
          </cell>
          <cell r="F8240">
            <v>5076.2401776639344</v>
          </cell>
          <cell r="G8240">
            <v>275</v>
          </cell>
          <cell r="H8240">
            <v>4822.055862663934</v>
          </cell>
        </row>
        <row r="8241">
          <cell r="D8241" t="str">
            <v>Furnitures</v>
          </cell>
          <cell r="F8241">
            <v>5076.2401776639344</v>
          </cell>
          <cell r="G8241">
            <v>275</v>
          </cell>
          <cell r="H8241">
            <v>4822.055862663934</v>
          </cell>
        </row>
        <row r="8242">
          <cell r="D8242" t="str">
            <v>Furnitures</v>
          </cell>
          <cell r="F8242">
            <v>5076.2401776639344</v>
          </cell>
          <cell r="G8242">
            <v>275</v>
          </cell>
          <cell r="H8242">
            <v>4822.055862663934</v>
          </cell>
        </row>
        <row r="8243">
          <cell r="D8243" t="str">
            <v>Furnitures</v>
          </cell>
          <cell r="F8243">
            <v>5076.2401776639344</v>
          </cell>
          <cell r="G8243">
            <v>275</v>
          </cell>
          <cell r="H8243">
            <v>4822.055862663934</v>
          </cell>
        </row>
        <row r="8244">
          <cell r="D8244" t="str">
            <v>Furnitures</v>
          </cell>
          <cell r="F8244">
            <v>5076.2401776639344</v>
          </cell>
          <cell r="G8244">
            <v>275</v>
          </cell>
          <cell r="H8244">
            <v>4822.055862663934</v>
          </cell>
        </row>
        <row r="8245">
          <cell r="D8245" t="str">
            <v>Furnitures</v>
          </cell>
          <cell r="F8245">
            <v>5076.2401776639344</v>
          </cell>
          <cell r="G8245">
            <v>275</v>
          </cell>
          <cell r="H8245">
            <v>4822.055862663934</v>
          </cell>
        </row>
        <row r="8246">
          <cell r="D8246" t="str">
            <v>Furnitures</v>
          </cell>
          <cell r="F8246">
            <v>5076.2401776639344</v>
          </cell>
          <cell r="G8246">
            <v>275</v>
          </cell>
          <cell r="H8246">
            <v>4822.055862663934</v>
          </cell>
        </row>
        <row r="8247">
          <cell r="D8247" t="str">
            <v>Furnitures</v>
          </cell>
          <cell r="F8247">
            <v>5076.2401776639344</v>
          </cell>
          <cell r="G8247">
            <v>275</v>
          </cell>
          <cell r="H8247">
            <v>4822.055862663934</v>
          </cell>
        </row>
        <row r="8248">
          <cell r="D8248" t="str">
            <v>Furnitures</v>
          </cell>
          <cell r="F8248">
            <v>5076.2401776639344</v>
          </cell>
          <cell r="G8248">
            <v>275</v>
          </cell>
          <cell r="H8248">
            <v>4822.055862663934</v>
          </cell>
        </row>
        <row r="8249">
          <cell r="D8249" t="str">
            <v>Furnitures</v>
          </cell>
          <cell r="F8249">
            <v>5076.2401776639344</v>
          </cell>
          <cell r="G8249">
            <v>275</v>
          </cell>
          <cell r="H8249">
            <v>4822.055862663934</v>
          </cell>
        </row>
        <row r="8250">
          <cell r="D8250" t="str">
            <v>Furnitures</v>
          </cell>
          <cell r="F8250">
            <v>5076.2401776639344</v>
          </cell>
          <cell r="G8250">
            <v>275</v>
          </cell>
          <cell r="H8250">
            <v>4822.055862663934</v>
          </cell>
        </row>
        <row r="8251">
          <cell r="D8251" t="str">
            <v>Furnitures</v>
          </cell>
          <cell r="F8251">
            <v>5076.2401776639344</v>
          </cell>
          <cell r="G8251">
            <v>275</v>
          </cell>
          <cell r="H8251">
            <v>4822.055862663934</v>
          </cell>
        </row>
        <row r="8252">
          <cell r="D8252" t="str">
            <v>Furnitures</v>
          </cell>
          <cell r="F8252">
            <v>5076.2401776639344</v>
          </cell>
          <cell r="G8252">
            <v>275</v>
          </cell>
          <cell r="H8252">
            <v>4822.055862663934</v>
          </cell>
        </row>
        <row r="8253">
          <cell r="D8253" t="str">
            <v>Furnitures</v>
          </cell>
          <cell r="F8253">
            <v>5076.2401776639344</v>
          </cell>
          <cell r="G8253">
            <v>275</v>
          </cell>
          <cell r="H8253">
            <v>4822.055862663934</v>
          </cell>
        </row>
        <row r="8254">
          <cell r="D8254" t="str">
            <v>Furnitures</v>
          </cell>
          <cell r="F8254">
            <v>5076.2401776639344</v>
          </cell>
          <cell r="G8254">
            <v>275</v>
          </cell>
          <cell r="H8254">
            <v>4822.055862663934</v>
          </cell>
        </row>
        <row r="8255">
          <cell r="D8255" t="str">
            <v>Furnitures</v>
          </cell>
          <cell r="F8255">
            <v>5076.2401776639344</v>
          </cell>
          <cell r="G8255">
            <v>275</v>
          </cell>
          <cell r="H8255">
            <v>4822.055862663934</v>
          </cell>
        </row>
        <row r="8256">
          <cell r="D8256" t="str">
            <v>Furnitures</v>
          </cell>
          <cell r="F8256">
            <v>5076.2401776639344</v>
          </cell>
          <cell r="G8256">
            <v>275</v>
          </cell>
          <cell r="H8256">
            <v>4822.055862663934</v>
          </cell>
        </row>
        <row r="8257">
          <cell r="D8257" t="str">
            <v>Furnitures</v>
          </cell>
          <cell r="F8257">
            <v>5076.2401776639344</v>
          </cell>
          <cell r="G8257">
            <v>275</v>
          </cell>
          <cell r="H8257">
            <v>4822.055862663934</v>
          </cell>
        </row>
        <row r="8258">
          <cell r="D8258" t="str">
            <v>Furnitures</v>
          </cell>
          <cell r="F8258">
            <v>5076.2401776639344</v>
          </cell>
          <cell r="G8258">
            <v>275</v>
          </cell>
          <cell r="H8258">
            <v>4822.055862663934</v>
          </cell>
        </row>
        <row r="8259">
          <cell r="D8259" t="str">
            <v>Furnitures</v>
          </cell>
          <cell r="F8259">
            <v>5076.2401776639344</v>
          </cell>
          <cell r="G8259">
            <v>275</v>
          </cell>
          <cell r="H8259">
            <v>4822.055862663934</v>
          </cell>
        </row>
        <row r="8260">
          <cell r="D8260" t="str">
            <v>Furnitures</v>
          </cell>
          <cell r="F8260">
            <v>5076.2401776639344</v>
          </cell>
          <cell r="G8260">
            <v>275</v>
          </cell>
          <cell r="H8260">
            <v>4822.055862663934</v>
          </cell>
        </row>
        <row r="8261">
          <cell r="D8261" t="str">
            <v>Furnitures</v>
          </cell>
          <cell r="F8261">
            <v>5076.2401776639344</v>
          </cell>
          <cell r="G8261">
            <v>275</v>
          </cell>
          <cell r="H8261">
            <v>4822.055862663934</v>
          </cell>
        </row>
        <row r="8262">
          <cell r="D8262" t="str">
            <v>Furnitures</v>
          </cell>
          <cell r="F8262">
            <v>5076.2401776639344</v>
          </cell>
          <cell r="G8262">
            <v>275</v>
          </cell>
          <cell r="H8262">
            <v>4822.055862663934</v>
          </cell>
        </row>
        <row r="8263">
          <cell r="D8263" t="str">
            <v>Furnitures</v>
          </cell>
          <cell r="F8263">
            <v>5076.2401776639344</v>
          </cell>
          <cell r="G8263">
            <v>275</v>
          </cell>
          <cell r="H8263">
            <v>4822.055862663934</v>
          </cell>
        </row>
        <row r="8264">
          <cell r="D8264" t="str">
            <v>Furnitures</v>
          </cell>
          <cell r="F8264">
            <v>5076.2401776639344</v>
          </cell>
          <cell r="G8264">
            <v>275</v>
          </cell>
          <cell r="H8264">
            <v>4822.055862663934</v>
          </cell>
        </row>
        <row r="8265">
          <cell r="D8265" t="str">
            <v>Furnitures</v>
          </cell>
          <cell r="F8265">
            <v>5076.2401776639344</v>
          </cell>
          <cell r="G8265">
            <v>275</v>
          </cell>
          <cell r="H8265">
            <v>4822.055862663934</v>
          </cell>
        </row>
        <row r="8266">
          <cell r="D8266" t="str">
            <v>Furnitures</v>
          </cell>
          <cell r="F8266">
            <v>5076.2401776639344</v>
          </cell>
          <cell r="G8266">
            <v>275</v>
          </cell>
          <cell r="H8266">
            <v>4822.055862663934</v>
          </cell>
        </row>
        <row r="8267">
          <cell r="D8267" t="str">
            <v>Furnitures</v>
          </cell>
          <cell r="F8267">
            <v>5076.2401776639344</v>
          </cell>
          <cell r="G8267">
            <v>275</v>
          </cell>
          <cell r="H8267">
            <v>4822.055862663934</v>
          </cell>
        </row>
        <row r="8268">
          <cell r="D8268" t="str">
            <v>Furnitures</v>
          </cell>
          <cell r="F8268">
            <v>5076.2401776639344</v>
          </cell>
          <cell r="G8268">
            <v>275</v>
          </cell>
          <cell r="H8268">
            <v>4822.055862663934</v>
          </cell>
        </row>
        <row r="8269">
          <cell r="D8269" t="str">
            <v>Furnitures</v>
          </cell>
          <cell r="F8269">
            <v>5076.2401776639344</v>
          </cell>
          <cell r="G8269">
            <v>275</v>
          </cell>
          <cell r="H8269">
            <v>4822.055862663934</v>
          </cell>
        </row>
        <row r="8270">
          <cell r="D8270" t="str">
            <v>Furnitures</v>
          </cell>
          <cell r="F8270">
            <v>5076.2401776639344</v>
          </cell>
          <cell r="G8270">
            <v>275</v>
          </cell>
          <cell r="H8270">
            <v>4822.055862663934</v>
          </cell>
        </row>
        <row r="8271">
          <cell r="D8271" t="str">
            <v>Furnitures</v>
          </cell>
          <cell r="F8271">
            <v>5076.2401776639344</v>
          </cell>
          <cell r="G8271">
            <v>275</v>
          </cell>
          <cell r="H8271">
            <v>4822.055862663934</v>
          </cell>
        </row>
        <row r="8272">
          <cell r="D8272" t="str">
            <v>Furnitures</v>
          </cell>
          <cell r="F8272">
            <v>5076.2401776639344</v>
          </cell>
          <cell r="G8272">
            <v>275</v>
          </cell>
          <cell r="H8272">
            <v>4822.055862663934</v>
          </cell>
        </row>
        <row r="8273">
          <cell r="D8273" t="str">
            <v>Furnitures</v>
          </cell>
          <cell r="F8273">
            <v>5076.2401776639344</v>
          </cell>
          <cell r="G8273">
            <v>275</v>
          </cell>
          <cell r="H8273">
            <v>4822.055862663934</v>
          </cell>
        </row>
        <row r="8274">
          <cell r="D8274" t="str">
            <v>Furnitures</v>
          </cell>
          <cell r="F8274">
            <v>5076.2401776639344</v>
          </cell>
          <cell r="G8274">
            <v>275</v>
          </cell>
          <cell r="H8274">
            <v>4822.055862663934</v>
          </cell>
        </row>
        <row r="8275">
          <cell r="D8275" t="str">
            <v>Furnitures</v>
          </cell>
          <cell r="F8275">
            <v>5076.2401776639344</v>
          </cell>
          <cell r="G8275">
            <v>275</v>
          </cell>
          <cell r="H8275">
            <v>4822.055862663934</v>
          </cell>
        </row>
        <row r="8276">
          <cell r="D8276" t="str">
            <v>Furnitures</v>
          </cell>
          <cell r="F8276">
            <v>5076.2401776639344</v>
          </cell>
          <cell r="G8276">
            <v>275</v>
          </cell>
          <cell r="H8276">
            <v>4822.055862663934</v>
          </cell>
        </row>
        <row r="8277">
          <cell r="D8277" t="str">
            <v>Furnitures</v>
          </cell>
          <cell r="F8277">
            <v>5076.2401776639344</v>
          </cell>
          <cell r="G8277">
            <v>275</v>
          </cell>
          <cell r="H8277">
            <v>4822.055862663934</v>
          </cell>
        </row>
        <row r="8278">
          <cell r="D8278" t="str">
            <v>Furnitures</v>
          </cell>
          <cell r="F8278">
            <v>5076.2401776639344</v>
          </cell>
          <cell r="G8278">
            <v>275</v>
          </cell>
          <cell r="H8278">
            <v>4822.055862663934</v>
          </cell>
        </row>
        <row r="8279">
          <cell r="D8279" t="str">
            <v>Furnitures</v>
          </cell>
          <cell r="F8279">
            <v>5076.2401776639344</v>
          </cell>
          <cell r="G8279">
            <v>275</v>
          </cell>
          <cell r="H8279">
            <v>4822.055862663934</v>
          </cell>
        </row>
        <row r="8280">
          <cell r="D8280" t="str">
            <v>Furnitures</v>
          </cell>
          <cell r="F8280">
            <v>5076.2401776639344</v>
          </cell>
          <cell r="G8280">
            <v>275</v>
          </cell>
          <cell r="H8280">
            <v>4822.055862663934</v>
          </cell>
        </row>
        <row r="8281">
          <cell r="D8281" t="str">
            <v>Furnitures</v>
          </cell>
          <cell r="F8281">
            <v>5076.2401776639344</v>
          </cell>
          <cell r="G8281">
            <v>275</v>
          </cell>
          <cell r="H8281">
            <v>4822.055862663934</v>
          </cell>
        </row>
        <row r="8282">
          <cell r="D8282" t="str">
            <v>Furnitures</v>
          </cell>
          <cell r="F8282">
            <v>5076.2401776639344</v>
          </cell>
          <cell r="G8282">
            <v>275</v>
          </cell>
          <cell r="H8282">
            <v>4822.055862663934</v>
          </cell>
        </row>
        <row r="8283">
          <cell r="D8283" t="str">
            <v>Furnitures</v>
          </cell>
          <cell r="F8283">
            <v>5076.2401776639344</v>
          </cell>
          <cell r="G8283">
            <v>275</v>
          </cell>
          <cell r="H8283">
            <v>4822.055862663934</v>
          </cell>
        </row>
        <row r="8284">
          <cell r="D8284" t="str">
            <v>Furnitures</v>
          </cell>
          <cell r="F8284">
            <v>5076.2401776639344</v>
          </cell>
          <cell r="G8284">
            <v>275</v>
          </cell>
          <cell r="H8284">
            <v>4822.055862663934</v>
          </cell>
        </row>
        <row r="8285">
          <cell r="D8285" t="str">
            <v>Furnitures</v>
          </cell>
          <cell r="F8285">
            <v>5076.2401776639344</v>
          </cell>
          <cell r="G8285">
            <v>275</v>
          </cell>
          <cell r="H8285">
            <v>4822.055862663934</v>
          </cell>
        </row>
        <row r="8286">
          <cell r="D8286" t="str">
            <v>Furnitures</v>
          </cell>
          <cell r="F8286">
            <v>5076.2401776639344</v>
          </cell>
          <cell r="G8286">
            <v>275</v>
          </cell>
          <cell r="H8286">
            <v>4822.055862663934</v>
          </cell>
        </row>
        <row r="8287">
          <cell r="D8287" t="str">
            <v>Furnitures</v>
          </cell>
          <cell r="F8287">
            <v>5076.2401776639344</v>
          </cell>
          <cell r="G8287">
            <v>275</v>
          </cell>
          <cell r="H8287">
            <v>4822.055862663934</v>
          </cell>
        </row>
        <row r="8288">
          <cell r="D8288" t="str">
            <v>Furnitures</v>
          </cell>
          <cell r="F8288">
            <v>5076.2401776639344</v>
          </cell>
          <cell r="G8288">
            <v>275</v>
          </cell>
          <cell r="H8288">
            <v>4822.055862663934</v>
          </cell>
        </row>
        <row r="8289">
          <cell r="D8289" t="str">
            <v>Furnitures</v>
          </cell>
          <cell r="F8289">
            <v>5076.2401776639344</v>
          </cell>
          <cell r="G8289">
            <v>275</v>
          </cell>
          <cell r="H8289">
            <v>4822.055862663934</v>
          </cell>
        </row>
        <row r="8290">
          <cell r="D8290" t="str">
            <v>Furnitures</v>
          </cell>
          <cell r="F8290">
            <v>5076.2401776639344</v>
          </cell>
          <cell r="G8290">
            <v>275</v>
          </cell>
          <cell r="H8290">
            <v>4822.055862663934</v>
          </cell>
        </row>
        <row r="8291">
          <cell r="D8291" t="str">
            <v>Furnitures</v>
          </cell>
          <cell r="F8291">
            <v>5076.2401776639344</v>
          </cell>
          <cell r="G8291">
            <v>275</v>
          </cell>
          <cell r="H8291">
            <v>4822.055862663934</v>
          </cell>
        </row>
        <row r="8292">
          <cell r="D8292" t="str">
            <v>Furnitures</v>
          </cell>
          <cell r="F8292">
            <v>5076.2401776639344</v>
          </cell>
          <cell r="G8292">
            <v>275</v>
          </cell>
          <cell r="H8292">
            <v>4822.055862663934</v>
          </cell>
        </row>
        <row r="8293">
          <cell r="D8293" t="str">
            <v>Furnitures</v>
          </cell>
          <cell r="F8293">
            <v>5076.2401776639344</v>
          </cell>
          <cell r="G8293">
            <v>275</v>
          </cell>
          <cell r="H8293">
            <v>4822.055862663934</v>
          </cell>
        </row>
        <row r="8294">
          <cell r="D8294" t="str">
            <v>Furnitures</v>
          </cell>
          <cell r="F8294">
            <v>5076.2401776639344</v>
          </cell>
          <cell r="G8294">
            <v>275</v>
          </cell>
          <cell r="H8294">
            <v>4822.055862663934</v>
          </cell>
        </row>
        <row r="8295">
          <cell r="D8295" t="str">
            <v>Furnitures</v>
          </cell>
          <cell r="F8295">
            <v>5076.2401776639344</v>
          </cell>
          <cell r="G8295">
            <v>275</v>
          </cell>
          <cell r="H8295">
            <v>4822.055862663934</v>
          </cell>
        </row>
        <row r="8296">
          <cell r="D8296" t="str">
            <v>Furnitures</v>
          </cell>
          <cell r="F8296">
            <v>5076.2401776639344</v>
          </cell>
          <cell r="G8296">
            <v>275</v>
          </cell>
          <cell r="H8296">
            <v>4822.055862663934</v>
          </cell>
        </row>
        <row r="8297">
          <cell r="D8297" t="str">
            <v>Furnitures</v>
          </cell>
          <cell r="F8297">
            <v>5076.2401776639344</v>
          </cell>
          <cell r="G8297">
            <v>275</v>
          </cell>
          <cell r="H8297">
            <v>4822.055862663934</v>
          </cell>
        </row>
        <row r="8298">
          <cell r="D8298" t="str">
            <v>Furnitures</v>
          </cell>
          <cell r="F8298">
            <v>5076.2401776639344</v>
          </cell>
          <cell r="G8298">
            <v>275</v>
          </cell>
          <cell r="H8298">
            <v>4822.055862663934</v>
          </cell>
        </row>
        <row r="8299">
          <cell r="D8299" t="str">
            <v>Furnitures</v>
          </cell>
          <cell r="F8299">
            <v>5076.2401776639344</v>
          </cell>
          <cell r="G8299">
            <v>275</v>
          </cell>
          <cell r="H8299">
            <v>4822.055862663934</v>
          </cell>
        </row>
        <row r="8300">
          <cell r="D8300" t="str">
            <v>Furnitures</v>
          </cell>
          <cell r="F8300">
            <v>5076.2401776639344</v>
          </cell>
          <cell r="G8300">
            <v>275</v>
          </cell>
          <cell r="H8300">
            <v>4822.055862663934</v>
          </cell>
        </row>
        <row r="8301">
          <cell r="D8301" t="str">
            <v>Furnitures</v>
          </cell>
          <cell r="F8301">
            <v>5076.2401776639344</v>
          </cell>
          <cell r="G8301">
            <v>275</v>
          </cell>
          <cell r="H8301">
            <v>4822.055862663934</v>
          </cell>
        </row>
        <row r="8302">
          <cell r="D8302" t="str">
            <v>Furnitures</v>
          </cell>
          <cell r="F8302">
            <v>5076.2401776639344</v>
          </cell>
          <cell r="G8302">
            <v>275</v>
          </cell>
          <cell r="H8302">
            <v>4822.055862663934</v>
          </cell>
        </row>
        <row r="8303">
          <cell r="D8303" t="str">
            <v>Furnitures</v>
          </cell>
          <cell r="F8303">
            <v>5075.4782268442623</v>
          </cell>
          <cell r="G8303">
            <v>275</v>
          </cell>
          <cell r="H8303">
            <v>4821.3320652689199</v>
          </cell>
        </row>
        <row r="8304">
          <cell r="D8304" t="str">
            <v>Furnitures</v>
          </cell>
          <cell r="F8304">
            <v>5075.4782268442623</v>
          </cell>
          <cell r="G8304">
            <v>275</v>
          </cell>
          <cell r="H8304">
            <v>4821.3320652689199</v>
          </cell>
        </row>
        <row r="8305">
          <cell r="D8305" t="str">
            <v>Furnitures</v>
          </cell>
          <cell r="F8305">
            <v>0</v>
          </cell>
          <cell r="G8305">
            <v>275</v>
          </cell>
          <cell r="H8305">
            <v>0</v>
          </cell>
        </row>
        <row r="8306">
          <cell r="D8306" t="str">
            <v>Furnitures</v>
          </cell>
          <cell r="F8306">
            <v>0</v>
          </cell>
          <cell r="G8306">
            <v>275</v>
          </cell>
          <cell r="H8306">
            <v>0</v>
          </cell>
        </row>
        <row r="8307">
          <cell r="D8307" t="str">
            <v>Furnitures</v>
          </cell>
          <cell r="F8307">
            <v>0</v>
          </cell>
          <cell r="G8307">
            <v>275</v>
          </cell>
          <cell r="H8307">
            <v>0</v>
          </cell>
        </row>
        <row r="8308">
          <cell r="D8308" t="str">
            <v>Furnitures</v>
          </cell>
          <cell r="F8308">
            <v>0</v>
          </cell>
          <cell r="G8308">
            <v>275</v>
          </cell>
          <cell r="H8308">
            <v>0</v>
          </cell>
        </row>
        <row r="8309">
          <cell r="D8309" t="str">
            <v>Furnitures</v>
          </cell>
          <cell r="F8309">
            <v>0</v>
          </cell>
          <cell r="G8309">
            <v>275</v>
          </cell>
          <cell r="H8309">
            <v>0</v>
          </cell>
        </row>
        <row r="8310">
          <cell r="D8310" t="str">
            <v>Furnitures</v>
          </cell>
          <cell r="F8310">
            <v>0</v>
          </cell>
          <cell r="G8310">
            <v>275</v>
          </cell>
          <cell r="H8310">
            <v>0</v>
          </cell>
        </row>
        <row r="8311">
          <cell r="D8311" t="str">
            <v>Furnitures</v>
          </cell>
          <cell r="F8311">
            <v>0</v>
          </cell>
          <cell r="G8311">
            <v>275</v>
          </cell>
          <cell r="H8311">
            <v>0</v>
          </cell>
        </row>
        <row r="8312">
          <cell r="D8312" t="str">
            <v>Furnitures</v>
          </cell>
          <cell r="F8312">
            <v>0</v>
          </cell>
          <cell r="G8312">
            <v>275</v>
          </cell>
          <cell r="H8312">
            <v>0</v>
          </cell>
        </row>
        <row r="8313">
          <cell r="D8313" t="str">
            <v>Furnitures</v>
          </cell>
          <cell r="F8313">
            <v>0</v>
          </cell>
          <cell r="G8313">
            <v>275</v>
          </cell>
          <cell r="H8313">
            <v>0</v>
          </cell>
        </row>
        <row r="8314">
          <cell r="D8314" t="str">
            <v>Furnitures</v>
          </cell>
          <cell r="F8314">
            <v>0</v>
          </cell>
          <cell r="G8314">
            <v>275</v>
          </cell>
          <cell r="H8314">
            <v>0</v>
          </cell>
        </row>
        <row r="8315">
          <cell r="D8315" t="str">
            <v>Furnitures</v>
          </cell>
          <cell r="F8315">
            <v>0</v>
          </cell>
          <cell r="G8315">
            <v>275</v>
          </cell>
          <cell r="H8315">
            <v>0</v>
          </cell>
        </row>
        <row r="8316">
          <cell r="D8316" t="str">
            <v>Furnitures</v>
          </cell>
          <cell r="F8316">
            <v>0</v>
          </cell>
          <cell r="G8316">
            <v>275</v>
          </cell>
          <cell r="H8316">
            <v>0</v>
          </cell>
        </row>
        <row r="8317">
          <cell r="D8317" t="str">
            <v>Furnitures</v>
          </cell>
          <cell r="F8317">
            <v>0</v>
          </cell>
          <cell r="G8317">
            <v>275</v>
          </cell>
          <cell r="H8317">
            <v>0</v>
          </cell>
        </row>
        <row r="8318">
          <cell r="D8318" t="str">
            <v>Furnitures</v>
          </cell>
          <cell r="F8318">
            <v>0</v>
          </cell>
          <cell r="G8318">
            <v>275</v>
          </cell>
          <cell r="H8318">
            <v>0</v>
          </cell>
        </row>
        <row r="8319">
          <cell r="D8319" t="str">
            <v>Furnitures</v>
          </cell>
          <cell r="F8319">
            <v>0</v>
          </cell>
          <cell r="G8319">
            <v>275</v>
          </cell>
          <cell r="H8319">
            <v>0</v>
          </cell>
        </row>
        <row r="8320">
          <cell r="D8320" t="str">
            <v>Furnitures</v>
          </cell>
          <cell r="F8320">
            <v>0</v>
          </cell>
          <cell r="G8320">
            <v>275</v>
          </cell>
          <cell r="H8320">
            <v>0</v>
          </cell>
        </row>
        <row r="8321">
          <cell r="D8321" t="str">
            <v>Furnitures</v>
          </cell>
          <cell r="F8321">
            <v>0</v>
          </cell>
          <cell r="G8321">
            <v>275</v>
          </cell>
          <cell r="H8321">
            <v>0</v>
          </cell>
        </row>
        <row r="8322">
          <cell r="D8322" t="str">
            <v>Furnitures</v>
          </cell>
          <cell r="F8322">
            <v>0</v>
          </cell>
          <cell r="G8322">
            <v>275</v>
          </cell>
          <cell r="H8322">
            <v>0</v>
          </cell>
        </row>
        <row r="8323">
          <cell r="D8323" t="str">
            <v>Furnitures</v>
          </cell>
          <cell r="F8323">
            <v>0</v>
          </cell>
          <cell r="G8323">
            <v>275</v>
          </cell>
          <cell r="H8323">
            <v>0</v>
          </cell>
        </row>
        <row r="8324">
          <cell r="D8324" t="str">
            <v>Furnitures</v>
          </cell>
          <cell r="F8324">
            <v>0</v>
          </cell>
          <cell r="G8324">
            <v>275</v>
          </cell>
          <cell r="H8324">
            <v>0</v>
          </cell>
        </row>
        <row r="8325">
          <cell r="D8325" t="str">
            <v>Furnitures</v>
          </cell>
          <cell r="F8325">
            <v>0</v>
          </cell>
          <cell r="G8325">
            <v>275</v>
          </cell>
          <cell r="H8325">
            <v>0</v>
          </cell>
        </row>
        <row r="8326">
          <cell r="D8326" t="str">
            <v>Furnitures</v>
          </cell>
          <cell r="F8326">
            <v>0</v>
          </cell>
          <cell r="G8326">
            <v>275</v>
          </cell>
          <cell r="H8326">
            <v>0</v>
          </cell>
        </row>
        <row r="8327">
          <cell r="D8327" t="str">
            <v>Furnitures</v>
          </cell>
          <cell r="F8327">
            <v>5827.7332223360654</v>
          </cell>
          <cell r="G8327">
            <v>275</v>
          </cell>
          <cell r="H8327">
            <v>5535.9191384319556</v>
          </cell>
        </row>
        <row r="8328">
          <cell r="D8328" t="str">
            <v>Furnitures</v>
          </cell>
          <cell r="F8328">
            <v>0</v>
          </cell>
          <cell r="G8328">
            <v>275</v>
          </cell>
          <cell r="H8328">
            <v>0</v>
          </cell>
        </row>
        <row r="8329">
          <cell r="D8329" t="str">
            <v>Furnitures</v>
          </cell>
          <cell r="F8329">
            <v>0</v>
          </cell>
          <cell r="G8329">
            <v>275</v>
          </cell>
          <cell r="H8329">
            <v>0</v>
          </cell>
        </row>
        <row r="8330">
          <cell r="D8330" t="str">
            <v>Furnitures</v>
          </cell>
          <cell r="F8330">
            <v>5524.1434426229507</v>
          </cell>
          <cell r="G8330">
            <v>275</v>
          </cell>
          <cell r="H8330">
            <v>5247.5311138558272</v>
          </cell>
        </row>
        <row r="8331">
          <cell r="D8331" t="str">
            <v>Furnitures</v>
          </cell>
          <cell r="F8331">
            <v>0</v>
          </cell>
          <cell r="G8331">
            <v>275</v>
          </cell>
          <cell r="H8331">
            <v>0</v>
          </cell>
        </row>
        <row r="8332">
          <cell r="D8332" t="str">
            <v>Furnitures</v>
          </cell>
          <cell r="F8332">
            <v>0</v>
          </cell>
          <cell r="G8332">
            <v>275</v>
          </cell>
          <cell r="H8332">
            <v>0</v>
          </cell>
        </row>
        <row r="8333">
          <cell r="D8333" t="str">
            <v>Furnitures</v>
          </cell>
          <cell r="F8333">
            <v>0</v>
          </cell>
          <cell r="G8333">
            <v>275</v>
          </cell>
          <cell r="H8333">
            <v>0</v>
          </cell>
        </row>
        <row r="8334">
          <cell r="D8334" t="str">
            <v>Furnitures</v>
          </cell>
          <cell r="F8334">
            <v>0</v>
          </cell>
          <cell r="G8334">
            <v>275</v>
          </cell>
          <cell r="H8334">
            <v>0</v>
          </cell>
        </row>
        <row r="8335">
          <cell r="D8335" t="str">
            <v>Furnitures</v>
          </cell>
          <cell r="F8335">
            <v>0</v>
          </cell>
          <cell r="G8335">
            <v>275</v>
          </cell>
          <cell r="H8335">
            <v>0</v>
          </cell>
        </row>
        <row r="8336">
          <cell r="D8336" t="str">
            <v>Furnitures</v>
          </cell>
          <cell r="F8336">
            <v>0</v>
          </cell>
          <cell r="G8336">
            <v>275</v>
          </cell>
          <cell r="H8336">
            <v>0</v>
          </cell>
        </row>
        <row r="8337">
          <cell r="D8337" t="str">
            <v>Furnitures</v>
          </cell>
          <cell r="F8337">
            <v>0</v>
          </cell>
          <cell r="G8337">
            <v>275</v>
          </cell>
          <cell r="H8337">
            <v>0</v>
          </cell>
        </row>
        <row r="8338">
          <cell r="D8338" t="str">
            <v>Furnitures</v>
          </cell>
          <cell r="F8338">
            <v>0</v>
          </cell>
          <cell r="G8338">
            <v>275</v>
          </cell>
          <cell r="H8338">
            <v>0</v>
          </cell>
        </row>
        <row r="8339">
          <cell r="D8339" t="str">
            <v>Furnitures</v>
          </cell>
          <cell r="F8339">
            <v>0</v>
          </cell>
          <cell r="G8339">
            <v>275</v>
          </cell>
          <cell r="H8339">
            <v>0</v>
          </cell>
        </row>
        <row r="8340">
          <cell r="D8340" t="str">
            <v>Furnitures</v>
          </cell>
          <cell r="F8340">
            <v>0</v>
          </cell>
          <cell r="G8340">
            <v>275</v>
          </cell>
          <cell r="H8340">
            <v>0</v>
          </cell>
        </row>
        <row r="8341">
          <cell r="D8341" t="str">
            <v>Furnitures</v>
          </cell>
          <cell r="F8341">
            <v>0</v>
          </cell>
          <cell r="G8341">
            <v>275</v>
          </cell>
          <cell r="H8341">
            <v>0</v>
          </cell>
        </row>
        <row r="8342">
          <cell r="D8342" t="str">
            <v>Furnitures</v>
          </cell>
          <cell r="F8342">
            <v>0</v>
          </cell>
          <cell r="G8342">
            <v>275</v>
          </cell>
          <cell r="H8342">
            <v>0</v>
          </cell>
        </row>
        <row r="8343">
          <cell r="D8343" t="str">
            <v>Furnitures</v>
          </cell>
          <cell r="F8343">
            <v>0</v>
          </cell>
          <cell r="G8343">
            <v>275</v>
          </cell>
          <cell r="H8343">
            <v>0</v>
          </cell>
        </row>
        <row r="8344">
          <cell r="D8344" t="str">
            <v>Furnitures</v>
          </cell>
          <cell r="F8344">
            <v>0</v>
          </cell>
          <cell r="G8344">
            <v>275</v>
          </cell>
          <cell r="H8344">
            <v>0</v>
          </cell>
        </row>
        <row r="8345">
          <cell r="D8345" t="str">
            <v>Furnitures</v>
          </cell>
          <cell r="F8345">
            <v>0</v>
          </cell>
          <cell r="G8345">
            <v>275</v>
          </cell>
          <cell r="H8345">
            <v>0</v>
          </cell>
        </row>
        <row r="8346">
          <cell r="D8346" t="str">
            <v>Furnitures</v>
          </cell>
          <cell r="F8346">
            <v>0</v>
          </cell>
          <cell r="G8346">
            <v>275</v>
          </cell>
          <cell r="H8346">
            <v>0</v>
          </cell>
        </row>
        <row r="8347">
          <cell r="D8347" t="str">
            <v>Furnitures</v>
          </cell>
          <cell r="F8347">
            <v>0</v>
          </cell>
          <cell r="G8347">
            <v>275</v>
          </cell>
          <cell r="H8347">
            <v>0</v>
          </cell>
        </row>
        <row r="8348">
          <cell r="D8348" t="str">
            <v>Furnitures</v>
          </cell>
          <cell r="F8348">
            <v>0</v>
          </cell>
          <cell r="G8348">
            <v>275</v>
          </cell>
          <cell r="H8348">
            <v>0</v>
          </cell>
        </row>
        <row r="8349">
          <cell r="D8349" t="str">
            <v>Furnitures</v>
          </cell>
          <cell r="F8349">
            <v>0</v>
          </cell>
          <cell r="G8349">
            <v>275</v>
          </cell>
          <cell r="H8349">
            <v>0</v>
          </cell>
        </row>
        <row r="8350">
          <cell r="D8350" t="str">
            <v>Furnitures</v>
          </cell>
          <cell r="F8350">
            <v>0</v>
          </cell>
          <cell r="G8350">
            <v>275</v>
          </cell>
          <cell r="H8350">
            <v>0</v>
          </cell>
        </row>
        <row r="8351">
          <cell r="D8351" t="str">
            <v>Furnitures</v>
          </cell>
          <cell r="F8351">
            <v>0</v>
          </cell>
          <cell r="G8351">
            <v>275</v>
          </cell>
          <cell r="H8351">
            <v>0</v>
          </cell>
        </row>
        <row r="8352">
          <cell r="D8352" t="str">
            <v>Furnitures</v>
          </cell>
          <cell r="F8352">
            <v>0</v>
          </cell>
          <cell r="G8352">
            <v>275</v>
          </cell>
          <cell r="H8352">
            <v>0</v>
          </cell>
        </row>
        <row r="8353">
          <cell r="D8353" t="str">
            <v>Furnitures</v>
          </cell>
          <cell r="F8353">
            <v>0</v>
          </cell>
          <cell r="G8353">
            <v>275</v>
          </cell>
          <cell r="H8353">
            <v>0</v>
          </cell>
        </row>
        <row r="8354">
          <cell r="D8354" t="str">
            <v>Furnitures</v>
          </cell>
          <cell r="F8354">
            <v>0</v>
          </cell>
          <cell r="G8354">
            <v>275</v>
          </cell>
          <cell r="H8354">
            <v>0</v>
          </cell>
        </row>
        <row r="8355">
          <cell r="D8355" t="str">
            <v>Furnitures</v>
          </cell>
          <cell r="F8355">
            <v>0</v>
          </cell>
          <cell r="G8355">
            <v>275</v>
          </cell>
          <cell r="H8355">
            <v>0</v>
          </cell>
        </row>
        <row r="8356">
          <cell r="D8356" t="str">
            <v>Furnitures</v>
          </cell>
          <cell r="F8356">
            <v>0</v>
          </cell>
          <cell r="G8356">
            <v>275</v>
          </cell>
          <cell r="H8356">
            <v>0</v>
          </cell>
        </row>
        <row r="8357">
          <cell r="D8357" t="str">
            <v>Furnitures</v>
          </cell>
          <cell r="F8357">
            <v>0</v>
          </cell>
          <cell r="G8357">
            <v>275</v>
          </cell>
          <cell r="H8357">
            <v>0</v>
          </cell>
        </row>
        <row r="8358">
          <cell r="D8358" t="str">
            <v>Furnitures</v>
          </cell>
          <cell r="F8358">
            <v>0</v>
          </cell>
          <cell r="G8358">
            <v>275</v>
          </cell>
          <cell r="H8358">
            <v>0</v>
          </cell>
        </row>
        <row r="8359">
          <cell r="D8359" t="str">
            <v>Furnitures</v>
          </cell>
          <cell r="F8359">
            <v>0</v>
          </cell>
          <cell r="G8359">
            <v>275</v>
          </cell>
          <cell r="H8359">
            <v>0</v>
          </cell>
        </row>
        <row r="8360">
          <cell r="D8360" t="str">
            <v>Furnitures</v>
          </cell>
          <cell r="F8360">
            <v>0</v>
          </cell>
          <cell r="G8360">
            <v>275</v>
          </cell>
          <cell r="H8360">
            <v>0</v>
          </cell>
        </row>
        <row r="8361">
          <cell r="D8361" t="str">
            <v>Furnitures</v>
          </cell>
          <cell r="F8361">
            <v>0</v>
          </cell>
          <cell r="G8361">
            <v>275</v>
          </cell>
          <cell r="H8361">
            <v>0</v>
          </cell>
        </row>
        <row r="8362">
          <cell r="D8362" t="str">
            <v>Furnitures</v>
          </cell>
          <cell r="F8362">
            <v>0</v>
          </cell>
          <cell r="G8362">
            <v>275</v>
          </cell>
          <cell r="H8362">
            <v>0</v>
          </cell>
        </row>
        <row r="8363">
          <cell r="D8363" t="str">
            <v>Furnitures</v>
          </cell>
          <cell r="F8363">
            <v>0</v>
          </cell>
          <cell r="G8363">
            <v>275</v>
          </cell>
          <cell r="H8363">
            <v>0</v>
          </cell>
        </row>
        <row r="8364">
          <cell r="D8364" t="str">
            <v>Furnitures</v>
          </cell>
          <cell r="F8364">
            <v>0</v>
          </cell>
          <cell r="G8364">
            <v>275</v>
          </cell>
          <cell r="H8364">
            <v>0</v>
          </cell>
        </row>
        <row r="8365">
          <cell r="D8365" t="str">
            <v>Furnitures</v>
          </cell>
          <cell r="F8365">
            <v>0</v>
          </cell>
          <cell r="G8365">
            <v>275</v>
          </cell>
          <cell r="H8365">
            <v>0</v>
          </cell>
        </row>
        <row r="8366">
          <cell r="D8366" t="str">
            <v>Furnitures</v>
          </cell>
          <cell r="F8366">
            <v>0</v>
          </cell>
          <cell r="G8366">
            <v>275</v>
          </cell>
          <cell r="H8366">
            <v>0</v>
          </cell>
        </row>
        <row r="8367">
          <cell r="D8367" t="str">
            <v>Furnitures</v>
          </cell>
          <cell r="F8367">
            <v>0</v>
          </cell>
          <cell r="G8367">
            <v>275</v>
          </cell>
          <cell r="H8367">
            <v>0</v>
          </cell>
        </row>
        <row r="8368">
          <cell r="D8368" t="str">
            <v>Furnitures</v>
          </cell>
          <cell r="F8368">
            <v>0</v>
          </cell>
          <cell r="G8368">
            <v>275</v>
          </cell>
          <cell r="H8368">
            <v>0</v>
          </cell>
        </row>
        <row r="8369">
          <cell r="D8369" t="str">
            <v>Furnitures</v>
          </cell>
          <cell r="F8369">
            <v>0</v>
          </cell>
          <cell r="G8369">
            <v>275</v>
          </cell>
          <cell r="H8369">
            <v>0</v>
          </cell>
        </row>
        <row r="8370">
          <cell r="D8370" t="str">
            <v>Furnitures</v>
          </cell>
          <cell r="F8370">
            <v>0</v>
          </cell>
          <cell r="G8370">
            <v>275</v>
          </cell>
          <cell r="H8370">
            <v>0</v>
          </cell>
        </row>
        <row r="8371">
          <cell r="D8371" t="str">
            <v>Furnitures</v>
          </cell>
          <cell r="F8371">
            <v>0</v>
          </cell>
          <cell r="G8371">
            <v>275</v>
          </cell>
          <cell r="H8371">
            <v>0</v>
          </cell>
        </row>
        <row r="8372">
          <cell r="D8372" t="str">
            <v>Furnitures</v>
          </cell>
          <cell r="F8372">
            <v>0</v>
          </cell>
          <cell r="G8372">
            <v>275</v>
          </cell>
          <cell r="H8372">
            <v>0</v>
          </cell>
        </row>
        <row r="8373">
          <cell r="D8373" t="str">
            <v>Furnitures</v>
          </cell>
          <cell r="F8373">
            <v>0</v>
          </cell>
          <cell r="G8373">
            <v>275</v>
          </cell>
          <cell r="H8373">
            <v>0</v>
          </cell>
        </row>
        <row r="8374">
          <cell r="D8374" t="str">
            <v>Furnitures</v>
          </cell>
          <cell r="F8374">
            <v>0</v>
          </cell>
          <cell r="G8374">
            <v>275</v>
          </cell>
          <cell r="H8374">
            <v>0</v>
          </cell>
        </row>
        <row r="8375">
          <cell r="D8375" t="str">
            <v>Furnitures</v>
          </cell>
          <cell r="F8375">
            <v>0</v>
          </cell>
          <cell r="G8375">
            <v>275</v>
          </cell>
          <cell r="H8375">
            <v>0</v>
          </cell>
        </row>
        <row r="8376">
          <cell r="D8376" t="str">
            <v>Furnitures</v>
          </cell>
          <cell r="F8376">
            <v>0</v>
          </cell>
          <cell r="G8376">
            <v>275</v>
          </cell>
          <cell r="H8376">
            <v>0</v>
          </cell>
        </row>
        <row r="8377">
          <cell r="D8377" t="str">
            <v>Furnitures</v>
          </cell>
          <cell r="F8377">
            <v>0</v>
          </cell>
          <cell r="G8377">
            <v>275</v>
          </cell>
          <cell r="H8377">
            <v>0</v>
          </cell>
        </row>
        <row r="8378">
          <cell r="D8378" t="str">
            <v>Furnitures</v>
          </cell>
          <cell r="F8378">
            <v>0</v>
          </cell>
          <cell r="G8378">
            <v>275</v>
          </cell>
          <cell r="H8378">
            <v>0</v>
          </cell>
        </row>
        <row r="8379">
          <cell r="D8379" t="str">
            <v>Furnitures</v>
          </cell>
          <cell r="F8379">
            <v>0</v>
          </cell>
          <cell r="G8379">
            <v>275</v>
          </cell>
          <cell r="H8379">
            <v>0</v>
          </cell>
        </row>
        <row r="8380">
          <cell r="D8380" t="str">
            <v>Furnitures</v>
          </cell>
          <cell r="F8380">
            <v>0</v>
          </cell>
          <cell r="G8380">
            <v>275</v>
          </cell>
          <cell r="H8380">
            <v>0</v>
          </cell>
        </row>
        <row r="8381">
          <cell r="D8381" t="str">
            <v>Furnitures</v>
          </cell>
          <cell r="F8381">
            <v>0</v>
          </cell>
          <cell r="G8381">
            <v>275</v>
          </cell>
          <cell r="H8381">
            <v>0</v>
          </cell>
        </row>
        <row r="8382">
          <cell r="D8382" t="str">
            <v>Furnitures</v>
          </cell>
          <cell r="F8382">
            <v>0</v>
          </cell>
          <cell r="G8382">
            <v>275</v>
          </cell>
          <cell r="H8382">
            <v>0</v>
          </cell>
        </row>
        <row r="8383">
          <cell r="D8383" t="str">
            <v>Furnitures</v>
          </cell>
          <cell r="F8383">
            <v>0</v>
          </cell>
          <cell r="G8383">
            <v>275</v>
          </cell>
          <cell r="H8383">
            <v>0</v>
          </cell>
        </row>
        <row r="8384">
          <cell r="D8384" t="str">
            <v>Furnitures</v>
          </cell>
          <cell r="F8384">
            <v>0</v>
          </cell>
          <cell r="G8384">
            <v>275</v>
          </cell>
          <cell r="H8384">
            <v>0</v>
          </cell>
        </row>
        <row r="8385">
          <cell r="D8385" t="str">
            <v>Furnitures</v>
          </cell>
          <cell r="F8385">
            <v>0</v>
          </cell>
          <cell r="G8385">
            <v>275</v>
          </cell>
          <cell r="H8385">
            <v>0</v>
          </cell>
        </row>
        <row r="8386">
          <cell r="D8386" t="str">
            <v>Furnitures</v>
          </cell>
          <cell r="F8386">
            <v>0</v>
          </cell>
          <cell r="G8386">
            <v>275</v>
          </cell>
          <cell r="H8386">
            <v>0</v>
          </cell>
        </row>
        <row r="8387">
          <cell r="D8387" t="str">
            <v>Furnitures</v>
          </cell>
          <cell r="F8387">
            <v>0</v>
          </cell>
          <cell r="G8387">
            <v>275</v>
          </cell>
          <cell r="H8387">
            <v>0</v>
          </cell>
        </row>
        <row r="8388">
          <cell r="D8388" t="str">
            <v>Furnitures</v>
          </cell>
          <cell r="F8388">
            <v>0</v>
          </cell>
          <cell r="G8388">
            <v>275</v>
          </cell>
          <cell r="H8388">
            <v>0</v>
          </cell>
        </row>
        <row r="8389">
          <cell r="D8389" t="str">
            <v>Furnitures</v>
          </cell>
          <cell r="F8389">
            <v>0</v>
          </cell>
          <cell r="G8389">
            <v>275</v>
          </cell>
          <cell r="H8389">
            <v>0</v>
          </cell>
        </row>
        <row r="8390">
          <cell r="D8390" t="str">
            <v>Furnitures</v>
          </cell>
          <cell r="F8390">
            <v>0</v>
          </cell>
          <cell r="G8390">
            <v>275</v>
          </cell>
          <cell r="H8390">
            <v>0</v>
          </cell>
        </row>
        <row r="8391">
          <cell r="D8391" t="str">
            <v>Furnitures</v>
          </cell>
          <cell r="F8391">
            <v>0</v>
          </cell>
          <cell r="G8391">
            <v>275</v>
          </cell>
          <cell r="H8391">
            <v>0</v>
          </cell>
        </row>
        <row r="8392">
          <cell r="D8392" t="str">
            <v>Furnitures</v>
          </cell>
          <cell r="F8392">
            <v>0</v>
          </cell>
          <cell r="G8392">
            <v>275</v>
          </cell>
          <cell r="H8392">
            <v>0</v>
          </cell>
        </row>
        <row r="8393">
          <cell r="D8393" t="str">
            <v>Furnitures</v>
          </cell>
          <cell r="F8393">
            <v>0</v>
          </cell>
          <cell r="G8393">
            <v>275</v>
          </cell>
          <cell r="H8393">
            <v>0</v>
          </cell>
        </row>
        <row r="8394">
          <cell r="D8394" t="str">
            <v>Furnitures</v>
          </cell>
          <cell r="F8394">
            <v>0</v>
          </cell>
          <cell r="G8394">
            <v>275</v>
          </cell>
          <cell r="H8394">
            <v>0</v>
          </cell>
        </row>
        <row r="8395">
          <cell r="D8395" t="str">
            <v>Furnitures</v>
          </cell>
          <cell r="F8395">
            <v>0</v>
          </cell>
          <cell r="G8395">
            <v>275</v>
          </cell>
          <cell r="H8395">
            <v>0</v>
          </cell>
        </row>
        <row r="8396">
          <cell r="D8396" t="str">
            <v>Furnitures</v>
          </cell>
          <cell r="F8396">
            <v>0</v>
          </cell>
          <cell r="G8396">
            <v>275</v>
          </cell>
          <cell r="H8396">
            <v>0</v>
          </cell>
        </row>
        <row r="8397">
          <cell r="D8397" t="str">
            <v>Furnitures</v>
          </cell>
          <cell r="F8397">
            <v>0</v>
          </cell>
          <cell r="G8397">
            <v>275</v>
          </cell>
          <cell r="H8397">
            <v>0</v>
          </cell>
        </row>
        <row r="8398">
          <cell r="D8398" t="str">
            <v>Furnitures</v>
          </cell>
          <cell r="F8398">
            <v>0</v>
          </cell>
          <cell r="G8398">
            <v>275</v>
          </cell>
          <cell r="H8398">
            <v>0</v>
          </cell>
        </row>
        <row r="8399">
          <cell r="D8399" t="str">
            <v>Furnitures</v>
          </cell>
          <cell r="F8399">
            <v>0</v>
          </cell>
          <cell r="G8399">
            <v>275</v>
          </cell>
          <cell r="H8399">
            <v>0</v>
          </cell>
        </row>
        <row r="8400">
          <cell r="D8400" t="str">
            <v>Furnitures</v>
          </cell>
          <cell r="F8400">
            <v>0</v>
          </cell>
          <cell r="G8400">
            <v>275</v>
          </cell>
          <cell r="H8400">
            <v>0</v>
          </cell>
        </row>
        <row r="8401">
          <cell r="D8401" t="str">
            <v>Furnitures</v>
          </cell>
          <cell r="F8401">
            <v>0</v>
          </cell>
          <cell r="G8401">
            <v>275</v>
          </cell>
          <cell r="H8401">
            <v>0</v>
          </cell>
        </row>
        <row r="8402">
          <cell r="D8402" t="str">
            <v>Furnitures</v>
          </cell>
          <cell r="F8402">
            <v>0</v>
          </cell>
          <cell r="G8402">
            <v>275</v>
          </cell>
          <cell r="H8402">
            <v>0</v>
          </cell>
        </row>
        <row r="8403">
          <cell r="D8403" t="str">
            <v>Furnitures</v>
          </cell>
          <cell r="F8403">
            <v>0</v>
          </cell>
          <cell r="G8403">
            <v>275</v>
          </cell>
          <cell r="H8403">
            <v>0</v>
          </cell>
        </row>
        <row r="8404">
          <cell r="D8404" t="str">
            <v>Furnitures</v>
          </cell>
          <cell r="F8404">
            <v>0</v>
          </cell>
          <cell r="G8404">
            <v>275</v>
          </cell>
          <cell r="H8404">
            <v>0</v>
          </cell>
        </row>
        <row r="8405">
          <cell r="D8405" t="str">
            <v>Furnitures</v>
          </cell>
          <cell r="F8405">
            <v>0</v>
          </cell>
          <cell r="G8405">
            <v>275</v>
          </cell>
          <cell r="H8405">
            <v>0</v>
          </cell>
        </row>
        <row r="8406">
          <cell r="D8406" t="str">
            <v>Furnitures</v>
          </cell>
          <cell r="F8406">
            <v>0</v>
          </cell>
          <cell r="G8406">
            <v>275</v>
          </cell>
          <cell r="H8406">
            <v>0</v>
          </cell>
        </row>
        <row r="8407">
          <cell r="D8407" t="str">
            <v>Furnitures</v>
          </cell>
          <cell r="F8407">
            <v>0</v>
          </cell>
          <cell r="G8407">
            <v>275</v>
          </cell>
          <cell r="H8407">
            <v>0</v>
          </cell>
        </row>
        <row r="8408">
          <cell r="D8408" t="str">
            <v>Furnitures</v>
          </cell>
          <cell r="F8408">
            <v>0</v>
          </cell>
          <cell r="G8408">
            <v>275</v>
          </cell>
          <cell r="H8408">
            <v>0</v>
          </cell>
        </row>
        <row r="8409">
          <cell r="D8409" t="str">
            <v>Furnitures</v>
          </cell>
          <cell r="F8409">
            <v>0</v>
          </cell>
          <cell r="G8409">
            <v>275</v>
          </cell>
          <cell r="H8409">
            <v>0</v>
          </cell>
        </row>
        <row r="8410">
          <cell r="D8410" t="str">
            <v>Furnitures</v>
          </cell>
          <cell r="F8410">
            <v>0</v>
          </cell>
          <cell r="G8410">
            <v>275</v>
          </cell>
          <cell r="H8410">
            <v>0</v>
          </cell>
        </row>
        <row r="8411">
          <cell r="D8411" t="str">
            <v>Furnitures</v>
          </cell>
          <cell r="F8411">
            <v>0</v>
          </cell>
          <cell r="G8411">
            <v>275</v>
          </cell>
          <cell r="H8411">
            <v>0</v>
          </cell>
        </row>
        <row r="8412">
          <cell r="D8412" t="str">
            <v>Furnitures</v>
          </cell>
          <cell r="F8412">
            <v>0</v>
          </cell>
          <cell r="G8412">
            <v>275</v>
          </cell>
          <cell r="H8412">
            <v>0</v>
          </cell>
        </row>
        <row r="8413">
          <cell r="D8413" t="str">
            <v>Furnitures</v>
          </cell>
          <cell r="F8413">
            <v>0</v>
          </cell>
          <cell r="G8413">
            <v>275</v>
          </cell>
          <cell r="H8413">
            <v>0</v>
          </cell>
        </row>
        <row r="8414">
          <cell r="D8414" t="str">
            <v>Furnitures</v>
          </cell>
          <cell r="F8414">
            <v>0</v>
          </cell>
          <cell r="G8414">
            <v>275</v>
          </cell>
          <cell r="H8414">
            <v>0</v>
          </cell>
        </row>
        <row r="8415">
          <cell r="D8415" t="str">
            <v>Furnitures</v>
          </cell>
          <cell r="F8415">
            <v>0</v>
          </cell>
          <cell r="G8415">
            <v>275</v>
          </cell>
          <cell r="H8415">
            <v>0</v>
          </cell>
        </row>
        <row r="8416">
          <cell r="D8416" t="str">
            <v>Furnitures</v>
          </cell>
          <cell r="F8416">
            <v>0</v>
          </cell>
          <cell r="G8416">
            <v>275</v>
          </cell>
          <cell r="H8416">
            <v>0</v>
          </cell>
        </row>
        <row r="8417">
          <cell r="D8417" t="str">
            <v>Furnitures</v>
          </cell>
          <cell r="F8417">
            <v>0</v>
          </cell>
          <cell r="G8417">
            <v>275</v>
          </cell>
          <cell r="H8417">
            <v>0</v>
          </cell>
        </row>
        <row r="8418">
          <cell r="D8418" t="str">
            <v>Furnitures</v>
          </cell>
          <cell r="F8418">
            <v>0</v>
          </cell>
          <cell r="G8418">
            <v>275</v>
          </cell>
          <cell r="H8418">
            <v>0</v>
          </cell>
        </row>
        <row r="8419">
          <cell r="D8419" t="str">
            <v>Furnitures</v>
          </cell>
          <cell r="F8419">
            <v>0</v>
          </cell>
          <cell r="G8419">
            <v>275</v>
          </cell>
          <cell r="H8419">
            <v>0</v>
          </cell>
        </row>
        <row r="8420">
          <cell r="D8420" t="str">
            <v>Furnitures</v>
          </cell>
          <cell r="F8420">
            <v>0</v>
          </cell>
          <cell r="G8420">
            <v>275</v>
          </cell>
          <cell r="H8420">
            <v>0</v>
          </cell>
        </row>
        <row r="8421">
          <cell r="D8421" t="str">
            <v>Furnitures</v>
          </cell>
          <cell r="F8421">
            <v>0</v>
          </cell>
          <cell r="G8421">
            <v>275</v>
          </cell>
          <cell r="H8421">
            <v>0</v>
          </cell>
        </row>
        <row r="8422">
          <cell r="D8422" t="str">
            <v>Furnitures</v>
          </cell>
          <cell r="F8422">
            <v>0</v>
          </cell>
          <cell r="G8422">
            <v>275</v>
          </cell>
          <cell r="H8422">
            <v>0</v>
          </cell>
        </row>
        <row r="8423">
          <cell r="D8423" t="str">
            <v>Furnitures</v>
          </cell>
          <cell r="F8423">
            <v>0</v>
          </cell>
          <cell r="G8423">
            <v>275</v>
          </cell>
          <cell r="H8423">
            <v>0</v>
          </cell>
        </row>
        <row r="8424">
          <cell r="D8424" t="str">
            <v>Furnitures</v>
          </cell>
          <cell r="F8424">
            <v>0</v>
          </cell>
          <cell r="G8424">
            <v>275</v>
          </cell>
          <cell r="H8424">
            <v>0</v>
          </cell>
        </row>
        <row r="8425">
          <cell r="D8425" t="str">
            <v>Furnitures</v>
          </cell>
          <cell r="F8425">
            <v>0</v>
          </cell>
          <cell r="G8425">
            <v>275</v>
          </cell>
          <cell r="H8425">
            <v>0</v>
          </cell>
        </row>
        <row r="8426">
          <cell r="D8426" t="str">
            <v>Furnitures</v>
          </cell>
          <cell r="F8426">
            <v>0</v>
          </cell>
          <cell r="G8426">
            <v>275</v>
          </cell>
          <cell r="H8426">
            <v>0</v>
          </cell>
        </row>
        <row r="8427">
          <cell r="D8427" t="str">
            <v>Furnitures</v>
          </cell>
          <cell r="F8427">
            <v>64078.487788524588</v>
          </cell>
          <cell r="G8427">
            <v>275</v>
          </cell>
          <cell r="H8427">
            <v>60863.441767976641</v>
          </cell>
        </row>
        <row r="8428">
          <cell r="D8428" t="str">
            <v>Furnitures</v>
          </cell>
          <cell r="F8428">
            <v>0</v>
          </cell>
          <cell r="G8428">
            <v>275</v>
          </cell>
          <cell r="H8428">
            <v>0</v>
          </cell>
        </row>
        <row r="8429">
          <cell r="D8429" t="str">
            <v>Furnitures</v>
          </cell>
          <cell r="F8429">
            <v>0</v>
          </cell>
          <cell r="G8429">
            <v>275</v>
          </cell>
          <cell r="H8429">
            <v>0</v>
          </cell>
        </row>
        <row r="8430">
          <cell r="D8430" t="str">
            <v>Furnitures</v>
          </cell>
          <cell r="F8430">
            <v>0</v>
          </cell>
          <cell r="G8430">
            <v>275</v>
          </cell>
          <cell r="H8430">
            <v>0</v>
          </cell>
        </row>
        <row r="8431">
          <cell r="D8431" t="str">
            <v>Furnitures</v>
          </cell>
          <cell r="F8431">
            <v>0</v>
          </cell>
          <cell r="G8431">
            <v>275</v>
          </cell>
          <cell r="H8431">
            <v>0</v>
          </cell>
        </row>
        <row r="8432">
          <cell r="D8432" t="str">
            <v>Furnitures</v>
          </cell>
          <cell r="F8432">
            <v>7809.9959016393441</v>
          </cell>
          <cell r="G8432">
            <v>275</v>
          </cell>
          <cell r="H8432">
            <v>7418.9232988996182</v>
          </cell>
        </row>
        <row r="8433">
          <cell r="D8433" t="str">
            <v>Furnitures</v>
          </cell>
          <cell r="F8433">
            <v>0</v>
          </cell>
          <cell r="G8433">
            <v>275</v>
          </cell>
          <cell r="H8433">
            <v>0</v>
          </cell>
        </row>
        <row r="8434">
          <cell r="D8434" t="str">
            <v>Furnitures</v>
          </cell>
          <cell r="F8434">
            <v>0</v>
          </cell>
          <cell r="G8434">
            <v>275</v>
          </cell>
          <cell r="H8434">
            <v>0</v>
          </cell>
        </row>
        <row r="8435">
          <cell r="D8435" t="str">
            <v>Furnitures</v>
          </cell>
          <cell r="F8435">
            <v>0</v>
          </cell>
          <cell r="G8435">
            <v>275</v>
          </cell>
          <cell r="H8435">
            <v>0</v>
          </cell>
        </row>
        <row r="8436">
          <cell r="D8436" t="str">
            <v>Furnitures</v>
          </cell>
          <cell r="F8436">
            <v>0</v>
          </cell>
          <cell r="G8436">
            <v>275</v>
          </cell>
          <cell r="H8436">
            <v>0</v>
          </cell>
        </row>
        <row r="8437">
          <cell r="D8437" t="str">
            <v>Furnitures</v>
          </cell>
          <cell r="F8437">
            <v>0</v>
          </cell>
          <cell r="G8437">
            <v>275</v>
          </cell>
          <cell r="H8437">
            <v>0</v>
          </cell>
        </row>
        <row r="8438">
          <cell r="D8438" t="str">
            <v>Furnitures</v>
          </cell>
          <cell r="F8438">
            <v>0</v>
          </cell>
          <cell r="G8438">
            <v>275</v>
          </cell>
          <cell r="H8438">
            <v>0</v>
          </cell>
        </row>
        <row r="8439">
          <cell r="D8439" t="str">
            <v>Furnitures</v>
          </cell>
          <cell r="F8439">
            <v>0</v>
          </cell>
          <cell r="G8439">
            <v>275</v>
          </cell>
          <cell r="H8439">
            <v>0</v>
          </cell>
        </row>
        <row r="8440">
          <cell r="D8440" t="str">
            <v>Furnitures</v>
          </cell>
          <cell r="F8440">
            <v>0</v>
          </cell>
          <cell r="G8440">
            <v>275</v>
          </cell>
          <cell r="H8440">
            <v>0</v>
          </cell>
        </row>
        <row r="8441">
          <cell r="D8441" t="str">
            <v>Furnitures</v>
          </cell>
          <cell r="F8441">
            <v>0</v>
          </cell>
          <cell r="G8441">
            <v>275</v>
          </cell>
          <cell r="H8441">
            <v>0</v>
          </cell>
        </row>
        <row r="8442">
          <cell r="D8442" t="str">
            <v>Furnitures</v>
          </cell>
          <cell r="F8442">
            <v>0</v>
          </cell>
          <cell r="G8442">
            <v>275</v>
          </cell>
          <cell r="H8442">
            <v>0</v>
          </cell>
        </row>
        <row r="8443">
          <cell r="D8443" t="str">
            <v>Furnitures</v>
          </cell>
          <cell r="F8443">
            <v>0</v>
          </cell>
          <cell r="G8443">
            <v>275</v>
          </cell>
          <cell r="H8443">
            <v>0</v>
          </cell>
        </row>
        <row r="8444">
          <cell r="D8444" t="str">
            <v>Furnitures</v>
          </cell>
          <cell r="F8444">
            <v>0</v>
          </cell>
          <cell r="G8444">
            <v>275</v>
          </cell>
          <cell r="H8444">
            <v>0</v>
          </cell>
        </row>
        <row r="8445">
          <cell r="D8445" t="str">
            <v>Furnitures</v>
          </cell>
          <cell r="F8445">
            <v>0</v>
          </cell>
          <cell r="G8445">
            <v>275</v>
          </cell>
          <cell r="H8445">
            <v>0</v>
          </cell>
        </row>
        <row r="8446">
          <cell r="D8446" t="str">
            <v>Furnitures</v>
          </cell>
          <cell r="F8446">
            <v>0</v>
          </cell>
          <cell r="G8446">
            <v>275</v>
          </cell>
          <cell r="H8446">
            <v>0</v>
          </cell>
        </row>
        <row r="8447">
          <cell r="D8447" t="str">
            <v>Furnitures</v>
          </cell>
          <cell r="F8447">
            <v>0</v>
          </cell>
          <cell r="G8447">
            <v>275</v>
          </cell>
          <cell r="H8447">
            <v>0</v>
          </cell>
        </row>
        <row r="8448">
          <cell r="D8448" t="str">
            <v>Furnitures</v>
          </cell>
          <cell r="F8448">
            <v>0</v>
          </cell>
          <cell r="G8448">
            <v>275</v>
          </cell>
          <cell r="H8448">
            <v>0</v>
          </cell>
        </row>
        <row r="8449">
          <cell r="D8449" t="str">
            <v>Furnitures</v>
          </cell>
          <cell r="F8449">
            <v>0</v>
          </cell>
          <cell r="G8449">
            <v>275</v>
          </cell>
          <cell r="H8449">
            <v>0</v>
          </cell>
        </row>
        <row r="8450">
          <cell r="D8450" t="str">
            <v>Furnitures</v>
          </cell>
          <cell r="F8450">
            <v>0</v>
          </cell>
          <cell r="G8450">
            <v>275</v>
          </cell>
          <cell r="H8450">
            <v>0</v>
          </cell>
        </row>
        <row r="8451">
          <cell r="D8451" t="str">
            <v>Furnitures</v>
          </cell>
          <cell r="F8451">
            <v>0</v>
          </cell>
          <cell r="G8451">
            <v>275</v>
          </cell>
          <cell r="H8451">
            <v>0</v>
          </cell>
        </row>
        <row r="8452">
          <cell r="D8452" t="str">
            <v>Furnitures</v>
          </cell>
          <cell r="F8452">
            <v>0</v>
          </cell>
          <cell r="G8452">
            <v>275</v>
          </cell>
          <cell r="H8452">
            <v>0</v>
          </cell>
        </row>
        <row r="8453">
          <cell r="D8453" t="str">
            <v>Furnitures</v>
          </cell>
          <cell r="F8453">
            <v>0</v>
          </cell>
          <cell r="G8453">
            <v>275</v>
          </cell>
          <cell r="H8453">
            <v>0</v>
          </cell>
        </row>
        <row r="8454">
          <cell r="D8454" t="str">
            <v>Furnitures</v>
          </cell>
          <cell r="F8454">
            <v>0</v>
          </cell>
          <cell r="G8454">
            <v>275</v>
          </cell>
          <cell r="H8454">
            <v>0</v>
          </cell>
        </row>
        <row r="8455">
          <cell r="D8455" t="str">
            <v>Furnitures</v>
          </cell>
          <cell r="F8455">
            <v>0</v>
          </cell>
          <cell r="G8455">
            <v>275</v>
          </cell>
          <cell r="H8455">
            <v>0</v>
          </cell>
        </row>
        <row r="8456">
          <cell r="D8456" t="str">
            <v>Furnitures</v>
          </cell>
          <cell r="F8456">
            <v>5905.1188524590161</v>
          </cell>
          <cell r="G8456">
            <v>275</v>
          </cell>
          <cell r="H8456">
            <v>5609.4298113631257</v>
          </cell>
        </row>
        <row r="8457">
          <cell r="D8457" t="str">
            <v>Furnitures</v>
          </cell>
          <cell r="F8457">
            <v>5905.1188524590161</v>
          </cell>
          <cell r="G8457">
            <v>275</v>
          </cell>
          <cell r="H8457">
            <v>5609.4298113631257</v>
          </cell>
        </row>
        <row r="8458">
          <cell r="D8458" t="str">
            <v>Furnitures</v>
          </cell>
          <cell r="F8458">
            <v>5905.1188524590161</v>
          </cell>
          <cell r="G8458">
            <v>275</v>
          </cell>
          <cell r="H8458">
            <v>5609.4298113631257</v>
          </cell>
        </row>
        <row r="8459">
          <cell r="D8459" t="str">
            <v>Furnitures</v>
          </cell>
          <cell r="F8459">
            <v>0</v>
          </cell>
          <cell r="G8459">
            <v>275</v>
          </cell>
          <cell r="H8459">
            <v>0</v>
          </cell>
        </row>
        <row r="8460">
          <cell r="D8460" t="str">
            <v>Furnitures</v>
          </cell>
          <cell r="F8460">
            <v>0</v>
          </cell>
          <cell r="G8460">
            <v>275</v>
          </cell>
          <cell r="H8460">
            <v>0</v>
          </cell>
        </row>
        <row r="8461">
          <cell r="D8461" t="str">
            <v>Furnitures</v>
          </cell>
          <cell r="F8461">
            <v>0</v>
          </cell>
          <cell r="G8461">
            <v>275</v>
          </cell>
          <cell r="H8461">
            <v>0</v>
          </cell>
        </row>
        <row r="8462">
          <cell r="D8462" t="str">
            <v>Furnitures</v>
          </cell>
          <cell r="F8462">
            <v>0</v>
          </cell>
          <cell r="G8462">
            <v>275</v>
          </cell>
          <cell r="H8462">
            <v>0</v>
          </cell>
        </row>
        <row r="8463">
          <cell r="D8463" t="str">
            <v>Furnitures</v>
          </cell>
          <cell r="F8463">
            <v>0</v>
          </cell>
          <cell r="G8463">
            <v>275</v>
          </cell>
          <cell r="H8463">
            <v>0</v>
          </cell>
        </row>
        <row r="8464">
          <cell r="D8464" t="str">
            <v>Furnitures</v>
          </cell>
          <cell r="F8464">
            <v>0</v>
          </cell>
          <cell r="G8464">
            <v>275</v>
          </cell>
          <cell r="H8464">
            <v>0</v>
          </cell>
        </row>
        <row r="8465">
          <cell r="D8465" t="str">
            <v>Furnitures</v>
          </cell>
          <cell r="F8465">
            <v>0</v>
          </cell>
          <cell r="G8465">
            <v>275</v>
          </cell>
          <cell r="H8465">
            <v>0</v>
          </cell>
        </row>
        <row r="8466">
          <cell r="D8466" t="str">
            <v>Furnitures</v>
          </cell>
          <cell r="F8466">
            <v>0</v>
          </cell>
          <cell r="G8466">
            <v>275</v>
          </cell>
          <cell r="H8466">
            <v>0</v>
          </cell>
        </row>
        <row r="8467">
          <cell r="D8467" t="str">
            <v>Furnitures</v>
          </cell>
          <cell r="F8467">
            <v>0</v>
          </cell>
          <cell r="G8467">
            <v>275</v>
          </cell>
          <cell r="H8467">
            <v>0</v>
          </cell>
        </row>
        <row r="8468">
          <cell r="D8468" t="str">
            <v>Furnitures</v>
          </cell>
          <cell r="F8468">
            <v>0</v>
          </cell>
          <cell r="G8468">
            <v>275</v>
          </cell>
          <cell r="H8468">
            <v>0</v>
          </cell>
        </row>
        <row r="8469">
          <cell r="D8469" t="str">
            <v>Furnitures</v>
          </cell>
          <cell r="F8469">
            <v>0</v>
          </cell>
          <cell r="G8469">
            <v>275</v>
          </cell>
          <cell r="H8469">
            <v>0</v>
          </cell>
        </row>
        <row r="8470">
          <cell r="D8470" t="str">
            <v>Furnitures</v>
          </cell>
          <cell r="F8470">
            <v>0</v>
          </cell>
          <cell r="G8470">
            <v>275</v>
          </cell>
          <cell r="H8470">
            <v>0</v>
          </cell>
        </row>
        <row r="8471">
          <cell r="D8471" t="str">
            <v>Furnitures</v>
          </cell>
          <cell r="F8471">
            <v>0</v>
          </cell>
          <cell r="G8471">
            <v>275</v>
          </cell>
          <cell r="H8471">
            <v>0</v>
          </cell>
        </row>
        <row r="8472">
          <cell r="D8472" t="str">
            <v>Furnitures</v>
          </cell>
          <cell r="F8472">
            <v>0</v>
          </cell>
          <cell r="G8472">
            <v>275</v>
          </cell>
          <cell r="H8472">
            <v>0</v>
          </cell>
        </row>
        <row r="8473">
          <cell r="D8473" t="str">
            <v>Furnitures</v>
          </cell>
          <cell r="F8473">
            <v>0</v>
          </cell>
          <cell r="G8473">
            <v>275</v>
          </cell>
          <cell r="H8473">
            <v>0</v>
          </cell>
        </row>
        <row r="8474">
          <cell r="D8474" t="str">
            <v>Furnitures</v>
          </cell>
          <cell r="F8474">
            <v>0</v>
          </cell>
          <cell r="G8474">
            <v>275</v>
          </cell>
          <cell r="H8474">
            <v>0</v>
          </cell>
        </row>
        <row r="8475">
          <cell r="D8475" t="str">
            <v>Furnitures</v>
          </cell>
          <cell r="F8475">
            <v>0</v>
          </cell>
          <cell r="G8475">
            <v>275</v>
          </cell>
          <cell r="H8475">
            <v>0</v>
          </cell>
        </row>
        <row r="8476">
          <cell r="D8476" t="str">
            <v>Furnitures</v>
          </cell>
          <cell r="F8476">
            <v>0</v>
          </cell>
          <cell r="G8476">
            <v>275</v>
          </cell>
          <cell r="H8476">
            <v>0</v>
          </cell>
        </row>
        <row r="8477">
          <cell r="D8477" t="str">
            <v>Furnitures</v>
          </cell>
          <cell r="F8477">
            <v>0</v>
          </cell>
          <cell r="G8477">
            <v>275</v>
          </cell>
          <cell r="H8477">
            <v>0</v>
          </cell>
        </row>
        <row r="8478">
          <cell r="D8478" t="str">
            <v>Furnitures</v>
          </cell>
          <cell r="F8478">
            <v>0</v>
          </cell>
          <cell r="G8478">
            <v>275</v>
          </cell>
          <cell r="H8478">
            <v>0</v>
          </cell>
        </row>
        <row r="8479">
          <cell r="D8479" t="str">
            <v>Furnitures</v>
          </cell>
          <cell r="F8479">
            <v>0</v>
          </cell>
          <cell r="G8479">
            <v>275</v>
          </cell>
          <cell r="H8479">
            <v>0</v>
          </cell>
        </row>
        <row r="8480">
          <cell r="D8480" t="str">
            <v>Furnitures</v>
          </cell>
          <cell r="F8480">
            <v>0</v>
          </cell>
          <cell r="G8480">
            <v>275</v>
          </cell>
          <cell r="H8480">
            <v>0</v>
          </cell>
        </row>
        <row r="8481">
          <cell r="D8481" t="str">
            <v>Furnitures</v>
          </cell>
          <cell r="F8481">
            <v>0</v>
          </cell>
          <cell r="G8481">
            <v>275</v>
          </cell>
          <cell r="H8481">
            <v>0</v>
          </cell>
        </row>
        <row r="8482">
          <cell r="D8482" t="str">
            <v>Furnitures</v>
          </cell>
          <cell r="F8482">
            <v>0</v>
          </cell>
          <cell r="G8482">
            <v>275</v>
          </cell>
          <cell r="H8482">
            <v>0</v>
          </cell>
        </row>
        <row r="8483">
          <cell r="D8483" t="str">
            <v>Furnitures</v>
          </cell>
          <cell r="F8483">
            <v>0</v>
          </cell>
          <cell r="G8483">
            <v>275</v>
          </cell>
          <cell r="H8483">
            <v>0</v>
          </cell>
        </row>
        <row r="8484">
          <cell r="D8484" t="str">
            <v>Furnitures</v>
          </cell>
          <cell r="F8484">
            <v>0</v>
          </cell>
          <cell r="G8484">
            <v>275</v>
          </cell>
          <cell r="H8484">
            <v>0</v>
          </cell>
        </row>
        <row r="8485">
          <cell r="D8485" t="str">
            <v>Furnitures</v>
          </cell>
          <cell r="F8485">
            <v>63697.18429859016</v>
          </cell>
          <cell r="G8485">
            <v>275</v>
          </cell>
          <cell r="H8485">
            <v>60547.122144754547</v>
          </cell>
        </row>
        <row r="8486">
          <cell r="D8486" t="str">
            <v>Furnitures</v>
          </cell>
          <cell r="F8486">
            <v>0</v>
          </cell>
          <cell r="G8486">
            <v>275</v>
          </cell>
          <cell r="H8486">
            <v>0</v>
          </cell>
        </row>
        <row r="8487">
          <cell r="D8487" t="str">
            <v>Furnitures</v>
          </cell>
          <cell r="F8487">
            <v>0</v>
          </cell>
          <cell r="G8487">
            <v>275</v>
          </cell>
          <cell r="H8487">
            <v>0</v>
          </cell>
        </row>
        <row r="8488">
          <cell r="D8488" t="str">
            <v>Furnitures</v>
          </cell>
          <cell r="F8488">
            <v>0</v>
          </cell>
          <cell r="G8488">
            <v>275</v>
          </cell>
          <cell r="H8488">
            <v>0</v>
          </cell>
        </row>
        <row r="8489">
          <cell r="D8489" t="str">
            <v>Furnitures</v>
          </cell>
          <cell r="F8489">
            <v>0</v>
          </cell>
          <cell r="G8489">
            <v>275</v>
          </cell>
          <cell r="H8489">
            <v>0</v>
          </cell>
        </row>
        <row r="8490">
          <cell r="D8490" t="str">
            <v>Furnitures</v>
          </cell>
          <cell r="F8490">
            <v>0</v>
          </cell>
          <cell r="G8490">
            <v>275</v>
          </cell>
          <cell r="H8490">
            <v>0</v>
          </cell>
        </row>
        <row r="8491">
          <cell r="D8491" t="str">
            <v>Furnitures</v>
          </cell>
          <cell r="F8491">
            <v>0</v>
          </cell>
          <cell r="G8491">
            <v>275</v>
          </cell>
          <cell r="H8491">
            <v>0</v>
          </cell>
        </row>
        <row r="8492">
          <cell r="D8492" t="str">
            <v>Furnitures</v>
          </cell>
          <cell r="F8492">
            <v>0</v>
          </cell>
          <cell r="G8492">
            <v>275</v>
          </cell>
          <cell r="H8492">
            <v>0</v>
          </cell>
        </row>
        <row r="8493">
          <cell r="D8493" t="str">
            <v>Furnitures</v>
          </cell>
          <cell r="F8493">
            <v>0</v>
          </cell>
          <cell r="G8493">
            <v>275</v>
          </cell>
          <cell r="H8493">
            <v>0</v>
          </cell>
        </row>
        <row r="8494">
          <cell r="D8494" t="str">
            <v>Furnitures</v>
          </cell>
          <cell r="F8494">
            <v>0</v>
          </cell>
          <cell r="G8494">
            <v>275</v>
          </cell>
          <cell r="H8494">
            <v>0</v>
          </cell>
        </row>
        <row r="8495">
          <cell r="D8495" t="str">
            <v>Furnitures</v>
          </cell>
          <cell r="F8495">
            <v>0</v>
          </cell>
          <cell r="G8495">
            <v>275</v>
          </cell>
          <cell r="H8495">
            <v>0</v>
          </cell>
        </row>
        <row r="8496">
          <cell r="D8496" t="str">
            <v>Furnitures</v>
          </cell>
          <cell r="F8496">
            <v>0</v>
          </cell>
          <cell r="G8496">
            <v>275</v>
          </cell>
          <cell r="H8496">
            <v>0</v>
          </cell>
        </row>
        <row r="8497">
          <cell r="D8497" t="str">
            <v>Furnitures</v>
          </cell>
          <cell r="F8497">
            <v>0</v>
          </cell>
          <cell r="G8497">
            <v>275</v>
          </cell>
          <cell r="H8497">
            <v>0</v>
          </cell>
        </row>
        <row r="8498">
          <cell r="D8498" t="str">
            <v>Furnitures</v>
          </cell>
          <cell r="F8498">
            <v>0</v>
          </cell>
          <cell r="G8498">
            <v>275</v>
          </cell>
          <cell r="H8498">
            <v>0</v>
          </cell>
        </row>
        <row r="8499">
          <cell r="D8499" t="str">
            <v>Furnitures</v>
          </cell>
          <cell r="F8499">
            <v>0</v>
          </cell>
          <cell r="G8499">
            <v>275</v>
          </cell>
          <cell r="H8499">
            <v>0</v>
          </cell>
        </row>
        <row r="8500">
          <cell r="D8500" t="str">
            <v>Furnitures</v>
          </cell>
          <cell r="F8500">
            <v>0</v>
          </cell>
          <cell r="G8500">
            <v>275</v>
          </cell>
          <cell r="H8500">
            <v>0</v>
          </cell>
        </row>
        <row r="8501">
          <cell r="D8501" t="str">
            <v>Furnitures</v>
          </cell>
          <cell r="F8501">
            <v>0</v>
          </cell>
          <cell r="G8501">
            <v>275</v>
          </cell>
          <cell r="H8501">
            <v>0</v>
          </cell>
        </row>
        <row r="8502">
          <cell r="D8502" t="str">
            <v>Furnitures</v>
          </cell>
          <cell r="F8502">
            <v>0</v>
          </cell>
          <cell r="G8502">
            <v>275</v>
          </cell>
          <cell r="H8502">
            <v>0</v>
          </cell>
        </row>
        <row r="8503">
          <cell r="D8503" t="str">
            <v>Furnitures</v>
          </cell>
          <cell r="F8503">
            <v>0</v>
          </cell>
          <cell r="G8503">
            <v>275</v>
          </cell>
          <cell r="H8503">
            <v>0</v>
          </cell>
        </row>
        <row r="8504">
          <cell r="D8504" t="str">
            <v>Furnitures</v>
          </cell>
          <cell r="F8504">
            <v>0</v>
          </cell>
          <cell r="G8504">
            <v>275</v>
          </cell>
          <cell r="H8504">
            <v>0</v>
          </cell>
        </row>
        <row r="8505">
          <cell r="D8505" t="str">
            <v>Furnitures</v>
          </cell>
          <cell r="F8505">
            <v>0</v>
          </cell>
          <cell r="G8505">
            <v>275</v>
          </cell>
          <cell r="H8505">
            <v>0</v>
          </cell>
        </row>
        <row r="8506">
          <cell r="D8506" t="str">
            <v>Furnitures</v>
          </cell>
          <cell r="F8506">
            <v>0</v>
          </cell>
          <cell r="G8506">
            <v>275</v>
          </cell>
          <cell r="H8506">
            <v>0</v>
          </cell>
        </row>
        <row r="8507">
          <cell r="D8507" t="str">
            <v>Furnitures</v>
          </cell>
          <cell r="F8507">
            <v>0</v>
          </cell>
          <cell r="G8507">
            <v>275</v>
          </cell>
          <cell r="H8507">
            <v>0</v>
          </cell>
        </row>
        <row r="8508">
          <cell r="D8508" t="str">
            <v>Furnitures</v>
          </cell>
          <cell r="F8508">
            <v>0</v>
          </cell>
          <cell r="G8508">
            <v>275</v>
          </cell>
          <cell r="H8508">
            <v>0</v>
          </cell>
        </row>
        <row r="8509">
          <cell r="D8509" t="str">
            <v>Furnitures</v>
          </cell>
          <cell r="F8509">
            <v>0</v>
          </cell>
          <cell r="G8509">
            <v>275</v>
          </cell>
          <cell r="H8509">
            <v>0</v>
          </cell>
        </row>
        <row r="8510">
          <cell r="D8510" t="str">
            <v>Furnitures</v>
          </cell>
          <cell r="F8510">
            <v>0</v>
          </cell>
          <cell r="G8510">
            <v>275</v>
          </cell>
          <cell r="H8510">
            <v>0</v>
          </cell>
        </row>
        <row r="8511">
          <cell r="D8511" t="str">
            <v>Furnitures</v>
          </cell>
          <cell r="F8511">
            <v>0</v>
          </cell>
          <cell r="G8511">
            <v>275</v>
          </cell>
          <cell r="H8511">
            <v>0</v>
          </cell>
        </row>
        <row r="8512">
          <cell r="D8512" t="str">
            <v>Furnitures</v>
          </cell>
          <cell r="F8512">
            <v>0</v>
          </cell>
          <cell r="G8512">
            <v>275</v>
          </cell>
          <cell r="H8512">
            <v>0</v>
          </cell>
        </row>
        <row r="8513">
          <cell r="D8513" t="str">
            <v>Furnitures</v>
          </cell>
          <cell r="F8513">
            <v>0</v>
          </cell>
          <cell r="G8513">
            <v>275</v>
          </cell>
          <cell r="H8513">
            <v>0</v>
          </cell>
        </row>
        <row r="8514">
          <cell r="D8514" t="str">
            <v>Furnitures</v>
          </cell>
          <cell r="F8514">
            <v>0</v>
          </cell>
          <cell r="G8514">
            <v>275</v>
          </cell>
          <cell r="H8514">
            <v>0</v>
          </cell>
        </row>
        <row r="8515">
          <cell r="D8515" t="str">
            <v>Furnitures</v>
          </cell>
          <cell r="F8515">
            <v>0</v>
          </cell>
          <cell r="G8515">
            <v>275</v>
          </cell>
          <cell r="H8515">
            <v>0</v>
          </cell>
        </row>
        <row r="8516">
          <cell r="D8516" t="str">
            <v>Furnitures</v>
          </cell>
          <cell r="F8516">
            <v>0</v>
          </cell>
          <cell r="G8516">
            <v>275</v>
          </cell>
          <cell r="H8516">
            <v>0</v>
          </cell>
        </row>
        <row r="8517">
          <cell r="D8517" t="str">
            <v>Furnitures</v>
          </cell>
          <cell r="F8517">
            <v>0</v>
          </cell>
          <cell r="G8517">
            <v>275</v>
          </cell>
          <cell r="H8517">
            <v>0</v>
          </cell>
        </row>
        <row r="8518">
          <cell r="D8518" t="str">
            <v>Furnitures</v>
          </cell>
          <cell r="F8518">
            <v>0</v>
          </cell>
          <cell r="G8518">
            <v>275</v>
          </cell>
          <cell r="H8518">
            <v>0</v>
          </cell>
        </row>
        <row r="8519">
          <cell r="D8519" t="str">
            <v>Furnitures</v>
          </cell>
          <cell r="F8519">
            <v>0</v>
          </cell>
          <cell r="G8519">
            <v>275</v>
          </cell>
          <cell r="H8519">
            <v>0</v>
          </cell>
        </row>
        <row r="8520">
          <cell r="D8520" t="str">
            <v>Furnitures</v>
          </cell>
          <cell r="F8520">
            <v>0</v>
          </cell>
          <cell r="G8520">
            <v>275</v>
          </cell>
          <cell r="H8520">
            <v>0</v>
          </cell>
        </row>
        <row r="8521">
          <cell r="D8521" t="str">
            <v>Furnitures</v>
          </cell>
          <cell r="F8521">
            <v>0</v>
          </cell>
          <cell r="G8521">
            <v>275</v>
          </cell>
          <cell r="H8521">
            <v>0</v>
          </cell>
        </row>
        <row r="8522">
          <cell r="D8522" t="str">
            <v>Furnitures</v>
          </cell>
          <cell r="F8522">
            <v>0</v>
          </cell>
          <cell r="G8522">
            <v>275</v>
          </cell>
          <cell r="H8522">
            <v>0</v>
          </cell>
        </row>
        <row r="8523">
          <cell r="D8523" t="str">
            <v>Furnitures</v>
          </cell>
          <cell r="F8523">
            <v>0</v>
          </cell>
          <cell r="G8523">
            <v>275</v>
          </cell>
          <cell r="H8523">
            <v>0</v>
          </cell>
        </row>
        <row r="8524">
          <cell r="D8524" t="str">
            <v>Furnitures</v>
          </cell>
          <cell r="F8524">
            <v>0</v>
          </cell>
          <cell r="G8524">
            <v>275</v>
          </cell>
          <cell r="H8524">
            <v>0</v>
          </cell>
        </row>
        <row r="8525">
          <cell r="D8525" t="str">
            <v>Furnitures</v>
          </cell>
          <cell r="F8525">
            <v>0</v>
          </cell>
          <cell r="G8525">
            <v>275</v>
          </cell>
          <cell r="H8525">
            <v>0</v>
          </cell>
        </row>
        <row r="8526">
          <cell r="D8526" t="str">
            <v>Furnitures</v>
          </cell>
          <cell r="F8526">
            <v>0</v>
          </cell>
          <cell r="G8526">
            <v>275</v>
          </cell>
          <cell r="H8526">
            <v>0</v>
          </cell>
        </row>
        <row r="8527">
          <cell r="D8527" t="str">
            <v>Furnitures</v>
          </cell>
          <cell r="F8527">
            <v>0</v>
          </cell>
          <cell r="G8527">
            <v>275</v>
          </cell>
          <cell r="H8527">
            <v>0</v>
          </cell>
        </row>
        <row r="8528">
          <cell r="D8528" t="str">
            <v>Furnitures</v>
          </cell>
          <cell r="F8528">
            <v>0</v>
          </cell>
          <cell r="G8528">
            <v>275</v>
          </cell>
          <cell r="H8528">
            <v>0</v>
          </cell>
        </row>
        <row r="8529">
          <cell r="D8529" t="str">
            <v>Furnitures</v>
          </cell>
          <cell r="F8529">
            <v>0</v>
          </cell>
          <cell r="G8529">
            <v>275</v>
          </cell>
          <cell r="H8529">
            <v>0</v>
          </cell>
        </row>
        <row r="8530">
          <cell r="D8530" t="str">
            <v>Furnitures</v>
          </cell>
          <cell r="F8530">
            <v>0</v>
          </cell>
          <cell r="G8530">
            <v>275</v>
          </cell>
          <cell r="H8530">
            <v>0</v>
          </cell>
        </row>
        <row r="8531">
          <cell r="D8531" t="str">
            <v>Furnitures</v>
          </cell>
          <cell r="F8531">
            <v>0</v>
          </cell>
          <cell r="G8531">
            <v>275</v>
          </cell>
          <cell r="H8531">
            <v>0</v>
          </cell>
        </row>
        <row r="8532">
          <cell r="D8532" t="str">
            <v>Furnitures</v>
          </cell>
          <cell r="F8532">
            <v>0</v>
          </cell>
          <cell r="G8532">
            <v>275</v>
          </cell>
          <cell r="H8532">
            <v>0</v>
          </cell>
        </row>
        <row r="8533">
          <cell r="D8533" t="str">
            <v>Furnitures</v>
          </cell>
          <cell r="F8533">
            <v>0</v>
          </cell>
          <cell r="G8533">
            <v>275</v>
          </cell>
          <cell r="H8533">
            <v>0</v>
          </cell>
        </row>
        <row r="8534">
          <cell r="D8534" t="str">
            <v>Furnitures</v>
          </cell>
          <cell r="F8534">
            <v>0</v>
          </cell>
          <cell r="G8534">
            <v>275</v>
          </cell>
          <cell r="H8534">
            <v>0</v>
          </cell>
        </row>
        <row r="8535">
          <cell r="D8535" t="str">
            <v>Furnitures</v>
          </cell>
          <cell r="F8535">
            <v>0</v>
          </cell>
          <cell r="G8535">
            <v>275</v>
          </cell>
          <cell r="H8535">
            <v>0</v>
          </cell>
        </row>
        <row r="8536">
          <cell r="D8536" t="str">
            <v>Furnitures</v>
          </cell>
          <cell r="F8536">
            <v>0</v>
          </cell>
          <cell r="G8536">
            <v>275</v>
          </cell>
          <cell r="H8536">
            <v>0</v>
          </cell>
        </row>
        <row r="8537">
          <cell r="D8537" t="str">
            <v>Furnitures</v>
          </cell>
          <cell r="F8537">
            <v>0</v>
          </cell>
          <cell r="G8537">
            <v>275</v>
          </cell>
          <cell r="H8537">
            <v>0</v>
          </cell>
        </row>
        <row r="8538">
          <cell r="D8538" t="str">
            <v>Furnitures</v>
          </cell>
          <cell r="F8538">
            <v>0</v>
          </cell>
          <cell r="G8538">
            <v>275</v>
          </cell>
          <cell r="H8538">
            <v>0</v>
          </cell>
        </row>
        <row r="8539">
          <cell r="D8539" t="str">
            <v>Furnitures</v>
          </cell>
          <cell r="F8539">
            <v>0</v>
          </cell>
          <cell r="G8539">
            <v>275</v>
          </cell>
          <cell r="H8539">
            <v>0</v>
          </cell>
        </row>
        <row r="8540">
          <cell r="D8540" t="str">
            <v>Furnitures</v>
          </cell>
          <cell r="F8540">
            <v>0</v>
          </cell>
          <cell r="G8540">
            <v>275</v>
          </cell>
          <cell r="H8540">
            <v>0</v>
          </cell>
        </row>
        <row r="8541">
          <cell r="D8541" t="str">
            <v>Furnitures</v>
          </cell>
          <cell r="F8541">
            <v>0</v>
          </cell>
          <cell r="G8541">
            <v>275</v>
          </cell>
          <cell r="H8541">
            <v>0</v>
          </cell>
        </row>
        <row r="8542">
          <cell r="D8542" t="str">
            <v>Furnitures</v>
          </cell>
          <cell r="F8542">
            <v>0</v>
          </cell>
          <cell r="G8542">
            <v>275</v>
          </cell>
          <cell r="H8542">
            <v>0</v>
          </cell>
        </row>
        <row r="8543">
          <cell r="D8543" t="str">
            <v>Furnitures</v>
          </cell>
          <cell r="F8543">
            <v>0</v>
          </cell>
          <cell r="G8543">
            <v>275</v>
          </cell>
          <cell r="H8543">
            <v>0</v>
          </cell>
        </row>
        <row r="8544">
          <cell r="D8544" t="str">
            <v>Furnitures</v>
          </cell>
          <cell r="F8544">
            <v>0</v>
          </cell>
          <cell r="G8544">
            <v>275</v>
          </cell>
          <cell r="H8544">
            <v>0</v>
          </cell>
        </row>
        <row r="8545">
          <cell r="D8545" t="str">
            <v>Furnitures</v>
          </cell>
          <cell r="F8545">
            <v>0</v>
          </cell>
          <cell r="G8545">
            <v>275</v>
          </cell>
          <cell r="H8545">
            <v>0</v>
          </cell>
        </row>
        <row r="8546">
          <cell r="D8546" t="str">
            <v>Furnitures</v>
          </cell>
          <cell r="F8546">
            <v>0</v>
          </cell>
          <cell r="G8546">
            <v>275</v>
          </cell>
          <cell r="H8546">
            <v>0</v>
          </cell>
        </row>
        <row r="8547">
          <cell r="D8547" t="str">
            <v>Furnitures</v>
          </cell>
          <cell r="F8547">
            <v>0</v>
          </cell>
          <cell r="G8547">
            <v>275</v>
          </cell>
          <cell r="H8547">
            <v>0</v>
          </cell>
        </row>
        <row r="8548">
          <cell r="D8548" t="str">
            <v>Furnitures</v>
          </cell>
          <cell r="F8548">
            <v>0</v>
          </cell>
          <cell r="G8548">
            <v>275</v>
          </cell>
          <cell r="H8548">
            <v>0</v>
          </cell>
        </row>
        <row r="8549">
          <cell r="D8549" t="str">
            <v>Furnitures</v>
          </cell>
          <cell r="F8549">
            <v>0</v>
          </cell>
          <cell r="G8549">
            <v>275</v>
          </cell>
          <cell r="H8549">
            <v>0</v>
          </cell>
        </row>
        <row r="8550">
          <cell r="D8550" t="str">
            <v>Furnitures</v>
          </cell>
          <cell r="F8550">
            <v>0</v>
          </cell>
          <cell r="G8550">
            <v>275</v>
          </cell>
          <cell r="H8550">
            <v>0</v>
          </cell>
        </row>
        <row r="8551">
          <cell r="D8551" t="str">
            <v>Furnitures</v>
          </cell>
          <cell r="F8551">
            <v>0</v>
          </cell>
          <cell r="G8551">
            <v>275</v>
          </cell>
          <cell r="H8551">
            <v>0</v>
          </cell>
        </row>
        <row r="8552">
          <cell r="D8552" t="str">
            <v>Furnitures</v>
          </cell>
          <cell r="F8552">
            <v>0</v>
          </cell>
          <cell r="G8552">
            <v>275</v>
          </cell>
          <cell r="H8552">
            <v>0</v>
          </cell>
        </row>
        <row r="8553">
          <cell r="D8553" t="str">
            <v>Furnitures</v>
          </cell>
          <cell r="F8553">
            <v>0</v>
          </cell>
          <cell r="G8553">
            <v>275</v>
          </cell>
          <cell r="H8553">
            <v>0</v>
          </cell>
        </row>
        <row r="8554">
          <cell r="D8554" t="str">
            <v>Furnitures</v>
          </cell>
          <cell r="F8554">
            <v>0</v>
          </cell>
          <cell r="G8554">
            <v>275</v>
          </cell>
          <cell r="H8554">
            <v>0</v>
          </cell>
        </row>
        <row r="8555">
          <cell r="D8555" t="str">
            <v>Furnitures</v>
          </cell>
          <cell r="F8555">
            <v>0</v>
          </cell>
          <cell r="G8555">
            <v>275</v>
          </cell>
          <cell r="H8555">
            <v>0</v>
          </cell>
        </row>
        <row r="8556">
          <cell r="D8556" t="str">
            <v>Furnitures</v>
          </cell>
          <cell r="F8556">
            <v>0</v>
          </cell>
          <cell r="G8556">
            <v>275</v>
          </cell>
          <cell r="H8556">
            <v>0</v>
          </cell>
        </row>
        <row r="8557">
          <cell r="D8557" t="str">
            <v>Furnitures</v>
          </cell>
          <cell r="F8557">
            <v>0</v>
          </cell>
          <cell r="G8557">
            <v>275</v>
          </cell>
          <cell r="H8557">
            <v>0</v>
          </cell>
        </row>
        <row r="8558">
          <cell r="D8558" t="str">
            <v>Furnitures</v>
          </cell>
          <cell r="F8558">
            <v>0</v>
          </cell>
          <cell r="G8558">
            <v>275</v>
          </cell>
          <cell r="H8558">
            <v>0</v>
          </cell>
        </row>
        <row r="8559">
          <cell r="D8559" t="str">
            <v>Furnitures</v>
          </cell>
          <cell r="F8559">
            <v>0</v>
          </cell>
          <cell r="G8559">
            <v>275</v>
          </cell>
          <cell r="H8559">
            <v>0</v>
          </cell>
        </row>
        <row r="8560">
          <cell r="D8560" t="str">
            <v>Furnitures</v>
          </cell>
          <cell r="F8560">
            <v>0</v>
          </cell>
          <cell r="G8560">
            <v>275</v>
          </cell>
          <cell r="H8560">
            <v>0</v>
          </cell>
        </row>
        <row r="8561">
          <cell r="D8561" t="str">
            <v>Furnitures</v>
          </cell>
          <cell r="F8561">
            <v>0</v>
          </cell>
          <cell r="G8561">
            <v>275</v>
          </cell>
          <cell r="H8561">
            <v>0</v>
          </cell>
        </row>
        <row r="8562">
          <cell r="D8562" t="str">
            <v>Furnitures</v>
          </cell>
          <cell r="F8562">
            <v>0</v>
          </cell>
          <cell r="G8562">
            <v>275</v>
          </cell>
          <cell r="H8562">
            <v>0</v>
          </cell>
        </row>
        <row r="8563">
          <cell r="D8563" t="str">
            <v>Furnitures</v>
          </cell>
          <cell r="F8563">
            <v>0</v>
          </cell>
          <cell r="G8563">
            <v>275</v>
          </cell>
          <cell r="H8563">
            <v>0</v>
          </cell>
        </row>
        <row r="8564">
          <cell r="D8564" t="str">
            <v>Furnitures</v>
          </cell>
          <cell r="F8564">
            <v>0</v>
          </cell>
          <cell r="G8564">
            <v>275</v>
          </cell>
          <cell r="H8564">
            <v>0</v>
          </cell>
        </row>
        <row r="8565">
          <cell r="D8565" t="str">
            <v>Furnitures</v>
          </cell>
          <cell r="F8565">
            <v>0</v>
          </cell>
          <cell r="G8565">
            <v>275</v>
          </cell>
          <cell r="H8565">
            <v>0</v>
          </cell>
        </row>
        <row r="8566">
          <cell r="D8566" t="str">
            <v>Furnitures</v>
          </cell>
          <cell r="F8566">
            <v>0</v>
          </cell>
          <cell r="G8566">
            <v>275</v>
          </cell>
          <cell r="H8566">
            <v>0</v>
          </cell>
        </row>
        <row r="8567">
          <cell r="D8567" t="str">
            <v>Furnitures</v>
          </cell>
          <cell r="F8567">
            <v>0</v>
          </cell>
          <cell r="G8567">
            <v>275</v>
          </cell>
          <cell r="H8567">
            <v>0</v>
          </cell>
        </row>
        <row r="8568">
          <cell r="D8568" t="str">
            <v>Furnitures</v>
          </cell>
          <cell r="F8568">
            <v>0</v>
          </cell>
          <cell r="G8568">
            <v>275</v>
          </cell>
          <cell r="H8568">
            <v>0</v>
          </cell>
        </row>
        <row r="8569">
          <cell r="D8569" t="str">
            <v>Furnitures</v>
          </cell>
          <cell r="F8569">
            <v>0</v>
          </cell>
          <cell r="G8569">
            <v>275</v>
          </cell>
          <cell r="H8569">
            <v>0</v>
          </cell>
        </row>
        <row r="8570">
          <cell r="D8570" t="str">
            <v>Furnitures</v>
          </cell>
          <cell r="F8570">
            <v>0</v>
          </cell>
          <cell r="G8570">
            <v>275</v>
          </cell>
          <cell r="H8570">
            <v>0</v>
          </cell>
        </row>
        <row r="8571">
          <cell r="D8571" t="str">
            <v>Furnitures</v>
          </cell>
          <cell r="F8571">
            <v>0</v>
          </cell>
          <cell r="G8571">
            <v>275</v>
          </cell>
          <cell r="H8571">
            <v>0</v>
          </cell>
        </row>
        <row r="8572">
          <cell r="D8572" t="str">
            <v>Furnitures</v>
          </cell>
          <cell r="F8572">
            <v>0</v>
          </cell>
          <cell r="G8572">
            <v>275</v>
          </cell>
          <cell r="H8572">
            <v>0</v>
          </cell>
        </row>
        <row r="8573">
          <cell r="D8573" t="str">
            <v>Furnitures</v>
          </cell>
          <cell r="F8573">
            <v>0</v>
          </cell>
          <cell r="G8573">
            <v>275</v>
          </cell>
          <cell r="H8573">
            <v>0</v>
          </cell>
        </row>
        <row r="8574">
          <cell r="D8574" t="str">
            <v>Furnitures</v>
          </cell>
          <cell r="F8574">
            <v>0</v>
          </cell>
          <cell r="G8574">
            <v>275</v>
          </cell>
          <cell r="H8574">
            <v>0</v>
          </cell>
        </row>
        <row r="8575">
          <cell r="D8575" t="str">
            <v>Furnitures</v>
          </cell>
          <cell r="F8575">
            <v>0</v>
          </cell>
          <cell r="G8575">
            <v>275</v>
          </cell>
          <cell r="H8575">
            <v>0</v>
          </cell>
        </row>
        <row r="8576">
          <cell r="D8576" t="str">
            <v>Furnitures</v>
          </cell>
          <cell r="F8576">
            <v>0</v>
          </cell>
          <cell r="G8576">
            <v>275</v>
          </cell>
          <cell r="H8576">
            <v>0</v>
          </cell>
        </row>
        <row r="8577">
          <cell r="D8577" t="str">
            <v>Furnitures</v>
          </cell>
          <cell r="F8577">
            <v>0</v>
          </cell>
          <cell r="G8577">
            <v>275</v>
          </cell>
          <cell r="H8577">
            <v>0</v>
          </cell>
        </row>
        <row r="8578">
          <cell r="D8578" t="str">
            <v>Furnitures</v>
          </cell>
          <cell r="F8578">
            <v>0</v>
          </cell>
          <cell r="G8578">
            <v>275</v>
          </cell>
          <cell r="H8578">
            <v>0</v>
          </cell>
        </row>
        <row r="8579">
          <cell r="D8579" t="str">
            <v>Furnitures</v>
          </cell>
          <cell r="F8579">
            <v>0</v>
          </cell>
          <cell r="G8579">
            <v>275</v>
          </cell>
          <cell r="H8579">
            <v>0</v>
          </cell>
        </row>
        <row r="8580">
          <cell r="D8580" t="str">
            <v>Furnitures</v>
          </cell>
          <cell r="F8580">
            <v>0</v>
          </cell>
          <cell r="G8580">
            <v>275</v>
          </cell>
          <cell r="H8580">
            <v>0</v>
          </cell>
        </row>
        <row r="8581">
          <cell r="D8581" t="str">
            <v>Furnitures</v>
          </cell>
          <cell r="F8581">
            <v>0</v>
          </cell>
          <cell r="G8581">
            <v>275</v>
          </cell>
          <cell r="H8581">
            <v>0</v>
          </cell>
        </row>
        <row r="8582">
          <cell r="D8582" t="str">
            <v>Furnitures</v>
          </cell>
          <cell r="F8582">
            <v>0</v>
          </cell>
          <cell r="G8582">
            <v>275</v>
          </cell>
          <cell r="H8582">
            <v>0</v>
          </cell>
        </row>
        <row r="8583">
          <cell r="D8583" t="str">
            <v>Furnitures</v>
          </cell>
          <cell r="F8583">
            <v>0</v>
          </cell>
          <cell r="G8583">
            <v>275</v>
          </cell>
          <cell r="H8583">
            <v>0</v>
          </cell>
        </row>
        <row r="8584">
          <cell r="D8584" t="str">
            <v>Furnitures</v>
          </cell>
          <cell r="F8584">
            <v>0</v>
          </cell>
          <cell r="G8584">
            <v>275</v>
          </cell>
          <cell r="H8584">
            <v>0</v>
          </cell>
        </row>
        <row r="8585">
          <cell r="D8585" t="str">
            <v>Furnitures</v>
          </cell>
          <cell r="F8585">
            <v>0</v>
          </cell>
          <cell r="G8585">
            <v>275</v>
          </cell>
          <cell r="H8585">
            <v>0</v>
          </cell>
        </row>
        <row r="8586">
          <cell r="D8586" t="str">
            <v>Furnitures</v>
          </cell>
          <cell r="F8586">
            <v>0</v>
          </cell>
          <cell r="G8586">
            <v>275</v>
          </cell>
          <cell r="H8586">
            <v>0</v>
          </cell>
        </row>
        <row r="8587">
          <cell r="D8587" t="str">
            <v>Furnitures</v>
          </cell>
          <cell r="F8587">
            <v>0</v>
          </cell>
          <cell r="G8587">
            <v>275</v>
          </cell>
          <cell r="H8587">
            <v>0</v>
          </cell>
        </row>
        <row r="8588">
          <cell r="D8588" t="str">
            <v>Furnitures</v>
          </cell>
          <cell r="F8588">
            <v>0</v>
          </cell>
          <cell r="G8588">
            <v>275</v>
          </cell>
          <cell r="H8588">
            <v>0</v>
          </cell>
        </row>
        <row r="8589">
          <cell r="D8589" t="str">
            <v>Furnitures</v>
          </cell>
          <cell r="F8589">
            <v>0</v>
          </cell>
          <cell r="G8589">
            <v>275</v>
          </cell>
          <cell r="H8589">
            <v>0</v>
          </cell>
        </row>
        <row r="8590">
          <cell r="D8590" t="str">
            <v>Furnitures</v>
          </cell>
          <cell r="F8590">
            <v>0</v>
          </cell>
          <cell r="G8590">
            <v>275</v>
          </cell>
          <cell r="H8590">
            <v>0</v>
          </cell>
        </row>
        <row r="8591">
          <cell r="D8591" t="str">
            <v>Furnitures</v>
          </cell>
          <cell r="F8591">
            <v>0</v>
          </cell>
          <cell r="G8591">
            <v>275</v>
          </cell>
          <cell r="H8591">
            <v>0</v>
          </cell>
        </row>
        <row r="8592">
          <cell r="D8592" t="str">
            <v>Furnitures</v>
          </cell>
          <cell r="F8592">
            <v>0</v>
          </cell>
          <cell r="G8592">
            <v>275</v>
          </cell>
          <cell r="H8592">
            <v>0</v>
          </cell>
        </row>
        <row r="8593">
          <cell r="D8593" t="str">
            <v>Furnitures</v>
          </cell>
          <cell r="F8593">
            <v>0</v>
          </cell>
          <cell r="G8593">
            <v>275</v>
          </cell>
          <cell r="H8593">
            <v>0</v>
          </cell>
        </row>
        <row r="8594">
          <cell r="D8594" t="str">
            <v>Furnitures</v>
          </cell>
          <cell r="F8594">
            <v>0</v>
          </cell>
          <cell r="G8594">
            <v>275</v>
          </cell>
          <cell r="H8594">
            <v>0</v>
          </cell>
        </row>
        <row r="8595">
          <cell r="D8595" t="str">
            <v>Furnitures</v>
          </cell>
          <cell r="F8595">
            <v>0</v>
          </cell>
          <cell r="G8595">
            <v>275</v>
          </cell>
          <cell r="H8595">
            <v>0</v>
          </cell>
        </row>
        <row r="8596">
          <cell r="D8596" t="str">
            <v>Furnitures</v>
          </cell>
          <cell r="F8596">
            <v>0</v>
          </cell>
          <cell r="G8596">
            <v>275</v>
          </cell>
          <cell r="H8596">
            <v>0</v>
          </cell>
        </row>
        <row r="8597">
          <cell r="D8597" t="str">
            <v>Furnitures</v>
          </cell>
          <cell r="F8597">
            <v>0</v>
          </cell>
          <cell r="G8597">
            <v>275</v>
          </cell>
          <cell r="H8597">
            <v>0</v>
          </cell>
        </row>
        <row r="8598">
          <cell r="D8598" t="str">
            <v>Furnitures</v>
          </cell>
          <cell r="F8598">
            <v>0</v>
          </cell>
          <cell r="G8598">
            <v>275</v>
          </cell>
          <cell r="H8598">
            <v>0</v>
          </cell>
        </row>
        <row r="8599">
          <cell r="D8599" t="str">
            <v>Furnitures</v>
          </cell>
          <cell r="F8599">
            <v>0</v>
          </cell>
          <cell r="G8599">
            <v>275</v>
          </cell>
          <cell r="H8599">
            <v>0</v>
          </cell>
        </row>
        <row r="8600">
          <cell r="D8600" t="str">
            <v>Furnitures</v>
          </cell>
          <cell r="F8600">
            <v>0</v>
          </cell>
          <cell r="G8600">
            <v>275</v>
          </cell>
          <cell r="H8600">
            <v>0</v>
          </cell>
        </row>
        <row r="8601">
          <cell r="D8601" t="str">
            <v>Furnitures</v>
          </cell>
          <cell r="F8601">
            <v>0</v>
          </cell>
          <cell r="G8601">
            <v>275</v>
          </cell>
          <cell r="H8601">
            <v>0</v>
          </cell>
        </row>
        <row r="8602">
          <cell r="D8602" t="str">
            <v>Furnitures</v>
          </cell>
          <cell r="F8602">
            <v>0</v>
          </cell>
          <cell r="G8602">
            <v>275</v>
          </cell>
          <cell r="H8602">
            <v>0</v>
          </cell>
        </row>
        <row r="8603">
          <cell r="D8603" t="str">
            <v>Furnitures</v>
          </cell>
          <cell r="F8603">
            <v>0</v>
          </cell>
          <cell r="G8603">
            <v>275</v>
          </cell>
          <cell r="H8603">
            <v>0</v>
          </cell>
        </row>
        <row r="8604">
          <cell r="D8604" t="str">
            <v>Furnitures</v>
          </cell>
          <cell r="F8604">
            <v>0</v>
          </cell>
          <cell r="G8604">
            <v>275</v>
          </cell>
          <cell r="H8604">
            <v>0</v>
          </cell>
        </row>
        <row r="8605">
          <cell r="D8605" t="str">
            <v>Furnitures</v>
          </cell>
          <cell r="F8605">
            <v>0</v>
          </cell>
          <cell r="G8605">
            <v>275</v>
          </cell>
          <cell r="H8605">
            <v>0</v>
          </cell>
        </row>
        <row r="8606">
          <cell r="D8606" t="str">
            <v>Furnitures</v>
          </cell>
          <cell r="F8606">
            <v>0</v>
          </cell>
          <cell r="G8606">
            <v>275</v>
          </cell>
          <cell r="H8606">
            <v>0</v>
          </cell>
        </row>
        <row r="8607">
          <cell r="D8607" t="str">
            <v>Furnitures</v>
          </cell>
          <cell r="F8607">
            <v>0</v>
          </cell>
          <cell r="G8607">
            <v>275</v>
          </cell>
          <cell r="H8607">
            <v>0</v>
          </cell>
        </row>
        <row r="8608">
          <cell r="D8608" t="str">
            <v>Furnitures</v>
          </cell>
          <cell r="F8608">
            <v>0</v>
          </cell>
          <cell r="G8608">
            <v>275</v>
          </cell>
          <cell r="H8608">
            <v>0</v>
          </cell>
        </row>
        <row r="8609">
          <cell r="D8609" t="str">
            <v>Furnitures</v>
          </cell>
          <cell r="F8609">
            <v>0</v>
          </cell>
          <cell r="G8609">
            <v>275</v>
          </cell>
          <cell r="H8609">
            <v>0</v>
          </cell>
        </row>
        <row r="8610">
          <cell r="D8610" t="str">
            <v>Furnitures</v>
          </cell>
          <cell r="F8610">
            <v>0</v>
          </cell>
          <cell r="G8610">
            <v>275</v>
          </cell>
          <cell r="H8610">
            <v>0</v>
          </cell>
        </row>
        <row r="8611">
          <cell r="D8611" t="str">
            <v>Furnitures</v>
          </cell>
          <cell r="F8611">
            <v>0</v>
          </cell>
          <cell r="G8611">
            <v>275</v>
          </cell>
          <cell r="H8611">
            <v>0</v>
          </cell>
        </row>
        <row r="8612">
          <cell r="D8612" t="str">
            <v>Furnitures</v>
          </cell>
          <cell r="F8612">
            <v>0</v>
          </cell>
          <cell r="G8612">
            <v>275</v>
          </cell>
          <cell r="H8612">
            <v>0</v>
          </cell>
        </row>
        <row r="8613">
          <cell r="D8613" t="str">
            <v>Furnitures</v>
          </cell>
          <cell r="F8613">
            <v>0</v>
          </cell>
          <cell r="G8613">
            <v>275</v>
          </cell>
          <cell r="H8613">
            <v>0</v>
          </cell>
        </row>
        <row r="8614">
          <cell r="D8614" t="str">
            <v>Furnitures</v>
          </cell>
          <cell r="F8614">
            <v>0</v>
          </cell>
          <cell r="G8614">
            <v>275</v>
          </cell>
          <cell r="H8614">
            <v>0</v>
          </cell>
        </row>
        <row r="8615">
          <cell r="D8615" t="str">
            <v>Furnitures</v>
          </cell>
          <cell r="F8615">
            <v>0</v>
          </cell>
          <cell r="G8615">
            <v>275</v>
          </cell>
          <cell r="H8615">
            <v>0</v>
          </cell>
        </row>
        <row r="8616">
          <cell r="D8616" t="str">
            <v>Furnitures</v>
          </cell>
          <cell r="F8616">
            <v>0</v>
          </cell>
          <cell r="G8616">
            <v>275</v>
          </cell>
          <cell r="H8616">
            <v>0</v>
          </cell>
        </row>
        <row r="8617">
          <cell r="D8617" t="str">
            <v>Furnitures</v>
          </cell>
          <cell r="F8617">
            <v>0</v>
          </cell>
          <cell r="G8617">
            <v>275</v>
          </cell>
          <cell r="H8617">
            <v>0</v>
          </cell>
        </row>
        <row r="8618">
          <cell r="D8618" t="str">
            <v>Furnitures</v>
          </cell>
          <cell r="F8618">
            <v>0</v>
          </cell>
          <cell r="G8618">
            <v>275</v>
          </cell>
          <cell r="H8618">
            <v>0</v>
          </cell>
        </row>
        <row r="8619">
          <cell r="D8619" t="str">
            <v>Furnitures</v>
          </cell>
          <cell r="F8619">
            <v>0</v>
          </cell>
          <cell r="G8619">
            <v>275</v>
          </cell>
          <cell r="H8619">
            <v>0</v>
          </cell>
        </row>
        <row r="8620">
          <cell r="D8620" t="str">
            <v>Furnitures</v>
          </cell>
          <cell r="F8620">
            <v>0</v>
          </cell>
          <cell r="G8620">
            <v>275</v>
          </cell>
          <cell r="H8620">
            <v>0</v>
          </cell>
        </row>
        <row r="8621">
          <cell r="D8621" t="str">
            <v>Furnitures</v>
          </cell>
          <cell r="F8621">
            <v>0</v>
          </cell>
          <cell r="G8621">
            <v>275</v>
          </cell>
          <cell r="H8621">
            <v>0</v>
          </cell>
        </row>
        <row r="8622">
          <cell r="D8622" t="str">
            <v>Furnitures</v>
          </cell>
          <cell r="F8622">
            <v>0</v>
          </cell>
          <cell r="G8622">
            <v>275</v>
          </cell>
          <cell r="H8622">
            <v>0</v>
          </cell>
        </row>
        <row r="8623">
          <cell r="D8623" t="str">
            <v>Furnitures</v>
          </cell>
          <cell r="F8623">
            <v>0</v>
          </cell>
          <cell r="G8623">
            <v>275</v>
          </cell>
          <cell r="H8623">
            <v>0</v>
          </cell>
        </row>
        <row r="8624">
          <cell r="D8624" t="str">
            <v>Furnitures</v>
          </cell>
          <cell r="F8624">
            <v>0</v>
          </cell>
          <cell r="G8624">
            <v>275</v>
          </cell>
          <cell r="H8624">
            <v>0</v>
          </cell>
        </row>
        <row r="8625">
          <cell r="D8625" t="str">
            <v>Furnitures</v>
          </cell>
          <cell r="F8625">
            <v>0</v>
          </cell>
          <cell r="G8625">
            <v>275</v>
          </cell>
          <cell r="H8625">
            <v>0</v>
          </cell>
        </row>
        <row r="8626">
          <cell r="D8626" t="str">
            <v>Furnitures</v>
          </cell>
          <cell r="F8626">
            <v>0</v>
          </cell>
          <cell r="G8626">
            <v>275</v>
          </cell>
          <cell r="H8626">
            <v>0</v>
          </cell>
        </row>
        <row r="8627">
          <cell r="D8627" t="str">
            <v>Furnitures</v>
          </cell>
          <cell r="F8627">
            <v>0</v>
          </cell>
          <cell r="G8627">
            <v>275</v>
          </cell>
          <cell r="H8627">
            <v>0</v>
          </cell>
        </row>
        <row r="8628">
          <cell r="D8628" t="str">
            <v>Furnitures</v>
          </cell>
          <cell r="F8628">
            <v>0</v>
          </cell>
          <cell r="G8628">
            <v>275</v>
          </cell>
          <cell r="H8628">
            <v>0</v>
          </cell>
        </row>
        <row r="8629">
          <cell r="D8629" t="str">
            <v>Furnitures</v>
          </cell>
          <cell r="F8629">
            <v>0</v>
          </cell>
          <cell r="G8629">
            <v>275</v>
          </cell>
          <cell r="H8629">
            <v>0</v>
          </cell>
        </row>
        <row r="8630">
          <cell r="D8630" t="str">
            <v>Furnitures</v>
          </cell>
          <cell r="F8630">
            <v>0</v>
          </cell>
          <cell r="G8630">
            <v>275</v>
          </cell>
          <cell r="H8630">
            <v>0</v>
          </cell>
        </row>
        <row r="8631">
          <cell r="D8631" t="str">
            <v>Furnitures</v>
          </cell>
          <cell r="F8631">
            <v>0</v>
          </cell>
          <cell r="G8631">
            <v>275</v>
          </cell>
          <cell r="H8631">
            <v>0</v>
          </cell>
        </row>
        <row r="8632">
          <cell r="D8632" t="str">
            <v>Furnitures</v>
          </cell>
          <cell r="F8632">
            <v>0</v>
          </cell>
          <cell r="G8632">
            <v>275</v>
          </cell>
          <cell r="H8632">
            <v>0</v>
          </cell>
        </row>
        <row r="8633">
          <cell r="D8633" t="str">
            <v>Furnitures</v>
          </cell>
          <cell r="F8633">
            <v>0</v>
          </cell>
          <cell r="G8633">
            <v>275</v>
          </cell>
          <cell r="H8633">
            <v>0</v>
          </cell>
        </row>
        <row r="8634">
          <cell r="D8634" t="str">
            <v>Furnitures</v>
          </cell>
          <cell r="F8634">
            <v>0</v>
          </cell>
          <cell r="G8634">
            <v>275</v>
          </cell>
          <cell r="H8634">
            <v>0</v>
          </cell>
        </row>
        <row r="8635">
          <cell r="D8635" t="str">
            <v>Furnitures</v>
          </cell>
          <cell r="F8635">
            <v>0</v>
          </cell>
          <cell r="G8635">
            <v>275</v>
          </cell>
          <cell r="H8635">
            <v>0</v>
          </cell>
        </row>
        <row r="8636">
          <cell r="D8636" t="str">
            <v>Furnitures</v>
          </cell>
          <cell r="F8636">
            <v>0</v>
          </cell>
          <cell r="G8636">
            <v>275</v>
          </cell>
          <cell r="H8636">
            <v>0</v>
          </cell>
        </row>
        <row r="8637">
          <cell r="D8637" t="str">
            <v>Furnitures</v>
          </cell>
          <cell r="F8637">
            <v>0</v>
          </cell>
          <cell r="G8637">
            <v>275</v>
          </cell>
          <cell r="H8637">
            <v>0</v>
          </cell>
        </row>
        <row r="8638">
          <cell r="D8638" t="str">
            <v>Furnitures</v>
          </cell>
          <cell r="F8638">
            <v>0</v>
          </cell>
          <cell r="G8638">
            <v>275</v>
          </cell>
          <cell r="H8638">
            <v>0</v>
          </cell>
        </row>
        <row r="8639">
          <cell r="D8639" t="str">
            <v>Furnitures</v>
          </cell>
          <cell r="F8639">
            <v>0</v>
          </cell>
          <cell r="G8639">
            <v>275</v>
          </cell>
          <cell r="H8639">
            <v>0</v>
          </cell>
        </row>
        <row r="8640">
          <cell r="D8640" t="str">
            <v>Furnitures</v>
          </cell>
          <cell r="F8640">
            <v>0</v>
          </cell>
          <cell r="G8640">
            <v>275</v>
          </cell>
          <cell r="H8640">
            <v>0</v>
          </cell>
        </row>
        <row r="8641">
          <cell r="D8641" t="str">
            <v>Furnitures</v>
          </cell>
          <cell r="F8641">
            <v>0</v>
          </cell>
          <cell r="G8641">
            <v>275</v>
          </cell>
          <cell r="H8641">
            <v>0</v>
          </cell>
        </row>
        <row r="8642">
          <cell r="D8642" t="str">
            <v>Furnitures</v>
          </cell>
          <cell r="F8642">
            <v>0</v>
          </cell>
          <cell r="G8642">
            <v>275</v>
          </cell>
          <cell r="H8642">
            <v>0</v>
          </cell>
        </row>
        <row r="8643">
          <cell r="D8643" t="str">
            <v>Furnitures</v>
          </cell>
          <cell r="F8643">
            <v>0</v>
          </cell>
          <cell r="G8643">
            <v>275</v>
          </cell>
          <cell r="H8643">
            <v>0</v>
          </cell>
        </row>
        <row r="8644">
          <cell r="D8644" t="str">
            <v>Furnitures</v>
          </cell>
          <cell r="F8644">
            <v>0</v>
          </cell>
          <cell r="G8644">
            <v>275</v>
          </cell>
          <cell r="H8644">
            <v>0</v>
          </cell>
        </row>
        <row r="8645">
          <cell r="D8645" t="str">
            <v>Furnitures</v>
          </cell>
          <cell r="F8645">
            <v>0</v>
          </cell>
          <cell r="G8645">
            <v>275</v>
          </cell>
          <cell r="H8645">
            <v>0</v>
          </cell>
        </row>
        <row r="8646">
          <cell r="D8646" t="str">
            <v>Furnitures</v>
          </cell>
          <cell r="F8646">
            <v>0</v>
          </cell>
          <cell r="G8646">
            <v>275</v>
          </cell>
          <cell r="H8646">
            <v>0</v>
          </cell>
        </row>
        <row r="8647">
          <cell r="D8647" t="str">
            <v>Furnitures</v>
          </cell>
          <cell r="F8647">
            <v>0</v>
          </cell>
          <cell r="G8647">
            <v>275</v>
          </cell>
          <cell r="H8647">
            <v>0</v>
          </cell>
        </row>
        <row r="8648">
          <cell r="D8648" t="str">
            <v>Furnitures</v>
          </cell>
          <cell r="F8648">
            <v>0</v>
          </cell>
          <cell r="G8648">
            <v>275</v>
          </cell>
          <cell r="H8648">
            <v>0</v>
          </cell>
        </row>
        <row r="8649">
          <cell r="D8649" t="str">
            <v>Furnitures</v>
          </cell>
          <cell r="F8649">
            <v>0</v>
          </cell>
          <cell r="G8649">
            <v>275</v>
          </cell>
          <cell r="H8649">
            <v>0</v>
          </cell>
        </row>
        <row r="8650">
          <cell r="D8650" t="str">
            <v>Furnitures</v>
          </cell>
          <cell r="F8650">
            <v>0</v>
          </cell>
          <cell r="G8650">
            <v>275</v>
          </cell>
          <cell r="H8650">
            <v>0</v>
          </cell>
        </row>
        <row r="8651">
          <cell r="D8651" t="str">
            <v>Furnitures</v>
          </cell>
          <cell r="F8651">
            <v>0</v>
          </cell>
          <cell r="G8651">
            <v>275</v>
          </cell>
          <cell r="H8651">
            <v>0</v>
          </cell>
        </row>
        <row r="8652">
          <cell r="D8652" t="str">
            <v>Furnitures</v>
          </cell>
          <cell r="F8652">
            <v>0</v>
          </cell>
          <cell r="G8652">
            <v>275</v>
          </cell>
          <cell r="H8652">
            <v>0</v>
          </cell>
        </row>
        <row r="8653">
          <cell r="D8653" t="str">
            <v>Furnitures</v>
          </cell>
          <cell r="F8653">
            <v>0</v>
          </cell>
          <cell r="G8653">
            <v>275</v>
          </cell>
          <cell r="H8653">
            <v>0</v>
          </cell>
        </row>
        <row r="8654">
          <cell r="D8654" t="str">
            <v>Furnitures</v>
          </cell>
          <cell r="F8654">
            <v>0</v>
          </cell>
          <cell r="G8654">
            <v>275</v>
          </cell>
          <cell r="H8654">
            <v>0</v>
          </cell>
        </row>
        <row r="8655">
          <cell r="D8655" t="str">
            <v>Furnitures</v>
          </cell>
          <cell r="F8655">
            <v>0</v>
          </cell>
          <cell r="G8655">
            <v>275</v>
          </cell>
          <cell r="H8655">
            <v>0</v>
          </cell>
        </row>
        <row r="8656">
          <cell r="D8656" t="str">
            <v>Furnitures</v>
          </cell>
          <cell r="F8656">
            <v>0</v>
          </cell>
          <cell r="G8656">
            <v>275</v>
          </cell>
          <cell r="H8656">
            <v>0</v>
          </cell>
        </row>
        <row r="8657">
          <cell r="D8657" t="str">
            <v>Furnitures</v>
          </cell>
          <cell r="F8657">
            <v>0</v>
          </cell>
          <cell r="G8657">
            <v>275</v>
          </cell>
          <cell r="H8657">
            <v>0</v>
          </cell>
        </row>
        <row r="8658">
          <cell r="D8658" t="str">
            <v>Furnitures</v>
          </cell>
          <cell r="F8658">
            <v>0</v>
          </cell>
          <cell r="G8658">
            <v>275</v>
          </cell>
          <cell r="H8658">
            <v>0</v>
          </cell>
        </row>
        <row r="8659">
          <cell r="D8659" t="str">
            <v>Furnitures</v>
          </cell>
          <cell r="F8659">
            <v>0</v>
          </cell>
          <cell r="G8659">
            <v>275</v>
          </cell>
          <cell r="H8659">
            <v>0</v>
          </cell>
        </row>
        <row r="8660">
          <cell r="D8660" t="str">
            <v>Furnitures</v>
          </cell>
          <cell r="F8660">
            <v>0</v>
          </cell>
          <cell r="G8660">
            <v>275</v>
          </cell>
          <cell r="H8660">
            <v>0</v>
          </cell>
        </row>
        <row r="8661">
          <cell r="D8661" t="str">
            <v>Furnitures</v>
          </cell>
          <cell r="F8661">
            <v>0</v>
          </cell>
          <cell r="G8661">
            <v>275</v>
          </cell>
          <cell r="H8661">
            <v>0</v>
          </cell>
        </row>
        <row r="8662">
          <cell r="D8662" t="str">
            <v>Furnitures</v>
          </cell>
          <cell r="F8662">
            <v>0</v>
          </cell>
          <cell r="G8662">
            <v>275</v>
          </cell>
          <cell r="H8662">
            <v>0</v>
          </cell>
        </row>
        <row r="8663">
          <cell r="D8663" t="str">
            <v>Furnitures</v>
          </cell>
          <cell r="F8663">
            <v>0</v>
          </cell>
          <cell r="G8663">
            <v>275</v>
          </cell>
          <cell r="H8663">
            <v>0</v>
          </cell>
        </row>
        <row r="8664">
          <cell r="D8664" t="str">
            <v>Furnitures</v>
          </cell>
          <cell r="F8664">
            <v>0</v>
          </cell>
          <cell r="G8664">
            <v>275</v>
          </cell>
          <cell r="H8664">
            <v>0</v>
          </cell>
        </row>
        <row r="8665">
          <cell r="D8665" t="str">
            <v>Furnitures</v>
          </cell>
          <cell r="F8665">
            <v>0</v>
          </cell>
          <cell r="G8665">
            <v>275</v>
          </cell>
          <cell r="H8665">
            <v>0</v>
          </cell>
        </row>
        <row r="8666">
          <cell r="D8666" t="str">
            <v>Furnitures</v>
          </cell>
          <cell r="F8666">
            <v>0</v>
          </cell>
          <cell r="G8666">
            <v>275</v>
          </cell>
          <cell r="H8666">
            <v>0</v>
          </cell>
        </row>
        <row r="8667">
          <cell r="D8667" t="str">
            <v>Furnitures</v>
          </cell>
          <cell r="F8667">
            <v>0</v>
          </cell>
          <cell r="G8667">
            <v>275</v>
          </cell>
          <cell r="H8667">
            <v>0</v>
          </cell>
        </row>
        <row r="8668">
          <cell r="D8668" t="str">
            <v>Furnitures</v>
          </cell>
          <cell r="F8668">
            <v>0</v>
          </cell>
          <cell r="G8668">
            <v>275</v>
          </cell>
          <cell r="H8668">
            <v>0</v>
          </cell>
        </row>
        <row r="8669">
          <cell r="D8669" t="str">
            <v>Furnitures</v>
          </cell>
          <cell r="F8669">
            <v>0</v>
          </cell>
          <cell r="G8669">
            <v>275</v>
          </cell>
          <cell r="H8669">
            <v>0</v>
          </cell>
        </row>
        <row r="8670">
          <cell r="D8670" t="str">
            <v>Furnitures</v>
          </cell>
          <cell r="F8670">
            <v>0</v>
          </cell>
          <cell r="G8670">
            <v>275</v>
          </cell>
          <cell r="H8670">
            <v>0</v>
          </cell>
        </row>
        <row r="8671">
          <cell r="D8671" t="str">
            <v>Furnitures</v>
          </cell>
          <cell r="F8671">
            <v>0</v>
          </cell>
          <cell r="G8671">
            <v>275</v>
          </cell>
          <cell r="H8671">
            <v>0</v>
          </cell>
        </row>
        <row r="8672">
          <cell r="D8672" t="str">
            <v>Furnitures</v>
          </cell>
          <cell r="F8672">
            <v>0</v>
          </cell>
          <cell r="G8672">
            <v>275</v>
          </cell>
          <cell r="H8672">
            <v>0</v>
          </cell>
        </row>
        <row r="8673">
          <cell r="D8673" t="str">
            <v>Furnitures</v>
          </cell>
          <cell r="F8673">
            <v>0</v>
          </cell>
          <cell r="G8673">
            <v>275</v>
          </cell>
          <cell r="H8673">
            <v>0</v>
          </cell>
        </row>
        <row r="8674">
          <cell r="D8674" t="str">
            <v>Furnitures</v>
          </cell>
          <cell r="F8674">
            <v>0</v>
          </cell>
          <cell r="G8674">
            <v>275</v>
          </cell>
          <cell r="H8674">
            <v>0</v>
          </cell>
        </row>
        <row r="8675">
          <cell r="D8675" t="str">
            <v>Furnitures</v>
          </cell>
          <cell r="F8675">
            <v>0</v>
          </cell>
          <cell r="G8675">
            <v>275</v>
          </cell>
          <cell r="H8675">
            <v>0</v>
          </cell>
        </row>
        <row r="8676">
          <cell r="D8676" t="str">
            <v>Furnitures</v>
          </cell>
          <cell r="F8676">
            <v>0</v>
          </cell>
          <cell r="G8676">
            <v>275</v>
          </cell>
          <cell r="H8676">
            <v>0</v>
          </cell>
        </row>
        <row r="8677">
          <cell r="D8677" t="str">
            <v>Furnitures</v>
          </cell>
          <cell r="F8677">
            <v>0</v>
          </cell>
          <cell r="G8677">
            <v>275</v>
          </cell>
          <cell r="H8677">
            <v>0</v>
          </cell>
        </row>
        <row r="8678">
          <cell r="D8678" t="str">
            <v>Furnitures</v>
          </cell>
          <cell r="F8678">
            <v>0</v>
          </cell>
          <cell r="G8678">
            <v>275</v>
          </cell>
          <cell r="H8678">
            <v>0</v>
          </cell>
        </row>
        <row r="8679">
          <cell r="D8679" t="str">
            <v>Furnitures</v>
          </cell>
          <cell r="F8679">
            <v>0</v>
          </cell>
          <cell r="G8679">
            <v>275</v>
          </cell>
          <cell r="H8679">
            <v>0</v>
          </cell>
        </row>
        <row r="8680">
          <cell r="D8680" t="str">
            <v>Furnitures</v>
          </cell>
          <cell r="F8680">
            <v>0</v>
          </cell>
          <cell r="G8680">
            <v>275</v>
          </cell>
          <cell r="H8680">
            <v>0</v>
          </cell>
        </row>
        <row r="8681">
          <cell r="D8681" t="str">
            <v>Furnitures</v>
          </cell>
          <cell r="F8681">
            <v>0</v>
          </cell>
          <cell r="G8681">
            <v>275</v>
          </cell>
          <cell r="H8681">
            <v>0</v>
          </cell>
        </row>
        <row r="8682">
          <cell r="D8682" t="str">
            <v>Furnitures</v>
          </cell>
          <cell r="F8682">
            <v>0</v>
          </cell>
          <cell r="G8682">
            <v>275</v>
          </cell>
          <cell r="H8682">
            <v>0</v>
          </cell>
        </row>
        <row r="8683">
          <cell r="D8683" t="str">
            <v>Furnitures</v>
          </cell>
          <cell r="F8683">
            <v>0</v>
          </cell>
          <cell r="G8683">
            <v>275</v>
          </cell>
          <cell r="H8683">
            <v>0</v>
          </cell>
        </row>
        <row r="8684">
          <cell r="D8684" t="str">
            <v>Furnitures</v>
          </cell>
          <cell r="F8684">
            <v>0</v>
          </cell>
          <cell r="G8684">
            <v>275</v>
          </cell>
          <cell r="H8684">
            <v>0</v>
          </cell>
        </row>
        <row r="8685">
          <cell r="D8685" t="str">
            <v>Furnitures</v>
          </cell>
          <cell r="F8685">
            <v>0</v>
          </cell>
          <cell r="G8685">
            <v>275</v>
          </cell>
          <cell r="H8685">
            <v>0</v>
          </cell>
        </row>
        <row r="8686">
          <cell r="D8686" t="str">
            <v>Furnitures</v>
          </cell>
          <cell r="F8686">
            <v>0</v>
          </cell>
          <cell r="G8686">
            <v>275</v>
          </cell>
          <cell r="H8686">
            <v>0</v>
          </cell>
        </row>
        <row r="8687">
          <cell r="D8687" t="str">
            <v>Furnitures</v>
          </cell>
          <cell r="F8687">
            <v>0</v>
          </cell>
          <cell r="G8687">
            <v>275</v>
          </cell>
          <cell r="H8687">
            <v>0</v>
          </cell>
        </row>
        <row r="8688">
          <cell r="D8688" t="str">
            <v>Furnitures</v>
          </cell>
          <cell r="F8688">
            <v>0</v>
          </cell>
          <cell r="G8688">
            <v>275</v>
          </cell>
          <cell r="H8688">
            <v>0</v>
          </cell>
        </row>
        <row r="8689">
          <cell r="D8689" t="str">
            <v>Furnitures</v>
          </cell>
          <cell r="F8689">
            <v>0</v>
          </cell>
          <cell r="G8689">
            <v>275</v>
          </cell>
          <cell r="H8689">
            <v>0</v>
          </cell>
        </row>
        <row r="8690">
          <cell r="D8690" t="str">
            <v>Furnitures</v>
          </cell>
          <cell r="F8690">
            <v>0</v>
          </cell>
          <cell r="G8690">
            <v>275</v>
          </cell>
          <cell r="H8690">
            <v>0</v>
          </cell>
        </row>
        <row r="8691">
          <cell r="D8691" t="str">
            <v>Furnitures</v>
          </cell>
          <cell r="F8691">
            <v>0</v>
          </cell>
          <cell r="G8691">
            <v>275</v>
          </cell>
          <cell r="H8691">
            <v>0</v>
          </cell>
        </row>
        <row r="8692">
          <cell r="D8692" t="str">
            <v>Furnitures</v>
          </cell>
          <cell r="F8692">
            <v>0</v>
          </cell>
          <cell r="G8692">
            <v>275</v>
          </cell>
          <cell r="H8692">
            <v>0</v>
          </cell>
        </row>
        <row r="8693">
          <cell r="D8693" t="str">
            <v>Furnitures</v>
          </cell>
          <cell r="F8693">
            <v>0</v>
          </cell>
          <cell r="G8693">
            <v>275</v>
          </cell>
          <cell r="H8693">
            <v>0</v>
          </cell>
        </row>
        <row r="8694">
          <cell r="D8694" t="str">
            <v>Furnitures</v>
          </cell>
          <cell r="F8694">
            <v>0</v>
          </cell>
          <cell r="G8694">
            <v>275</v>
          </cell>
          <cell r="H8694">
            <v>0</v>
          </cell>
        </row>
        <row r="8695">
          <cell r="D8695" t="str">
            <v>Furnitures</v>
          </cell>
          <cell r="F8695">
            <v>0</v>
          </cell>
          <cell r="G8695">
            <v>275</v>
          </cell>
          <cell r="H8695">
            <v>0</v>
          </cell>
        </row>
        <row r="8696">
          <cell r="D8696" t="str">
            <v>Furnitures</v>
          </cell>
          <cell r="F8696">
            <v>0</v>
          </cell>
          <cell r="G8696">
            <v>275</v>
          </cell>
          <cell r="H8696">
            <v>0</v>
          </cell>
        </row>
        <row r="8697">
          <cell r="D8697" t="str">
            <v>Furnitures</v>
          </cell>
          <cell r="F8697">
            <v>0</v>
          </cell>
          <cell r="G8697">
            <v>275</v>
          </cell>
          <cell r="H8697">
            <v>0</v>
          </cell>
        </row>
        <row r="8698">
          <cell r="D8698" t="str">
            <v>Furnitures</v>
          </cell>
          <cell r="F8698">
            <v>0</v>
          </cell>
          <cell r="G8698">
            <v>275</v>
          </cell>
          <cell r="H8698">
            <v>0</v>
          </cell>
        </row>
        <row r="8699">
          <cell r="D8699" t="str">
            <v>Furnitures</v>
          </cell>
          <cell r="F8699">
            <v>0</v>
          </cell>
          <cell r="G8699">
            <v>275</v>
          </cell>
          <cell r="H8699">
            <v>0</v>
          </cell>
        </row>
        <row r="8700">
          <cell r="D8700" t="str">
            <v>Furnitures</v>
          </cell>
          <cell r="F8700">
            <v>0</v>
          </cell>
          <cell r="G8700">
            <v>275</v>
          </cell>
          <cell r="H8700">
            <v>0</v>
          </cell>
        </row>
        <row r="8701">
          <cell r="D8701" t="str">
            <v>Furnitures</v>
          </cell>
          <cell r="F8701">
            <v>0</v>
          </cell>
          <cell r="G8701">
            <v>275</v>
          </cell>
          <cell r="H8701">
            <v>0</v>
          </cell>
        </row>
        <row r="8702">
          <cell r="D8702" t="str">
            <v>Furnitures</v>
          </cell>
          <cell r="F8702">
            <v>0</v>
          </cell>
          <cell r="G8702">
            <v>275</v>
          </cell>
          <cell r="H8702">
            <v>0</v>
          </cell>
        </row>
        <row r="8703">
          <cell r="D8703" t="str">
            <v>Furnitures</v>
          </cell>
          <cell r="F8703">
            <v>0</v>
          </cell>
          <cell r="G8703">
            <v>275</v>
          </cell>
          <cell r="H8703">
            <v>0</v>
          </cell>
        </row>
        <row r="8704">
          <cell r="D8704" t="str">
            <v>Furnitures</v>
          </cell>
          <cell r="F8704">
            <v>0</v>
          </cell>
          <cell r="G8704">
            <v>275</v>
          </cell>
          <cell r="H8704">
            <v>0</v>
          </cell>
        </row>
        <row r="8705">
          <cell r="D8705" t="str">
            <v>Furnitures</v>
          </cell>
          <cell r="F8705">
            <v>0</v>
          </cell>
          <cell r="G8705">
            <v>275</v>
          </cell>
          <cell r="H8705">
            <v>0</v>
          </cell>
        </row>
        <row r="8706">
          <cell r="D8706" t="str">
            <v>Furnitures</v>
          </cell>
          <cell r="F8706">
            <v>0</v>
          </cell>
          <cell r="G8706">
            <v>275</v>
          </cell>
          <cell r="H8706">
            <v>0</v>
          </cell>
        </row>
        <row r="8707">
          <cell r="D8707" t="str">
            <v>Furnitures</v>
          </cell>
          <cell r="F8707">
            <v>0</v>
          </cell>
          <cell r="G8707">
            <v>275</v>
          </cell>
          <cell r="H8707">
            <v>0</v>
          </cell>
        </row>
        <row r="8708">
          <cell r="D8708" t="str">
            <v>Furnitures</v>
          </cell>
          <cell r="F8708">
            <v>0</v>
          </cell>
          <cell r="G8708">
            <v>275</v>
          </cell>
          <cell r="H8708">
            <v>0</v>
          </cell>
        </row>
        <row r="8709">
          <cell r="D8709" t="str">
            <v>Furnitures</v>
          </cell>
          <cell r="F8709">
            <v>0</v>
          </cell>
          <cell r="G8709">
            <v>275</v>
          </cell>
          <cell r="H8709">
            <v>0</v>
          </cell>
        </row>
        <row r="8710">
          <cell r="D8710" t="str">
            <v>Furnitures</v>
          </cell>
          <cell r="F8710">
            <v>0</v>
          </cell>
          <cell r="G8710">
            <v>275</v>
          </cell>
          <cell r="H8710">
            <v>0</v>
          </cell>
        </row>
        <row r="8711">
          <cell r="D8711" t="str">
            <v>Furnitures</v>
          </cell>
          <cell r="F8711">
            <v>0</v>
          </cell>
          <cell r="G8711">
            <v>275</v>
          </cell>
          <cell r="H8711">
            <v>0</v>
          </cell>
        </row>
        <row r="8712">
          <cell r="D8712" t="str">
            <v>Furnitures</v>
          </cell>
          <cell r="F8712">
            <v>0</v>
          </cell>
          <cell r="G8712">
            <v>275</v>
          </cell>
          <cell r="H8712">
            <v>0</v>
          </cell>
        </row>
        <row r="8713">
          <cell r="D8713" t="str">
            <v>Furnitures</v>
          </cell>
          <cell r="F8713">
            <v>0</v>
          </cell>
          <cell r="G8713">
            <v>275</v>
          </cell>
          <cell r="H8713">
            <v>0</v>
          </cell>
        </row>
        <row r="8714">
          <cell r="D8714" t="str">
            <v>Furnitures</v>
          </cell>
          <cell r="F8714">
            <v>0</v>
          </cell>
          <cell r="G8714">
            <v>275</v>
          </cell>
          <cell r="H8714">
            <v>0</v>
          </cell>
        </row>
        <row r="8715">
          <cell r="D8715" t="str">
            <v>Furnitures</v>
          </cell>
          <cell r="F8715">
            <v>0</v>
          </cell>
          <cell r="G8715">
            <v>275</v>
          </cell>
          <cell r="H8715">
            <v>0</v>
          </cell>
        </row>
        <row r="8716">
          <cell r="D8716" t="str">
            <v>Furnitures</v>
          </cell>
          <cell r="F8716">
            <v>0</v>
          </cell>
          <cell r="G8716">
            <v>275</v>
          </cell>
          <cell r="H8716">
            <v>0</v>
          </cell>
        </row>
        <row r="8717">
          <cell r="D8717" t="str">
            <v>Furnitures</v>
          </cell>
          <cell r="F8717">
            <v>0</v>
          </cell>
          <cell r="G8717">
            <v>275</v>
          </cell>
          <cell r="H8717">
            <v>0</v>
          </cell>
        </row>
        <row r="8718">
          <cell r="D8718" t="str">
            <v>Furnitures</v>
          </cell>
          <cell r="F8718">
            <v>0</v>
          </cell>
          <cell r="G8718">
            <v>275</v>
          </cell>
          <cell r="H8718">
            <v>0</v>
          </cell>
        </row>
        <row r="8719">
          <cell r="D8719" t="str">
            <v>Furnitures</v>
          </cell>
          <cell r="F8719">
            <v>0</v>
          </cell>
          <cell r="G8719">
            <v>275</v>
          </cell>
          <cell r="H8719">
            <v>0</v>
          </cell>
        </row>
        <row r="8720">
          <cell r="D8720" t="str">
            <v>Furnitures</v>
          </cell>
          <cell r="F8720">
            <v>0</v>
          </cell>
          <cell r="G8720">
            <v>275</v>
          </cell>
          <cell r="H8720">
            <v>0</v>
          </cell>
        </row>
        <row r="8721">
          <cell r="D8721" t="str">
            <v>Furnitures</v>
          </cell>
          <cell r="F8721">
            <v>0</v>
          </cell>
          <cell r="G8721">
            <v>275</v>
          </cell>
          <cell r="H8721">
            <v>0</v>
          </cell>
        </row>
        <row r="8722">
          <cell r="D8722" t="str">
            <v>Furnitures</v>
          </cell>
          <cell r="F8722">
            <v>0</v>
          </cell>
          <cell r="G8722">
            <v>275</v>
          </cell>
          <cell r="H8722">
            <v>0</v>
          </cell>
        </row>
        <row r="8723">
          <cell r="D8723" t="str">
            <v>Furnitures</v>
          </cell>
          <cell r="F8723">
            <v>0</v>
          </cell>
          <cell r="G8723">
            <v>275</v>
          </cell>
          <cell r="H8723">
            <v>0</v>
          </cell>
        </row>
        <row r="8724">
          <cell r="D8724" t="str">
            <v>Furnitures</v>
          </cell>
          <cell r="F8724">
            <v>0</v>
          </cell>
          <cell r="G8724">
            <v>275</v>
          </cell>
          <cell r="H8724">
            <v>0</v>
          </cell>
        </row>
        <row r="8725">
          <cell r="D8725" t="str">
            <v>Furnitures</v>
          </cell>
          <cell r="F8725">
            <v>0</v>
          </cell>
          <cell r="G8725">
            <v>275</v>
          </cell>
          <cell r="H8725">
            <v>0</v>
          </cell>
        </row>
        <row r="8726">
          <cell r="D8726" t="str">
            <v>Furnitures</v>
          </cell>
          <cell r="F8726">
            <v>0</v>
          </cell>
          <cell r="G8726">
            <v>275</v>
          </cell>
          <cell r="H8726">
            <v>0</v>
          </cell>
        </row>
        <row r="8727">
          <cell r="D8727" t="str">
            <v>Furnitures</v>
          </cell>
          <cell r="F8727">
            <v>0</v>
          </cell>
          <cell r="G8727">
            <v>275</v>
          </cell>
          <cell r="H8727">
            <v>0</v>
          </cell>
        </row>
        <row r="8728">
          <cell r="D8728" t="str">
            <v>Furnitures</v>
          </cell>
          <cell r="F8728">
            <v>0</v>
          </cell>
          <cell r="G8728">
            <v>275</v>
          </cell>
          <cell r="H8728">
            <v>0</v>
          </cell>
        </row>
        <row r="8729">
          <cell r="D8729" t="str">
            <v>Furnitures</v>
          </cell>
          <cell r="F8729">
            <v>0</v>
          </cell>
          <cell r="G8729">
            <v>275</v>
          </cell>
          <cell r="H8729">
            <v>0</v>
          </cell>
        </row>
        <row r="8730">
          <cell r="D8730" t="str">
            <v>Furnitures</v>
          </cell>
          <cell r="F8730">
            <v>0</v>
          </cell>
          <cell r="G8730">
            <v>275</v>
          </cell>
          <cell r="H8730">
            <v>0</v>
          </cell>
        </row>
        <row r="8731">
          <cell r="D8731" t="str">
            <v>Furnitures</v>
          </cell>
          <cell r="F8731">
            <v>0</v>
          </cell>
          <cell r="G8731">
            <v>275</v>
          </cell>
          <cell r="H8731">
            <v>0</v>
          </cell>
        </row>
        <row r="8732">
          <cell r="D8732" t="str">
            <v>Furnitures</v>
          </cell>
          <cell r="F8732">
            <v>0</v>
          </cell>
          <cell r="G8732">
            <v>275</v>
          </cell>
          <cell r="H8732">
            <v>0</v>
          </cell>
        </row>
        <row r="8733">
          <cell r="D8733" t="str">
            <v>Furnitures</v>
          </cell>
          <cell r="F8733">
            <v>0</v>
          </cell>
          <cell r="G8733">
            <v>275</v>
          </cell>
          <cell r="H8733">
            <v>0</v>
          </cell>
        </row>
        <row r="8734">
          <cell r="D8734" t="str">
            <v>Furnitures</v>
          </cell>
          <cell r="F8734">
            <v>0</v>
          </cell>
          <cell r="G8734">
            <v>275</v>
          </cell>
          <cell r="H8734">
            <v>0</v>
          </cell>
        </row>
        <row r="8735">
          <cell r="D8735" t="str">
            <v>Furnitures</v>
          </cell>
          <cell r="F8735">
            <v>0</v>
          </cell>
          <cell r="G8735">
            <v>275</v>
          </cell>
          <cell r="H8735">
            <v>0</v>
          </cell>
        </row>
        <row r="8736">
          <cell r="D8736" t="str">
            <v>Furnitures</v>
          </cell>
          <cell r="F8736">
            <v>0</v>
          </cell>
          <cell r="G8736">
            <v>275</v>
          </cell>
          <cell r="H8736">
            <v>0</v>
          </cell>
        </row>
        <row r="8737">
          <cell r="D8737" t="str">
            <v>Furnitures</v>
          </cell>
          <cell r="F8737">
            <v>0</v>
          </cell>
          <cell r="G8737">
            <v>275</v>
          </cell>
          <cell r="H8737">
            <v>0</v>
          </cell>
        </row>
        <row r="8738">
          <cell r="D8738" t="str">
            <v>Furnitures</v>
          </cell>
          <cell r="F8738">
            <v>0</v>
          </cell>
          <cell r="G8738">
            <v>275</v>
          </cell>
          <cell r="H8738">
            <v>0</v>
          </cell>
        </row>
        <row r="8739">
          <cell r="D8739" t="str">
            <v>Furnitures</v>
          </cell>
          <cell r="F8739">
            <v>0</v>
          </cell>
          <cell r="G8739">
            <v>275</v>
          </cell>
          <cell r="H8739">
            <v>0</v>
          </cell>
        </row>
        <row r="8740">
          <cell r="D8740" t="str">
            <v>Furnitures</v>
          </cell>
          <cell r="F8740">
            <v>0</v>
          </cell>
          <cell r="G8740">
            <v>275</v>
          </cell>
          <cell r="H8740">
            <v>0</v>
          </cell>
        </row>
        <row r="8741">
          <cell r="D8741" t="str">
            <v>Furnitures</v>
          </cell>
          <cell r="F8741">
            <v>0</v>
          </cell>
          <cell r="G8741">
            <v>275</v>
          </cell>
          <cell r="H8741">
            <v>0</v>
          </cell>
        </row>
        <row r="8742">
          <cell r="D8742" t="str">
            <v>Furnitures</v>
          </cell>
          <cell r="F8742">
            <v>0</v>
          </cell>
          <cell r="G8742">
            <v>275</v>
          </cell>
          <cell r="H8742">
            <v>0</v>
          </cell>
        </row>
        <row r="8743">
          <cell r="D8743" t="str">
            <v>Furnitures</v>
          </cell>
          <cell r="F8743">
            <v>0</v>
          </cell>
          <cell r="G8743">
            <v>275</v>
          </cell>
          <cell r="H8743">
            <v>0</v>
          </cell>
        </row>
        <row r="8744">
          <cell r="D8744" t="str">
            <v>Furnitures</v>
          </cell>
          <cell r="F8744">
            <v>0</v>
          </cell>
          <cell r="G8744">
            <v>275</v>
          </cell>
          <cell r="H8744">
            <v>0</v>
          </cell>
        </row>
        <row r="8745">
          <cell r="D8745" t="str">
            <v>Furnitures</v>
          </cell>
          <cell r="F8745">
            <v>0</v>
          </cell>
          <cell r="G8745">
            <v>275</v>
          </cell>
          <cell r="H8745">
            <v>0</v>
          </cell>
        </row>
        <row r="8746">
          <cell r="D8746" t="str">
            <v>Furnitures</v>
          </cell>
          <cell r="F8746">
            <v>0</v>
          </cell>
          <cell r="G8746">
            <v>275</v>
          </cell>
          <cell r="H8746">
            <v>0</v>
          </cell>
        </row>
        <row r="8747">
          <cell r="D8747" t="str">
            <v>Furnitures</v>
          </cell>
          <cell r="F8747">
            <v>0</v>
          </cell>
          <cell r="G8747">
            <v>275</v>
          </cell>
          <cell r="H8747">
            <v>0</v>
          </cell>
        </row>
        <row r="8748">
          <cell r="D8748" t="str">
            <v>Furnitures</v>
          </cell>
          <cell r="F8748">
            <v>0</v>
          </cell>
          <cell r="G8748">
            <v>275</v>
          </cell>
          <cell r="H8748">
            <v>0</v>
          </cell>
        </row>
        <row r="8749">
          <cell r="D8749" t="str">
            <v>Furnitures</v>
          </cell>
          <cell r="F8749">
            <v>0</v>
          </cell>
          <cell r="G8749">
            <v>275</v>
          </cell>
          <cell r="H8749">
            <v>0</v>
          </cell>
        </row>
        <row r="8750">
          <cell r="D8750" t="str">
            <v>Furnitures</v>
          </cell>
          <cell r="F8750">
            <v>0</v>
          </cell>
          <cell r="G8750">
            <v>275</v>
          </cell>
          <cell r="H8750">
            <v>0</v>
          </cell>
        </row>
        <row r="8751">
          <cell r="D8751" t="str">
            <v>Furnitures</v>
          </cell>
          <cell r="F8751">
            <v>0</v>
          </cell>
          <cell r="G8751">
            <v>275</v>
          </cell>
          <cell r="H8751">
            <v>0</v>
          </cell>
        </row>
        <row r="8752">
          <cell r="D8752" t="str">
            <v>Furnitures</v>
          </cell>
          <cell r="F8752">
            <v>0</v>
          </cell>
          <cell r="G8752">
            <v>275</v>
          </cell>
          <cell r="H8752">
            <v>0</v>
          </cell>
        </row>
        <row r="8753">
          <cell r="D8753" t="str">
            <v>Furnitures</v>
          </cell>
          <cell r="F8753">
            <v>0</v>
          </cell>
          <cell r="G8753">
            <v>275</v>
          </cell>
          <cell r="H8753">
            <v>0</v>
          </cell>
        </row>
        <row r="8754">
          <cell r="D8754" t="str">
            <v>Furnitures</v>
          </cell>
          <cell r="F8754">
            <v>0</v>
          </cell>
          <cell r="G8754">
            <v>275</v>
          </cell>
          <cell r="H8754">
            <v>0</v>
          </cell>
        </row>
        <row r="8755">
          <cell r="D8755" t="str">
            <v>Furnitures</v>
          </cell>
          <cell r="F8755">
            <v>0</v>
          </cell>
          <cell r="G8755">
            <v>275</v>
          </cell>
          <cell r="H8755">
            <v>0</v>
          </cell>
        </row>
        <row r="8756">
          <cell r="D8756" t="str">
            <v>Furnitures</v>
          </cell>
          <cell r="F8756">
            <v>0</v>
          </cell>
          <cell r="G8756">
            <v>275</v>
          </cell>
          <cell r="H8756">
            <v>0</v>
          </cell>
        </row>
        <row r="8757">
          <cell r="D8757" t="str">
            <v>Furnitures</v>
          </cell>
          <cell r="F8757">
            <v>0</v>
          </cell>
          <cell r="G8757">
            <v>275</v>
          </cell>
          <cell r="H8757">
            <v>0</v>
          </cell>
        </row>
        <row r="8758">
          <cell r="D8758" t="str">
            <v>Furnitures</v>
          </cell>
          <cell r="F8758">
            <v>0</v>
          </cell>
          <cell r="G8758">
            <v>275</v>
          </cell>
          <cell r="H8758">
            <v>0</v>
          </cell>
        </row>
        <row r="8759">
          <cell r="D8759" t="str">
            <v>Furnitures</v>
          </cell>
          <cell r="F8759">
            <v>0</v>
          </cell>
          <cell r="G8759">
            <v>275</v>
          </cell>
          <cell r="H8759">
            <v>0</v>
          </cell>
        </row>
        <row r="8760">
          <cell r="D8760" t="str">
            <v>Furnitures</v>
          </cell>
          <cell r="F8760">
            <v>0</v>
          </cell>
          <cell r="G8760">
            <v>275</v>
          </cell>
          <cell r="H8760">
            <v>0</v>
          </cell>
        </row>
        <row r="8761">
          <cell r="D8761" t="str">
            <v>Furnitures</v>
          </cell>
          <cell r="F8761">
            <v>0</v>
          </cell>
          <cell r="G8761">
            <v>275</v>
          </cell>
          <cell r="H8761">
            <v>0</v>
          </cell>
        </row>
        <row r="8762">
          <cell r="D8762" t="str">
            <v>Furnitures</v>
          </cell>
          <cell r="F8762">
            <v>0</v>
          </cell>
          <cell r="G8762">
            <v>275</v>
          </cell>
          <cell r="H8762">
            <v>0</v>
          </cell>
        </row>
        <row r="8763">
          <cell r="D8763" t="str">
            <v>Furnitures</v>
          </cell>
          <cell r="F8763">
            <v>0</v>
          </cell>
          <cell r="G8763">
            <v>275</v>
          </cell>
          <cell r="H8763">
            <v>0</v>
          </cell>
        </row>
        <row r="8764">
          <cell r="D8764" t="str">
            <v>Furnitures</v>
          </cell>
          <cell r="F8764">
            <v>0</v>
          </cell>
          <cell r="G8764">
            <v>275</v>
          </cell>
          <cell r="H8764">
            <v>0</v>
          </cell>
        </row>
        <row r="8765">
          <cell r="D8765" t="str">
            <v>Furnitures</v>
          </cell>
          <cell r="F8765">
            <v>0</v>
          </cell>
          <cell r="G8765">
            <v>275</v>
          </cell>
          <cell r="H8765">
            <v>0</v>
          </cell>
        </row>
        <row r="8766">
          <cell r="D8766" t="str">
            <v>Furnitures</v>
          </cell>
          <cell r="F8766">
            <v>0</v>
          </cell>
          <cell r="G8766">
            <v>275</v>
          </cell>
          <cell r="H8766">
            <v>0</v>
          </cell>
        </row>
        <row r="8767">
          <cell r="D8767" t="str">
            <v>Furnitures</v>
          </cell>
          <cell r="F8767">
            <v>0</v>
          </cell>
          <cell r="G8767">
            <v>275</v>
          </cell>
          <cell r="H8767">
            <v>0</v>
          </cell>
        </row>
        <row r="8768">
          <cell r="D8768" t="str">
            <v>Furnitures</v>
          </cell>
          <cell r="F8768">
            <v>0</v>
          </cell>
          <cell r="G8768">
            <v>275</v>
          </cell>
          <cell r="H8768">
            <v>0</v>
          </cell>
        </row>
        <row r="8769">
          <cell r="D8769" t="str">
            <v>Furnitures</v>
          </cell>
          <cell r="F8769">
            <v>0</v>
          </cell>
          <cell r="G8769">
            <v>275</v>
          </cell>
          <cell r="H8769">
            <v>0</v>
          </cell>
        </row>
        <row r="8770">
          <cell r="D8770" t="str">
            <v>Furnitures</v>
          </cell>
          <cell r="F8770">
            <v>0</v>
          </cell>
          <cell r="G8770">
            <v>275</v>
          </cell>
          <cell r="H8770">
            <v>0</v>
          </cell>
        </row>
        <row r="8771">
          <cell r="D8771" t="str">
            <v>Furnitures</v>
          </cell>
          <cell r="F8771">
            <v>0</v>
          </cell>
          <cell r="G8771">
            <v>275</v>
          </cell>
          <cell r="H8771">
            <v>0</v>
          </cell>
        </row>
        <row r="8772">
          <cell r="D8772" t="str">
            <v>Furnitures</v>
          </cell>
          <cell r="F8772">
            <v>0</v>
          </cell>
          <cell r="G8772">
            <v>275</v>
          </cell>
          <cell r="H8772">
            <v>0</v>
          </cell>
        </row>
        <row r="8773">
          <cell r="D8773" t="str">
            <v>Furnitures</v>
          </cell>
          <cell r="F8773">
            <v>0</v>
          </cell>
          <cell r="G8773">
            <v>275</v>
          </cell>
          <cell r="H8773">
            <v>0</v>
          </cell>
        </row>
        <row r="8774">
          <cell r="D8774" t="str">
            <v>Furnitures</v>
          </cell>
          <cell r="F8774">
            <v>0</v>
          </cell>
          <cell r="G8774">
            <v>275</v>
          </cell>
          <cell r="H8774">
            <v>0</v>
          </cell>
        </row>
        <row r="8775">
          <cell r="D8775" t="str">
            <v>Furnitures</v>
          </cell>
          <cell r="F8775">
            <v>0</v>
          </cell>
          <cell r="G8775">
            <v>275</v>
          </cell>
          <cell r="H8775">
            <v>0</v>
          </cell>
        </row>
        <row r="8776">
          <cell r="D8776" t="str">
            <v>Furnitures</v>
          </cell>
          <cell r="F8776">
            <v>0</v>
          </cell>
          <cell r="G8776">
            <v>275</v>
          </cell>
          <cell r="H8776">
            <v>0</v>
          </cell>
        </row>
        <row r="8777">
          <cell r="D8777" t="str">
            <v>Furnitures</v>
          </cell>
          <cell r="F8777">
            <v>0</v>
          </cell>
          <cell r="G8777">
            <v>275</v>
          </cell>
          <cell r="H8777">
            <v>0</v>
          </cell>
        </row>
        <row r="8778">
          <cell r="D8778" t="str">
            <v>Furnitures</v>
          </cell>
          <cell r="F8778">
            <v>0</v>
          </cell>
          <cell r="G8778">
            <v>275</v>
          </cell>
          <cell r="H8778">
            <v>0</v>
          </cell>
        </row>
        <row r="8779">
          <cell r="D8779" t="str">
            <v>Furnitures</v>
          </cell>
          <cell r="F8779">
            <v>0</v>
          </cell>
          <cell r="G8779">
            <v>275</v>
          </cell>
          <cell r="H8779">
            <v>0</v>
          </cell>
        </row>
        <row r="8780">
          <cell r="D8780" t="str">
            <v>Furnitures</v>
          </cell>
          <cell r="F8780">
            <v>0</v>
          </cell>
          <cell r="G8780">
            <v>275</v>
          </cell>
          <cell r="H8780">
            <v>0</v>
          </cell>
        </row>
        <row r="8781">
          <cell r="D8781" t="str">
            <v>Furnitures</v>
          </cell>
          <cell r="F8781">
            <v>0</v>
          </cell>
          <cell r="G8781">
            <v>275</v>
          </cell>
          <cell r="H8781">
            <v>0</v>
          </cell>
        </row>
        <row r="8782">
          <cell r="D8782" t="str">
            <v>Furnitures</v>
          </cell>
          <cell r="F8782">
            <v>0</v>
          </cell>
          <cell r="G8782">
            <v>275</v>
          </cell>
          <cell r="H8782">
            <v>0</v>
          </cell>
        </row>
        <row r="8783">
          <cell r="D8783" t="str">
            <v>Furnitures</v>
          </cell>
          <cell r="F8783">
            <v>0</v>
          </cell>
          <cell r="G8783">
            <v>275</v>
          </cell>
          <cell r="H8783">
            <v>0</v>
          </cell>
        </row>
        <row r="8784">
          <cell r="D8784" t="str">
            <v>Furnitures</v>
          </cell>
          <cell r="F8784">
            <v>0</v>
          </cell>
          <cell r="G8784">
            <v>275</v>
          </cell>
          <cell r="H8784">
            <v>0</v>
          </cell>
        </row>
        <row r="8785">
          <cell r="D8785" t="str">
            <v>Furnitures</v>
          </cell>
          <cell r="F8785">
            <v>0</v>
          </cell>
          <cell r="G8785">
            <v>275</v>
          </cell>
          <cell r="H8785">
            <v>0</v>
          </cell>
        </row>
        <row r="8786">
          <cell r="D8786" t="str">
            <v>Furnitures</v>
          </cell>
          <cell r="F8786">
            <v>0</v>
          </cell>
          <cell r="G8786">
            <v>275</v>
          </cell>
          <cell r="H8786">
            <v>0</v>
          </cell>
        </row>
        <row r="8787">
          <cell r="D8787" t="str">
            <v>Furnitures</v>
          </cell>
          <cell r="F8787">
            <v>0</v>
          </cell>
          <cell r="G8787">
            <v>275</v>
          </cell>
          <cell r="H8787">
            <v>0</v>
          </cell>
        </row>
        <row r="8788">
          <cell r="D8788" t="str">
            <v>Furnitures</v>
          </cell>
          <cell r="F8788">
            <v>0</v>
          </cell>
          <cell r="G8788">
            <v>275</v>
          </cell>
          <cell r="H8788">
            <v>0</v>
          </cell>
        </row>
        <row r="8789">
          <cell r="D8789" t="str">
            <v>Furnitures</v>
          </cell>
          <cell r="F8789">
            <v>0</v>
          </cell>
          <cell r="G8789">
            <v>275</v>
          </cell>
          <cell r="H8789">
            <v>0</v>
          </cell>
        </row>
        <row r="8790">
          <cell r="D8790" t="str">
            <v>Furnitures</v>
          </cell>
          <cell r="F8790">
            <v>0</v>
          </cell>
          <cell r="G8790">
            <v>275</v>
          </cell>
          <cell r="H8790">
            <v>0</v>
          </cell>
        </row>
        <row r="8791">
          <cell r="D8791" t="str">
            <v>Furnitures</v>
          </cell>
          <cell r="F8791">
            <v>0</v>
          </cell>
          <cell r="G8791">
            <v>275</v>
          </cell>
          <cell r="H8791">
            <v>0</v>
          </cell>
        </row>
        <row r="8792">
          <cell r="D8792" t="str">
            <v>Furnitures</v>
          </cell>
          <cell r="F8792">
            <v>0</v>
          </cell>
          <cell r="G8792">
            <v>275</v>
          </cell>
          <cell r="H8792">
            <v>0</v>
          </cell>
        </row>
        <row r="8793">
          <cell r="D8793" t="str">
            <v>Furnitures</v>
          </cell>
          <cell r="F8793">
            <v>0</v>
          </cell>
          <cell r="G8793">
            <v>275</v>
          </cell>
          <cell r="H8793">
            <v>0</v>
          </cell>
        </row>
        <row r="8794">
          <cell r="D8794" t="str">
            <v>Furnitures</v>
          </cell>
          <cell r="F8794">
            <v>0</v>
          </cell>
          <cell r="G8794">
            <v>275</v>
          </cell>
          <cell r="H8794">
            <v>0</v>
          </cell>
        </row>
        <row r="8795">
          <cell r="D8795" t="str">
            <v>Furnitures</v>
          </cell>
          <cell r="F8795">
            <v>0</v>
          </cell>
          <cell r="G8795">
            <v>275</v>
          </cell>
          <cell r="H8795">
            <v>0</v>
          </cell>
        </row>
        <row r="8796">
          <cell r="D8796" t="str">
            <v>Furnitures</v>
          </cell>
          <cell r="F8796">
            <v>0</v>
          </cell>
          <cell r="G8796">
            <v>275</v>
          </cell>
          <cell r="H8796">
            <v>0</v>
          </cell>
        </row>
        <row r="8797">
          <cell r="D8797" t="str">
            <v>Furnitures</v>
          </cell>
          <cell r="F8797">
            <v>0</v>
          </cell>
          <cell r="G8797">
            <v>275</v>
          </cell>
          <cell r="H8797">
            <v>0</v>
          </cell>
        </row>
        <row r="8798">
          <cell r="D8798" t="str">
            <v>Furnitures</v>
          </cell>
          <cell r="F8798">
            <v>0</v>
          </cell>
          <cell r="G8798">
            <v>275</v>
          </cell>
          <cell r="H8798">
            <v>0</v>
          </cell>
        </row>
        <row r="8799">
          <cell r="D8799" t="str">
            <v>Furnitures</v>
          </cell>
          <cell r="F8799">
            <v>0</v>
          </cell>
          <cell r="G8799">
            <v>275</v>
          </cell>
          <cell r="H8799">
            <v>0</v>
          </cell>
        </row>
        <row r="8800">
          <cell r="D8800" t="str">
            <v>Furnitures</v>
          </cell>
          <cell r="F8800">
            <v>0</v>
          </cell>
          <cell r="G8800">
            <v>275</v>
          </cell>
          <cell r="H8800">
            <v>0</v>
          </cell>
        </row>
        <row r="8801">
          <cell r="D8801" t="str">
            <v>Furnitures</v>
          </cell>
          <cell r="F8801">
            <v>0</v>
          </cell>
          <cell r="G8801">
            <v>275</v>
          </cell>
          <cell r="H8801">
            <v>0</v>
          </cell>
        </row>
        <row r="8802">
          <cell r="D8802" t="str">
            <v>Furnitures</v>
          </cell>
          <cell r="F8802">
            <v>0</v>
          </cell>
          <cell r="G8802">
            <v>275</v>
          </cell>
          <cell r="H8802">
            <v>0</v>
          </cell>
        </row>
        <row r="8803">
          <cell r="D8803" t="str">
            <v>Furnitures</v>
          </cell>
          <cell r="F8803">
            <v>0</v>
          </cell>
          <cell r="G8803">
            <v>275</v>
          </cell>
          <cell r="H8803">
            <v>0</v>
          </cell>
        </row>
        <row r="8804">
          <cell r="D8804" t="str">
            <v>Furnitures</v>
          </cell>
          <cell r="F8804">
            <v>0</v>
          </cell>
          <cell r="G8804">
            <v>275</v>
          </cell>
          <cell r="H8804">
            <v>0</v>
          </cell>
        </row>
        <row r="8805">
          <cell r="D8805" t="str">
            <v>Furnitures</v>
          </cell>
          <cell r="F8805">
            <v>0</v>
          </cell>
          <cell r="G8805">
            <v>275</v>
          </cell>
          <cell r="H8805">
            <v>0</v>
          </cell>
        </row>
        <row r="8806">
          <cell r="D8806" t="str">
            <v>Furnitures</v>
          </cell>
          <cell r="F8806">
            <v>0</v>
          </cell>
          <cell r="G8806">
            <v>275</v>
          </cell>
          <cell r="H8806">
            <v>0</v>
          </cell>
        </row>
        <row r="8807">
          <cell r="D8807" t="str">
            <v>Furnitures</v>
          </cell>
          <cell r="F8807">
            <v>0</v>
          </cell>
          <cell r="G8807">
            <v>275</v>
          </cell>
          <cell r="H8807">
            <v>0</v>
          </cell>
        </row>
        <row r="8808">
          <cell r="D8808" t="str">
            <v>Furnitures</v>
          </cell>
          <cell r="F8808">
            <v>0</v>
          </cell>
          <cell r="G8808">
            <v>275</v>
          </cell>
          <cell r="H8808">
            <v>0</v>
          </cell>
        </row>
        <row r="8809">
          <cell r="D8809" t="str">
            <v>Furnitures</v>
          </cell>
          <cell r="F8809">
            <v>0</v>
          </cell>
          <cell r="G8809">
            <v>275</v>
          </cell>
          <cell r="H8809">
            <v>0</v>
          </cell>
        </row>
        <row r="8810">
          <cell r="D8810" t="str">
            <v>Furnitures</v>
          </cell>
          <cell r="F8810">
            <v>0</v>
          </cell>
          <cell r="G8810">
            <v>275</v>
          </cell>
          <cell r="H8810">
            <v>0</v>
          </cell>
        </row>
        <row r="8811">
          <cell r="D8811" t="str">
            <v>Furnitures</v>
          </cell>
          <cell r="F8811">
            <v>0</v>
          </cell>
          <cell r="G8811">
            <v>275</v>
          </cell>
          <cell r="H8811">
            <v>0</v>
          </cell>
        </row>
        <row r="8812">
          <cell r="D8812" t="str">
            <v>Furnitures</v>
          </cell>
          <cell r="F8812">
            <v>0</v>
          </cell>
          <cell r="G8812">
            <v>275</v>
          </cell>
          <cell r="H8812">
            <v>0</v>
          </cell>
        </row>
        <row r="8813">
          <cell r="D8813" t="str">
            <v>Furnitures</v>
          </cell>
          <cell r="F8813">
            <v>0</v>
          </cell>
          <cell r="G8813">
            <v>275</v>
          </cell>
          <cell r="H8813">
            <v>0</v>
          </cell>
        </row>
        <row r="8814">
          <cell r="D8814" t="str">
            <v>Furnitures</v>
          </cell>
          <cell r="F8814">
            <v>0</v>
          </cell>
          <cell r="G8814">
            <v>275</v>
          </cell>
          <cell r="H8814">
            <v>0</v>
          </cell>
        </row>
        <row r="8815">
          <cell r="D8815" t="str">
            <v>Furnitures</v>
          </cell>
          <cell r="F8815">
            <v>0</v>
          </cell>
          <cell r="G8815">
            <v>275</v>
          </cell>
          <cell r="H8815">
            <v>0</v>
          </cell>
        </row>
        <row r="8816">
          <cell r="D8816" t="str">
            <v>Furnitures</v>
          </cell>
          <cell r="F8816">
            <v>0</v>
          </cell>
          <cell r="G8816">
            <v>275</v>
          </cell>
          <cell r="H8816">
            <v>0</v>
          </cell>
        </row>
        <row r="8817">
          <cell r="D8817" t="str">
            <v>Furnitures</v>
          </cell>
          <cell r="F8817">
            <v>0</v>
          </cell>
          <cell r="G8817">
            <v>275</v>
          </cell>
          <cell r="H8817">
            <v>0</v>
          </cell>
        </row>
        <row r="8818">
          <cell r="D8818" t="str">
            <v>Furnitures</v>
          </cell>
          <cell r="F8818">
            <v>0</v>
          </cell>
          <cell r="G8818">
            <v>275</v>
          </cell>
          <cell r="H8818">
            <v>0</v>
          </cell>
        </row>
        <row r="8819">
          <cell r="D8819" t="str">
            <v>Furnitures</v>
          </cell>
          <cell r="F8819">
            <v>0</v>
          </cell>
          <cell r="G8819">
            <v>275</v>
          </cell>
          <cell r="H8819">
            <v>0</v>
          </cell>
        </row>
        <row r="8820">
          <cell r="D8820" t="str">
            <v>Furnitures</v>
          </cell>
          <cell r="F8820">
            <v>0</v>
          </cell>
          <cell r="G8820">
            <v>275</v>
          </cell>
          <cell r="H8820">
            <v>0</v>
          </cell>
        </row>
        <row r="8821">
          <cell r="D8821" t="str">
            <v>Furnitures</v>
          </cell>
          <cell r="F8821">
            <v>0</v>
          </cell>
          <cell r="G8821">
            <v>275</v>
          </cell>
          <cell r="H8821">
            <v>0</v>
          </cell>
        </row>
        <row r="8822">
          <cell r="D8822" t="str">
            <v>Furnitures</v>
          </cell>
          <cell r="F8822">
            <v>0</v>
          </cell>
          <cell r="G8822">
            <v>275</v>
          </cell>
          <cell r="H8822">
            <v>0</v>
          </cell>
        </row>
        <row r="8823">
          <cell r="D8823" t="str">
            <v>Furnitures</v>
          </cell>
          <cell r="F8823">
            <v>0</v>
          </cell>
          <cell r="G8823">
            <v>275</v>
          </cell>
          <cell r="H8823">
            <v>0</v>
          </cell>
        </row>
        <row r="8824">
          <cell r="D8824" t="str">
            <v>Furnitures</v>
          </cell>
          <cell r="F8824">
            <v>0</v>
          </cell>
          <cell r="G8824">
            <v>275</v>
          </cell>
          <cell r="H8824">
            <v>0</v>
          </cell>
        </row>
        <row r="8825">
          <cell r="D8825" t="str">
            <v>Furnitures</v>
          </cell>
          <cell r="F8825">
            <v>0</v>
          </cell>
          <cell r="G8825">
            <v>275</v>
          </cell>
          <cell r="H8825">
            <v>0</v>
          </cell>
        </row>
        <row r="8826">
          <cell r="D8826" t="str">
            <v>Furnitures</v>
          </cell>
          <cell r="F8826">
            <v>0</v>
          </cell>
          <cell r="G8826">
            <v>275</v>
          </cell>
          <cell r="H8826">
            <v>0</v>
          </cell>
        </row>
        <row r="8827">
          <cell r="D8827" t="str">
            <v>Furnitures</v>
          </cell>
          <cell r="F8827">
            <v>0</v>
          </cell>
          <cell r="G8827">
            <v>275</v>
          </cell>
          <cell r="H8827">
            <v>0</v>
          </cell>
        </row>
        <row r="8828">
          <cell r="D8828" t="str">
            <v>Furnitures</v>
          </cell>
          <cell r="F8828">
            <v>0</v>
          </cell>
          <cell r="G8828">
            <v>275</v>
          </cell>
          <cell r="H8828">
            <v>0</v>
          </cell>
        </row>
        <row r="8829">
          <cell r="D8829" t="str">
            <v>Furnitures</v>
          </cell>
          <cell r="F8829">
            <v>0</v>
          </cell>
          <cell r="G8829">
            <v>275</v>
          </cell>
          <cell r="H8829">
            <v>0</v>
          </cell>
        </row>
        <row r="8830">
          <cell r="D8830" t="str">
            <v>Furnitures</v>
          </cell>
          <cell r="F8830">
            <v>0</v>
          </cell>
          <cell r="G8830">
            <v>275</v>
          </cell>
          <cell r="H8830">
            <v>0</v>
          </cell>
        </row>
        <row r="8831">
          <cell r="D8831" t="str">
            <v>Furnitures</v>
          </cell>
          <cell r="F8831">
            <v>0</v>
          </cell>
          <cell r="G8831">
            <v>275</v>
          </cell>
          <cell r="H8831">
            <v>0</v>
          </cell>
        </row>
        <row r="8832">
          <cell r="D8832" t="str">
            <v>Furnitures</v>
          </cell>
          <cell r="F8832">
            <v>0</v>
          </cell>
          <cell r="G8832">
            <v>275</v>
          </cell>
          <cell r="H8832">
            <v>0</v>
          </cell>
        </row>
        <row r="8833">
          <cell r="D8833" t="str">
            <v>Furnitures</v>
          </cell>
          <cell r="F8833">
            <v>0</v>
          </cell>
          <cell r="G8833">
            <v>275</v>
          </cell>
          <cell r="H8833">
            <v>0</v>
          </cell>
        </row>
        <row r="8834">
          <cell r="D8834" t="str">
            <v>Furnitures</v>
          </cell>
          <cell r="F8834">
            <v>0</v>
          </cell>
          <cell r="G8834">
            <v>275</v>
          </cell>
          <cell r="H8834">
            <v>0</v>
          </cell>
        </row>
        <row r="8835">
          <cell r="D8835" t="str">
            <v>Furnitures</v>
          </cell>
          <cell r="F8835">
            <v>0</v>
          </cell>
          <cell r="G8835">
            <v>275</v>
          </cell>
          <cell r="H8835">
            <v>0</v>
          </cell>
        </row>
        <row r="8836">
          <cell r="D8836" t="str">
            <v>Furnitures</v>
          </cell>
          <cell r="F8836">
            <v>0</v>
          </cell>
          <cell r="G8836">
            <v>275</v>
          </cell>
          <cell r="H8836">
            <v>0</v>
          </cell>
        </row>
        <row r="8837">
          <cell r="D8837" t="str">
            <v>Furnitures</v>
          </cell>
          <cell r="F8837">
            <v>0</v>
          </cell>
          <cell r="G8837">
            <v>275</v>
          </cell>
          <cell r="H8837">
            <v>0</v>
          </cell>
        </row>
        <row r="8838">
          <cell r="D8838" t="str">
            <v>Furnitures</v>
          </cell>
          <cell r="F8838">
            <v>0</v>
          </cell>
          <cell r="G8838">
            <v>275</v>
          </cell>
          <cell r="H8838">
            <v>0</v>
          </cell>
        </row>
        <row r="8839">
          <cell r="D8839" t="str">
            <v>Furnitures</v>
          </cell>
          <cell r="F8839">
            <v>0</v>
          </cell>
          <cell r="G8839">
            <v>275</v>
          </cell>
          <cell r="H8839">
            <v>0</v>
          </cell>
        </row>
        <row r="8840">
          <cell r="D8840" t="str">
            <v>Furnitures</v>
          </cell>
          <cell r="F8840">
            <v>0</v>
          </cell>
          <cell r="G8840">
            <v>275</v>
          </cell>
          <cell r="H8840">
            <v>0</v>
          </cell>
        </row>
        <row r="8841">
          <cell r="D8841" t="str">
            <v>Furnitures</v>
          </cell>
          <cell r="F8841">
            <v>0</v>
          </cell>
          <cell r="G8841">
            <v>275</v>
          </cell>
          <cell r="H8841">
            <v>0</v>
          </cell>
        </row>
        <row r="8842">
          <cell r="D8842" t="str">
            <v>Furnitures</v>
          </cell>
          <cell r="F8842">
            <v>0</v>
          </cell>
          <cell r="G8842">
            <v>275</v>
          </cell>
          <cell r="H8842">
            <v>0</v>
          </cell>
        </row>
        <row r="8843">
          <cell r="D8843" t="str">
            <v>Furnitures</v>
          </cell>
          <cell r="F8843">
            <v>0</v>
          </cell>
          <cell r="G8843">
            <v>275</v>
          </cell>
          <cell r="H8843">
            <v>0</v>
          </cell>
        </row>
        <row r="8844">
          <cell r="D8844" t="str">
            <v>Furnitures</v>
          </cell>
          <cell r="F8844">
            <v>0</v>
          </cell>
          <cell r="G8844">
            <v>275</v>
          </cell>
          <cell r="H8844">
            <v>0</v>
          </cell>
        </row>
        <row r="8845">
          <cell r="D8845" t="str">
            <v>Furnitures</v>
          </cell>
          <cell r="F8845">
            <v>0</v>
          </cell>
          <cell r="G8845">
            <v>275</v>
          </cell>
          <cell r="H8845">
            <v>0</v>
          </cell>
        </row>
        <row r="8846">
          <cell r="D8846" t="str">
            <v>Furnitures</v>
          </cell>
          <cell r="F8846">
            <v>0</v>
          </cell>
          <cell r="G8846">
            <v>275</v>
          </cell>
          <cell r="H8846">
            <v>0</v>
          </cell>
        </row>
        <row r="8847">
          <cell r="D8847" t="str">
            <v>Furnitures</v>
          </cell>
          <cell r="F8847">
            <v>0</v>
          </cell>
          <cell r="G8847">
            <v>275</v>
          </cell>
          <cell r="H8847">
            <v>0</v>
          </cell>
        </row>
        <row r="8848">
          <cell r="D8848" t="str">
            <v>Furnitures</v>
          </cell>
          <cell r="F8848">
            <v>0</v>
          </cell>
          <cell r="G8848">
            <v>275</v>
          </cell>
          <cell r="H8848">
            <v>0</v>
          </cell>
        </row>
        <row r="8849">
          <cell r="D8849" t="str">
            <v>Furnitures</v>
          </cell>
          <cell r="F8849">
            <v>0</v>
          </cell>
          <cell r="G8849">
            <v>275</v>
          </cell>
          <cell r="H8849">
            <v>0</v>
          </cell>
        </row>
        <row r="8850">
          <cell r="D8850" t="str">
            <v>Furnitures</v>
          </cell>
          <cell r="F8850">
            <v>0</v>
          </cell>
          <cell r="G8850">
            <v>275</v>
          </cell>
          <cell r="H8850">
            <v>0</v>
          </cell>
        </row>
        <row r="8851">
          <cell r="D8851" t="str">
            <v>Furnitures</v>
          </cell>
          <cell r="F8851">
            <v>0</v>
          </cell>
          <cell r="G8851">
            <v>275</v>
          </cell>
          <cell r="H8851">
            <v>0</v>
          </cell>
        </row>
        <row r="8852">
          <cell r="D8852" t="str">
            <v>Furnitures</v>
          </cell>
          <cell r="F8852">
            <v>0</v>
          </cell>
          <cell r="G8852">
            <v>275</v>
          </cell>
          <cell r="H8852">
            <v>0</v>
          </cell>
        </row>
        <row r="8853">
          <cell r="D8853" t="str">
            <v>Furnitures</v>
          </cell>
          <cell r="F8853">
            <v>0</v>
          </cell>
          <cell r="G8853">
            <v>275</v>
          </cell>
          <cell r="H8853">
            <v>0</v>
          </cell>
        </row>
        <row r="8854">
          <cell r="D8854" t="str">
            <v>Furnitures</v>
          </cell>
          <cell r="F8854">
            <v>0</v>
          </cell>
          <cell r="G8854">
            <v>275</v>
          </cell>
          <cell r="H8854">
            <v>0</v>
          </cell>
        </row>
        <row r="8855">
          <cell r="D8855" t="str">
            <v>Furnitures</v>
          </cell>
          <cell r="F8855">
            <v>0</v>
          </cell>
          <cell r="G8855">
            <v>275</v>
          </cell>
          <cell r="H8855">
            <v>0</v>
          </cell>
        </row>
        <row r="8856">
          <cell r="D8856" t="str">
            <v>Furnitures</v>
          </cell>
          <cell r="F8856">
            <v>0</v>
          </cell>
          <cell r="G8856">
            <v>275</v>
          </cell>
          <cell r="H8856">
            <v>0</v>
          </cell>
        </row>
        <row r="8857">
          <cell r="D8857" t="str">
            <v>Furnitures</v>
          </cell>
          <cell r="F8857">
            <v>0</v>
          </cell>
          <cell r="G8857">
            <v>275</v>
          </cell>
          <cell r="H8857">
            <v>0</v>
          </cell>
        </row>
        <row r="8858">
          <cell r="D8858" t="str">
            <v>Furnitures</v>
          </cell>
          <cell r="F8858">
            <v>0</v>
          </cell>
          <cell r="G8858">
            <v>275</v>
          </cell>
          <cell r="H8858">
            <v>0</v>
          </cell>
        </row>
        <row r="8859">
          <cell r="D8859" t="str">
            <v>Furnitures</v>
          </cell>
          <cell r="F8859">
            <v>0</v>
          </cell>
          <cell r="G8859">
            <v>275</v>
          </cell>
          <cell r="H8859">
            <v>0</v>
          </cell>
        </row>
        <row r="8860">
          <cell r="D8860" t="str">
            <v>Furnitures</v>
          </cell>
          <cell r="F8860">
            <v>0</v>
          </cell>
          <cell r="G8860">
            <v>275</v>
          </cell>
          <cell r="H8860">
            <v>0</v>
          </cell>
        </row>
        <row r="8861">
          <cell r="D8861" t="str">
            <v>Furnitures</v>
          </cell>
          <cell r="F8861">
            <v>0</v>
          </cell>
          <cell r="G8861">
            <v>275</v>
          </cell>
          <cell r="H8861">
            <v>0</v>
          </cell>
        </row>
        <row r="8862">
          <cell r="D8862" t="str">
            <v>Furnitures</v>
          </cell>
          <cell r="F8862">
            <v>0</v>
          </cell>
          <cell r="G8862">
            <v>275</v>
          </cell>
          <cell r="H8862">
            <v>0</v>
          </cell>
        </row>
        <row r="8863">
          <cell r="D8863" t="str">
            <v>Furnitures</v>
          </cell>
          <cell r="F8863">
            <v>0</v>
          </cell>
          <cell r="G8863">
            <v>275</v>
          </cell>
          <cell r="H8863">
            <v>0</v>
          </cell>
        </row>
        <row r="8864">
          <cell r="D8864" t="str">
            <v>Furnitures</v>
          </cell>
          <cell r="F8864">
            <v>0</v>
          </cell>
          <cell r="G8864">
            <v>275</v>
          </cell>
          <cell r="H8864">
            <v>0</v>
          </cell>
        </row>
        <row r="8865">
          <cell r="D8865" t="str">
            <v>Furnitures</v>
          </cell>
          <cell r="F8865">
            <v>0</v>
          </cell>
          <cell r="G8865">
            <v>275</v>
          </cell>
          <cell r="H8865">
            <v>0</v>
          </cell>
        </row>
        <row r="8866">
          <cell r="D8866" t="str">
            <v>Furnitures</v>
          </cell>
          <cell r="F8866">
            <v>0</v>
          </cell>
          <cell r="G8866">
            <v>275</v>
          </cell>
          <cell r="H8866">
            <v>0</v>
          </cell>
        </row>
        <row r="8867">
          <cell r="D8867" t="str">
            <v>Furnitures</v>
          </cell>
          <cell r="F8867">
            <v>0</v>
          </cell>
          <cell r="G8867">
            <v>275</v>
          </cell>
          <cell r="H8867">
            <v>0</v>
          </cell>
        </row>
        <row r="8868">
          <cell r="D8868" t="str">
            <v>Furnitures</v>
          </cell>
          <cell r="F8868">
            <v>0</v>
          </cell>
          <cell r="G8868">
            <v>275</v>
          </cell>
          <cell r="H8868">
            <v>0</v>
          </cell>
        </row>
        <row r="8869">
          <cell r="D8869" t="str">
            <v>Furnitures</v>
          </cell>
          <cell r="F8869">
            <v>0</v>
          </cell>
          <cell r="G8869">
            <v>275</v>
          </cell>
          <cell r="H8869">
            <v>0</v>
          </cell>
        </row>
        <row r="8870">
          <cell r="D8870" t="str">
            <v>Furnitures</v>
          </cell>
          <cell r="F8870">
            <v>0</v>
          </cell>
          <cell r="G8870">
            <v>275</v>
          </cell>
          <cell r="H8870">
            <v>0</v>
          </cell>
        </row>
        <row r="8871">
          <cell r="D8871" t="str">
            <v>Furnitures</v>
          </cell>
          <cell r="F8871">
            <v>0</v>
          </cell>
          <cell r="G8871">
            <v>275</v>
          </cell>
          <cell r="H8871">
            <v>0</v>
          </cell>
        </row>
        <row r="8872">
          <cell r="D8872" t="str">
            <v>Furnitures</v>
          </cell>
          <cell r="F8872">
            <v>0</v>
          </cell>
          <cell r="G8872">
            <v>275</v>
          </cell>
          <cell r="H8872">
            <v>0</v>
          </cell>
        </row>
        <row r="8873">
          <cell r="D8873" t="str">
            <v>Furnitures</v>
          </cell>
          <cell r="F8873">
            <v>0</v>
          </cell>
          <cell r="G8873">
            <v>275</v>
          </cell>
          <cell r="H8873">
            <v>0</v>
          </cell>
        </row>
        <row r="8874">
          <cell r="D8874" t="str">
            <v>Furnitures</v>
          </cell>
          <cell r="F8874">
            <v>0</v>
          </cell>
          <cell r="G8874">
            <v>275</v>
          </cell>
          <cell r="H8874">
            <v>0</v>
          </cell>
        </row>
        <row r="8875">
          <cell r="D8875" t="str">
            <v>Furnitures</v>
          </cell>
          <cell r="F8875">
            <v>0</v>
          </cell>
          <cell r="G8875">
            <v>275</v>
          </cell>
          <cell r="H8875">
            <v>0</v>
          </cell>
        </row>
        <row r="8876">
          <cell r="D8876" t="str">
            <v>Furnitures</v>
          </cell>
          <cell r="F8876">
            <v>0</v>
          </cell>
          <cell r="G8876">
            <v>275</v>
          </cell>
          <cell r="H8876">
            <v>0</v>
          </cell>
        </row>
        <row r="8877">
          <cell r="D8877" t="str">
            <v>Furnitures</v>
          </cell>
          <cell r="F8877">
            <v>0</v>
          </cell>
          <cell r="G8877">
            <v>275</v>
          </cell>
          <cell r="H8877">
            <v>0</v>
          </cell>
        </row>
        <row r="8878">
          <cell r="D8878" t="str">
            <v>Furnitures</v>
          </cell>
          <cell r="F8878">
            <v>0</v>
          </cell>
          <cell r="G8878">
            <v>275</v>
          </cell>
          <cell r="H8878">
            <v>0</v>
          </cell>
        </row>
        <row r="8879">
          <cell r="D8879" t="str">
            <v>Furnitures</v>
          </cell>
          <cell r="F8879">
            <v>0</v>
          </cell>
          <cell r="G8879">
            <v>275</v>
          </cell>
          <cell r="H8879">
            <v>0</v>
          </cell>
        </row>
        <row r="8880">
          <cell r="D8880" t="str">
            <v>Furnitures</v>
          </cell>
          <cell r="F8880">
            <v>0</v>
          </cell>
          <cell r="G8880">
            <v>275</v>
          </cell>
          <cell r="H8880">
            <v>0</v>
          </cell>
        </row>
        <row r="8881">
          <cell r="D8881" t="str">
            <v>Furnitures</v>
          </cell>
          <cell r="F8881">
            <v>0</v>
          </cell>
          <cell r="G8881">
            <v>275</v>
          </cell>
          <cell r="H8881">
            <v>0</v>
          </cell>
        </row>
        <row r="8882">
          <cell r="D8882" t="str">
            <v>Furnitures</v>
          </cell>
          <cell r="F8882">
            <v>0</v>
          </cell>
          <cell r="G8882">
            <v>275</v>
          </cell>
          <cell r="H8882">
            <v>0</v>
          </cell>
        </row>
        <row r="8883">
          <cell r="D8883" t="str">
            <v>Furnitures</v>
          </cell>
          <cell r="F8883">
            <v>0</v>
          </cell>
          <cell r="G8883">
            <v>275</v>
          </cell>
          <cell r="H8883">
            <v>0</v>
          </cell>
        </row>
        <row r="8884">
          <cell r="D8884" t="str">
            <v>Furnitures</v>
          </cell>
          <cell r="F8884">
            <v>0</v>
          </cell>
          <cell r="G8884">
            <v>275</v>
          </cell>
          <cell r="H8884">
            <v>0</v>
          </cell>
        </row>
        <row r="8885">
          <cell r="D8885" t="str">
            <v>Furnitures</v>
          </cell>
          <cell r="F8885">
            <v>0</v>
          </cell>
          <cell r="G8885">
            <v>275</v>
          </cell>
          <cell r="H8885">
            <v>0</v>
          </cell>
        </row>
        <row r="8886">
          <cell r="D8886" t="str">
            <v>Furnitures</v>
          </cell>
          <cell r="F8886">
            <v>0</v>
          </cell>
          <cell r="G8886">
            <v>275</v>
          </cell>
          <cell r="H8886">
            <v>0</v>
          </cell>
        </row>
        <row r="8887">
          <cell r="D8887" t="str">
            <v>Furnitures</v>
          </cell>
          <cell r="F8887">
            <v>0</v>
          </cell>
          <cell r="G8887">
            <v>275</v>
          </cell>
          <cell r="H8887">
            <v>0</v>
          </cell>
        </row>
        <row r="8888">
          <cell r="D8888" t="str">
            <v>Furnitures</v>
          </cell>
          <cell r="F8888">
            <v>0</v>
          </cell>
          <cell r="G8888">
            <v>275</v>
          </cell>
          <cell r="H8888">
            <v>0</v>
          </cell>
        </row>
        <row r="8889">
          <cell r="D8889" t="str">
            <v>Furnitures</v>
          </cell>
          <cell r="F8889">
            <v>0</v>
          </cell>
          <cell r="G8889">
            <v>275</v>
          </cell>
          <cell r="H8889">
            <v>0</v>
          </cell>
        </row>
        <row r="8890">
          <cell r="D8890" t="str">
            <v>Furnitures</v>
          </cell>
          <cell r="F8890">
            <v>0</v>
          </cell>
          <cell r="G8890">
            <v>275</v>
          </cell>
          <cell r="H8890">
            <v>0</v>
          </cell>
        </row>
        <row r="8891">
          <cell r="D8891" t="str">
            <v>Furnitures</v>
          </cell>
          <cell r="F8891">
            <v>0</v>
          </cell>
          <cell r="G8891">
            <v>275</v>
          </cell>
          <cell r="H8891">
            <v>0</v>
          </cell>
        </row>
        <row r="8892">
          <cell r="D8892" t="str">
            <v>Furnitures</v>
          </cell>
          <cell r="F8892">
            <v>0</v>
          </cell>
          <cell r="G8892">
            <v>275</v>
          </cell>
          <cell r="H8892">
            <v>0</v>
          </cell>
        </row>
        <row r="8893">
          <cell r="D8893" t="str">
            <v>Furnitures</v>
          </cell>
          <cell r="F8893">
            <v>0</v>
          </cell>
          <cell r="G8893">
            <v>275</v>
          </cell>
          <cell r="H8893">
            <v>0</v>
          </cell>
        </row>
        <row r="8894">
          <cell r="D8894" t="str">
            <v>Furnitures</v>
          </cell>
          <cell r="F8894">
            <v>0</v>
          </cell>
          <cell r="G8894">
            <v>275</v>
          </cell>
          <cell r="H8894">
            <v>0</v>
          </cell>
        </row>
        <row r="8895">
          <cell r="D8895" t="str">
            <v>Furnitures</v>
          </cell>
          <cell r="F8895">
            <v>0</v>
          </cell>
          <cell r="G8895">
            <v>275</v>
          </cell>
          <cell r="H8895">
            <v>0</v>
          </cell>
        </row>
        <row r="8896">
          <cell r="D8896" t="str">
            <v>Furnitures</v>
          </cell>
          <cell r="F8896">
            <v>0</v>
          </cell>
          <cell r="G8896">
            <v>275</v>
          </cell>
          <cell r="H8896">
            <v>0</v>
          </cell>
        </row>
        <row r="8897">
          <cell r="D8897" t="str">
            <v>Furnitures</v>
          </cell>
          <cell r="F8897">
            <v>0</v>
          </cell>
          <cell r="G8897">
            <v>275</v>
          </cell>
          <cell r="H8897">
            <v>0</v>
          </cell>
        </row>
        <row r="8898">
          <cell r="D8898" t="str">
            <v>Furnitures</v>
          </cell>
          <cell r="F8898">
            <v>0</v>
          </cell>
          <cell r="G8898">
            <v>275</v>
          </cell>
          <cell r="H8898">
            <v>0</v>
          </cell>
        </row>
        <row r="8899">
          <cell r="D8899" t="str">
            <v>Furnitures</v>
          </cell>
          <cell r="F8899">
            <v>0</v>
          </cell>
          <cell r="G8899">
            <v>275</v>
          </cell>
          <cell r="H8899">
            <v>0</v>
          </cell>
        </row>
        <row r="8900">
          <cell r="D8900" t="str">
            <v>Furnitures</v>
          </cell>
          <cell r="F8900">
            <v>0</v>
          </cell>
          <cell r="G8900">
            <v>275</v>
          </cell>
          <cell r="H8900">
            <v>0</v>
          </cell>
        </row>
        <row r="8901">
          <cell r="D8901" t="str">
            <v>Furnitures</v>
          </cell>
          <cell r="F8901">
            <v>0</v>
          </cell>
          <cell r="G8901">
            <v>275</v>
          </cell>
          <cell r="H8901">
            <v>0</v>
          </cell>
        </row>
        <row r="8902">
          <cell r="D8902" t="str">
            <v>Furnitures</v>
          </cell>
          <cell r="F8902">
            <v>0</v>
          </cell>
          <cell r="G8902">
            <v>275</v>
          </cell>
          <cell r="H8902">
            <v>0</v>
          </cell>
        </row>
        <row r="8903">
          <cell r="D8903" t="str">
            <v>Furnitures</v>
          </cell>
          <cell r="F8903">
            <v>0</v>
          </cell>
          <cell r="G8903">
            <v>275</v>
          </cell>
          <cell r="H8903">
            <v>0</v>
          </cell>
        </row>
        <row r="8904">
          <cell r="D8904" t="str">
            <v>Furnitures</v>
          </cell>
          <cell r="F8904">
            <v>0</v>
          </cell>
          <cell r="G8904">
            <v>275</v>
          </cell>
          <cell r="H8904">
            <v>0</v>
          </cell>
        </row>
        <row r="8905">
          <cell r="D8905" t="str">
            <v>Furnitures</v>
          </cell>
          <cell r="F8905">
            <v>0</v>
          </cell>
          <cell r="G8905">
            <v>275</v>
          </cell>
          <cell r="H8905">
            <v>0</v>
          </cell>
        </row>
        <row r="8906">
          <cell r="D8906" t="str">
            <v>Furnitures</v>
          </cell>
          <cell r="F8906">
            <v>0</v>
          </cell>
          <cell r="G8906">
            <v>275</v>
          </cell>
          <cell r="H8906">
            <v>0</v>
          </cell>
        </row>
        <row r="8907">
          <cell r="D8907" t="str">
            <v>Furnitures</v>
          </cell>
          <cell r="F8907">
            <v>0</v>
          </cell>
          <cell r="G8907">
            <v>275</v>
          </cell>
          <cell r="H8907">
            <v>0</v>
          </cell>
        </row>
        <row r="8908">
          <cell r="D8908" t="str">
            <v>Furnitures</v>
          </cell>
          <cell r="F8908">
            <v>0</v>
          </cell>
          <cell r="G8908">
            <v>275</v>
          </cell>
          <cell r="H8908">
            <v>0</v>
          </cell>
        </row>
        <row r="8909">
          <cell r="D8909" t="str">
            <v>Furnitures</v>
          </cell>
          <cell r="F8909">
            <v>0</v>
          </cell>
          <cell r="G8909">
            <v>275</v>
          </cell>
          <cell r="H8909">
            <v>0</v>
          </cell>
        </row>
        <row r="8910">
          <cell r="D8910" t="str">
            <v>Furnitures</v>
          </cell>
          <cell r="F8910">
            <v>0</v>
          </cell>
          <cell r="G8910">
            <v>275</v>
          </cell>
          <cell r="H8910">
            <v>0</v>
          </cell>
        </row>
        <row r="8911">
          <cell r="D8911" t="str">
            <v>Furnitures</v>
          </cell>
          <cell r="F8911">
            <v>0</v>
          </cell>
          <cell r="G8911">
            <v>275</v>
          </cell>
          <cell r="H8911">
            <v>0</v>
          </cell>
        </row>
        <row r="8912">
          <cell r="D8912" t="str">
            <v>Furnitures</v>
          </cell>
          <cell r="F8912">
            <v>0</v>
          </cell>
          <cell r="G8912">
            <v>275</v>
          </cell>
          <cell r="H8912">
            <v>0</v>
          </cell>
        </row>
        <row r="8913">
          <cell r="D8913" t="str">
            <v>Furnitures</v>
          </cell>
          <cell r="F8913">
            <v>0</v>
          </cell>
          <cell r="G8913">
            <v>275</v>
          </cell>
          <cell r="H8913">
            <v>0</v>
          </cell>
        </row>
        <row r="8914">
          <cell r="D8914" t="str">
            <v>Furnitures</v>
          </cell>
          <cell r="F8914">
            <v>0</v>
          </cell>
          <cell r="G8914">
            <v>275</v>
          </cell>
          <cell r="H8914">
            <v>0</v>
          </cell>
        </row>
        <row r="8915">
          <cell r="D8915" t="str">
            <v>Furnitures</v>
          </cell>
          <cell r="F8915">
            <v>0</v>
          </cell>
          <cell r="G8915">
            <v>275</v>
          </cell>
          <cell r="H8915">
            <v>0</v>
          </cell>
        </row>
        <row r="8916">
          <cell r="D8916" t="str">
            <v>Furnitures</v>
          </cell>
          <cell r="F8916">
            <v>0</v>
          </cell>
          <cell r="G8916">
            <v>275</v>
          </cell>
          <cell r="H8916">
            <v>0</v>
          </cell>
        </row>
        <row r="8917">
          <cell r="D8917" t="str">
            <v>Furnitures</v>
          </cell>
          <cell r="F8917">
            <v>0</v>
          </cell>
          <cell r="G8917">
            <v>275</v>
          </cell>
          <cell r="H8917">
            <v>0</v>
          </cell>
        </row>
        <row r="8918">
          <cell r="D8918" t="str">
            <v>Furnitures</v>
          </cell>
          <cell r="F8918">
            <v>0</v>
          </cell>
          <cell r="G8918">
            <v>275</v>
          </cell>
          <cell r="H8918">
            <v>0</v>
          </cell>
        </row>
        <row r="8919">
          <cell r="D8919" t="str">
            <v>Furnitures</v>
          </cell>
          <cell r="F8919">
            <v>0</v>
          </cell>
          <cell r="G8919">
            <v>275</v>
          </cell>
          <cell r="H8919">
            <v>0</v>
          </cell>
        </row>
        <row r="8920">
          <cell r="D8920" t="str">
            <v>Furnitures</v>
          </cell>
          <cell r="F8920">
            <v>0</v>
          </cell>
          <cell r="G8920">
            <v>275</v>
          </cell>
          <cell r="H8920">
            <v>0</v>
          </cell>
        </row>
        <row r="8921">
          <cell r="D8921" t="str">
            <v>Furnitures</v>
          </cell>
          <cell r="F8921">
            <v>0</v>
          </cell>
          <cell r="G8921">
            <v>275</v>
          </cell>
          <cell r="H8921">
            <v>0</v>
          </cell>
        </row>
        <row r="8922">
          <cell r="D8922" t="str">
            <v>Furnitures</v>
          </cell>
          <cell r="F8922">
            <v>0</v>
          </cell>
          <cell r="G8922">
            <v>275</v>
          </cell>
          <cell r="H8922">
            <v>0</v>
          </cell>
        </row>
        <row r="8923">
          <cell r="D8923" t="str">
            <v>Furnitures</v>
          </cell>
          <cell r="F8923">
            <v>0</v>
          </cell>
          <cell r="G8923">
            <v>275</v>
          </cell>
          <cell r="H8923">
            <v>0</v>
          </cell>
        </row>
        <row r="8924">
          <cell r="D8924" t="str">
            <v>Furnitures</v>
          </cell>
          <cell r="F8924">
            <v>0</v>
          </cell>
          <cell r="G8924">
            <v>275</v>
          </cell>
          <cell r="H8924">
            <v>0</v>
          </cell>
        </row>
        <row r="8925">
          <cell r="D8925" t="str">
            <v>Furnitures</v>
          </cell>
          <cell r="F8925">
            <v>0</v>
          </cell>
          <cell r="G8925">
            <v>275</v>
          </cell>
          <cell r="H8925">
            <v>0</v>
          </cell>
        </row>
        <row r="8926">
          <cell r="D8926" t="str">
            <v>Furnitures</v>
          </cell>
          <cell r="F8926">
            <v>0</v>
          </cell>
          <cell r="G8926">
            <v>275</v>
          </cell>
          <cell r="H8926">
            <v>0</v>
          </cell>
        </row>
        <row r="8927">
          <cell r="D8927" t="str">
            <v>Furnitures</v>
          </cell>
          <cell r="F8927">
            <v>0</v>
          </cell>
          <cell r="G8927">
            <v>275</v>
          </cell>
          <cell r="H8927">
            <v>0</v>
          </cell>
        </row>
        <row r="8928">
          <cell r="D8928" t="str">
            <v>Furnitures</v>
          </cell>
          <cell r="F8928">
            <v>0</v>
          </cell>
          <cell r="G8928">
            <v>275</v>
          </cell>
          <cell r="H8928">
            <v>0</v>
          </cell>
        </row>
        <row r="8929">
          <cell r="D8929" t="str">
            <v>Furnitures</v>
          </cell>
          <cell r="F8929">
            <v>0</v>
          </cell>
          <cell r="G8929">
            <v>275</v>
          </cell>
          <cell r="H8929">
            <v>0</v>
          </cell>
        </row>
        <row r="8930">
          <cell r="D8930" t="str">
            <v>Furnitures</v>
          </cell>
          <cell r="F8930">
            <v>0</v>
          </cell>
          <cell r="G8930">
            <v>275</v>
          </cell>
          <cell r="H8930">
            <v>0</v>
          </cell>
        </row>
        <row r="8931">
          <cell r="D8931" t="str">
            <v>Furnitures</v>
          </cell>
          <cell r="F8931">
            <v>0</v>
          </cell>
          <cell r="G8931">
            <v>275</v>
          </cell>
          <cell r="H8931">
            <v>0</v>
          </cell>
        </row>
        <row r="8932">
          <cell r="D8932" t="str">
            <v>Furnitures</v>
          </cell>
          <cell r="F8932">
            <v>0</v>
          </cell>
          <cell r="G8932">
            <v>275</v>
          </cell>
          <cell r="H8932">
            <v>0</v>
          </cell>
        </row>
        <row r="8933">
          <cell r="D8933" t="str">
            <v>Furnitures</v>
          </cell>
          <cell r="F8933">
            <v>0</v>
          </cell>
          <cell r="G8933">
            <v>275</v>
          </cell>
          <cell r="H8933">
            <v>0</v>
          </cell>
        </row>
        <row r="8934">
          <cell r="D8934" t="str">
            <v>Furnitures</v>
          </cell>
          <cell r="F8934">
            <v>0</v>
          </cell>
          <cell r="G8934">
            <v>275</v>
          </cell>
          <cell r="H8934">
            <v>0</v>
          </cell>
        </row>
        <row r="8935">
          <cell r="D8935" t="str">
            <v>Furnitures</v>
          </cell>
          <cell r="F8935">
            <v>0</v>
          </cell>
          <cell r="G8935">
            <v>275</v>
          </cell>
          <cell r="H8935">
            <v>0</v>
          </cell>
        </row>
        <row r="8936">
          <cell r="D8936" t="str">
            <v>Furnitures</v>
          </cell>
          <cell r="F8936">
            <v>0</v>
          </cell>
          <cell r="G8936">
            <v>275</v>
          </cell>
          <cell r="H8936">
            <v>0</v>
          </cell>
        </row>
        <row r="8937">
          <cell r="D8937" t="str">
            <v>Furnitures</v>
          </cell>
          <cell r="F8937">
            <v>0</v>
          </cell>
          <cell r="G8937">
            <v>275</v>
          </cell>
          <cell r="H8937">
            <v>0</v>
          </cell>
        </row>
        <row r="8938">
          <cell r="D8938" t="str">
            <v>Furnitures</v>
          </cell>
          <cell r="F8938">
            <v>0</v>
          </cell>
          <cell r="G8938">
            <v>275</v>
          </cell>
          <cell r="H8938">
            <v>0</v>
          </cell>
        </row>
        <row r="8939">
          <cell r="D8939" t="str">
            <v>Furnitures</v>
          </cell>
          <cell r="F8939">
            <v>0</v>
          </cell>
          <cell r="G8939">
            <v>275</v>
          </cell>
          <cell r="H8939">
            <v>0</v>
          </cell>
        </row>
        <row r="8940">
          <cell r="D8940" t="str">
            <v>Furnitures</v>
          </cell>
          <cell r="F8940">
            <v>0</v>
          </cell>
          <cell r="G8940">
            <v>275</v>
          </cell>
          <cell r="H8940">
            <v>0</v>
          </cell>
        </row>
        <row r="8941">
          <cell r="D8941" t="str">
            <v>Furnitures</v>
          </cell>
          <cell r="F8941">
            <v>0</v>
          </cell>
          <cell r="G8941">
            <v>275</v>
          </cell>
          <cell r="H8941">
            <v>0</v>
          </cell>
        </row>
        <row r="8942">
          <cell r="D8942" t="str">
            <v>Furnitures</v>
          </cell>
          <cell r="F8942">
            <v>0</v>
          </cell>
          <cell r="G8942">
            <v>275</v>
          </cell>
          <cell r="H8942">
            <v>0</v>
          </cell>
        </row>
        <row r="8943">
          <cell r="D8943" t="str">
            <v>Furnitures</v>
          </cell>
          <cell r="F8943">
            <v>0</v>
          </cell>
          <cell r="G8943">
            <v>275</v>
          </cell>
          <cell r="H8943">
            <v>0</v>
          </cell>
        </row>
        <row r="8944">
          <cell r="D8944" t="str">
            <v>Furnitures</v>
          </cell>
          <cell r="F8944">
            <v>0</v>
          </cell>
          <cell r="G8944">
            <v>275</v>
          </cell>
          <cell r="H8944">
            <v>0</v>
          </cell>
        </row>
        <row r="8945">
          <cell r="D8945" t="str">
            <v>Furnitures</v>
          </cell>
          <cell r="F8945">
            <v>0</v>
          </cell>
          <cell r="G8945">
            <v>275</v>
          </cell>
          <cell r="H8945">
            <v>0</v>
          </cell>
        </row>
        <row r="8946">
          <cell r="D8946" t="str">
            <v>Furnitures</v>
          </cell>
          <cell r="F8946">
            <v>0</v>
          </cell>
          <cell r="G8946">
            <v>275</v>
          </cell>
          <cell r="H8946">
            <v>0</v>
          </cell>
        </row>
        <row r="8947">
          <cell r="D8947" t="str">
            <v>Furnitures</v>
          </cell>
          <cell r="F8947">
            <v>0</v>
          </cell>
          <cell r="G8947">
            <v>275</v>
          </cell>
          <cell r="H8947">
            <v>0</v>
          </cell>
        </row>
        <row r="8948">
          <cell r="D8948" t="str">
            <v>Furnitures</v>
          </cell>
          <cell r="F8948">
            <v>0</v>
          </cell>
          <cell r="G8948">
            <v>275</v>
          </cell>
          <cell r="H8948">
            <v>0</v>
          </cell>
        </row>
        <row r="8949">
          <cell r="D8949" t="str">
            <v>Furnitures</v>
          </cell>
          <cell r="F8949">
            <v>0</v>
          </cell>
          <cell r="G8949">
            <v>275</v>
          </cell>
          <cell r="H8949">
            <v>0</v>
          </cell>
        </row>
        <row r="8950">
          <cell r="D8950" t="str">
            <v>Furnitures</v>
          </cell>
          <cell r="F8950">
            <v>0</v>
          </cell>
          <cell r="G8950">
            <v>275</v>
          </cell>
          <cell r="H8950">
            <v>0</v>
          </cell>
        </row>
        <row r="8951">
          <cell r="D8951" t="str">
            <v>Furnitures</v>
          </cell>
          <cell r="F8951">
            <v>0</v>
          </cell>
          <cell r="G8951">
            <v>275</v>
          </cell>
          <cell r="H8951">
            <v>0</v>
          </cell>
        </row>
        <row r="8952">
          <cell r="D8952" t="str">
            <v>Furnitures</v>
          </cell>
          <cell r="F8952">
            <v>0</v>
          </cell>
          <cell r="G8952">
            <v>275</v>
          </cell>
          <cell r="H8952">
            <v>0</v>
          </cell>
        </row>
        <row r="8953">
          <cell r="D8953" t="str">
            <v>Furnitures</v>
          </cell>
          <cell r="F8953">
            <v>0</v>
          </cell>
          <cell r="G8953">
            <v>275</v>
          </cell>
          <cell r="H8953">
            <v>0</v>
          </cell>
        </row>
        <row r="8954">
          <cell r="D8954" t="str">
            <v>Furnitures</v>
          </cell>
          <cell r="F8954">
            <v>0</v>
          </cell>
          <cell r="G8954">
            <v>275</v>
          </cell>
          <cell r="H8954">
            <v>0</v>
          </cell>
        </row>
        <row r="8955">
          <cell r="D8955" t="str">
            <v>Furnitures</v>
          </cell>
          <cell r="F8955">
            <v>0</v>
          </cell>
          <cell r="G8955">
            <v>275</v>
          </cell>
          <cell r="H8955">
            <v>0</v>
          </cell>
        </row>
        <row r="8956">
          <cell r="D8956" t="str">
            <v>Furnitures</v>
          </cell>
          <cell r="F8956">
            <v>0</v>
          </cell>
          <cell r="G8956">
            <v>275</v>
          </cell>
          <cell r="H8956">
            <v>0</v>
          </cell>
        </row>
        <row r="8957">
          <cell r="D8957" t="str">
            <v>Furnitures</v>
          </cell>
          <cell r="F8957">
            <v>0</v>
          </cell>
          <cell r="G8957">
            <v>275</v>
          </cell>
          <cell r="H8957">
            <v>0</v>
          </cell>
        </row>
        <row r="8958">
          <cell r="D8958" t="str">
            <v>Furnitures</v>
          </cell>
          <cell r="F8958">
            <v>0</v>
          </cell>
          <cell r="G8958">
            <v>275</v>
          </cell>
          <cell r="H8958">
            <v>0</v>
          </cell>
        </row>
        <row r="8959">
          <cell r="D8959" t="str">
            <v>Furnitures</v>
          </cell>
          <cell r="F8959">
            <v>0</v>
          </cell>
          <cell r="G8959">
            <v>275</v>
          </cell>
          <cell r="H8959">
            <v>0</v>
          </cell>
        </row>
        <row r="8960">
          <cell r="D8960" t="str">
            <v>Furnitures</v>
          </cell>
          <cell r="F8960">
            <v>0</v>
          </cell>
          <cell r="G8960">
            <v>275</v>
          </cell>
          <cell r="H8960">
            <v>0</v>
          </cell>
        </row>
        <row r="8961">
          <cell r="D8961" t="str">
            <v>Furnitures</v>
          </cell>
          <cell r="F8961">
            <v>0</v>
          </cell>
          <cell r="G8961">
            <v>275</v>
          </cell>
          <cell r="H8961">
            <v>0</v>
          </cell>
        </row>
        <row r="8962">
          <cell r="D8962" t="str">
            <v>Furnitures</v>
          </cell>
          <cell r="F8962">
            <v>0</v>
          </cell>
          <cell r="G8962">
            <v>275</v>
          </cell>
          <cell r="H8962">
            <v>0</v>
          </cell>
        </row>
        <row r="8963">
          <cell r="D8963" t="str">
            <v>Furnitures</v>
          </cell>
          <cell r="F8963">
            <v>0</v>
          </cell>
          <cell r="G8963">
            <v>275</v>
          </cell>
          <cell r="H8963">
            <v>0</v>
          </cell>
        </row>
        <row r="8964">
          <cell r="D8964" t="str">
            <v>Furnitures</v>
          </cell>
          <cell r="F8964">
            <v>0</v>
          </cell>
          <cell r="G8964">
            <v>275</v>
          </cell>
          <cell r="H8964">
            <v>0</v>
          </cell>
        </row>
        <row r="8965">
          <cell r="D8965" t="str">
            <v>Furnitures</v>
          </cell>
          <cell r="F8965">
            <v>0</v>
          </cell>
          <cell r="G8965">
            <v>275</v>
          </cell>
          <cell r="H8965">
            <v>0</v>
          </cell>
        </row>
        <row r="8966">
          <cell r="D8966" t="str">
            <v>Furnitures</v>
          </cell>
          <cell r="F8966">
            <v>0</v>
          </cell>
          <cell r="G8966">
            <v>275</v>
          </cell>
          <cell r="H8966">
            <v>0</v>
          </cell>
        </row>
        <row r="8967">
          <cell r="D8967" t="str">
            <v>Furnitures</v>
          </cell>
          <cell r="F8967">
            <v>0</v>
          </cell>
          <cell r="G8967">
            <v>275</v>
          </cell>
          <cell r="H8967">
            <v>0</v>
          </cell>
        </row>
        <row r="8968">
          <cell r="D8968" t="str">
            <v>Furnitures</v>
          </cell>
          <cell r="F8968">
            <v>0</v>
          </cell>
          <cell r="G8968">
            <v>275</v>
          </cell>
          <cell r="H8968">
            <v>0</v>
          </cell>
        </row>
        <row r="8969">
          <cell r="D8969" t="str">
            <v>Furnitures</v>
          </cell>
          <cell r="F8969">
            <v>0</v>
          </cell>
          <cell r="G8969">
            <v>275</v>
          </cell>
          <cell r="H8969">
            <v>0</v>
          </cell>
        </row>
        <row r="8970">
          <cell r="D8970" t="str">
            <v>Furnitures</v>
          </cell>
          <cell r="F8970">
            <v>0</v>
          </cell>
          <cell r="G8970">
            <v>275</v>
          </cell>
          <cell r="H8970">
            <v>0</v>
          </cell>
        </row>
        <row r="8971">
          <cell r="D8971" t="str">
            <v>Furnitures</v>
          </cell>
          <cell r="F8971">
            <v>0</v>
          </cell>
          <cell r="G8971">
            <v>275</v>
          </cell>
          <cell r="H8971">
            <v>0</v>
          </cell>
        </row>
        <row r="8972">
          <cell r="D8972" t="str">
            <v>Furnitures</v>
          </cell>
          <cell r="F8972">
            <v>0</v>
          </cell>
          <cell r="G8972">
            <v>275</v>
          </cell>
          <cell r="H8972">
            <v>0</v>
          </cell>
        </row>
        <row r="8973">
          <cell r="D8973" t="str">
            <v>Furnitures</v>
          </cell>
          <cell r="F8973">
            <v>0</v>
          </cell>
          <cell r="G8973">
            <v>275</v>
          </cell>
          <cell r="H8973">
            <v>0</v>
          </cell>
        </row>
        <row r="8974">
          <cell r="D8974" t="str">
            <v>Furnitures</v>
          </cell>
          <cell r="F8974">
            <v>0</v>
          </cell>
          <cell r="G8974">
            <v>275</v>
          </cell>
          <cell r="H8974">
            <v>0</v>
          </cell>
        </row>
        <row r="8975">
          <cell r="D8975" t="str">
            <v>Furnitures</v>
          </cell>
          <cell r="F8975">
            <v>0</v>
          </cell>
          <cell r="G8975">
            <v>275</v>
          </cell>
          <cell r="H8975">
            <v>0</v>
          </cell>
        </row>
        <row r="8976">
          <cell r="D8976" t="str">
            <v>Furnitures</v>
          </cell>
          <cell r="F8976">
            <v>0</v>
          </cell>
          <cell r="G8976">
            <v>275</v>
          </cell>
          <cell r="H8976">
            <v>0</v>
          </cell>
        </row>
        <row r="8977">
          <cell r="D8977" t="str">
            <v>Furnitures</v>
          </cell>
          <cell r="F8977">
            <v>0</v>
          </cell>
          <cell r="G8977">
            <v>275</v>
          </cell>
          <cell r="H8977">
            <v>0</v>
          </cell>
        </row>
        <row r="8978">
          <cell r="D8978" t="str">
            <v>Furnitures</v>
          </cell>
          <cell r="F8978">
            <v>0</v>
          </cell>
          <cell r="G8978">
            <v>275</v>
          </cell>
          <cell r="H8978">
            <v>0</v>
          </cell>
        </row>
        <row r="8979">
          <cell r="D8979" t="str">
            <v>Furnitures</v>
          </cell>
          <cell r="F8979">
            <v>0</v>
          </cell>
          <cell r="G8979">
            <v>275</v>
          </cell>
          <cell r="H8979">
            <v>0</v>
          </cell>
        </row>
        <row r="8980">
          <cell r="D8980" t="str">
            <v>Furnitures</v>
          </cell>
          <cell r="F8980">
            <v>0</v>
          </cell>
          <cell r="G8980">
            <v>275</v>
          </cell>
          <cell r="H8980">
            <v>0</v>
          </cell>
        </row>
        <row r="8981">
          <cell r="D8981" t="str">
            <v>Furnitures</v>
          </cell>
          <cell r="F8981">
            <v>0</v>
          </cell>
          <cell r="G8981">
            <v>275</v>
          </cell>
          <cell r="H8981">
            <v>0</v>
          </cell>
        </row>
        <row r="8982">
          <cell r="D8982" t="str">
            <v>Furnitures</v>
          </cell>
          <cell r="F8982">
            <v>0</v>
          </cell>
          <cell r="G8982">
            <v>275</v>
          </cell>
          <cell r="H8982">
            <v>0</v>
          </cell>
        </row>
        <row r="8983">
          <cell r="D8983" t="str">
            <v>Furnitures</v>
          </cell>
          <cell r="F8983">
            <v>0</v>
          </cell>
          <cell r="G8983">
            <v>275</v>
          </cell>
          <cell r="H8983">
            <v>0</v>
          </cell>
        </row>
        <row r="8984">
          <cell r="D8984" t="str">
            <v>Furnitures</v>
          </cell>
          <cell r="F8984">
            <v>0</v>
          </cell>
          <cell r="G8984">
            <v>275</v>
          </cell>
          <cell r="H8984">
            <v>0</v>
          </cell>
        </row>
        <row r="8985">
          <cell r="D8985" t="str">
            <v>Furnitures</v>
          </cell>
          <cell r="F8985">
            <v>0</v>
          </cell>
          <cell r="G8985">
            <v>275</v>
          </cell>
          <cell r="H8985">
            <v>0</v>
          </cell>
        </row>
        <row r="8986">
          <cell r="D8986" t="str">
            <v>Furnitures</v>
          </cell>
          <cell r="F8986">
            <v>0</v>
          </cell>
          <cell r="G8986">
            <v>275</v>
          </cell>
          <cell r="H8986">
            <v>0</v>
          </cell>
        </row>
        <row r="8987">
          <cell r="D8987" t="str">
            <v>Furnitures</v>
          </cell>
          <cell r="F8987">
            <v>0</v>
          </cell>
          <cell r="G8987">
            <v>275</v>
          </cell>
          <cell r="H8987">
            <v>0</v>
          </cell>
        </row>
        <row r="8988">
          <cell r="D8988" t="str">
            <v>Furnitures</v>
          </cell>
          <cell r="F8988">
            <v>0</v>
          </cell>
          <cell r="G8988">
            <v>275</v>
          </cell>
          <cell r="H8988">
            <v>0</v>
          </cell>
        </row>
        <row r="8989">
          <cell r="D8989" t="str">
            <v>Furnitures</v>
          </cell>
          <cell r="F8989">
            <v>0</v>
          </cell>
          <cell r="G8989">
            <v>275</v>
          </cell>
          <cell r="H8989">
            <v>0</v>
          </cell>
        </row>
        <row r="8990">
          <cell r="D8990" t="str">
            <v>Furnitures</v>
          </cell>
          <cell r="F8990">
            <v>0</v>
          </cell>
          <cell r="G8990">
            <v>275</v>
          </cell>
          <cell r="H8990">
            <v>0</v>
          </cell>
        </row>
        <row r="8991">
          <cell r="D8991" t="str">
            <v>Furnitures</v>
          </cell>
          <cell r="F8991">
            <v>0</v>
          </cell>
          <cell r="G8991">
            <v>275</v>
          </cell>
          <cell r="H8991">
            <v>0</v>
          </cell>
        </row>
        <row r="8992">
          <cell r="D8992" t="str">
            <v>Furnitures</v>
          </cell>
          <cell r="F8992">
            <v>0</v>
          </cell>
          <cell r="G8992">
            <v>275</v>
          </cell>
          <cell r="H8992">
            <v>0</v>
          </cell>
        </row>
        <row r="8993">
          <cell r="D8993" t="str">
            <v>Furnitures</v>
          </cell>
          <cell r="F8993">
            <v>0</v>
          </cell>
          <cell r="G8993">
            <v>275</v>
          </cell>
          <cell r="H8993">
            <v>0</v>
          </cell>
        </row>
        <row r="8994">
          <cell r="D8994" t="str">
            <v>Furnitures</v>
          </cell>
          <cell r="F8994">
            <v>0</v>
          </cell>
          <cell r="G8994">
            <v>275</v>
          </cell>
          <cell r="H8994">
            <v>0</v>
          </cell>
        </row>
        <row r="8995">
          <cell r="D8995" t="str">
            <v>Furnitures</v>
          </cell>
          <cell r="F8995">
            <v>0</v>
          </cell>
          <cell r="G8995">
            <v>275</v>
          </cell>
          <cell r="H8995">
            <v>0</v>
          </cell>
        </row>
        <row r="8996">
          <cell r="D8996" t="str">
            <v>Furnitures</v>
          </cell>
          <cell r="F8996">
            <v>0</v>
          </cell>
          <cell r="G8996">
            <v>275</v>
          </cell>
          <cell r="H8996">
            <v>0</v>
          </cell>
        </row>
        <row r="8997">
          <cell r="D8997" t="str">
            <v>Furnitures</v>
          </cell>
          <cell r="F8997">
            <v>0</v>
          </cell>
          <cell r="G8997">
            <v>275</v>
          </cell>
          <cell r="H8997">
            <v>0</v>
          </cell>
        </row>
        <row r="8998">
          <cell r="D8998" t="str">
            <v>Furnitures</v>
          </cell>
          <cell r="F8998">
            <v>0</v>
          </cell>
          <cell r="G8998">
            <v>275</v>
          </cell>
          <cell r="H8998">
            <v>0</v>
          </cell>
        </row>
        <row r="8999">
          <cell r="D8999" t="str">
            <v>Furnitures</v>
          </cell>
          <cell r="F8999">
            <v>0</v>
          </cell>
          <cell r="G8999">
            <v>275</v>
          </cell>
          <cell r="H8999">
            <v>0</v>
          </cell>
        </row>
        <row r="9000">
          <cell r="D9000" t="str">
            <v>Furnitures</v>
          </cell>
          <cell r="F9000">
            <v>0</v>
          </cell>
          <cell r="G9000">
            <v>275</v>
          </cell>
          <cell r="H9000">
            <v>0</v>
          </cell>
        </row>
        <row r="9001">
          <cell r="D9001" t="str">
            <v>Furnitures</v>
          </cell>
          <cell r="F9001">
            <v>0</v>
          </cell>
          <cell r="G9001">
            <v>275</v>
          </cell>
          <cell r="H9001">
            <v>0</v>
          </cell>
        </row>
        <row r="9002">
          <cell r="D9002" t="str">
            <v>Furnitures</v>
          </cell>
          <cell r="F9002">
            <v>0</v>
          </cell>
          <cell r="G9002">
            <v>275</v>
          </cell>
          <cell r="H9002">
            <v>0</v>
          </cell>
        </row>
        <row r="9003">
          <cell r="D9003" t="str">
            <v>Furnitures</v>
          </cell>
          <cell r="F9003">
            <v>0</v>
          </cell>
          <cell r="G9003">
            <v>275</v>
          </cell>
          <cell r="H9003">
            <v>0</v>
          </cell>
        </row>
        <row r="9004">
          <cell r="D9004" t="str">
            <v>Furnitures</v>
          </cell>
          <cell r="F9004">
            <v>0</v>
          </cell>
          <cell r="G9004">
            <v>275</v>
          </cell>
          <cell r="H9004">
            <v>0</v>
          </cell>
        </row>
        <row r="9005">
          <cell r="D9005" t="str">
            <v>Furnitures</v>
          </cell>
          <cell r="F9005">
            <v>0</v>
          </cell>
          <cell r="G9005">
            <v>275</v>
          </cell>
          <cell r="H9005">
            <v>0</v>
          </cell>
        </row>
        <row r="9006">
          <cell r="D9006" t="str">
            <v>Furnitures</v>
          </cell>
          <cell r="F9006">
            <v>0</v>
          </cell>
          <cell r="G9006">
            <v>275</v>
          </cell>
          <cell r="H9006">
            <v>0</v>
          </cell>
        </row>
        <row r="9007">
          <cell r="D9007" t="str">
            <v>Furnitures</v>
          </cell>
          <cell r="F9007">
            <v>0</v>
          </cell>
          <cell r="G9007">
            <v>275</v>
          </cell>
          <cell r="H9007">
            <v>0</v>
          </cell>
        </row>
        <row r="9008">
          <cell r="D9008" t="str">
            <v>Furnitures</v>
          </cell>
          <cell r="F9008">
            <v>0</v>
          </cell>
          <cell r="G9008">
            <v>275</v>
          </cell>
          <cell r="H9008">
            <v>0</v>
          </cell>
        </row>
        <row r="9009">
          <cell r="D9009" t="str">
            <v>Furnitures</v>
          </cell>
          <cell r="F9009">
            <v>0</v>
          </cell>
          <cell r="G9009">
            <v>275</v>
          </cell>
          <cell r="H9009">
            <v>0</v>
          </cell>
        </row>
        <row r="9010">
          <cell r="D9010" t="str">
            <v>Furnitures</v>
          </cell>
          <cell r="F9010">
            <v>0</v>
          </cell>
          <cell r="G9010">
            <v>275</v>
          </cell>
          <cell r="H9010">
            <v>0</v>
          </cell>
        </row>
        <row r="9011">
          <cell r="D9011" t="str">
            <v>Furnitures</v>
          </cell>
          <cell r="F9011">
            <v>0</v>
          </cell>
          <cell r="G9011">
            <v>275</v>
          </cell>
          <cell r="H9011">
            <v>0</v>
          </cell>
        </row>
        <row r="9012">
          <cell r="D9012" t="str">
            <v>Furnitures</v>
          </cell>
          <cell r="F9012">
            <v>0</v>
          </cell>
          <cell r="G9012">
            <v>275</v>
          </cell>
          <cell r="H9012">
            <v>0</v>
          </cell>
        </row>
        <row r="9013">
          <cell r="D9013" t="str">
            <v>Furnitures</v>
          </cell>
          <cell r="F9013">
            <v>0</v>
          </cell>
          <cell r="G9013">
            <v>275</v>
          </cell>
          <cell r="H9013">
            <v>0</v>
          </cell>
        </row>
        <row r="9014">
          <cell r="D9014" t="str">
            <v>Furnitures</v>
          </cell>
          <cell r="F9014">
            <v>0</v>
          </cell>
          <cell r="G9014">
            <v>275</v>
          </cell>
          <cell r="H9014">
            <v>0</v>
          </cell>
        </row>
        <row r="9015">
          <cell r="D9015" t="str">
            <v>Furnitures</v>
          </cell>
          <cell r="F9015">
            <v>0</v>
          </cell>
          <cell r="G9015">
            <v>275</v>
          </cell>
          <cell r="H9015">
            <v>0</v>
          </cell>
        </row>
        <row r="9016">
          <cell r="D9016" t="str">
            <v>Furnitures</v>
          </cell>
          <cell r="F9016">
            <v>0</v>
          </cell>
          <cell r="G9016">
            <v>275</v>
          </cell>
          <cell r="H9016">
            <v>0</v>
          </cell>
        </row>
        <row r="9017">
          <cell r="D9017" t="str">
            <v>Furnitures</v>
          </cell>
          <cell r="F9017">
            <v>0</v>
          </cell>
          <cell r="G9017">
            <v>275</v>
          </cell>
          <cell r="H9017">
            <v>0</v>
          </cell>
        </row>
        <row r="9018">
          <cell r="D9018" t="str">
            <v>Furnitures</v>
          </cell>
          <cell r="F9018">
            <v>0</v>
          </cell>
          <cell r="G9018">
            <v>275</v>
          </cell>
          <cell r="H9018">
            <v>0</v>
          </cell>
        </row>
        <row r="9019">
          <cell r="D9019" t="str">
            <v>Furnitures</v>
          </cell>
          <cell r="F9019">
            <v>0</v>
          </cell>
          <cell r="G9019">
            <v>275</v>
          </cell>
          <cell r="H9019">
            <v>0</v>
          </cell>
        </row>
        <row r="9020">
          <cell r="D9020" t="str">
            <v>Furnitures</v>
          </cell>
          <cell r="F9020">
            <v>0</v>
          </cell>
          <cell r="G9020">
            <v>275</v>
          </cell>
          <cell r="H9020">
            <v>0</v>
          </cell>
        </row>
        <row r="9021">
          <cell r="D9021" t="str">
            <v>Furnitures</v>
          </cell>
          <cell r="F9021">
            <v>0</v>
          </cell>
          <cell r="G9021">
            <v>275</v>
          </cell>
          <cell r="H9021">
            <v>0</v>
          </cell>
        </row>
        <row r="9022">
          <cell r="D9022" t="str">
            <v>Furnitures</v>
          </cell>
          <cell r="F9022">
            <v>0</v>
          </cell>
          <cell r="G9022">
            <v>275</v>
          </cell>
          <cell r="H9022">
            <v>0</v>
          </cell>
        </row>
        <row r="9023">
          <cell r="D9023" t="str">
            <v>Furnitures</v>
          </cell>
          <cell r="F9023">
            <v>0</v>
          </cell>
          <cell r="G9023">
            <v>275</v>
          </cell>
          <cell r="H9023">
            <v>0</v>
          </cell>
        </row>
        <row r="9024">
          <cell r="D9024" t="str">
            <v>Furnitures</v>
          </cell>
          <cell r="F9024">
            <v>0</v>
          </cell>
          <cell r="G9024">
            <v>275</v>
          </cell>
          <cell r="H9024">
            <v>0</v>
          </cell>
        </row>
        <row r="9025">
          <cell r="D9025" t="str">
            <v>Furnitures</v>
          </cell>
          <cell r="F9025">
            <v>0</v>
          </cell>
          <cell r="G9025">
            <v>275</v>
          </cell>
          <cell r="H9025">
            <v>0</v>
          </cell>
        </row>
        <row r="9026">
          <cell r="D9026" t="str">
            <v>Furnitures</v>
          </cell>
          <cell r="F9026">
            <v>0</v>
          </cell>
          <cell r="G9026">
            <v>275</v>
          </cell>
          <cell r="H9026">
            <v>0</v>
          </cell>
        </row>
        <row r="9027">
          <cell r="D9027" t="str">
            <v>Furnitures</v>
          </cell>
          <cell r="F9027">
            <v>0</v>
          </cell>
          <cell r="G9027">
            <v>275</v>
          </cell>
          <cell r="H9027">
            <v>0</v>
          </cell>
        </row>
        <row r="9028">
          <cell r="D9028" t="str">
            <v>Furnitures</v>
          </cell>
          <cell r="F9028">
            <v>0</v>
          </cell>
          <cell r="G9028">
            <v>275</v>
          </cell>
          <cell r="H9028">
            <v>0</v>
          </cell>
        </row>
        <row r="9029">
          <cell r="D9029" t="str">
            <v>Furnitures</v>
          </cell>
          <cell r="F9029">
            <v>0</v>
          </cell>
          <cell r="G9029">
            <v>275</v>
          </cell>
          <cell r="H9029">
            <v>0</v>
          </cell>
        </row>
        <row r="9030">
          <cell r="D9030" t="str">
            <v>Furnitures</v>
          </cell>
          <cell r="F9030">
            <v>0</v>
          </cell>
          <cell r="G9030">
            <v>275</v>
          </cell>
          <cell r="H9030">
            <v>0</v>
          </cell>
        </row>
        <row r="9031">
          <cell r="D9031" t="str">
            <v>Furnitures</v>
          </cell>
          <cell r="F9031">
            <v>0</v>
          </cell>
          <cell r="G9031">
            <v>275</v>
          </cell>
          <cell r="H9031">
            <v>0</v>
          </cell>
        </row>
        <row r="9032">
          <cell r="D9032" t="str">
            <v>Furnitures</v>
          </cell>
          <cell r="F9032">
            <v>0</v>
          </cell>
          <cell r="G9032">
            <v>275</v>
          </cell>
          <cell r="H9032">
            <v>0</v>
          </cell>
        </row>
        <row r="9033">
          <cell r="D9033" t="str">
            <v>Furnitures</v>
          </cell>
          <cell r="F9033">
            <v>0</v>
          </cell>
          <cell r="G9033">
            <v>275</v>
          </cell>
          <cell r="H9033">
            <v>0</v>
          </cell>
        </row>
        <row r="9034">
          <cell r="D9034" t="str">
            <v>Furnitures</v>
          </cell>
          <cell r="F9034">
            <v>0</v>
          </cell>
          <cell r="G9034">
            <v>275</v>
          </cell>
          <cell r="H9034">
            <v>0</v>
          </cell>
        </row>
        <row r="9035">
          <cell r="D9035" t="str">
            <v>Furnitures</v>
          </cell>
          <cell r="F9035">
            <v>0</v>
          </cell>
          <cell r="G9035">
            <v>275</v>
          </cell>
          <cell r="H9035">
            <v>0</v>
          </cell>
        </row>
        <row r="9036">
          <cell r="D9036" t="str">
            <v>Furnitures</v>
          </cell>
          <cell r="F9036">
            <v>0</v>
          </cell>
          <cell r="G9036">
            <v>275</v>
          </cell>
          <cell r="H9036">
            <v>0</v>
          </cell>
        </row>
        <row r="9037">
          <cell r="D9037" t="str">
            <v>Furnitures</v>
          </cell>
          <cell r="F9037">
            <v>0</v>
          </cell>
          <cell r="G9037">
            <v>275</v>
          </cell>
          <cell r="H9037">
            <v>0</v>
          </cell>
        </row>
        <row r="9038">
          <cell r="D9038" t="str">
            <v>Furnitures</v>
          </cell>
          <cell r="F9038">
            <v>0</v>
          </cell>
          <cell r="G9038">
            <v>275</v>
          </cell>
          <cell r="H9038">
            <v>0</v>
          </cell>
        </row>
        <row r="9039">
          <cell r="D9039" t="str">
            <v>Furnitures</v>
          </cell>
          <cell r="F9039">
            <v>0</v>
          </cell>
          <cell r="G9039">
            <v>275</v>
          </cell>
          <cell r="H9039">
            <v>0</v>
          </cell>
        </row>
        <row r="9040">
          <cell r="D9040" t="str">
            <v>Furnitures</v>
          </cell>
          <cell r="F9040">
            <v>0</v>
          </cell>
          <cell r="G9040">
            <v>275</v>
          </cell>
          <cell r="H9040">
            <v>0</v>
          </cell>
        </row>
        <row r="9041">
          <cell r="D9041" t="str">
            <v>Furnitures</v>
          </cell>
          <cell r="F9041">
            <v>0</v>
          </cell>
          <cell r="G9041">
            <v>275</v>
          </cell>
          <cell r="H9041">
            <v>0</v>
          </cell>
        </row>
        <row r="9042">
          <cell r="D9042" t="str">
            <v>Furnitures</v>
          </cell>
          <cell r="F9042">
            <v>0</v>
          </cell>
          <cell r="G9042">
            <v>275</v>
          </cell>
          <cell r="H9042">
            <v>0</v>
          </cell>
        </row>
        <row r="9043">
          <cell r="D9043" t="str">
            <v>Furnitures</v>
          </cell>
          <cell r="F9043">
            <v>0</v>
          </cell>
          <cell r="G9043">
            <v>275</v>
          </cell>
          <cell r="H9043">
            <v>0</v>
          </cell>
        </row>
        <row r="9044">
          <cell r="D9044" t="str">
            <v>Furnitures</v>
          </cell>
          <cell r="F9044">
            <v>0</v>
          </cell>
          <cell r="G9044">
            <v>275</v>
          </cell>
          <cell r="H9044">
            <v>0</v>
          </cell>
        </row>
        <row r="9045">
          <cell r="D9045" t="str">
            <v>Furnitures</v>
          </cell>
          <cell r="F9045">
            <v>0</v>
          </cell>
          <cell r="G9045">
            <v>275</v>
          </cell>
          <cell r="H9045">
            <v>0</v>
          </cell>
        </row>
        <row r="9046">
          <cell r="D9046" t="str">
            <v>Furnitures</v>
          </cell>
          <cell r="F9046">
            <v>0</v>
          </cell>
          <cell r="G9046">
            <v>275</v>
          </cell>
          <cell r="H9046">
            <v>0</v>
          </cell>
        </row>
        <row r="9047">
          <cell r="D9047" t="str">
            <v>Furnitures</v>
          </cell>
          <cell r="F9047">
            <v>0</v>
          </cell>
          <cell r="G9047">
            <v>275</v>
          </cell>
          <cell r="H9047">
            <v>0</v>
          </cell>
        </row>
        <row r="9048">
          <cell r="D9048" t="str">
            <v>Furnitures</v>
          </cell>
          <cell r="F9048">
            <v>0</v>
          </cell>
          <cell r="G9048">
            <v>275</v>
          </cell>
          <cell r="H9048">
            <v>0</v>
          </cell>
        </row>
        <row r="9049">
          <cell r="D9049" t="str">
            <v>Furnitures</v>
          </cell>
          <cell r="F9049">
            <v>0</v>
          </cell>
          <cell r="G9049">
            <v>275</v>
          </cell>
          <cell r="H9049">
            <v>0</v>
          </cell>
        </row>
        <row r="9050">
          <cell r="D9050" t="str">
            <v>Furnitures</v>
          </cell>
          <cell r="F9050">
            <v>0</v>
          </cell>
          <cell r="G9050">
            <v>275</v>
          </cell>
          <cell r="H9050">
            <v>0</v>
          </cell>
        </row>
        <row r="9051">
          <cell r="D9051" t="str">
            <v>Furnitures</v>
          </cell>
          <cell r="F9051">
            <v>0</v>
          </cell>
          <cell r="G9051">
            <v>275</v>
          </cell>
          <cell r="H9051">
            <v>0</v>
          </cell>
        </row>
        <row r="9052">
          <cell r="D9052" t="str">
            <v>Furnitures</v>
          </cell>
          <cell r="F9052">
            <v>0</v>
          </cell>
          <cell r="G9052">
            <v>275</v>
          </cell>
          <cell r="H9052">
            <v>0</v>
          </cell>
        </row>
        <row r="9053">
          <cell r="D9053" t="str">
            <v>Furnitures</v>
          </cell>
          <cell r="F9053">
            <v>0</v>
          </cell>
          <cell r="G9053">
            <v>275</v>
          </cell>
          <cell r="H9053">
            <v>0</v>
          </cell>
        </row>
        <row r="9054">
          <cell r="D9054" t="str">
            <v>Furnitures</v>
          </cell>
          <cell r="F9054">
            <v>0</v>
          </cell>
          <cell r="G9054">
            <v>275</v>
          </cell>
          <cell r="H9054">
            <v>0</v>
          </cell>
        </row>
        <row r="9055">
          <cell r="D9055" t="str">
            <v>Furnitures</v>
          </cell>
          <cell r="F9055">
            <v>0</v>
          </cell>
          <cell r="G9055">
            <v>275</v>
          </cell>
          <cell r="H9055">
            <v>0</v>
          </cell>
        </row>
        <row r="9056">
          <cell r="D9056" t="str">
            <v>Furnitures</v>
          </cell>
          <cell r="F9056">
            <v>0</v>
          </cell>
          <cell r="G9056">
            <v>275</v>
          </cell>
          <cell r="H9056">
            <v>0</v>
          </cell>
        </row>
        <row r="9057">
          <cell r="D9057" t="str">
            <v>Furnitures</v>
          </cell>
          <cell r="F9057">
            <v>0</v>
          </cell>
          <cell r="G9057">
            <v>275</v>
          </cell>
          <cell r="H9057">
            <v>0</v>
          </cell>
        </row>
        <row r="9058">
          <cell r="D9058" t="str">
            <v>Furnitures</v>
          </cell>
          <cell r="F9058">
            <v>0</v>
          </cell>
          <cell r="G9058">
            <v>275</v>
          </cell>
          <cell r="H9058">
            <v>0</v>
          </cell>
        </row>
        <row r="9059">
          <cell r="D9059" t="str">
            <v>Furnitures</v>
          </cell>
          <cell r="F9059">
            <v>0</v>
          </cell>
          <cell r="G9059">
            <v>275</v>
          </cell>
          <cell r="H9059">
            <v>0</v>
          </cell>
        </row>
        <row r="9060">
          <cell r="D9060" t="str">
            <v>Furnitures</v>
          </cell>
          <cell r="F9060">
            <v>0</v>
          </cell>
          <cell r="G9060">
            <v>275</v>
          </cell>
          <cell r="H9060">
            <v>0</v>
          </cell>
        </row>
        <row r="9061">
          <cell r="D9061" t="str">
            <v>Furnitures</v>
          </cell>
          <cell r="F9061">
            <v>0</v>
          </cell>
          <cell r="G9061">
            <v>275</v>
          </cell>
          <cell r="H9061">
            <v>0</v>
          </cell>
        </row>
        <row r="9062">
          <cell r="D9062" t="str">
            <v>Furnitures</v>
          </cell>
          <cell r="F9062">
            <v>0</v>
          </cell>
          <cell r="G9062">
            <v>275</v>
          </cell>
          <cell r="H9062">
            <v>0</v>
          </cell>
        </row>
        <row r="9063">
          <cell r="D9063" t="str">
            <v>Furnitures</v>
          </cell>
          <cell r="F9063">
            <v>0</v>
          </cell>
          <cell r="G9063">
            <v>275</v>
          </cell>
          <cell r="H9063">
            <v>0</v>
          </cell>
        </row>
        <row r="9064">
          <cell r="D9064" t="str">
            <v>Furnitures</v>
          </cell>
          <cell r="F9064">
            <v>0</v>
          </cell>
          <cell r="G9064">
            <v>275</v>
          </cell>
          <cell r="H9064">
            <v>0</v>
          </cell>
        </row>
        <row r="9065">
          <cell r="D9065" t="str">
            <v>Furnitures</v>
          </cell>
          <cell r="F9065">
            <v>0</v>
          </cell>
          <cell r="G9065">
            <v>275</v>
          </cell>
          <cell r="H9065">
            <v>0</v>
          </cell>
        </row>
        <row r="9066">
          <cell r="D9066" t="str">
            <v>Furnitures</v>
          </cell>
          <cell r="F9066">
            <v>0</v>
          </cell>
          <cell r="G9066">
            <v>275</v>
          </cell>
          <cell r="H9066">
            <v>0</v>
          </cell>
        </row>
        <row r="9067">
          <cell r="D9067" t="str">
            <v>Furnitures</v>
          </cell>
          <cell r="F9067">
            <v>0</v>
          </cell>
          <cell r="G9067">
            <v>275</v>
          </cell>
          <cell r="H9067">
            <v>0</v>
          </cell>
        </row>
        <row r="9068">
          <cell r="D9068" t="str">
            <v>Furnitures</v>
          </cell>
          <cell r="F9068">
            <v>0</v>
          </cell>
          <cell r="G9068">
            <v>275</v>
          </cell>
          <cell r="H9068">
            <v>0</v>
          </cell>
        </row>
        <row r="9069">
          <cell r="D9069" t="str">
            <v>Furnitures</v>
          </cell>
          <cell r="F9069">
            <v>0</v>
          </cell>
          <cell r="G9069">
            <v>275</v>
          </cell>
          <cell r="H9069">
            <v>0</v>
          </cell>
        </row>
        <row r="9070">
          <cell r="D9070" t="str">
            <v>Furnitures</v>
          </cell>
          <cell r="F9070">
            <v>0</v>
          </cell>
          <cell r="G9070">
            <v>275</v>
          </cell>
          <cell r="H9070">
            <v>0</v>
          </cell>
        </row>
        <row r="9071">
          <cell r="D9071" t="str">
            <v>Furnitures</v>
          </cell>
          <cell r="F9071">
            <v>0</v>
          </cell>
          <cell r="G9071">
            <v>275</v>
          </cell>
          <cell r="H9071">
            <v>0</v>
          </cell>
        </row>
        <row r="9072">
          <cell r="D9072" t="str">
            <v>Furnitures</v>
          </cell>
          <cell r="F9072">
            <v>0</v>
          </cell>
          <cell r="G9072">
            <v>275</v>
          </cell>
          <cell r="H9072">
            <v>0</v>
          </cell>
        </row>
        <row r="9073">
          <cell r="D9073" t="str">
            <v>Furnitures</v>
          </cell>
          <cell r="F9073">
            <v>0</v>
          </cell>
          <cell r="G9073">
            <v>275</v>
          </cell>
          <cell r="H9073">
            <v>0</v>
          </cell>
        </row>
        <row r="9074">
          <cell r="D9074" t="str">
            <v>Furnitures</v>
          </cell>
          <cell r="F9074">
            <v>0</v>
          </cell>
          <cell r="G9074">
            <v>275</v>
          </cell>
          <cell r="H9074">
            <v>0</v>
          </cell>
        </row>
        <row r="9075">
          <cell r="D9075" t="str">
            <v>Furnitures</v>
          </cell>
          <cell r="F9075">
            <v>0</v>
          </cell>
          <cell r="G9075">
            <v>275</v>
          </cell>
          <cell r="H9075">
            <v>0</v>
          </cell>
        </row>
        <row r="9076">
          <cell r="D9076" t="str">
            <v>Furnitures</v>
          </cell>
          <cell r="F9076">
            <v>0</v>
          </cell>
          <cell r="G9076">
            <v>275</v>
          </cell>
          <cell r="H9076">
            <v>0</v>
          </cell>
        </row>
        <row r="9077">
          <cell r="D9077" t="str">
            <v>Furnitures</v>
          </cell>
          <cell r="F9077">
            <v>0</v>
          </cell>
          <cell r="G9077">
            <v>275</v>
          </cell>
          <cell r="H9077">
            <v>0</v>
          </cell>
        </row>
        <row r="9078">
          <cell r="D9078" t="str">
            <v>Furnitures</v>
          </cell>
          <cell r="F9078">
            <v>0</v>
          </cell>
          <cell r="G9078">
            <v>275</v>
          </cell>
          <cell r="H9078">
            <v>0</v>
          </cell>
        </row>
        <row r="9079">
          <cell r="D9079" t="str">
            <v>Furnitures</v>
          </cell>
          <cell r="F9079">
            <v>0</v>
          </cell>
          <cell r="G9079">
            <v>275</v>
          </cell>
          <cell r="H9079">
            <v>0</v>
          </cell>
        </row>
        <row r="9080">
          <cell r="D9080" t="str">
            <v>Furnitures</v>
          </cell>
          <cell r="F9080">
            <v>0</v>
          </cell>
          <cell r="G9080">
            <v>275</v>
          </cell>
          <cell r="H9080">
            <v>0</v>
          </cell>
        </row>
        <row r="9081">
          <cell r="D9081" t="str">
            <v>Furnitures</v>
          </cell>
          <cell r="F9081">
            <v>0</v>
          </cell>
          <cell r="G9081">
            <v>275</v>
          </cell>
          <cell r="H9081">
            <v>0</v>
          </cell>
        </row>
        <row r="9082">
          <cell r="D9082" t="str">
            <v>Furnitures</v>
          </cell>
          <cell r="F9082">
            <v>0</v>
          </cell>
          <cell r="G9082">
            <v>275</v>
          </cell>
          <cell r="H9082">
            <v>0</v>
          </cell>
        </row>
        <row r="9083">
          <cell r="D9083" t="str">
            <v>Furnitures</v>
          </cell>
          <cell r="F9083">
            <v>0</v>
          </cell>
          <cell r="G9083">
            <v>275</v>
          </cell>
          <cell r="H9083">
            <v>0</v>
          </cell>
        </row>
        <row r="9084">
          <cell r="D9084" t="str">
            <v>Furnitures</v>
          </cell>
          <cell r="F9084">
            <v>0</v>
          </cell>
          <cell r="G9084">
            <v>275</v>
          </cell>
          <cell r="H9084">
            <v>0</v>
          </cell>
        </row>
        <row r="9085">
          <cell r="D9085" t="str">
            <v>Furnitures</v>
          </cell>
          <cell r="F9085">
            <v>0</v>
          </cell>
          <cell r="G9085">
            <v>275</v>
          </cell>
          <cell r="H9085">
            <v>0</v>
          </cell>
        </row>
        <row r="9086">
          <cell r="D9086" t="str">
            <v>Furnitures</v>
          </cell>
          <cell r="F9086">
            <v>0</v>
          </cell>
          <cell r="G9086">
            <v>275</v>
          </cell>
          <cell r="H9086">
            <v>0</v>
          </cell>
        </row>
        <row r="9087">
          <cell r="D9087" t="str">
            <v>Furnitures</v>
          </cell>
          <cell r="F9087">
            <v>0</v>
          </cell>
          <cell r="G9087">
            <v>275</v>
          </cell>
          <cell r="H9087">
            <v>0</v>
          </cell>
        </row>
        <row r="9088">
          <cell r="D9088" t="str">
            <v>Furnitures</v>
          </cell>
          <cell r="F9088">
            <v>0</v>
          </cell>
          <cell r="G9088">
            <v>275</v>
          </cell>
          <cell r="H9088">
            <v>0</v>
          </cell>
        </row>
        <row r="9089">
          <cell r="D9089" t="str">
            <v>Furnitures</v>
          </cell>
          <cell r="F9089">
            <v>0</v>
          </cell>
          <cell r="G9089">
            <v>275</v>
          </cell>
          <cell r="H9089">
            <v>0</v>
          </cell>
        </row>
        <row r="9090">
          <cell r="D9090" t="str">
            <v>Furnitures</v>
          </cell>
          <cell r="F9090">
            <v>0</v>
          </cell>
          <cell r="G9090">
            <v>275</v>
          </cell>
          <cell r="H9090">
            <v>0</v>
          </cell>
        </row>
        <row r="9091">
          <cell r="D9091" t="str">
            <v>Furnitures</v>
          </cell>
          <cell r="F9091">
            <v>0</v>
          </cell>
          <cell r="G9091">
            <v>275</v>
          </cell>
          <cell r="H9091">
            <v>0</v>
          </cell>
        </row>
        <row r="9092">
          <cell r="D9092" t="str">
            <v>Furnitures</v>
          </cell>
          <cell r="F9092">
            <v>0</v>
          </cell>
          <cell r="G9092">
            <v>275</v>
          </cell>
          <cell r="H9092">
            <v>0</v>
          </cell>
        </row>
        <row r="9093">
          <cell r="D9093" t="str">
            <v>Furnitures</v>
          </cell>
          <cell r="F9093">
            <v>0</v>
          </cell>
          <cell r="G9093">
            <v>275</v>
          </cell>
          <cell r="H9093">
            <v>0</v>
          </cell>
        </row>
        <row r="9094">
          <cell r="D9094" t="str">
            <v>Furnitures</v>
          </cell>
          <cell r="F9094">
            <v>0</v>
          </cell>
          <cell r="G9094">
            <v>275</v>
          </cell>
          <cell r="H9094">
            <v>0</v>
          </cell>
        </row>
        <row r="9095">
          <cell r="D9095" t="str">
            <v>Furnitures</v>
          </cell>
          <cell r="F9095">
            <v>0</v>
          </cell>
          <cell r="G9095">
            <v>275</v>
          </cell>
          <cell r="H9095">
            <v>0</v>
          </cell>
        </row>
        <row r="9096">
          <cell r="D9096" t="str">
            <v>Furnitures</v>
          </cell>
          <cell r="F9096">
            <v>0</v>
          </cell>
          <cell r="G9096">
            <v>275</v>
          </cell>
          <cell r="H9096">
            <v>0</v>
          </cell>
        </row>
        <row r="9097">
          <cell r="D9097" t="str">
            <v>Furnitures</v>
          </cell>
          <cell r="F9097">
            <v>0</v>
          </cell>
          <cell r="G9097">
            <v>275</v>
          </cell>
          <cell r="H9097">
            <v>0</v>
          </cell>
        </row>
        <row r="9098">
          <cell r="D9098" t="str">
            <v>Furnitures</v>
          </cell>
          <cell r="F9098">
            <v>0</v>
          </cell>
          <cell r="G9098">
            <v>275</v>
          </cell>
          <cell r="H9098">
            <v>0</v>
          </cell>
        </row>
        <row r="9099">
          <cell r="D9099" t="str">
            <v>Furnitures</v>
          </cell>
          <cell r="F9099">
            <v>0</v>
          </cell>
          <cell r="G9099">
            <v>275</v>
          </cell>
          <cell r="H9099">
            <v>0</v>
          </cell>
        </row>
        <row r="9100">
          <cell r="D9100" t="str">
            <v>Furnitures</v>
          </cell>
          <cell r="F9100">
            <v>0</v>
          </cell>
          <cell r="G9100">
            <v>275</v>
          </cell>
          <cell r="H9100">
            <v>0</v>
          </cell>
        </row>
        <row r="9101">
          <cell r="D9101" t="str">
            <v>Furnitures</v>
          </cell>
          <cell r="F9101">
            <v>0</v>
          </cell>
          <cell r="G9101">
            <v>275</v>
          </cell>
          <cell r="H9101">
            <v>0</v>
          </cell>
        </row>
        <row r="9102">
          <cell r="D9102" t="str">
            <v>Furnitures</v>
          </cell>
          <cell r="F9102">
            <v>0</v>
          </cell>
          <cell r="G9102">
            <v>275</v>
          </cell>
          <cell r="H9102">
            <v>0</v>
          </cell>
        </row>
        <row r="9103">
          <cell r="D9103" t="str">
            <v>Furnitures</v>
          </cell>
          <cell r="F9103">
            <v>0</v>
          </cell>
          <cell r="G9103">
            <v>275</v>
          </cell>
          <cell r="H9103">
            <v>0</v>
          </cell>
        </row>
        <row r="9104">
          <cell r="D9104" t="str">
            <v>Furnitures</v>
          </cell>
          <cell r="F9104">
            <v>0</v>
          </cell>
          <cell r="G9104">
            <v>275</v>
          </cell>
          <cell r="H9104">
            <v>0</v>
          </cell>
        </row>
        <row r="9105">
          <cell r="D9105" t="str">
            <v>Furnitures</v>
          </cell>
          <cell r="F9105">
            <v>0</v>
          </cell>
          <cell r="G9105">
            <v>275</v>
          </cell>
          <cell r="H9105">
            <v>0</v>
          </cell>
        </row>
        <row r="9106">
          <cell r="D9106" t="str">
            <v>Furnitures</v>
          </cell>
          <cell r="F9106">
            <v>0</v>
          </cell>
          <cell r="G9106">
            <v>275</v>
          </cell>
          <cell r="H9106">
            <v>0</v>
          </cell>
        </row>
        <row r="9107">
          <cell r="D9107" t="str">
            <v>Furnitures</v>
          </cell>
          <cell r="F9107">
            <v>0</v>
          </cell>
          <cell r="G9107">
            <v>275</v>
          </cell>
          <cell r="H9107">
            <v>0</v>
          </cell>
        </row>
        <row r="9108">
          <cell r="D9108" t="str">
            <v>Furnitures</v>
          </cell>
          <cell r="F9108">
            <v>0</v>
          </cell>
          <cell r="G9108">
            <v>275</v>
          </cell>
          <cell r="H9108">
            <v>0</v>
          </cell>
        </row>
        <row r="9109">
          <cell r="D9109" t="str">
            <v>Furnitures</v>
          </cell>
          <cell r="F9109">
            <v>0</v>
          </cell>
          <cell r="G9109">
            <v>275</v>
          </cell>
          <cell r="H9109">
            <v>0</v>
          </cell>
        </row>
        <row r="9110">
          <cell r="D9110" t="str">
            <v>Furnitures</v>
          </cell>
          <cell r="F9110">
            <v>0</v>
          </cell>
          <cell r="G9110">
            <v>275</v>
          </cell>
          <cell r="H9110">
            <v>0</v>
          </cell>
        </row>
        <row r="9111">
          <cell r="D9111" t="str">
            <v>Furnitures</v>
          </cell>
          <cell r="F9111">
            <v>0</v>
          </cell>
          <cell r="G9111">
            <v>275</v>
          </cell>
          <cell r="H9111">
            <v>0</v>
          </cell>
        </row>
        <row r="9112">
          <cell r="D9112" t="str">
            <v>Furnitures</v>
          </cell>
          <cell r="F9112">
            <v>0</v>
          </cell>
          <cell r="G9112">
            <v>275</v>
          </cell>
          <cell r="H9112">
            <v>0</v>
          </cell>
        </row>
        <row r="9113">
          <cell r="D9113" t="str">
            <v>Furnitures</v>
          </cell>
          <cell r="F9113">
            <v>0</v>
          </cell>
          <cell r="G9113">
            <v>275</v>
          </cell>
          <cell r="H9113">
            <v>0</v>
          </cell>
        </row>
        <row r="9114">
          <cell r="D9114" t="str">
            <v>Furnitures</v>
          </cell>
          <cell r="F9114">
            <v>0</v>
          </cell>
          <cell r="G9114">
            <v>275</v>
          </cell>
          <cell r="H9114">
            <v>0</v>
          </cell>
        </row>
        <row r="9115">
          <cell r="D9115" t="str">
            <v>Furnitures</v>
          </cell>
          <cell r="F9115">
            <v>0</v>
          </cell>
          <cell r="G9115">
            <v>275</v>
          </cell>
          <cell r="H9115">
            <v>0</v>
          </cell>
        </row>
        <row r="9116">
          <cell r="D9116" t="str">
            <v>Furnitures</v>
          </cell>
          <cell r="F9116">
            <v>0</v>
          </cell>
          <cell r="G9116">
            <v>275</v>
          </cell>
          <cell r="H9116">
            <v>0</v>
          </cell>
        </row>
        <row r="9117">
          <cell r="D9117" t="str">
            <v>Furnitures</v>
          </cell>
          <cell r="F9117">
            <v>0</v>
          </cell>
          <cell r="G9117">
            <v>275</v>
          </cell>
          <cell r="H9117">
            <v>0</v>
          </cell>
        </row>
        <row r="9118">
          <cell r="D9118" t="str">
            <v>Furnitures</v>
          </cell>
          <cell r="F9118">
            <v>0</v>
          </cell>
          <cell r="G9118">
            <v>275</v>
          </cell>
          <cell r="H9118">
            <v>0</v>
          </cell>
        </row>
        <row r="9119">
          <cell r="D9119" t="str">
            <v>Furnitures</v>
          </cell>
          <cell r="F9119">
            <v>0</v>
          </cell>
          <cell r="G9119">
            <v>275</v>
          </cell>
          <cell r="H9119">
            <v>0</v>
          </cell>
        </row>
        <row r="9120">
          <cell r="D9120" t="str">
            <v>Furnitures</v>
          </cell>
          <cell r="F9120">
            <v>0</v>
          </cell>
          <cell r="G9120">
            <v>275</v>
          </cell>
          <cell r="H9120">
            <v>0</v>
          </cell>
        </row>
        <row r="9121">
          <cell r="D9121" t="str">
            <v>Furnitures</v>
          </cell>
          <cell r="F9121">
            <v>0</v>
          </cell>
          <cell r="G9121">
            <v>275</v>
          </cell>
          <cell r="H9121">
            <v>0</v>
          </cell>
        </row>
        <row r="9122">
          <cell r="D9122" t="str">
            <v>Furnitures</v>
          </cell>
          <cell r="F9122">
            <v>0</v>
          </cell>
          <cell r="G9122">
            <v>275</v>
          </cell>
          <cell r="H9122">
            <v>0</v>
          </cell>
        </row>
        <row r="9123">
          <cell r="D9123" t="str">
            <v>Furnitures</v>
          </cell>
          <cell r="F9123">
            <v>0</v>
          </cell>
          <cell r="G9123">
            <v>275</v>
          </cell>
          <cell r="H9123">
            <v>0</v>
          </cell>
        </row>
        <row r="9124">
          <cell r="D9124" t="str">
            <v>Furnitures</v>
          </cell>
          <cell r="F9124">
            <v>0</v>
          </cell>
          <cell r="G9124">
            <v>275</v>
          </cell>
          <cell r="H9124">
            <v>0</v>
          </cell>
        </row>
        <row r="9125">
          <cell r="D9125" t="str">
            <v>Furnitures</v>
          </cell>
          <cell r="F9125">
            <v>0</v>
          </cell>
          <cell r="G9125">
            <v>275</v>
          </cell>
          <cell r="H9125">
            <v>0</v>
          </cell>
        </row>
        <row r="9126">
          <cell r="D9126" t="str">
            <v>Furnitures</v>
          </cell>
          <cell r="F9126">
            <v>0</v>
          </cell>
          <cell r="G9126">
            <v>275</v>
          </cell>
          <cell r="H9126">
            <v>0</v>
          </cell>
        </row>
        <row r="9127">
          <cell r="D9127" t="str">
            <v>Furnitures</v>
          </cell>
          <cell r="F9127">
            <v>0</v>
          </cell>
          <cell r="G9127">
            <v>275</v>
          </cell>
          <cell r="H9127">
            <v>0</v>
          </cell>
        </row>
        <row r="9128">
          <cell r="D9128" t="str">
            <v>Furnitures</v>
          </cell>
          <cell r="F9128">
            <v>0</v>
          </cell>
          <cell r="G9128">
            <v>275</v>
          </cell>
          <cell r="H9128">
            <v>0</v>
          </cell>
        </row>
        <row r="9129">
          <cell r="D9129" t="str">
            <v>Furnitures</v>
          </cell>
          <cell r="F9129">
            <v>0</v>
          </cell>
          <cell r="G9129">
            <v>275</v>
          </cell>
          <cell r="H9129">
            <v>0</v>
          </cell>
        </row>
        <row r="9130">
          <cell r="D9130" t="str">
            <v>Furnitures</v>
          </cell>
          <cell r="F9130">
            <v>0</v>
          </cell>
          <cell r="G9130">
            <v>275</v>
          </cell>
          <cell r="H9130">
            <v>0</v>
          </cell>
        </row>
        <row r="9131">
          <cell r="D9131" t="str">
            <v>Furnitures</v>
          </cell>
          <cell r="F9131">
            <v>0</v>
          </cell>
          <cell r="G9131">
            <v>275</v>
          </cell>
          <cell r="H9131">
            <v>0</v>
          </cell>
        </row>
        <row r="9132">
          <cell r="D9132" t="str">
            <v>Furnitures</v>
          </cell>
          <cell r="F9132">
            <v>0</v>
          </cell>
          <cell r="G9132">
            <v>275</v>
          </cell>
          <cell r="H9132">
            <v>0</v>
          </cell>
        </row>
        <row r="9133">
          <cell r="D9133" t="str">
            <v>Furnitures</v>
          </cell>
          <cell r="F9133">
            <v>0</v>
          </cell>
          <cell r="G9133">
            <v>275</v>
          </cell>
          <cell r="H9133">
            <v>0</v>
          </cell>
        </row>
        <row r="9134">
          <cell r="D9134" t="str">
            <v>Furnitures</v>
          </cell>
          <cell r="F9134">
            <v>0</v>
          </cell>
          <cell r="G9134">
            <v>275</v>
          </cell>
          <cell r="H9134">
            <v>0</v>
          </cell>
        </row>
        <row r="9135">
          <cell r="D9135" t="str">
            <v>Furnitures</v>
          </cell>
          <cell r="F9135">
            <v>0</v>
          </cell>
          <cell r="G9135">
            <v>275</v>
          </cell>
          <cell r="H9135">
            <v>0</v>
          </cell>
        </row>
        <row r="9136">
          <cell r="D9136" t="str">
            <v>Furnitures</v>
          </cell>
          <cell r="F9136">
            <v>0</v>
          </cell>
          <cell r="G9136">
            <v>275</v>
          </cell>
          <cell r="H9136">
            <v>0</v>
          </cell>
        </row>
        <row r="9137">
          <cell r="D9137" t="str">
            <v>Furnitures</v>
          </cell>
          <cell r="F9137">
            <v>0</v>
          </cell>
          <cell r="G9137">
            <v>275</v>
          </cell>
          <cell r="H9137">
            <v>0</v>
          </cell>
        </row>
        <row r="9138">
          <cell r="D9138" t="str">
            <v>Furnitures</v>
          </cell>
          <cell r="F9138">
            <v>0</v>
          </cell>
          <cell r="G9138">
            <v>275</v>
          </cell>
          <cell r="H9138">
            <v>0</v>
          </cell>
        </row>
        <row r="9139">
          <cell r="D9139" t="str">
            <v>Furnitures</v>
          </cell>
          <cell r="F9139">
            <v>0</v>
          </cell>
          <cell r="G9139">
            <v>275</v>
          </cell>
          <cell r="H9139">
            <v>0</v>
          </cell>
        </row>
        <row r="9140">
          <cell r="D9140" t="str">
            <v>Furnitures</v>
          </cell>
          <cell r="F9140">
            <v>0</v>
          </cell>
          <cell r="G9140">
            <v>275</v>
          </cell>
          <cell r="H9140">
            <v>0</v>
          </cell>
        </row>
        <row r="9141">
          <cell r="D9141" t="str">
            <v>Furnitures</v>
          </cell>
          <cell r="F9141">
            <v>0</v>
          </cell>
          <cell r="G9141">
            <v>275</v>
          </cell>
          <cell r="H9141">
            <v>0</v>
          </cell>
        </row>
        <row r="9142">
          <cell r="D9142" t="str">
            <v>Furnitures</v>
          </cell>
          <cell r="F9142">
            <v>0</v>
          </cell>
          <cell r="G9142">
            <v>275</v>
          </cell>
          <cell r="H9142">
            <v>0</v>
          </cell>
        </row>
        <row r="9143">
          <cell r="D9143" t="str">
            <v>Furnitures</v>
          </cell>
          <cell r="F9143">
            <v>0</v>
          </cell>
          <cell r="G9143">
            <v>275</v>
          </cell>
          <cell r="H9143">
            <v>0</v>
          </cell>
        </row>
        <row r="9144">
          <cell r="D9144" t="str">
            <v>Furnitures</v>
          </cell>
          <cell r="F9144">
            <v>0</v>
          </cell>
          <cell r="G9144">
            <v>275</v>
          </cell>
          <cell r="H9144">
            <v>0</v>
          </cell>
        </row>
        <row r="9145">
          <cell r="D9145" t="str">
            <v>Furnitures</v>
          </cell>
          <cell r="F9145">
            <v>0</v>
          </cell>
          <cell r="G9145">
            <v>275</v>
          </cell>
          <cell r="H9145">
            <v>0</v>
          </cell>
        </row>
        <row r="9146">
          <cell r="D9146" t="str">
            <v>Furnitures</v>
          </cell>
          <cell r="F9146">
            <v>0</v>
          </cell>
          <cell r="G9146">
            <v>275</v>
          </cell>
          <cell r="H9146">
            <v>0</v>
          </cell>
        </row>
        <row r="9147">
          <cell r="D9147" t="str">
            <v>Furnitures</v>
          </cell>
          <cell r="F9147">
            <v>0</v>
          </cell>
          <cell r="G9147">
            <v>275</v>
          </cell>
          <cell r="H9147">
            <v>0</v>
          </cell>
        </row>
        <row r="9148">
          <cell r="D9148" t="str">
            <v>Furnitures</v>
          </cell>
          <cell r="F9148">
            <v>0</v>
          </cell>
          <cell r="G9148">
            <v>275</v>
          </cell>
          <cell r="H9148">
            <v>0</v>
          </cell>
        </row>
        <row r="9149">
          <cell r="D9149" t="str">
            <v>Furnitures</v>
          </cell>
          <cell r="F9149">
            <v>0</v>
          </cell>
          <cell r="G9149">
            <v>275</v>
          </cell>
          <cell r="H9149">
            <v>0</v>
          </cell>
        </row>
        <row r="9150">
          <cell r="D9150" t="str">
            <v>Furnitures</v>
          </cell>
          <cell r="F9150">
            <v>0</v>
          </cell>
          <cell r="G9150">
            <v>275</v>
          </cell>
          <cell r="H9150">
            <v>0</v>
          </cell>
        </row>
        <row r="9151">
          <cell r="D9151" t="str">
            <v>Furnitures</v>
          </cell>
          <cell r="F9151">
            <v>0</v>
          </cell>
          <cell r="G9151">
            <v>275</v>
          </cell>
          <cell r="H9151">
            <v>0</v>
          </cell>
        </row>
        <row r="9152">
          <cell r="D9152" t="str">
            <v>Furnitures</v>
          </cell>
          <cell r="F9152">
            <v>0</v>
          </cell>
          <cell r="G9152">
            <v>275</v>
          </cell>
          <cell r="H9152">
            <v>0</v>
          </cell>
        </row>
        <row r="9153">
          <cell r="D9153" t="str">
            <v>Furnitures</v>
          </cell>
          <cell r="F9153">
            <v>0</v>
          </cell>
          <cell r="G9153">
            <v>275</v>
          </cell>
          <cell r="H9153">
            <v>0</v>
          </cell>
        </row>
        <row r="9154">
          <cell r="D9154" t="str">
            <v>Furnitures</v>
          </cell>
          <cell r="F9154">
            <v>0</v>
          </cell>
          <cell r="G9154">
            <v>275</v>
          </cell>
          <cell r="H9154">
            <v>0</v>
          </cell>
        </row>
        <row r="9155">
          <cell r="D9155" t="str">
            <v>Furnitures</v>
          </cell>
          <cell r="F9155">
            <v>0</v>
          </cell>
          <cell r="G9155">
            <v>275</v>
          </cell>
          <cell r="H9155">
            <v>0</v>
          </cell>
        </row>
        <row r="9156">
          <cell r="D9156" t="str">
            <v>Furnitures</v>
          </cell>
          <cell r="F9156">
            <v>0</v>
          </cell>
          <cell r="G9156">
            <v>275</v>
          </cell>
          <cell r="H9156">
            <v>0</v>
          </cell>
        </row>
        <row r="9157">
          <cell r="D9157" t="str">
            <v>Furnitures</v>
          </cell>
          <cell r="F9157">
            <v>0</v>
          </cell>
          <cell r="G9157">
            <v>275</v>
          </cell>
          <cell r="H9157">
            <v>0</v>
          </cell>
        </row>
        <row r="9158">
          <cell r="D9158" t="str">
            <v>Furnitures</v>
          </cell>
          <cell r="F9158">
            <v>0</v>
          </cell>
          <cell r="G9158">
            <v>275</v>
          </cell>
          <cell r="H9158">
            <v>0</v>
          </cell>
        </row>
        <row r="9159">
          <cell r="D9159" t="str">
            <v>Furnitures</v>
          </cell>
          <cell r="F9159">
            <v>0</v>
          </cell>
          <cell r="G9159">
            <v>275</v>
          </cell>
          <cell r="H9159">
            <v>0</v>
          </cell>
        </row>
        <row r="9160">
          <cell r="D9160" t="str">
            <v>Furnitures</v>
          </cell>
          <cell r="F9160">
            <v>0</v>
          </cell>
          <cell r="G9160">
            <v>275</v>
          </cell>
          <cell r="H9160">
            <v>0</v>
          </cell>
        </row>
        <row r="9161">
          <cell r="D9161" t="str">
            <v>Furnitures</v>
          </cell>
          <cell r="F9161">
            <v>0</v>
          </cell>
          <cell r="G9161">
            <v>275</v>
          </cell>
          <cell r="H9161">
            <v>0</v>
          </cell>
        </row>
        <row r="9162">
          <cell r="D9162" t="str">
            <v>Furnitures</v>
          </cell>
          <cell r="F9162">
            <v>0</v>
          </cell>
          <cell r="G9162">
            <v>275</v>
          </cell>
          <cell r="H9162">
            <v>0</v>
          </cell>
        </row>
        <row r="9163">
          <cell r="D9163" t="str">
            <v>Furnitures</v>
          </cell>
          <cell r="F9163">
            <v>0</v>
          </cell>
          <cell r="G9163">
            <v>275</v>
          </cell>
          <cell r="H9163">
            <v>0</v>
          </cell>
        </row>
        <row r="9164">
          <cell r="D9164" t="str">
            <v>Furnitures</v>
          </cell>
          <cell r="F9164">
            <v>0</v>
          </cell>
          <cell r="G9164">
            <v>275</v>
          </cell>
          <cell r="H9164">
            <v>0</v>
          </cell>
        </row>
        <row r="9165">
          <cell r="D9165" t="str">
            <v>Furnitures</v>
          </cell>
          <cell r="F9165">
            <v>0</v>
          </cell>
          <cell r="G9165">
            <v>275</v>
          </cell>
          <cell r="H9165">
            <v>0</v>
          </cell>
        </row>
        <row r="9166">
          <cell r="D9166" t="str">
            <v>Furnitures</v>
          </cell>
          <cell r="F9166">
            <v>0</v>
          </cell>
          <cell r="G9166">
            <v>275</v>
          </cell>
          <cell r="H9166">
            <v>0</v>
          </cell>
        </row>
        <row r="9167">
          <cell r="D9167" t="str">
            <v>Furnitures</v>
          </cell>
          <cell r="F9167">
            <v>0</v>
          </cell>
          <cell r="G9167">
            <v>275</v>
          </cell>
          <cell r="H9167">
            <v>0</v>
          </cell>
        </row>
        <row r="9168">
          <cell r="D9168" t="str">
            <v>Furnitures</v>
          </cell>
          <cell r="F9168">
            <v>0</v>
          </cell>
          <cell r="G9168">
            <v>275</v>
          </cell>
          <cell r="H9168">
            <v>0</v>
          </cell>
        </row>
        <row r="9169">
          <cell r="D9169" t="str">
            <v>Furnitures</v>
          </cell>
          <cell r="F9169">
            <v>0</v>
          </cell>
          <cell r="G9169">
            <v>275</v>
          </cell>
          <cell r="H9169">
            <v>0</v>
          </cell>
        </row>
        <row r="9170">
          <cell r="D9170" t="str">
            <v>Furnitures</v>
          </cell>
          <cell r="F9170">
            <v>0</v>
          </cell>
          <cell r="G9170">
            <v>275</v>
          </cell>
          <cell r="H9170">
            <v>0</v>
          </cell>
        </row>
        <row r="9171">
          <cell r="D9171" t="str">
            <v>Furnitures</v>
          </cell>
          <cell r="F9171">
            <v>0</v>
          </cell>
          <cell r="G9171">
            <v>275</v>
          </cell>
          <cell r="H9171">
            <v>0</v>
          </cell>
        </row>
        <row r="9172">
          <cell r="D9172" t="str">
            <v>Furnitures</v>
          </cell>
          <cell r="F9172">
            <v>0</v>
          </cell>
          <cell r="G9172">
            <v>275</v>
          </cell>
          <cell r="H9172">
            <v>0</v>
          </cell>
        </row>
        <row r="9173">
          <cell r="D9173" t="str">
            <v>Furnitures</v>
          </cell>
          <cell r="F9173">
            <v>0</v>
          </cell>
          <cell r="G9173">
            <v>275</v>
          </cell>
          <cell r="H9173">
            <v>0</v>
          </cell>
        </row>
        <row r="9174">
          <cell r="D9174" t="str">
            <v>Furnitures</v>
          </cell>
          <cell r="F9174">
            <v>0</v>
          </cell>
          <cell r="G9174">
            <v>275</v>
          </cell>
          <cell r="H9174">
            <v>0</v>
          </cell>
        </row>
        <row r="9175">
          <cell r="D9175" t="str">
            <v>Furnitures</v>
          </cell>
          <cell r="F9175">
            <v>0</v>
          </cell>
          <cell r="G9175">
            <v>275</v>
          </cell>
          <cell r="H9175">
            <v>0</v>
          </cell>
        </row>
        <row r="9176">
          <cell r="D9176" t="str">
            <v>Furnitures</v>
          </cell>
          <cell r="F9176">
            <v>0</v>
          </cell>
          <cell r="G9176">
            <v>275</v>
          </cell>
          <cell r="H9176">
            <v>0</v>
          </cell>
        </row>
        <row r="9177">
          <cell r="D9177" t="str">
            <v>Furnitures</v>
          </cell>
          <cell r="F9177">
            <v>0</v>
          </cell>
          <cell r="G9177">
            <v>275</v>
          </cell>
          <cell r="H9177">
            <v>0</v>
          </cell>
        </row>
        <row r="9178">
          <cell r="D9178" t="str">
            <v>Furnitures</v>
          </cell>
          <cell r="F9178">
            <v>0</v>
          </cell>
          <cell r="G9178">
            <v>275</v>
          </cell>
          <cell r="H9178">
            <v>0</v>
          </cell>
        </row>
        <row r="9179">
          <cell r="D9179" t="str">
            <v>Furnitures</v>
          </cell>
          <cell r="F9179">
            <v>0</v>
          </cell>
          <cell r="G9179">
            <v>275</v>
          </cell>
          <cell r="H9179">
            <v>0</v>
          </cell>
        </row>
        <row r="9180">
          <cell r="D9180" t="str">
            <v>Furnitures</v>
          </cell>
          <cell r="F9180">
            <v>0</v>
          </cell>
          <cell r="G9180">
            <v>275</v>
          </cell>
          <cell r="H9180">
            <v>0</v>
          </cell>
        </row>
        <row r="9181">
          <cell r="D9181" t="str">
            <v>Furnitures</v>
          </cell>
          <cell r="F9181">
            <v>0</v>
          </cell>
          <cell r="G9181">
            <v>275</v>
          </cell>
          <cell r="H9181">
            <v>0</v>
          </cell>
        </row>
        <row r="9182">
          <cell r="D9182" t="str">
            <v>Furnitures</v>
          </cell>
          <cell r="F9182">
            <v>0</v>
          </cell>
          <cell r="G9182">
            <v>275</v>
          </cell>
          <cell r="H9182">
            <v>0</v>
          </cell>
        </row>
        <row r="9183">
          <cell r="D9183" t="str">
            <v>Furnitures</v>
          </cell>
          <cell r="F9183">
            <v>0</v>
          </cell>
          <cell r="G9183">
            <v>275</v>
          </cell>
          <cell r="H9183">
            <v>0</v>
          </cell>
        </row>
        <row r="9184">
          <cell r="D9184" t="str">
            <v>Furnitures</v>
          </cell>
          <cell r="F9184">
            <v>0</v>
          </cell>
          <cell r="G9184">
            <v>275</v>
          </cell>
          <cell r="H9184">
            <v>0</v>
          </cell>
        </row>
        <row r="9185">
          <cell r="D9185" t="str">
            <v>Furnitures</v>
          </cell>
          <cell r="F9185">
            <v>0</v>
          </cell>
          <cell r="G9185">
            <v>275</v>
          </cell>
          <cell r="H9185">
            <v>0</v>
          </cell>
        </row>
        <row r="9186">
          <cell r="D9186" t="str">
            <v>Furnitures</v>
          </cell>
          <cell r="F9186">
            <v>0</v>
          </cell>
          <cell r="G9186">
            <v>275</v>
          </cell>
          <cell r="H9186">
            <v>0</v>
          </cell>
        </row>
        <row r="9187">
          <cell r="D9187" t="str">
            <v>Furnitures</v>
          </cell>
          <cell r="F9187">
            <v>0</v>
          </cell>
          <cell r="G9187">
            <v>275</v>
          </cell>
          <cell r="H9187">
            <v>0</v>
          </cell>
        </row>
        <row r="9188">
          <cell r="D9188" t="str">
            <v>Furnitures</v>
          </cell>
          <cell r="F9188">
            <v>0</v>
          </cell>
          <cell r="G9188">
            <v>275</v>
          </cell>
          <cell r="H9188">
            <v>0</v>
          </cell>
        </row>
        <row r="9189">
          <cell r="D9189" t="str">
            <v>Furnitures</v>
          </cell>
          <cell r="F9189">
            <v>0</v>
          </cell>
          <cell r="G9189">
            <v>275</v>
          </cell>
          <cell r="H9189">
            <v>0</v>
          </cell>
        </row>
        <row r="9190">
          <cell r="D9190" t="str">
            <v>Furnitures</v>
          </cell>
          <cell r="F9190">
            <v>0</v>
          </cell>
          <cell r="G9190">
            <v>275</v>
          </cell>
          <cell r="H9190">
            <v>0</v>
          </cell>
        </row>
        <row r="9191">
          <cell r="D9191" t="str">
            <v>Furnitures</v>
          </cell>
          <cell r="F9191">
            <v>0</v>
          </cell>
          <cell r="G9191">
            <v>275</v>
          </cell>
          <cell r="H9191">
            <v>0</v>
          </cell>
        </row>
        <row r="9192">
          <cell r="D9192" t="str">
            <v>Furnitures</v>
          </cell>
          <cell r="F9192">
            <v>0</v>
          </cell>
          <cell r="G9192">
            <v>275</v>
          </cell>
          <cell r="H9192">
            <v>0</v>
          </cell>
        </row>
        <row r="9193">
          <cell r="D9193" t="str">
            <v>Furnitures</v>
          </cell>
          <cell r="F9193">
            <v>0</v>
          </cell>
          <cell r="G9193">
            <v>275</v>
          </cell>
          <cell r="H9193">
            <v>0</v>
          </cell>
        </row>
        <row r="9194">
          <cell r="D9194" t="str">
            <v>Furnitures</v>
          </cell>
          <cell r="F9194">
            <v>0</v>
          </cell>
          <cell r="G9194">
            <v>275</v>
          </cell>
          <cell r="H9194">
            <v>0</v>
          </cell>
        </row>
        <row r="9195">
          <cell r="D9195" t="str">
            <v>Furnitures</v>
          </cell>
          <cell r="F9195">
            <v>0</v>
          </cell>
          <cell r="G9195">
            <v>275</v>
          </cell>
          <cell r="H9195">
            <v>0</v>
          </cell>
        </row>
        <row r="9196">
          <cell r="D9196" t="str">
            <v>Furnitures</v>
          </cell>
          <cell r="F9196">
            <v>0</v>
          </cell>
          <cell r="G9196">
            <v>275</v>
          </cell>
          <cell r="H9196">
            <v>0</v>
          </cell>
        </row>
        <row r="9197">
          <cell r="D9197" t="str">
            <v>Furnitures</v>
          </cell>
          <cell r="F9197">
            <v>0</v>
          </cell>
          <cell r="G9197">
            <v>275</v>
          </cell>
          <cell r="H9197">
            <v>0</v>
          </cell>
        </row>
        <row r="9198">
          <cell r="D9198" t="str">
            <v>Furnitures</v>
          </cell>
          <cell r="F9198">
            <v>0</v>
          </cell>
          <cell r="G9198">
            <v>275</v>
          </cell>
          <cell r="H9198">
            <v>0</v>
          </cell>
        </row>
        <row r="9199">
          <cell r="D9199" t="str">
            <v>Furnitures</v>
          </cell>
          <cell r="F9199">
            <v>0</v>
          </cell>
          <cell r="G9199">
            <v>275</v>
          </cell>
          <cell r="H9199">
            <v>0</v>
          </cell>
        </row>
        <row r="9200">
          <cell r="D9200" t="str">
            <v>Furnitures</v>
          </cell>
          <cell r="F9200">
            <v>0</v>
          </cell>
          <cell r="G9200">
            <v>275</v>
          </cell>
          <cell r="H9200">
            <v>0</v>
          </cell>
        </row>
        <row r="9201">
          <cell r="D9201" t="str">
            <v>Furnitures</v>
          </cell>
          <cell r="F9201">
            <v>0</v>
          </cell>
          <cell r="G9201">
            <v>275</v>
          </cell>
          <cell r="H9201">
            <v>0</v>
          </cell>
        </row>
        <row r="9202">
          <cell r="D9202" t="str">
            <v>Furnitures</v>
          </cell>
          <cell r="F9202">
            <v>0</v>
          </cell>
          <cell r="G9202">
            <v>275</v>
          </cell>
          <cell r="H9202">
            <v>0</v>
          </cell>
        </row>
        <row r="9203">
          <cell r="D9203" t="str">
            <v>Furnitures</v>
          </cell>
          <cell r="F9203">
            <v>0</v>
          </cell>
          <cell r="G9203">
            <v>275</v>
          </cell>
          <cell r="H9203">
            <v>0</v>
          </cell>
        </row>
        <row r="9204">
          <cell r="D9204" t="str">
            <v>Furnitures</v>
          </cell>
          <cell r="F9204">
            <v>0</v>
          </cell>
          <cell r="G9204">
            <v>275</v>
          </cell>
          <cell r="H9204">
            <v>0</v>
          </cell>
        </row>
        <row r="9205">
          <cell r="D9205" t="str">
            <v>Furnitures</v>
          </cell>
          <cell r="F9205">
            <v>0</v>
          </cell>
          <cell r="G9205">
            <v>275</v>
          </cell>
          <cell r="H9205">
            <v>0</v>
          </cell>
        </row>
        <row r="9206">
          <cell r="D9206" t="str">
            <v>Furnitures</v>
          </cell>
          <cell r="F9206">
            <v>0</v>
          </cell>
          <cell r="G9206">
            <v>275</v>
          </cell>
          <cell r="H9206">
            <v>0</v>
          </cell>
        </row>
        <row r="9207">
          <cell r="D9207" t="str">
            <v>Furnitures</v>
          </cell>
          <cell r="F9207">
            <v>0</v>
          </cell>
          <cell r="G9207">
            <v>275</v>
          </cell>
          <cell r="H9207">
            <v>0</v>
          </cell>
        </row>
        <row r="9208">
          <cell r="D9208" t="str">
            <v>Furnitures</v>
          </cell>
          <cell r="F9208">
            <v>0</v>
          </cell>
          <cell r="G9208">
            <v>275</v>
          </cell>
          <cell r="H9208">
            <v>0</v>
          </cell>
        </row>
        <row r="9209">
          <cell r="D9209" t="str">
            <v>Furnitures</v>
          </cell>
          <cell r="F9209">
            <v>0</v>
          </cell>
          <cell r="G9209">
            <v>275</v>
          </cell>
          <cell r="H9209">
            <v>0</v>
          </cell>
        </row>
        <row r="9210">
          <cell r="D9210" t="str">
            <v>Furnitures</v>
          </cell>
          <cell r="F9210">
            <v>0</v>
          </cell>
          <cell r="G9210">
            <v>275</v>
          </cell>
          <cell r="H9210">
            <v>0</v>
          </cell>
        </row>
        <row r="9211">
          <cell r="D9211" t="str">
            <v>Furnitures</v>
          </cell>
          <cell r="F9211">
            <v>0</v>
          </cell>
          <cell r="G9211">
            <v>275</v>
          </cell>
          <cell r="H9211">
            <v>0</v>
          </cell>
        </row>
        <row r="9212">
          <cell r="D9212" t="str">
            <v>Furnitures</v>
          </cell>
          <cell r="F9212">
            <v>0</v>
          </cell>
          <cell r="G9212">
            <v>275</v>
          </cell>
          <cell r="H9212">
            <v>0</v>
          </cell>
        </row>
        <row r="9213">
          <cell r="D9213" t="str">
            <v>Furnitures</v>
          </cell>
          <cell r="F9213">
            <v>0</v>
          </cell>
          <cell r="G9213">
            <v>275</v>
          </cell>
          <cell r="H9213">
            <v>0</v>
          </cell>
        </row>
        <row r="9214">
          <cell r="D9214" t="str">
            <v>Furnitures</v>
          </cell>
          <cell r="F9214">
            <v>0</v>
          </cell>
          <cell r="G9214">
            <v>275</v>
          </cell>
          <cell r="H9214">
            <v>0</v>
          </cell>
        </row>
        <row r="9215">
          <cell r="D9215" t="str">
            <v>Furnitures</v>
          </cell>
          <cell r="F9215">
            <v>0</v>
          </cell>
          <cell r="G9215">
            <v>275</v>
          </cell>
          <cell r="H9215">
            <v>0</v>
          </cell>
        </row>
        <row r="9216">
          <cell r="D9216" t="str">
            <v>Furnitures</v>
          </cell>
          <cell r="F9216">
            <v>0</v>
          </cell>
          <cell r="G9216">
            <v>275</v>
          </cell>
          <cell r="H9216">
            <v>0</v>
          </cell>
        </row>
        <row r="9217">
          <cell r="D9217" t="str">
            <v>Furnitures</v>
          </cell>
          <cell r="F9217">
            <v>0</v>
          </cell>
          <cell r="G9217">
            <v>275</v>
          </cell>
          <cell r="H9217">
            <v>0</v>
          </cell>
        </row>
        <row r="9218">
          <cell r="D9218" t="str">
            <v>Furnitures</v>
          </cell>
          <cell r="F9218">
            <v>0</v>
          </cell>
          <cell r="G9218">
            <v>275</v>
          </cell>
          <cell r="H9218">
            <v>0</v>
          </cell>
        </row>
        <row r="9219">
          <cell r="D9219" t="str">
            <v>Furnitures</v>
          </cell>
          <cell r="F9219">
            <v>0</v>
          </cell>
          <cell r="G9219">
            <v>275</v>
          </cell>
          <cell r="H9219">
            <v>0</v>
          </cell>
        </row>
        <row r="9220">
          <cell r="D9220" t="str">
            <v>Furnitures</v>
          </cell>
          <cell r="F9220">
            <v>0</v>
          </cell>
          <cell r="G9220">
            <v>275</v>
          </cell>
          <cell r="H9220">
            <v>0</v>
          </cell>
        </row>
        <row r="9221">
          <cell r="D9221" t="str">
            <v>Furnitures</v>
          </cell>
          <cell r="F9221">
            <v>0</v>
          </cell>
          <cell r="G9221">
            <v>275</v>
          </cell>
          <cell r="H9221">
            <v>0</v>
          </cell>
        </row>
        <row r="9222">
          <cell r="D9222" t="str">
            <v>Furnitures</v>
          </cell>
          <cell r="F9222">
            <v>0</v>
          </cell>
          <cell r="G9222">
            <v>275</v>
          </cell>
          <cell r="H9222">
            <v>0</v>
          </cell>
        </row>
        <row r="9223">
          <cell r="D9223" t="str">
            <v>Furnitures</v>
          </cell>
          <cell r="F9223">
            <v>0</v>
          </cell>
          <cell r="G9223">
            <v>275</v>
          </cell>
          <cell r="H9223">
            <v>0</v>
          </cell>
        </row>
        <row r="9224">
          <cell r="D9224" t="str">
            <v>Furnitures</v>
          </cell>
          <cell r="F9224">
            <v>0</v>
          </cell>
          <cell r="G9224">
            <v>275</v>
          </cell>
          <cell r="H9224">
            <v>0</v>
          </cell>
        </row>
        <row r="9225">
          <cell r="D9225" t="str">
            <v>Furnitures</v>
          </cell>
          <cell r="F9225">
            <v>0</v>
          </cell>
          <cell r="G9225">
            <v>275</v>
          </cell>
          <cell r="H9225">
            <v>0</v>
          </cell>
        </row>
        <row r="9226">
          <cell r="D9226" t="str">
            <v>Furnitures</v>
          </cell>
          <cell r="F9226">
            <v>0</v>
          </cell>
          <cell r="G9226">
            <v>275</v>
          </cell>
          <cell r="H9226">
            <v>0</v>
          </cell>
        </row>
        <row r="9227">
          <cell r="D9227" t="str">
            <v>Furnitures</v>
          </cell>
          <cell r="F9227">
            <v>0</v>
          </cell>
          <cell r="G9227">
            <v>275</v>
          </cell>
          <cell r="H9227">
            <v>0</v>
          </cell>
        </row>
        <row r="9228">
          <cell r="D9228" t="str">
            <v>Furnitures</v>
          </cell>
          <cell r="F9228">
            <v>0</v>
          </cell>
          <cell r="G9228">
            <v>275</v>
          </cell>
          <cell r="H9228">
            <v>0</v>
          </cell>
        </row>
        <row r="9229">
          <cell r="D9229" t="str">
            <v>Furnitures</v>
          </cell>
          <cell r="F9229">
            <v>0</v>
          </cell>
          <cell r="G9229">
            <v>275</v>
          </cell>
          <cell r="H9229">
            <v>0</v>
          </cell>
        </row>
        <row r="9230">
          <cell r="D9230" t="str">
            <v>Furnitures</v>
          </cell>
          <cell r="F9230">
            <v>0</v>
          </cell>
          <cell r="G9230">
            <v>275</v>
          </cell>
          <cell r="H9230">
            <v>0</v>
          </cell>
        </row>
        <row r="9231">
          <cell r="D9231" t="str">
            <v>Furnitures</v>
          </cell>
          <cell r="F9231">
            <v>0</v>
          </cell>
          <cell r="G9231">
            <v>275</v>
          </cell>
          <cell r="H9231">
            <v>0</v>
          </cell>
        </row>
        <row r="9232">
          <cell r="D9232" t="str">
            <v>Furnitures</v>
          </cell>
          <cell r="F9232">
            <v>0</v>
          </cell>
          <cell r="G9232">
            <v>275</v>
          </cell>
          <cell r="H9232">
            <v>0</v>
          </cell>
        </row>
        <row r="9233">
          <cell r="D9233" t="str">
            <v>Furnitures</v>
          </cell>
          <cell r="F9233">
            <v>0</v>
          </cell>
          <cell r="G9233">
            <v>275</v>
          </cell>
          <cell r="H9233">
            <v>0</v>
          </cell>
        </row>
        <row r="9234">
          <cell r="D9234" t="str">
            <v>Furnitures</v>
          </cell>
          <cell r="F9234">
            <v>0</v>
          </cell>
          <cell r="G9234">
            <v>275</v>
          </cell>
          <cell r="H9234">
            <v>0</v>
          </cell>
        </row>
        <row r="9235">
          <cell r="D9235" t="str">
            <v>Furnitures</v>
          </cell>
          <cell r="F9235">
            <v>0</v>
          </cell>
          <cell r="G9235">
            <v>275</v>
          </cell>
          <cell r="H9235">
            <v>0</v>
          </cell>
        </row>
        <row r="9236">
          <cell r="D9236" t="str">
            <v>Furnitures</v>
          </cell>
          <cell r="F9236">
            <v>0</v>
          </cell>
          <cell r="G9236">
            <v>275</v>
          </cell>
          <cell r="H9236">
            <v>0</v>
          </cell>
        </row>
        <row r="9237">
          <cell r="D9237" t="str">
            <v>Furnitures</v>
          </cell>
          <cell r="F9237">
            <v>0</v>
          </cell>
          <cell r="G9237">
            <v>275</v>
          </cell>
          <cell r="H9237">
            <v>0</v>
          </cell>
        </row>
        <row r="9238">
          <cell r="D9238" t="str">
            <v>Furnitures</v>
          </cell>
          <cell r="F9238">
            <v>0</v>
          </cell>
          <cell r="G9238">
            <v>275</v>
          </cell>
          <cell r="H9238">
            <v>0</v>
          </cell>
        </row>
        <row r="9239">
          <cell r="D9239" t="str">
            <v>Furnitures</v>
          </cell>
          <cell r="F9239">
            <v>0</v>
          </cell>
          <cell r="G9239">
            <v>275</v>
          </cell>
          <cell r="H9239">
            <v>0</v>
          </cell>
        </row>
        <row r="9240">
          <cell r="D9240" t="str">
            <v>Furnitures</v>
          </cell>
          <cell r="F9240">
            <v>0</v>
          </cell>
          <cell r="G9240">
            <v>275</v>
          </cell>
          <cell r="H9240">
            <v>0</v>
          </cell>
        </row>
        <row r="9241">
          <cell r="D9241" t="str">
            <v>Furnitures</v>
          </cell>
          <cell r="F9241">
            <v>0</v>
          </cell>
          <cell r="G9241">
            <v>275</v>
          </cell>
          <cell r="H9241">
            <v>0</v>
          </cell>
        </row>
        <row r="9242">
          <cell r="D9242" t="str">
            <v>Furnitures</v>
          </cell>
          <cell r="F9242">
            <v>0</v>
          </cell>
          <cell r="G9242">
            <v>275</v>
          </cell>
          <cell r="H9242">
            <v>0</v>
          </cell>
        </row>
        <row r="9243">
          <cell r="D9243" t="str">
            <v>Furnitures</v>
          </cell>
          <cell r="F9243">
            <v>0</v>
          </cell>
          <cell r="G9243">
            <v>275</v>
          </cell>
          <cell r="H9243">
            <v>0</v>
          </cell>
        </row>
        <row r="9244">
          <cell r="D9244" t="str">
            <v>Furnitures</v>
          </cell>
          <cell r="F9244">
            <v>0</v>
          </cell>
          <cell r="G9244">
            <v>275</v>
          </cell>
          <cell r="H9244">
            <v>0</v>
          </cell>
        </row>
        <row r="9245">
          <cell r="D9245" t="str">
            <v>Furnitures</v>
          </cell>
          <cell r="F9245">
            <v>0</v>
          </cell>
          <cell r="G9245">
            <v>275</v>
          </cell>
          <cell r="H9245">
            <v>0</v>
          </cell>
        </row>
        <row r="9246">
          <cell r="D9246" t="str">
            <v>Furnitures</v>
          </cell>
          <cell r="F9246">
            <v>0</v>
          </cell>
          <cell r="G9246">
            <v>275</v>
          </cell>
          <cell r="H9246">
            <v>0</v>
          </cell>
        </row>
        <row r="9247">
          <cell r="D9247" t="str">
            <v>Furnitures</v>
          </cell>
          <cell r="F9247">
            <v>0</v>
          </cell>
          <cell r="G9247">
            <v>275</v>
          </cell>
          <cell r="H9247">
            <v>0</v>
          </cell>
        </row>
        <row r="9248">
          <cell r="D9248" t="str">
            <v>Furnitures</v>
          </cell>
          <cell r="F9248">
            <v>0</v>
          </cell>
          <cell r="G9248">
            <v>275</v>
          </cell>
          <cell r="H9248">
            <v>0</v>
          </cell>
        </row>
        <row r="9249">
          <cell r="D9249" t="str">
            <v>Furnitures</v>
          </cell>
          <cell r="F9249">
            <v>0</v>
          </cell>
          <cell r="G9249">
            <v>275</v>
          </cell>
          <cell r="H9249">
            <v>0</v>
          </cell>
        </row>
        <row r="9250">
          <cell r="D9250" t="str">
            <v>Furnitures</v>
          </cell>
          <cell r="F9250">
            <v>0</v>
          </cell>
          <cell r="G9250">
            <v>275</v>
          </cell>
          <cell r="H9250">
            <v>0</v>
          </cell>
        </row>
        <row r="9251">
          <cell r="D9251" t="str">
            <v>Furnitures</v>
          </cell>
          <cell r="F9251">
            <v>0</v>
          </cell>
          <cell r="G9251">
            <v>275</v>
          </cell>
          <cell r="H9251">
            <v>0</v>
          </cell>
        </row>
        <row r="9252">
          <cell r="D9252" t="str">
            <v>Furnitures</v>
          </cell>
          <cell r="F9252">
            <v>0</v>
          </cell>
          <cell r="G9252">
            <v>275</v>
          </cell>
          <cell r="H9252">
            <v>0</v>
          </cell>
        </row>
        <row r="9253">
          <cell r="D9253" t="str">
            <v>Furnitures</v>
          </cell>
          <cell r="F9253">
            <v>0</v>
          </cell>
          <cell r="G9253">
            <v>275</v>
          </cell>
          <cell r="H9253">
            <v>0</v>
          </cell>
        </row>
        <row r="9254">
          <cell r="D9254" t="str">
            <v>Furnitures</v>
          </cell>
          <cell r="F9254">
            <v>0</v>
          </cell>
          <cell r="G9254">
            <v>275</v>
          </cell>
          <cell r="H9254">
            <v>0</v>
          </cell>
        </row>
        <row r="9255">
          <cell r="D9255" t="str">
            <v>Furnitures</v>
          </cell>
          <cell r="F9255">
            <v>0</v>
          </cell>
          <cell r="G9255">
            <v>275</v>
          </cell>
          <cell r="H9255">
            <v>0</v>
          </cell>
        </row>
        <row r="9256">
          <cell r="D9256" t="str">
            <v>Furnitures</v>
          </cell>
          <cell r="F9256">
            <v>0</v>
          </cell>
          <cell r="G9256">
            <v>275</v>
          </cell>
          <cell r="H9256">
            <v>0</v>
          </cell>
        </row>
        <row r="9257">
          <cell r="D9257" t="str">
            <v>Furnitures</v>
          </cell>
          <cell r="F9257">
            <v>0</v>
          </cell>
          <cell r="G9257">
            <v>275</v>
          </cell>
          <cell r="H9257">
            <v>0</v>
          </cell>
        </row>
        <row r="9258">
          <cell r="D9258" t="str">
            <v>Furnitures</v>
          </cell>
          <cell r="F9258">
            <v>0</v>
          </cell>
          <cell r="G9258">
            <v>275</v>
          </cell>
          <cell r="H9258">
            <v>0</v>
          </cell>
        </row>
        <row r="9259">
          <cell r="D9259" t="str">
            <v>Furnitures</v>
          </cell>
          <cell r="F9259">
            <v>0</v>
          </cell>
          <cell r="G9259">
            <v>275</v>
          </cell>
          <cell r="H9259">
            <v>0</v>
          </cell>
        </row>
        <row r="9260">
          <cell r="D9260" t="str">
            <v>Furnitures</v>
          </cell>
          <cell r="F9260">
            <v>0</v>
          </cell>
          <cell r="G9260">
            <v>275</v>
          </cell>
          <cell r="H9260">
            <v>0</v>
          </cell>
        </row>
        <row r="9261">
          <cell r="D9261" t="str">
            <v>Furnitures</v>
          </cell>
          <cell r="F9261">
            <v>0</v>
          </cell>
          <cell r="G9261">
            <v>275</v>
          </cell>
          <cell r="H9261">
            <v>0</v>
          </cell>
        </row>
        <row r="9262">
          <cell r="D9262" t="str">
            <v>Furnitures</v>
          </cell>
          <cell r="F9262">
            <v>0</v>
          </cell>
          <cell r="G9262">
            <v>275</v>
          </cell>
          <cell r="H9262">
            <v>0</v>
          </cell>
        </row>
        <row r="9263">
          <cell r="D9263" t="str">
            <v>Furnitures</v>
          </cell>
          <cell r="F9263">
            <v>0</v>
          </cell>
          <cell r="G9263">
            <v>275</v>
          </cell>
          <cell r="H9263">
            <v>0</v>
          </cell>
        </row>
        <row r="9264">
          <cell r="D9264" t="str">
            <v>Furnitures</v>
          </cell>
          <cell r="F9264">
            <v>0</v>
          </cell>
          <cell r="G9264">
            <v>275</v>
          </cell>
          <cell r="H9264">
            <v>0</v>
          </cell>
        </row>
        <row r="9265">
          <cell r="D9265" t="str">
            <v>Furnitures</v>
          </cell>
          <cell r="F9265">
            <v>0</v>
          </cell>
          <cell r="G9265">
            <v>275</v>
          </cell>
          <cell r="H9265">
            <v>0</v>
          </cell>
        </row>
        <row r="9266">
          <cell r="D9266" t="str">
            <v>Furnitures</v>
          </cell>
          <cell r="F9266">
            <v>0</v>
          </cell>
          <cell r="G9266">
            <v>275</v>
          </cell>
          <cell r="H9266">
            <v>0</v>
          </cell>
        </row>
        <row r="9267">
          <cell r="D9267" t="str">
            <v>Furnitures</v>
          </cell>
          <cell r="F9267">
            <v>0</v>
          </cell>
          <cell r="G9267">
            <v>275</v>
          </cell>
          <cell r="H9267">
            <v>0</v>
          </cell>
        </row>
        <row r="9268">
          <cell r="D9268" t="str">
            <v>Furnitures</v>
          </cell>
          <cell r="F9268">
            <v>0</v>
          </cell>
          <cell r="G9268">
            <v>275</v>
          </cell>
          <cell r="H9268">
            <v>0</v>
          </cell>
        </row>
        <row r="9269">
          <cell r="D9269" t="str">
            <v>Furnitures</v>
          </cell>
          <cell r="F9269">
            <v>0</v>
          </cell>
          <cell r="G9269">
            <v>275</v>
          </cell>
          <cell r="H9269">
            <v>0</v>
          </cell>
        </row>
        <row r="9270">
          <cell r="D9270" t="str">
            <v>Furnitures</v>
          </cell>
          <cell r="F9270">
            <v>0</v>
          </cell>
          <cell r="G9270">
            <v>275</v>
          </cell>
          <cell r="H9270">
            <v>0</v>
          </cell>
        </row>
        <row r="9271">
          <cell r="D9271" t="str">
            <v>Furnitures</v>
          </cell>
          <cell r="F9271">
            <v>0</v>
          </cell>
          <cell r="G9271">
            <v>275</v>
          </cell>
          <cell r="H9271">
            <v>0</v>
          </cell>
        </row>
        <row r="9272">
          <cell r="D9272" t="str">
            <v>Furnitures</v>
          </cell>
          <cell r="F9272">
            <v>0</v>
          </cell>
          <cell r="G9272">
            <v>275</v>
          </cell>
          <cell r="H9272">
            <v>0</v>
          </cell>
        </row>
        <row r="9273">
          <cell r="D9273" t="str">
            <v>Furnitures</v>
          </cell>
          <cell r="F9273">
            <v>0</v>
          </cell>
          <cell r="G9273">
            <v>275</v>
          </cell>
          <cell r="H9273">
            <v>0</v>
          </cell>
        </row>
        <row r="9274">
          <cell r="D9274" t="str">
            <v>Furnitures</v>
          </cell>
          <cell r="F9274">
            <v>0</v>
          </cell>
          <cell r="G9274">
            <v>275</v>
          </cell>
          <cell r="H9274">
            <v>0</v>
          </cell>
        </row>
        <row r="9275">
          <cell r="D9275" t="str">
            <v>Furnitures</v>
          </cell>
          <cell r="F9275">
            <v>0</v>
          </cell>
          <cell r="G9275">
            <v>275</v>
          </cell>
          <cell r="H9275">
            <v>0</v>
          </cell>
        </row>
        <row r="9276">
          <cell r="D9276" t="str">
            <v>Furnitures</v>
          </cell>
          <cell r="F9276">
            <v>0</v>
          </cell>
          <cell r="G9276">
            <v>275</v>
          </cell>
          <cell r="H9276">
            <v>0</v>
          </cell>
        </row>
        <row r="9277">
          <cell r="D9277" t="str">
            <v>Furnitures</v>
          </cell>
          <cell r="F9277">
            <v>0</v>
          </cell>
          <cell r="G9277">
            <v>275</v>
          </cell>
          <cell r="H9277">
            <v>0</v>
          </cell>
        </row>
        <row r="9278">
          <cell r="D9278" t="str">
            <v>Furnitures</v>
          </cell>
          <cell r="F9278">
            <v>0</v>
          </cell>
          <cell r="G9278">
            <v>275</v>
          </cell>
          <cell r="H9278">
            <v>0</v>
          </cell>
        </row>
        <row r="9279">
          <cell r="D9279" t="str">
            <v>Furnitures</v>
          </cell>
          <cell r="F9279">
            <v>0</v>
          </cell>
          <cell r="G9279">
            <v>275</v>
          </cell>
          <cell r="H9279">
            <v>0</v>
          </cell>
        </row>
        <row r="9280">
          <cell r="D9280" t="str">
            <v>Furnitures</v>
          </cell>
          <cell r="F9280">
            <v>0</v>
          </cell>
          <cell r="G9280">
            <v>275</v>
          </cell>
          <cell r="H9280">
            <v>0</v>
          </cell>
        </row>
        <row r="9281">
          <cell r="D9281" t="str">
            <v>Furnitures</v>
          </cell>
          <cell r="F9281">
            <v>0</v>
          </cell>
          <cell r="G9281">
            <v>275</v>
          </cell>
          <cell r="H9281">
            <v>0</v>
          </cell>
        </row>
        <row r="9282">
          <cell r="D9282" t="str">
            <v>Furnitures</v>
          </cell>
          <cell r="F9282">
            <v>0</v>
          </cell>
          <cell r="G9282">
            <v>275</v>
          </cell>
          <cell r="H9282">
            <v>0</v>
          </cell>
        </row>
        <row r="9283">
          <cell r="D9283" t="str">
            <v>Furnitures</v>
          </cell>
          <cell r="F9283">
            <v>0</v>
          </cell>
          <cell r="G9283">
            <v>275</v>
          </cell>
          <cell r="H9283">
            <v>0</v>
          </cell>
        </row>
        <row r="9284">
          <cell r="D9284" t="str">
            <v>Furnitures</v>
          </cell>
          <cell r="F9284">
            <v>0</v>
          </cell>
          <cell r="G9284">
            <v>275</v>
          </cell>
          <cell r="H9284">
            <v>0</v>
          </cell>
        </row>
        <row r="9285">
          <cell r="D9285" t="str">
            <v>Furnitures</v>
          </cell>
          <cell r="F9285">
            <v>0</v>
          </cell>
          <cell r="G9285">
            <v>275</v>
          </cell>
          <cell r="H9285">
            <v>0</v>
          </cell>
        </row>
        <row r="9286">
          <cell r="D9286" t="str">
            <v>Furnitures</v>
          </cell>
          <cell r="F9286">
            <v>0</v>
          </cell>
          <cell r="G9286">
            <v>275</v>
          </cell>
          <cell r="H9286">
            <v>0</v>
          </cell>
        </row>
        <row r="9287">
          <cell r="D9287" t="str">
            <v>Furnitures</v>
          </cell>
          <cell r="F9287">
            <v>0</v>
          </cell>
          <cell r="G9287">
            <v>275</v>
          </cell>
          <cell r="H9287">
            <v>0</v>
          </cell>
        </row>
        <row r="9288">
          <cell r="D9288" t="str">
            <v>Furnitures</v>
          </cell>
          <cell r="F9288">
            <v>0</v>
          </cell>
          <cell r="G9288">
            <v>275</v>
          </cell>
          <cell r="H9288">
            <v>0</v>
          </cell>
        </row>
        <row r="9289">
          <cell r="D9289" t="str">
            <v>Furnitures</v>
          </cell>
          <cell r="F9289">
            <v>0</v>
          </cell>
          <cell r="G9289">
            <v>275</v>
          </cell>
          <cell r="H9289">
            <v>0</v>
          </cell>
        </row>
        <row r="9290">
          <cell r="D9290" t="str">
            <v>Furnitures</v>
          </cell>
          <cell r="F9290">
            <v>0</v>
          </cell>
          <cell r="G9290">
            <v>275</v>
          </cell>
          <cell r="H9290">
            <v>0</v>
          </cell>
        </row>
        <row r="9291">
          <cell r="D9291" t="str">
            <v>Furnitures</v>
          </cell>
          <cell r="F9291">
            <v>0</v>
          </cell>
          <cell r="G9291">
            <v>275</v>
          </cell>
          <cell r="H9291">
            <v>0</v>
          </cell>
        </row>
        <row r="9292">
          <cell r="D9292" t="str">
            <v>Furnitures</v>
          </cell>
          <cell r="F9292">
            <v>0</v>
          </cell>
          <cell r="G9292">
            <v>275</v>
          </cell>
          <cell r="H9292">
            <v>0</v>
          </cell>
        </row>
        <row r="9293">
          <cell r="D9293" t="str">
            <v>Furnitures</v>
          </cell>
          <cell r="F9293">
            <v>0</v>
          </cell>
          <cell r="G9293">
            <v>275</v>
          </cell>
          <cell r="H9293">
            <v>0</v>
          </cell>
        </row>
        <row r="9294">
          <cell r="D9294" t="str">
            <v>Furnitures</v>
          </cell>
          <cell r="F9294">
            <v>0</v>
          </cell>
          <cell r="G9294">
            <v>275</v>
          </cell>
          <cell r="H9294">
            <v>0</v>
          </cell>
        </row>
        <row r="9295">
          <cell r="D9295" t="str">
            <v>Furnitures</v>
          </cell>
          <cell r="F9295">
            <v>0</v>
          </cell>
          <cell r="G9295">
            <v>275</v>
          </cell>
          <cell r="H9295">
            <v>0</v>
          </cell>
        </row>
        <row r="9296">
          <cell r="D9296" t="str">
            <v>Furnitures</v>
          </cell>
          <cell r="F9296">
            <v>0</v>
          </cell>
          <cell r="G9296">
            <v>275</v>
          </cell>
          <cell r="H9296">
            <v>0</v>
          </cell>
        </row>
        <row r="9297">
          <cell r="D9297" t="str">
            <v>Furnitures</v>
          </cell>
          <cell r="F9297">
            <v>0</v>
          </cell>
          <cell r="G9297">
            <v>275</v>
          </cell>
          <cell r="H9297">
            <v>0</v>
          </cell>
        </row>
        <row r="9298">
          <cell r="D9298" t="str">
            <v>Furnitures</v>
          </cell>
          <cell r="F9298">
            <v>0</v>
          </cell>
          <cell r="G9298">
            <v>275</v>
          </cell>
          <cell r="H9298">
            <v>0</v>
          </cell>
        </row>
        <row r="9299">
          <cell r="D9299" t="str">
            <v>Furnitures</v>
          </cell>
          <cell r="F9299">
            <v>0</v>
          </cell>
          <cell r="G9299">
            <v>275</v>
          </cell>
          <cell r="H9299">
            <v>0</v>
          </cell>
        </row>
        <row r="9300">
          <cell r="D9300" t="str">
            <v>Furnitures</v>
          </cell>
          <cell r="F9300">
            <v>0</v>
          </cell>
          <cell r="G9300">
            <v>275</v>
          </cell>
          <cell r="H9300">
            <v>0</v>
          </cell>
        </row>
        <row r="9301">
          <cell r="D9301" t="str">
            <v>Furnitures</v>
          </cell>
          <cell r="F9301">
            <v>0</v>
          </cell>
          <cell r="G9301">
            <v>275</v>
          </cell>
          <cell r="H9301">
            <v>0</v>
          </cell>
        </row>
        <row r="9302">
          <cell r="D9302" t="str">
            <v>Furnitures</v>
          </cell>
          <cell r="F9302">
            <v>0</v>
          </cell>
          <cell r="G9302">
            <v>275</v>
          </cell>
          <cell r="H9302">
            <v>0</v>
          </cell>
        </row>
        <row r="9303">
          <cell r="D9303" t="str">
            <v>Furnitures</v>
          </cell>
          <cell r="F9303">
            <v>0</v>
          </cell>
          <cell r="G9303">
            <v>275</v>
          </cell>
          <cell r="H9303">
            <v>0</v>
          </cell>
        </row>
        <row r="9304">
          <cell r="D9304" t="str">
            <v>Furnitures</v>
          </cell>
          <cell r="F9304">
            <v>0</v>
          </cell>
          <cell r="G9304">
            <v>275</v>
          </cell>
          <cell r="H9304">
            <v>0</v>
          </cell>
        </row>
        <row r="9305">
          <cell r="D9305" t="str">
            <v>Furnitures</v>
          </cell>
          <cell r="F9305">
            <v>0</v>
          </cell>
          <cell r="G9305">
            <v>275</v>
          </cell>
          <cell r="H9305">
            <v>0</v>
          </cell>
        </row>
        <row r="9306">
          <cell r="D9306" t="str">
            <v>Furnitures</v>
          </cell>
          <cell r="F9306">
            <v>0</v>
          </cell>
          <cell r="G9306">
            <v>275</v>
          </cell>
          <cell r="H9306">
            <v>0</v>
          </cell>
        </row>
        <row r="9307">
          <cell r="D9307" t="str">
            <v>Furnitures</v>
          </cell>
          <cell r="F9307">
            <v>0</v>
          </cell>
          <cell r="G9307">
            <v>275</v>
          </cell>
          <cell r="H9307">
            <v>0</v>
          </cell>
        </row>
        <row r="9308">
          <cell r="D9308" t="str">
            <v>Furnitures</v>
          </cell>
          <cell r="F9308">
            <v>0</v>
          </cell>
          <cell r="G9308">
            <v>275</v>
          </cell>
          <cell r="H9308">
            <v>0</v>
          </cell>
        </row>
        <row r="9309">
          <cell r="D9309" t="str">
            <v>Furnitures</v>
          </cell>
          <cell r="F9309">
            <v>0</v>
          </cell>
          <cell r="G9309">
            <v>275</v>
          </cell>
          <cell r="H9309">
            <v>0</v>
          </cell>
        </row>
        <row r="9310">
          <cell r="D9310" t="str">
            <v>Furnitures</v>
          </cell>
          <cell r="F9310">
            <v>0</v>
          </cell>
          <cell r="G9310">
            <v>275</v>
          </cell>
          <cell r="H9310">
            <v>0</v>
          </cell>
        </row>
        <row r="9311">
          <cell r="D9311" t="str">
            <v>Furnitures</v>
          </cell>
          <cell r="F9311">
            <v>0</v>
          </cell>
          <cell r="G9311">
            <v>275</v>
          </cell>
          <cell r="H9311">
            <v>0</v>
          </cell>
        </row>
        <row r="9312">
          <cell r="D9312" t="str">
            <v>Furnitures</v>
          </cell>
          <cell r="F9312">
            <v>0</v>
          </cell>
          <cell r="G9312">
            <v>275</v>
          </cell>
          <cell r="H9312">
            <v>0</v>
          </cell>
        </row>
        <row r="9313">
          <cell r="D9313" t="str">
            <v>Furnitures</v>
          </cell>
          <cell r="F9313">
            <v>0</v>
          </cell>
          <cell r="G9313">
            <v>275</v>
          </cell>
          <cell r="H9313">
            <v>0</v>
          </cell>
        </row>
        <row r="9314">
          <cell r="D9314" t="str">
            <v>Furnitures</v>
          </cell>
          <cell r="F9314">
            <v>0</v>
          </cell>
          <cell r="G9314">
            <v>275</v>
          </cell>
          <cell r="H9314">
            <v>0</v>
          </cell>
        </row>
        <row r="9315">
          <cell r="D9315" t="str">
            <v>Furnitures</v>
          </cell>
          <cell r="F9315">
            <v>0</v>
          </cell>
          <cell r="G9315">
            <v>275</v>
          </cell>
          <cell r="H9315">
            <v>0</v>
          </cell>
        </row>
        <row r="9316">
          <cell r="D9316" t="str">
            <v>Furnitures</v>
          </cell>
          <cell r="F9316">
            <v>0</v>
          </cell>
          <cell r="G9316">
            <v>275</v>
          </cell>
          <cell r="H9316">
            <v>0</v>
          </cell>
        </row>
        <row r="9317">
          <cell r="D9317" t="str">
            <v>Furnitures</v>
          </cell>
          <cell r="F9317">
            <v>0</v>
          </cell>
          <cell r="G9317">
            <v>275</v>
          </cell>
          <cell r="H9317">
            <v>0</v>
          </cell>
        </row>
        <row r="9318">
          <cell r="D9318" t="str">
            <v>Furnitures</v>
          </cell>
          <cell r="F9318">
            <v>0</v>
          </cell>
          <cell r="G9318">
            <v>275</v>
          </cell>
          <cell r="H9318">
            <v>0</v>
          </cell>
        </row>
        <row r="9319">
          <cell r="D9319" t="str">
            <v>Furnitures</v>
          </cell>
          <cell r="F9319">
            <v>0</v>
          </cell>
          <cell r="G9319">
            <v>275</v>
          </cell>
          <cell r="H9319">
            <v>0</v>
          </cell>
        </row>
        <row r="9320">
          <cell r="D9320" t="str">
            <v>Furnitures</v>
          </cell>
          <cell r="F9320">
            <v>0</v>
          </cell>
          <cell r="G9320">
            <v>275</v>
          </cell>
          <cell r="H9320">
            <v>0</v>
          </cell>
        </row>
        <row r="9321">
          <cell r="D9321" t="str">
            <v>Furnitures</v>
          </cell>
          <cell r="F9321">
            <v>0</v>
          </cell>
          <cell r="G9321">
            <v>275</v>
          </cell>
          <cell r="H9321">
            <v>0</v>
          </cell>
        </row>
        <row r="9322">
          <cell r="D9322" t="str">
            <v>Furnitures</v>
          </cell>
          <cell r="F9322">
            <v>0</v>
          </cell>
          <cell r="G9322">
            <v>275</v>
          </cell>
          <cell r="H9322">
            <v>0</v>
          </cell>
        </row>
        <row r="9323">
          <cell r="D9323" t="str">
            <v>Furnitures</v>
          </cell>
          <cell r="F9323">
            <v>0</v>
          </cell>
          <cell r="G9323">
            <v>275</v>
          </cell>
          <cell r="H9323">
            <v>0</v>
          </cell>
        </row>
        <row r="9324">
          <cell r="D9324" t="str">
            <v>Furnitures</v>
          </cell>
          <cell r="F9324">
            <v>0</v>
          </cell>
          <cell r="G9324">
            <v>275</v>
          </cell>
          <cell r="H9324">
            <v>0</v>
          </cell>
        </row>
        <row r="9325">
          <cell r="D9325" t="str">
            <v>Furnitures</v>
          </cell>
          <cell r="F9325">
            <v>0</v>
          </cell>
          <cell r="G9325">
            <v>275</v>
          </cell>
          <cell r="H9325">
            <v>0</v>
          </cell>
        </row>
        <row r="9326">
          <cell r="D9326" t="str">
            <v>Furnitures</v>
          </cell>
          <cell r="F9326">
            <v>0</v>
          </cell>
          <cell r="G9326">
            <v>275</v>
          </cell>
          <cell r="H9326">
            <v>0</v>
          </cell>
        </row>
        <row r="9327">
          <cell r="D9327" t="str">
            <v>Furnitures</v>
          </cell>
          <cell r="F9327">
            <v>0</v>
          </cell>
          <cell r="G9327">
            <v>275</v>
          </cell>
          <cell r="H9327">
            <v>0</v>
          </cell>
        </row>
        <row r="9328">
          <cell r="D9328" t="str">
            <v>Furnitures</v>
          </cell>
          <cell r="F9328">
            <v>0</v>
          </cell>
          <cell r="G9328">
            <v>275</v>
          </cell>
          <cell r="H9328">
            <v>0</v>
          </cell>
        </row>
        <row r="9329">
          <cell r="D9329" t="str">
            <v>Furnitures</v>
          </cell>
          <cell r="F9329">
            <v>0</v>
          </cell>
          <cell r="G9329">
            <v>275</v>
          </cell>
          <cell r="H9329">
            <v>0</v>
          </cell>
        </row>
        <row r="9330">
          <cell r="D9330" t="str">
            <v>Furnitures</v>
          </cell>
          <cell r="F9330">
            <v>0</v>
          </cell>
          <cell r="G9330">
            <v>275</v>
          </cell>
          <cell r="H9330">
            <v>0</v>
          </cell>
        </row>
        <row r="9331">
          <cell r="D9331" t="str">
            <v>Furnitures</v>
          </cell>
          <cell r="F9331">
            <v>0</v>
          </cell>
          <cell r="G9331">
            <v>275</v>
          </cell>
          <cell r="H9331">
            <v>0</v>
          </cell>
        </row>
        <row r="9332">
          <cell r="D9332" t="str">
            <v>Furnitures</v>
          </cell>
          <cell r="F9332">
            <v>0</v>
          </cell>
          <cell r="G9332">
            <v>275</v>
          </cell>
          <cell r="H9332">
            <v>0</v>
          </cell>
        </row>
        <row r="9333">
          <cell r="D9333" t="str">
            <v>Furnitures</v>
          </cell>
          <cell r="F9333">
            <v>0</v>
          </cell>
          <cell r="G9333">
            <v>275</v>
          </cell>
          <cell r="H9333">
            <v>0</v>
          </cell>
        </row>
        <row r="9334">
          <cell r="D9334" t="str">
            <v>Furnitures</v>
          </cell>
          <cell r="F9334">
            <v>0</v>
          </cell>
          <cell r="G9334">
            <v>275</v>
          </cell>
          <cell r="H9334">
            <v>0</v>
          </cell>
        </row>
        <row r="9335">
          <cell r="D9335" t="str">
            <v>Furnitures</v>
          </cell>
          <cell r="F9335">
            <v>0</v>
          </cell>
          <cell r="G9335">
            <v>275</v>
          </cell>
          <cell r="H9335">
            <v>0</v>
          </cell>
        </row>
        <row r="9336">
          <cell r="D9336" t="str">
            <v>Furnitures</v>
          </cell>
          <cell r="F9336">
            <v>0</v>
          </cell>
          <cell r="G9336">
            <v>275</v>
          </cell>
          <cell r="H9336">
            <v>0</v>
          </cell>
        </row>
        <row r="9337">
          <cell r="D9337" t="str">
            <v>Furnitures</v>
          </cell>
          <cell r="F9337">
            <v>0</v>
          </cell>
          <cell r="G9337">
            <v>275</v>
          </cell>
          <cell r="H9337">
            <v>0</v>
          </cell>
        </row>
        <row r="9338">
          <cell r="D9338" t="str">
            <v>Furnitures</v>
          </cell>
          <cell r="F9338">
            <v>0</v>
          </cell>
          <cell r="G9338">
            <v>275</v>
          </cell>
          <cell r="H9338">
            <v>0</v>
          </cell>
        </row>
        <row r="9339">
          <cell r="D9339" t="str">
            <v>Furnitures</v>
          </cell>
          <cell r="F9339">
            <v>0</v>
          </cell>
          <cell r="G9339">
            <v>275</v>
          </cell>
          <cell r="H9339">
            <v>0</v>
          </cell>
        </row>
        <row r="9340">
          <cell r="D9340" t="str">
            <v>Furnitures</v>
          </cell>
          <cell r="F9340">
            <v>0</v>
          </cell>
          <cell r="G9340">
            <v>275</v>
          </cell>
          <cell r="H9340">
            <v>0</v>
          </cell>
        </row>
        <row r="9341">
          <cell r="D9341" t="str">
            <v>Furnitures</v>
          </cell>
          <cell r="F9341">
            <v>0</v>
          </cell>
          <cell r="G9341">
            <v>275</v>
          </cell>
          <cell r="H9341">
            <v>0</v>
          </cell>
        </row>
        <row r="9342">
          <cell r="D9342" t="str">
            <v>Furnitures</v>
          </cell>
          <cell r="F9342">
            <v>0</v>
          </cell>
          <cell r="G9342">
            <v>275</v>
          </cell>
          <cell r="H9342">
            <v>0</v>
          </cell>
        </row>
        <row r="9343">
          <cell r="D9343" t="str">
            <v>Furnitures</v>
          </cell>
          <cell r="F9343">
            <v>0</v>
          </cell>
          <cell r="G9343">
            <v>275</v>
          </cell>
          <cell r="H9343">
            <v>0</v>
          </cell>
        </row>
        <row r="9344">
          <cell r="D9344" t="str">
            <v>Furnitures</v>
          </cell>
          <cell r="F9344">
            <v>0</v>
          </cell>
          <cell r="G9344">
            <v>275</v>
          </cell>
          <cell r="H9344">
            <v>0</v>
          </cell>
        </row>
        <row r="9345">
          <cell r="D9345" t="str">
            <v>Furnitures</v>
          </cell>
          <cell r="F9345">
            <v>0</v>
          </cell>
          <cell r="G9345">
            <v>275</v>
          </cell>
          <cell r="H9345">
            <v>0</v>
          </cell>
        </row>
        <row r="9346">
          <cell r="D9346" t="str">
            <v>Furnitures</v>
          </cell>
          <cell r="F9346">
            <v>0</v>
          </cell>
          <cell r="G9346">
            <v>275</v>
          </cell>
          <cell r="H9346">
            <v>0</v>
          </cell>
        </row>
        <row r="9347">
          <cell r="D9347" t="str">
            <v>Furnitures</v>
          </cell>
          <cell r="F9347">
            <v>0</v>
          </cell>
          <cell r="G9347">
            <v>275</v>
          </cell>
          <cell r="H9347">
            <v>0</v>
          </cell>
        </row>
        <row r="9348">
          <cell r="D9348" t="str">
            <v>Furnitures</v>
          </cell>
          <cell r="F9348">
            <v>0</v>
          </cell>
          <cell r="G9348">
            <v>275</v>
          </cell>
          <cell r="H9348">
            <v>0</v>
          </cell>
        </row>
        <row r="9349">
          <cell r="D9349" t="str">
            <v>Furnitures</v>
          </cell>
          <cell r="F9349">
            <v>0</v>
          </cell>
          <cell r="G9349">
            <v>275</v>
          </cell>
          <cell r="H9349">
            <v>0</v>
          </cell>
        </row>
        <row r="9350">
          <cell r="D9350" t="str">
            <v>Furnitures</v>
          </cell>
          <cell r="F9350">
            <v>0</v>
          </cell>
          <cell r="G9350">
            <v>275</v>
          </cell>
          <cell r="H9350">
            <v>0</v>
          </cell>
        </row>
        <row r="9351">
          <cell r="D9351" t="str">
            <v>Furnitures</v>
          </cell>
          <cell r="F9351">
            <v>0</v>
          </cell>
          <cell r="G9351">
            <v>275</v>
          </cell>
          <cell r="H9351">
            <v>0</v>
          </cell>
        </row>
        <row r="9352">
          <cell r="D9352" t="str">
            <v>Furnitures</v>
          </cell>
          <cell r="F9352">
            <v>0</v>
          </cell>
          <cell r="G9352">
            <v>275</v>
          </cell>
          <cell r="H9352">
            <v>0</v>
          </cell>
        </row>
        <row r="9353">
          <cell r="D9353" t="str">
            <v>Furnitures</v>
          </cell>
          <cell r="F9353">
            <v>0</v>
          </cell>
          <cell r="G9353">
            <v>275</v>
          </cell>
          <cell r="H9353">
            <v>0</v>
          </cell>
        </row>
        <row r="9354">
          <cell r="D9354" t="str">
            <v>Furnitures</v>
          </cell>
          <cell r="F9354">
            <v>0</v>
          </cell>
          <cell r="G9354">
            <v>275</v>
          </cell>
          <cell r="H9354">
            <v>0</v>
          </cell>
        </row>
        <row r="9355">
          <cell r="D9355" t="str">
            <v>Furnitures</v>
          </cell>
          <cell r="F9355">
            <v>0</v>
          </cell>
          <cell r="G9355">
            <v>275</v>
          </cell>
          <cell r="H9355">
            <v>0</v>
          </cell>
        </row>
        <row r="9356">
          <cell r="D9356" t="str">
            <v>Furnitures</v>
          </cell>
          <cell r="F9356">
            <v>0</v>
          </cell>
          <cell r="G9356">
            <v>275</v>
          </cell>
          <cell r="H9356">
            <v>0</v>
          </cell>
        </row>
        <row r="9357">
          <cell r="D9357" t="str">
            <v>Furnitures</v>
          </cell>
          <cell r="F9357">
            <v>0</v>
          </cell>
          <cell r="G9357">
            <v>275</v>
          </cell>
          <cell r="H9357">
            <v>0</v>
          </cell>
        </row>
        <row r="9358">
          <cell r="D9358" t="str">
            <v>Furnitures</v>
          </cell>
          <cell r="F9358">
            <v>0</v>
          </cell>
          <cell r="G9358">
            <v>275</v>
          </cell>
          <cell r="H9358">
            <v>0</v>
          </cell>
        </row>
        <row r="9359">
          <cell r="D9359" t="str">
            <v>Furnitures</v>
          </cell>
          <cell r="F9359">
            <v>0</v>
          </cell>
          <cell r="G9359">
            <v>275</v>
          </cell>
          <cell r="H9359">
            <v>0</v>
          </cell>
        </row>
        <row r="9360">
          <cell r="D9360" t="str">
            <v>Furnitures</v>
          </cell>
          <cell r="F9360">
            <v>0</v>
          </cell>
          <cell r="G9360">
            <v>275</v>
          </cell>
          <cell r="H9360">
            <v>0</v>
          </cell>
        </row>
        <row r="9361">
          <cell r="D9361" t="str">
            <v>Furnitures</v>
          </cell>
          <cell r="F9361">
            <v>0</v>
          </cell>
          <cell r="G9361">
            <v>275</v>
          </cell>
          <cell r="H9361">
            <v>0</v>
          </cell>
        </row>
        <row r="9362">
          <cell r="D9362" t="str">
            <v>Furnitures</v>
          </cell>
          <cell r="F9362">
            <v>0</v>
          </cell>
          <cell r="G9362">
            <v>275</v>
          </cell>
          <cell r="H9362">
            <v>0</v>
          </cell>
        </row>
        <row r="9363">
          <cell r="D9363" t="str">
            <v>Furnitures</v>
          </cell>
          <cell r="F9363">
            <v>0</v>
          </cell>
          <cell r="G9363">
            <v>275</v>
          </cell>
          <cell r="H9363">
            <v>0</v>
          </cell>
        </row>
        <row r="9364">
          <cell r="D9364" t="str">
            <v>Furnitures</v>
          </cell>
          <cell r="F9364">
            <v>0</v>
          </cell>
          <cell r="G9364">
            <v>275</v>
          </cell>
          <cell r="H9364">
            <v>0</v>
          </cell>
        </row>
        <row r="9365">
          <cell r="D9365" t="str">
            <v>Furnitures</v>
          </cell>
          <cell r="F9365">
            <v>0</v>
          </cell>
          <cell r="G9365">
            <v>275</v>
          </cell>
          <cell r="H9365">
            <v>0</v>
          </cell>
        </row>
        <row r="9366">
          <cell r="D9366" t="str">
            <v>Furnitures</v>
          </cell>
          <cell r="F9366">
            <v>0</v>
          </cell>
          <cell r="G9366">
            <v>275</v>
          </cell>
          <cell r="H9366">
            <v>0</v>
          </cell>
        </row>
        <row r="9367">
          <cell r="D9367" t="str">
            <v>Furnitures</v>
          </cell>
          <cell r="F9367">
            <v>0</v>
          </cell>
          <cell r="G9367">
            <v>275</v>
          </cell>
          <cell r="H9367">
            <v>0</v>
          </cell>
        </row>
        <row r="9368">
          <cell r="D9368" t="str">
            <v>Furnitures</v>
          </cell>
          <cell r="F9368">
            <v>0</v>
          </cell>
          <cell r="G9368">
            <v>275</v>
          </cell>
          <cell r="H9368">
            <v>0</v>
          </cell>
        </row>
        <row r="9369">
          <cell r="D9369" t="str">
            <v>Furnitures</v>
          </cell>
          <cell r="F9369">
            <v>0</v>
          </cell>
          <cell r="G9369">
            <v>275</v>
          </cell>
          <cell r="H9369">
            <v>0</v>
          </cell>
        </row>
        <row r="9370">
          <cell r="D9370" t="str">
            <v>Furnitures</v>
          </cell>
          <cell r="F9370">
            <v>0</v>
          </cell>
          <cell r="G9370">
            <v>275</v>
          </cell>
          <cell r="H9370">
            <v>0</v>
          </cell>
        </row>
        <row r="9371">
          <cell r="D9371" t="str">
            <v>Furnitures</v>
          </cell>
          <cell r="F9371">
            <v>0</v>
          </cell>
          <cell r="G9371">
            <v>275</v>
          </cell>
          <cell r="H9371">
            <v>0</v>
          </cell>
        </row>
        <row r="9372">
          <cell r="D9372" t="str">
            <v>Furnitures</v>
          </cell>
          <cell r="F9372">
            <v>0</v>
          </cell>
          <cell r="G9372">
            <v>275</v>
          </cell>
          <cell r="H9372">
            <v>0</v>
          </cell>
        </row>
        <row r="9373">
          <cell r="D9373" t="str">
            <v>Furnitures</v>
          </cell>
          <cell r="F9373">
            <v>0</v>
          </cell>
          <cell r="G9373">
            <v>275</v>
          </cell>
          <cell r="H9373">
            <v>0</v>
          </cell>
        </row>
        <row r="9374">
          <cell r="D9374" t="str">
            <v>Furnitures</v>
          </cell>
          <cell r="F9374">
            <v>0</v>
          </cell>
          <cell r="G9374">
            <v>275</v>
          </cell>
          <cell r="H9374">
            <v>0</v>
          </cell>
        </row>
        <row r="9375">
          <cell r="D9375" t="str">
            <v>Furnitures</v>
          </cell>
          <cell r="F9375">
            <v>0</v>
          </cell>
          <cell r="G9375">
            <v>275</v>
          </cell>
          <cell r="H9375">
            <v>0</v>
          </cell>
        </row>
        <row r="9376">
          <cell r="D9376" t="str">
            <v>Furnitures</v>
          </cell>
          <cell r="F9376">
            <v>0</v>
          </cell>
          <cell r="G9376">
            <v>275</v>
          </cell>
          <cell r="H9376">
            <v>0</v>
          </cell>
        </row>
        <row r="9377">
          <cell r="D9377" t="str">
            <v>Furnitures</v>
          </cell>
          <cell r="F9377">
            <v>0</v>
          </cell>
          <cell r="G9377">
            <v>275</v>
          </cell>
          <cell r="H9377">
            <v>0</v>
          </cell>
        </row>
        <row r="9378">
          <cell r="D9378" t="str">
            <v>Furnitures</v>
          </cell>
          <cell r="F9378">
            <v>0</v>
          </cell>
          <cell r="G9378">
            <v>275</v>
          </cell>
          <cell r="H9378">
            <v>0</v>
          </cell>
        </row>
        <row r="9379">
          <cell r="D9379" t="str">
            <v>Furnitures</v>
          </cell>
          <cell r="F9379">
            <v>0</v>
          </cell>
          <cell r="G9379">
            <v>275</v>
          </cell>
          <cell r="H9379">
            <v>0</v>
          </cell>
        </row>
        <row r="9380">
          <cell r="D9380" t="str">
            <v>Furnitures</v>
          </cell>
          <cell r="F9380">
            <v>0</v>
          </cell>
          <cell r="G9380">
            <v>275</v>
          </cell>
          <cell r="H9380">
            <v>0</v>
          </cell>
        </row>
        <row r="9381">
          <cell r="D9381" t="str">
            <v>Furnitures</v>
          </cell>
          <cell r="F9381">
            <v>0</v>
          </cell>
          <cell r="G9381">
            <v>275</v>
          </cell>
          <cell r="H9381">
            <v>0</v>
          </cell>
        </row>
        <row r="9382">
          <cell r="D9382" t="str">
            <v>Furnitures</v>
          </cell>
          <cell r="F9382">
            <v>0</v>
          </cell>
          <cell r="G9382">
            <v>275</v>
          </cell>
          <cell r="H9382">
            <v>0</v>
          </cell>
        </row>
        <row r="9383">
          <cell r="D9383" t="str">
            <v>Furnitures</v>
          </cell>
          <cell r="F9383">
            <v>0</v>
          </cell>
          <cell r="G9383">
            <v>275</v>
          </cell>
          <cell r="H9383">
            <v>0</v>
          </cell>
        </row>
        <row r="9384">
          <cell r="D9384" t="str">
            <v>Furnitures</v>
          </cell>
          <cell r="F9384">
            <v>0</v>
          </cell>
          <cell r="G9384">
            <v>275</v>
          </cell>
          <cell r="H9384">
            <v>0</v>
          </cell>
        </row>
        <row r="9385">
          <cell r="D9385" t="str">
            <v>Furnitures</v>
          </cell>
          <cell r="F9385">
            <v>0</v>
          </cell>
          <cell r="G9385">
            <v>275</v>
          </cell>
          <cell r="H9385">
            <v>0</v>
          </cell>
        </row>
        <row r="9386">
          <cell r="D9386" t="str">
            <v>Furnitures</v>
          </cell>
          <cell r="F9386">
            <v>0</v>
          </cell>
          <cell r="G9386">
            <v>275</v>
          </cell>
          <cell r="H9386">
            <v>0</v>
          </cell>
        </row>
        <row r="9387">
          <cell r="D9387" t="str">
            <v>Furnitures</v>
          </cell>
          <cell r="F9387">
            <v>0</v>
          </cell>
          <cell r="G9387">
            <v>275</v>
          </cell>
          <cell r="H9387">
            <v>0</v>
          </cell>
        </row>
        <row r="9388">
          <cell r="D9388" t="str">
            <v>Furnitures</v>
          </cell>
          <cell r="F9388">
            <v>0</v>
          </cell>
          <cell r="G9388">
            <v>275</v>
          </cell>
          <cell r="H9388">
            <v>0</v>
          </cell>
        </row>
        <row r="9389">
          <cell r="D9389" t="str">
            <v>Furnitures</v>
          </cell>
          <cell r="F9389">
            <v>0</v>
          </cell>
          <cell r="G9389">
            <v>275</v>
          </cell>
          <cell r="H9389">
            <v>0</v>
          </cell>
        </row>
        <row r="9390">
          <cell r="D9390" t="str">
            <v>Furnitures</v>
          </cell>
          <cell r="F9390">
            <v>0</v>
          </cell>
          <cell r="G9390">
            <v>275</v>
          </cell>
          <cell r="H9390">
            <v>0</v>
          </cell>
        </row>
        <row r="9391">
          <cell r="D9391" t="str">
            <v>Furnitures</v>
          </cell>
          <cell r="F9391">
            <v>0</v>
          </cell>
          <cell r="G9391">
            <v>275</v>
          </cell>
          <cell r="H9391">
            <v>0</v>
          </cell>
        </row>
        <row r="9392">
          <cell r="D9392" t="str">
            <v>Furnitures</v>
          </cell>
          <cell r="F9392">
            <v>0</v>
          </cell>
          <cell r="G9392">
            <v>275</v>
          </cell>
          <cell r="H9392">
            <v>0</v>
          </cell>
        </row>
        <row r="9393">
          <cell r="D9393" t="str">
            <v>Furnitures</v>
          </cell>
          <cell r="F9393">
            <v>0</v>
          </cell>
          <cell r="G9393">
            <v>275</v>
          </cell>
          <cell r="H9393">
            <v>0</v>
          </cell>
        </row>
        <row r="9394">
          <cell r="D9394" t="str">
            <v>Furnitures</v>
          </cell>
          <cell r="F9394">
            <v>0</v>
          </cell>
          <cell r="G9394">
            <v>275</v>
          </cell>
          <cell r="H9394">
            <v>0</v>
          </cell>
        </row>
        <row r="9395">
          <cell r="D9395" t="str">
            <v>Furnitures</v>
          </cell>
          <cell r="F9395">
            <v>0</v>
          </cell>
          <cell r="G9395">
            <v>275</v>
          </cell>
          <cell r="H9395">
            <v>0</v>
          </cell>
        </row>
        <row r="9396">
          <cell r="D9396" t="str">
            <v>Furnitures</v>
          </cell>
          <cell r="F9396">
            <v>0</v>
          </cell>
          <cell r="G9396">
            <v>275</v>
          </cell>
          <cell r="H9396">
            <v>0</v>
          </cell>
        </row>
        <row r="9397">
          <cell r="D9397" t="str">
            <v>Furnitures</v>
          </cell>
          <cell r="F9397">
            <v>0</v>
          </cell>
          <cell r="G9397">
            <v>275</v>
          </cell>
          <cell r="H9397">
            <v>0</v>
          </cell>
        </row>
        <row r="9398">
          <cell r="D9398" t="str">
            <v>Furnitures</v>
          </cell>
          <cell r="F9398">
            <v>0</v>
          </cell>
          <cell r="G9398">
            <v>275</v>
          </cell>
          <cell r="H9398">
            <v>0</v>
          </cell>
        </row>
        <row r="9399">
          <cell r="D9399" t="str">
            <v>Furnitures</v>
          </cell>
          <cell r="F9399">
            <v>0</v>
          </cell>
          <cell r="G9399">
            <v>275</v>
          </cell>
          <cell r="H9399">
            <v>0</v>
          </cell>
        </row>
        <row r="9400">
          <cell r="D9400" t="str">
            <v>Furnitures</v>
          </cell>
          <cell r="F9400">
            <v>0</v>
          </cell>
          <cell r="G9400">
            <v>275</v>
          </cell>
          <cell r="H9400">
            <v>0</v>
          </cell>
        </row>
        <row r="9401">
          <cell r="D9401" t="str">
            <v>Furnitures</v>
          </cell>
          <cell r="F9401">
            <v>0</v>
          </cell>
          <cell r="G9401">
            <v>275</v>
          </cell>
          <cell r="H9401">
            <v>0</v>
          </cell>
        </row>
        <row r="9402">
          <cell r="D9402" t="str">
            <v>Furnitures</v>
          </cell>
          <cell r="F9402">
            <v>0</v>
          </cell>
          <cell r="G9402">
            <v>275</v>
          </cell>
          <cell r="H9402">
            <v>0</v>
          </cell>
        </row>
        <row r="9403">
          <cell r="D9403" t="str">
            <v>Furnitures</v>
          </cell>
          <cell r="F9403">
            <v>0</v>
          </cell>
          <cell r="G9403">
            <v>275</v>
          </cell>
          <cell r="H9403">
            <v>0</v>
          </cell>
        </row>
        <row r="9404">
          <cell r="D9404" t="str">
            <v>Furnitures</v>
          </cell>
          <cell r="F9404">
            <v>0</v>
          </cell>
          <cell r="G9404">
            <v>275</v>
          </cell>
          <cell r="H9404">
            <v>0</v>
          </cell>
        </row>
        <row r="9405">
          <cell r="D9405" t="str">
            <v>Furnitures</v>
          </cell>
          <cell r="F9405">
            <v>0</v>
          </cell>
          <cell r="G9405">
            <v>275</v>
          </cell>
          <cell r="H9405">
            <v>0</v>
          </cell>
        </row>
        <row r="9406">
          <cell r="D9406" t="str">
            <v>Furnitures</v>
          </cell>
          <cell r="F9406">
            <v>0</v>
          </cell>
          <cell r="G9406">
            <v>275</v>
          </cell>
          <cell r="H9406">
            <v>0</v>
          </cell>
        </row>
        <row r="9407">
          <cell r="D9407" t="str">
            <v>Furnitures</v>
          </cell>
          <cell r="F9407">
            <v>0</v>
          </cell>
          <cell r="G9407">
            <v>275</v>
          </cell>
          <cell r="H9407">
            <v>0</v>
          </cell>
        </row>
        <row r="9408">
          <cell r="D9408" t="str">
            <v>Furnitures</v>
          </cell>
          <cell r="F9408">
            <v>0</v>
          </cell>
          <cell r="G9408">
            <v>275</v>
          </cell>
          <cell r="H9408">
            <v>0</v>
          </cell>
        </row>
        <row r="9409">
          <cell r="D9409" t="str">
            <v>Furnitures</v>
          </cell>
          <cell r="F9409">
            <v>0</v>
          </cell>
          <cell r="G9409">
            <v>275</v>
          </cell>
          <cell r="H9409">
            <v>0</v>
          </cell>
        </row>
        <row r="9410">
          <cell r="D9410" t="str">
            <v>Furnitures</v>
          </cell>
          <cell r="F9410">
            <v>0</v>
          </cell>
          <cell r="G9410">
            <v>275</v>
          </cell>
          <cell r="H9410">
            <v>0</v>
          </cell>
        </row>
        <row r="9411">
          <cell r="D9411" t="str">
            <v>Furnitures</v>
          </cell>
          <cell r="F9411">
            <v>0</v>
          </cell>
          <cell r="G9411">
            <v>275</v>
          </cell>
          <cell r="H9411">
            <v>0</v>
          </cell>
        </row>
        <row r="9412">
          <cell r="D9412" t="str">
            <v>Furnitures</v>
          </cell>
          <cell r="F9412">
            <v>0</v>
          </cell>
          <cell r="G9412">
            <v>275</v>
          </cell>
          <cell r="H9412">
            <v>0</v>
          </cell>
        </row>
        <row r="9413">
          <cell r="D9413" t="str">
            <v>Furnitures</v>
          </cell>
          <cell r="F9413">
            <v>0</v>
          </cell>
          <cell r="G9413">
            <v>275</v>
          </cell>
          <cell r="H9413">
            <v>0</v>
          </cell>
        </row>
        <row r="9414">
          <cell r="D9414" t="str">
            <v>Furnitures</v>
          </cell>
          <cell r="F9414">
            <v>0</v>
          </cell>
          <cell r="G9414">
            <v>275</v>
          </cell>
          <cell r="H9414">
            <v>0</v>
          </cell>
        </row>
        <row r="9415">
          <cell r="D9415" t="str">
            <v>Furnitures</v>
          </cell>
          <cell r="F9415">
            <v>0</v>
          </cell>
          <cell r="G9415">
            <v>275</v>
          </cell>
          <cell r="H9415">
            <v>0</v>
          </cell>
        </row>
        <row r="9416">
          <cell r="D9416" t="str">
            <v>Furnitures</v>
          </cell>
          <cell r="F9416">
            <v>0</v>
          </cell>
          <cell r="G9416">
            <v>275</v>
          </cell>
          <cell r="H9416">
            <v>0</v>
          </cell>
        </row>
        <row r="9417">
          <cell r="D9417" t="str">
            <v>Furnitures</v>
          </cell>
          <cell r="F9417">
            <v>0</v>
          </cell>
          <cell r="G9417">
            <v>275</v>
          </cell>
          <cell r="H9417">
            <v>0</v>
          </cell>
        </row>
        <row r="9418">
          <cell r="D9418" t="str">
            <v>Furnitures</v>
          </cell>
          <cell r="F9418">
            <v>0</v>
          </cell>
          <cell r="G9418">
            <v>275</v>
          </cell>
          <cell r="H9418">
            <v>0</v>
          </cell>
        </row>
        <row r="9419">
          <cell r="D9419" t="str">
            <v>Furnitures</v>
          </cell>
          <cell r="F9419">
            <v>0</v>
          </cell>
          <cell r="G9419">
            <v>275</v>
          </cell>
          <cell r="H9419">
            <v>0</v>
          </cell>
        </row>
        <row r="9420">
          <cell r="D9420" t="str">
            <v>Furnitures</v>
          </cell>
          <cell r="F9420">
            <v>0</v>
          </cell>
          <cell r="G9420">
            <v>275</v>
          </cell>
          <cell r="H9420">
            <v>0</v>
          </cell>
        </row>
        <row r="9421">
          <cell r="D9421" t="str">
            <v>Furnitures</v>
          </cell>
          <cell r="F9421">
            <v>0</v>
          </cell>
          <cell r="G9421">
            <v>275</v>
          </cell>
          <cell r="H9421">
            <v>0</v>
          </cell>
        </row>
        <row r="9422">
          <cell r="D9422" t="str">
            <v>Furnitures</v>
          </cell>
          <cell r="F9422">
            <v>0</v>
          </cell>
          <cell r="G9422">
            <v>275</v>
          </cell>
          <cell r="H9422">
            <v>0</v>
          </cell>
        </row>
        <row r="9423">
          <cell r="D9423" t="str">
            <v>Furnitures</v>
          </cell>
          <cell r="F9423">
            <v>0</v>
          </cell>
          <cell r="G9423">
            <v>275</v>
          </cell>
          <cell r="H9423">
            <v>0</v>
          </cell>
        </row>
        <row r="9424">
          <cell r="D9424" t="str">
            <v>Furnitures</v>
          </cell>
          <cell r="F9424">
            <v>0</v>
          </cell>
          <cell r="G9424">
            <v>275</v>
          </cell>
          <cell r="H9424">
            <v>0</v>
          </cell>
        </row>
        <row r="9425">
          <cell r="D9425" t="str">
            <v>Furnitures</v>
          </cell>
          <cell r="F9425">
            <v>0</v>
          </cell>
          <cell r="G9425">
            <v>275</v>
          </cell>
          <cell r="H9425">
            <v>0</v>
          </cell>
        </row>
        <row r="9426">
          <cell r="D9426" t="str">
            <v>Furnitures</v>
          </cell>
          <cell r="F9426">
            <v>0</v>
          </cell>
          <cell r="G9426">
            <v>275</v>
          </cell>
          <cell r="H9426">
            <v>0</v>
          </cell>
        </row>
        <row r="9427">
          <cell r="D9427" t="str">
            <v>Furnitures</v>
          </cell>
          <cell r="F9427">
            <v>0</v>
          </cell>
          <cell r="G9427">
            <v>275</v>
          </cell>
          <cell r="H9427">
            <v>0</v>
          </cell>
        </row>
        <row r="9428">
          <cell r="D9428" t="str">
            <v>Furnitures</v>
          </cell>
          <cell r="F9428">
            <v>0</v>
          </cell>
          <cell r="G9428">
            <v>275</v>
          </cell>
          <cell r="H9428">
            <v>0</v>
          </cell>
        </row>
        <row r="9429">
          <cell r="D9429" t="str">
            <v>Furnitures</v>
          </cell>
          <cell r="F9429">
            <v>0</v>
          </cell>
          <cell r="G9429">
            <v>275</v>
          </cell>
          <cell r="H9429">
            <v>0</v>
          </cell>
        </row>
        <row r="9430">
          <cell r="D9430" t="str">
            <v>Furnitures</v>
          </cell>
          <cell r="F9430">
            <v>0</v>
          </cell>
          <cell r="G9430">
            <v>275</v>
          </cell>
          <cell r="H9430">
            <v>0</v>
          </cell>
        </row>
        <row r="9431">
          <cell r="D9431" t="str">
            <v>Furnitures</v>
          </cell>
          <cell r="F9431">
            <v>0</v>
          </cell>
          <cell r="G9431">
            <v>275</v>
          </cell>
          <cell r="H9431">
            <v>0</v>
          </cell>
        </row>
        <row r="9432">
          <cell r="D9432" t="str">
            <v>Furnitures</v>
          </cell>
          <cell r="F9432">
            <v>0</v>
          </cell>
          <cell r="G9432">
            <v>275</v>
          </cell>
          <cell r="H9432">
            <v>0</v>
          </cell>
        </row>
        <row r="9433">
          <cell r="D9433" t="str">
            <v>Furnitures</v>
          </cell>
          <cell r="F9433">
            <v>0</v>
          </cell>
          <cell r="G9433">
            <v>275</v>
          </cell>
          <cell r="H9433">
            <v>0</v>
          </cell>
        </row>
        <row r="9434">
          <cell r="D9434" t="str">
            <v>Furnitures</v>
          </cell>
          <cell r="F9434">
            <v>0</v>
          </cell>
          <cell r="G9434">
            <v>275</v>
          </cell>
          <cell r="H9434">
            <v>0</v>
          </cell>
        </row>
        <row r="9435">
          <cell r="D9435" t="str">
            <v>Furnitures</v>
          </cell>
          <cell r="F9435">
            <v>0</v>
          </cell>
          <cell r="G9435">
            <v>275</v>
          </cell>
          <cell r="H9435">
            <v>0</v>
          </cell>
        </row>
        <row r="9436">
          <cell r="D9436" t="str">
            <v>Furnitures</v>
          </cell>
          <cell r="F9436">
            <v>0</v>
          </cell>
          <cell r="G9436">
            <v>275</v>
          </cell>
          <cell r="H9436">
            <v>0</v>
          </cell>
        </row>
        <row r="9437">
          <cell r="D9437" t="str">
            <v>Furnitures</v>
          </cell>
          <cell r="F9437">
            <v>0</v>
          </cell>
          <cell r="G9437">
            <v>275</v>
          </cell>
          <cell r="H9437">
            <v>0</v>
          </cell>
        </row>
        <row r="9438">
          <cell r="D9438" t="str">
            <v>Furnitures</v>
          </cell>
          <cell r="F9438">
            <v>0</v>
          </cell>
          <cell r="G9438">
            <v>275</v>
          </cell>
          <cell r="H9438">
            <v>0</v>
          </cell>
        </row>
        <row r="9439">
          <cell r="D9439" t="str">
            <v>Furnitures</v>
          </cell>
          <cell r="F9439">
            <v>0</v>
          </cell>
          <cell r="G9439">
            <v>275</v>
          </cell>
          <cell r="H9439">
            <v>0</v>
          </cell>
        </row>
        <row r="9440">
          <cell r="D9440" t="str">
            <v>Furnitures</v>
          </cell>
          <cell r="F9440">
            <v>0</v>
          </cell>
          <cell r="G9440">
            <v>275</v>
          </cell>
          <cell r="H9440">
            <v>0</v>
          </cell>
        </row>
        <row r="9441">
          <cell r="D9441" t="str">
            <v>Furnitures</v>
          </cell>
          <cell r="F9441">
            <v>0</v>
          </cell>
          <cell r="G9441">
            <v>275</v>
          </cell>
          <cell r="H9441">
            <v>0</v>
          </cell>
        </row>
        <row r="9442">
          <cell r="D9442" t="str">
            <v>Furnitures</v>
          </cell>
          <cell r="F9442">
            <v>0</v>
          </cell>
          <cell r="G9442">
            <v>275</v>
          </cell>
          <cell r="H9442">
            <v>0</v>
          </cell>
        </row>
        <row r="9443">
          <cell r="D9443" t="str">
            <v>Furnitures</v>
          </cell>
          <cell r="F9443">
            <v>0</v>
          </cell>
          <cell r="G9443">
            <v>275</v>
          </cell>
          <cell r="H9443">
            <v>0</v>
          </cell>
        </row>
        <row r="9444">
          <cell r="D9444" t="str">
            <v>Furnitures</v>
          </cell>
          <cell r="F9444">
            <v>0</v>
          </cell>
          <cell r="G9444">
            <v>275</v>
          </cell>
          <cell r="H9444">
            <v>0</v>
          </cell>
        </row>
        <row r="9445">
          <cell r="D9445" t="str">
            <v>Furnitures</v>
          </cell>
          <cell r="F9445">
            <v>0</v>
          </cell>
          <cell r="G9445">
            <v>275</v>
          </cell>
          <cell r="H9445">
            <v>0</v>
          </cell>
        </row>
        <row r="9446">
          <cell r="D9446" t="str">
            <v>Furnitures</v>
          </cell>
          <cell r="F9446">
            <v>0</v>
          </cell>
          <cell r="G9446">
            <v>275</v>
          </cell>
          <cell r="H9446">
            <v>0</v>
          </cell>
        </row>
        <row r="9447">
          <cell r="D9447" t="str">
            <v>Furnitures</v>
          </cell>
          <cell r="F9447">
            <v>0</v>
          </cell>
          <cell r="G9447">
            <v>275</v>
          </cell>
          <cell r="H9447">
            <v>0</v>
          </cell>
        </row>
        <row r="9448">
          <cell r="D9448" t="str">
            <v>Furnitures</v>
          </cell>
          <cell r="F9448">
            <v>0</v>
          </cell>
          <cell r="G9448">
            <v>275</v>
          </cell>
          <cell r="H9448">
            <v>0</v>
          </cell>
        </row>
        <row r="9449">
          <cell r="D9449" t="str">
            <v>Furnitures</v>
          </cell>
          <cell r="F9449">
            <v>0</v>
          </cell>
          <cell r="G9449">
            <v>275</v>
          </cell>
          <cell r="H9449">
            <v>0</v>
          </cell>
        </row>
        <row r="9450">
          <cell r="D9450" t="str">
            <v>Furnitures</v>
          </cell>
          <cell r="F9450">
            <v>0</v>
          </cell>
          <cell r="G9450">
            <v>275</v>
          </cell>
          <cell r="H9450">
            <v>0</v>
          </cell>
        </row>
        <row r="9451">
          <cell r="D9451" t="str">
            <v>Furnitures</v>
          </cell>
          <cell r="F9451">
            <v>0</v>
          </cell>
          <cell r="G9451">
            <v>275</v>
          </cell>
          <cell r="H9451">
            <v>0</v>
          </cell>
        </row>
        <row r="9452">
          <cell r="D9452" t="str">
            <v>Furnitures</v>
          </cell>
          <cell r="F9452">
            <v>0</v>
          </cell>
          <cell r="G9452">
            <v>275</v>
          </cell>
          <cell r="H9452">
            <v>0</v>
          </cell>
        </row>
        <row r="9453">
          <cell r="D9453" t="str">
            <v>Furnitures</v>
          </cell>
          <cell r="F9453">
            <v>0</v>
          </cell>
          <cell r="G9453">
            <v>275</v>
          </cell>
          <cell r="H9453">
            <v>0</v>
          </cell>
        </row>
        <row r="9454">
          <cell r="D9454" t="str">
            <v>Furnitures</v>
          </cell>
          <cell r="F9454">
            <v>0</v>
          </cell>
          <cell r="G9454">
            <v>275</v>
          </cell>
          <cell r="H9454">
            <v>0</v>
          </cell>
        </row>
        <row r="9455">
          <cell r="D9455" t="str">
            <v>Furnitures</v>
          </cell>
          <cell r="F9455">
            <v>0</v>
          </cell>
          <cell r="G9455">
            <v>275</v>
          </cell>
          <cell r="H9455">
            <v>0</v>
          </cell>
        </row>
        <row r="9456">
          <cell r="D9456" t="str">
            <v>Furnitures</v>
          </cell>
          <cell r="F9456">
            <v>0</v>
          </cell>
          <cell r="G9456">
            <v>275</v>
          </cell>
          <cell r="H9456">
            <v>0</v>
          </cell>
        </row>
        <row r="9457">
          <cell r="D9457" t="str">
            <v>Furnitures</v>
          </cell>
          <cell r="F9457">
            <v>0</v>
          </cell>
          <cell r="G9457">
            <v>275</v>
          </cell>
          <cell r="H9457">
            <v>0</v>
          </cell>
        </row>
        <row r="9458">
          <cell r="D9458" t="str">
            <v>Furnitures</v>
          </cell>
          <cell r="F9458">
            <v>0</v>
          </cell>
          <cell r="G9458">
            <v>275</v>
          </cell>
          <cell r="H9458">
            <v>0</v>
          </cell>
        </row>
        <row r="9459">
          <cell r="D9459" t="str">
            <v>Furnitures</v>
          </cell>
          <cell r="F9459">
            <v>0</v>
          </cell>
          <cell r="G9459">
            <v>275</v>
          </cell>
          <cell r="H9459">
            <v>0</v>
          </cell>
        </row>
        <row r="9460">
          <cell r="D9460" t="str">
            <v>Furnitures</v>
          </cell>
          <cell r="F9460">
            <v>0</v>
          </cell>
          <cell r="G9460">
            <v>275</v>
          </cell>
          <cell r="H9460">
            <v>0</v>
          </cell>
        </row>
        <row r="9461">
          <cell r="D9461" t="str">
            <v>Furnitures</v>
          </cell>
          <cell r="F9461">
            <v>0</v>
          </cell>
          <cell r="G9461">
            <v>275</v>
          </cell>
          <cell r="H9461">
            <v>0</v>
          </cell>
        </row>
        <row r="9462">
          <cell r="D9462" t="str">
            <v>Furnitures</v>
          </cell>
          <cell r="F9462">
            <v>0</v>
          </cell>
          <cell r="G9462">
            <v>275</v>
          </cell>
          <cell r="H9462">
            <v>0</v>
          </cell>
        </row>
        <row r="9463">
          <cell r="D9463" t="str">
            <v>Furnitures</v>
          </cell>
          <cell r="F9463">
            <v>0</v>
          </cell>
          <cell r="G9463">
            <v>275</v>
          </cell>
          <cell r="H9463">
            <v>0</v>
          </cell>
        </row>
        <row r="9464">
          <cell r="D9464" t="str">
            <v>Furnitures</v>
          </cell>
          <cell r="F9464">
            <v>0</v>
          </cell>
          <cell r="G9464">
            <v>275</v>
          </cell>
          <cell r="H9464">
            <v>0</v>
          </cell>
        </row>
        <row r="9465">
          <cell r="D9465" t="str">
            <v>Furnitures</v>
          </cell>
          <cell r="F9465">
            <v>0</v>
          </cell>
          <cell r="G9465">
            <v>275</v>
          </cell>
          <cell r="H9465">
            <v>0</v>
          </cell>
        </row>
        <row r="9466">
          <cell r="D9466" t="str">
            <v>Furnitures</v>
          </cell>
          <cell r="F9466">
            <v>0</v>
          </cell>
          <cell r="G9466">
            <v>275</v>
          </cell>
          <cell r="H9466">
            <v>0</v>
          </cell>
        </row>
        <row r="9467">
          <cell r="D9467" t="str">
            <v>Furnitures</v>
          </cell>
          <cell r="F9467">
            <v>0</v>
          </cell>
          <cell r="G9467">
            <v>275</v>
          </cell>
          <cell r="H9467">
            <v>0</v>
          </cell>
        </row>
        <row r="9468">
          <cell r="D9468" t="str">
            <v>Furnitures</v>
          </cell>
          <cell r="F9468">
            <v>0</v>
          </cell>
          <cell r="G9468">
            <v>275</v>
          </cell>
          <cell r="H9468">
            <v>0</v>
          </cell>
        </row>
        <row r="9469">
          <cell r="D9469" t="str">
            <v>Furnitures</v>
          </cell>
          <cell r="F9469">
            <v>0</v>
          </cell>
          <cell r="G9469">
            <v>275</v>
          </cell>
          <cell r="H9469">
            <v>0</v>
          </cell>
        </row>
        <row r="9470">
          <cell r="D9470" t="str">
            <v>Furnitures</v>
          </cell>
          <cell r="F9470">
            <v>0</v>
          </cell>
          <cell r="G9470">
            <v>275</v>
          </cell>
          <cell r="H9470">
            <v>0</v>
          </cell>
        </row>
        <row r="9471">
          <cell r="D9471" t="str">
            <v>Furnitures</v>
          </cell>
          <cell r="F9471">
            <v>0</v>
          </cell>
          <cell r="G9471">
            <v>275</v>
          </cell>
          <cell r="H9471">
            <v>0</v>
          </cell>
        </row>
        <row r="9472">
          <cell r="D9472" t="str">
            <v>Furnitures</v>
          </cell>
          <cell r="F9472">
            <v>0</v>
          </cell>
          <cell r="G9472">
            <v>275</v>
          </cell>
          <cell r="H9472">
            <v>0</v>
          </cell>
        </row>
        <row r="9473">
          <cell r="D9473" t="str">
            <v>Furnitures</v>
          </cell>
          <cell r="F9473">
            <v>0</v>
          </cell>
          <cell r="G9473">
            <v>275</v>
          </cell>
          <cell r="H9473">
            <v>0</v>
          </cell>
        </row>
        <row r="9474">
          <cell r="D9474" t="str">
            <v>Furnitures</v>
          </cell>
          <cell r="F9474">
            <v>0</v>
          </cell>
          <cell r="G9474">
            <v>275</v>
          </cell>
          <cell r="H9474">
            <v>0</v>
          </cell>
        </row>
        <row r="9475">
          <cell r="D9475" t="str">
            <v>Furnitures</v>
          </cell>
          <cell r="F9475">
            <v>0</v>
          </cell>
          <cell r="G9475">
            <v>275</v>
          </cell>
          <cell r="H9475">
            <v>0</v>
          </cell>
        </row>
        <row r="9476">
          <cell r="D9476" t="str">
            <v>Furnitures</v>
          </cell>
          <cell r="F9476">
            <v>0</v>
          </cell>
          <cell r="G9476">
            <v>275</v>
          </cell>
          <cell r="H9476">
            <v>0</v>
          </cell>
        </row>
        <row r="9477">
          <cell r="D9477" t="str">
            <v>Furnitures</v>
          </cell>
          <cell r="F9477">
            <v>0</v>
          </cell>
          <cell r="G9477">
            <v>275</v>
          </cell>
          <cell r="H9477">
            <v>0</v>
          </cell>
        </row>
        <row r="9478">
          <cell r="D9478" t="str">
            <v>Furnitures</v>
          </cell>
          <cell r="F9478">
            <v>0</v>
          </cell>
          <cell r="G9478">
            <v>275</v>
          </cell>
          <cell r="H9478">
            <v>0</v>
          </cell>
        </row>
        <row r="9479">
          <cell r="D9479" t="str">
            <v>Furnitures</v>
          </cell>
          <cell r="F9479">
            <v>0</v>
          </cell>
          <cell r="G9479">
            <v>275</v>
          </cell>
          <cell r="H9479">
            <v>0</v>
          </cell>
        </row>
        <row r="9480">
          <cell r="D9480" t="str">
            <v>Furnitures</v>
          </cell>
          <cell r="F9480">
            <v>0</v>
          </cell>
          <cell r="G9480">
            <v>275</v>
          </cell>
          <cell r="H9480">
            <v>0</v>
          </cell>
        </row>
        <row r="9481">
          <cell r="D9481" t="str">
            <v>Furnitures</v>
          </cell>
          <cell r="F9481">
            <v>0</v>
          </cell>
          <cell r="G9481">
            <v>275</v>
          </cell>
          <cell r="H9481">
            <v>0</v>
          </cell>
        </row>
        <row r="9482">
          <cell r="D9482" t="str">
            <v>Furnitures</v>
          </cell>
          <cell r="F9482">
            <v>0</v>
          </cell>
          <cell r="G9482">
            <v>275</v>
          </cell>
          <cell r="H9482">
            <v>0</v>
          </cell>
        </row>
        <row r="9483">
          <cell r="D9483" t="str">
            <v>Furnitures</v>
          </cell>
          <cell r="F9483">
            <v>0</v>
          </cell>
          <cell r="G9483">
            <v>275</v>
          </cell>
          <cell r="H9483">
            <v>0</v>
          </cell>
        </row>
        <row r="9484">
          <cell r="D9484" t="str">
            <v>Furnitures</v>
          </cell>
          <cell r="F9484">
            <v>0</v>
          </cell>
          <cell r="G9484">
            <v>275</v>
          </cell>
          <cell r="H9484">
            <v>0</v>
          </cell>
        </row>
        <row r="9485">
          <cell r="D9485" t="str">
            <v>Furnitures</v>
          </cell>
          <cell r="F9485">
            <v>0</v>
          </cell>
          <cell r="G9485">
            <v>275</v>
          </cell>
          <cell r="H9485">
            <v>0</v>
          </cell>
        </row>
        <row r="9486">
          <cell r="D9486" t="str">
            <v>Furnitures</v>
          </cell>
          <cell r="F9486">
            <v>0</v>
          </cell>
          <cell r="G9486">
            <v>275</v>
          </cell>
          <cell r="H9486">
            <v>0</v>
          </cell>
        </row>
        <row r="9487">
          <cell r="D9487" t="str">
            <v>Furnitures</v>
          </cell>
          <cell r="F9487">
            <v>0</v>
          </cell>
          <cell r="G9487">
            <v>275</v>
          </cell>
          <cell r="H9487">
            <v>0</v>
          </cell>
        </row>
        <row r="9488">
          <cell r="D9488" t="str">
            <v>Furnitures</v>
          </cell>
          <cell r="F9488">
            <v>0</v>
          </cell>
          <cell r="G9488">
            <v>275</v>
          </cell>
          <cell r="H9488">
            <v>0</v>
          </cell>
        </row>
        <row r="9489">
          <cell r="D9489" t="str">
            <v>Furnitures</v>
          </cell>
          <cell r="F9489">
            <v>0</v>
          </cell>
          <cell r="G9489">
            <v>275</v>
          </cell>
          <cell r="H9489">
            <v>0</v>
          </cell>
        </row>
        <row r="9490">
          <cell r="D9490" t="str">
            <v>Furnitures</v>
          </cell>
          <cell r="F9490">
            <v>0</v>
          </cell>
          <cell r="G9490">
            <v>275</v>
          </cell>
          <cell r="H9490">
            <v>0</v>
          </cell>
        </row>
        <row r="9491">
          <cell r="D9491" t="str">
            <v>Furnitures</v>
          </cell>
          <cell r="F9491">
            <v>0</v>
          </cell>
          <cell r="G9491">
            <v>275</v>
          </cell>
          <cell r="H9491">
            <v>0</v>
          </cell>
        </row>
        <row r="9492">
          <cell r="D9492" t="str">
            <v>Furnitures</v>
          </cell>
          <cell r="F9492">
            <v>0</v>
          </cell>
          <cell r="G9492">
            <v>275</v>
          </cell>
          <cell r="H9492">
            <v>0</v>
          </cell>
        </row>
        <row r="9493">
          <cell r="D9493" t="str">
            <v>Furnitures</v>
          </cell>
          <cell r="F9493">
            <v>0</v>
          </cell>
          <cell r="G9493">
            <v>275</v>
          </cell>
          <cell r="H9493">
            <v>0</v>
          </cell>
        </row>
        <row r="9494">
          <cell r="D9494" t="str">
            <v>Furnitures</v>
          </cell>
          <cell r="F9494">
            <v>0</v>
          </cell>
          <cell r="G9494">
            <v>275</v>
          </cell>
          <cell r="H9494">
            <v>0</v>
          </cell>
        </row>
        <row r="9495">
          <cell r="D9495" t="str">
            <v>Furnitures</v>
          </cell>
          <cell r="F9495">
            <v>0</v>
          </cell>
          <cell r="G9495">
            <v>275</v>
          </cell>
          <cell r="H9495">
            <v>0</v>
          </cell>
        </row>
        <row r="9496">
          <cell r="D9496" t="str">
            <v>Furnitures</v>
          </cell>
          <cell r="F9496">
            <v>0</v>
          </cell>
          <cell r="G9496">
            <v>275</v>
          </cell>
          <cell r="H9496">
            <v>0</v>
          </cell>
        </row>
        <row r="9497">
          <cell r="D9497" t="str">
            <v>Furnitures</v>
          </cell>
          <cell r="F9497">
            <v>0</v>
          </cell>
          <cell r="G9497">
            <v>275</v>
          </cell>
          <cell r="H9497">
            <v>0</v>
          </cell>
        </row>
        <row r="9498">
          <cell r="D9498" t="str">
            <v>Furnitures</v>
          </cell>
          <cell r="F9498">
            <v>0</v>
          </cell>
          <cell r="G9498">
            <v>275</v>
          </cell>
          <cell r="H9498">
            <v>0</v>
          </cell>
        </row>
        <row r="9499">
          <cell r="D9499" t="str">
            <v>Furnitures</v>
          </cell>
          <cell r="F9499">
            <v>0</v>
          </cell>
          <cell r="G9499">
            <v>275</v>
          </cell>
          <cell r="H9499">
            <v>0</v>
          </cell>
        </row>
        <row r="9500">
          <cell r="D9500" t="str">
            <v>Furnitures</v>
          </cell>
          <cell r="F9500">
            <v>0</v>
          </cell>
          <cell r="G9500">
            <v>275</v>
          </cell>
          <cell r="H9500">
            <v>0</v>
          </cell>
        </row>
        <row r="9501">
          <cell r="D9501" t="str">
            <v>Furnitures</v>
          </cell>
          <cell r="F9501">
            <v>0</v>
          </cell>
          <cell r="G9501">
            <v>275</v>
          </cell>
          <cell r="H9501">
            <v>0</v>
          </cell>
        </row>
        <row r="9502">
          <cell r="D9502" t="str">
            <v>Furnitures</v>
          </cell>
          <cell r="F9502">
            <v>0</v>
          </cell>
          <cell r="G9502">
            <v>275</v>
          </cell>
          <cell r="H9502">
            <v>0</v>
          </cell>
        </row>
        <row r="9503">
          <cell r="D9503" t="str">
            <v>Furnitures</v>
          </cell>
          <cell r="F9503">
            <v>0</v>
          </cell>
          <cell r="G9503">
            <v>275</v>
          </cell>
          <cell r="H9503">
            <v>0</v>
          </cell>
        </row>
        <row r="9504">
          <cell r="D9504" t="str">
            <v>Furnitures</v>
          </cell>
          <cell r="F9504">
            <v>0</v>
          </cell>
          <cell r="G9504">
            <v>275</v>
          </cell>
          <cell r="H9504">
            <v>0</v>
          </cell>
        </row>
        <row r="9505">
          <cell r="D9505" t="str">
            <v>Furnitures</v>
          </cell>
          <cell r="F9505">
            <v>0</v>
          </cell>
          <cell r="G9505">
            <v>275</v>
          </cell>
          <cell r="H9505">
            <v>0</v>
          </cell>
        </row>
        <row r="9506">
          <cell r="D9506" t="str">
            <v>Furnitures</v>
          </cell>
          <cell r="F9506">
            <v>0</v>
          </cell>
          <cell r="G9506">
            <v>275</v>
          </cell>
          <cell r="H9506">
            <v>0</v>
          </cell>
        </row>
        <row r="9507">
          <cell r="D9507" t="str">
            <v>Furnitures</v>
          </cell>
          <cell r="F9507">
            <v>0</v>
          </cell>
          <cell r="G9507">
            <v>275</v>
          </cell>
          <cell r="H9507">
            <v>0</v>
          </cell>
        </row>
        <row r="9508">
          <cell r="D9508" t="str">
            <v>Furnitures</v>
          </cell>
          <cell r="F9508">
            <v>0</v>
          </cell>
          <cell r="G9508">
            <v>275</v>
          </cell>
          <cell r="H9508">
            <v>0</v>
          </cell>
        </row>
        <row r="9509">
          <cell r="D9509" t="str">
            <v>Furnitures</v>
          </cell>
          <cell r="F9509">
            <v>0</v>
          </cell>
          <cell r="G9509">
            <v>275</v>
          </cell>
          <cell r="H9509">
            <v>0</v>
          </cell>
        </row>
        <row r="9510">
          <cell r="D9510" t="str">
            <v>Furnitures</v>
          </cell>
          <cell r="F9510">
            <v>0</v>
          </cell>
          <cell r="G9510">
            <v>275</v>
          </cell>
          <cell r="H9510">
            <v>0</v>
          </cell>
        </row>
        <row r="9511">
          <cell r="D9511" t="str">
            <v>Furnitures</v>
          </cell>
          <cell r="F9511">
            <v>0</v>
          </cell>
          <cell r="G9511">
            <v>275</v>
          </cell>
          <cell r="H9511">
            <v>0</v>
          </cell>
        </row>
        <row r="9512">
          <cell r="D9512" t="str">
            <v>Furnitures</v>
          </cell>
          <cell r="F9512">
            <v>0</v>
          </cell>
          <cell r="G9512">
            <v>275</v>
          </cell>
          <cell r="H9512">
            <v>0</v>
          </cell>
        </row>
        <row r="9513">
          <cell r="D9513" t="str">
            <v>Furnitures</v>
          </cell>
          <cell r="F9513">
            <v>0</v>
          </cell>
          <cell r="G9513">
            <v>275</v>
          </cell>
          <cell r="H9513">
            <v>0</v>
          </cell>
        </row>
        <row r="9514">
          <cell r="D9514" t="str">
            <v>Furnitures</v>
          </cell>
          <cell r="F9514">
            <v>0</v>
          </cell>
          <cell r="G9514">
            <v>275</v>
          </cell>
          <cell r="H9514">
            <v>0</v>
          </cell>
        </row>
        <row r="9515">
          <cell r="D9515" t="str">
            <v>Furnitures</v>
          </cell>
          <cell r="F9515">
            <v>0</v>
          </cell>
          <cell r="G9515">
            <v>275</v>
          </cell>
          <cell r="H9515">
            <v>0</v>
          </cell>
        </row>
        <row r="9516">
          <cell r="D9516" t="str">
            <v>Furnitures</v>
          </cell>
          <cell r="F9516">
            <v>0</v>
          </cell>
          <cell r="G9516">
            <v>275</v>
          </cell>
          <cell r="H9516">
            <v>0</v>
          </cell>
        </row>
        <row r="9517">
          <cell r="D9517" t="str">
            <v>Furnitures</v>
          </cell>
          <cell r="F9517">
            <v>0</v>
          </cell>
          <cell r="G9517">
            <v>275</v>
          </cell>
          <cell r="H9517">
            <v>0</v>
          </cell>
        </row>
        <row r="9518">
          <cell r="D9518" t="str">
            <v>Furnitures</v>
          </cell>
          <cell r="F9518">
            <v>0</v>
          </cell>
          <cell r="G9518">
            <v>275</v>
          </cell>
          <cell r="H9518">
            <v>0</v>
          </cell>
        </row>
        <row r="9519">
          <cell r="D9519" t="str">
            <v>Furnitures</v>
          </cell>
          <cell r="F9519">
            <v>0</v>
          </cell>
          <cell r="G9519">
            <v>275</v>
          </cell>
          <cell r="H9519">
            <v>0</v>
          </cell>
        </row>
        <row r="9520">
          <cell r="D9520" t="str">
            <v>Furnitures</v>
          </cell>
          <cell r="F9520">
            <v>0</v>
          </cell>
          <cell r="G9520">
            <v>275</v>
          </cell>
          <cell r="H9520">
            <v>0</v>
          </cell>
        </row>
        <row r="9521">
          <cell r="D9521" t="str">
            <v>Furnitures</v>
          </cell>
          <cell r="F9521">
            <v>0</v>
          </cell>
          <cell r="G9521">
            <v>275</v>
          </cell>
          <cell r="H9521">
            <v>0</v>
          </cell>
        </row>
        <row r="9522">
          <cell r="D9522" t="str">
            <v>Furnitures</v>
          </cell>
          <cell r="F9522">
            <v>0</v>
          </cell>
          <cell r="G9522">
            <v>275</v>
          </cell>
          <cell r="H9522">
            <v>0</v>
          </cell>
        </row>
        <row r="9523">
          <cell r="D9523" t="str">
            <v>Furnitures</v>
          </cell>
          <cell r="F9523">
            <v>0</v>
          </cell>
          <cell r="G9523">
            <v>275</v>
          </cell>
          <cell r="H9523">
            <v>0</v>
          </cell>
        </row>
        <row r="9524">
          <cell r="D9524" t="str">
            <v>Furnitures</v>
          </cell>
          <cell r="F9524">
            <v>0</v>
          </cell>
          <cell r="G9524">
            <v>275</v>
          </cell>
          <cell r="H9524">
            <v>0</v>
          </cell>
        </row>
        <row r="9525">
          <cell r="D9525" t="str">
            <v>Furnitures</v>
          </cell>
          <cell r="F9525">
            <v>0</v>
          </cell>
          <cell r="G9525">
            <v>275</v>
          </cell>
          <cell r="H9525">
            <v>0</v>
          </cell>
        </row>
        <row r="9526">
          <cell r="D9526" t="str">
            <v>Furnitures</v>
          </cell>
          <cell r="F9526">
            <v>0</v>
          </cell>
          <cell r="G9526">
            <v>275</v>
          </cell>
          <cell r="H9526">
            <v>0</v>
          </cell>
        </row>
        <row r="9527">
          <cell r="D9527" t="str">
            <v>Furnitures</v>
          </cell>
          <cell r="F9527">
            <v>0</v>
          </cell>
          <cell r="G9527">
            <v>275</v>
          </cell>
          <cell r="H9527">
            <v>0</v>
          </cell>
        </row>
        <row r="9528">
          <cell r="D9528" t="str">
            <v>Furnitures</v>
          </cell>
          <cell r="F9528">
            <v>0</v>
          </cell>
          <cell r="G9528">
            <v>275</v>
          </cell>
          <cell r="H9528">
            <v>0</v>
          </cell>
        </row>
        <row r="9529">
          <cell r="D9529" t="str">
            <v>Furnitures</v>
          </cell>
          <cell r="F9529">
            <v>0</v>
          </cell>
          <cell r="G9529">
            <v>275</v>
          </cell>
          <cell r="H9529">
            <v>0</v>
          </cell>
        </row>
        <row r="9530">
          <cell r="D9530" t="str">
            <v>Furnitures</v>
          </cell>
          <cell r="F9530">
            <v>0</v>
          </cell>
          <cell r="G9530">
            <v>275</v>
          </cell>
          <cell r="H9530">
            <v>0</v>
          </cell>
        </row>
        <row r="9531">
          <cell r="D9531" t="str">
            <v>Furnitures</v>
          </cell>
          <cell r="F9531">
            <v>0</v>
          </cell>
          <cell r="G9531">
            <v>275</v>
          </cell>
          <cell r="H9531">
            <v>0</v>
          </cell>
        </row>
        <row r="9532">
          <cell r="D9532" t="str">
            <v>Furnitures</v>
          </cell>
          <cell r="F9532">
            <v>0</v>
          </cell>
          <cell r="G9532">
            <v>275</v>
          </cell>
          <cell r="H9532">
            <v>0</v>
          </cell>
        </row>
        <row r="9533">
          <cell r="D9533" t="str">
            <v>Furnitures</v>
          </cell>
          <cell r="F9533">
            <v>0</v>
          </cell>
          <cell r="G9533">
            <v>275</v>
          </cell>
          <cell r="H9533">
            <v>0</v>
          </cell>
        </row>
        <row r="9534">
          <cell r="D9534" t="str">
            <v>Furnitures</v>
          </cell>
          <cell r="F9534">
            <v>0</v>
          </cell>
          <cell r="G9534">
            <v>275</v>
          </cell>
          <cell r="H9534">
            <v>0</v>
          </cell>
        </row>
        <row r="9535">
          <cell r="D9535" t="str">
            <v>Furnitures</v>
          </cell>
          <cell r="F9535">
            <v>0</v>
          </cell>
          <cell r="G9535">
            <v>275</v>
          </cell>
          <cell r="H9535">
            <v>0</v>
          </cell>
        </row>
        <row r="9536">
          <cell r="D9536" t="str">
            <v>Furnitures</v>
          </cell>
          <cell r="F9536">
            <v>0</v>
          </cell>
          <cell r="G9536">
            <v>275</v>
          </cell>
          <cell r="H9536">
            <v>0</v>
          </cell>
        </row>
        <row r="9537">
          <cell r="D9537" t="str">
            <v>Furnitures</v>
          </cell>
          <cell r="F9537">
            <v>0</v>
          </cell>
          <cell r="G9537">
            <v>275</v>
          </cell>
          <cell r="H9537">
            <v>0</v>
          </cell>
        </row>
        <row r="9538">
          <cell r="D9538" t="str">
            <v>Furnitures</v>
          </cell>
          <cell r="F9538">
            <v>0</v>
          </cell>
          <cell r="G9538">
            <v>275</v>
          </cell>
          <cell r="H9538">
            <v>0</v>
          </cell>
        </row>
        <row r="9539">
          <cell r="D9539" t="str">
            <v>Furnitures</v>
          </cell>
          <cell r="F9539">
            <v>0</v>
          </cell>
          <cell r="G9539">
            <v>275</v>
          </cell>
          <cell r="H9539">
            <v>0</v>
          </cell>
        </row>
        <row r="9540">
          <cell r="D9540" t="str">
            <v>Furnitures</v>
          </cell>
          <cell r="F9540">
            <v>0</v>
          </cell>
          <cell r="G9540">
            <v>275</v>
          </cell>
          <cell r="H9540">
            <v>0</v>
          </cell>
        </row>
        <row r="9541">
          <cell r="D9541" t="str">
            <v>Furnitures</v>
          </cell>
          <cell r="F9541">
            <v>0</v>
          </cell>
          <cell r="G9541">
            <v>275</v>
          </cell>
          <cell r="H9541">
            <v>0</v>
          </cell>
        </row>
        <row r="9542">
          <cell r="D9542" t="str">
            <v>Furnitures</v>
          </cell>
          <cell r="F9542">
            <v>0</v>
          </cell>
          <cell r="G9542">
            <v>275</v>
          </cell>
          <cell r="H9542">
            <v>0</v>
          </cell>
        </row>
        <row r="9543">
          <cell r="D9543" t="str">
            <v>Furnitures</v>
          </cell>
          <cell r="F9543">
            <v>0</v>
          </cell>
          <cell r="G9543">
            <v>275</v>
          </cell>
          <cell r="H9543">
            <v>0</v>
          </cell>
        </row>
        <row r="9544">
          <cell r="D9544" t="str">
            <v>Furnitures</v>
          </cell>
          <cell r="F9544">
            <v>0</v>
          </cell>
          <cell r="G9544">
            <v>275</v>
          </cell>
          <cell r="H9544">
            <v>0</v>
          </cell>
        </row>
        <row r="9545">
          <cell r="D9545" t="str">
            <v>Furnitures</v>
          </cell>
          <cell r="F9545">
            <v>0</v>
          </cell>
          <cell r="G9545">
            <v>275</v>
          </cell>
          <cell r="H9545">
            <v>0</v>
          </cell>
        </row>
        <row r="9546">
          <cell r="D9546" t="str">
            <v>Furnitures</v>
          </cell>
          <cell r="F9546">
            <v>0</v>
          </cell>
          <cell r="G9546">
            <v>275</v>
          </cell>
          <cell r="H9546">
            <v>0</v>
          </cell>
        </row>
        <row r="9547">
          <cell r="D9547" t="str">
            <v>Furnitures</v>
          </cell>
          <cell r="F9547">
            <v>0</v>
          </cell>
          <cell r="G9547">
            <v>275</v>
          </cell>
          <cell r="H9547">
            <v>0</v>
          </cell>
        </row>
        <row r="9548">
          <cell r="D9548" t="str">
            <v>Furnitures</v>
          </cell>
          <cell r="F9548">
            <v>0</v>
          </cell>
          <cell r="G9548">
            <v>275</v>
          </cell>
          <cell r="H9548">
            <v>0</v>
          </cell>
        </row>
        <row r="9549">
          <cell r="D9549" t="str">
            <v>Furnitures</v>
          </cell>
          <cell r="F9549">
            <v>0</v>
          </cell>
          <cell r="G9549">
            <v>275</v>
          </cell>
          <cell r="H9549">
            <v>0</v>
          </cell>
        </row>
        <row r="9550">
          <cell r="D9550" t="str">
            <v>Furnitures</v>
          </cell>
          <cell r="F9550">
            <v>0</v>
          </cell>
          <cell r="G9550">
            <v>275</v>
          </cell>
          <cell r="H9550">
            <v>0</v>
          </cell>
        </row>
        <row r="9551">
          <cell r="D9551" t="str">
            <v>Furnitures</v>
          </cell>
          <cell r="F9551">
            <v>0</v>
          </cell>
          <cell r="G9551">
            <v>275</v>
          </cell>
          <cell r="H9551">
            <v>0</v>
          </cell>
        </row>
        <row r="9552">
          <cell r="D9552" t="str">
            <v>Furnitures</v>
          </cell>
          <cell r="F9552">
            <v>0</v>
          </cell>
          <cell r="G9552">
            <v>275</v>
          </cell>
          <cell r="H9552">
            <v>0</v>
          </cell>
        </row>
        <row r="9553">
          <cell r="D9553" t="str">
            <v>Furnitures</v>
          </cell>
          <cell r="F9553">
            <v>0</v>
          </cell>
          <cell r="G9553">
            <v>275</v>
          </cell>
          <cell r="H9553">
            <v>0</v>
          </cell>
        </row>
        <row r="9554">
          <cell r="D9554" t="str">
            <v>Furnitures</v>
          </cell>
          <cell r="F9554">
            <v>0</v>
          </cell>
          <cell r="G9554">
            <v>275</v>
          </cell>
          <cell r="H9554">
            <v>0</v>
          </cell>
        </row>
        <row r="9555">
          <cell r="D9555" t="str">
            <v>Furnitures</v>
          </cell>
          <cell r="F9555">
            <v>0</v>
          </cell>
          <cell r="G9555">
            <v>275</v>
          </cell>
          <cell r="H9555">
            <v>0</v>
          </cell>
        </row>
        <row r="9556">
          <cell r="D9556" t="str">
            <v>Furnitures</v>
          </cell>
          <cell r="F9556">
            <v>0</v>
          </cell>
          <cell r="G9556">
            <v>275</v>
          </cell>
          <cell r="H9556">
            <v>0</v>
          </cell>
        </row>
        <row r="9557">
          <cell r="D9557" t="str">
            <v>Furnitures</v>
          </cell>
          <cell r="F9557">
            <v>0</v>
          </cell>
          <cell r="G9557">
            <v>275</v>
          </cell>
          <cell r="H9557">
            <v>0</v>
          </cell>
        </row>
        <row r="9558">
          <cell r="D9558" t="str">
            <v>Furnitures</v>
          </cell>
          <cell r="F9558">
            <v>0</v>
          </cell>
          <cell r="G9558">
            <v>275</v>
          </cell>
          <cell r="H9558">
            <v>0</v>
          </cell>
        </row>
        <row r="9559">
          <cell r="D9559" t="str">
            <v>Furnitures</v>
          </cell>
          <cell r="F9559">
            <v>0</v>
          </cell>
          <cell r="G9559">
            <v>275</v>
          </cell>
          <cell r="H9559">
            <v>0</v>
          </cell>
        </row>
        <row r="9560">
          <cell r="D9560" t="str">
            <v>Furnitures</v>
          </cell>
          <cell r="F9560">
            <v>0</v>
          </cell>
          <cell r="G9560">
            <v>275</v>
          </cell>
          <cell r="H9560">
            <v>0</v>
          </cell>
        </row>
        <row r="9561">
          <cell r="D9561" t="str">
            <v>Furnitures</v>
          </cell>
          <cell r="F9561">
            <v>0</v>
          </cell>
          <cell r="G9561">
            <v>275</v>
          </cell>
          <cell r="H9561">
            <v>0</v>
          </cell>
        </row>
        <row r="9562">
          <cell r="D9562" t="str">
            <v>Furnitures</v>
          </cell>
          <cell r="F9562">
            <v>0</v>
          </cell>
          <cell r="G9562">
            <v>275</v>
          </cell>
          <cell r="H9562">
            <v>0</v>
          </cell>
        </row>
        <row r="9563">
          <cell r="D9563" t="str">
            <v>Furnitures</v>
          </cell>
          <cell r="F9563">
            <v>0</v>
          </cell>
          <cell r="G9563">
            <v>275</v>
          </cell>
          <cell r="H9563">
            <v>0</v>
          </cell>
        </row>
        <row r="9564">
          <cell r="D9564" t="str">
            <v>Furnitures</v>
          </cell>
          <cell r="F9564">
            <v>0</v>
          </cell>
          <cell r="G9564">
            <v>275</v>
          </cell>
          <cell r="H9564">
            <v>0</v>
          </cell>
        </row>
        <row r="9565">
          <cell r="D9565" t="str">
            <v>Furnitures</v>
          </cell>
          <cell r="F9565">
            <v>0</v>
          </cell>
          <cell r="G9565">
            <v>275</v>
          </cell>
          <cell r="H9565">
            <v>0</v>
          </cell>
        </row>
        <row r="9566">
          <cell r="D9566" t="str">
            <v>Furnitures</v>
          </cell>
          <cell r="F9566">
            <v>0</v>
          </cell>
          <cell r="G9566">
            <v>275</v>
          </cell>
          <cell r="H9566">
            <v>0</v>
          </cell>
        </row>
        <row r="9567">
          <cell r="D9567" t="str">
            <v>Furnitures</v>
          </cell>
          <cell r="F9567">
            <v>0</v>
          </cell>
          <cell r="G9567">
            <v>275</v>
          </cell>
          <cell r="H9567">
            <v>0</v>
          </cell>
        </row>
        <row r="9568">
          <cell r="D9568" t="str">
            <v>Furnitures</v>
          </cell>
          <cell r="F9568">
            <v>0</v>
          </cell>
          <cell r="G9568">
            <v>275</v>
          </cell>
          <cell r="H9568">
            <v>0</v>
          </cell>
        </row>
        <row r="9569">
          <cell r="D9569" t="str">
            <v>Furnitures</v>
          </cell>
          <cell r="F9569">
            <v>0</v>
          </cell>
          <cell r="G9569">
            <v>275</v>
          </cell>
          <cell r="H9569">
            <v>0</v>
          </cell>
        </row>
        <row r="9570">
          <cell r="D9570" t="str">
            <v>Furnitures</v>
          </cell>
          <cell r="F9570">
            <v>0</v>
          </cell>
          <cell r="G9570">
            <v>275</v>
          </cell>
          <cell r="H9570">
            <v>0</v>
          </cell>
        </row>
        <row r="9571">
          <cell r="D9571" t="str">
            <v>Furnitures</v>
          </cell>
          <cell r="F9571">
            <v>0</v>
          </cell>
          <cell r="G9571">
            <v>275</v>
          </cell>
          <cell r="H9571">
            <v>0</v>
          </cell>
        </row>
        <row r="9572">
          <cell r="D9572" t="str">
            <v>Furnitures</v>
          </cell>
          <cell r="F9572">
            <v>0</v>
          </cell>
          <cell r="G9572">
            <v>275</v>
          </cell>
          <cell r="H9572">
            <v>0</v>
          </cell>
        </row>
        <row r="9573">
          <cell r="D9573" t="str">
            <v>Furnitures</v>
          </cell>
          <cell r="F9573">
            <v>0</v>
          </cell>
          <cell r="G9573">
            <v>275</v>
          </cell>
          <cell r="H9573">
            <v>0</v>
          </cell>
        </row>
        <row r="9574">
          <cell r="D9574" t="str">
            <v>Furnitures</v>
          </cell>
          <cell r="F9574">
            <v>0</v>
          </cell>
          <cell r="G9574">
            <v>275</v>
          </cell>
          <cell r="H9574">
            <v>0</v>
          </cell>
        </row>
        <row r="9575">
          <cell r="D9575" t="str">
            <v>Furnitures</v>
          </cell>
          <cell r="F9575">
            <v>0</v>
          </cell>
          <cell r="G9575">
            <v>275</v>
          </cell>
          <cell r="H9575">
            <v>0</v>
          </cell>
        </row>
        <row r="9576">
          <cell r="D9576" t="str">
            <v>Furnitures</v>
          </cell>
          <cell r="F9576">
            <v>0</v>
          </cell>
          <cell r="G9576">
            <v>275</v>
          </cell>
          <cell r="H9576">
            <v>0</v>
          </cell>
        </row>
        <row r="9577">
          <cell r="D9577" t="str">
            <v>Furnitures</v>
          </cell>
          <cell r="F9577">
            <v>0</v>
          </cell>
          <cell r="G9577">
            <v>275</v>
          </cell>
          <cell r="H9577">
            <v>0</v>
          </cell>
        </row>
        <row r="9578">
          <cell r="D9578" t="str">
            <v>Furnitures</v>
          </cell>
          <cell r="F9578">
            <v>0</v>
          </cell>
          <cell r="G9578">
            <v>275</v>
          </cell>
          <cell r="H9578">
            <v>0</v>
          </cell>
        </row>
        <row r="9579">
          <cell r="D9579" t="str">
            <v>Furnitures</v>
          </cell>
          <cell r="F9579">
            <v>0</v>
          </cell>
          <cell r="G9579">
            <v>275</v>
          </cell>
          <cell r="H9579">
            <v>0</v>
          </cell>
        </row>
        <row r="9580">
          <cell r="D9580" t="str">
            <v>Furnitures</v>
          </cell>
          <cell r="F9580">
            <v>0</v>
          </cell>
          <cell r="G9580">
            <v>275</v>
          </cell>
          <cell r="H9580">
            <v>0</v>
          </cell>
        </row>
        <row r="9581">
          <cell r="D9581" t="str">
            <v>Furnitures</v>
          </cell>
          <cell r="F9581">
            <v>0</v>
          </cell>
          <cell r="G9581">
            <v>275</v>
          </cell>
          <cell r="H9581">
            <v>0</v>
          </cell>
        </row>
        <row r="9582">
          <cell r="D9582" t="str">
            <v>Furnitures</v>
          </cell>
          <cell r="F9582">
            <v>0</v>
          </cell>
          <cell r="G9582">
            <v>275</v>
          </cell>
          <cell r="H9582">
            <v>0</v>
          </cell>
        </row>
        <row r="9583">
          <cell r="D9583" t="str">
            <v>Furnitures</v>
          </cell>
          <cell r="F9583">
            <v>0</v>
          </cell>
          <cell r="G9583">
            <v>275</v>
          </cell>
          <cell r="H9583">
            <v>0</v>
          </cell>
        </row>
        <row r="9584">
          <cell r="D9584" t="str">
            <v>Furnitures</v>
          </cell>
          <cell r="F9584">
            <v>0</v>
          </cell>
          <cell r="G9584">
            <v>275</v>
          </cell>
          <cell r="H9584">
            <v>0</v>
          </cell>
        </row>
        <row r="9585">
          <cell r="D9585" t="str">
            <v>Furnitures</v>
          </cell>
          <cell r="F9585">
            <v>0</v>
          </cell>
          <cell r="G9585">
            <v>275</v>
          </cell>
          <cell r="H9585">
            <v>0</v>
          </cell>
        </row>
        <row r="9586">
          <cell r="D9586" t="str">
            <v>Furnitures</v>
          </cell>
          <cell r="F9586">
            <v>0</v>
          </cell>
          <cell r="G9586">
            <v>275</v>
          </cell>
          <cell r="H9586">
            <v>0</v>
          </cell>
        </row>
        <row r="9587">
          <cell r="D9587" t="str">
            <v>Furnitures</v>
          </cell>
          <cell r="F9587">
            <v>0</v>
          </cell>
          <cell r="G9587">
            <v>275</v>
          </cell>
          <cell r="H9587">
            <v>0</v>
          </cell>
        </row>
        <row r="9588">
          <cell r="D9588" t="str">
            <v>Furnitures</v>
          </cell>
          <cell r="F9588">
            <v>0</v>
          </cell>
          <cell r="G9588">
            <v>275</v>
          </cell>
          <cell r="H9588">
            <v>0</v>
          </cell>
        </row>
        <row r="9589">
          <cell r="D9589" t="str">
            <v>Furnitures</v>
          </cell>
          <cell r="F9589">
            <v>0</v>
          </cell>
          <cell r="G9589">
            <v>275</v>
          </cell>
          <cell r="H9589">
            <v>0</v>
          </cell>
        </row>
        <row r="9590">
          <cell r="D9590" t="str">
            <v>Furnitures</v>
          </cell>
          <cell r="F9590">
            <v>0</v>
          </cell>
          <cell r="G9590">
            <v>275</v>
          </cell>
          <cell r="H9590">
            <v>0</v>
          </cell>
        </row>
        <row r="9591">
          <cell r="D9591" t="str">
            <v>Furnitures</v>
          </cell>
          <cell r="F9591">
            <v>0</v>
          </cell>
          <cell r="G9591">
            <v>275</v>
          </cell>
          <cell r="H9591">
            <v>0</v>
          </cell>
        </row>
        <row r="9592">
          <cell r="D9592" t="str">
            <v>Furnitures</v>
          </cell>
          <cell r="F9592">
            <v>0</v>
          </cell>
          <cell r="G9592">
            <v>275</v>
          </cell>
          <cell r="H9592">
            <v>0</v>
          </cell>
        </row>
        <row r="9593">
          <cell r="D9593" t="str">
            <v>Furnitures</v>
          </cell>
          <cell r="F9593">
            <v>0</v>
          </cell>
          <cell r="G9593">
            <v>275</v>
          </cell>
          <cell r="H9593">
            <v>0</v>
          </cell>
        </row>
        <row r="9594">
          <cell r="D9594" t="str">
            <v>Furnitures</v>
          </cell>
          <cell r="F9594">
            <v>0</v>
          </cell>
          <cell r="G9594">
            <v>275</v>
          </cell>
          <cell r="H9594">
            <v>0</v>
          </cell>
        </row>
        <row r="9595">
          <cell r="D9595" t="str">
            <v>Furnitures</v>
          </cell>
          <cell r="F9595">
            <v>0</v>
          </cell>
          <cell r="G9595">
            <v>275</v>
          </cell>
          <cell r="H9595">
            <v>0</v>
          </cell>
        </row>
        <row r="9596">
          <cell r="D9596" t="str">
            <v>Furnitures</v>
          </cell>
          <cell r="F9596">
            <v>0</v>
          </cell>
          <cell r="G9596">
            <v>275</v>
          </cell>
          <cell r="H9596">
            <v>0</v>
          </cell>
        </row>
        <row r="9597">
          <cell r="D9597" t="str">
            <v>Furnitures</v>
          </cell>
          <cell r="F9597">
            <v>0</v>
          </cell>
          <cell r="G9597">
            <v>275</v>
          </cell>
          <cell r="H9597">
            <v>0</v>
          </cell>
        </row>
        <row r="9598">
          <cell r="D9598" t="str">
            <v>Furnitures</v>
          </cell>
          <cell r="F9598">
            <v>0</v>
          </cell>
          <cell r="G9598">
            <v>275</v>
          </cell>
          <cell r="H9598">
            <v>0</v>
          </cell>
        </row>
        <row r="9599">
          <cell r="D9599" t="str">
            <v>Furnitures</v>
          </cell>
          <cell r="F9599">
            <v>0</v>
          </cell>
          <cell r="G9599">
            <v>275</v>
          </cell>
          <cell r="H9599">
            <v>0</v>
          </cell>
        </row>
        <row r="9600">
          <cell r="D9600" t="str">
            <v>Furnitures</v>
          </cell>
          <cell r="F9600">
            <v>0</v>
          </cell>
          <cell r="G9600">
            <v>275</v>
          </cell>
          <cell r="H9600">
            <v>0</v>
          </cell>
        </row>
        <row r="9601">
          <cell r="D9601" t="str">
            <v>Furnitures</v>
          </cell>
          <cell r="F9601">
            <v>0</v>
          </cell>
          <cell r="G9601">
            <v>275</v>
          </cell>
          <cell r="H9601">
            <v>0</v>
          </cell>
        </row>
        <row r="9602">
          <cell r="D9602" t="str">
            <v>Furnitures</v>
          </cell>
          <cell r="F9602">
            <v>0</v>
          </cell>
          <cell r="G9602">
            <v>275</v>
          </cell>
          <cell r="H9602">
            <v>0</v>
          </cell>
        </row>
        <row r="9603">
          <cell r="D9603" t="str">
            <v>Furnitures</v>
          </cell>
          <cell r="F9603">
            <v>0</v>
          </cell>
          <cell r="G9603">
            <v>275</v>
          </cell>
          <cell r="H9603">
            <v>0</v>
          </cell>
        </row>
        <row r="9604">
          <cell r="D9604" t="str">
            <v>Furnitures</v>
          </cell>
          <cell r="F9604">
            <v>0</v>
          </cell>
          <cell r="G9604">
            <v>275</v>
          </cell>
          <cell r="H9604">
            <v>0</v>
          </cell>
        </row>
        <row r="9605">
          <cell r="D9605" t="str">
            <v>Furnitures</v>
          </cell>
          <cell r="F9605">
            <v>0</v>
          </cell>
          <cell r="G9605">
            <v>275</v>
          </cell>
          <cell r="H9605">
            <v>0</v>
          </cell>
        </row>
        <row r="9606">
          <cell r="D9606" t="str">
            <v>Furnitures</v>
          </cell>
          <cell r="F9606">
            <v>0</v>
          </cell>
          <cell r="G9606">
            <v>275</v>
          </cell>
          <cell r="H9606">
            <v>0</v>
          </cell>
        </row>
        <row r="9607">
          <cell r="D9607" t="str">
            <v>Furnitures</v>
          </cell>
          <cell r="F9607">
            <v>0</v>
          </cell>
          <cell r="G9607">
            <v>275</v>
          </cell>
          <cell r="H9607">
            <v>0</v>
          </cell>
        </row>
        <row r="9608">
          <cell r="D9608" t="str">
            <v>Furnitures</v>
          </cell>
          <cell r="F9608">
            <v>0</v>
          </cell>
          <cell r="G9608">
            <v>275</v>
          </cell>
          <cell r="H9608">
            <v>0</v>
          </cell>
        </row>
        <row r="9609">
          <cell r="D9609" t="str">
            <v>Furnitures</v>
          </cell>
          <cell r="F9609">
            <v>0</v>
          </cell>
          <cell r="G9609">
            <v>275</v>
          </cell>
          <cell r="H9609">
            <v>0</v>
          </cell>
        </row>
        <row r="9610">
          <cell r="D9610" t="str">
            <v>Furnitures</v>
          </cell>
          <cell r="F9610">
            <v>0</v>
          </cell>
          <cell r="G9610">
            <v>275</v>
          </cell>
          <cell r="H9610">
            <v>0</v>
          </cell>
        </row>
        <row r="9611">
          <cell r="D9611" t="str">
            <v>Furnitures</v>
          </cell>
          <cell r="F9611">
            <v>0</v>
          </cell>
          <cell r="G9611">
            <v>275</v>
          </cell>
          <cell r="H9611">
            <v>0</v>
          </cell>
        </row>
        <row r="9612">
          <cell r="D9612" t="str">
            <v>Furnitures</v>
          </cell>
          <cell r="F9612">
            <v>0</v>
          </cell>
          <cell r="G9612">
            <v>275</v>
          </cell>
          <cell r="H9612">
            <v>0</v>
          </cell>
        </row>
        <row r="9613">
          <cell r="D9613" t="str">
            <v>Furnitures</v>
          </cell>
          <cell r="F9613">
            <v>0</v>
          </cell>
          <cell r="G9613">
            <v>275</v>
          </cell>
          <cell r="H9613">
            <v>0</v>
          </cell>
        </row>
        <row r="9614">
          <cell r="D9614" t="str">
            <v>Furnitures</v>
          </cell>
          <cell r="F9614">
            <v>0</v>
          </cell>
          <cell r="G9614">
            <v>275</v>
          </cell>
          <cell r="H9614">
            <v>0</v>
          </cell>
        </row>
        <row r="9615">
          <cell r="D9615" t="str">
            <v>Furnitures</v>
          </cell>
          <cell r="F9615">
            <v>0</v>
          </cell>
          <cell r="G9615">
            <v>275</v>
          </cell>
          <cell r="H9615">
            <v>0</v>
          </cell>
        </row>
        <row r="9616">
          <cell r="D9616" t="str">
            <v>Furnitures</v>
          </cell>
          <cell r="F9616">
            <v>0</v>
          </cell>
          <cell r="G9616">
            <v>275</v>
          </cell>
          <cell r="H9616">
            <v>0</v>
          </cell>
        </row>
        <row r="9617">
          <cell r="D9617" t="str">
            <v>Furnitures</v>
          </cell>
          <cell r="F9617">
            <v>0</v>
          </cell>
          <cell r="G9617">
            <v>275</v>
          </cell>
          <cell r="H9617">
            <v>0</v>
          </cell>
        </row>
        <row r="9618">
          <cell r="D9618" t="str">
            <v>Furnitures</v>
          </cell>
          <cell r="F9618">
            <v>0</v>
          </cell>
          <cell r="G9618">
            <v>275</v>
          </cell>
          <cell r="H9618">
            <v>0</v>
          </cell>
        </row>
        <row r="9619">
          <cell r="D9619" t="str">
            <v>Furnitures</v>
          </cell>
          <cell r="F9619">
            <v>0</v>
          </cell>
          <cell r="G9619">
            <v>275</v>
          </cell>
          <cell r="H9619">
            <v>0</v>
          </cell>
        </row>
        <row r="9620">
          <cell r="D9620" t="str">
            <v>Furnitures</v>
          </cell>
          <cell r="F9620">
            <v>0</v>
          </cell>
          <cell r="G9620">
            <v>275</v>
          </cell>
          <cell r="H9620">
            <v>0</v>
          </cell>
        </row>
        <row r="9621">
          <cell r="D9621" t="str">
            <v>Furnitures</v>
          </cell>
          <cell r="F9621">
            <v>0</v>
          </cell>
          <cell r="G9621">
            <v>275</v>
          </cell>
          <cell r="H9621">
            <v>0</v>
          </cell>
        </row>
        <row r="9622">
          <cell r="D9622" t="str">
            <v>Furnitures</v>
          </cell>
          <cell r="F9622">
            <v>0</v>
          </cell>
          <cell r="G9622">
            <v>275</v>
          </cell>
          <cell r="H9622">
            <v>0</v>
          </cell>
        </row>
        <row r="9623">
          <cell r="D9623" t="str">
            <v>Furnitures</v>
          </cell>
          <cell r="F9623">
            <v>0</v>
          </cell>
          <cell r="G9623">
            <v>275</v>
          </cell>
          <cell r="H9623">
            <v>0</v>
          </cell>
        </row>
        <row r="9624">
          <cell r="D9624" t="str">
            <v>Furnitures</v>
          </cell>
          <cell r="F9624">
            <v>0</v>
          </cell>
          <cell r="G9624">
            <v>275</v>
          </cell>
          <cell r="H9624">
            <v>0</v>
          </cell>
        </row>
        <row r="9625">
          <cell r="D9625" t="str">
            <v>Furnitures</v>
          </cell>
          <cell r="F9625">
            <v>0</v>
          </cell>
          <cell r="G9625">
            <v>275</v>
          </cell>
          <cell r="H9625">
            <v>0</v>
          </cell>
        </row>
        <row r="9626">
          <cell r="D9626" t="str">
            <v>Furnitures</v>
          </cell>
          <cell r="F9626">
            <v>0</v>
          </cell>
          <cell r="G9626">
            <v>275</v>
          </cell>
          <cell r="H9626">
            <v>0</v>
          </cell>
        </row>
        <row r="9627">
          <cell r="D9627" t="str">
            <v>Furnitures</v>
          </cell>
          <cell r="F9627">
            <v>0</v>
          </cell>
          <cell r="G9627">
            <v>275</v>
          </cell>
          <cell r="H9627">
            <v>0</v>
          </cell>
        </row>
        <row r="9628">
          <cell r="D9628" t="str">
            <v>Furnitures</v>
          </cell>
          <cell r="F9628">
            <v>0</v>
          </cell>
          <cell r="G9628">
            <v>275</v>
          </cell>
          <cell r="H9628">
            <v>0</v>
          </cell>
        </row>
        <row r="9629">
          <cell r="D9629" t="str">
            <v>Furnitures</v>
          </cell>
          <cell r="F9629">
            <v>0</v>
          </cell>
          <cell r="G9629">
            <v>275</v>
          </cell>
          <cell r="H9629">
            <v>0</v>
          </cell>
        </row>
        <row r="9630">
          <cell r="D9630" t="str">
            <v>Furnitures</v>
          </cell>
          <cell r="F9630">
            <v>0</v>
          </cell>
          <cell r="G9630">
            <v>275</v>
          </cell>
          <cell r="H9630">
            <v>0</v>
          </cell>
        </row>
        <row r="9631">
          <cell r="D9631" t="str">
            <v>Furnitures</v>
          </cell>
          <cell r="F9631">
            <v>0</v>
          </cell>
          <cell r="G9631">
            <v>275</v>
          </cell>
          <cell r="H9631">
            <v>0</v>
          </cell>
        </row>
        <row r="9632">
          <cell r="D9632" t="str">
            <v>Furnitures</v>
          </cell>
          <cell r="F9632">
            <v>0</v>
          </cell>
          <cell r="G9632">
            <v>275</v>
          </cell>
          <cell r="H9632">
            <v>0</v>
          </cell>
        </row>
        <row r="9633">
          <cell r="D9633" t="str">
            <v>Furnitures</v>
          </cell>
          <cell r="F9633">
            <v>0</v>
          </cell>
          <cell r="G9633">
            <v>275</v>
          </cell>
          <cell r="H9633">
            <v>0</v>
          </cell>
        </row>
        <row r="9634">
          <cell r="D9634" t="str">
            <v>Furnitures</v>
          </cell>
          <cell r="F9634">
            <v>0</v>
          </cell>
          <cell r="G9634">
            <v>275</v>
          </cell>
          <cell r="H9634">
            <v>0</v>
          </cell>
        </row>
        <row r="9635">
          <cell r="D9635" t="str">
            <v>Furnitures</v>
          </cell>
          <cell r="F9635">
            <v>0</v>
          </cell>
          <cell r="G9635">
            <v>275</v>
          </cell>
          <cell r="H9635">
            <v>0</v>
          </cell>
        </row>
        <row r="9636">
          <cell r="D9636" t="str">
            <v>Furnitures</v>
          </cell>
          <cell r="F9636">
            <v>0</v>
          </cell>
          <cell r="G9636">
            <v>275</v>
          </cell>
          <cell r="H9636">
            <v>0</v>
          </cell>
        </row>
        <row r="9637">
          <cell r="D9637" t="str">
            <v>Furnitures</v>
          </cell>
          <cell r="F9637">
            <v>0</v>
          </cell>
          <cell r="G9637">
            <v>275</v>
          </cell>
          <cell r="H9637">
            <v>0</v>
          </cell>
        </row>
        <row r="9638">
          <cell r="D9638" t="str">
            <v>Furnitures</v>
          </cell>
          <cell r="F9638">
            <v>0</v>
          </cell>
          <cell r="G9638">
            <v>275</v>
          </cell>
          <cell r="H9638">
            <v>0</v>
          </cell>
        </row>
        <row r="9639">
          <cell r="D9639" t="str">
            <v>Furnitures</v>
          </cell>
          <cell r="F9639">
            <v>0</v>
          </cell>
          <cell r="G9639">
            <v>275</v>
          </cell>
          <cell r="H9639">
            <v>0</v>
          </cell>
        </row>
        <row r="9640">
          <cell r="D9640" t="str">
            <v>Furnitures</v>
          </cell>
          <cell r="F9640">
            <v>0</v>
          </cell>
          <cell r="G9640">
            <v>275</v>
          </cell>
          <cell r="H9640">
            <v>0</v>
          </cell>
        </row>
        <row r="9641">
          <cell r="D9641" t="str">
            <v>Furnitures</v>
          </cell>
          <cell r="F9641">
            <v>0</v>
          </cell>
          <cell r="G9641">
            <v>275</v>
          </cell>
          <cell r="H9641">
            <v>0</v>
          </cell>
        </row>
        <row r="9642">
          <cell r="D9642" t="str">
            <v>Furnitures</v>
          </cell>
          <cell r="F9642">
            <v>0</v>
          </cell>
          <cell r="G9642">
            <v>275</v>
          </cell>
          <cell r="H9642">
            <v>0</v>
          </cell>
        </row>
        <row r="9643">
          <cell r="D9643" t="str">
            <v>Furnitures</v>
          </cell>
          <cell r="F9643">
            <v>0</v>
          </cell>
          <cell r="G9643">
            <v>275</v>
          </cell>
          <cell r="H9643">
            <v>0</v>
          </cell>
        </row>
        <row r="9644">
          <cell r="D9644" t="str">
            <v>Furnitures</v>
          </cell>
          <cell r="F9644">
            <v>0</v>
          </cell>
          <cell r="G9644">
            <v>275</v>
          </cell>
          <cell r="H9644">
            <v>0</v>
          </cell>
        </row>
        <row r="9645">
          <cell r="D9645" t="str">
            <v>Furnitures</v>
          </cell>
          <cell r="F9645">
            <v>0</v>
          </cell>
          <cell r="G9645">
            <v>275</v>
          </cell>
          <cell r="H9645">
            <v>0</v>
          </cell>
        </row>
        <row r="9646">
          <cell r="D9646" t="str">
            <v>Furnitures</v>
          </cell>
          <cell r="F9646">
            <v>0</v>
          </cell>
          <cell r="G9646">
            <v>275</v>
          </cell>
          <cell r="H9646">
            <v>0</v>
          </cell>
        </row>
        <row r="9647">
          <cell r="D9647" t="str">
            <v>Furnitures</v>
          </cell>
          <cell r="F9647">
            <v>0</v>
          </cell>
          <cell r="G9647">
            <v>275</v>
          </cell>
          <cell r="H9647">
            <v>0</v>
          </cell>
        </row>
        <row r="9648">
          <cell r="D9648" t="str">
            <v>Furnitures</v>
          </cell>
          <cell r="F9648">
            <v>0</v>
          </cell>
          <cell r="G9648">
            <v>275</v>
          </cell>
          <cell r="H9648">
            <v>0</v>
          </cell>
        </row>
        <row r="9649">
          <cell r="D9649" t="str">
            <v>Furnitures</v>
          </cell>
          <cell r="F9649">
            <v>0</v>
          </cell>
          <cell r="G9649">
            <v>275</v>
          </cell>
          <cell r="H9649">
            <v>0</v>
          </cell>
        </row>
        <row r="9650">
          <cell r="D9650" t="str">
            <v>Furnitures</v>
          </cell>
          <cell r="F9650">
            <v>0</v>
          </cell>
          <cell r="G9650">
            <v>275</v>
          </cell>
          <cell r="H9650">
            <v>0</v>
          </cell>
        </row>
        <row r="9651">
          <cell r="D9651" t="str">
            <v>Furnitures</v>
          </cell>
          <cell r="F9651">
            <v>0</v>
          </cell>
          <cell r="G9651">
            <v>275</v>
          </cell>
          <cell r="H9651">
            <v>0</v>
          </cell>
        </row>
        <row r="9652">
          <cell r="D9652" t="str">
            <v>Furnitures</v>
          </cell>
          <cell r="F9652">
            <v>0</v>
          </cell>
          <cell r="G9652">
            <v>275</v>
          </cell>
          <cell r="H9652">
            <v>0</v>
          </cell>
        </row>
        <row r="9653">
          <cell r="D9653" t="str">
            <v>Furnitures</v>
          </cell>
          <cell r="F9653">
            <v>0</v>
          </cell>
          <cell r="G9653">
            <v>275</v>
          </cell>
          <cell r="H9653">
            <v>0</v>
          </cell>
        </row>
        <row r="9654">
          <cell r="D9654" t="str">
            <v>Furnitures</v>
          </cell>
          <cell r="F9654">
            <v>0</v>
          </cell>
          <cell r="G9654">
            <v>275</v>
          </cell>
          <cell r="H9654">
            <v>0</v>
          </cell>
        </row>
        <row r="9655">
          <cell r="D9655" t="str">
            <v>Furnitures</v>
          </cell>
          <cell r="F9655">
            <v>0</v>
          </cell>
          <cell r="G9655">
            <v>275</v>
          </cell>
          <cell r="H9655">
            <v>0</v>
          </cell>
        </row>
        <row r="9656">
          <cell r="D9656" t="str">
            <v>Furnitures</v>
          </cell>
          <cell r="F9656">
            <v>0</v>
          </cell>
          <cell r="G9656">
            <v>275</v>
          </cell>
          <cell r="H9656">
            <v>0</v>
          </cell>
        </row>
        <row r="9657">
          <cell r="D9657" t="str">
            <v>Furnitures</v>
          </cell>
          <cell r="F9657">
            <v>0</v>
          </cell>
          <cell r="G9657">
            <v>275</v>
          </cell>
          <cell r="H9657">
            <v>0</v>
          </cell>
        </row>
        <row r="9658">
          <cell r="D9658" t="str">
            <v>Furnitures</v>
          </cell>
          <cell r="F9658">
            <v>0</v>
          </cell>
          <cell r="G9658">
            <v>275</v>
          </cell>
          <cell r="H9658">
            <v>0</v>
          </cell>
        </row>
        <row r="9659">
          <cell r="D9659" t="str">
            <v>Furnitures</v>
          </cell>
          <cell r="F9659">
            <v>0</v>
          </cell>
          <cell r="G9659">
            <v>275</v>
          </cell>
          <cell r="H9659">
            <v>0</v>
          </cell>
        </row>
        <row r="9660">
          <cell r="D9660" t="str">
            <v>Furnitures</v>
          </cell>
          <cell r="F9660">
            <v>0</v>
          </cell>
          <cell r="G9660">
            <v>275</v>
          </cell>
          <cell r="H9660">
            <v>0</v>
          </cell>
        </row>
        <row r="9661">
          <cell r="D9661" t="str">
            <v>Furnitures</v>
          </cell>
          <cell r="F9661">
            <v>0</v>
          </cell>
          <cell r="G9661">
            <v>275</v>
          </cell>
          <cell r="H9661">
            <v>0</v>
          </cell>
        </row>
        <row r="9662">
          <cell r="D9662" t="str">
            <v>Furnitures</v>
          </cell>
          <cell r="F9662">
            <v>0</v>
          </cell>
          <cell r="G9662">
            <v>275</v>
          </cell>
          <cell r="H9662">
            <v>0</v>
          </cell>
        </row>
        <row r="9663">
          <cell r="D9663" t="str">
            <v>Furnitures</v>
          </cell>
          <cell r="F9663">
            <v>0</v>
          </cell>
          <cell r="G9663">
            <v>275</v>
          </cell>
          <cell r="H9663">
            <v>0</v>
          </cell>
        </row>
        <row r="9664">
          <cell r="D9664" t="str">
            <v>Furnitures</v>
          </cell>
          <cell r="F9664">
            <v>0</v>
          </cell>
          <cell r="G9664">
            <v>275</v>
          </cell>
          <cell r="H9664">
            <v>0</v>
          </cell>
        </row>
        <row r="9665">
          <cell r="D9665" t="str">
            <v>Furnitures</v>
          </cell>
          <cell r="F9665">
            <v>0</v>
          </cell>
          <cell r="G9665">
            <v>275</v>
          </cell>
          <cell r="H9665">
            <v>0</v>
          </cell>
        </row>
        <row r="9666">
          <cell r="D9666" t="str">
            <v>Furnitures</v>
          </cell>
          <cell r="F9666">
            <v>0</v>
          </cell>
          <cell r="G9666">
            <v>275</v>
          </cell>
          <cell r="H9666">
            <v>0</v>
          </cell>
        </row>
        <row r="9667">
          <cell r="D9667" t="str">
            <v>Furnitures</v>
          </cell>
          <cell r="F9667">
            <v>0</v>
          </cell>
          <cell r="G9667">
            <v>275</v>
          </cell>
          <cell r="H9667">
            <v>0</v>
          </cell>
        </row>
        <row r="9668">
          <cell r="D9668" t="str">
            <v>Furnitures</v>
          </cell>
          <cell r="F9668">
            <v>0</v>
          </cell>
          <cell r="G9668">
            <v>275</v>
          </cell>
          <cell r="H9668">
            <v>0</v>
          </cell>
        </row>
        <row r="9669">
          <cell r="D9669" t="str">
            <v>Furnitures</v>
          </cell>
          <cell r="F9669">
            <v>0</v>
          </cell>
          <cell r="G9669">
            <v>275</v>
          </cell>
          <cell r="H9669">
            <v>0</v>
          </cell>
        </row>
        <row r="9670">
          <cell r="D9670" t="str">
            <v>Furnitures</v>
          </cell>
          <cell r="F9670">
            <v>0</v>
          </cell>
          <cell r="G9670">
            <v>275</v>
          </cell>
          <cell r="H9670">
            <v>0</v>
          </cell>
        </row>
        <row r="9671">
          <cell r="D9671" t="str">
            <v>Furnitures</v>
          </cell>
          <cell r="F9671">
            <v>0</v>
          </cell>
          <cell r="G9671">
            <v>275</v>
          </cell>
          <cell r="H9671">
            <v>0</v>
          </cell>
        </row>
        <row r="9672">
          <cell r="D9672" t="str">
            <v>Furnitures</v>
          </cell>
          <cell r="F9672">
            <v>0</v>
          </cell>
          <cell r="G9672">
            <v>275</v>
          </cell>
          <cell r="H9672">
            <v>0</v>
          </cell>
        </row>
        <row r="9673">
          <cell r="D9673" t="str">
            <v>Furnitures</v>
          </cell>
          <cell r="F9673">
            <v>0</v>
          </cell>
          <cell r="G9673">
            <v>275</v>
          </cell>
          <cell r="H9673">
            <v>0</v>
          </cell>
        </row>
        <row r="9674">
          <cell r="D9674" t="str">
            <v>Furnitures</v>
          </cell>
          <cell r="F9674">
            <v>0</v>
          </cell>
          <cell r="G9674">
            <v>275</v>
          </cell>
          <cell r="H9674">
            <v>0</v>
          </cell>
        </row>
        <row r="9675">
          <cell r="D9675" t="str">
            <v>Furnitures</v>
          </cell>
          <cell r="F9675">
            <v>0</v>
          </cell>
          <cell r="G9675">
            <v>275</v>
          </cell>
          <cell r="H9675">
            <v>0</v>
          </cell>
        </row>
        <row r="9676">
          <cell r="D9676" t="str">
            <v>Furnitures</v>
          </cell>
          <cell r="F9676">
            <v>0</v>
          </cell>
          <cell r="G9676">
            <v>275</v>
          </cell>
          <cell r="H9676">
            <v>0</v>
          </cell>
        </row>
        <row r="9677">
          <cell r="D9677" t="str">
            <v>Furnitures</v>
          </cell>
          <cell r="F9677">
            <v>0</v>
          </cell>
          <cell r="G9677">
            <v>275</v>
          </cell>
          <cell r="H9677">
            <v>0</v>
          </cell>
        </row>
        <row r="9678">
          <cell r="D9678" t="str">
            <v>Furnitures</v>
          </cell>
          <cell r="F9678">
            <v>0</v>
          </cell>
          <cell r="G9678">
            <v>275</v>
          </cell>
          <cell r="H9678">
            <v>0</v>
          </cell>
        </row>
        <row r="9679">
          <cell r="D9679" t="str">
            <v>Furnitures</v>
          </cell>
          <cell r="F9679">
            <v>0</v>
          </cell>
          <cell r="G9679">
            <v>275</v>
          </cell>
          <cell r="H9679">
            <v>0</v>
          </cell>
        </row>
        <row r="9680">
          <cell r="D9680" t="str">
            <v>Furnitures</v>
          </cell>
          <cell r="F9680">
            <v>0</v>
          </cell>
          <cell r="G9680">
            <v>275</v>
          </cell>
          <cell r="H9680">
            <v>0</v>
          </cell>
        </row>
        <row r="9681">
          <cell r="D9681" t="str">
            <v>Furnitures</v>
          </cell>
          <cell r="F9681">
            <v>0</v>
          </cell>
          <cell r="G9681">
            <v>275</v>
          </cell>
          <cell r="H9681">
            <v>0</v>
          </cell>
        </row>
        <row r="9682">
          <cell r="D9682" t="str">
            <v>Furnitures</v>
          </cell>
          <cell r="F9682">
            <v>0</v>
          </cell>
          <cell r="G9682">
            <v>275</v>
          </cell>
          <cell r="H9682">
            <v>0</v>
          </cell>
        </row>
        <row r="9683">
          <cell r="D9683" t="str">
            <v>Furnitures</v>
          </cell>
          <cell r="F9683">
            <v>0</v>
          </cell>
          <cell r="G9683">
            <v>275</v>
          </cell>
          <cell r="H9683">
            <v>0</v>
          </cell>
        </row>
        <row r="9684">
          <cell r="D9684" t="str">
            <v>Furnitures</v>
          </cell>
          <cell r="F9684">
            <v>0</v>
          </cell>
          <cell r="G9684">
            <v>275</v>
          </cell>
          <cell r="H9684">
            <v>0</v>
          </cell>
        </row>
        <row r="9685">
          <cell r="D9685" t="str">
            <v>Furnitures</v>
          </cell>
          <cell r="F9685">
            <v>0</v>
          </cell>
          <cell r="G9685">
            <v>275</v>
          </cell>
          <cell r="H9685">
            <v>0</v>
          </cell>
        </row>
        <row r="9686">
          <cell r="D9686" t="str">
            <v>Furnitures</v>
          </cell>
          <cell r="F9686">
            <v>0</v>
          </cell>
          <cell r="G9686">
            <v>275</v>
          </cell>
          <cell r="H9686">
            <v>0</v>
          </cell>
        </row>
        <row r="9687">
          <cell r="D9687" t="str">
            <v>Furnitures</v>
          </cell>
          <cell r="F9687">
            <v>0</v>
          </cell>
          <cell r="G9687">
            <v>275</v>
          </cell>
          <cell r="H9687">
            <v>0</v>
          </cell>
        </row>
        <row r="9688">
          <cell r="D9688" t="str">
            <v>Furnitures</v>
          </cell>
          <cell r="F9688">
            <v>0</v>
          </cell>
          <cell r="G9688">
            <v>275</v>
          </cell>
          <cell r="H9688">
            <v>0</v>
          </cell>
        </row>
        <row r="9689">
          <cell r="D9689" t="str">
            <v>Furnitures</v>
          </cell>
          <cell r="F9689">
            <v>0</v>
          </cell>
          <cell r="G9689">
            <v>275</v>
          </cell>
          <cell r="H9689">
            <v>0</v>
          </cell>
        </row>
        <row r="9690">
          <cell r="D9690" t="str">
            <v>Furnitures</v>
          </cell>
          <cell r="F9690">
            <v>0</v>
          </cell>
          <cell r="G9690">
            <v>275</v>
          </cell>
          <cell r="H9690">
            <v>0</v>
          </cell>
        </row>
        <row r="9691">
          <cell r="D9691" t="str">
            <v>Furnitures</v>
          </cell>
          <cell r="F9691">
            <v>0</v>
          </cell>
          <cell r="G9691">
            <v>275</v>
          </cell>
          <cell r="H9691">
            <v>0</v>
          </cell>
        </row>
        <row r="9692">
          <cell r="D9692" t="str">
            <v>Furnitures</v>
          </cell>
          <cell r="F9692">
            <v>0</v>
          </cell>
          <cell r="G9692">
            <v>275</v>
          </cell>
          <cell r="H9692">
            <v>0</v>
          </cell>
        </row>
        <row r="9693">
          <cell r="D9693" t="str">
            <v>Furnitures</v>
          </cell>
          <cell r="F9693">
            <v>0</v>
          </cell>
          <cell r="G9693">
            <v>275</v>
          </cell>
          <cell r="H9693">
            <v>0</v>
          </cell>
        </row>
        <row r="9694">
          <cell r="D9694" t="str">
            <v>Furnitures</v>
          </cell>
          <cell r="F9694">
            <v>0</v>
          </cell>
          <cell r="G9694">
            <v>275</v>
          </cell>
          <cell r="H9694">
            <v>0</v>
          </cell>
        </row>
        <row r="9695">
          <cell r="D9695" t="str">
            <v>Furnitures</v>
          </cell>
          <cell r="F9695">
            <v>0</v>
          </cell>
          <cell r="G9695">
            <v>275</v>
          </cell>
          <cell r="H9695">
            <v>0</v>
          </cell>
        </row>
        <row r="9696">
          <cell r="D9696" t="str">
            <v>Furnitures</v>
          </cell>
          <cell r="F9696">
            <v>0</v>
          </cell>
          <cell r="G9696">
            <v>275</v>
          </cell>
          <cell r="H9696">
            <v>0</v>
          </cell>
        </row>
        <row r="9697">
          <cell r="D9697" t="str">
            <v>Furnitures</v>
          </cell>
          <cell r="F9697">
            <v>0</v>
          </cell>
          <cell r="G9697">
            <v>275</v>
          </cell>
          <cell r="H9697">
            <v>0</v>
          </cell>
        </row>
        <row r="9698">
          <cell r="D9698" t="str">
            <v>Furnitures</v>
          </cell>
          <cell r="F9698">
            <v>0</v>
          </cell>
          <cell r="G9698">
            <v>275</v>
          </cell>
          <cell r="H9698">
            <v>0</v>
          </cell>
        </row>
        <row r="9699">
          <cell r="D9699" t="str">
            <v>Furnitures</v>
          </cell>
          <cell r="F9699">
            <v>0</v>
          </cell>
          <cell r="G9699">
            <v>275</v>
          </cell>
          <cell r="H9699">
            <v>0</v>
          </cell>
        </row>
        <row r="9700">
          <cell r="D9700" t="str">
            <v>Furnitures</v>
          </cell>
          <cell r="F9700">
            <v>0</v>
          </cell>
          <cell r="G9700">
            <v>275</v>
          </cell>
          <cell r="H9700">
            <v>0</v>
          </cell>
        </row>
        <row r="9701">
          <cell r="D9701" t="str">
            <v>Furnitures</v>
          </cell>
          <cell r="F9701">
            <v>0</v>
          </cell>
          <cell r="G9701">
            <v>275</v>
          </cell>
          <cell r="H9701">
            <v>0</v>
          </cell>
        </row>
        <row r="9702">
          <cell r="D9702" t="str">
            <v>Furnitures</v>
          </cell>
          <cell r="F9702">
            <v>0</v>
          </cell>
          <cell r="G9702">
            <v>275</v>
          </cell>
          <cell r="H9702">
            <v>0</v>
          </cell>
        </row>
        <row r="9703">
          <cell r="D9703" t="str">
            <v>Furnitures</v>
          </cell>
          <cell r="F9703">
            <v>0</v>
          </cell>
          <cell r="G9703">
            <v>275</v>
          </cell>
          <cell r="H9703">
            <v>0</v>
          </cell>
        </row>
        <row r="9704">
          <cell r="D9704" t="str">
            <v>Furnitures</v>
          </cell>
          <cell r="F9704">
            <v>0</v>
          </cell>
          <cell r="G9704">
            <v>275</v>
          </cell>
          <cell r="H9704">
            <v>0</v>
          </cell>
        </row>
        <row r="9705">
          <cell r="D9705" t="str">
            <v>Furnitures</v>
          </cell>
          <cell r="F9705">
            <v>0</v>
          </cell>
          <cell r="G9705">
            <v>275</v>
          </cell>
          <cell r="H9705">
            <v>0</v>
          </cell>
        </row>
        <row r="9706">
          <cell r="D9706" t="str">
            <v>Furnitures</v>
          </cell>
          <cell r="F9706">
            <v>0</v>
          </cell>
          <cell r="G9706">
            <v>275</v>
          </cell>
          <cell r="H9706">
            <v>0</v>
          </cell>
        </row>
        <row r="9707">
          <cell r="D9707" t="str">
            <v>Furnitures</v>
          </cell>
          <cell r="F9707">
            <v>0</v>
          </cell>
          <cell r="G9707">
            <v>275</v>
          </cell>
          <cell r="H9707">
            <v>0</v>
          </cell>
        </row>
        <row r="9708">
          <cell r="D9708" t="str">
            <v>Furnitures</v>
          </cell>
          <cell r="F9708">
            <v>0</v>
          </cell>
          <cell r="G9708">
            <v>275</v>
          </cell>
          <cell r="H9708">
            <v>0</v>
          </cell>
        </row>
        <row r="9709">
          <cell r="D9709" t="str">
            <v>Furnitures</v>
          </cell>
          <cell r="F9709">
            <v>0</v>
          </cell>
          <cell r="G9709">
            <v>275</v>
          </cell>
          <cell r="H9709">
            <v>0</v>
          </cell>
        </row>
        <row r="9710">
          <cell r="D9710" t="str">
            <v>Furnitures</v>
          </cell>
          <cell r="F9710">
            <v>0</v>
          </cell>
          <cell r="G9710">
            <v>275</v>
          </cell>
          <cell r="H9710">
            <v>0</v>
          </cell>
        </row>
        <row r="9711">
          <cell r="D9711" t="str">
            <v>Furnitures</v>
          </cell>
          <cell r="F9711">
            <v>0</v>
          </cell>
          <cell r="G9711">
            <v>275</v>
          </cell>
          <cell r="H9711">
            <v>0</v>
          </cell>
        </row>
        <row r="9712">
          <cell r="D9712" t="str">
            <v>Furnitures</v>
          </cell>
          <cell r="F9712">
            <v>0</v>
          </cell>
          <cell r="G9712">
            <v>275</v>
          </cell>
          <cell r="H9712">
            <v>0</v>
          </cell>
        </row>
        <row r="9713">
          <cell r="D9713" t="str">
            <v>Furnitures</v>
          </cell>
          <cell r="F9713">
            <v>0</v>
          </cell>
          <cell r="G9713">
            <v>275</v>
          </cell>
          <cell r="H9713">
            <v>0</v>
          </cell>
        </row>
        <row r="9714">
          <cell r="D9714" t="str">
            <v>Furnitures</v>
          </cell>
          <cell r="F9714">
            <v>0</v>
          </cell>
          <cell r="G9714">
            <v>275</v>
          </cell>
          <cell r="H9714">
            <v>0</v>
          </cell>
        </row>
        <row r="9715">
          <cell r="D9715" t="str">
            <v>Furnitures</v>
          </cell>
          <cell r="F9715">
            <v>0</v>
          </cell>
          <cell r="G9715">
            <v>275</v>
          </cell>
          <cell r="H9715">
            <v>0</v>
          </cell>
        </row>
        <row r="9716">
          <cell r="D9716" t="str">
            <v>Furnitures</v>
          </cell>
          <cell r="F9716">
            <v>0</v>
          </cell>
          <cell r="G9716">
            <v>275</v>
          </cell>
          <cell r="H9716">
            <v>0</v>
          </cell>
        </row>
        <row r="9717">
          <cell r="D9717" t="str">
            <v>Furnitures</v>
          </cell>
          <cell r="F9717">
            <v>0</v>
          </cell>
          <cell r="G9717">
            <v>275</v>
          </cell>
          <cell r="H9717">
            <v>0</v>
          </cell>
        </row>
        <row r="9718">
          <cell r="D9718" t="str">
            <v>Furnitures</v>
          </cell>
          <cell r="F9718">
            <v>0</v>
          </cell>
          <cell r="G9718">
            <v>275</v>
          </cell>
          <cell r="H9718">
            <v>0</v>
          </cell>
        </row>
        <row r="9719">
          <cell r="D9719" t="str">
            <v>Furnitures</v>
          </cell>
          <cell r="F9719">
            <v>0</v>
          </cell>
          <cell r="G9719">
            <v>275</v>
          </cell>
          <cell r="H9719">
            <v>0</v>
          </cell>
        </row>
        <row r="9720">
          <cell r="D9720" t="str">
            <v>Furnitures</v>
          </cell>
          <cell r="F9720">
            <v>0</v>
          </cell>
          <cell r="G9720">
            <v>275</v>
          </cell>
          <cell r="H9720">
            <v>0</v>
          </cell>
        </row>
        <row r="9721">
          <cell r="D9721" t="str">
            <v>Furnitures</v>
          </cell>
          <cell r="F9721">
            <v>0</v>
          </cell>
          <cell r="G9721">
            <v>275</v>
          </cell>
          <cell r="H9721">
            <v>0</v>
          </cell>
        </row>
        <row r="9722">
          <cell r="D9722" t="str">
            <v>Furnitures</v>
          </cell>
          <cell r="F9722">
            <v>0</v>
          </cell>
          <cell r="G9722">
            <v>275</v>
          </cell>
          <cell r="H9722">
            <v>0</v>
          </cell>
        </row>
        <row r="9723">
          <cell r="D9723" t="str">
            <v>Furnitures</v>
          </cell>
          <cell r="F9723">
            <v>0</v>
          </cell>
          <cell r="G9723">
            <v>275</v>
          </cell>
          <cell r="H9723">
            <v>0</v>
          </cell>
        </row>
        <row r="9724">
          <cell r="D9724" t="str">
            <v>Furnitures</v>
          </cell>
          <cell r="F9724">
            <v>0</v>
          </cell>
          <cell r="G9724">
            <v>275</v>
          </cell>
          <cell r="H9724">
            <v>0</v>
          </cell>
        </row>
        <row r="9725">
          <cell r="D9725" t="str">
            <v>Furnitures</v>
          </cell>
          <cell r="F9725">
            <v>0</v>
          </cell>
          <cell r="G9725">
            <v>275</v>
          </cell>
          <cell r="H9725">
            <v>0</v>
          </cell>
        </row>
        <row r="9726">
          <cell r="D9726" t="str">
            <v>Furnitures</v>
          </cell>
          <cell r="F9726">
            <v>0</v>
          </cell>
          <cell r="G9726">
            <v>275</v>
          </cell>
          <cell r="H9726">
            <v>0</v>
          </cell>
        </row>
        <row r="9727">
          <cell r="D9727" t="str">
            <v>Furnitures</v>
          </cell>
          <cell r="F9727">
            <v>0</v>
          </cell>
          <cell r="G9727">
            <v>275</v>
          </cell>
          <cell r="H9727">
            <v>0</v>
          </cell>
        </row>
        <row r="9728">
          <cell r="D9728" t="str">
            <v>Furnitures</v>
          </cell>
          <cell r="F9728">
            <v>0</v>
          </cell>
          <cell r="G9728">
            <v>275</v>
          </cell>
          <cell r="H9728">
            <v>0</v>
          </cell>
        </row>
        <row r="9729">
          <cell r="D9729" t="str">
            <v>Furnitures</v>
          </cell>
          <cell r="F9729">
            <v>0</v>
          </cell>
          <cell r="G9729">
            <v>275</v>
          </cell>
          <cell r="H9729">
            <v>0</v>
          </cell>
        </row>
        <row r="9730">
          <cell r="D9730" t="str">
            <v>Furnitures</v>
          </cell>
          <cell r="F9730">
            <v>0</v>
          </cell>
          <cell r="G9730">
            <v>275</v>
          </cell>
          <cell r="H9730">
            <v>0</v>
          </cell>
        </row>
        <row r="9731">
          <cell r="D9731" t="str">
            <v>Furnitures</v>
          </cell>
          <cell r="F9731">
            <v>0</v>
          </cell>
          <cell r="G9731">
            <v>275</v>
          </cell>
          <cell r="H9731">
            <v>0</v>
          </cell>
        </row>
        <row r="9732">
          <cell r="D9732" t="str">
            <v>Furnitures</v>
          </cell>
          <cell r="F9732">
            <v>0</v>
          </cell>
          <cell r="G9732">
            <v>275</v>
          </cell>
          <cell r="H9732">
            <v>0</v>
          </cell>
        </row>
        <row r="9733">
          <cell r="D9733" t="str">
            <v>Furnitures</v>
          </cell>
          <cell r="F9733">
            <v>0</v>
          </cell>
          <cell r="G9733">
            <v>275</v>
          </cell>
          <cell r="H9733">
            <v>0</v>
          </cell>
        </row>
        <row r="9734">
          <cell r="D9734" t="str">
            <v>Furnitures</v>
          </cell>
          <cell r="F9734">
            <v>0</v>
          </cell>
          <cell r="G9734">
            <v>275</v>
          </cell>
          <cell r="H9734">
            <v>0</v>
          </cell>
        </row>
        <row r="9735">
          <cell r="D9735" t="str">
            <v>Furnitures</v>
          </cell>
          <cell r="F9735">
            <v>0</v>
          </cell>
          <cell r="G9735">
            <v>275</v>
          </cell>
          <cell r="H9735">
            <v>0</v>
          </cell>
        </row>
        <row r="9736">
          <cell r="D9736" t="str">
            <v>Furnitures</v>
          </cell>
          <cell r="F9736">
            <v>0</v>
          </cell>
          <cell r="G9736">
            <v>275</v>
          </cell>
          <cell r="H9736">
            <v>0</v>
          </cell>
        </row>
        <row r="9737">
          <cell r="D9737" t="str">
            <v>Furnitures</v>
          </cell>
          <cell r="F9737">
            <v>0</v>
          </cell>
          <cell r="G9737">
            <v>275</v>
          </cell>
          <cell r="H9737">
            <v>0</v>
          </cell>
        </row>
        <row r="9738">
          <cell r="D9738" t="str">
            <v>Furnitures</v>
          </cell>
          <cell r="F9738">
            <v>0</v>
          </cell>
          <cell r="G9738">
            <v>275</v>
          </cell>
          <cell r="H9738">
            <v>0</v>
          </cell>
        </row>
        <row r="9739">
          <cell r="D9739" t="str">
            <v>Furnitures</v>
          </cell>
          <cell r="F9739">
            <v>0</v>
          </cell>
          <cell r="G9739">
            <v>275</v>
          </cell>
          <cell r="H9739">
            <v>0</v>
          </cell>
        </row>
        <row r="9740">
          <cell r="D9740" t="str">
            <v>Furnitures</v>
          </cell>
          <cell r="F9740">
            <v>0</v>
          </cell>
          <cell r="G9740">
            <v>275</v>
          </cell>
          <cell r="H9740">
            <v>0</v>
          </cell>
        </row>
        <row r="9741">
          <cell r="D9741" t="str">
            <v>Furnitures</v>
          </cell>
          <cell r="F9741">
            <v>0</v>
          </cell>
          <cell r="G9741">
            <v>275</v>
          </cell>
          <cell r="H9741">
            <v>0</v>
          </cell>
        </row>
        <row r="9742">
          <cell r="D9742" t="str">
            <v>Furnitures</v>
          </cell>
          <cell r="F9742">
            <v>0</v>
          </cell>
          <cell r="G9742">
            <v>275</v>
          </cell>
          <cell r="H9742">
            <v>0</v>
          </cell>
        </row>
        <row r="9743">
          <cell r="D9743" t="str">
            <v>Furnitures</v>
          </cell>
          <cell r="F9743">
            <v>0</v>
          </cell>
          <cell r="G9743">
            <v>275</v>
          </cell>
          <cell r="H9743">
            <v>0</v>
          </cell>
        </row>
        <row r="9744">
          <cell r="D9744" t="str">
            <v>Furnitures</v>
          </cell>
          <cell r="F9744">
            <v>0</v>
          </cell>
          <cell r="G9744">
            <v>275</v>
          </cell>
          <cell r="H9744">
            <v>0</v>
          </cell>
        </row>
        <row r="9745">
          <cell r="D9745" t="str">
            <v>Furnitures</v>
          </cell>
          <cell r="F9745">
            <v>0</v>
          </cell>
          <cell r="G9745">
            <v>275</v>
          </cell>
          <cell r="H9745">
            <v>0</v>
          </cell>
        </row>
        <row r="9746">
          <cell r="D9746" t="str">
            <v>Furnitures</v>
          </cell>
          <cell r="F9746">
            <v>0</v>
          </cell>
          <cell r="G9746">
            <v>275</v>
          </cell>
          <cell r="H9746">
            <v>0</v>
          </cell>
        </row>
        <row r="9747">
          <cell r="D9747" t="str">
            <v>Furnitures</v>
          </cell>
          <cell r="F9747">
            <v>0</v>
          </cell>
          <cell r="G9747">
            <v>275</v>
          </cell>
          <cell r="H9747">
            <v>0</v>
          </cell>
        </row>
        <row r="9748">
          <cell r="D9748" t="str">
            <v>Furnitures</v>
          </cell>
          <cell r="F9748">
            <v>0</v>
          </cell>
          <cell r="G9748">
            <v>275</v>
          </cell>
          <cell r="H9748">
            <v>0</v>
          </cell>
        </row>
        <row r="9749">
          <cell r="D9749" t="str">
            <v>Furnitures</v>
          </cell>
          <cell r="F9749">
            <v>0</v>
          </cell>
          <cell r="G9749">
            <v>275</v>
          </cell>
          <cell r="H9749">
            <v>0</v>
          </cell>
        </row>
        <row r="9750">
          <cell r="D9750" t="str">
            <v>Furnitures</v>
          </cell>
          <cell r="F9750">
            <v>0</v>
          </cell>
          <cell r="G9750">
            <v>275</v>
          </cell>
          <cell r="H9750">
            <v>0</v>
          </cell>
        </row>
        <row r="9751">
          <cell r="D9751" t="str">
            <v>Furnitures</v>
          </cell>
          <cell r="F9751">
            <v>0</v>
          </cell>
          <cell r="G9751">
            <v>275</v>
          </cell>
          <cell r="H9751">
            <v>0</v>
          </cell>
        </row>
        <row r="9752">
          <cell r="D9752" t="str">
            <v>Furnitures</v>
          </cell>
          <cell r="F9752">
            <v>0</v>
          </cell>
          <cell r="G9752">
            <v>275</v>
          </cell>
          <cell r="H9752">
            <v>0</v>
          </cell>
        </row>
        <row r="9753">
          <cell r="D9753" t="str">
            <v>Furnitures</v>
          </cell>
          <cell r="F9753">
            <v>0</v>
          </cell>
          <cell r="G9753">
            <v>275</v>
          </cell>
          <cell r="H9753">
            <v>0</v>
          </cell>
        </row>
        <row r="9754">
          <cell r="D9754" t="str">
            <v>Furnitures</v>
          </cell>
          <cell r="F9754">
            <v>0</v>
          </cell>
          <cell r="G9754">
            <v>275</v>
          </cell>
          <cell r="H9754">
            <v>0</v>
          </cell>
        </row>
        <row r="9755">
          <cell r="D9755" t="str">
            <v>Furnitures</v>
          </cell>
          <cell r="F9755">
            <v>0</v>
          </cell>
          <cell r="G9755">
            <v>275</v>
          </cell>
          <cell r="H9755">
            <v>0</v>
          </cell>
        </row>
        <row r="9756">
          <cell r="D9756" t="str">
            <v>Furnitures</v>
          </cell>
          <cell r="F9756">
            <v>0</v>
          </cell>
          <cell r="G9756">
            <v>275</v>
          </cell>
          <cell r="H9756">
            <v>0</v>
          </cell>
        </row>
        <row r="9757">
          <cell r="D9757" t="str">
            <v>Furnitures</v>
          </cell>
          <cell r="F9757">
            <v>0</v>
          </cell>
          <cell r="G9757">
            <v>275</v>
          </cell>
          <cell r="H9757">
            <v>0</v>
          </cell>
        </row>
        <row r="9758">
          <cell r="D9758" t="str">
            <v>Furnitures</v>
          </cell>
          <cell r="F9758">
            <v>0</v>
          </cell>
          <cell r="G9758">
            <v>275</v>
          </cell>
          <cell r="H9758">
            <v>0</v>
          </cell>
        </row>
        <row r="9759">
          <cell r="D9759" t="str">
            <v>Furnitures</v>
          </cell>
          <cell r="F9759">
            <v>0</v>
          </cell>
          <cell r="G9759">
            <v>275</v>
          </cell>
          <cell r="H9759">
            <v>0</v>
          </cell>
        </row>
        <row r="9760">
          <cell r="D9760" t="str">
            <v>Furnitures</v>
          </cell>
          <cell r="F9760">
            <v>0</v>
          </cell>
          <cell r="G9760">
            <v>275</v>
          </cell>
          <cell r="H9760">
            <v>0</v>
          </cell>
        </row>
        <row r="9761">
          <cell r="D9761" t="str">
            <v>Furnitures</v>
          </cell>
          <cell r="F9761">
            <v>0</v>
          </cell>
          <cell r="G9761">
            <v>275</v>
          </cell>
          <cell r="H9761">
            <v>0</v>
          </cell>
        </row>
        <row r="9762">
          <cell r="D9762" t="str">
            <v>Furnitures</v>
          </cell>
          <cell r="F9762">
            <v>0</v>
          </cell>
          <cell r="G9762">
            <v>275</v>
          </cell>
          <cell r="H9762">
            <v>0</v>
          </cell>
        </row>
        <row r="9763">
          <cell r="D9763" t="str">
            <v>Furnitures</v>
          </cell>
          <cell r="F9763">
            <v>0</v>
          </cell>
          <cell r="G9763">
            <v>275</v>
          </cell>
          <cell r="H9763">
            <v>0</v>
          </cell>
        </row>
        <row r="9764">
          <cell r="D9764" t="str">
            <v>Furnitures</v>
          </cell>
          <cell r="F9764">
            <v>0</v>
          </cell>
          <cell r="G9764">
            <v>275</v>
          </cell>
          <cell r="H9764">
            <v>0</v>
          </cell>
        </row>
        <row r="9765">
          <cell r="D9765" t="str">
            <v>Furnitures</v>
          </cell>
          <cell r="F9765">
            <v>0</v>
          </cell>
          <cell r="G9765">
            <v>275</v>
          </cell>
          <cell r="H9765">
            <v>0</v>
          </cell>
        </row>
        <row r="9766">
          <cell r="D9766" t="str">
            <v>Furnitures</v>
          </cell>
          <cell r="F9766">
            <v>0</v>
          </cell>
          <cell r="G9766">
            <v>275</v>
          </cell>
          <cell r="H9766">
            <v>0</v>
          </cell>
        </row>
        <row r="9767">
          <cell r="D9767" t="str">
            <v>Furnitures</v>
          </cell>
          <cell r="F9767">
            <v>0</v>
          </cell>
          <cell r="G9767">
            <v>275</v>
          </cell>
          <cell r="H9767">
            <v>0</v>
          </cell>
        </row>
        <row r="9768">
          <cell r="D9768" t="str">
            <v>Furnitures</v>
          </cell>
          <cell r="F9768">
            <v>0</v>
          </cell>
          <cell r="G9768">
            <v>275</v>
          </cell>
          <cell r="H9768">
            <v>0</v>
          </cell>
        </row>
        <row r="9769">
          <cell r="D9769" t="str">
            <v>Furnitures</v>
          </cell>
          <cell r="F9769">
            <v>0</v>
          </cell>
          <cell r="G9769">
            <v>275</v>
          </cell>
          <cell r="H9769">
            <v>0</v>
          </cell>
        </row>
        <row r="9770">
          <cell r="D9770" t="str">
            <v>Furnitures</v>
          </cell>
          <cell r="F9770">
            <v>0</v>
          </cell>
          <cell r="G9770">
            <v>275</v>
          </cell>
          <cell r="H9770">
            <v>0</v>
          </cell>
        </row>
        <row r="9771">
          <cell r="D9771" t="str">
            <v>Furnitures</v>
          </cell>
          <cell r="F9771">
            <v>0</v>
          </cell>
          <cell r="G9771">
            <v>275</v>
          </cell>
          <cell r="H9771">
            <v>0</v>
          </cell>
        </row>
        <row r="9772">
          <cell r="D9772" t="str">
            <v>Furnitures</v>
          </cell>
          <cell r="F9772">
            <v>0</v>
          </cell>
          <cell r="G9772">
            <v>275</v>
          </cell>
          <cell r="H9772">
            <v>0</v>
          </cell>
        </row>
        <row r="9773">
          <cell r="D9773" t="str">
            <v>Furnitures</v>
          </cell>
          <cell r="F9773">
            <v>0</v>
          </cell>
          <cell r="G9773">
            <v>275</v>
          </cell>
          <cell r="H9773">
            <v>0</v>
          </cell>
        </row>
        <row r="9774">
          <cell r="D9774" t="str">
            <v>Furnitures</v>
          </cell>
          <cell r="F9774">
            <v>0</v>
          </cell>
          <cell r="G9774">
            <v>275</v>
          </cell>
          <cell r="H9774">
            <v>0</v>
          </cell>
        </row>
        <row r="9775">
          <cell r="D9775" t="str">
            <v>Furnitures</v>
          </cell>
          <cell r="F9775">
            <v>0</v>
          </cell>
          <cell r="G9775">
            <v>275</v>
          </cell>
          <cell r="H9775">
            <v>0</v>
          </cell>
        </row>
        <row r="9776">
          <cell r="D9776" t="str">
            <v>Furnitures</v>
          </cell>
          <cell r="F9776">
            <v>0</v>
          </cell>
          <cell r="G9776">
            <v>275</v>
          </cell>
          <cell r="H9776">
            <v>0</v>
          </cell>
        </row>
        <row r="9777">
          <cell r="D9777" t="str">
            <v>Furnitures</v>
          </cell>
          <cell r="F9777">
            <v>0</v>
          </cell>
          <cell r="G9777">
            <v>275</v>
          </cell>
          <cell r="H9777">
            <v>0</v>
          </cell>
        </row>
        <row r="9778">
          <cell r="D9778" t="str">
            <v>Furnitures</v>
          </cell>
          <cell r="F9778">
            <v>0</v>
          </cell>
          <cell r="G9778">
            <v>275</v>
          </cell>
          <cell r="H9778">
            <v>0</v>
          </cell>
        </row>
        <row r="9779">
          <cell r="D9779" t="str">
            <v>Furnitures</v>
          </cell>
          <cell r="F9779">
            <v>0</v>
          </cell>
          <cell r="G9779">
            <v>275</v>
          </cell>
          <cell r="H9779">
            <v>0</v>
          </cell>
        </row>
        <row r="9780">
          <cell r="D9780" t="str">
            <v>Furnitures</v>
          </cell>
          <cell r="F9780">
            <v>0</v>
          </cell>
          <cell r="G9780">
            <v>275</v>
          </cell>
          <cell r="H9780">
            <v>0</v>
          </cell>
        </row>
        <row r="9781">
          <cell r="D9781" t="str">
            <v>Furnitures</v>
          </cell>
          <cell r="F9781">
            <v>0</v>
          </cell>
          <cell r="G9781">
            <v>275</v>
          </cell>
          <cell r="H9781">
            <v>0</v>
          </cell>
        </row>
        <row r="9782">
          <cell r="D9782" t="str">
            <v>Furnitures</v>
          </cell>
          <cell r="F9782">
            <v>0</v>
          </cell>
          <cell r="G9782">
            <v>275</v>
          </cell>
          <cell r="H9782">
            <v>0</v>
          </cell>
        </row>
        <row r="9783">
          <cell r="D9783" t="str">
            <v>Furnitures</v>
          </cell>
          <cell r="F9783">
            <v>0</v>
          </cell>
          <cell r="G9783">
            <v>275</v>
          </cell>
          <cell r="H9783">
            <v>0</v>
          </cell>
        </row>
        <row r="9784">
          <cell r="D9784" t="str">
            <v>Furnitures</v>
          </cell>
          <cell r="F9784">
            <v>0</v>
          </cell>
          <cell r="G9784">
            <v>275</v>
          </cell>
          <cell r="H9784">
            <v>0</v>
          </cell>
        </row>
        <row r="9785">
          <cell r="D9785" t="str">
            <v>Furnitures</v>
          </cell>
          <cell r="F9785">
            <v>0</v>
          </cell>
          <cell r="G9785">
            <v>275</v>
          </cell>
          <cell r="H9785">
            <v>0</v>
          </cell>
        </row>
        <row r="9786">
          <cell r="D9786" t="str">
            <v>Furnitures</v>
          </cell>
          <cell r="F9786">
            <v>0</v>
          </cell>
          <cell r="G9786">
            <v>275</v>
          </cell>
          <cell r="H9786">
            <v>0</v>
          </cell>
        </row>
        <row r="9787">
          <cell r="D9787" t="str">
            <v>Furnitures</v>
          </cell>
          <cell r="F9787">
            <v>0</v>
          </cell>
          <cell r="G9787">
            <v>275</v>
          </cell>
          <cell r="H9787">
            <v>0</v>
          </cell>
        </row>
        <row r="9788">
          <cell r="D9788" t="str">
            <v>Furnitures</v>
          </cell>
          <cell r="F9788">
            <v>0</v>
          </cell>
          <cell r="G9788">
            <v>275</v>
          </cell>
          <cell r="H9788">
            <v>0</v>
          </cell>
        </row>
        <row r="9789">
          <cell r="D9789" t="str">
            <v>Furnitures</v>
          </cell>
          <cell r="F9789">
            <v>0</v>
          </cell>
          <cell r="G9789">
            <v>275</v>
          </cell>
          <cell r="H9789">
            <v>0</v>
          </cell>
        </row>
        <row r="9790">
          <cell r="D9790" t="str">
            <v>Furnitures</v>
          </cell>
          <cell r="F9790">
            <v>0</v>
          </cell>
          <cell r="G9790">
            <v>275</v>
          </cell>
          <cell r="H9790">
            <v>0</v>
          </cell>
        </row>
        <row r="9791">
          <cell r="D9791" t="str">
            <v>Furnitures</v>
          </cell>
          <cell r="F9791">
            <v>0</v>
          </cell>
          <cell r="G9791">
            <v>275</v>
          </cell>
          <cell r="H9791">
            <v>0</v>
          </cell>
        </row>
        <row r="9792">
          <cell r="D9792" t="str">
            <v>Furnitures</v>
          </cell>
          <cell r="F9792">
            <v>0</v>
          </cell>
          <cell r="G9792">
            <v>275</v>
          </cell>
          <cell r="H9792">
            <v>0</v>
          </cell>
        </row>
        <row r="9793">
          <cell r="D9793" t="str">
            <v>Furnitures</v>
          </cell>
          <cell r="F9793">
            <v>0</v>
          </cell>
          <cell r="G9793">
            <v>275</v>
          </cell>
          <cell r="H9793">
            <v>0</v>
          </cell>
        </row>
        <row r="9794">
          <cell r="D9794" t="str">
            <v>Furnitures</v>
          </cell>
          <cell r="F9794">
            <v>0</v>
          </cell>
          <cell r="G9794">
            <v>275</v>
          </cell>
          <cell r="H9794">
            <v>0</v>
          </cell>
        </row>
        <row r="9795">
          <cell r="D9795" t="str">
            <v>Furnitures</v>
          </cell>
          <cell r="F9795">
            <v>0</v>
          </cell>
          <cell r="G9795">
            <v>275</v>
          </cell>
          <cell r="H9795">
            <v>0</v>
          </cell>
        </row>
        <row r="9796">
          <cell r="D9796" t="str">
            <v>Furnitures</v>
          </cell>
          <cell r="F9796">
            <v>0</v>
          </cell>
          <cell r="G9796">
            <v>275</v>
          </cell>
          <cell r="H9796">
            <v>0</v>
          </cell>
        </row>
        <row r="9797">
          <cell r="D9797" t="str">
            <v>Furnitures</v>
          </cell>
          <cell r="F9797">
            <v>0</v>
          </cell>
          <cell r="G9797">
            <v>275</v>
          </cell>
          <cell r="H9797">
            <v>0</v>
          </cell>
        </row>
        <row r="9798">
          <cell r="D9798" t="str">
            <v>Furnitures</v>
          </cell>
          <cell r="F9798">
            <v>0</v>
          </cell>
          <cell r="G9798">
            <v>275</v>
          </cell>
          <cell r="H9798">
            <v>0</v>
          </cell>
        </row>
        <row r="9799">
          <cell r="D9799" t="str">
            <v>Furnitures</v>
          </cell>
          <cell r="F9799">
            <v>0</v>
          </cell>
          <cell r="G9799">
            <v>275</v>
          </cell>
          <cell r="H9799">
            <v>0</v>
          </cell>
        </row>
        <row r="9800">
          <cell r="D9800" t="str">
            <v>Furnitures</v>
          </cell>
          <cell r="F9800">
            <v>0</v>
          </cell>
          <cell r="G9800">
            <v>275</v>
          </cell>
          <cell r="H9800">
            <v>0</v>
          </cell>
        </row>
        <row r="9801">
          <cell r="D9801" t="str">
            <v>Furnitures</v>
          </cell>
          <cell r="F9801">
            <v>0</v>
          </cell>
          <cell r="G9801">
            <v>275</v>
          </cell>
          <cell r="H9801">
            <v>0</v>
          </cell>
        </row>
        <row r="9802">
          <cell r="D9802" t="str">
            <v>Furnitures</v>
          </cell>
          <cell r="F9802">
            <v>0</v>
          </cell>
          <cell r="G9802">
            <v>275</v>
          </cell>
          <cell r="H9802">
            <v>0</v>
          </cell>
        </row>
        <row r="9803">
          <cell r="D9803" t="str">
            <v>Furnitures</v>
          </cell>
          <cell r="F9803">
            <v>0</v>
          </cell>
          <cell r="G9803">
            <v>275</v>
          </cell>
          <cell r="H9803">
            <v>0</v>
          </cell>
        </row>
        <row r="9804">
          <cell r="D9804" t="str">
            <v>Furnitures</v>
          </cell>
          <cell r="F9804">
            <v>0</v>
          </cell>
          <cell r="G9804">
            <v>275</v>
          </cell>
          <cell r="H9804">
            <v>0</v>
          </cell>
        </row>
        <row r="9805">
          <cell r="D9805" t="str">
            <v>Furnitures</v>
          </cell>
          <cell r="F9805">
            <v>0</v>
          </cell>
          <cell r="G9805">
            <v>275</v>
          </cell>
          <cell r="H9805">
            <v>0</v>
          </cell>
        </row>
        <row r="9806">
          <cell r="D9806" t="str">
            <v>Furnitures</v>
          </cell>
          <cell r="F9806">
            <v>0</v>
          </cell>
          <cell r="G9806">
            <v>275</v>
          </cell>
          <cell r="H9806">
            <v>0</v>
          </cell>
        </row>
        <row r="9807">
          <cell r="D9807" t="str">
            <v>Furnitures</v>
          </cell>
          <cell r="F9807">
            <v>0</v>
          </cell>
          <cell r="G9807">
            <v>275</v>
          </cell>
          <cell r="H9807">
            <v>0</v>
          </cell>
        </row>
        <row r="9808">
          <cell r="D9808" t="str">
            <v>Furnitures</v>
          </cell>
          <cell r="F9808">
            <v>0</v>
          </cell>
          <cell r="G9808">
            <v>275</v>
          </cell>
          <cell r="H9808">
            <v>0</v>
          </cell>
        </row>
        <row r="9809">
          <cell r="D9809" t="str">
            <v>Furnitures</v>
          </cell>
          <cell r="F9809">
            <v>0</v>
          </cell>
          <cell r="G9809">
            <v>275</v>
          </cell>
          <cell r="H9809">
            <v>0</v>
          </cell>
        </row>
        <row r="9810">
          <cell r="D9810" t="str">
            <v>Furnitures</v>
          </cell>
          <cell r="F9810">
            <v>0</v>
          </cell>
          <cell r="G9810">
            <v>275</v>
          </cell>
          <cell r="H9810">
            <v>0</v>
          </cell>
        </row>
        <row r="9811">
          <cell r="D9811" t="str">
            <v>Furnitures</v>
          </cell>
          <cell r="F9811">
            <v>0</v>
          </cell>
          <cell r="G9811">
            <v>275</v>
          </cell>
          <cell r="H9811">
            <v>0</v>
          </cell>
        </row>
        <row r="9812">
          <cell r="D9812" t="str">
            <v>Furnitures</v>
          </cell>
          <cell r="F9812">
            <v>0</v>
          </cell>
          <cell r="G9812">
            <v>275</v>
          </cell>
          <cell r="H9812">
            <v>0</v>
          </cell>
        </row>
        <row r="9813">
          <cell r="D9813" t="str">
            <v>Furnitures</v>
          </cell>
          <cell r="F9813">
            <v>0</v>
          </cell>
          <cell r="G9813">
            <v>275</v>
          </cell>
          <cell r="H9813">
            <v>0</v>
          </cell>
        </row>
        <row r="9814">
          <cell r="D9814" t="str">
            <v>Furnitures</v>
          </cell>
          <cell r="F9814">
            <v>0</v>
          </cell>
          <cell r="G9814">
            <v>275</v>
          </cell>
          <cell r="H9814">
            <v>0</v>
          </cell>
        </row>
        <row r="9815">
          <cell r="D9815" t="str">
            <v>Furnitures</v>
          </cell>
          <cell r="F9815">
            <v>0</v>
          </cell>
          <cell r="G9815">
            <v>275</v>
          </cell>
          <cell r="H9815">
            <v>0</v>
          </cell>
        </row>
        <row r="9816">
          <cell r="D9816" t="str">
            <v>Furnitures</v>
          </cell>
          <cell r="F9816">
            <v>0</v>
          </cell>
          <cell r="G9816">
            <v>275</v>
          </cell>
          <cell r="H9816">
            <v>0</v>
          </cell>
        </row>
        <row r="9817">
          <cell r="D9817" t="str">
            <v>Furnitures</v>
          </cell>
          <cell r="F9817">
            <v>0</v>
          </cell>
          <cell r="G9817">
            <v>275</v>
          </cell>
          <cell r="H9817">
            <v>0</v>
          </cell>
        </row>
        <row r="9818">
          <cell r="D9818" t="str">
            <v>Furnitures</v>
          </cell>
          <cell r="F9818">
            <v>0</v>
          </cell>
          <cell r="G9818">
            <v>275</v>
          </cell>
          <cell r="H9818">
            <v>0</v>
          </cell>
        </row>
        <row r="9819">
          <cell r="D9819" t="str">
            <v>Furnitures</v>
          </cell>
          <cell r="F9819">
            <v>0</v>
          </cell>
          <cell r="G9819">
            <v>275</v>
          </cell>
          <cell r="H9819">
            <v>0</v>
          </cell>
        </row>
        <row r="9820">
          <cell r="D9820" t="str">
            <v>Furnitures</v>
          </cell>
          <cell r="F9820">
            <v>0</v>
          </cell>
          <cell r="G9820">
            <v>275</v>
          </cell>
          <cell r="H9820">
            <v>0</v>
          </cell>
        </row>
        <row r="9821">
          <cell r="D9821" t="str">
            <v>Furnitures</v>
          </cell>
          <cell r="F9821">
            <v>0</v>
          </cell>
          <cell r="G9821">
            <v>275</v>
          </cell>
          <cell r="H9821">
            <v>0</v>
          </cell>
        </row>
        <row r="9822">
          <cell r="D9822" t="str">
            <v>Furnitures</v>
          </cell>
          <cell r="F9822">
            <v>0</v>
          </cell>
          <cell r="G9822">
            <v>275</v>
          </cell>
          <cell r="H9822">
            <v>0</v>
          </cell>
        </row>
        <row r="9823">
          <cell r="D9823" t="str">
            <v>Furnitures</v>
          </cell>
          <cell r="F9823">
            <v>0</v>
          </cell>
          <cell r="G9823">
            <v>275</v>
          </cell>
          <cell r="H9823">
            <v>0</v>
          </cell>
        </row>
        <row r="9824">
          <cell r="D9824" t="str">
            <v>Furnitures</v>
          </cell>
          <cell r="F9824">
            <v>0</v>
          </cell>
          <cell r="G9824">
            <v>275</v>
          </cell>
          <cell r="H9824">
            <v>0</v>
          </cell>
        </row>
        <row r="9825">
          <cell r="D9825" t="str">
            <v>Furnitures</v>
          </cell>
          <cell r="F9825">
            <v>0</v>
          </cell>
          <cell r="G9825">
            <v>275</v>
          </cell>
          <cell r="H9825">
            <v>0</v>
          </cell>
        </row>
        <row r="9826">
          <cell r="D9826" t="str">
            <v>Furnitures</v>
          </cell>
          <cell r="F9826">
            <v>0</v>
          </cell>
          <cell r="G9826">
            <v>275</v>
          </cell>
          <cell r="H9826">
            <v>0</v>
          </cell>
        </row>
        <row r="9827">
          <cell r="D9827" t="str">
            <v>Furnitures</v>
          </cell>
          <cell r="F9827">
            <v>0</v>
          </cell>
          <cell r="G9827">
            <v>275</v>
          </cell>
          <cell r="H9827">
            <v>0</v>
          </cell>
        </row>
        <row r="9828">
          <cell r="D9828" t="str">
            <v>Furnitures</v>
          </cell>
          <cell r="F9828">
            <v>0</v>
          </cell>
          <cell r="G9828">
            <v>275</v>
          </cell>
          <cell r="H9828">
            <v>0</v>
          </cell>
        </row>
        <row r="9829">
          <cell r="D9829" t="str">
            <v>Furnitures</v>
          </cell>
          <cell r="F9829">
            <v>0</v>
          </cell>
          <cell r="G9829">
            <v>275</v>
          </cell>
          <cell r="H9829">
            <v>0</v>
          </cell>
        </row>
        <row r="9830">
          <cell r="D9830" t="str">
            <v>Furnitures</v>
          </cell>
          <cell r="F9830">
            <v>0</v>
          </cell>
          <cell r="G9830">
            <v>275</v>
          </cell>
          <cell r="H9830">
            <v>0</v>
          </cell>
        </row>
        <row r="9831">
          <cell r="D9831" t="str">
            <v>Furnitures</v>
          </cell>
          <cell r="F9831">
            <v>0</v>
          </cell>
          <cell r="G9831">
            <v>275</v>
          </cell>
          <cell r="H9831">
            <v>0</v>
          </cell>
        </row>
        <row r="9832">
          <cell r="D9832" t="str">
            <v>Furnitures</v>
          </cell>
          <cell r="F9832">
            <v>0</v>
          </cell>
          <cell r="G9832">
            <v>275</v>
          </cell>
          <cell r="H9832">
            <v>0</v>
          </cell>
        </row>
        <row r="9833">
          <cell r="D9833" t="str">
            <v>Furnitures</v>
          </cell>
          <cell r="F9833">
            <v>0</v>
          </cell>
          <cell r="G9833">
            <v>275</v>
          </cell>
          <cell r="H9833">
            <v>0</v>
          </cell>
        </row>
        <row r="9834">
          <cell r="D9834" t="str">
            <v>Furnitures</v>
          </cell>
          <cell r="F9834">
            <v>0</v>
          </cell>
          <cell r="G9834">
            <v>275</v>
          </cell>
          <cell r="H9834">
            <v>0</v>
          </cell>
        </row>
        <row r="9835">
          <cell r="D9835" t="str">
            <v>Furnitures</v>
          </cell>
          <cell r="F9835">
            <v>0</v>
          </cell>
          <cell r="G9835">
            <v>275</v>
          </cell>
          <cell r="H9835">
            <v>0</v>
          </cell>
        </row>
        <row r="9836">
          <cell r="D9836" t="str">
            <v>Furnitures</v>
          </cell>
          <cell r="F9836">
            <v>0</v>
          </cell>
          <cell r="G9836">
            <v>275</v>
          </cell>
          <cell r="H9836">
            <v>0</v>
          </cell>
        </row>
        <row r="9837">
          <cell r="D9837" t="str">
            <v>Furnitures</v>
          </cell>
          <cell r="F9837">
            <v>0</v>
          </cell>
          <cell r="G9837">
            <v>275</v>
          </cell>
          <cell r="H9837">
            <v>0</v>
          </cell>
        </row>
        <row r="9838">
          <cell r="D9838" t="str">
            <v>Furnitures</v>
          </cell>
          <cell r="F9838">
            <v>0</v>
          </cell>
          <cell r="G9838">
            <v>275</v>
          </cell>
          <cell r="H9838">
            <v>0</v>
          </cell>
        </row>
        <row r="9839">
          <cell r="D9839" t="str">
            <v>Furnitures</v>
          </cell>
          <cell r="F9839">
            <v>0</v>
          </cell>
          <cell r="G9839">
            <v>275</v>
          </cell>
          <cell r="H9839">
            <v>0</v>
          </cell>
        </row>
        <row r="9840">
          <cell r="D9840" t="str">
            <v>Furnitures</v>
          </cell>
          <cell r="F9840">
            <v>0</v>
          </cell>
          <cell r="G9840">
            <v>275</v>
          </cell>
          <cell r="H9840">
            <v>0</v>
          </cell>
        </row>
        <row r="9841">
          <cell r="D9841" t="str">
            <v>Furnitures</v>
          </cell>
          <cell r="F9841">
            <v>0</v>
          </cell>
          <cell r="G9841">
            <v>275</v>
          </cell>
          <cell r="H9841">
            <v>0</v>
          </cell>
        </row>
        <row r="9842">
          <cell r="D9842" t="str">
            <v>Furnitures</v>
          </cell>
          <cell r="F9842">
            <v>0</v>
          </cell>
          <cell r="G9842">
            <v>275</v>
          </cell>
          <cell r="H9842">
            <v>0</v>
          </cell>
        </row>
        <row r="9843">
          <cell r="D9843" t="str">
            <v>Furnitures</v>
          </cell>
          <cell r="F9843">
            <v>0</v>
          </cell>
          <cell r="G9843">
            <v>275</v>
          </cell>
          <cell r="H9843">
            <v>0</v>
          </cell>
        </row>
        <row r="9844">
          <cell r="D9844" t="str">
            <v>Furnitures</v>
          </cell>
          <cell r="F9844">
            <v>0</v>
          </cell>
          <cell r="G9844">
            <v>275</v>
          </cell>
          <cell r="H9844">
            <v>0</v>
          </cell>
        </row>
        <row r="9845">
          <cell r="D9845" t="str">
            <v>Furnitures</v>
          </cell>
          <cell r="F9845">
            <v>0</v>
          </cell>
          <cell r="G9845">
            <v>275</v>
          </cell>
          <cell r="H9845">
            <v>0</v>
          </cell>
        </row>
        <row r="9846">
          <cell r="D9846" t="str">
            <v>Furnitures</v>
          </cell>
          <cell r="F9846">
            <v>0</v>
          </cell>
          <cell r="G9846">
            <v>275</v>
          </cell>
          <cell r="H9846">
            <v>0</v>
          </cell>
        </row>
        <row r="9847">
          <cell r="D9847" t="str">
            <v>Furnitures</v>
          </cell>
          <cell r="F9847">
            <v>0</v>
          </cell>
          <cell r="G9847">
            <v>275</v>
          </cell>
          <cell r="H9847">
            <v>0</v>
          </cell>
        </row>
        <row r="9848">
          <cell r="D9848" t="str">
            <v>Furnitures</v>
          </cell>
          <cell r="F9848">
            <v>0</v>
          </cell>
          <cell r="G9848">
            <v>275</v>
          </cell>
          <cell r="H9848">
            <v>0</v>
          </cell>
        </row>
        <row r="9849">
          <cell r="D9849" t="str">
            <v>Furnitures</v>
          </cell>
          <cell r="F9849">
            <v>0</v>
          </cell>
          <cell r="G9849">
            <v>275</v>
          </cell>
          <cell r="H9849">
            <v>0</v>
          </cell>
        </row>
        <row r="9850">
          <cell r="D9850" t="str">
            <v>Furnitures</v>
          </cell>
          <cell r="F9850">
            <v>0</v>
          </cell>
          <cell r="G9850">
            <v>275</v>
          </cell>
          <cell r="H9850">
            <v>0</v>
          </cell>
        </row>
        <row r="9851">
          <cell r="D9851" t="str">
            <v>Furnitures</v>
          </cell>
          <cell r="F9851">
            <v>0</v>
          </cell>
          <cell r="G9851">
            <v>275</v>
          </cell>
          <cell r="H9851">
            <v>0</v>
          </cell>
        </row>
        <row r="9852">
          <cell r="D9852" t="str">
            <v>Furnitures</v>
          </cell>
          <cell r="F9852">
            <v>0</v>
          </cell>
          <cell r="G9852">
            <v>275</v>
          </cell>
          <cell r="H9852">
            <v>0</v>
          </cell>
        </row>
        <row r="9853">
          <cell r="D9853" t="str">
            <v>Furnitures</v>
          </cell>
          <cell r="F9853">
            <v>0</v>
          </cell>
          <cell r="G9853">
            <v>275</v>
          </cell>
          <cell r="H9853">
            <v>0</v>
          </cell>
        </row>
        <row r="9854">
          <cell r="D9854" t="str">
            <v>Furnitures</v>
          </cell>
          <cell r="F9854">
            <v>0</v>
          </cell>
          <cell r="G9854">
            <v>275</v>
          </cell>
          <cell r="H9854">
            <v>0</v>
          </cell>
        </row>
        <row r="9855">
          <cell r="D9855" t="str">
            <v>Furnitures</v>
          </cell>
          <cell r="F9855">
            <v>0</v>
          </cell>
          <cell r="G9855">
            <v>275</v>
          </cell>
          <cell r="H9855">
            <v>0</v>
          </cell>
        </row>
        <row r="9856">
          <cell r="D9856" t="str">
            <v>Furnitures</v>
          </cell>
          <cell r="F9856">
            <v>0</v>
          </cell>
          <cell r="G9856">
            <v>275</v>
          </cell>
          <cell r="H9856">
            <v>0</v>
          </cell>
        </row>
        <row r="9857">
          <cell r="D9857" t="str">
            <v>Furnitures</v>
          </cell>
          <cell r="F9857">
            <v>0</v>
          </cell>
          <cell r="G9857">
            <v>275</v>
          </cell>
          <cell r="H9857">
            <v>0</v>
          </cell>
        </row>
        <row r="9858">
          <cell r="D9858" t="str">
            <v>Furnitures</v>
          </cell>
          <cell r="F9858">
            <v>0</v>
          </cell>
          <cell r="G9858">
            <v>275</v>
          </cell>
          <cell r="H9858">
            <v>0</v>
          </cell>
        </row>
        <row r="9859">
          <cell r="D9859" t="str">
            <v>Furnitures</v>
          </cell>
          <cell r="F9859">
            <v>0</v>
          </cell>
          <cell r="G9859">
            <v>275</v>
          </cell>
          <cell r="H9859">
            <v>0</v>
          </cell>
        </row>
        <row r="9860">
          <cell r="D9860" t="str">
            <v>Furnitures</v>
          </cell>
          <cell r="F9860">
            <v>0</v>
          </cell>
          <cell r="G9860">
            <v>275</v>
          </cell>
          <cell r="H9860">
            <v>0</v>
          </cell>
        </row>
        <row r="9861">
          <cell r="D9861" t="str">
            <v>Furnitures</v>
          </cell>
          <cell r="F9861">
            <v>0</v>
          </cell>
          <cell r="G9861">
            <v>275</v>
          </cell>
          <cell r="H9861">
            <v>0</v>
          </cell>
        </row>
        <row r="9862">
          <cell r="D9862" t="str">
            <v>Furnitures</v>
          </cell>
          <cell r="F9862">
            <v>0</v>
          </cell>
          <cell r="G9862">
            <v>275</v>
          </cell>
          <cell r="H9862">
            <v>0</v>
          </cell>
        </row>
        <row r="9863">
          <cell r="D9863" t="str">
            <v>Furnitures</v>
          </cell>
          <cell r="F9863">
            <v>0</v>
          </cell>
          <cell r="G9863">
            <v>275</v>
          </cell>
          <cell r="H9863">
            <v>0</v>
          </cell>
        </row>
        <row r="9864">
          <cell r="D9864" t="str">
            <v>Furnitures</v>
          </cell>
          <cell r="F9864">
            <v>0</v>
          </cell>
          <cell r="G9864">
            <v>275</v>
          </cell>
          <cell r="H9864">
            <v>0</v>
          </cell>
        </row>
        <row r="9865">
          <cell r="D9865" t="str">
            <v>Furnitures</v>
          </cell>
          <cell r="F9865">
            <v>0</v>
          </cell>
          <cell r="G9865">
            <v>275</v>
          </cell>
          <cell r="H9865">
            <v>0</v>
          </cell>
        </row>
        <row r="9866">
          <cell r="D9866" t="str">
            <v>Furnitures</v>
          </cell>
          <cell r="F9866">
            <v>0</v>
          </cell>
          <cell r="G9866">
            <v>275</v>
          </cell>
          <cell r="H9866">
            <v>0</v>
          </cell>
        </row>
        <row r="9867">
          <cell r="D9867" t="str">
            <v>Furnitures</v>
          </cell>
          <cell r="F9867">
            <v>0</v>
          </cell>
          <cell r="G9867">
            <v>275</v>
          </cell>
          <cell r="H9867">
            <v>0</v>
          </cell>
        </row>
        <row r="9868">
          <cell r="D9868" t="str">
            <v>Furnitures</v>
          </cell>
          <cell r="F9868">
            <v>0</v>
          </cell>
          <cell r="G9868">
            <v>275</v>
          </cell>
          <cell r="H9868">
            <v>0</v>
          </cell>
        </row>
        <row r="9869">
          <cell r="D9869" t="str">
            <v>Furnitures</v>
          </cell>
          <cell r="F9869">
            <v>0</v>
          </cell>
          <cell r="G9869">
            <v>275</v>
          </cell>
          <cell r="H9869">
            <v>0</v>
          </cell>
        </row>
        <row r="9870">
          <cell r="D9870" t="str">
            <v>Furnitures</v>
          </cell>
          <cell r="F9870">
            <v>0</v>
          </cell>
          <cell r="G9870">
            <v>275</v>
          </cell>
          <cell r="H9870">
            <v>0</v>
          </cell>
        </row>
        <row r="9871">
          <cell r="D9871" t="str">
            <v>Furnitures</v>
          </cell>
          <cell r="F9871">
            <v>0</v>
          </cell>
          <cell r="G9871">
            <v>275</v>
          </cell>
          <cell r="H9871">
            <v>0</v>
          </cell>
        </row>
        <row r="9872">
          <cell r="D9872" t="str">
            <v>Furnitures</v>
          </cell>
          <cell r="F9872">
            <v>0</v>
          </cell>
          <cell r="G9872">
            <v>275</v>
          </cell>
          <cell r="H9872">
            <v>0</v>
          </cell>
        </row>
        <row r="9873">
          <cell r="D9873" t="str">
            <v>Furnitures</v>
          </cell>
          <cell r="F9873">
            <v>0</v>
          </cell>
          <cell r="G9873">
            <v>275</v>
          </cell>
          <cell r="H9873">
            <v>0</v>
          </cell>
        </row>
        <row r="9874">
          <cell r="D9874" t="str">
            <v>Furnitures</v>
          </cell>
          <cell r="F9874">
            <v>0</v>
          </cell>
          <cell r="G9874">
            <v>275</v>
          </cell>
          <cell r="H9874">
            <v>0</v>
          </cell>
        </row>
        <row r="9875">
          <cell r="D9875" t="str">
            <v>Furnitures</v>
          </cell>
          <cell r="F9875">
            <v>0</v>
          </cell>
          <cell r="G9875">
            <v>275</v>
          </cell>
          <cell r="H9875">
            <v>0</v>
          </cell>
        </row>
        <row r="9876">
          <cell r="D9876" t="str">
            <v>Furnitures</v>
          </cell>
          <cell r="F9876">
            <v>0</v>
          </cell>
          <cell r="G9876">
            <v>275</v>
          </cell>
          <cell r="H9876">
            <v>0</v>
          </cell>
        </row>
        <row r="9877">
          <cell r="D9877" t="str">
            <v>Furnitures</v>
          </cell>
          <cell r="F9877">
            <v>0</v>
          </cell>
          <cell r="G9877">
            <v>275</v>
          </cell>
          <cell r="H9877">
            <v>0</v>
          </cell>
        </row>
        <row r="9878">
          <cell r="D9878" t="str">
            <v>Furnitures</v>
          </cell>
          <cell r="F9878">
            <v>0</v>
          </cell>
          <cell r="G9878">
            <v>275</v>
          </cell>
          <cell r="H9878">
            <v>0</v>
          </cell>
        </row>
        <row r="9879">
          <cell r="D9879" t="str">
            <v>Furnitures</v>
          </cell>
          <cell r="F9879">
            <v>0</v>
          </cell>
          <cell r="G9879">
            <v>275</v>
          </cell>
          <cell r="H9879">
            <v>0</v>
          </cell>
        </row>
        <row r="9880">
          <cell r="D9880" t="str">
            <v>Furnitures</v>
          </cell>
          <cell r="F9880">
            <v>0</v>
          </cell>
          <cell r="G9880">
            <v>275</v>
          </cell>
          <cell r="H9880">
            <v>0</v>
          </cell>
        </row>
        <row r="9881">
          <cell r="D9881" t="str">
            <v>Furnitures</v>
          </cell>
          <cell r="F9881">
            <v>0</v>
          </cell>
          <cell r="G9881">
            <v>275</v>
          </cell>
          <cell r="H9881">
            <v>0</v>
          </cell>
        </row>
        <row r="9882">
          <cell r="D9882" t="str">
            <v>Furnitures</v>
          </cell>
          <cell r="F9882">
            <v>0</v>
          </cell>
          <cell r="G9882">
            <v>275</v>
          </cell>
          <cell r="H9882">
            <v>0</v>
          </cell>
        </row>
        <row r="9883">
          <cell r="D9883" t="str">
            <v>Furnitures</v>
          </cell>
          <cell r="F9883">
            <v>0</v>
          </cell>
          <cell r="G9883">
            <v>275</v>
          </cell>
          <cell r="H9883">
            <v>0</v>
          </cell>
        </row>
        <row r="9884">
          <cell r="D9884" t="str">
            <v>Furnitures</v>
          </cell>
          <cell r="F9884">
            <v>0</v>
          </cell>
          <cell r="G9884">
            <v>275</v>
          </cell>
          <cell r="H9884">
            <v>0</v>
          </cell>
        </row>
        <row r="9885">
          <cell r="D9885" t="str">
            <v>Furnitures</v>
          </cell>
          <cell r="F9885">
            <v>0</v>
          </cell>
          <cell r="G9885">
            <v>275</v>
          </cell>
          <cell r="H9885">
            <v>0</v>
          </cell>
        </row>
        <row r="9886">
          <cell r="D9886" t="str">
            <v>Furnitures</v>
          </cell>
          <cell r="F9886">
            <v>0</v>
          </cell>
          <cell r="G9886">
            <v>275</v>
          </cell>
          <cell r="H9886">
            <v>0</v>
          </cell>
        </row>
        <row r="9887">
          <cell r="D9887" t="str">
            <v>Furnitures</v>
          </cell>
          <cell r="F9887">
            <v>0</v>
          </cell>
          <cell r="G9887">
            <v>275</v>
          </cell>
          <cell r="H9887">
            <v>0</v>
          </cell>
        </row>
        <row r="9888">
          <cell r="D9888" t="str">
            <v>Furnitures</v>
          </cell>
          <cell r="F9888">
            <v>0</v>
          </cell>
          <cell r="G9888">
            <v>275</v>
          </cell>
          <cell r="H9888">
            <v>0</v>
          </cell>
        </row>
        <row r="9889">
          <cell r="D9889" t="str">
            <v>Furnitures</v>
          </cell>
          <cell r="F9889">
            <v>0</v>
          </cell>
          <cell r="G9889">
            <v>275</v>
          </cell>
          <cell r="H9889">
            <v>0</v>
          </cell>
        </row>
        <row r="9890">
          <cell r="D9890" t="str">
            <v>Furnitures</v>
          </cell>
          <cell r="F9890">
            <v>0</v>
          </cell>
          <cell r="G9890">
            <v>275</v>
          </cell>
          <cell r="H9890">
            <v>0</v>
          </cell>
        </row>
        <row r="9891">
          <cell r="D9891" t="str">
            <v>Furnitures</v>
          </cell>
          <cell r="F9891">
            <v>0</v>
          </cell>
          <cell r="G9891">
            <v>275</v>
          </cell>
          <cell r="H9891">
            <v>0</v>
          </cell>
        </row>
        <row r="9892">
          <cell r="D9892" t="str">
            <v>Furnitures</v>
          </cell>
          <cell r="F9892">
            <v>0</v>
          </cell>
          <cell r="G9892">
            <v>275</v>
          </cell>
          <cell r="H9892">
            <v>0</v>
          </cell>
        </row>
        <row r="9893">
          <cell r="D9893" t="str">
            <v>Furnitures</v>
          </cell>
          <cell r="F9893">
            <v>0</v>
          </cell>
          <cell r="G9893">
            <v>275</v>
          </cell>
          <cell r="H9893">
            <v>0</v>
          </cell>
        </row>
        <row r="9894">
          <cell r="D9894" t="str">
            <v>Furnitures</v>
          </cell>
          <cell r="F9894">
            <v>0</v>
          </cell>
          <cell r="G9894">
            <v>275</v>
          </cell>
          <cell r="H9894">
            <v>0</v>
          </cell>
        </row>
        <row r="9895">
          <cell r="D9895" t="str">
            <v>Furnitures</v>
          </cell>
          <cell r="F9895">
            <v>0</v>
          </cell>
          <cell r="G9895">
            <v>275</v>
          </cell>
          <cell r="H9895">
            <v>0</v>
          </cell>
        </row>
        <row r="9896">
          <cell r="D9896" t="str">
            <v>Furnitures</v>
          </cell>
          <cell r="F9896">
            <v>0</v>
          </cell>
          <cell r="G9896">
            <v>275</v>
          </cell>
          <cell r="H9896">
            <v>0</v>
          </cell>
        </row>
        <row r="9897">
          <cell r="D9897" t="str">
            <v>Furnitures</v>
          </cell>
          <cell r="F9897">
            <v>0</v>
          </cell>
          <cell r="G9897">
            <v>275</v>
          </cell>
          <cell r="H9897">
            <v>0</v>
          </cell>
        </row>
        <row r="9898">
          <cell r="D9898" t="str">
            <v>Furnitures</v>
          </cell>
          <cell r="F9898">
            <v>0</v>
          </cell>
          <cell r="G9898">
            <v>275</v>
          </cell>
          <cell r="H9898">
            <v>0</v>
          </cell>
        </row>
        <row r="9899">
          <cell r="D9899" t="str">
            <v>Furnitures</v>
          </cell>
          <cell r="F9899">
            <v>0</v>
          </cell>
          <cell r="G9899">
            <v>275</v>
          </cell>
          <cell r="H9899">
            <v>0</v>
          </cell>
        </row>
        <row r="9900">
          <cell r="D9900" t="str">
            <v>Furnitures</v>
          </cell>
          <cell r="F9900">
            <v>0</v>
          </cell>
          <cell r="G9900">
            <v>275</v>
          </cell>
          <cell r="H9900">
            <v>0</v>
          </cell>
        </row>
        <row r="9901">
          <cell r="D9901" t="str">
            <v>Furnitures</v>
          </cell>
          <cell r="F9901">
            <v>0</v>
          </cell>
          <cell r="G9901">
            <v>275</v>
          </cell>
          <cell r="H9901">
            <v>0</v>
          </cell>
        </row>
        <row r="9902">
          <cell r="D9902" t="str">
            <v>Furnitures</v>
          </cell>
          <cell r="F9902">
            <v>0</v>
          </cell>
          <cell r="G9902">
            <v>275</v>
          </cell>
          <cell r="H9902">
            <v>0</v>
          </cell>
        </row>
        <row r="9903">
          <cell r="D9903" t="str">
            <v>Furnitures</v>
          </cell>
          <cell r="F9903">
            <v>0</v>
          </cell>
          <cell r="G9903">
            <v>275</v>
          </cell>
          <cell r="H9903">
            <v>0</v>
          </cell>
        </row>
        <row r="9904">
          <cell r="D9904" t="str">
            <v>Furnitures</v>
          </cell>
          <cell r="F9904">
            <v>0</v>
          </cell>
          <cell r="G9904">
            <v>275</v>
          </cell>
          <cell r="H9904">
            <v>0</v>
          </cell>
        </row>
        <row r="9905">
          <cell r="D9905" t="str">
            <v>Furnitures</v>
          </cell>
          <cell r="F9905">
            <v>0</v>
          </cell>
          <cell r="G9905">
            <v>275</v>
          </cell>
          <cell r="H9905">
            <v>0</v>
          </cell>
        </row>
        <row r="9906">
          <cell r="D9906" t="str">
            <v>Furnitures</v>
          </cell>
          <cell r="F9906">
            <v>0</v>
          </cell>
          <cell r="G9906">
            <v>275</v>
          </cell>
          <cell r="H9906">
            <v>0</v>
          </cell>
        </row>
        <row r="9907">
          <cell r="D9907" t="str">
            <v>Furnitures</v>
          </cell>
          <cell r="F9907">
            <v>0</v>
          </cell>
          <cell r="G9907">
            <v>275</v>
          </cell>
          <cell r="H9907">
            <v>0</v>
          </cell>
        </row>
        <row r="9908">
          <cell r="D9908" t="str">
            <v>Furnitures</v>
          </cell>
          <cell r="F9908">
            <v>0</v>
          </cell>
          <cell r="G9908">
            <v>275</v>
          </cell>
          <cell r="H9908">
            <v>0</v>
          </cell>
        </row>
        <row r="9909">
          <cell r="D9909" t="str">
            <v>Furnitures</v>
          </cell>
          <cell r="F9909">
            <v>0</v>
          </cell>
          <cell r="G9909">
            <v>275</v>
          </cell>
          <cell r="H9909">
            <v>0</v>
          </cell>
        </row>
        <row r="9910">
          <cell r="D9910" t="str">
            <v>Furnitures</v>
          </cell>
          <cell r="F9910">
            <v>0</v>
          </cell>
          <cell r="G9910">
            <v>275</v>
          </cell>
          <cell r="H9910">
            <v>0</v>
          </cell>
        </row>
        <row r="9911">
          <cell r="D9911" t="str">
            <v>Furnitures</v>
          </cell>
          <cell r="F9911">
            <v>0</v>
          </cell>
          <cell r="G9911">
            <v>275</v>
          </cell>
          <cell r="H9911">
            <v>0</v>
          </cell>
        </row>
        <row r="9912">
          <cell r="D9912" t="str">
            <v>Furnitures</v>
          </cell>
          <cell r="F9912">
            <v>0</v>
          </cell>
          <cell r="G9912">
            <v>275</v>
          </cell>
          <cell r="H9912">
            <v>0</v>
          </cell>
        </row>
        <row r="9913">
          <cell r="D9913" t="str">
            <v>Furnitures</v>
          </cell>
          <cell r="F9913">
            <v>0</v>
          </cell>
          <cell r="G9913">
            <v>275</v>
          </cell>
          <cell r="H9913">
            <v>0</v>
          </cell>
        </row>
        <row r="9914">
          <cell r="D9914" t="str">
            <v>Furnitures</v>
          </cell>
          <cell r="F9914">
            <v>0</v>
          </cell>
          <cell r="G9914">
            <v>275</v>
          </cell>
          <cell r="H9914">
            <v>0</v>
          </cell>
        </row>
        <row r="9915">
          <cell r="D9915" t="str">
            <v>Furnitures</v>
          </cell>
          <cell r="F9915">
            <v>0</v>
          </cell>
          <cell r="G9915">
            <v>275</v>
          </cell>
          <cell r="H9915">
            <v>0</v>
          </cell>
        </row>
        <row r="9916">
          <cell r="D9916" t="str">
            <v>Furnitures</v>
          </cell>
          <cell r="F9916">
            <v>0</v>
          </cell>
          <cell r="G9916">
            <v>275</v>
          </cell>
          <cell r="H9916">
            <v>0</v>
          </cell>
        </row>
        <row r="9917">
          <cell r="D9917" t="str">
            <v>Furnitures</v>
          </cell>
          <cell r="F9917">
            <v>0</v>
          </cell>
          <cell r="G9917">
            <v>275</v>
          </cell>
          <cell r="H9917">
            <v>0</v>
          </cell>
        </row>
        <row r="9918">
          <cell r="D9918" t="str">
            <v>Furnitures</v>
          </cell>
          <cell r="F9918">
            <v>0</v>
          </cell>
          <cell r="G9918">
            <v>275</v>
          </cell>
          <cell r="H9918">
            <v>0</v>
          </cell>
        </row>
        <row r="9919">
          <cell r="D9919" t="str">
            <v>Furnitures</v>
          </cell>
          <cell r="F9919">
            <v>0</v>
          </cell>
          <cell r="G9919">
            <v>275</v>
          </cell>
          <cell r="H9919">
            <v>0</v>
          </cell>
        </row>
        <row r="9920">
          <cell r="D9920" t="str">
            <v>Furnitures</v>
          </cell>
          <cell r="F9920">
            <v>0</v>
          </cell>
          <cell r="G9920">
            <v>275</v>
          </cell>
          <cell r="H9920">
            <v>0</v>
          </cell>
        </row>
        <row r="9921">
          <cell r="D9921" t="str">
            <v>Furnitures</v>
          </cell>
          <cell r="F9921">
            <v>0</v>
          </cell>
          <cell r="G9921">
            <v>275</v>
          </cell>
          <cell r="H9921">
            <v>0</v>
          </cell>
        </row>
        <row r="9922">
          <cell r="D9922" t="str">
            <v>Furnitures</v>
          </cell>
          <cell r="F9922">
            <v>0</v>
          </cell>
          <cell r="G9922">
            <v>275</v>
          </cell>
          <cell r="H9922">
            <v>0</v>
          </cell>
        </row>
        <row r="9923">
          <cell r="D9923" t="str">
            <v>Furnitures</v>
          </cell>
          <cell r="F9923">
            <v>0</v>
          </cell>
          <cell r="G9923">
            <v>275</v>
          </cell>
          <cell r="H9923">
            <v>0</v>
          </cell>
        </row>
        <row r="9924">
          <cell r="D9924" t="str">
            <v>Furnitures</v>
          </cell>
          <cell r="F9924">
            <v>0</v>
          </cell>
          <cell r="G9924">
            <v>275</v>
          </cell>
          <cell r="H9924">
            <v>0</v>
          </cell>
        </row>
        <row r="9925">
          <cell r="D9925" t="str">
            <v>Furnitures</v>
          </cell>
          <cell r="F9925">
            <v>0</v>
          </cell>
          <cell r="G9925">
            <v>275</v>
          </cell>
          <cell r="H9925">
            <v>0</v>
          </cell>
        </row>
        <row r="9926">
          <cell r="D9926" t="str">
            <v>Furnitures</v>
          </cell>
          <cell r="F9926">
            <v>0</v>
          </cell>
          <cell r="G9926">
            <v>275</v>
          </cell>
          <cell r="H9926">
            <v>0</v>
          </cell>
        </row>
        <row r="9927">
          <cell r="D9927" t="str">
            <v>Furnitures</v>
          </cell>
          <cell r="F9927">
            <v>0</v>
          </cell>
          <cell r="G9927">
            <v>275</v>
          </cell>
          <cell r="H9927">
            <v>0</v>
          </cell>
        </row>
        <row r="9928">
          <cell r="D9928" t="str">
            <v>Furnitures</v>
          </cell>
          <cell r="F9928">
            <v>0</v>
          </cell>
          <cell r="G9928">
            <v>275</v>
          </cell>
          <cell r="H9928">
            <v>0</v>
          </cell>
        </row>
        <row r="9929">
          <cell r="D9929" t="str">
            <v>Furnitures</v>
          </cell>
          <cell r="F9929">
            <v>0</v>
          </cell>
          <cell r="G9929">
            <v>275</v>
          </cell>
          <cell r="H9929">
            <v>0</v>
          </cell>
        </row>
        <row r="9930">
          <cell r="D9930" t="str">
            <v>Furnitures</v>
          </cell>
          <cell r="F9930">
            <v>0</v>
          </cell>
          <cell r="G9930">
            <v>275</v>
          </cell>
          <cell r="H9930">
            <v>0</v>
          </cell>
        </row>
        <row r="9931">
          <cell r="D9931" t="str">
            <v>Furnitures</v>
          </cell>
          <cell r="F9931">
            <v>0</v>
          </cell>
          <cell r="G9931">
            <v>275</v>
          </cell>
          <cell r="H9931">
            <v>0</v>
          </cell>
        </row>
        <row r="9932">
          <cell r="D9932" t="str">
            <v>Furnitures</v>
          </cell>
          <cell r="F9932">
            <v>12412.28198852459</v>
          </cell>
          <cell r="G9932">
            <v>275</v>
          </cell>
          <cell r="H9932">
            <v>11802.494878935549</v>
          </cell>
        </row>
        <row r="9933">
          <cell r="D9933" t="str">
            <v>Furnitures</v>
          </cell>
          <cell r="F9933">
            <v>0</v>
          </cell>
          <cell r="G9933">
            <v>275</v>
          </cell>
          <cell r="H9933">
            <v>0</v>
          </cell>
        </row>
        <row r="9934">
          <cell r="D9934" t="str">
            <v>Furnitures</v>
          </cell>
          <cell r="F9934">
            <v>0</v>
          </cell>
          <cell r="G9934">
            <v>275</v>
          </cell>
          <cell r="H9934">
            <v>0</v>
          </cell>
        </row>
        <row r="9935">
          <cell r="D9935" t="str">
            <v>Furnitures</v>
          </cell>
          <cell r="F9935">
            <v>0</v>
          </cell>
          <cell r="G9935">
            <v>275</v>
          </cell>
          <cell r="H9935">
            <v>0</v>
          </cell>
        </row>
        <row r="9936">
          <cell r="D9936" t="str">
            <v>Furnitures</v>
          </cell>
          <cell r="F9936">
            <v>0</v>
          </cell>
          <cell r="G9936">
            <v>275</v>
          </cell>
          <cell r="H9936">
            <v>0</v>
          </cell>
        </row>
        <row r="9937">
          <cell r="D9937" t="str">
            <v>Furnitures</v>
          </cell>
          <cell r="F9937">
            <v>0</v>
          </cell>
          <cell r="G9937">
            <v>275</v>
          </cell>
          <cell r="H9937">
            <v>0</v>
          </cell>
        </row>
        <row r="9938">
          <cell r="D9938" t="str">
            <v>Furnitures</v>
          </cell>
          <cell r="F9938">
            <v>0</v>
          </cell>
          <cell r="G9938">
            <v>275</v>
          </cell>
          <cell r="H9938">
            <v>0</v>
          </cell>
        </row>
        <row r="9939">
          <cell r="D9939" t="str">
            <v>Furnitures</v>
          </cell>
          <cell r="F9939">
            <v>0</v>
          </cell>
          <cell r="G9939">
            <v>275</v>
          </cell>
          <cell r="H9939">
            <v>0</v>
          </cell>
        </row>
        <row r="9940">
          <cell r="D9940" t="str">
            <v>Furnitures</v>
          </cell>
          <cell r="F9940">
            <v>0</v>
          </cell>
          <cell r="G9940">
            <v>275</v>
          </cell>
          <cell r="H9940">
            <v>0</v>
          </cell>
        </row>
        <row r="9941">
          <cell r="D9941" t="str">
            <v>Furnitures</v>
          </cell>
          <cell r="F9941">
            <v>0</v>
          </cell>
          <cell r="G9941">
            <v>275</v>
          </cell>
          <cell r="H9941">
            <v>0</v>
          </cell>
        </row>
        <row r="9942">
          <cell r="D9942" t="str">
            <v>Furnitures</v>
          </cell>
          <cell r="F9942">
            <v>0</v>
          </cell>
          <cell r="G9942">
            <v>275</v>
          </cell>
          <cell r="H9942">
            <v>0</v>
          </cell>
        </row>
        <row r="9943">
          <cell r="D9943" t="str">
            <v>Furnitures</v>
          </cell>
          <cell r="F9943">
            <v>0</v>
          </cell>
          <cell r="G9943">
            <v>275</v>
          </cell>
          <cell r="H9943">
            <v>0</v>
          </cell>
        </row>
        <row r="9944">
          <cell r="D9944" t="str">
            <v>Furnitures</v>
          </cell>
          <cell r="F9944">
            <v>0</v>
          </cell>
          <cell r="G9944">
            <v>275</v>
          </cell>
          <cell r="H9944">
            <v>0</v>
          </cell>
        </row>
        <row r="9945">
          <cell r="D9945" t="str">
            <v>Furnitures</v>
          </cell>
          <cell r="F9945">
            <v>0</v>
          </cell>
          <cell r="G9945">
            <v>275</v>
          </cell>
          <cell r="H9945">
            <v>0</v>
          </cell>
        </row>
        <row r="9946">
          <cell r="D9946" t="str">
            <v>Furnitures</v>
          </cell>
          <cell r="F9946">
            <v>0</v>
          </cell>
          <cell r="G9946">
            <v>275</v>
          </cell>
          <cell r="H9946">
            <v>0</v>
          </cell>
        </row>
        <row r="9947">
          <cell r="D9947" t="str">
            <v>Furnitures</v>
          </cell>
          <cell r="F9947">
            <v>0</v>
          </cell>
          <cell r="G9947">
            <v>275</v>
          </cell>
          <cell r="H9947">
            <v>0</v>
          </cell>
        </row>
        <row r="9948">
          <cell r="D9948" t="str">
            <v>Furnitures</v>
          </cell>
          <cell r="F9948">
            <v>0</v>
          </cell>
          <cell r="G9948">
            <v>275</v>
          </cell>
          <cell r="H9948">
            <v>0</v>
          </cell>
        </row>
        <row r="9949">
          <cell r="D9949" t="str">
            <v>Furnitures</v>
          </cell>
          <cell r="F9949">
            <v>47211.344465163937</v>
          </cell>
          <cell r="G9949">
            <v>275</v>
          </cell>
          <cell r="H9949">
            <v>44890.30472201325</v>
          </cell>
        </row>
        <row r="9950">
          <cell r="D9950" t="str">
            <v>Furnitures</v>
          </cell>
          <cell r="F9950">
            <v>8348.7467674180334</v>
          </cell>
          <cell r="G9950">
            <v>275</v>
          </cell>
          <cell r="H9950">
            <v>7938.2993787194036</v>
          </cell>
        </row>
        <row r="9951">
          <cell r="D9951" t="str">
            <v>Furnitures</v>
          </cell>
          <cell r="F9951">
            <v>8348.7467674180334</v>
          </cell>
          <cell r="G9951">
            <v>275</v>
          </cell>
          <cell r="H9951">
            <v>7938.2993787194036</v>
          </cell>
        </row>
        <row r="9952">
          <cell r="D9952" t="str">
            <v>Furnitures</v>
          </cell>
          <cell r="F9952">
            <v>64716.42919057377</v>
          </cell>
          <cell r="G9952">
            <v>275</v>
          </cell>
          <cell r="H9952">
            <v>61534.791262491577</v>
          </cell>
        </row>
        <row r="9953">
          <cell r="D9953" t="str">
            <v>Furnitures</v>
          </cell>
          <cell r="F9953">
            <v>33772.547593442621</v>
          </cell>
          <cell r="G9953">
            <v>275</v>
          </cell>
          <cell r="H9953">
            <v>32112.492086593305</v>
          </cell>
        </row>
        <row r="9954">
          <cell r="D9954" t="str">
            <v>Furnitures</v>
          </cell>
          <cell r="F9954">
            <v>14928.636991606556</v>
          </cell>
          <cell r="G9954">
            <v>275</v>
          </cell>
          <cell r="H9954">
            <v>14195.357738592858</v>
          </cell>
        </row>
        <row r="9955">
          <cell r="D9955" t="str">
            <v>Furnitures</v>
          </cell>
          <cell r="F9955">
            <v>0</v>
          </cell>
          <cell r="G9955">
            <v>275</v>
          </cell>
          <cell r="H9955">
            <v>0</v>
          </cell>
        </row>
        <row r="9956">
          <cell r="D9956" t="str">
            <v>Furnitures</v>
          </cell>
          <cell r="F9956">
            <v>0</v>
          </cell>
          <cell r="G9956">
            <v>275</v>
          </cell>
          <cell r="H9956">
            <v>0</v>
          </cell>
        </row>
        <row r="9957">
          <cell r="D9957" t="str">
            <v>Furnitures</v>
          </cell>
          <cell r="F9957">
            <v>0</v>
          </cell>
          <cell r="G9957">
            <v>275</v>
          </cell>
          <cell r="H9957">
            <v>0</v>
          </cell>
        </row>
        <row r="9958">
          <cell r="D9958" t="str">
            <v>Furnitures</v>
          </cell>
          <cell r="F9958">
            <v>0</v>
          </cell>
          <cell r="G9958">
            <v>275</v>
          </cell>
          <cell r="H9958">
            <v>0</v>
          </cell>
        </row>
        <row r="9959">
          <cell r="D9959" t="str">
            <v>Furnitures</v>
          </cell>
          <cell r="F9959">
            <v>0</v>
          </cell>
          <cell r="G9959">
            <v>275</v>
          </cell>
          <cell r="H9959">
            <v>0</v>
          </cell>
        </row>
        <row r="9960">
          <cell r="D9960" t="str">
            <v>Furnitures</v>
          </cell>
          <cell r="F9960">
            <v>0</v>
          </cell>
          <cell r="G9960">
            <v>275</v>
          </cell>
          <cell r="H9960">
            <v>0</v>
          </cell>
        </row>
        <row r="9961">
          <cell r="D9961" t="str">
            <v>Furnitures</v>
          </cell>
          <cell r="F9961">
            <v>0</v>
          </cell>
          <cell r="G9961">
            <v>275</v>
          </cell>
          <cell r="H9961">
            <v>0</v>
          </cell>
        </row>
        <row r="9962">
          <cell r="D9962" t="str">
            <v>Furnitures</v>
          </cell>
          <cell r="F9962">
            <v>0</v>
          </cell>
          <cell r="G9962">
            <v>275</v>
          </cell>
          <cell r="H9962">
            <v>0</v>
          </cell>
        </row>
        <row r="9963">
          <cell r="D9963" t="str">
            <v>Furnitures</v>
          </cell>
          <cell r="F9963">
            <v>0</v>
          </cell>
          <cell r="G9963">
            <v>275</v>
          </cell>
          <cell r="H9963">
            <v>0</v>
          </cell>
        </row>
        <row r="9964">
          <cell r="D9964" t="str">
            <v>Furnitures</v>
          </cell>
          <cell r="F9964">
            <v>0</v>
          </cell>
          <cell r="G9964">
            <v>275</v>
          </cell>
          <cell r="H9964">
            <v>0</v>
          </cell>
        </row>
        <row r="9965">
          <cell r="D9965" t="str">
            <v>Furnitures</v>
          </cell>
          <cell r="F9965">
            <v>0</v>
          </cell>
          <cell r="G9965">
            <v>275</v>
          </cell>
          <cell r="H9965">
            <v>0</v>
          </cell>
        </row>
        <row r="9966">
          <cell r="D9966" t="str">
            <v>Furnitures</v>
          </cell>
          <cell r="F9966">
            <v>0</v>
          </cell>
          <cell r="G9966">
            <v>275</v>
          </cell>
          <cell r="H9966">
            <v>0</v>
          </cell>
        </row>
        <row r="9967">
          <cell r="D9967" t="str">
            <v>Furnitures</v>
          </cell>
          <cell r="F9967">
            <v>0</v>
          </cell>
          <cell r="G9967">
            <v>275</v>
          </cell>
          <cell r="H9967">
            <v>0</v>
          </cell>
        </row>
        <row r="9968">
          <cell r="D9968" t="str">
            <v>Furnitures</v>
          </cell>
          <cell r="F9968">
            <v>0</v>
          </cell>
          <cell r="G9968">
            <v>275</v>
          </cell>
          <cell r="H9968">
            <v>0</v>
          </cell>
        </row>
        <row r="9969">
          <cell r="D9969" t="str">
            <v>Furnitures</v>
          </cell>
          <cell r="F9969">
            <v>0</v>
          </cell>
          <cell r="G9969">
            <v>275</v>
          </cell>
          <cell r="H9969">
            <v>0</v>
          </cell>
        </row>
        <row r="9970">
          <cell r="D9970" t="str">
            <v>Furnitures</v>
          </cell>
          <cell r="F9970">
            <v>0</v>
          </cell>
          <cell r="G9970">
            <v>275</v>
          </cell>
          <cell r="H9970">
            <v>0</v>
          </cell>
        </row>
        <row r="9971">
          <cell r="D9971" t="str">
            <v>Furnitures</v>
          </cell>
          <cell r="F9971">
            <v>0</v>
          </cell>
          <cell r="G9971">
            <v>275</v>
          </cell>
          <cell r="H9971">
            <v>0</v>
          </cell>
        </row>
        <row r="9972">
          <cell r="D9972" t="str">
            <v>Furnitures</v>
          </cell>
          <cell r="F9972">
            <v>0</v>
          </cell>
          <cell r="G9972">
            <v>275</v>
          </cell>
          <cell r="H9972">
            <v>0</v>
          </cell>
        </row>
        <row r="9973">
          <cell r="D9973" t="str">
            <v>Furnitures</v>
          </cell>
          <cell r="F9973">
            <v>0</v>
          </cell>
          <cell r="G9973">
            <v>275</v>
          </cell>
          <cell r="H9973">
            <v>0</v>
          </cell>
        </row>
        <row r="9974">
          <cell r="D9974" t="str">
            <v>Furnitures</v>
          </cell>
          <cell r="F9974">
            <v>0</v>
          </cell>
          <cell r="G9974">
            <v>275</v>
          </cell>
          <cell r="H9974">
            <v>0</v>
          </cell>
        </row>
        <row r="9975">
          <cell r="D9975" t="str">
            <v>Furnitures</v>
          </cell>
          <cell r="F9975">
            <v>0</v>
          </cell>
          <cell r="G9975">
            <v>275</v>
          </cell>
          <cell r="H9975">
            <v>0</v>
          </cell>
        </row>
        <row r="9976">
          <cell r="D9976" t="str">
            <v>Furnitures</v>
          </cell>
          <cell r="F9976">
            <v>0</v>
          </cell>
          <cell r="G9976">
            <v>275</v>
          </cell>
          <cell r="H9976">
            <v>0</v>
          </cell>
        </row>
        <row r="9977">
          <cell r="D9977" t="str">
            <v>Furnitures</v>
          </cell>
          <cell r="F9977">
            <v>0</v>
          </cell>
          <cell r="G9977">
            <v>275</v>
          </cell>
          <cell r="H9977">
            <v>0</v>
          </cell>
        </row>
        <row r="9978">
          <cell r="D9978" t="str">
            <v>Furnitures</v>
          </cell>
          <cell r="F9978">
            <v>0</v>
          </cell>
          <cell r="G9978">
            <v>275</v>
          </cell>
          <cell r="H9978">
            <v>0</v>
          </cell>
        </row>
        <row r="9979">
          <cell r="D9979" t="str">
            <v>Furnitures</v>
          </cell>
          <cell r="F9979">
            <v>0</v>
          </cell>
          <cell r="G9979">
            <v>275</v>
          </cell>
          <cell r="H9979">
            <v>0</v>
          </cell>
        </row>
        <row r="9980">
          <cell r="D9980" t="str">
            <v>Furnitures</v>
          </cell>
          <cell r="F9980">
            <v>0</v>
          </cell>
          <cell r="G9980">
            <v>275</v>
          </cell>
          <cell r="H9980">
            <v>0</v>
          </cell>
        </row>
        <row r="9981">
          <cell r="D9981" t="str">
            <v>Furnitures</v>
          </cell>
          <cell r="F9981">
            <v>0</v>
          </cell>
          <cell r="G9981">
            <v>275</v>
          </cell>
          <cell r="H9981">
            <v>0</v>
          </cell>
        </row>
        <row r="9982">
          <cell r="D9982" t="str">
            <v>Furnitures</v>
          </cell>
          <cell r="F9982">
            <v>0</v>
          </cell>
          <cell r="G9982">
            <v>275</v>
          </cell>
          <cell r="H9982">
            <v>0</v>
          </cell>
        </row>
        <row r="9983">
          <cell r="D9983" t="str">
            <v>Furnitures</v>
          </cell>
          <cell r="F9983">
            <v>0</v>
          </cell>
          <cell r="G9983">
            <v>275</v>
          </cell>
          <cell r="H9983">
            <v>0</v>
          </cell>
        </row>
        <row r="9984">
          <cell r="D9984" t="str">
            <v>Furnitures</v>
          </cell>
          <cell r="F9984">
            <v>0</v>
          </cell>
          <cell r="G9984">
            <v>275</v>
          </cell>
          <cell r="H9984">
            <v>0</v>
          </cell>
        </row>
        <row r="9985">
          <cell r="D9985" t="str">
            <v>Furnitures</v>
          </cell>
          <cell r="F9985">
            <v>0</v>
          </cell>
          <cell r="G9985">
            <v>275</v>
          </cell>
          <cell r="H9985">
            <v>0</v>
          </cell>
        </row>
        <row r="9986">
          <cell r="D9986" t="str">
            <v>Furnitures</v>
          </cell>
          <cell r="F9986">
            <v>0</v>
          </cell>
          <cell r="G9986">
            <v>275</v>
          </cell>
          <cell r="H9986">
            <v>0</v>
          </cell>
        </row>
        <row r="9987">
          <cell r="D9987" t="str">
            <v>Furnitures</v>
          </cell>
          <cell r="F9987">
            <v>0</v>
          </cell>
          <cell r="G9987">
            <v>275</v>
          </cell>
          <cell r="H9987">
            <v>0</v>
          </cell>
        </row>
        <row r="9988">
          <cell r="D9988" t="str">
            <v>Furnitures</v>
          </cell>
          <cell r="F9988">
            <v>0</v>
          </cell>
          <cell r="G9988">
            <v>275</v>
          </cell>
          <cell r="H9988">
            <v>0</v>
          </cell>
        </row>
        <row r="9989">
          <cell r="D9989" t="str">
            <v>Furnitures</v>
          </cell>
          <cell r="F9989">
            <v>0</v>
          </cell>
          <cell r="G9989">
            <v>275</v>
          </cell>
          <cell r="H9989">
            <v>0</v>
          </cell>
        </row>
        <row r="9990">
          <cell r="D9990" t="str">
            <v>Furnitures</v>
          </cell>
          <cell r="F9990">
            <v>0</v>
          </cell>
          <cell r="G9990">
            <v>275</v>
          </cell>
          <cell r="H9990">
            <v>0</v>
          </cell>
        </row>
        <row r="9991">
          <cell r="D9991" t="str">
            <v>Furnitures</v>
          </cell>
          <cell r="F9991">
            <v>0</v>
          </cell>
          <cell r="G9991">
            <v>275</v>
          </cell>
          <cell r="H9991">
            <v>0</v>
          </cell>
        </row>
        <row r="9992">
          <cell r="D9992" t="str">
            <v>Furnitures</v>
          </cell>
          <cell r="F9992">
            <v>0</v>
          </cell>
          <cell r="G9992">
            <v>275</v>
          </cell>
          <cell r="H9992">
            <v>0</v>
          </cell>
        </row>
        <row r="9993">
          <cell r="D9993" t="str">
            <v>Furnitures</v>
          </cell>
          <cell r="F9993">
            <v>0</v>
          </cell>
          <cell r="G9993">
            <v>275</v>
          </cell>
          <cell r="H9993">
            <v>0</v>
          </cell>
        </row>
        <row r="9994">
          <cell r="D9994" t="str">
            <v>Furnitures</v>
          </cell>
          <cell r="F9994">
            <v>0</v>
          </cell>
          <cell r="G9994">
            <v>275</v>
          </cell>
          <cell r="H9994">
            <v>0</v>
          </cell>
        </row>
        <row r="9995">
          <cell r="D9995" t="str">
            <v>Furnitures</v>
          </cell>
          <cell r="F9995">
            <v>0</v>
          </cell>
          <cell r="G9995">
            <v>275</v>
          </cell>
          <cell r="H9995">
            <v>0</v>
          </cell>
        </row>
        <row r="9996">
          <cell r="D9996" t="str">
            <v>Furnitures</v>
          </cell>
          <cell r="F9996">
            <v>0</v>
          </cell>
          <cell r="G9996">
            <v>275</v>
          </cell>
          <cell r="H9996">
            <v>0</v>
          </cell>
        </row>
        <row r="9997">
          <cell r="D9997" t="str">
            <v>Furnitures</v>
          </cell>
          <cell r="F9997">
            <v>0</v>
          </cell>
          <cell r="G9997">
            <v>275</v>
          </cell>
          <cell r="H9997">
            <v>0</v>
          </cell>
        </row>
        <row r="9998">
          <cell r="D9998" t="str">
            <v>Furnitures</v>
          </cell>
          <cell r="F9998">
            <v>0</v>
          </cell>
          <cell r="G9998">
            <v>275</v>
          </cell>
          <cell r="H9998">
            <v>0</v>
          </cell>
        </row>
        <row r="9999">
          <cell r="D9999" t="str">
            <v>Furnitures</v>
          </cell>
          <cell r="F9999">
            <v>0</v>
          </cell>
          <cell r="G9999">
            <v>275</v>
          </cell>
          <cell r="H9999">
            <v>0</v>
          </cell>
        </row>
        <row r="10000">
          <cell r="D10000" t="str">
            <v>Furnitures</v>
          </cell>
          <cell r="F10000">
            <v>0</v>
          </cell>
          <cell r="G10000">
            <v>275</v>
          </cell>
          <cell r="H10000">
            <v>0</v>
          </cell>
        </row>
        <row r="10001">
          <cell r="D10001" t="str">
            <v>Furnitures</v>
          </cell>
          <cell r="F10001">
            <v>0</v>
          </cell>
          <cell r="G10001">
            <v>275</v>
          </cell>
          <cell r="H10001">
            <v>0</v>
          </cell>
        </row>
        <row r="10002">
          <cell r="D10002" t="str">
            <v>Furnitures</v>
          </cell>
          <cell r="F10002">
            <v>0</v>
          </cell>
          <cell r="G10002">
            <v>275</v>
          </cell>
          <cell r="H10002">
            <v>0</v>
          </cell>
        </row>
        <row r="10003">
          <cell r="D10003" t="str">
            <v>Furnitures</v>
          </cell>
          <cell r="F10003">
            <v>0</v>
          </cell>
          <cell r="G10003">
            <v>275</v>
          </cell>
          <cell r="H10003">
            <v>0</v>
          </cell>
        </row>
        <row r="10004">
          <cell r="D10004" t="str">
            <v>Furnitures</v>
          </cell>
          <cell r="F10004">
            <v>0</v>
          </cell>
          <cell r="G10004">
            <v>275</v>
          </cell>
          <cell r="H10004">
            <v>0</v>
          </cell>
        </row>
        <row r="10005">
          <cell r="D10005" t="str">
            <v>Furnitures</v>
          </cell>
          <cell r="F10005">
            <v>0</v>
          </cell>
          <cell r="G10005">
            <v>275</v>
          </cell>
          <cell r="H10005">
            <v>0</v>
          </cell>
        </row>
        <row r="10006">
          <cell r="D10006" t="str">
            <v>Furnitures</v>
          </cell>
          <cell r="F10006">
            <v>0</v>
          </cell>
          <cell r="G10006">
            <v>275</v>
          </cell>
          <cell r="H10006">
            <v>0</v>
          </cell>
        </row>
        <row r="10007">
          <cell r="D10007" t="str">
            <v>Furnitures</v>
          </cell>
          <cell r="F10007">
            <v>0</v>
          </cell>
          <cell r="G10007">
            <v>275</v>
          </cell>
          <cell r="H10007">
            <v>0</v>
          </cell>
        </row>
        <row r="10008">
          <cell r="D10008" t="str">
            <v>Furnitures</v>
          </cell>
          <cell r="F10008">
            <v>0</v>
          </cell>
          <cell r="G10008">
            <v>275</v>
          </cell>
          <cell r="H10008">
            <v>0</v>
          </cell>
        </row>
        <row r="10009">
          <cell r="D10009" t="str">
            <v>Furnitures</v>
          </cell>
          <cell r="F10009">
            <v>0</v>
          </cell>
          <cell r="G10009">
            <v>275</v>
          </cell>
          <cell r="H10009">
            <v>0</v>
          </cell>
        </row>
        <row r="10010">
          <cell r="D10010" t="str">
            <v>Furnitures</v>
          </cell>
          <cell r="F10010">
            <v>0</v>
          </cell>
          <cell r="G10010">
            <v>275</v>
          </cell>
          <cell r="H10010">
            <v>0</v>
          </cell>
        </row>
        <row r="10011">
          <cell r="D10011" t="str">
            <v>Furnitures</v>
          </cell>
          <cell r="F10011">
            <v>0</v>
          </cell>
          <cell r="G10011">
            <v>275</v>
          </cell>
          <cell r="H10011">
            <v>0</v>
          </cell>
        </row>
        <row r="10012">
          <cell r="D10012" t="str">
            <v>Furnitures</v>
          </cell>
          <cell r="F10012">
            <v>0</v>
          </cell>
          <cell r="G10012">
            <v>275</v>
          </cell>
          <cell r="H10012">
            <v>0</v>
          </cell>
        </row>
        <row r="10013">
          <cell r="D10013" t="str">
            <v>Furnitures</v>
          </cell>
          <cell r="F10013">
            <v>0</v>
          </cell>
          <cell r="G10013">
            <v>275</v>
          </cell>
          <cell r="H10013">
            <v>0</v>
          </cell>
        </row>
        <row r="10014">
          <cell r="D10014" t="str">
            <v>Furnitures</v>
          </cell>
          <cell r="F10014">
            <v>0</v>
          </cell>
          <cell r="G10014">
            <v>275</v>
          </cell>
          <cell r="H10014">
            <v>0</v>
          </cell>
        </row>
        <row r="10015">
          <cell r="D10015" t="str">
            <v>Furnitures</v>
          </cell>
          <cell r="F10015">
            <v>0</v>
          </cell>
          <cell r="G10015">
            <v>275</v>
          </cell>
          <cell r="H10015">
            <v>0</v>
          </cell>
        </row>
        <row r="10016">
          <cell r="D10016" t="str">
            <v>Furnitures</v>
          </cell>
          <cell r="F10016">
            <v>0</v>
          </cell>
          <cell r="G10016">
            <v>275</v>
          </cell>
          <cell r="H10016">
            <v>0</v>
          </cell>
        </row>
        <row r="10017">
          <cell r="D10017" t="str">
            <v>Furnitures</v>
          </cell>
          <cell r="F10017">
            <v>0</v>
          </cell>
          <cell r="G10017">
            <v>275</v>
          </cell>
          <cell r="H10017">
            <v>0</v>
          </cell>
        </row>
        <row r="10018">
          <cell r="D10018" t="str">
            <v>Furnitures</v>
          </cell>
          <cell r="F10018">
            <v>0</v>
          </cell>
          <cell r="G10018">
            <v>275</v>
          </cell>
          <cell r="H10018">
            <v>0</v>
          </cell>
        </row>
        <row r="10019">
          <cell r="D10019" t="str">
            <v>Furnitures</v>
          </cell>
          <cell r="F10019">
            <v>0</v>
          </cell>
          <cell r="G10019">
            <v>275</v>
          </cell>
          <cell r="H10019">
            <v>0</v>
          </cell>
        </row>
        <row r="10020">
          <cell r="D10020" t="str">
            <v>Furnitures</v>
          </cell>
          <cell r="F10020">
            <v>0</v>
          </cell>
          <cell r="G10020">
            <v>275</v>
          </cell>
          <cell r="H10020">
            <v>0</v>
          </cell>
        </row>
        <row r="10021">
          <cell r="D10021" t="str">
            <v>Furnitures</v>
          </cell>
          <cell r="F10021">
            <v>0</v>
          </cell>
          <cell r="G10021">
            <v>275</v>
          </cell>
          <cell r="H10021">
            <v>0</v>
          </cell>
        </row>
        <row r="10022">
          <cell r="D10022" t="str">
            <v>Furnitures</v>
          </cell>
          <cell r="F10022">
            <v>0</v>
          </cell>
          <cell r="G10022">
            <v>275</v>
          </cell>
          <cell r="H10022">
            <v>0</v>
          </cell>
        </row>
        <row r="10023">
          <cell r="D10023" t="str">
            <v>Furnitures</v>
          </cell>
          <cell r="F10023">
            <v>0</v>
          </cell>
          <cell r="G10023">
            <v>275</v>
          </cell>
          <cell r="H10023">
            <v>0</v>
          </cell>
        </row>
        <row r="10024">
          <cell r="D10024" t="str">
            <v>Furnitures</v>
          </cell>
          <cell r="F10024">
            <v>0</v>
          </cell>
          <cell r="G10024">
            <v>275</v>
          </cell>
          <cell r="H10024">
            <v>0</v>
          </cell>
        </row>
        <row r="10025">
          <cell r="D10025" t="str">
            <v>Furnitures</v>
          </cell>
          <cell r="F10025">
            <v>0</v>
          </cell>
          <cell r="G10025">
            <v>275</v>
          </cell>
          <cell r="H10025">
            <v>0</v>
          </cell>
        </row>
        <row r="10026">
          <cell r="D10026" t="str">
            <v>Furnitures</v>
          </cell>
          <cell r="F10026">
            <v>0</v>
          </cell>
          <cell r="G10026">
            <v>275</v>
          </cell>
          <cell r="H10026">
            <v>0</v>
          </cell>
        </row>
        <row r="10027">
          <cell r="D10027" t="str">
            <v>Furnitures</v>
          </cell>
          <cell r="F10027">
            <v>0</v>
          </cell>
          <cell r="G10027">
            <v>275</v>
          </cell>
          <cell r="H10027">
            <v>0</v>
          </cell>
        </row>
        <row r="10028">
          <cell r="D10028" t="str">
            <v>Furnitures</v>
          </cell>
          <cell r="F10028">
            <v>0</v>
          </cell>
          <cell r="G10028">
            <v>275</v>
          </cell>
          <cell r="H10028">
            <v>0</v>
          </cell>
        </row>
        <row r="10029">
          <cell r="D10029" t="str">
            <v>Furnitures</v>
          </cell>
          <cell r="F10029">
            <v>0</v>
          </cell>
          <cell r="G10029">
            <v>275</v>
          </cell>
          <cell r="H10029">
            <v>0</v>
          </cell>
        </row>
        <row r="10030">
          <cell r="D10030" t="str">
            <v>Furnitures</v>
          </cell>
          <cell r="F10030">
            <v>0</v>
          </cell>
          <cell r="G10030">
            <v>275</v>
          </cell>
          <cell r="H10030">
            <v>0</v>
          </cell>
        </row>
        <row r="10031">
          <cell r="D10031" t="str">
            <v>Furnitures</v>
          </cell>
          <cell r="F10031">
            <v>0</v>
          </cell>
          <cell r="G10031">
            <v>275</v>
          </cell>
          <cell r="H10031">
            <v>0</v>
          </cell>
        </row>
        <row r="10032">
          <cell r="D10032" t="str">
            <v>Furnitures</v>
          </cell>
          <cell r="F10032">
            <v>0</v>
          </cell>
          <cell r="G10032">
            <v>275</v>
          </cell>
          <cell r="H10032">
            <v>0</v>
          </cell>
        </row>
        <row r="10033">
          <cell r="D10033" t="str">
            <v>Furnitures</v>
          </cell>
          <cell r="F10033">
            <v>0</v>
          </cell>
          <cell r="G10033">
            <v>275</v>
          </cell>
          <cell r="H10033">
            <v>0</v>
          </cell>
        </row>
        <row r="10034">
          <cell r="D10034" t="str">
            <v>Furnitures</v>
          </cell>
          <cell r="F10034">
            <v>0</v>
          </cell>
          <cell r="G10034">
            <v>275</v>
          </cell>
          <cell r="H10034">
            <v>0</v>
          </cell>
        </row>
        <row r="10035">
          <cell r="D10035" t="str">
            <v>Furnitures</v>
          </cell>
          <cell r="F10035">
            <v>0</v>
          </cell>
          <cell r="G10035">
            <v>275</v>
          </cell>
          <cell r="H10035">
            <v>0</v>
          </cell>
        </row>
        <row r="10036">
          <cell r="D10036" t="str">
            <v>Furnitures</v>
          </cell>
          <cell r="F10036">
            <v>0</v>
          </cell>
          <cell r="G10036">
            <v>275</v>
          </cell>
          <cell r="H10036">
            <v>0</v>
          </cell>
        </row>
        <row r="10037">
          <cell r="D10037" t="str">
            <v>Furnitures</v>
          </cell>
          <cell r="F10037">
            <v>0</v>
          </cell>
          <cell r="G10037">
            <v>275</v>
          </cell>
          <cell r="H10037">
            <v>0</v>
          </cell>
        </row>
        <row r="10038">
          <cell r="D10038" t="str">
            <v>Furnitures</v>
          </cell>
          <cell r="F10038">
            <v>0</v>
          </cell>
          <cell r="G10038">
            <v>275</v>
          </cell>
          <cell r="H10038">
            <v>0</v>
          </cell>
        </row>
        <row r="10039">
          <cell r="D10039" t="str">
            <v>Furnitures</v>
          </cell>
          <cell r="F10039">
            <v>0</v>
          </cell>
          <cell r="G10039">
            <v>275</v>
          </cell>
          <cell r="H10039">
            <v>0</v>
          </cell>
        </row>
        <row r="10040">
          <cell r="D10040" t="str">
            <v>Furnitures</v>
          </cell>
          <cell r="F10040">
            <v>0</v>
          </cell>
          <cell r="G10040">
            <v>275</v>
          </cell>
          <cell r="H10040">
            <v>0</v>
          </cell>
        </row>
        <row r="10041">
          <cell r="D10041" t="str">
            <v>Furnitures</v>
          </cell>
          <cell r="F10041">
            <v>0</v>
          </cell>
          <cell r="G10041">
            <v>275</v>
          </cell>
          <cell r="H10041">
            <v>0</v>
          </cell>
        </row>
        <row r="10042">
          <cell r="D10042" t="str">
            <v>Furnitures</v>
          </cell>
          <cell r="F10042">
            <v>0</v>
          </cell>
          <cell r="G10042">
            <v>275</v>
          </cell>
          <cell r="H10042">
            <v>0</v>
          </cell>
        </row>
        <row r="10043">
          <cell r="D10043" t="str">
            <v>Furnitures</v>
          </cell>
          <cell r="F10043">
            <v>0</v>
          </cell>
          <cell r="G10043">
            <v>275</v>
          </cell>
          <cell r="H10043">
            <v>0</v>
          </cell>
        </row>
        <row r="10044">
          <cell r="D10044" t="str">
            <v>Furnitures</v>
          </cell>
          <cell r="F10044">
            <v>0</v>
          </cell>
          <cell r="G10044">
            <v>275</v>
          </cell>
          <cell r="H10044">
            <v>0</v>
          </cell>
        </row>
        <row r="10045">
          <cell r="D10045" t="str">
            <v>Furnitures</v>
          </cell>
          <cell r="F10045">
            <v>0</v>
          </cell>
          <cell r="G10045">
            <v>275</v>
          </cell>
          <cell r="H10045">
            <v>0</v>
          </cell>
        </row>
        <row r="10046">
          <cell r="D10046" t="str">
            <v>Furnitures</v>
          </cell>
          <cell r="F10046">
            <v>0</v>
          </cell>
          <cell r="G10046">
            <v>275</v>
          </cell>
          <cell r="H10046">
            <v>0</v>
          </cell>
        </row>
        <row r="10047">
          <cell r="D10047" t="str">
            <v>Furnitures</v>
          </cell>
          <cell r="F10047">
            <v>0</v>
          </cell>
          <cell r="G10047">
            <v>275</v>
          </cell>
          <cell r="H10047">
            <v>0</v>
          </cell>
        </row>
        <row r="10048">
          <cell r="D10048" t="str">
            <v>Furnitures</v>
          </cell>
          <cell r="F10048">
            <v>0</v>
          </cell>
          <cell r="G10048">
            <v>275</v>
          </cell>
          <cell r="H10048">
            <v>0</v>
          </cell>
        </row>
        <row r="10049">
          <cell r="D10049" t="str">
            <v>Furnitures</v>
          </cell>
          <cell r="F10049">
            <v>0</v>
          </cell>
          <cell r="G10049">
            <v>275</v>
          </cell>
          <cell r="H10049">
            <v>0</v>
          </cell>
        </row>
        <row r="10050">
          <cell r="D10050" t="str">
            <v>Furnitures</v>
          </cell>
          <cell r="F10050">
            <v>0</v>
          </cell>
          <cell r="G10050">
            <v>275</v>
          </cell>
          <cell r="H10050">
            <v>0</v>
          </cell>
        </row>
        <row r="10051">
          <cell r="D10051" t="str">
            <v>Furnitures</v>
          </cell>
          <cell r="F10051">
            <v>0</v>
          </cell>
          <cell r="G10051">
            <v>275</v>
          </cell>
          <cell r="H10051">
            <v>0</v>
          </cell>
        </row>
        <row r="10052">
          <cell r="D10052" t="str">
            <v>Furnitures</v>
          </cell>
          <cell r="F10052">
            <v>0</v>
          </cell>
          <cell r="G10052">
            <v>275</v>
          </cell>
          <cell r="H10052">
            <v>0</v>
          </cell>
        </row>
        <row r="10053">
          <cell r="D10053" t="str">
            <v>Furnitures</v>
          </cell>
          <cell r="F10053">
            <v>0</v>
          </cell>
          <cell r="G10053">
            <v>275</v>
          </cell>
          <cell r="H10053">
            <v>0</v>
          </cell>
        </row>
        <row r="10054">
          <cell r="D10054" t="str">
            <v>Furnitures</v>
          </cell>
          <cell r="F10054">
            <v>0</v>
          </cell>
          <cell r="G10054">
            <v>275</v>
          </cell>
          <cell r="H10054">
            <v>0</v>
          </cell>
        </row>
        <row r="10055">
          <cell r="D10055" t="str">
            <v>Furnitures</v>
          </cell>
          <cell r="F10055">
            <v>0</v>
          </cell>
          <cell r="G10055">
            <v>275</v>
          </cell>
          <cell r="H10055">
            <v>0</v>
          </cell>
        </row>
        <row r="10056">
          <cell r="D10056" t="str">
            <v>Furnitures</v>
          </cell>
          <cell r="F10056">
            <v>0</v>
          </cell>
          <cell r="G10056">
            <v>275</v>
          </cell>
          <cell r="H10056">
            <v>0</v>
          </cell>
        </row>
        <row r="10057">
          <cell r="D10057" t="str">
            <v>Furnitures</v>
          </cell>
          <cell r="F10057">
            <v>0</v>
          </cell>
          <cell r="G10057">
            <v>275</v>
          </cell>
          <cell r="H10057">
            <v>0</v>
          </cell>
        </row>
        <row r="10058">
          <cell r="D10058" t="str">
            <v>Furnitures</v>
          </cell>
          <cell r="F10058">
            <v>0</v>
          </cell>
          <cell r="G10058">
            <v>275</v>
          </cell>
          <cell r="H10058">
            <v>0</v>
          </cell>
        </row>
        <row r="10059">
          <cell r="D10059" t="str">
            <v>Furnitures</v>
          </cell>
          <cell r="F10059">
            <v>0</v>
          </cell>
          <cell r="G10059">
            <v>275</v>
          </cell>
          <cell r="H10059">
            <v>0</v>
          </cell>
        </row>
        <row r="10060">
          <cell r="D10060" t="str">
            <v>Furnitures</v>
          </cell>
          <cell r="F10060">
            <v>0</v>
          </cell>
          <cell r="G10060">
            <v>275</v>
          </cell>
          <cell r="H10060">
            <v>0</v>
          </cell>
        </row>
        <row r="10061">
          <cell r="D10061" t="str">
            <v>Furnitures</v>
          </cell>
          <cell r="F10061">
            <v>0</v>
          </cell>
          <cell r="G10061">
            <v>275</v>
          </cell>
          <cell r="H10061">
            <v>0</v>
          </cell>
        </row>
        <row r="10062">
          <cell r="D10062" t="str">
            <v>Furnitures</v>
          </cell>
          <cell r="F10062">
            <v>0</v>
          </cell>
          <cell r="G10062">
            <v>275</v>
          </cell>
          <cell r="H10062">
            <v>0</v>
          </cell>
        </row>
        <row r="10063">
          <cell r="D10063" t="str">
            <v>Furnitures</v>
          </cell>
          <cell r="F10063">
            <v>0</v>
          </cell>
          <cell r="G10063">
            <v>275</v>
          </cell>
          <cell r="H10063">
            <v>0</v>
          </cell>
        </row>
        <row r="10064">
          <cell r="D10064" t="str">
            <v>Furnitures</v>
          </cell>
          <cell r="F10064">
            <v>0</v>
          </cell>
          <cell r="G10064">
            <v>275</v>
          </cell>
          <cell r="H10064">
            <v>0</v>
          </cell>
        </row>
        <row r="10065">
          <cell r="D10065" t="str">
            <v>Furnitures</v>
          </cell>
          <cell r="F10065">
            <v>0</v>
          </cell>
          <cell r="G10065">
            <v>275</v>
          </cell>
          <cell r="H10065">
            <v>0</v>
          </cell>
        </row>
        <row r="10066">
          <cell r="D10066" t="str">
            <v>Furnitures</v>
          </cell>
          <cell r="F10066">
            <v>0</v>
          </cell>
          <cell r="G10066">
            <v>275</v>
          </cell>
          <cell r="H10066">
            <v>0</v>
          </cell>
        </row>
        <row r="10067">
          <cell r="D10067" t="str">
            <v>Furnitures</v>
          </cell>
          <cell r="F10067">
            <v>0</v>
          </cell>
          <cell r="G10067">
            <v>275</v>
          </cell>
          <cell r="H10067">
            <v>0</v>
          </cell>
        </row>
        <row r="10068">
          <cell r="D10068" t="str">
            <v>Furnitures</v>
          </cell>
          <cell r="F10068">
            <v>0</v>
          </cell>
          <cell r="G10068">
            <v>275</v>
          </cell>
          <cell r="H10068">
            <v>0</v>
          </cell>
        </row>
        <row r="10069">
          <cell r="D10069" t="str">
            <v>Furnitures</v>
          </cell>
          <cell r="F10069">
            <v>0</v>
          </cell>
          <cell r="G10069">
            <v>275</v>
          </cell>
          <cell r="H10069">
            <v>0</v>
          </cell>
        </row>
        <row r="10070">
          <cell r="D10070" t="str">
            <v>Furnitures</v>
          </cell>
          <cell r="F10070">
            <v>0</v>
          </cell>
          <cell r="G10070">
            <v>275</v>
          </cell>
          <cell r="H10070">
            <v>0</v>
          </cell>
        </row>
        <row r="10071">
          <cell r="D10071" t="str">
            <v>Furnitures</v>
          </cell>
          <cell r="F10071">
            <v>0</v>
          </cell>
          <cell r="G10071">
            <v>275</v>
          </cell>
          <cell r="H10071">
            <v>0</v>
          </cell>
        </row>
        <row r="10072">
          <cell r="D10072" t="str">
            <v>Furnitures</v>
          </cell>
          <cell r="F10072">
            <v>0</v>
          </cell>
          <cell r="G10072">
            <v>275</v>
          </cell>
          <cell r="H10072">
            <v>0</v>
          </cell>
        </row>
        <row r="10073">
          <cell r="D10073" t="str">
            <v>Furnitures</v>
          </cell>
          <cell r="F10073">
            <v>0</v>
          </cell>
          <cell r="G10073">
            <v>275</v>
          </cell>
          <cell r="H10073">
            <v>0</v>
          </cell>
        </row>
        <row r="10074">
          <cell r="D10074" t="str">
            <v>Furnitures</v>
          </cell>
          <cell r="F10074">
            <v>0</v>
          </cell>
          <cell r="G10074">
            <v>275</v>
          </cell>
          <cell r="H10074">
            <v>0</v>
          </cell>
        </row>
        <row r="10075">
          <cell r="D10075" t="str">
            <v>Furnitures</v>
          </cell>
          <cell r="F10075">
            <v>0</v>
          </cell>
          <cell r="G10075">
            <v>275</v>
          </cell>
          <cell r="H10075">
            <v>0</v>
          </cell>
        </row>
        <row r="10076">
          <cell r="D10076" t="str">
            <v>Furnitures</v>
          </cell>
          <cell r="F10076">
            <v>0</v>
          </cell>
          <cell r="G10076">
            <v>275</v>
          </cell>
          <cell r="H10076">
            <v>0</v>
          </cell>
        </row>
        <row r="10077">
          <cell r="D10077" t="str">
            <v>Furnitures</v>
          </cell>
          <cell r="F10077">
            <v>0</v>
          </cell>
          <cell r="G10077">
            <v>275</v>
          </cell>
          <cell r="H10077">
            <v>0</v>
          </cell>
        </row>
        <row r="10078">
          <cell r="D10078" t="str">
            <v>Furnitures</v>
          </cell>
          <cell r="F10078">
            <v>0</v>
          </cell>
          <cell r="G10078">
            <v>275</v>
          </cell>
          <cell r="H10078">
            <v>0</v>
          </cell>
        </row>
        <row r="10079">
          <cell r="D10079" t="str">
            <v>Furnitures</v>
          </cell>
          <cell r="F10079">
            <v>0</v>
          </cell>
          <cell r="G10079">
            <v>275</v>
          </cell>
          <cell r="H10079">
            <v>0</v>
          </cell>
        </row>
        <row r="10080">
          <cell r="D10080" t="str">
            <v>Furnitures</v>
          </cell>
          <cell r="F10080">
            <v>0</v>
          </cell>
          <cell r="G10080">
            <v>275</v>
          </cell>
          <cell r="H10080">
            <v>0</v>
          </cell>
        </row>
        <row r="10081">
          <cell r="D10081" t="str">
            <v>Furnitures</v>
          </cell>
          <cell r="F10081">
            <v>0</v>
          </cell>
          <cell r="G10081">
            <v>275</v>
          </cell>
          <cell r="H10081">
            <v>0</v>
          </cell>
        </row>
        <row r="10082">
          <cell r="D10082" t="str">
            <v>Furnitures</v>
          </cell>
          <cell r="F10082">
            <v>0</v>
          </cell>
          <cell r="G10082">
            <v>275</v>
          </cell>
          <cell r="H10082">
            <v>0</v>
          </cell>
        </row>
        <row r="10083">
          <cell r="D10083" t="str">
            <v>Furnitures</v>
          </cell>
          <cell r="F10083">
            <v>0</v>
          </cell>
          <cell r="G10083">
            <v>275</v>
          </cell>
          <cell r="H10083">
            <v>0</v>
          </cell>
        </row>
        <row r="10084">
          <cell r="D10084" t="str">
            <v>Furnitures</v>
          </cell>
          <cell r="F10084">
            <v>0</v>
          </cell>
          <cell r="G10084">
            <v>275</v>
          </cell>
          <cell r="H10084">
            <v>0</v>
          </cell>
        </row>
        <row r="10085">
          <cell r="D10085" t="str">
            <v>Furnitures</v>
          </cell>
          <cell r="F10085">
            <v>0</v>
          </cell>
          <cell r="G10085">
            <v>275</v>
          </cell>
          <cell r="H10085">
            <v>0</v>
          </cell>
        </row>
        <row r="10086">
          <cell r="D10086" t="str">
            <v>Furnitures</v>
          </cell>
          <cell r="F10086">
            <v>0</v>
          </cell>
          <cell r="G10086">
            <v>275</v>
          </cell>
          <cell r="H10086">
            <v>0</v>
          </cell>
        </row>
        <row r="10087">
          <cell r="D10087" t="str">
            <v>Furnitures</v>
          </cell>
          <cell r="F10087">
            <v>0</v>
          </cell>
          <cell r="G10087">
            <v>275</v>
          </cell>
          <cell r="H10087">
            <v>0</v>
          </cell>
        </row>
        <row r="10088">
          <cell r="D10088" t="str">
            <v>Furnitures</v>
          </cell>
          <cell r="F10088">
            <v>0</v>
          </cell>
          <cell r="G10088">
            <v>275</v>
          </cell>
          <cell r="H10088">
            <v>0</v>
          </cell>
        </row>
        <row r="10089">
          <cell r="D10089" t="str">
            <v>Furnitures</v>
          </cell>
          <cell r="F10089">
            <v>0</v>
          </cell>
          <cell r="G10089">
            <v>275</v>
          </cell>
          <cell r="H10089">
            <v>0</v>
          </cell>
        </row>
        <row r="10090">
          <cell r="D10090" t="str">
            <v>Furnitures</v>
          </cell>
          <cell r="F10090">
            <v>0</v>
          </cell>
          <cell r="G10090">
            <v>275</v>
          </cell>
          <cell r="H10090">
            <v>0</v>
          </cell>
        </row>
        <row r="10091">
          <cell r="D10091" t="str">
            <v>Furnitures</v>
          </cell>
          <cell r="F10091">
            <v>0</v>
          </cell>
          <cell r="G10091">
            <v>275</v>
          </cell>
          <cell r="H10091">
            <v>0</v>
          </cell>
        </row>
        <row r="10092">
          <cell r="D10092" t="str">
            <v>Furnitures</v>
          </cell>
          <cell r="F10092">
            <v>0</v>
          </cell>
          <cell r="G10092">
            <v>275</v>
          </cell>
          <cell r="H10092">
            <v>0</v>
          </cell>
        </row>
        <row r="10093">
          <cell r="D10093" t="str">
            <v>Furnitures</v>
          </cell>
          <cell r="F10093">
            <v>0</v>
          </cell>
          <cell r="G10093">
            <v>275</v>
          </cell>
          <cell r="H10093">
            <v>0</v>
          </cell>
        </row>
        <row r="10094">
          <cell r="D10094" t="str">
            <v>Furnitures</v>
          </cell>
          <cell r="F10094">
            <v>0</v>
          </cell>
          <cell r="G10094">
            <v>275</v>
          </cell>
          <cell r="H10094">
            <v>0</v>
          </cell>
        </row>
        <row r="10095">
          <cell r="D10095" t="str">
            <v>Furnitures</v>
          </cell>
          <cell r="F10095">
            <v>0</v>
          </cell>
          <cell r="G10095">
            <v>275</v>
          </cell>
          <cell r="H10095">
            <v>0</v>
          </cell>
        </row>
        <row r="10096">
          <cell r="D10096" t="str">
            <v>Furnitures</v>
          </cell>
          <cell r="F10096">
            <v>0</v>
          </cell>
          <cell r="G10096">
            <v>275</v>
          </cell>
          <cell r="H10096">
            <v>0</v>
          </cell>
        </row>
        <row r="10097">
          <cell r="D10097" t="str">
            <v>Furnitures</v>
          </cell>
          <cell r="F10097">
            <v>0</v>
          </cell>
          <cell r="G10097">
            <v>275</v>
          </cell>
          <cell r="H10097">
            <v>0</v>
          </cell>
        </row>
        <row r="10098">
          <cell r="D10098" t="str">
            <v>Furnitures</v>
          </cell>
          <cell r="F10098">
            <v>0</v>
          </cell>
          <cell r="G10098">
            <v>275</v>
          </cell>
          <cell r="H10098">
            <v>0</v>
          </cell>
        </row>
        <row r="10099">
          <cell r="D10099" t="str">
            <v>Furnitures</v>
          </cell>
          <cell r="F10099">
            <v>0</v>
          </cell>
          <cell r="G10099">
            <v>275</v>
          </cell>
          <cell r="H10099">
            <v>0</v>
          </cell>
        </row>
        <row r="10100">
          <cell r="D10100" t="str">
            <v>Furnitures</v>
          </cell>
          <cell r="F10100">
            <v>0</v>
          </cell>
          <cell r="G10100">
            <v>275</v>
          </cell>
          <cell r="H10100">
            <v>0</v>
          </cell>
        </row>
        <row r="10101">
          <cell r="D10101" t="str">
            <v>Furnitures</v>
          </cell>
          <cell r="F10101">
            <v>0</v>
          </cell>
          <cell r="G10101">
            <v>275</v>
          </cell>
          <cell r="H10101">
            <v>0</v>
          </cell>
        </row>
        <row r="10102">
          <cell r="D10102" t="str">
            <v>Furnitures</v>
          </cell>
          <cell r="F10102">
            <v>0</v>
          </cell>
          <cell r="G10102">
            <v>275</v>
          </cell>
          <cell r="H10102">
            <v>0</v>
          </cell>
        </row>
        <row r="10103">
          <cell r="D10103" t="str">
            <v>Furnitures</v>
          </cell>
          <cell r="F10103">
            <v>0</v>
          </cell>
          <cell r="G10103">
            <v>275</v>
          </cell>
          <cell r="H10103">
            <v>0</v>
          </cell>
        </row>
        <row r="10104">
          <cell r="D10104" t="str">
            <v>Furnitures</v>
          </cell>
          <cell r="F10104">
            <v>0</v>
          </cell>
          <cell r="G10104">
            <v>275</v>
          </cell>
          <cell r="H10104">
            <v>0</v>
          </cell>
        </row>
        <row r="10105">
          <cell r="D10105" t="str">
            <v>Furnitures</v>
          </cell>
          <cell r="F10105">
            <v>0</v>
          </cell>
          <cell r="G10105">
            <v>275</v>
          </cell>
          <cell r="H10105">
            <v>0</v>
          </cell>
        </row>
        <row r="10106">
          <cell r="D10106" t="str">
            <v>Furnitures</v>
          </cell>
          <cell r="F10106">
            <v>0</v>
          </cell>
          <cell r="G10106">
            <v>275</v>
          </cell>
          <cell r="H10106">
            <v>0</v>
          </cell>
        </row>
        <row r="10107">
          <cell r="D10107" t="str">
            <v>Furnitures</v>
          </cell>
          <cell r="F10107">
            <v>0</v>
          </cell>
          <cell r="G10107">
            <v>275</v>
          </cell>
          <cell r="H10107">
            <v>0</v>
          </cell>
        </row>
        <row r="10108">
          <cell r="D10108" t="str">
            <v>Furnitures</v>
          </cell>
          <cell r="F10108">
            <v>0</v>
          </cell>
          <cell r="G10108">
            <v>275</v>
          </cell>
          <cell r="H10108">
            <v>0</v>
          </cell>
        </row>
        <row r="10109">
          <cell r="D10109" t="str">
            <v>Furnitures</v>
          </cell>
          <cell r="F10109">
            <v>0</v>
          </cell>
          <cell r="G10109">
            <v>275</v>
          </cell>
          <cell r="H10109">
            <v>0</v>
          </cell>
        </row>
        <row r="10110">
          <cell r="D10110" t="str">
            <v>Furnitures</v>
          </cell>
          <cell r="F10110">
            <v>0</v>
          </cell>
          <cell r="G10110">
            <v>275</v>
          </cell>
          <cell r="H10110">
            <v>0</v>
          </cell>
        </row>
        <row r="10111">
          <cell r="D10111" t="str">
            <v>Furnitures</v>
          </cell>
          <cell r="F10111">
            <v>0</v>
          </cell>
          <cell r="G10111">
            <v>275</v>
          </cell>
          <cell r="H10111">
            <v>0</v>
          </cell>
        </row>
        <row r="10112">
          <cell r="D10112" t="str">
            <v>Furnitures</v>
          </cell>
          <cell r="F10112">
            <v>0</v>
          </cell>
          <cell r="G10112">
            <v>275</v>
          </cell>
          <cell r="H10112">
            <v>0</v>
          </cell>
        </row>
        <row r="10113">
          <cell r="D10113" t="str">
            <v>Furnitures</v>
          </cell>
          <cell r="F10113">
            <v>0</v>
          </cell>
          <cell r="G10113">
            <v>275</v>
          </cell>
          <cell r="H10113">
            <v>0</v>
          </cell>
        </row>
        <row r="10114">
          <cell r="D10114" t="str">
            <v>Furnitures</v>
          </cell>
          <cell r="F10114">
            <v>0</v>
          </cell>
          <cell r="G10114">
            <v>275</v>
          </cell>
          <cell r="H10114">
            <v>0</v>
          </cell>
        </row>
        <row r="10115">
          <cell r="D10115" t="str">
            <v>Furnitures</v>
          </cell>
          <cell r="F10115">
            <v>0</v>
          </cell>
          <cell r="G10115">
            <v>275</v>
          </cell>
          <cell r="H10115">
            <v>0</v>
          </cell>
        </row>
        <row r="10116">
          <cell r="D10116" t="str">
            <v>Furnitures</v>
          </cell>
          <cell r="F10116">
            <v>0</v>
          </cell>
          <cell r="G10116">
            <v>275</v>
          </cell>
          <cell r="H10116">
            <v>0</v>
          </cell>
        </row>
        <row r="10117">
          <cell r="D10117" t="str">
            <v>Furnitures</v>
          </cell>
          <cell r="F10117">
            <v>0</v>
          </cell>
          <cell r="G10117">
            <v>275</v>
          </cell>
          <cell r="H10117">
            <v>0</v>
          </cell>
        </row>
        <row r="10118">
          <cell r="D10118" t="str">
            <v>Furnitures</v>
          </cell>
          <cell r="F10118">
            <v>0</v>
          </cell>
          <cell r="G10118">
            <v>275</v>
          </cell>
          <cell r="H10118">
            <v>0</v>
          </cell>
        </row>
        <row r="10119">
          <cell r="D10119" t="str">
            <v>Furnitures</v>
          </cell>
          <cell r="F10119">
            <v>0</v>
          </cell>
          <cell r="G10119">
            <v>275</v>
          </cell>
          <cell r="H10119">
            <v>0</v>
          </cell>
        </row>
        <row r="10120">
          <cell r="D10120" t="str">
            <v>Furnitures</v>
          </cell>
          <cell r="F10120">
            <v>0</v>
          </cell>
          <cell r="G10120">
            <v>275</v>
          </cell>
          <cell r="H10120">
            <v>0</v>
          </cell>
        </row>
        <row r="10121">
          <cell r="D10121" t="str">
            <v>Furnitures</v>
          </cell>
          <cell r="F10121">
            <v>0</v>
          </cell>
          <cell r="G10121">
            <v>275</v>
          </cell>
          <cell r="H10121">
            <v>0</v>
          </cell>
        </row>
        <row r="10122">
          <cell r="D10122" t="str">
            <v>Furnitures</v>
          </cell>
          <cell r="F10122">
            <v>0</v>
          </cell>
          <cell r="G10122">
            <v>275</v>
          </cell>
          <cell r="H10122">
            <v>0</v>
          </cell>
        </row>
        <row r="10123">
          <cell r="D10123" t="str">
            <v>Furnitures</v>
          </cell>
          <cell r="F10123">
            <v>0</v>
          </cell>
          <cell r="G10123">
            <v>275</v>
          </cell>
          <cell r="H10123">
            <v>0</v>
          </cell>
        </row>
        <row r="10124">
          <cell r="D10124" t="str">
            <v>Furnitures</v>
          </cell>
          <cell r="F10124">
            <v>0</v>
          </cell>
          <cell r="G10124">
            <v>275</v>
          </cell>
          <cell r="H10124">
            <v>0</v>
          </cell>
        </row>
        <row r="10125">
          <cell r="D10125" t="str">
            <v>Furnitures</v>
          </cell>
          <cell r="F10125">
            <v>6466.9538637295082</v>
          </cell>
          <cell r="G10125">
            <v>275</v>
          </cell>
          <cell r="H10125">
            <v>6150.9362010582754</v>
          </cell>
        </row>
        <row r="10126">
          <cell r="D10126" t="str">
            <v>Furnitures</v>
          </cell>
          <cell r="F10126">
            <v>0</v>
          </cell>
          <cell r="G10126">
            <v>275</v>
          </cell>
          <cell r="H10126">
            <v>0</v>
          </cell>
        </row>
        <row r="10127">
          <cell r="D10127" t="str">
            <v>Furnitures</v>
          </cell>
          <cell r="F10127">
            <v>0</v>
          </cell>
          <cell r="G10127">
            <v>275</v>
          </cell>
          <cell r="H10127">
            <v>0</v>
          </cell>
        </row>
        <row r="10128">
          <cell r="D10128" t="str">
            <v>Furnitures</v>
          </cell>
          <cell r="F10128">
            <v>0</v>
          </cell>
          <cell r="G10128">
            <v>275</v>
          </cell>
          <cell r="H10128">
            <v>0</v>
          </cell>
        </row>
        <row r="10129">
          <cell r="D10129" t="str">
            <v>Furnitures</v>
          </cell>
          <cell r="F10129">
            <v>0</v>
          </cell>
          <cell r="G10129">
            <v>275</v>
          </cell>
          <cell r="H10129">
            <v>0</v>
          </cell>
        </row>
        <row r="10130">
          <cell r="D10130" t="str">
            <v>Furnitures</v>
          </cell>
          <cell r="F10130">
            <v>0</v>
          </cell>
          <cell r="G10130">
            <v>275</v>
          </cell>
          <cell r="H10130">
            <v>0</v>
          </cell>
        </row>
        <row r="10131">
          <cell r="D10131" t="str">
            <v>Furnitures</v>
          </cell>
          <cell r="F10131">
            <v>0</v>
          </cell>
          <cell r="G10131">
            <v>275</v>
          </cell>
          <cell r="H10131">
            <v>0</v>
          </cell>
        </row>
        <row r="10132">
          <cell r="D10132" t="str">
            <v>Furnitures</v>
          </cell>
          <cell r="F10132">
            <v>0</v>
          </cell>
          <cell r="G10132">
            <v>275</v>
          </cell>
          <cell r="H10132">
            <v>0</v>
          </cell>
        </row>
        <row r="10133">
          <cell r="D10133" t="str">
            <v>Furnitures</v>
          </cell>
          <cell r="F10133">
            <v>0</v>
          </cell>
          <cell r="G10133">
            <v>275</v>
          </cell>
          <cell r="H10133">
            <v>0</v>
          </cell>
        </row>
        <row r="10134">
          <cell r="D10134" t="str">
            <v>Furnitures</v>
          </cell>
          <cell r="F10134">
            <v>0</v>
          </cell>
          <cell r="G10134">
            <v>275</v>
          </cell>
          <cell r="H10134">
            <v>0</v>
          </cell>
        </row>
        <row r="10135">
          <cell r="D10135" t="str">
            <v>Furnitures</v>
          </cell>
          <cell r="F10135">
            <v>0</v>
          </cell>
          <cell r="G10135">
            <v>275</v>
          </cell>
          <cell r="H10135">
            <v>0</v>
          </cell>
        </row>
        <row r="10136">
          <cell r="D10136" t="str">
            <v>Furnitures</v>
          </cell>
          <cell r="F10136">
            <v>0</v>
          </cell>
          <cell r="G10136">
            <v>275</v>
          </cell>
          <cell r="H10136">
            <v>0</v>
          </cell>
        </row>
        <row r="10137">
          <cell r="D10137" t="str">
            <v>Furnitures</v>
          </cell>
          <cell r="F10137">
            <v>0</v>
          </cell>
          <cell r="G10137">
            <v>275</v>
          </cell>
          <cell r="H10137">
            <v>0</v>
          </cell>
        </row>
        <row r="10138">
          <cell r="D10138" t="str">
            <v>Furnitures</v>
          </cell>
          <cell r="F10138">
            <v>0</v>
          </cell>
          <cell r="G10138">
            <v>275</v>
          </cell>
          <cell r="H10138">
            <v>0</v>
          </cell>
        </row>
        <row r="10139">
          <cell r="D10139" t="str">
            <v>Furnitures</v>
          </cell>
          <cell r="F10139">
            <v>0</v>
          </cell>
          <cell r="G10139">
            <v>275</v>
          </cell>
          <cell r="H10139">
            <v>0</v>
          </cell>
        </row>
        <row r="10140">
          <cell r="D10140" t="str">
            <v>Furnitures</v>
          </cell>
          <cell r="F10140">
            <v>0</v>
          </cell>
          <cell r="G10140">
            <v>275</v>
          </cell>
          <cell r="H10140">
            <v>0</v>
          </cell>
        </row>
        <row r="10141">
          <cell r="D10141" t="str">
            <v>Furnitures</v>
          </cell>
          <cell r="F10141">
            <v>0</v>
          </cell>
          <cell r="G10141">
            <v>275</v>
          </cell>
          <cell r="H10141">
            <v>0</v>
          </cell>
        </row>
        <row r="10142">
          <cell r="D10142" t="str">
            <v>Furnitures</v>
          </cell>
          <cell r="F10142">
            <v>0</v>
          </cell>
          <cell r="G10142">
            <v>275</v>
          </cell>
          <cell r="H10142">
            <v>0</v>
          </cell>
        </row>
        <row r="10143">
          <cell r="D10143" t="str">
            <v>Furnitures</v>
          </cell>
          <cell r="F10143">
            <v>0</v>
          </cell>
          <cell r="G10143">
            <v>275</v>
          </cell>
          <cell r="H10143">
            <v>0</v>
          </cell>
        </row>
        <row r="10144">
          <cell r="D10144" t="str">
            <v>Furnitures</v>
          </cell>
          <cell r="F10144">
            <v>0</v>
          </cell>
          <cell r="G10144">
            <v>275</v>
          </cell>
          <cell r="H10144">
            <v>0</v>
          </cell>
        </row>
        <row r="10145">
          <cell r="D10145" t="str">
            <v>Furnitures</v>
          </cell>
          <cell r="F10145">
            <v>0</v>
          </cell>
          <cell r="G10145">
            <v>275</v>
          </cell>
          <cell r="H10145">
            <v>0</v>
          </cell>
        </row>
        <row r="10146">
          <cell r="D10146" t="str">
            <v>Furnitures</v>
          </cell>
          <cell r="F10146">
            <v>0</v>
          </cell>
          <cell r="G10146">
            <v>275</v>
          </cell>
          <cell r="H10146">
            <v>0</v>
          </cell>
        </row>
        <row r="10147">
          <cell r="D10147" t="str">
            <v>Furnitures</v>
          </cell>
          <cell r="F10147">
            <v>0</v>
          </cell>
          <cell r="G10147">
            <v>275</v>
          </cell>
          <cell r="H10147">
            <v>0</v>
          </cell>
        </row>
        <row r="10148">
          <cell r="D10148" t="str">
            <v>Furnitures</v>
          </cell>
          <cell r="F10148">
            <v>0</v>
          </cell>
          <cell r="G10148">
            <v>275</v>
          </cell>
          <cell r="H10148">
            <v>0</v>
          </cell>
        </row>
        <row r="10149">
          <cell r="D10149" t="str">
            <v>Furnitures</v>
          </cell>
          <cell r="F10149">
            <v>0</v>
          </cell>
          <cell r="G10149">
            <v>275</v>
          </cell>
          <cell r="H10149">
            <v>0</v>
          </cell>
        </row>
        <row r="10150">
          <cell r="D10150" t="str">
            <v>Furnitures</v>
          </cell>
          <cell r="F10150">
            <v>0</v>
          </cell>
          <cell r="G10150">
            <v>275</v>
          </cell>
          <cell r="H10150">
            <v>0</v>
          </cell>
        </row>
        <row r="10151">
          <cell r="D10151" t="str">
            <v>Furnitures</v>
          </cell>
          <cell r="F10151">
            <v>0</v>
          </cell>
          <cell r="G10151">
            <v>275</v>
          </cell>
          <cell r="H10151">
            <v>0</v>
          </cell>
        </row>
        <row r="10152">
          <cell r="D10152" t="str">
            <v>Furnitures</v>
          </cell>
          <cell r="F10152">
            <v>0</v>
          </cell>
          <cell r="G10152">
            <v>275</v>
          </cell>
          <cell r="H10152">
            <v>0</v>
          </cell>
        </row>
        <row r="10153">
          <cell r="D10153" t="str">
            <v>Furnitures</v>
          </cell>
          <cell r="F10153">
            <v>5270.1831147540979</v>
          </cell>
          <cell r="G10153">
            <v>275</v>
          </cell>
          <cell r="H10153">
            <v>5012.6474983157414</v>
          </cell>
        </row>
        <row r="10154">
          <cell r="D10154" t="str">
            <v>Furnitures</v>
          </cell>
          <cell r="F10154">
            <v>5270.1831147540979</v>
          </cell>
          <cell r="G10154">
            <v>275</v>
          </cell>
          <cell r="H10154">
            <v>5012.6474983157414</v>
          </cell>
        </row>
        <row r="10155">
          <cell r="D10155" t="str">
            <v>Furnitures</v>
          </cell>
          <cell r="F10155">
            <v>0</v>
          </cell>
          <cell r="G10155">
            <v>275</v>
          </cell>
          <cell r="H10155">
            <v>0</v>
          </cell>
        </row>
        <row r="10156">
          <cell r="D10156" t="str">
            <v>Furnitures</v>
          </cell>
          <cell r="F10156">
            <v>0</v>
          </cell>
          <cell r="G10156">
            <v>275</v>
          </cell>
          <cell r="H10156">
            <v>0</v>
          </cell>
        </row>
        <row r="10157">
          <cell r="D10157" t="str">
            <v>Furnitures</v>
          </cell>
          <cell r="F10157">
            <v>0</v>
          </cell>
          <cell r="G10157">
            <v>275</v>
          </cell>
          <cell r="H10157">
            <v>0</v>
          </cell>
        </row>
        <row r="10158">
          <cell r="D10158" t="str">
            <v>Furnitures</v>
          </cell>
          <cell r="F10158">
            <v>0</v>
          </cell>
          <cell r="G10158">
            <v>275</v>
          </cell>
          <cell r="H10158">
            <v>0</v>
          </cell>
        </row>
        <row r="10159">
          <cell r="D10159" t="str">
            <v>Furnitures</v>
          </cell>
          <cell r="F10159">
            <v>0</v>
          </cell>
          <cell r="G10159">
            <v>275</v>
          </cell>
          <cell r="H10159">
            <v>0</v>
          </cell>
        </row>
        <row r="10160">
          <cell r="D10160" t="str">
            <v>Furnitures</v>
          </cell>
          <cell r="F10160">
            <v>0</v>
          </cell>
          <cell r="G10160">
            <v>275</v>
          </cell>
          <cell r="H10160">
            <v>0</v>
          </cell>
        </row>
        <row r="10161">
          <cell r="D10161" t="str">
            <v>Furnitures</v>
          </cell>
          <cell r="F10161">
            <v>0</v>
          </cell>
          <cell r="G10161">
            <v>275</v>
          </cell>
          <cell r="H10161">
            <v>0</v>
          </cell>
        </row>
        <row r="10162">
          <cell r="D10162" t="str">
            <v>Furnitures</v>
          </cell>
          <cell r="F10162">
            <v>0</v>
          </cell>
          <cell r="G10162">
            <v>275</v>
          </cell>
          <cell r="H10162">
            <v>0</v>
          </cell>
        </row>
        <row r="10163">
          <cell r="D10163" t="str">
            <v>Furnitures</v>
          </cell>
          <cell r="F10163">
            <v>0</v>
          </cell>
          <cell r="G10163">
            <v>275</v>
          </cell>
          <cell r="H10163">
            <v>0</v>
          </cell>
        </row>
        <row r="10164">
          <cell r="D10164" t="str">
            <v>Furnitures</v>
          </cell>
          <cell r="F10164">
            <v>0</v>
          </cell>
          <cell r="G10164">
            <v>275</v>
          </cell>
          <cell r="H10164">
            <v>0</v>
          </cell>
        </row>
        <row r="10165">
          <cell r="D10165" t="str">
            <v>Furnitures</v>
          </cell>
          <cell r="F10165">
            <v>0</v>
          </cell>
          <cell r="G10165">
            <v>275</v>
          </cell>
          <cell r="H10165">
            <v>0</v>
          </cell>
        </row>
        <row r="10166">
          <cell r="D10166" t="str">
            <v>Furnitures</v>
          </cell>
          <cell r="F10166">
            <v>0</v>
          </cell>
          <cell r="G10166">
            <v>275</v>
          </cell>
          <cell r="H10166">
            <v>0</v>
          </cell>
        </row>
        <row r="10167">
          <cell r="D10167" t="str">
            <v>Furnitures</v>
          </cell>
          <cell r="F10167">
            <v>0</v>
          </cell>
          <cell r="G10167">
            <v>275</v>
          </cell>
          <cell r="H10167">
            <v>0</v>
          </cell>
        </row>
        <row r="10168">
          <cell r="D10168" t="str">
            <v>Furnitures</v>
          </cell>
          <cell r="F10168">
            <v>0</v>
          </cell>
          <cell r="G10168">
            <v>275</v>
          </cell>
          <cell r="H10168">
            <v>0</v>
          </cell>
        </row>
        <row r="10169">
          <cell r="D10169" t="str">
            <v>Furnitures</v>
          </cell>
          <cell r="F10169">
            <v>0</v>
          </cell>
          <cell r="G10169">
            <v>275</v>
          </cell>
          <cell r="H10169">
            <v>0</v>
          </cell>
        </row>
        <row r="10170">
          <cell r="D10170" t="str">
            <v>Furnitures</v>
          </cell>
          <cell r="F10170">
            <v>0</v>
          </cell>
          <cell r="G10170">
            <v>275</v>
          </cell>
          <cell r="H10170">
            <v>0</v>
          </cell>
        </row>
        <row r="10171">
          <cell r="D10171" t="str">
            <v>Furnitures</v>
          </cell>
          <cell r="F10171">
            <v>0</v>
          </cell>
          <cell r="G10171">
            <v>275</v>
          </cell>
          <cell r="H10171">
            <v>0</v>
          </cell>
        </row>
        <row r="10172">
          <cell r="D10172" t="str">
            <v>Furnitures</v>
          </cell>
          <cell r="F10172">
            <v>0</v>
          </cell>
          <cell r="G10172">
            <v>275</v>
          </cell>
          <cell r="H10172">
            <v>0</v>
          </cell>
        </row>
        <row r="10173">
          <cell r="D10173" t="str">
            <v>Furnitures</v>
          </cell>
          <cell r="F10173">
            <v>0</v>
          </cell>
          <cell r="G10173">
            <v>275</v>
          </cell>
          <cell r="H10173">
            <v>0</v>
          </cell>
        </row>
        <row r="10174">
          <cell r="D10174" t="str">
            <v>Furnitures</v>
          </cell>
          <cell r="F10174">
            <v>0</v>
          </cell>
          <cell r="G10174">
            <v>275</v>
          </cell>
          <cell r="H10174">
            <v>0</v>
          </cell>
        </row>
        <row r="10175">
          <cell r="D10175" t="str">
            <v>Furnitures</v>
          </cell>
          <cell r="F10175">
            <v>0</v>
          </cell>
          <cell r="G10175">
            <v>275</v>
          </cell>
          <cell r="H10175">
            <v>0</v>
          </cell>
        </row>
        <row r="10176">
          <cell r="D10176" t="str">
            <v>Furnitures</v>
          </cell>
          <cell r="F10176">
            <v>0</v>
          </cell>
          <cell r="G10176">
            <v>275</v>
          </cell>
          <cell r="H10176">
            <v>0</v>
          </cell>
        </row>
        <row r="10177">
          <cell r="D10177" t="str">
            <v>Furnitures</v>
          </cell>
          <cell r="F10177">
            <v>0</v>
          </cell>
          <cell r="G10177">
            <v>275</v>
          </cell>
          <cell r="H10177">
            <v>0</v>
          </cell>
        </row>
        <row r="10178">
          <cell r="D10178" t="str">
            <v>Furnitures</v>
          </cell>
          <cell r="F10178">
            <v>0</v>
          </cell>
          <cell r="G10178">
            <v>275</v>
          </cell>
          <cell r="H10178">
            <v>0</v>
          </cell>
        </row>
        <row r="10179">
          <cell r="D10179" t="str">
            <v>Furnitures</v>
          </cell>
          <cell r="F10179">
            <v>0</v>
          </cell>
          <cell r="G10179">
            <v>275</v>
          </cell>
          <cell r="H10179">
            <v>0</v>
          </cell>
        </row>
        <row r="10180">
          <cell r="D10180" t="str">
            <v>Furnitures</v>
          </cell>
          <cell r="F10180">
            <v>0</v>
          </cell>
          <cell r="G10180">
            <v>275</v>
          </cell>
          <cell r="H10180">
            <v>0</v>
          </cell>
        </row>
        <row r="10181">
          <cell r="D10181" t="str">
            <v>Furnitures</v>
          </cell>
          <cell r="F10181">
            <v>0</v>
          </cell>
          <cell r="G10181">
            <v>275</v>
          </cell>
          <cell r="H10181">
            <v>0</v>
          </cell>
        </row>
        <row r="10182">
          <cell r="D10182" t="str">
            <v>Furnitures</v>
          </cell>
          <cell r="F10182">
            <v>0</v>
          </cell>
          <cell r="G10182">
            <v>275</v>
          </cell>
          <cell r="H10182">
            <v>0</v>
          </cell>
        </row>
        <row r="10183">
          <cell r="D10183" t="str">
            <v>Furnitures</v>
          </cell>
          <cell r="F10183">
            <v>0</v>
          </cell>
          <cell r="G10183">
            <v>275</v>
          </cell>
          <cell r="H10183">
            <v>0</v>
          </cell>
        </row>
        <row r="10184">
          <cell r="D10184" t="str">
            <v>Furnitures</v>
          </cell>
          <cell r="F10184">
            <v>0</v>
          </cell>
          <cell r="G10184">
            <v>275</v>
          </cell>
          <cell r="H10184">
            <v>0</v>
          </cell>
        </row>
        <row r="10185">
          <cell r="D10185" t="str">
            <v>Furnitures</v>
          </cell>
          <cell r="F10185">
            <v>0</v>
          </cell>
          <cell r="G10185">
            <v>275</v>
          </cell>
          <cell r="H10185">
            <v>0</v>
          </cell>
        </row>
        <row r="10186">
          <cell r="D10186" t="str">
            <v>Furnitures</v>
          </cell>
          <cell r="F10186">
            <v>0</v>
          </cell>
          <cell r="G10186">
            <v>275</v>
          </cell>
          <cell r="H10186">
            <v>0</v>
          </cell>
        </row>
        <row r="10187">
          <cell r="D10187" t="str">
            <v>Furnitures</v>
          </cell>
          <cell r="F10187">
            <v>0</v>
          </cell>
          <cell r="G10187">
            <v>275</v>
          </cell>
          <cell r="H10187">
            <v>0</v>
          </cell>
        </row>
        <row r="10188">
          <cell r="D10188" t="str">
            <v>Furnitures</v>
          </cell>
          <cell r="F10188">
            <v>0</v>
          </cell>
          <cell r="G10188">
            <v>275</v>
          </cell>
          <cell r="H10188">
            <v>0</v>
          </cell>
        </row>
        <row r="10189">
          <cell r="D10189" t="str">
            <v>Furnitures</v>
          </cell>
          <cell r="F10189">
            <v>0</v>
          </cell>
          <cell r="G10189">
            <v>275</v>
          </cell>
          <cell r="H10189">
            <v>0</v>
          </cell>
        </row>
        <row r="10190">
          <cell r="D10190" t="str">
            <v>Furnitures</v>
          </cell>
          <cell r="F10190">
            <v>0</v>
          </cell>
          <cell r="G10190">
            <v>275</v>
          </cell>
          <cell r="H10190">
            <v>0</v>
          </cell>
        </row>
        <row r="10191">
          <cell r="D10191" t="str">
            <v>Furnitures</v>
          </cell>
          <cell r="F10191">
            <v>0</v>
          </cell>
          <cell r="G10191">
            <v>275</v>
          </cell>
          <cell r="H10191">
            <v>0</v>
          </cell>
        </row>
        <row r="10192">
          <cell r="D10192" t="str">
            <v>Furnitures</v>
          </cell>
          <cell r="F10192">
            <v>0</v>
          </cell>
          <cell r="G10192">
            <v>275</v>
          </cell>
          <cell r="H10192">
            <v>0</v>
          </cell>
        </row>
        <row r="10193">
          <cell r="D10193" t="str">
            <v>Furnitures</v>
          </cell>
          <cell r="F10193">
            <v>0</v>
          </cell>
          <cell r="G10193">
            <v>275</v>
          </cell>
          <cell r="H10193">
            <v>0</v>
          </cell>
        </row>
        <row r="10194">
          <cell r="D10194" t="str">
            <v>Furnitures</v>
          </cell>
          <cell r="F10194">
            <v>0</v>
          </cell>
          <cell r="G10194">
            <v>275</v>
          </cell>
          <cell r="H10194">
            <v>0</v>
          </cell>
        </row>
        <row r="10195">
          <cell r="D10195" t="str">
            <v>Furnitures</v>
          </cell>
          <cell r="F10195">
            <v>0</v>
          </cell>
          <cell r="G10195">
            <v>275</v>
          </cell>
          <cell r="H10195">
            <v>0</v>
          </cell>
        </row>
        <row r="10196">
          <cell r="D10196" t="str">
            <v>Furnitures</v>
          </cell>
          <cell r="F10196">
            <v>0</v>
          </cell>
          <cell r="G10196">
            <v>275</v>
          </cell>
          <cell r="H10196">
            <v>0</v>
          </cell>
        </row>
        <row r="10197">
          <cell r="D10197" t="str">
            <v>Furnitures</v>
          </cell>
          <cell r="F10197">
            <v>0</v>
          </cell>
          <cell r="G10197">
            <v>275</v>
          </cell>
          <cell r="H10197">
            <v>0</v>
          </cell>
        </row>
        <row r="10198">
          <cell r="D10198" t="str">
            <v>Furnitures</v>
          </cell>
          <cell r="F10198">
            <v>0</v>
          </cell>
          <cell r="G10198">
            <v>275</v>
          </cell>
          <cell r="H10198">
            <v>0</v>
          </cell>
        </row>
        <row r="10199">
          <cell r="D10199" t="str">
            <v>Furnitures</v>
          </cell>
          <cell r="F10199">
            <v>0</v>
          </cell>
          <cell r="G10199">
            <v>275</v>
          </cell>
          <cell r="H10199">
            <v>0</v>
          </cell>
        </row>
        <row r="10200">
          <cell r="D10200" t="str">
            <v>Furnitures</v>
          </cell>
          <cell r="F10200">
            <v>0</v>
          </cell>
          <cell r="G10200">
            <v>275</v>
          </cell>
          <cell r="H10200">
            <v>0</v>
          </cell>
        </row>
        <row r="10201">
          <cell r="D10201" t="str">
            <v>Furnitures</v>
          </cell>
          <cell r="F10201">
            <v>0</v>
          </cell>
          <cell r="G10201">
            <v>275</v>
          </cell>
          <cell r="H10201">
            <v>0</v>
          </cell>
        </row>
        <row r="10202">
          <cell r="D10202" t="str">
            <v>Furnitures</v>
          </cell>
          <cell r="F10202">
            <v>0</v>
          </cell>
          <cell r="G10202">
            <v>275</v>
          </cell>
          <cell r="H10202">
            <v>0</v>
          </cell>
        </row>
        <row r="10203">
          <cell r="D10203" t="str">
            <v>Furnitures</v>
          </cell>
          <cell r="F10203">
            <v>0</v>
          </cell>
          <cell r="G10203">
            <v>275</v>
          </cell>
          <cell r="H10203">
            <v>0</v>
          </cell>
        </row>
        <row r="10204">
          <cell r="D10204" t="str">
            <v>Furnitures</v>
          </cell>
          <cell r="F10204">
            <v>0</v>
          </cell>
          <cell r="G10204">
            <v>275</v>
          </cell>
          <cell r="H10204">
            <v>0</v>
          </cell>
        </row>
        <row r="10205">
          <cell r="D10205" t="str">
            <v>Furnitures</v>
          </cell>
          <cell r="F10205">
            <v>0</v>
          </cell>
          <cell r="G10205">
            <v>275</v>
          </cell>
          <cell r="H10205">
            <v>0</v>
          </cell>
        </row>
        <row r="10206">
          <cell r="D10206" t="str">
            <v>Furnitures</v>
          </cell>
          <cell r="F10206">
            <v>0</v>
          </cell>
          <cell r="G10206">
            <v>275</v>
          </cell>
          <cell r="H10206">
            <v>0</v>
          </cell>
        </row>
        <row r="10207">
          <cell r="D10207" t="str">
            <v>Furnitures</v>
          </cell>
          <cell r="F10207">
            <v>0</v>
          </cell>
          <cell r="G10207">
            <v>275</v>
          </cell>
          <cell r="H10207">
            <v>0</v>
          </cell>
        </row>
        <row r="10208">
          <cell r="D10208" t="str">
            <v>Furnitures</v>
          </cell>
          <cell r="F10208">
            <v>0</v>
          </cell>
          <cell r="G10208">
            <v>275</v>
          </cell>
          <cell r="H10208">
            <v>0</v>
          </cell>
        </row>
        <row r="10209">
          <cell r="D10209" t="str">
            <v>Furnitures</v>
          </cell>
          <cell r="F10209">
            <v>0</v>
          </cell>
          <cell r="G10209">
            <v>275</v>
          </cell>
          <cell r="H10209">
            <v>0</v>
          </cell>
        </row>
        <row r="10210">
          <cell r="D10210" t="str">
            <v>Furnitures</v>
          </cell>
          <cell r="F10210">
            <v>0</v>
          </cell>
          <cell r="G10210">
            <v>275</v>
          </cell>
          <cell r="H10210">
            <v>0</v>
          </cell>
        </row>
        <row r="10211">
          <cell r="D10211" t="str">
            <v>Furnitures</v>
          </cell>
          <cell r="F10211">
            <v>0</v>
          </cell>
          <cell r="G10211">
            <v>275</v>
          </cell>
          <cell r="H10211">
            <v>0</v>
          </cell>
        </row>
        <row r="10212">
          <cell r="D10212" t="str">
            <v>Furnitures</v>
          </cell>
          <cell r="F10212">
            <v>0</v>
          </cell>
          <cell r="G10212">
            <v>275</v>
          </cell>
          <cell r="H10212">
            <v>0</v>
          </cell>
        </row>
        <row r="10213">
          <cell r="D10213" t="str">
            <v>Furnitures</v>
          </cell>
          <cell r="F10213">
            <v>0</v>
          </cell>
          <cell r="G10213">
            <v>275</v>
          </cell>
          <cell r="H10213">
            <v>0</v>
          </cell>
        </row>
        <row r="10214">
          <cell r="D10214" t="str">
            <v>Furnitures</v>
          </cell>
          <cell r="F10214">
            <v>0</v>
          </cell>
          <cell r="G10214">
            <v>275</v>
          </cell>
          <cell r="H10214">
            <v>0</v>
          </cell>
        </row>
        <row r="10215">
          <cell r="D10215" t="str">
            <v>Furnitures</v>
          </cell>
          <cell r="F10215">
            <v>0</v>
          </cell>
          <cell r="G10215">
            <v>275</v>
          </cell>
          <cell r="H10215">
            <v>0</v>
          </cell>
        </row>
        <row r="10216">
          <cell r="D10216" t="str">
            <v>Furnitures</v>
          </cell>
          <cell r="F10216">
            <v>0</v>
          </cell>
          <cell r="G10216">
            <v>275</v>
          </cell>
          <cell r="H10216">
            <v>0</v>
          </cell>
        </row>
        <row r="10217">
          <cell r="D10217" t="str">
            <v>Furnitures</v>
          </cell>
          <cell r="F10217">
            <v>0</v>
          </cell>
          <cell r="G10217">
            <v>275</v>
          </cell>
          <cell r="H10217">
            <v>0</v>
          </cell>
        </row>
        <row r="10218">
          <cell r="D10218" t="str">
            <v>Furnitures</v>
          </cell>
          <cell r="F10218">
            <v>0</v>
          </cell>
          <cell r="G10218">
            <v>275</v>
          </cell>
          <cell r="H10218">
            <v>0</v>
          </cell>
        </row>
        <row r="10219">
          <cell r="D10219" t="str">
            <v>Furnitures</v>
          </cell>
          <cell r="F10219">
            <v>0</v>
          </cell>
          <cell r="G10219">
            <v>275</v>
          </cell>
          <cell r="H10219">
            <v>0</v>
          </cell>
        </row>
        <row r="10220">
          <cell r="D10220" t="str">
            <v>Furnitures</v>
          </cell>
          <cell r="F10220">
            <v>0</v>
          </cell>
          <cell r="G10220">
            <v>275</v>
          </cell>
          <cell r="H10220">
            <v>0</v>
          </cell>
        </row>
        <row r="10221">
          <cell r="D10221" t="str">
            <v>Furnitures</v>
          </cell>
          <cell r="F10221">
            <v>0</v>
          </cell>
          <cell r="G10221">
            <v>275</v>
          </cell>
          <cell r="H10221">
            <v>0</v>
          </cell>
        </row>
        <row r="10222">
          <cell r="D10222" t="str">
            <v>Furnitures</v>
          </cell>
          <cell r="F10222">
            <v>0</v>
          </cell>
          <cell r="G10222">
            <v>275</v>
          </cell>
          <cell r="H10222">
            <v>0</v>
          </cell>
        </row>
        <row r="10223">
          <cell r="D10223" t="str">
            <v>Furnitures</v>
          </cell>
          <cell r="F10223">
            <v>0</v>
          </cell>
          <cell r="G10223">
            <v>275</v>
          </cell>
          <cell r="H10223">
            <v>0</v>
          </cell>
        </row>
        <row r="10224">
          <cell r="D10224" t="str">
            <v>Furnitures</v>
          </cell>
          <cell r="F10224">
            <v>0</v>
          </cell>
          <cell r="G10224">
            <v>275</v>
          </cell>
          <cell r="H10224">
            <v>0</v>
          </cell>
        </row>
        <row r="10225">
          <cell r="D10225" t="str">
            <v>Furnitures</v>
          </cell>
          <cell r="F10225">
            <v>0</v>
          </cell>
          <cell r="G10225">
            <v>275</v>
          </cell>
          <cell r="H10225">
            <v>0</v>
          </cell>
        </row>
        <row r="10226">
          <cell r="D10226" t="str">
            <v>Furnitures</v>
          </cell>
          <cell r="F10226">
            <v>0</v>
          </cell>
          <cell r="G10226">
            <v>275</v>
          </cell>
          <cell r="H10226">
            <v>0</v>
          </cell>
        </row>
        <row r="10227">
          <cell r="D10227" t="str">
            <v>Furnitures</v>
          </cell>
          <cell r="F10227">
            <v>0</v>
          </cell>
          <cell r="G10227">
            <v>275</v>
          </cell>
          <cell r="H10227">
            <v>0</v>
          </cell>
        </row>
        <row r="10228">
          <cell r="D10228" t="str">
            <v>Furnitures</v>
          </cell>
          <cell r="F10228">
            <v>0</v>
          </cell>
          <cell r="G10228">
            <v>275</v>
          </cell>
          <cell r="H10228">
            <v>0</v>
          </cell>
        </row>
        <row r="10229">
          <cell r="D10229" t="str">
            <v>Furnitures</v>
          </cell>
          <cell r="F10229">
            <v>0</v>
          </cell>
          <cell r="G10229">
            <v>275</v>
          </cell>
          <cell r="H10229">
            <v>0</v>
          </cell>
        </row>
        <row r="10230">
          <cell r="D10230" t="str">
            <v>Furnitures</v>
          </cell>
          <cell r="F10230">
            <v>0</v>
          </cell>
          <cell r="G10230">
            <v>275</v>
          </cell>
          <cell r="H10230">
            <v>0</v>
          </cell>
        </row>
        <row r="10231">
          <cell r="D10231" t="str">
            <v>Furnitures</v>
          </cell>
          <cell r="F10231">
            <v>0</v>
          </cell>
          <cell r="G10231">
            <v>275</v>
          </cell>
          <cell r="H10231">
            <v>0</v>
          </cell>
        </row>
        <row r="10232">
          <cell r="D10232" t="str">
            <v>Furnitures</v>
          </cell>
          <cell r="F10232">
            <v>0</v>
          </cell>
          <cell r="G10232">
            <v>275</v>
          </cell>
          <cell r="H10232">
            <v>0</v>
          </cell>
        </row>
        <row r="10233">
          <cell r="D10233" t="str">
            <v>Furnitures</v>
          </cell>
          <cell r="F10233">
            <v>0</v>
          </cell>
          <cell r="G10233">
            <v>275</v>
          </cell>
          <cell r="H10233">
            <v>0</v>
          </cell>
        </row>
        <row r="10234">
          <cell r="D10234" t="str">
            <v>Furnitures</v>
          </cell>
          <cell r="F10234">
            <v>0</v>
          </cell>
          <cell r="G10234">
            <v>275</v>
          </cell>
          <cell r="H10234">
            <v>0</v>
          </cell>
        </row>
        <row r="10235">
          <cell r="D10235" t="str">
            <v>Furnitures</v>
          </cell>
          <cell r="F10235">
            <v>0</v>
          </cell>
          <cell r="G10235">
            <v>275</v>
          </cell>
          <cell r="H10235">
            <v>0</v>
          </cell>
        </row>
        <row r="10236">
          <cell r="D10236" t="str">
            <v>Furnitures</v>
          </cell>
          <cell r="F10236">
            <v>0</v>
          </cell>
          <cell r="G10236">
            <v>275</v>
          </cell>
          <cell r="H10236">
            <v>0</v>
          </cell>
        </row>
        <row r="10237">
          <cell r="D10237" t="str">
            <v>Furnitures</v>
          </cell>
          <cell r="F10237">
            <v>0</v>
          </cell>
          <cell r="G10237">
            <v>275</v>
          </cell>
          <cell r="H10237">
            <v>0</v>
          </cell>
        </row>
        <row r="10238">
          <cell r="D10238" t="str">
            <v>Furnitures</v>
          </cell>
          <cell r="F10238">
            <v>0</v>
          </cell>
          <cell r="G10238">
            <v>275</v>
          </cell>
          <cell r="H10238">
            <v>0</v>
          </cell>
        </row>
        <row r="10239">
          <cell r="D10239" t="str">
            <v>Furnitures</v>
          </cell>
          <cell r="F10239">
            <v>0</v>
          </cell>
          <cell r="G10239">
            <v>275</v>
          </cell>
          <cell r="H10239">
            <v>0</v>
          </cell>
        </row>
        <row r="10240">
          <cell r="D10240" t="str">
            <v>Furnitures</v>
          </cell>
          <cell r="F10240">
            <v>0</v>
          </cell>
          <cell r="G10240">
            <v>275</v>
          </cell>
          <cell r="H10240">
            <v>0</v>
          </cell>
        </row>
        <row r="10241">
          <cell r="D10241" t="str">
            <v>Furnitures</v>
          </cell>
          <cell r="F10241">
            <v>0</v>
          </cell>
          <cell r="G10241">
            <v>275</v>
          </cell>
          <cell r="H10241">
            <v>0</v>
          </cell>
        </row>
        <row r="10242">
          <cell r="D10242" t="str">
            <v>Furnitures</v>
          </cell>
          <cell r="F10242">
            <v>0</v>
          </cell>
          <cell r="G10242">
            <v>275</v>
          </cell>
          <cell r="H10242">
            <v>0</v>
          </cell>
        </row>
        <row r="10243">
          <cell r="D10243" t="str">
            <v>Furnitures</v>
          </cell>
          <cell r="F10243">
            <v>0</v>
          </cell>
          <cell r="G10243">
            <v>275</v>
          </cell>
          <cell r="H10243">
            <v>0</v>
          </cell>
        </row>
        <row r="10244">
          <cell r="D10244" t="str">
            <v>Furnitures</v>
          </cell>
          <cell r="F10244">
            <v>9620.2693770491805</v>
          </cell>
          <cell r="G10244">
            <v>275</v>
          </cell>
          <cell r="H10244">
            <v>9149.0745825286322</v>
          </cell>
        </row>
        <row r="10245">
          <cell r="D10245" t="str">
            <v>Furnitures</v>
          </cell>
          <cell r="F10245">
            <v>0</v>
          </cell>
          <cell r="G10245">
            <v>275</v>
          </cell>
          <cell r="H10245">
            <v>0</v>
          </cell>
        </row>
        <row r="10246">
          <cell r="D10246" t="str">
            <v>Furnitures</v>
          </cell>
          <cell r="F10246">
            <v>0</v>
          </cell>
          <cell r="G10246">
            <v>275</v>
          </cell>
          <cell r="H10246">
            <v>0</v>
          </cell>
        </row>
        <row r="10247">
          <cell r="D10247" t="str">
            <v>Furnitures</v>
          </cell>
          <cell r="F10247">
            <v>0</v>
          </cell>
          <cell r="G10247">
            <v>275</v>
          </cell>
          <cell r="H10247">
            <v>0</v>
          </cell>
        </row>
        <row r="10248">
          <cell r="D10248" t="str">
            <v>Furnitures</v>
          </cell>
          <cell r="F10248">
            <v>0</v>
          </cell>
          <cell r="G10248">
            <v>275</v>
          </cell>
          <cell r="H10248">
            <v>0</v>
          </cell>
        </row>
        <row r="10249">
          <cell r="D10249" t="str">
            <v>Furnitures</v>
          </cell>
          <cell r="F10249">
            <v>0</v>
          </cell>
          <cell r="G10249">
            <v>275</v>
          </cell>
          <cell r="H10249">
            <v>0</v>
          </cell>
        </row>
        <row r="10250">
          <cell r="D10250" t="str">
            <v>Furnitures</v>
          </cell>
          <cell r="F10250">
            <v>0</v>
          </cell>
          <cell r="G10250">
            <v>275</v>
          </cell>
          <cell r="H10250">
            <v>0</v>
          </cell>
        </row>
        <row r="10251">
          <cell r="D10251" t="str">
            <v>Furnitures</v>
          </cell>
          <cell r="F10251">
            <v>0</v>
          </cell>
          <cell r="G10251">
            <v>275</v>
          </cell>
          <cell r="H10251">
            <v>0</v>
          </cell>
        </row>
        <row r="10252">
          <cell r="D10252" t="str">
            <v>Furnitures</v>
          </cell>
          <cell r="F10252">
            <v>0</v>
          </cell>
          <cell r="G10252">
            <v>275</v>
          </cell>
          <cell r="H10252">
            <v>0</v>
          </cell>
        </row>
        <row r="10253">
          <cell r="D10253" t="str">
            <v>Furnitures</v>
          </cell>
          <cell r="F10253">
            <v>0</v>
          </cell>
          <cell r="G10253">
            <v>275</v>
          </cell>
          <cell r="H10253">
            <v>0</v>
          </cell>
        </row>
        <row r="10254">
          <cell r="D10254" t="str">
            <v>Furnitures</v>
          </cell>
          <cell r="F10254">
            <v>0</v>
          </cell>
          <cell r="G10254">
            <v>275</v>
          </cell>
          <cell r="H10254">
            <v>0</v>
          </cell>
        </row>
        <row r="10255">
          <cell r="D10255" t="str">
            <v>Furnitures</v>
          </cell>
          <cell r="F10255">
            <v>0</v>
          </cell>
          <cell r="G10255">
            <v>275</v>
          </cell>
          <cell r="H10255">
            <v>0</v>
          </cell>
        </row>
        <row r="10256">
          <cell r="D10256" t="str">
            <v>Furnitures</v>
          </cell>
          <cell r="F10256">
            <v>0</v>
          </cell>
          <cell r="G10256">
            <v>275</v>
          </cell>
          <cell r="H10256">
            <v>0</v>
          </cell>
        </row>
        <row r="10257">
          <cell r="D10257" t="str">
            <v>Furnitures</v>
          </cell>
          <cell r="F10257">
            <v>0</v>
          </cell>
          <cell r="G10257">
            <v>275</v>
          </cell>
          <cell r="H10257">
            <v>0</v>
          </cell>
        </row>
        <row r="10258">
          <cell r="D10258" t="str">
            <v>Furnitures</v>
          </cell>
          <cell r="F10258">
            <v>0</v>
          </cell>
          <cell r="G10258">
            <v>275</v>
          </cell>
          <cell r="H10258">
            <v>0</v>
          </cell>
        </row>
        <row r="10259">
          <cell r="D10259" t="str">
            <v>Furnitures</v>
          </cell>
          <cell r="F10259">
            <v>0</v>
          </cell>
          <cell r="G10259">
            <v>275</v>
          </cell>
          <cell r="H10259">
            <v>0</v>
          </cell>
        </row>
        <row r="10260">
          <cell r="D10260" t="str">
            <v>Furnitures</v>
          </cell>
          <cell r="F10260">
            <v>0</v>
          </cell>
          <cell r="G10260">
            <v>275</v>
          </cell>
          <cell r="H10260">
            <v>0</v>
          </cell>
        </row>
        <row r="10261">
          <cell r="D10261" t="str">
            <v>Furnitures</v>
          </cell>
          <cell r="F10261">
            <v>0</v>
          </cell>
          <cell r="G10261">
            <v>275</v>
          </cell>
          <cell r="H10261">
            <v>0</v>
          </cell>
        </row>
        <row r="10262">
          <cell r="D10262" t="str">
            <v>Furnitures</v>
          </cell>
          <cell r="F10262">
            <v>0</v>
          </cell>
          <cell r="G10262">
            <v>275</v>
          </cell>
          <cell r="H10262">
            <v>0</v>
          </cell>
        </row>
        <row r="10263">
          <cell r="D10263" t="str">
            <v>Furnitures</v>
          </cell>
          <cell r="F10263">
            <v>0</v>
          </cell>
          <cell r="G10263">
            <v>275</v>
          </cell>
          <cell r="H10263">
            <v>0</v>
          </cell>
        </row>
        <row r="10264">
          <cell r="D10264" t="str">
            <v>Furnitures</v>
          </cell>
          <cell r="F10264">
            <v>0</v>
          </cell>
          <cell r="G10264">
            <v>275</v>
          </cell>
          <cell r="H10264">
            <v>0</v>
          </cell>
        </row>
        <row r="10265">
          <cell r="D10265" t="str">
            <v>Furnitures</v>
          </cell>
          <cell r="F10265">
            <v>0</v>
          </cell>
          <cell r="G10265">
            <v>275</v>
          </cell>
          <cell r="H10265">
            <v>0</v>
          </cell>
        </row>
        <row r="10266">
          <cell r="D10266" t="str">
            <v>Furnitures</v>
          </cell>
          <cell r="F10266">
            <v>0</v>
          </cell>
          <cell r="G10266">
            <v>275</v>
          </cell>
          <cell r="H10266">
            <v>0</v>
          </cell>
        </row>
        <row r="10267">
          <cell r="D10267" t="str">
            <v>Furnitures</v>
          </cell>
          <cell r="F10267">
            <v>0</v>
          </cell>
          <cell r="G10267">
            <v>275</v>
          </cell>
          <cell r="H10267">
            <v>0</v>
          </cell>
        </row>
        <row r="10268">
          <cell r="D10268" t="str">
            <v>Furnitures</v>
          </cell>
          <cell r="F10268">
            <v>0</v>
          </cell>
          <cell r="G10268">
            <v>275</v>
          </cell>
          <cell r="H10268">
            <v>0</v>
          </cell>
        </row>
        <row r="10269">
          <cell r="D10269" t="str">
            <v>Furnitures</v>
          </cell>
          <cell r="F10269">
            <v>0</v>
          </cell>
          <cell r="G10269">
            <v>275</v>
          </cell>
          <cell r="H10269">
            <v>0</v>
          </cell>
        </row>
        <row r="10270">
          <cell r="D10270" t="str">
            <v>Furnitures</v>
          </cell>
          <cell r="F10270">
            <v>0</v>
          </cell>
          <cell r="G10270">
            <v>275</v>
          </cell>
          <cell r="H10270">
            <v>0</v>
          </cell>
        </row>
        <row r="10271">
          <cell r="D10271" t="str">
            <v>Furnitures</v>
          </cell>
          <cell r="F10271">
            <v>0</v>
          </cell>
          <cell r="G10271">
            <v>275</v>
          </cell>
          <cell r="H10271">
            <v>0</v>
          </cell>
        </row>
        <row r="10272">
          <cell r="D10272" t="str">
            <v>Furnitures</v>
          </cell>
          <cell r="F10272">
            <v>0</v>
          </cell>
          <cell r="G10272">
            <v>275</v>
          </cell>
          <cell r="H10272">
            <v>0</v>
          </cell>
        </row>
        <row r="10273">
          <cell r="D10273" t="str">
            <v>Furnitures</v>
          </cell>
          <cell r="F10273">
            <v>0</v>
          </cell>
          <cell r="G10273">
            <v>275</v>
          </cell>
          <cell r="H10273">
            <v>0</v>
          </cell>
        </row>
        <row r="10274">
          <cell r="D10274" t="str">
            <v>Furnitures</v>
          </cell>
          <cell r="F10274">
            <v>0</v>
          </cell>
          <cell r="G10274">
            <v>275</v>
          </cell>
          <cell r="H10274">
            <v>0</v>
          </cell>
        </row>
        <row r="10275">
          <cell r="D10275" t="str">
            <v>Furnitures</v>
          </cell>
          <cell r="F10275">
            <v>0</v>
          </cell>
          <cell r="G10275">
            <v>275</v>
          </cell>
          <cell r="H10275">
            <v>0</v>
          </cell>
        </row>
        <row r="10276">
          <cell r="D10276" t="str">
            <v>Furnitures</v>
          </cell>
          <cell r="F10276">
            <v>0</v>
          </cell>
          <cell r="G10276">
            <v>275</v>
          </cell>
          <cell r="H10276">
            <v>0</v>
          </cell>
        </row>
        <row r="10277">
          <cell r="D10277" t="str">
            <v>Furnitures</v>
          </cell>
          <cell r="F10277">
            <v>0</v>
          </cell>
          <cell r="G10277">
            <v>275</v>
          </cell>
          <cell r="H10277">
            <v>0</v>
          </cell>
        </row>
        <row r="10278">
          <cell r="D10278" t="str">
            <v>Furnitures</v>
          </cell>
          <cell r="F10278">
            <v>0</v>
          </cell>
          <cell r="G10278">
            <v>275</v>
          </cell>
          <cell r="H10278">
            <v>0</v>
          </cell>
        </row>
        <row r="10279">
          <cell r="D10279" t="str">
            <v>Furnitures</v>
          </cell>
          <cell r="F10279">
            <v>0</v>
          </cell>
          <cell r="G10279">
            <v>275</v>
          </cell>
          <cell r="H10279">
            <v>0</v>
          </cell>
        </row>
        <row r="10280">
          <cell r="D10280" t="str">
            <v>Furnitures</v>
          </cell>
          <cell r="F10280">
            <v>0</v>
          </cell>
          <cell r="G10280">
            <v>275</v>
          </cell>
          <cell r="H10280">
            <v>0</v>
          </cell>
        </row>
        <row r="10281">
          <cell r="D10281" t="str">
            <v>Furnitures</v>
          </cell>
          <cell r="F10281">
            <v>0</v>
          </cell>
          <cell r="G10281">
            <v>275</v>
          </cell>
          <cell r="H10281">
            <v>0</v>
          </cell>
        </row>
        <row r="10282">
          <cell r="D10282" t="str">
            <v>Furnitures</v>
          </cell>
          <cell r="F10282">
            <v>0</v>
          </cell>
          <cell r="G10282">
            <v>275</v>
          </cell>
          <cell r="H10282">
            <v>0</v>
          </cell>
        </row>
        <row r="10283">
          <cell r="D10283" t="str">
            <v>Furnitures</v>
          </cell>
          <cell r="F10283">
            <v>0</v>
          </cell>
          <cell r="G10283">
            <v>275</v>
          </cell>
          <cell r="H10283">
            <v>0</v>
          </cell>
        </row>
        <row r="10284">
          <cell r="D10284" t="str">
            <v>Furnitures</v>
          </cell>
          <cell r="F10284">
            <v>0</v>
          </cell>
          <cell r="G10284">
            <v>275</v>
          </cell>
          <cell r="H10284">
            <v>0</v>
          </cell>
        </row>
        <row r="10285">
          <cell r="D10285" t="str">
            <v>Furnitures</v>
          </cell>
          <cell r="F10285">
            <v>0</v>
          </cell>
          <cell r="G10285">
            <v>275</v>
          </cell>
          <cell r="H10285">
            <v>0</v>
          </cell>
        </row>
        <row r="10286">
          <cell r="D10286" t="str">
            <v>Furnitures</v>
          </cell>
          <cell r="F10286">
            <v>0</v>
          </cell>
          <cell r="G10286">
            <v>275</v>
          </cell>
          <cell r="H10286">
            <v>0</v>
          </cell>
        </row>
        <row r="10287">
          <cell r="D10287" t="str">
            <v>Furnitures</v>
          </cell>
          <cell r="F10287">
            <v>0</v>
          </cell>
          <cell r="G10287">
            <v>275</v>
          </cell>
          <cell r="H10287">
            <v>0</v>
          </cell>
        </row>
        <row r="10288">
          <cell r="D10288" t="str">
            <v>Furnitures</v>
          </cell>
          <cell r="F10288">
            <v>0</v>
          </cell>
          <cell r="G10288">
            <v>275</v>
          </cell>
          <cell r="H10288">
            <v>0</v>
          </cell>
        </row>
        <row r="10289">
          <cell r="D10289" t="str">
            <v>Furnitures</v>
          </cell>
          <cell r="F10289">
            <v>0</v>
          </cell>
          <cell r="G10289">
            <v>275</v>
          </cell>
          <cell r="H10289">
            <v>0</v>
          </cell>
        </row>
        <row r="10290">
          <cell r="D10290" t="str">
            <v>Furnitures</v>
          </cell>
          <cell r="F10290">
            <v>0</v>
          </cell>
          <cell r="G10290">
            <v>275</v>
          </cell>
          <cell r="H10290">
            <v>0</v>
          </cell>
        </row>
        <row r="10291">
          <cell r="D10291" t="str">
            <v>Furnitures</v>
          </cell>
          <cell r="F10291">
            <v>0</v>
          </cell>
          <cell r="G10291">
            <v>275</v>
          </cell>
          <cell r="H10291">
            <v>0</v>
          </cell>
        </row>
        <row r="10292">
          <cell r="D10292" t="str">
            <v>Furnitures</v>
          </cell>
          <cell r="F10292">
            <v>0</v>
          </cell>
          <cell r="G10292">
            <v>275</v>
          </cell>
          <cell r="H10292">
            <v>0</v>
          </cell>
        </row>
        <row r="10293">
          <cell r="D10293" t="str">
            <v>Furnitures</v>
          </cell>
          <cell r="F10293">
            <v>0</v>
          </cell>
          <cell r="G10293">
            <v>275</v>
          </cell>
          <cell r="H10293">
            <v>0</v>
          </cell>
        </row>
        <row r="10294">
          <cell r="D10294" t="str">
            <v>Furnitures</v>
          </cell>
          <cell r="F10294">
            <v>0</v>
          </cell>
          <cell r="G10294">
            <v>275</v>
          </cell>
          <cell r="H10294">
            <v>0</v>
          </cell>
        </row>
        <row r="10295">
          <cell r="D10295" t="str">
            <v>Furnitures</v>
          </cell>
          <cell r="F10295">
            <v>0</v>
          </cell>
          <cell r="G10295">
            <v>275</v>
          </cell>
          <cell r="H10295">
            <v>0</v>
          </cell>
        </row>
        <row r="10296">
          <cell r="D10296" t="str">
            <v>Furnitures</v>
          </cell>
          <cell r="F10296">
            <v>0</v>
          </cell>
          <cell r="G10296">
            <v>275</v>
          </cell>
          <cell r="H10296">
            <v>0</v>
          </cell>
        </row>
        <row r="10297">
          <cell r="D10297" t="str">
            <v>Furnitures</v>
          </cell>
          <cell r="F10297">
            <v>0</v>
          </cell>
          <cell r="G10297">
            <v>275</v>
          </cell>
          <cell r="H10297">
            <v>0</v>
          </cell>
        </row>
        <row r="10298">
          <cell r="D10298" t="str">
            <v>Furnitures</v>
          </cell>
          <cell r="F10298">
            <v>0</v>
          </cell>
          <cell r="G10298">
            <v>275</v>
          </cell>
          <cell r="H10298">
            <v>0</v>
          </cell>
        </row>
        <row r="10299">
          <cell r="D10299" t="str">
            <v>Furnitures</v>
          </cell>
          <cell r="F10299">
            <v>0</v>
          </cell>
          <cell r="G10299">
            <v>275</v>
          </cell>
          <cell r="H10299">
            <v>0</v>
          </cell>
        </row>
        <row r="10300">
          <cell r="D10300" t="str">
            <v>Furnitures</v>
          </cell>
          <cell r="F10300">
            <v>0</v>
          </cell>
          <cell r="G10300">
            <v>275</v>
          </cell>
          <cell r="H10300">
            <v>0</v>
          </cell>
        </row>
        <row r="10301">
          <cell r="D10301" t="str">
            <v>Furnitures</v>
          </cell>
          <cell r="F10301">
            <v>0</v>
          </cell>
          <cell r="G10301">
            <v>275</v>
          </cell>
          <cell r="H10301">
            <v>0</v>
          </cell>
        </row>
        <row r="10302">
          <cell r="D10302" t="str">
            <v>Furnitures</v>
          </cell>
          <cell r="F10302">
            <v>0</v>
          </cell>
          <cell r="G10302">
            <v>275</v>
          </cell>
          <cell r="H10302">
            <v>0</v>
          </cell>
        </row>
        <row r="10303">
          <cell r="D10303" t="str">
            <v>Furnitures</v>
          </cell>
          <cell r="F10303">
            <v>0</v>
          </cell>
          <cell r="G10303">
            <v>275</v>
          </cell>
          <cell r="H10303">
            <v>0</v>
          </cell>
        </row>
        <row r="10304">
          <cell r="D10304" t="str">
            <v>Furnitures</v>
          </cell>
          <cell r="F10304">
            <v>0</v>
          </cell>
          <cell r="G10304">
            <v>275</v>
          </cell>
          <cell r="H10304">
            <v>0</v>
          </cell>
        </row>
        <row r="10305">
          <cell r="D10305" t="str">
            <v>Furnitures</v>
          </cell>
          <cell r="F10305">
            <v>0</v>
          </cell>
          <cell r="G10305">
            <v>275</v>
          </cell>
          <cell r="H10305">
            <v>0</v>
          </cell>
        </row>
        <row r="10306">
          <cell r="D10306" t="str">
            <v>Furnitures</v>
          </cell>
          <cell r="F10306">
            <v>0</v>
          </cell>
          <cell r="G10306">
            <v>275</v>
          </cell>
          <cell r="H10306">
            <v>0</v>
          </cell>
        </row>
        <row r="10307">
          <cell r="D10307" t="str">
            <v>Furnitures</v>
          </cell>
          <cell r="F10307">
            <v>0</v>
          </cell>
          <cell r="G10307">
            <v>275</v>
          </cell>
          <cell r="H10307">
            <v>0</v>
          </cell>
        </row>
        <row r="10308">
          <cell r="D10308" t="str">
            <v>Furnitures</v>
          </cell>
          <cell r="F10308">
            <v>0</v>
          </cell>
          <cell r="G10308">
            <v>275</v>
          </cell>
          <cell r="H10308">
            <v>0</v>
          </cell>
        </row>
        <row r="10309">
          <cell r="D10309" t="str">
            <v>Furnitures</v>
          </cell>
          <cell r="F10309">
            <v>0</v>
          </cell>
          <cell r="G10309">
            <v>275</v>
          </cell>
          <cell r="H10309">
            <v>0</v>
          </cell>
        </row>
        <row r="10310">
          <cell r="D10310" t="str">
            <v>Furnitures</v>
          </cell>
          <cell r="F10310">
            <v>0</v>
          </cell>
          <cell r="G10310">
            <v>275</v>
          </cell>
          <cell r="H10310">
            <v>0</v>
          </cell>
        </row>
        <row r="10311">
          <cell r="D10311" t="str">
            <v>Furnitures</v>
          </cell>
          <cell r="F10311">
            <v>0</v>
          </cell>
          <cell r="G10311">
            <v>275</v>
          </cell>
          <cell r="H10311">
            <v>0</v>
          </cell>
        </row>
        <row r="10312">
          <cell r="D10312" t="str">
            <v>Furnitures</v>
          </cell>
          <cell r="F10312">
            <v>0</v>
          </cell>
          <cell r="G10312">
            <v>275</v>
          </cell>
          <cell r="H10312">
            <v>0</v>
          </cell>
        </row>
        <row r="10313">
          <cell r="D10313" t="str">
            <v>Furnitures</v>
          </cell>
          <cell r="F10313">
            <v>0</v>
          </cell>
          <cell r="G10313">
            <v>275</v>
          </cell>
          <cell r="H10313">
            <v>0</v>
          </cell>
        </row>
        <row r="10314">
          <cell r="D10314" t="str">
            <v>Furnitures</v>
          </cell>
          <cell r="F10314">
            <v>0</v>
          </cell>
          <cell r="G10314">
            <v>275</v>
          </cell>
          <cell r="H10314">
            <v>0</v>
          </cell>
        </row>
        <row r="10315">
          <cell r="D10315" t="str">
            <v>Furnitures</v>
          </cell>
          <cell r="F10315">
            <v>4977.3951639344259</v>
          </cell>
          <cell r="G10315">
            <v>275</v>
          </cell>
          <cell r="H10315">
            <v>4734.1670817426448</v>
          </cell>
        </row>
        <row r="10316">
          <cell r="D10316" t="str">
            <v>Furnitures</v>
          </cell>
          <cell r="F10316">
            <v>0</v>
          </cell>
          <cell r="G10316">
            <v>275</v>
          </cell>
          <cell r="H10316">
            <v>0</v>
          </cell>
        </row>
        <row r="10317">
          <cell r="D10317" t="str">
            <v>Furnitures</v>
          </cell>
          <cell r="F10317">
            <v>0</v>
          </cell>
          <cell r="G10317">
            <v>275</v>
          </cell>
          <cell r="H10317">
            <v>0</v>
          </cell>
        </row>
        <row r="10318">
          <cell r="D10318" t="str">
            <v>Furnitures</v>
          </cell>
          <cell r="F10318">
            <v>0</v>
          </cell>
          <cell r="G10318">
            <v>275</v>
          </cell>
          <cell r="H10318">
            <v>0</v>
          </cell>
        </row>
        <row r="10319">
          <cell r="D10319" t="str">
            <v>Furnitures</v>
          </cell>
          <cell r="F10319">
            <v>0</v>
          </cell>
          <cell r="G10319">
            <v>275</v>
          </cell>
          <cell r="H10319">
            <v>0</v>
          </cell>
        </row>
        <row r="10320">
          <cell r="D10320" t="str">
            <v>Furnitures</v>
          </cell>
          <cell r="F10320">
            <v>0</v>
          </cell>
          <cell r="G10320">
            <v>275</v>
          </cell>
          <cell r="H10320">
            <v>0</v>
          </cell>
        </row>
        <row r="10321">
          <cell r="D10321" t="str">
            <v>Furnitures</v>
          </cell>
          <cell r="F10321">
            <v>0</v>
          </cell>
          <cell r="G10321">
            <v>275</v>
          </cell>
          <cell r="H10321">
            <v>0</v>
          </cell>
        </row>
        <row r="10322">
          <cell r="D10322" t="str">
            <v>Furnitures</v>
          </cell>
          <cell r="F10322">
            <v>0</v>
          </cell>
          <cell r="G10322">
            <v>275</v>
          </cell>
          <cell r="H10322">
            <v>0</v>
          </cell>
        </row>
        <row r="10323">
          <cell r="D10323" t="str">
            <v>Furnitures</v>
          </cell>
          <cell r="F10323">
            <v>0</v>
          </cell>
          <cell r="G10323">
            <v>275</v>
          </cell>
          <cell r="H10323">
            <v>0</v>
          </cell>
        </row>
        <row r="10324">
          <cell r="D10324" t="str">
            <v>Furnitures</v>
          </cell>
          <cell r="F10324">
            <v>0</v>
          </cell>
          <cell r="G10324">
            <v>275</v>
          </cell>
          <cell r="H10324">
            <v>0</v>
          </cell>
        </row>
        <row r="10325">
          <cell r="D10325" t="str">
            <v>Furnitures</v>
          </cell>
          <cell r="F10325">
            <v>0</v>
          </cell>
          <cell r="G10325">
            <v>275</v>
          </cell>
          <cell r="H10325">
            <v>0</v>
          </cell>
        </row>
        <row r="10326">
          <cell r="D10326" t="str">
            <v>Furnitures</v>
          </cell>
          <cell r="F10326">
            <v>0</v>
          </cell>
          <cell r="G10326">
            <v>275</v>
          </cell>
          <cell r="H10326">
            <v>0</v>
          </cell>
        </row>
        <row r="10327">
          <cell r="D10327" t="str">
            <v>Furnitures</v>
          </cell>
          <cell r="F10327">
            <v>0</v>
          </cell>
          <cell r="G10327">
            <v>275</v>
          </cell>
          <cell r="H10327">
            <v>0</v>
          </cell>
        </row>
        <row r="10328">
          <cell r="D10328" t="str">
            <v>Furnitures</v>
          </cell>
          <cell r="F10328">
            <v>0</v>
          </cell>
          <cell r="G10328">
            <v>275</v>
          </cell>
          <cell r="H10328">
            <v>0</v>
          </cell>
        </row>
        <row r="10329">
          <cell r="D10329" t="str">
            <v>Furnitures</v>
          </cell>
          <cell r="F10329">
            <v>0</v>
          </cell>
          <cell r="G10329">
            <v>275</v>
          </cell>
          <cell r="H10329">
            <v>0</v>
          </cell>
        </row>
        <row r="10330">
          <cell r="D10330" t="str">
            <v>Furnitures</v>
          </cell>
          <cell r="F10330">
            <v>0</v>
          </cell>
          <cell r="G10330">
            <v>275</v>
          </cell>
          <cell r="H10330">
            <v>0</v>
          </cell>
        </row>
        <row r="10331">
          <cell r="D10331" t="str">
            <v>Furnitures</v>
          </cell>
          <cell r="F10331">
            <v>0</v>
          </cell>
          <cell r="G10331">
            <v>275</v>
          </cell>
          <cell r="H10331">
            <v>0</v>
          </cell>
        </row>
        <row r="10332">
          <cell r="D10332" t="str">
            <v>Furnitures</v>
          </cell>
          <cell r="F10332">
            <v>0</v>
          </cell>
          <cell r="G10332">
            <v>275</v>
          </cell>
          <cell r="H10332">
            <v>0</v>
          </cell>
        </row>
        <row r="10333">
          <cell r="D10333" t="str">
            <v>Furnitures</v>
          </cell>
          <cell r="F10333">
            <v>0</v>
          </cell>
          <cell r="G10333">
            <v>275</v>
          </cell>
          <cell r="H10333">
            <v>0</v>
          </cell>
        </row>
        <row r="10334">
          <cell r="D10334" t="str">
            <v>Furnitures</v>
          </cell>
          <cell r="F10334">
            <v>0</v>
          </cell>
          <cell r="G10334">
            <v>275</v>
          </cell>
          <cell r="H10334">
            <v>0</v>
          </cell>
        </row>
        <row r="10335">
          <cell r="D10335" t="str">
            <v>Furnitures</v>
          </cell>
          <cell r="F10335">
            <v>0</v>
          </cell>
          <cell r="G10335">
            <v>275</v>
          </cell>
          <cell r="H10335">
            <v>0</v>
          </cell>
        </row>
        <row r="10336">
          <cell r="D10336" t="str">
            <v>Furnitures</v>
          </cell>
          <cell r="F10336">
            <v>0</v>
          </cell>
          <cell r="G10336">
            <v>275</v>
          </cell>
          <cell r="H10336">
            <v>0</v>
          </cell>
        </row>
        <row r="10337">
          <cell r="D10337" t="str">
            <v>Furnitures</v>
          </cell>
          <cell r="F10337">
            <v>0</v>
          </cell>
          <cell r="G10337">
            <v>275</v>
          </cell>
          <cell r="H10337">
            <v>0</v>
          </cell>
        </row>
        <row r="10338">
          <cell r="D10338" t="str">
            <v>Furnitures</v>
          </cell>
          <cell r="F10338">
            <v>0</v>
          </cell>
          <cell r="G10338">
            <v>275</v>
          </cell>
          <cell r="H10338">
            <v>0</v>
          </cell>
        </row>
        <row r="10339">
          <cell r="D10339" t="str">
            <v>Furnitures</v>
          </cell>
          <cell r="F10339">
            <v>0</v>
          </cell>
          <cell r="G10339">
            <v>275</v>
          </cell>
          <cell r="H10339">
            <v>0</v>
          </cell>
        </row>
        <row r="10340">
          <cell r="D10340" t="str">
            <v>Furnitures</v>
          </cell>
          <cell r="F10340">
            <v>0</v>
          </cell>
          <cell r="G10340">
            <v>275</v>
          </cell>
          <cell r="H10340">
            <v>0</v>
          </cell>
        </row>
        <row r="10341">
          <cell r="D10341" t="str">
            <v>Furnitures</v>
          </cell>
          <cell r="F10341">
            <v>0</v>
          </cell>
          <cell r="G10341">
            <v>275</v>
          </cell>
          <cell r="H10341">
            <v>0</v>
          </cell>
        </row>
        <row r="10342">
          <cell r="D10342" t="str">
            <v>Furnitures</v>
          </cell>
          <cell r="F10342">
            <v>0</v>
          </cell>
          <cell r="G10342">
            <v>275</v>
          </cell>
          <cell r="H10342">
            <v>0</v>
          </cell>
        </row>
        <row r="10343">
          <cell r="D10343" t="str">
            <v>Furnitures</v>
          </cell>
          <cell r="F10343">
            <v>0</v>
          </cell>
          <cell r="G10343">
            <v>275</v>
          </cell>
          <cell r="H10343">
            <v>0</v>
          </cell>
        </row>
        <row r="10344">
          <cell r="D10344" t="str">
            <v>Furnitures</v>
          </cell>
          <cell r="F10344">
            <v>0</v>
          </cell>
          <cell r="G10344">
            <v>275</v>
          </cell>
          <cell r="H10344">
            <v>0</v>
          </cell>
        </row>
        <row r="10345">
          <cell r="D10345" t="str">
            <v>Furnitures</v>
          </cell>
          <cell r="F10345">
            <v>0</v>
          </cell>
          <cell r="G10345">
            <v>275</v>
          </cell>
          <cell r="H10345">
            <v>0</v>
          </cell>
        </row>
        <row r="10346">
          <cell r="D10346" t="str">
            <v>Furnitures</v>
          </cell>
          <cell r="F10346">
            <v>0</v>
          </cell>
          <cell r="G10346">
            <v>275</v>
          </cell>
          <cell r="H10346">
            <v>0</v>
          </cell>
        </row>
        <row r="10347">
          <cell r="D10347" t="str">
            <v>Furnitures</v>
          </cell>
          <cell r="F10347">
            <v>0</v>
          </cell>
          <cell r="G10347">
            <v>275</v>
          </cell>
          <cell r="H10347">
            <v>0</v>
          </cell>
        </row>
        <row r="10348">
          <cell r="D10348" t="str">
            <v>Furnitures</v>
          </cell>
          <cell r="F10348">
            <v>0</v>
          </cell>
          <cell r="G10348">
            <v>275</v>
          </cell>
          <cell r="H10348">
            <v>0</v>
          </cell>
        </row>
        <row r="10349">
          <cell r="D10349" t="str">
            <v>Furnitures</v>
          </cell>
          <cell r="F10349">
            <v>0</v>
          </cell>
          <cell r="G10349">
            <v>275</v>
          </cell>
          <cell r="H10349">
            <v>0</v>
          </cell>
        </row>
        <row r="10350">
          <cell r="D10350" t="str">
            <v>Furnitures</v>
          </cell>
          <cell r="F10350">
            <v>0</v>
          </cell>
          <cell r="G10350">
            <v>275</v>
          </cell>
          <cell r="H10350">
            <v>0</v>
          </cell>
        </row>
        <row r="10351">
          <cell r="D10351" t="str">
            <v>Furnitures</v>
          </cell>
          <cell r="F10351">
            <v>0</v>
          </cell>
          <cell r="G10351">
            <v>275</v>
          </cell>
          <cell r="H10351">
            <v>0</v>
          </cell>
        </row>
        <row r="10352">
          <cell r="D10352" t="str">
            <v>Furnitures</v>
          </cell>
          <cell r="F10352">
            <v>0</v>
          </cell>
          <cell r="G10352">
            <v>275</v>
          </cell>
          <cell r="H10352">
            <v>0</v>
          </cell>
        </row>
        <row r="10353">
          <cell r="D10353" t="str">
            <v>Furnitures</v>
          </cell>
          <cell r="F10353">
            <v>0</v>
          </cell>
          <cell r="G10353">
            <v>275</v>
          </cell>
          <cell r="H10353">
            <v>0</v>
          </cell>
        </row>
        <row r="10354">
          <cell r="D10354" t="str">
            <v>Furnitures</v>
          </cell>
          <cell r="F10354">
            <v>0</v>
          </cell>
          <cell r="G10354">
            <v>275</v>
          </cell>
          <cell r="H10354">
            <v>0</v>
          </cell>
        </row>
        <row r="10355">
          <cell r="D10355" t="str">
            <v>Furnitures</v>
          </cell>
          <cell r="F10355">
            <v>0</v>
          </cell>
          <cell r="G10355">
            <v>275</v>
          </cell>
          <cell r="H10355">
            <v>0</v>
          </cell>
        </row>
        <row r="10356">
          <cell r="D10356" t="str">
            <v>Furnitures</v>
          </cell>
          <cell r="F10356">
            <v>0</v>
          </cell>
          <cell r="G10356">
            <v>275</v>
          </cell>
          <cell r="H10356">
            <v>0</v>
          </cell>
        </row>
        <row r="10357">
          <cell r="D10357" t="str">
            <v>Furnitures</v>
          </cell>
          <cell r="F10357">
            <v>0</v>
          </cell>
          <cell r="G10357">
            <v>275</v>
          </cell>
          <cell r="H10357">
            <v>0</v>
          </cell>
        </row>
        <row r="10358">
          <cell r="D10358" t="str">
            <v>Furnitures</v>
          </cell>
          <cell r="F10358">
            <v>0</v>
          </cell>
          <cell r="G10358">
            <v>275</v>
          </cell>
          <cell r="H10358">
            <v>0</v>
          </cell>
        </row>
        <row r="10359">
          <cell r="D10359" t="str">
            <v>Furnitures</v>
          </cell>
          <cell r="F10359">
            <v>0</v>
          </cell>
          <cell r="G10359">
            <v>275</v>
          </cell>
          <cell r="H10359">
            <v>0</v>
          </cell>
        </row>
        <row r="10360">
          <cell r="D10360" t="str">
            <v>Furnitures</v>
          </cell>
          <cell r="F10360">
            <v>0</v>
          </cell>
          <cell r="G10360">
            <v>275</v>
          </cell>
          <cell r="H10360">
            <v>0</v>
          </cell>
        </row>
        <row r="10361">
          <cell r="D10361" t="str">
            <v>Furnitures</v>
          </cell>
          <cell r="F10361">
            <v>0</v>
          </cell>
          <cell r="G10361">
            <v>275</v>
          </cell>
          <cell r="H10361">
            <v>0</v>
          </cell>
        </row>
        <row r="10362">
          <cell r="D10362" t="str">
            <v>Furnitures</v>
          </cell>
          <cell r="F10362">
            <v>0</v>
          </cell>
          <cell r="G10362">
            <v>275</v>
          </cell>
          <cell r="H10362">
            <v>0</v>
          </cell>
        </row>
        <row r="10363">
          <cell r="D10363" t="str">
            <v>Furnitures</v>
          </cell>
          <cell r="F10363">
            <v>0</v>
          </cell>
          <cell r="G10363">
            <v>275</v>
          </cell>
          <cell r="H10363">
            <v>0</v>
          </cell>
        </row>
        <row r="10364">
          <cell r="D10364" t="str">
            <v>Furnitures</v>
          </cell>
          <cell r="F10364">
            <v>0</v>
          </cell>
          <cell r="G10364">
            <v>275</v>
          </cell>
          <cell r="H10364">
            <v>0</v>
          </cell>
        </row>
        <row r="10365">
          <cell r="D10365" t="str">
            <v>Furnitures</v>
          </cell>
          <cell r="F10365">
            <v>0</v>
          </cell>
          <cell r="G10365">
            <v>275</v>
          </cell>
          <cell r="H10365">
            <v>0</v>
          </cell>
        </row>
        <row r="10366">
          <cell r="D10366" t="str">
            <v>Furnitures</v>
          </cell>
          <cell r="F10366">
            <v>0</v>
          </cell>
          <cell r="G10366">
            <v>275</v>
          </cell>
          <cell r="H10366">
            <v>0</v>
          </cell>
        </row>
        <row r="10367">
          <cell r="D10367" t="str">
            <v>Furnitures</v>
          </cell>
          <cell r="F10367">
            <v>0</v>
          </cell>
          <cell r="G10367">
            <v>275</v>
          </cell>
          <cell r="H10367">
            <v>0</v>
          </cell>
        </row>
        <row r="10368">
          <cell r="D10368" t="str">
            <v>Furnitures</v>
          </cell>
          <cell r="F10368">
            <v>0</v>
          </cell>
          <cell r="G10368">
            <v>275</v>
          </cell>
          <cell r="H10368">
            <v>0</v>
          </cell>
        </row>
        <row r="10369">
          <cell r="D10369" t="str">
            <v>Furnitures</v>
          </cell>
          <cell r="F10369">
            <v>0</v>
          </cell>
          <cell r="G10369">
            <v>275</v>
          </cell>
          <cell r="H10369">
            <v>0</v>
          </cell>
        </row>
        <row r="10370">
          <cell r="D10370" t="str">
            <v>Furnitures</v>
          </cell>
          <cell r="F10370">
            <v>0</v>
          </cell>
          <cell r="G10370">
            <v>275</v>
          </cell>
          <cell r="H10370">
            <v>0</v>
          </cell>
        </row>
        <row r="10371">
          <cell r="D10371" t="str">
            <v>Furnitures</v>
          </cell>
          <cell r="F10371">
            <v>0</v>
          </cell>
          <cell r="G10371">
            <v>275</v>
          </cell>
          <cell r="H10371">
            <v>0</v>
          </cell>
        </row>
        <row r="10372">
          <cell r="D10372" t="str">
            <v>Furnitures</v>
          </cell>
          <cell r="F10372">
            <v>0</v>
          </cell>
          <cell r="G10372">
            <v>275</v>
          </cell>
          <cell r="H10372">
            <v>0</v>
          </cell>
        </row>
        <row r="10373">
          <cell r="D10373" t="str">
            <v>Furnitures</v>
          </cell>
          <cell r="F10373">
            <v>0</v>
          </cell>
          <cell r="G10373">
            <v>275</v>
          </cell>
          <cell r="H10373">
            <v>0</v>
          </cell>
        </row>
        <row r="10374">
          <cell r="D10374" t="str">
            <v>Furnitures</v>
          </cell>
          <cell r="F10374">
            <v>0</v>
          </cell>
          <cell r="G10374">
            <v>275</v>
          </cell>
          <cell r="H10374">
            <v>0</v>
          </cell>
        </row>
        <row r="10375">
          <cell r="D10375" t="str">
            <v>Furnitures</v>
          </cell>
          <cell r="F10375">
            <v>0</v>
          </cell>
          <cell r="G10375">
            <v>275</v>
          </cell>
          <cell r="H10375">
            <v>0</v>
          </cell>
        </row>
        <row r="10376">
          <cell r="D10376" t="str">
            <v>Furnitures</v>
          </cell>
          <cell r="F10376">
            <v>0</v>
          </cell>
          <cell r="G10376">
            <v>275</v>
          </cell>
          <cell r="H10376">
            <v>0</v>
          </cell>
        </row>
        <row r="10377">
          <cell r="D10377" t="str">
            <v>Furnitures</v>
          </cell>
          <cell r="F10377">
            <v>5020.7903631147537</v>
          </cell>
          <cell r="G10377">
            <v>275</v>
          </cell>
          <cell r="H10377">
            <v>4775.7023014709184</v>
          </cell>
        </row>
        <row r="10378">
          <cell r="D10378" t="str">
            <v>Furnitures</v>
          </cell>
          <cell r="F10378">
            <v>5020.7903631147537</v>
          </cell>
          <cell r="G10378">
            <v>275</v>
          </cell>
          <cell r="H10378">
            <v>4775.7023014709184</v>
          </cell>
        </row>
        <row r="10379">
          <cell r="D10379" t="str">
            <v>Furnitures</v>
          </cell>
          <cell r="F10379">
            <v>0</v>
          </cell>
          <cell r="G10379">
            <v>275</v>
          </cell>
          <cell r="H10379">
            <v>0</v>
          </cell>
        </row>
        <row r="10380">
          <cell r="D10380" t="str">
            <v>Furnitures</v>
          </cell>
          <cell r="F10380">
            <v>0</v>
          </cell>
          <cell r="G10380">
            <v>275</v>
          </cell>
          <cell r="H10380">
            <v>0</v>
          </cell>
        </row>
        <row r="10381">
          <cell r="D10381" t="str">
            <v>Furnitures</v>
          </cell>
          <cell r="F10381">
            <v>0</v>
          </cell>
          <cell r="G10381">
            <v>275</v>
          </cell>
          <cell r="H10381">
            <v>0</v>
          </cell>
        </row>
        <row r="10382">
          <cell r="D10382" t="str">
            <v>Furnitures</v>
          </cell>
          <cell r="F10382">
            <v>0</v>
          </cell>
          <cell r="G10382">
            <v>275</v>
          </cell>
          <cell r="H10382">
            <v>0</v>
          </cell>
        </row>
        <row r="10383">
          <cell r="D10383" t="str">
            <v>Furnitures</v>
          </cell>
          <cell r="F10383">
            <v>0</v>
          </cell>
          <cell r="G10383">
            <v>275</v>
          </cell>
          <cell r="H10383">
            <v>0</v>
          </cell>
        </row>
        <row r="10384">
          <cell r="D10384" t="str">
            <v>Furnitures</v>
          </cell>
          <cell r="F10384">
            <v>0</v>
          </cell>
          <cell r="G10384">
            <v>275</v>
          </cell>
          <cell r="H10384">
            <v>0</v>
          </cell>
        </row>
        <row r="10385">
          <cell r="D10385" t="str">
            <v>Furnitures</v>
          </cell>
          <cell r="F10385">
            <v>0</v>
          </cell>
          <cell r="G10385">
            <v>275</v>
          </cell>
          <cell r="H10385">
            <v>0</v>
          </cell>
        </row>
        <row r="10386">
          <cell r="D10386" t="str">
            <v>Furnitures</v>
          </cell>
          <cell r="F10386">
            <v>0</v>
          </cell>
          <cell r="G10386">
            <v>275</v>
          </cell>
          <cell r="H10386">
            <v>0</v>
          </cell>
        </row>
        <row r="10387">
          <cell r="D10387" t="str">
            <v>Furnitures</v>
          </cell>
          <cell r="F10387">
            <v>0</v>
          </cell>
          <cell r="G10387">
            <v>275</v>
          </cell>
          <cell r="H10387">
            <v>0</v>
          </cell>
        </row>
        <row r="10388">
          <cell r="D10388" t="str">
            <v>Furnitures</v>
          </cell>
          <cell r="F10388">
            <v>0</v>
          </cell>
          <cell r="G10388">
            <v>275</v>
          </cell>
          <cell r="H10388">
            <v>0</v>
          </cell>
        </row>
        <row r="10389">
          <cell r="D10389" t="str">
            <v>Furnitures</v>
          </cell>
          <cell r="F10389">
            <v>0</v>
          </cell>
          <cell r="G10389">
            <v>275</v>
          </cell>
          <cell r="H10389">
            <v>0</v>
          </cell>
        </row>
        <row r="10390">
          <cell r="D10390" t="str">
            <v>Furnitures</v>
          </cell>
          <cell r="F10390">
            <v>0</v>
          </cell>
          <cell r="G10390">
            <v>275</v>
          </cell>
          <cell r="H10390">
            <v>0</v>
          </cell>
        </row>
        <row r="10391">
          <cell r="D10391" t="str">
            <v>Furnitures</v>
          </cell>
          <cell r="F10391">
            <v>0</v>
          </cell>
          <cell r="G10391">
            <v>275</v>
          </cell>
          <cell r="H10391">
            <v>0</v>
          </cell>
        </row>
        <row r="10392">
          <cell r="D10392" t="str">
            <v>Furnitures</v>
          </cell>
          <cell r="F10392">
            <v>0</v>
          </cell>
          <cell r="G10392">
            <v>275</v>
          </cell>
          <cell r="H10392">
            <v>0</v>
          </cell>
        </row>
        <row r="10393">
          <cell r="D10393" t="str">
            <v>Furnitures</v>
          </cell>
          <cell r="F10393">
            <v>0</v>
          </cell>
          <cell r="G10393">
            <v>275</v>
          </cell>
          <cell r="H10393">
            <v>0</v>
          </cell>
        </row>
        <row r="10394">
          <cell r="D10394" t="str">
            <v>Furnitures</v>
          </cell>
          <cell r="F10394">
            <v>0</v>
          </cell>
          <cell r="G10394">
            <v>275</v>
          </cell>
          <cell r="H10394">
            <v>0</v>
          </cell>
        </row>
        <row r="10395">
          <cell r="D10395" t="str">
            <v>Furnitures</v>
          </cell>
          <cell r="F10395">
            <v>0</v>
          </cell>
          <cell r="G10395">
            <v>275</v>
          </cell>
          <cell r="H10395">
            <v>0</v>
          </cell>
        </row>
        <row r="10396">
          <cell r="D10396" t="str">
            <v>Furnitures</v>
          </cell>
          <cell r="F10396">
            <v>0</v>
          </cell>
          <cell r="G10396">
            <v>275</v>
          </cell>
          <cell r="H10396">
            <v>0</v>
          </cell>
        </row>
        <row r="10397">
          <cell r="D10397" t="str">
            <v>Furnitures</v>
          </cell>
          <cell r="F10397">
            <v>0</v>
          </cell>
          <cell r="G10397">
            <v>275</v>
          </cell>
          <cell r="H10397">
            <v>0</v>
          </cell>
        </row>
        <row r="10398">
          <cell r="D10398" t="str">
            <v>Furnitures</v>
          </cell>
          <cell r="F10398">
            <v>0</v>
          </cell>
          <cell r="G10398">
            <v>275</v>
          </cell>
          <cell r="H10398">
            <v>0</v>
          </cell>
        </row>
        <row r="10399">
          <cell r="D10399" t="str">
            <v>Furnitures</v>
          </cell>
          <cell r="F10399">
            <v>0</v>
          </cell>
          <cell r="G10399">
            <v>275</v>
          </cell>
          <cell r="H10399">
            <v>0</v>
          </cell>
        </row>
        <row r="10400">
          <cell r="D10400" t="str">
            <v>Furnitures</v>
          </cell>
          <cell r="F10400">
            <v>0</v>
          </cell>
          <cell r="G10400">
            <v>275</v>
          </cell>
          <cell r="H10400">
            <v>0</v>
          </cell>
        </row>
        <row r="10401">
          <cell r="D10401" t="str">
            <v>Furnitures</v>
          </cell>
          <cell r="F10401">
            <v>0</v>
          </cell>
          <cell r="G10401">
            <v>275</v>
          </cell>
          <cell r="H10401">
            <v>0</v>
          </cell>
        </row>
        <row r="10402">
          <cell r="D10402" t="str">
            <v>Furnitures</v>
          </cell>
          <cell r="F10402">
            <v>0</v>
          </cell>
          <cell r="G10402">
            <v>275</v>
          </cell>
          <cell r="H10402">
            <v>0</v>
          </cell>
        </row>
        <row r="10403">
          <cell r="D10403" t="str">
            <v>Furnitures</v>
          </cell>
          <cell r="F10403">
            <v>0</v>
          </cell>
          <cell r="G10403">
            <v>275</v>
          </cell>
          <cell r="H10403">
            <v>0</v>
          </cell>
        </row>
        <row r="10404">
          <cell r="D10404" t="str">
            <v>Furnitures</v>
          </cell>
          <cell r="F10404">
            <v>0</v>
          </cell>
          <cell r="G10404">
            <v>275</v>
          </cell>
          <cell r="H10404">
            <v>0</v>
          </cell>
        </row>
        <row r="10405">
          <cell r="D10405" t="str">
            <v>Furnitures</v>
          </cell>
          <cell r="F10405">
            <v>0</v>
          </cell>
          <cell r="G10405">
            <v>275</v>
          </cell>
          <cell r="H10405">
            <v>0</v>
          </cell>
        </row>
        <row r="10406">
          <cell r="D10406" t="str">
            <v>Furnitures</v>
          </cell>
          <cell r="F10406">
            <v>0</v>
          </cell>
          <cell r="G10406">
            <v>275</v>
          </cell>
          <cell r="H10406">
            <v>0</v>
          </cell>
        </row>
        <row r="10407">
          <cell r="D10407" t="str">
            <v>Furnitures</v>
          </cell>
          <cell r="F10407">
            <v>0</v>
          </cell>
          <cell r="G10407">
            <v>275</v>
          </cell>
          <cell r="H10407">
            <v>0</v>
          </cell>
        </row>
        <row r="10408">
          <cell r="D10408" t="str">
            <v>Furnitures</v>
          </cell>
          <cell r="F10408">
            <v>0</v>
          </cell>
          <cell r="G10408">
            <v>275</v>
          </cell>
          <cell r="H10408">
            <v>0</v>
          </cell>
        </row>
        <row r="10409">
          <cell r="D10409" t="str">
            <v>Furnitures</v>
          </cell>
          <cell r="F10409">
            <v>0</v>
          </cell>
          <cell r="G10409">
            <v>275</v>
          </cell>
          <cell r="H10409">
            <v>0</v>
          </cell>
        </row>
        <row r="10410">
          <cell r="D10410" t="str">
            <v>Furnitures</v>
          </cell>
          <cell r="F10410">
            <v>0</v>
          </cell>
          <cell r="G10410">
            <v>275</v>
          </cell>
          <cell r="H10410">
            <v>0</v>
          </cell>
        </row>
        <row r="10411">
          <cell r="D10411" t="str">
            <v>Furnitures</v>
          </cell>
          <cell r="F10411">
            <v>0</v>
          </cell>
          <cell r="G10411">
            <v>275</v>
          </cell>
          <cell r="H10411">
            <v>0</v>
          </cell>
        </row>
        <row r="10412">
          <cell r="D10412" t="str">
            <v>Furnitures</v>
          </cell>
          <cell r="F10412">
            <v>0</v>
          </cell>
          <cell r="G10412">
            <v>275</v>
          </cell>
          <cell r="H10412">
            <v>0</v>
          </cell>
        </row>
        <row r="10413">
          <cell r="D10413" t="str">
            <v>Furnitures</v>
          </cell>
          <cell r="F10413">
            <v>0</v>
          </cell>
          <cell r="G10413">
            <v>275</v>
          </cell>
          <cell r="H10413">
            <v>0</v>
          </cell>
        </row>
        <row r="10414">
          <cell r="D10414" t="str">
            <v>Furnitures</v>
          </cell>
          <cell r="F10414">
            <v>0</v>
          </cell>
          <cell r="G10414">
            <v>275</v>
          </cell>
          <cell r="H10414">
            <v>0</v>
          </cell>
        </row>
        <row r="10415">
          <cell r="D10415" t="str">
            <v>Furnitures</v>
          </cell>
          <cell r="F10415">
            <v>0</v>
          </cell>
          <cell r="G10415">
            <v>275</v>
          </cell>
          <cell r="H10415">
            <v>0</v>
          </cell>
        </row>
        <row r="10416">
          <cell r="D10416" t="str">
            <v>Furnitures</v>
          </cell>
          <cell r="F10416">
            <v>0</v>
          </cell>
          <cell r="G10416">
            <v>275</v>
          </cell>
          <cell r="H10416">
            <v>0</v>
          </cell>
        </row>
        <row r="10417">
          <cell r="D10417" t="str">
            <v>Furnitures</v>
          </cell>
          <cell r="F10417">
            <v>0</v>
          </cell>
          <cell r="G10417">
            <v>275</v>
          </cell>
          <cell r="H10417">
            <v>0</v>
          </cell>
        </row>
        <row r="10418">
          <cell r="D10418" t="str">
            <v>Furnitures</v>
          </cell>
          <cell r="F10418">
            <v>17679.34918032787</v>
          </cell>
          <cell r="G10418">
            <v>275</v>
          </cell>
          <cell r="H10418">
            <v>16820.897125533349</v>
          </cell>
        </row>
        <row r="10419">
          <cell r="D10419" t="str">
            <v>Furnitures</v>
          </cell>
          <cell r="F10419">
            <v>53038.047540983607</v>
          </cell>
          <cell r="G10419">
            <v>275</v>
          </cell>
          <cell r="H10419">
            <v>50462.691376600043</v>
          </cell>
        </row>
        <row r="10420">
          <cell r="D10420" t="str">
            <v>Furnitures</v>
          </cell>
          <cell r="F10420">
            <v>17679.34918032787</v>
          </cell>
          <cell r="G10420">
            <v>275</v>
          </cell>
          <cell r="H10420">
            <v>16820.897125533349</v>
          </cell>
        </row>
        <row r="10421">
          <cell r="D10421" t="str">
            <v>Furnitures</v>
          </cell>
          <cell r="F10421">
            <v>4993.0722868852463</v>
          </cell>
          <cell r="G10421">
            <v>275</v>
          </cell>
          <cell r="H10421">
            <v>4749.7249752414109</v>
          </cell>
        </row>
        <row r="10422">
          <cell r="D10422" t="str">
            <v>Furnitures</v>
          </cell>
          <cell r="F10422">
            <v>4993.0722868852463</v>
          </cell>
          <cell r="G10422">
            <v>275</v>
          </cell>
          <cell r="H10422">
            <v>4749.7249752414109</v>
          </cell>
        </row>
        <row r="10423">
          <cell r="D10423" t="str">
            <v>Furnitures</v>
          </cell>
          <cell r="F10423">
            <v>0</v>
          </cell>
          <cell r="G10423">
            <v>275</v>
          </cell>
          <cell r="H10423">
            <v>0</v>
          </cell>
        </row>
        <row r="10424">
          <cell r="D10424" t="str">
            <v>Furnitures</v>
          </cell>
          <cell r="F10424">
            <v>0</v>
          </cell>
          <cell r="G10424">
            <v>275</v>
          </cell>
          <cell r="H10424">
            <v>0</v>
          </cell>
        </row>
        <row r="10425">
          <cell r="D10425" t="str">
            <v>Furnitures</v>
          </cell>
          <cell r="F10425">
            <v>0</v>
          </cell>
          <cell r="G10425">
            <v>275</v>
          </cell>
          <cell r="H10425">
            <v>0</v>
          </cell>
        </row>
        <row r="10426">
          <cell r="D10426" t="str">
            <v>Furnitures</v>
          </cell>
          <cell r="F10426">
            <v>0</v>
          </cell>
          <cell r="G10426">
            <v>275</v>
          </cell>
          <cell r="H10426">
            <v>0</v>
          </cell>
        </row>
        <row r="10427">
          <cell r="D10427" t="str">
            <v>Furnitures</v>
          </cell>
          <cell r="F10427">
            <v>0</v>
          </cell>
          <cell r="G10427">
            <v>275</v>
          </cell>
          <cell r="H10427">
            <v>0</v>
          </cell>
        </row>
        <row r="10428">
          <cell r="D10428" t="str">
            <v>Furnitures</v>
          </cell>
          <cell r="F10428">
            <v>0</v>
          </cell>
          <cell r="G10428">
            <v>275</v>
          </cell>
          <cell r="H10428">
            <v>0</v>
          </cell>
        </row>
        <row r="10429">
          <cell r="D10429" t="str">
            <v>Furnitures</v>
          </cell>
          <cell r="F10429">
            <v>0</v>
          </cell>
          <cell r="G10429">
            <v>275</v>
          </cell>
          <cell r="H10429">
            <v>0</v>
          </cell>
        </row>
        <row r="10430">
          <cell r="D10430" t="str">
            <v>Furnitures</v>
          </cell>
          <cell r="F10430">
            <v>0</v>
          </cell>
          <cell r="G10430">
            <v>275</v>
          </cell>
          <cell r="H10430">
            <v>0</v>
          </cell>
        </row>
        <row r="10431">
          <cell r="D10431" t="str">
            <v>Furnitures</v>
          </cell>
          <cell r="F10431">
            <v>0</v>
          </cell>
          <cell r="G10431">
            <v>275</v>
          </cell>
          <cell r="H10431">
            <v>0</v>
          </cell>
        </row>
        <row r="10432">
          <cell r="D10432" t="str">
            <v>Furnitures</v>
          </cell>
          <cell r="F10432">
            <v>0</v>
          </cell>
          <cell r="G10432">
            <v>275</v>
          </cell>
          <cell r="H10432">
            <v>0</v>
          </cell>
        </row>
        <row r="10433">
          <cell r="D10433" t="str">
            <v>Furnitures</v>
          </cell>
          <cell r="F10433">
            <v>0</v>
          </cell>
          <cell r="G10433">
            <v>275</v>
          </cell>
          <cell r="H10433">
            <v>0</v>
          </cell>
        </row>
        <row r="10434">
          <cell r="D10434" t="str">
            <v>Furnitures</v>
          </cell>
          <cell r="F10434">
            <v>0</v>
          </cell>
          <cell r="G10434">
            <v>275</v>
          </cell>
          <cell r="H10434">
            <v>0</v>
          </cell>
        </row>
        <row r="10435">
          <cell r="D10435" t="str">
            <v>Furnitures</v>
          </cell>
          <cell r="F10435">
            <v>17691.801639344263</v>
          </cell>
          <cell r="G10435">
            <v>275</v>
          </cell>
          <cell r="H10435">
            <v>16833.349584549742</v>
          </cell>
        </row>
        <row r="10436">
          <cell r="D10436" t="str">
            <v>Furnitures</v>
          </cell>
          <cell r="F10436">
            <v>17691.801639344263</v>
          </cell>
          <cell r="G10436">
            <v>275</v>
          </cell>
          <cell r="H10436">
            <v>16833.349584549742</v>
          </cell>
        </row>
        <row r="10437">
          <cell r="D10437" t="str">
            <v>Furnitures</v>
          </cell>
          <cell r="F10437">
            <v>0</v>
          </cell>
          <cell r="G10437">
            <v>275</v>
          </cell>
          <cell r="H10437">
            <v>0</v>
          </cell>
        </row>
        <row r="10438">
          <cell r="D10438" t="str">
            <v>Furnitures</v>
          </cell>
          <cell r="F10438">
            <v>0</v>
          </cell>
          <cell r="G10438">
            <v>275</v>
          </cell>
          <cell r="H10438">
            <v>0</v>
          </cell>
        </row>
        <row r="10439">
          <cell r="D10439" t="str">
            <v>Furnitures</v>
          </cell>
          <cell r="F10439">
            <v>0</v>
          </cell>
          <cell r="G10439">
            <v>275</v>
          </cell>
          <cell r="H10439">
            <v>0</v>
          </cell>
        </row>
        <row r="10440">
          <cell r="D10440" t="str">
            <v>Furnitures</v>
          </cell>
          <cell r="F10440">
            <v>0</v>
          </cell>
          <cell r="G10440">
            <v>275</v>
          </cell>
          <cell r="H10440">
            <v>0</v>
          </cell>
        </row>
        <row r="10441">
          <cell r="D10441" t="str">
            <v>Furnitures</v>
          </cell>
          <cell r="F10441">
            <v>0</v>
          </cell>
          <cell r="G10441">
            <v>275</v>
          </cell>
          <cell r="H10441">
            <v>0</v>
          </cell>
        </row>
        <row r="10442">
          <cell r="D10442" t="str">
            <v>Furnitures</v>
          </cell>
          <cell r="F10442">
            <v>0</v>
          </cell>
          <cell r="G10442">
            <v>275</v>
          </cell>
          <cell r="H10442">
            <v>0</v>
          </cell>
        </row>
        <row r="10443">
          <cell r="D10443" t="str">
            <v>Furnitures</v>
          </cell>
          <cell r="F10443">
            <v>0</v>
          </cell>
          <cell r="G10443">
            <v>275</v>
          </cell>
          <cell r="H10443">
            <v>0</v>
          </cell>
        </row>
        <row r="10444">
          <cell r="D10444" t="str">
            <v>Furnitures</v>
          </cell>
          <cell r="F10444">
            <v>0</v>
          </cell>
          <cell r="G10444">
            <v>275</v>
          </cell>
          <cell r="H10444">
            <v>0</v>
          </cell>
        </row>
        <row r="10445">
          <cell r="D10445" t="str">
            <v>Furnitures</v>
          </cell>
          <cell r="F10445">
            <v>0</v>
          </cell>
          <cell r="G10445">
            <v>275</v>
          </cell>
          <cell r="H10445">
            <v>0</v>
          </cell>
        </row>
        <row r="10446">
          <cell r="D10446" t="str">
            <v>Furnitures</v>
          </cell>
          <cell r="F10446">
            <v>0</v>
          </cell>
          <cell r="G10446">
            <v>275</v>
          </cell>
          <cell r="H10446">
            <v>0</v>
          </cell>
        </row>
        <row r="10447">
          <cell r="D10447" t="str">
            <v>Furnitures</v>
          </cell>
          <cell r="F10447">
            <v>0</v>
          </cell>
          <cell r="G10447">
            <v>275</v>
          </cell>
          <cell r="H10447">
            <v>0</v>
          </cell>
        </row>
        <row r="10448">
          <cell r="D10448" t="str">
            <v>Furnitures</v>
          </cell>
          <cell r="F10448">
            <v>0</v>
          </cell>
          <cell r="G10448">
            <v>275</v>
          </cell>
          <cell r="H10448">
            <v>0</v>
          </cell>
        </row>
        <row r="10449">
          <cell r="D10449" t="str">
            <v>Furnitures</v>
          </cell>
          <cell r="F10449">
            <v>0</v>
          </cell>
          <cell r="G10449">
            <v>275</v>
          </cell>
          <cell r="H10449">
            <v>0</v>
          </cell>
        </row>
        <row r="10450">
          <cell r="D10450" t="str">
            <v>Furnitures</v>
          </cell>
          <cell r="F10450">
            <v>0</v>
          </cell>
          <cell r="G10450">
            <v>275</v>
          </cell>
          <cell r="H10450">
            <v>0</v>
          </cell>
        </row>
        <row r="10451">
          <cell r="D10451" t="str">
            <v>Furnitures</v>
          </cell>
          <cell r="F10451">
            <v>0</v>
          </cell>
          <cell r="G10451">
            <v>275</v>
          </cell>
          <cell r="H10451">
            <v>0</v>
          </cell>
        </row>
        <row r="10452">
          <cell r="D10452" t="str">
            <v>Furnitures</v>
          </cell>
          <cell r="F10452">
            <v>0</v>
          </cell>
          <cell r="G10452">
            <v>275</v>
          </cell>
          <cell r="H10452">
            <v>0</v>
          </cell>
        </row>
        <row r="10453">
          <cell r="D10453" t="str">
            <v>Furnitures</v>
          </cell>
          <cell r="F10453">
            <v>0</v>
          </cell>
          <cell r="G10453">
            <v>275</v>
          </cell>
          <cell r="H10453">
            <v>0</v>
          </cell>
        </row>
        <row r="10454">
          <cell r="D10454" t="str">
            <v>Furnitures</v>
          </cell>
          <cell r="F10454">
            <v>0</v>
          </cell>
          <cell r="G10454">
            <v>275</v>
          </cell>
          <cell r="H10454">
            <v>0</v>
          </cell>
        </row>
        <row r="10455">
          <cell r="D10455" t="str">
            <v>Furnitures</v>
          </cell>
          <cell r="F10455">
            <v>0</v>
          </cell>
          <cell r="G10455">
            <v>275</v>
          </cell>
          <cell r="H10455">
            <v>0</v>
          </cell>
        </row>
        <row r="10456">
          <cell r="D10456" t="str">
            <v>Furnitures</v>
          </cell>
          <cell r="F10456">
            <v>0</v>
          </cell>
          <cell r="G10456">
            <v>275</v>
          </cell>
          <cell r="H10456">
            <v>0</v>
          </cell>
        </row>
        <row r="10457">
          <cell r="D10457" t="str">
            <v>Furnitures</v>
          </cell>
          <cell r="F10457">
            <v>0</v>
          </cell>
          <cell r="G10457">
            <v>275</v>
          </cell>
          <cell r="H10457">
            <v>0</v>
          </cell>
        </row>
        <row r="10458">
          <cell r="D10458" t="str">
            <v>Furnitures</v>
          </cell>
          <cell r="F10458">
            <v>0</v>
          </cell>
          <cell r="G10458">
            <v>275</v>
          </cell>
          <cell r="H10458">
            <v>0</v>
          </cell>
        </row>
        <row r="10459">
          <cell r="D10459" t="str">
            <v>Furnitures</v>
          </cell>
          <cell r="F10459">
            <v>0</v>
          </cell>
          <cell r="G10459">
            <v>275</v>
          </cell>
          <cell r="H10459">
            <v>0</v>
          </cell>
        </row>
        <row r="10460">
          <cell r="D10460" t="str">
            <v>Furnitures</v>
          </cell>
          <cell r="F10460">
            <v>0</v>
          </cell>
          <cell r="G10460">
            <v>275</v>
          </cell>
          <cell r="H10460">
            <v>0</v>
          </cell>
        </row>
        <row r="10461">
          <cell r="D10461" t="str">
            <v>Furnitures</v>
          </cell>
          <cell r="F10461">
            <v>0</v>
          </cell>
          <cell r="G10461">
            <v>275</v>
          </cell>
          <cell r="H10461">
            <v>0</v>
          </cell>
        </row>
        <row r="10462">
          <cell r="D10462" t="str">
            <v>Furnitures</v>
          </cell>
          <cell r="F10462">
            <v>0</v>
          </cell>
          <cell r="G10462">
            <v>275</v>
          </cell>
          <cell r="H10462">
            <v>0</v>
          </cell>
        </row>
        <row r="10463">
          <cell r="D10463" t="str">
            <v>Furnitures</v>
          </cell>
          <cell r="F10463">
            <v>0</v>
          </cell>
          <cell r="G10463">
            <v>275</v>
          </cell>
          <cell r="H10463">
            <v>0</v>
          </cell>
        </row>
        <row r="10464">
          <cell r="D10464" t="str">
            <v>Furnitures</v>
          </cell>
          <cell r="F10464">
            <v>0</v>
          </cell>
          <cell r="G10464">
            <v>275</v>
          </cell>
          <cell r="H10464">
            <v>0</v>
          </cell>
        </row>
        <row r="10465">
          <cell r="D10465" t="str">
            <v>Furnitures</v>
          </cell>
          <cell r="F10465">
            <v>0</v>
          </cell>
          <cell r="G10465">
            <v>275</v>
          </cell>
          <cell r="H10465">
            <v>0</v>
          </cell>
        </row>
        <row r="10466">
          <cell r="D10466" t="str">
            <v>Furnitures</v>
          </cell>
          <cell r="F10466">
            <v>11811.137704918034</v>
          </cell>
          <cell r="G10466">
            <v>275</v>
          </cell>
          <cell r="H10466">
            <v>11238.836335055021</v>
          </cell>
        </row>
        <row r="10467">
          <cell r="D10467" t="str">
            <v>Furnitures</v>
          </cell>
          <cell r="F10467">
            <v>0</v>
          </cell>
          <cell r="G10467">
            <v>275</v>
          </cell>
          <cell r="H10467">
            <v>0</v>
          </cell>
        </row>
        <row r="10468">
          <cell r="D10468" t="str">
            <v>Furnitures</v>
          </cell>
          <cell r="F10468">
            <v>9842.6147540983602</v>
          </cell>
          <cell r="G10468">
            <v>275</v>
          </cell>
          <cell r="H10468">
            <v>9365.6969458791827</v>
          </cell>
        </row>
        <row r="10469">
          <cell r="D10469" t="str">
            <v>Furnitures</v>
          </cell>
          <cell r="F10469">
            <v>0</v>
          </cell>
          <cell r="G10469">
            <v>275</v>
          </cell>
          <cell r="H10469">
            <v>0</v>
          </cell>
        </row>
        <row r="10470">
          <cell r="D10470" t="str">
            <v>Furnitures</v>
          </cell>
          <cell r="F10470">
            <v>0</v>
          </cell>
          <cell r="G10470">
            <v>275</v>
          </cell>
          <cell r="H10470">
            <v>0</v>
          </cell>
        </row>
        <row r="10471">
          <cell r="D10471" t="str">
            <v>Furnitures</v>
          </cell>
          <cell r="F10471">
            <v>7874.0918032786885</v>
          </cell>
          <cell r="G10471">
            <v>275</v>
          </cell>
          <cell r="H10471">
            <v>7492.5575567033457</v>
          </cell>
        </row>
        <row r="10472">
          <cell r="D10472" t="str">
            <v>Furnitures</v>
          </cell>
          <cell r="F10472">
            <v>0</v>
          </cell>
          <cell r="G10472">
            <v>275</v>
          </cell>
          <cell r="H10472">
            <v>0</v>
          </cell>
        </row>
        <row r="10473">
          <cell r="D10473" t="str">
            <v>Furnitures</v>
          </cell>
          <cell r="F10473">
            <v>0</v>
          </cell>
          <cell r="G10473">
            <v>275</v>
          </cell>
          <cell r="H10473">
            <v>0</v>
          </cell>
        </row>
        <row r="10474">
          <cell r="D10474" t="str">
            <v>Furnitures</v>
          </cell>
          <cell r="F10474">
            <v>0</v>
          </cell>
          <cell r="G10474">
            <v>275</v>
          </cell>
          <cell r="H10474">
            <v>0</v>
          </cell>
        </row>
        <row r="10475">
          <cell r="D10475" t="str">
            <v>Furnitures</v>
          </cell>
          <cell r="F10475">
            <v>0</v>
          </cell>
          <cell r="G10475">
            <v>275</v>
          </cell>
          <cell r="H10475">
            <v>0</v>
          </cell>
        </row>
        <row r="10476">
          <cell r="D10476" t="str">
            <v>Furnitures</v>
          </cell>
          <cell r="F10476">
            <v>32438.992797147544</v>
          </cell>
          <cell r="G10476">
            <v>275</v>
          </cell>
          <cell r="H10476">
            <v>30867.733663174942</v>
          </cell>
        </row>
        <row r="10477">
          <cell r="D10477" t="str">
            <v>Furnitures</v>
          </cell>
          <cell r="F10477">
            <v>10901.996259860656</v>
          </cell>
          <cell r="G10477">
            <v>275</v>
          </cell>
          <cell r="H10477">
            <v>10373.932355134628</v>
          </cell>
        </row>
        <row r="10478">
          <cell r="D10478" t="str">
            <v>Furnitures</v>
          </cell>
          <cell r="F10478">
            <v>11724.389571540984</v>
          </cell>
          <cell r="G10478">
            <v>275</v>
          </cell>
          <cell r="H10478">
            <v>11156.49110688345</v>
          </cell>
        </row>
        <row r="10479">
          <cell r="D10479" t="str">
            <v>Furnitures</v>
          </cell>
          <cell r="F10479">
            <v>4967.9645198606559</v>
          </cell>
          <cell r="G10479">
            <v>275</v>
          </cell>
          <cell r="H10479">
            <v>4727.3294397921627</v>
          </cell>
        </row>
        <row r="10480">
          <cell r="D10480" t="str">
            <v>Furnitures</v>
          </cell>
          <cell r="F10480">
            <v>10764.426917139343</v>
          </cell>
          <cell r="G10480">
            <v>275</v>
          </cell>
          <cell r="H10480">
            <v>10243.026508029754</v>
          </cell>
        </row>
        <row r="10481">
          <cell r="D10481" t="str">
            <v>Furnitures</v>
          </cell>
          <cell r="F10481">
            <v>9384.6079850163933</v>
          </cell>
          <cell r="G10481">
            <v>275</v>
          </cell>
          <cell r="H10481">
            <v>8930.0423606328313</v>
          </cell>
        </row>
        <row r="10482">
          <cell r="D10482" t="str">
            <v>Furnitures</v>
          </cell>
          <cell r="F10482">
            <v>39675.404099065578</v>
          </cell>
          <cell r="G10482">
            <v>275</v>
          </cell>
          <cell r="H10482">
            <v>37753.632314271053</v>
          </cell>
        </row>
        <row r="10483">
          <cell r="D10483" t="str">
            <v>Furnitures</v>
          </cell>
          <cell r="F10483">
            <v>10350.685051229508</v>
          </cell>
          <cell r="G10483">
            <v>275</v>
          </cell>
          <cell r="H10483">
            <v>9849.325205339097</v>
          </cell>
        </row>
        <row r="10484">
          <cell r="D10484" t="str">
            <v>Furnitures</v>
          </cell>
          <cell r="F10484">
            <v>8832.2727847131155</v>
          </cell>
          <cell r="G10484">
            <v>275</v>
          </cell>
          <cell r="H10484">
            <v>8404.4608186172245</v>
          </cell>
        </row>
        <row r="10485">
          <cell r="D10485" t="str">
            <v>Furnitures</v>
          </cell>
          <cell r="F10485">
            <v>53428.75440034426</v>
          </cell>
          <cell r="G10485">
            <v>275</v>
          </cell>
          <cell r="H10485">
            <v>50840.806651988096</v>
          </cell>
        </row>
        <row r="10486">
          <cell r="D10486" t="str">
            <v>Furnitures</v>
          </cell>
          <cell r="F10486">
            <v>9659.7565165327869</v>
          </cell>
          <cell r="G10486">
            <v>275</v>
          </cell>
          <cell r="H10486">
            <v>9191.8634239985404</v>
          </cell>
        </row>
        <row r="10487">
          <cell r="D10487" t="str">
            <v>Furnitures</v>
          </cell>
          <cell r="F10487">
            <v>13800.2274585</v>
          </cell>
          <cell r="G10487">
            <v>275</v>
          </cell>
          <cell r="H10487">
            <v>13131.780889253425</v>
          </cell>
        </row>
        <row r="10488">
          <cell r="D10488" t="str">
            <v>Furnitures</v>
          </cell>
          <cell r="F10488">
            <v>12751.610755868851</v>
          </cell>
          <cell r="G10488">
            <v>275</v>
          </cell>
          <cell r="H10488">
            <v>12133.956410115426</v>
          </cell>
        </row>
        <row r="10489">
          <cell r="D10489" t="str">
            <v>Furnitures</v>
          </cell>
          <cell r="F10489">
            <v>12751.610755868851</v>
          </cell>
          <cell r="G10489">
            <v>275</v>
          </cell>
          <cell r="H10489">
            <v>12133.956410115426</v>
          </cell>
        </row>
        <row r="10490">
          <cell r="D10490" t="str">
            <v>Furnitures</v>
          </cell>
          <cell r="F10490">
            <v>12171.75577937705</v>
          </cell>
          <cell r="G10490">
            <v>275</v>
          </cell>
          <cell r="H10490">
            <v>11582.18807718527</v>
          </cell>
        </row>
        <row r="10491">
          <cell r="D10491" t="str">
            <v>Furnitures</v>
          </cell>
          <cell r="F10491">
            <v>14903.883713508196</v>
          </cell>
          <cell r="G10491">
            <v>275</v>
          </cell>
          <cell r="H10491">
            <v>14181.978950220524</v>
          </cell>
        </row>
        <row r="10492">
          <cell r="D10492" t="str">
            <v>Furnitures</v>
          </cell>
          <cell r="F10492">
            <v>12365.378820073771</v>
          </cell>
          <cell r="G10492">
            <v>275</v>
          </cell>
          <cell r="H10492">
            <v>11766.432529183359</v>
          </cell>
        </row>
        <row r="10493">
          <cell r="D10493" t="str">
            <v>Furnitures</v>
          </cell>
          <cell r="F10493">
            <v>12365.378820073771</v>
          </cell>
          <cell r="G10493">
            <v>275</v>
          </cell>
          <cell r="H10493">
            <v>11766.432529183359</v>
          </cell>
        </row>
        <row r="10494">
          <cell r="D10494" t="str">
            <v>Furnitures</v>
          </cell>
          <cell r="F10494">
            <v>26275.665691180326</v>
          </cell>
          <cell r="G10494">
            <v>275</v>
          </cell>
          <cell r="H10494">
            <v>25002.941843783065</v>
          </cell>
        </row>
        <row r="10495">
          <cell r="D10495" t="str">
            <v>Furnitures</v>
          </cell>
          <cell r="F10495">
            <v>14683.764888295082</v>
          </cell>
          <cell r="G10495">
            <v>275</v>
          </cell>
          <cell r="H10495">
            <v>13972.522099527958</v>
          </cell>
        </row>
        <row r="10496">
          <cell r="D10496" t="str">
            <v>Furnitures</v>
          </cell>
          <cell r="F10496">
            <v>39976.024423426235</v>
          </cell>
          <cell r="G10496">
            <v>275</v>
          </cell>
          <cell r="H10496">
            <v>38039.691384111167</v>
          </cell>
        </row>
        <row r="10497">
          <cell r="D10497" t="str">
            <v>Furnitures</v>
          </cell>
          <cell r="F10497">
            <v>18105.826903672132</v>
          </cell>
          <cell r="G10497">
            <v>275</v>
          </cell>
          <cell r="H10497">
            <v>17228.828469151584</v>
          </cell>
        </row>
        <row r="10498">
          <cell r="D10498" t="str">
            <v>Furnitures</v>
          </cell>
          <cell r="F10498">
            <v>0</v>
          </cell>
          <cell r="G10498">
            <v>275</v>
          </cell>
          <cell r="H10498">
            <v>0</v>
          </cell>
        </row>
        <row r="10499">
          <cell r="D10499" t="str">
            <v>Furnitures</v>
          </cell>
          <cell r="F10499">
            <v>0</v>
          </cell>
          <cell r="G10499">
            <v>275</v>
          </cell>
          <cell r="H10499">
            <v>0</v>
          </cell>
        </row>
        <row r="10500">
          <cell r="D10500" t="str">
            <v>Furnitures</v>
          </cell>
          <cell r="F10500">
            <v>0</v>
          </cell>
          <cell r="G10500">
            <v>275</v>
          </cell>
          <cell r="H10500">
            <v>0</v>
          </cell>
        </row>
        <row r="10501">
          <cell r="D10501" t="str">
            <v>Furnitures</v>
          </cell>
          <cell r="F10501">
            <v>0</v>
          </cell>
          <cell r="G10501">
            <v>275</v>
          </cell>
          <cell r="H10501">
            <v>0</v>
          </cell>
        </row>
        <row r="10502">
          <cell r="D10502" t="str">
            <v>Furnitures</v>
          </cell>
          <cell r="F10502">
            <v>0</v>
          </cell>
          <cell r="G10502">
            <v>275</v>
          </cell>
          <cell r="H10502">
            <v>0</v>
          </cell>
        </row>
        <row r="10503">
          <cell r="D10503" t="str">
            <v>Furnitures</v>
          </cell>
          <cell r="F10503">
            <v>0</v>
          </cell>
          <cell r="G10503">
            <v>275</v>
          </cell>
          <cell r="H10503">
            <v>0</v>
          </cell>
        </row>
        <row r="10504">
          <cell r="D10504" t="str">
            <v>Furnitures</v>
          </cell>
          <cell r="F10504">
            <v>0</v>
          </cell>
          <cell r="G10504">
            <v>275</v>
          </cell>
          <cell r="H10504">
            <v>0</v>
          </cell>
        </row>
        <row r="10505">
          <cell r="D10505" t="str">
            <v>Furnitures</v>
          </cell>
          <cell r="F10505">
            <v>0</v>
          </cell>
          <cell r="G10505">
            <v>275</v>
          </cell>
          <cell r="H10505">
            <v>0</v>
          </cell>
        </row>
        <row r="10506">
          <cell r="D10506" t="str">
            <v>Furnitures</v>
          </cell>
          <cell r="F10506">
            <v>0</v>
          </cell>
          <cell r="G10506">
            <v>275</v>
          </cell>
          <cell r="H10506">
            <v>0</v>
          </cell>
        </row>
        <row r="10507">
          <cell r="D10507" t="str">
            <v>Furnitures</v>
          </cell>
          <cell r="F10507">
            <v>0</v>
          </cell>
          <cell r="G10507">
            <v>275</v>
          </cell>
          <cell r="H10507">
            <v>0</v>
          </cell>
        </row>
        <row r="10508">
          <cell r="D10508" t="str">
            <v>Furnitures</v>
          </cell>
          <cell r="F10508">
            <v>0</v>
          </cell>
          <cell r="G10508">
            <v>275</v>
          </cell>
          <cell r="H10508">
            <v>0</v>
          </cell>
        </row>
        <row r="10509">
          <cell r="D10509" t="str">
            <v>Furnitures</v>
          </cell>
          <cell r="F10509">
            <v>0</v>
          </cell>
          <cell r="G10509">
            <v>275</v>
          </cell>
          <cell r="H10509">
            <v>0</v>
          </cell>
        </row>
        <row r="10510">
          <cell r="D10510" t="str">
            <v>Furnitures</v>
          </cell>
          <cell r="F10510">
            <v>0</v>
          </cell>
          <cell r="G10510">
            <v>275</v>
          </cell>
          <cell r="H10510">
            <v>0</v>
          </cell>
        </row>
        <row r="10511">
          <cell r="D10511" t="str">
            <v>Furnitures</v>
          </cell>
          <cell r="F10511">
            <v>0</v>
          </cell>
          <cell r="G10511">
            <v>275</v>
          </cell>
          <cell r="H10511">
            <v>0</v>
          </cell>
        </row>
        <row r="10512">
          <cell r="D10512" t="str">
            <v>Furnitures</v>
          </cell>
          <cell r="F10512">
            <v>0</v>
          </cell>
          <cell r="G10512">
            <v>275</v>
          </cell>
          <cell r="H10512">
            <v>0</v>
          </cell>
        </row>
        <row r="10513">
          <cell r="D10513" t="str">
            <v>Furnitures</v>
          </cell>
          <cell r="F10513">
            <v>0</v>
          </cell>
          <cell r="G10513">
            <v>275</v>
          </cell>
          <cell r="H10513">
            <v>0</v>
          </cell>
        </row>
        <row r="10514">
          <cell r="D10514" t="str">
            <v>Furnitures</v>
          </cell>
          <cell r="F10514">
            <v>62788.031990573771</v>
          </cell>
          <cell r="G10514">
            <v>275</v>
          </cell>
          <cell r="H10514">
            <v>59763.216560779249</v>
          </cell>
        </row>
        <row r="10515">
          <cell r="D10515" t="str">
            <v>Furnitures</v>
          </cell>
          <cell r="F10515">
            <v>0</v>
          </cell>
          <cell r="G10515">
            <v>275</v>
          </cell>
          <cell r="H10515">
            <v>0</v>
          </cell>
        </row>
        <row r="10516">
          <cell r="D10516" t="str">
            <v>Furnitures</v>
          </cell>
          <cell r="F10516">
            <v>0</v>
          </cell>
          <cell r="G10516">
            <v>275</v>
          </cell>
          <cell r="H10516">
            <v>0</v>
          </cell>
        </row>
        <row r="10517">
          <cell r="D10517" t="str">
            <v>Furnitures</v>
          </cell>
          <cell r="F10517">
            <v>0</v>
          </cell>
          <cell r="G10517">
            <v>275</v>
          </cell>
          <cell r="H10517">
            <v>0</v>
          </cell>
        </row>
        <row r="10518">
          <cell r="D10518" t="str">
            <v>Furnitures</v>
          </cell>
          <cell r="F10518">
            <v>0</v>
          </cell>
          <cell r="G10518">
            <v>275</v>
          </cell>
          <cell r="H10518">
            <v>0</v>
          </cell>
        </row>
        <row r="10519">
          <cell r="D10519" t="str">
            <v>Furnitures</v>
          </cell>
          <cell r="F10519">
            <v>0</v>
          </cell>
          <cell r="G10519">
            <v>275</v>
          </cell>
          <cell r="H10519">
            <v>0</v>
          </cell>
        </row>
        <row r="10520">
          <cell r="D10520" t="str">
            <v>Furnitures</v>
          </cell>
          <cell r="F10520">
            <v>0</v>
          </cell>
          <cell r="G10520">
            <v>275</v>
          </cell>
          <cell r="H10520">
            <v>0</v>
          </cell>
        </row>
        <row r="10521">
          <cell r="D10521" t="str">
            <v>Furnitures</v>
          </cell>
          <cell r="F10521">
            <v>0</v>
          </cell>
          <cell r="G10521">
            <v>275</v>
          </cell>
          <cell r="H10521">
            <v>0</v>
          </cell>
        </row>
        <row r="10522">
          <cell r="D10522" t="str">
            <v>Furnitures</v>
          </cell>
          <cell r="F10522">
            <v>5750.4495491803282</v>
          </cell>
          <cell r="G10522">
            <v>275</v>
          </cell>
          <cell r="H10522">
            <v>5472.6449258926568</v>
          </cell>
        </row>
        <row r="10523">
          <cell r="D10523" t="str">
            <v>Furnitures</v>
          </cell>
          <cell r="F10523">
            <v>5750.4495491803282</v>
          </cell>
          <cell r="G10523">
            <v>275</v>
          </cell>
          <cell r="H10523">
            <v>5472.6449258926568</v>
          </cell>
        </row>
        <row r="10524">
          <cell r="D10524" t="str">
            <v>Furnitures</v>
          </cell>
          <cell r="F10524">
            <v>0</v>
          </cell>
          <cell r="G10524">
            <v>275</v>
          </cell>
          <cell r="H10524">
            <v>0</v>
          </cell>
        </row>
        <row r="10525">
          <cell r="D10525" t="str">
            <v>Furnitures</v>
          </cell>
          <cell r="F10525">
            <v>0</v>
          </cell>
          <cell r="G10525">
            <v>275</v>
          </cell>
          <cell r="H10525">
            <v>0</v>
          </cell>
        </row>
        <row r="10526">
          <cell r="D10526" t="str">
            <v>Furnitures</v>
          </cell>
          <cell r="F10526">
            <v>0</v>
          </cell>
          <cell r="G10526">
            <v>275</v>
          </cell>
          <cell r="H10526">
            <v>0</v>
          </cell>
        </row>
        <row r="10527">
          <cell r="D10527" t="str">
            <v>Furnitures</v>
          </cell>
          <cell r="F10527">
            <v>0</v>
          </cell>
          <cell r="G10527">
            <v>275</v>
          </cell>
          <cell r="H10527">
            <v>0</v>
          </cell>
        </row>
        <row r="10528">
          <cell r="D10528" t="str">
            <v>Furnitures</v>
          </cell>
          <cell r="F10528">
            <v>0</v>
          </cell>
          <cell r="G10528">
            <v>275</v>
          </cell>
          <cell r="H10528">
            <v>0</v>
          </cell>
        </row>
        <row r="10529">
          <cell r="D10529" t="str">
            <v>Furnitures</v>
          </cell>
          <cell r="F10529">
            <v>0</v>
          </cell>
          <cell r="G10529">
            <v>275</v>
          </cell>
          <cell r="H10529">
            <v>0</v>
          </cell>
        </row>
        <row r="10530">
          <cell r="D10530" t="str">
            <v>Furnitures</v>
          </cell>
          <cell r="F10530">
            <v>0</v>
          </cell>
          <cell r="G10530">
            <v>275</v>
          </cell>
          <cell r="H10530">
            <v>0</v>
          </cell>
        </row>
        <row r="10531">
          <cell r="D10531" t="str">
            <v>Furnitures</v>
          </cell>
          <cell r="F10531">
            <v>0</v>
          </cell>
          <cell r="G10531">
            <v>275</v>
          </cell>
          <cell r="H10531">
            <v>0</v>
          </cell>
        </row>
        <row r="10532">
          <cell r="D10532" t="str">
            <v>Furnitures</v>
          </cell>
          <cell r="F10532">
            <v>0</v>
          </cell>
          <cell r="G10532">
            <v>275</v>
          </cell>
          <cell r="H10532">
            <v>0</v>
          </cell>
        </row>
        <row r="10533">
          <cell r="D10533" t="str">
            <v>Furnitures</v>
          </cell>
          <cell r="F10533">
            <v>0</v>
          </cell>
          <cell r="G10533">
            <v>275</v>
          </cell>
          <cell r="H10533">
            <v>0</v>
          </cell>
        </row>
        <row r="10534">
          <cell r="D10534" t="str">
            <v>Furnitures</v>
          </cell>
          <cell r="F10534">
            <v>0</v>
          </cell>
          <cell r="G10534">
            <v>275</v>
          </cell>
          <cell r="H10534">
            <v>0</v>
          </cell>
        </row>
        <row r="10535">
          <cell r="D10535" t="str">
            <v>Furnitures</v>
          </cell>
          <cell r="F10535">
            <v>0</v>
          </cell>
          <cell r="G10535">
            <v>275</v>
          </cell>
          <cell r="H10535">
            <v>0</v>
          </cell>
        </row>
        <row r="10536">
          <cell r="D10536" t="str">
            <v>Furnitures</v>
          </cell>
          <cell r="F10536">
            <v>0</v>
          </cell>
          <cell r="G10536">
            <v>275</v>
          </cell>
          <cell r="H10536">
            <v>0</v>
          </cell>
        </row>
        <row r="10537">
          <cell r="D10537" t="str">
            <v>Furnitures</v>
          </cell>
          <cell r="F10537">
            <v>0</v>
          </cell>
          <cell r="G10537">
            <v>275</v>
          </cell>
          <cell r="H10537">
            <v>0</v>
          </cell>
        </row>
        <row r="10538">
          <cell r="D10538" t="str">
            <v>Furnitures</v>
          </cell>
          <cell r="F10538">
            <v>0</v>
          </cell>
          <cell r="G10538">
            <v>275</v>
          </cell>
          <cell r="H10538">
            <v>0</v>
          </cell>
        </row>
        <row r="10539">
          <cell r="D10539" t="str">
            <v>Furnitures</v>
          </cell>
          <cell r="F10539">
            <v>0</v>
          </cell>
          <cell r="G10539">
            <v>275</v>
          </cell>
          <cell r="H10539">
            <v>0</v>
          </cell>
        </row>
        <row r="10540">
          <cell r="D10540" t="str">
            <v>Furnitures</v>
          </cell>
          <cell r="F10540">
            <v>0</v>
          </cell>
          <cell r="G10540">
            <v>275</v>
          </cell>
          <cell r="H10540">
            <v>0</v>
          </cell>
        </row>
        <row r="10541">
          <cell r="D10541" t="str">
            <v>Furnitures</v>
          </cell>
          <cell r="F10541">
            <v>0</v>
          </cell>
          <cell r="G10541">
            <v>275</v>
          </cell>
          <cell r="H10541">
            <v>0</v>
          </cell>
        </row>
        <row r="10542">
          <cell r="D10542" t="str">
            <v>Furnitures</v>
          </cell>
          <cell r="F10542">
            <v>0</v>
          </cell>
          <cell r="G10542">
            <v>275</v>
          </cell>
          <cell r="H10542">
            <v>0</v>
          </cell>
        </row>
        <row r="10543">
          <cell r="D10543" t="str">
            <v>Furnitures</v>
          </cell>
          <cell r="F10543">
            <v>0</v>
          </cell>
          <cell r="G10543">
            <v>275</v>
          </cell>
          <cell r="H10543">
            <v>0</v>
          </cell>
        </row>
        <row r="10544">
          <cell r="D10544" t="str">
            <v>Furnitures</v>
          </cell>
          <cell r="F10544">
            <v>0</v>
          </cell>
          <cell r="G10544">
            <v>275</v>
          </cell>
          <cell r="H10544">
            <v>0</v>
          </cell>
        </row>
        <row r="10545">
          <cell r="D10545" t="str">
            <v>Furnitures</v>
          </cell>
          <cell r="F10545">
            <v>0</v>
          </cell>
          <cell r="G10545">
            <v>275</v>
          </cell>
          <cell r="H10545">
            <v>0</v>
          </cell>
        </row>
        <row r="10546">
          <cell r="D10546" t="str">
            <v>Furnitures</v>
          </cell>
          <cell r="F10546">
            <v>0</v>
          </cell>
          <cell r="G10546">
            <v>275</v>
          </cell>
          <cell r="H10546">
            <v>0</v>
          </cell>
        </row>
        <row r="10547">
          <cell r="D10547" t="str">
            <v>Furnitures</v>
          </cell>
          <cell r="F10547">
            <v>0</v>
          </cell>
          <cell r="G10547">
            <v>275</v>
          </cell>
          <cell r="H10547">
            <v>0</v>
          </cell>
        </row>
        <row r="10548">
          <cell r="D10548" t="str">
            <v>Furnitures</v>
          </cell>
          <cell r="F10548">
            <v>0</v>
          </cell>
          <cell r="G10548">
            <v>275</v>
          </cell>
          <cell r="H10548">
            <v>0</v>
          </cell>
        </row>
        <row r="10549">
          <cell r="D10549" t="str">
            <v>Furnitures</v>
          </cell>
          <cell r="F10549">
            <v>0</v>
          </cell>
          <cell r="G10549">
            <v>275</v>
          </cell>
          <cell r="H10549">
            <v>0</v>
          </cell>
        </row>
        <row r="10550">
          <cell r="D10550" t="str">
            <v>Furnitures</v>
          </cell>
          <cell r="F10550">
            <v>0</v>
          </cell>
          <cell r="G10550">
            <v>275</v>
          </cell>
          <cell r="H10550">
            <v>0</v>
          </cell>
        </row>
        <row r="10551">
          <cell r="D10551" t="str">
            <v>Furnitures</v>
          </cell>
          <cell r="F10551">
            <v>0</v>
          </cell>
          <cell r="G10551">
            <v>275</v>
          </cell>
          <cell r="H10551">
            <v>0</v>
          </cell>
        </row>
        <row r="10552">
          <cell r="D10552" t="str">
            <v>Furnitures</v>
          </cell>
          <cell r="F10552">
            <v>0</v>
          </cell>
          <cell r="G10552">
            <v>275</v>
          </cell>
          <cell r="H10552">
            <v>0</v>
          </cell>
        </row>
        <row r="10553">
          <cell r="D10553" t="str">
            <v>Furnitures</v>
          </cell>
          <cell r="F10553">
            <v>0</v>
          </cell>
          <cell r="G10553">
            <v>275</v>
          </cell>
          <cell r="H10553">
            <v>0</v>
          </cell>
        </row>
        <row r="10554">
          <cell r="D10554" t="str">
            <v>Furnitures</v>
          </cell>
          <cell r="F10554">
            <v>0</v>
          </cell>
          <cell r="G10554">
            <v>275</v>
          </cell>
          <cell r="H10554">
            <v>0</v>
          </cell>
        </row>
        <row r="10555">
          <cell r="D10555" t="str">
            <v>Furnitures</v>
          </cell>
          <cell r="F10555">
            <v>0</v>
          </cell>
          <cell r="G10555">
            <v>275</v>
          </cell>
          <cell r="H10555">
            <v>0</v>
          </cell>
        </row>
        <row r="10556">
          <cell r="D10556" t="str">
            <v>Furnitures</v>
          </cell>
          <cell r="F10556">
            <v>0</v>
          </cell>
          <cell r="G10556">
            <v>275</v>
          </cell>
          <cell r="H10556">
            <v>0</v>
          </cell>
        </row>
        <row r="10557">
          <cell r="D10557" t="str">
            <v>Furnitures</v>
          </cell>
          <cell r="F10557">
            <v>0</v>
          </cell>
          <cell r="G10557">
            <v>275</v>
          </cell>
          <cell r="H10557">
            <v>0</v>
          </cell>
        </row>
        <row r="10558">
          <cell r="D10558" t="str">
            <v>Furnitures</v>
          </cell>
          <cell r="F10558">
            <v>0</v>
          </cell>
          <cell r="G10558">
            <v>275</v>
          </cell>
          <cell r="H10558">
            <v>0</v>
          </cell>
        </row>
        <row r="10559">
          <cell r="D10559" t="str">
            <v>Furnitures</v>
          </cell>
          <cell r="F10559">
            <v>0</v>
          </cell>
          <cell r="G10559">
            <v>275</v>
          </cell>
          <cell r="H10559">
            <v>0</v>
          </cell>
        </row>
        <row r="10560">
          <cell r="D10560" t="str">
            <v>Furnitures</v>
          </cell>
          <cell r="F10560">
            <v>0</v>
          </cell>
          <cell r="G10560">
            <v>275</v>
          </cell>
          <cell r="H10560">
            <v>0</v>
          </cell>
        </row>
        <row r="10561">
          <cell r="D10561" t="str">
            <v>Furnitures</v>
          </cell>
          <cell r="F10561">
            <v>0</v>
          </cell>
          <cell r="G10561">
            <v>275</v>
          </cell>
          <cell r="H10561">
            <v>0</v>
          </cell>
        </row>
        <row r="10562">
          <cell r="D10562" t="str">
            <v>Furnitures</v>
          </cell>
          <cell r="F10562">
            <v>0</v>
          </cell>
          <cell r="G10562">
            <v>275</v>
          </cell>
          <cell r="H10562">
            <v>0</v>
          </cell>
        </row>
        <row r="10563">
          <cell r="D10563" t="str">
            <v>Furnitures</v>
          </cell>
          <cell r="F10563">
            <v>0</v>
          </cell>
          <cell r="G10563">
            <v>275</v>
          </cell>
          <cell r="H10563">
            <v>0</v>
          </cell>
        </row>
        <row r="10564">
          <cell r="D10564" t="str">
            <v>Furnitures</v>
          </cell>
          <cell r="F10564">
            <v>0</v>
          </cell>
          <cell r="G10564">
            <v>275</v>
          </cell>
          <cell r="H10564">
            <v>0</v>
          </cell>
        </row>
        <row r="10565">
          <cell r="D10565" t="str">
            <v>Furnitures</v>
          </cell>
          <cell r="F10565">
            <v>0</v>
          </cell>
          <cell r="G10565">
            <v>275</v>
          </cell>
          <cell r="H10565">
            <v>0</v>
          </cell>
        </row>
        <row r="10566">
          <cell r="D10566" t="str">
            <v>Furnitures</v>
          </cell>
          <cell r="F10566">
            <v>0</v>
          </cell>
          <cell r="G10566">
            <v>275</v>
          </cell>
          <cell r="H10566">
            <v>0</v>
          </cell>
        </row>
        <row r="10567">
          <cell r="D10567" t="str">
            <v>Furnitures</v>
          </cell>
          <cell r="F10567">
            <v>0</v>
          </cell>
          <cell r="G10567">
            <v>275</v>
          </cell>
          <cell r="H10567">
            <v>0</v>
          </cell>
        </row>
        <row r="10568">
          <cell r="D10568" t="str">
            <v>Furnitures</v>
          </cell>
          <cell r="F10568">
            <v>0</v>
          </cell>
          <cell r="G10568">
            <v>275</v>
          </cell>
          <cell r="H10568">
            <v>0</v>
          </cell>
        </row>
        <row r="10569">
          <cell r="D10569" t="str">
            <v>Furnitures</v>
          </cell>
          <cell r="F10569">
            <v>0</v>
          </cell>
          <cell r="G10569">
            <v>275</v>
          </cell>
          <cell r="H10569">
            <v>0</v>
          </cell>
        </row>
        <row r="10570">
          <cell r="D10570" t="str">
            <v>Furnitures</v>
          </cell>
          <cell r="F10570">
            <v>0</v>
          </cell>
          <cell r="G10570">
            <v>275</v>
          </cell>
          <cell r="H10570">
            <v>0</v>
          </cell>
        </row>
        <row r="10571">
          <cell r="D10571" t="str">
            <v>Furnitures</v>
          </cell>
          <cell r="F10571">
            <v>0</v>
          </cell>
          <cell r="G10571">
            <v>275</v>
          </cell>
          <cell r="H10571">
            <v>0</v>
          </cell>
        </row>
        <row r="10572">
          <cell r="D10572" t="str">
            <v>Furnitures</v>
          </cell>
          <cell r="F10572">
            <v>0</v>
          </cell>
          <cell r="G10572">
            <v>275</v>
          </cell>
          <cell r="H10572">
            <v>0</v>
          </cell>
        </row>
        <row r="10573">
          <cell r="D10573" t="str">
            <v>Furnitures</v>
          </cell>
          <cell r="F10573">
            <v>0</v>
          </cell>
          <cell r="G10573">
            <v>275</v>
          </cell>
          <cell r="H10573">
            <v>0</v>
          </cell>
        </row>
        <row r="10574">
          <cell r="D10574" t="str">
            <v>Furnitures</v>
          </cell>
          <cell r="F10574">
            <v>0</v>
          </cell>
          <cell r="G10574">
            <v>275</v>
          </cell>
          <cell r="H10574">
            <v>0</v>
          </cell>
        </row>
        <row r="10575">
          <cell r="D10575" t="str">
            <v>Furnitures</v>
          </cell>
          <cell r="F10575">
            <v>0</v>
          </cell>
          <cell r="G10575">
            <v>275</v>
          </cell>
          <cell r="H10575">
            <v>0</v>
          </cell>
        </row>
        <row r="10576">
          <cell r="D10576" t="str">
            <v>Furnitures</v>
          </cell>
          <cell r="F10576">
            <v>0</v>
          </cell>
          <cell r="G10576">
            <v>275</v>
          </cell>
          <cell r="H10576">
            <v>0</v>
          </cell>
        </row>
        <row r="10577">
          <cell r="D10577" t="str">
            <v>Furnitures</v>
          </cell>
          <cell r="F10577">
            <v>0</v>
          </cell>
          <cell r="G10577">
            <v>275</v>
          </cell>
          <cell r="H10577">
            <v>0</v>
          </cell>
        </row>
        <row r="10578">
          <cell r="D10578" t="str">
            <v>Furnitures</v>
          </cell>
          <cell r="F10578">
            <v>0</v>
          </cell>
          <cell r="G10578">
            <v>275</v>
          </cell>
          <cell r="H10578">
            <v>0</v>
          </cell>
        </row>
        <row r="10579">
          <cell r="D10579" t="str">
            <v>Furnitures</v>
          </cell>
          <cell r="F10579">
            <v>0</v>
          </cell>
          <cell r="G10579">
            <v>275</v>
          </cell>
          <cell r="H10579">
            <v>0</v>
          </cell>
        </row>
        <row r="10580">
          <cell r="D10580" t="str">
            <v>Furnitures</v>
          </cell>
          <cell r="F10580">
            <v>0</v>
          </cell>
          <cell r="G10580">
            <v>275</v>
          </cell>
          <cell r="H10580">
            <v>0</v>
          </cell>
        </row>
        <row r="10581">
          <cell r="D10581" t="str">
            <v>Furnitures</v>
          </cell>
          <cell r="F10581">
            <v>0</v>
          </cell>
          <cell r="G10581">
            <v>275</v>
          </cell>
          <cell r="H10581">
            <v>0</v>
          </cell>
        </row>
        <row r="10582">
          <cell r="D10582" t="str">
            <v>Furnitures</v>
          </cell>
          <cell r="F10582">
            <v>9662.3319984262289</v>
          </cell>
          <cell r="G10582">
            <v>275</v>
          </cell>
          <cell r="H10582">
            <v>9196.3604077412983</v>
          </cell>
        </row>
        <row r="10583">
          <cell r="D10583" t="str">
            <v>Furnitures</v>
          </cell>
          <cell r="F10583">
            <v>10086.019769967214</v>
          </cell>
          <cell r="G10583">
            <v>275</v>
          </cell>
          <cell r="H10583">
            <v>9599.6155896247474</v>
          </cell>
        </row>
        <row r="10584">
          <cell r="D10584" t="str">
            <v>Furnitures</v>
          </cell>
          <cell r="F10584">
            <v>7205.767692065574</v>
          </cell>
          <cell r="G10584">
            <v>275</v>
          </cell>
          <cell r="H10584">
            <v>6858.2653464491359</v>
          </cell>
        </row>
        <row r="10585">
          <cell r="D10585" t="str">
            <v>Furnitures</v>
          </cell>
          <cell r="F10585">
            <v>14391.054620065574</v>
          </cell>
          <cell r="G10585">
            <v>275</v>
          </cell>
          <cell r="H10585">
            <v>13697.037625613519</v>
          </cell>
        </row>
        <row r="10586">
          <cell r="D10586" t="str">
            <v>Furnitures</v>
          </cell>
          <cell r="F10586">
            <v>6487.2399881967212</v>
          </cell>
          <cell r="G10586">
            <v>275</v>
          </cell>
          <cell r="H10586">
            <v>6174.3890597720638</v>
          </cell>
        </row>
        <row r="10587">
          <cell r="D10587" t="str">
            <v>Furnitures</v>
          </cell>
          <cell r="F10587">
            <v>14218.08067304918</v>
          </cell>
          <cell r="G10587">
            <v>275</v>
          </cell>
          <cell r="H10587">
            <v>13532.405447980687</v>
          </cell>
        </row>
        <row r="10588">
          <cell r="D10588" t="str">
            <v>Furnitures</v>
          </cell>
          <cell r="F10588">
            <v>10811.727113967212</v>
          </cell>
          <cell r="G10588">
            <v>275</v>
          </cell>
          <cell r="H10588">
            <v>10290.325274104198</v>
          </cell>
        </row>
        <row r="10589">
          <cell r="D10589" t="str">
            <v>Furnitures</v>
          </cell>
          <cell r="F10589">
            <v>18016.456428327871</v>
          </cell>
          <cell r="G10589">
            <v>275</v>
          </cell>
          <cell r="H10589">
            <v>17147.60231921828</v>
          </cell>
        </row>
        <row r="10590">
          <cell r="D10590" t="str">
            <v>Furnitures</v>
          </cell>
          <cell r="F10590">
            <v>10532.284839606558</v>
          </cell>
          <cell r="G10590">
            <v>275</v>
          </cell>
          <cell r="H10590">
            <v>10024.359266250394</v>
          </cell>
        </row>
        <row r="10591">
          <cell r="D10591" t="str">
            <v>Furnitures</v>
          </cell>
          <cell r="F10591">
            <v>0</v>
          </cell>
          <cell r="G10591">
            <v>275</v>
          </cell>
          <cell r="H10591">
            <v>0</v>
          </cell>
        </row>
        <row r="10592">
          <cell r="D10592" t="str">
            <v>Furnitures</v>
          </cell>
          <cell r="F10592">
            <v>0</v>
          </cell>
          <cell r="G10592">
            <v>275</v>
          </cell>
          <cell r="H10592">
            <v>0</v>
          </cell>
        </row>
        <row r="10593">
          <cell r="D10593" t="str">
            <v>Furnitures</v>
          </cell>
          <cell r="F10593">
            <v>0</v>
          </cell>
          <cell r="G10593">
            <v>275</v>
          </cell>
          <cell r="H10593">
            <v>0</v>
          </cell>
        </row>
        <row r="10594">
          <cell r="D10594" t="str">
            <v>Furnitures</v>
          </cell>
          <cell r="F10594">
            <v>0</v>
          </cell>
          <cell r="G10594">
            <v>275</v>
          </cell>
          <cell r="H10594">
            <v>0</v>
          </cell>
        </row>
        <row r="10595">
          <cell r="D10595" t="str">
            <v>Furnitures</v>
          </cell>
          <cell r="F10595">
            <v>0</v>
          </cell>
          <cell r="G10595">
            <v>275</v>
          </cell>
          <cell r="H10595">
            <v>0</v>
          </cell>
        </row>
        <row r="10596">
          <cell r="D10596" t="str">
            <v>Furnitures</v>
          </cell>
          <cell r="F10596">
            <v>0</v>
          </cell>
          <cell r="G10596">
            <v>275</v>
          </cell>
          <cell r="H10596">
            <v>0</v>
          </cell>
        </row>
        <row r="10597">
          <cell r="D10597" t="str">
            <v>Furnitures</v>
          </cell>
          <cell r="F10597">
            <v>0</v>
          </cell>
          <cell r="G10597">
            <v>275</v>
          </cell>
          <cell r="H10597">
            <v>0</v>
          </cell>
        </row>
        <row r="10598">
          <cell r="D10598" t="str">
            <v>Furnitures</v>
          </cell>
          <cell r="F10598">
            <v>0</v>
          </cell>
          <cell r="G10598">
            <v>275</v>
          </cell>
          <cell r="H10598">
            <v>0</v>
          </cell>
        </row>
        <row r="10599">
          <cell r="D10599" t="str">
            <v>Furnitures</v>
          </cell>
          <cell r="F10599">
            <v>0</v>
          </cell>
          <cell r="G10599">
            <v>275</v>
          </cell>
          <cell r="H10599">
            <v>0</v>
          </cell>
        </row>
        <row r="10600">
          <cell r="D10600" t="str">
            <v>Furnitures</v>
          </cell>
          <cell r="F10600">
            <v>0</v>
          </cell>
          <cell r="G10600">
            <v>275</v>
          </cell>
          <cell r="H10600">
            <v>0</v>
          </cell>
        </row>
        <row r="10601">
          <cell r="D10601" t="str">
            <v>Furnitures</v>
          </cell>
          <cell r="F10601">
            <v>0</v>
          </cell>
          <cell r="G10601">
            <v>275</v>
          </cell>
          <cell r="H10601">
            <v>0</v>
          </cell>
        </row>
        <row r="10602">
          <cell r="D10602" t="str">
            <v>Furnitures</v>
          </cell>
          <cell r="F10602">
            <v>0</v>
          </cell>
          <cell r="G10602">
            <v>275</v>
          </cell>
          <cell r="H10602">
            <v>0</v>
          </cell>
        </row>
        <row r="10603">
          <cell r="D10603" t="str">
            <v>Furnitures</v>
          </cell>
          <cell r="F10603">
            <v>0</v>
          </cell>
          <cell r="G10603">
            <v>275</v>
          </cell>
          <cell r="H10603">
            <v>0</v>
          </cell>
        </row>
        <row r="10604">
          <cell r="D10604" t="str">
            <v>Furnitures</v>
          </cell>
          <cell r="F10604">
            <v>0</v>
          </cell>
          <cell r="G10604">
            <v>275</v>
          </cell>
          <cell r="H10604">
            <v>0</v>
          </cell>
        </row>
        <row r="10605">
          <cell r="D10605" t="str">
            <v>Furnitures</v>
          </cell>
          <cell r="F10605">
            <v>0</v>
          </cell>
          <cell r="G10605">
            <v>275</v>
          </cell>
          <cell r="H10605">
            <v>0</v>
          </cell>
        </row>
        <row r="10606">
          <cell r="D10606" t="str">
            <v>Furnitures</v>
          </cell>
          <cell r="F10606">
            <v>0</v>
          </cell>
          <cell r="G10606">
            <v>275</v>
          </cell>
          <cell r="H10606">
            <v>0</v>
          </cell>
        </row>
        <row r="10607">
          <cell r="D10607" t="str">
            <v>Furnitures</v>
          </cell>
          <cell r="F10607">
            <v>0</v>
          </cell>
          <cell r="G10607">
            <v>275</v>
          </cell>
          <cell r="H10607">
            <v>0</v>
          </cell>
        </row>
        <row r="10608">
          <cell r="D10608" t="str">
            <v>Furnitures</v>
          </cell>
          <cell r="F10608">
            <v>0</v>
          </cell>
          <cell r="G10608">
            <v>275</v>
          </cell>
          <cell r="H10608">
            <v>0</v>
          </cell>
        </row>
        <row r="10609">
          <cell r="D10609" t="str">
            <v>Furnitures</v>
          </cell>
          <cell r="F10609">
            <v>0</v>
          </cell>
          <cell r="G10609">
            <v>275</v>
          </cell>
          <cell r="H10609">
            <v>0</v>
          </cell>
        </row>
        <row r="10610">
          <cell r="D10610" t="str">
            <v>Furnitures</v>
          </cell>
          <cell r="F10610">
            <v>0</v>
          </cell>
          <cell r="G10610">
            <v>275</v>
          </cell>
          <cell r="H10610">
            <v>0</v>
          </cell>
        </row>
        <row r="10611">
          <cell r="D10611" t="str">
            <v>Furnitures</v>
          </cell>
          <cell r="F10611">
            <v>0</v>
          </cell>
          <cell r="G10611">
            <v>275</v>
          </cell>
          <cell r="H10611">
            <v>0</v>
          </cell>
        </row>
        <row r="10612">
          <cell r="D10612" t="str">
            <v>Furnitures</v>
          </cell>
          <cell r="F10612">
            <v>0</v>
          </cell>
          <cell r="G10612">
            <v>275</v>
          </cell>
          <cell r="H10612">
            <v>0</v>
          </cell>
        </row>
        <row r="10613">
          <cell r="D10613" t="str">
            <v>Furnitures</v>
          </cell>
          <cell r="F10613">
            <v>0</v>
          </cell>
          <cell r="G10613">
            <v>275</v>
          </cell>
          <cell r="H10613">
            <v>0</v>
          </cell>
        </row>
        <row r="10614">
          <cell r="D10614" t="str">
            <v>Furnitures</v>
          </cell>
          <cell r="F10614">
            <v>0</v>
          </cell>
          <cell r="G10614">
            <v>275</v>
          </cell>
          <cell r="H10614">
            <v>0</v>
          </cell>
        </row>
        <row r="10615">
          <cell r="D10615" t="str">
            <v>Furnitures</v>
          </cell>
          <cell r="F10615">
            <v>0</v>
          </cell>
          <cell r="G10615">
            <v>275</v>
          </cell>
          <cell r="H10615">
            <v>0</v>
          </cell>
        </row>
        <row r="10616">
          <cell r="D10616" t="str">
            <v>Furnitures</v>
          </cell>
          <cell r="F10616">
            <v>0</v>
          </cell>
          <cell r="G10616">
            <v>275</v>
          </cell>
          <cell r="H10616">
            <v>0</v>
          </cell>
        </row>
        <row r="10617">
          <cell r="D10617" t="str">
            <v>Furnitures</v>
          </cell>
          <cell r="F10617">
            <v>0</v>
          </cell>
          <cell r="G10617">
            <v>275</v>
          </cell>
          <cell r="H10617">
            <v>0</v>
          </cell>
        </row>
        <row r="10618">
          <cell r="D10618" t="str">
            <v>Furnitures</v>
          </cell>
          <cell r="F10618">
            <v>0</v>
          </cell>
          <cell r="G10618">
            <v>275</v>
          </cell>
          <cell r="H10618">
            <v>0</v>
          </cell>
        </row>
        <row r="10619">
          <cell r="D10619" t="str">
            <v>Furnitures</v>
          </cell>
          <cell r="F10619">
            <v>0</v>
          </cell>
          <cell r="G10619">
            <v>275</v>
          </cell>
          <cell r="H10619">
            <v>0</v>
          </cell>
        </row>
        <row r="10620">
          <cell r="D10620" t="str">
            <v>Furnitures</v>
          </cell>
          <cell r="F10620">
            <v>0</v>
          </cell>
          <cell r="G10620">
            <v>275</v>
          </cell>
          <cell r="H10620">
            <v>0</v>
          </cell>
        </row>
        <row r="10621">
          <cell r="D10621" t="str">
            <v>Furnitures</v>
          </cell>
          <cell r="F10621">
            <v>0</v>
          </cell>
          <cell r="G10621">
            <v>275</v>
          </cell>
          <cell r="H10621">
            <v>0</v>
          </cell>
        </row>
        <row r="10622">
          <cell r="D10622" t="str">
            <v>Furnitures</v>
          </cell>
          <cell r="F10622">
            <v>0</v>
          </cell>
          <cell r="G10622">
            <v>275</v>
          </cell>
          <cell r="H10622">
            <v>0</v>
          </cell>
        </row>
        <row r="10623">
          <cell r="D10623" t="str">
            <v>Furnitures</v>
          </cell>
          <cell r="F10623">
            <v>0</v>
          </cell>
          <cell r="G10623">
            <v>275</v>
          </cell>
          <cell r="H10623">
            <v>0</v>
          </cell>
        </row>
        <row r="10624">
          <cell r="D10624" t="str">
            <v>Furnitures</v>
          </cell>
          <cell r="F10624">
            <v>0</v>
          </cell>
          <cell r="G10624">
            <v>275</v>
          </cell>
          <cell r="H10624">
            <v>0</v>
          </cell>
        </row>
        <row r="10625">
          <cell r="D10625" t="str">
            <v>Furnitures</v>
          </cell>
          <cell r="F10625">
            <v>0</v>
          </cell>
          <cell r="G10625">
            <v>275</v>
          </cell>
          <cell r="H10625">
            <v>0</v>
          </cell>
        </row>
        <row r="10626">
          <cell r="D10626" t="str">
            <v>Furnitures</v>
          </cell>
          <cell r="F10626">
            <v>0</v>
          </cell>
          <cell r="G10626">
            <v>275</v>
          </cell>
          <cell r="H10626">
            <v>0</v>
          </cell>
        </row>
        <row r="10627">
          <cell r="D10627" t="str">
            <v>Furnitures</v>
          </cell>
          <cell r="F10627">
            <v>0</v>
          </cell>
          <cell r="G10627">
            <v>275</v>
          </cell>
          <cell r="H10627">
            <v>0</v>
          </cell>
        </row>
        <row r="10628">
          <cell r="D10628" t="str">
            <v>Furnitures</v>
          </cell>
          <cell r="F10628">
            <v>0</v>
          </cell>
          <cell r="G10628">
            <v>275</v>
          </cell>
          <cell r="H10628">
            <v>0</v>
          </cell>
        </row>
        <row r="10629">
          <cell r="D10629" t="str">
            <v>Furnitures</v>
          </cell>
          <cell r="F10629">
            <v>0</v>
          </cell>
          <cell r="G10629">
            <v>275</v>
          </cell>
          <cell r="H10629">
            <v>0</v>
          </cell>
        </row>
        <row r="10630">
          <cell r="D10630" t="str">
            <v>Furnitures</v>
          </cell>
          <cell r="F10630">
            <v>0</v>
          </cell>
          <cell r="G10630">
            <v>275</v>
          </cell>
          <cell r="H10630">
            <v>0</v>
          </cell>
        </row>
        <row r="10631">
          <cell r="D10631" t="str">
            <v>Furnitures</v>
          </cell>
          <cell r="F10631">
            <v>0</v>
          </cell>
          <cell r="G10631">
            <v>275</v>
          </cell>
          <cell r="H10631">
            <v>0</v>
          </cell>
        </row>
        <row r="10632">
          <cell r="D10632" t="str">
            <v>Furnitures</v>
          </cell>
          <cell r="F10632">
            <v>0</v>
          </cell>
          <cell r="G10632">
            <v>275</v>
          </cell>
          <cell r="H10632">
            <v>0</v>
          </cell>
        </row>
        <row r="10633">
          <cell r="D10633" t="str">
            <v>Furnitures</v>
          </cell>
          <cell r="F10633">
            <v>0</v>
          </cell>
          <cell r="G10633">
            <v>275</v>
          </cell>
          <cell r="H10633">
            <v>0</v>
          </cell>
        </row>
        <row r="10634">
          <cell r="D10634" t="str">
            <v>Furnitures</v>
          </cell>
          <cell r="F10634">
            <v>0</v>
          </cell>
          <cell r="G10634">
            <v>275</v>
          </cell>
          <cell r="H10634">
            <v>0</v>
          </cell>
        </row>
        <row r="10635">
          <cell r="D10635" t="str">
            <v>Furnitures</v>
          </cell>
          <cell r="F10635">
            <v>0</v>
          </cell>
          <cell r="G10635">
            <v>275</v>
          </cell>
          <cell r="H10635">
            <v>0</v>
          </cell>
        </row>
        <row r="10636">
          <cell r="D10636" t="str">
            <v>Furnitures</v>
          </cell>
          <cell r="F10636">
            <v>0</v>
          </cell>
          <cell r="G10636">
            <v>275</v>
          </cell>
          <cell r="H10636">
            <v>0</v>
          </cell>
        </row>
        <row r="10637">
          <cell r="D10637" t="str">
            <v>Furnitures</v>
          </cell>
          <cell r="F10637">
            <v>0</v>
          </cell>
          <cell r="G10637">
            <v>275</v>
          </cell>
          <cell r="H10637">
            <v>0</v>
          </cell>
        </row>
        <row r="10638">
          <cell r="D10638" t="str">
            <v>Furnitures</v>
          </cell>
          <cell r="F10638">
            <v>0</v>
          </cell>
          <cell r="G10638">
            <v>275</v>
          </cell>
          <cell r="H10638">
            <v>0</v>
          </cell>
        </row>
        <row r="10639">
          <cell r="D10639" t="str">
            <v>Furnitures</v>
          </cell>
          <cell r="F10639">
            <v>0</v>
          </cell>
          <cell r="G10639">
            <v>275</v>
          </cell>
          <cell r="H10639">
            <v>0</v>
          </cell>
        </row>
        <row r="10640">
          <cell r="D10640" t="str">
            <v>Furnitures</v>
          </cell>
          <cell r="F10640">
            <v>0</v>
          </cell>
          <cell r="G10640">
            <v>275</v>
          </cell>
          <cell r="H10640">
            <v>0</v>
          </cell>
        </row>
        <row r="10641">
          <cell r="D10641" t="str">
            <v>Furnitures</v>
          </cell>
          <cell r="F10641">
            <v>0</v>
          </cell>
          <cell r="G10641">
            <v>275</v>
          </cell>
          <cell r="H10641">
            <v>0</v>
          </cell>
        </row>
        <row r="10642">
          <cell r="D10642" t="str">
            <v>Furnitures</v>
          </cell>
          <cell r="F10642">
            <v>0</v>
          </cell>
          <cell r="G10642">
            <v>275</v>
          </cell>
          <cell r="H10642">
            <v>0</v>
          </cell>
        </row>
        <row r="10643">
          <cell r="D10643" t="str">
            <v>Furnitures</v>
          </cell>
          <cell r="F10643">
            <v>0</v>
          </cell>
          <cell r="G10643">
            <v>275</v>
          </cell>
          <cell r="H10643">
            <v>0</v>
          </cell>
        </row>
        <row r="10644">
          <cell r="D10644" t="str">
            <v>Furnitures</v>
          </cell>
          <cell r="F10644">
            <v>0</v>
          </cell>
          <cell r="G10644">
            <v>275</v>
          </cell>
          <cell r="H10644">
            <v>0</v>
          </cell>
        </row>
        <row r="10645">
          <cell r="D10645" t="str">
            <v>Furnitures</v>
          </cell>
          <cell r="F10645">
            <v>0</v>
          </cell>
          <cell r="G10645">
            <v>275</v>
          </cell>
          <cell r="H10645">
            <v>0</v>
          </cell>
        </row>
        <row r="10646">
          <cell r="D10646" t="str">
            <v>Furnitures</v>
          </cell>
          <cell r="F10646">
            <v>0</v>
          </cell>
          <cell r="G10646">
            <v>275</v>
          </cell>
          <cell r="H10646">
            <v>0</v>
          </cell>
        </row>
        <row r="10647">
          <cell r="D10647" t="str">
            <v>Furnitures</v>
          </cell>
          <cell r="F10647">
            <v>0</v>
          </cell>
          <cell r="G10647">
            <v>275</v>
          </cell>
          <cell r="H10647">
            <v>0</v>
          </cell>
        </row>
        <row r="10648">
          <cell r="D10648" t="str">
            <v>Furnitures</v>
          </cell>
          <cell r="F10648">
            <v>0</v>
          </cell>
          <cell r="G10648">
            <v>275</v>
          </cell>
          <cell r="H10648">
            <v>0</v>
          </cell>
        </row>
        <row r="10649">
          <cell r="D10649" t="str">
            <v>Furnitures</v>
          </cell>
          <cell r="F10649">
            <v>0</v>
          </cell>
          <cell r="G10649">
            <v>275</v>
          </cell>
          <cell r="H10649">
            <v>0</v>
          </cell>
        </row>
        <row r="10650">
          <cell r="D10650" t="str">
            <v>Furnitures</v>
          </cell>
          <cell r="F10650">
            <v>0</v>
          </cell>
          <cell r="G10650">
            <v>275</v>
          </cell>
          <cell r="H10650">
            <v>0</v>
          </cell>
        </row>
        <row r="10651">
          <cell r="D10651" t="str">
            <v>Furnitures</v>
          </cell>
          <cell r="F10651">
            <v>0</v>
          </cell>
          <cell r="G10651">
            <v>275</v>
          </cell>
          <cell r="H10651">
            <v>0</v>
          </cell>
        </row>
        <row r="10652">
          <cell r="D10652" t="str">
            <v>Furnitures</v>
          </cell>
          <cell r="F10652">
            <v>0</v>
          </cell>
          <cell r="G10652">
            <v>275</v>
          </cell>
          <cell r="H10652">
            <v>0</v>
          </cell>
        </row>
        <row r="10653">
          <cell r="D10653" t="str">
            <v>Furnitures</v>
          </cell>
          <cell r="F10653">
            <v>0</v>
          </cell>
          <cell r="G10653">
            <v>275</v>
          </cell>
          <cell r="H10653">
            <v>0</v>
          </cell>
        </row>
        <row r="10654">
          <cell r="D10654" t="str">
            <v>Furnitures</v>
          </cell>
          <cell r="F10654">
            <v>0</v>
          </cell>
          <cell r="G10654">
            <v>275</v>
          </cell>
          <cell r="H10654">
            <v>0</v>
          </cell>
        </row>
        <row r="10655">
          <cell r="D10655" t="str">
            <v>Furnitures</v>
          </cell>
          <cell r="F10655">
            <v>0</v>
          </cell>
          <cell r="G10655">
            <v>275</v>
          </cell>
          <cell r="H10655">
            <v>0</v>
          </cell>
        </row>
        <row r="10656">
          <cell r="D10656" t="str">
            <v>Furnitures</v>
          </cell>
          <cell r="F10656">
            <v>0</v>
          </cell>
          <cell r="G10656">
            <v>275</v>
          </cell>
          <cell r="H10656">
            <v>0</v>
          </cell>
        </row>
        <row r="10657">
          <cell r="D10657" t="str">
            <v>Furnitures</v>
          </cell>
          <cell r="F10657">
            <v>0</v>
          </cell>
          <cell r="G10657">
            <v>275</v>
          </cell>
          <cell r="H10657">
            <v>0</v>
          </cell>
        </row>
        <row r="10658">
          <cell r="D10658" t="str">
            <v>Furnitures</v>
          </cell>
          <cell r="F10658">
            <v>0</v>
          </cell>
          <cell r="G10658">
            <v>275</v>
          </cell>
          <cell r="H10658">
            <v>0</v>
          </cell>
        </row>
        <row r="10659">
          <cell r="D10659" t="str">
            <v>Furnitures</v>
          </cell>
          <cell r="F10659">
            <v>0</v>
          </cell>
          <cell r="G10659">
            <v>275</v>
          </cell>
          <cell r="H10659">
            <v>0</v>
          </cell>
        </row>
        <row r="10660">
          <cell r="D10660" t="str">
            <v>Furnitures</v>
          </cell>
          <cell r="F10660">
            <v>0</v>
          </cell>
          <cell r="G10660">
            <v>275</v>
          </cell>
          <cell r="H10660">
            <v>0</v>
          </cell>
        </row>
        <row r="10661">
          <cell r="D10661" t="str">
            <v>Furnitures</v>
          </cell>
          <cell r="F10661">
            <v>0</v>
          </cell>
          <cell r="G10661">
            <v>275</v>
          </cell>
          <cell r="H10661">
            <v>0</v>
          </cell>
        </row>
        <row r="10662">
          <cell r="D10662" t="str">
            <v>Furnitures</v>
          </cell>
          <cell r="F10662">
            <v>0</v>
          </cell>
          <cell r="G10662">
            <v>275</v>
          </cell>
          <cell r="H10662">
            <v>0</v>
          </cell>
        </row>
        <row r="10663">
          <cell r="D10663" t="str">
            <v>Furnitures</v>
          </cell>
          <cell r="F10663">
            <v>0</v>
          </cell>
          <cell r="G10663">
            <v>275</v>
          </cell>
          <cell r="H10663">
            <v>0</v>
          </cell>
        </row>
        <row r="10664">
          <cell r="D10664" t="str">
            <v>Furnitures</v>
          </cell>
          <cell r="F10664">
            <v>0</v>
          </cell>
          <cell r="G10664">
            <v>275</v>
          </cell>
          <cell r="H10664">
            <v>0</v>
          </cell>
        </row>
        <row r="10665">
          <cell r="D10665" t="str">
            <v>Furnitures</v>
          </cell>
          <cell r="F10665">
            <v>0</v>
          </cell>
          <cell r="G10665">
            <v>275</v>
          </cell>
          <cell r="H10665">
            <v>0</v>
          </cell>
        </row>
        <row r="10666">
          <cell r="D10666" t="str">
            <v>Furnitures</v>
          </cell>
          <cell r="F10666">
            <v>0</v>
          </cell>
          <cell r="G10666">
            <v>275</v>
          </cell>
          <cell r="H10666">
            <v>0</v>
          </cell>
        </row>
        <row r="10667">
          <cell r="D10667" t="str">
            <v>Furnitures</v>
          </cell>
          <cell r="F10667">
            <v>0</v>
          </cell>
          <cell r="G10667">
            <v>275</v>
          </cell>
          <cell r="H10667">
            <v>0</v>
          </cell>
        </row>
        <row r="10668">
          <cell r="D10668" t="str">
            <v>Furnitures</v>
          </cell>
          <cell r="F10668">
            <v>0</v>
          </cell>
          <cell r="G10668">
            <v>275</v>
          </cell>
          <cell r="H10668">
            <v>0</v>
          </cell>
        </row>
        <row r="10669">
          <cell r="D10669" t="str">
            <v>Furnitures</v>
          </cell>
          <cell r="F10669">
            <v>0</v>
          </cell>
          <cell r="G10669">
            <v>275</v>
          </cell>
          <cell r="H10669">
            <v>0</v>
          </cell>
        </row>
        <row r="10670">
          <cell r="D10670" t="str">
            <v>Furnitures</v>
          </cell>
          <cell r="F10670">
            <v>0</v>
          </cell>
          <cell r="G10670">
            <v>275</v>
          </cell>
          <cell r="H10670">
            <v>0</v>
          </cell>
        </row>
        <row r="10671">
          <cell r="D10671" t="str">
            <v>Furnitures</v>
          </cell>
          <cell r="F10671">
            <v>0</v>
          </cell>
          <cell r="G10671">
            <v>275</v>
          </cell>
          <cell r="H10671">
            <v>0</v>
          </cell>
        </row>
        <row r="10672">
          <cell r="D10672" t="str">
            <v>Furnitures</v>
          </cell>
          <cell r="F10672">
            <v>0</v>
          </cell>
          <cell r="G10672">
            <v>275</v>
          </cell>
          <cell r="H10672">
            <v>0</v>
          </cell>
        </row>
        <row r="10673">
          <cell r="D10673" t="str">
            <v>Furnitures</v>
          </cell>
          <cell r="F10673">
            <v>0</v>
          </cell>
          <cell r="G10673">
            <v>275</v>
          </cell>
          <cell r="H10673">
            <v>0</v>
          </cell>
        </row>
        <row r="10674">
          <cell r="D10674" t="str">
            <v>Furnitures</v>
          </cell>
          <cell r="F10674">
            <v>27074.104688524589</v>
          </cell>
          <cell r="G10674">
            <v>275</v>
          </cell>
          <cell r="H10674">
            <v>25769.352948798562</v>
          </cell>
        </row>
        <row r="10675">
          <cell r="D10675" t="str">
            <v>Furnitures</v>
          </cell>
          <cell r="F10675">
            <v>0</v>
          </cell>
          <cell r="G10675">
            <v>275</v>
          </cell>
          <cell r="H10675">
            <v>0</v>
          </cell>
        </row>
        <row r="10676">
          <cell r="D10676" t="str">
            <v>Furnitures</v>
          </cell>
          <cell r="F10676">
            <v>0</v>
          </cell>
          <cell r="G10676">
            <v>275</v>
          </cell>
          <cell r="H10676">
            <v>0</v>
          </cell>
        </row>
        <row r="10677">
          <cell r="D10677" t="str">
            <v>Furnitures</v>
          </cell>
          <cell r="F10677">
            <v>0</v>
          </cell>
          <cell r="G10677">
            <v>275</v>
          </cell>
          <cell r="H10677">
            <v>0</v>
          </cell>
        </row>
        <row r="10678">
          <cell r="D10678" t="str">
            <v>Furnitures</v>
          </cell>
          <cell r="F10678">
            <v>0</v>
          </cell>
          <cell r="G10678">
            <v>275</v>
          </cell>
          <cell r="H10678">
            <v>0</v>
          </cell>
        </row>
        <row r="10679">
          <cell r="D10679" t="str">
            <v>Furnitures</v>
          </cell>
          <cell r="F10679">
            <v>0</v>
          </cell>
          <cell r="G10679">
            <v>275</v>
          </cell>
          <cell r="H10679">
            <v>0</v>
          </cell>
        </row>
        <row r="10680">
          <cell r="D10680" t="str">
            <v>Furnitures</v>
          </cell>
          <cell r="F10680">
            <v>0</v>
          </cell>
          <cell r="G10680">
            <v>275</v>
          </cell>
          <cell r="H10680">
            <v>0</v>
          </cell>
        </row>
        <row r="10681">
          <cell r="D10681" t="str">
            <v>Furnitures</v>
          </cell>
          <cell r="F10681">
            <v>0</v>
          </cell>
          <cell r="G10681">
            <v>275</v>
          </cell>
          <cell r="H10681">
            <v>0</v>
          </cell>
        </row>
        <row r="10682">
          <cell r="D10682" t="str">
            <v>Furnitures</v>
          </cell>
          <cell r="F10682">
            <v>0</v>
          </cell>
          <cell r="G10682">
            <v>275</v>
          </cell>
          <cell r="H10682">
            <v>0</v>
          </cell>
        </row>
        <row r="10683">
          <cell r="D10683" t="str">
            <v>Furnitures</v>
          </cell>
          <cell r="F10683">
            <v>0</v>
          </cell>
          <cell r="G10683">
            <v>275</v>
          </cell>
          <cell r="H10683">
            <v>0</v>
          </cell>
        </row>
        <row r="10684">
          <cell r="D10684" t="str">
            <v>Furnitures</v>
          </cell>
          <cell r="F10684">
            <v>0</v>
          </cell>
          <cell r="G10684">
            <v>275</v>
          </cell>
          <cell r="H10684">
            <v>0</v>
          </cell>
        </row>
        <row r="10685">
          <cell r="D10685" t="str">
            <v>Furnitures</v>
          </cell>
          <cell r="F10685">
            <v>0</v>
          </cell>
          <cell r="G10685">
            <v>275</v>
          </cell>
          <cell r="H10685">
            <v>0</v>
          </cell>
        </row>
        <row r="10686">
          <cell r="D10686" t="str">
            <v>Furnitures</v>
          </cell>
          <cell r="F10686">
            <v>0</v>
          </cell>
          <cell r="G10686">
            <v>275</v>
          </cell>
          <cell r="H10686">
            <v>0</v>
          </cell>
        </row>
        <row r="10687">
          <cell r="D10687" t="str">
            <v>Furnitures</v>
          </cell>
          <cell r="F10687">
            <v>0</v>
          </cell>
          <cell r="G10687">
            <v>275</v>
          </cell>
          <cell r="H10687">
            <v>0</v>
          </cell>
        </row>
        <row r="10688">
          <cell r="D10688" t="str">
            <v>Furnitures</v>
          </cell>
          <cell r="F10688">
            <v>0</v>
          </cell>
          <cell r="G10688">
            <v>275</v>
          </cell>
          <cell r="H10688">
            <v>0</v>
          </cell>
        </row>
        <row r="10689">
          <cell r="D10689" t="str">
            <v>Furnitures</v>
          </cell>
          <cell r="F10689">
            <v>0</v>
          </cell>
          <cell r="G10689">
            <v>275</v>
          </cell>
          <cell r="H10689">
            <v>0</v>
          </cell>
        </row>
        <row r="10690">
          <cell r="D10690" t="str">
            <v>Furnitures</v>
          </cell>
          <cell r="F10690">
            <v>0</v>
          </cell>
          <cell r="G10690">
            <v>275</v>
          </cell>
          <cell r="H10690">
            <v>0</v>
          </cell>
        </row>
        <row r="10691">
          <cell r="D10691" t="str">
            <v>Furnitures</v>
          </cell>
          <cell r="F10691">
            <v>0</v>
          </cell>
          <cell r="G10691">
            <v>275</v>
          </cell>
          <cell r="H10691">
            <v>0</v>
          </cell>
        </row>
        <row r="10692">
          <cell r="D10692" t="str">
            <v>Furnitures</v>
          </cell>
          <cell r="F10692">
            <v>0</v>
          </cell>
          <cell r="G10692">
            <v>275</v>
          </cell>
          <cell r="H10692">
            <v>0</v>
          </cell>
        </row>
        <row r="10693">
          <cell r="D10693" t="str">
            <v>Furnitures</v>
          </cell>
          <cell r="F10693">
            <v>0</v>
          </cell>
          <cell r="G10693">
            <v>275</v>
          </cell>
          <cell r="H10693">
            <v>0</v>
          </cell>
        </row>
        <row r="10694">
          <cell r="D10694" t="str">
            <v>Furnitures</v>
          </cell>
          <cell r="F10694">
            <v>0</v>
          </cell>
          <cell r="G10694">
            <v>275</v>
          </cell>
          <cell r="H10694">
            <v>0</v>
          </cell>
        </row>
        <row r="10695">
          <cell r="D10695" t="str">
            <v>Furnitures</v>
          </cell>
          <cell r="F10695">
            <v>0</v>
          </cell>
          <cell r="G10695">
            <v>275</v>
          </cell>
          <cell r="H10695">
            <v>0</v>
          </cell>
        </row>
        <row r="10696">
          <cell r="D10696" t="str">
            <v>Furnitures</v>
          </cell>
          <cell r="F10696">
            <v>0</v>
          </cell>
          <cell r="G10696">
            <v>275</v>
          </cell>
          <cell r="H10696">
            <v>0</v>
          </cell>
        </row>
        <row r="10697">
          <cell r="D10697" t="str">
            <v>Furnitures</v>
          </cell>
          <cell r="F10697">
            <v>0</v>
          </cell>
          <cell r="G10697">
            <v>275</v>
          </cell>
          <cell r="H10697">
            <v>0</v>
          </cell>
        </row>
        <row r="10698">
          <cell r="D10698" t="str">
            <v>Furnitures</v>
          </cell>
          <cell r="F10698">
            <v>0</v>
          </cell>
          <cell r="G10698">
            <v>275</v>
          </cell>
          <cell r="H10698">
            <v>0</v>
          </cell>
        </row>
        <row r="10699">
          <cell r="D10699" t="str">
            <v>Furnitures</v>
          </cell>
          <cell r="F10699">
            <v>0</v>
          </cell>
          <cell r="G10699">
            <v>275</v>
          </cell>
          <cell r="H10699">
            <v>0</v>
          </cell>
        </row>
        <row r="10700">
          <cell r="D10700" t="str">
            <v>Furnitures</v>
          </cell>
          <cell r="F10700">
            <v>0</v>
          </cell>
          <cell r="G10700">
            <v>275</v>
          </cell>
          <cell r="H10700">
            <v>0</v>
          </cell>
        </row>
        <row r="10701">
          <cell r="D10701" t="str">
            <v>Furnitures</v>
          </cell>
          <cell r="F10701">
            <v>0</v>
          </cell>
          <cell r="G10701">
            <v>275</v>
          </cell>
          <cell r="H10701">
            <v>0</v>
          </cell>
        </row>
        <row r="10702">
          <cell r="D10702" t="str">
            <v>Furnitures</v>
          </cell>
          <cell r="F10702">
            <v>0</v>
          </cell>
          <cell r="G10702">
            <v>275</v>
          </cell>
          <cell r="H10702">
            <v>0</v>
          </cell>
        </row>
        <row r="10703">
          <cell r="D10703" t="str">
            <v>Furnitures</v>
          </cell>
          <cell r="F10703">
            <v>0</v>
          </cell>
          <cell r="G10703">
            <v>275</v>
          </cell>
          <cell r="H10703">
            <v>0</v>
          </cell>
        </row>
        <row r="10704">
          <cell r="D10704" t="str">
            <v>Furnitures</v>
          </cell>
          <cell r="F10704">
            <v>0</v>
          </cell>
          <cell r="G10704">
            <v>275</v>
          </cell>
          <cell r="H10704">
            <v>0</v>
          </cell>
        </row>
        <row r="10705">
          <cell r="D10705" t="str">
            <v>Furnitures</v>
          </cell>
          <cell r="F10705">
            <v>0</v>
          </cell>
          <cell r="G10705">
            <v>275</v>
          </cell>
          <cell r="H10705">
            <v>0</v>
          </cell>
        </row>
        <row r="10706">
          <cell r="D10706" t="str">
            <v>Furnitures</v>
          </cell>
          <cell r="F10706">
            <v>0</v>
          </cell>
          <cell r="G10706">
            <v>275</v>
          </cell>
          <cell r="H10706">
            <v>0</v>
          </cell>
        </row>
        <row r="10707">
          <cell r="D10707" t="str">
            <v>Furnitures</v>
          </cell>
          <cell r="F10707">
            <v>0</v>
          </cell>
          <cell r="G10707">
            <v>275</v>
          </cell>
          <cell r="H10707">
            <v>0</v>
          </cell>
        </row>
        <row r="10708">
          <cell r="D10708" t="str">
            <v>Furnitures</v>
          </cell>
          <cell r="F10708">
            <v>0</v>
          </cell>
          <cell r="G10708">
            <v>275</v>
          </cell>
          <cell r="H10708">
            <v>0</v>
          </cell>
        </row>
        <row r="10709">
          <cell r="D10709" t="str">
            <v>Furnitures</v>
          </cell>
          <cell r="F10709">
            <v>0</v>
          </cell>
          <cell r="G10709">
            <v>275</v>
          </cell>
          <cell r="H10709">
            <v>0</v>
          </cell>
        </row>
        <row r="10710">
          <cell r="D10710" t="str">
            <v>Furnitures</v>
          </cell>
          <cell r="F10710">
            <v>0</v>
          </cell>
          <cell r="G10710">
            <v>275</v>
          </cell>
          <cell r="H10710">
            <v>0</v>
          </cell>
        </row>
        <row r="10711">
          <cell r="D10711" t="str">
            <v>Furnitures</v>
          </cell>
          <cell r="F10711">
            <v>0</v>
          </cell>
          <cell r="G10711">
            <v>275</v>
          </cell>
          <cell r="H10711">
            <v>0</v>
          </cell>
        </row>
        <row r="10712">
          <cell r="D10712" t="str">
            <v>Furnitures</v>
          </cell>
          <cell r="F10712">
            <v>0</v>
          </cell>
          <cell r="G10712">
            <v>275</v>
          </cell>
          <cell r="H10712">
            <v>0</v>
          </cell>
        </row>
        <row r="10713">
          <cell r="D10713" t="str">
            <v>Furnitures</v>
          </cell>
          <cell r="F10713">
            <v>0</v>
          </cell>
          <cell r="G10713">
            <v>275</v>
          </cell>
          <cell r="H10713">
            <v>0</v>
          </cell>
        </row>
        <row r="10714">
          <cell r="D10714" t="str">
            <v>Furnitures</v>
          </cell>
          <cell r="F10714">
            <v>0</v>
          </cell>
          <cell r="G10714">
            <v>275</v>
          </cell>
          <cell r="H10714">
            <v>0</v>
          </cell>
        </row>
        <row r="10715">
          <cell r="D10715" t="str">
            <v>Furnitures</v>
          </cell>
          <cell r="F10715">
            <v>0</v>
          </cell>
          <cell r="G10715">
            <v>275</v>
          </cell>
          <cell r="H10715">
            <v>0</v>
          </cell>
        </row>
        <row r="10716">
          <cell r="D10716" t="str">
            <v>Furnitures</v>
          </cell>
          <cell r="F10716">
            <v>0</v>
          </cell>
          <cell r="G10716">
            <v>275</v>
          </cell>
          <cell r="H10716">
            <v>0</v>
          </cell>
        </row>
        <row r="10717">
          <cell r="D10717" t="str">
            <v>Furnitures</v>
          </cell>
          <cell r="F10717">
            <v>0</v>
          </cell>
          <cell r="G10717">
            <v>275</v>
          </cell>
          <cell r="H10717">
            <v>0</v>
          </cell>
        </row>
        <row r="10718">
          <cell r="D10718" t="str">
            <v>Furnitures</v>
          </cell>
          <cell r="F10718">
            <v>0</v>
          </cell>
          <cell r="G10718">
            <v>275</v>
          </cell>
          <cell r="H10718">
            <v>0</v>
          </cell>
        </row>
        <row r="10719">
          <cell r="D10719" t="str">
            <v>Furnitures</v>
          </cell>
          <cell r="F10719">
            <v>0</v>
          </cell>
          <cell r="G10719">
            <v>275</v>
          </cell>
          <cell r="H10719">
            <v>0</v>
          </cell>
        </row>
        <row r="10720">
          <cell r="D10720" t="str">
            <v>Furnitures</v>
          </cell>
          <cell r="F10720">
            <v>0</v>
          </cell>
          <cell r="G10720">
            <v>275</v>
          </cell>
          <cell r="H10720">
            <v>0</v>
          </cell>
        </row>
        <row r="10721">
          <cell r="D10721" t="str">
            <v>Furnitures</v>
          </cell>
          <cell r="F10721">
            <v>0</v>
          </cell>
          <cell r="G10721">
            <v>275</v>
          </cell>
          <cell r="H10721">
            <v>0</v>
          </cell>
        </row>
        <row r="10722">
          <cell r="D10722" t="str">
            <v>Furnitures</v>
          </cell>
          <cell r="F10722">
            <v>0</v>
          </cell>
          <cell r="G10722">
            <v>275</v>
          </cell>
          <cell r="H10722">
            <v>0</v>
          </cell>
        </row>
        <row r="10723">
          <cell r="D10723" t="str">
            <v>Furnitures</v>
          </cell>
          <cell r="F10723">
            <v>0</v>
          </cell>
          <cell r="G10723">
            <v>275</v>
          </cell>
          <cell r="H10723">
            <v>0</v>
          </cell>
        </row>
        <row r="10724">
          <cell r="D10724" t="str">
            <v>Furnitures</v>
          </cell>
          <cell r="F10724">
            <v>0</v>
          </cell>
          <cell r="G10724">
            <v>275</v>
          </cell>
          <cell r="H10724">
            <v>0</v>
          </cell>
        </row>
        <row r="10725">
          <cell r="D10725" t="str">
            <v>Furnitures</v>
          </cell>
          <cell r="F10725">
            <v>0</v>
          </cell>
          <cell r="G10725">
            <v>275</v>
          </cell>
          <cell r="H10725">
            <v>0</v>
          </cell>
        </row>
        <row r="10726">
          <cell r="D10726" t="str">
            <v>Furnitures</v>
          </cell>
          <cell r="F10726">
            <v>0</v>
          </cell>
          <cell r="G10726">
            <v>275</v>
          </cell>
          <cell r="H10726">
            <v>0</v>
          </cell>
        </row>
        <row r="10727">
          <cell r="D10727" t="str">
            <v>Furnitures</v>
          </cell>
          <cell r="F10727">
            <v>0</v>
          </cell>
          <cell r="G10727">
            <v>275</v>
          </cell>
          <cell r="H10727">
            <v>0</v>
          </cell>
        </row>
        <row r="10728">
          <cell r="D10728" t="str">
            <v>Furnitures</v>
          </cell>
          <cell r="F10728">
            <v>0</v>
          </cell>
          <cell r="G10728">
            <v>275</v>
          </cell>
          <cell r="H10728">
            <v>0</v>
          </cell>
        </row>
        <row r="10729">
          <cell r="D10729" t="str">
            <v>Furnitures</v>
          </cell>
          <cell r="F10729">
            <v>0</v>
          </cell>
          <cell r="G10729">
            <v>275</v>
          </cell>
          <cell r="H10729">
            <v>0</v>
          </cell>
        </row>
        <row r="10730">
          <cell r="D10730" t="str">
            <v>Furnitures</v>
          </cell>
          <cell r="F10730">
            <v>0</v>
          </cell>
          <cell r="G10730">
            <v>275</v>
          </cell>
          <cell r="H10730">
            <v>0</v>
          </cell>
        </row>
        <row r="10731">
          <cell r="D10731" t="str">
            <v>Furnitures</v>
          </cell>
          <cell r="F10731">
            <v>0</v>
          </cell>
          <cell r="G10731">
            <v>275</v>
          </cell>
          <cell r="H10731">
            <v>0</v>
          </cell>
        </row>
        <row r="10732">
          <cell r="D10732" t="str">
            <v>Furnitures</v>
          </cell>
          <cell r="F10732">
            <v>0</v>
          </cell>
          <cell r="G10732">
            <v>275</v>
          </cell>
          <cell r="H10732">
            <v>0</v>
          </cell>
        </row>
        <row r="10733">
          <cell r="D10733" t="str">
            <v>Furnitures</v>
          </cell>
          <cell r="F10733">
            <v>0</v>
          </cell>
          <cell r="G10733">
            <v>275</v>
          </cell>
          <cell r="H10733">
            <v>0</v>
          </cell>
        </row>
        <row r="10734">
          <cell r="D10734" t="str">
            <v>Furnitures</v>
          </cell>
          <cell r="F10734">
            <v>0</v>
          </cell>
          <cell r="G10734">
            <v>275</v>
          </cell>
          <cell r="H10734">
            <v>0</v>
          </cell>
        </row>
        <row r="10735">
          <cell r="D10735" t="str">
            <v>Furnitures</v>
          </cell>
          <cell r="F10735">
            <v>0</v>
          </cell>
          <cell r="G10735">
            <v>275</v>
          </cell>
          <cell r="H10735">
            <v>0</v>
          </cell>
        </row>
        <row r="10736">
          <cell r="D10736" t="str">
            <v>Furnitures</v>
          </cell>
          <cell r="F10736">
            <v>0</v>
          </cell>
          <cell r="G10736">
            <v>275</v>
          </cell>
          <cell r="H10736">
            <v>0</v>
          </cell>
        </row>
        <row r="10737">
          <cell r="D10737" t="str">
            <v>Furnitures</v>
          </cell>
          <cell r="F10737">
            <v>0</v>
          </cell>
          <cell r="G10737">
            <v>275</v>
          </cell>
          <cell r="H10737">
            <v>0</v>
          </cell>
        </row>
        <row r="10738">
          <cell r="D10738" t="str">
            <v>Furnitures</v>
          </cell>
          <cell r="F10738">
            <v>0</v>
          </cell>
          <cell r="G10738">
            <v>275</v>
          </cell>
          <cell r="H10738">
            <v>0</v>
          </cell>
        </row>
        <row r="10739">
          <cell r="D10739" t="str">
            <v>Furnitures</v>
          </cell>
          <cell r="F10739">
            <v>0</v>
          </cell>
          <cell r="G10739">
            <v>275</v>
          </cell>
          <cell r="H10739">
            <v>0</v>
          </cell>
        </row>
        <row r="10740">
          <cell r="D10740" t="str">
            <v>Furnitures</v>
          </cell>
          <cell r="F10740">
            <v>0</v>
          </cell>
          <cell r="G10740">
            <v>275</v>
          </cell>
          <cell r="H10740">
            <v>0</v>
          </cell>
        </row>
        <row r="10741">
          <cell r="D10741" t="str">
            <v>Furnitures</v>
          </cell>
          <cell r="F10741">
            <v>0</v>
          </cell>
          <cell r="G10741">
            <v>275</v>
          </cell>
          <cell r="H10741">
            <v>0</v>
          </cell>
        </row>
        <row r="10742">
          <cell r="D10742" t="str">
            <v>Furnitures</v>
          </cell>
          <cell r="F10742">
            <v>0</v>
          </cell>
          <cell r="G10742">
            <v>275</v>
          </cell>
          <cell r="H10742">
            <v>0</v>
          </cell>
        </row>
        <row r="10743">
          <cell r="D10743" t="str">
            <v>Furnitures</v>
          </cell>
          <cell r="F10743">
            <v>0</v>
          </cell>
          <cell r="G10743">
            <v>275</v>
          </cell>
          <cell r="H10743">
            <v>0</v>
          </cell>
        </row>
        <row r="10744">
          <cell r="D10744" t="str">
            <v>Furnitures</v>
          </cell>
          <cell r="F10744">
            <v>0</v>
          </cell>
          <cell r="G10744">
            <v>275</v>
          </cell>
          <cell r="H10744">
            <v>0</v>
          </cell>
        </row>
        <row r="10745">
          <cell r="D10745" t="str">
            <v>Furnitures</v>
          </cell>
          <cell r="F10745">
            <v>0</v>
          </cell>
          <cell r="G10745">
            <v>275</v>
          </cell>
          <cell r="H10745">
            <v>0</v>
          </cell>
        </row>
        <row r="10746">
          <cell r="D10746" t="str">
            <v>Furnitures</v>
          </cell>
          <cell r="F10746">
            <v>0</v>
          </cell>
          <cell r="G10746">
            <v>275</v>
          </cell>
          <cell r="H10746">
            <v>0</v>
          </cell>
        </row>
        <row r="10747">
          <cell r="D10747" t="str">
            <v>Furnitures</v>
          </cell>
          <cell r="F10747">
            <v>0</v>
          </cell>
          <cell r="G10747">
            <v>275</v>
          </cell>
          <cell r="H10747">
            <v>0</v>
          </cell>
        </row>
        <row r="10748">
          <cell r="D10748" t="str">
            <v>Furnitures</v>
          </cell>
          <cell r="F10748">
            <v>0</v>
          </cell>
          <cell r="G10748">
            <v>275</v>
          </cell>
          <cell r="H10748">
            <v>0</v>
          </cell>
        </row>
        <row r="10749">
          <cell r="D10749" t="str">
            <v>Furnitures</v>
          </cell>
          <cell r="F10749">
            <v>0</v>
          </cell>
          <cell r="G10749">
            <v>275</v>
          </cell>
          <cell r="H10749">
            <v>0</v>
          </cell>
        </row>
        <row r="10750">
          <cell r="D10750" t="str">
            <v>Furnitures</v>
          </cell>
          <cell r="F10750">
            <v>0</v>
          </cell>
          <cell r="G10750">
            <v>275</v>
          </cell>
          <cell r="H10750">
            <v>0</v>
          </cell>
        </row>
        <row r="10751">
          <cell r="D10751" t="str">
            <v>Furnitures</v>
          </cell>
          <cell r="F10751">
            <v>0</v>
          </cell>
          <cell r="G10751">
            <v>275</v>
          </cell>
          <cell r="H10751">
            <v>0</v>
          </cell>
        </row>
        <row r="10752">
          <cell r="D10752" t="str">
            <v>Furnitures</v>
          </cell>
          <cell r="F10752">
            <v>0</v>
          </cell>
          <cell r="G10752">
            <v>275</v>
          </cell>
          <cell r="H10752">
            <v>0</v>
          </cell>
        </row>
        <row r="10753">
          <cell r="D10753" t="str">
            <v>Furnitures</v>
          </cell>
          <cell r="F10753">
            <v>0</v>
          </cell>
          <cell r="G10753">
            <v>275</v>
          </cell>
          <cell r="H10753">
            <v>0</v>
          </cell>
        </row>
        <row r="10754">
          <cell r="D10754" t="str">
            <v>Furnitures</v>
          </cell>
          <cell r="F10754">
            <v>0</v>
          </cell>
          <cell r="G10754">
            <v>275</v>
          </cell>
          <cell r="H10754">
            <v>0</v>
          </cell>
        </row>
        <row r="10755">
          <cell r="D10755" t="str">
            <v>Furnitures</v>
          </cell>
          <cell r="F10755">
            <v>0</v>
          </cell>
          <cell r="G10755">
            <v>275</v>
          </cell>
          <cell r="H10755">
            <v>0</v>
          </cell>
        </row>
        <row r="10756">
          <cell r="D10756" t="str">
            <v>Furnitures</v>
          </cell>
          <cell r="F10756">
            <v>0</v>
          </cell>
          <cell r="G10756">
            <v>275</v>
          </cell>
          <cell r="H10756">
            <v>0</v>
          </cell>
        </row>
        <row r="10757">
          <cell r="D10757" t="str">
            <v>Furnitures</v>
          </cell>
          <cell r="F10757">
            <v>0</v>
          </cell>
          <cell r="G10757">
            <v>275</v>
          </cell>
          <cell r="H10757">
            <v>0</v>
          </cell>
        </row>
        <row r="10758">
          <cell r="D10758" t="str">
            <v>Furnitures</v>
          </cell>
          <cell r="F10758">
            <v>0</v>
          </cell>
          <cell r="G10758">
            <v>275</v>
          </cell>
          <cell r="H10758">
            <v>0</v>
          </cell>
        </row>
        <row r="10759">
          <cell r="D10759" t="str">
            <v>Furnitures</v>
          </cell>
          <cell r="F10759">
            <v>0</v>
          </cell>
          <cell r="G10759">
            <v>275</v>
          </cell>
          <cell r="H10759">
            <v>0</v>
          </cell>
        </row>
        <row r="10760">
          <cell r="D10760" t="str">
            <v>Furnitures</v>
          </cell>
          <cell r="F10760">
            <v>0</v>
          </cell>
          <cell r="G10760">
            <v>275</v>
          </cell>
          <cell r="H10760">
            <v>0</v>
          </cell>
        </row>
        <row r="10761">
          <cell r="D10761" t="str">
            <v>Furnitures</v>
          </cell>
          <cell r="F10761">
            <v>0</v>
          </cell>
          <cell r="G10761">
            <v>275</v>
          </cell>
          <cell r="H10761">
            <v>0</v>
          </cell>
        </row>
        <row r="10762">
          <cell r="D10762" t="str">
            <v>Furnitures</v>
          </cell>
          <cell r="F10762">
            <v>0</v>
          </cell>
          <cell r="G10762">
            <v>275</v>
          </cell>
          <cell r="H10762">
            <v>0</v>
          </cell>
        </row>
        <row r="10763">
          <cell r="D10763" t="str">
            <v>Furnitures</v>
          </cell>
          <cell r="F10763">
            <v>0</v>
          </cell>
          <cell r="G10763">
            <v>275</v>
          </cell>
          <cell r="H10763">
            <v>0</v>
          </cell>
        </row>
        <row r="10764">
          <cell r="D10764" t="str">
            <v>Furnitures</v>
          </cell>
          <cell r="F10764">
            <v>0</v>
          </cell>
          <cell r="G10764">
            <v>275</v>
          </cell>
          <cell r="H10764">
            <v>0</v>
          </cell>
        </row>
        <row r="10765">
          <cell r="D10765" t="str">
            <v>Furnitures</v>
          </cell>
          <cell r="F10765">
            <v>0</v>
          </cell>
          <cell r="G10765">
            <v>275</v>
          </cell>
          <cell r="H10765">
            <v>0</v>
          </cell>
        </row>
        <row r="10766">
          <cell r="D10766" t="str">
            <v>Furnitures</v>
          </cell>
          <cell r="F10766">
            <v>0</v>
          </cell>
          <cell r="G10766">
            <v>275</v>
          </cell>
          <cell r="H10766">
            <v>0</v>
          </cell>
        </row>
        <row r="10767">
          <cell r="D10767" t="str">
            <v>Furnitures</v>
          </cell>
          <cell r="F10767">
            <v>0</v>
          </cell>
          <cell r="G10767">
            <v>275</v>
          </cell>
          <cell r="H10767">
            <v>0</v>
          </cell>
        </row>
        <row r="10768">
          <cell r="D10768" t="str">
            <v>Furnitures</v>
          </cell>
          <cell r="F10768">
            <v>0</v>
          </cell>
          <cell r="G10768">
            <v>275</v>
          </cell>
          <cell r="H10768">
            <v>0</v>
          </cell>
        </row>
        <row r="10769">
          <cell r="D10769" t="str">
            <v>Furnitures</v>
          </cell>
          <cell r="F10769">
            <v>14183.869904918032</v>
          </cell>
          <cell r="G10769">
            <v>275</v>
          </cell>
          <cell r="H10769">
            <v>13500.322687109812</v>
          </cell>
        </row>
        <row r="10770">
          <cell r="D10770" t="str">
            <v>Furnitures</v>
          </cell>
          <cell r="F10770">
            <v>6156.7313677049178</v>
          </cell>
          <cell r="G10770">
            <v>275</v>
          </cell>
          <cell r="H10770">
            <v>5860.026968595329</v>
          </cell>
        </row>
        <row r="10771">
          <cell r="D10771" t="str">
            <v>Furnitures</v>
          </cell>
          <cell r="F10771">
            <v>0</v>
          </cell>
          <cell r="G10771">
            <v>275</v>
          </cell>
          <cell r="H10771">
            <v>0</v>
          </cell>
        </row>
        <row r="10772">
          <cell r="D10772" t="str">
            <v>Furnitures</v>
          </cell>
          <cell r="F10772">
            <v>0</v>
          </cell>
          <cell r="G10772">
            <v>275</v>
          </cell>
          <cell r="H10772">
            <v>0</v>
          </cell>
        </row>
        <row r="10773">
          <cell r="D10773" t="str">
            <v>Furnitures</v>
          </cell>
          <cell r="F10773">
            <v>0</v>
          </cell>
          <cell r="G10773">
            <v>275</v>
          </cell>
          <cell r="H10773">
            <v>0</v>
          </cell>
        </row>
        <row r="10774">
          <cell r="D10774" t="str">
            <v>Furnitures</v>
          </cell>
          <cell r="F10774">
            <v>0</v>
          </cell>
          <cell r="G10774">
            <v>275</v>
          </cell>
          <cell r="H10774">
            <v>0</v>
          </cell>
        </row>
        <row r="10775">
          <cell r="D10775" t="str">
            <v>Furnitures</v>
          </cell>
          <cell r="F10775">
            <v>6902.6695631147541</v>
          </cell>
          <cell r="G10775">
            <v>275</v>
          </cell>
          <cell r="H10775">
            <v>6570.0170072928358</v>
          </cell>
        </row>
        <row r="10776">
          <cell r="D10776" t="str">
            <v>Furnitures</v>
          </cell>
          <cell r="F10776">
            <v>6902.6695631147541</v>
          </cell>
          <cell r="G10776">
            <v>275</v>
          </cell>
          <cell r="H10776">
            <v>6570.0170072928358</v>
          </cell>
        </row>
        <row r="10777">
          <cell r="D10777" t="str">
            <v>Furnitures</v>
          </cell>
          <cell r="F10777">
            <v>0</v>
          </cell>
          <cell r="G10777">
            <v>275</v>
          </cell>
          <cell r="H10777">
            <v>0</v>
          </cell>
        </row>
        <row r="10778">
          <cell r="D10778" t="str">
            <v>Furnitures</v>
          </cell>
          <cell r="F10778">
            <v>0</v>
          </cell>
          <cell r="G10778">
            <v>275</v>
          </cell>
          <cell r="H10778">
            <v>0</v>
          </cell>
        </row>
        <row r="10779">
          <cell r="D10779" t="str">
            <v>Furnitures</v>
          </cell>
          <cell r="F10779">
            <v>0</v>
          </cell>
          <cell r="G10779">
            <v>275</v>
          </cell>
          <cell r="H10779">
            <v>0</v>
          </cell>
        </row>
        <row r="10780">
          <cell r="D10780" t="str">
            <v>Furnitures</v>
          </cell>
          <cell r="F10780">
            <v>0</v>
          </cell>
          <cell r="G10780">
            <v>275</v>
          </cell>
          <cell r="H10780">
            <v>0</v>
          </cell>
        </row>
        <row r="10781">
          <cell r="D10781" t="str">
            <v>Furnitures</v>
          </cell>
          <cell r="F10781">
            <v>0</v>
          </cell>
          <cell r="G10781">
            <v>275</v>
          </cell>
          <cell r="H10781">
            <v>0</v>
          </cell>
        </row>
        <row r="10782">
          <cell r="D10782" t="str">
            <v>Furnitures</v>
          </cell>
          <cell r="F10782">
            <v>21709.853483606559</v>
          </cell>
          <cell r="G10782">
            <v>275</v>
          </cell>
          <cell r="H10782">
            <v>20663.615041825738</v>
          </cell>
        </row>
        <row r="10783">
          <cell r="D10783" t="str">
            <v>Furnitures</v>
          </cell>
          <cell r="F10783">
            <v>21709.853483606559</v>
          </cell>
          <cell r="G10783">
            <v>275</v>
          </cell>
          <cell r="H10783">
            <v>20663.615041825738</v>
          </cell>
        </row>
        <row r="10784">
          <cell r="D10784" t="str">
            <v>Furnitures</v>
          </cell>
          <cell r="F10784">
            <v>21709.853483606559</v>
          </cell>
          <cell r="G10784">
            <v>275</v>
          </cell>
          <cell r="H10784">
            <v>20663.615041825738</v>
          </cell>
        </row>
        <row r="10785">
          <cell r="D10785" t="str">
            <v>Furnitures</v>
          </cell>
          <cell r="F10785">
            <v>0</v>
          </cell>
          <cell r="G10785">
            <v>275</v>
          </cell>
          <cell r="H10785">
            <v>0</v>
          </cell>
        </row>
        <row r="10786">
          <cell r="D10786" t="str">
            <v>Furnitures</v>
          </cell>
          <cell r="F10786">
            <v>0</v>
          </cell>
          <cell r="G10786">
            <v>275</v>
          </cell>
          <cell r="H10786">
            <v>0</v>
          </cell>
        </row>
        <row r="10787">
          <cell r="D10787" t="str">
            <v>Furnitures</v>
          </cell>
          <cell r="F10787">
            <v>0</v>
          </cell>
          <cell r="G10787">
            <v>275</v>
          </cell>
          <cell r="H10787">
            <v>0</v>
          </cell>
        </row>
        <row r="10788">
          <cell r="D10788" t="str">
            <v>Furnitures</v>
          </cell>
          <cell r="F10788">
            <v>0</v>
          </cell>
          <cell r="G10788">
            <v>275</v>
          </cell>
          <cell r="H10788">
            <v>0</v>
          </cell>
        </row>
        <row r="10789">
          <cell r="D10789" t="str">
            <v>Furnitures</v>
          </cell>
          <cell r="F10789">
            <v>0</v>
          </cell>
          <cell r="G10789">
            <v>275</v>
          </cell>
          <cell r="H10789">
            <v>0</v>
          </cell>
        </row>
        <row r="10790">
          <cell r="D10790" t="str">
            <v>Furnitures</v>
          </cell>
          <cell r="F10790">
            <v>0</v>
          </cell>
          <cell r="G10790">
            <v>275</v>
          </cell>
          <cell r="H10790">
            <v>0</v>
          </cell>
        </row>
        <row r="10791">
          <cell r="D10791" t="str">
            <v>Furnitures</v>
          </cell>
          <cell r="F10791">
            <v>0</v>
          </cell>
          <cell r="G10791">
            <v>275</v>
          </cell>
          <cell r="H10791">
            <v>0</v>
          </cell>
        </row>
        <row r="10792">
          <cell r="D10792" t="str">
            <v>Furnitures</v>
          </cell>
          <cell r="F10792">
            <v>0</v>
          </cell>
          <cell r="G10792">
            <v>275</v>
          </cell>
          <cell r="H10792">
            <v>0</v>
          </cell>
        </row>
        <row r="10793">
          <cell r="D10793" t="str">
            <v>Furnitures</v>
          </cell>
          <cell r="F10793">
            <v>0</v>
          </cell>
          <cell r="G10793">
            <v>275</v>
          </cell>
          <cell r="H10793">
            <v>0</v>
          </cell>
        </row>
        <row r="10794">
          <cell r="D10794" t="str">
            <v>Furnitures</v>
          </cell>
          <cell r="F10794">
            <v>0</v>
          </cell>
          <cell r="G10794">
            <v>275</v>
          </cell>
          <cell r="H10794">
            <v>0</v>
          </cell>
        </row>
        <row r="10795">
          <cell r="D10795" t="str">
            <v>Furnitures</v>
          </cell>
          <cell r="F10795">
            <v>11142.824163114754</v>
          </cell>
          <cell r="G10795">
            <v>275</v>
          </cell>
          <cell r="H10795">
            <v>10602.905512429823</v>
          </cell>
        </row>
        <row r="10796">
          <cell r="D10796" t="str">
            <v>Furnitures</v>
          </cell>
          <cell r="F10796">
            <v>11142.824163114754</v>
          </cell>
          <cell r="G10796">
            <v>275</v>
          </cell>
          <cell r="H10796">
            <v>10602.905512429823</v>
          </cell>
        </row>
        <row r="10797">
          <cell r="D10797" t="str">
            <v>Furnitures</v>
          </cell>
          <cell r="F10797">
            <v>11142.824163114754</v>
          </cell>
          <cell r="G10797">
            <v>275</v>
          </cell>
          <cell r="H10797">
            <v>10602.905512429823</v>
          </cell>
        </row>
        <row r="10798">
          <cell r="D10798" t="str">
            <v>Furnitures</v>
          </cell>
          <cell r="F10798">
            <v>16166.494733606558</v>
          </cell>
          <cell r="G10798">
            <v>275</v>
          </cell>
          <cell r="H10798">
            <v>15383.157233606558</v>
          </cell>
        </row>
        <row r="10799">
          <cell r="D10799" t="str">
            <v>Furnitures</v>
          </cell>
          <cell r="F10799">
            <v>0</v>
          </cell>
          <cell r="G10799">
            <v>275</v>
          </cell>
          <cell r="H10799">
            <v>0</v>
          </cell>
        </row>
        <row r="10800">
          <cell r="D10800" t="str">
            <v>Furnitures</v>
          </cell>
          <cell r="F10800">
            <v>0</v>
          </cell>
          <cell r="G10800">
            <v>275</v>
          </cell>
          <cell r="H10800">
            <v>0</v>
          </cell>
        </row>
        <row r="10801">
          <cell r="D10801" t="str">
            <v>Furnitures</v>
          </cell>
          <cell r="F10801">
            <v>0</v>
          </cell>
          <cell r="G10801">
            <v>275</v>
          </cell>
          <cell r="H10801">
            <v>0</v>
          </cell>
        </row>
        <row r="10802">
          <cell r="D10802" t="str">
            <v>Furnitures</v>
          </cell>
          <cell r="F10802">
            <v>0</v>
          </cell>
          <cell r="G10802">
            <v>275</v>
          </cell>
          <cell r="H10802">
            <v>0</v>
          </cell>
        </row>
        <row r="10803">
          <cell r="D10803" t="str">
            <v>Furnitures</v>
          </cell>
          <cell r="F10803">
            <v>0</v>
          </cell>
          <cell r="G10803">
            <v>275</v>
          </cell>
          <cell r="H10803">
            <v>0</v>
          </cell>
        </row>
        <row r="10804">
          <cell r="D10804" t="str">
            <v>Furnitures</v>
          </cell>
          <cell r="F10804">
            <v>0</v>
          </cell>
          <cell r="G10804">
            <v>275</v>
          </cell>
          <cell r="H10804">
            <v>0</v>
          </cell>
        </row>
        <row r="10805">
          <cell r="D10805" t="str">
            <v>Furnitures</v>
          </cell>
          <cell r="F10805">
            <v>0</v>
          </cell>
          <cell r="G10805">
            <v>275</v>
          </cell>
          <cell r="H10805">
            <v>0</v>
          </cell>
        </row>
        <row r="10806">
          <cell r="D10806" t="str">
            <v>Furnitures</v>
          </cell>
          <cell r="F10806">
            <v>0</v>
          </cell>
          <cell r="G10806">
            <v>275</v>
          </cell>
          <cell r="H10806">
            <v>0</v>
          </cell>
        </row>
        <row r="10807">
          <cell r="D10807" t="str">
            <v>Furnitures</v>
          </cell>
          <cell r="F10807">
            <v>0</v>
          </cell>
          <cell r="G10807">
            <v>275</v>
          </cell>
          <cell r="H10807">
            <v>0</v>
          </cell>
        </row>
        <row r="10808">
          <cell r="D10808" t="str">
            <v>Furnitures</v>
          </cell>
          <cell r="F10808">
            <v>0</v>
          </cell>
          <cell r="G10808">
            <v>275</v>
          </cell>
          <cell r="H10808">
            <v>0</v>
          </cell>
        </row>
        <row r="10809">
          <cell r="D10809" t="str">
            <v>Furnitures</v>
          </cell>
          <cell r="F10809">
            <v>0</v>
          </cell>
          <cell r="G10809">
            <v>275</v>
          </cell>
          <cell r="H10809">
            <v>0</v>
          </cell>
        </row>
        <row r="10810">
          <cell r="D10810" t="str">
            <v>Furnitures</v>
          </cell>
          <cell r="F10810">
            <v>6911.153580762295</v>
          </cell>
          <cell r="G10810">
            <v>275</v>
          </cell>
          <cell r="H10810">
            <v>6578.4991172691443</v>
          </cell>
        </row>
        <row r="10811">
          <cell r="D10811" t="str">
            <v>Furnitures</v>
          </cell>
          <cell r="F10811">
            <v>0</v>
          </cell>
          <cell r="G10811">
            <v>275</v>
          </cell>
          <cell r="H10811">
            <v>0</v>
          </cell>
        </row>
        <row r="10812">
          <cell r="D10812" t="str">
            <v>Furnitures</v>
          </cell>
          <cell r="F10812">
            <v>0</v>
          </cell>
          <cell r="G10812">
            <v>275</v>
          </cell>
          <cell r="H10812">
            <v>0</v>
          </cell>
        </row>
        <row r="10813">
          <cell r="D10813" t="str">
            <v>Furnitures</v>
          </cell>
          <cell r="F10813">
            <v>0</v>
          </cell>
          <cell r="G10813">
            <v>275</v>
          </cell>
          <cell r="H10813">
            <v>0</v>
          </cell>
        </row>
        <row r="10814">
          <cell r="D10814" t="str">
            <v>Furnitures</v>
          </cell>
          <cell r="F10814">
            <v>0</v>
          </cell>
          <cell r="G10814">
            <v>275</v>
          </cell>
          <cell r="H10814">
            <v>0</v>
          </cell>
        </row>
        <row r="10815">
          <cell r="D10815" t="str">
            <v>Furnitures</v>
          </cell>
          <cell r="F10815">
            <v>0</v>
          </cell>
          <cell r="G10815">
            <v>275</v>
          </cell>
          <cell r="H10815">
            <v>0</v>
          </cell>
        </row>
        <row r="10816">
          <cell r="D10816" t="str">
            <v>Furnitures</v>
          </cell>
          <cell r="F10816">
            <v>0</v>
          </cell>
          <cell r="G10816">
            <v>275</v>
          </cell>
          <cell r="H10816">
            <v>0</v>
          </cell>
        </row>
        <row r="10817">
          <cell r="D10817" t="str">
            <v>Furnitures</v>
          </cell>
          <cell r="F10817">
            <v>0</v>
          </cell>
          <cell r="G10817">
            <v>275</v>
          </cell>
          <cell r="H10817">
            <v>0</v>
          </cell>
        </row>
        <row r="10818">
          <cell r="D10818" t="str">
            <v>Furnitures</v>
          </cell>
          <cell r="F10818">
            <v>5216.585819672131</v>
          </cell>
          <cell r="G10818">
            <v>275</v>
          </cell>
          <cell r="H10818">
            <v>4963.8193813159669</v>
          </cell>
        </row>
        <row r="10819">
          <cell r="D10819" t="str">
            <v>Furnitures</v>
          </cell>
          <cell r="F10819">
            <v>0</v>
          </cell>
          <cell r="G10819">
            <v>275</v>
          </cell>
          <cell r="H10819">
            <v>0</v>
          </cell>
        </row>
        <row r="10820">
          <cell r="D10820" t="str">
            <v>Furnitures</v>
          </cell>
          <cell r="F10820">
            <v>0</v>
          </cell>
          <cell r="G10820">
            <v>275</v>
          </cell>
          <cell r="H10820">
            <v>0</v>
          </cell>
        </row>
        <row r="10821">
          <cell r="D10821" t="str">
            <v>Furnitures</v>
          </cell>
          <cell r="F10821">
            <v>0</v>
          </cell>
          <cell r="G10821">
            <v>275</v>
          </cell>
          <cell r="H10821">
            <v>0</v>
          </cell>
        </row>
        <row r="10822">
          <cell r="D10822" t="str">
            <v>Furnitures</v>
          </cell>
          <cell r="F10822">
            <v>0</v>
          </cell>
          <cell r="G10822">
            <v>275</v>
          </cell>
          <cell r="H10822">
            <v>0</v>
          </cell>
        </row>
        <row r="10823">
          <cell r="D10823" t="str">
            <v>Furnitures</v>
          </cell>
          <cell r="F10823">
            <v>0</v>
          </cell>
          <cell r="G10823">
            <v>275</v>
          </cell>
          <cell r="H10823">
            <v>0</v>
          </cell>
        </row>
        <row r="10824">
          <cell r="D10824" t="str">
            <v>Furnitures</v>
          </cell>
          <cell r="F10824">
            <v>0</v>
          </cell>
          <cell r="G10824">
            <v>275</v>
          </cell>
          <cell r="H10824">
            <v>0</v>
          </cell>
        </row>
        <row r="10825">
          <cell r="D10825" t="str">
            <v>Furnitures</v>
          </cell>
          <cell r="F10825">
            <v>0</v>
          </cell>
          <cell r="G10825">
            <v>275</v>
          </cell>
          <cell r="H10825">
            <v>0</v>
          </cell>
        </row>
        <row r="10826">
          <cell r="D10826" t="str">
            <v>Furnitures</v>
          </cell>
          <cell r="F10826">
            <v>0</v>
          </cell>
          <cell r="G10826">
            <v>275</v>
          </cell>
          <cell r="H10826">
            <v>0</v>
          </cell>
        </row>
        <row r="10827">
          <cell r="D10827" t="str">
            <v>Furnitures</v>
          </cell>
          <cell r="F10827">
            <v>0</v>
          </cell>
          <cell r="G10827">
            <v>275</v>
          </cell>
          <cell r="H10827">
            <v>0</v>
          </cell>
        </row>
        <row r="10828">
          <cell r="D10828" t="str">
            <v>Furnitures</v>
          </cell>
          <cell r="F10828">
            <v>0</v>
          </cell>
          <cell r="G10828">
            <v>275</v>
          </cell>
          <cell r="H10828">
            <v>0</v>
          </cell>
        </row>
        <row r="10829">
          <cell r="D10829" t="str">
            <v>Furnitures</v>
          </cell>
          <cell r="F10829">
            <v>0</v>
          </cell>
          <cell r="G10829">
            <v>275</v>
          </cell>
          <cell r="H10829">
            <v>0</v>
          </cell>
        </row>
        <row r="10830">
          <cell r="D10830" t="str">
            <v>Furnitures</v>
          </cell>
          <cell r="F10830">
            <v>0</v>
          </cell>
          <cell r="G10830">
            <v>275</v>
          </cell>
          <cell r="H10830">
            <v>0</v>
          </cell>
        </row>
        <row r="10831">
          <cell r="D10831" t="str">
            <v>Furnitures</v>
          </cell>
          <cell r="F10831">
            <v>18454.902663934427</v>
          </cell>
          <cell r="G10831">
            <v>275</v>
          </cell>
          <cell r="H10831">
            <v>17560.681773523469</v>
          </cell>
        </row>
        <row r="10832">
          <cell r="D10832" t="str">
            <v>Furnitures</v>
          </cell>
          <cell r="F10832">
            <v>0</v>
          </cell>
          <cell r="G10832">
            <v>275</v>
          </cell>
          <cell r="H10832">
            <v>0</v>
          </cell>
        </row>
        <row r="10833">
          <cell r="D10833" t="str">
            <v>Furnitures</v>
          </cell>
          <cell r="F10833">
            <v>0</v>
          </cell>
          <cell r="G10833">
            <v>275</v>
          </cell>
          <cell r="H10833">
            <v>0</v>
          </cell>
        </row>
        <row r="10834">
          <cell r="D10834" t="str">
            <v>Furnitures</v>
          </cell>
          <cell r="F10834">
            <v>0</v>
          </cell>
          <cell r="G10834">
            <v>275</v>
          </cell>
          <cell r="H10834">
            <v>0</v>
          </cell>
        </row>
        <row r="10835">
          <cell r="D10835" t="str">
            <v>Furnitures</v>
          </cell>
          <cell r="F10835">
            <v>14370.217540983607</v>
          </cell>
          <cell r="G10835">
            <v>275</v>
          </cell>
          <cell r="H10835">
            <v>13673.917540983608</v>
          </cell>
        </row>
        <row r="10836">
          <cell r="D10836" t="str">
            <v>Furnitures</v>
          </cell>
          <cell r="F10836">
            <v>14468.643688524589</v>
          </cell>
          <cell r="G10836">
            <v>275</v>
          </cell>
          <cell r="H10836">
            <v>13767.574510442399</v>
          </cell>
        </row>
        <row r="10837">
          <cell r="D10837" t="str">
            <v>Furnitures</v>
          </cell>
          <cell r="F10837">
            <v>0</v>
          </cell>
          <cell r="G10837">
            <v>275</v>
          </cell>
          <cell r="H10837">
            <v>0</v>
          </cell>
        </row>
        <row r="10838">
          <cell r="D10838" t="str">
            <v>Furnitures</v>
          </cell>
          <cell r="F10838">
            <v>0</v>
          </cell>
          <cell r="G10838">
            <v>275</v>
          </cell>
          <cell r="H10838">
            <v>0</v>
          </cell>
        </row>
        <row r="10839">
          <cell r="D10839" t="str">
            <v>Furnitures</v>
          </cell>
          <cell r="F10839">
            <v>0</v>
          </cell>
          <cell r="G10839">
            <v>275</v>
          </cell>
          <cell r="H10839">
            <v>0</v>
          </cell>
        </row>
        <row r="10840">
          <cell r="D10840" t="str">
            <v>Furnitures</v>
          </cell>
          <cell r="F10840">
            <v>0</v>
          </cell>
          <cell r="G10840">
            <v>275</v>
          </cell>
          <cell r="H10840">
            <v>0</v>
          </cell>
        </row>
        <row r="10841">
          <cell r="D10841" t="str">
            <v>Furnitures</v>
          </cell>
          <cell r="F10841">
            <v>0</v>
          </cell>
          <cell r="G10841">
            <v>275</v>
          </cell>
          <cell r="H10841">
            <v>0</v>
          </cell>
        </row>
        <row r="10842">
          <cell r="D10842" t="str">
            <v>Furnitures</v>
          </cell>
          <cell r="F10842">
            <v>0</v>
          </cell>
          <cell r="G10842">
            <v>275</v>
          </cell>
          <cell r="H10842">
            <v>0</v>
          </cell>
        </row>
        <row r="10843">
          <cell r="D10843" t="str">
            <v>Furnitures</v>
          </cell>
          <cell r="F10843">
            <v>0</v>
          </cell>
          <cell r="G10843">
            <v>275</v>
          </cell>
          <cell r="H10843">
            <v>0</v>
          </cell>
        </row>
        <row r="10844">
          <cell r="D10844" t="str">
            <v>Furnitures</v>
          </cell>
          <cell r="F10844">
            <v>0</v>
          </cell>
          <cell r="G10844">
            <v>275</v>
          </cell>
          <cell r="H10844">
            <v>0</v>
          </cell>
        </row>
        <row r="10845">
          <cell r="D10845" t="str">
            <v>Furnitures</v>
          </cell>
          <cell r="F10845">
            <v>0</v>
          </cell>
          <cell r="G10845">
            <v>275</v>
          </cell>
          <cell r="H10845">
            <v>0</v>
          </cell>
        </row>
        <row r="10846">
          <cell r="D10846" t="str">
            <v>Furnitures</v>
          </cell>
          <cell r="F10846">
            <v>0</v>
          </cell>
          <cell r="G10846">
            <v>275</v>
          </cell>
          <cell r="H10846">
            <v>0</v>
          </cell>
        </row>
        <row r="10847">
          <cell r="D10847" t="str">
            <v>Furnitures</v>
          </cell>
          <cell r="F10847">
            <v>0</v>
          </cell>
          <cell r="G10847">
            <v>275</v>
          </cell>
          <cell r="H10847">
            <v>0</v>
          </cell>
        </row>
        <row r="10848">
          <cell r="D10848" t="str">
            <v>Furnitures</v>
          </cell>
          <cell r="F10848">
            <v>20866.343278688524</v>
          </cell>
          <cell r="G10848">
            <v>275</v>
          </cell>
          <cell r="H10848">
            <v>19855.277525263868</v>
          </cell>
        </row>
        <row r="10849">
          <cell r="D10849" t="str">
            <v>Furnitures</v>
          </cell>
          <cell r="F10849">
            <v>0</v>
          </cell>
          <cell r="G10849">
            <v>275</v>
          </cell>
          <cell r="H10849">
            <v>0</v>
          </cell>
        </row>
        <row r="10850">
          <cell r="D10850" t="str">
            <v>Furnitures</v>
          </cell>
          <cell r="F10850">
            <v>8464.6486885245904</v>
          </cell>
          <cell r="G10850">
            <v>275</v>
          </cell>
          <cell r="H10850">
            <v>8054.4993734560976</v>
          </cell>
        </row>
        <row r="10851">
          <cell r="D10851" t="str">
            <v>Furnitures</v>
          </cell>
          <cell r="F10851">
            <v>0</v>
          </cell>
          <cell r="G10851">
            <v>275</v>
          </cell>
          <cell r="H10851">
            <v>0</v>
          </cell>
        </row>
        <row r="10852">
          <cell r="D10852" t="str">
            <v>Furnitures</v>
          </cell>
          <cell r="F10852">
            <v>0</v>
          </cell>
          <cell r="G10852">
            <v>275</v>
          </cell>
          <cell r="H10852">
            <v>0</v>
          </cell>
        </row>
        <row r="10853">
          <cell r="D10853" t="str">
            <v>Furnitures</v>
          </cell>
          <cell r="F10853">
            <v>0</v>
          </cell>
          <cell r="G10853">
            <v>275</v>
          </cell>
          <cell r="H10853">
            <v>0</v>
          </cell>
        </row>
        <row r="10854">
          <cell r="D10854" t="str">
            <v>Furnitures</v>
          </cell>
          <cell r="F10854">
            <v>0</v>
          </cell>
          <cell r="G10854">
            <v>275</v>
          </cell>
          <cell r="H10854">
            <v>0</v>
          </cell>
        </row>
        <row r="10855">
          <cell r="D10855" t="str">
            <v>Furnitures</v>
          </cell>
          <cell r="F10855">
            <v>6102.4211475409838</v>
          </cell>
          <cell r="G10855">
            <v>275</v>
          </cell>
          <cell r="H10855">
            <v>5806.7321064450935</v>
          </cell>
        </row>
        <row r="10856">
          <cell r="D10856" t="str">
            <v>Furnitures</v>
          </cell>
          <cell r="F10856">
            <v>0</v>
          </cell>
          <cell r="G10856">
            <v>275</v>
          </cell>
          <cell r="H10856">
            <v>0</v>
          </cell>
        </row>
        <row r="10857">
          <cell r="D10857" t="str">
            <v>Furnitures</v>
          </cell>
          <cell r="F10857">
            <v>0</v>
          </cell>
          <cell r="G10857">
            <v>275</v>
          </cell>
          <cell r="H10857">
            <v>0</v>
          </cell>
        </row>
        <row r="10858">
          <cell r="D10858" t="str">
            <v>Furnitures</v>
          </cell>
          <cell r="F10858">
            <v>0</v>
          </cell>
          <cell r="G10858">
            <v>275</v>
          </cell>
          <cell r="H10858">
            <v>0</v>
          </cell>
        </row>
        <row r="10859">
          <cell r="D10859" t="str">
            <v>Furnitures</v>
          </cell>
          <cell r="F10859">
            <v>0</v>
          </cell>
          <cell r="G10859">
            <v>275</v>
          </cell>
          <cell r="H10859">
            <v>0</v>
          </cell>
        </row>
        <row r="10860">
          <cell r="D10860" t="str">
            <v>Furnitures</v>
          </cell>
          <cell r="F10860">
            <v>0</v>
          </cell>
          <cell r="G10860">
            <v>275</v>
          </cell>
          <cell r="H10860">
            <v>0</v>
          </cell>
        </row>
        <row r="10861">
          <cell r="D10861" t="str">
            <v>Furnitures</v>
          </cell>
          <cell r="F10861">
            <v>0</v>
          </cell>
          <cell r="G10861">
            <v>275</v>
          </cell>
          <cell r="H10861">
            <v>0</v>
          </cell>
        </row>
        <row r="10862">
          <cell r="D10862" t="str">
            <v>Furnitures</v>
          </cell>
          <cell r="F10862">
            <v>0</v>
          </cell>
          <cell r="G10862">
            <v>275</v>
          </cell>
          <cell r="H10862">
            <v>0</v>
          </cell>
        </row>
        <row r="10863">
          <cell r="D10863" t="str">
            <v>Furnitures</v>
          </cell>
          <cell r="F10863">
            <v>0</v>
          </cell>
          <cell r="G10863">
            <v>275</v>
          </cell>
          <cell r="H10863">
            <v>0</v>
          </cell>
        </row>
        <row r="10864">
          <cell r="D10864" t="str">
            <v>Furnitures</v>
          </cell>
          <cell r="F10864">
            <v>0</v>
          </cell>
          <cell r="G10864">
            <v>275</v>
          </cell>
          <cell r="H10864">
            <v>0</v>
          </cell>
        </row>
        <row r="10865">
          <cell r="D10865" t="str">
            <v>Furnitures</v>
          </cell>
          <cell r="F10865">
            <v>0</v>
          </cell>
          <cell r="G10865">
            <v>275</v>
          </cell>
          <cell r="H10865">
            <v>0</v>
          </cell>
        </row>
        <row r="10866">
          <cell r="D10866" t="str">
            <v>Furnitures</v>
          </cell>
          <cell r="F10866">
            <v>0</v>
          </cell>
          <cell r="G10866">
            <v>275</v>
          </cell>
          <cell r="H10866">
            <v>0</v>
          </cell>
        </row>
        <row r="10867">
          <cell r="D10867" t="str">
            <v>Furnitures</v>
          </cell>
          <cell r="F10867">
            <v>0</v>
          </cell>
          <cell r="G10867">
            <v>275</v>
          </cell>
          <cell r="H10867">
            <v>0</v>
          </cell>
        </row>
        <row r="10868">
          <cell r="D10868" t="str">
            <v>Furnitures</v>
          </cell>
          <cell r="F10868">
            <v>0</v>
          </cell>
          <cell r="G10868">
            <v>275</v>
          </cell>
          <cell r="H10868">
            <v>0</v>
          </cell>
        </row>
        <row r="10869">
          <cell r="D10869" t="str">
            <v>Furnitures</v>
          </cell>
          <cell r="F10869">
            <v>0</v>
          </cell>
          <cell r="G10869">
            <v>275</v>
          </cell>
          <cell r="H10869">
            <v>0</v>
          </cell>
        </row>
        <row r="10870">
          <cell r="D10870" t="str">
            <v>Furnitures</v>
          </cell>
          <cell r="F10870">
            <v>0</v>
          </cell>
          <cell r="G10870">
            <v>275</v>
          </cell>
          <cell r="H10870">
            <v>0</v>
          </cell>
        </row>
        <row r="10871">
          <cell r="D10871" t="str">
            <v>Furnitures</v>
          </cell>
          <cell r="F10871">
            <v>0</v>
          </cell>
          <cell r="G10871">
            <v>275</v>
          </cell>
          <cell r="H10871">
            <v>0</v>
          </cell>
        </row>
        <row r="10872">
          <cell r="D10872" t="str">
            <v>Furnitures</v>
          </cell>
          <cell r="F10872">
            <v>0</v>
          </cell>
          <cell r="G10872">
            <v>275</v>
          </cell>
          <cell r="H10872">
            <v>0</v>
          </cell>
        </row>
        <row r="10873">
          <cell r="D10873" t="str">
            <v>Furnitures</v>
          </cell>
          <cell r="F10873">
            <v>0</v>
          </cell>
          <cell r="G10873">
            <v>275</v>
          </cell>
          <cell r="H10873">
            <v>0</v>
          </cell>
        </row>
        <row r="10874">
          <cell r="D10874" t="str">
            <v>Furnitures</v>
          </cell>
          <cell r="F10874">
            <v>0</v>
          </cell>
          <cell r="G10874">
            <v>275</v>
          </cell>
          <cell r="H10874">
            <v>0</v>
          </cell>
        </row>
        <row r="10875">
          <cell r="D10875" t="str">
            <v>Furnitures</v>
          </cell>
          <cell r="F10875">
            <v>0</v>
          </cell>
          <cell r="G10875">
            <v>275</v>
          </cell>
          <cell r="H10875">
            <v>0</v>
          </cell>
        </row>
        <row r="10876">
          <cell r="D10876" t="str">
            <v>Furnitures</v>
          </cell>
          <cell r="F10876">
            <v>0</v>
          </cell>
          <cell r="G10876">
            <v>275</v>
          </cell>
          <cell r="H10876">
            <v>0</v>
          </cell>
        </row>
        <row r="10877">
          <cell r="D10877" t="str">
            <v>Furnitures</v>
          </cell>
          <cell r="F10877">
            <v>0</v>
          </cell>
          <cell r="G10877">
            <v>275</v>
          </cell>
          <cell r="H10877">
            <v>0</v>
          </cell>
        </row>
        <row r="10878">
          <cell r="D10878" t="str">
            <v>Furnitures</v>
          </cell>
          <cell r="F10878">
            <v>0</v>
          </cell>
          <cell r="G10878">
            <v>275</v>
          </cell>
          <cell r="H10878">
            <v>0</v>
          </cell>
        </row>
        <row r="10879">
          <cell r="D10879" t="str">
            <v>Furnitures</v>
          </cell>
          <cell r="F10879">
            <v>0</v>
          </cell>
          <cell r="G10879">
            <v>275</v>
          </cell>
          <cell r="H10879">
            <v>0</v>
          </cell>
        </row>
        <row r="10880">
          <cell r="D10880" t="str">
            <v>Furnitures</v>
          </cell>
          <cell r="F10880">
            <v>0</v>
          </cell>
          <cell r="G10880">
            <v>275</v>
          </cell>
          <cell r="H10880">
            <v>0</v>
          </cell>
        </row>
        <row r="10881">
          <cell r="D10881" t="str">
            <v>Furnitures</v>
          </cell>
          <cell r="F10881">
            <v>0</v>
          </cell>
          <cell r="G10881">
            <v>275</v>
          </cell>
          <cell r="H10881">
            <v>0</v>
          </cell>
        </row>
        <row r="10882">
          <cell r="D10882" t="str">
            <v>Furnitures</v>
          </cell>
          <cell r="F10882">
            <v>0</v>
          </cell>
          <cell r="G10882">
            <v>275</v>
          </cell>
          <cell r="H10882">
            <v>0</v>
          </cell>
        </row>
        <row r="10883">
          <cell r="D10883" t="str">
            <v>Furnitures</v>
          </cell>
          <cell r="F10883">
            <v>0</v>
          </cell>
          <cell r="G10883">
            <v>275</v>
          </cell>
          <cell r="H10883">
            <v>0</v>
          </cell>
        </row>
        <row r="10884">
          <cell r="D10884" t="str">
            <v>Furnitures</v>
          </cell>
          <cell r="F10884">
            <v>0</v>
          </cell>
          <cell r="G10884">
            <v>275</v>
          </cell>
          <cell r="H10884">
            <v>0</v>
          </cell>
        </row>
        <row r="10885">
          <cell r="D10885" t="str">
            <v>Furnitures</v>
          </cell>
          <cell r="F10885">
            <v>0</v>
          </cell>
          <cell r="G10885">
            <v>275</v>
          </cell>
          <cell r="H10885">
            <v>0</v>
          </cell>
        </row>
        <row r="10886">
          <cell r="D10886" t="str">
            <v>Furnitures</v>
          </cell>
          <cell r="F10886">
            <v>8981.3859631147534</v>
          </cell>
          <cell r="G10886">
            <v>275</v>
          </cell>
          <cell r="H10886">
            <v>8546.1984631147534</v>
          </cell>
        </row>
        <row r="10887">
          <cell r="D10887" t="str">
            <v>Furnitures</v>
          </cell>
          <cell r="F10887">
            <v>0</v>
          </cell>
          <cell r="G10887">
            <v>275</v>
          </cell>
          <cell r="H10887">
            <v>0</v>
          </cell>
        </row>
        <row r="10888">
          <cell r="D10888" t="str">
            <v>Furnitures</v>
          </cell>
          <cell r="F10888">
            <v>0</v>
          </cell>
          <cell r="G10888">
            <v>275</v>
          </cell>
          <cell r="H10888">
            <v>0</v>
          </cell>
        </row>
        <row r="10889">
          <cell r="D10889" t="str">
            <v>Furnitures</v>
          </cell>
          <cell r="F10889">
            <v>0</v>
          </cell>
          <cell r="G10889">
            <v>275</v>
          </cell>
          <cell r="H10889">
            <v>0</v>
          </cell>
        </row>
        <row r="10890">
          <cell r="D10890" t="str">
            <v>Furnitures</v>
          </cell>
          <cell r="F10890">
            <v>0</v>
          </cell>
          <cell r="G10890">
            <v>275</v>
          </cell>
          <cell r="H10890">
            <v>0</v>
          </cell>
        </row>
        <row r="10891">
          <cell r="D10891" t="str">
            <v>Furnitures</v>
          </cell>
          <cell r="F10891">
            <v>0</v>
          </cell>
          <cell r="G10891">
            <v>275</v>
          </cell>
          <cell r="H10891">
            <v>0</v>
          </cell>
        </row>
        <row r="10892">
          <cell r="D10892" t="str">
            <v>Furnitures</v>
          </cell>
          <cell r="F10892">
            <v>0</v>
          </cell>
          <cell r="G10892">
            <v>275</v>
          </cell>
          <cell r="H10892">
            <v>0</v>
          </cell>
        </row>
        <row r="10893">
          <cell r="D10893" t="str">
            <v>Furnitures</v>
          </cell>
          <cell r="F10893">
            <v>0</v>
          </cell>
          <cell r="G10893">
            <v>275</v>
          </cell>
          <cell r="H10893">
            <v>0</v>
          </cell>
        </row>
        <row r="10894">
          <cell r="D10894" t="str">
            <v>Furnitures</v>
          </cell>
          <cell r="F10894">
            <v>0</v>
          </cell>
          <cell r="G10894">
            <v>275</v>
          </cell>
          <cell r="H10894">
            <v>0</v>
          </cell>
        </row>
        <row r="10895">
          <cell r="D10895" t="str">
            <v>Furnitures</v>
          </cell>
          <cell r="F10895">
            <v>0</v>
          </cell>
          <cell r="G10895">
            <v>275</v>
          </cell>
          <cell r="H10895">
            <v>0</v>
          </cell>
        </row>
        <row r="10896">
          <cell r="D10896" t="str">
            <v>Furnitures</v>
          </cell>
          <cell r="F10896">
            <v>0</v>
          </cell>
          <cell r="G10896">
            <v>275</v>
          </cell>
          <cell r="H10896">
            <v>0</v>
          </cell>
        </row>
        <row r="10897">
          <cell r="D10897" t="str">
            <v>Furnitures</v>
          </cell>
          <cell r="F10897">
            <v>0</v>
          </cell>
          <cell r="G10897">
            <v>275</v>
          </cell>
          <cell r="H10897">
            <v>0</v>
          </cell>
        </row>
        <row r="10898">
          <cell r="D10898" t="str">
            <v>Furnitures</v>
          </cell>
          <cell r="F10898">
            <v>0</v>
          </cell>
          <cell r="G10898">
            <v>275</v>
          </cell>
          <cell r="H10898">
            <v>0</v>
          </cell>
        </row>
        <row r="10899">
          <cell r="D10899" t="str">
            <v>Furnitures</v>
          </cell>
          <cell r="F10899">
            <v>0</v>
          </cell>
          <cell r="G10899">
            <v>275</v>
          </cell>
          <cell r="H10899">
            <v>0</v>
          </cell>
        </row>
        <row r="10900">
          <cell r="D10900" t="str">
            <v>Furnitures</v>
          </cell>
          <cell r="F10900">
            <v>0</v>
          </cell>
          <cell r="G10900">
            <v>275</v>
          </cell>
          <cell r="H10900">
            <v>0</v>
          </cell>
        </row>
        <row r="10901">
          <cell r="D10901" t="str">
            <v>Furnitures</v>
          </cell>
          <cell r="F10901">
            <v>0</v>
          </cell>
          <cell r="G10901">
            <v>275</v>
          </cell>
          <cell r="H10901">
            <v>0</v>
          </cell>
        </row>
        <row r="10902">
          <cell r="D10902" t="str">
            <v>Furnitures</v>
          </cell>
          <cell r="F10902">
            <v>0</v>
          </cell>
          <cell r="G10902">
            <v>275</v>
          </cell>
          <cell r="H10902">
            <v>0</v>
          </cell>
        </row>
        <row r="10903">
          <cell r="D10903" t="str">
            <v>Furnitures</v>
          </cell>
          <cell r="F10903">
            <v>0</v>
          </cell>
          <cell r="G10903">
            <v>275</v>
          </cell>
          <cell r="H10903">
            <v>0</v>
          </cell>
        </row>
        <row r="10904">
          <cell r="D10904" t="str">
            <v>Furnitures</v>
          </cell>
          <cell r="F10904">
            <v>0</v>
          </cell>
          <cell r="G10904">
            <v>275</v>
          </cell>
          <cell r="H10904">
            <v>0</v>
          </cell>
        </row>
        <row r="10905">
          <cell r="D10905" t="str">
            <v>Furnitures</v>
          </cell>
          <cell r="F10905">
            <v>0</v>
          </cell>
          <cell r="G10905">
            <v>275</v>
          </cell>
          <cell r="H10905">
            <v>0</v>
          </cell>
        </row>
        <row r="10906">
          <cell r="D10906" t="str">
            <v>Furnitures</v>
          </cell>
          <cell r="F10906">
            <v>0</v>
          </cell>
          <cell r="G10906">
            <v>275</v>
          </cell>
          <cell r="H10906">
            <v>0</v>
          </cell>
        </row>
        <row r="10907">
          <cell r="D10907" t="str">
            <v>Furnitures</v>
          </cell>
          <cell r="F10907">
            <v>0</v>
          </cell>
          <cell r="G10907">
            <v>275</v>
          </cell>
          <cell r="H10907">
            <v>0</v>
          </cell>
        </row>
        <row r="10908">
          <cell r="D10908" t="str">
            <v>Furnitures</v>
          </cell>
          <cell r="F10908">
            <v>0</v>
          </cell>
          <cell r="G10908">
            <v>275</v>
          </cell>
          <cell r="H10908">
            <v>0</v>
          </cell>
        </row>
        <row r="10909">
          <cell r="D10909" t="str">
            <v>Furnitures</v>
          </cell>
          <cell r="F10909">
            <v>0</v>
          </cell>
          <cell r="G10909">
            <v>275</v>
          </cell>
          <cell r="H10909">
            <v>0</v>
          </cell>
        </row>
        <row r="10910">
          <cell r="D10910" t="str">
            <v>Furnitures</v>
          </cell>
          <cell r="F10910">
            <v>0</v>
          </cell>
          <cell r="G10910">
            <v>275</v>
          </cell>
          <cell r="H10910">
            <v>0</v>
          </cell>
        </row>
        <row r="10911">
          <cell r="D10911" t="str">
            <v>Furnitures</v>
          </cell>
          <cell r="F10911">
            <v>0</v>
          </cell>
          <cell r="G10911">
            <v>275</v>
          </cell>
          <cell r="H10911">
            <v>0</v>
          </cell>
        </row>
        <row r="10912">
          <cell r="D10912" t="str">
            <v>Furnitures</v>
          </cell>
          <cell r="F10912">
            <v>0</v>
          </cell>
          <cell r="G10912">
            <v>275</v>
          </cell>
          <cell r="H10912">
            <v>0</v>
          </cell>
        </row>
        <row r="10913">
          <cell r="D10913" t="str">
            <v>Furnitures</v>
          </cell>
          <cell r="F10913">
            <v>0</v>
          </cell>
          <cell r="G10913">
            <v>275</v>
          </cell>
          <cell r="H10913">
            <v>0</v>
          </cell>
        </row>
        <row r="10914">
          <cell r="D10914" t="str">
            <v>Furnitures</v>
          </cell>
          <cell r="F10914">
            <v>0</v>
          </cell>
          <cell r="G10914">
            <v>275</v>
          </cell>
          <cell r="H10914">
            <v>0</v>
          </cell>
        </row>
        <row r="10915">
          <cell r="D10915" t="str">
            <v>Furnitures</v>
          </cell>
          <cell r="F10915">
            <v>0</v>
          </cell>
          <cell r="G10915">
            <v>275</v>
          </cell>
          <cell r="H10915">
            <v>0</v>
          </cell>
        </row>
        <row r="10916">
          <cell r="D10916" t="str">
            <v>Furnitures</v>
          </cell>
          <cell r="F10916">
            <v>0</v>
          </cell>
          <cell r="G10916">
            <v>275</v>
          </cell>
          <cell r="H10916">
            <v>0</v>
          </cell>
        </row>
        <row r="10917">
          <cell r="D10917" t="str">
            <v>Furnitures</v>
          </cell>
          <cell r="F10917">
            <v>0</v>
          </cell>
          <cell r="G10917">
            <v>275</v>
          </cell>
          <cell r="H10917">
            <v>0</v>
          </cell>
        </row>
        <row r="10918">
          <cell r="D10918" t="str">
            <v>Furnitures</v>
          </cell>
          <cell r="F10918">
            <v>0</v>
          </cell>
          <cell r="G10918">
            <v>275</v>
          </cell>
          <cell r="H10918">
            <v>0</v>
          </cell>
        </row>
        <row r="10919">
          <cell r="D10919" t="str">
            <v>Furnitures</v>
          </cell>
          <cell r="F10919">
            <v>0</v>
          </cell>
          <cell r="G10919">
            <v>275</v>
          </cell>
          <cell r="H10919">
            <v>0</v>
          </cell>
        </row>
        <row r="10920">
          <cell r="D10920" t="str">
            <v>Furnitures</v>
          </cell>
          <cell r="F10920">
            <v>0</v>
          </cell>
          <cell r="G10920">
            <v>275</v>
          </cell>
          <cell r="H10920">
            <v>0</v>
          </cell>
        </row>
        <row r="10921">
          <cell r="D10921" t="str">
            <v>Furnitures</v>
          </cell>
          <cell r="F10921">
            <v>0</v>
          </cell>
          <cell r="G10921">
            <v>275</v>
          </cell>
          <cell r="H10921">
            <v>0</v>
          </cell>
        </row>
        <row r="10922">
          <cell r="D10922" t="str">
            <v>Furnitures</v>
          </cell>
          <cell r="F10922">
            <v>0</v>
          </cell>
          <cell r="G10922">
            <v>275</v>
          </cell>
          <cell r="H10922">
            <v>0</v>
          </cell>
        </row>
        <row r="10923">
          <cell r="D10923" t="str">
            <v>Furnitures</v>
          </cell>
          <cell r="F10923">
            <v>0</v>
          </cell>
          <cell r="G10923">
            <v>275</v>
          </cell>
          <cell r="H10923">
            <v>0</v>
          </cell>
        </row>
        <row r="10924">
          <cell r="D10924" t="str">
            <v>Furnitures</v>
          </cell>
          <cell r="F10924">
            <v>5808.5177459016395</v>
          </cell>
          <cell r="G10924">
            <v>275</v>
          </cell>
          <cell r="H10924">
            <v>5529.5208280934203</v>
          </cell>
        </row>
        <row r="10925">
          <cell r="D10925" t="str">
            <v>Furnitures</v>
          </cell>
          <cell r="F10925">
            <v>0</v>
          </cell>
          <cell r="G10925">
            <v>275</v>
          </cell>
          <cell r="H10925">
            <v>0</v>
          </cell>
        </row>
        <row r="10926">
          <cell r="D10926" t="str">
            <v>Furnitures</v>
          </cell>
          <cell r="F10926">
            <v>0</v>
          </cell>
          <cell r="G10926">
            <v>275</v>
          </cell>
          <cell r="H10926">
            <v>0</v>
          </cell>
        </row>
        <row r="10927">
          <cell r="D10927" t="str">
            <v>Furnitures</v>
          </cell>
          <cell r="F10927">
            <v>0</v>
          </cell>
          <cell r="G10927">
            <v>275</v>
          </cell>
          <cell r="H10927">
            <v>0</v>
          </cell>
        </row>
        <row r="10928">
          <cell r="D10928" t="str">
            <v>Furnitures</v>
          </cell>
          <cell r="F10928">
            <v>0</v>
          </cell>
          <cell r="G10928">
            <v>275</v>
          </cell>
          <cell r="H10928">
            <v>0</v>
          </cell>
        </row>
        <row r="10929">
          <cell r="D10929" t="str">
            <v>Furnitures</v>
          </cell>
          <cell r="F10929">
            <v>0</v>
          </cell>
          <cell r="G10929">
            <v>275</v>
          </cell>
          <cell r="H10929">
            <v>0</v>
          </cell>
        </row>
        <row r="10930">
          <cell r="D10930" t="str">
            <v>Furnitures</v>
          </cell>
          <cell r="F10930">
            <v>0</v>
          </cell>
          <cell r="G10930">
            <v>275</v>
          </cell>
          <cell r="H10930">
            <v>0</v>
          </cell>
        </row>
        <row r="10931">
          <cell r="D10931" t="str">
            <v>Furnitures</v>
          </cell>
          <cell r="F10931">
            <v>0</v>
          </cell>
          <cell r="G10931">
            <v>275</v>
          </cell>
          <cell r="H10931">
            <v>0</v>
          </cell>
        </row>
        <row r="10932">
          <cell r="D10932" t="str">
            <v>Furnitures</v>
          </cell>
          <cell r="F10932">
            <v>0</v>
          </cell>
          <cell r="G10932">
            <v>275</v>
          </cell>
          <cell r="H10932">
            <v>0</v>
          </cell>
        </row>
        <row r="10933">
          <cell r="D10933" t="str">
            <v>Furnitures</v>
          </cell>
          <cell r="F10933">
            <v>0</v>
          </cell>
          <cell r="G10933">
            <v>275</v>
          </cell>
          <cell r="H10933">
            <v>0</v>
          </cell>
        </row>
        <row r="10934">
          <cell r="D10934" t="str">
            <v>Furnitures</v>
          </cell>
          <cell r="F10934">
            <v>0</v>
          </cell>
          <cell r="G10934">
            <v>275</v>
          </cell>
          <cell r="H10934">
            <v>0</v>
          </cell>
        </row>
        <row r="10935">
          <cell r="D10935" t="str">
            <v>Furnitures</v>
          </cell>
          <cell r="F10935">
            <v>0</v>
          </cell>
          <cell r="G10935">
            <v>275</v>
          </cell>
          <cell r="H10935">
            <v>0</v>
          </cell>
        </row>
        <row r="10936">
          <cell r="D10936" t="str">
            <v>Furnitures</v>
          </cell>
          <cell r="F10936">
            <v>0</v>
          </cell>
          <cell r="G10936">
            <v>275</v>
          </cell>
          <cell r="H10936">
            <v>0</v>
          </cell>
        </row>
        <row r="10937">
          <cell r="D10937" t="str">
            <v>Furnitures</v>
          </cell>
          <cell r="F10937">
            <v>0</v>
          </cell>
          <cell r="G10937">
            <v>275</v>
          </cell>
          <cell r="H10937">
            <v>0</v>
          </cell>
        </row>
        <row r="10938">
          <cell r="D10938" t="str">
            <v>Furnitures</v>
          </cell>
          <cell r="F10938">
            <v>0</v>
          </cell>
          <cell r="G10938">
            <v>275</v>
          </cell>
          <cell r="H10938">
            <v>0</v>
          </cell>
        </row>
        <row r="10939">
          <cell r="D10939" t="str">
            <v>Furnitures</v>
          </cell>
          <cell r="F10939">
            <v>0</v>
          </cell>
          <cell r="G10939">
            <v>275</v>
          </cell>
          <cell r="H10939">
            <v>0</v>
          </cell>
        </row>
        <row r="10940">
          <cell r="D10940" t="str">
            <v>Furnitures</v>
          </cell>
          <cell r="F10940">
            <v>5026.6018954918036</v>
          </cell>
          <cell r="G10940">
            <v>275</v>
          </cell>
          <cell r="H10940">
            <v>4785.1622550808443</v>
          </cell>
        </row>
        <row r="10941">
          <cell r="D10941" t="str">
            <v>Furnitures</v>
          </cell>
          <cell r="F10941">
            <v>0</v>
          </cell>
          <cell r="G10941">
            <v>275</v>
          </cell>
          <cell r="H10941">
            <v>0</v>
          </cell>
        </row>
        <row r="10942">
          <cell r="D10942" t="str">
            <v>Furnitures</v>
          </cell>
          <cell r="F10942">
            <v>0</v>
          </cell>
          <cell r="G10942">
            <v>275</v>
          </cell>
          <cell r="H10942">
            <v>0</v>
          </cell>
        </row>
        <row r="10943">
          <cell r="D10943" t="str">
            <v>Furnitures</v>
          </cell>
          <cell r="F10943">
            <v>0</v>
          </cell>
          <cell r="G10943">
            <v>275</v>
          </cell>
          <cell r="H10943">
            <v>0</v>
          </cell>
        </row>
        <row r="10944">
          <cell r="D10944" t="str">
            <v>Furnitures</v>
          </cell>
          <cell r="F10944">
            <v>0</v>
          </cell>
          <cell r="G10944">
            <v>275</v>
          </cell>
          <cell r="H10944">
            <v>0</v>
          </cell>
        </row>
        <row r="10945">
          <cell r="D10945" t="str">
            <v>Furnitures</v>
          </cell>
          <cell r="F10945">
            <v>0</v>
          </cell>
          <cell r="G10945">
            <v>275</v>
          </cell>
          <cell r="H10945">
            <v>0</v>
          </cell>
        </row>
        <row r="10946">
          <cell r="D10946" t="str">
            <v>Furnitures</v>
          </cell>
          <cell r="F10946">
            <v>0</v>
          </cell>
          <cell r="G10946">
            <v>275</v>
          </cell>
          <cell r="H10946">
            <v>0</v>
          </cell>
        </row>
        <row r="10947">
          <cell r="D10947" t="str">
            <v>Furnitures</v>
          </cell>
          <cell r="F10947">
            <v>0</v>
          </cell>
          <cell r="G10947">
            <v>275</v>
          </cell>
          <cell r="H10947">
            <v>0</v>
          </cell>
        </row>
        <row r="10948">
          <cell r="D10948" t="str">
            <v>Furnitures</v>
          </cell>
          <cell r="F10948">
            <v>0</v>
          </cell>
          <cell r="G10948">
            <v>275</v>
          </cell>
          <cell r="H10948">
            <v>0</v>
          </cell>
        </row>
        <row r="10949">
          <cell r="D10949" t="str">
            <v>Furnitures</v>
          </cell>
          <cell r="F10949">
            <v>5026.6018954918036</v>
          </cell>
          <cell r="G10949">
            <v>275</v>
          </cell>
          <cell r="H10949">
            <v>4785.1622550808443</v>
          </cell>
        </row>
        <row r="10950">
          <cell r="D10950" t="str">
            <v>Furnitures</v>
          </cell>
          <cell r="F10950">
            <v>5451.4829508196717</v>
          </cell>
          <cell r="G10950">
            <v>275</v>
          </cell>
          <cell r="H10950">
            <v>5188.5820090388497</v>
          </cell>
        </row>
        <row r="10951">
          <cell r="D10951" t="str">
            <v>Furnitures</v>
          </cell>
          <cell r="F10951">
            <v>5451.4829508196717</v>
          </cell>
          <cell r="G10951">
            <v>275</v>
          </cell>
          <cell r="H10951">
            <v>5188.5820090388497</v>
          </cell>
        </row>
        <row r="10952">
          <cell r="D10952" t="str">
            <v>Furnitures</v>
          </cell>
          <cell r="F10952">
            <v>0</v>
          </cell>
          <cell r="G10952">
            <v>275</v>
          </cell>
          <cell r="H10952">
            <v>0</v>
          </cell>
        </row>
        <row r="10953">
          <cell r="D10953" t="str">
            <v>Furnitures</v>
          </cell>
          <cell r="F10953">
            <v>0</v>
          </cell>
          <cell r="G10953">
            <v>275</v>
          </cell>
          <cell r="H10953">
            <v>0</v>
          </cell>
        </row>
        <row r="10954">
          <cell r="D10954" t="str">
            <v>Furnitures</v>
          </cell>
          <cell r="F10954">
            <v>0</v>
          </cell>
          <cell r="G10954">
            <v>275</v>
          </cell>
          <cell r="H10954">
            <v>0</v>
          </cell>
        </row>
        <row r="10955">
          <cell r="D10955" t="str">
            <v>Furnitures</v>
          </cell>
          <cell r="F10955">
            <v>0</v>
          </cell>
          <cell r="G10955">
            <v>275</v>
          </cell>
          <cell r="H10955">
            <v>0</v>
          </cell>
        </row>
        <row r="10956">
          <cell r="D10956" t="str">
            <v>Furnitures</v>
          </cell>
          <cell r="F10956">
            <v>0</v>
          </cell>
          <cell r="G10956">
            <v>275</v>
          </cell>
          <cell r="H10956">
            <v>0</v>
          </cell>
        </row>
        <row r="10957">
          <cell r="D10957" t="str">
            <v>Furnitures</v>
          </cell>
          <cell r="F10957">
            <v>0</v>
          </cell>
          <cell r="G10957">
            <v>275</v>
          </cell>
          <cell r="H10957">
            <v>0</v>
          </cell>
        </row>
        <row r="10958">
          <cell r="D10958" t="str">
            <v>Furnitures</v>
          </cell>
          <cell r="F10958">
            <v>0</v>
          </cell>
          <cell r="G10958">
            <v>275</v>
          </cell>
          <cell r="H10958">
            <v>0</v>
          </cell>
        </row>
        <row r="10959">
          <cell r="D10959" t="str">
            <v>Furnitures</v>
          </cell>
          <cell r="F10959">
            <v>0</v>
          </cell>
          <cell r="G10959">
            <v>275</v>
          </cell>
          <cell r="H10959">
            <v>0</v>
          </cell>
        </row>
        <row r="10960">
          <cell r="D10960" t="str">
            <v>Furnitures</v>
          </cell>
          <cell r="F10960">
            <v>0</v>
          </cell>
          <cell r="G10960">
            <v>275</v>
          </cell>
          <cell r="H10960">
            <v>0</v>
          </cell>
        </row>
        <row r="10961">
          <cell r="D10961" t="str">
            <v>Furnitures</v>
          </cell>
          <cell r="F10961">
            <v>0</v>
          </cell>
          <cell r="G10961">
            <v>275</v>
          </cell>
          <cell r="H10961">
            <v>0</v>
          </cell>
        </row>
        <row r="10962">
          <cell r="D10962" t="str">
            <v>Furnitures</v>
          </cell>
          <cell r="F10962">
            <v>0</v>
          </cell>
          <cell r="G10962">
            <v>275</v>
          </cell>
          <cell r="H10962">
            <v>0</v>
          </cell>
        </row>
        <row r="10963">
          <cell r="D10963" t="str">
            <v>Furnitures</v>
          </cell>
          <cell r="F10963">
            <v>0</v>
          </cell>
          <cell r="G10963">
            <v>275</v>
          </cell>
          <cell r="H10963">
            <v>0</v>
          </cell>
        </row>
        <row r="10964">
          <cell r="D10964" t="str">
            <v>Furnitures</v>
          </cell>
          <cell r="F10964">
            <v>0</v>
          </cell>
          <cell r="G10964">
            <v>275</v>
          </cell>
          <cell r="H10964">
            <v>0</v>
          </cell>
        </row>
        <row r="10965">
          <cell r="D10965" t="str">
            <v>Furnitures</v>
          </cell>
          <cell r="F10965">
            <v>0</v>
          </cell>
          <cell r="G10965">
            <v>275</v>
          </cell>
          <cell r="H10965">
            <v>0</v>
          </cell>
        </row>
        <row r="10966">
          <cell r="D10966" t="str">
            <v>Furnitures</v>
          </cell>
          <cell r="F10966">
            <v>0</v>
          </cell>
          <cell r="G10966">
            <v>275</v>
          </cell>
          <cell r="H10966">
            <v>0</v>
          </cell>
        </row>
        <row r="10967">
          <cell r="D10967" t="str">
            <v>Furnitures</v>
          </cell>
          <cell r="F10967">
            <v>0</v>
          </cell>
          <cell r="G10967">
            <v>275</v>
          </cell>
          <cell r="H10967">
            <v>0</v>
          </cell>
        </row>
        <row r="10968">
          <cell r="D10968" t="str">
            <v>Furnitures</v>
          </cell>
          <cell r="F10968">
            <v>0</v>
          </cell>
          <cell r="G10968">
            <v>275</v>
          </cell>
          <cell r="H10968">
            <v>0</v>
          </cell>
        </row>
        <row r="10969">
          <cell r="D10969" t="str">
            <v>Furnitures</v>
          </cell>
          <cell r="F10969">
            <v>0</v>
          </cell>
          <cell r="G10969">
            <v>275</v>
          </cell>
          <cell r="H10969">
            <v>0</v>
          </cell>
        </row>
        <row r="10970">
          <cell r="D10970" t="str">
            <v>Furnitures</v>
          </cell>
          <cell r="F10970">
            <v>0</v>
          </cell>
          <cell r="G10970">
            <v>275</v>
          </cell>
          <cell r="H10970">
            <v>0</v>
          </cell>
        </row>
        <row r="10971">
          <cell r="D10971" t="str">
            <v>Furnitures</v>
          </cell>
          <cell r="F10971">
            <v>0</v>
          </cell>
          <cell r="G10971">
            <v>275</v>
          </cell>
          <cell r="H10971">
            <v>0</v>
          </cell>
        </row>
        <row r="10972">
          <cell r="D10972" t="str">
            <v>Furnitures</v>
          </cell>
          <cell r="F10972">
            <v>0</v>
          </cell>
          <cell r="G10972">
            <v>275</v>
          </cell>
          <cell r="H10972">
            <v>0</v>
          </cell>
        </row>
        <row r="10973">
          <cell r="D10973" t="str">
            <v>Furnitures</v>
          </cell>
          <cell r="F10973">
            <v>0</v>
          </cell>
          <cell r="G10973">
            <v>275</v>
          </cell>
          <cell r="H10973">
            <v>0</v>
          </cell>
        </row>
        <row r="10974">
          <cell r="D10974" t="str">
            <v>Furnitures</v>
          </cell>
          <cell r="F10974">
            <v>0</v>
          </cell>
          <cell r="G10974">
            <v>275</v>
          </cell>
          <cell r="H10974">
            <v>0</v>
          </cell>
        </row>
        <row r="10975">
          <cell r="D10975" t="str">
            <v>Furnitures</v>
          </cell>
          <cell r="F10975">
            <v>0</v>
          </cell>
          <cell r="G10975">
            <v>275</v>
          </cell>
          <cell r="H10975">
            <v>0</v>
          </cell>
        </row>
        <row r="10976">
          <cell r="D10976" t="str">
            <v>Furnitures</v>
          </cell>
          <cell r="F10976">
            <v>0</v>
          </cell>
          <cell r="G10976">
            <v>275</v>
          </cell>
          <cell r="H10976">
            <v>0</v>
          </cell>
        </row>
        <row r="10977">
          <cell r="D10977" t="str">
            <v>Furnitures</v>
          </cell>
          <cell r="F10977">
            <v>0</v>
          </cell>
          <cell r="G10977">
            <v>275</v>
          </cell>
          <cell r="H10977">
            <v>0</v>
          </cell>
        </row>
        <row r="10978">
          <cell r="D10978" t="str">
            <v>Furnitures</v>
          </cell>
          <cell r="F10978">
            <v>0</v>
          </cell>
          <cell r="G10978">
            <v>275</v>
          </cell>
          <cell r="H10978">
            <v>0</v>
          </cell>
        </row>
        <row r="10979">
          <cell r="D10979" t="str">
            <v>Furnitures</v>
          </cell>
          <cell r="F10979">
            <v>0</v>
          </cell>
          <cell r="G10979">
            <v>275</v>
          </cell>
          <cell r="H10979">
            <v>0</v>
          </cell>
        </row>
        <row r="10980">
          <cell r="D10980" t="str">
            <v>Furnitures</v>
          </cell>
          <cell r="F10980">
            <v>0</v>
          </cell>
          <cell r="G10980">
            <v>275</v>
          </cell>
          <cell r="H10980">
            <v>0</v>
          </cell>
        </row>
        <row r="10981">
          <cell r="D10981" t="str">
            <v>Furnitures</v>
          </cell>
          <cell r="F10981">
            <v>0</v>
          </cell>
          <cell r="G10981">
            <v>275</v>
          </cell>
          <cell r="H10981">
            <v>0</v>
          </cell>
        </row>
        <row r="10982">
          <cell r="D10982" t="str">
            <v>Furnitures</v>
          </cell>
          <cell r="F10982">
            <v>0</v>
          </cell>
          <cell r="G10982">
            <v>275</v>
          </cell>
          <cell r="H10982">
            <v>0</v>
          </cell>
        </row>
        <row r="10983">
          <cell r="D10983" t="str">
            <v>Furnitures</v>
          </cell>
          <cell r="F10983">
            <v>0</v>
          </cell>
          <cell r="G10983">
            <v>275</v>
          </cell>
          <cell r="H10983">
            <v>0</v>
          </cell>
        </row>
        <row r="10984">
          <cell r="D10984" t="str">
            <v>Furnitures</v>
          </cell>
          <cell r="F10984">
            <v>0</v>
          </cell>
          <cell r="G10984">
            <v>275</v>
          </cell>
          <cell r="H10984">
            <v>0</v>
          </cell>
        </row>
        <row r="10985">
          <cell r="D10985" t="str">
            <v>Furnitures</v>
          </cell>
          <cell r="F10985">
            <v>0</v>
          </cell>
          <cell r="G10985">
            <v>275</v>
          </cell>
          <cell r="H10985">
            <v>0</v>
          </cell>
        </row>
        <row r="10986">
          <cell r="D10986" t="str">
            <v>Furnitures</v>
          </cell>
          <cell r="F10986">
            <v>0</v>
          </cell>
          <cell r="G10986">
            <v>275</v>
          </cell>
          <cell r="H10986">
            <v>0</v>
          </cell>
        </row>
        <row r="10987">
          <cell r="D10987" t="str">
            <v>Furnitures</v>
          </cell>
          <cell r="F10987">
            <v>0</v>
          </cell>
          <cell r="G10987">
            <v>275</v>
          </cell>
          <cell r="H10987">
            <v>0</v>
          </cell>
        </row>
        <row r="10988">
          <cell r="D10988" t="str">
            <v>Furnitures</v>
          </cell>
          <cell r="F10988">
            <v>0</v>
          </cell>
          <cell r="G10988">
            <v>275</v>
          </cell>
          <cell r="H10988">
            <v>0</v>
          </cell>
        </row>
        <row r="10989">
          <cell r="D10989" t="str">
            <v>Furnitures</v>
          </cell>
          <cell r="F10989">
            <v>0</v>
          </cell>
          <cell r="G10989">
            <v>275</v>
          </cell>
          <cell r="H10989">
            <v>0</v>
          </cell>
        </row>
        <row r="10990">
          <cell r="D10990" t="str">
            <v>Furnitures</v>
          </cell>
          <cell r="F10990">
            <v>0</v>
          </cell>
          <cell r="G10990">
            <v>275</v>
          </cell>
          <cell r="H10990">
            <v>0</v>
          </cell>
        </row>
        <row r="10991">
          <cell r="D10991" t="str">
            <v>Furnitures</v>
          </cell>
          <cell r="F10991">
            <v>0</v>
          </cell>
          <cell r="G10991">
            <v>275</v>
          </cell>
          <cell r="H10991">
            <v>0</v>
          </cell>
        </row>
        <row r="10992">
          <cell r="D10992" t="str">
            <v>Furnitures</v>
          </cell>
          <cell r="F10992">
            <v>0</v>
          </cell>
          <cell r="G10992">
            <v>275</v>
          </cell>
          <cell r="H10992">
            <v>0</v>
          </cell>
        </row>
        <row r="10993">
          <cell r="D10993" t="str">
            <v>Furnitures</v>
          </cell>
          <cell r="F10993">
            <v>0</v>
          </cell>
          <cell r="G10993">
            <v>275</v>
          </cell>
          <cell r="H10993">
            <v>0</v>
          </cell>
        </row>
        <row r="10994">
          <cell r="D10994" t="str">
            <v>Furnitures</v>
          </cell>
          <cell r="F10994">
            <v>0</v>
          </cell>
          <cell r="G10994">
            <v>275</v>
          </cell>
          <cell r="H10994">
            <v>0</v>
          </cell>
        </row>
        <row r="10995">
          <cell r="D10995" t="str">
            <v>Furnitures</v>
          </cell>
          <cell r="F10995">
            <v>0</v>
          </cell>
          <cell r="G10995">
            <v>275</v>
          </cell>
          <cell r="H10995">
            <v>0</v>
          </cell>
        </row>
        <row r="10996">
          <cell r="D10996" t="str">
            <v>Furnitures</v>
          </cell>
          <cell r="F10996">
            <v>0</v>
          </cell>
          <cell r="G10996">
            <v>275</v>
          </cell>
          <cell r="H10996">
            <v>0</v>
          </cell>
        </row>
        <row r="10997">
          <cell r="D10997" t="str">
            <v>Furnitures</v>
          </cell>
          <cell r="F10997">
            <v>0</v>
          </cell>
          <cell r="G10997">
            <v>275</v>
          </cell>
          <cell r="H10997">
            <v>0</v>
          </cell>
        </row>
        <row r="10998">
          <cell r="D10998" t="str">
            <v>Furnitures</v>
          </cell>
          <cell r="F10998">
            <v>0</v>
          </cell>
          <cell r="G10998">
            <v>275</v>
          </cell>
          <cell r="H10998">
            <v>0</v>
          </cell>
        </row>
        <row r="10999">
          <cell r="D10999" t="str">
            <v>Furnitures</v>
          </cell>
          <cell r="F10999">
            <v>0</v>
          </cell>
          <cell r="G10999">
            <v>275</v>
          </cell>
          <cell r="H10999">
            <v>0</v>
          </cell>
        </row>
        <row r="11000">
          <cell r="D11000" t="str">
            <v>Furnitures</v>
          </cell>
          <cell r="F11000">
            <v>0</v>
          </cell>
          <cell r="G11000">
            <v>275</v>
          </cell>
          <cell r="H11000">
            <v>0</v>
          </cell>
        </row>
        <row r="11001">
          <cell r="D11001" t="str">
            <v>Furnitures</v>
          </cell>
          <cell r="F11001">
            <v>0</v>
          </cell>
          <cell r="G11001">
            <v>275</v>
          </cell>
          <cell r="H11001">
            <v>0</v>
          </cell>
        </row>
        <row r="11002">
          <cell r="D11002" t="str">
            <v>Furnitures</v>
          </cell>
          <cell r="F11002">
            <v>0</v>
          </cell>
          <cell r="G11002">
            <v>275</v>
          </cell>
          <cell r="H11002">
            <v>0</v>
          </cell>
        </row>
        <row r="11003">
          <cell r="D11003" t="str">
            <v>Furnitures</v>
          </cell>
          <cell r="F11003">
            <v>0</v>
          </cell>
          <cell r="G11003">
            <v>275</v>
          </cell>
          <cell r="H11003">
            <v>0</v>
          </cell>
        </row>
        <row r="11004">
          <cell r="D11004" t="str">
            <v>Furnitures</v>
          </cell>
          <cell r="F11004">
            <v>0</v>
          </cell>
          <cell r="G11004">
            <v>275</v>
          </cell>
          <cell r="H11004">
            <v>0</v>
          </cell>
        </row>
        <row r="11005">
          <cell r="D11005" t="str">
            <v>Furnitures</v>
          </cell>
          <cell r="F11005">
            <v>0</v>
          </cell>
          <cell r="G11005">
            <v>275</v>
          </cell>
          <cell r="H11005">
            <v>0</v>
          </cell>
        </row>
        <row r="11006">
          <cell r="D11006" t="str">
            <v>Furnitures</v>
          </cell>
          <cell r="F11006">
            <v>0</v>
          </cell>
          <cell r="G11006">
            <v>275</v>
          </cell>
          <cell r="H11006">
            <v>0</v>
          </cell>
        </row>
        <row r="11007">
          <cell r="D11007" t="str">
            <v>Furnitures</v>
          </cell>
          <cell r="F11007">
            <v>0</v>
          </cell>
          <cell r="G11007">
            <v>275</v>
          </cell>
          <cell r="H11007">
            <v>0</v>
          </cell>
        </row>
        <row r="11008">
          <cell r="D11008" t="str">
            <v>Furnitures</v>
          </cell>
          <cell r="F11008">
            <v>0</v>
          </cell>
          <cell r="G11008">
            <v>275</v>
          </cell>
          <cell r="H11008">
            <v>0</v>
          </cell>
        </row>
        <row r="11009">
          <cell r="D11009" t="str">
            <v>Furnitures</v>
          </cell>
          <cell r="F11009">
            <v>0</v>
          </cell>
          <cell r="G11009">
            <v>275</v>
          </cell>
          <cell r="H11009">
            <v>0</v>
          </cell>
        </row>
        <row r="11010">
          <cell r="D11010" t="str">
            <v>Furnitures</v>
          </cell>
          <cell r="F11010">
            <v>0</v>
          </cell>
          <cell r="G11010">
            <v>275</v>
          </cell>
          <cell r="H11010">
            <v>0</v>
          </cell>
        </row>
        <row r="11011">
          <cell r="D11011" t="str">
            <v>Furnitures</v>
          </cell>
          <cell r="F11011">
            <v>0</v>
          </cell>
          <cell r="G11011">
            <v>275</v>
          </cell>
          <cell r="H11011">
            <v>0</v>
          </cell>
        </row>
        <row r="11012">
          <cell r="D11012" t="str">
            <v>Furnitures</v>
          </cell>
          <cell r="F11012">
            <v>0</v>
          </cell>
          <cell r="G11012">
            <v>275</v>
          </cell>
          <cell r="H11012">
            <v>0</v>
          </cell>
        </row>
        <row r="11013">
          <cell r="D11013" t="str">
            <v>Furnitures</v>
          </cell>
          <cell r="F11013">
            <v>0</v>
          </cell>
          <cell r="G11013">
            <v>275</v>
          </cell>
          <cell r="H11013">
            <v>0</v>
          </cell>
        </row>
        <row r="11014">
          <cell r="D11014" t="str">
            <v>Furnitures</v>
          </cell>
          <cell r="F11014">
            <v>0</v>
          </cell>
          <cell r="G11014">
            <v>275</v>
          </cell>
          <cell r="H11014">
            <v>0</v>
          </cell>
        </row>
        <row r="11015">
          <cell r="D11015" t="str">
            <v>Furnitures</v>
          </cell>
          <cell r="F11015">
            <v>0</v>
          </cell>
          <cell r="G11015">
            <v>275</v>
          </cell>
          <cell r="H11015">
            <v>0</v>
          </cell>
        </row>
        <row r="11016">
          <cell r="D11016" t="str">
            <v>Furnitures</v>
          </cell>
          <cell r="F11016">
            <v>0</v>
          </cell>
          <cell r="G11016">
            <v>275</v>
          </cell>
          <cell r="H11016">
            <v>0</v>
          </cell>
        </row>
        <row r="11017">
          <cell r="D11017" t="str">
            <v>Furnitures</v>
          </cell>
          <cell r="F11017">
            <v>0</v>
          </cell>
          <cell r="G11017">
            <v>275</v>
          </cell>
          <cell r="H11017">
            <v>0</v>
          </cell>
        </row>
        <row r="11018">
          <cell r="D11018" t="str">
            <v>Furnitures</v>
          </cell>
          <cell r="F11018">
            <v>0</v>
          </cell>
          <cell r="G11018">
            <v>275</v>
          </cell>
          <cell r="H11018">
            <v>0</v>
          </cell>
        </row>
        <row r="11019">
          <cell r="D11019" t="str">
            <v>Furnitures</v>
          </cell>
          <cell r="F11019">
            <v>0</v>
          </cell>
          <cell r="G11019">
            <v>275</v>
          </cell>
          <cell r="H11019">
            <v>0</v>
          </cell>
        </row>
        <row r="11020">
          <cell r="D11020" t="str">
            <v>Furnitures</v>
          </cell>
          <cell r="F11020">
            <v>0</v>
          </cell>
          <cell r="G11020">
            <v>275</v>
          </cell>
          <cell r="H11020">
            <v>0</v>
          </cell>
        </row>
        <row r="11021">
          <cell r="D11021" t="str">
            <v>Furnitures</v>
          </cell>
          <cell r="F11021">
            <v>0</v>
          </cell>
          <cell r="G11021">
            <v>275</v>
          </cell>
          <cell r="H11021">
            <v>0</v>
          </cell>
        </row>
        <row r="11022">
          <cell r="D11022" t="str">
            <v>Furnitures</v>
          </cell>
          <cell r="F11022">
            <v>12436.181049180328</v>
          </cell>
          <cell r="G11022">
            <v>275</v>
          </cell>
          <cell r="H11022">
            <v>11837.172282057041</v>
          </cell>
        </row>
        <row r="11023">
          <cell r="D11023" t="str">
            <v>Furnitures</v>
          </cell>
          <cell r="F11023">
            <v>0</v>
          </cell>
          <cell r="G11023">
            <v>275</v>
          </cell>
          <cell r="H11023">
            <v>0</v>
          </cell>
        </row>
        <row r="11024">
          <cell r="D11024" t="str">
            <v>Furnitures</v>
          </cell>
          <cell r="F11024">
            <v>0</v>
          </cell>
          <cell r="G11024">
            <v>275</v>
          </cell>
          <cell r="H11024">
            <v>0</v>
          </cell>
        </row>
        <row r="11025">
          <cell r="D11025" t="str">
            <v>Furnitures</v>
          </cell>
          <cell r="F11025">
            <v>0</v>
          </cell>
          <cell r="G11025">
            <v>275</v>
          </cell>
          <cell r="H11025">
            <v>0</v>
          </cell>
        </row>
        <row r="11026">
          <cell r="D11026" t="str">
            <v>Furnitures</v>
          </cell>
          <cell r="F11026">
            <v>0</v>
          </cell>
          <cell r="G11026">
            <v>275</v>
          </cell>
          <cell r="H11026">
            <v>0</v>
          </cell>
        </row>
        <row r="11027">
          <cell r="D11027" t="str">
            <v>Furnitures</v>
          </cell>
          <cell r="F11027">
            <v>0</v>
          </cell>
          <cell r="G11027">
            <v>275</v>
          </cell>
          <cell r="H11027">
            <v>0</v>
          </cell>
        </row>
        <row r="11028">
          <cell r="D11028" t="str">
            <v>Furnitures</v>
          </cell>
          <cell r="F11028">
            <v>0</v>
          </cell>
          <cell r="G11028">
            <v>275</v>
          </cell>
          <cell r="H11028">
            <v>0</v>
          </cell>
        </row>
        <row r="11029">
          <cell r="D11029" t="str">
            <v>Furnitures</v>
          </cell>
          <cell r="F11029">
            <v>0</v>
          </cell>
          <cell r="G11029">
            <v>275</v>
          </cell>
          <cell r="H11029">
            <v>0</v>
          </cell>
        </row>
        <row r="11030">
          <cell r="D11030" t="str">
            <v>Furnitures</v>
          </cell>
          <cell r="F11030">
            <v>0</v>
          </cell>
          <cell r="G11030">
            <v>275</v>
          </cell>
          <cell r="H11030">
            <v>0</v>
          </cell>
        </row>
        <row r="11031">
          <cell r="D11031" t="str">
            <v>Furnitures</v>
          </cell>
          <cell r="F11031">
            <v>0</v>
          </cell>
          <cell r="G11031">
            <v>275</v>
          </cell>
          <cell r="H11031">
            <v>0</v>
          </cell>
        </row>
        <row r="11032">
          <cell r="D11032" t="str">
            <v>Furnitures</v>
          </cell>
          <cell r="F11032">
            <v>0</v>
          </cell>
          <cell r="G11032">
            <v>275</v>
          </cell>
          <cell r="H11032">
            <v>0</v>
          </cell>
        </row>
        <row r="11033">
          <cell r="D11033" t="str">
            <v>Furnitures</v>
          </cell>
          <cell r="F11033">
            <v>0</v>
          </cell>
          <cell r="G11033">
            <v>275</v>
          </cell>
          <cell r="H11033">
            <v>0</v>
          </cell>
        </row>
        <row r="11034">
          <cell r="D11034" t="str">
            <v>Furnitures</v>
          </cell>
          <cell r="F11034">
            <v>0</v>
          </cell>
          <cell r="G11034">
            <v>275</v>
          </cell>
          <cell r="H11034">
            <v>0</v>
          </cell>
        </row>
        <row r="11035">
          <cell r="D11035" t="str">
            <v>Furnitures</v>
          </cell>
          <cell r="F11035">
            <v>0</v>
          </cell>
          <cell r="G11035">
            <v>275</v>
          </cell>
          <cell r="H11035">
            <v>0</v>
          </cell>
        </row>
        <row r="11036">
          <cell r="D11036" t="str">
            <v>Furnitures</v>
          </cell>
          <cell r="F11036">
            <v>0</v>
          </cell>
          <cell r="G11036">
            <v>275</v>
          </cell>
          <cell r="H11036">
            <v>0</v>
          </cell>
        </row>
        <row r="11037">
          <cell r="D11037" t="str">
            <v>Furnitures</v>
          </cell>
          <cell r="F11037">
            <v>0</v>
          </cell>
          <cell r="G11037">
            <v>275</v>
          </cell>
          <cell r="H11037">
            <v>0</v>
          </cell>
        </row>
        <row r="11038">
          <cell r="D11038" t="str">
            <v>Furnitures</v>
          </cell>
          <cell r="F11038">
            <v>0</v>
          </cell>
          <cell r="G11038">
            <v>275</v>
          </cell>
          <cell r="H11038">
            <v>0</v>
          </cell>
        </row>
        <row r="11039">
          <cell r="D11039" t="str">
            <v>Furnitures</v>
          </cell>
          <cell r="F11039">
            <v>0</v>
          </cell>
          <cell r="G11039">
            <v>275</v>
          </cell>
          <cell r="H11039">
            <v>0</v>
          </cell>
        </row>
        <row r="11040">
          <cell r="D11040" t="str">
            <v>Furnitures</v>
          </cell>
          <cell r="F11040">
            <v>0</v>
          </cell>
          <cell r="G11040">
            <v>275</v>
          </cell>
          <cell r="H11040">
            <v>0</v>
          </cell>
        </row>
        <row r="11041">
          <cell r="D11041" t="str">
            <v>Furnitures</v>
          </cell>
          <cell r="F11041">
            <v>0</v>
          </cell>
          <cell r="G11041">
            <v>275</v>
          </cell>
          <cell r="H11041">
            <v>0</v>
          </cell>
        </row>
        <row r="11042">
          <cell r="D11042" t="str">
            <v>Furnitures</v>
          </cell>
          <cell r="F11042">
            <v>0</v>
          </cell>
          <cell r="G11042">
            <v>275</v>
          </cell>
          <cell r="H11042">
            <v>0</v>
          </cell>
        </row>
        <row r="11043">
          <cell r="D11043" t="str">
            <v>Furnitures</v>
          </cell>
          <cell r="F11043">
            <v>0</v>
          </cell>
          <cell r="G11043">
            <v>275</v>
          </cell>
          <cell r="H11043">
            <v>0</v>
          </cell>
        </row>
        <row r="11044">
          <cell r="D11044" t="str">
            <v>Furnitures</v>
          </cell>
          <cell r="F11044">
            <v>0</v>
          </cell>
          <cell r="G11044">
            <v>275</v>
          </cell>
          <cell r="H11044">
            <v>0</v>
          </cell>
        </row>
        <row r="11045">
          <cell r="D11045" t="str">
            <v>Furnitures</v>
          </cell>
          <cell r="F11045">
            <v>0</v>
          </cell>
          <cell r="G11045">
            <v>275</v>
          </cell>
          <cell r="H11045">
            <v>0</v>
          </cell>
        </row>
        <row r="11046">
          <cell r="D11046" t="str">
            <v>Furnitures</v>
          </cell>
          <cell r="F11046">
            <v>0</v>
          </cell>
          <cell r="G11046">
            <v>275</v>
          </cell>
          <cell r="H11046">
            <v>0</v>
          </cell>
        </row>
        <row r="11047">
          <cell r="D11047" t="str">
            <v>Furnitures</v>
          </cell>
          <cell r="F11047">
            <v>0</v>
          </cell>
          <cell r="G11047">
            <v>275</v>
          </cell>
          <cell r="H11047">
            <v>0</v>
          </cell>
        </row>
        <row r="11048">
          <cell r="D11048" t="str">
            <v>Furnitures</v>
          </cell>
          <cell r="F11048">
            <v>6669.5624522868857</v>
          </cell>
          <cell r="G11048">
            <v>275</v>
          </cell>
          <cell r="H11048">
            <v>6346.3929301635981</v>
          </cell>
        </row>
        <row r="11049">
          <cell r="D11049" t="str">
            <v>Furnitures</v>
          </cell>
          <cell r="F11049">
            <v>0</v>
          </cell>
          <cell r="G11049">
            <v>275</v>
          </cell>
          <cell r="H11049">
            <v>0</v>
          </cell>
        </row>
        <row r="11050">
          <cell r="D11050" t="str">
            <v>Furnitures</v>
          </cell>
          <cell r="F11050">
            <v>0</v>
          </cell>
          <cell r="G11050">
            <v>275</v>
          </cell>
          <cell r="H11050">
            <v>0</v>
          </cell>
        </row>
        <row r="11051">
          <cell r="D11051" t="str">
            <v>Furnitures</v>
          </cell>
          <cell r="F11051">
            <v>0</v>
          </cell>
          <cell r="G11051">
            <v>275</v>
          </cell>
          <cell r="H11051">
            <v>0</v>
          </cell>
        </row>
        <row r="11052">
          <cell r="D11052" t="str">
            <v>Furnitures</v>
          </cell>
          <cell r="F11052">
            <v>0</v>
          </cell>
          <cell r="G11052">
            <v>275</v>
          </cell>
          <cell r="H11052">
            <v>0</v>
          </cell>
        </row>
        <row r="11053">
          <cell r="D11053" t="str">
            <v>Furnitures</v>
          </cell>
          <cell r="F11053">
            <v>0</v>
          </cell>
          <cell r="G11053">
            <v>275</v>
          </cell>
          <cell r="H11053">
            <v>0</v>
          </cell>
        </row>
        <row r="11054">
          <cell r="D11054" t="str">
            <v>Furnitures</v>
          </cell>
          <cell r="F11054">
            <v>0</v>
          </cell>
          <cell r="G11054">
            <v>275</v>
          </cell>
          <cell r="H11054">
            <v>0</v>
          </cell>
        </row>
        <row r="11055">
          <cell r="D11055" t="str">
            <v>Furnitures</v>
          </cell>
          <cell r="F11055">
            <v>0</v>
          </cell>
          <cell r="G11055">
            <v>275</v>
          </cell>
          <cell r="H11055">
            <v>0</v>
          </cell>
        </row>
        <row r="11056">
          <cell r="D11056" t="str">
            <v>Furnitures</v>
          </cell>
          <cell r="F11056">
            <v>0</v>
          </cell>
          <cell r="G11056">
            <v>275</v>
          </cell>
          <cell r="H11056">
            <v>0</v>
          </cell>
        </row>
        <row r="11057">
          <cell r="D11057" t="str">
            <v>Furnitures</v>
          </cell>
          <cell r="F11057">
            <v>0</v>
          </cell>
          <cell r="G11057">
            <v>275</v>
          </cell>
          <cell r="H11057">
            <v>0</v>
          </cell>
        </row>
        <row r="11058">
          <cell r="D11058" t="str">
            <v>Furnitures</v>
          </cell>
          <cell r="F11058">
            <v>0</v>
          </cell>
          <cell r="G11058">
            <v>275</v>
          </cell>
          <cell r="H11058">
            <v>0</v>
          </cell>
        </row>
        <row r="11059">
          <cell r="D11059" t="str">
            <v>Furnitures</v>
          </cell>
          <cell r="F11059">
            <v>0</v>
          </cell>
          <cell r="G11059">
            <v>275</v>
          </cell>
          <cell r="H11059">
            <v>0</v>
          </cell>
        </row>
        <row r="11060">
          <cell r="D11060" t="str">
            <v>Furnitures</v>
          </cell>
          <cell r="F11060">
            <v>0</v>
          </cell>
          <cell r="G11060">
            <v>275</v>
          </cell>
          <cell r="H11060">
            <v>0</v>
          </cell>
        </row>
        <row r="11061">
          <cell r="D11061" t="str">
            <v>Furnitures</v>
          </cell>
          <cell r="F11061">
            <v>0</v>
          </cell>
          <cell r="G11061">
            <v>275</v>
          </cell>
          <cell r="H11061">
            <v>0</v>
          </cell>
        </row>
        <row r="11062">
          <cell r="D11062" t="str">
            <v>Furnitures</v>
          </cell>
          <cell r="F11062">
            <v>0</v>
          </cell>
          <cell r="G11062">
            <v>275</v>
          </cell>
          <cell r="H11062">
            <v>0</v>
          </cell>
        </row>
        <row r="11063">
          <cell r="D11063" t="str">
            <v>Furnitures</v>
          </cell>
          <cell r="F11063">
            <v>0</v>
          </cell>
          <cell r="G11063">
            <v>275</v>
          </cell>
          <cell r="H11063">
            <v>0</v>
          </cell>
        </row>
        <row r="11064">
          <cell r="D11064" t="str">
            <v>Furnitures</v>
          </cell>
          <cell r="F11064">
            <v>0</v>
          </cell>
          <cell r="G11064">
            <v>275</v>
          </cell>
          <cell r="H11064">
            <v>0</v>
          </cell>
        </row>
        <row r="11065">
          <cell r="D11065" t="str">
            <v>Furnitures</v>
          </cell>
          <cell r="F11065">
            <v>0</v>
          </cell>
          <cell r="G11065">
            <v>275</v>
          </cell>
          <cell r="H11065">
            <v>0</v>
          </cell>
        </row>
        <row r="11066">
          <cell r="D11066" t="str">
            <v>Furnitures</v>
          </cell>
          <cell r="F11066">
            <v>0</v>
          </cell>
          <cell r="G11066">
            <v>275</v>
          </cell>
          <cell r="H11066">
            <v>0</v>
          </cell>
        </row>
        <row r="11067">
          <cell r="D11067" t="str">
            <v>Furnitures</v>
          </cell>
          <cell r="F11067">
            <v>0</v>
          </cell>
          <cell r="G11067">
            <v>275</v>
          </cell>
          <cell r="H11067">
            <v>0</v>
          </cell>
        </row>
        <row r="11068">
          <cell r="D11068" t="str">
            <v>Furnitures</v>
          </cell>
          <cell r="F11068">
            <v>0</v>
          </cell>
          <cell r="G11068">
            <v>275</v>
          </cell>
          <cell r="H11068">
            <v>0</v>
          </cell>
        </row>
        <row r="11069">
          <cell r="D11069" t="str">
            <v>Furnitures</v>
          </cell>
          <cell r="F11069">
            <v>0</v>
          </cell>
          <cell r="G11069">
            <v>275</v>
          </cell>
          <cell r="H11069">
            <v>0</v>
          </cell>
        </row>
        <row r="11070">
          <cell r="D11070" t="str">
            <v>Furnitures</v>
          </cell>
          <cell r="F11070">
            <v>0</v>
          </cell>
          <cell r="G11070">
            <v>275</v>
          </cell>
          <cell r="H11070">
            <v>0</v>
          </cell>
        </row>
        <row r="11071">
          <cell r="D11071" t="str">
            <v>Furnitures</v>
          </cell>
          <cell r="F11071">
            <v>0</v>
          </cell>
          <cell r="G11071">
            <v>275</v>
          </cell>
          <cell r="H11071">
            <v>0</v>
          </cell>
        </row>
        <row r="11072">
          <cell r="D11072" t="str">
            <v>Furnitures</v>
          </cell>
          <cell r="F11072">
            <v>0</v>
          </cell>
          <cell r="G11072">
            <v>275</v>
          </cell>
          <cell r="H11072">
            <v>0</v>
          </cell>
        </row>
        <row r="11073">
          <cell r="D11073" t="str">
            <v>Furnitures</v>
          </cell>
          <cell r="F11073">
            <v>0</v>
          </cell>
          <cell r="G11073">
            <v>275</v>
          </cell>
          <cell r="H11073">
            <v>0</v>
          </cell>
        </row>
        <row r="11074">
          <cell r="D11074" t="str">
            <v>Furnitures</v>
          </cell>
          <cell r="F11074">
            <v>0</v>
          </cell>
          <cell r="G11074">
            <v>275</v>
          </cell>
          <cell r="H11074">
            <v>0</v>
          </cell>
        </row>
        <row r="11075">
          <cell r="D11075" t="str">
            <v>Furnitures</v>
          </cell>
          <cell r="F11075">
            <v>0</v>
          </cell>
          <cell r="G11075">
            <v>275</v>
          </cell>
          <cell r="H11075">
            <v>0</v>
          </cell>
        </row>
        <row r="11076">
          <cell r="D11076" t="str">
            <v>Furnitures</v>
          </cell>
          <cell r="F11076">
            <v>0</v>
          </cell>
          <cell r="G11076">
            <v>275</v>
          </cell>
          <cell r="H11076">
            <v>0</v>
          </cell>
        </row>
        <row r="11077">
          <cell r="D11077" t="str">
            <v>Furnitures</v>
          </cell>
          <cell r="F11077">
            <v>0</v>
          </cell>
          <cell r="G11077">
            <v>275</v>
          </cell>
          <cell r="H11077">
            <v>0</v>
          </cell>
        </row>
        <row r="11078">
          <cell r="D11078" t="str">
            <v>Furnitures</v>
          </cell>
          <cell r="F11078">
            <v>0</v>
          </cell>
          <cell r="G11078">
            <v>275</v>
          </cell>
          <cell r="H11078">
            <v>0</v>
          </cell>
        </row>
        <row r="11079">
          <cell r="D11079" t="str">
            <v>Furnitures</v>
          </cell>
          <cell r="F11079">
            <v>0</v>
          </cell>
          <cell r="G11079">
            <v>275</v>
          </cell>
          <cell r="H11079">
            <v>0</v>
          </cell>
        </row>
        <row r="11080">
          <cell r="D11080" t="str">
            <v>Furnitures</v>
          </cell>
          <cell r="F11080">
            <v>0</v>
          </cell>
          <cell r="G11080">
            <v>275</v>
          </cell>
          <cell r="H11080">
            <v>0</v>
          </cell>
        </row>
        <row r="11081">
          <cell r="D11081" t="str">
            <v>Furnitures</v>
          </cell>
          <cell r="F11081">
            <v>0</v>
          </cell>
          <cell r="G11081">
            <v>275</v>
          </cell>
          <cell r="H11081">
            <v>0</v>
          </cell>
        </row>
        <row r="11082">
          <cell r="D11082" t="str">
            <v>Furnitures</v>
          </cell>
          <cell r="F11082">
            <v>0</v>
          </cell>
          <cell r="G11082">
            <v>275</v>
          </cell>
          <cell r="H11082">
            <v>0</v>
          </cell>
        </row>
        <row r="11083">
          <cell r="D11083" t="str">
            <v>Furnitures</v>
          </cell>
          <cell r="F11083">
            <v>0</v>
          </cell>
          <cell r="G11083">
            <v>275</v>
          </cell>
          <cell r="H11083">
            <v>0</v>
          </cell>
        </row>
        <row r="11084">
          <cell r="D11084" t="str">
            <v>Furnitures</v>
          </cell>
          <cell r="F11084">
            <v>0</v>
          </cell>
          <cell r="G11084">
            <v>275</v>
          </cell>
          <cell r="H11084">
            <v>0</v>
          </cell>
        </row>
        <row r="11085">
          <cell r="D11085" t="str">
            <v>Furnitures</v>
          </cell>
          <cell r="F11085">
            <v>0</v>
          </cell>
          <cell r="G11085">
            <v>275</v>
          </cell>
          <cell r="H11085">
            <v>0</v>
          </cell>
        </row>
        <row r="11086">
          <cell r="D11086" t="str">
            <v>Furnitures</v>
          </cell>
          <cell r="F11086">
            <v>0</v>
          </cell>
          <cell r="G11086">
            <v>275</v>
          </cell>
          <cell r="H11086">
            <v>0</v>
          </cell>
        </row>
        <row r="11087">
          <cell r="D11087" t="str">
            <v>Furnitures</v>
          </cell>
          <cell r="F11087">
            <v>5038.6805579918037</v>
          </cell>
          <cell r="G11087">
            <v>275</v>
          </cell>
          <cell r="H11087">
            <v>4794.5344090192011</v>
          </cell>
        </row>
        <row r="11088">
          <cell r="D11088" t="str">
            <v>Furnitures</v>
          </cell>
          <cell r="F11088">
            <v>5038.6805579918037</v>
          </cell>
          <cell r="G11088">
            <v>275</v>
          </cell>
          <cell r="H11088">
            <v>4794.5344090192011</v>
          </cell>
        </row>
        <row r="11089">
          <cell r="D11089" t="str">
            <v>Furnitures</v>
          </cell>
          <cell r="F11089">
            <v>18557.757988114754</v>
          </cell>
          <cell r="G11089">
            <v>275</v>
          </cell>
          <cell r="H11089">
            <v>17658.553306607904</v>
          </cell>
        </row>
        <row r="11090">
          <cell r="D11090" t="str">
            <v>Furnitures</v>
          </cell>
          <cell r="F11090">
            <v>7014.8315352459013</v>
          </cell>
          <cell r="G11090">
            <v>275</v>
          </cell>
          <cell r="H11090">
            <v>6674.932213328093</v>
          </cell>
        </row>
        <row r="11091">
          <cell r="D11091" t="str">
            <v>Furnitures</v>
          </cell>
          <cell r="F11091">
            <v>0</v>
          </cell>
          <cell r="G11091">
            <v>275</v>
          </cell>
          <cell r="H11091">
            <v>0</v>
          </cell>
        </row>
        <row r="11092">
          <cell r="D11092" t="str">
            <v>Furnitures</v>
          </cell>
          <cell r="F11092">
            <v>0</v>
          </cell>
          <cell r="G11092">
            <v>275</v>
          </cell>
          <cell r="H11092">
            <v>0</v>
          </cell>
        </row>
        <row r="11093">
          <cell r="D11093" t="str">
            <v>Furnitures</v>
          </cell>
          <cell r="F11093">
            <v>0</v>
          </cell>
          <cell r="G11093">
            <v>275</v>
          </cell>
          <cell r="H11093">
            <v>0</v>
          </cell>
        </row>
        <row r="11094">
          <cell r="D11094" t="str">
            <v>Furnitures</v>
          </cell>
          <cell r="F11094">
            <v>0</v>
          </cell>
          <cell r="G11094">
            <v>275</v>
          </cell>
          <cell r="H11094">
            <v>0</v>
          </cell>
        </row>
        <row r="11095">
          <cell r="D11095" t="str">
            <v>Furnitures</v>
          </cell>
          <cell r="F11095">
            <v>0</v>
          </cell>
          <cell r="G11095">
            <v>275</v>
          </cell>
          <cell r="H11095">
            <v>0</v>
          </cell>
        </row>
        <row r="11096">
          <cell r="D11096" t="str">
            <v>Furnitures</v>
          </cell>
          <cell r="F11096">
            <v>0</v>
          </cell>
          <cell r="G11096">
            <v>275</v>
          </cell>
          <cell r="H11096">
            <v>0</v>
          </cell>
        </row>
        <row r="11097">
          <cell r="D11097" t="str">
            <v>Furnitures</v>
          </cell>
          <cell r="F11097">
            <v>0</v>
          </cell>
          <cell r="G11097">
            <v>275</v>
          </cell>
          <cell r="H11097">
            <v>0</v>
          </cell>
        </row>
        <row r="11098">
          <cell r="D11098" t="str">
            <v>Furnitures</v>
          </cell>
          <cell r="F11098">
            <v>0</v>
          </cell>
          <cell r="G11098">
            <v>275</v>
          </cell>
          <cell r="H11098">
            <v>0</v>
          </cell>
        </row>
        <row r="11099">
          <cell r="D11099" t="str">
            <v>Furnitures</v>
          </cell>
          <cell r="F11099">
            <v>0</v>
          </cell>
          <cell r="G11099">
            <v>275</v>
          </cell>
          <cell r="H11099">
            <v>0</v>
          </cell>
        </row>
        <row r="11100">
          <cell r="D11100" t="str">
            <v>Furnitures</v>
          </cell>
          <cell r="F11100">
            <v>0</v>
          </cell>
          <cell r="G11100">
            <v>275</v>
          </cell>
          <cell r="H11100">
            <v>0</v>
          </cell>
        </row>
        <row r="11101">
          <cell r="D11101" t="str">
            <v>Furnitures</v>
          </cell>
          <cell r="F11101">
            <v>0</v>
          </cell>
          <cell r="G11101">
            <v>275</v>
          </cell>
          <cell r="H11101">
            <v>0</v>
          </cell>
        </row>
        <row r="11102">
          <cell r="D11102" t="str">
            <v>Furnitures</v>
          </cell>
          <cell r="F11102">
            <v>0</v>
          </cell>
          <cell r="G11102">
            <v>275</v>
          </cell>
          <cell r="H11102">
            <v>0</v>
          </cell>
        </row>
        <row r="11103">
          <cell r="D11103" t="str">
            <v>Furnitures</v>
          </cell>
          <cell r="F11103">
            <v>0</v>
          </cell>
          <cell r="G11103">
            <v>275</v>
          </cell>
          <cell r="H11103">
            <v>0</v>
          </cell>
        </row>
        <row r="11104">
          <cell r="D11104" t="str">
            <v>Furnitures</v>
          </cell>
          <cell r="F11104">
            <v>0</v>
          </cell>
          <cell r="G11104">
            <v>275</v>
          </cell>
          <cell r="H11104">
            <v>0</v>
          </cell>
        </row>
        <row r="11105">
          <cell r="D11105" t="str">
            <v>Furnitures</v>
          </cell>
          <cell r="F11105">
            <v>0</v>
          </cell>
          <cell r="G11105">
            <v>275</v>
          </cell>
          <cell r="H11105">
            <v>0</v>
          </cell>
        </row>
        <row r="11106">
          <cell r="D11106" t="str">
            <v>Furnitures</v>
          </cell>
          <cell r="F11106">
            <v>24032.220314344264</v>
          </cell>
          <cell r="G11106">
            <v>275</v>
          </cell>
          <cell r="H11106">
            <v>22867.753947905909</v>
          </cell>
        </row>
        <row r="11107">
          <cell r="D11107" t="str">
            <v>Furnitures</v>
          </cell>
          <cell r="F11107">
            <v>0</v>
          </cell>
          <cell r="G11107">
            <v>275</v>
          </cell>
          <cell r="H11107">
            <v>0</v>
          </cell>
        </row>
        <row r="11108">
          <cell r="D11108" t="str">
            <v>Furnitures</v>
          </cell>
          <cell r="F11108">
            <v>0</v>
          </cell>
          <cell r="G11108">
            <v>275</v>
          </cell>
          <cell r="H11108">
            <v>0</v>
          </cell>
        </row>
        <row r="11109">
          <cell r="D11109" t="str">
            <v>Furnitures</v>
          </cell>
          <cell r="F11109">
            <v>0</v>
          </cell>
          <cell r="G11109">
            <v>275</v>
          </cell>
          <cell r="H11109">
            <v>0</v>
          </cell>
        </row>
        <row r="11110">
          <cell r="D11110" t="str">
            <v>Furnitures</v>
          </cell>
          <cell r="F11110">
            <v>0</v>
          </cell>
          <cell r="G11110">
            <v>275</v>
          </cell>
          <cell r="H11110">
            <v>0</v>
          </cell>
        </row>
        <row r="11111">
          <cell r="D11111" t="str">
            <v>Furnitures</v>
          </cell>
          <cell r="F11111">
            <v>0</v>
          </cell>
          <cell r="G11111">
            <v>275</v>
          </cell>
          <cell r="H11111">
            <v>0</v>
          </cell>
        </row>
        <row r="11112">
          <cell r="D11112" t="str">
            <v>Furnitures</v>
          </cell>
          <cell r="F11112">
            <v>0</v>
          </cell>
          <cell r="G11112">
            <v>275</v>
          </cell>
          <cell r="H11112">
            <v>0</v>
          </cell>
        </row>
        <row r="11113">
          <cell r="D11113" t="str">
            <v>Furnitures</v>
          </cell>
          <cell r="F11113">
            <v>0</v>
          </cell>
          <cell r="G11113">
            <v>275</v>
          </cell>
          <cell r="H11113">
            <v>0</v>
          </cell>
        </row>
        <row r="11114">
          <cell r="D11114" t="str">
            <v>Furnitures</v>
          </cell>
          <cell r="F11114">
            <v>0</v>
          </cell>
          <cell r="G11114">
            <v>275</v>
          </cell>
          <cell r="H11114">
            <v>0</v>
          </cell>
        </row>
        <row r="11115">
          <cell r="D11115" t="str">
            <v>Furnitures</v>
          </cell>
          <cell r="F11115">
            <v>0</v>
          </cell>
          <cell r="G11115">
            <v>275</v>
          </cell>
          <cell r="H11115">
            <v>0</v>
          </cell>
        </row>
        <row r="11116">
          <cell r="D11116" t="str">
            <v>Furnitures</v>
          </cell>
          <cell r="F11116">
            <v>0</v>
          </cell>
          <cell r="G11116">
            <v>275</v>
          </cell>
          <cell r="H11116">
            <v>0</v>
          </cell>
        </row>
        <row r="11117">
          <cell r="D11117" t="str">
            <v>Furnitures</v>
          </cell>
          <cell r="F11117">
            <v>0</v>
          </cell>
          <cell r="G11117">
            <v>275</v>
          </cell>
          <cell r="H11117">
            <v>0</v>
          </cell>
        </row>
        <row r="11118">
          <cell r="D11118" t="str">
            <v>Furnitures</v>
          </cell>
          <cell r="F11118">
            <v>0</v>
          </cell>
          <cell r="G11118">
            <v>275</v>
          </cell>
          <cell r="H11118">
            <v>0</v>
          </cell>
        </row>
        <row r="11119">
          <cell r="D11119" t="str">
            <v>Furnitures</v>
          </cell>
          <cell r="F11119">
            <v>0</v>
          </cell>
          <cell r="G11119">
            <v>275</v>
          </cell>
          <cell r="H11119">
            <v>0</v>
          </cell>
        </row>
        <row r="11120">
          <cell r="D11120" t="str">
            <v>Furnitures</v>
          </cell>
          <cell r="F11120">
            <v>0</v>
          </cell>
          <cell r="G11120">
            <v>275</v>
          </cell>
          <cell r="H11120">
            <v>0</v>
          </cell>
        </row>
        <row r="11121">
          <cell r="D11121" t="str">
            <v>Furnitures</v>
          </cell>
          <cell r="F11121">
            <v>0</v>
          </cell>
          <cell r="G11121">
            <v>275</v>
          </cell>
          <cell r="H11121">
            <v>0</v>
          </cell>
        </row>
        <row r="11122">
          <cell r="D11122" t="str">
            <v>Furnitures</v>
          </cell>
          <cell r="F11122">
            <v>0</v>
          </cell>
          <cell r="G11122">
            <v>275</v>
          </cell>
          <cell r="H11122">
            <v>0</v>
          </cell>
        </row>
        <row r="11123">
          <cell r="D11123" t="str">
            <v>Furnitures</v>
          </cell>
          <cell r="F11123">
            <v>0</v>
          </cell>
          <cell r="G11123">
            <v>275</v>
          </cell>
          <cell r="H11123">
            <v>0</v>
          </cell>
        </row>
        <row r="11124">
          <cell r="D11124" t="str">
            <v>Furnitures</v>
          </cell>
          <cell r="F11124">
            <v>0</v>
          </cell>
          <cell r="G11124">
            <v>275</v>
          </cell>
          <cell r="H11124">
            <v>0</v>
          </cell>
        </row>
        <row r="11125">
          <cell r="D11125" t="str">
            <v>Furnitures</v>
          </cell>
          <cell r="F11125">
            <v>0</v>
          </cell>
          <cell r="G11125">
            <v>275</v>
          </cell>
          <cell r="H11125">
            <v>0</v>
          </cell>
        </row>
        <row r="11126">
          <cell r="D11126" t="str">
            <v>Furnitures</v>
          </cell>
          <cell r="F11126">
            <v>0</v>
          </cell>
          <cell r="G11126">
            <v>275</v>
          </cell>
          <cell r="H11126">
            <v>0</v>
          </cell>
        </row>
        <row r="11127">
          <cell r="D11127" t="str">
            <v>Furnitures</v>
          </cell>
          <cell r="F11127">
            <v>0</v>
          </cell>
          <cell r="G11127">
            <v>275</v>
          </cell>
          <cell r="H11127">
            <v>0</v>
          </cell>
        </row>
        <row r="11128">
          <cell r="D11128" t="str">
            <v>Furnitures</v>
          </cell>
          <cell r="F11128">
            <v>0</v>
          </cell>
          <cell r="G11128">
            <v>275</v>
          </cell>
          <cell r="H11128">
            <v>0</v>
          </cell>
        </row>
        <row r="11129">
          <cell r="D11129" t="str">
            <v>Furnitures</v>
          </cell>
          <cell r="F11129">
            <v>0</v>
          </cell>
          <cell r="G11129">
            <v>275</v>
          </cell>
          <cell r="H11129">
            <v>0</v>
          </cell>
        </row>
        <row r="11130">
          <cell r="D11130" t="str">
            <v>Furnitures</v>
          </cell>
          <cell r="F11130">
            <v>0</v>
          </cell>
          <cell r="G11130">
            <v>275</v>
          </cell>
          <cell r="H11130">
            <v>0</v>
          </cell>
        </row>
        <row r="11131">
          <cell r="D11131" t="str">
            <v>Furnitures</v>
          </cell>
          <cell r="F11131">
            <v>0</v>
          </cell>
          <cell r="G11131">
            <v>275</v>
          </cell>
          <cell r="H11131">
            <v>0</v>
          </cell>
        </row>
        <row r="11132">
          <cell r="D11132" t="str">
            <v>Furnitures</v>
          </cell>
          <cell r="F11132">
            <v>0</v>
          </cell>
          <cell r="G11132">
            <v>275</v>
          </cell>
          <cell r="H11132">
            <v>0</v>
          </cell>
        </row>
        <row r="11133">
          <cell r="D11133" t="str">
            <v>Furnitures</v>
          </cell>
          <cell r="F11133">
            <v>0</v>
          </cell>
          <cell r="G11133">
            <v>275</v>
          </cell>
          <cell r="H11133">
            <v>0</v>
          </cell>
        </row>
        <row r="11134">
          <cell r="D11134" t="str">
            <v>Furnitures</v>
          </cell>
          <cell r="F11134">
            <v>0</v>
          </cell>
          <cell r="G11134">
            <v>275</v>
          </cell>
          <cell r="H11134">
            <v>0</v>
          </cell>
        </row>
        <row r="11135">
          <cell r="D11135" t="str">
            <v>Furnitures</v>
          </cell>
          <cell r="F11135">
            <v>0</v>
          </cell>
          <cell r="G11135">
            <v>275</v>
          </cell>
          <cell r="H11135">
            <v>0</v>
          </cell>
        </row>
        <row r="11136">
          <cell r="D11136" t="str">
            <v>Furnitures</v>
          </cell>
          <cell r="F11136">
            <v>0</v>
          </cell>
          <cell r="G11136">
            <v>275</v>
          </cell>
          <cell r="H11136">
            <v>0</v>
          </cell>
        </row>
        <row r="11137">
          <cell r="D11137" t="str">
            <v>Furnitures</v>
          </cell>
          <cell r="F11137">
            <v>0</v>
          </cell>
          <cell r="G11137">
            <v>275</v>
          </cell>
          <cell r="H11137">
            <v>0</v>
          </cell>
        </row>
        <row r="11138">
          <cell r="D11138" t="str">
            <v>Furnitures</v>
          </cell>
          <cell r="F11138">
            <v>0</v>
          </cell>
          <cell r="G11138">
            <v>275</v>
          </cell>
          <cell r="H11138">
            <v>0</v>
          </cell>
        </row>
        <row r="11139">
          <cell r="D11139" t="str">
            <v>Furnitures</v>
          </cell>
          <cell r="F11139">
            <v>0</v>
          </cell>
          <cell r="G11139">
            <v>275</v>
          </cell>
          <cell r="H11139">
            <v>0</v>
          </cell>
        </row>
        <row r="11140">
          <cell r="D11140" t="str">
            <v>Furnitures</v>
          </cell>
          <cell r="F11140">
            <v>0</v>
          </cell>
          <cell r="G11140">
            <v>275</v>
          </cell>
          <cell r="H11140">
            <v>0</v>
          </cell>
        </row>
        <row r="11141">
          <cell r="D11141" t="str">
            <v>Furnitures</v>
          </cell>
          <cell r="F11141">
            <v>0</v>
          </cell>
          <cell r="G11141">
            <v>275</v>
          </cell>
          <cell r="H11141">
            <v>0</v>
          </cell>
        </row>
        <row r="11142">
          <cell r="D11142" t="str">
            <v>Furnitures</v>
          </cell>
          <cell r="F11142">
            <v>0</v>
          </cell>
          <cell r="G11142">
            <v>275</v>
          </cell>
          <cell r="H11142">
            <v>0</v>
          </cell>
        </row>
        <row r="11143">
          <cell r="D11143" t="str">
            <v>Furnitures</v>
          </cell>
          <cell r="F11143">
            <v>0</v>
          </cell>
          <cell r="G11143">
            <v>275</v>
          </cell>
          <cell r="H11143">
            <v>0</v>
          </cell>
        </row>
        <row r="11144">
          <cell r="D11144" t="str">
            <v>Furnitures</v>
          </cell>
          <cell r="F11144">
            <v>0</v>
          </cell>
          <cell r="G11144">
            <v>275</v>
          </cell>
          <cell r="H11144">
            <v>0</v>
          </cell>
        </row>
        <row r="11145">
          <cell r="D11145" t="str">
            <v>Furnitures</v>
          </cell>
          <cell r="F11145">
            <v>0</v>
          </cell>
          <cell r="G11145">
            <v>275</v>
          </cell>
          <cell r="H11145">
            <v>0</v>
          </cell>
        </row>
        <row r="11146">
          <cell r="D11146" t="str">
            <v>Furnitures</v>
          </cell>
          <cell r="F11146">
            <v>0</v>
          </cell>
          <cell r="G11146">
            <v>275</v>
          </cell>
          <cell r="H11146">
            <v>0</v>
          </cell>
        </row>
        <row r="11147">
          <cell r="D11147" t="str">
            <v>Furnitures</v>
          </cell>
          <cell r="F11147">
            <v>0</v>
          </cell>
          <cell r="G11147">
            <v>275</v>
          </cell>
          <cell r="H11147">
            <v>0</v>
          </cell>
        </row>
        <row r="11148">
          <cell r="D11148" t="str">
            <v>Furnitures</v>
          </cell>
          <cell r="F11148">
            <v>0</v>
          </cell>
          <cell r="G11148">
            <v>275</v>
          </cell>
          <cell r="H11148">
            <v>0</v>
          </cell>
        </row>
        <row r="11149">
          <cell r="D11149" t="str">
            <v>Furnitures</v>
          </cell>
          <cell r="F11149">
            <v>0</v>
          </cell>
          <cell r="G11149">
            <v>275</v>
          </cell>
          <cell r="H11149">
            <v>0</v>
          </cell>
        </row>
        <row r="11150">
          <cell r="D11150" t="str">
            <v>Furnitures</v>
          </cell>
          <cell r="F11150">
            <v>0</v>
          </cell>
          <cell r="G11150">
            <v>275</v>
          </cell>
          <cell r="H11150">
            <v>0</v>
          </cell>
        </row>
        <row r="11151">
          <cell r="D11151" t="str">
            <v>Furnitures</v>
          </cell>
          <cell r="F11151">
            <v>0</v>
          </cell>
          <cell r="G11151">
            <v>275</v>
          </cell>
          <cell r="H11151">
            <v>0</v>
          </cell>
        </row>
        <row r="11152">
          <cell r="D11152" t="str">
            <v>Furnitures</v>
          </cell>
          <cell r="F11152">
            <v>0</v>
          </cell>
          <cell r="G11152">
            <v>275</v>
          </cell>
          <cell r="H11152">
            <v>0</v>
          </cell>
        </row>
        <row r="11153">
          <cell r="D11153" t="str">
            <v>Furnitures</v>
          </cell>
          <cell r="F11153">
            <v>0</v>
          </cell>
          <cell r="G11153">
            <v>275</v>
          </cell>
          <cell r="H11153">
            <v>0</v>
          </cell>
        </row>
        <row r="11154">
          <cell r="D11154" t="str">
            <v>Furnitures</v>
          </cell>
          <cell r="F11154">
            <v>0</v>
          </cell>
          <cell r="G11154">
            <v>275</v>
          </cell>
          <cell r="H11154">
            <v>0</v>
          </cell>
        </row>
        <row r="11155">
          <cell r="D11155" t="str">
            <v>Furnitures</v>
          </cell>
          <cell r="F11155">
            <v>0</v>
          </cell>
          <cell r="G11155">
            <v>275</v>
          </cell>
          <cell r="H11155">
            <v>0</v>
          </cell>
        </row>
        <row r="11156">
          <cell r="D11156" t="str">
            <v>Furnitures</v>
          </cell>
          <cell r="F11156">
            <v>0</v>
          </cell>
          <cell r="G11156">
            <v>275</v>
          </cell>
          <cell r="H11156">
            <v>0</v>
          </cell>
        </row>
        <row r="11157">
          <cell r="D11157" t="str">
            <v>Furnitures</v>
          </cell>
          <cell r="F11157">
            <v>0</v>
          </cell>
          <cell r="G11157">
            <v>275</v>
          </cell>
          <cell r="H11157">
            <v>0</v>
          </cell>
        </row>
        <row r="11158">
          <cell r="D11158" t="str">
            <v>Furnitures</v>
          </cell>
          <cell r="F11158">
            <v>0</v>
          </cell>
          <cell r="G11158">
            <v>275</v>
          </cell>
          <cell r="H11158">
            <v>0</v>
          </cell>
        </row>
        <row r="11159">
          <cell r="D11159" t="str">
            <v>Furnitures</v>
          </cell>
          <cell r="F11159">
            <v>0</v>
          </cell>
          <cell r="G11159">
            <v>275</v>
          </cell>
          <cell r="H11159">
            <v>0</v>
          </cell>
        </row>
        <row r="11160">
          <cell r="D11160" t="str">
            <v>Furnitures</v>
          </cell>
          <cell r="F11160">
            <v>0</v>
          </cell>
          <cell r="G11160">
            <v>275</v>
          </cell>
          <cell r="H11160">
            <v>0</v>
          </cell>
        </row>
        <row r="11161">
          <cell r="D11161" t="str">
            <v>Furnitures</v>
          </cell>
          <cell r="F11161">
            <v>0</v>
          </cell>
          <cell r="G11161">
            <v>275</v>
          </cell>
          <cell r="H11161">
            <v>0</v>
          </cell>
        </row>
        <row r="11162">
          <cell r="D11162" t="str">
            <v>Furnitures</v>
          </cell>
          <cell r="F11162">
            <v>0</v>
          </cell>
          <cell r="G11162">
            <v>275</v>
          </cell>
          <cell r="H11162">
            <v>0</v>
          </cell>
        </row>
        <row r="11163">
          <cell r="D11163" t="str">
            <v>Furnitures</v>
          </cell>
          <cell r="F11163">
            <v>0</v>
          </cell>
          <cell r="G11163">
            <v>275</v>
          </cell>
          <cell r="H11163">
            <v>0</v>
          </cell>
        </row>
        <row r="11164">
          <cell r="D11164" t="str">
            <v>Furnitures</v>
          </cell>
          <cell r="F11164">
            <v>0</v>
          </cell>
          <cell r="G11164">
            <v>275</v>
          </cell>
          <cell r="H11164">
            <v>0</v>
          </cell>
        </row>
        <row r="11165">
          <cell r="D11165" t="str">
            <v>Furnitures</v>
          </cell>
          <cell r="F11165">
            <v>0</v>
          </cell>
          <cell r="G11165">
            <v>275</v>
          </cell>
          <cell r="H11165">
            <v>0</v>
          </cell>
        </row>
        <row r="11166">
          <cell r="D11166" t="str">
            <v>Furnitures</v>
          </cell>
          <cell r="F11166">
            <v>0</v>
          </cell>
          <cell r="G11166">
            <v>275</v>
          </cell>
          <cell r="H11166">
            <v>0</v>
          </cell>
        </row>
        <row r="11167">
          <cell r="D11167" t="str">
            <v>Furnitures</v>
          </cell>
          <cell r="F11167">
            <v>0</v>
          </cell>
          <cell r="G11167">
            <v>275</v>
          </cell>
          <cell r="H11167">
            <v>0</v>
          </cell>
        </row>
        <row r="11168">
          <cell r="D11168" t="str">
            <v>Furnitures</v>
          </cell>
          <cell r="F11168">
            <v>0</v>
          </cell>
          <cell r="G11168">
            <v>275</v>
          </cell>
          <cell r="H11168">
            <v>0</v>
          </cell>
        </row>
        <row r="11169">
          <cell r="D11169" t="str">
            <v>Furnitures</v>
          </cell>
          <cell r="F11169">
            <v>0</v>
          </cell>
          <cell r="G11169">
            <v>275</v>
          </cell>
          <cell r="H11169">
            <v>0</v>
          </cell>
        </row>
        <row r="11170">
          <cell r="D11170" t="str">
            <v>Furnitures</v>
          </cell>
          <cell r="F11170">
            <v>0</v>
          </cell>
          <cell r="G11170">
            <v>275</v>
          </cell>
          <cell r="H11170">
            <v>0</v>
          </cell>
        </row>
        <row r="11171">
          <cell r="D11171" t="str">
            <v>Furnitures</v>
          </cell>
          <cell r="F11171">
            <v>0</v>
          </cell>
          <cell r="G11171">
            <v>275</v>
          </cell>
          <cell r="H11171">
            <v>0</v>
          </cell>
        </row>
        <row r="11172">
          <cell r="D11172" t="str">
            <v>Furnitures</v>
          </cell>
          <cell r="F11172">
            <v>0</v>
          </cell>
          <cell r="G11172">
            <v>275</v>
          </cell>
          <cell r="H11172">
            <v>0</v>
          </cell>
        </row>
        <row r="11173">
          <cell r="D11173" t="str">
            <v>Furnitures</v>
          </cell>
          <cell r="F11173">
            <v>0</v>
          </cell>
          <cell r="G11173">
            <v>275</v>
          </cell>
          <cell r="H11173">
            <v>0</v>
          </cell>
        </row>
        <row r="11174">
          <cell r="D11174" t="str">
            <v>Furnitures</v>
          </cell>
          <cell r="F11174">
            <v>0</v>
          </cell>
          <cell r="G11174">
            <v>275</v>
          </cell>
          <cell r="H11174">
            <v>0</v>
          </cell>
        </row>
        <row r="11175">
          <cell r="D11175" t="str">
            <v>Furnitures</v>
          </cell>
          <cell r="F11175">
            <v>0</v>
          </cell>
          <cell r="G11175">
            <v>275</v>
          </cell>
          <cell r="H11175">
            <v>0</v>
          </cell>
        </row>
        <row r="11176">
          <cell r="D11176" t="str">
            <v>Furnitures</v>
          </cell>
          <cell r="F11176">
            <v>0</v>
          </cell>
          <cell r="G11176">
            <v>275</v>
          </cell>
          <cell r="H11176">
            <v>0</v>
          </cell>
        </row>
        <row r="11177">
          <cell r="D11177" t="str">
            <v>Furnitures</v>
          </cell>
          <cell r="F11177">
            <v>0</v>
          </cell>
          <cell r="G11177">
            <v>275</v>
          </cell>
          <cell r="H11177">
            <v>0</v>
          </cell>
        </row>
        <row r="11178">
          <cell r="D11178" t="str">
            <v>Furnitures</v>
          </cell>
          <cell r="F11178">
            <v>0</v>
          </cell>
          <cell r="G11178">
            <v>275</v>
          </cell>
          <cell r="H11178">
            <v>0</v>
          </cell>
        </row>
        <row r="11179">
          <cell r="D11179" t="str">
            <v>Furnitures</v>
          </cell>
          <cell r="F11179">
            <v>0</v>
          </cell>
          <cell r="G11179">
            <v>275</v>
          </cell>
          <cell r="H11179">
            <v>0</v>
          </cell>
        </row>
        <row r="11180">
          <cell r="D11180" t="str">
            <v>Furnitures</v>
          </cell>
          <cell r="F11180">
            <v>0</v>
          </cell>
          <cell r="G11180">
            <v>275</v>
          </cell>
          <cell r="H11180">
            <v>0</v>
          </cell>
        </row>
        <row r="11181">
          <cell r="D11181" t="str">
            <v>Furnitures</v>
          </cell>
          <cell r="F11181">
            <v>0</v>
          </cell>
          <cell r="G11181">
            <v>275</v>
          </cell>
          <cell r="H11181">
            <v>0</v>
          </cell>
        </row>
        <row r="11182">
          <cell r="D11182" t="str">
            <v>Furnitures</v>
          </cell>
          <cell r="F11182">
            <v>0</v>
          </cell>
          <cell r="G11182">
            <v>275</v>
          </cell>
          <cell r="H11182">
            <v>0</v>
          </cell>
        </row>
        <row r="11183">
          <cell r="D11183" t="str">
            <v>Furnitures</v>
          </cell>
          <cell r="F11183">
            <v>0</v>
          </cell>
          <cell r="G11183">
            <v>275</v>
          </cell>
          <cell r="H11183">
            <v>0</v>
          </cell>
        </row>
        <row r="11184">
          <cell r="D11184" t="str">
            <v>Furnitures</v>
          </cell>
          <cell r="F11184">
            <v>0</v>
          </cell>
          <cell r="G11184">
            <v>275</v>
          </cell>
          <cell r="H11184">
            <v>0</v>
          </cell>
        </row>
        <row r="11185">
          <cell r="D11185" t="str">
            <v>Furnitures</v>
          </cell>
          <cell r="F11185">
            <v>0</v>
          </cell>
          <cell r="G11185">
            <v>275</v>
          </cell>
          <cell r="H11185">
            <v>0</v>
          </cell>
        </row>
        <row r="11186">
          <cell r="D11186" t="str">
            <v>Furnitures</v>
          </cell>
          <cell r="F11186">
            <v>0</v>
          </cell>
          <cell r="G11186">
            <v>275</v>
          </cell>
          <cell r="H11186">
            <v>0</v>
          </cell>
        </row>
        <row r="11187">
          <cell r="D11187" t="str">
            <v>Furnitures</v>
          </cell>
          <cell r="F11187">
            <v>0</v>
          </cell>
          <cell r="G11187">
            <v>275</v>
          </cell>
          <cell r="H11187">
            <v>0</v>
          </cell>
        </row>
        <row r="11188">
          <cell r="D11188" t="str">
            <v>Furnitures</v>
          </cell>
          <cell r="F11188">
            <v>0</v>
          </cell>
          <cell r="G11188">
            <v>275</v>
          </cell>
          <cell r="H11188">
            <v>0</v>
          </cell>
        </row>
        <row r="11189">
          <cell r="D11189" t="str">
            <v>Furnitures</v>
          </cell>
          <cell r="F11189">
            <v>0</v>
          </cell>
          <cell r="G11189">
            <v>275</v>
          </cell>
          <cell r="H11189">
            <v>0</v>
          </cell>
        </row>
        <row r="11190">
          <cell r="D11190" t="str">
            <v>Furnitures</v>
          </cell>
          <cell r="F11190">
            <v>0</v>
          </cell>
          <cell r="G11190">
            <v>275</v>
          </cell>
          <cell r="H11190">
            <v>0</v>
          </cell>
        </row>
        <row r="11191">
          <cell r="D11191" t="str">
            <v>Furnitures</v>
          </cell>
          <cell r="F11191">
            <v>0</v>
          </cell>
          <cell r="G11191">
            <v>275</v>
          </cell>
          <cell r="H11191">
            <v>0</v>
          </cell>
        </row>
        <row r="11192">
          <cell r="D11192" t="str">
            <v>Furnitures</v>
          </cell>
          <cell r="F11192">
            <v>0</v>
          </cell>
          <cell r="G11192">
            <v>275</v>
          </cell>
          <cell r="H11192">
            <v>0</v>
          </cell>
        </row>
        <row r="11193">
          <cell r="D11193" t="str">
            <v>Furnitures</v>
          </cell>
          <cell r="F11193">
            <v>0</v>
          </cell>
          <cell r="G11193">
            <v>275</v>
          </cell>
          <cell r="H11193">
            <v>0</v>
          </cell>
        </row>
        <row r="11194">
          <cell r="D11194" t="str">
            <v>Furnitures</v>
          </cell>
          <cell r="F11194">
            <v>0</v>
          </cell>
          <cell r="G11194">
            <v>275</v>
          </cell>
          <cell r="H11194">
            <v>0</v>
          </cell>
        </row>
        <row r="11195">
          <cell r="D11195" t="str">
            <v>Furnitures</v>
          </cell>
          <cell r="F11195">
            <v>0</v>
          </cell>
          <cell r="G11195">
            <v>275</v>
          </cell>
          <cell r="H11195">
            <v>0</v>
          </cell>
        </row>
        <row r="11196">
          <cell r="D11196" t="str">
            <v>Furnitures</v>
          </cell>
          <cell r="F11196">
            <v>0</v>
          </cell>
          <cell r="G11196">
            <v>275</v>
          </cell>
          <cell r="H11196">
            <v>0</v>
          </cell>
        </row>
        <row r="11197">
          <cell r="D11197" t="str">
            <v>Furnitures</v>
          </cell>
          <cell r="F11197">
            <v>0</v>
          </cell>
          <cell r="G11197">
            <v>275</v>
          </cell>
          <cell r="H11197">
            <v>0</v>
          </cell>
        </row>
        <row r="11198">
          <cell r="D11198" t="str">
            <v>Furnitures</v>
          </cell>
          <cell r="F11198">
            <v>0</v>
          </cell>
          <cell r="G11198">
            <v>275</v>
          </cell>
          <cell r="H11198">
            <v>0</v>
          </cell>
        </row>
        <row r="11199">
          <cell r="D11199" t="str">
            <v>Furnitures</v>
          </cell>
          <cell r="F11199">
            <v>0</v>
          </cell>
          <cell r="G11199">
            <v>275</v>
          </cell>
          <cell r="H11199">
            <v>0</v>
          </cell>
        </row>
        <row r="11200">
          <cell r="D11200" t="str">
            <v>Furnitures</v>
          </cell>
          <cell r="F11200">
            <v>0</v>
          </cell>
          <cell r="G11200">
            <v>275</v>
          </cell>
          <cell r="H11200">
            <v>0</v>
          </cell>
        </row>
        <row r="11201">
          <cell r="D11201" t="str">
            <v>Furnitures</v>
          </cell>
          <cell r="F11201">
            <v>0</v>
          </cell>
          <cell r="G11201">
            <v>275</v>
          </cell>
          <cell r="H11201">
            <v>0</v>
          </cell>
        </row>
        <row r="11202">
          <cell r="D11202" t="str">
            <v>Furnitures</v>
          </cell>
          <cell r="F11202">
            <v>0</v>
          </cell>
          <cell r="G11202">
            <v>275</v>
          </cell>
          <cell r="H11202">
            <v>0</v>
          </cell>
        </row>
        <row r="11203">
          <cell r="D11203" t="str">
            <v>Furnitures</v>
          </cell>
          <cell r="F11203">
            <v>0</v>
          </cell>
          <cell r="G11203">
            <v>275</v>
          </cell>
          <cell r="H11203">
            <v>0</v>
          </cell>
        </row>
        <row r="11204">
          <cell r="D11204" t="str">
            <v>Furnitures</v>
          </cell>
          <cell r="F11204">
            <v>0</v>
          </cell>
          <cell r="G11204">
            <v>275</v>
          </cell>
          <cell r="H11204">
            <v>0</v>
          </cell>
        </row>
        <row r="11205">
          <cell r="D11205" t="str">
            <v>Furnitures</v>
          </cell>
          <cell r="F11205">
            <v>0</v>
          </cell>
          <cell r="G11205">
            <v>275</v>
          </cell>
          <cell r="H11205">
            <v>0</v>
          </cell>
        </row>
        <row r="11206">
          <cell r="D11206" t="str">
            <v>Furnitures</v>
          </cell>
          <cell r="F11206">
            <v>0</v>
          </cell>
          <cell r="G11206">
            <v>275</v>
          </cell>
          <cell r="H11206">
            <v>0</v>
          </cell>
        </row>
        <row r="11207">
          <cell r="D11207" t="str">
            <v>Furnitures</v>
          </cell>
          <cell r="F11207">
            <v>0</v>
          </cell>
          <cell r="G11207">
            <v>275</v>
          </cell>
          <cell r="H11207">
            <v>0</v>
          </cell>
        </row>
        <row r="11208">
          <cell r="D11208" t="str">
            <v>Furnitures</v>
          </cell>
          <cell r="F11208">
            <v>0</v>
          </cell>
          <cell r="G11208">
            <v>275</v>
          </cell>
          <cell r="H11208">
            <v>0</v>
          </cell>
        </row>
        <row r="11209">
          <cell r="D11209" t="str">
            <v>Furnitures</v>
          </cell>
          <cell r="F11209">
            <v>0</v>
          </cell>
          <cell r="G11209">
            <v>275</v>
          </cell>
          <cell r="H11209">
            <v>0</v>
          </cell>
        </row>
        <row r="11210">
          <cell r="D11210" t="str">
            <v>Furnitures</v>
          </cell>
          <cell r="F11210">
            <v>0</v>
          </cell>
          <cell r="G11210">
            <v>275</v>
          </cell>
          <cell r="H11210">
            <v>0</v>
          </cell>
        </row>
        <row r="11211">
          <cell r="D11211" t="str">
            <v>Furnitures</v>
          </cell>
          <cell r="F11211">
            <v>0</v>
          </cell>
          <cell r="G11211">
            <v>275</v>
          </cell>
          <cell r="H11211">
            <v>0</v>
          </cell>
        </row>
        <row r="11212">
          <cell r="D11212" t="str">
            <v>Furnitures</v>
          </cell>
          <cell r="F11212">
            <v>0</v>
          </cell>
          <cell r="G11212">
            <v>275</v>
          </cell>
          <cell r="H11212">
            <v>0</v>
          </cell>
        </row>
        <row r="11213">
          <cell r="D11213" t="str">
            <v>Furnitures</v>
          </cell>
          <cell r="F11213">
            <v>0</v>
          </cell>
          <cell r="G11213">
            <v>275</v>
          </cell>
          <cell r="H11213">
            <v>0</v>
          </cell>
        </row>
        <row r="11214">
          <cell r="D11214" t="str">
            <v>Furnitures</v>
          </cell>
          <cell r="F11214">
            <v>0</v>
          </cell>
          <cell r="G11214">
            <v>275</v>
          </cell>
          <cell r="H11214">
            <v>0</v>
          </cell>
        </row>
        <row r="11215">
          <cell r="D11215" t="str">
            <v>Furnitures</v>
          </cell>
          <cell r="F11215">
            <v>0</v>
          </cell>
          <cell r="G11215">
            <v>275</v>
          </cell>
          <cell r="H11215">
            <v>0</v>
          </cell>
        </row>
        <row r="11216">
          <cell r="D11216" t="str">
            <v>Furnitures</v>
          </cell>
          <cell r="F11216">
            <v>0</v>
          </cell>
          <cell r="G11216">
            <v>275</v>
          </cell>
          <cell r="H11216">
            <v>0</v>
          </cell>
        </row>
        <row r="11217">
          <cell r="D11217" t="str">
            <v>Furnitures</v>
          </cell>
          <cell r="F11217">
            <v>0</v>
          </cell>
          <cell r="G11217">
            <v>275</v>
          </cell>
          <cell r="H11217">
            <v>0</v>
          </cell>
        </row>
        <row r="11218">
          <cell r="D11218" t="str">
            <v>Furnitures</v>
          </cell>
          <cell r="F11218">
            <v>0</v>
          </cell>
          <cell r="G11218">
            <v>275</v>
          </cell>
          <cell r="H11218">
            <v>0</v>
          </cell>
        </row>
        <row r="11219">
          <cell r="D11219" t="str">
            <v>Furnitures</v>
          </cell>
          <cell r="F11219">
            <v>0</v>
          </cell>
          <cell r="G11219">
            <v>275</v>
          </cell>
          <cell r="H11219">
            <v>0</v>
          </cell>
        </row>
        <row r="11220">
          <cell r="D11220" t="str">
            <v>Furnitures</v>
          </cell>
          <cell r="F11220">
            <v>0</v>
          </cell>
          <cell r="G11220">
            <v>275</v>
          </cell>
          <cell r="H11220">
            <v>0</v>
          </cell>
        </row>
        <row r="11221">
          <cell r="D11221" t="str">
            <v>Furnitures</v>
          </cell>
          <cell r="F11221">
            <v>0</v>
          </cell>
          <cell r="G11221">
            <v>275</v>
          </cell>
          <cell r="H11221">
            <v>0</v>
          </cell>
        </row>
        <row r="11222">
          <cell r="D11222" t="str">
            <v>Furnitures</v>
          </cell>
          <cell r="F11222">
            <v>0</v>
          </cell>
          <cell r="G11222">
            <v>275</v>
          </cell>
          <cell r="H11222">
            <v>0</v>
          </cell>
        </row>
        <row r="11223">
          <cell r="D11223" t="str">
            <v>Furnitures</v>
          </cell>
          <cell r="F11223">
            <v>0</v>
          </cell>
          <cell r="G11223">
            <v>275</v>
          </cell>
          <cell r="H11223">
            <v>0</v>
          </cell>
        </row>
        <row r="11224">
          <cell r="D11224" t="str">
            <v>Furnitures</v>
          </cell>
          <cell r="F11224">
            <v>0</v>
          </cell>
          <cell r="G11224">
            <v>275</v>
          </cell>
          <cell r="H11224">
            <v>0</v>
          </cell>
        </row>
        <row r="11225">
          <cell r="D11225" t="str">
            <v>Furnitures</v>
          </cell>
          <cell r="F11225">
            <v>0</v>
          </cell>
          <cell r="G11225">
            <v>275</v>
          </cell>
          <cell r="H11225">
            <v>0</v>
          </cell>
        </row>
        <row r="11226">
          <cell r="D11226" t="str">
            <v>Furnitures</v>
          </cell>
          <cell r="F11226">
            <v>0</v>
          </cell>
          <cell r="G11226">
            <v>275</v>
          </cell>
          <cell r="H11226">
            <v>0</v>
          </cell>
        </row>
        <row r="11227">
          <cell r="D11227" t="str">
            <v>Furnitures</v>
          </cell>
          <cell r="F11227">
            <v>0</v>
          </cell>
          <cell r="G11227">
            <v>275</v>
          </cell>
          <cell r="H11227">
            <v>0</v>
          </cell>
        </row>
        <row r="11228">
          <cell r="D11228" t="str">
            <v>Furnitures</v>
          </cell>
          <cell r="F11228">
            <v>0</v>
          </cell>
          <cell r="G11228">
            <v>275</v>
          </cell>
          <cell r="H11228">
            <v>0</v>
          </cell>
        </row>
        <row r="11229">
          <cell r="D11229" t="str">
            <v>Furnitures</v>
          </cell>
          <cell r="F11229">
            <v>0</v>
          </cell>
          <cell r="G11229">
            <v>275</v>
          </cell>
          <cell r="H11229">
            <v>0</v>
          </cell>
        </row>
        <row r="11230">
          <cell r="D11230" t="str">
            <v>Furnitures</v>
          </cell>
          <cell r="F11230">
            <v>0</v>
          </cell>
          <cell r="G11230">
            <v>275</v>
          </cell>
          <cell r="H11230">
            <v>0</v>
          </cell>
        </row>
        <row r="11231">
          <cell r="D11231" t="str">
            <v>Furnitures</v>
          </cell>
          <cell r="F11231">
            <v>0</v>
          </cell>
          <cell r="G11231">
            <v>275</v>
          </cell>
          <cell r="H11231">
            <v>0</v>
          </cell>
        </row>
        <row r="11232">
          <cell r="D11232" t="str">
            <v>Furnitures</v>
          </cell>
          <cell r="F11232">
            <v>0</v>
          </cell>
          <cell r="G11232">
            <v>275</v>
          </cell>
          <cell r="H11232">
            <v>0</v>
          </cell>
        </row>
        <row r="11233">
          <cell r="D11233" t="str">
            <v>Furnitures</v>
          </cell>
          <cell r="F11233">
            <v>0</v>
          </cell>
          <cell r="G11233">
            <v>275</v>
          </cell>
          <cell r="H11233">
            <v>0</v>
          </cell>
        </row>
        <row r="11234">
          <cell r="D11234" t="str">
            <v>Furnitures</v>
          </cell>
          <cell r="F11234">
            <v>0</v>
          </cell>
          <cell r="G11234">
            <v>275</v>
          </cell>
          <cell r="H11234">
            <v>0</v>
          </cell>
        </row>
        <row r="11235">
          <cell r="D11235" t="str">
            <v>Furnitures</v>
          </cell>
          <cell r="F11235">
            <v>0</v>
          </cell>
          <cell r="G11235">
            <v>275</v>
          </cell>
          <cell r="H11235">
            <v>0</v>
          </cell>
        </row>
        <row r="11236">
          <cell r="D11236" t="str">
            <v>Furnitures</v>
          </cell>
          <cell r="F11236">
            <v>0</v>
          </cell>
          <cell r="G11236">
            <v>275</v>
          </cell>
          <cell r="H11236">
            <v>0</v>
          </cell>
        </row>
        <row r="11237">
          <cell r="D11237" t="str">
            <v>Furnitures</v>
          </cell>
          <cell r="F11237">
            <v>0</v>
          </cell>
          <cell r="G11237">
            <v>275</v>
          </cell>
          <cell r="H11237">
            <v>0</v>
          </cell>
        </row>
        <row r="11238">
          <cell r="D11238" t="str">
            <v>Furnitures</v>
          </cell>
          <cell r="F11238">
            <v>0</v>
          </cell>
          <cell r="G11238">
            <v>275</v>
          </cell>
          <cell r="H11238">
            <v>0</v>
          </cell>
        </row>
        <row r="11239">
          <cell r="D11239" t="str">
            <v>Furnitures</v>
          </cell>
          <cell r="F11239">
            <v>0</v>
          </cell>
          <cell r="G11239">
            <v>275</v>
          </cell>
          <cell r="H11239">
            <v>0</v>
          </cell>
        </row>
        <row r="11240">
          <cell r="D11240" t="str">
            <v>Furnitures</v>
          </cell>
          <cell r="F11240">
            <v>0</v>
          </cell>
          <cell r="G11240">
            <v>275</v>
          </cell>
          <cell r="H11240">
            <v>0</v>
          </cell>
        </row>
        <row r="11241">
          <cell r="D11241" t="str">
            <v>Furnitures</v>
          </cell>
          <cell r="F11241">
            <v>0</v>
          </cell>
          <cell r="G11241">
            <v>275</v>
          </cell>
          <cell r="H11241">
            <v>0</v>
          </cell>
        </row>
        <row r="11242">
          <cell r="D11242" t="str">
            <v>Furnitures</v>
          </cell>
          <cell r="F11242">
            <v>0</v>
          </cell>
          <cell r="G11242">
            <v>275</v>
          </cell>
          <cell r="H11242">
            <v>0</v>
          </cell>
        </row>
        <row r="11243">
          <cell r="D11243" t="str">
            <v>Furnitures</v>
          </cell>
          <cell r="F11243">
            <v>0</v>
          </cell>
          <cell r="G11243">
            <v>275</v>
          </cell>
          <cell r="H11243">
            <v>0</v>
          </cell>
        </row>
        <row r="11244">
          <cell r="D11244" t="str">
            <v>Furnitures</v>
          </cell>
          <cell r="F11244">
            <v>0</v>
          </cell>
          <cell r="G11244">
            <v>275</v>
          </cell>
          <cell r="H11244">
            <v>0</v>
          </cell>
        </row>
        <row r="11245">
          <cell r="D11245" t="str">
            <v>Furnitures</v>
          </cell>
          <cell r="F11245">
            <v>0</v>
          </cell>
          <cell r="G11245">
            <v>275</v>
          </cell>
          <cell r="H11245">
            <v>0</v>
          </cell>
        </row>
        <row r="11246">
          <cell r="D11246" t="str">
            <v>Furnitures</v>
          </cell>
          <cell r="F11246">
            <v>0</v>
          </cell>
          <cell r="G11246">
            <v>275</v>
          </cell>
          <cell r="H11246">
            <v>0</v>
          </cell>
        </row>
        <row r="11247">
          <cell r="D11247" t="str">
            <v>Furnitures</v>
          </cell>
          <cell r="F11247">
            <v>0</v>
          </cell>
          <cell r="G11247">
            <v>275</v>
          </cell>
          <cell r="H11247">
            <v>0</v>
          </cell>
        </row>
        <row r="11248">
          <cell r="D11248" t="str">
            <v>Furnitures</v>
          </cell>
          <cell r="F11248">
            <v>0</v>
          </cell>
          <cell r="G11248">
            <v>275</v>
          </cell>
          <cell r="H11248">
            <v>0</v>
          </cell>
        </row>
        <row r="11249">
          <cell r="D11249" t="str">
            <v>Furnitures</v>
          </cell>
          <cell r="F11249">
            <v>0</v>
          </cell>
          <cell r="G11249">
            <v>275</v>
          </cell>
          <cell r="H11249">
            <v>0</v>
          </cell>
        </row>
        <row r="11250">
          <cell r="D11250" t="str">
            <v>Furnitures</v>
          </cell>
          <cell r="F11250">
            <v>0</v>
          </cell>
          <cell r="G11250">
            <v>275</v>
          </cell>
          <cell r="H11250">
            <v>0</v>
          </cell>
        </row>
        <row r="11251">
          <cell r="D11251" t="str">
            <v>Furnitures</v>
          </cell>
          <cell r="F11251">
            <v>0</v>
          </cell>
          <cell r="G11251">
            <v>275</v>
          </cell>
          <cell r="H11251">
            <v>0</v>
          </cell>
        </row>
        <row r="11252">
          <cell r="D11252" t="str">
            <v>Furnitures</v>
          </cell>
          <cell r="F11252">
            <v>0</v>
          </cell>
          <cell r="G11252">
            <v>275</v>
          </cell>
          <cell r="H11252">
            <v>0</v>
          </cell>
        </row>
        <row r="11253">
          <cell r="D11253" t="str">
            <v>Furnitures</v>
          </cell>
          <cell r="F11253">
            <v>0</v>
          </cell>
          <cell r="G11253">
            <v>275</v>
          </cell>
          <cell r="H11253">
            <v>0</v>
          </cell>
        </row>
        <row r="11254">
          <cell r="D11254" t="str">
            <v>Furnitures</v>
          </cell>
          <cell r="F11254">
            <v>0</v>
          </cell>
          <cell r="G11254">
            <v>275</v>
          </cell>
          <cell r="H11254">
            <v>0</v>
          </cell>
        </row>
        <row r="11255">
          <cell r="D11255" t="str">
            <v>Furnitures</v>
          </cell>
          <cell r="F11255">
            <v>0</v>
          </cell>
          <cell r="G11255">
            <v>275</v>
          </cell>
          <cell r="H11255">
            <v>0</v>
          </cell>
        </row>
        <row r="11256">
          <cell r="D11256" t="str">
            <v>Furnitures</v>
          </cell>
          <cell r="F11256">
            <v>0</v>
          </cell>
          <cell r="G11256">
            <v>275</v>
          </cell>
          <cell r="H11256">
            <v>0</v>
          </cell>
        </row>
        <row r="11257">
          <cell r="D11257" t="str">
            <v>Furnitures</v>
          </cell>
          <cell r="F11257">
            <v>0</v>
          </cell>
          <cell r="G11257">
            <v>275</v>
          </cell>
          <cell r="H11257">
            <v>0</v>
          </cell>
        </row>
        <row r="11258">
          <cell r="D11258" t="str">
            <v>Furnitures</v>
          </cell>
          <cell r="F11258">
            <v>0</v>
          </cell>
          <cell r="G11258">
            <v>275</v>
          </cell>
          <cell r="H11258">
            <v>0</v>
          </cell>
        </row>
        <row r="11259">
          <cell r="D11259" t="str">
            <v>Furnitures</v>
          </cell>
          <cell r="F11259">
            <v>0</v>
          </cell>
          <cell r="G11259">
            <v>275</v>
          </cell>
          <cell r="H11259">
            <v>0</v>
          </cell>
        </row>
        <row r="11260">
          <cell r="D11260" t="str">
            <v>Furnitures</v>
          </cell>
          <cell r="F11260">
            <v>0</v>
          </cell>
          <cell r="G11260">
            <v>275</v>
          </cell>
          <cell r="H11260">
            <v>0</v>
          </cell>
        </row>
        <row r="11261">
          <cell r="D11261" t="str">
            <v>Furnitures</v>
          </cell>
          <cell r="F11261">
            <v>0</v>
          </cell>
          <cell r="G11261">
            <v>275</v>
          </cell>
          <cell r="H11261">
            <v>0</v>
          </cell>
        </row>
        <row r="11262">
          <cell r="D11262" t="str">
            <v>Furnitures</v>
          </cell>
          <cell r="F11262">
            <v>0</v>
          </cell>
          <cell r="G11262">
            <v>275</v>
          </cell>
          <cell r="H11262">
            <v>0</v>
          </cell>
        </row>
        <row r="11263">
          <cell r="D11263" t="str">
            <v>Furnitures</v>
          </cell>
          <cell r="F11263">
            <v>0</v>
          </cell>
          <cell r="G11263">
            <v>275</v>
          </cell>
          <cell r="H11263">
            <v>0</v>
          </cell>
        </row>
        <row r="11264">
          <cell r="D11264" t="str">
            <v>Furnitures</v>
          </cell>
          <cell r="F11264">
            <v>0</v>
          </cell>
          <cell r="G11264">
            <v>275</v>
          </cell>
          <cell r="H11264">
            <v>0</v>
          </cell>
        </row>
        <row r="11265">
          <cell r="D11265" t="str">
            <v>Furnitures</v>
          </cell>
          <cell r="F11265">
            <v>0</v>
          </cell>
          <cell r="G11265">
            <v>275</v>
          </cell>
          <cell r="H11265">
            <v>0</v>
          </cell>
        </row>
        <row r="11266">
          <cell r="D11266" t="str">
            <v>Furnitures</v>
          </cell>
          <cell r="F11266">
            <v>0</v>
          </cell>
          <cell r="G11266">
            <v>275</v>
          </cell>
          <cell r="H11266">
            <v>0</v>
          </cell>
        </row>
        <row r="11267">
          <cell r="D11267" t="str">
            <v>Furnitures</v>
          </cell>
          <cell r="F11267">
            <v>0</v>
          </cell>
          <cell r="G11267">
            <v>275</v>
          </cell>
          <cell r="H11267">
            <v>0</v>
          </cell>
        </row>
        <row r="11268">
          <cell r="D11268" t="str">
            <v>Furnitures</v>
          </cell>
          <cell r="F11268">
            <v>0</v>
          </cell>
          <cell r="G11268">
            <v>275</v>
          </cell>
          <cell r="H11268">
            <v>0</v>
          </cell>
        </row>
        <row r="11269">
          <cell r="D11269" t="str">
            <v>Furnitures</v>
          </cell>
          <cell r="F11269">
            <v>0</v>
          </cell>
          <cell r="G11269">
            <v>275</v>
          </cell>
          <cell r="H11269">
            <v>0</v>
          </cell>
        </row>
        <row r="11270">
          <cell r="D11270" t="str">
            <v>Furnitures</v>
          </cell>
          <cell r="F11270">
            <v>0</v>
          </cell>
          <cell r="G11270">
            <v>275</v>
          </cell>
          <cell r="H11270">
            <v>0</v>
          </cell>
        </row>
        <row r="11271">
          <cell r="D11271" t="str">
            <v>Furnitures</v>
          </cell>
          <cell r="F11271">
            <v>0</v>
          </cell>
          <cell r="G11271">
            <v>275</v>
          </cell>
          <cell r="H11271">
            <v>0</v>
          </cell>
        </row>
        <row r="11272">
          <cell r="D11272" t="str">
            <v>Furnitures</v>
          </cell>
          <cell r="F11272">
            <v>0</v>
          </cell>
          <cell r="G11272">
            <v>275</v>
          </cell>
          <cell r="H11272">
            <v>0</v>
          </cell>
        </row>
        <row r="11273">
          <cell r="D11273" t="str">
            <v>Furnitures</v>
          </cell>
          <cell r="F11273">
            <v>0</v>
          </cell>
          <cell r="G11273">
            <v>275</v>
          </cell>
          <cell r="H11273">
            <v>0</v>
          </cell>
        </row>
        <row r="11274">
          <cell r="D11274" t="str">
            <v>Furnitures</v>
          </cell>
          <cell r="F11274">
            <v>7934.8994772295082</v>
          </cell>
          <cell r="G11274">
            <v>275</v>
          </cell>
          <cell r="H11274">
            <v>7550.418832434988</v>
          </cell>
        </row>
        <row r="11275">
          <cell r="D11275" t="str">
            <v>Furnitures</v>
          </cell>
          <cell r="F11275">
            <v>0</v>
          </cell>
          <cell r="G11275">
            <v>275</v>
          </cell>
          <cell r="H11275">
            <v>0</v>
          </cell>
        </row>
        <row r="11276">
          <cell r="D11276" t="str">
            <v>Furnitures</v>
          </cell>
          <cell r="F11276">
            <v>0</v>
          </cell>
          <cell r="G11276">
            <v>275</v>
          </cell>
          <cell r="H11276">
            <v>0</v>
          </cell>
        </row>
        <row r="11277">
          <cell r="D11277" t="str">
            <v>Furnitures</v>
          </cell>
          <cell r="F11277">
            <v>0</v>
          </cell>
          <cell r="G11277">
            <v>275</v>
          </cell>
          <cell r="H11277">
            <v>0</v>
          </cell>
        </row>
        <row r="11278">
          <cell r="D11278" t="str">
            <v>Furnitures</v>
          </cell>
          <cell r="F11278">
            <v>0</v>
          </cell>
          <cell r="G11278">
            <v>275</v>
          </cell>
          <cell r="H11278">
            <v>0</v>
          </cell>
        </row>
        <row r="11279">
          <cell r="D11279" t="str">
            <v>Furnitures</v>
          </cell>
          <cell r="F11279">
            <v>0</v>
          </cell>
          <cell r="G11279">
            <v>275</v>
          </cell>
          <cell r="H11279">
            <v>0</v>
          </cell>
        </row>
        <row r="11280">
          <cell r="D11280" t="str">
            <v>Furnitures</v>
          </cell>
          <cell r="F11280">
            <v>0</v>
          </cell>
          <cell r="G11280">
            <v>275</v>
          </cell>
          <cell r="H11280">
            <v>0</v>
          </cell>
        </row>
        <row r="11281">
          <cell r="D11281" t="str">
            <v>Furnitures</v>
          </cell>
          <cell r="F11281">
            <v>0</v>
          </cell>
          <cell r="G11281">
            <v>275</v>
          </cell>
          <cell r="H11281">
            <v>0</v>
          </cell>
        </row>
        <row r="11282">
          <cell r="D11282" t="str">
            <v>Furnitures</v>
          </cell>
          <cell r="F11282">
            <v>0</v>
          </cell>
          <cell r="G11282">
            <v>275</v>
          </cell>
          <cell r="H11282">
            <v>0</v>
          </cell>
        </row>
        <row r="11283">
          <cell r="D11283" t="str">
            <v>Furnitures</v>
          </cell>
          <cell r="F11283">
            <v>0</v>
          </cell>
          <cell r="G11283">
            <v>275</v>
          </cell>
          <cell r="H11283">
            <v>0</v>
          </cell>
        </row>
        <row r="11284">
          <cell r="D11284" t="str">
            <v>Furnitures</v>
          </cell>
          <cell r="F11284">
            <v>0</v>
          </cell>
          <cell r="G11284">
            <v>275</v>
          </cell>
          <cell r="H11284">
            <v>0</v>
          </cell>
        </row>
        <row r="11285">
          <cell r="D11285" t="str">
            <v>Furnitures</v>
          </cell>
          <cell r="F11285">
            <v>0</v>
          </cell>
          <cell r="G11285">
            <v>275</v>
          </cell>
          <cell r="H11285">
            <v>0</v>
          </cell>
        </row>
        <row r="11286">
          <cell r="D11286" t="str">
            <v>Furnitures</v>
          </cell>
          <cell r="F11286">
            <v>0</v>
          </cell>
          <cell r="G11286">
            <v>275</v>
          </cell>
          <cell r="H11286">
            <v>0</v>
          </cell>
        </row>
        <row r="11287">
          <cell r="D11287" t="str">
            <v>Furnitures</v>
          </cell>
          <cell r="F11287">
            <v>0</v>
          </cell>
          <cell r="G11287">
            <v>275</v>
          </cell>
          <cell r="H11287">
            <v>0</v>
          </cell>
        </row>
        <row r="11288">
          <cell r="D11288" t="str">
            <v>Furnitures</v>
          </cell>
          <cell r="F11288">
            <v>0</v>
          </cell>
          <cell r="G11288">
            <v>275</v>
          </cell>
          <cell r="H11288">
            <v>0</v>
          </cell>
        </row>
        <row r="11289">
          <cell r="D11289" t="str">
            <v>Furnitures</v>
          </cell>
          <cell r="F11289">
            <v>0</v>
          </cell>
          <cell r="G11289">
            <v>275</v>
          </cell>
          <cell r="H11289">
            <v>0</v>
          </cell>
        </row>
        <row r="11290">
          <cell r="D11290" t="str">
            <v>Furnitures</v>
          </cell>
          <cell r="F11290">
            <v>0</v>
          </cell>
          <cell r="G11290">
            <v>275</v>
          </cell>
          <cell r="H11290">
            <v>0</v>
          </cell>
        </row>
        <row r="11291">
          <cell r="D11291" t="str">
            <v>Furnitures</v>
          </cell>
          <cell r="F11291">
            <v>0</v>
          </cell>
          <cell r="G11291">
            <v>275</v>
          </cell>
          <cell r="H11291">
            <v>0</v>
          </cell>
        </row>
        <row r="11292">
          <cell r="D11292" t="str">
            <v>Furnitures</v>
          </cell>
          <cell r="F11292">
            <v>0</v>
          </cell>
          <cell r="G11292">
            <v>275</v>
          </cell>
          <cell r="H11292">
            <v>0</v>
          </cell>
        </row>
        <row r="11293">
          <cell r="D11293" t="str">
            <v>Furnitures</v>
          </cell>
          <cell r="F11293">
            <v>0</v>
          </cell>
          <cell r="G11293">
            <v>275</v>
          </cell>
          <cell r="H11293">
            <v>0</v>
          </cell>
        </row>
        <row r="11294">
          <cell r="D11294" t="str">
            <v>Furnitures</v>
          </cell>
          <cell r="F11294">
            <v>0</v>
          </cell>
          <cell r="G11294">
            <v>275</v>
          </cell>
          <cell r="H11294">
            <v>0</v>
          </cell>
        </row>
        <row r="11295">
          <cell r="D11295" t="str">
            <v>Furnitures</v>
          </cell>
          <cell r="F11295">
            <v>0</v>
          </cell>
          <cell r="G11295">
            <v>275</v>
          </cell>
          <cell r="H11295">
            <v>0</v>
          </cell>
        </row>
        <row r="11296">
          <cell r="D11296" t="str">
            <v>Furnitures</v>
          </cell>
          <cell r="F11296">
            <v>5280.1493901639342</v>
          </cell>
          <cell r="G11296">
            <v>275</v>
          </cell>
          <cell r="H11296">
            <v>5027.1921846844825</v>
          </cell>
        </row>
        <row r="11297">
          <cell r="D11297" t="str">
            <v>Furnitures</v>
          </cell>
          <cell r="F11297">
            <v>5280.1493901639342</v>
          </cell>
          <cell r="G11297">
            <v>275</v>
          </cell>
          <cell r="H11297">
            <v>5027.1921846844825</v>
          </cell>
        </row>
        <row r="11298">
          <cell r="D11298" t="str">
            <v>Furnitures</v>
          </cell>
          <cell r="F11298">
            <v>5280.1493901639342</v>
          </cell>
          <cell r="G11298">
            <v>275</v>
          </cell>
          <cell r="H11298">
            <v>5027.1921846844825</v>
          </cell>
        </row>
        <row r="11299">
          <cell r="D11299" t="str">
            <v>Furnitures</v>
          </cell>
          <cell r="F11299">
            <v>5280.1493901639342</v>
          </cell>
          <cell r="G11299">
            <v>275</v>
          </cell>
          <cell r="H11299">
            <v>5027.1921846844825</v>
          </cell>
        </row>
        <row r="11300">
          <cell r="D11300" t="str">
            <v>Furnitures</v>
          </cell>
          <cell r="F11300">
            <v>5280.1493901639342</v>
          </cell>
          <cell r="G11300">
            <v>275</v>
          </cell>
          <cell r="H11300">
            <v>5027.1921846844825</v>
          </cell>
        </row>
        <row r="11301">
          <cell r="D11301" t="str">
            <v>Furnitures</v>
          </cell>
          <cell r="F11301">
            <v>5383.6817311475406</v>
          </cell>
          <cell r="G11301">
            <v>275</v>
          </cell>
          <cell r="H11301">
            <v>5125.764580462609</v>
          </cell>
        </row>
        <row r="11302">
          <cell r="D11302" t="str">
            <v>Furnitures</v>
          </cell>
          <cell r="F11302">
            <v>0</v>
          </cell>
          <cell r="G11302">
            <v>275</v>
          </cell>
          <cell r="H11302">
            <v>0</v>
          </cell>
        </row>
        <row r="11303">
          <cell r="D11303" t="str">
            <v>Furnitures</v>
          </cell>
          <cell r="F11303">
            <v>0</v>
          </cell>
          <cell r="G11303">
            <v>275</v>
          </cell>
          <cell r="H11303">
            <v>0</v>
          </cell>
        </row>
        <row r="11304">
          <cell r="D11304" t="str">
            <v>Furnitures</v>
          </cell>
          <cell r="F11304">
            <v>0</v>
          </cell>
          <cell r="G11304">
            <v>275</v>
          </cell>
          <cell r="H11304">
            <v>0</v>
          </cell>
        </row>
        <row r="11305">
          <cell r="D11305" t="str">
            <v>Furnitures</v>
          </cell>
          <cell r="F11305">
            <v>8195.7799180327875</v>
          </cell>
          <cell r="G11305">
            <v>275</v>
          </cell>
          <cell r="H11305">
            <v>7802.3227262519658</v>
          </cell>
        </row>
        <row r="11306">
          <cell r="D11306" t="str">
            <v>Furnitures</v>
          </cell>
          <cell r="F11306">
            <v>0</v>
          </cell>
          <cell r="G11306">
            <v>275</v>
          </cell>
          <cell r="H11306">
            <v>0</v>
          </cell>
        </row>
        <row r="11307">
          <cell r="D11307" t="str">
            <v>Furnitures</v>
          </cell>
          <cell r="F11307">
            <v>0</v>
          </cell>
          <cell r="G11307">
            <v>275</v>
          </cell>
          <cell r="H11307">
            <v>0</v>
          </cell>
        </row>
        <row r="11308">
          <cell r="D11308" t="str">
            <v>Furnitures</v>
          </cell>
          <cell r="F11308">
            <v>0</v>
          </cell>
          <cell r="G11308">
            <v>275</v>
          </cell>
          <cell r="H11308">
            <v>0</v>
          </cell>
        </row>
        <row r="11309">
          <cell r="D11309" t="str">
            <v>Furnitures</v>
          </cell>
          <cell r="F11309">
            <v>0</v>
          </cell>
          <cell r="G11309">
            <v>275</v>
          </cell>
          <cell r="H11309">
            <v>0</v>
          </cell>
        </row>
        <row r="11310">
          <cell r="D11310" t="str">
            <v>Furnitures</v>
          </cell>
          <cell r="F11310">
            <v>0</v>
          </cell>
          <cell r="G11310">
            <v>275</v>
          </cell>
          <cell r="H11310">
            <v>0</v>
          </cell>
        </row>
        <row r="11311">
          <cell r="D11311" t="str">
            <v>Furnitures</v>
          </cell>
          <cell r="F11311">
            <v>0</v>
          </cell>
          <cell r="G11311">
            <v>275</v>
          </cell>
          <cell r="H11311">
            <v>0</v>
          </cell>
        </row>
        <row r="11312">
          <cell r="D11312" t="str">
            <v>Furnitures</v>
          </cell>
          <cell r="F11312">
            <v>0</v>
          </cell>
          <cell r="G11312">
            <v>275</v>
          </cell>
          <cell r="H11312">
            <v>0</v>
          </cell>
        </row>
        <row r="11313">
          <cell r="D11313" t="str">
            <v>Furnitures</v>
          </cell>
          <cell r="F11313">
            <v>0</v>
          </cell>
          <cell r="G11313">
            <v>275</v>
          </cell>
          <cell r="H11313">
            <v>0</v>
          </cell>
        </row>
        <row r="11314">
          <cell r="D11314" t="str">
            <v>Furnitures</v>
          </cell>
          <cell r="F11314">
            <v>0</v>
          </cell>
          <cell r="G11314">
            <v>275</v>
          </cell>
          <cell r="H11314">
            <v>0</v>
          </cell>
        </row>
        <row r="11315">
          <cell r="D11315" t="str">
            <v>Furnitures</v>
          </cell>
          <cell r="F11315">
            <v>0</v>
          </cell>
          <cell r="G11315">
            <v>275</v>
          </cell>
          <cell r="H11315">
            <v>0</v>
          </cell>
        </row>
        <row r="11316">
          <cell r="D11316" t="str">
            <v>Furnitures</v>
          </cell>
          <cell r="F11316">
            <v>0</v>
          </cell>
          <cell r="G11316">
            <v>275</v>
          </cell>
          <cell r="H11316">
            <v>0</v>
          </cell>
        </row>
        <row r="11317">
          <cell r="D11317" t="str">
            <v>Furnitures</v>
          </cell>
          <cell r="F11317">
            <v>0</v>
          </cell>
          <cell r="G11317">
            <v>275</v>
          </cell>
          <cell r="H11317">
            <v>0</v>
          </cell>
        </row>
        <row r="11318">
          <cell r="D11318" t="str">
            <v>Furnitures</v>
          </cell>
          <cell r="F11318">
            <v>0</v>
          </cell>
          <cell r="G11318">
            <v>275</v>
          </cell>
          <cell r="H11318">
            <v>0</v>
          </cell>
        </row>
        <row r="11319">
          <cell r="D11319" t="str">
            <v>Furnitures</v>
          </cell>
          <cell r="F11319">
            <v>0</v>
          </cell>
          <cell r="G11319">
            <v>275</v>
          </cell>
          <cell r="H11319">
            <v>0</v>
          </cell>
        </row>
        <row r="11320">
          <cell r="D11320" t="str">
            <v>Furnitures</v>
          </cell>
          <cell r="F11320">
            <v>0</v>
          </cell>
          <cell r="G11320">
            <v>275</v>
          </cell>
          <cell r="H11320">
            <v>0</v>
          </cell>
        </row>
        <row r="11321">
          <cell r="D11321" t="str">
            <v>Furnitures</v>
          </cell>
          <cell r="F11321">
            <v>0</v>
          </cell>
          <cell r="G11321">
            <v>275</v>
          </cell>
          <cell r="H11321">
            <v>0</v>
          </cell>
        </row>
        <row r="11322">
          <cell r="D11322" t="str">
            <v>Furnitures</v>
          </cell>
          <cell r="F11322">
            <v>0</v>
          </cell>
          <cell r="G11322">
            <v>275</v>
          </cell>
          <cell r="H11322">
            <v>0</v>
          </cell>
        </row>
        <row r="11323">
          <cell r="D11323" t="str">
            <v>Furnitures</v>
          </cell>
          <cell r="F11323">
            <v>0</v>
          </cell>
          <cell r="G11323">
            <v>275</v>
          </cell>
          <cell r="H11323">
            <v>0</v>
          </cell>
        </row>
        <row r="11324">
          <cell r="D11324" t="str">
            <v>Furnitures</v>
          </cell>
          <cell r="F11324">
            <v>0</v>
          </cell>
          <cell r="G11324">
            <v>275</v>
          </cell>
          <cell r="H11324">
            <v>0</v>
          </cell>
        </row>
        <row r="11325">
          <cell r="D11325" t="str">
            <v>Furnitures</v>
          </cell>
          <cell r="F11325">
            <v>0</v>
          </cell>
          <cell r="G11325">
            <v>275</v>
          </cell>
          <cell r="H11325">
            <v>0</v>
          </cell>
        </row>
        <row r="11326">
          <cell r="D11326" t="str">
            <v>Furnitures</v>
          </cell>
          <cell r="F11326">
            <v>0</v>
          </cell>
          <cell r="G11326">
            <v>275</v>
          </cell>
          <cell r="H11326">
            <v>0</v>
          </cell>
        </row>
        <row r="11327">
          <cell r="D11327" t="str">
            <v>Furnitures</v>
          </cell>
          <cell r="F11327">
            <v>0</v>
          </cell>
          <cell r="G11327">
            <v>275</v>
          </cell>
          <cell r="H11327">
            <v>0</v>
          </cell>
        </row>
        <row r="11328">
          <cell r="D11328" t="str">
            <v>Furnitures</v>
          </cell>
          <cell r="F11328">
            <v>0</v>
          </cell>
          <cell r="G11328">
            <v>275</v>
          </cell>
          <cell r="H11328">
            <v>0</v>
          </cell>
        </row>
        <row r="11329">
          <cell r="D11329" t="str">
            <v>Furnitures</v>
          </cell>
          <cell r="F11329">
            <v>0</v>
          </cell>
          <cell r="G11329">
            <v>275</v>
          </cell>
          <cell r="H11329">
            <v>0</v>
          </cell>
        </row>
        <row r="11330">
          <cell r="D11330" t="str">
            <v>Furnitures</v>
          </cell>
          <cell r="F11330">
            <v>0</v>
          </cell>
          <cell r="G11330">
            <v>275</v>
          </cell>
          <cell r="H11330">
            <v>0</v>
          </cell>
        </row>
        <row r="11331">
          <cell r="D11331" t="str">
            <v>Furnitures</v>
          </cell>
          <cell r="F11331">
            <v>0</v>
          </cell>
          <cell r="G11331">
            <v>275</v>
          </cell>
          <cell r="H11331">
            <v>0</v>
          </cell>
        </row>
        <row r="11332">
          <cell r="D11332" t="str">
            <v>Furnitures</v>
          </cell>
          <cell r="F11332">
            <v>0</v>
          </cell>
          <cell r="G11332">
            <v>275</v>
          </cell>
          <cell r="H11332">
            <v>0</v>
          </cell>
        </row>
        <row r="11333">
          <cell r="D11333" t="str">
            <v>Furnitures</v>
          </cell>
          <cell r="F11333">
            <v>0</v>
          </cell>
          <cell r="G11333">
            <v>275</v>
          </cell>
          <cell r="H11333">
            <v>0</v>
          </cell>
        </row>
        <row r="11334">
          <cell r="D11334" t="str">
            <v>Furnitures</v>
          </cell>
          <cell r="F11334">
            <v>0</v>
          </cell>
          <cell r="G11334">
            <v>275</v>
          </cell>
          <cell r="H11334">
            <v>0</v>
          </cell>
        </row>
        <row r="11335">
          <cell r="D11335" t="str">
            <v>Furnitures</v>
          </cell>
          <cell r="F11335">
            <v>0</v>
          </cell>
          <cell r="G11335">
            <v>275</v>
          </cell>
          <cell r="H11335">
            <v>0</v>
          </cell>
        </row>
        <row r="11336">
          <cell r="D11336" t="str">
            <v>Furnitures</v>
          </cell>
          <cell r="F11336">
            <v>0</v>
          </cell>
          <cell r="G11336">
            <v>275</v>
          </cell>
          <cell r="H11336">
            <v>0</v>
          </cell>
        </row>
        <row r="11337">
          <cell r="D11337" t="str">
            <v>Furnitures</v>
          </cell>
          <cell r="F11337">
            <v>0</v>
          </cell>
          <cell r="G11337">
            <v>275</v>
          </cell>
          <cell r="H11337">
            <v>0</v>
          </cell>
        </row>
        <row r="11338">
          <cell r="D11338" t="str">
            <v>Furnitures</v>
          </cell>
          <cell r="F11338">
            <v>0</v>
          </cell>
          <cell r="G11338">
            <v>275</v>
          </cell>
          <cell r="H11338">
            <v>0</v>
          </cell>
        </row>
        <row r="11339">
          <cell r="D11339" t="str">
            <v>Furnitures</v>
          </cell>
          <cell r="F11339">
            <v>0</v>
          </cell>
          <cell r="G11339">
            <v>275</v>
          </cell>
          <cell r="H11339">
            <v>0</v>
          </cell>
        </row>
        <row r="11340">
          <cell r="D11340" t="str">
            <v>Furnitures</v>
          </cell>
          <cell r="F11340">
            <v>0</v>
          </cell>
          <cell r="G11340">
            <v>275</v>
          </cell>
          <cell r="H11340">
            <v>0</v>
          </cell>
        </row>
        <row r="11341">
          <cell r="D11341" t="str">
            <v>Furnitures</v>
          </cell>
          <cell r="F11341">
            <v>0</v>
          </cell>
          <cell r="G11341">
            <v>275</v>
          </cell>
          <cell r="H11341">
            <v>0</v>
          </cell>
        </row>
        <row r="11342">
          <cell r="D11342" t="str">
            <v>Furnitures</v>
          </cell>
          <cell r="F11342">
            <v>0</v>
          </cell>
          <cell r="G11342">
            <v>275</v>
          </cell>
          <cell r="H11342">
            <v>0</v>
          </cell>
        </row>
        <row r="11343">
          <cell r="D11343" t="str">
            <v>Furnitures</v>
          </cell>
          <cell r="F11343">
            <v>5665.4801398770496</v>
          </cell>
          <cell r="G11343">
            <v>275</v>
          </cell>
          <cell r="H11343">
            <v>5391.2519232332143</v>
          </cell>
        </row>
        <row r="11344">
          <cell r="D11344" t="str">
            <v>Furnitures</v>
          </cell>
          <cell r="F11344">
            <v>0</v>
          </cell>
          <cell r="G11344">
            <v>275</v>
          </cell>
          <cell r="H11344">
            <v>0</v>
          </cell>
        </row>
        <row r="11345">
          <cell r="D11345" t="str">
            <v>Furnitures</v>
          </cell>
          <cell r="F11345">
            <v>0</v>
          </cell>
          <cell r="G11345">
            <v>275</v>
          </cell>
          <cell r="H11345">
            <v>0</v>
          </cell>
        </row>
        <row r="11346">
          <cell r="D11346" t="str">
            <v>Furnitures</v>
          </cell>
          <cell r="F11346">
            <v>0</v>
          </cell>
          <cell r="G11346">
            <v>275</v>
          </cell>
          <cell r="H11346">
            <v>0</v>
          </cell>
        </row>
        <row r="11347">
          <cell r="D11347" t="str">
            <v>Furnitures</v>
          </cell>
          <cell r="F11347">
            <v>0</v>
          </cell>
          <cell r="G11347">
            <v>275</v>
          </cell>
          <cell r="H11347">
            <v>0</v>
          </cell>
        </row>
        <row r="11348">
          <cell r="D11348" t="str">
            <v>Furnitures</v>
          </cell>
          <cell r="F11348">
            <v>0</v>
          </cell>
          <cell r="G11348">
            <v>275</v>
          </cell>
          <cell r="H11348">
            <v>0</v>
          </cell>
        </row>
        <row r="11349">
          <cell r="D11349" t="str">
            <v>Furnitures</v>
          </cell>
          <cell r="F11349">
            <v>0</v>
          </cell>
          <cell r="G11349">
            <v>275</v>
          </cell>
          <cell r="H11349">
            <v>0</v>
          </cell>
        </row>
        <row r="11350">
          <cell r="D11350" t="str">
            <v>Furnitures</v>
          </cell>
          <cell r="F11350">
            <v>0</v>
          </cell>
          <cell r="G11350">
            <v>275</v>
          </cell>
          <cell r="H11350">
            <v>0</v>
          </cell>
        </row>
        <row r="11351">
          <cell r="D11351" t="str">
            <v>Furnitures</v>
          </cell>
          <cell r="F11351">
            <v>0</v>
          </cell>
          <cell r="G11351">
            <v>275</v>
          </cell>
          <cell r="H11351">
            <v>0</v>
          </cell>
        </row>
        <row r="11352">
          <cell r="D11352" t="str">
            <v>Furnitures</v>
          </cell>
          <cell r="F11352">
            <v>0</v>
          </cell>
          <cell r="G11352">
            <v>275</v>
          </cell>
          <cell r="H11352">
            <v>0</v>
          </cell>
        </row>
        <row r="11353">
          <cell r="D11353" t="str">
            <v>Furnitures</v>
          </cell>
          <cell r="F11353">
            <v>0</v>
          </cell>
          <cell r="G11353">
            <v>275</v>
          </cell>
          <cell r="H11353">
            <v>0</v>
          </cell>
        </row>
        <row r="11354">
          <cell r="D11354" t="str">
            <v>Furnitures</v>
          </cell>
          <cell r="F11354">
            <v>0</v>
          </cell>
          <cell r="G11354">
            <v>275</v>
          </cell>
          <cell r="H11354">
            <v>0</v>
          </cell>
        </row>
        <row r="11355">
          <cell r="D11355" t="str">
            <v>Furnitures</v>
          </cell>
          <cell r="F11355">
            <v>5871.9349639344264</v>
          </cell>
          <cell r="G11355">
            <v>275</v>
          </cell>
          <cell r="H11355">
            <v>5591.6980598248374</v>
          </cell>
        </row>
        <row r="11356">
          <cell r="D11356" t="str">
            <v>Furnitures</v>
          </cell>
          <cell r="F11356">
            <v>0</v>
          </cell>
          <cell r="G11356">
            <v>275</v>
          </cell>
          <cell r="H11356">
            <v>0</v>
          </cell>
        </row>
        <row r="11357">
          <cell r="D11357" t="str">
            <v>Furnitures</v>
          </cell>
          <cell r="F11357">
            <v>0</v>
          </cell>
          <cell r="G11357">
            <v>275</v>
          </cell>
          <cell r="H11357">
            <v>0</v>
          </cell>
        </row>
        <row r="11358">
          <cell r="D11358" t="str">
            <v>Furnitures</v>
          </cell>
          <cell r="F11358">
            <v>0</v>
          </cell>
          <cell r="G11358">
            <v>275</v>
          </cell>
          <cell r="H11358">
            <v>0</v>
          </cell>
        </row>
        <row r="11359">
          <cell r="D11359" t="str">
            <v>Furnitures</v>
          </cell>
          <cell r="F11359">
            <v>0</v>
          </cell>
          <cell r="G11359">
            <v>275</v>
          </cell>
          <cell r="H11359">
            <v>0</v>
          </cell>
        </row>
        <row r="11360">
          <cell r="D11360" t="str">
            <v>Furnitures</v>
          </cell>
          <cell r="F11360">
            <v>0</v>
          </cell>
          <cell r="G11360">
            <v>275</v>
          </cell>
          <cell r="H11360">
            <v>0</v>
          </cell>
        </row>
        <row r="11361">
          <cell r="D11361" t="str">
            <v>Furnitures</v>
          </cell>
          <cell r="F11361">
            <v>0</v>
          </cell>
          <cell r="G11361">
            <v>275</v>
          </cell>
          <cell r="H11361">
            <v>0</v>
          </cell>
        </row>
        <row r="11362">
          <cell r="D11362" t="str">
            <v>Furnitures</v>
          </cell>
          <cell r="F11362">
            <v>0</v>
          </cell>
          <cell r="G11362">
            <v>275</v>
          </cell>
          <cell r="H11362">
            <v>0</v>
          </cell>
        </row>
        <row r="11363">
          <cell r="D11363" t="str">
            <v>Furnitures</v>
          </cell>
          <cell r="F11363">
            <v>0</v>
          </cell>
          <cell r="G11363">
            <v>275</v>
          </cell>
          <cell r="H11363">
            <v>0</v>
          </cell>
        </row>
        <row r="11364">
          <cell r="D11364" t="str">
            <v>Furnitures</v>
          </cell>
          <cell r="F11364">
            <v>0</v>
          </cell>
          <cell r="G11364">
            <v>275</v>
          </cell>
          <cell r="H11364">
            <v>0</v>
          </cell>
        </row>
        <row r="11365">
          <cell r="D11365" t="str">
            <v>Furnitures</v>
          </cell>
          <cell r="F11365">
            <v>0</v>
          </cell>
          <cell r="G11365">
            <v>275</v>
          </cell>
          <cell r="H11365">
            <v>0</v>
          </cell>
        </row>
        <row r="11366">
          <cell r="D11366" t="str">
            <v>Furnitures</v>
          </cell>
          <cell r="F11366">
            <v>0</v>
          </cell>
          <cell r="G11366">
            <v>275</v>
          </cell>
          <cell r="H11366">
            <v>0</v>
          </cell>
        </row>
        <row r="11367">
          <cell r="D11367" t="str">
            <v>Furnitures</v>
          </cell>
          <cell r="F11367">
            <v>0</v>
          </cell>
          <cell r="G11367">
            <v>275</v>
          </cell>
          <cell r="H11367">
            <v>0</v>
          </cell>
        </row>
        <row r="11368">
          <cell r="D11368" t="str">
            <v>Furnitures</v>
          </cell>
          <cell r="F11368">
            <v>0</v>
          </cell>
          <cell r="G11368">
            <v>275</v>
          </cell>
          <cell r="H11368">
            <v>0</v>
          </cell>
        </row>
        <row r="11369">
          <cell r="D11369" t="str">
            <v>Furnitures</v>
          </cell>
          <cell r="F11369">
            <v>0</v>
          </cell>
          <cell r="G11369">
            <v>275</v>
          </cell>
          <cell r="H11369">
            <v>0</v>
          </cell>
        </row>
        <row r="11370">
          <cell r="D11370" t="str">
            <v>Furnitures</v>
          </cell>
          <cell r="F11370">
            <v>0</v>
          </cell>
          <cell r="G11370">
            <v>275</v>
          </cell>
          <cell r="H11370">
            <v>0</v>
          </cell>
        </row>
        <row r="11371">
          <cell r="D11371" t="str">
            <v>Furnitures</v>
          </cell>
          <cell r="F11371">
            <v>0</v>
          </cell>
          <cell r="G11371">
            <v>275</v>
          </cell>
          <cell r="H11371">
            <v>0</v>
          </cell>
        </row>
        <row r="11372">
          <cell r="D11372" t="str">
            <v>Furnitures</v>
          </cell>
          <cell r="F11372">
            <v>0</v>
          </cell>
          <cell r="G11372">
            <v>275</v>
          </cell>
          <cell r="H11372">
            <v>0</v>
          </cell>
        </row>
        <row r="11373">
          <cell r="D11373" t="str">
            <v>Furnitures</v>
          </cell>
          <cell r="F11373">
            <v>0</v>
          </cell>
          <cell r="G11373">
            <v>275</v>
          </cell>
          <cell r="H11373">
            <v>0</v>
          </cell>
        </row>
        <row r="11374">
          <cell r="D11374" t="str">
            <v>Furnitures</v>
          </cell>
          <cell r="F11374">
            <v>0</v>
          </cell>
          <cell r="G11374">
            <v>275</v>
          </cell>
          <cell r="H11374">
            <v>0</v>
          </cell>
        </row>
        <row r="11375">
          <cell r="D11375" t="str">
            <v>Furnitures</v>
          </cell>
          <cell r="F11375">
            <v>0</v>
          </cell>
          <cell r="G11375">
            <v>275</v>
          </cell>
          <cell r="H11375">
            <v>0</v>
          </cell>
        </row>
        <row r="11376">
          <cell r="D11376" t="str">
            <v>Furnitures</v>
          </cell>
          <cell r="F11376">
            <v>0</v>
          </cell>
          <cell r="G11376">
            <v>275</v>
          </cell>
          <cell r="H11376">
            <v>0</v>
          </cell>
        </row>
        <row r="11377">
          <cell r="D11377" t="str">
            <v>Furnitures</v>
          </cell>
          <cell r="F11377">
            <v>0</v>
          </cell>
          <cell r="G11377">
            <v>275</v>
          </cell>
          <cell r="H11377">
            <v>0</v>
          </cell>
        </row>
        <row r="11378">
          <cell r="D11378" t="str">
            <v>Furnitures</v>
          </cell>
          <cell r="F11378">
            <v>0</v>
          </cell>
          <cell r="G11378">
            <v>275</v>
          </cell>
          <cell r="H11378">
            <v>0</v>
          </cell>
        </row>
        <row r="11379">
          <cell r="D11379" t="str">
            <v>Furnitures</v>
          </cell>
          <cell r="F11379">
            <v>0</v>
          </cell>
          <cell r="G11379">
            <v>275</v>
          </cell>
          <cell r="H11379">
            <v>0</v>
          </cell>
        </row>
        <row r="11380">
          <cell r="D11380" t="str">
            <v>Furnitures</v>
          </cell>
          <cell r="F11380">
            <v>0</v>
          </cell>
          <cell r="G11380">
            <v>275</v>
          </cell>
          <cell r="H11380">
            <v>0</v>
          </cell>
        </row>
        <row r="11381">
          <cell r="D11381" t="str">
            <v>Furnitures</v>
          </cell>
          <cell r="F11381">
            <v>0</v>
          </cell>
          <cell r="G11381">
            <v>275</v>
          </cell>
          <cell r="H11381">
            <v>0</v>
          </cell>
        </row>
        <row r="11382">
          <cell r="D11382" t="str">
            <v>Furnitures</v>
          </cell>
          <cell r="F11382">
            <v>0</v>
          </cell>
          <cell r="G11382">
            <v>275</v>
          </cell>
          <cell r="H11382">
            <v>0</v>
          </cell>
        </row>
        <row r="11383">
          <cell r="D11383" t="str">
            <v>Furnitures</v>
          </cell>
          <cell r="F11383">
            <v>0</v>
          </cell>
          <cell r="G11383">
            <v>275</v>
          </cell>
          <cell r="H11383">
            <v>0</v>
          </cell>
        </row>
        <row r="11384">
          <cell r="D11384" t="str">
            <v>Furnitures</v>
          </cell>
          <cell r="F11384">
            <v>0</v>
          </cell>
          <cell r="G11384">
            <v>275</v>
          </cell>
          <cell r="H11384">
            <v>0</v>
          </cell>
        </row>
        <row r="11385">
          <cell r="D11385" t="str">
            <v>Furnitures</v>
          </cell>
          <cell r="F11385">
            <v>0</v>
          </cell>
          <cell r="G11385">
            <v>275</v>
          </cell>
          <cell r="H11385">
            <v>0</v>
          </cell>
        </row>
        <row r="11386">
          <cell r="D11386" t="str">
            <v>Furnitures</v>
          </cell>
          <cell r="F11386">
            <v>0</v>
          </cell>
          <cell r="G11386">
            <v>275</v>
          </cell>
          <cell r="H11386">
            <v>0</v>
          </cell>
        </row>
        <row r="11387">
          <cell r="D11387" t="str">
            <v>Furnitures</v>
          </cell>
          <cell r="F11387">
            <v>0</v>
          </cell>
          <cell r="G11387">
            <v>275</v>
          </cell>
          <cell r="H11387">
            <v>0</v>
          </cell>
        </row>
        <row r="11388">
          <cell r="D11388" t="str">
            <v>Furnitures</v>
          </cell>
          <cell r="F11388">
            <v>0</v>
          </cell>
          <cell r="G11388">
            <v>275</v>
          </cell>
          <cell r="H11388">
            <v>0</v>
          </cell>
        </row>
        <row r="11389">
          <cell r="D11389" t="str">
            <v>Furnitures</v>
          </cell>
          <cell r="F11389">
            <v>0</v>
          </cell>
          <cell r="G11389">
            <v>275</v>
          </cell>
          <cell r="H11389">
            <v>0</v>
          </cell>
        </row>
        <row r="11390">
          <cell r="D11390" t="str">
            <v>Furnitures</v>
          </cell>
          <cell r="F11390">
            <v>0</v>
          </cell>
          <cell r="G11390">
            <v>275</v>
          </cell>
          <cell r="H11390">
            <v>0</v>
          </cell>
        </row>
        <row r="11391">
          <cell r="D11391" t="str">
            <v>Furnitures</v>
          </cell>
          <cell r="F11391">
            <v>0</v>
          </cell>
          <cell r="G11391">
            <v>275</v>
          </cell>
          <cell r="H11391">
            <v>0</v>
          </cell>
        </row>
        <row r="11392">
          <cell r="D11392" t="str">
            <v>Furnitures</v>
          </cell>
          <cell r="F11392">
            <v>0</v>
          </cell>
          <cell r="G11392">
            <v>275</v>
          </cell>
          <cell r="H11392">
            <v>0</v>
          </cell>
        </row>
        <row r="11393">
          <cell r="D11393" t="str">
            <v>Furnitures</v>
          </cell>
          <cell r="F11393">
            <v>0</v>
          </cell>
          <cell r="G11393">
            <v>275</v>
          </cell>
          <cell r="H11393">
            <v>0</v>
          </cell>
        </row>
        <row r="11394">
          <cell r="D11394" t="str">
            <v>Furnitures</v>
          </cell>
          <cell r="F11394">
            <v>0</v>
          </cell>
          <cell r="G11394">
            <v>275</v>
          </cell>
          <cell r="H11394">
            <v>0</v>
          </cell>
        </row>
        <row r="11395">
          <cell r="D11395" t="str">
            <v>Furnitures</v>
          </cell>
          <cell r="F11395">
            <v>0</v>
          </cell>
          <cell r="G11395">
            <v>275</v>
          </cell>
          <cell r="H11395">
            <v>0</v>
          </cell>
        </row>
        <row r="11396">
          <cell r="D11396" t="str">
            <v>Furnitures</v>
          </cell>
          <cell r="F11396">
            <v>0</v>
          </cell>
          <cell r="G11396">
            <v>275</v>
          </cell>
          <cell r="H11396">
            <v>0</v>
          </cell>
        </row>
        <row r="11397">
          <cell r="D11397" t="str">
            <v>Furnitures</v>
          </cell>
          <cell r="F11397">
            <v>0</v>
          </cell>
          <cell r="G11397">
            <v>275</v>
          </cell>
          <cell r="H11397">
            <v>0</v>
          </cell>
        </row>
        <row r="11398">
          <cell r="D11398" t="str">
            <v>Furnitures</v>
          </cell>
          <cell r="F11398">
            <v>0</v>
          </cell>
          <cell r="G11398">
            <v>275</v>
          </cell>
          <cell r="H11398">
            <v>0</v>
          </cell>
        </row>
        <row r="11399">
          <cell r="D11399" t="str">
            <v>Furnitures</v>
          </cell>
          <cell r="F11399">
            <v>0</v>
          </cell>
          <cell r="G11399">
            <v>275</v>
          </cell>
          <cell r="H11399">
            <v>0</v>
          </cell>
        </row>
        <row r="11400">
          <cell r="D11400" t="str">
            <v>Furnitures</v>
          </cell>
          <cell r="F11400">
            <v>0</v>
          </cell>
          <cell r="G11400">
            <v>275</v>
          </cell>
          <cell r="H11400">
            <v>0</v>
          </cell>
        </row>
        <row r="11401">
          <cell r="D11401" t="str">
            <v>Furnitures</v>
          </cell>
          <cell r="F11401">
            <v>0</v>
          </cell>
          <cell r="G11401">
            <v>275</v>
          </cell>
          <cell r="H11401">
            <v>0</v>
          </cell>
        </row>
        <row r="11402">
          <cell r="D11402" t="str">
            <v>Furnitures</v>
          </cell>
          <cell r="F11402">
            <v>0</v>
          </cell>
          <cell r="G11402">
            <v>275</v>
          </cell>
          <cell r="H11402">
            <v>0</v>
          </cell>
        </row>
        <row r="11403">
          <cell r="D11403" t="str">
            <v>Furnitures</v>
          </cell>
          <cell r="F11403">
            <v>0</v>
          </cell>
          <cell r="G11403">
            <v>275</v>
          </cell>
          <cell r="H11403">
            <v>0</v>
          </cell>
        </row>
        <row r="11404">
          <cell r="D11404" t="str">
            <v>Furnitures</v>
          </cell>
          <cell r="F11404">
            <v>0</v>
          </cell>
          <cell r="G11404">
            <v>275</v>
          </cell>
          <cell r="H11404">
            <v>0</v>
          </cell>
        </row>
        <row r="11405">
          <cell r="D11405" t="str">
            <v>Furnitures</v>
          </cell>
          <cell r="F11405">
            <v>0</v>
          </cell>
          <cell r="G11405">
            <v>275</v>
          </cell>
          <cell r="H11405">
            <v>0</v>
          </cell>
        </row>
        <row r="11406">
          <cell r="D11406" t="str">
            <v>Furnitures</v>
          </cell>
          <cell r="F11406">
            <v>0</v>
          </cell>
          <cell r="G11406">
            <v>275</v>
          </cell>
          <cell r="H11406">
            <v>0</v>
          </cell>
        </row>
        <row r="11407">
          <cell r="D11407" t="str">
            <v>Furnitures</v>
          </cell>
          <cell r="F11407">
            <v>0</v>
          </cell>
          <cell r="G11407">
            <v>275</v>
          </cell>
          <cell r="H11407">
            <v>0</v>
          </cell>
        </row>
        <row r="11408">
          <cell r="D11408" t="str">
            <v>Furnitures</v>
          </cell>
          <cell r="F11408">
            <v>0</v>
          </cell>
          <cell r="G11408">
            <v>275</v>
          </cell>
          <cell r="H11408">
            <v>0</v>
          </cell>
        </row>
        <row r="11409">
          <cell r="D11409" t="str">
            <v>Furnitures</v>
          </cell>
          <cell r="F11409">
            <v>0</v>
          </cell>
          <cell r="G11409">
            <v>275</v>
          </cell>
          <cell r="H11409">
            <v>0</v>
          </cell>
        </row>
        <row r="11410">
          <cell r="D11410" t="str">
            <v>Furnitures</v>
          </cell>
          <cell r="F11410">
            <v>0</v>
          </cell>
          <cell r="G11410">
            <v>275</v>
          </cell>
          <cell r="H11410">
            <v>0</v>
          </cell>
        </row>
        <row r="11411">
          <cell r="D11411" t="str">
            <v>Furnitures</v>
          </cell>
          <cell r="F11411">
            <v>0</v>
          </cell>
          <cell r="G11411">
            <v>275</v>
          </cell>
          <cell r="H11411">
            <v>0</v>
          </cell>
        </row>
        <row r="11412">
          <cell r="D11412" t="str">
            <v>Furnitures</v>
          </cell>
          <cell r="F11412">
            <v>0</v>
          </cell>
          <cell r="G11412">
            <v>275</v>
          </cell>
          <cell r="H11412">
            <v>0</v>
          </cell>
        </row>
        <row r="11413">
          <cell r="D11413" t="str">
            <v>Furnitures</v>
          </cell>
          <cell r="F11413">
            <v>0</v>
          </cell>
          <cell r="G11413">
            <v>275</v>
          </cell>
          <cell r="H11413">
            <v>0</v>
          </cell>
        </row>
        <row r="11414">
          <cell r="D11414" t="str">
            <v>Furnitures</v>
          </cell>
          <cell r="F11414">
            <v>0</v>
          </cell>
          <cell r="G11414">
            <v>275</v>
          </cell>
          <cell r="H11414">
            <v>0</v>
          </cell>
        </row>
        <row r="11415">
          <cell r="D11415" t="str">
            <v>Furnitures</v>
          </cell>
          <cell r="F11415">
            <v>0</v>
          </cell>
          <cell r="G11415">
            <v>275</v>
          </cell>
          <cell r="H11415">
            <v>0</v>
          </cell>
        </row>
        <row r="11416">
          <cell r="D11416" t="str">
            <v>Furnitures</v>
          </cell>
          <cell r="F11416">
            <v>0</v>
          </cell>
          <cell r="G11416">
            <v>275</v>
          </cell>
          <cell r="H11416">
            <v>0</v>
          </cell>
        </row>
        <row r="11417">
          <cell r="D11417" t="str">
            <v>Furnitures</v>
          </cell>
          <cell r="F11417">
            <v>0</v>
          </cell>
          <cell r="G11417">
            <v>275</v>
          </cell>
          <cell r="H11417">
            <v>0</v>
          </cell>
        </row>
        <row r="11418">
          <cell r="D11418" t="str">
            <v>Furnitures</v>
          </cell>
          <cell r="F11418">
            <v>0</v>
          </cell>
          <cell r="G11418">
            <v>275</v>
          </cell>
          <cell r="H11418">
            <v>0</v>
          </cell>
        </row>
        <row r="11419">
          <cell r="D11419" t="str">
            <v>Furnitures</v>
          </cell>
          <cell r="F11419">
            <v>0</v>
          </cell>
          <cell r="G11419">
            <v>275</v>
          </cell>
          <cell r="H11419">
            <v>0</v>
          </cell>
        </row>
        <row r="11420">
          <cell r="D11420" t="str">
            <v>Furnitures</v>
          </cell>
          <cell r="F11420">
            <v>0</v>
          </cell>
          <cell r="G11420">
            <v>275</v>
          </cell>
          <cell r="H11420">
            <v>0</v>
          </cell>
        </row>
        <row r="11421">
          <cell r="D11421" t="str">
            <v>Furnitures</v>
          </cell>
          <cell r="F11421">
            <v>0</v>
          </cell>
          <cell r="G11421">
            <v>275</v>
          </cell>
          <cell r="H11421">
            <v>0</v>
          </cell>
        </row>
        <row r="11422">
          <cell r="D11422" t="str">
            <v>Furnitures</v>
          </cell>
          <cell r="F11422">
            <v>0</v>
          </cell>
          <cell r="G11422">
            <v>275</v>
          </cell>
          <cell r="H11422">
            <v>0</v>
          </cell>
        </row>
        <row r="11423">
          <cell r="D11423" t="str">
            <v>Furnitures</v>
          </cell>
          <cell r="F11423">
            <v>0</v>
          </cell>
          <cell r="G11423">
            <v>275</v>
          </cell>
          <cell r="H11423">
            <v>0</v>
          </cell>
        </row>
        <row r="11424">
          <cell r="D11424" t="str">
            <v>Furnitures</v>
          </cell>
          <cell r="F11424">
            <v>0</v>
          </cell>
          <cell r="G11424">
            <v>275</v>
          </cell>
          <cell r="H11424">
            <v>0</v>
          </cell>
        </row>
        <row r="11425">
          <cell r="D11425" t="str">
            <v>Furnitures</v>
          </cell>
          <cell r="F11425">
            <v>0</v>
          </cell>
          <cell r="G11425">
            <v>275</v>
          </cell>
          <cell r="H11425">
            <v>0</v>
          </cell>
        </row>
        <row r="11426">
          <cell r="D11426" t="str">
            <v>Furnitures</v>
          </cell>
          <cell r="F11426">
            <v>0</v>
          </cell>
          <cell r="G11426">
            <v>275</v>
          </cell>
          <cell r="H11426">
            <v>0</v>
          </cell>
        </row>
        <row r="11427">
          <cell r="D11427" t="str">
            <v>Furnitures</v>
          </cell>
          <cell r="F11427">
            <v>0</v>
          </cell>
          <cell r="G11427">
            <v>275</v>
          </cell>
          <cell r="H11427">
            <v>0</v>
          </cell>
        </row>
        <row r="11428">
          <cell r="D11428" t="str">
            <v>Furnitures</v>
          </cell>
          <cell r="F11428">
            <v>6308.4861300327866</v>
          </cell>
          <cell r="G11428">
            <v>275</v>
          </cell>
          <cell r="H11428">
            <v>6002.8123377040192</v>
          </cell>
        </row>
        <row r="11429">
          <cell r="D11429" t="str">
            <v>Furnitures</v>
          </cell>
          <cell r="F11429">
            <v>0</v>
          </cell>
          <cell r="G11429">
            <v>275</v>
          </cell>
          <cell r="H11429">
            <v>0</v>
          </cell>
        </row>
        <row r="11430">
          <cell r="D11430" t="str">
            <v>Furnitures</v>
          </cell>
          <cell r="F11430">
            <v>0</v>
          </cell>
          <cell r="G11430">
            <v>275</v>
          </cell>
          <cell r="H11430">
            <v>0</v>
          </cell>
        </row>
        <row r="11431">
          <cell r="D11431" t="str">
            <v>Furnitures</v>
          </cell>
          <cell r="F11431">
            <v>0</v>
          </cell>
          <cell r="G11431">
            <v>275</v>
          </cell>
          <cell r="H11431">
            <v>0</v>
          </cell>
        </row>
        <row r="11432">
          <cell r="D11432" t="str">
            <v>Furnitures</v>
          </cell>
          <cell r="F11432">
            <v>0</v>
          </cell>
          <cell r="G11432">
            <v>275</v>
          </cell>
          <cell r="H11432">
            <v>0</v>
          </cell>
        </row>
        <row r="11433">
          <cell r="D11433" t="str">
            <v>Furnitures</v>
          </cell>
          <cell r="F11433">
            <v>0</v>
          </cell>
          <cell r="G11433">
            <v>275</v>
          </cell>
          <cell r="H11433">
            <v>0</v>
          </cell>
        </row>
        <row r="11434">
          <cell r="D11434" t="str">
            <v>Furnitures</v>
          </cell>
          <cell r="F11434">
            <v>0</v>
          </cell>
          <cell r="G11434">
            <v>275</v>
          </cell>
          <cell r="H11434">
            <v>0</v>
          </cell>
        </row>
        <row r="11435">
          <cell r="D11435" t="str">
            <v>Furnitures</v>
          </cell>
          <cell r="F11435">
            <v>0</v>
          </cell>
          <cell r="G11435">
            <v>275</v>
          </cell>
          <cell r="H11435">
            <v>0</v>
          </cell>
        </row>
        <row r="11436">
          <cell r="D11436" t="str">
            <v>Furnitures</v>
          </cell>
          <cell r="F11436">
            <v>0</v>
          </cell>
          <cell r="G11436">
            <v>275</v>
          </cell>
          <cell r="H11436">
            <v>0</v>
          </cell>
        </row>
        <row r="11437">
          <cell r="D11437" t="str">
            <v>Furnitures</v>
          </cell>
          <cell r="F11437">
            <v>0</v>
          </cell>
          <cell r="G11437">
            <v>275</v>
          </cell>
          <cell r="H11437">
            <v>0</v>
          </cell>
        </row>
        <row r="11438">
          <cell r="D11438" t="str">
            <v>Furnitures</v>
          </cell>
          <cell r="F11438">
            <v>0</v>
          </cell>
          <cell r="G11438">
            <v>275</v>
          </cell>
          <cell r="H11438">
            <v>0</v>
          </cell>
        </row>
        <row r="11439">
          <cell r="D11439" t="str">
            <v>Furnitures</v>
          </cell>
          <cell r="F11439">
            <v>0</v>
          </cell>
          <cell r="G11439">
            <v>275</v>
          </cell>
          <cell r="H11439">
            <v>0</v>
          </cell>
        </row>
        <row r="11440">
          <cell r="D11440" t="str">
            <v>Furnitures</v>
          </cell>
          <cell r="F11440">
            <v>0</v>
          </cell>
          <cell r="G11440">
            <v>275</v>
          </cell>
          <cell r="H11440">
            <v>0</v>
          </cell>
        </row>
        <row r="11441">
          <cell r="D11441" t="str">
            <v>Furnitures</v>
          </cell>
          <cell r="F11441">
            <v>0</v>
          </cell>
          <cell r="G11441">
            <v>275</v>
          </cell>
          <cell r="H11441">
            <v>0</v>
          </cell>
        </row>
        <row r="11442">
          <cell r="D11442" t="str">
            <v>Furnitures</v>
          </cell>
          <cell r="F11442">
            <v>0</v>
          </cell>
          <cell r="G11442">
            <v>275</v>
          </cell>
          <cell r="H11442">
            <v>0</v>
          </cell>
        </row>
        <row r="11443">
          <cell r="D11443" t="str">
            <v>Furnitures</v>
          </cell>
          <cell r="F11443">
            <v>0</v>
          </cell>
          <cell r="G11443">
            <v>275</v>
          </cell>
          <cell r="H11443">
            <v>0</v>
          </cell>
        </row>
        <row r="11444">
          <cell r="D11444" t="str">
            <v>Furnitures</v>
          </cell>
          <cell r="F11444">
            <v>0</v>
          </cell>
          <cell r="G11444">
            <v>275</v>
          </cell>
          <cell r="H11444">
            <v>0</v>
          </cell>
        </row>
        <row r="11445">
          <cell r="D11445" t="str">
            <v>Furnitures</v>
          </cell>
          <cell r="F11445">
            <v>0</v>
          </cell>
          <cell r="G11445">
            <v>275</v>
          </cell>
          <cell r="H11445">
            <v>0</v>
          </cell>
        </row>
        <row r="11446">
          <cell r="D11446" t="str">
            <v>Furnitures</v>
          </cell>
          <cell r="F11446">
            <v>0</v>
          </cell>
          <cell r="G11446">
            <v>275</v>
          </cell>
          <cell r="H11446">
            <v>0</v>
          </cell>
        </row>
        <row r="11447">
          <cell r="D11447" t="str">
            <v>Furnitures</v>
          </cell>
          <cell r="F11447">
            <v>0</v>
          </cell>
          <cell r="G11447">
            <v>275</v>
          </cell>
          <cell r="H11447">
            <v>0</v>
          </cell>
        </row>
        <row r="11448">
          <cell r="D11448" t="str">
            <v>Furnitures</v>
          </cell>
          <cell r="F11448">
            <v>0</v>
          </cell>
          <cell r="G11448">
            <v>275</v>
          </cell>
          <cell r="H11448">
            <v>0</v>
          </cell>
        </row>
        <row r="11449">
          <cell r="D11449" t="str">
            <v>Furnitures</v>
          </cell>
          <cell r="F11449">
            <v>0</v>
          </cell>
          <cell r="G11449">
            <v>275</v>
          </cell>
          <cell r="H11449">
            <v>0</v>
          </cell>
        </row>
        <row r="11450">
          <cell r="D11450" t="str">
            <v>Furnitures</v>
          </cell>
          <cell r="F11450">
            <v>0</v>
          </cell>
          <cell r="G11450">
            <v>275</v>
          </cell>
          <cell r="H11450">
            <v>0</v>
          </cell>
        </row>
        <row r="11451">
          <cell r="D11451" t="str">
            <v>Furnitures</v>
          </cell>
          <cell r="F11451">
            <v>0</v>
          </cell>
          <cell r="G11451">
            <v>275</v>
          </cell>
          <cell r="H11451">
            <v>0</v>
          </cell>
        </row>
        <row r="11452">
          <cell r="D11452" t="str">
            <v>Furnitures</v>
          </cell>
          <cell r="F11452">
            <v>0</v>
          </cell>
          <cell r="G11452">
            <v>275</v>
          </cell>
          <cell r="H11452">
            <v>0</v>
          </cell>
        </row>
        <row r="11453">
          <cell r="D11453" t="str">
            <v>Furnitures</v>
          </cell>
          <cell r="F11453">
            <v>0</v>
          </cell>
          <cell r="G11453">
            <v>275</v>
          </cell>
          <cell r="H11453">
            <v>0</v>
          </cell>
        </row>
        <row r="11454">
          <cell r="D11454" t="str">
            <v>Furnitures</v>
          </cell>
          <cell r="F11454">
            <v>0</v>
          </cell>
          <cell r="G11454">
            <v>275</v>
          </cell>
          <cell r="H11454">
            <v>0</v>
          </cell>
        </row>
        <row r="11455">
          <cell r="D11455" t="str">
            <v>Furnitures</v>
          </cell>
          <cell r="F11455">
            <v>0</v>
          </cell>
          <cell r="G11455">
            <v>275</v>
          </cell>
          <cell r="H11455">
            <v>0</v>
          </cell>
        </row>
        <row r="11456">
          <cell r="D11456" t="str">
            <v>Furnitures</v>
          </cell>
          <cell r="F11456">
            <v>0</v>
          </cell>
          <cell r="G11456">
            <v>275</v>
          </cell>
          <cell r="H11456">
            <v>0</v>
          </cell>
        </row>
        <row r="11457">
          <cell r="D11457" t="str">
            <v>Furnitures</v>
          </cell>
          <cell r="F11457">
            <v>0</v>
          </cell>
          <cell r="G11457">
            <v>275</v>
          </cell>
          <cell r="H11457">
            <v>0</v>
          </cell>
        </row>
        <row r="11458">
          <cell r="D11458" t="str">
            <v>Furnitures</v>
          </cell>
          <cell r="F11458">
            <v>0</v>
          </cell>
          <cell r="G11458">
            <v>275</v>
          </cell>
          <cell r="H11458">
            <v>0</v>
          </cell>
        </row>
        <row r="11459">
          <cell r="D11459" t="str">
            <v>Furnitures</v>
          </cell>
          <cell r="F11459">
            <v>0</v>
          </cell>
          <cell r="G11459">
            <v>275</v>
          </cell>
          <cell r="H11459">
            <v>0</v>
          </cell>
        </row>
        <row r="11460">
          <cell r="D11460" t="str">
            <v>Furnitures</v>
          </cell>
          <cell r="F11460">
            <v>0</v>
          </cell>
          <cell r="G11460">
            <v>275</v>
          </cell>
          <cell r="H11460">
            <v>0</v>
          </cell>
        </row>
        <row r="11461">
          <cell r="D11461" t="str">
            <v>Furnitures</v>
          </cell>
          <cell r="F11461">
            <v>0</v>
          </cell>
          <cell r="G11461">
            <v>275</v>
          </cell>
          <cell r="H11461">
            <v>0</v>
          </cell>
        </row>
        <row r="11462">
          <cell r="D11462" t="str">
            <v>Furnitures</v>
          </cell>
          <cell r="F11462">
            <v>0</v>
          </cell>
          <cell r="G11462">
            <v>275</v>
          </cell>
          <cell r="H11462">
            <v>0</v>
          </cell>
        </row>
        <row r="11463">
          <cell r="D11463" t="str">
            <v>Furnitures</v>
          </cell>
          <cell r="F11463">
            <v>0</v>
          </cell>
          <cell r="G11463">
            <v>275</v>
          </cell>
          <cell r="H11463">
            <v>0</v>
          </cell>
        </row>
        <row r="11464">
          <cell r="D11464" t="str">
            <v>Furnitures</v>
          </cell>
          <cell r="F11464">
            <v>0</v>
          </cell>
          <cell r="G11464">
            <v>275</v>
          </cell>
          <cell r="H11464">
            <v>0</v>
          </cell>
        </row>
        <row r="11465">
          <cell r="D11465" t="str">
            <v>Furnitures</v>
          </cell>
          <cell r="F11465">
            <v>0</v>
          </cell>
          <cell r="G11465">
            <v>275</v>
          </cell>
          <cell r="H11465">
            <v>0</v>
          </cell>
        </row>
        <row r="11466">
          <cell r="D11466" t="str">
            <v>Furnitures</v>
          </cell>
          <cell r="F11466">
            <v>0</v>
          </cell>
          <cell r="G11466">
            <v>275</v>
          </cell>
          <cell r="H11466">
            <v>0</v>
          </cell>
        </row>
        <row r="11467">
          <cell r="D11467" t="str">
            <v>Furnitures</v>
          </cell>
          <cell r="F11467">
            <v>0</v>
          </cell>
          <cell r="G11467">
            <v>275</v>
          </cell>
          <cell r="H11467">
            <v>0</v>
          </cell>
        </row>
        <row r="11468">
          <cell r="D11468" t="str">
            <v>Furnitures</v>
          </cell>
          <cell r="F11468">
            <v>0</v>
          </cell>
          <cell r="G11468">
            <v>275</v>
          </cell>
          <cell r="H11468">
            <v>0</v>
          </cell>
        </row>
        <row r="11469">
          <cell r="D11469" t="str">
            <v>Furnitures</v>
          </cell>
          <cell r="F11469">
            <v>0</v>
          </cell>
          <cell r="G11469">
            <v>275</v>
          </cell>
          <cell r="H11469">
            <v>0</v>
          </cell>
        </row>
        <row r="11470">
          <cell r="D11470" t="str">
            <v>Furnitures</v>
          </cell>
          <cell r="F11470">
            <v>0</v>
          </cell>
          <cell r="G11470">
            <v>275</v>
          </cell>
          <cell r="H11470">
            <v>0</v>
          </cell>
        </row>
        <row r="11471">
          <cell r="D11471" t="str">
            <v>Furnitures</v>
          </cell>
          <cell r="F11471">
            <v>0</v>
          </cell>
          <cell r="G11471">
            <v>275</v>
          </cell>
          <cell r="H11471">
            <v>0</v>
          </cell>
        </row>
        <row r="11472">
          <cell r="D11472" t="str">
            <v>Furnitures</v>
          </cell>
          <cell r="F11472">
            <v>0</v>
          </cell>
          <cell r="G11472">
            <v>275</v>
          </cell>
          <cell r="H11472">
            <v>0</v>
          </cell>
        </row>
        <row r="11473">
          <cell r="D11473" t="str">
            <v>Furnitures</v>
          </cell>
          <cell r="F11473">
            <v>0</v>
          </cell>
          <cell r="G11473">
            <v>275</v>
          </cell>
          <cell r="H11473">
            <v>0</v>
          </cell>
        </row>
        <row r="11474">
          <cell r="D11474" t="str">
            <v>Furnitures</v>
          </cell>
          <cell r="F11474">
            <v>0</v>
          </cell>
          <cell r="G11474">
            <v>275</v>
          </cell>
          <cell r="H11474">
            <v>0</v>
          </cell>
        </row>
        <row r="11475">
          <cell r="D11475" t="str">
            <v>Furnitures</v>
          </cell>
          <cell r="F11475">
            <v>0</v>
          </cell>
          <cell r="G11475">
            <v>275</v>
          </cell>
          <cell r="H11475">
            <v>0</v>
          </cell>
        </row>
        <row r="11476">
          <cell r="D11476" t="str">
            <v>Furnitures</v>
          </cell>
          <cell r="F11476">
            <v>0</v>
          </cell>
          <cell r="G11476">
            <v>275</v>
          </cell>
          <cell r="H11476">
            <v>0</v>
          </cell>
        </row>
        <row r="11477">
          <cell r="D11477" t="str">
            <v>Furnitures</v>
          </cell>
          <cell r="F11477">
            <v>0</v>
          </cell>
          <cell r="G11477">
            <v>275</v>
          </cell>
          <cell r="H11477">
            <v>0</v>
          </cell>
        </row>
        <row r="11478">
          <cell r="D11478" t="str">
            <v>Furnitures</v>
          </cell>
          <cell r="F11478">
            <v>0</v>
          </cell>
          <cell r="G11478">
            <v>275</v>
          </cell>
          <cell r="H11478">
            <v>0</v>
          </cell>
        </row>
        <row r="11479">
          <cell r="D11479" t="str">
            <v>Furnitures</v>
          </cell>
          <cell r="F11479">
            <v>0</v>
          </cell>
          <cell r="G11479">
            <v>275</v>
          </cell>
          <cell r="H11479">
            <v>0</v>
          </cell>
        </row>
        <row r="11480">
          <cell r="D11480" t="str">
            <v>Furnitures</v>
          </cell>
          <cell r="F11480">
            <v>0</v>
          </cell>
          <cell r="G11480">
            <v>275</v>
          </cell>
          <cell r="H11480">
            <v>0</v>
          </cell>
        </row>
        <row r="11481">
          <cell r="D11481" t="str">
            <v>Furnitures</v>
          </cell>
          <cell r="F11481">
            <v>0</v>
          </cell>
          <cell r="G11481">
            <v>275</v>
          </cell>
          <cell r="H11481">
            <v>0</v>
          </cell>
        </row>
        <row r="11482">
          <cell r="D11482" t="str">
            <v>Furnitures</v>
          </cell>
          <cell r="F11482">
            <v>0</v>
          </cell>
          <cell r="G11482">
            <v>275</v>
          </cell>
          <cell r="H11482">
            <v>0</v>
          </cell>
        </row>
        <row r="11483">
          <cell r="D11483" t="str">
            <v>Furnitures</v>
          </cell>
          <cell r="F11483">
            <v>0</v>
          </cell>
          <cell r="G11483">
            <v>275</v>
          </cell>
          <cell r="H11483">
            <v>0</v>
          </cell>
        </row>
        <row r="11484">
          <cell r="D11484" t="str">
            <v>Furnitures</v>
          </cell>
          <cell r="F11484">
            <v>0</v>
          </cell>
          <cell r="G11484">
            <v>275</v>
          </cell>
          <cell r="H11484">
            <v>0</v>
          </cell>
        </row>
        <row r="11485">
          <cell r="D11485" t="str">
            <v>Furnitures</v>
          </cell>
          <cell r="F11485">
            <v>0</v>
          </cell>
          <cell r="G11485">
            <v>275</v>
          </cell>
          <cell r="H11485">
            <v>0</v>
          </cell>
        </row>
        <row r="11486">
          <cell r="D11486" t="str">
            <v>Furnitures</v>
          </cell>
          <cell r="F11486">
            <v>0</v>
          </cell>
          <cell r="G11486">
            <v>275</v>
          </cell>
          <cell r="H11486">
            <v>0</v>
          </cell>
        </row>
        <row r="11487">
          <cell r="D11487" t="str">
            <v>Furnitures</v>
          </cell>
          <cell r="F11487">
            <v>0</v>
          </cell>
          <cell r="G11487">
            <v>275</v>
          </cell>
          <cell r="H11487">
            <v>0</v>
          </cell>
        </row>
        <row r="11488">
          <cell r="D11488" t="str">
            <v>Furnitures</v>
          </cell>
          <cell r="F11488">
            <v>0</v>
          </cell>
          <cell r="G11488">
            <v>275</v>
          </cell>
          <cell r="H11488">
            <v>0</v>
          </cell>
        </row>
        <row r="11489">
          <cell r="D11489" t="str">
            <v>Furnitures</v>
          </cell>
          <cell r="F11489">
            <v>0</v>
          </cell>
          <cell r="G11489">
            <v>275</v>
          </cell>
          <cell r="H11489">
            <v>0</v>
          </cell>
        </row>
        <row r="11490">
          <cell r="D11490" t="str">
            <v>Furnitures</v>
          </cell>
          <cell r="F11490">
            <v>0</v>
          </cell>
          <cell r="G11490">
            <v>275</v>
          </cell>
          <cell r="H11490">
            <v>0</v>
          </cell>
        </row>
        <row r="11491">
          <cell r="D11491" t="str">
            <v>Furnitures</v>
          </cell>
          <cell r="F11491">
            <v>0</v>
          </cell>
          <cell r="G11491">
            <v>275</v>
          </cell>
          <cell r="H11491">
            <v>0</v>
          </cell>
        </row>
        <row r="11492">
          <cell r="D11492" t="str">
            <v>Furnitures</v>
          </cell>
          <cell r="F11492">
            <v>0</v>
          </cell>
          <cell r="G11492">
            <v>275</v>
          </cell>
          <cell r="H11492">
            <v>0</v>
          </cell>
        </row>
        <row r="11493">
          <cell r="D11493" t="str">
            <v>Furnitures</v>
          </cell>
          <cell r="F11493">
            <v>0</v>
          </cell>
          <cell r="G11493">
            <v>275</v>
          </cell>
          <cell r="H11493">
            <v>0</v>
          </cell>
        </row>
        <row r="11494">
          <cell r="D11494" t="str">
            <v>Furnitures</v>
          </cell>
          <cell r="F11494">
            <v>0</v>
          </cell>
          <cell r="G11494">
            <v>275</v>
          </cell>
          <cell r="H11494">
            <v>0</v>
          </cell>
        </row>
        <row r="11495">
          <cell r="D11495" t="str">
            <v>Furnitures</v>
          </cell>
          <cell r="F11495">
            <v>0</v>
          </cell>
          <cell r="G11495">
            <v>275</v>
          </cell>
          <cell r="H11495">
            <v>0</v>
          </cell>
        </row>
        <row r="11496">
          <cell r="D11496" t="str">
            <v>Furnitures</v>
          </cell>
          <cell r="F11496">
            <v>0</v>
          </cell>
          <cell r="G11496">
            <v>275</v>
          </cell>
          <cell r="H11496">
            <v>0</v>
          </cell>
        </row>
        <row r="11497">
          <cell r="D11497" t="str">
            <v>Furnitures</v>
          </cell>
          <cell r="F11497">
            <v>0</v>
          </cell>
          <cell r="G11497">
            <v>275</v>
          </cell>
          <cell r="H11497">
            <v>0</v>
          </cell>
        </row>
        <row r="11498">
          <cell r="D11498" t="str">
            <v>Furnitures</v>
          </cell>
          <cell r="F11498">
            <v>0</v>
          </cell>
          <cell r="G11498">
            <v>275</v>
          </cell>
          <cell r="H11498">
            <v>0</v>
          </cell>
        </row>
        <row r="11499">
          <cell r="D11499" t="str">
            <v>Furnitures</v>
          </cell>
          <cell r="F11499">
            <v>0</v>
          </cell>
          <cell r="G11499">
            <v>275</v>
          </cell>
          <cell r="H11499">
            <v>0</v>
          </cell>
        </row>
        <row r="11500">
          <cell r="D11500" t="str">
            <v>Furnitures</v>
          </cell>
          <cell r="F11500">
            <v>5875.0801177950825</v>
          </cell>
          <cell r="G11500">
            <v>275</v>
          </cell>
          <cell r="H11500">
            <v>5594.7416301923431</v>
          </cell>
        </row>
        <row r="11501">
          <cell r="D11501" t="str">
            <v>Furnitures</v>
          </cell>
          <cell r="F11501">
            <v>5875.0801177950825</v>
          </cell>
          <cell r="G11501">
            <v>275</v>
          </cell>
          <cell r="H11501">
            <v>5594.7416301923431</v>
          </cell>
        </row>
        <row r="11502">
          <cell r="D11502" t="str">
            <v>Furnitures</v>
          </cell>
          <cell r="F11502">
            <v>0</v>
          </cell>
          <cell r="G11502">
            <v>275</v>
          </cell>
          <cell r="H11502">
            <v>0</v>
          </cell>
        </row>
        <row r="11503">
          <cell r="D11503" t="str">
            <v>Furnitures</v>
          </cell>
          <cell r="F11503">
            <v>0</v>
          </cell>
          <cell r="G11503">
            <v>275</v>
          </cell>
          <cell r="H11503">
            <v>0</v>
          </cell>
        </row>
        <row r="11504">
          <cell r="D11504" t="str">
            <v>Furnitures</v>
          </cell>
          <cell r="F11504">
            <v>0</v>
          </cell>
          <cell r="G11504">
            <v>275</v>
          </cell>
          <cell r="H11504">
            <v>0</v>
          </cell>
        </row>
        <row r="11505">
          <cell r="D11505" t="str">
            <v>Furnitures</v>
          </cell>
          <cell r="F11505">
            <v>0</v>
          </cell>
          <cell r="G11505">
            <v>275</v>
          </cell>
          <cell r="H11505">
            <v>0</v>
          </cell>
        </row>
        <row r="11506">
          <cell r="D11506" t="str">
            <v>Furnitures</v>
          </cell>
          <cell r="F11506">
            <v>0</v>
          </cell>
          <cell r="G11506">
            <v>275</v>
          </cell>
          <cell r="H11506">
            <v>0</v>
          </cell>
        </row>
        <row r="11507">
          <cell r="D11507" t="str">
            <v>Furnitures</v>
          </cell>
          <cell r="F11507">
            <v>0</v>
          </cell>
          <cell r="G11507">
            <v>275</v>
          </cell>
          <cell r="H11507">
            <v>0</v>
          </cell>
        </row>
        <row r="11508">
          <cell r="D11508" t="str">
            <v>Furnitures</v>
          </cell>
          <cell r="F11508">
            <v>0</v>
          </cell>
          <cell r="G11508">
            <v>275</v>
          </cell>
          <cell r="H11508">
            <v>0</v>
          </cell>
        </row>
        <row r="11509">
          <cell r="D11509" t="str">
            <v>Furnitures</v>
          </cell>
          <cell r="F11509">
            <v>0</v>
          </cell>
          <cell r="G11509">
            <v>275</v>
          </cell>
          <cell r="H11509">
            <v>0</v>
          </cell>
        </row>
        <row r="11510">
          <cell r="D11510" t="str">
            <v>Furnitures</v>
          </cell>
          <cell r="F11510">
            <v>0</v>
          </cell>
          <cell r="G11510">
            <v>275</v>
          </cell>
          <cell r="H11510">
            <v>0</v>
          </cell>
        </row>
        <row r="11511">
          <cell r="D11511" t="str">
            <v>Furnitures</v>
          </cell>
          <cell r="F11511">
            <v>0</v>
          </cell>
          <cell r="G11511">
            <v>275</v>
          </cell>
          <cell r="H11511">
            <v>0</v>
          </cell>
        </row>
        <row r="11512">
          <cell r="D11512" t="str">
            <v>Furnitures</v>
          </cell>
          <cell r="F11512">
            <v>0</v>
          </cell>
          <cell r="G11512">
            <v>275</v>
          </cell>
          <cell r="H11512">
            <v>0</v>
          </cell>
        </row>
        <row r="11513">
          <cell r="D11513" t="str">
            <v>Furnitures</v>
          </cell>
          <cell r="F11513">
            <v>0</v>
          </cell>
          <cell r="G11513">
            <v>275</v>
          </cell>
          <cell r="H11513">
            <v>0</v>
          </cell>
        </row>
        <row r="11514">
          <cell r="D11514" t="str">
            <v>Furnitures</v>
          </cell>
          <cell r="F11514">
            <v>0</v>
          </cell>
          <cell r="G11514">
            <v>275</v>
          </cell>
          <cell r="H11514">
            <v>0</v>
          </cell>
        </row>
        <row r="11515">
          <cell r="D11515" t="str">
            <v>Furnitures</v>
          </cell>
          <cell r="F11515">
            <v>0</v>
          </cell>
          <cell r="G11515">
            <v>275</v>
          </cell>
          <cell r="H11515">
            <v>0</v>
          </cell>
        </row>
        <row r="11516">
          <cell r="D11516" t="str">
            <v>Furnitures</v>
          </cell>
          <cell r="F11516">
            <v>0</v>
          </cell>
          <cell r="G11516">
            <v>275</v>
          </cell>
          <cell r="H11516">
            <v>0</v>
          </cell>
        </row>
        <row r="11517">
          <cell r="D11517" t="str">
            <v>Furnitures</v>
          </cell>
          <cell r="F11517">
            <v>0</v>
          </cell>
          <cell r="G11517">
            <v>275</v>
          </cell>
          <cell r="H11517">
            <v>0</v>
          </cell>
        </row>
        <row r="11518">
          <cell r="D11518" t="str">
            <v>Furnitures</v>
          </cell>
          <cell r="F11518">
            <v>0</v>
          </cell>
          <cell r="G11518">
            <v>275</v>
          </cell>
          <cell r="H11518">
            <v>0</v>
          </cell>
        </row>
        <row r="11519">
          <cell r="D11519" t="str">
            <v>Furnitures</v>
          </cell>
          <cell r="F11519">
            <v>0</v>
          </cell>
          <cell r="G11519">
            <v>275</v>
          </cell>
          <cell r="H11519">
            <v>0</v>
          </cell>
        </row>
        <row r="11520">
          <cell r="D11520" t="str">
            <v>Furnitures</v>
          </cell>
          <cell r="F11520">
            <v>0</v>
          </cell>
          <cell r="G11520">
            <v>275</v>
          </cell>
          <cell r="H11520">
            <v>0</v>
          </cell>
        </row>
        <row r="11521">
          <cell r="D11521" t="str">
            <v>Furnitures</v>
          </cell>
          <cell r="F11521">
            <v>0</v>
          </cell>
          <cell r="G11521">
            <v>275</v>
          </cell>
          <cell r="H11521">
            <v>0</v>
          </cell>
        </row>
        <row r="11522">
          <cell r="D11522" t="str">
            <v>Furnitures</v>
          </cell>
          <cell r="F11522">
            <v>0</v>
          </cell>
          <cell r="G11522">
            <v>275</v>
          </cell>
          <cell r="H11522">
            <v>0</v>
          </cell>
        </row>
        <row r="11523">
          <cell r="D11523" t="str">
            <v>Furnitures</v>
          </cell>
          <cell r="F11523">
            <v>0</v>
          </cell>
          <cell r="G11523">
            <v>275</v>
          </cell>
          <cell r="H11523">
            <v>0</v>
          </cell>
        </row>
        <row r="11524">
          <cell r="D11524" t="str">
            <v>Furnitures</v>
          </cell>
          <cell r="F11524">
            <v>0</v>
          </cell>
          <cell r="G11524">
            <v>275</v>
          </cell>
          <cell r="H11524">
            <v>0</v>
          </cell>
        </row>
        <row r="11525">
          <cell r="D11525" t="str">
            <v>Furnitures</v>
          </cell>
          <cell r="F11525">
            <v>0</v>
          </cell>
          <cell r="G11525">
            <v>275</v>
          </cell>
          <cell r="H11525">
            <v>0</v>
          </cell>
        </row>
        <row r="11526">
          <cell r="D11526" t="str">
            <v>Furnitures</v>
          </cell>
          <cell r="F11526">
            <v>0</v>
          </cell>
          <cell r="G11526">
            <v>275</v>
          </cell>
          <cell r="H11526">
            <v>0</v>
          </cell>
        </row>
        <row r="11527">
          <cell r="D11527" t="str">
            <v>Furnitures</v>
          </cell>
          <cell r="F11527">
            <v>0</v>
          </cell>
          <cell r="G11527">
            <v>275</v>
          </cell>
          <cell r="H11527">
            <v>0</v>
          </cell>
        </row>
        <row r="11528">
          <cell r="D11528" t="str">
            <v>Furnitures</v>
          </cell>
          <cell r="F11528">
            <v>0</v>
          </cell>
          <cell r="G11528">
            <v>275</v>
          </cell>
          <cell r="H11528">
            <v>0</v>
          </cell>
        </row>
        <row r="11529">
          <cell r="D11529" t="str">
            <v>Furnitures</v>
          </cell>
          <cell r="F11529">
            <v>0</v>
          </cell>
          <cell r="G11529">
            <v>275</v>
          </cell>
          <cell r="H11529">
            <v>0</v>
          </cell>
        </row>
        <row r="11530">
          <cell r="D11530" t="str">
            <v>Furnitures</v>
          </cell>
          <cell r="F11530">
            <v>0</v>
          </cell>
          <cell r="G11530">
            <v>275</v>
          </cell>
          <cell r="H11530">
            <v>0</v>
          </cell>
        </row>
        <row r="11531">
          <cell r="D11531" t="str">
            <v>Furnitures</v>
          </cell>
          <cell r="F11531">
            <v>0</v>
          </cell>
          <cell r="G11531">
            <v>275</v>
          </cell>
          <cell r="H11531">
            <v>0</v>
          </cell>
        </row>
        <row r="11532">
          <cell r="D11532" t="str">
            <v>Furnitures</v>
          </cell>
          <cell r="F11532">
            <v>0</v>
          </cell>
          <cell r="G11532">
            <v>275</v>
          </cell>
          <cell r="H11532">
            <v>0</v>
          </cell>
        </row>
        <row r="11533">
          <cell r="D11533" t="str">
            <v>Furnitures</v>
          </cell>
          <cell r="F11533">
            <v>0</v>
          </cell>
          <cell r="G11533">
            <v>275</v>
          </cell>
          <cell r="H11533">
            <v>0</v>
          </cell>
        </row>
        <row r="11534">
          <cell r="D11534" t="str">
            <v>Furnitures</v>
          </cell>
          <cell r="F11534">
            <v>0</v>
          </cell>
          <cell r="G11534">
            <v>275</v>
          </cell>
          <cell r="H11534">
            <v>0</v>
          </cell>
        </row>
        <row r="11535">
          <cell r="D11535" t="str">
            <v>Furnitures</v>
          </cell>
          <cell r="F11535">
            <v>0</v>
          </cell>
          <cell r="G11535">
            <v>275</v>
          </cell>
          <cell r="H11535">
            <v>0</v>
          </cell>
        </row>
        <row r="11536">
          <cell r="D11536" t="str">
            <v>Furnitures</v>
          </cell>
          <cell r="F11536">
            <v>0</v>
          </cell>
          <cell r="G11536">
            <v>275</v>
          </cell>
          <cell r="H11536">
            <v>0</v>
          </cell>
        </row>
        <row r="11537">
          <cell r="D11537" t="str">
            <v>Furnitures</v>
          </cell>
          <cell r="F11537">
            <v>0</v>
          </cell>
          <cell r="G11537">
            <v>275</v>
          </cell>
          <cell r="H11537">
            <v>0</v>
          </cell>
        </row>
        <row r="11538">
          <cell r="D11538" t="str">
            <v>Furnitures</v>
          </cell>
          <cell r="F11538">
            <v>0</v>
          </cell>
          <cell r="G11538">
            <v>275</v>
          </cell>
          <cell r="H11538">
            <v>0</v>
          </cell>
        </row>
        <row r="11539">
          <cell r="D11539" t="str">
            <v>Furnitures</v>
          </cell>
          <cell r="F11539">
            <v>0</v>
          </cell>
          <cell r="G11539">
            <v>275</v>
          </cell>
          <cell r="H11539">
            <v>0</v>
          </cell>
        </row>
        <row r="11540">
          <cell r="D11540" t="str">
            <v>Furnitures</v>
          </cell>
          <cell r="F11540">
            <v>0</v>
          </cell>
          <cell r="G11540">
            <v>275</v>
          </cell>
          <cell r="H11540">
            <v>0</v>
          </cell>
        </row>
        <row r="11541">
          <cell r="D11541" t="str">
            <v>Furnitures</v>
          </cell>
          <cell r="F11541">
            <v>0</v>
          </cell>
          <cell r="G11541">
            <v>275</v>
          </cell>
          <cell r="H11541">
            <v>0</v>
          </cell>
        </row>
        <row r="11542">
          <cell r="D11542" t="str">
            <v>Furnitures</v>
          </cell>
          <cell r="F11542">
            <v>0</v>
          </cell>
          <cell r="G11542">
            <v>275</v>
          </cell>
          <cell r="H11542">
            <v>0</v>
          </cell>
        </row>
        <row r="11543">
          <cell r="D11543" t="str">
            <v>Furnitures</v>
          </cell>
          <cell r="F11543">
            <v>0</v>
          </cell>
          <cell r="G11543">
            <v>275</v>
          </cell>
          <cell r="H11543">
            <v>0</v>
          </cell>
        </row>
        <row r="11544">
          <cell r="D11544" t="str">
            <v>Furnitures</v>
          </cell>
          <cell r="F11544">
            <v>0</v>
          </cell>
          <cell r="G11544">
            <v>275</v>
          </cell>
          <cell r="H11544">
            <v>0</v>
          </cell>
        </row>
        <row r="11545">
          <cell r="D11545" t="str">
            <v>Furnitures</v>
          </cell>
          <cell r="F11545">
            <v>0</v>
          </cell>
          <cell r="G11545">
            <v>275</v>
          </cell>
          <cell r="H11545">
            <v>0</v>
          </cell>
        </row>
        <row r="11546">
          <cell r="D11546" t="str">
            <v>Furnitures</v>
          </cell>
          <cell r="F11546">
            <v>0</v>
          </cell>
          <cell r="G11546">
            <v>275</v>
          </cell>
          <cell r="H11546">
            <v>0</v>
          </cell>
        </row>
        <row r="11547">
          <cell r="D11547" t="str">
            <v>Furnitures</v>
          </cell>
          <cell r="F11547">
            <v>0</v>
          </cell>
          <cell r="G11547">
            <v>275</v>
          </cell>
          <cell r="H11547">
            <v>0</v>
          </cell>
        </row>
        <row r="11548">
          <cell r="D11548" t="str">
            <v>Furnitures</v>
          </cell>
          <cell r="F11548">
            <v>0</v>
          </cell>
          <cell r="G11548">
            <v>275</v>
          </cell>
          <cell r="H11548">
            <v>0</v>
          </cell>
        </row>
        <row r="11549">
          <cell r="D11549" t="str">
            <v>Furnitures</v>
          </cell>
          <cell r="F11549">
            <v>0</v>
          </cell>
          <cell r="G11549">
            <v>275</v>
          </cell>
          <cell r="H11549">
            <v>0</v>
          </cell>
        </row>
        <row r="11550">
          <cell r="D11550" t="str">
            <v>Furnitures</v>
          </cell>
          <cell r="F11550">
            <v>0</v>
          </cell>
          <cell r="G11550">
            <v>275</v>
          </cell>
          <cell r="H11550">
            <v>0</v>
          </cell>
        </row>
        <row r="11551">
          <cell r="D11551" t="str">
            <v>Furnitures</v>
          </cell>
          <cell r="F11551">
            <v>0</v>
          </cell>
          <cell r="G11551">
            <v>275</v>
          </cell>
          <cell r="H11551">
            <v>0</v>
          </cell>
        </row>
        <row r="11552">
          <cell r="D11552" t="str">
            <v>Furnitures</v>
          </cell>
          <cell r="F11552">
            <v>0</v>
          </cell>
          <cell r="G11552">
            <v>275</v>
          </cell>
          <cell r="H11552">
            <v>0</v>
          </cell>
        </row>
        <row r="11553">
          <cell r="D11553" t="str">
            <v>Furnitures</v>
          </cell>
          <cell r="F11553">
            <v>0</v>
          </cell>
          <cell r="G11553">
            <v>275</v>
          </cell>
          <cell r="H11553">
            <v>0</v>
          </cell>
        </row>
        <row r="11554">
          <cell r="D11554" t="str">
            <v>Furnitures</v>
          </cell>
          <cell r="F11554">
            <v>0</v>
          </cell>
          <cell r="G11554">
            <v>275</v>
          </cell>
          <cell r="H11554">
            <v>0</v>
          </cell>
        </row>
        <row r="11555">
          <cell r="D11555" t="str">
            <v>Furnitures</v>
          </cell>
          <cell r="F11555">
            <v>0</v>
          </cell>
          <cell r="G11555">
            <v>275</v>
          </cell>
          <cell r="H11555">
            <v>0</v>
          </cell>
        </row>
        <row r="11556">
          <cell r="D11556" t="str">
            <v>Furnitures</v>
          </cell>
          <cell r="F11556">
            <v>0</v>
          </cell>
          <cell r="G11556">
            <v>275</v>
          </cell>
          <cell r="H11556">
            <v>0</v>
          </cell>
        </row>
        <row r="11557">
          <cell r="D11557" t="str">
            <v>Furnitures</v>
          </cell>
          <cell r="F11557">
            <v>0</v>
          </cell>
          <cell r="G11557">
            <v>275</v>
          </cell>
          <cell r="H11557">
            <v>0</v>
          </cell>
        </row>
        <row r="11558">
          <cell r="D11558" t="str">
            <v>Furnitures</v>
          </cell>
          <cell r="F11558">
            <v>0</v>
          </cell>
          <cell r="G11558">
            <v>275</v>
          </cell>
          <cell r="H11558">
            <v>0</v>
          </cell>
        </row>
        <row r="11559">
          <cell r="D11559" t="str">
            <v>Furnitures</v>
          </cell>
          <cell r="F11559">
            <v>0</v>
          </cell>
          <cell r="G11559">
            <v>275</v>
          </cell>
          <cell r="H11559">
            <v>0</v>
          </cell>
        </row>
        <row r="11560">
          <cell r="D11560" t="str">
            <v>Furnitures</v>
          </cell>
          <cell r="F11560">
            <v>0</v>
          </cell>
          <cell r="G11560">
            <v>275</v>
          </cell>
          <cell r="H11560">
            <v>0</v>
          </cell>
        </row>
        <row r="11561">
          <cell r="D11561" t="str">
            <v>Furnitures</v>
          </cell>
          <cell r="F11561">
            <v>0</v>
          </cell>
          <cell r="G11561">
            <v>275</v>
          </cell>
          <cell r="H11561">
            <v>0</v>
          </cell>
        </row>
        <row r="11562">
          <cell r="D11562" t="str">
            <v>Furnitures</v>
          </cell>
          <cell r="F11562">
            <v>0</v>
          </cell>
          <cell r="G11562">
            <v>275</v>
          </cell>
          <cell r="H11562">
            <v>0</v>
          </cell>
        </row>
        <row r="11563">
          <cell r="D11563" t="str">
            <v>Furnitures</v>
          </cell>
          <cell r="F11563">
            <v>0</v>
          </cell>
          <cell r="G11563">
            <v>275</v>
          </cell>
          <cell r="H11563">
            <v>0</v>
          </cell>
        </row>
        <row r="11564">
          <cell r="D11564" t="str">
            <v>Furnitures</v>
          </cell>
          <cell r="F11564">
            <v>0</v>
          </cell>
          <cell r="G11564">
            <v>275</v>
          </cell>
          <cell r="H11564">
            <v>0</v>
          </cell>
        </row>
        <row r="11565">
          <cell r="D11565" t="str">
            <v>Furnitures</v>
          </cell>
          <cell r="F11565">
            <v>0</v>
          </cell>
          <cell r="G11565">
            <v>275</v>
          </cell>
          <cell r="H11565">
            <v>0</v>
          </cell>
        </row>
        <row r="11566">
          <cell r="D11566" t="str">
            <v>Furnitures</v>
          </cell>
          <cell r="F11566">
            <v>0</v>
          </cell>
          <cell r="G11566">
            <v>275</v>
          </cell>
          <cell r="H11566">
            <v>0</v>
          </cell>
        </row>
        <row r="11567">
          <cell r="D11567" t="str">
            <v>Furnitures</v>
          </cell>
          <cell r="F11567">
            <v>0</v>
          </cell>
          <cell r="G11567">
            <v>275</v>
          </cell>
          <cell r="H11567">
            <v>0</v>
          </cell>
        </row>
        <row r="11568">
          <cell r="D11568" t="str">
            <v>Furnitures</v>
          </cell>
          <cell r="F11568">
            <v>0</v>
          </cell>
          <cell r="G11568">
            <v>275</v>
          </cell>
          <cell r="H11568">
            <v>0</v>
          </cell>
        </row>
        <row r="11569">
          <cell r="D11569" t="str">
            <v>Furnitures</v>
          </cell>
          <cell r="F11569">
            <v>0</v>
          </cell>
          <cell r="G11569">
            <v>275</v>
          </cell>
          <cell r="H11569">
            <v>0</v>
          </cell>
        </row>
        <row r="11570">
          <cell r="D11570" t="str">
            <v>Furnitures</v>
          </cell>
          <cell r="F11570">
            <v>0</v>
          </cell>
          <cell r="G11570">
            <v>275</v>
          </cell>
          <cell r="H11570">
            <v>0</v>
          </cell>
        </row>
        <row r="11571">
          <cell r="D11571" t="str">
            <v>Furnitures</v>
          </cell>
          <cell r="F11571">
            <v>0</v>
          </cell>
          <cell r="G11571">
            <v>275</v>
          </cell>
          <cell r="H11571">
            <v>0</v>
          </cell>
        </row>
        <row r="11572">
          <cell r="D11572" t="str">
            <v>Furnitures</v>
          </cell>
          <cell r="F11572">
            <v>0</v>
          </cell>
          <cell r="G11572">
            <v>275</v>
          </cell>
          <cell r="H11572">
            <v>0</v>
          </cell>
        </row>
        <row r="11573">
          <cell r="D11573" t="str">
            <v>Furnitures</v>
          </cell>
          <cell r="F11573">
            <v>0</v>
          </cell>
          <cell r="G11573">
            <v>275</v>
          </cell>
          <cell r="H11573">
            <v>0</v>
          </cell>
        </row>
        <row r="11574">
          <cell r="D11574" t="str">
            <v>Furnitures</v>
          </cell>
          <cell r="F11574">
            <v>0</v>
          </cell>
          <cell r="G11574">
            <v>275</v>
          </cell>
          <cell r="H11574">
            <v>0</v>
          </cell>
        </row>
        <row r="11575">
          <cell r="D11575" t="str">
            <v>Furnitures</v>
          </cell>
          <cell r="F11575">
            <v>0</v>
          </cell>
          <cell r="G11575">
            <v>275</v>
          </cell>
          <cell r="H11575">
            <v>0</v>
          </cell>
        </row>
        <row r="11576">
          <cell r="D11576" t="str">
            <v>Furnitures</v>
          </cell>
          <cell r="F11576">
            <v>0</v>
          </cell>
          <cell r="G11576">
            <v>275</v>
          </cell>
          <cell r="H11576">
            <v>0</v>
          </cell>
        </row>
        <row r="11577">
          <cell r="D11577" t="str">
            <v>Furnitures</v>
          </cell>
          <cell r="F11577">
            <v>0</v>
          </cell>
          <cell r="G11577">
            <v>275</v>
          </cell>
          <cell r="H11577">
            <v>0</v>
          </cell>
        </row>
        <row r="11578">
          <cell r="D11578" t="str">
            <v>Furnitures</v>
          </cell>
          <cell r="F11578">
            <v>7191.2832786885247</v>
          </cell>
          <cell r="G11578">
            <v>275</v>
          </cell>
          <cell r="H11578">
            <v>6847.9024567707165</v>
          </cell>
        </row>
        <row r="11579">
          <cell r="D11579" t="str">
            <v>Furnitures</v>
          </cell>
          <cell r="F11579">
            <v>7191.2832786885247</v>
          </cell>
          <cell r="G11579">
            <v>275</v>
          </cell>
          <cell r="H11579">
            <v>6847.9024567707165</v>
          </cell>
        </row>
        <row r="11580">
          <cell r="D11580" t="str">
            <v>Furnitures</v>
          </cell>
          <cell r="F11580">
            <v>0</v>
          </cell>
          <cell r="G11580">
            <v>275</v>
          </cell>
          <cell r="H11580">
            <v>0</v>
          </cell>
        </row>
        <row r="11581">
          <cell r="D11581" t="str">
            <v>Furnitures</v>
          </cell>
          <cell r="F11581">
            <v>0</v>
          </cell>
          <cell r="G11581">
            <v>275</v>
          </cell>
          <cell r="H11581">
            <v>0</v>
          </cell>
        </row>
        <row r="11582">
          <cell r="D11582" t="str">
            <v>Furnitures</v>
          </cell>
          <cell r="F11582">
            <v>0</v>
          </cell>
          <cell r="G11582">
            <v>275</v>
          </cell>
          <cell r="H11582">
            <v>0</v>
          </cell>
        </row>
        <row r="11583">
          <cell r="D11583" t="str">
            <v>Furnitures</v>
          </cell>
          <cell r="F11583">
            <v>0</v>
          </cell>
          <cell r="G11583">
            <v>275</v>
          </cell>
          <cell r="H11583">
            <v>0</v>
          </cell>
        </row>
        <row r="11584">
          <cell r="D11584" t="str">
            <v>Furnitures</v>
          </cell>
          <cell r="F11584">
            <v>0</v>
          </cell>
          <cell r="G11584">
            <v>275</v>
          </cell>
          <cell r="H11584">
            <v>0</v>
          </cell>
        </row>
        <row r="11585">
          <cell r="D11585" t="str">
            <v>Furnitures</v>
          </cell>
          <cell r="F11585">
            <v>0</v>
          </cell>
          <cell r="G11585">
            <v>275</v>
          </cell>
          <cell r="H11585">
            <v>0</v>
          </cell>
        </row>
        <row r="11586">
          <cell r="D11586" t="str">
            <v>Furnitures</v>
          </cell>
          <cell r="F11586">
            <v>0</v>
          </cell>
          <cell r="G11586">
            <v>275</v>
          </cell>
          <cell r="H11586">
            <v>0</v>
          </cell>
        </row>
        <row r="11587">
          <cell r="D11587" t="str">
            <v>Furnitures</v>
          </cell>
          <cell r="F11587">
            <v>17323.001967213117</v>
          </cell>
          <cell r="G11587">
            <v>275</v>
          </cell>
          <cell r="H11587">
            <v>16483.626624747361</v>
          </cell>
        </row>
        <row r="11588">
          <cell r="D11588" t="str">
            <v>Furnitures</v>
          </cell>
          <cell r="F11588">
            <v>0</v>
          </cell>
          <cell r="G11588">
            <v>275</v>
          </cell>
          <cell r="H11588">
            <v>0</v>
          </cell>
        </row>
        <row r="11589">
          <cell r="D11589" t="str">
            <v>Furnitures</v>
          </cell>
          <cell r="F11589">
            <v>0</v>
          </cell>
          <cell r="G11589">
            <v>275</v>
          </cell>
          <cell r="H11589">
            <v>0</v>
          </cell>
        </row>
        <row r="11590">
          <cell r="D11590" t="str">
            <v>Furnitures</v>
          </cell>
          <cell r="F11590">
            <v>0</v>
          </cell>
          <cell r="G11590">
            <v>275</v>
          </cell>
          <cell r="H11590">
            <v>0</v>
          </cell>
        </row>
        <row r="11591">
          <cell r="D11591" t="str">
            <v>Furnitures</v>
          </cell>
          <cell r="F11591">
            <v>0</v>
          </cell>
          <cell r="G11591">
            <v>275</v>
          </cell>
          <cell r="H11591">
            <v>0</v>
          </cell>
        </row>
        <row r="11592">
          <cell r="D11592" t="str">
            <v>Furnitures</v>
          </cell>
          <cell r="F11592">
            <v>0</v>
          </cell>
          <cell r="G11592">
            <v>275</v>
          </cell>
          <cell r="H11592">
            <v>0</v>
          </cell>
        </row>
        <row r="11593">
          <cell r="D11593" t="str">
            <v>Furnitures</v>
          </cell>
          <cell r="F11593">
            <v>0</v>
          </cell>
          <cell r="G11593">
            <v>275</v>
          </cell>
          <cell r="H11593">
            <v>0</v>
          </cell>
        </row>
        <row r="11594">
          <cell r="D11594" t="str">
            <v>Furnitures</v>
          </cell>
          <cell r="F11594">
            <v>0</v>
          </cell>
          <cell r="G11594">
            <v>275</v>
          </cell>
          <cell r="H11594">
            <v>0</v>
          </cell>
        </row>
        <row r="11595">
          <cell r="D11595" t="str">
            <v>Furnitures</v>
          </cell>
          <cell r="F11595">
            <v>0</v>
          </cell>
          <cell r="G11595">
            <v>275</v>
          </cell>
          <cell r="H11595">
            <v>0</v>
          </cell>
        </row>
        <row r="11596">
          <cell r="D11596" t="str">
            <v>Furnitures</v>
          </cell>
          <cell r="F11596">
            <v>33132.747363524591</v>
          </cell>
          <cell r="G11596">
            <v>275</v>
          </cell>
          <cell r="H11596">
            <v>31549.850004278018</v>
          </cell>
        </row>
        <row r="11597">
          <cell r="D11597" t="str">
            <v>Furnitures</v>
          </cell>
          <cell r="F11597">
            <v>0</v>
          </cell>
          <cell r="G11597">
            <v>275</v>
          </cell>
          <cell r="H11597">
            <v>0</v>
          </cell>
        </row>
        <row r="11598">
          <cell r="D11598" t="str">
            <v>Furnitures</v>
          </cell>
          <cell r="F11598">
            <v>0</v>
          </cell>
          <cell r="G11598">
            <v>275</v>
          </cell>
          <cell r="H11598">
            <v>0</v>
          </cell>
        </row>
        <row r="11599">
          <cell r="D11599" t="str">
            <v>Furnitures</v>
          </cell>
          <cell r="F11599">
            <v>0</v>
          </cell>
          <cell r="G11599">
            <v>275</v>
          </cell>
          <cell r="H11599">
            <v>0</v>
          </cell>
        </row>
        <row r="11600">
          <cell r="D11600" t="str">
            <v>Furnitures</v>
          </cell>
          <cell r="F11600">
            <v>0</v>
          </cell>
          <cell r="G11600">
            <v>275</v>
          </cell>
          <cell r="H11600">
            <v>0</v>
          </cell>
        </row>
        <row r="11601">
          <cell r="D11601" t="str">
            <v>Furnitures</v>
          </cell>
          <cell r="F11601">
            <v>0</v>
          </cell>
          <cell r="G11601">
            <v>275</v>
          </cell>
          <cell r="H11601">
            <v>0</v>
          </cell>
        </row>
        <row r="11602">
          <cell r="D11602" t="str">
            <v>Furnitures</v>
          </cell>
          <cell r="F11602">
            <v>0</v>
          </cell>
          <cell r="G11602">
            <v>275</v>
          </cell>
          <cell r="H11602">
            <v>0</v>
          </cell>
        </row>
        <row r="11603">
          <cell r="D11603" t="str">
            <v>Furnitures</v>
          </cell>
          <cell r="F11603">
            <v>0</v>
          </cell>
          <cell r="G11603">
            <v>275</v>
          </cell>
          <cell r="H11603">
            <v>0</v>
          </cell>
        </row>
        <row r="11604">
          <cell r="D11604" t="str">
            <v>Furnitures</v>
          </cell>
          <cell r="F11604">
            <v>0</v>
          </cell>
          <cell r="G11604">
            <v>275</v>
          </cell>
          <cell r="H11604">
            <v>0</v>
          </cell>
        </row>
        <row r="11605">
          <cell r="D11605" t="str">
            <v>Furnitures</v>
          </cell>
          <cell r="F11605">
            <v>0</v>
          </cell>
          <cell r="G11605">
            <v>275</v>
          </cell>
          <cell r="H11605">
            <v>0</v>
          </cell>
        </row>
        <row r="11606">
          <cell r="D11606" t="str">
            <v>Furnitures</v>
          </cell>
          <cell r="F11606">
            <v>0</v>
          </cell>
          <cell r="G11606">
            <v>275</v>
          </cell>
          <cell r="H11606">
            <v>0</v>
          </cell>
        </row>
        <row r="11607">
          <cell r="D11607" t="str">
            <v>Furnitures</v>
          </cell>
          <cell r="F11607">
            <v>0</v>
          </cell>
          <cell r="G11607">
            <v>275</v>
          </cell>
          <cell r="H11607">
            <v>0</v>
          </cell>
        </row>
        <row r="11608">
          <cell r="D11608" t="str">
            <v>Furnitures</v>
          </cell>
          <cell r="F11608">
            <v>0</v>
          </cell>
          <cell r="G11608">
            <v>275</v>
          </cell>
          <cell r="H11608">
            <v>0</v>
          </cell>
        </row>
        <row r="11609">
          <cell r="D11609" t="str">
            <v>Furnitures</v>
          </cell>
          <cell r="F11609">
            <v>0</v>
          </cell>
          <cell r="G11609">
            <v>275</v>
          </cell>
          <cell r="H11609">
            <v>0</v>
          </cell>
        </row>
        <row r="11610">
          <cell r="D11610" t="str">
            <v>Furnitures</v>
          </cell>
          <cell r="F11610">
            <v>0</v>
          </cell>
          <cell r="G11610">
            <v>275</v>
          </cell>
          <cell r="H11610">
            <v>0</v>
          </cell>
        </row>
        <row r="11611">
          <cell r="D11611" t="str">
            <v>Furnitures</v>
          </cell>
          <cell r="F11611">
            <v>0</v>
          </cell>
          <cell r="G11611">
            <v>275</v>
          </cell>
          <cell r="H11611">
            <v>0</v>
          </cell>
        </row>
        <row r="11612">
          <cell r="D11612" t="str">
            <v>Furnitures</v>
          </cell>
          <cell r="F11612">
            <v>0</v>
          </cell>
          <cell r="G11612">
            <v>275</v>
          </cell>
          <cell r="H11612">
            <v>0</v>
          </cell>
        </row>
        <row r="11613">
          <cell r="D11613" t="str">
            <v>Furnitures</v>
          </cell>
          <cell r="F11613">
            <v>0</v>
          </cell>
          <cell r="G11613">
            <v>275</v>
          </cell>
          <cell r="H11613">
            <v>0</v>
          </cell>
        </row>
        <row r="11614">
          <cell r="D11614" t="str">
            <v>Furnitures</v>
          </cell>
          <cell r="F11614">
            <v>0</v>
          </cell>
          <cell r="G11614">
            <v>275</v>
          </cell>
          <cell r="H11614">
            <v>0</v>
          </cell>
        </row>
        <row r="11615">
          <cell r="D11615" t="str">
            <v>Furnitures</v>
          </cell>
          <cell r="F11615">
            <v>0</v>
          </cell>
          <cell r="G11615">
            <v>275</v>
          </cell>
          <cell r="H11615">
            <v>0</v>
          </cell>
        </row>
        <row r="11616">
          <cell r="D11616" t="str">
            <v>Furnitures</v>
          </cell>
          <cell r="F11616">
            <v>0</v>
          </cell>
          <cell r="G11616">
            <v>275</v>
          </cell>
          <cell r="H11616">
            <v>0</v>
          </cell>
        </row>
        <row r="11617">
          <cell r="D11617" t="str">
            <v>Furnitures</v>
          </cell>
          <cell r="F11617">
            <v>0</v>
          </cell>
          <cell r="G11617">
            <v>275</v>
          </cell>
          <cell r="H11617">
            <v>0</v>
          </cell>
        </row>
        <row r="11618">
          <cell r="D11618" t="str">
            <v>Furnitures</v>
          </cell>
          <cell r="F11618">
            <v>8499.723196721312</v>
          </cell>
          <cell r="G11618">
            <v>275</v>
          </cell>
          <cell r="H11618">
            <v>8091.9584706939149</v>
          </cell>
        </row>
        <row r="11619">
          <cell r="D11619" t="str">
            <v>Furnitures</v>
          </cell>
          <cell r="F11619">
            <v>8499.723196721312</v>
          </cell>
          <cell r="G11619">
            <v>275</v>
          </cell>
          <cell r="H11619">
            <v>8091.9584706939149</v>
          </cell>
        </row>
        <row r="11620">
          <cell r="D11620" t="str">
            <v>Furnitures</v>
          </cell>
          <cell r="F11620">
            <v>0</v>
          </cell>
          <cell r="G11620">
            <v>275</v>
          </cell>
          <cell r="H11620">
            <v>0</v>
          </cell>
        </row>
        <row r="11621">
          <cell r="D11621" t="str">
            <v>Furnitures</v>
          </cell>
          <cell r="F11621">
            <v>0</v>
          </cell>
          <cell r="G11621">
            <v>275</v>
          </cell>
          <cell r="H11621">
            <v>0</v>
          </cell>
        </row>
        <row r="11622">
          <cell r="D11622" t="str">
            <v>Furnitures</v>
          </cell>
          <cell r="F11622">
            <v>0</v>
          </cell>
          <cell r="G11622">
            <v>275</v>
          </cell>
          <cell r="H11622">
            <v>0</v>
          </cell>
        </row>
        <row r="11623">
          <cell r="D11623" t="str">
            <v>Furnitures</v>
          </cell>
          <cell r="F11623">
            <v>0</v>
          </cell>
          <cell r="G11623">
            <v>275</v>
          </cell>
          <cell r="H11623">
            <v>0</v>
          </cell>
        </row>
        <row r="11624">
          <cell r="D11624" t="str">
            <v>Furnitures</v>
          </cell>
          <cell r="F11624">
            <v>0</v>
          </cell>
          <cell r="G11624">
            <v>275</v>
          </cell>
          <cell r="H11624">
            <v>0</v>
          </cell>
        </row>
        <row r="11625">
          <cell r="D11625" t="str">
            <v>Furnitures</v>
          </cell>
          <cell r="F11625">
            <v>0</v>
          </cell>
          <cell r="G11625">
            <v>275</v>
          </cell>
          <cell r="H11625">
            <v>0</v>
          </cell>
        </row>
        <row r="11626">
          <cell r="D11626" t="str">
            <v>Furnitures</v>
          </cell>
          <cell r="F11626">
            <v>0</v>
          </cell>
          <cell r="G11626">
            <v>275</v>
          </cell>
          <cell r="H11626">
            <v>0</v>
          </cell>
        </row>
        <row r="11627">
          <cell r="D11627" t="str">
            <v>Furnitures</v>
          </cell>
          <cell r="F11627">
            <v>0</v>
          </cell>
          <cell r="G11627">
            <v>275</v>
          </cell>
          <cell r="H11627">
            <v>0</v>
          </cell>
        </row>
        <row r="11628">
          <cell r="D11628" t="str">
            <v>Furnitures</v>
          </cell>
          <cell r="F11628">
            <v>0</v>
          </cell>
          <cell r="G11628">
            <v>275</v>
          </cell>
          <cell r="H11628">
            <v>0</v>
          </cell>
        </row>
        <row r="11629">
          <cell r="D11629" t="str">
            <v>Furnitures</v>
          </cell>
          <cell r="F11629">
            <v>0</v>
          </cell>
          <cell r="G11629">
            <v>275</v>
          </cell>
          <cell r="H11629">
            <v>0</v>
          </cell>
        </row>
        <row r="11630">
          <cell r="D11630" t="str">
            <v>Furnitures</v>
          </cell>
          <cell r="F11630">
            <v>0</v>
          </cell>
          <cell r="G11630">
            <v>275</v>
          </cell>
          <cell r="H11630">
            <v>0</v>
          </cell>
        </row>
        <row r="11631">
          <cell r="D11631" t="str">
            <v>Furnitures</v>
          </cell>
          <cell r="F11631">
            <v>0</v>
          </cell>
          <cell r="G11631">
            <v>275</v>
          </cell>
          <cell r="H11631">
            <v>0</v>
          </cell>
        </row>
        <row r="11632">
          <cell r="D11632" t="str">
            <v>Furnitures</v>
          </cell>
          <cell r="F11632">
            <v>0</v>
          </cell>
          <cell r="G11632">
            <v>275</v>
          </cell>
          <cell r="H11632">
            <v>0</v>
          </cell>
        </row>
        <row r="11633">
          <cell r="D11633" t="str">
            <v>Furnitures</v>
          </cell>
          <cell r="F11633">
            <v>0</v>
          </cell>
          <cell r="G11633">
            <v>275</v>
          </cell>
          <cell r="H11633">
            <v>0</v>
          </cell>
        </row>
        <row r="11634">
          <cell r="D11634" t="str">
            <v>Furnitures</v>
          </cell>
          <cell r="F11634">
            <v>0</v>
          </cell>
          <cell r="G11634">
            <v>275</v>
          </cell>
          <cell r="H11634">
            <v>0</v>
          </cell>
        </row>
        <row r="11635">
          <cell r="D11635" t="str">
            <v>Furnitures</v>
          </cell>
          <cell r="F11635">
            <v>0</v>
          </cell>
          <cell r="G11635">
            <v>275</v>
          </cell>
          <cell r="H11635">
            <v>0</v>
          </cell>
        </row>
        <row r="11636">
          <cell r="D11636" t="str">
            <v>Furnitures</v>
          </cell>
          <cell r="F11636">
            <v>0</v>
          </cell>
          <cell r="G11636">
            <v>275</v>
          </cell>
          <cell r="H11636">
            <v>0</v>
          </cell>
        </row>
        <row r="11637">
          <cell r="D11637" t="str">
            <v>Furnitures</v>
          </cell>
          <cell r="F11637">
            <v>0</v>
          </cell>
          <cell r="G11637">
            <v>275</v>
          </cell>
          <cell r="H11637">
            <v>0</v>
          </cell>
        </row>
        <row r="11638">
          <cell r="D11638" t="str">
            <v>Furnitures</v>
          </cell>
          <cell r="F11638">
            <v>0</v>
          </cell>
          <cell r="G11638">
            <v>275</v>
          </cell>
          <cell r="H11638">
            <v>0</v>
          </cell>
        </row>
        <row r="11639">
          <cell r="D11639" t="str">
            <v>Furnitures</v>
          </cell>
          <cell r="F11639">
            <v>0</v>
          </cell>
          <cell r="G11639">
            <v>275</v>
          </cell>
          <cell r="H11639">
            <v>0</v>
          </cell>
        </row>
        <row r="11640">
          <cell r="D11640" t="str">
            <v>Furnitures</v>
          </cell>
          <cell r="F11640">
            <v>0</v>
          </cell>
          <cell r="G11640">
            <v>275</v>
          </cell>
          <cell r="H11640">
            <v>0</v>
          </cell>
        </row>
        <row r="11641">
          <cell r="D11641" t="str">
            <v>Furnitures</v>
          </cell>
          <cell r="F11641">
            <v>0</v>
          </cell>
          <cell r="G11641">
            <v>275</v>
          </cell>
          <cell r="H11641">
            <v>0</v>
          </cell>
        </row>
        <row r="11642">
          <cell r="D11642" t="str">
            <v>Furnitures</v>
          </cell>
          <cell r="F11642">
            <v>0</v>
          </cell>
          <cell r="G11642">
            <v>275</v>
          </cell>
          <cell r="H11642">
            <v>0</v>
          </cell>
        </row>
        <row r="11643">
          <cell r="D11643" t="str">
            <v>Furnitures</v>
          </cell>
          <cell r="F11643">
            <v>0</v>
          </cell>
          <cell r="G11643">
            <v>275</v>
          </cell>
          <cell r="H11643">
            <v>0</v>
          </cell>
        </row>
        <row r="11644">
          <cell r="D11644" t="str">
            <v>Furnitures</v>
          </cell>
          <cell r="F11644">
            <v>0</v>
          </cell>
          <cell r="G11644">
            <v>275</v>
          </cell>
          <cell r="H11644">
            <v>0</v>
          </cell>
        </row>
        <row r="11645">
          <cell r="D11645" t="str">
            <v>Furnitures</v>
          </cell>
          <cell r="F11645">
            <v>0</v>
          </cell>
          <cell r="G11645">
            <v>275</v>
          </cell>
          <cell r="H11645">
            <v>0</v>
          </cell>
        </row>
        <row r="11646">
          <cell r="D11646" t="str">
            <v>Furnitures</v>
          </cell>
          <cell r="F11646">
            <v>0</v>
          </cell>
          <cell r="G11646">
            <v>275</v>
          </cell>
          <cell r="H11646">
            <v>0</v>
          </cell>
        </row>
        <row r="11647">
          <cell r="D11647" t="str">
            <v>Furnitures</v>
          </cell>
          <cell r="F11647">
            <v>0</v>
          </cell>
          <cell r="G11647">
            <v>275</v>
          </cell>
          <cell r="H11647">
            <v>0</v>
          </cell>
        </row>
        <row r="11648">
          <cell r="D11648" t="str">
            <v>Furnitures</v>
          </cell>
          <cell r="F11648">
            <v>0</v>
          </cell>
          <cell r="G11648">
            <v>275</v>
          </cell>
          <cell r="H11648">
            <v>0</v>
          </cell>
        </row>
        <row r="11649">
          <cell r="D11649" t="str">
            <v>Furnitures</v>
          </cell>
          <cell r="F11649">
            <v>0</v>
          </cell>
          <cell r="G11649">
            <v>275</v>
          </cell>
          <cell r="H11649">
            <v>0</v>
          </cell>
        </row>
        <row r="11650">
          <cell r="D11650" t="str">
            <v>Furnitures</v>
          </cell>
          <cell r="F11650">
            <v>0</v>
          </cell>
          <cell r="G11650">
            <v>275</v>
          </cell>
          <cell r="H11650">
            <v>0</v>
          </cell>
        </row>
        <row r="11651">
          <cell r="D11651" t="str">
            <v>Furnitures</v>
          </cell>
          <cell r="F11651">
            <v>0</v>
          </cell>
          <cell r="G11651">
            <v>275</v>
          </cell>
          <cell r="H11651">
            <v>0</v>
          </cell>
        </row>
        <row r="11652">
          <cell r="D11652" t="str">
            <v>Furnitures</v>
          </cell>
          <cell r="F11652">
            <v>0</v>
          </cell>
          <cell r="G11652">
            <v>275</v>
          </cell>
          <cell r="H11652">
            <v>0</v>
          </cell>
        </row>
        <row r="11653">
          <cell r="D11653" t="str">
            <v>Furnitures</v>
          </cell>
          <cell r="F11653">
            <v>0</v>
          </cell>
          <cell r="G11653">
            <v>275</v>
          </cell>
          <cell r="H11653">
            <v>0</v>
          </cell>
        </row>
        <row r="11654">
          <cell r="D11654" t="str">
            <v>Furnitures</v>
          </cell>
          <cell r="F11654">
            <v>0</v>
          </cell>
          <cell r="G11654">
            <v>275</v>
          </cell>
          <cell r="H11654">
            <v>0</v>
          </cell>
        </row>
        <row r="11655">
          <cell r="D11655" t="str">
            <v>Furnitures</v>
          </cell>
          <cell r="F11655">
            <v>0</v>
          </cell>
          <cell r="G11655">
            <v>275</v>
          </cell>
          <cell r="H11655">
            <v>0</v>
          </cell>
        </row>
        <row r="11656">
          <cell r="D11656" t="str">
            <v>Furnitures</v>
          </cell>
          <cell r="F11656">
            <v>0</v>
          </cell>
          <cell r="G11656">
            <v>275</v>
          </cell>
          <cell r="H11656">
            <v>0</v>
          </cell>
        </row>
        <row r="11657">
          <cell r="D11657" t="str">
            <v>Furnitures</v>
          </cell>
          <cell r="F11657">
            <v>0</v>
          </cell>
          <cell r="G11657">
            <v>275</v>
          </cell>
          <cell r="H11657">
            <v>0</v>
          </cell>
        </row>
        <row r="11658">
          <cell r="D11658" t="str">
            <v>Furnitures</v>
          </cell>
          <cell r="F11658">
            <v>0</v>
          </cell>
          <cell r="G11658">
            <v>275</v>
          </cell>
          <cell r="H11658">
            <v>0</v>
          </cell>
        </row>
        <row r="11659">
          <cell r="D11659" t="str">
            <v>Furnitures</v>
          </cell>
          <cell r="F11659">
            <v>0</v>
          </cell>
          <cell r="G11659">
            <v>275</v>
          </cell>
          <cell r="H11659">
            <v>0</v>
          </cell>
        </row>
        <row r="11660">
          <cell r="D11660" t="str">
            <v>Furnitures</v>
          </cell>
          <cell r="F11660">
            <v>0</v>
          </cell>
          <cell r="G11660">
            <v>275</v>
          </cell>
          <cell r="H11660">
            <v>0</v>
          </cell>
        </row>
        <row r="11661">
          <cell r="D11661" t="str">
            <v>Furnitures</v>
          </cell>
          <cell r="F11661">
            <v>0</v>
          </cell>
          <cell r="G11661">
            <v>275</v>
          </cell>
          <cell r="H11661">
            <v>0</v>
          </cell>
        </row>
        <row r="11662">
          <cell r="D11662" t="str">
            <v>Furnitures</v>
          </cell>
          <cell r="F11662">
            <v>0</v>
          </cell>
          <cell r="G11662">
            <v>275</v>
          </cell>
          <cell r="H11662">
            <v>0</v>
          </cell>
        </row>
        <row r="11663">
          <cell r="D11663" t="str">
            <v>Furnitures</v>
          </cell>
          <cell r="F11663">
            <v>0</v>
          </cell>
          <cell r="G11663">
            <v>275</v>
          </cell>
          <cell r="H11663">
            <v>0</v>
          </cell>
        </row>
        <row r="11664">
          <cell r="D11664" t="str">
            <v>Furnitures</v>
          </cell>
          <cell r="F11664">
            <v>0</v>
          </cell>
          <cell r="G11664">
            <v>275</v>
          </cell>
          <cell r="H11664">
            <v>0</v>
          </cell>
        </row>
        <row r="11665">
          <cell r="D11665" t="str">
            <v>Furnitures</v>
          </cell>
          <cell r="F11665">
            <v>0</v>
          </cell>
          <cell r="G11665">
            <v>275</v>
          </cell>
          <cell r="H11665">
            <v>0</v>
          </cell>
        </row>
        <row r="11666">
          <cell r="D11666" t="str">
            <v>Furnitures</v>
          </cell>
          <cell r="F11666">
            <v>0</v>
          </cell>
          <cell r="G11666">
            <v>275</v>
          </cell>
          <cell r="H11666">
            <v>0</v>
          </cell>
        </row>
        <row r="11667">
          <cell r="D11667" t="str">
            <v>Furnitures</v>
          </cell>
          <cell r="F11667">
            <v>0</v>
          </cell>
          <cell r="G11667">
            <v>275</v>
          </cell>
          <cell r="H11667">
            <v>0</v>
          </cell>
        </row>
        <row r="11668">
          <cell r="D11668" t="str">
            <v>Furnitures</v>
          </cell>
          <cell r="F11668">
            <v>0</v>
          </cell>
          <cell r="G11668">
            <v>275</v>
          </cell>
          <cell r="H11668">
            <v>0</v>
          </cell>
        </row>
        <row r="11669">
          <cell r="D11669" t="str">
            <v>Furnitures</v>
          </cell>
          <cell r="F11669">
            <v>0</v>
          </cell>
          <cell r="G11669">
            <v>275</v>
          </cell>
          <cell r="H11669">
            <v>0</v>
          </cell>
        </row>
        <row r="11670">
          <cell r="D11670" t="str">
            <v>Furnitures</v>
          </cell>
          <cell r="F11670">
            <v>0</v>
          </cell>
          <cell r="G11670">
            <v>275</v>
          </cell>
          <cell r="H11670">
            <v>0</v>
          </cell>
        </row>
        <row r="11671">
          <cell r="D11671" t="str">
            <v>Furnitures</v>
          </cell>
          <cell r="F11671">
            <v>0</v>
          </cell>
          <cell r="G11671">
            <v>275</v>
          </cell>
          <cell r="H11671">
            <v>0</v>
          </cell>
        </row>
        <row r="11672">
          <cell r="D11672" t="str">
            <v>Furnitures</v>
          </cell>
          <cell r="F11672">
            <v>0</v>
          </cell>
          <cell r="G11672">
            <v>275</v>
          </cell>
          <cell r="H11672">
            <v>0</v>
          </cell>
        </row>
        <row r="11673">
          <cell r="D11673" t="str">
            <v>Furnitures</v>
          </cell>
          <cell r="F11673">
            <v>0</v>
          </cell>
          <cell r="G11673">
            <v>275</v>
          </cell>
          <cell r="H11673">
            <v>0</v>
          </cell>
        </row>
        <row r="11674">
          <cell r="D11674" t="str">
            <v>Furnitures</v>
          </cell>
          <cell r="F11674">
            <v>0</v>
          </cell>
          <cell r="G11674">
            <v>275</v>
          </cell>
          <cell r="H11674">
            <v>0</v>
          </cell>
        </row>
        <row r="11675">
          <cell r="D11675" t="str">
            <v>Furnitures</v>
          </cell>
          <cell r="F11675">
            <v>0</v>
          </cell>
          <cell r="G11675">
            <v>275</v>
          </cell>
          <cell r="H11675">
            <v>0</v>
          </cell>
        </row>
        <row r="11676">
          <cell r="D11676" t="str">
            <v>Furnitures</v>
          </cell>
          <cell r="F11676">
            <v>0</v>
          </cell>
          <cell r="G11676">
            <v>275</v>
          </cell>
          <cell r="H11676">
            <v>0</v>
          </cell>
        </row>
        <row r="11677">
          <cell r="D11677" t="str">
            <v>Furnitures</v>
          </cell>
          <cell r="F11677">
            <v>0</v>
          </cell>
          <cell r="G11677">
            <v>275</v>
          </cell>
          <cell r="H11677">
            <v>0</v>
          </cell>
        </row>
        <row r="11678">
          <cell r="D11678" t="str">
            <v>Furnitures</v>
          </cell>
          <cell r="F11678">
            <v>0</v>
          </cell>
          <cell r="G11678">
            <v>275</v>
          </cell>
          <cell r="H11678">
            <v>0</v>
          </cell>
        </row>
        <row r="11679">
          <cell r="D11679" t="str">
            <v>Furnitures</v>
          </cell>
          <cell r="F11679">
            <v>0</v>
          </cell>
          <cell r="G11679">
            <v>275</v>
          </cell>
          <cell r="H11679">
            <v>0</v>
          </cell>
        </row>
        <row r="11680">
          <cell r="D11680" t="str">
            <v>Furnitures</v>
          </cell>
          <cell r="F11680">
            <v>0</v>
          </cell>
          <cell r="G11680">
            <v>275</v>
          </cell>
          <cell r="H11680">
            <v>0</v>
          </cell>
        </row>
        <row r="11681">
          <cell r="D11681" t="str">
            <v>Furnitures</v>
          </cell>
          <cell r="F11681">
            <v>0</v>
          </cell>
          <cell r="G11681">
            <v>275</v>
          </cell>
          <cell r="H11681">
            <v>0</v>
          </cell>
        </row>
        <row r="11682">
          <cell r="D11682" t="str">
            <v>Furnitures</v>
          </cell>
          <cell r="F11682">
            <v>0</v>
          </cell>
          <cell r="G11682">
            <v>275</v>
          </cell>
          <cell r="H11682">
            <v>0</v>
          </cell>
        </row>
        <row r="11683">
          <cell r="D11683" t="str">
            <v>Furnitures</v>
          </cell>
          <cell r="F11683">
            <v>0</v>
          </cell>
          <cell r="G11683">
            <v>275</v>
          </cell>
          <cell r="H11683">
            <v>0</v>
          </cell>
        </row>
        <row r="11684">
          <cell r="D11684" t="str">
            <v>Furnitures</v>
          </cell>
          <cell r="F11684">
            <v>0</v>
          </cell>
          <cell r="G11684">
            <v>275</v>
          </cell>
          <cell r="H11684">
            <v>0</v>
          </cell>
        </row>
        <row r="11685">
          <cell r="D11685" t="str">
            <v>Furnitures</v>
          </cell>
          <cell r="F11685">
            <v>0</v>
          </cell>
          <cell r="G11685">
            <v>275</v>
          </cell>
          <cell r="H11685">
            <v>0</v>
          </cell>
        </row>
        <row r="11686">
          <cell r="D11686" t="str">
            <v>Furnitures</v>
          </cell>
          <cell r="F11686">
            <v>5118.1596721311471</v>
          </cell>
          <cell r="G11686">
            <v>275</v>
          </cell>
          <cell r="H11686">
            <v>4870.1624118571744</v>
          </cell>
        </row>
        <row r="11687">
          <cell r="D11687" t="str">
            <v>Furnitures</v>
          </cell>
          <cell r="F11687">
            <v>6299.2734426229508</v>
          </cell>
          <cell r="G11687">
            <v>275</v>
          </cell>
          <cell r="H11687">
            <v>5994.0460453626765</v>
          </cell>
        </row>
        <row r="11688">
          <cell r="D11688" t="str">
            <v>Furnitures</v>
          </cell>
          <cell r="F11688">
            <v>0</v>
          </cell>
          <cell r="G11688">
            <v>275</v>
          </cell>
          <cell r="H11688">
            <v>0</v>
          </cell>
        </row>
        <row r="11689">
          <cell r="D11689" t="str">
            <v>Furnitures</v>
          </cell>
          <cell r="F11689">
            <v>0</v>
          </cell>
          <cell r="G11689">
            <v>275</v>
          </cell>
          <cell r="H11689">
            <v>0</v>
          </cell>
        </row>
        <row r="11690">
          <cell r="D11690" t="str">
            <v>Furnitures</v>
          </cell>
          <cell r="F11690">
            <v>0</v>
          </cell>
          <cell r="G11690">
            <v>275</v>
          </cell>
          <cell r="H11690">
            <v>0</v>
          </cell>
        </row>
        <row r="11691">
          <cell r="D11691" t="str">
            <v>Furnitures</v>
          </cell>
          <cell r="F11691">
            <v>0</v>
          </cell>
          <cell r="G11691">
            <v>275</v>
          </cell>
          <cell r="H11691">
            <v>0</v>
          </cell>
        </row>
        <row r="11692">
          <cell r="D11692" t="str">
            <v>Furnitures</v>
          </cell>
          <cell r="F11692">
            <v>5118.1596721311471</v>
          </cell>
          <cell r="G11692">
            <v>275</v>
          </cell>
          <cell r="H11692">
            <v>4870.1624118571744</v>
          </cell>
        </row>
        <row r="11693">
          <cell r="D11693" t="str">
            <v>Furnitures</v>
          </cell>
          <cell r="F11693">
            <v>0</v>
          </cell>
          <cell r="G11693">
            <v>275</v>
          </cell>
          <cell r="H11693">
            <v>0</v>
          </cell>
        </row>
        <row r="11694">
          <cell r="D11694" t="str">
            <v>Furnitures</v>
          </cell>
          <cell r="F11694">
            <v>0</v>
          </cell>
          <cell r="G11694">
            <v>275</v>
          </cell>
          <cell r="H11694">
            <v>0</v>
          </cell>
        </row>
        <row r="11695">
          <cell r="D11695" t="str">
            <v>Furnitures</v>
          </cell>
          <cell r="F11695">
            <v>0</v>
          </cell>
          <cell r="G11695">
            <v>275</v>
          </cell>
          <cell r="H11695">
            <v>0</v>
          </cell>
        </row>
        <row r="11696">
          <cell r="D11696" t="str">
            <v>Furnitures</v>
          </cell>
          <cell r="F11696">
            <v>0</v>
          </cell>
          <cell r="G11696">
            <v>275</v>
          </cell>
          <cell r="H11696">
            <v>0</v>
          </cell>
        </row>
        <row r="11697">
          <cell r="D11697" t="str">
            <v>Furnitures</v>
          </cell>
          <cell r="F11697">
            <v>0</v>
          </cell>
          <cell r="G11697">
            <v>275</v>
          </cell>
          <cell r="H11697">
            <v>0</v>
          </cell>
        </row>
        <row r="11698">
          <cell r="D11698" t="str">
            <v>Furnitures</v>
          </cell>
          <cell r="F11698">
            <v>0</v>
          </cell>
          <cell r="G11698">
            <v>275</v>
          </cell>
          <cell r="H11698">
            <v>0</v>
          </cell>
        </row>
        <row r="11699">
          <cell r="D11699" t="str">
            <v>Furnitures</v>
          </cell>
          <cell r="F11699">
            <v>0</v>
          </cell>
          <cell r="G11699">
            <v>275</v>
          </cell>
          <cell r="H11699">
            <v>0</v>
          </cell>
        </row>
        <row r="11700">
          <cell r="D11700" t="str">
            <v>Furnitures</v>
          </cell>
          <cell r="F11700">
            <v>0</v>
          </cell>
          <cell r="G11700">
            <v>275</v>
          </cell>
          <cell r="H11700">
            <v>0</v>
          </cell>
        </row>
        <row r="11701">
          <cell r="D11701" t="str">
            <v>Furnitures</v>
          </cell>
          <cell r="F11701">
            <v>0</v>
          </cell>
          <cell r="G11701">
            <v>275</v>
          </cell>
          <cell r="H11701">
            <v>0</v>
          </cell>
        </row>
        <row r="11702">
          <cell r="D11702" t="str">
            <v>Furnitures</v>
          </cell>
          <cell r="F11702">
            <v>0</v>
          </cell>
          <cell r="G11702">
            <v>275</v>
          </cell>
          <cell r="H11702">
            <v>0</v>
          </cell>
        </row>
        <row r="11703">
          <cell r="D11703" t="str">
            <v>Furnitures</v>
          </cell>
          <cell r="F11703">
            <v>0</v>
          </cell>
          <cell r="G11703">
            <v>275</v>
          </cell>
          <cell r="H11703">
            <v>0</v>
          </cell>
        </row>
        <row r="11704">
          <cell r="D11704" t="str">
            <v>Furnitures</v>
          </cell>
          <cell r="F11704">
            <v>0</v>
          </cell>
          <cell r="G11704">
            <v>275</v>
          </cell>
          <cell r="H11704">
            <v>0</v>
          </cell>
        </row>
        <row r="11705">
          <cell r="D11705" t="str">
            <v>Furnitures</v>
          </cell>
          <cell r="F11705">
            <v>0</v>
          </cell>
          <cell r="G11705">
            <v>275</v>
          </cell>
          <cell r="H11705">
            <v>0</v>
          </cell>
        </row>
        <row r="11706">
          <cell r="D11706" t="str">
            <v>Furnitures</v>
          </cell>
          <cell r="F11706">
            <v>0</v>
          </cell>
          <cell r="G11706">
            <v>275</v>
          </cell>
          <cell r="H11706">
            <v>0</v>
          </cell>
        </row>
        <row r="11707">
          <cell r="D11707" t="str">
            <v>Furnitures</v>
          </cell>
          <cell r="F11707">
            <v>0</v>
          </cell>
          <cell r="G11707">
            <v>275</v>
          </cell>
          <cell r="H11707">
            <v>0</v>
          </cell>
        </row>
        <row r="11708">
          <cell r="D11708" t="str">
            <v>Furnitures</v>
          </cell>
          <cell r="F11708">
            <v>0</v>
          </cell>
          <cell r="G11708">
            <v>275</v>
          </cell>
          <cell r="H11708">
            <v>0</v>
          </cell>
        </row>
        <row r="11709">
          <cell r="D11709" t="str">
            <v>Furnitures</v>
          </cell>
          <cell r="F11709">
            <v>0</v>
          </cell>
          <cell r="G11709">
            <v>275</v>
          </cell>
          <cell r="H11709">
            <v>0</v>
          </cell>
        </row>
        <row r="11710">
          <cell r="D11710" t="str">
            <v>Furnitures</v>
          </cell>
          <cell r="F11710">
            <v>0</v>
          </cell>
          <cell r="G11710">
            <v>275</v>
          </cell>
          <cell r="H11710">
            <v>0</v>
          </cell>
        </row>
        <row r="11711">
          <cell r="D11711" t="str">
            <v>Furnitures</v>
          </cell>
          <cell r="F11711">
            <v>0</v>
          </cell>
          <cell r="G11711">
            <v>275</v>
          </cell>
          <cell r="H11711">
            <v>0</v>
          </cell>
        </row>
        <row r="11712">
          <cell r="D11712" t="str">
            <v>Furnitures</v>
          </cell>
          <cell r="F11712">
            <v>0</v>
          </cell>
          <cell r="G11712">
            <v>275</v>
          </cell>
          <cell r="H11712">
            <v>0</v>
          </cell>
        </row>
        <row r="11713">
          <cell r="D11713" t="str">
            <v>Furnitures</v>
          </cell>
          <cell r="F11713">
            <v>0</v>
          </cell>
          <cell r="G11713">
            <v>275</v>
          </cell>
          <cell r="H11713">
            <v>0</v>
          </cell>
        </row>
        <row r="11714">
          <cell r="D11714" t="str">
            <v>Furnitures</v>
          </cell>
          <cell r="F11714">
            <v>0</v>
          </cell>
          <cell r="G11714">
            <v>275</v>
          </cell>
          <cell r="H11714">
            <v>0</v>
          </cell>
        </row>
        <row r="11715">
          <cell r="D11715" t="str">
            <v>Furnitures</v>
          </cell>
          <cell r="F11715">
            <v>0</v>
          </cell>
          <cell r="G11715">
            <v>275</v>
          </cell>
          <cell r="H11715">
            <v>0</v>
          </cell>
        </row>
        <row r="11716">
          <cell r="D11716" t="str">
            <v>Furnitures</v>
          </cell>
          <cell r="F11716">
            <v>0</v>
          </cell>
          <cell r="G11716">
            <v>275</v>
          </cell>
          <cell r="H11716">
            <v>0</v>
          </cell>
        </row>
        <row r="11717">
          <cell r="D11717" t="str">
            <v>Furnitures</v>
          </cell>
          <cell r="F11717">
            <v>0</v>
          </cell>
          <cell r="G11717">
            <v>275</v>
          </cell>
          <cell r="H11717">
            <v>0</v>
          </cell>
        </row>
        <row r="11718">
          <cell r="D11718" t="str">
            <v>Furnitures</v>
          </cell>
          <cell r="F11718">
            <v>0</v>
          </cell>
          <cell r="G11718">
            <v>275</v>
          </cell>
          <cell r="H11718">
            <v>0</v>
          </cell>
        </row>
        <row r="11719">
          <cell r="D11719" t="str">
            <v>Furnitures</v>
          </cell>
          <cell r="F11719">
            <v>0</v>
          </cell>
          <cell r="G11719">
            <v>275</v>
          </cell>
          <cell r="H11719">
            <v>0</v>
          </cell>
        </row>
        <row r="11720">
          <cell r="D11720" t="str">
            <v>Furnitures</v>
          </cell>
          <cell r="F11720">
            <v>0</v>
          </cell>
          <cell r="G11720">
            <v>275</v>
          </cell>
          <cell r="H11720">
            <v>0</v>
          </cell>
        </row>
        <row r="11721">
          <cell r="D11721" t="str">
            <v>Furnitures</v>
          </cell>
          <cell r="F11721">
            <v>0</v>
          </cell>
          <cell r="G11721">
            <v>275</v>
          </cell>
          <cell r="H11721">
            <v>0</v>
          </cell>
        </row>
        <row r="11722">
          <cell r="D11722" t="str">
            <v>Furnitures</v>
          </cell>
          <cell r="F11722">
            <v>0</v>
          </cell>
          <cell r="G11722">
            <v>275</v>
          </cell>
          <cell r="H11722">
            <v>0</v>
          </cell>
        </row>
        <row r="11723">
          <cell r="D11723" t="str">
            <v>Furnitures</v>
          </cell>
          <cell r="F11723">
            <v>0</v>
          </cell>
          <cell r="G11723">
            <v>275</v>
          </cell>
          <cell r="H11723">
            <v>0</v>
          </cell>
        </row>
        <row r="11724">
          <cell r="D11724" t="str">
            <v>Furnitures</v>
          </cell>
          <cell r="F11724">
            <v>0</v>
          </cell>
          <cell r="G11724">
            <v>275</v>
          </cell>
          <cell r="H11724">
            <v>0</v>
          </cell>
        </row>
        <row r="11725">
          <cell r="D11725" t="str">
            <v>Furnitures</v>
          </cell>
          <cell r="F11725">
            <v>0</v>
          </cell>
          <cell r="G11725">
            <v>275</v>
          </cell>
          <cell r="H11725">
            <v>0</v>
          </cell>
        </row>
        <row r="11726">
          <cell r="D11726" t="str">
            <v>Furnitures</v>
          </cell>
          <cell r="F11726">
            <v>40945.277377049177</v>
          </cell>
          <cell r="G11726">
            <v>275</v>
          </cell>
          <cell r="H11726">
            <v>38961.299294857396</v>
          </cell>
        </row>
        <row r="11727">
          <cell r="D11727" t="str">
            <v>Furnitures</v>
          </cell>
          <cell r="F11727">
            <v>0</v>
          </cell>
          <cell r="G11727">
            <v>275</v>
          </cell>
          <cell r="H11727">
            <v>0</v>
          </cell>
        </row>
        <row r="11728">
          <cell r="D11728" t="str">
            <v>Furnitures</v>
          </cell>
          <cell r="F11728">
            <v>0</v>
          </cell>
          <cell r="G11728">
            <v>275</v>
          </cell>
          <cell r="H11728">
            <v>0</v>
          </cell>
        </row>
        <row r="11729">
          <cell r="D11729" t="str">
            <v>Furnitures</v>
          </cell>
          <cell r="F11729">
            <v>0</v>
          </cell>
          <cell r="G11729">
            <v>275</v>
          </cell>
          <cell r="H11729">
            <v>0</v>
          </cell>
        </row>
        <row r="11730">
          <cell r="D11730" t="str">
            <v>Furnitures</v>
          </cell>
          <cell r="F11730">
            <v>0</v>
          </cell>
          <cell r="G11730">
            <v>275</v>
          </cell>
          <cell r="H11730">
            <v>0</v>
          </cell>
        </row>
        <row r="11731">
          <cell r="D11731" t="str">
            <v>Furnitures</v>
          </cell>
          <cell r="F11731">
            <v>0</v>
          </cell>
          <cell r="G11731">
            <v>275</v>
          </cell>
          <cell r="H11731">
            <v>0</v>
          </cell>
        </row>
        <row r="11732">
          <cell r="D11732" t="str">
            <v>Furnitures</v>
          </cell>
          <cell r="F11732">
            <v>0</v>
          </cell>
          <cell r="G11732">
            <v>275</v>
          </cell>
          <cell r="H11732">
            <v>0</v>
          </cell>
        </row>
        <row r="11733">
          <cell r="D11733" t="str">
            <v>Furnitures</v>
          </cell>
          <cell r="F11733">
            <v>0</v>
          </cell>
          <cell r="G11733">
            <v>275</v>
          </cell>
          <cell r="H11733">
            <v>0</v>
          </cell>
        </row>
        <row r="11734">
          <cell r="D11734" t="str">
            <v>Furnitures</v>
          </cell>
          <cell r="F11734">
            <v>0</v>
          </cell>
          <cell r="G11734">
            <v>275</v>
          </cell>
          <cell r="H11734">
            <v>0</v>
          </cell>
        </row>
        <row r="11735">
          <cell r="D11735" t="str">
            <v>Furnitures</v>
          </cell>
          <cell r="F11735">
            <v>0</v>
          </cell>
          <cell r="G11735">
            <v>275</v>
          </cell>
          <cell r="H11735">
            <v>0</v>
          </cell>
        </row>
        <row r="11736">
          <cell r="D11736" t="str">
            <v>Furnitures</v>
          </cell>
          <cell r="F11736">
            <v>0</v>
          </cell>
          <cell r="G11736">
            <v>275</v>
          </cell>
          <cell r="H11736">
            <v>0</v>
          </cell>
        </row>
        <row r="11737">
          <cell r="D11737" t="str">
            <v>Furnitures</v>
          </cell>
          <cell r="F11737">
            <v>0</v>
          </cell>
          <cell r="G11737">
            <v>275</v>
          </cell>
          <cell r="H11737">
            <v>0</v>
          </cell>
        </row>
        <row r="11738">
          <cell r="D11738" t="str">
            <v>Furnitures</v>
          </cell>
          <cell r="F11738">
            <v>0</v>
          </cell>
          <cell r="G11738">
            <v>275</v>
          </cell>
          <cell r="H11738">
            <v>0</v>
          </cell>
        </row>
        <row r="11739">
          <cell r="D11739" t="str">
            <v>Furnitures</v>
          </cell>
          <cell r="F11739">
            <v>0</v>
          </cell>
          <cell r="G11739">
            <v>275</v>
          </cell>
          <cell r="H11739">
            <v>0</v>
          </cell>
        </row>
        <row r="11740">
          <cell r="D11740" t="str">
            <v>Furnitures</v>
          </cell>
          <cell r="F11740">
            <v>0</v>
          </cell>
          <cell r="G11740">
            <v>275</v>
          </cell>
          <cell r="H11740">
            <v>0</v>
          </cell>
        </row>
        <row r="11741">
          <cell r="D11741" t="str">
            <v>Furnitures</v>
          </cell>
          <cell r="F11741">
            <v>0</v>
          </cell>
          <cell r="G11741">
            <v>275</v>
          </cell>
          <cell r="H11741">
            <v>0</v>
          </cell>
        </row>
        <row r="11742">
          <cell r="D11742" t="str">
            <v>Furnitures</v>
          </cell>
          <cell r="F11742">
            <v>5715.1936475409839</v>
          </cell>
          <cell r="G11742">
            <v>275</v>
          </cell>
          <cell r="H11742">
            <v>5440.9659078149562</v>
          </cell>
        </row>
        <row r="11743">
          <cell r="D11743" t="str">
            <v>Furnitures</v>
          </cell>
          <cell r="F11743">
            <v>0</v>
          </cell>
          <cell r="G11743">
            <v>275</v>
          </cell>
          <cell r="H11743">
            <v>0</v>
          </cell>
        </row>
        <row r="11744">
          <cell r="D11744" t="str">
            <v>Furnitures</v>
          </cell>
          <cell r="F11744">
            <v>0</v>
          </cell>
          <cell r="G11744">
            <v>275</v>
          </cell>
          <cell r="H11744">
            <v>0</v>
          </cell>
        </row>
        <row r="11745">
          <cell r="D11745" t="str">
            <v>Furnitures</v>
          </cell>
          <cell r="F11745">
            <v>0</v>
          </cell>
          <cell r="G11745">
            <v>275</v>
          </cell>
          <cell r="H11745">
            <v>0</v>
          </cell>
        </row>
        <row r="11746">
          <cell r="D11746" t="str">
            <v>Furnitures</v>
          </cell>
          <cell r="F11746">
            <v>0</v>
          </cell>
          <cell r="G11746">
            <v>275</v>
          </cell>
          <cell r="H11746">
            <v>0</v>
          </cell>
        </row>
        <row r="11747">
          <cell r="D11747" t="str">
            <v>Furnitures</v>
          </cell>
          <cell r="F11747">
            <v>0</v>
          </cell>
          <cell r="G11747">
            <v>275</v>
          </cell>
          <cell r="H11747">
            <v>0</v>
          </cell>
        </row>
        <row r="11748">
          <cell r="D11748" t="str">
            <v>Furnitures</v>
          </cell>
          <cell r="F11748">
            <v>0</v>
          </cell>
          <cell r="G11748">
            <v>275</v>
          </cell>
          <cell r="H11748">
            <v>0</v>
          </cell>
        </row>
        <row r="11749">
          <cell r="D11749" t="str">
            <v>Furnitures</v>
          </cell>
          <cell r="F11749">
            <v>0</v>
          </cell>
          <cell r="G11749">
            <v>275</v>
          </cell>
          <cell r="H11749">
            <v>0</v>
          </cell>
        </row>
        <row r="11750">
          <cell r="D11750" t="str">
            <v>Furnitures</v>
          </cell>
          <cell r="F11750">
            <v>0</v>
          </cell>
          <cell r="G11750">
            <v>275</v>
          </cell>
          <cell r="H11750">
            <v>0</v>
          </cell>
        </row>
        <row r="11751">
          <cell r="D11751" t="str">
            <v>Furnitures</v>
          </cell>
          <cell r="F11751">
            <v>0</v>
          </cell>
          <cell r="G11751">
            <v>275</v>
          </cell>
          <cell r="H11751">
            <v>0</v>
          </cell>
        </row>
        <row r="11752">
          <cell r="D11752" t="str">
            <v>Furnitures</v>
          </cell>
          <cell r="F11752">
            <v>0</v>
          </cell>
          <cell r="G11752">
            <v>275</v>
          </cell>
          <cell r="H11752">
            <v>0</v>
          </cell>
        </row>
        <row r="11753">
          <cell r="D11753" t="str">
            <v>Furnitures</v>
          </cell>
          <cell r="F11753">
            <v>0</v>
          </cell>
          <cell r="G11753">
            <v>275</v>
          </cell>
          <cell r="H11753">
            <v>0</v>
          </cell>
        </row>
        <row r="11754">
          <cell r="D11754" t="str">
            <v>Furnitures</v>
          </cell>
          <cell r="F11754">
            <v>0</v>
          </cell>
          <cell r="G11754">
            <v>275</v>
          </cell>
          <cell r="H11754">
            <v>0</v>
          </cell>
        </row>
        <row r="11755">
          <cell r="D11755" t="str">
            <v>Furnitures</v>
          </cell>
          <cell r="F11755">
            <v>0</v>
          </cell>
          <cell r="G11755">
            <v>275</v>
          </cell>
          <cell r="H11755">
            <v>0</v>
          </cell>
        </row>
        <row r="11756">
          <cell r="D11756" t="str">
            <v>Furnitures</v>
          </cell>
          <cell r="F11756">
            <v>0</v>
          </cell>
          <cell r="G11756">
            <v>275</v>
          </cell>
          <cell r="H11756">
            <v>0</v>
          </cell>
        </row>
        <row r="11757">
          <cell r="D11757" t="str">
            <v>Furnitures</v>
          </cell>
          <cell r="F11757">
            <v>0</v>
          </cell>
          <cell r="G11757">
            <v>275</v>
          </cell>
          <cell r="H11757">
            <v>0</v>
          </cell>
        </row>
        <row r="11758">
          <cell r="D11758" t="str">
            <v>Furnitures</v>
          </cell>
          <cell r="F11758">
            <v>0</v>
          </cell>
          <cell r="G11758">
            <v>275</v>
          </cell>
          <cell r="H11758">
            <v>0</v>
          </cell>
        </row>
        <row r="11759">
          <cell r="D11759" t="str">
            <v>Furnitures</v>
          </cell>
          <cell r="F11759">
            <v>0</v>
          </cell>
          <cell r="G11759">
            <v>275</v>
          </cell>
          <cell r="H11759">
            <v>0</v>
          </cell>
        </row>
        <row r="11760">
          <cell r="D11760" t="str">
            <v>Furnitures</v>
          </cell>
          <cell r="F11760">
            <v>0</v>
          </cell>
          <cell r="G11760">
            <v>275</v>
          </cell>
          <cell r="H11760">
            <v>0</v>
          </cell>
        </row>
        <row r="11761">
          <cell r="D11761" t="str">
            <v>Furnitures</v>
          </cell>
          <cell r="F11761">
            <v>0</v>
          </cell>
          <cell r="G11761">
            <v>275</v>
          </cell>
          <cell r="H11761">
            <v>0</v>
          </cell>
        </row>
        <row r="11762">
          <cell r="D11762" t="str">
            <v>Furnitures</v>
          </cell>
          <cell r="F11762">
            <v>0</v>
          </cell>
          <cell r="G11762">
            <v>275</v>
          </cell>
          <cell r="H11762">
            <v>0</v>
          </cell>
        </row>
        <row r="11763">
          <cell r="D11763" t="str">
            <v>Furnitures</v>
          </cell>
          <cell r="F11763">
            <v>0</v>
          </cell>
          <cell r="G11763">
            <v>275</v>
          </cell>
          <cell r="H11763">
            <v>0</v>
          </cell>
        </row>
        <row r="11764">
          <cell r="D11764" t="str">
            <v>Furnitures</v>
          </cell>
          <cell r="F11764">
            <v>0</v>
          </cell>
          <cell r="G11764">
            <v>275</v>
          </cell>
          <cell r="H11764">
            <v>0</v>
          </cell>
        </row>
        <row r="11765">
          <cell r="D11765" t="str">
            <v>Furnitures</v>
          </cell>
          <cell r="F11765">
            <v>0</v>
          </cell>
          <cell r="G11765">
            <v>275</v>
          </cell>
          <cell r="H11765">
            <v>0</v>
          </cell>
        </row>
        <row r="11766">
          <cell r="D11766" t="str">
            <v>Furnitures</v>
          </cell>
          <cell r="F11766">
            <v>0</v>
          </cell>
          <cell r="G11766">
            <v>275</v>
          </cell>
          <cell r="H11766">
            <v>0</v>
          </cell>
        </row>
        <row r="11767">
          <cell r="D11767" t="str">
            <v>Furnitures</v>
          </cell>
          <cell r="F11767">
            <v>0</v>
          </cell>
          <cell r="G11767">
            <v>275</v>
          </cell>
          <cell r="H11767">
            <v>0</v>
          </cell>
        </row>
        <row r="11768">
          <cell r="D11768" t="str">
            <v>Furnitures</v>
          </cell>
          <cell r="F11768">
            <v>0</v>
          </cell>
          <cell r="G11768">
            <v>275</v>
          </cell>
          <cell r="H11768">
            <v>0</v>
          </cell>
        </row>
        <row r="11769">
          <cell r="D11769" t="str">
            <v>Furnitures</v>
          </cell>
          <cell r="F11769">
            <v>0</v>
          </cell>
          <cell r="G11769">
            <v>275</v>
          </cell>
          <cell r="H11769">
            <v>0</v>
          </cell>
        </row>
        <row r="11770">
          <cell r="D11770" t="str">
            <v>Furnitures</v>
          </cell>
          <cell r="F11770">
            <v>0</v>
          </cell>
          <cell r="G11770">
            <v>275</v>
          </cell>
          <cell r="H11770">
            <v>0</v>
          </cell>
        </row>
        <row r="11771">
          <cell r="D11771" t="str">
            <v>Furnitures</v>
          </cell>
          <cell r="F11771">
            <v>0</v>
          </cell>
          <cell r="G11771">
            <v>275</v>
          </cell>
          <cell r="H11771">
            <v>0</v>
          </cell>
        </row>
        <row r="11772">
          <cell r="D11772" t="str">
            <v>Furnitures</v>
          </cell>
          <cell r="F11772">
            <v>0</v>
          </cell>
          <cell r="G11772">
            <v>275</v>
          </cell>
          <cell r="H11772">
            <v>0</v>
          </cell>
        </row>
        <row r="11773">
          <cell r="D11773" t="str">
            <v>Furnitures</v>
          </cell>
          <cell r="F11773">
            <v>0</v>
          </cell>
          <cell r="G11773">
            <v>275</v>
          </cell>
          <cell r="H11773">
            <v>0</v>
          </cell>
        </row>
        <row r="11774">
          <cell r="D11774" t="str">
            <v>Furnitures</v>
          </cell>
          <cell r="F11774">
            <v>0</v>
          </cell>
          <cell r="G11774">
            <v>275</v>
          </cell>
          <cell r="H11774">
            <v>0</v>
          </cell>
        </row>
        <row r="11775">
          <cell r="D11775" t="str">
            <v>Furnitures</v>
          </cell>
          <cell r="F11775">
            <v>0</v>
          </cell>
          <cell r="G11775">
            <v>275</v>
          </cell>
          <cell r="H11775">
            <v>0</v>
          </cell>
        </row>
        <row r="11776">
          <cell r="D11776" t="str">
            <v>Furnitures</v>
          </cell>
          <cell r="F11776">
            <v>0</v>
          </cell>
          <cell r="G11776">
            <v>275</v>
          </cell>
          <cell r="H11776">
            <v>0</v>
          </cell>
        </row>
        <row r="11777">
          <cell r="D11777" t="str">
            <v>Furnitures</v>
          </cell>
          <cell r="F11777">
            <v>0</v>
          </cell>
          <cell r="G11777">
            <v>275</v>
          </cell>
          <cell r="H11777">
            <v>0</v>
          </cell>
        </row>
        <row r="11778">
          <cell r="D11778" t="str">
            <v>Furnitures</v>
          </cell>
          <cell r="F11778">
            <v>0</v>
          </cell>
          <cell r="G11778">
            <v>275</v>
          </cell>
          <cell r="H11778">
            <v>0</v>
          </cell>
        </row>
        <row r="11779">
          <cell r="D11779" t="str">
            <v>Furnitures</v>
          </cell>
          <cell r="F11779">
            <v>0</v>
          </cell>
          <cell r="G11779">
            <v>275</v>
          </cell>
          <cell r="H11779">
            <v>0</v>
          </cell>
        </row>
        <row r="11780">
          <cell r="D11780" t="str">
            <v>Furnitures</v>
          </cell>
          <cell r="F11780">
            <v>0</v>
          </cell>
          <cell r="G11780">
            <v>275</v>
          </cell>
          <cell r="H11780">
            <v>0</v>
          </cell>
        </row>
        <row r="11781">
          <cell r="D11781" t="str">
            <v>Furnitures</v>
          </cell>
          <cell r="F11781">
            <v>0</v>
          </cell>
          <cell r="G11781">
            <v>275</v>
          </cell>
          <cell r="H11781">
            <v>0</v>
          </cell>
        </row>
        <row r="11782">
          <cell r="D11782" t="str">
            <v>Furnitures</v>
          </cell>
          <cell r="F11782">
            <v>0</v>
          </cell>
          <cell r="G11782">
            <v>275</v>
          </cell>
          <cell r="H11782">
            <v>0</v>
          </cell>
        </row>
        <row r="11783">
          <cell r="D11783" t="str">
            <v>Furnitures</v>
          </cell>
          <cell r="F11783">
            <v>0</v>
          </cell>
          <cell r="G11783">
            <v>275</v>
          </cell>
          <cell r="H11783">
            <v>0</v>
          </cell>
        </row>
        <row r="11784">
          <cell r="D11784" t="str">
            <v>Furnitures</v>
          </cell>
          <cell r="F11784">
            <v>0</v>
          </cell>
          <cell r="G11784">
            <v>275</v>
          </cell>
          <cell r="H11784">
            <v>0</v>
          </cell>
        </row>
        <row r="11785">
          <cell r="D11785" t="str">
            <v>Furnitures</v>
          </cell>
          <cell r="F11785">
            <v>0</v>
          </cell>
          <cell r="G11785">
            <v>275</v>
          </cell>
          <cell r="H11785">
            <v>0</v>
          </cell>
        </row>
        <row r="11786">
          <cell r="D11786" t="str">
            <v>Furnitures</v>
          </cell>
          <cell r="F11786">
            <v>0</v>
          </cell>
          <cell r="G11786">
            <v>275</v>
          </cell>
          <cell r="H11786">
            <v>0</v>
          </cell>
        </row>
        <row r="11787">
          <cell r="D11787" t="str">
            <v>Furnitures</v>
          </cell>
          <cell r="F11787">
            <v>0</v>
          </cell>
          <cell r="G11787">
            <v>275</v>
          </cell>
          <cell r="H11787">
            <v>0</v>
          </cell>
        </row>
        <row r="11788">
          <cell r="D11788" t="str">
            <v>Furnitures</v>
          </cell>
          <cell r="F11788">
            <v>0</v>
          </cell>
          <cell r="G11788">
            <v>275</v>
          </cell>
          <cell r="H11788">
            <v>0</v>
          </cell>
        </row>
        <row r="11789">
          <cell r="D11789" t="str">
            <v>Furnitures</v>
          </cell>
          <cell r="F11789">
            <v>0</v>
          </cell>
          <cell r="G11789">
            <v>275</v>
          </cell>
          <cell r="H11789">
            <v>0</v>
          </cell>
        </row>
        <row r="11790">
          <cell r="D11790" t="str">
            <v>Furnitures</v>
          </cell>
          <cell r="F11790">
            <v>0</v>
          </cell>
          <cell r="G11790">
            <v>275</v>
          </cell>
          <cell r="H11790">
            <v>0</v>
          </cell>
        </row>
        <row r="11791">
          <cell r="D11791" t="str">
            <v>Furnitures</v>
          </cell>
          <cell r="F11791">
            <v>0</v>
          </cell>
          <cell r="G11791">
            <v>275</v>
          </cell>
          <cell r="H11791">
            <v>0</v>
          </cell>
        </row>
        <row r="11792">
          <cell r="D11792" t="str">
            <v>Furnitures</v>
          </cell>
          <cell r="F11792">
            <v>0</v>
          </cell>
          <cell r="G11792">
            <v>275</v>
          </cell>
          <cell r="H11792">
            <v>0</v>
          </cell>
        </row>
        <row r="11793">
          <cell r="D11793" t="str">
            <v>Furnitures</v>
          </cell>
          <cell r="F11793">
            <v>0</v>
          </cell>
          <cell r="G11793">
            <v>275</v>
          </cell>
          <cell r="H11793">
            <v>0</v>
          </cell>
        </row>
        <row r="11794">
          <cell r="D11794" t="str">
            <v>Furnitures</v>
          </cell>
          <cell r="F11794">
            <v>0</v>
          </cell>
          <cell r="G11794">
            <v>275</v>
          </cell>
          <cell r="H11794">
            <v>0</v>
          </cell>
        </row>
        <row r="11795">
          <cell r="D11795" t="str">
            <v>Furnitures</v>
          </cell>
          <cell r="F11795">
            <v>0</v>
          </cell>
          <cell r="G11795">
            <v>275</v>
          </cell>
          <cell r="H11795">
            <v>0</v>
          </cell>
        </row>
        <row r="11796">
          <cell r="D11796" t="str">
            <v>Furnitures</v>
          </cell>
          <cell r="F11796">
            <v>0</v>
          </cell>
          <cell r="G11796">
            <v>275</v>
          </cell>
          <cell r="H11796">
            <v>0</v>
          </cell>
        </row>
        <row r="11797">
          <cell r="D11797" t="str">
            <v>Furnitures</v>
          </cell>
          <cell r="F11797">
            <v>0</v>
          </cell>
          <cell r="G11797">
            <v>275</v>
          </cell>
          <cell r="H11797">
            <v>0</v>
          </cell>
        </row>
        <row r="11798">
          <cell r="D11798" t="str">
            <v>Furnitures</v>
          </cell>
          <cell r="F11798">
            <v>0</v>
          </cell>
          <cell r="G11798">
            <v>275</v>
          </cell>
          <cell r="H11798">
            <v>0</v>
          </cell>
        </row>
        <row r="11799">
          <cell r="D11799" t="str">
            <v>Furnitures</v>
          </cell>
          <cell r="F11799">
            <v>0</v>
          </cell>
          <cell r="G11799">
            <v>275</v>
          </cell>
          <cell r="H11799">
            <v>0</v>
          </cell>
        </row>
        <row r="11800">
          <cell r="D11800" t="str">
            <v>Furnitures</v>
          </cell>
          <cell r="F11800">
            <v>0</v>
          </cell>
          <cell r="G11800">
            <v>275</v>
          </cell>
          <cell r="H11800">
            <v>0</v>
          </cell>
        </row>
        <row r="11801">
          <cell r="D11801" t="str">
            <v>Furnitures</v>
          </cell>
          <cell r="F11801">
            <v>0</v>
          </cell>
          <cell r="G11801">
            <v>275</v>
          </cell>
          <cell r="H11801">
            <v>0</v>
          </cell>
        </row>
        <row r="11802">
          <cell r="D11802" t="str">
            <v>Furnitures</v>
          </cell>
          <cell r="F11802">
            <v>0</v>
          </cell>
          <cell r="G11802">
            <v>275</v>
          </cell>
          <cell r="H11802">
            <v>0</v>
          </cell>
        </row>
        <row r="11803">
          <cell r="D11803" t="str">
            <v>Furnitures</v>
          </cell>
          <cell r="F11803">
            <v>0</v>
          </cell>
          <cell r="G11803">
            <v>275</v>
          </cell>
          <cell r="H11803">
            <v>0</v>
          </cell>
        </row>
        <row r="11804">
          <cell r="D11804" t="str">
            <v>Furnitures</v>
          </cell>
          <cell r="F11804">
            <v>0</v>
          </cell>
          <cell r="G11804">
            <v>275</v>
          </cell>
          <cell r="H11804">
            <v>0</v>
          </cell>
        </row>
        <row r="11805">
          <cell r="D11805" t="str">
            <v>Furnitures</v>
          </cell>
          <cell r="F11805">
            <v>0</v>
          </cell>
          <cell r="G11805">
            <v>275</v>
          </cell>
          <cell r="H11805">
            <v>0</v>
          </cell>
        </row>
        <row r="11806">
          <cell r="D11806" t="str">
            <v>Furnitures</v>
          </cell>
          <cell r="F11806">
            <v>0</v>
          </cell>
          <cell r="G11806">
            <v>275</v>
          </cell>
          <cell r="H11806">
            <v>0</v>
          </cell>
        </row>
        <row r="11807">
          <cell r="D11807" t="str">
            <v>Furnitures</v>
          </cell>
          <cell r="F11807">
            <v>0</v>
          </cell>
          <cell r="G11807">
            <v>275</v>
          </cell>
          <cell r="H11807">
            <v>0</v>
          </cell>
        </row>
        <row r="11808">
          <cell r="D11808" t="str">
            <v>Furnitures</v>
          </cell>
          <cell r="F11808">
            <v>0</v>
          </cell>
          <cell r="G11808">
            <v>275</v>
          </cell>
          <cell r="H11808">
            <v>0</v>
          </cell>
        </row>
        <row r="11809">
          <cell r="D11809" t="str">
            <v>Furnitures</v>
          </cell>
          <cell r="F11809">
            <v>0</v>
          </cell>
          <cell r="G11809">
            <v>275</v>
          </cell>
          <cell r="H11809">
            <v>0</v>
          </cell>
        </row>
        <row r="11810">
          <cell r="D11810" t="str">
            <v>Furnitures</v>
          </cell>
          <cell r="F11810">
            <v>0</v>
          </cell>
          <cell r="G11810">
            <v>275</v>
          </cell>
          <cell r="H11810">
            <v>0</v>
          </cell>
        </row>
        <row r="11811">
          <cell r="D11811" t="str">
            <v>Furnitures</v>
          </cell>
          <cell r="F11811">
            <v>0</v>
          </cell>
          <cell r="G11811">
            <v>275</v>
          </cell>
          <cell r="H11811">
            <v>0</v>
          </cell>
        </row>
        <row r="11812">
          <cell r="D11812" t="str">
            <v>Furnitures</v>
          </cell>
          <cell r="F11812">
            <v>0</v>
          </cell>
          <cell r="G11812">
            <v>275</v>
          </cell>
          <cell r="H11812">
            <v>0</v>
          </cell>
        </row>
        <row r="11813">
          <cell r="D11813" t="str">
            <v>Furnitures</v>
          </cell>
          <cell r="F11813">
            <v>8772.1923811475408</v>
          </cell>
          <cell r="G11813">
            <v>275</v>
          </cell>
          <cell r="H11813">
            <v>8350.5493469009652</v>
          </cell>
        </row>
        <row r="11814">
          <cell r="D11814" t="str">
            <v>Vehicles</v>
          </cell>
          <cell r="F11814">
            <v>30538.934999999998</v>
          </cell>
          <cell r="G11814">
            <v>275</v>
          </cell>
          <cell r="H11814">
            <v>24274.159999999996</v>
          </cell>
        </row>
        <row r="11815">
          <cell r="D11815" t="str">
            <v>Vehicles</v>
          </cell>
          <cell r="F11815">
            <v>277041.315</v>
          </cell>
          <cell r="G11815">
            <v>275</v>
          </cell>
          <cell r="H11815">
            <v>255130.45643835617</v>
          </cell>
        </row>
        <row r="11816">
          <cell r="D11816" t="str">
            <v>Vehicles</v>
          </cell>
          <cell r="F11816">
            <v>0</v>
          </cell>
          <cell r="G11816">
            <v>275</v>
          </cell>
          <cell r="H11816">
            <v>0</v>
          </cell>
        </row>
        <row r="11817">
          <cell r="D11817" t="str">
            <v>Vehicles</v>
          </cell>
          <cell r="F11817">
            <v>0</v>
          </cell>
          <cell r="G11817">
            <v>275</v>
          </cell>
          <cell r="H11817">
            <v>0</v>
          </cell>
        </row>
        <row r="11818">
          <cell r="D11818" t="str">
            <v>Vehicles</v>
          </cell>
          <cell r="F11818">
            <v>0</v>
          </cell>
          <cell r="G11818">
            <v>275</v>
          </cell>
          <cell r="H11818">
            <v>0</v>
          </cell>
        </row>
        <row r="11819">
          <cell r="D11819" t="str">
            <v>Vehicles</v>
          </cell>
          <cell r="F11819">
            <v>0</v>
          </cell>
          <cell r="G11819">
            <v>275</v>
          </cell>
          <cell r="H11819">
            <v>0</v>
          </cell>
        </row>
        <row r="11820">
          <cell r="D11820" t="str">
            <v>Vehicles</v>
          </cell>
          <cell r="F11820">
            <v>21482.035000000033</v>
          </cell>
          <cell r="G11820">
            <v>275</v>
          </cell>
          <cell r="H11820">
            <v>21482.035000000033</v>
          </cell>
        </row>
        <row r="11821">
          <cell r="D11821" t="str">
            <v>Vehicles</v>
          </cell>
          <cell r="F11821">
            <v>0</v>
          </cell>
          <cell r="G11821">
            <v>275</v>
          </cell>
          <cell r="H11821">
            <v>0</v>
          </cell>
        </row>
        <row r="11822">
          <cell r="D11822" t="str">
            <v>Vehicles</v>
          </cell>
          <cell r="F11822">
            <v>0</v>
          </cell>
          <cell r="G11822">
            <v>275</v>
          </cell>
          <cell r="H11822">
            <v>0</v>
          </cell>
        </row>
        <row r="11823">
          <cell r="D11823" t="str">
            <v>Vehicles</v>
          </cell>
          <cell r="F11823">
            <v>0</v>
          </cell>
          <cell r="G11823">
            <v>275</v>
          </cell>
          <cell r="H11823">
            <v>0</v>
          </cell>
        </row>
        <row r="11824">
          <cell r="D11824" t="str">
            <v>Vehicles</v>
          </cell>
          <cell r="F11824">
            <v>0</v>
          </cell>
          <cell r="G11824">
            <v>275</v>
          </cell>
          <cell r="H11824">
            <v>0</v>
          </cell>
        </row>
        <row r="11825">
          <cell r="D11825" t="str">
            <v>Vehicles</v>
          </cell>
          <cell r="F11825">
            <v>24962.439999999944</v>
          </cell>
          <cell r="G11825">
            <v>275</v>
          </cell>
          <cell r="H11825">
            <v>-34162.228493150738</v>
          </cell>
        </row>
        <row r="11826">
          <cell r="D11826" t="str">
            <v>Vehicles</v>
          </cell>
          <cell r="F11826">
            <v>102172.29000000004</v>
          </cell>
          <cell r="G11826">
            <v>275</v>
          </cell>
          <cell r="H11826">
            <v>-82550.642191780789</v>
          </cell>
        </row>
        <row r="11827">
          <cell r="D11827" t="str">
            <v>Vehicles</v>
          </cell>
          <cell r="F11827">
            <v>19486.900000000023</v>
          </cell>
          <cell r="G11827">
            <v>275</v>
          </cell>
          <cell r="H11827">
            <v>-8554.8876712328529</v>
          </cell>
        </row>
        <row r="11828">
          <cell r="D11828" t="str">
            <v>Vehicles</v>
          </cell>
          <cell r="F11828">
            <v>36831.890000000014</v>
          </cell>
          <cell r="G11828">
            <v>275</v>
          </cell>
          <cell r="H11828">
            <v>-5178.398356164369</v>
          </cell>
        </row>
        <row r="11829">
          <cell r="D11829" t="str">
            <v>Vehicles</v>
          </cell>
          <cell r="F11829">
            <v>66927.775000000023</v>
          </cell>
          <cell r="G11829">
            <v>275</v>
          </cell>
          <cell r="H11829">
            <v>8518.3589041096129</v>
          </cell>
        </row>
        <row r="11830">
          <cell r="D11830" t="str">
            <v>Vehicles</v>
          </cell>
          <cell r="F11830">
            <v>0</v>
          </cell>
          <cell r="G11830">
            <v>275</v>
          </cell>
          <cell r="H11830">
            <v>0</v>
          </cell>
        </row>
        <row r="11831">
          <cell r="D11831" t="str">
            <v>Vehicles</v>
          </cell>
          <cell r="F11831">
            <v>145484.84999999998</v>
          </cell>
          <cell r="G11831">
            <v>275</v>
          </cell>
          <cell r="H11831">
            <v>86222.613698630114</v>
          </cell>
        </row>
        <row r="11832">
          <cell r="D11832" t="str">
            <v>Vehicles</v>
          </cell>
          <cell r="F11832">
            <v>106073.98999999999</v>
          </cell>
          <cell r="G11832">
            <v>275</v>
          </cell>
          <cell r="H11832">
            <v>68728.982465753419</v>
          </cell>
        </row>
        <row r="11833">
          <cell r="D11833" t="str">
            <v>Vehicles</v>
          </cell>
          <cell r="F11833">
            <v>88760.304999999993</v>
          </cell>
          <cell r="G11833">
            <v>275</v>
          </cell>
          <cell r="H11833">
            <v>60281.836164383552</v>
          </cell>
        </row>
        <row r="11834">
          <cell r="D11834" t="str">
            <v>Vehicles</v>
          </cell>
          <cell r="F11834">
            <v>140572.07500000001</v>
          </cell>
          <cell r="G11834">
            <v>275</v>
          </cell>
          <cell r="H11834">
            <v>98649.323287671243</v>
          </cell>
        </row>
        <row r="11835">
          <cell r="D11835" t="str">
            <v>Vehicles</v>
          </cell>
          <cell r="F11835">
            <v>221624.41000000003</v>
          </cell>
          <cell r="G11835">
            <v>275</v>
          </cell>
          <cell r="H11835">
            <v>158343.0750684932</v>
          </cell>
        </row>
        <row r="11836">
          <cell r="D11836" t="str">
            <v>Vehicles</v>
          </cell>
          <cell r="F11836">
            <v>14785.224999999999</v>
          </cell>
          <cell r="G11836">
            <v>275</v>
          </cell>
          <cell r="H11836">
            <v>11024.298630136986</v>
          </cell>
        </row>
        <row r="11837">
          <cell r="D11837" t="str">
            <v>Vehicles</v>
          </cell>
          <cell r="F11837">
            <v>86234</v>
          </cell>
          <cell r="G11837">
            <v>275</v>
          </cell>
          <cell r="H11837">
            <v>66908.65753424658</v>
          </cell>
        </row>
        <row r="11838">
          <cell r="D11838" t="str">
            <v>Vehicles</v>
          </cell>
          <cell r="F11838">
            <v>142513.11499999999</v>
          </cell>
          <cell r="G11838">
            <v>275</v>
          </cell>
          <cell r="H11838">
            <v>110756.35232876711</v>
          </cell>
        </row>
        <row r="11839">
          <cell r="D11839" t="str">
            <v>Vehicles</v>
          </cell>
          <cell r="F11839">
            <v>134073.62</v>
          </cell>
          <cell r="G11839">
            <v>184</v>
          </cell>
          <cell r="H11839">
            <v>115156.71610958903</v>
          </cell>
        </row>
        <row r="11840">
          <cell r="D11840" t="str">
            <v>Vehicles</v>
          </cell>
          <cell r="F11840">
            <v>232628.18</v>
          </cell>
          <cell r="G11840">
            <v>275</v>
          </cell>
          <cell r="H11840">
            <v>184962.1512328767</v>
          </cell>
        </row>
        <row r="11841">
          <cell r="D11841" t="str">
            <v>Vehicles</v>
          </cell>
          <cell r="F11841">
            <v>9159.2150000000001</v>
          </cell>
          <cell r="G11841">
            <v>275</v>
          </cell>
          <cell r="H11841">
            <v>7319.5139726027401</v>
          </cell>
        </row>
        <row r="11842">
          <cell r="D11842" t="str">
            <v>Vehicles</v>
          </cell>
          <cell r="F11842">
            <v>9159.2150000000001</v>
          </cell>
          <cell r="G11842">
            <v>275</v>
          </cell>
          <cell r="H11842">
            <v>7319.5139726027401</v>
          </cell>
        </row>
        <row r="11843">
          <cell r="D11843" t="str">
            <v>Vehicles</v>
          </cell>
          <cell r="F11843">
            <v>9159.2150000000001</v>
          </cell>
          <cell r="G11843">
            <v>275</v>
          </cell>
          <cell r="H11843">
            <v>7319.5139726027401</v>
          </cell>
        </row>
        <row r="11844">
          <cell r="D11844" t="str">
            <v>Vehicles</v>
          </cell>
          <cell r="F11844">
            <v>9159.2150000000001</v>
          </cell>
          <cell r="G11844">
            <v>275</v>
          </cell>
          <cell r="H11844">
            <v>7319.5139726027401</v>
          </cell>
        </row>
        <row r="11845">
          <cell r="D11845" t="str">
            <v>Vehicles</v>
          </cell>
          <cell r="F11845">
            <v>159491.80499999999</v>
          </cell>
          <cell r="G11845">
            <v>183</v>
          </cell>
          <cell r="H11845">
            <v>138173.46065753425</v>
          </cell>
        </row>
        <row r="11846">
          <cell r="D11846" t="str">
            <v>Vehicles</v>
          </cell>
          <cell r="F11846">
            <v>4061.875</v>
          </cell>
          <cell r="G11846">
            <v>275</v>
          </cell>
          <cell r="H11846">
            <v>3283.4931506849316</v>
          </cell>
        </row>
        <row r="11847">
          <cell r="D11847" t="str">
            <v>Vehicles</v>
          </cell>
          <cell r="F11847">
            <v>4061.875</v>
          </cell>
          <cell r="G11847">
            <v>275</v>
          </cell>
          <cell r="H11847">
            <v>3283.4931506849316</v>
          </cell>
        </row>
        <row r="11848">
          <cell r="D11848" t="str">
            <v>Vehicles</v>
          </cell>
          <cell r="F11848">
            <v>1167253.69</v>
          </cell>
          <cell r="G11848">
            <v>275</v>
          </cell>
          <cell r="H11848">
            <v>947410.16876712325</v>
          </cell>
        </row>
        <row r="11849">
          <cell r="D11849" t="str">
            <v>Vehicles</v>
          </cell>
          <cell r="F11849">
            <v>84139.5</v>
          </cell>
          <cell r="G11849">
            <v>184</v>
          </cell>
          <cell r="H11849">
            <v>73819.11643835617</v>
          </cell>
        </row>
        <row r="11850">
          <cell r="D11850" t="str">
            <v>Vehicles</v>
          </cell>
          <cell r="F11850">
            <v>147959.95000000001</v>
          </cell>
          <cell r="G11850">
            <v>275</v>
          </cell>
          <cell r="H11850">
            <v>121778.40547945206</v>
          </cell>
        </row>
        <row r="11851">
          <cell r="D11851" t="str">
            <v>Vehicles</v>
          </cell>
          <cell r="F11851">
            <v>707761.745</v>
          </cell>
          <cell r="G11851">
            <v>275</v>
          </cell>
          <cell r="H11851">
            <v>584972.16931506852</v>
          </cell>
        </row>
        <row r="11852">
          <cell r="D11852" t="str">
            <v>Vehicles</v>
          </cell>
          <cell r="F11852">
            <v>21738.33</v>
          </cell>
          <cell r="G11852">
            <v>275</v>
          </cell>
          <cell r="H11852">
            <v>18117.619726027398</v>
          </cell>
        </row>
        <row r="11853">
          <cell r="D11853" t="str">
            <v>Vehicles</v>
          </cell>
          <cell r="F11853">
            <v>13523.945</v>
          </cell>
          <cell r="G11853">
            <v>275</v>
          </cell>
          <cell r="H11853">
            <v>11293.013150684932</v>
          </cell>
        </row>
        <row r="11854">
          <cell r="D11854" t="str">
            <v>Vehicles</v>
          </cell>
          <cell r="F11854">
            <v>8964.75</v>
          </cell>
          <cell r="G11854">
            <v>275</v>
          </cell>
          <cell r="H11854">
            <v>7493.8767123287671</v>
          </cell>
        </row>
        <row r="11855">
          <cell r="D11855" t="str">
            <v>Vehicles</v>
          </cell>
          <cell r="F11855">
            <v>18957.105</v>
          </cell>
          <cell r="G11855">
            <v>275</v>
          </cell>
          <cell r="H11855">
            <v>16105.471780821917</v>
          </cell>
        </row>
        <row r="11856">
          <cell r="D11856" t="str">
            <v>Vehicles</v>
          </cell>
          <cell r="F11856">
            <v>1037337</v>
          </cell>
          <cell r="G11856">
            <v>275</v>
          </cell>
          <cell r="H11856">
            <v>963089.24897260277</v>
          </cell>
        </row>
        <row r="11857">
          <cell r="D11857" t="str">
            <v>Vehicles</v>
          </cell>
          <cell r="F11857">
            <v>0.01</v>
          </cell>
          <cell r="G11857">
            <v>275</v>
          </cell>
          <cell r="H11857">
            <v>9.2842465753424658E-3</v>
          </cell>
        </row>
        <row r="11858">
          <cell r="D11858" t="str">
            <v>Vehicles</v>
          </cell>
          <cell r="F11858">
            <v>393510.91499999998</v>
          </cell>
          <cell r="G11858">
            <v>275</v>
          </cell>
          <cell r="H11858">
            <v>340828.38520547946</v>
          </cell>
        </row>
        <row r="11859">
          <cell r="D11859" t="str">
            <v>Vehicles</v>
          </cell>
          <cell r="F11859">
            <v>311061</v>
          </cell>
          <cell r="G11859">
            <v>275</v>
          </cell>
          <cell r="H11859">
            <v>269976.75342465751</v>
          </cell>
        </row>
        <row r="11860">
          <cell r="D11860" t="str">
            <v>Vehicles</v>
          </cell>
          <cell r="F11860">
            <v>21634.174999999999</v>
          </cell>
          <cell r="G11860">
            <v>275</v>
          </cell>
          <cell r="H11860">
            <v>19062.115068493149</v>
          </cell>
        </row>
        <row r="11861">
          <cell r="D11861" t="str">
            <v>Vehicles</v>
          </cell>
          <cell r="F11861">
            <v>363486.38500000001</v>
          </cell>
          <cell r="G11861">
            <v>275</v>
          </cell>
          <cell r="H11861">
            <v>320439.75726027397</v>
          </cell>
        </row>
        <row r="11862">
          <cell r="D11862" t="str">
            <v>Vehicles</v>
          </cell>
          <cell r="F11862">
            <v>370757.45999999996</v>
          </cell>
          <cell r="G11862">
            <v>275</v>
          </cell>
          <cell r="H11862">
            <v>327702.60109589039</v>
          </cell>
        </row>
        <row r="11863">
          <cell r="D11863" t="str">
            <v>Vehicles</v>
          </cell>
          <cell r="F11863">
            <v>16388.275000000001</v>
          </cell>
          <cell r="G11863">
            <v>275</v>
          </cell>
          <cell r="H11863">
            <v>14487.59178082192</v>
          </cell>
        </row>
        <row r="11864">
          <cell r="D11864" t="str">
            <v>Vehicles</v>
          </cell>
          <cell r="F11864">
            <v>372367.60499999998</v>
          </cell>
          <cell r="G11864">
            <v>275</v>
          </cell>
          <cell r="H11864">
            <v>329397.99232876708</v>
          </cell>
        </row>
        <row r="11865">
          <cell r="D11865" t="str">
            <v>Vehicles</v>
          </cell>
          <cell r="F11865">
            <v>16368.45</v>
          </cell>
          <cell r="G11865">
            <v>275</v>
          </cell>
          <cell r="H11865">
            <v>14515.364383561644</v>
          </cell>
        </row>
        <row r="11866">
          <cell r="D11866" t="str">
            <v>Vehicles</v>
          </cell>
          <cell r="F11866">
            <v>19879</v>
          </cell>
          <cell r="G11866">
            <v>275</v>
          </cell>
          <cell r="H11866">
            <v>17717.424657534248</v>
          </cell>
        </row>
        <row r="11867">
          <cell r="D11867" t="str">
            <v>Vehicles</v>
          </cell>
          <cell r="F11867">
            <v>304155</v>
          </cell>
          <cell r="G11867">
            <v>275</v>
          </cell>
          <cell r="H11867">
            <v>271445.0684931507</v>
          </cell>
        </row>
        <row r="11868">
          <cell r="D11868" t="str">
            <v>Vehicles</v>
          </cell>
          <cell r="F11868">
            <v>305411.38</v>
          </cell>
          <cell r="G11868">
            <v>275</v>
          </cell>
          <cell r="H11868">
            <v>272859.20054794522</v>
          </cell>
        </row>
        <row r="11869">
          <cell r="D11869" t="str">
            <v>Vehicles</v>
          </cell>
          <cell r="F11869">
            <v>326093.47499999998</v>
          </cell>
          <cell r="G11869">
            <v>275</v>
          </cell>
          <cell r="H11869">
            <v>291336.84657534247</v>
          </cell>
        </row>
        <row r="11870">
          <cell r="D11870" t="str">
            <v>Vehicles</v>
          </cell>
          <cell r="F11870">
            <v>407408.11499999999</v>
          </cell>
          <cell r="G11870">
            <v>275</v>
          </cell>
          <cell r="H11870">
            <v>363984.57150684932</v>
          </cell>
        </row>
        <row r="11871">
          <cell r="D11871" t="str">
            <v>Vehicles</v>
          </cell>
          <cell r="F11871">
            <v>25128.73</v>
          </cell>
          <cell r="G11871">
            <v>275</v>
          </cell>
          <cell r="H11871">
            <v>22504.348493150683</v>
          </cell>
        </row>
        <row r="11872">
          <cell r="D11872" t="str">
            <v>Vehicles</v>
          </cell>
          <cell r="F11872">
            <v>25128.73</v>
          </cell>
          <cell r="G11872">
            <v>275</v>
          </cell>
          <cell r="H11872">
            <v>22504.348493150683</v>
          </cell>
        </row>
        <row r="11873">
          <cell r="D11873" t="str">
            <v>Vehicles</v>
          </cell>
          <cell r="F11873">
            <v>460852.80499999999</v>
          </cell>
          <cell r="G11873">
            <v>275</v>
          </cell>
          <cell r="H11873">
            <v>413156.35671232874</v>
          </cell>
        </row>
        <row r="11874">
          <cell r="D11874" t="str">
            <v>Vehicles</v>
          </cell>
          <cell r="F11874">
            <v>566263.71499999997</v>
          </cell>
          <cell r="G11874">
            <v>275</v>
          </cell>
          <cell r="H11874">
            <v>507657.60986301367</v>
          </cell>
        </row>
        <row r="11875">
          <cell r="D11875" t="str">
            <v>Vehicles</v>
          </cell>
          <cell r="F11875">
            <v>0</v>
          </cell>
          <cell r="G11875">
            <v>275</v>
          </cell>
          <cell r="H11875">
            <v>0</v>
          </cell>
        </row>
        <row r="11876">
          <cell r="D11876" t="str">
            <v>Vehicles</v>
          </cell>
          <cell r="F11876">
            <v>32890</v>
          </cell>
          <cell r="G11876">
            <v>275</v>
          </cell>
          <cell r="H11876">
            <v>29597.534246575342</v>
          </cell>
        </row>
        <row r="11877">
          <cell r="D11877" t="str">
            <v>Vehicles</v>
          </cell>
          <cell r="F11877">
            <v>28295.5</v>
          </cell>
          <cell r="G11877">
            <v>275</v>
          </cell>
          <cell r="H11877">
            <v>25425.328767123287</v>
          </cell>
        </row>
        <row r="11878">
          <cell r="D11878" t="str">
            <v>Vehicles</v>
          </cell>
          <cell r="F11878">
            <v>32375</v>
          </cell>
          <cell r="G11878">
            <v>275</v>
          </cell>
          <cell r="H11878">
            <v>29082.534246575342</v>
          </cell>
        </row>
        <row r="11879">
          <cell r="D11879" t="str">
            <v>Vehicles</v>
          </cell>
          <cell r="F11879">
            <v>32890</v>
          </cell>
          <cell r="G11879">
            <v>275</v>
          </cell>
          <cell r="H11879">
            <v>29597.534246575342</v>
          </cell>
        </row>
        <row r="11880">
          <cell r="D11880" t="str">
            <v>Vehicles</v>
          </cell>
          <cell r="F11880">
            <v>0</v>
          </cell>
          <cell r="G11880">
            <v>275</v>
          </cell>
          <cell r="H11880">
            <v>0</v>
          </cell>
        </row>
        <row r="11881">
          <cell r="D11881" t="str">
            <v>Vehicles</v>
          </cell>
          <cell r="F11881">
            <v>28927.474999999999</v>
          </cell>
          <cell r="G11881">
            <v>275</v>
          </cell>
          <cell r="H11881">
            <v>26050.504109589041</v>
          </cell>
        </row>
        <row r="11882">
          <cell r="D11882" t="str">
            <v>Vehicles</v>
          </cell>
          <cell r="F11882">
            <v>0</v>
          </cell>
          <cell r="G11882">
            <v>275</v>
          </cell>
          <cell r="H11882">
            <v>0</v>
          </cell>
        </row>
        <row r="11883">
          <cell r="D11883" t="str">
            <v>Vehicles</v>
          </cell>
          <cell r="F11883">
            <v>643277.33000000007</v>
          </cell>
          <cell r="G11883">
            <v>275</v>
          </cell>
          <cell r="H11883">
            <v>579347.23616438359</v>
          </cell>
        </row>
        <row r="11884">
          <cell r="D11884" t="str">
            <v>Vehicles</v>
          </cell>
          <cell r="F11884">
            <v>0</v>
          </cell>
          <cell r="G11884">
            <v>275</v>
          </cell>
          <cell r="H11884">
            <v>0</v>
          </cell>
        </row>
        <row r="11885">
          <cell r="D11885" t="str">
            <v>Vehicles</v>
          </cell>
          <cell r="F11885">
            <v>449058.32500000001</v>
          </cell>
          <cell r="G11885">
            <v>275</v>
          </cell>
          <cell r="H11885">
            <v>404526.65205479454</v>
          </cell>
        </row>
        <row r="11886">
          <cell r="D11886" t="str">
            <v>Vehicles</v>
          </cell>
          <cell r="F11886">
            <v>449058.32500000001</v>
          </cell>
          <cell r="G11886">
            <v>275</v>
          </cell>
          <cell r="H11886">
            <v>404526.65205479454</v>
          </cell>
        </row>
        <row r="11887">
          <cell r="D11887" t="str">
            <v>Vehicles</v>
          </cell>
          <cell r="F11887">
            <v>449058.32500000001</v>
          </cell>
          <cell r="G11887">
            <v>275</v>
          </cell>
          <cell r="H11887">
            <v>404526.65205479454</v>
          </cell>
        </row>
        <row r="11888">
          <cell r="D11888" t="str">
            <v>Vehicles</v>
          </cell>
          <cell r="F11888">
            <v>0</v>
          </cell>
          <cell r="G11888">
            <v>275</v>
          </cell>
          <cell r="H11888">
            <v>0</v>
          </cell>
        </row>
        <row r="11889">
          <cell r="D11889" t="str">
            <v>Vehicles</v>
          </cell>
          <cell r="F11889">
            <v>470722.45500000002</v>
          </cell>
          <cell r="G11889">
            <v>275</v>
          </cell>
          <cell r="H11889">
            <v>424076.0169863014</v>
          </cell>
        </row>
        <row r="11890">
          <cell r="D11890" t="str">
            <v>Vehicles</v>
          </cell>
          <cell r="F11890">
            <v>0</v>
          </cell>
          <cell r="G11890">
            <v>275</v>
          </cell>
          <cell r="H11890">
            <v>0</v>
          </cell>
        </row>
        <row r="11891">
          <cell r="D11891" t="str">
            <v>Vehicles</v>
          </cell>
          <cell r="F11891">
            <v>29543.05</v>
          </cell>
          <cell r="G11891">
            <v>275</v>
          </cell>
          <cell r="H11891">
            <v>26636.375342465752</v>
          </cell>
        </row>
        <row r="11892">
          <cell r="D11892" t="str">
            <v>Vehicles</v>
          </cell>
          <cell r="F11892">
            <v>3500440.335</v>
          </cell>
          <cell r="G11892">
            <v>275</v>
          </cell>
          <cell r="H11892">
            <v>3156291.272328767</v>
          </cell>
        </row>
        <row r="11893">
          <cell r="D11893" t="str">
            <v>Vehicles</v>
          </cell>
          <cell r="F11893">
            <v>0</v>
          </cell>
          <cell r="G11893">
            <v>275</v>
          </cell>
          <cell r="H11893">
            <v>0</v>
          </cell>
        </row>
        <row r="11894">
          <cell r="D11894" t="str">
            <v>Vehicles</v>
          </cell>
          <cell r="F11894">
            <v>330585.28500000003</v>
          </cell>
          <cell r="G11894">
            <v>275</v>
          </cell>
          <cell r="H11894">
            <v>298176.18465753429</v>
          </cell>
        </row>
        <row r="11895">
          <cell r="D11895" t="str">
            <v>Vehicles</v>
          </cell>
          <cell r="F11895">
            <v>0</v>
          </cell>
          <cell r="G11895">
            <v>275</v>
          </cell>
          <cell r="H11895">
            <v>0</v>
          </cell>
        </row>
        <row r="11896">
          <cell r="D11896" t="str">
            <v>Vehicles</v>
          </cell>
          <cell r="F11896">
            <v>29765.05</v>
          </cell>
          <cell r="G11896">
            <v>275</v>
          </cell>
          <cell r="H11896">
            <v>26858.375342465752</v>
          </cell>
        </row>
        <row r="11897">
          <cell r="D11897" t="str">
            <v>Vehicles</v>
          </cell>
          <cell r="F11897">
            <v>34018.29</v>
          </cell>
          <cell r="G11897">
            <v>275</v>
          </cell>
          <cell r="H11897">
            <v>30753.166027397259</v>
          </cell>
        </row>
        <row r="11898">
          <cell r="D11898" t="str">
            <v>Vehicles</v>
          </cell>
          <cell r="F11898">
            <v>0</v>
          </cell>
          <cell r="G11898">
            <v>275</v>
          </cell>
          <cell r="H11898">
            <v>0</v>
          </cell>
        </row>
        <row r="11899">
          <cell r="D11899" t="str">
            <v>Vehicles</v>
          </cell>
          <cell r="F11899">
            <v>27669.35</v>
          </cell>
          <cell r="G11899">
            <v>275</v>
          </cell>
          <cell r="H11899">
            <v>25044.682191780819</v>
          </cell>
        </row>
        <row r="11900">
          <cell r="D11900" t="str">
            <v>Vehicles</v>
          </cell>
          <cell r="F11900">
            <v>27669.35</v>
          </cell>
          <cell r="G11900">
            <v>275</v>
          </cell>
          <cell r="H11900">
            <v>25044.682191780819</v>
          </cell>
        </row>
        <row r="11901">
          <cell r="D11901" t="str">
            <v>Vehicles</v>
          </cell>
          <cell r="F11901">
            <v>27669.35</v>
          </cell>
          <cell r="G11901">
            <v>275</v>
          </cell>
          <cell r="H11901">
            <v>25044.682191780819</v>
          </cell>
        </row>
        <row r="11902">
          <cell r="D11902" t="str">
            <v>Vehicles</v>
          </cell>
          <cell r="F11902">
            <v>27669.35</v>
          </cell>
          <cell r="G11902">
            <v>275</v>
          </cell>
          <cell r="H11902">
            <v>25044.682191780819</v>
          </cell>
        </row>
        <row r="11903">
          <cell r="D11903" t="str">
            <v>Vehicles</v>
          </cell>
          <cell r="F11903">
            <v>701458.39</v>
          </cell>
          <cell r="G11903">
            <v>275</v>
          </cell>
          <cell r="H11903">
            <v>635262.79342465755</v>
          </cell>
        </row>
        <row r="11904">
          <cell r="D11904" t="str">
            <v>Vehicles</v>
          </cell>
          <cell r="F11904">
            <v>712476.875</v>
          </cell>
          <cell r="G11904">
            <v>275</v>
          </cell>
          <cell r="H11904">
            <v>646464.72602739721</v>
          </cell>
        </row>
        <row r="11905">
          <cell r="D11905" t="str">
            <v>Vehicles</v>
          </cell>
          <cell r="F11905">
            <v>424308.72</v>
          </cell>
          <cell r="G11905">
            <v>275</v>
          </cell>
          <cell r="H11905">
            <v>385140.97479452053</v>
          </cell>
        </row>
        <row r="11906">
          <cell r="D11906" t="str">
            <v>Vehicles</v>
          </cell>
          <cell r="F11906">
            <v>27690.364999999998</v>
          </cell>
          <cell r="G11906">
            <v>275</v>
          </cell>
          <cell r="H11906">
            <v>25147.07835616438</v>
          </cell>
        </row>
        <row r="11907">
          <cell r="D11907" t="str">
            <v>Vehicles</v>
          </cell>
          <cell r="F11907">
            <v>27701.035</v>
          </cell>
          <cell r="G11907">
            <v>275</v>
          </cell>
          <cell r="H11907">
            <v>25156.746301369862</v>
          </cell>
        </row>
        <row r="11908">
          <cell r="D11908" t="str">
            <v>Vehicles</v>
          </cell>
          <cell r="F11908">
            <v>663975.26</v>
          </cell>
          <cell r="G11908">
            <v>275</v>
          </cell>
          <cell r="H11908">
            <v>603072.37369863014</v>
          </cell>
        </row>
        <row r="11909">
          <cell r="D11909" t="str">
            <v>Vehicles</v>
          </cell>
          <cell r="F11909">
            <v>86474.05</v>
          </cell>
          <cell r="G11909">
            <v>275</v>
          </cell>
          <cell r="H11909">
            <v>78600.046575342465</v>
          </cell>
        </row>
        <row r="11910">
          <cell r="D11910" t="str">
            <v>Vehicles</v>
          </cell>
          <cell r="F11910">
            <v>30784.635000000002</v>
          </cell>
          <cell r="G11910">
            <v>275</v>
          </cell>
          <cell r="H11910">
            <v>28002.716164383564</v>
          </cell>
        </row>
        <row r="11911">
          <cell r="D11911" t="str">
            <v>Vehicles</v>
          </cell>
          <cell r="F11911">
            <v>380838.83</v>
          </cell>
          <cell r="G11911">
            <v>275</v>
          </cell>
          <cell r="H11911">
            <v>346490.82520547946</v>
          </cell>
        </row>
        <row r="11912">
          <cell r="D11912" t="str">
            <v>Vehicles</v>
          </cell>
          <cell r="F11912">
            <v>380838.83</v>
          </cell>
          <cell r="G11912">
            <v>275</v>
          </cell>
          <cell r="H11912">
            <v>346490.82520547946</v>
          </cell>
        </row>
        <row r="11913">
          <cell r="D11913" t="str">
            <v>Vehicles</v>
          </cell>
          <cell r="F11913">
            <v>28935.510000000002</v>
          </cell>
          <cell r="G11913">
            <v>275</v>
          </cell>
          <cell r="H11913">
            <v>26334.31890410959</v>
          </cell>
        </row>
        <row r="11914">
          <cell r="D11914" t="str">
            <v>Vehicles</v>
          </cell>
          <cell r="F11914">
            <v>116978.4</v>
          </cell>
          <cell r="G11914">
            <v>275</v>
          </cell>
          <cell r="H11914">
            <v>106479.72876712328</v>
          </cell>
        </row>
        <row r="11915">
          <cell r="D11915" t="str">
            <v>Vehicles</v>
          </cell>
          <cell r="F11915">
            <v>32117.334999999999</v>
          </cell>
          <cell r="G11915">
            <v>275</v>
          </cell>
          <cell r="H11915">
            <v>29239.505205479451</v>
          </cell>
        </row>
        <row r="11916">
          <cell r="D11916" t="str">
            <v>Vehicles</v>
          </cell>
          <cell r="F11916">
            <v>32741.235000000001</v>
          </cell>
          <cell r="G11916">
            <v>275</v>
          </cell>
          <cell r="H11916">
            <v>29807.576438356165</v>
          </cell>
        </row>
        <row r="11917">
          <cell r="D11917" t="str">
            <v>Vehicles</v>
          </cell>
          <cell r="F11917">
            <v>0</v>
          </cell>
          <cell r="G11917">
            <v>275</v>
          </cell>
          <cell r="H11917">
            <v>0</v>
          </cell>
        </row>
        <row r="11918">
          <cell r="D11918" t="str">
            <v>Vehicles</v>
          </cell>
          <cell r="F11918">
            <v>520142.815</v>
          </cell>
          <cell r="G11918">
            <v>275</v>
          </cell>
          <cell r="H11918">
            <v>473703.08657534246</v>
          </cell>
        </row>
        <row r="11919">
          <cell r="D11919" t="str">
            <v>Vehicles</v>
          </cell>
          <cell r="F11919">
            <v>666866.63</v>
          </cell>
          <cell r="G11919">
            <v>275</v>
          </cell>
          <cell r="H11919">
            <v>607326.96767123288</v>
          </cell>
        </row>
        <row r="11920">
          <cell r="D11920" t="str">
            <v>Vehicles</v>
          </cell>
          <cell r="F11920">
            <v>54389</v>
          </cell>
          <cell r="G11920">
            <v>275</v>
          </cell>
          <cell r="H11920">
            <v>49536.191780821915</v>
          </cell>
        </row>
        <row r="11921">
          <cell r="D11921" t="str">
            <v>Vehicles</v>
          </cell>
          <cell r="F11921">
            <v>0</v>
          </cell>
          <cell r="G11921">
            <v>275</v>
          </cell>
          <cell r="H11921">
            <v>0</v>
          </cell>
        </row>
        <row r="11922">
          <cell r="D11922" t="str">
            <v>Vehicles</v>
          </cell>
          <cell r="F11922">
            <v>1406970.93</v>
          </cell>
          <cell r="G11922">
            <v>275</v>
          </cell>
          <cell r="H11922">
            <v>1281921.2197260275</v>
          </cell>
        </row>
        <row r="11923">
          <cell r="D11923" t="str">
            <v>Vehicles</v>
          </cell>
          <cell r="F11923">
            <v>0</v>
          </cell>
          <cell r="G11923">
            <v>275</v>
          </cell>
          <cell r="H11923">
            <v>0</v>
          </cell>
        </row>
        <row r="11924">
          <cell r="D11924" t="str">
            <v>Vehicles</v>
          </cell>
          <cell r="F11924">
            <v>27326.5</v>
          </cell>
          <cell r="G11924">
            <v>275</v>
          </cell>
          <cell r="H11924">
            <v>24900.095890410958</v>
          </cell>
        </row>
        <row r="11925">
          <cell r="D11925" t="str">
            <v>Vehicles</v>
          </cell>
          <cell r="F11925">
            <v>0</v>
          </cell>
          <cell r="G11925">
            <v>275</v>
          </cell>
          <cell r="H11925">
            <v>0</v>
          </cell>
        </row>
        <row r="11926">
          <cell r="D11926" t="str">
            <v>Vehicles</v>
          </cell>
          <cell r="F11926">
            <v>0</v>
          </cell>
          <cell r="G11926">
            <v>275</v>
          </cell>
          <cell r="H11926">
            <v>0</v>
          </cell>
        </row>
        <row r="11927">
          <cell r="D11927" t="str">
            <v>Vehicles</v>
          </cell>
          <cell r="F11927">
            <v>0</v>
          </cell>
          <cell r="G11927">
            <v>275</v>
          </cell>
          <cell r="H11927">
            <v>0</v>
          </cell>
        </row>
        <row r="11928">
          <cell r="D11928" t="str">
            <v>Vehicles</v>
          </cell>
          <cell r="F11928">
            <v>0</v>
          </cell>
          <cell r="G11928">
            <v>275</v>
          </cell>
          <cell r="H11928">
            <v>0</v>
          </cell>
        </row>
        <row r="11929">
          <cell r="D11929" t="str">
            <v>Vehicles</v>
          </cell>
          <cell r="F11929">
            <v>0</v>
          </cell>
          <cell r="G11929">
            <v>275</v>
          </cell>
          <cell r="H11929">
            <v>0</v>
          </cell>
        </row>
        <row r="11930">
          <cell r="D11930" t="str">
            <v>Vehicles</v>
          </cell>
          <cell r="F11930">
            <v>0</v>
          </cell>
          <cell r="G11930">
            <v>275</v>
          </cell>
          <cell r="H11930">
            <v>0</v>
          </cell>
        </row>
        <row r="11931">
          <cell r="D11931" t="str">
            <v>Vehicles</v>
          </cell>
          <cell r="F11931">
            <v>0</v>
          </cell>
          <cell r="G11931">
            <v>275</v>
          </cell>
          <cell r="H11931">
            <v>0</v>
          </cell>
        </row>
        <row r="11932">
          <cell r="D11932" t="str">
            <v>Vehicles</v>
          </cell>
          <cell r="F11932">
            <v>0</v>
          </cell>
          <cell r="G11932">
            <v>275</v>
          </cell>
          <cell r="H11932">
            <v>0</v>
          </cell>
        </row>
        <row r="11933">
          <cell r="D11933" t="str">
            <v>Vehicles</v>
          </cell>
          <cell r="F11933">
            <v>0</v>
          </cell>
          <cell r="G11933">
            <v>275</v>
          </cell>
          <cell r="H11933">
            <v>0</v>
          </cell>
        </row>
        <row r="11934">
          <cell r="D11934" t="str">
            <v>Vehicles</v>
          </cell>
          <cell r="F11934">
            <v>3878</v>
          </cell>
          <cell r="G11934">
            <v>275</v>
          </cell>
          <cell r="H11934">
            <v>2947.5205479452056</v>
          </cell>
        </row>
        <row r="11935">
          <cell r="D11935" t="str">
            <v>Vehicles</v>
          </cell>
          <cell r="F11935">
            <v>0</v>
          </cell>
          <cell r="G11935">
            <v>275</v>
          </cell>
          <cell r="H11935">
            <v>0</v>
          </cell>
        </row>
        <row r="11936">
          <cell r="D11936" t="str">
            <v>Vehicles</v>
          </cell>
          <cell r="F11936">
            <v>0</v>
          </cell>
          <cell r="G11936">
            <v>275</v>
          </cell>
          <cell r="H11936">
            <v>0</v>
          </cell>
        </row>
        <row r="11937">
          <cell r="D11937" t="str">
            <v>Vehicles</v>
          </cell>
          <cell r="F11937">
            <v>0</v>
          </cell>
          <cell r="G11937">
            <v>275</v>
          </cell>
          <cell r="H11937">
            <v>0</v>
          </cell>
        </row>
        <row r="11938">
          <cell r="D11938" t="str">
            <v>Vehicles</v>
          </cell>
          <cell r="F11938">
            <v>4917.5</v>
          </cell>
          <cell r="G11938">
            <v>275</v>
          </cell>
          <cell r="H11938">
            <v>3736.5068493150684</v>
          </cell>
        </row>
        <row r="11939">
          <cell r="D11939" t="str">
            <v>Vehicles</v>
          </cell>
          <cell r="F11939">
            <v>0</v>
          </cell>
          <cell r="G11939">
            <v>275</v>
          </cell>
          <cell r="H11939">
            <v>0</v>
          </cell>
        </row>
        <row r="11940">
          <cell r="D11940" t="str">
            <v>Vehicles</v>
          </cell>
          <cell r="F11940">
            <v>0</v>
          </cell>
          <cell r="G11940">
            <v>275</v>
          </cell>
          <cell r="H11940">
            <v>0</v>
          </cell>
        </row>
        <row r="11941">
          <cell r="D11941" t="str">
            <v>Vehicles</v>
          </cell>
          <cell r="F11941">
            <v>0</v>
          </cell>
          <cell r="G11941">
            <v>275</v>
          </cell>
          <cell r="H11941">
            <v>0</v>
          </cell>
        </row>
        <row r="11942">
          <cell r="D11942" t="str">
            <v>Vehicles</v>
          </cell>
          <cell r="F11942">
            <v>0</v>
          </cell>
          <cell r="G11942">
            <v>275</v>
          </cell>
          <cell r="H11942">
            <v>0</v>
          </cell>
        </row>
        <row r="11943">
          <cell r="D11943" t="str">
            <v>Vehicles</v>
          </cell>
          <cell r="F11943">
            <v>0</v>
          </cell>
          <cell r="G11943">
            <v>275</v>
          </cell>
          <cell r="H11943">
            <v>0</v>
          </cell>
        </row>
        <row r="11944">
          <cell r="D11944" t="str">
            <v>Vehicles</v>
          </cell>
          <cell r="F11944">
            <v>0</v>
          </cell>
          <cell r="G11944">
            <v>275</v>
          </cell>
          <cell r="H11944">
            <v>0</v>
          </cell>
        </row>
        <row r="11945">
          <cell r="D11945" t="str">
            <v>Vehicles</v>
          </cell>
          <cell r="F11945">
            <v>7945.625</v>
          </cell>
          <cell r="G11945">
            <v>275</v>
          </cell>
          <cell r="H11945">
            <v>6211.7123287671238</v>
          </cell>
        </row>
        <row r="11946">
          <cell r="D11946" t="str">
            <v>Vehicles</v>
          </cell>
          <cell r="F11946">
            <v>0</v>
          </cell>
          <cell r="G11946">
            <v>275</v>
          </cell>
          <cell r="H11946">
            <v>0</v>
          </cell>
        </row>
        <row r="11947">
          <cell r="D11947" t="str">
            <v>Vehicles</v>
          </cell>
          <cell r="F11947">
            <v>8960.5</v>
          </cell>
          <cell r="G11947">
            <v>275</v>
          </cell>
          <cell r="H11947">
            <v>6949.232876712329</v>
          </cell>
        </row>
        <row r="11948">
          <cell r="D11948" t="str">
            <v>Vehicles</v>
          </cell>
          <cell r="F11948">
            <v>9113.4749999999985</v>
          </cell>
          <cell r="G11948">
            <v>275</v>
          </cell>
          <cell r="H11948">
            <v>7081.0931506849302</v>
          </cell>
        </row>
        <row r="11949">
          <cell r="D11949" t="str">
            <v>Vehicles</v>
          </cell>
          <cell r="F11949">
            <v>9113.4749999999985</v>
          </cell>
          <cell r="G11949">
            <v>275</v>
          </cell>
          <cell r="H11949">
            <v>7081.0931506849302</v>
          </cell>
        </row>
        <row r="11950">
          <cell r="D11950" t="str">
            <v>Vehicles</v>
          </cell>
          <cell r="F11950">
            <v>0</v>
          </cell>
          <cell r="G11950">
            <v>275</v>
          </cell>
          <cell r="H11950">
            <v>0</v>
          </cell>
        </row>
        <row r="11951">
          <cell r="D11951" t="str">
            <v>Vehicles</v>
          </cell>
          <cell r="F11951">
            <v>7791.5</v>
          </cell>
          <cell r="G11951">
            <v>275</v>
          </cell>
          <cell r="H11951">
            <v>5465.3013698630139</v>
          </cell>
        </row>
        <row r="11952">
          <cell r="D11952" t="str">
            <v>Vehicles</v>
          </cell>
          <cell r="F11952">
            <v>0</v>
          </cell>
          <cell r="G11952">
            <v>275</v>
          </cell>
          <cell r="H11952">
            <v>0</v>
          </cell>
        </row>
        <row r="11953">
          <cell r="D11953" t="str">
            <v>Vehicles</v>
          </cell>
          <cell r="F11953">
            <v>32274.334999999999</v>
          </cell>
          <cell r="G11953">
            <v>275</v>
          </cell>
          <cell r="H11953">
            <v>29396.505205479451</v>
          </cell>
        </row>
        <row r="11954">
          <cell r="D11954" t="str">
            <v>Vehicles</v>
          </cell>
          <cell r="F11954">
            <v>32274.334999999999</v>
          </cell>
          <cell r="G11954">
            <v>275</v>
          </cell>
          <cell r="H11954">
            <v>29396.505205479451</v>
          </cell>
        </row>
        <row r="11955">
          <cell r="D11955" t="str">
            <v>Vehicles</v>
          </cell>
          <cell r="F11955">
            <v>30432.84</v>
          </cell>
          <cell r="G11955">
            <v>275</v>
          </cell>
          <cell r="H11955">
            <v>27532.034520547946</v>
          </cell>
        </row>
        <row r="11956">
          <cell r="D11956" t="str">
            <v>Vehicles</v>
          </cell>
          <cell r="F11956">
            <v>32543.614999999998</v>
          </cell>
          <cell r="G11956">
            <v>275</v>
          </cell>
          <cell r="H11956">
            <v>29295.311232876709</v>
          </cell>
        </row>
        <row r="11957">
          <cell r="D11957" t="str">
            <v>Vehicles</v>
          </cell>
          <cell r="F11957">
            <v>11388</v>
          </cell>
          <cell r="G11957">
            <v>275</v>
          </cell>
          <cell r="H11957">
            <v>7809.232876712329</v>
          </cell>
        </row>
        <row r="11958">
          <cell r="D11958" t="str">
            <v>Vehicles</v>
          </cell>
          <cell r="F11958">
            <v>53191.33</v>
          </cell>
          <cell r="G11958">
            <v>275</v>
          </cell>
          <cell r="H11958">
            <v>47967.332054794519</v>
          </cell>
        </row>
        <row r="11959">
          <cell r="D11959" t="str">
            <v>Vehicles</v>
          </cell>
          <cell r="F11959">
            <v>0</v>
          </cell>
          <cell r="G11959">
            <v>275</v>
          </cell>
          <cell r="H11959">
            <v>0</v>
          </cell>
        </row>
        <row r="11960">
          <cell r="D11960" t="str">
            <v>Vehicles</v>
          </cell>
          <cell r="F11960">
            <v>27933.904999999999</v>
          </cell>
          <cell r="G11960">
            <v>275</v>
          </cell>
          <cell r="H11960">
            <v>9338.5594520547929</v>
          </cell>
        </row>
        <row r="11961">
          <cell r="D11961" t="str">
            <v>Vehicles</v>
          </cell>
          <cell r="F11961">
            <v>0</v>
          </cell>
          <cell r="G11961">
            <v>275</v>
          </cell>
          <cell r="H11961">
            <v>0</v>
          </cell>
        </row>
        <row r="11962">
          <cell r="D11962" t="str">
            <v>Vehicles</v>
          </cell>
          <cell r="F11962">
            <v>387064.65</v>
          </cell>
          <cell r="G11962">
            <v>275</v>
          </cell>
          <cell r="H11962">
            <v>350093.8383561644</v>
          </cell>
        </row>
        <row r="11963">
          <cell r="D11963" t="str">
            <v>Vehicles</v>
          </cell>
          <cell r="F11963">
            <v>412852.29000000004</v>
          </cell>
          <cell r="G11963">
            <v>275</v>
          </cell>
          <cell r="H11963">
            <v>375059.22082191787</v>
          </cell>
        </row>
        <row r="11964">
          <cell r="D11964" t="str">
            <v>Vehicles</v>
          </cell>
          <cell r="F11964">
            <v>412897.815</v>
          </cell>
          <cell r="G11964">
            <v>275</v>
          </cell>
          <cell r="H11964">
            <v>376435.68931506848</v>
          </cell>
        </row>
        <row r="11965">
          <cell r="D11965" t="str">
            <v>Vehicles</v>
          </cell>
          <cell r="F11965">
            <v>27617.5</v>
          </cell>
          <cell r="G11965">
            <v>275</v>
          </cell>
          <cell r="H11965">
            <v>25191.095890410958</v>
          </cell>
        </row>
        <row r="11966">
          <cell r="D11966" t="str">
            <v>Vehicles</v>
          </cell>
          <cell r="F11966">
            <v>29931.35</v>
          </cell>
          <cell r="G11966">
            <v>275</v>
          </cell>
          <cell r="H11966">
            <v>27306.682191780819</v>
          </cell>
        </row>
        <row r="11967">
          <cell r="D11967" t="str">
            <v>Vehicles</v>
          </cell>
          <cell r="F11967">
            <v>29931.35</v>
          </cell>
          <cell r="G11967">
            <v>275</v>
          </cell>
          <cell r="H11967">
            <v>27306.682191780819</v>
          </cell>
        </row>
        <row r="11968">
          <cell r="D11968" t="str">
            <v>Vehicles</v>
          </cell>
          <cell r="F11968">
            <v>439552.12</v>
          </cell>
          <cell r="G11968">
            <v>275</v>
          </cell>
          <cell r="H11968">
            <v>401008.51178082189</v>
          </cell>
        </row>
        <row r="11969">
          <cell r="D11969" t="str">
            <v>Vehicles</v>
          </cell>
          <cell r="F11969">
            <v>50849</v>
          </cell>
          <cell r="G11969">
            <v>275</v>
          </cell>
          <cell r="H11969">
            <v>46411.32876712329</v>
          </cell>
        </row>
        <row r="11970">
          <cell r="D11970" t="str">
            <v>Vehicles</v>
          </cell>
          <cell r="F11970">
            <v>30218.35</v>
          </cell>
          <cell r="G11970">
            <v>275</v>
          </cell>
          <cell r="H11970">
            <v>27593.682191780819</v>
          </cell>
        </row>
        <row r="11971">
          <cell r="D11971" t="str">
            <v>Vehicles</v>
          </cell>
          <cell r="F11971">
            <v>29153</v>
          </cell>
          <cell r="G11971">
            <v>275</v>
          </cell>
          <cell r="H11971">
            <v>26633.547945205479</v>
          </cell>
        </row>
        <row r="11972">
          <cell r="D11972" t="str">
            <v>Vehicles</v>
          </cell>
          <cell r="F11972">
            <v>29153</v>
          </cell>
          <cell r="G11972">
            <v>275</v>
          </cell>
          <cell r="H11972">
            <v>26633.547945205479</v>
          </cell>
        </row>
        <row r="11973">
          <cell r="D11973" t="str">
            <v>Vehicles</v>
          </cell>
          <cell r="F11973">
            <v>660225.86</v>
          </cell>
          <cell r="G11973">
            <v>275</v>
          </cell>
          <cell r="H11973">
            <v>603222.39835616434</v>
          </cell>
        </row>
        <row r="11974">
          <cell r="D11974" t="str">
            <v>Vehicles</v>
          </cell>
          <cell r="F11974">
            <v>395906.27500000002</v>
          </cell>
          <cell r="G11974">
            <v>275</v>
          </cell>
          <cell r="H11974">
            <v>361453.12602739729</v>
          </cell>
        </row>
        <row r="11975">
          <cell r="D11975" t="str">
            <v>Vehicles</v>
          </cell>
          <cell r="F11975">
            <v>418731.815</v>
          </cell>
          <cell r="G11975">
            <v>275</v>
          </cell>
          <cell r="H11975">
            <v>382269.68931506848</v>
          </cell>
        </row>
        <row r="11976">
          <cell r="D11976" t="str">
            <v>Vehicles</v>
          </cell>
          <cell r="F11976">
            <v>36993.925000000003</v>
          </cell>
          <cell r="G11976">
            <v>275</v>
          </cell>
          <cell r="H11976">
            <v>33809.89589041096</v>
          </cell>
        </row>
        <row r="11977">
          <cell r="D11977" t="str">
            <v>Vehicles</v>
          </cell>
          <cell r="F11977">
            <v>31220.880000000001</v>
          </cell>
          <cell r="G11977">
            <v>275</v>
          </cell>
          <cell r="H11977">
            <v>28537.090958904111</v>
          </cell>
        </row>
        <row r="11978">
          <cell r="D11978" t="str">
            <v>Vehicles</v>
          </cell>
          <cell r="F11978">
            <v>31220.880000000001</v>
          </cell>
          <cell r="G11978">
            <v>275</v>
          </cell>
          <cell r="H11978">
            <v>28537.090958904111</v>
          </cell>
        </row>
        <row r="11979">
          <cell r="D11979" t="str">
            <v>Vehicles</v>
          </cell>
          <cell r="F11979">
            <v>74985</v>
          </cell>
          <cell r="G11979">
            <v>275</v>
          </cell>
          <cell r="H11979">
            <v>68543.219178082189</v>
          </cell>
        </row>
        <row r="11980">
          <cell r="D11980" t="str">
            <v>Vehicles</v>
          </cell>
          <cell r="F11980">
            <v>41814</v>
          </cell>
          <cell r="G11980">
            <v>275</v>
          </cell>
          <cell r="H11980">
            <v>38235.232876712325</v>
          </cell>
        </row>
        <row r="11981">
          <cell r="D11981" t="str">
            <v>Vehicles</v>
          </cell>
          <cell r="F11981">
            <v>29666.260000000002</v>
          </cell>
          <cell r="G11981">
            <v>275</v>
          </cell>
          <cell r="H11981">
            <v>27154.538082191782</v>
          </cell>
        </row>
        <row r="11982">
          <cell r="D11982" t="str">
            <v>Vehicles</v>
          </cell>
          <cell r="F11982">
            <v>444515.05499999999</v>
          </cell>
          <cell r="G11982">
            <v>275</v>
          </cell>
          <cell r="H11982">
            <v>407007.35671232874</v>
          </cell>
        </row>
        <row r="11983">
          <cell r="D11983" t="str">
            <v>Vehicles</v>
          </cell>
          <cell r="F11983">
            <v>31848.5</v>
          </cell>
          <cell r="G11983">
            <v>275</v>
          </cell>
          <cell r="H11983">
            <v>29164.424657534248</v>
          </cell>
        </row>
        <row r="11984">
          <cell r="D11984" t="str">
            <v>Vehicles</v>
          </cell>
          <cell r="F11984">
            <v>31848.5</v>
          </cell>
          <cell r="G11984">
            <v>275</v>
          </cell>
          <cell r="H11984">
            <v>29164.424657534248</v>
          </cell>
        </row>
        <row r="11985">
          <cell r="D11985" t="str">
            <v>Vehicles</v>
          </cell>
          <cell r="F11985">
            <v>387668.68</v>
          </cell>
          <cell r="G11985">
            <v>275</v>
          </cell>
          <cell r="H11985">
            <v>354997.68547945202</v>
          </cell>
        </row>
        <row r="11986">
          <cell r="D11986" t="str">
            <v>Vehicles</v>
          </cell>
          <cell r="F11986">
            <v>29318.35</v>
          </cell>
          <cell r="G11986">
            <v>275</v>
          </cell>
          <cell r="H11986">
            <v>26851.147945205477</v>
          </cell>
        </row>
        <row r="11987">
          <cell r="D11987" t="str">
            <v>Vehicles</v>
          </cell>
          <cell r="F11987">
            <v>29318.35</v>
          </cell>
          <cell r="G11987">
            <v>275</v>
          </cell>
          <cell r="H11987">
            <v>26851.147945205477</v>
          </cell>
        </row>
        <row r="11988">
          <cell r="D11988" t="str">
            <v>Vehicles</v>
          </cell>
          <cell r="F11988">
            <v>29318.35</v>
          </cell>
          <cell r="G11988">
            <v>275</v>
          </cell>
          <cell r="H11988">
            <v>26851.147945205477</v>
          </cell>
        </row>
        <row r="11989">
          <cell r="D11989" t="str">
            <v>Vehicles</v>
          </cell>
          <cell r="F11989">
            <v>29560.6</v>
          </cell>
          <cell r="G11989">
            <v>275</v>
          </cell>
          <cell r="H11989">
            <v>27089.819178082191</v>
          </cell>
        </row>
        <row r="11990">
          <cell r="D11990" t="str">
            <v>Vehicles</v>
          </cell>
          <cell r="F11990">
            <v>29048.325000000001</v>
          </cell>
          <cell r="G11990">
            <v>275</v>
          </cell>
          <cell r="H11990">
            <v>26645.898630136988</v>
          </cell>
        </row>
        <row r="11991">
          <cell r="D11991" t="str">
            <v>Vehicles</v>
          </cell>
          <cell r="F11991">
            <v>29118.325000000001</v>
          </cell>
          <cell r="G11991">
            <v>275</v>
          </cell>
          <cell r="H11991">
            <v>26715.898630136988</v>
          </cell>
        </row>
        <row r="11992">
          <cell r="D11992" t="str">
            <v>Vehicles</v>
          </cell>
          <cell r="F11992">
            <v>32139.035</v>
          </cell>
          <cell r="G11992">
            <v>275</v>
          </cell>
          <cell r="H11992">
            <v>29494.540821917806</v>
          </cell>
        </row>
        <row r="11993">
          <cell r="D11993" t="str">
            <v>Vehicles</v>
          </cell>
          <cell r="F11993">
            <v>853663.95</v>
          </cell>
          <cell r="G11993">
            <v>275</v>
          </cell>
          <cell r="H11993">
            <v>783463.56986301369</v>
          </cell>
        </row>
        <row r="11994">
          <cell r="D11994" t="str">
            <v>Vehicles</v>
          </cell>
          <cell r="F11994">
            <v>31183.5</v>
          </cell>
          <cell r="G11994">
            <v>275</v>
          </cell>
          <cell r="H11994">
            <v>28628.260273972603</v>
          </cell>
        </row>
        <row r="11995">
          <cell r="D11995" t="str">
            <v>Vehicles</v>
          </cell>
          <cell r="F11995">
            <v>31183.5</v>
          </cell>
          <cell r="G11995">
            <v>275</v>
          </cell>
          <cell r="H11995">
            <v>28628.260273972603</v>
          </cell>
        </row>
        <row r="11996">
          <cell r="D11996" t="str">
            <v>Vehicles</v>
          </cell>
          <cell r="F11996">
            <v>458756.04499999998</v>
          </cell>
          <cell r="G11996">
            <v>275</v>
          </cell>
          <cell r="H11996">
            <v>421165.46246575343</v>
          </cell>
        </row>
        <row r="11997">
          <cell r="D11997" t="str">
            <v>Vehicles</v>
          </cell>
          <cell r="F11997">
            <v>458756.04499999998</v>
          </cell>
          <cell r="G11997">
            <v>275</v>
          </cell>
          <cell r="H11997">
            <v>421165.46246575343</v>
          </cell>
        </row>
        <row r="11998">
          <cell r="D11998" t="str">
            <v>Vehicles</v>
          </cell>
          <cell r="F11998">
            <v>458756.04499999998</v>
          </cell>
          <cell r="G11998">
            <v>275</v>
          </cell>
          <cell r="H11998">
            <v>421165.46246575343</v>
          </cell>
        </row>
        <row r="11999">
          <cell r="D11999" t="str">
            <v>Vehicles</v>
          </cell>
          <cell r="F11999">
            <v>34096.65</v>
          </cell>
          <cell r="G11999">
            <v>275</v>
          </cell>
          <cell r="H11999">
            <v>31310.22191780822</v>
          </cell>
        </row>
        <row r="12000">
          <cell r="D12000" t="str">
            <v>Vehicles</v>
          </cell>
          <cell r="F12000">
            <v>34096.65</v>
          </cell>
          <cell r="G12000">
            <v>275</v>
          </cell>
          <cell r="H12000">
            <v>31310.22191780822</v>
          </cell>
        </row>
        <row r="12001">
          <cell r="D12001" t="str">
            <v>Vehicles</v>
          </cell>
          <cell r="F12001">
            <v>34096.65</v>
          </cell>
          <cell r="G12001">
            <v>275</v>
          </cell>
          <cell r="H12001">
            <v>31310.22191780822</v>
          </cell>
        </row>
        <row r="12002">
          <cell r="D12002" t="str">
            <v>Vehicles</v>
          </cell>
          <cell r="F12002">
            <v>34187.65</v>
          </cell>
          <cell r="G12002">
            <v>275</v>
          </cell>
          <cell r="H12002">
            <v>31401.22191780822</v>
          </cell>
        </row>
        <row r="12003">
          <cell r="D12003" t="str">
            <v>Vehicles</v>
          </cell>
          <cell r="F12003">
            <v>32491.37</v>
          </cell>
          <cell r="G12003">
            <v>275</v>
          </cell>
          <cell r="H12003">
            <v>29846.374794520547</v>
          </cell>
        </row>
        <row r="12004">
          <cell r="D12004" t="str">
            <v>Vehicles</v>
          </cell>
          <cell r="F12004">
            <v>32491.37</v>
          </cell>
          <cell r="G12004">
            <v>275</v>
          </cell>
          <cell r="H12004">
            <v>29846.374794520547</v>
          </cell>
        </row>
        <row r="12005">
          <cell r="D12005" t="str">
            <v>Vehicles</v>
          </cell>
          <cell r="F12005">
            <v>30462.32</v>
          </cell>
          <cell r="G12005">
            <v>275</v>
          </cell>
          <cell r="H12005">
            <v>27989.821369863013</v>
          </cell>
        </row>
        <row r="12006">
          <cell r="D12006" t="str">
            <v>Vehicles</v>
          </cell>
          <cell r="F12006">
            <v>30462.32</v>
          </cell>
          <cell r="G12006">
            <v>275</v>
          </cell>
          <cell r="H12006">
            <v>27989.821369863013</v>
          </cell>
        </row>
        <row r="12007">
          <cell r="D12007" t="str">
            <v>Vehicles</v>
          </cell>
          <cell r="F12007">
            <v>30501.14</v>
          </cell>
          <cell r="G12007">
            <v>275</v>
          </cell>
          <cell r="H12007">
            <v>28025.492054794518</v>
          </cell>
        </row>
        <row r="12008">
          <cell r="D12008" t="str">
            <v>Vehicles</v>
          </cell>
          <cell r="F12008">
            <v>30501.14</v>
          </cell>
          <cell r="G12008">
            <v>275</v>
          </cell>
          <cell r="H12008">
            <v>28025.492054794518</v>
          </cell>
        </row>
        <row r="12009">
          <cell r="D12009" t="str">
            <v>Vehicles</v>
          </cell>
          <cell r="F12009">
            <v>30501.14</v>
          </cell>
          <cell r="G12009">
            <v>275</v>
          </cell>
          <cell r="H12009">
            <v>28025.492054794518</v>
          </cell>
        </row>
        <row r="12010">
          <cell r="D12010" t="str">
            <v>Vehicles</v>
          </cell>
          <cell r="F12010">
            <v>35643.815000000002</v>
          </cell>
          <cell r="G12010">
            <v>275</v>
          </cell>
          <cell r="H12010">
            <v>32750.52493150685</v>
          </cell>
        </row>
        <row r="12011">
          <cell r="D12011" t="str">
            <v>Vehicles</v>
          </cell>
          <cell r="F12011">
            <v>35829.339999999997</v>
          </cell>
          <cell r="G12011">
            <v>275</v>
          </cell>
          <cell r="H12011">
            <v>32921.376986301366</v>
          </cell>
        </row>
        <row r="12012">
          <cell r="D12012" t="str">
            <v>Vehicles</v>
          </cell>
          <cell r="F12012">
            <v>413330.07500000001</v>
          </cell>
          <cell r="G12012">
            <v>275</v>
          </cell>
          <cell r="H12012">
            <v>379781.63835616439</v>
          </cell>
        </row>
        <row r="12013">
          <cell r="D12013" t="str">
            <v>Vehicles</v>
          </cell>
          <cell r="F12013">
            <v>29928.5</v>
          </cell>
          <cell r="G12013">
            <v>275</v>
          </cell>
          <cell r="H12013">
            <v>27516.410958904111</v>
          </cell>
        </row>
        <row r="12014">
          <cell r="D12014" t="str">
            <v>Vehicles</v>
          </cell>
          <cell r="F12014">
            <v>30498.5</v>
          </cell>
          <cell r="G12014">
            <v>275</v>
          </cell>
          <cell r="H12014">
            <v>28086.410958904111</v>
          </cell>
        </row>
        <row r="12015">
          <cell r="D12015" t="str">
            <v>Vehicles</v>
          </cell>
          <cell r="F12015">
            <v>34990</v>
          </cell>
          <cell r="G12015">
            <v>275</v>
          </cell>
          <cell r="H12015">
            <v>32169.931506849316</v>
          </cell>
        </row>
        <row r="12016">
          <cell r="D12016" t="str">
            <v>Vehicles</v>
          </cell>
          <cell r="F12016">
            <v>34990</v>
          </cell>
          <cell r="G12016">
            <v>275</v>
          </cell>
          <cell r="H12016">
            <v>32169.931506849316</v>
          </cell>
        </row>
        <row r="12017">
          <cell r="D12017" t="str">
            <v>Vehicles</v>
          </cell>
          <cell r="F12017">
            <v>35031</v>
          </cell>
          <cell r="G12017">
            <v>275</v>
          </cell>
          <cell r="H12017">
            <v>32210.931506849316</v>
          </cell>
        </row>
        <row r="12018">
          <cell r="D12018" t="str">
            <v>Vehicles</v>
          </cell>
          <cell r="F12018">
            <v>30791</v>
          </cell>
          <cell r="G12018">
            <v>275</v>
          </cell>
          <cell r="H12018">
            <v>28314.493150684932</v>
          </cell>
        </row>
        <row r="12019">
          <cell r="D12019" t="str">
            <v>Vehicles</v>
          </cell>
          <cell r="F12019">
            <v>30836</v>
          </cell>
          <cell r="G12019">
            <v>275</v>
          </cell>
          <cell r="H12019">
            <v>28359.493150684932</v>
          </cell>
        </row>
        <row r="12020">
          <cell r="D12020" t="str">
            <v>Vehicles</v>
          </cell>
          <cell r="F12020">
            <v>33790.75</v>
          </cell>
          <cell r="G12020">
            <v>275</v>
          </cell>
          <cell r="H12020">
            <v>31088.780821917808</v>
          </cell>
        </row>
        <row r="12021">
          <cell r="D12021" t="str">
            <v>Vehicles</v>
          </cell>
          <cell r="F12021">
            <v>33790.75</v>
          </cell>
          <cell r="G12021">
            <v>275</v>
          </cell>
          <cell r="H12021">
            <v>31088.780821917808</v>
          </cell>
        </row>
        <row r="12022">
          <cell r="D12022" t="str">
            <v>Vehicles</v>
          </cell>
          <cell r="F12022">
            <v>30980</v>
          </cell>
          <cell r="G12022">
            <v>275</v>
          </cell>
          <cell r="H12022">
            <v>28503.493150684932</v>
          </cell>
        </row>
        <row r="12023">
          <cell r="D12023" t="str">
            <v>Vehicles</v>
          </cell>
          <cell r="F12023">
            <v>432545.65</v>
          </cell>
          <cell r="G12023">
            <v>275</v>
          </cell>
          <cell r="H12023">
            <v>398008.4</v>
          </cell>
        </row>
        <row r="12024">
          <cell r="D12024" t="str">
            <v>Vehicles</v>
          </cell>
          <cell r="F12024">
            <v>31034</v>
          </cell>
          <cell r="G12024">
            <v>275</v>
          </cell>
          <cell r="H12024">
            <v>28557.493150684932</v>
          </cell>
        </row>
        <row r="12025">
          <cell r="D12025" t="str">
            <v>Vehicles</v>
          </cell>
          <cell r="F12025">
            <v>1119464.405</v>
          </cell>
          <cell r="G12025">
            <v>275</v>
          </cell>
          <cell r="H12025">
            <v>1030517.6553424657</v>
          </cell>
        </row>
        <row r="12026">
          <cell r="D12026" t="str">
            <v>Vehicles</v>
          </cell>
          <cell r="F12026">
            <v>1190797.83</v>
          </cell>
          <cell r="G12026">
            <v>275</v>
          </cell>
          <cell r="H12026">
            <v>1096183.3868493151</v>
          </cell>
        </row>
        <row r="12027">
          <cell r="D12027" t="str">
            <v>Vehicles</v>
          </cell>
          <cell r="F12027">
            <v>34012.224999999999</v>
          </cell>
          <cell r="G12027">
            <v>275</v>
          </cell>
          <cell r="H12027">
            <v>31310.613698630135</v>
          </cell>
        </row>
        <row r="12028">
          <cell r="D12028" t="str">
            <v>Vehicles</v>
          </cell>
          <cell r="F12028">
            <v>1047470.455</v>
          </cell>
          <cell r="G12028">
            <v>275</v>
          </cell>
          <cell r="H12028">
            <v>964291.9621917808</v>
          </cell>
        </row>
        <row r="12029">
          <cell r="D12029" t="str">
            <v>Vehicles</v>
          </cell>
          <cell r="F12029">
            <v>1047470.455</v>
          </cell>
          <cell r="G12029">
            <v>275</v>
          </cell>
          <cell r="H12029">
            <v>964291.9621917808</v>
          </cell>
        </row>
        <row r="12030">
          <cell r="D12030" t="str">
            <v>Vehicles</v>
          </cell>
          <cell r="F12030">
            <v>31250</v>
          </cell>
          <cell r="G12030">
            <v>275</v>
          </cell>
          <cell r="H12030">
            <v>28773.493150684932</v>
          </cell>
        </row>
        <row r="12031">
          <cell r="D12031" t="str">
            <v>Vehicles</v>
          </cell>
          <cell r="F12031">
            <v>32523.72267759563</v>
          </cell>
          <cell r="G12031">
            <v>275</v>
          </cell>
          <cell r="H12031">
            <v>29982.798020061382</v>
          </cell>
        </row>
        <row r="12032">
          <cell r="D12032" t="str">
            <v>Vehicles</v>
          </cell>
          <cell r="F12032">
            <v>32523.72267759563</v>
          </cell>
          <cell r="G12032">
            <v>275</v>
          </cell>
          <cell r="H12032">
            <v>29982.798020061382</v>
          </cell>
        </row>
        <row r="12033">
          <cell r="D12033" t="str">
            <v>Vehicles</v>
          </cell>
          <cell r="F12033">
            <v>36897.661202185795</v>
          </cell>
          <cell r="G12033">
            <v>275</v>
          </cell>
          <cell r="H12033">
            <v>34017.46942136388</v>
          </cell>
        </row>
        <row r="12034">
          <cell r="D12034" t="str">
            <v>Vehicles</v>
          </cell>
          <cell r="F12034">
            <v>36897.661202185795</v>
          </cell>
          <cell r="G12034">
            <v>275</v>
          </cell>
          <cell r="H12034">
            <v>34017.46942136388</v>
          </cell>
        </row>
        <row r="12035">
          <cell r="D12035" t="str">
            <v>Vehicles</v>
          </cell>
          <cell r="F12035">
            <v>36897.661202185795</v>
          </cell>
          <cell r="G12035">
            <v>275</v>
          </cell>
          <cell r="H12035">
            <v>34017.46942136388</v>
          </cell>
        </row>
        <row r="12036">
          <cell r="D12036" t="str">
            <v>Vehicles</v>
          </cell>
          <cell r="F12036">
            <v>36897.661202185795</v>
          </cell>
          <cell r="G12036">
            <v>275</v>
          </cell>
          <cell r="H12036">
            <v>34017.46942136388</v>
          </cell>
        </row>
        <row r="12037">
          <cell r="D12037" t="str">
            <v>Vehicles</v>
          </cell>
          <cell r="F12037">
            <v>35902.37704918033</v>
          </cell>
          <cell r="G12037">
            <v>275</v>
          </cell>
          <cell r="H12037">
            <v>33110.938693015945</v>
          </cell>
        </row>
        <row r="12038">
          <cell r="D12038" t="str">
            <v>Vehicles</v>
          </cell>
          <cell r="F12038">
            <v>35902.37704918033</v>
          </cell>
          <cell r="G12038">
            <v>275</v>
          </cell>
          <cell r="H12038">
            <v>33110.938693015945</v>
          </cell>
        </row>
        <row r="12039">
          <cell r="D12039" t="str">
            <v>Vehicles</v>
          </cell>
          <cell r="F12039">
            <v>31303.318374316939</v>
          </cell>
          <cell r="G12039">
            <v>275</v>
          </cell>
          <cell r="H12039">
            <v>28876.985840070363</v>
          </cell>
        </row>
        <row r="12040">
          <cell r="D12040" t="str">
            <v>Vehicles</v>
          </cell>
          <cell r="F12040">
            <v>31303.318374316939</v>
          </cell>
          <cell r="G12040">
            <v>275</v>
          </cell>
          <cell r="H12040">
            <v>28876.985840070363</v>
          </cell>
        </row>
        <row r="12041">
          <cell r="D12041" t="str">
            <v>Vehicles</v>
          </cell>
          <cell r="F12041">
            <v>31303.318374316939</v>
          </cell>
          <cell r="G12041">
            <v>275</v>
          </cell>
          <cell r="H12041">
            <v>28876.985840070363</v>
          </cell>
        </row>
        <row r="12042">
          <cell r="D12042" t="str">
            <v>Vehicles</v>
          </cell>
          <cell r="F12042">
            <v>31303.318374316939</v>
          </cell>
          <cell r="G12042">
            <v>275</v>
          </cell>
          <cell r="H12042">
            <v>28876.985840070363</v>
          </cell>
        </row>
        <row r="12043">
          <cell r="D12043" t="str">
            <v>Vehicles</v>
          </cell>
          <cell r="F12043">
            <v>31303.318374316939</v>
          </cell>
          <cell r="G12043">
            <v>275</v>
          </cell>
          <cell r="H12043">
            <v>28876.985840070363</v>
          </cell>
        </row>
        <row r="12044">
          <cell r="D12044" t="str">
            <v>Vehicles</v>
          </cell>
          <cell r="F12044">
            <v>31563.787667349727</v>
          </cell>
          <cell r="G12044">
            <v>275</v>
          </cell>
          <cell r="H12044">
            <v>29130.941776938769</v>
          </cell>
        </row>
        <row r="12045">
          <cell r="D12045" t="str">
            <v>Vehicles</v>
          </cell>
          <cell r="F12045">
            <v>31563.787667349727</v>
          </cell>
          <cell r="G12045">
            <v>275</v>
          </cell>
          <cell r="H12045">
            <v>29130.941776938769</v>
          </cell>
        </row>
        <row r="12046">
          <cell r="D12046" t="str">
            <v>Vehicles</v>
          </cell>
          <cell r="F12046">
            <v>1064330.1313524591</v>
          </cell>
          <cell r="G12046">
            <v>275</v>
          </cell>
          <cell r="H12046">
            <v>983957.10566752753</v>
          </cell>
        </row>
        <row r="12047">
          <cell r="D12047" t="str">
            <v>Vehicles</v>
          </cell>
          <cell r="F12047">
            <v>863550.99590163934</v>
          </cell>
          <cell r="G12047">
            <v>275</v>
          </cell>
          <cell r="H12047">
            <v>798553.4274084887</v>
          </cell>
        </row>
        <row r="12048">
          <cell r="D12048" t="str">
            <v>Vehicles</v>
          </cell>
          <cell r="F12048">
            <v>35998.611075000001</v>
          </cell>
          <cell r="G12048">
            <v>275</v>
          </cell>
          <cell r="H12048">
            <v>33293.494729109589</v>
          </cell>
        </row>
        <row r="12049">
          <cell r="D12049" t="str">
            <v>Vehicles</v>
          </cell>
          <cell r="F12049">
            <v>35998.639649999997</v>
          </cell>
          <cell r="G12049">
            <v>275</v>
          </cell>
          <cell r="H12049">
            <v>33293.521156849311</v>
          </cell>
        </row>
        <row r="12050">
          <cell r="D12050" t="str">
            <v>Vehicles</v>
          </cell>
          <cell r="F12050">
            <v>35998.639649999997</v>
          </cell>
          <cell r="G12050">
            <v>275</v>
          </cell>
          <cell r="H12050">
            <v>33293.521156849311</v>
          </cell>
        </row>
        <row r="12051">
          <cell r="D12051" t="str">
            <v>Vehicles</v>
          </cell>
          <cell r="F12051">
            <v>35998.639649999997</v>
          </cell>
          <cell r="G12051">
            <v>275</v>
          </cell>
          <cell r="H12051">
            <v>33293.521156849311</v>
          </cell>
        </row>
        <row r="12052">
          <cell r="D12052" t="str">
            <v>Vehicles</v>
          </cell>
          <cell r="F12052">
            <v>35998.639649999997</v>
          </cell>
          <cell r="G12052">
            <v>275</v>
          </cell>
          <cell r="H12052">
            <v>33293.521156849311</v>
          </cell>
        </row>
        <row r="12053">
          <cell r="D12053" t="str">
            <v>Vehicles</v>
          </cell>
          <cell r="F12053">
            <v>35998.639649999997</v>
          </cell>
          <cell r="G12053">
            <v>275</v>
          </cell>
          <cell r="H12053">
            <v>33293.521156849311</v>
          </cell>
        </row>
        <row r="12054">
          <cell r="D12054" t="str">
            <v>Vehicles</v>
          </cell>
          <cell r="F12054">
            <v>35998.639649999997</v>
          </cell>
          <cell r="G12054">
            <v>275</v>
          </cell>
          <cell r="H12054">
            <v>33293.521156849311</v>
          </cell>
        </row>
        <row r="12055">
          <cell r="D12055" t="str">
            <v>Vehicles</v>
          </cell>
          <cell r="F12055">
            <v>35999.972025000003</v>
          </cell>
          <cell r="G12055">
            <v>275</v>
          </cell>
          <cell r="H12055">
            <v>33294.853531849316</v>
          </cell>
        </row>
        <row r="12056">
          <cell r="D12056" t="str">
            <v>Vehicles</v>
          </cell>
          <cell r="F12056">
            <v>35998.669649999996</v>
          </cell>
          <cell r="G12056">
            <v>275</v>
          </cell>
          <cell r="H12056">
            <v>33293.549009589035</v>
          </cell>
        </row>
        <row r="12057">
          <cell r="D12057" t="str">
            <v>Vehicles</v>
          </cell>
          <cell r="F12057">
            <v>540067.5</v>
          </cell>
          <cell r="G12057">
            <v>275</v>
          </cell>
          <cell r="H12057">
            <v>499484.28082191781</v>
          </cell>
        </row>
        <row r="12058">
          <cell r="D12058" t="str">
            <v>Vehicles</v>
          </cell>
          <cell r="F12058">
            <v>796819.59</v>
          </cell>
          <cell r="G12058">
            <v>275</v>
          </cell>
          <cell r="H12058">
            <v>736942.80780821911</v>
          </cell>
        </row>
        <row r="12059">
          <cell r="D12059" t="str">
            <v>Vehicles</v>
          </cell>
          <cell r="F12059">
            <v>1262885.46</v>
          </cell>
          <cell r="G12059">
            <v>275</v>
          </cell>
          <cell r="H12059">
            <v>1167986.2901369862</v>
          </cell>
        </row>
        <row r="12060">
          <cell r="D12060" t="str">
            <v>Vehicles</v>
          </cell>
          <cell r="F12060">
            <v>674184.26249999995</v>
          </cell>
          <cell r="G12060">
            <v>275</v>
          </cell>
          <cell r="H12060">
            <v>623522.87722602731</v>
          </cell>
        </row>
        <row r="12061">
          <cell r="D12061" t="str">
            <v>Vehicles</v>
          </cell>
          <cell r="F12061">
            <v>1539240</v>
          </cell>
          <cell r="G12061">
            <v>275</v>
          </cell>
          <cell r="H12061">
            <v>1423574.2465753425</v>
          </cell>
        </row>
        <row r="12062">
          <cell r="D12062" t="str">
            <v>Vehicles</v>
          </cell>
          <cell r="F12062">
            <v>890304.60750000004</v>
          </cell>
          <cell r="G12062">
            <v>275</v>
          </cell>
          <cell r="H12062">
            <v>823402.92017123289</v>
          </cell>
        </row>
        <row r="12063">
          <cell r="D12063" t="str">
            <v>Vehicles</v>
          </cell>
          <cell r="F12063">
            <v>526787.745</v>
          </cell>
          <cell r="G12063">
            <v>275</v>
          </cell>
          <cell r="H12063">
            <v>487202.42924657534</v>
          </cell>
        </row>
        <row r="12064">
          <cell r="D12064" t="str">
            <v>Vehicles</v>
          </cell>
          <cell r="F12064">
            <v>302185.38750000001</v>
          </cell>
          <cell r="G12064">
            <v>275</v>
          </cell>
          <cell r="H12064">
            <v>279477.75222602743</v>
          </cell>
        </row>
        <row r="12065">
          <cell r="D12065" t="str">
            <v>Vehicles</v>
          </cell>
          <cell r="F12065">
            <v>302104.42499999999</v>
          </cell>
          <cell r="G12065">
            <v>275</v>
          </cell>
          <cell r="H12065">
            <v>279402.87363013695</v>
          </cell>
        </row>
        <row r="12066">
          <cell r="D12066" t="str">
            <v>Vehicles</v>
          </cell>
          <cell r="F12066">
            <v>302104.42499999999</v>
          </cell>
          <cell r="G12066">
            <v>275</v>
          </cell>
          <cell r="H12066">
            <v>279402.87363013695</v>
          </cell>
        </row>
        <row r="12067">
          <cell r="D12067" t="str">
            <v>Vehicles</v>
          </cell>
          <cell r="F12067">
            <v>684990.375</v>
          </cell>
          <cell r="G12067">
            <v>275</v>
          </cell>
          <cell r="H12067">
            <v>633516.96746575343</v>
          </cell>
        </row>
        <row r="12068">
          <cell r="D12068" t="str">
            <v>Vehicles</v>
          </cell>
          <cell r="F12068">
            <v>302104.42499999999</v>
          </cell>
          <cell r="G12068">
            <v>275</v>
          </cell>
          <cell r="H12068">
            <v>279402.87363013695</v>
          </cell>
        </row>
        <row r="12069">
          <cell r="D12069" t="str">
            <v>Vehicles</v>
          </cell>
          <cell r="F12069">
            <v>559914.74250000005</v>
          </cell>
          <cell r="G12069">
            <v>275</v>
          </cell>
          <cell r="H12069">
            <v>517840.10791095893</v>
          </cell>
        </row>
        <row r="12070">
          <cell r="D12070" t="str">
            <v>Vehicles</v>
          </cell>
          <cell r="F12070">
            <v>1091191.6200000001</v>
          </cell>
          <cell r="G12070">
            <v>275</v>
          </cell>
          <cell r="H12070">
            <v>1009194.3350684933</v>
          </cell>
        </row>
        <row r="12071">
          <cell r="D12071" t="str">
            <v>Vehicles</v>
          </cell>
          <cell r="F12071">
            <v>1125853.095</v>
          </cell>
          <cell r="G12071">
            <v>275</v>
          </cell>
          <cell r="H12071">
            <v>1041251.1833561644</v>
          </cell>
        </row>
        <row r="12072">
          <cell r="D12072" t="str">
            <v>Vehicles</v>
          </cell>
          <cell r="F12072">
            <v>624013.23</v>
          </cell>
          <cell r="G12072">
            <v>275</v>
          </cell>
          <cell r="H12072">
            <v>577121.93273972603</v>
          </cell>
        </row>
        <row r="12073">
          <cell r="D12073" t="str">
            <v>Vehicles</v>
          </cell>
          <cell r="F12073">
            <v>610440.10499999998</v>
          </cell>
          <cell r="G12073">
            <v>275</v>
          </cell>
          <cell r="H12073">
            <v>564568.75636986294</v>
          </cell>
        </row>
        <row r="12074">
          <cell r="D12074" t="str">
            <v>Vehicles</v>
          </cell>
          <cell r="F12074">
            <v>19122.677595628415</v>
          </cell>
          <cell r="G12074">
            <v>275</v>
          </cell>
          <cell r="H12074">
            <v>17691.170746313346</v>
          </cell>
        </row>
        <row r="12075">
          <cell r="D12075" t="str">
            <v>Vehicles</v>
          </cell>
          <cell r="F12075">
            <v>359231.55737704918</v>
          </cell>
          <cell r="G12075">
            <v>275</v>
          </cell>
          <cell r="H12075">
            <v>332390.80395239167</v>
          </cell>
        </row>
        <row r="12076">
          <cell r="D12076" t="str">
            <v>Vehicles</v>
          </cell>
          <cell r="F12076">
            <v>541663.7114754098</v>
          </cell>
          <cell r="G12076">
            <v>275</v>
          </cell>
          <cell r="H12076">
            <v>501192.14983157418</v>
          </cell>
        </row>
        <row r="12077">
          <cell r="D12077" t="str">
            <v>Vehicles</v>
          </cell>
          <cell r="F12077">
            <v>38730.691612021859</v>
          </cell>
          <cell r="G12077">
            <v>275</v>
          </cell>
          <cell r="H12077">
            <v>35839.978255857473</v>
          </cell>
        </row>
        <row r="12078">
          <cell r="D12078" t="str">
            <v>Vehicles</v>
          </cell>
          <cell r="F12078">
            <v>34099.398907103823</v>
          </cell>
          <cell r="G12078">
            <v>275</v>
          </cell>
          <cell r="H12078">
            <v>31558.474249569575</v>
          </cell>
        </row>
        <row r="12079">
          <cell r="D12079" t="str">
            <v>Vehicles</v>
          </cell>
          <cell r="F12079">
            <v>412962.7538797814</v>
          </cell>
          <cell r="G12079">
            <v>275</v>
          </cell>
          <cell r="H12079">
            <v>382323.21072909649</v>
          </cell>
        </row>
        <row r="12080">
          <cell r="D12080" t="str">
            <v>Vehicles</v>
          </cell>
          <cell r="F12080">
            <v>810949.51344262296</v>
          </cell>
          <cell r="G12080">
            <v>275</v>
          </cell>
          <cell r="H12080">
            <v>750781.56275769148</v>
          </cell>
        </row>
        <row r="12081">
          <cell r="D12081" t="str">
            <v>Vehicles</v>
          </cell>
          <cell r="F12081">
            <v>15299.666666666666</v>
          </cell>
          <cell r="G12081">
            <v>275</v>
          </cell>
          <cell r="H12081">
            <v>14168.776255707762</v>
          </cell>
        </row>
        <row r="12082">
          <cell r="D12082" t="str">
            <v>Vehicles</v>
          </cell>
          <cell r="F12082">
            <v>33134.424262295084</v>
          </cell>
          <cell r="G12082">
            <v>275</v>
          </cell>
          <cell r="H12082">
            <v>30705.443440377276</v>
          </cell>
        </row>
        <row r="12083">
          <cell r="D12083" t="str">
            <v>Vehicles</v>
          </cell>
          <cell r="F12083">
            <v>33134.424262295084</v>
          </cell>
          <cell r="G12083">
            <v>275</v>
          </cell>
          <cell r="H12083">
            <v>30705.443440377276</v>
          </cell>
        </row>
        <row r="12084">
          <cell r="D12084" t="str">
            <v>Vehicles</v>
          </cell>
          <cell r="F12084">
            <v>33134.424262295084</v>
          </cell>
          <cell r="G12084">
            <v>275</v>
          </cell>
          <cell r="H12084">
            <v>30705.443440377276</v>
          </cell>
        </row>
        <row r="12085">
          <cell r="D12085" t="str">
            <v>Vehicles</v>
          </cell>
          <cell r="F12085">
            <v>33134.424262295084</v>
          </cell>
          <cell r="G12085">
            <v>275</v>
          </cell>
          <cell r="H12085">
            <v>30705.443440377276</v>
          </cell>
        </row>
        <row r="12086">
          <cell r="D12086" t="str">
            <v>Vehicles</v>
          </cell>
          <cell r="F12086">
            <v>36949.140068306013</v>
          </cell>
          <cell r="G12086">
            <v>275</v>
          </cell>
          <cell r="H12086">
            <v>34240.51438337451</v>
          </cell>
        </row>
        <row r="12087">
          <cell r="D12087" t="str">
            <v>Vehicles</v>
          </cell>
          <cell r="F12087">
            <v>36949.140068306013</v>
          </cell>
          <cell r="G12087">
            <v>275</v>
          </cell>
          <cell r="H12087">
            <v>34240.51438337451</v>
          </cell>
        </row>
        <row r="12088">
          <cell r="D12088" t="str">
            <v>Vehicles</v>
          </cell>
          <cell r="F12088">
            <v>40955.22631147541</v>
          </cell>
          <cell r="G12088">
            <v>275</v>
          </cell>
          <cell r="H12088">
            <v>37952.926996406917</v>
          </cell>
        </row>
        <row r="12089">
          <cell r="D12089" t="str">
            <v>Vehicles</v>
          </cell>
          <cell r="F12089">
            <v>40955.22631147541</v>
          </cell>
          <cell r="G12089">
            <v>275</v>
          </cell>
          <cell r="H12089">
            <v>37952.926996406917</v>
          </cell>
        </row>
        <row r="12090">
          <cell r="D12090" t="str">
            <v>Vehicles</v>
          </cell>
          <cell r="F12090">
            <v>40955.22631147541</v>
          </cell>
          <cell r="G12090">
            <v>275</v>
          </cell>
          <cell r="H12090">
            <v>37952.926996406917</v>
          </cell>
        </row>
        <row r="12091">
          <cell r="D12091" t="str">
            <v>Vehicles</v>
          </cell>
          <cell r="F12091">
            <v>40955.22631147541</v>
          </cell>
          <cell r="G12091">
            <v>275</v>
          </cell>
          <cell r="H12091">
            <v>37952.926996406917</v>
          </cell>
        </row>
        <row r="12092">
          <cell r="D12092" t="str">
            <v>Vehicles</v>
          </cell>
          <cell r="F12092">
            <v>40955.22631147541</v>
          </cell>
          <cell r="G12092">
            <v>275</v>
          </cell>
          <cell r="H12092">
            <v>37952.926996406917</v>
          </cell>
        </row>
        <row r="12093">
          <cell r="D12093" t="str">
            <v>Vehicles</v>
          </cell>
          <cell r="F12093">
            <v>40955.22631147541</v>
          </cell>
          <cell r="G12093">
            <v>275</v>
          </cell>
          <cell r="H12093">
            <v>37952.926996406917</v>
          </cell>
        </row>
        <row r="12094">
          <cell r="D12094" t="str">
            <v>Vehicles</v>
          </cell>
          <cell r="F12094">
            <v>40955.22631147541</v>
          </cell>
          <cell r="G12094">
            <v>275</v>
          </cell>
          <cell r="H12094">
            <v>37952.926996406917</v>
          </cell>
        </row>
        <row r="12095">
          <cell r="D12095" t="str">
            <v>Vehicles</v>
          </cell>
          <cell r="F12095">
            <v>40955.22631147541</v>
          </cell>
          <cell r="G12095">
            <v>275</v>
          </cell>
          <cell r="H12095">
            <v>37952.926996406917</v>
          </cell>
        </row>
        <row r="12096">
          <cell r="D12096" t="str">
            <v>Vehicles</v>
          </cell>
          <cell r="F12096">
            <v>36876.399774590165</v>
          </cell>
          <cell r="G12096">
            <v>275</v>
          </cell>
          <cell r="H12096">
            <v>34173.106452672357</v>
          </cell>
        </row>
        <row r="12097">
          <cell r="D12097" t="str">
            <v>Vehicles</v>
          </cell>
          <cell r="F12097">
            <v>36876.399774590165</v>
          </cell>
          <cell r="G12097">
            <v>275</v>
          </cell>
          <cell r="H12097">
            <v>34173.106452672357</v>
          </cell>
        </row>
        <row r="12098">
          <cell r="D12098" t="str">
            <v>Vehicles</v>
          </cell>
          <cell r="F12098">
            <v>36876.399774590165</v>
          </cell>
          <cell r="G12098">
            <v>275</v>
          </cell>
          <cell r="H12098">
            <v>34173.106452672357</v>
          </cell>
        </row>
        <row r="12099">
          <cell r="D12099" t="str">
            <v>Vehicles</v>
          </cell>
          <cell r="F12099">
            <v>36876.399774590165</v>
          </cell>
          <cell r="G12099">
            <v>275</v>
          </cell>
          <cell r="H12099">
            <v>34173.106452672357</v>
          </cell>
        </row>
        <row r="12100">
          <cell r="D12100" t="str">
            <v>Vehicles</v>
          </cell>
          <cell r="F12100">
            <v>36876.399774590165</v>
          </cell>
          <cell r="G12100">
            <v>275</v>
          </cell>
          <cell r="H12100">
            <v>34173.106452672357</v>
          </cell>
        </row>
        <row r="12101">
          <cell r="D12101" t="str">
            <v>Vehicles</v>
          </cell>
          <cell r="F12101">
            <v>36876.399774590165</v>
          </cell>
          <cell r="G12101">
            <v>275</v>
          </cell>
          <cell r="H12101">
            <v>34173.106452672357</v>
          </cell>
        </row>
        <row r="12102">
          <cell r="D12102" t="str">
            <v>Vehicles</v>
          </cell>
          <cell r="F12102">
            <v>36876.399774590165</v>
          </cell>
          <cell r="G12102">
            <v>275</v>
          </cell>
          <cell r="H12102">
            <v>34173.106452672357</v>
          </cell>
        </row>
        <row r="12103">
          <cell r="D12103" t="str">
            <v>Vehicles</v>
          </cell>
          <cell r="F12103">
            <v>36876.399774590165</v>
          </cell>
          <cell r="G12103">
            <v>275</v>
          </cell>
          <cell r="H12103">
            <v>34173.106452672357</v>
          </cell>
        </row>
        <row r="12104">
          <cell r="D12104" t="str">
            <v>Vehicles</v>
          </cell>
          <cell r="F12104">
            <v>36876.399774590165</v>
          </cell>
          <cell r="G12104">
            <v>275</v>
          </cell>
          <cell r="H12104">
            <v>34173.106452672357</v>
          </cell>
        </row>
        <row r="12105">
          <cell r="D12105" t="str">
            <v>Vehicles</v>
          </cell>
          <cell r="F12105">
            <v>36876.399774590165</v>
          </cell>
          <cell r="G12105">
            <v>275</v>
          </cell>
          <cell r="H12105">
            <v>34173.106452672357</v>
          </cell>
        </row>
        <row r="12106">
          <cell r="D12106" t="str">
            <v>Vehicles</v>
          </cell>
          <cell r="F12106">
            <v>40721.871543715846</v>
          </cell>
          <cell r="G12106">
            <v>275</v>
          </cell>
          <cell r="H12106">
            <v>37736.678735496665</v>
          </cell>
        </row>
        <row r="12107">
          <cell r="D12107" t="str">
            <v>Vehicles</v>
          </cell>
          <cell r="F12107">
            <v>388891.0905601093</v>
          </cell>
          <cell r="G12107">
            <v>275</v>
          </cell>
          <cell r="H12107">
            <v>360382.7032313422</v>
          </cell>
        </row>
        <row r="12108">
          <cell r="D12108" t="str">
            <v>Vehicles</v>
          </cell>
          <cell r="F12108">
            <v>422867.15419398906</v>
          </cell>
          <cell r="G12108">
            <v>250</v>
          </cell>
          <cell r="H12108">
            <v>394686.18501590687</v>
          </cell>
        </row>
        <row r="12109">
          <cell r="D12109" t="str">
            <v>Vehicles</v>
          </cell>
          <cell r="F12109">
            <v>578698.34368852456</v>
          </cell>
          <cell r="G12109">
            <v>275</v>
          </cell>
          <cell r="H12109">
            <v>536275.78135975741</v>
          </cell>
        </row>
        <row r="12110">
          <cell r="D12110" t="str">
            <v>Vehicles</v>
          </cell>
          <cell r="F12110">
            <v>1230015.9099999999</v>
          </cell>
          <cell r="G12110">
            <v>275</v>
          </cell>
          <cell r="H12110">
            <v>1139847.2976712328</v>
          </cell>
        </row>
        <row r="12111">
          <cell r="D12111" t="str">
            <v>Vehicles</v>
          </cell>
          <cell r="F12111">
            <v>1086073.1207240438</v>
          </cell>
          <cell r="G12111">
            <v>275</v>
          </cell>
          <cell r="H12111">
            <v>1006456.5032582904</v>
          </cell>
        </row>
        <row r="12112">
          <cell r="D12112" t="str">
            <v>Vehicles</v>
          </cell>
          <cell r="F12112">
            <v>1117328.9902868853</v>
          </cell>
          <cell r="G12112">
            <v>275</v>
          </cell>
          <cell r="H12112">
            <v>1035421.1029581182</v>
          </cell>
        </row>
        <row r="12113">
          <cell r="D12113" t="str">
            <v>Vehicles</v>
          </cell>
          <cell r="F12113">
            <v>393605.05214480875</v>
          </cell>
          <cell r="G12113">
            <v>275</v>
          </cell>
          <cell r="H12113">
            <v>364751.099062617</v>
          </cell>
        </row>
        <row r="12114">
          <cell r="D12114" t="str">
            <v>Vehicles</v>
          </cell>
          <cell r="F12114">
            <v>1342353.1059289617</v>
          </cell>
          <cell r="G12114">
            <v>275</v>
          </cell>
          <cell r="H12114">
            <v>1243766.2312714274</v>
          </cell>
        </row>
        <row r="12115">
          <cell r="D12115" t="str">
            <v>Vehicles</v>
          </cell>
          <cell r="F12115">
            <v>406624.10015027324</v>
          </cell>
          <cell r="G12115">
            <v>275</v>
          </cell>
          <cell r="H12115">
            <v>376815.76145164308</v>
          </cell>
        </row>
        <row r="12116">
          <cell r="D12116" t="str">
            <v>Vehicles</v>
          </cell>
          <cell r="F12116">
            <v>369274.6443715847</v>
          </cell>
          <cell r="G12116">
            <v>184</v>
          </cell>
          <cell r="H12116">
            <v>351162.10782363947</v>
          </cell>
        </row>
        <row r="12117">
          <cell r="D12117" t="str">
            <v>Vehicles</v>
          </cell>
          <cell r="F12117">
            <v>955497.94703551917</v>
          </cell>
          <cell r="G12117">
            <v>275</v>
          </cell>
          <cell r="H12117">
            <v>885453.38641908078</v>
          </cell>
        </row>
        <row r="12118">
          <cell r="D12118" t="str">
            <v>Vehicles</v>
          </cell>
          <cell r="F12118">
            <v>35976.02732240437</v>
          </cell>
          <cell r="G12118">
            <v>275</v>
          </cell>
          <cell r="H12118">
            <v>33349.212253911217</v>
          </cell>
        </row>
        <row r="12119">
          <cell r="D12119" t="str">
            <v>Vehicles</v>
          </cell>
          <cell r="F12119">
            <v>554745.61448087427</v>
          </cell>
          <cell r="G12119">
            <v>275</v>
          </cell>
          <cell r="H12119">
            <v>514272.62133018934</v>
          </cell>
        </row>
        <row r="12120">
          <cell r="D12120" t="str">
            <v>Vehicles</v>
          </cell>
          <cell r="F12120">
            <v>507704.17527322407</v>
          </cell>
          <cell r="G12120">
            <v>275</v>
          </cell>
          <cell r="H12120">
            <v>470663.21979377203</v>
          </cell>
        </row>
        <row r="12121">
          <cell r="D12121" t="str">
            <v>Vehicles</v>
          </cell>
          <cell r="F12121">
            <v>507704.17527322407</v>
          </cell>
          <cell r="G12121">
            <v>275</v>
          </cell>
          <cell r="H12121">
            <v>470663.21979377203</v>
          </cell>
        </row>
        <row r="12122">
          <cell r="D12122" t="str">
            <v>Vehicles</v>
          </cell>
          <cell r="F12122">
            <v>507704.17527322407</v>
          </cell>
          <cell r="G12122">
            <v>275</v>
          </cell>
          <cell r="H12122">
            <v>470663.21979377203</v>
          </cell>
        </row>
        <row r="12123">
          <cell r="D12123" t="str">
            <v>Vehicles</v>
          </cell>
          <cell r="F12123">
            <v>40113.863620218581</v>
          </cell>
          <cell r="G12123">
            <v>275</v>
          </cell>
          <cell r="H12123">
            <v>37188.794099670638</v>
          </cell>
        </row>
        <row r="12124">
          <cell r="D12124" t="str">
            <v>Vehicles</v>
          </cell>
          <cell r="F12124">
            <v>42425.600340983605</v>
          </cell>
          <cell r="G12124">
            <v>275</v>
          </cell>
          <cell r="H12124">
            <v>39335.229714271278</v>
          </cell>
        </row>
        <row r="12125">
          <cell r="D12125" t="str">
            <v>Vehicles</v>
          </cell>
          <cell r="F12125">
            <v>42425.600340983605</v>
          </cell>
          <cell r="G12125">
            <v>275</v>
          </cell>
          <cell r="H12125">
            <v>39335.229714271278</v>
          </cell>
        </row>
        <row r="12126">
          <cell r="D12126" t="str">
            <v>Vehicles</v>
          </cell>
          <cell r="F12126">
            <v>42425.600340983605</v>
          </cell>
          <cell r="G12126">
            <v>275</v>
          </cell>
          <cell r="H12126">
            <v>39335.229714271278</v>
          </cell>
        </row>
        <row r="12127">
          <cell r="D12127" t="str">
            <v>Vehicles</v>
          </cell>
          <cell r="F12127">
            <v>42425.600340983605</v>
          </cell>
          <cell r="G12127">
            <v>275</v>
          </cell>
          <cell r="H12127">
            <v>39335.229714271278</v>
          </cell>
        </row>
        <row r="12128">
          <cell r="D12128" t="str">
            <v>Vehicles</v>
          </cell>
          <cell r="F12128">
            <v>42425.600340983605</v>
          </cell>
          <cell r="G12128">
            <v>275</v>
          </cell>
          <cell r="H12128">
            <v>39335.229714271278</v>
          </cell>
        </row>
        <row r="12129">
          <cell r="D12129" t="str">
            <v>Vehicles</v>
          </cell>
          <cell r="F12129">
            <v>42425.600340983605</v>
          </cell>
          <cell r="G12129">
            <v>275</v>
          </cell>
          <cell r="H12129">
            <v>39335.229714271278</v>
          </cell>
        </row>
        <row r="12130">
          <cell r="D12130" t="str">
            <v>Vehicles</v>
          </cell>
          <cell r="F12130">
            <v>42425.600340983605</v>
          </cell>
          <cell r="G12130">
            <v>275</v>
          </cell>
          <cell r="H12130">
            <v>39335.229714271278</v>
          </cell>
        </row>
        <row r="12131">
          <cell r="D12131" t="str">
            <v>Vehicles</v>
          </cell>
          <cell r="F12131">
            <v>42425.600340983605</v>
          </cell>
          <cell r="G12131">
            <v>275</v>
          </cell>
          <cell r="H12131">
            <v>39335.229714271278</v>
          </cell>
        </row>
        <row r="12132">
          <cell r="D12132" t="str">
            <v>Vehicles</v>
          </cell>
          <cell r="F12132">
            <v>42425.600340983605</v>
          </cell>
          <cell r="G12132">
            <v>275</v>
          </cell>
          <cell r="H12132">
            <v>39335.229714271278</v>
          </cell>
        </row>
        <row r="12133">
          <cell r="D12133" t="str">
            <v>Vehicles</v>
          </cell>
          <cell r="F12133">
            <v>42425.600340983605</v>
          </cell>
          <cell r="G12133">
            <v>275</v>
          </cell>
          <cell r="H12133">
            <v>39335.229714271278</v>
          </cell>
        </row>
        <row r="12134">
          <cell r="D12134" t="str">
            <v>Vehicles</v>
          </cell>
          <cell r="F12134">
            <v>42425.600340983605</v>
          </cell>
          <cell r="G12134">
            <v>275</v>
          </cell>
          <cell r="H12134">
            <v>39335.229714271278</v>
          </cell>
        </row>
        <row r="12135">
          <cell r="D12135" t="str">
            <v>Vehicles</v>
          </cell>
          <cell r="F12135">
            <v>42425.600340983605</v>
          </cell>
          <cell r="G12135">
            <v>275</v>
          </cell>
          <cell r="H12135">
            <v>39335.229714271278</v>
          </cell>
        </row>
        <row r="12136">
          <cell r="D12136" t="str">
            <v>Vehicles</v>
          </cell>
          <cell r="F12136">
            <v>42425.600340983605</v>
          </cell>
          <cell r="G12136">
            <v>275</v>
          </cell>
          <cell r="H12136">
            <v>39335.229714271278</v>
          </cell>
        </row>
        <row r="12137">
          <cell r="D12137" t="str">
            <v>Vehicles</v>
          </cell>
          <cell r="F12137">
            <v>42425.600340983605</v>
          </cell>
          <cell r="G12137">
            <v>275</v>
          </cell>
          <cell r="H12137">
            <v>39335.229714271278</v>
          </cell>
        </row>
        <row r="12138">
          <cell r="D12138" t="str">
            <v>Vehicles</v>
          </cell>
          <cell r="F12138">
            <v>42425.600340983605</v>
          </cell>
          <cell r="G12138">
            <v>275</v>
          </cell>
          <cell r="H12138">
            <v>39335.229714271278</v>
          </cell>
        </row>
        <row r="12139">
          <cell r="D12139" t="str">
            <v>Vehicles</v>
          </cell>
          <cell r="F12139">
            <v>42425.600340983605</v>
          </cell>
          <cell r="G12139">
            <v>275</v>
          </cell>
          <cell r="H12139">
            <v>39335.229714271278</v>
          </cell>
        </row>
        <row r="12140">
          <cell r="D12140" t="str">
            <v>Vehicles</v>
          </cell>
          <cell r="F12140">
            <v>42425.610340983607</v>
          </cell>
          <cell r="G12140">
            <v>275</v>
          </cell>
          <cell r="H12140">
            <v>39335.238998517852</v>
          </cell>
        </row>
        <row r="12141">
          <cell r="D12141" t="str">
            <v>Vehicles</v>
          </cell>
          <cell r="F12141">
            <v>419559.42752732243</v>
          </cell>
          <cell r="G12141">
            <v>275</v>
          </cell>
          <cell r="H12141">
            <v>388997.82992458274</v>
          </cell>
        </row>
        <row r="12142">
          <cell r="D12142" t="str">
            <v>Vehicles</v>
          </cell>
          <cell r="F12142">
            <v>760416.375</v>
          </cell>
          <cell r="G12142">
            <v>214</v>
          </cell>
          <cell r="H12142">
            <v>717380.82842465758</v>
          </cell>
        </row>
        <row r="12143">
          <cell r="D12143" t="str">
            <v>Vehicles</v>
          </cell>
          <cell r="F12143">
            <v>41464.032786885247</v>
          </cell>
          <cell r="G12143">
            <v>275</v>
          </cell>
          <cell r="H12143">
            <v>38449.279362227709</v>
          </cell>
        </row>
        <row r="12144">
          <cell r="D12144" t="str">
            <v>Vehicles</v>
          </cell>
          <cell r="F12144">
            <v>41464.032786885247</v>
          </cell>
          <cell r="G12144">
            <v>275</v>
          </cell>
          <cell r="H12144">
            <v>38449.279362227709</v>
          </cell>
        </row>
        <row r="12145">
          <cell r="D12145" t="str">
            <v>Vehicles</v>
          </cell>
          <cell r="F12145">
            <v>41464.032786885247</v>
          </cell>
          <cell r="G12145">
            <v>275</v>
          </cell>
          <cell r="H12145">
            <v>38449.279362227709</v>
          </cell>
        </row>
        <row r="12146">
          <cell r="D12146" t="str">
            <v>Vehicles</v>
          </cell>
          <cell r="F12146">
            <v>654544.01557377051</v>
          </cell>
          <cell r="G12146">
            <v>275</v>
          </cell>
          <cell r="H12146">
            <v>606953.64194363356</v>
          </cell>
        </row>
        <row r="12147">
          <cell r="D12147" t="str">
            <v>Vehicles</v>
          </cell>
          <cell r="F12147">
            <v>42205.78331284153</v>
          </cell>
          <cell r="G12147">
            <v>275</v>
          </cell>
          <cell r="H12147">
            <v>39142.752319690844</v>
          </cell>
        </row>
        <row r="12148">
          <cell r="D12148" t="str">
            <v>Vehicles</v>
          </cell>
          <cell r="F12148">
            <v>42205.78331284153</v>
          </cell>
          <cell r="G12148">
            <v>275</v>
          </cell>
          <cell r="H12148">
            <v>39142.752319690844</v>
          </cell>
        </row>
        <row r="12149">
          <cell r="D12149" t="str">
            <v>Vehicles</v>
          </cell>
          <cell r="F12149">
            <v>1347573.0793715848</v>
          </cell>
          <cell r="G12149">
            <v>275</v>
          </cell>
          <cell r="H12149">
            <v>1249774.6786866533</v>
          </cell>
        </row>
        <row r="12150">
          <cell r="D12150" t="str">
            <v>Vehicles</v>
          </cell>
          <cell r="F12150">
            <v>527156.04737704922</v>
          </cell>
          <cell r="G12150">
            <v>275</v>
          </cell>
          <cell r="H12150">
            <v>488918.49532225472</v>
          </cell>
        </row>
        <row r="12151">
          <cell r="D12151" t="str">
            <v>Vehicles</v>
          </cell>
          <cell r="F12151">
            <v>527156.04737704922</v>
          </cell>
          <cell r="G12151">
            <v>275</v>
          </cell>
          <cell r="H12151">
            <v>488918.49532225472</v>
          </cell>
        </row>
        <row r="12152">
          <cell r="D12152" t="str">
            <v>Vehicles</v>
          </cell>
          <cell r="F12152">
            <v>40676.813114754099</v>
          </cell>
          <cell r="G12152">
            <v>275</v>
          </cell>
          <cell r="H12152">
            <v>37728.624758589714</v>
          </cell>
        </row>
        <row r="12153">
          <cell r="D12153" t="str">
            <v>Vehicles</v>
          </cell>
          <cell r="F12153">
            <v>40676.813114754099</v>
          </cell>
          <cell r="G12153">
            <v>275</v>
          </cell>
          <cell r="H12153">
            <v>37728.624758589714</v>
          </cell>
        </row>
        <row r="12154">
          <cell r="D12154" t="str">
            <v>Vehicles</v>
          </cell>
          <cell r="F12154">
            <v>40676.813114754099</v>
          </cell>
          <cell r="G12154">
            <v>275</v>
          </cell>
          <cell r="H12154">
            <v>37728.624758589714</v>
          </cell>
        </row>
        <row r="12155">
          <cell r="D12155" t="str">
            <v>Vehicles</v>
          </cell>
          <cell r="F12155">
            <v>40676.813114754099</v>
          </cell>
          <cell r="G12155">
            <v>275</v>
          </cell>
          <cell r="H12155">
            <v>37728.624758589714</v>
          </cell>
        </row>
        <row r="12156">
          <cell r="D12156" t="str">
            <v>Vehicles</v>
          </cell>
          <cell r="F12156">
            <v>40676.813114754099</v>
          </cell>
          <cell r="G12156">
            <v>275</v>
          </cell>
          <cell r="H12156">
            <v>37728.624758589714</v>
          </cell>
        </row>
        <row r="12157">
          <cell r="D12157" t="str">
            <v>Vehicles</v>
          </cell>
          <cell r="F12157">
            <v>40676.813114754099</v>
          </cell>
          <cell r="G12157">
            <v>275</v>
          </cell>
          <cell r="H12157">
            <v>37728.624758589714</v>
          </cell>
        </row>
        <row r="12158">
          <cell r="D12158" t="str">
            <v>Vehicles</v>
          </cell>
          <cell r="F12158">
            <v>488500.97311475407</v>
          </cell>
          <cell r="G12158">
            <v>275</v>
          </cell>
          <cell r="H12158">
            <v>453095.22790927463</v>
          </cell>
        </row>
        <row r="12159">
          <cell r="D12159" t="str">
            <v>Vehicles</v>
          </cell>
          <cell r="F12159">
            <v>488500.97311475407</v>
          </cell>
          <cell r="G12159">
            <v>275</v>
          </cell>
          <cell r="H12159">
            <v>453095.22790927463</v>
          </cell>
        </row>
        <row r="12160">
          <cell r="D12160" t="str">
            <v>Vehicles</v>
          </cell>
          <cell r="F12160">
            <v>572070.26673497271</v>
          </cell>
          <cell r="G12160">
            <v>275</v>
          </cell>
          <cell r="H12160">
            <v>530748.7478993563</v>
          </cell>
        </row>
        <row r="12161">
          <cell r="D12161" t="str">
            <v>Vehicles</v>
          </cell>
          <cell r="F12161">
            <v>492631.86918032786</v>
          </cell>
          <cell r="G12161">
            <v>275</v>
          </cell>
          <cell r="H12161">
            <v>457066.9404132046</v>
          </cell>
        </row>
        <row r="12162">
          <cell r="D12162" t="str">
            <v>Vehicles</v>
          </cell>
          <cell r="F12162">
            <v>492631.86918032786</v>
          </cell>
          <cell r="G12162">
            <v>275</v>
          </cell>
          <cell r="H12162">
            <v>457066.9404132046</v>
          </cell>
        </row>
        <row r="12163">
          <cell r="D12163" t="str">
            <v>Vehicles</v>
          </cell>
          <cell r="F12163">
            <v>39217.850409836065</v>
          </cell>
          <cell r="G12163">
            <v>275</v>
          </cell>
          <cell r="H12163">
            <v>36392.485341342915</v>
          </cell>
        </row>
        <row r="12164">
          <cell r="D12164" t="str">
            <v>Vehicles</v>
          </cell>
          <cell r="F12164">
            <v>39217.850409836065</v>
          </cell>
          <cell r="G12164">
            <v>275</v>
          </cell>
          <cell r="H12164">
            <v>36392.485341342915</v>
          </cell>
        </row>
        <row r="12165">
          <cell r="D12165" t="str">
            <v>Vehicles</v>
          </cell>
          <cell r="F12165">
            <v>35534.247663934424</v>
          </cell>
          <cell r="G12165">
            <v>275</v>
          </cell>
          <cell r="H12165">
            <v>32976.932252975523</v>
          </cell>
        </row>
        <row r="12166">
          <cell r="D12166" t="str">
            <v>Vehicles</v>
          </cell>
          <cell r="F12166">
            <v>659279.5996926229</v>
          </cell>
          <cell r="G12166">
            <v>275</v>
          </cell>
          <cell r="H12166">
            <v>611906.99404193799</v>
          </cell>
        </row>
        <row r="12167">
          <cell r="D12167" t="str">
            <v>Vehicles</v>
          </cell>
          <cell r="F12167">
            <v>659279.5996926229</v>
          </cell>
          <cell r="G12167">
            <v>275</v>
          </cell>
          <cell r="H12167">
            <v>611906.99404193799</v>
          </cell>
        </row>
        <row r="12168">
          <cell r="D12168" t="str">
            <v>Vehicles</v>
          </cell>
          <cell r="F12168">
            <v>659279.5996926229</v>
          </cell>
          <cell r="G12168">
            <v>275</v>
          </cell>
          <cell r="H12168">
            <v>611906.99404193799</v>
          </cell>
        </row>
        <row r="12169">
          <cell r="D12169" t="str">
            <v>Vehicles</v>
          </cell>
          <cell r="F12169">
            <v>497769.63734631147</v>
          </cell>
          <cell r="G12169">
            <v>275</v>
          </cell>
          <cell r="H12169">
            <v>462002.34719220188</v>
          </cell>
        </row>
        <row r="12170">
          <cell r="D12170" t="str">
            <v>Vehicles</v>
          </cell>
          <cell r="F12170">
            <v>497769.63734631147</v>
          </cell>
          <cell r="G12170">
            <v>275</v>
          </cell>
          <cell r="H12170">
            <v>462002.34719220188</v>
          </cell>
        </row>
        <row r="12171">
          <cell r="D12171" t="str">
            <v>Vehicles</v>
          </cell>
          <cell r="F12171">
            <v>564556.98557377048</v>
          </cell>
          <cell r="G12171">
            <v>275</v>
          </cell>
          <cell r="H12171">
            <v>524001.25132719515</v>
          </cell>
        </row>
        <row r="12172">
          <cell r="D12172" t="str">
            <v>Vehicles</v>
          </cell>
          <cell r="F12172">
            <v>914156.01010928967</v>
          </cell>
          <cell r="G12172">
            <v>275</v>
          </cell>
          <cell r="H12172">
            <v>848605.8799723034</v>
          </cell>
        </row>
        <row r="12173">
          <cell r="D12173" t="str">
            <v>Vehicles</v>
          </cell>
          <cell r="F12173">
            <v>45854.265983606558</v>
          </cell>
          <cell r="G12173">
            <v>275</v>
          </cell>
          <cell r="H12173">
            <v>42569.673517853131</v>
          </cell>
        </row>
        <row r="12174">
          <cell r="D12174" t="str">
            <v>Vehicles</v>
          </cell>
          <cell r="F12174">
            <v>45854.265983606558</v>
          </cell>
          <cell r="G12174">
            <v>275</v>
          </cell>
          <cell r="H12174">
            <v>42569.673517853131</v>
          </cell>
        </row>
        <row r="12175">
          <cell r="D12175" t="str">
            <v>Vehicles</v>
          </cell>
          <cell r="F12175">
            <v>711276.56628415303</v>
          </cell>
          <cell r="G12175">
            <v>275</v>
          </cell>
          <cell r="H12175">
            <v>660340.26011976949</v>
          </cell>
        </row>
        <row r="12176">
          <cell r="D12176" t="str">
            <v>Vehicles</v>
          </cell>
          <cell r="F12176">
            <v>915352.57016393438</v>
          </cell>
          <cell r="G12176">
            <v>135</v>
          </cell>
          <cell r="H12176">
            <v>883173.13427352346</v>
          </cell>
        </row>
        <row r="12177">
          <cell r="D12177" t="str">
            <v>Vehicles</v>
          </cell>
          <cell r="F12177">
            <v>556801.97250000003</v>
          </cell>
          <cell r="G12177">
            <v>39</v>
          </cell>
          <cell r="H12177">
            <v>550868.196760274</v>
          </cell>
        </row>
        <row r="12178">
          <cell r="D12178" t="str">
            <v>Vehicles</v>
          </cell>
          <cell r="F12178">
            <v>410624.65500000003</v>
          </cell>
          <cell r="G12178">
            <v>42</v>
          </cell>
          <cell r="H12178">
            <v>405912.06053424662</v>
          </cell>
        </row>
        <row r="12179">
          <cell r="D12179" t="str">
            <v>Vehicles</v>
          </cell>
          <cell r="F12179">
            <v>1138263.986557377</v>
          </cell>
          <cell r="G12179">
            <v>42</v>
          </cell>
          <cell r="H12179">
            <v>1125274.864036829</v>
          </cell>
        </row>
      </sheetData>
      <sheetData sheetId="19">
        <row r="2">
          <cell r="A2" t="str">
            <v>Road</v>
          </cell>
          <cell r="B2" t="str">
            <v>AS17</v>
          </cell>
          <cell r="E2" t="str">
            <v>Associate Benefits &amp; Relocation Expenses</v>
          </cell>
          <cell r="G2">
            <v>646</v>
          </cell>
          <cell r="H2">
            <v>646</v>
          </cell>
          <cell r="I2">
            <v>646</v>
          </cell>
          <cell r="J2">
            <v>646</v>
          </cell>
          <cell r="K2">
            <v>646</v>
          </cell>
          <cell r="L2">
            <v>646</v>
          </cell>
          <cell r="M2">
            <v>646</v>
          </cell>
          <cell r="N2">
            <v>646</v>
          </cell>
          <cell r="O2">
            <v>646</v>
          </cell>
          <cell r="P2">
            <v>646</v>
          </cell>
          <cell r="Q2">
            <v>646</v>
          </cell>
        </row>
        <row r="3">
          <cell r="A3" t="str">
            <v>Road</v>
          </cell>
          <cell r="B3" t="str">
            <v>AS17</v>
          </cell>
          <cell r="E3" t="str">
            <v>Recruitment Expenses</v>
          </cell>
          <cell r="G3">
            <v>136</v>
          </cell>
          <cell r="H3">
            <v>136</v>
          </cell>
          <cell r="I3">
            <v>136</v>
          </cell>
          <cell r="J3">
            <v>136</v>
          </cell>
          <cell r="K3">
            <v>136</v>
          </cell>
          <cell r="L3">
            <v>136</v>
          </cell>
          <cell r="M3">
            <v>136</v>
          </cell>
          <cell r="N3">
            <v>136</v>
          </cell>
          <cell r="O3">
            <v>136</v>
          </cell>
          <cell r="P3">
            <v>136</v>
          </cell>
          <cell r="Q3">
            <v>136</v>
          </cell>
        </row>
        <row r="4">
          <cell r="A4" t="str">
            <v>Road</v>
          </cell>
          <cell r="B4" t="str">
            <v>AS17</v>
          </cell>
          <cell r="E4" t="str">
            <v>Training &amp; Development Expenses</v>
          </cell>
          <cell r="G4">
            <v>51</v>
          </cell>
          <cell r="H4">
            <v>51</v>
          </cell>
          <cell r="I4">
            <v>51</v>
          </cell>
          <cell r="J4">
            <v>51</v>
          </cell>
          <cell r="K4">
            <v>51</v>
          </cell>
          <cell r="L4">
            <v>51</v>
          </cell>
          <cell r="M4">
            <v>51</v>
          </cell>
          <cell r="N4">
            <v>51</v>
          </cell>
          <cell r="O4">
            <v>51</v>
          </cell>
          <cell r="P4">
            <v>51</v>
          </cell>
          <cell r="Q4">
            <v>51</v>
          </cell>
        </row>
        <row r="5">
          <cell r="A5" t="str">
            <v>Road</v>
          </cell>
          <cell r="B5" t="str">
            <v>AS17</v>
          </cell>
          <cell r="D5" t="str">
            <v xml:space="preserve">Technical </v>
          </cell>
          <cell r="E5" t="str">
            <v>Permanent</v>
          </cell>
          <cell r="G5">
            <v>102</v>
          </cell>
          <cell r="H5">
            <v>102</v>
          </cell>
          <cell r="I5">
            <v>102</v>
          </cell>
          <cell r="J5">
            <v>102</v>
          </cell>
          <cell r="K5">
            <v>102</v>
          </cell>
          <cell r="L5">
            <v>102</v>
          </cell>
          <cell r="M5">
            <v>102</v>
          </cell>
          <cell r="N5">
            <v>102</v>
          </cell>
          <cell r="O5">
            <v>102</v>
          </cell>
          <cell r="P5">
            <v>102</v>
          </cell>
          <cell r="Q5">
            <v>102</v>
          </cell>
        </row>
        <row r="6">
          <cell r="A6" t="str">
            <v>Road</v>
          </cell>
          <cell r="B6" t="str">
            <v>AS17</v>
          </cell>
          <cell r="D6" t="str">
            <v xml:space="preserve">Technical </v>
          </cell>
          <cell r="E6" t="str">
            <v>Contract</v>
          </cell>
          <cell r="G6">
            <v>102</v>
          </cell>
          <cell r="H6">
            <v>102</v>
          </cell>
          <cell r="I6">
            <v>102</v>
          </cell>
          <cell r="J6">
            <v>102</v>
          </cell>
          <cell r="K6">
            <v>102</v>
          </cell>
          <cell r="L6">
            <v>102</v>
          </cell>
          <cell r="M6">
            <v>102</v>
          </cell>
          <cell r="N6">
            <v>102</v>
          </cell>
          <cell r="O6">
            <v>102</v>
          </cell>
          <cell r="P6">
            <v>102</v>
          </cell>
          <cell r="Q6">
            <v>102</v>
          </cell>
        </row>
        <row r="7">
          <cell r="A7" t="str">
            <v>Road</v>
          </cell>
          <cell r="B7" t="str">
            <v>AS17</v>
          </cell>
          <cell r="D7" t="str">
            <v xml:space="preserve">Technical </v>
          </cell>
          <cell r="E7" t="str">
            <v>Trainees</v>
          </cell>
          <cell r="G7">
            <v>68</v>
          </cell>
          <cell r="H7">
            <v>68</v>
          </cell>
          <cell r="I7">
            <v>68</v>
          </cell>
          <cell r="J7">
            <v>68</v>
          </cell>
          <cell r="K7">
            <v>68</v>
          </cell>
          <cell r="L7">
            <v>68</v>
          </cell>
          <cell r="M7">
            <v>68</v>
          </cell>
          <cell r="N7">
            <v>68</v>
          </cell>
          <cell r="O7">
            <v>68</v>
          </cell>
          <cell r="P7">
            <v>68</v>
          </cell>
          <cell r="Q7">
            <v>68</v>
          </cell>
        </row>
        <row r="8">
          <cell r="A8" t="str">
            <v>Road</v>
          </cell>
          <cell r="B8" t="str">
            <v>AS17</v>
          </cell>
          <cell r="D8" t="str">
            <v>Non Technical</v>
          </cell>
          <cell r="E8" t="str">
            <v>Permanent</v>
          </cell>
          <cell r="G8">
            <v>102</v>
          </cell>
          <cell r="H8">
            <v>102</v>
          </cell>
          <cell r="I8">
            <v>102</v>
          </cell>
          <cell r="J8">
            <v>102</v>
          </cell>
          <cell r="K8">
            <v>102</v>
          </cell>
          <cell r="L8">
            <v>102</v>
          </cell>
          <cell r="M8">
            <v>102</v>
          </cell>
          <cell r="N8">
            <v>102</v>
          </cell>
          <cell r="O8">
            <v>102</v>
          </cell>
          <cell r="P8">
            <v>102</v>
          </cell>
          <cell r="Q8">
            <v>102</v>
          </cell>
        </row>
        <row r="9">
          <cell r="A9" t="str">
            <v>Road</v>
          </cell>
          <cell r="B9" t="str">
            <v>AS17</v>
          </cell>
          <cell r="D9" t="str">
            <v>Non Technical</v>
          </cell>
          <cell r="E9" t="str">
            <v>Contract</v>
          </cell>
          <cell r="G9">
            <v>102</v>
          </cell>
          <cell r="H9">
            <v>102</v>
          </cell>
          <cell r="I9">
            <v>102</v>
          </cell>
          <cell r="J9">
            <v>102</v>
          </cell>
          <cell r="K9">
            <v>102</v>
          </cell>
          <cell r="L9">
            <v>102</v>
          </cell>
          <cell r="M9">
            <v>102</v>
          </cell>
          <cell r="N9">
            <v>102</v>
          </cell>
          <cell r="O9">
            <v>102</v>
          </cell>
          <cell r="P9">
            <v>102</v>
          </cell>
          <cell r="Q9">
            <v>102</v>
          </cell>
        </row>
        <row r="10">
          <cell r="A10" t="str">
            <v>Road</v>
          </cell>
          <cell r="B10" t="str">
            <v>AS17</v>
          </cell>
          <cell r="D10" t="str">
            <v>Non Technical</v>
          </cell>
          <cell r="E10" t="str">
            <v>Trainees</v>
          </cell>
          <cell r="G10">
            <v>68</v>
          </cell>
          <cell r="H10">
            <v>68</v>
          </cell>
          <cell r="I10">
            <v>68</v>
          </cell>
          <cell r="J10">
            <v>68</v>
          </cell>
          <cell r="K10">
            <v>68</v>
          </cell>
          <cell r="L10">
            <v>68</v>
          </cell>
          <cell r="M10">
            <v>68</v>
          </cell>
          <cell r="N10">
            <v>68</v>
          </cell>
          <cell r="O10">
            <v>68</v>
          </cell>
          <cell r="P10">
            <v>68</v>
          </cell>
          <cell r="Q10">
            <v>68</v>
          </cell>
        </row>
        <row r="11">
          <cell r="A11" t="str">
            <v>Road</v>
          </cell>
          <cell r="B11" t="str">
            <v>AS17</v>
          </cell>
          <cell r="C11" t="str">
            <v>Permanent</v>
          </cell>
          <cell r="D11" t="str">
            <v>Technical</v>
          </cell>
          <cell r="E11" t="str">
            <v>Staff</v>
          </cell>
          <cell r="G11">
            <v>78030</v>
          </cell>
          <cell r="H11">
            <v>78030</v>
          </cell>
          <cell r="I11">
            <v>78030</v>
          </cell>
          <cell r="J11">
            <v>78030</v>
          </cell>
          <cell r="K11">
            <v>78030</v>
          </cell>
          <cell r="L11">
            <v>78030</v>
          </cell>
          <cell r="M11">
            <v>78030</v>
          </cell>
          <cell r="N11">
            <v>78030</v>
          </cell>
          <cell r="O11">
            <v>78030</v>
          </cell>
          <cell r="P11">
            <v>78030</v>
          </cell>
          <cell r="Q11">
            <v>78030</v>
          </cell>
        </row>
        <row r="12">
          <cell r="A12" t="str">
            <v>Road</v>
          </cell>
          <cell r="B12" t="str">
            <v>AS17</v>
          </cell>
          <cell r="C12" t="str">
            <v>Permanent</v>
          </cell>
          <cell r="D12" t="str">
            <v>Technical</v>
          </cell>
          <cell r="E12" t="str">
            <v>Junior Management</v>
          </cell>
          <cell r="G12">
            <v>78030</v>
          </cell>
          <cell r="H12">
            <v>78030</v>
          </cell>
          <cell r="I12">
            <v>78030</v>
          </cell>
          <cell r="J12">
            <v>78030</v>
          </cell>
          <cell r="K12">
            <v>78030</v>
          </cell>
          <cell r="L12">
            <v>78030</v>
          </cell>
          <cell r="M12">
            <v>78030</v>
          </cell>
          <cell r="N12">
            <v>78030</v>
          </cell>
          <cell r="O12">
            <v>78030</v>
          </cell>
          <cell r="P12">
            <v>78030</v>
          </cell>
          <cell r="Q12">
            <v>78030</v>
          </cell>
        </row>
        <row r="13">
          <cell r="A13" t="str">
            <v>Road</v>
          </cell>
          <cell r="B13" t="str">
            <v>AS17</v>
          </cell>
          <cell r="C13" t="str">
            <v>Permanent</v>
          </cell>
          <cell r="D13" t="str">
            <v>Technical</v>
          </cell>
          <cell r="E13" t="str">
            <v>Management</v>
          </cell>
          <cell r="G13">
            <v>78030</v>
          </cell>
          <cell r="H13">
            <v>78030</v>
          </cell>
          <cell r="I13">
            <v>78030</v>
          </cell>
          <cell r="J13">
            <v>78030</v>
          </cell>
          <cell r="K13">
            <v>78030</v>
          </cell>
          <cell r="L13">
            <v>78030</v>
          </cell>
          <cell r="M13">
            <v>78030</v>
          </cell>
          <cell r="N13">
            <v>78030</v>
          </cell>
          <cell r="O13">
            <v>78030</v>
          </cell>
          <cell r="P13">
            <v>78030</v>
          </cell>
          <cell r="Q13">
            <v>78030</v>
          </cell>
        </row>
        <row r="14">
          <cell r="A14" t="str">
            <v>Road</v>
          </cell>
          <cell r="B14" t="str">
            <v>AS17</v>
          </cell>
          <cell r="C14" t="str">
            <v>Permanent</v>
          </cell>
          <cell r="D14" t="str">
            <v>Technical</v>
          </cell>
          <cell r="E14" t="str">
            <v>General Management</v>
          </cell>
          <cell r="G14">
            <v>78030</v>
          </cell>
          <cell r="H14">
            <v>78030</v>
          </cell>
          <cell r="I14">
            <v>78030</v>
          </cell>
          <cell r="J14">
            <v>78030</v>
          </cell>
          <cell r="K14">
            <v>78030</v>
          </cell>
          <cell r="L14">
            <v>78030</v>
          </cell>
          <cell r="M14">
            <v>78030</v>
          </cell>
          <cell r="N14">
            <v>78030</v>
          </cell>
          <cell r="O14">
            <v>78030</v>
          </cell>
          <cell r="P14">
            <v>78030</v>
          </cell>
          <cell r="Q14">
            <v>78030</v>
          </cell>
        </row>
        <row r="15">
          <cell r="A15" t="str">
            <v>Road</v>
          </cell>
          <cell r="B15" t="str">
            <v>AS17</v>
          </cell>
          <cell r="C15" t="str">
            <v>Permanent</v>
          </cell>
          <cell r="D15" t="str">
            <v>Technical</v>
          </cell>
          <cell r="E15" t="str">
            <v>Executive Management - 1</v>
          </cell>
          <cell r="G15">
            <v>78030</v>
          </cell>
          <cell r="H15">
            <v>78030</v>
          </cell>
          <cell r="I15">
            <v>78030</v>
          </cell>
          <cell r="J15">
            <v>78030</v>
          </cell>
          <cell r="K15">
            <v>78030</v>
          </cell>
          <cell r="L15">
            <v>78030</v>
          </cell>
          <cell r="M15">
            <v>78030</v>
          </cell>
          <cell r="N15">
            <v>78030</v>
          </cell>
          <cell r="O15">
            <v>78030</v>
          </cell>
          <cell r="P15">
            <v>78030</v>
          </cell>
          <cell r="Q15">
            <v>78030</v>
          </cell>
        </row>
        <row r="16">
          <cell r="A16" t="str">
            <v>Road</v>
          </cell>
          <cell r="B16" t="str">
            <v>AS17</v>
          </cell>
          <cell r="C16" t="str">
            <v>Permanent</v>
          </cell>
          <cell r="D16" t="str">
            <v>Technical</v>
          </cell>
          <cell r="E16" t="str">
            <v>Executive Management - 2</v>
          </cell>
          <cell r="G16">
            <v>78030</v>
          </cell>
          <cell r="H16">
            <v>78030</v>
          </cell>
          <cell r="I16">
            <v>78030</v>
          </cell>
          <cell r="J16">
            <v>78030</v>
          </cell>
          <cell r="K16">
            <v>78030</v>
          </cell>
          <cell r="L16">
            <v>78030</v>
          </cell>
          <cell r="M16">
            <v>78030</v>
          </cell>
          <cell r="N16">
            <v>78030</v>
          </cell>
          <cell r="O16">
            <v>78030</v>
          </cell>
          <cell r="P16">
            <v>78030</v>
          </cell>
          <cell r="Q16">
            <v>78030</v>
          </cell>
        </row>
        <row r="17">
          <cell r="A17" t="str">
            <v>Road</v>
          </cell>
          <cell r="B17" t="str">
            <v>AS17</v>
          </cell>
          <cell r="C17" t="str">
            <v>Permanent</v>
          </cell>
          <cell r="D17" t="str">
            <v>Non-Technical</v>
          </cell>
          <cell r="E17" t="str">
            <v>Staff</v>
          </cell>
          <cell r="G17">
            <v>78030</v>
          </cell>
          <cell r="H17">
            <v>78030</v>
          </cell>
          <cell r="I17">
            <v>78030</v>
          </cell>
          <cell r="J17">
            <v>78030</v>
          </cell>
          <cell r="K17">
            <v>78030</v>
          </cell>
          <cell r="L17">
            <v>78030</v>
          </cell>
          <cell r="M17">
            <v>78030</v>
          </cell>
          <cell r="N17">
            <v>78030</v>
          </cell>
          <cell r="O17">
            <v>78030</v>
          </cell>
          <cell r="P17">
            <v>78030</v>
          </cell>
          <cell r="Q17">
            <v>78030</v>
          </cell>
        </row>
        <row r="18">
          <cell r="A18" t="str">
            <v>Road</v>
          </cell>
          <cell r="B18" t="str">
            <v>AS17</v>
          </cell>
          <cell r="C18" t="str">
            <v>Permanent</v>
          </cell>
          <cell r="D18" t="str">
            <v>Non-Technical</v>
          </cell>
          <cell r="E18" t="str">
            <v>Junior Management</v>
          </cell>
          <cell r="G18">
            <v>78030</v>
          </cell>
          <cell r="H18">
            <v>78030</v>
          </cell>
          <cell r="I18">
            <v>78030</v>
          </cell>
          <cell r="J18">
            <v>78030</v>
          </cell>
          <cell r="K18">
            <v>78030</v>
          </cell>
          <cell r="L18">
            <v>78030</v>
          </cell>
          <cell r="M18">
            <v>78030</v>
          </cell>
          <cell r="N18">
            <v>78030</v>
          </cell>
          <cell r="O18">
            <v>78030</v>
          </cell>
          <cell r="P18">
            <v>78030</v>
          </cell>
          <cell r="Q18">
            <v>78030</v>
          </cell>
        </row>
        <row r="19">
          <cell r="A19" t="str">
            <v>Road</v>
          </cell>
          <cell r="B19" t="str">
            <v>AS17</v>
          </cell>
          <cell r="C19" t="str">
            <v>Permanent</v>
          </cell>
          <cell r="D19" t="str">
            <v>Non-Technical</v>
          </cell>
          <cell r="E19" t="str">
            <v>Management</v>
          </cell>
          <cell r="G19">
            <v>78030</v>
          </cell>
          <cell r="H19">
            <v>78030</v>
          </cell>
          <cell r="I19">
            <v>78030</v>
          </cell>
          <cell r="J19">
            <v>78030</v>
          </cell>
          <cell r="K19">
            <v>78030</v>
          </cell>
          <cell r="L19">
            <v>78030</v>
          </cell>
          <cell r="M19">
            <v>78030</v>
          </cell>
          <cell r="N19">
            <v>78030</v>
          </cell>
          <cell r="O19">
            <v>78030</v>
          </cell>
          <cell r="P19">
            <v>78030</v>
          </cell>
          <cell r="Q19">
            <v>78030</v>
          </cell>
        </row>
        <row r="20">
          <cell r="A20" t="str">
            <v>Road</v>
          </cell>
          <cell r="B20" t="str">
            <v>AS17</v>
          </cell>
          <cell r="C20" t="str">
            <v>Permanent</v>
          </cell>
          <cell r="D20" t="str">
            <v>Non-Technical</v>
          </cell>
          <cell r="E20" t="str">
            <v>General Management</v>
          </cell>
          <cell r="G20">
            <v>78030</v>
          </cell>
          <cell r="H20">
            <v>78030</v>
          </cell>
          <cell r="I20">
            <v>78030</v>
          </cell>
          <cell r="J20">
            <v>78030</v>
          </cell>
          <cell r="K20">
            <v>78030</v>
          </cell>
          <cell r="L20">
            <v>78030</v>
          </cell>
          <cell r="M20">
            <v>78030</v>
          </cell>
          <cell r="N20">
            <v>78030</v>
          </cell>
          <cell r="O20">
            <v>78030</v>
          </cell>
          <cell r="P20">
            <v>78030</v>
          </cell>
          <cell r="Q20">
            <v>78030</v>
          </cell>
        </row>
        <row r="21">
          <cell r="A21" t="str">
            <v>Road</v>
          </cell>
          <cell r="B21" t="str">
            <v>AS17</v>
          </cell>
          <cell r="C21" t="str">
            <v>Permanent</v>
          </cell>
          <cell r="D21" t="str">
            <v>Non-Technical</v>
          </cell>
          <cell r="E21" t="str">
            <v>Executive Management - 1</v>
          </cell>
          <cell r="G21">
            <v>78030</v>
          </cell>
          <cell r="H21">
            <v>78030</v>
          </cell>
          <cell r="I21">
            <v>78030</v>
          </cell>
          <cell r="J21">
            <v>78030</v>
          </cell>
          <cell r="K21">
            <v>78030</v>
          </cell>
          <cell r="L21">
            <v>78030</v>
          </cell>
          <cell r="M21">
            <v>78030</v>
          </cell>
          <cell r="N21">
            <v>78030</v>
          </cell>
          <cell r="O21">
            <v>78030</v>
          </cell>
          <cell r="P21">
            <v>78030</v>
          </cell>
          <cell r="Q21">
            <v>78030</v>
          </cell>
        </row>
        <row r="22">
          <cell r="A22" t="str">
            <v>Road</v>
          </cell>
          <cell r="B22" t="str">
            <v>AS17</v>
          </cell>
          <cell r="C22" t="str">
            <v>Permanent</v>
          </cell>
          <cell r="D22" t="str">
            <v>Non-Technical</v>
          </cell>
          <cell r="E22" t="str">
            <v>Executive Management - 2</v>
          </cell>
          <cell r="G22">
            <v>78030</v>
          </cell>
          <cell r="H22">
            <v>78030</v>
          </cell>
          <cell r="I22">
            <v>78030</v>
          </cell>
          <cell r="J22">
            <v>78030</v>
          </cell>
          <cell r="K22">
            <v>78030</v>
          </cell>
          <cell r="L22">
            <v>78030</v>
          </cell>
          <cell r="M22">
            <v>78030</v>
          </cell>
          <cell r="N22">
            <v>78030</v>
          </cell>
          <cell r="O22">
            <v>78030</v>
          </cell>
          <cell r="P22">
            <v>78030</v>
          </cell>
          <cell r="Q22">
            <v>78030</v>
          </cell>
        </row>
        <row r="23">
          <cell r="A23" t="str">
            <v>Road</v>
          </cell>
          <cell r="B23" t="str">
            <v>AS17</v>
          </cell>
          <cell r="C23" t="str">
            <v>Contract</v>
          </cell>
          <cell r="D23" t="str">
            <v>Technical</v>
          </cell>
          <cell r="E23" t="str">
            <v>Staff</v>
          </cell>
          <cell r="G23">
            <v>78030</v>
          </cell>
          <cell r="H23">
            <v>78030</v>
          </cell>
          <cell r="I23">
            <v>78030</v>
          </cell>
          <cell r="J23">
            <v>78030</v>
          </cell>
          <cell r="K23">
            <v>78030</v>
          </cell>
          <cell r="L23">
            <v>78030</v>
          </cell>
          <cell r="M23">
            <v>78030</v>
          </cell>
          <cell r="N23">
            <v>78030</v>
          </cell>
          <cell r="O23">
            <v>78030</v>
          </cell>
          <cell r="P23">
            <v>78030</v>
          </cell>
          <cell r="Q23">
            <v>78030</v>
          </cell>
        </row>
        <row r="24">
          <cell r="A24" t="str">
            <v>Road</v>
          </cell>
          <cell r="B24" t="str">
            <v>AS17</v>
          </cell>
          <cell r="C24" t="str">
            <v>Contract</v>
          </cell>
          <cell r="D24" t="str">
            <v>Technical</v>
          </cell>
          <cell r="E24" t="str">
            <v>Junior Management</v>
          </cell>
          <cell r="G24">
            <v>78030</v>
          </cell>
          <cell r="H24">
            <v>78030</v>
          </cell>
          <cell r="I24">
            <v>78030</v>
          </cell>
          <cell r="J24">
            <v>78030</v>
          </cell>
          <cell r="K24">
            <v>78030</v>
          </cell>
          <cell r="L24">
            <v>78030</v>
          </cell>
          <cell r="M24">
            <v>78030</v>
          </cell>
          <cell r="N24">
            <v>78030</v>
          </cell>
          <cell r="O24">
            <v>78030</v>
          </cell>
          <cell r="P24">
            <v>78030</v>
          </cell>
          <cell r="Q24">
            <v>78030</v>
          </cell>
        </row>
        <row r="25">
          <cell r="A25" t="str">
            <v>Road</v>
          </cell>
          <cell r="B25" t="str">
            <v>AS17</v>
          </cell>
          <cell r="C25" t="str">
            <v>Contract</v>
          </cell>
          <cell r="D25" t="str">
            <v>Technical</v>
          </cell>
          <cell r="E25" t="str">
            <v>Management</v>
          </cell>
          <cell r="G25">
            <v>78030</v>
          </cell>
          <cell r="H25">
            <v>78030</v>
          </cell>
          <cell r="I25">
            <v>78030</v>
          </cell>
          <cell r="J25">
            <v>78030</v>
          </cell>
          <cell r="K25">
            <v>78030</v>
          </cell>
          <cell r="L25">
            <v>78030</v>
          </cell>
          <cell r="M25">
            <v>78030</v>
          </cell>
          <cell r="N25">
            <v>78030</v>
          </cell>
          <cell r="O25">
            <v>78030</v>
          </cell>
          <cell r="P25">
            <v>78030</v>
          </cell>
          <cell r="Q25">
            <v>78030</v>
          </cell>
        </row>
        <row r="26">
          <cell r="A26" t="str">
            <v>Road</v>
          </cell>
          <cell r="B26" t="str">
            <v>AS17</v>
          </cell>
          <cell r="C26" t="str">
            <v>Contract</v>
          </cell>
          <cell r="D26" t="str">
            <v>Technical</v>
          </cell>
          <cell r="E26" t="str">
            <v>General Management</v>
          </cell>
          <cell r="G26">
            <v>78030</v>
          </cell>
          <cell r="H26">
            <v>78030</v>
          </cell>
          <cell r="I26">
            <v>78030</v>
          </cell>
          <cell r="J26">
            <v>78030</v>
          </cell>
          <cell r="K26">
            <v>78030</v>
          </cell>
          <cell r="L26">
            <v>78030</v>
          </cell>
          <cell r="M26">
            <v>78030</v>
          </cell>
          <cell r="N26">
            <v>78030</v>
          </cell>
          <cell r="O26">
            <v>78030</v>
          </cell>
          <cell r="P26">
            <v>78030</v>
          </cell>
          <cell r="Q26">
            <v>78030</v>
          </cell>
        </row>
        <row r="27">
          <cell r="A27" t="str">
            <v>Road</v>
          </cell>
          <cell r="B27" t="str">
            <v>AS17</v>
          </cell>
          <cell r="C27" t="str">
            <v>Contract</v>
          </cell>
          <cell r="D27" t="str">
            <v>Technical</v>
          </cell>
          <cell r="E27" t="str">
            <v>Executive Management - 1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A28" t="str">
            <v>Road</v>
          </cell>
          <cell r="B28" t="str">
            <v>AS17</v>
          </cell>
          <cell r="C28" t="str">
            <v>Contract</v>
          </cell>
          <cell r="D28" t="str">
            <v>Technical</v>
          </cell>
          <cell r="E28" t="str">
            <v>Executive Management - 2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A29" t="str">
            <v>Road</v>
          </cell>
          <cell r="B29" t="str">
            <v>AS17</v>
          </cell>
          <cell r="C29" t="str">
            <v>Contract</v>
          </cell>
          <cell r="D29" t="str">
            <v>Technical</v>
          </cell>
          <cell r="E29" t="str">
            <v>Outsourced - Agencies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A30" t="str">
            <v>Road</v>
          </cell>
          <cell r="B30" t="str">
            <v>AS17</v>
          </cell>
          <cell r="C30" t="str">
            <v>Contract</v>
          </cell>
          <cell r="D30" t="str">
            <v>Non-Technical</v>
          </cell>
          <cell r="E30" t="str">
            <v>Staff</v>
          </cell>
          <cell r="G30">
            <v>78030</v>
          </cell>
          <cell r="H30">
            <v>78030</v>
          </cell>
          <cell r="I30">
            <v>78030</v>
          </cell>
          <cell r="J30">
            <v>78030</v>
          </cell>
          <cell r="K30">
            <v>78030</v>
          </cell>
          <cell r="L30">
            <v>78030</v>
          </cell>
          <cell r="M30">
            <v>78030</v>
          </cell>
          <cell r="N30">
            <v>78030</v>
          </cell>
          <cell r="O30">
            <v>78030</v>
          </cell>
          <cell r="P30">
            <v>78030</v>
          </cell>
          <cell r="Q30">
            <v>78030</v>
          </cell>
        </row>
        <row r="31">
          <cell r="A31" t="str">
            <v>Road</v>
          </cell>
          <cell r="B31" t="str">
            <v>AS17</v>
          </cell>
          <cell r="C31" t="str">
            <v>Contract</v>
          </cell>
          <cell r="D31" t="str">
            <v>Non-Technical</v>
          </cell>
          <cell r="E31" t="str">
            <v>Junior Management</v>
          </cell>
          <cell r="G31">
            <v>78030</v>
          </cell>
          <cell r="H31">
            <v>78030</v>
          </cell>
          <cell r="I31">
            <v>78030</v>
          </cell>
          <cell r="J31">
            <v>78030</v>
          </cell>
          <cell r="K31">
            <v>78030</v>
          </cell>
          <cell r="L31">
            <v>78030</v>
          </cell>
          <cell r="M31">
            <v>78030</v>
          </cell>
          <cell r="N31">
            <v>78030</v>
          </cell>
          <cell r="O31">
            <v>78030</v>
          </cell>
          <cell r="P31">
            <v>78030</v>
          </cell>
          <cell r="Q31">
            <v>78030</v>
          </cell>
        </row>
        <row r="32">
          <cell r="A32" t="str">
            <v>Road</v>
          </cell>
          <cell r="B32" t="str">
            <v>AS17</v>
          </cell>
          <cell r="C32" t="str">
            <v>Contract</v>
          </cell>
          <cell r="D32" t="str">
            <v>Non-Technical</v>
          </cell>
          <cell r="E32" t="str">
            <v>Management</v>
          </cell>
          <cell r="G32">
            <v>78030</v>
          </cell>
          <cell r="H32">
            <v>78030</v>
          </cell>
          <cell r="I32">
            <v>78030</v>
          </cell>
          <cell r="J32">
            <v>78030</v>
          </cell>
          <cell r="K32">
            <v>78030</v>
          </cell>
          <cell r="L32">
            <v>78030</v>
          </cell>
          <cell r="M32">
            <v>78030</v>
          </cell>
          <cell r="N32">
            <v>78030</v>
          </cell>
          <cell r="O32">
            <v>78030</v>
          </cell>
          <cell r="P32">
            <v>78030</v>
          </cell>
          <cell r="Q32">
            <v>78030</v>
          </cell>
        </row>
        <row r="33">
          <cell r="A33" t="str">
            <v>Road</v>
          </cell>
          <cell r="B33" t="str">
            <v>AS17</v>
          </cell>
          <cell r="C33" t="str">
            <v>Contract</v>
          </cell>
          <cell r="D33" t="str">
            <v>Non-Technical</v>
          </cell>
          <cell r="E33" t="str">
            <v>General Management</v>
          </cell>
          <cell r="G33">
            <v>78030</v>
          </cell>
          <cell r="H33">
            <v>78030</v>
          </cell>
          <cell r="I33">
            <v>78030</v>
          </cell>
          <cell r="J33">
            <v>78030</v>
          </cell>
          <cell r="K33">
            <v>78030</v>
          </cell>
          <cell r="L33">
            <v>78030</v>
          </cell>
          <cell r="M33">
            <v>78030</v>
          </cell>
          <cell r="N33">
            <v>78030</v>
          </cell>
          <cell r="O33">
            <v>78030</v>
          </cell>
          <cell r="P33">
            <v>78030</v>
          </cell>
          <cell r="Q33">
            <v>78030</v>
          </cell>
        </row>
        <row r="34">
          <cell r="A34" t="str">
            <v>Road</v>
          </cell>
          <cell r="B34" t="str">
            <v>AS17</v>
          </cell>
          <cell r="C34" t="str">
            <v>Contract</v>
          </cell>
          <cell r="D34" t="str">
            <v>Non-Technical</v>
          </cell>
          <cell r="E34" t="str">
            <v>Executive Management - 1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A35" t="str">
            <v>Road</v>
          </cell>
          <cell r="B35" t="str">
            <v>AS17</v>
          </cell>
          <cell r="C35" t="str">
            <v>Contract</v>
          </cell>
          <cell r="D35" t="str">
            <v>Non-Technical</v>
          </cell>
          <cell r="E35" t="str">
            <v>Executive Management - 2</v>
          </cell>
          <cell r="G35">
            <v>78030</v>
          </cell>
          <cell r="H35">
            <v>78030</v>
          </cell>
          <cell r="I35">
            <v>78030</v>
          </cell>
          <cell r="J35">
            <v>78030</v>
          </cell>
          <cell r="K35">
            <v>78030</v>
          </cell>
          <cell r="L35">
            <v>78030</v>
          </cell>
          <cell r="M35">
            <v>78030</v>
          </cell>
          <cell r="N35">
            <v>78030</v>
          </cell>
          <cell r="O35">
            <v>78030</v>
          </cell>
          <cell r="P35">
            <v>78030</v>
          </cell>
          <cell r="Q35">
            <v>78030</v>
          </cell>
        </row>
        <row r="36">
          <cell r="A36" t="str">
            <v>Road</v>
          </cell>
          <cell r="B36" t="str">
            <v>AS17</v>
          </cell>
          <cell r="C36" t="str">
            <v>Contract</v>
          </cell>
          <cell r="D36" t="str">
            <v>Non-Technical</v>
          </cell>
          <cell r="E36" t="str">
            <v>Outsourced - Agencies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Road</v>
          </cell>
          <cell r="B37" t="str">
            <v>AS17</v>
          </cell>
          <cell r="C37" t="str">
            <v>Trainees</v>
          </cell>
          <cell r="D37" t="str">
            <v>Technical</v>
          </cell>
          <cell r="E37" t="str">
            <v>GET's</v>
          </cell>
          <cell r="G37">
            <v>78030</v>
          </cell>
          <cell r="H37">
            <v>78030</v>
          </cell>
          <cell r="I37">
            <v>78030</v>
          </cell>
          <cell r="J37">
            <v>78030</v>
          </cell>
          <cell r="K37">
            <v>78030</v>
          </cell>
          <cell r="L37">
            <v>78030</v>
          </cell>
          <cell r="M37">
            <v>78030</v>
          </cell>
          <cell r="N37">
            <v>78030</v>
          </cell>
          <cell r="O37">
            <v>78030</v>
          </cell>
          <cell r="P37">
            <v>78030</v>
          </cell>
          <cell r="Q37">
            <v>78030</v>
          </cell>
        </row>
        <row r="38">
          <cell r="A38" t="str">
            <v>Road</v>
          </cell>
          <cell r="B38" t="str">
            <v>AS17</v>
          </cell>
          <cell r="C38" t="str">
            <v>Trainees</v>
          </cell>
          <cell r="D38" t="str">
            <v>Technical</v>
          </cell>
          <cell r="E38" t="str">
            <v>DET's</v>
          </cell>
          <cell r="G38">
            <v>78030</v>
          </cell>
          <cell r="H38">
            <v>78030</v>
          </cell>
          <cell r="I38">
            <v>78030</v>
          </cell>
          <cell r="J38">
            <v>78030</v>
          </cell>
          <cell r="K38">
            <v>78030</v>
          </cell>
          <cell r="L38">
            <v>78030</v>
          </cell>
          <cell r="M38">
            <v>78030</v>
          </cell>
          <cell r="N38">
            <v>78030</v>
          </cell>
          <cell r="O38">
            <v>78030</v>
          </cell>
          <cell r="P38">
            <v>78030</v>
          </cell>
          <cell r="Q38">
            <v>78030</v>
          </cell>
        </row>
        <row r="39">
          <cell r="A39" t="str">
            <v>Road</v>
          </cell>
          <cell r="B39" t="str">
            <v>AS17</v>
          </cell>
          <cell r="C39" t="str">
            <v>Trainees</v>
          </cell>
          <cell r="D39" t="str">
            <v>Non-Technical</v>
          </cell>
          <cell r="E39" t="str">
            <v>Commercial</v>
          </cell>
          <cell r="G39">
            <v>78030</v>
          </cell>
          <cell r="H39">
            <v>78030</v>
          </cell>
          <cell r="I39">
            <v>78030</v>
          </cell>
          <cell r="J39">
            <v>78030</v>
          </cell>
          <cell r="K39">
            <v>78030</v>
          </cell>
          <cell r="L39">
            <v>78030</v>
          </cell>
          <cell r="M39">
            <v>78030</v>
          </cell>
          <cell r="N39">
            <v>78030</v>
          </cell>
          <cell r="O39">
            <v>78030</v>
          </cell>
          <cell r="P39">
            <v>78030</v>
          </cell>
          <cell r="Q39">
            <v>78030</v>
          </cell>
        </row>
        <row r="40">
          <cell r="A40" t="str">
            <v>Road</v>
          </cell>
          <cell r="B40" t="str">
            <v>AS17</v>
          </cell>
          <cell r="C40" t="str">
            <v>Trainees</v>
          </cell>
          <cell r="D40" t="str">
            <v>Non-Technical</v>
          </cell>
          <cell r="E40" t="str">
            <v>Management Trainees</v>
          </cell>
          <cell r="G40">
            <v>78030</v>
          </cell>
          <cell r="H40">
            <v>78030</v>
          </cell>
          <cell r="I40">
            <v>78030</v>
          </cell>
          <cell r="J40">
            <v>78030</v>
          </cell>
          <cell r="K40">
            <v>78030</v>
          </cell>
          <cell r="L40">
            <v>78030</v>
          </cell>
          <cell r="M40">
            <v>78030</v>
          </cell>
          <cell r="N40">
            <v>78030</v>
          </cell>
          <cell r="O40">
            <v>78030</v>
          </cell>
          <cell r="P40">
            <v>78030</v>
          </cell>
          <cell r="Q40">
            <v>78030</v>
          </cell>
        </row>
        <row r="41">
          <cell r="A41" t="str">
            <v>Road</v>
          </cell>
          <cell r="B41" t="str">
            <v>AS19</v>
          </cell>
          <cell r="E41" t="str">
            <v>Associate Benefits &amp; Relocation Expenses</v>
          </cell>
          <cell r="G41">
            <v>722</v>
          </cell>
          <cell r="H41">
            <v>722</v>
          </cell>
          <cell r="I41">
            <v>722</v>
          </cell>
          <cell r="J41">
            <v>722</v>
          </cell>
          <cell r="K41">
            <v>722</v>
          </cell>
          <cell r="L41">
            <v>722</v>
          </cell>
          <cell r="M41">
            <v>722</v>
          </cell>
          <cell r="N41">
            <v>722</v>
          </cell>
          <cell r="O41">
            <v>722</v>
          </cell>
          <cell r="P41">
            <v>722</v>
          </cell>
          <cell r="Q41">
            <v>722</v>
          </cell>
        </row>
        <row r="42">
          <cell r="A42" t="str">
            <v>Road</v>
          </cell>
          <cell r="B42" t="str">
            <v>AS19</v>
          </cell>
          <cell r="E42" t="str">
            <v>Recruitment Expenses</v>
          </cell>
          <cell r="G42">
            <v>152</v>
          </cell>
          <cell r="H42">
            <v>152</v>
          </cell>
          <cell r="I42">
            <v>152</v>
          </cell>
          <cell r="J42">
            <v>152</v>
          </cell>
          <cell r="K42">
            <v>152</v>
          </cell>
          <cell r="L42">
            <v>152</v>
          </cell>
          <cell r="M42">
            <v>152</v>
          </cell>
          <cell r="N42">
            <v>152</v>
          </cell>
          <cell r="O42">
            <v>152</v>
          </cell>
          <cell r="P42">
            <v>152</v>
          </cell>
          <cell r="Q42">
            <v>152</v>
          </cell>
        </row>
        <row r="43">
          <cell r="A43" t="str">
            <v>Road</v>
          </cell>
          <cell r="B43" t="str">
            <v>AS19</v>
          </cell>
          <cell r="E43" t="str">
            <v>Training &amp; Development Expenses</v>
          </cell>
          <cell r="G43">
            <v>57</v>
          </cell>
          <cell r="H43">
            <v>57</v>
          </cell>
          <cell r="I43">
            <v>57</v>
          </cell>
          <cell r="J43">
            <v>57</v>
          </cell>
          <cell r="K43">
            <v>57</v>
          </cell>
          <cell r="L43">
            <v>57</v>
          </cell>
          <cell r="M43">
            <v>57</v>
          </cell>
          <cell r="N43">
            <v>57</v>
          </cell>
          <cell r="O43">
            <v>57</v>
          </cell>
          <cell r="P43">
            <v>57</v>
          </cell>
          <cell r="Q43">
            <v>57</v>
          </cell>
        </row>
        <row r="44">
          <cell r="A44" t="str">
            <v>Road</v>
          </cell>
          <cell r="B44" t="str">
            <v>AS19</v>
          </cell>
          <cell r="D44" t="str">
            <v xml:space="preserve">Technical </v>
          </cell>
          <cell r="E44" t="str">
            <v>Permanent</v>
          </cell>
          <cell r="G44">
            <v>114</v>
          </cell>
          <cell r="H44">
            <v>114</v>
          </cell>
          <cell r="I44">
            <v>114</v>
          </cell>
          <cell r="J44">
            <v>114</v>
          </cell>
          <cell r="K44">
            <v>114</v>
          </cell>
          <cell r="L44">
            <v>114</v>
          </cell>
          <cell r="M44">
            <v>114</v>
          </cell>
          <cell r="N44">
            <v>114</v>
          </cell>
          <cell r="O44">
            <v>114</v>
          </cell>
          <cell r="P44">
            <v>114</v>
          </cell>
          <cell r="Q44">
            <v>114</v>
          </cell>
        </row>
        <row r="45">
          <cell r="A45" t="str">
            <v>Road</v>
          </cell>
          <cell r="B45" t="str">
            <v>AS19</v>
          </cell>
          <cell r="D45" t="str">
            <v xml:space="preserve">Technical </v>
          </cell>
          <cell r="E45" t="str">
            <v>Contract</v>
          </cell>
          <cell r="G45">
            <v>114</v>
          </cell>
          <cell r="H45">
            <v>114</v>
          </cell>
          <cell r="I45">
            <v>114</v>
          </cell>
          <cell r="J45">
            <v>114</v>
          </cell>
          <cell r="K45">
            <v>114</v>
          </cell>
          <cell r="L45">
            <v>114</v>
          </cell>
          <cell r="M45">
            <v>114</v>
          </cell>
          <cell r="N45">
            <v>114</v>
          </cell>
          <cell r="O45">
            <v>114</v>
          </cell>
          <cell r="P45">
            <v>114</v>
          </cell>
          <cell r="Q45">
            <v>114</v>
          </cell>
        </row>
        <row r="46">
          <cell r="A46" t="str">
            <v>Road</v>
          </cell>
          <cell r="B46" t="str">
            <v>AS19</v>
          </cell>
          <cell r="D46" t="str">
            <v xml:space="preserve">Technical </v>
          </cell>
          <cell r="E46" t="str">
            <v>Trainees</v>
          </cell>
          <cell r="G46">
            <v>76</v>
          </cell>
          <cell r="H46">
            <v>76</v>
          </cell>
          <cell r="I46">
            <v>76</v>
          </cell>
          <cell r="J46">
            <v>76</v>
          </cell>
          <cell r="K46">
            <v>76</v>
          </cell>
          <cell r="L46">
            <v>76</v>
          </cell>
          <cell r="M46">
            <v>76</v>
          </cell>
          <cell r="N46">
            <v>76</v>
          </cell>
          <cell r="O46">
            <v>76</v>
          </cell>
          <cell r="P46">
            <v>76</v>
          </cell>
          <cell r="Q46">
            <v>76</v>
          </cell>
        </row>
        <row r="47">
          <cell r="A47" t="str">
            <v>Road</v>
          </cell>
          <cell r="B47" t="str">
            <v>AS19</v>
          </cell>
          <cell r="D47" t="str">
            <v>Non Technical</v>
          </cell>
          <cell r="E47" t="str">
            <v>Permanent</v>
          </cell>
          <cell r="G47">
            <v>114</v>
          </cell>
          <cell r="H47">
            <v>114</v>
          </cell>
          <cell r="I47">
            <v>114</v>
          </cell>
          <cell r="J47">
            <v>114</v>
          </cell>
          <cell r="K47">
            <v>114</v>
          </cell>
          <cell r="L47">
            <v>114</v>
          </cell>
          <cell r="M47">
            <v>114</v>
          </cell>
          <cell r="N47">
            <v>114</v>
          </cell>
          <cell r="O47">
            <v>114</v>
          </cell>
          <cell r="P47">
            <v>114</v>
          </cell>
          <cell r="Q47">
            <v>114</v>
          </cell>
        </row>
        <row r="48">
          <cell r="A48" t="str">
            <v>Road</v>
          </cell>
          <cell r="B48" t="str">
            <v>AS19</v>
          </cell>
          <cell r="D48" t="str">
            <v>Non Technical</v>
          </cell>
          <cell r="E48" t="str">
            <v>Contract</v>
          </cell>
          <cell r="G48">
            <v>114</v>
          </cell>
          <cell r="H48">
            <v>114</v>
          </cell>
          <cell r="I48">
            <v>114</v>
          </cell>
          <cell r="J48">
            <v>114</v>
          </cell>
          <cell r="K48">
            <v>114</v>
          </cell>
          <cell r="L48">
            <v>114</v>
          </cell>
          <cell r="M48">
            <v>114</v>
          </cell>
          <cell r="N48">
            <v>114</v>
          </cell>
          <cell r="O48">
            <v>114</v>
          </cell>
          <cell r="P48">
            <v>114</v>
          </cell>
          <cell r="Q48">
            <v>114</v>
          </cell>
        </row>
        <row r="49">
          <cell r="A49" t="str">
            <v>Road</v>
          </cell>
          <cell r="B49" t="str">
            <v>AS19</v>
          </cell>
          <cell r="D49" t="str">
            <v>Non Technical</v>
          </cell>
          <cell r="E49" t="str">
            <v>Trainees</v>
          </cell>
          <cell r="G49">
            <v>76</v>
          </cell>
          <cell r="H49">
            <v>76</v>
          </cell>
          <cell r="I49">
            <v>76</v>
          </cell>
          <cell r="J49">
            <v>76</v>
          </cell>
          <cell r="K49">
            <v>76</v>
          </cell>
          <cell r="L49">
            <v>76</v>
          </cell>
          <cell r="M49">
            <v>76</v>
          </cell>
          <cell r="N49">
            <v>76</v>
          </cell>
          <cell r="O49">
            <v>76</v>
          </cell>
          <cell r="P49">
            <v>76</v>
          </cell>
          <cell r="Q49">
            <v>76</v>
          </cell>
        </row>
        <row r="50">
          <cell r="A50" t="str">
            <v>Road</v>
          </cell>
          <cell r="B50" t="str">
            <v>AS19</v>
          </cell>
          <cell r="C50" t="str">
            <v>Permanent</v>
          </cell>
          <cell r="D50" t="str">
            <v>Technical</v>
          </cell>
          <cell r="E50" t="str">
            <v>Staff</v>
          </cell>
          <cell r="G50">
            <v>108300</v>
          </cell>
          <cell r="H50">
            <v>108300</v>
          </cell>
          <cell r="I50">
            <v>108300</v>
          </cell>
          <cell r="J50">
            <v>108300</v>
          </cell>
          <cell r="K50">
            <v>108300</v>
          </cell>
          <cell r="L50">
            <v>108300</v>
          </cell>
          <cell r="M50">
            <v>108300</v>
          </cell>
          <cell r="N50">
            <v>108300</v>
          </cell>
          <cell r="O50">
            <v>108300</v>
          </cell>
          <cell r="P50">
            <v>108300</v>
          </cell>
          <cell r="Q50">
            <v>108300</v>
          </cell>
        </row>
        <row r="51">
          <cell r="A51" t="str">
            <v>Road</v>
          </cell>
          <cell r="B51" t="str">
            <v>AS19</v>
          </cell>
          <cell r="C51" t="str">
            <v>Permanent</v>
          </cell>
          <cell r="D51" t="str">
            <v>Technical</v>
          </cell>
          <cell r="E51" t="str">
            <v>Junior Management</v>
          </cell>
          <cell r="G51">
            <v>108300</v>
          </cell>
          <cell r="H51">
            <v>108300</v>
          </cell>
          <cell r="I51">
            <v>108300</v>
          </cell>
          <cell r="J51">
            <v>108300</v>
          </cell>
          <cell r="K51">
            <v>108300</v>
          </cell>
          <cell r="L51">
            <v>108300</v>
          </cell>
          <cell r="M51">
            <v>108300</v>
          </cell>
          <cell r="N51">
            <v>108300</v>
          </cell>
          <cell r="O51">
            <v>108300</v>
          </cell>
          <cell r="P51">
            <v>108300</v>
          </cell>
          <cell r="Q51">
            <v>108300</v>
          </cell>
        </row>
        <row r="52">
          <cell r="A52" t="str">
            <v>Road</v>
          </cell>
          <cell r="B52" t="str">
            <v>AS19</v>
          </cell>
          <cell r="C52" t="str">
            <v>Permanent</v>
          </cell>
          <cell r="D52" t="str">
            <v>Technical</v>
          </cell>
          <cell r="E52" t="str">
            <v>Management</v>
          </cell>
          <cell r="G52">
            <v>108300</v>
          </cell>
          <cell r="H52">
            <v>108300</v>
          </cell>
          <cell r="I52">
            <v>108300</v>
          </cell>
          <cell r="J52">
            <v>108300</v>
          </cell>
          <cell r="K52">
            <v>108300</v>
          </cell>
          <cell r="L52">
            <v>108300</v>
          </cell>
          <cell r="M52">
            <v>108300</v>
          </cell>
          <cell r="N52">
            <v>108300</v>
          </cell>
          <cell r="O52">
            <v>108300</v>
          </cell>
          <cell r="P52">
            <v>108300</v>
          </cell>
          <cell r="Q52">
            <v>108300</v>
          </cell>
        </row>
        <row r="53">
          <cell r="A53" t="str">
            <v>Road</v>
          </cell>
          <cell r="B53" t="str">
            <v>AS19</v>
          </cell>
          <cell r="C53" t="str">
            <v>Permanent</v>
          </cell>
          <cell r="D53" t="str">
            <v>Technical</v>
          </cell>
          <cell r="E53" t="str">
            <v>General Management</v>
          </cell>
          <cell r="G53">
            <v>108300</v>
          </cell>
          <cell r="H53">
            <v>108300</v>
          </cell>
          <cell r="I53">
            <v>108300</v>
          </cell>
          <cell r="J53">
            <v>108300</v>
          </cell>
          <cell r="K53">
            <v>108300</v>
          </cell>
          <cell r="L53">
            <v>108300</v>
          </cell>
          <cell r="M53">
            <v>108300</v>
          </cell>
          <cell r="N53">
            <v>108300</v>
          </cell>
          <cell r="O53">
            <v>108300</v>
          </cell>
          <cell r="P53">
            <v>108300</v>
          </cell>
          <cell r="Q53">
            <v>108300</v>
          </cell>
        </row>
        <row r="54">
          <cell r="A54" t="str">
            <v>Road</v>
          </cell>
          <cell r="B54" t="str">
            <v>AS19</v>
          </cell>
          <cell r="C54" t="str">
            <v>Permanent</v>
          </cell>
          <cell r="D54" t="str">
            <v>Technical</v>
          </cell>
          <cell r="E54" t="str">
            <v>Executive Management - 1</v>
          </cell>
          <cell r="G54">
            <v>108300</v>
          </cell>
          <cell r="H54">
            <v>108300</v>
          </cell>
          <cell r="I54">
            <v>108300</v>
          </cell>
          <cell r="J54">
            <v>108300</v>
          </cell>
          <cell r="K54">
            <v>108300</v>
          </cell>
          <cell r="L54">
            <v>108300</v>
          </cell>
          <cell r="M54">
            <v>108300</v>
          </cell>
          <cell r="N54">
            <v>108300</v>
          </cell>
          <cell r="O54">
            <v>108300</v>
          </cell>
          <cell r="P54">
            <v>108300</v>
          </cell>
          <cell r="Q54">
            <v>108300</v>
          </cell>
        </row>
        <row r="55">
          <cell r="A55" t="str">
            <v>Road</v>
          </cell>
          <cell r="B55" t="str">
            <v>AS19</v>
          </cell>
          <cell r="C55" t="str">
            <v>Permanent</v>
          </cell>
          <cell r="D55" t="str">
            <v>Technical</v>
          </cell>
          <cell r="E55" t="str">
            <v>Executive Management - 2</v>
          </cell>
          <cell r="G55">
            <v>108300</v>
          </cell>
          <cell r="H55">
            <v>108300</v>
          </cell>
          <cell r="I55">
            <v>108300</v>
          </cell>
          <cell r="J55">
            <v>108300</v>
          </cell>
          <cell r="K55">
            <v>108300</v>
          </cell>
          <cell r="L55">
            <v>108300</v>
          </cell>
          <cell r="M55">
            <v>108300</v>
          </cell>
          <cell r="N55">
            <v>108300</v>
          </cell>
          <cell r="O55">
            <v>108300</v>
          </cell>
          <cell r="P55">
            <v>108300</v>
          </cell>
          <cell r="Q55">
            <v>108300</v>
          </cell>
        </row>
        <row r="56">
          <cell r="A56" t="str">
            <v>Road</v>
          </cell>
          <cell r="B56" t="str">
            <v>AS19</v>
          </cell>
          <cell r="C56" t="str">
            <v>Permanent</v>
          </cell>
          <cell r="D56" t="str">
            <v>Non-Technical</v>
          </cell>
          <cell r="E56" t="str">
            <v>Staff</v>
          </cell>
          <cell r="G56">
            <v>108300</v>
          </cell>
          <cell r="H56">
            <v>108300</v>
          </cell>
          <cell r="I56">
            <v>108300</v>
          </cell>
          <cell r="J56">
            <v>108300</v>
          </cell>
          <cell r="K56">
            <v>108300</v>
          </cell>
          <cell r="L56">
            <v>108300</v>
          </cell>
          <cell r="M56">
            <v>108300</v>
          </cell>
          <cell r="N56">
            <v>108300</v>
          </cell>
          <cell r="O56">
            <v>108300</v>
          </cell>
          <cell r="P56">
            <v>108300</v>
          </cell>
          <cell r="Q56">
            <v>108300</v>
          </cell>
        </row>
        <row r="57">
          <cell r="A57" t="str">
            <v>Road</v>
          </cell>
          <cell r="B57" t="str">
            <v>AS19</v>
          </cell>
          <cell r="C57" t="str">
            <v>Permanent</v>
          </cell>
          <cell r="D57" t="str">
            <v>Non-Technical</v>
          </cell>
          <cell r="E57" t="str">
            <v>Junior Management</v>
          </cell>
          <cell r="G57">
            <v>108300</v>
          </cell>
          <cell r="H57">
            <v>108300</v>
          </cell>
          <cell r="I57">
            <v>108300</v>
          </cell>
          <cell r="J57">
            <v>108300</v>
          </cell>
          <cell r="K57">
            <v>108300</v>
          </cell>
          <cell r="L57">
            <v>108300</v>
          </cell>
          <cell r="M57">
            <v>108300</v>
          </cell>
          <cell r="N57">
            <v>108300</v>
          </cell>
          <cell r="O57">
            <v>108300</v>
          </cell>
          <cell r="P57">
            <v>108300</v>
          </cell>
          <cell r="Q57">
            <v>108300</v>
          </cell>
        </row>
        <row r="58">
          <cell r="A58" t="str">
            <v>Road</v>
          </cell>
          <cell r="B58" t="str">
            <v>AS19</v>
          </cell>
          <cell r="C58" t="str">
            <v>Permanent</v>
          </cell>
          <cell r="D58" t="str">
            <v>Non-Technical</v>
          </cell>
          <cell r="E58" t="str">
            <v>Management</v>
          </cell>
          <cell r="G58">
            <v>108300</v>
          </cell>
          <cell r="H58">
            <v>108300</v>
          </cell>
          <cell r="I58">
            <v>108300</v>
          </cell>
          <cell r="J58">
            <v>108300</v>
          </cell>
          <cell r="K58">
            <v>108300</v>
          </cell>
          <cell r="L58">
            <v>108300</v>
          </cell>
          <cell r="M58">
            <v>108300</v>
          </cell>
          <cell r="N58">
            <v>108300</v>
          </cell>
          <cell r="O58">
            <v>108300</v>
          </cell>
          <cell r="P58">
            <v>108300</v>
          </cell>
          <cell r="Q58">
            <v>108300</v>
          </cell>
        </row>
        <row r="59">
          <cell r="A59" t="str">
            <v>Road</v>
          </cell>
          <cell r="B59" t="str">
            <v>AS19</v>
          </cell>
          <cell r="C59" t="str">
            <v>Permanent</v>
          </cell>
          <cell r="D59" t="str">
            <v>Non-Technical</v>
          </cell>
          <cell r="E59" t="str">
            <v>General Management</v>
          </cell>
          <cell r="G59">
            <v>108300</v>
          </cell>
          <cell r="H59">
            <v>108300</v>
          </cell>
          <cell r="I59">
            <v>108300</v>
          </cell>
          <cell r="J59">
            <v>108300</v>
          </cell>
          <cell r="K59">
            <v>108300</v>
          </cell>
          <cell r="L59">
            <v>108300</v>
          </cell>
          <cell r="M59">
            <v>108300</v>
          </cell>
          <cell r="N59">
            <v>108300</v>
          </cell>
          <cell r="O59">
            <v>108300</v>
          </cell>
          <cell r="P59">
            <v>108300</v>
          </cell>
          <cell r="Q59">
            <v>108300</v>
          </cell>
        </row>
        <row r="60">
          <cell r="A60" t="str">
            <v>Road</v>
          </cell>
          <cell r="B60" t="str">
            <v>AS19</v>
          </cell>
          <cell r="C60" t="str">
            <v>Permanent</v>
          </cell>
          <cell r="D60" t="str">
            <v>Non-Technical</v>
          </cell>
          <cell r="E60" t="str">
            <v>Executive Management - 1</v>
          </cell>
          <cell r="G60">
            <v>108300</v>
          </cell>
          <cell r="H60">
            <v>108300</v>
          </cell>
          <cell r="I60">
            <v>108300</v>
          </cell>
          <cell r="J60">
            <v>108300</v>
          </cell>
          <cell r="K60">
            <v>108300</v>
          </cell>
          <cell r="L60">
            <v>108300</v>
          </cell>
          <cell r="M60">
            <v>108300</v>
          </cell>
          <cell r="N60">
            <v>108300</v>
          </cell>
          <cell r="O60">
            <v>108300</v>
          </cell>
          <cell r="P60">
            <v>108300</v>
          </cell>
          <cell r="Q60">
            <v>108300</v>
          </cell>
        </row>
        <row r="61">
          <cell r="A61" t="str">
            <v>Road</v>
          </cell>
          <cell r="B61" t="str">
            <v>AS19</v>
          </cell>
          <cell r="C61" t="str">
            <v>Permanent</v>
          </cell>
          <cell r="D61" t="str">
            <v>Non-Technical</v>
          </cell>
          <cell r="E61" t="str">
            <v>Executive Management - 2</v>
          </cell>
          <cell r="G61">
            <v>108300</v>
          </cell>
          <cell r="H61">
            <v>108300</v>
          </cell>
          <cell r="I61">
            <v>108300</v>
          </cell>
          <cell r="J61">
            <v>108300</v>
          </cell>
          <cell r="K61">
            <v>108300</v>
          </cell>
          <cell r="L61">
            <v>108300</v>
          </cell>
          <cell r="M61">
            <v>108300</v>
          </cell>
          <cell r="N61">
            <v>108300</v>
          </cell>
          <cell r="O61">
            <v>108300</v>
          </cell>
          <cell r="P61">
            <v>108300</v>
          </cell>
          <cell r="Q61">
            <v>108300</v>
          </cell>
        </row>
        <row r="62">
          <cell r="A62" t="str">
            <v>Road</v>
          </cell>
          <cell r="B62" t="str">
            <v>AS19</v>
          </cell>
          <cell r="C62" t="str">
            <v>Contract</v>
          </cell>
          <cell r="D62" t="str">
            <v>Technical</v>
          </cell>
          <cell r="E62" t="str">
            <v>Staff</v>
          </cell>
          <cell r="G62">
            <v>108300</v>
          </cell>
          <cell r="H62">
            <v>108300</v>
          </cell>
          <cell r="I62">
            <v>108300</v>
          </cell>
          <cell r="J62">
            <v>108300</v>
          </cell>
          <cell r="K62">
            <v>108300</v>
          </cell>
          <cell r="L62">
            <v>108300</v>
          </cell>
          <cell r="M62">
            <v>108300</v>
          </cell>
          <cell r="N62">
            <v>108300</v>
          </cell>
          <cell r="O62">
            <v>108300</v>
          </cell>
          <cell r="P62">
            <v>108300</v>
          </cell>
          <cell r="Q62">
            <v>108300</v>
          </cell>
        </row>
        <row r="63">
          <cell r="A63" t="str">
            <v>Road</v>
          </cell>
          <cell r="B63" t="str">
            <v>AS19</v>
          </cell>
          <cell r="C63" t="str">
            <v>Contract</v>
          </cell>
          <cell r="D63" t="str">
            <v>Technical</v>
          </cell>
          <cell r="E63" t="str">
            <v>Junior Management</v>
          </cell>
          <cell r="G63">
            <v>108300</v>
          </cell>
          <cell r="H63">
            <v>108300</v>
          </cell>
          <cell r="I63">
            <v>108300</v>
          </cell>
          <cell r="J63">
            <v>108300</v>
          </cell>
          <cell r="K63">
            <v>108300</v>
          </cell>
          <cell r="L63">
            <v>108300</v>
          </cell>
          <cell r="M63">
            <v>108300</v>
          </cell>
          <cell r="N63">
            <v>108300</v>
          </cell>
          <cell r="O63">
            <v>108300</v>
          </cell>
          <cell r="P63">
            <v>108300</v>
          </cell>
          <cell r="Q63">
            <v>108300</v>
          </cell>
        </row>
        <row r="64">
          <cell r="A64" t="str">
            <v>Road</v>
          </cell>
          <cell r="B64" t="str">
            <v>AS19</v>
          </cell>
          <cell r="C64" t="str">
            <v>Contract</v>
          </cell>
          <cell r="D64" t="str">
            <v>Technical</v>
          </cell>
          <cell r="E64" t="str">
            <v>Management</v>
          </cell>
          <cell r="G64">
            <v>108300</v>
          </cell>
          <cell r="H64">
            <v>108300</v>
          </cell>
          <cell r="I64">
            <v>108300</v>
          </cell>
          <cell r="J64">
            <v>108300</v>
          </cell>
          <cell r="K64">
            <v>108300</v>
          </cell>
          <cell r="L64">
            <v>108300</v>
          </cell>
          <cell r="M64">
            <v>108300</v>
          </cell>
          <cell r="N64">
            <v>108300</v>
          </cell>
          <cell r="O64">
            <v>108300</v>
          </cell>
          <cell r="P64">
            <v>108300</v>
          </cell>
          <cell r="Q64">
            <v>108300</v>
          </cell>
        </row>
        <row r="65">
          <cell r="A65" t="str">
            <v>Road</v>
          </cell>
          <cell r="B65" t="str">
            <v>AS19</v>
          </cell>
          <cell r="C65" t="str">
            <v>Contract</v>
          </cell>
          <cell r="D65" t="str">
            <v>Technical</v>
          </cell>
          <cell r="E65" t="str">
            <v>General Management</v>
          </cell>
          <cell r="G65">
            <v>108300</v>
          </cell>
          <cell r="H65">
            <v>108300</v>
          </cell>
          <cell r="I65">
            <v>108300</v>
          </cell>
          <cell r="J65">
            <v>108300</v>
          </cell>
          <cell r="K65">
            <v>108300</v>
          </cell>
          <cell r="L65">
            <v>108300</v>
          </cell>
          <cell r="M65">
            <v>108300</v>
          </cell>
          <cell r="N65">
            <v>108300</v>
          </cell>
          <cell r="O65">
            <v>108300</v>
          </cell>
          <cell r="P65">
            <v>108300</v>
          </cell>
          <cell r="Q65">
            <v>108300</v>
          </cell>
        </row>
        <row r="66">
          <cell r="A66" t="str">
            <v>Road</v>
          </cell>
          <cell r="B66" t="str">
            <v>AS19</v>
          </cell>
          <cell r="C66" t="str">
            <v>Contract</v>
          </cell>
          <cell r="D66" t="str">
            <v>Technical</v>
          </cell>
          <cell r="E66" t="str">
            <v>Executive Management - 1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Road</v>
          </cell>
          <cell r="B67" t="str">
            <v>AS19</v>
          </cell>
          <cell r="C67" t="str">
            <v>Contract</v>
          </cell>
          <cell r="D67" t="str">
            <v>Technical</v>
          </cell>
          <cell r="E67" t="str">
            <v>Executive Management - 2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A68" t="str">
            <v>Road</v>
          </cell>
          <cell r="B68" t="str">
            <v>AS19</v>
          </cell>
          <cell r="C68" t="str">
            <v>Contract</v>
          </cell>
          <cell r="D68" t="str">
            <v>Technical</v>
          </cell>
          <cell r="E68" t="str">
            <v>Outsourced - Agencies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A69" t="str">
            <v>Road</v>
          </cell>
          <cell r="B69" t="str">
            <v>AS19</v>
          </cell>
          <cell r="C69" t="str">
            <v>Contract</v>
          </cell>
          <cell r="D69" t="str">
            <v>Non-Technical</v>
          </cell>
          <cell r="E69" t="str">
            <v>Staff</v>
          </cell>
          <cell r="G69">
            <v>108300</v>
          </cell>
          <cell r="H69">
            <v>108300</v>
          </cell>
          <cell r="I69">
            <v>108300</v>
          </cell>
          <cell r="J69">
            <v>108300</v>
          </cell>
          <cell r="K69">
            <v>108300</v>
          </cell>
          <cell r="L69">
            <v>108300</v>
          </cell>
          <cell r="M69">
            <v>108300</v>
          </cell>
          <cell r="N69">
            <v>108300</v>
          </cell>
          <cell r="O69">
            <v>108300</v>
          </cell>
          <cell r="P69">
            <v>108300</v>
          </cell>
          <cell r="Q69">
            <v>108300</v>
          </cell>
        </row>
        <row r="70">
          <cell r="A70" t="str">
            <v>Road</v>
          </cell>
          <cell r="B70" t="str">
            <v>AS19</v>
          </cell>
          <cell r="C70" t="str">
            <v>Contract</v>
          </cell>
          <cell r="D70" t="str">
            <v>Non-Technical</v>
          </cell>
          <cell r="E70" t="str">
            <v>Junior Management</v>
          </cell>
          <cell r="G70">
            <v>108300</v>
          </cell>
          <cell r="H70">
            <v>108300</v>
          </cell>
          <cell r="I70">
            <v>108300</v>
          </cell>
          <cell r="J70">
            <v>108300</v>
          </cell>
          <cell r="K70">
            <v>108300</v>
          </cell>
          <cell r="L70">
            <v>108300</v>
          </cell>
          <cell r="M70">
            <v>108300</v>
          </cell>
          <cell r="N70">
            <v>108300</v>
          </cell>
          <cell r="O70">
            <v>108300</v>
          </cell>
          <cell r="P70">
            <v>108300</v>
          </cell>
          <cell r="Q70">
            <v>108300</v>
          </cell>
        </row>
        <row r="71">
          <cell r="A71" t="str">
            <v>Road</v>
          </cell>
          <cell r="B71" t="str">
            <v>AS19</v>
          </cell>
          <cell r="C71" t="str">
            <v>Contract</v>
          </cell>
          <cell r="D71" t="str">
            <v>Non-Technical</v>
          </cell>
          <cell r="E71" t="str">
            <v>Management</v>
          </cell>
          <cell r="G71">
            <v>108300</v>
          </cell>
          <cell r="H71">
            <v>108300</v>
          </cell>
          <cell r="I71">
            <v>108300</v>
          </cell>
          <cell r="J71">
            <v>108300</v>
          </cell>
          <cell r="K71">
            <v>108300</v>
          </cell>
          <cell r="L71">
            <v>108300</v>
          </cell>
          <cell r="M71">
            <v>108300</v>
          </cell>
          <cell r="N71">
            <v>108300</v>
          </cell>
          <cell r="O71">
            <v>108300</v>
          </cell>
          <cell r="P71">
            <v>108300</v>
          </cell>
          <cell r="Q71">
            <v>108300</v>
          </cell>
        </row>
        <row r="72">
          <cell r="A72" t="str">
            <v>Road</v>
          </cell>
          <cell r="B72" t="str">
            <v>AS19</v>
          </cell>
          <cell r="C72" t="str">
            <v>Contract</v>
          </cell>
          <cell r="D72" t="str">
            <v>Non-Technical</v>
          </cell>
          <cell r="E72" t="str">
            <v>General Management</v>
          </cell>
          <cell r="G72">
            <v>108300</v>
          </cell>
          <cell r="H72">
            <v>108300</v>
          </cell>
          <cell r="I72">
            <v>108300</v>
          </cell>
          <cell r="J72">
            <v>108300</v>
          </cell>
          <cell r="K72">
            <v>108300</v>
          </cell>
          <cell r="L72">
            <v>108300</v>
          </cell>
          <cell r="M72">
            <v>108300</v>
          </cell>
          <cell r="N72">
            <v>108300</v>
          </cell>
          <cell r="O72">
            <v>108300</v>
          </cell>
          <cell r="P72">
            <v>108300</v>
          </cell>
          <cell r="Q72">
            <v>108300</v>
          </cell>
        </row>
        <row r="73">
          <cell r="A73" t="str">
            <v>Road</v>
          </cell>
          <cell r="B73" t="str">
            <v>AS19</v>
          </cell>
          <cell r="C73" t="str">
            <v>Contract</v>
          </cell>
          <cell r="D73" t="str">
            <v>Non-Technical</v>
          </cell>
          <cell r="E73" t="str">
            <v>Executive Management - 1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A74" t="str">
            <v>Road</v>
          </cell>
          <cell r="B74" t="str">
            <v>AS19</v>
          </cell>
          <cell r="C74" t="str">
            <v>Contract</v>
          </cell>
          <cell r="D74" t="str">
            <v>Non-Technical</v>
          </cell>
          <cell r="E74" t="str">
            <v>Executive Management - 2</v>
          </cell>
          <cell r="G74">
            <v>108300</v>
          </cell>
          <cell r="H74">
            <v>108300</v>
          </cell>
          <cell r="I74">
            <v>108300</v>
          </cell>
          <cell r="J74">
            <v>108300</v>
          </cell>
          <cell r="K74">
            <v>108300</v>
          </cell>
          <cell r="L74">
            <v>108300</v>
          </cell>
          <cell r="M74">
            <v>108300</v>
          </cell>
          <cell r="N74">
            <v>108300</v>
          </cell>
          <cell r="O74">
            <v>108300</v>
          </cell>
          <cell r="P74">
            <v>108300</v>
          </cell>
          <cell r="Q74">
            <v>108300</v>
          </cell>
        </row>
        <row r="75">
          <cell r="A75" t="str">
            <v>Road</v>
          </cell>
          <cell r="B75" t="str">
            <v>AS19</v>
          </cell>
          <cell r="C75" t="str">
            <v>Contract</v>
          </cell>
          <cell r="D75" t="str">
            <v>Non-Technical</v>
          </cell>
          <cell r="E75" t="str">
            <v>Outsourced - Agencies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A76" t="str">
            <v>Road</v>
          </cell>
          <cell r="B76" t="str">
            <v>AS19</v>
          </cell>
          <cell r="C76" t="str">
            <v>Trainees</v>
          </cell>
          <cell r="D76" t="str">
            <v>Technical</v>
          </cell>
          <cell r="E76" t="str">
            <v>GET's</v>
          </cell>
          <cell r="G76">
            <v>108300</v>
          </cell>
          <cell r="H76">
            <v>108300</v>
          </cell>
          <cell r="I76">
            <v>108300</v>
          </cell>
          <cell r="J76">
            <v>108300</v>
          </cell>
          <cell r="K76">
            <v>108300</v>
          </cell>
          <cell r="L76">
            <v>108300</v>
          </cell>
          <cell r="M76">
            <v>108300</v>
          </cell>
          <cell r="N76">
            <v>108300</v>
          </cell>
          <cell r="O76">
            <v>108300</v>
          </cell>
          <cell r="P76">
            <v>108300</v>
          </cell>
          <cell r="Q76">
            <v>108300</v>
          </cell>
        </row>
        <row r="77">
          <cell r="A77" t="str">
            <v>Road</v>
          </cell>
          <cell r="B77" t="str">
            <v>AS19</v>
          </cell>
          <cell r="C77" t="str">
            <v>Trainees</v>
          </cell>
          <cell r="D77" t="str">
            <v>Technical</v>
          </cell>
          <cell r="E77" t="str">
            <v>DET's</v>
          </cell>
          <cell r="G77">
            <v>108300</v>
          </cell>
          <cell r="H77">
            <v>108300</v>
          </cell>
          <cell r="I77">
            <v>108300</v>
          </cell>
          <cell r="J77">
            <v>108300</v>
          </cell>
          <cell r="K77">
            <v>108300</v>
          </cell>
          <cell r="L77">
            <v>108300</v>
          </cell>
          <cell r="M77">
            <v>108300</v>
          </cell>
          <cell r="N77">
            <v>108300</v>
          </cell>
          <cell r="O77">
            <v>108300</v>
          </cell>
          <cell r="P77">
            <v>108300</v>
          </cell>
          <cell r="Q77">
            <v>108300</v>
          </cell>
        </row>
        <row r="78">
          <cell r="A78" t="str">
            <v>Road</v>
          </cell>
          <cell r="B78" t="str">
            <v>AS19</v>
          </cell>
          <cell r="C78" t="str">
            <v>Trainees</v>
          </cell>
          <cell r="D78" t="str">
            <v>Non-Technical</v>
          </cell>
          <cell r="E78" t="str">
            <v>Commercial</v>
          </cell>
          <cell r="G78">
            <v>108300</v>
          </cell>
          <cell r="H78">
            <v>108300</v>
          </cell>
          <cell r="I78">
            <v>108300</v>
          </cell>
          <cell r="J78">
            <v>108300</v>
          </cell>
          <cell r="K78">
            <v>108300</v>
          </cell>
          <cell r="L78">
            <v>108300</v>
          </cell>
          <cell r="M78">
            <v>108300</v>
          </cell>
          <cell r="N78">
            <v>108300</v>
          </cell>
          <cell r="O78">
            <v>108300</v>
          </cell>
          <cell r="P78">
            <v>108300</v>
          </cell>
          <cell r="Q78">
            <v>108300</v>
          </cell>
        </row>
        <row r="79">
          <cell r="A79" t="str">
            <v>Road</v>
          </cell>
          <cell r="B79" t="str">
            <v>AS19</v>
          </cell>
          <cell r="C79" t="str">
            <v>Trainees</v>
          </cell>
          <cell r="D79" t="str">
            <v>Non-Technical</v>
          </cell>
          <cell r="E79" t="str">
            <v>Management Trainees</v>
          </cell>
          <cell r="G79">
            <v>108300</v>
          </cell>
          <cell r="H79">
            <v>108300</v>
          </cell>
          <cell r="I79">
            <v>108300</v>
          </cell>
          <cell r="J79">
            <v>108300</v>
          </cell>
          <cell r="K79">
            <v>108300</v>
          </cell>
          <cell r="L79">
            <v>108300</v>
          </cell>
          <cell r="M79">
            <v>108300</v>
          </cell>
          <cell r="N79">
            <v>108300</v>
          </cell>
          <cell r="O79">
            <v>108300</v>
          </cell>
          <cell r="P79">
            <v>108300</v>
          </cell>
          <cell r="Q79">
            <v>108300</v>
          </cell>
        </row>
        <row r="80">
          <cell r="A80" t="str">
            <v>Irrigation</v>
          </cell>
          <cell r="B80" t="str">
            <v>GNSS</v>
          </cell>
          <cell r="E80" t="str">
            <v>Associate Benefits &amp; Relocation Expenses</v>
          </cell>
          <cell r="G80">
            <v>760</v>
          </cell>
          <cell r="H80">
            <v>760</v>
          </cell>
          <cell r="I80">
            <v>760</v>
          </cell>
          <cell r="J80">
            <v>760</v>
          </cell>
          <cell r="K80">
            <v>760</v>
          </cell>
          <cell r="L80">
            <v>760</v>
          </cell>
          <cell r="M80">
            <v>760</v>
          </cell>
          <cell r="N80">
            <v>760</v>
          </cell>
          <cell r="O80">
            <v>760</v>
          </cell>
          <cell r="P80">
            <v>760</v>
          </cell>
          <cell r="Q80">
            <v>760</v>
          </cell>
        </row>
        <row r="81">
          <cell r="A81" t="str">
            <v>Irrigation</v>
          </cell>
          <cell r="B81" t="str">
            <v>GNSS</v>
          </cell>
          <cell r="E81" t="str">
            <v>Recruitment Expenses</v>
          </cell>
          <cell r="G81">
            <v>160</v>
          </cell>
          <cell r="H81">
            <v>160</v>
          </cell>
          <cell r="I81">
            <v>160</v>
          </cell>
          <cell r="J81">
            <v>160</v>
          </cell>
          <cell r="K81">
            <v>160</v>
          </cell>
          <cell r="L81">
            <v>160</v>
          </cell>
          <cell r="M81">
            <v>160</v>
          </cell>
          <cell r="N81">
            <v>160</v>
          </cell>
          <cell r="O81">
            <v>160</v>
          </cell>
          <cell r="P81">
            <v>160</v>
          </cell>
          <cell r="Q81">
            <v>160</v>
          </cell>
        </row>
        <row r="82">
          <cell r="A82" t="str">
            <v>Irrigation</v>
          </cell>
          <cell r="B82" t="str">
            <v>GNSS</v>
          </cell>
          <cell r="E82" t="str">
            <v>Training &amp; Development Expenses</v>
          </cell>
          <cell r="G82">
            <v>60</v>
          </cell>
          <cell r="H82">
            <v>60</v>
          </cell>
          <cell r="I82">
            <v>60</v>
          </cell>
          <cell r="J82">
            <v>60</v>
          </cell>
          <cell r="K82">
            <v>60</v>
          </cell>
          <cell r="L82">
            <v>60</v>
          </cell>
          <cell r="M82">
            <v>60</v>
          </cell>
          <cell r="N82">
            <v>60</v>
          </cell>
          <cell r="O82">
            <v>60</v>
          </cell>
          <cell r="P82">
            <v>60</v>
          </cell>
          <cell r="Q82">
            <v>60</v>
          </cell>
        </row>
        <row r="83">
          <cell r="A83" t="str">
            <v>Irrigation</v>
          </cell>
          <cell r="B83" t="str">
            <v>GNSS</v>
          </cell>
          <cell r="D83" t="str">
            <v xml:space="preserve">Technical </v>
          </cell>
          <cell r="E83" t="str">
            <v>Permanent</v>
          </cell>
          <cell r="G83">
            <v>120</v>
          </cell>
          <cell r="H83">
            <v>120</v>
          </cell>
          <cell r="I83">
            <v>120</v>
          </cell>
          <cell r="J83">
            <v>120</v>
          </cell>
          <cell r="K83">
            <v>120</v>
          </cell>
          <cell r="L83">
            <v>120</v>
          </cell>
          <cell r="M83">
            <v>120</v>
          </cell>
          <cell r="N83">
            <v>120</v>
          </cell>
          <cell r="O83">
            <v>120</v>
          </cell>
          <cell r="P83">
            <v>120</v>
          </cell>
          <cell r="Q83">
            <v>120</v>
          </cell>
        </row>
        <row r="84">
          <cell r="A84" t="str">
            <v>Irrigation</v>
          </cell>
          <cell r="B84" t="str">
            <v>GNSS</v>
          </cell>
          <cell r="D84" t="str">
            <v xml:space="preserve">Technical </v>
          </cell>
          <cell r="E84" t="str">
            <v>Contract</v>
          </cell>
          <cell r="G84">
            <v>80</v>
          </cell>
          <cell r="H84">
            <v>80</v>
          </cell>
          <cell r="I84">
            <v>80</v>
          </cell>
          <cell r="J84">
            <v>80</v>
          </cell>
          <cell r="K84">
            <v>80</v>
          </cell>
          <cell r="L84">
            <v>80</v>
          </cell>
          <cell r="M84">
            <v>80</v>
          </cell>
          <cell r="N84">
            <v>80</v>
          </cell>
          <cell r="O84">
            <v>80</v>
          </cell>
          <cell r="P84">
            <v>80</v>
          </cell>
          <cell r="Q84">
            <v>80</v>
          </cell>
        </row>
        <row r="85">
          <cell r="A85" t="str">
            <v>Irrigation</v>
          </cell>
          <cell r="B85" t="str">
            <v>GNSS</v>
          </cell>
          <cell r="D85" t="str">
            <v xml:space="preserve">Technical </v>
          </cell>
          <cell r="E85" t="str">
            <v>Trainees</v>
          </cell>
          <cell r="G85">
            <v>80</v>
          </cell>
          <cell r="H85">
            <v>80</v>
          </cell>
          <cell r="I85">
            <v>80</v>
          </cell>
          <cell r="J85">
            <v>80</v>
          </cell>
          <cell r="K85">
            <v>80</v>
          </cell>
          <cell r="L85">
            <v>80</v>
          </cell>
          <cell r="M85">
            <v>80</v>
          </cell>
          <cell r="N85">
            <v>80</v>
          </cell>
          <cell r="O85">
            <v>80</v>
          </cell>
          <cell r="P85">
            <v>80</v>
          </cell>
          <cell r="Q85">
            <v>80</v>
          </cell>
        </row>
        <row r="86">
          <cell r="A86" t="str">
            <v>Irrigation</v>
          </cell>
          <cell r="B86" t="str">
            <v>GNSS</v>
          </cell>
          <cell r="D86" t="str">
            <v>Non Technical</v>
          </cell>
          <cell r="E86" t="str">
            <v>Permanent</v>
          </cell>
          <cell r="G86">
            <v>120</v>
          </cell>
          <cell r="H86">
            <v>120</v>
          </cell>
          <cell r="I86">
            <v>120</v>
          </cell>
          <cell r="J86">
            <v>120</v>
          </cell>
          <cell r="K86">
            <v>120</v>
          </cell>
          <cell r="L86">
            <v>120</v>
          </cell>
          <cell r="M86">
            <v>120</v>
          </cell>
          <cell r="N86">
            <v>120</v>
          </cell>
          <cell r="O86">
            <v>120</v>
          </cell>
          <cell r="P86">
            <v>120</v>
          </cell>
          <cell r="Q86">
            <v>120</v>
          </cell>
        </row>
        <row r="87">
          <cell r="A87" t="str">
            <v>Irrigation</v>
          </cell>
          <cell r="B87" t="str">
            <v>GNSS</v>
          </cell>
          <cell r="D87" t="str">
            <v>Non Technical</v>
          </cell>
          <cell r="E87" t="str">
            <v>Contract</v>
          </cell>
          <cell r="G87">
            <v>80</v>
          </cell>
          <cell r="H87">
            <v>80</v>
          </cell>
          <cell r="I87">
            <v>80</v>
          </cell>
          <cell r="J87">
            <v>80</v>
          </cell>
          <cell r="K87">
            <v>80</v>
          </cell>
          <cell r="L87">
            <v>80</v>
          </cell>
          <cell r="M87">
            <v>80</v>
          </cell>
          <cell r="N87">
            <v>80</v>
          </cell>
          <cell r="O87">
            <v>80</v>
          </cell>
          <cell r="P87">
            <v>80</v>
          </cell>
          <cell r="Q87">
            <v>80</v>
          </cell>
        </row>
        <row r="88">
          <cell r="A88" t="str">
            <v>Irrigation</v>
          </cell>
          <cell r="B88" t="str">
            <v>GNSS</v>
          </cell>
          <cell r="D88" t="str">
            <v>Non Technical</v>
          </cell>
          <cell r="E88" t="str">
            <v>Trainees</v>
          </cell>
          <cell r="G88">
            <v>80</v>
          </cell>
          <cell r="H88">
            <v>80</v>
          </cell>
          <cell r="I88">
            <v>80</v>
          </cell>
          <cell r="J88">
            <v>80</v>
          </cell>
          <cell r="K88">
            <v>80</v>
          </cell>
          <cell r="L88">
            <v>80</v>
          </cell>
          <cell r="M88">
            <v>80</v>
          </cell>
          <cell r="N88">
            <v>80</v>
          </cell>
          <cell r="O88">
            <v>80</v>
          </cell>
          <cell r="P88">
            <v>80</v>
          </cell>
          <cell r="Q88">
            <v>80</v>
          </cell>
        </row>
        <row r="89">
          <cell r="A89" t="str">
            <v>Irrigation</v>
          </cell>
          <cell r="B89" t="str">
            <v>GNSS</v>
          </cell>
          <cell r="C89" t="str">
            <v>Permanent</v>
          </cell>
          <cell r="D89" t="str">
            <v>Technical</v>
          </cell>
          <cell r="E89" t="str">
            <v>Staff</v>
          </cell>
          <cell r="G89">
            <v>6840</v>
          </cell>
          <cell r="H89">
            <v>6840</v>
          </cell>
          <cell r="I89">
            <v>6840</v>
          </cell>
          <cell r="J89">
            <v>6840</v>
          </cell>
          <cell r="K89">
            <v>6840</v>
          </cell>
          <cell r="L89">
            <v>6840</v>
          </cell>
          <cell r="M89">
            <v>6840</v>
          </cell>
          <cell r="N89">
            <v>6840</v>
          </cell>
          <cell r="O89">
            <v>6840</v>
          </cell>
          <cell r="P89">
            <v>6840</v>
          </cell>
          <cell r="Q89">
            <v>6840</v>
          </cell>
        </row>
        <row r="90">
          <cell r="A90" t="str">
            <v>Irrigation</v>
          </cell>
          <cell r="B90" t="str">
            <v>GNSS</v>
          </cell>
          <cell r="C90" t="str">
            <v>Permanent</v>
          </cell>
          <cell r="D90" t="str">
            <v>Technical</v>
          </cell>
          <cell r="E90" t="str">
            <v>Junior Management</v>
          </cell>
          <cell r="G90">
            <v>6840</v>
          </cell>
          <cell r="H90">
            <v>6840</v>
          </cell>
          <cell r="I90">
            <v>6840</v>
          </cell>
          <cell r="J90">
            <v>6840</v>
          </cell>
          <cell r="K90">
            <v>6840</v>
          </cell>
          <cell r="L90">
            <v>6840</v>
          </cell>
          <cell r="M90">
            <v>6840</v>
          </cell>
          <cell r="N90">
            <v>6840</v>
          </cell>
          <cell r="O90">
            <v>6840</v>
          </cell>
          <cell r="P90">
            <v>6840</v>
          </cell>
          <cell r="Q90">
            <v>6840</v>
          </cell>
        </row>
        <row r="91">
          <cell r="A91" t="str">
            <v>Irrigation</v>
          </cell>
          <cell r="B91" t="str">
            <v>GNSS</v>
          </cell>
          <cell r="C91" t="str">
            <v>Permanent</v>
          </cell>
          <cell r="D91" t="str">
            <v>Technical</v>
          </cell>
          <cell r="E91" t="str">
            <v>Management</v>
          </cell>
          <cell r="G91">
            <v>6840</v>
          </cell>
          <cell r="H91">
            <v>6840</v>
          </cell>
          <cell r="I91">
            <v>6840</v>
          </cell>
          <cell r="J91">
            <v>6840</v>
          </cell>
          <cell r="K91">
            <v>6840</v>
          </cell>
          <cell r="L91">
            <v>6840</v>
          </cell>
          <cell r="M91">
            <v>6840</v>
          </cell>
          <cell r="N91">
            <v>6840</v>
          </cell>
          <cell r="O91">
            <v>6840</v>
          </cell>
          <cell r="P91">
            <v>6840</v>
          </cell>
          <cell r="Q91">
            <v>6840</v>
          </cell>
        </row>
        <row r="92">
          <cell r="A92" t="str">
            <v>Irrigation</v>
          </cell>
          <cell r="B92" t="str">
            <v>GNSS</v>
          </cell>
          <cell r="C92" t="str">
            <v>Permanent</v>
          </cell>
          <cell r="D92" t="str">
            <v>Technical</v>
          </cell>
          <cell r="E92" t="str">
            <v>General Management</v>
          </cell>
          <cell r="G92">
            <v>6840</v>
          </cell>
          <cell r="H92">
            <v>6840</v>
          </cell>
          <cell r="I92">
            <v>6840</v>
          </cell>
          <cell r="J92">
            <v>6840</v>
          </cell>
          <cell r="K92">
            <v>6840</v>
          </cell>
          <cell r="L92">
            <v>6840</v>
          </cell>
          <cell r="M92">
            <v>6840</v>
          </cell>
          <cell r="N92">
            <v>6840</v>
          </cell>
          <cell r="O92">
            <v>6840</v>
          </cell>
          <cell r="P92">
            <v>6840</v>
          </cell>
          <cell r="Q92">
            <v>6840</v>
          </cell>
        </row>
        <row r="93">
          <cell r="A93" t="str">
            <v>Irrigation</v>
          </cell>
          <cell r="B93" t="str">
            <v>GNSS</v>
          </cell>
          <cell r="C93" t="str">
            <v>Permanent</v>
          </cell>
          <cell r="D93" t="str">
            <v>Technical</v>
          </cell>
          <cell r="E93" t="str">
            <v>Executive Management - 1</v>
          </cell>
          <cell r="G93">
            <v>6840</v>
          </cell>
          <cell r="H93">
            <v>6840</v>
          </cell>
          <cell r="I93">
            <v>6840</v>
          </cell>
          <cell r="J93">
            <v>6840</v>
          </cell>
          <cell r="K93">
            <v>6840</v>
          </cell>
          <cell r="L93">
            <v>6840</v>
          </cell>
          <cell r="M93">
            <v>6840</v>
          </cell>
          <cell r="N93">
            <v>6840</v>
          </cell>
          <cell r="O93">
            <v>6840</v>
          </cell>
          <cell r="P93">
            <v>6840</v>
          </cell>
          <cell r="Q93">
            <v>6840</v>
          </cell>
        </row>
        <row r="94">
          <cell r="A94" t="str">
            <v>Irrigation</v>
          </cell>
          <cell r="B94" t="str">
            <v>GNSS</v>
          </cell>
          <cell r="C94" t="str">
            <v>Permanent</v>
          </cell>
          <cell r="D94" t="str">
            <v>Technical</v>
          </cell>
          <cell r="E94" t="str">
            <v>Executive Management - 2</v>
          </cell>
          <cell r="G94">
            <v>6840</v>
          </cell>
          <cell r="H94">
            <v>6840</v>
          </cell>
          <cell r="I94">
            <v>6840</v>
          </cell>
          <cell r="J94">
            <v>6840</v>
          </cell>
          <cell r="K94">
            <v>6840</v>
          </cell>
          <cell r="L94">
            <v>6840</v>
          </cell>
          <cell r="M94">
            <v>6840</v>
          </cell>
          <cell r="N94">
            <v>6840</v>
          </cell>
          <cell r="O94">
            <v>6840</v>
          </cell>
          <cell r="P94">
            <v>6840</v>
          </cell>
          <cell r="Q94">
            <v>6840</v>
          </cell>
        </row>
        <row r="95">
          <cell r="A95" t="str">
            <v>Irrigation</v>
          </cell>
          <cell r="B95" t="str">
            <v>GNSS</v>
          </cell>
          <cell r="C95" t="str">
            <v>Permanent</v>
          </cell>
          <cell r="D95" t="str">
            <v>Non-Technical</v>
          </cell>
          <cell r="E95" t="str">
            <v>Staff</v>
          </cell>
          <cell r="G95">
            <v>6840</v>
          </cell>
          <cell r="H95">
            <v>6840</v>
          </cell>
          <cell r="I95">
            <v>6840</v>
          </cell>
          <cell r="J95">
            <v>6840</v>
          </cell>
          <cell r="K95">
            <v>6840</v>
          </cell>
          <cell r="L95">
            <v>6840</v>
          </cell>
          <cell r="M95">
            <v>6840</v>
          </cell>
          <cell r="N95">
            <v>6840</v>
          </cell>
          <cell r="O95">
            <v>6840</v>
          </cell>
          <cell r="P95">
            <v>6840</v>
          </cell>
          <cell r="Q95">
            <v>6840</v>
          </cell>
        </row>
        <row r="96">
          <cell r="A96" t="str">
            <v>Irrigation</v>
          </cell>
          <cell r="B96" t="str">
            <v>GNSS</v>
          </cell>
          <cell r="C96" t="str">
            <v>Permanent</v>
          </cell>
          <cell r="D96" t="str">
            <v>Non-Technical</v>
          </cell>
          <cell r="E96" t="str">
            <v>Junior Management</v>
          </cell>
          <cell r="G96">
            <v>6840</v>
          </cell>
          <cell r="H96">
            <v>6840</v>
          </cell>
          <cell r="I96">
            <v>6840</v>
          </cell>
          <cell r="J96">
            <v>6840</v>
          </cell>
          <cell r="K96">
            <v>6840</v>
          </cell>
          <cell r="L96">
            <v>6840</v>
          </cell>
          <cell r="M96">
            <v>6840</v>
          </cell>
          <cell r="N96">
            <v>6840</v>
          </cell>
          <cell r="O96">
            <v>6840</v>
          </cell>
          <cell r="P96">
            <v>6840</v>
          </cell>
          <cell r="Q96">
            <v>6840</v>
          </cell>
        </row>
        <row r="97">
          <cell r="A97" t="str">
            <v>Irrigation</v>
          </cell>
          <cell r="B97" t="str">
            <v>GNSS</v>
          </cell>
          <cell r="C97" t="str">
            <v>Permanent</v>
          </cell>
          <cell r="D97" t="str">
            <v>Non-Technical</v>
          </cell>
          <cell r="E97" t="str">
            <v>Management</v>
          </cell>
          <cell r="G97">
            <v>6840</v>
          </cell>
          <cell r="H97">
            <v>6840</v>
          </cell>
          <cell r="I97">
            <v>6840</v>
          </cell>
          <cell r="J97">
            <v>6840</v>
          </cell>
          <cell r="K97">
            <v>6840</v>
          </cell>
          <cell r="L97">
            <v>6840</v>
          </cell>
          <cell r="M97">
            <v>6840</v>
          </cell>
          <cell r="N97">
            <v>6840</v>
          </cell>
          <cell r="O97">
            <v>6840</v>
          </cell>
          <cell r="P97">
            <v>6840</v>
          </cell>
          <cell r="Q97">
            <v>6840</v>
          </cell>
        </row>
        <row r="98">
          <cell r="A98" t="str">
            <v>Irrigation</v>
          </cell>
          <cell r="B98" t="str">
            <v>GNSS</v>
          </cell>
          <cell r="C98" t="str">
            <v>Permanent</v>
          </cell>
          <cell r="D98" t="str">
            <v>Non-Technical</v>
          </cell>
          <cell r="E98" t="str">
            <v>General Management</v>
          </cell>
          <cell r="G98">
            <v>6840</v>
          </cell>
          <cell r="H98">
            <v>6840</v>
          </cell>
          <cell r="I98">
            <v>6840</v>
          </cell>
          <cell r="J98">
            <v>6840</v>
          </cell>
          <cell r="K98">
            <v>6840</v>
          </cell>
          <cell r="L98">
            <v>6840</v>
          </cell>
          <cell r="M98">
            <v>6840</v>
          </cell>
          <cell r="N98">
            <v>6840</v>
          </cell>
          <cell r="O98">
            <v>6840</v>
          </cell>
          <cell r="P98">
            <v>6840</v>
          </cell>
          <cell r="Q98">
            <v>6840</v>
          </cell>
        </row>
        <row r="99">
          <cell r="A99" t="str">
            <v>Irrigation</v>
          </cell>
          <cell r="B99" t="str">
            <v>GNSS</v>
          </cell>
          <cell r="C99" t="str">
            <v>Permanent</v>
          </cell>
          <cell r="D99" t="str">
            <v>Non-Technical</v>
          </cell>
          <cell r="E99" t="str">
            <v>Executive Management - 1</v>
          </cell>
          <cell r="G99">
            <v>6840</v>
          </cell>
          <cell r="H99">
            <v>6840</v>
          </cell>
          <cell r="I99">
            <v>6840</v>
          </cell>
          <cell r="J99">
            <v>6840</v>
          </cell>
          <cell r="K99">
            <v>6840</v>
          </cell>
          <cell r="L99">
            <v>6840</v>
          </cell>
          <cell r="M99">
            <v>6840</v>
          </cell>
          <cell r="N99">
            <v>6840</v>
          </cell>
          <cell r="O99">
            <v>6840</v>
          </cell>
          <cell r="P99">
            <v>6840</v>
          </cell>
          <cell r="Q99">
            <v>6840</v>
          </cell>
        </row>
        <row r="100">
          <cell r="A100" t="str">
            <v>Irrigation</v>
          </cell>
          <cell r="B100" t="str">
            <v>GNSS</v>
          </cell>
          <cell r="C100" t="str">
            <v>Permanent</v>
          </cell>
          <cell r="D100" t="str">
            <v>Non-Technical</v>
          </cell>
          <cell r="E100" t="str">
            <v>Executive Management - 2</v>
          </cell>
          <cell r="G100">
            <v>6840</v>
          </cell>
          <cell r="H100">
            <v>6840</v>
          </cell>
          <cell r="I100">
            <v>6840</v>
          </cell>
          <cell r="J100">
            <v>6840</v>
          </cell>
          <cell r="K100">
            <v>6840</v>
          </cell>
          <cell r="L100">
            <v>6840</v>
          </cell>
          <cell r="M100">
            <v>6840</v>
          </cell>
          <cell r="N100">
            <v>6840</v>
          </cell>
          <cell r="O100">
            <v>6840</v>
          </cell>
          <cell r="P100">
            <v>6840</v>
          </cell>
          <cell r="Q100">
            <v>6840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-I (2)"/>
      <sheetName val="ANALY-BOQ"/>
      <sheetName val="ANALYS-LS"/>
      <sheetName val="BOQ"/>
      <sheetName val="PART-I"/>
      <sheetName val="I-11"/>
      <sheetName val="I-15"/>
      <sheetName val="sumps"/>
      <sheetName val="GATES(21,22)"/>
      <sheetName val="final abstract"/>
      <sheetName val="B &amp; C - M - ccp"/>
      <sheetName val="Fee Rate Summary"/>
      <sheetName val="Basement Budget"/>
      <sheetName val="RECAPITULATION"/>
      <sheetName val="Rate analysis"/>
      <sheetName val="Materials Cost"/>
      <sheetName val="Old"/>
      <sheetName val="RES STEEL TO"/>
      <sheetName val="10. &amp; 11. Rate Code &amp; BQ"/>
      <sheetName val="Main-Material"/>
      <sheetName val="Break up Sheet"/>
      <sheetName val="COLUMN"/>
      <sheetName val="SUmmary-RMZ"/>
      <sheetName val="RMZ Summary"/>
      <sheetName val="sept-plan"/>
      <sheetName val="Fin Sum"/>
      <sheetName val="Summary_Local"/>
      <sheetName val="Input"/>
      <sheetName val="Activity"/>
      <sheetName val="Crew"/>
      <sheetName val="Piping"/>
      <sheetName val="Pipe Supports"/>
      <sheetName val="S1BOQ"/>
      <sheetName val="2gii"/>
      <sheetName val="Manpower"/>
      <sheetName val="Field Values"/>
      <sheetName val="Fill this out first..."/>
      <sheetName val="Micro"/>
      <sheetName val="Macro"/>
      <sheetName val="Scaff-Rose"/>
      <sheetName val="CASHFLOWS"/>
      <sheetName val="SUMMARY"/>
      <sheetName val="Site Dev BOQ"/>
      <sheetName val="Staff Forecast spread"/>
      <sheetName val="A"/>
      <sheetName val="Sheet2"/>
      <sheetName val="dyes"/>
      <sheetName val="Sheet3"/>
      <sheetName val="UTILITY"/>
      <sheetName val="경비공통"/>
      <sheetName val="RA-markate"/>
      <sheetName val="Structure Bills Qty"/>
      <sheetName val="Builtup Area"/>
      <sheetName val="analysis"/>
      <sheetName val="Headings"/>
      <sheetName val="MASTER_RATE ANALYSIS"/>
      <sheetName val="cubes_M20"/>
      <sheetName val="Cop -VGN"/>
      <sheetName val="HPL"/>
      <sheetName val="월선수금"/>
      <sheetName val="Materials "/>
      <sheetName val="strand"/>
      <sheetName val="Costing"/>
      <sheetName val="BOQ_Direct_selling cost"/>
      <sheetName val="Stress Calculation"/>
      <sheetName val="VIWSCo1"/>
      <sheetName val="IO List"/>
      <sheetName val="MN T.B."/>
      <sheetName val="database"/>
      <sheetName val="Coalmine"/>
      <sheetName val="A1-Continuous"/>
      <sheetName val="Preside"/>
      <sheetName val="factor sheet"/>
      <sheetName val="RA"/>
      <sheetName val="Factor_Sheet"/>
      <sheetName val="Exp."/>
      <sheetName val="Factors"/>
      <sheetName val="INDIGINEOUS ITEMS "/>
      <sheetName val="starter"/>
      <sheetName val="BLK2"/>
      <sheetName val="BLK3"/>
      <sheetName val="E &amp; R"/>
      <sheetName val="radar"/>
      <sheetName val="UG"/>
      <sheetName val="Load Details(B1)"/>
      <sheetName val="Sheet1"/>
      <sheetName val="PART-I_(2)"/>
      <sheetName val="final_abstract"/>
      <sheetName val="TBAL9697 -group wise  sdpl"/>
      <sheetName val="Config"/>
      <sheetName val="Break Dw"/>
      <sheetName val="Design"/>
      <sheetName val="SPT vs PHI"/>
      <sheetName val="Civil Boq"/>
      <sheetName val="PA- Consutant "/>
      <sheetName val="Debits as on 12.04.08"/>
      <sheetName val="THK"/>
      <sheetName val="Data"/>
      <sheetName val="Lead"/>
      <sheetName val="Analy_7-10"/>
      <sheetName val="INDORAMA Group June 02"/>
      <sheetName val="FitOutConfCentre"/>
      <sheetName val="BOQ (2)"/>
      <sheetName val="GBW"/>
      <sheetName val="WBS01"/>
      <sheetName val="WBS10"/>
      <sheetName val="WBS11"/>
      <sheetName val="WBS12"/>
      <sheetName val="WBS13"/>
      <sheetName val="WBS14"/>
      <sheetName val="WBS15"/>
      <sheetName val="WBS16"/>
      <sheetName val="WBS17"/>
      <sheetName val="WBS18"/>
      <sheetName val="WBS19"/>
      <sheetName val="WBS02"/>
      <sheetName val="WBS20"/>
      <sheetName val="WBS03"/>
      <sheetName val="WBS04"/>
      <sheetName val="WBS05"/>
      <sheetName val="WBS06"/>
      <sheetName val="WBS07"/>
      <sheetName val="WBS08"/>
      <sheetName val="WBS09"/>
      <sheetName val="Approved MTD Proj #'s"/>
      <sheetName val="Build-up"/>
      <sheetName val="FORM7"/>
      <sheetName val="RCC,Ret. Wall"/>
      <sheetName val="RA 4 Challan Summary "/>
      <sheetName val="p&amp;m"/>
      <sheetName val="Labour productivity"/>
      <sheetName val="labour coeff"/>
      <sheetName val="COST"/>
      <sheetName val="Formulas"/>
      <sheetName val="MES-SEC"/>
      <sheetName val="beam-reinft-IIInd floor"/>
      <sheetName val="For Bill-04 PS"/>
      <sheetName val="VCH-SLC"/>
      <sheetName val="Supplier"/>
      <sheetName val="BS"/>
      <sheetName val="Capex"/>
      <sheetName val="Sheet3 (2)"/>
      <sheetName val="ORDER BOOKING"/>
      <sheetName val="col-reinft1"/>
      <sheetName val="Bed Class"/>
      <sheetName val="Cd"/>
      <sheetName val="대외공문"/>
      <sheetName val="INPUT-DATA1"/>
      <sheetName val="Desgn(zone I)"/>
      <sheetName val="M B-QtyRecn"/>
      <sheetName val="Rates"/>
      <sheetName val="PH data"/>
      <sheetName val="labour"/>
      <sheetName val="Details (3)"/>
      <sheetName val="Mat.Cost"/>
      <sheetName val="Quotation"/>
      <sheetName val="Sqn _Main_ Abs"/>
      <sheetName val="CABLE DATA"/>
      <sheetName val="gen"/>
      <sheetName val="Staff Acco."/>
      <sheetName val="Section Catalogue"/>
      <sheetName val="#REF!"/>
      <sheetName val="目录"/>
      <sheetName val="Basement_Budget"/>
      <sheetName val="Rate_analysis"/>
      <sheetName val="Fee_Rate_Summary"/>
      <sheetName val="Materials_Cost"/>
      <sheetName val="Break_up_Sheet"/>
      <sheetName val="RES_STEEL_TO"/>
      <sheetName val="10__&amp;_11__Rate_Code_&amp;_BQ"/>
      <sheetName val="B_&amp;_C_-_M_-_ccp"/>
      <sheetName val="RMZ_Summary"/>
      <sheetName val="Fin_Sum"/>
      <sheetName val="Fill_this_out_first___"/>
      <sheetName val="Site_Dev_BOQ"/>
      <sheetName val="Staff_Forecast_spread"/>
      <sheetName val="Field_Values"/>
      <sheetName val="INDORAMA_Group_June_02"/>
      <sheetName val="Pipe_Supports"/>
      <sheetName val="RCC,Ret__Wall"/>
      <sheetName val="RA_4_Challan_Summary_"/>
      <sheetName val="Labour_productivity"/>
      <sheetName val="labour_coeff"/>
      <sheetName val="PART-I_(2)1"/>
      <sheetName val="final_abstract1"/>
      <sheetName val="Fee_Rate_Summary1"/>
      <sheetName val="Basement_Budget1"/>
      <sheetName val="Rate_analysis1"/>
      <sheetName val="Materials_Cost1"/>
      <sheetName val="Break_up_Sheet1"/>
      <sheetName val="RES_STEEL_TO1"/>
      <sheetName val="10__&amp;_11__Rate_Code_&amp;_BQ1"/>
      <sheetName val="B_&amp;_C_-_M_-_ccp1"/>
      <sheetName val="RMZ_Summary1"/>
      <sheetName val="Fin_Sum1"/>
      <sheetName val="Fill_this_out_first___1"/>
      <sheetName val="Site_Dev_BOQ1"/>
      <sheetName val="Staff_Forecast_spread1"/>
      <sheetName val="Field_Values1"/>
      <sheetName val="INDORAMA_Group_June_021"/>
      <sheetName val="Pipe_Supports1"/>
      <sheetName val="RCC,Ret__Wall1"/>
      <sheetName val="RA_4_Challan_Summary_1"/>
      <sheetName val="Labour_productivity1"/>
      <sheetName val="labour_coeff1"/>
      <sheetName val="BOQ_Direct_selling_cost"/>
      <sheetName val="MASTER_RATE_ANALYSIS"/>
      <sheetName val="Stress_Calculation"/>
      <sheetName val="IO_List"/>
      <sheetName val="Structure_Bills_Qty"/>
      <sheetName val="Builtup_Area"/>
      <sheetName val="Cop_-VGN"/>
      <sheetName val="Materials_"/>
      <sheetName val="MN_T_B_"/>
      <sheetName val="Exp_"/>
      <sheetName val="INDIGINEOUS_ITEMS_"/>
      <sheetName val="E_&amp;_R"/>
      <sheetName val="Civil_Boq"/>
      <sheetName val="Lowside"/>
      <sheetName val="Measurements"/>
      <sheetName val="Table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GR.slab-reinft"/>
      <sheetName val="SCHEDULE"/>
      <sheetName val="lookup"/>
      <sheetName val="선수금"/>
      <sheetName val="jobhist"/>
      <sheetName val="Code"/>
      <sheetName val="Set"/>
      <sheetName val="Summary_Bank"/>
      <sheetName val="Staircase "/>
      <sheetName val="Voucher"/>
      <sheetName val="TBAL9697_-group_wise__sdpl"/>
      <sheetName val="Break_Dw"/>
      <sheetName val="Load_Details(B1)"/>
      <sheetName val="SPT_vs_PHI"/>
      <sheetName val="PA-_Consutant_"/>
      <sheetName val="Debits_as_on_12_04_08"/>
      <sheetName val="Desgn(zone_I)"/>
      <sheetName val="Bed_Class"/>
      <sheetName val="PART-I_(2)2"/>
      <sheetName val="final_abstract2"/>
      <sheetName val="Structure_Bills_Qty1"/>
      <sheetName val="Builtup_Area1"/>
      <sheetName val="MASTER_RATE_ANALYSIS1"/>
      <sheetName val="Cop_-VGN1"/>
      <sheetName val="Materials_1"/>
      <sheetName val="MN_T_B_1"/>
      <sheetName val="BOQ_Direct_selling_cost1"/>
      <sheetName val="Stress_Calculation1"/>
      <sheetName val="IO_List1"/>
      <sheetName val="E_&amp;_R1"/>
      <sheetName val="Exp_1"/>
      <sheetName val="INDIGINEOUS_ITEMS_1"/>
      <sheetName val="TBAL9697_-group_wise__sdpl1"/>
      <sheetName val="Break_Dw1"/>
      <sheetName val="Load_Details(B1)1"/>
      <sheetName val="SPT_vs_PHI1"/>
      <sheetName val="Civil_Boq1"/>
      <sheetName val="PA-_Consutant_1"/>
      <sheetName val="Debits_as_on_12_04_081"/>
      <sheetName val="Desgn(zone_I)1"/>
      <sheetName val="Bed_Class1"/>
      <sheetName val="PART-I_(2)3"/>
      <sheetName val="final_abstract3"/>
      <sheetName val="Fee_Rate_Summary2"/>
      <sheetName val="Basement_Budget2"/>
      <sheetName val="Rate_analysis2"/>
      <sheetName val="Materials_Cost2"/>
      <sheetName val="10__&amp;_11__Rate_Code_&amp;_BQ2"/>
      <sheetName val="Break_up_Sheet2"/>
      <sheetName val="B_&amp;_C_-_M_-_ccp2"/>
      <sheetName val="RES_STEEL_TO2"/>
      <sheetName val="RMZ_Summary2"/>
      <sheetName val="Pipe_Supports2"/>
      <sheetName val="Field_Values2"/>
      <sheetName val="Fin_Sum2"/>
      <sheetName val="Fill_this_out_first___2"/>
      <sheetName val="Site_Dev_BOQ2"/>
      <sheetName val="Staff_Forecast_spread2"/>
      <sheetName val="Structure_Bills_Qty2"/>
      <sheetName val="Builtup_Area2"/>
      <sheetName val="MASTER_RATE_ANALYSIS2"/>
      <sheetName val="Cop_-VGN2"/>
      <sheetName val="Materials_2"/>
      <sheetName val="MN_T_B_2"/>
      <sheetName val="BOQ_Direct_selling_cost2"/>
      <sheetName val="Stress_Calculation2"/>
      <sheetName val="IO_List2"/>
      <sheetName val="E_&amp;_R2"/>
      <sheetName val="factor_sheet1"/>
      <sheetName val="Exp_2"/>
      <sheetName val="INDIGINEOUS_ITEMS_2"/>
      <sheetName val="TBAL9697_-group_wise__sdpl2"/>
      <sheetName val="Break_Dw2"/>
      <sheetName val="Load_Details(B1)2"/>
      <sheetName val="SPT_vs_PHI2"/>
      <sheetName val="Civil_Boq2"/>
      <sheetName val="PA-_Consutant_2"/>
      <sheetName val="Debits_as_on_12_04_082"/>
      <sheetName val="INDORAMA_Group_June_022"/>
      <sheetName val="Desgn(zone_I)2"/>
      <sheetName val="Bed_Class2"/>
      <sheetName val="PART-I_(2)4"/>
      <sheetName val="final_abstract4"/>
      <sheetName val="Fee_Rate_Summary3"/>
      <sheetName val="Basement_Budget3"/>
      <sheetName val="Rate_analysis3"/>
      <sheetName val="Materials_Cost3"/>
      <sheetName val="10__&amp;_11__Rate_Code_&amp;_BQ3"/>
      <sheetName val="Break_up_Sheet3"/>
      <sheetName val="B_&amp;_C_-_M_-_ccp3"/>
      <sheetName val="RES_STEEL_TO3"/>
      <sheetName val="RMZ_Summary3"/>
      <sheetName val="Pipe_Supports3"/>
      <sheetName val="Field_Values3"/>
      <sheetName val="Fin_Sum3"/>
      <sheetName val="Fill_this_out_first___3"/>
      <sheetName val="Site_Dev_BOQ3"/>
      <sheetName val="Staff_Forecast_spread3"/>
      <sheetName val="Structure_Bills_Qty3"/>
      <sheetName val="Builtup_Area3"/>
      <sheetName val="MASTER_RATE_ANALYSIS3"/>
      <sheetName val="Cop_-VGN3"/>
      <sheetName val="Materials_3"/>
      <sheetName val="MN_T_B_3"/>
      <sheetName val="BOQ_Direct_selling_cost3"/>
      <sheetName val="Stress_Calculation3"/>
      <sheetName val="IO_List3"/>
      <sheetName val="E_&amp;_R3"/>
      <sheetName val="Exp_3"/>
      <sheetName val="INDIGINEOUS_ITEMS_3"/>
      <sheetName val="TBAL9697_-group_wise__sdpl3"/>
      <sheetName val="Break_Dw3"/>
      <sheetName val="Load_Details(B1)3"/>
      <sheetName val="SPT_vs_PHI3"/>
      <sheetName val="Civil_Boq3"/>
      <sheetName val="PA-_Consutant_3"/>
      <sheetName val="Debits_as_on_12_04_083"/>
      <sheetName val="INDORAMA_Group_June_023"/>
      <sheetName val="Desgn(zone_I)3"/>
      <sheetName val="Bed_Class3"/>
      <sheetName val="M_B-QtyRecn"/>
      <sheetName val="PART-I_(2)5"/>
      <sheetName val="final_abstract5"/>
      <sheetName val="Fee_Rate_Summary4"/>
      <sheetName val="Basement_Budget4"/>
      <sheetName val="Rate_analysis4"/>
      <sheetName val="Materials_Cost4"/>
      <sheetName val="10__&amp;_11__Rate_Code_&amp;_BQ4"/>
      <sheetName val="Break_up_Sheet4"/>
      <sheetName val="B_&amp;_C_-_M_-_ccp4"/>
      <sheetName val="RES_STEEL_TO4"/>
      <sheetName val="RMZ_Summary4"/>
      <sheetName val="Pipe_Supports4"/>
      <sheetName val="Field_Values4"/>
      <sheetName val="Fin_Sum4"/>
      <sheetName val="Fill_this_out_first___4"/>
      <sheetName val="Site_Dev_BOQ4"/>
      <sheetName val="Staff_Forecast_spread4"/>
      <sheetName val="Structure_Bills_Qty4"/>
      <sheetName val="Builtup_Area4"/>
      <sheetName val="MASTER_RATE_ANALYSIS4"/>
      <sheetName val="Cop_-VGN4"/>
      <sheetName val="Materials_4"/>
      <sheetName val="MN_T_B_4"/>
      <sheetName val="BOQ_Direct_selling_cost4"/>
      <sheetName val="Stress_Calculation4"/>
      <sheetName val="IO_List4"/>
      <sheetName val="E_&amp;_R4"/>
      <sheetName val="factor_sheet2"/>
      <sheetName val="Exp_4"/>
      <sheetName val="INDIGINEOUS_ITEMS_4"/>
      <sheetName val="TBAL9697_-group_wise__sdpl4"/>
      <sheetName val="Break_Dw4"/>
      <sheetName val="Load_Details(B1)4"/>
      <sheetName val="SPT_vs_PHI4"/>
      <sheetName val="Civil_Boq4"/>
      <sheetName val="PA-_Consutant_4"/>
      <sheetName val="Debits_as_on_12_04_084"/>
      <sheetName val="INDORAMA_Group_June_024"/>
      <sheetName val="Desgn(zone_I)4"/>
      <sheetName val="Bed_Class4"/>
      <sheetName val="M_B-QtyRecn1"/>
      <sheetName val="Interior"/>
      <sheetName val="parametry"/>
      <sheetName val="VARIABLE"/>
      <sheetName val="det_est"/>
      <sheetName val="#REF"/>
      <sheetName val="Aseet1998"/>
      <sheetName val="PACK (B)"/>
      <sheetName val="M-Book for Conc"/>
      <sheetName val="M-Book for FW"/>
      <sheetName val="Delhi"/>
      <sheetName val="Project Budget Worksheet"/>
      <sheetName val="Pr.-hist."/>
      <sheetName val="협조전"/>
      <sheetName val="RES-PLANNING"/>
      <sheetName val="INPUT SHEET"/>
      <sheetName val="Rates-May-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"/>
      <sheetName val="PL"/>
      <sheetName val="CF"/>
      <sheetName val="BS"/>
      <sheetName val="FA"/>
      <sheetName val="CuLiab"/>
      <sheetName val="Capex"/>
      <sheetName val="Revenues"/>
      <sheetName val="OPEX"/>
      <sheetName val="TSG_"/>
      <sheetName val="Consolidation"/>
      <sheetName val="Update"/>
      <sheetName val="MacroEco"/>
      <sheetName val="Ratios"/>
      <sheetName val="Interest"/>
      <sheetName val="Contr_Serv"/>
      <sheetName val="CuA"/>
      <sheetName val="Loans"/>
      <sheetName val="Provisions"/>
      <sheetName val="IOL"/>
      <sheetName val="Switch"/>
      <sheetName val="Trans"/>
      <sheetName val="Access"/>
      <sheetName val="Build"/>
      <sheetName val="Data"/>
      <sheetName val="Indiv"/>
      <sheetName val="OSS_HW"/>
      <sheetName val="IT_HW_"/>
      <sheetName val="IT_SW_ "/>
      <sheetName val="OSS_SW"/>
      <sheetName val="Depr"/>
      <sheetName val="Income Tax"/>
      <sheetName val="TaxDepr"/>
      <sheetName val="IntUpd"/>
      <sheetName val="Staff"/>
      <sheetName val="MTL"/>
      <sheetName val="COS"/>
      <sheetName val=" OP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D6">
            <v>1453444</v>
          </cell>
          <cell r="E6">
            <v>1453053</v>
          </cell>
          <cell r="F6">
            <v>1089393</v>
          </cell>
          <cell r="G6">
            <v>704113</v>
          </cell>
          <cell r="H6">
            <v>763210</v>
          </cell>
          <cell r="I6">
            <v>365689.58109559619</v>
          </cell>
          <cell r="J6">
            <v>299809.12863070541</v>
          </cell>
          <cell r="K6">
            <v>218563.2183908046</v>
          </cell>
          <cell r="L6">
            <v>216830.18867924527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connect cost"/>
      <sheetName val="Rev summary"/>
      <sheetName val="P&amp;L Summary"/>
      <sheetName val="P&amp;L"/>
      <sheetName val="Line revenue"/>
      <sheetName val="PSTN (Cust)"/>
      <sheetName val="ISDN (Cust)"/>
      <sheetName val="Call revenue (Total)"/>
      <sheetName val="Call revenue (Res)"/>
      <sheetName val="Call revenue (Bus)"/>
      <sheetName val="Call revenue (Seg1)"/>
      <sheetName val="Call revenue (Seg)"/>
      <sheetName val="Subscription"/>
      <sheetName val="Connection"/>
      <sheetName val="Internet and data"/>
      <sheetName val="Interconnect rev"/>
      <sheetName val="Value Add + Other"/>
      <sheetName val="Leased circuits"/>
      <sheetName val="Equipment"/>
      <sheetName val="Other"/>
      <sheetName val="Equip"/>
      <sheetName val="Commission"/>
      <sheetName val="Op costs"/>
      <sheetName val="Materials"/>
      <sheetName val="R&amp;M"/>
      <sheetName val="M&amp;S"/>
      <sheetName val="Lease"/>
      <sheetName val="Consultancy"/>
      <sheetName val="Other op"/>
      <sheetName val="Employees"/>
      <sheetName val="Key Obs"/>
    </sheetNames>
    <sheetDataSet>
      <sheetData sheetId="0" refreshError="1"/>
      <sheetData sheetId="1" refreshError="1">
        <row r="3">
          <cell r="A3" t="str">
            <v>Revenue summary</v>
          </cell>
        </row>
        <row r="4">
          <cell r="B4" t="str">
            <v>Actual</v>
          </cell>
          <cell r="E4" t="str">
            <v>Projected</v>
          </cell>
        </row>
        <row r="5">
          <cell r="B5">
            <v>2002</v>
          </cell>
          <cell r="C5">
            <v>2003</v>
          </cell>
          <cell r="D5">
            <v>2004</v>
          </cell>
          <cell r="E5">
            <v>2005</v>
          </cell>
          <cell r="F5">
            <v>2006</v>
          </cell>
          <cell r="G5">
            <v>2007</v>
          </cell>
          <cell r="H5">
            <v>2008</v>
          </cell>
          <cell r="I5">
            <v>2009</v>
          </cell>
        </row>
        <row r="6">
          <cell r="A6" t="str">
            <v>Revenue (CZKm)</v>
          </cell>
        </row>
        <row r="7">
          <cell r="A7" t="str">
            <v>Call revenue</v>
          </cell>
          <cell r="B7">
            <v>16846</v>
          </cell>
          <cell r="C7">
            <v>13355</v>
          </cell>
          <cell r="D7">
            <v>9995</v>
          </cell>
          <cell r="E7">
            <v>7615</v>
          </cell>
          <cell r="F7">
            <v>6277</v>
          </cell>
          <cell r="G7">
            <v>5634</v>
          </cell>
          <cell r="H7">
            <v>5138</v>
          </cell>
          <cell r="I7">
            <v>4731</v>
          </cell>
        </row>
        <row r="8">
          <cell r="A8" t="str">
            <v>Subscription</v>
          </cell>
          <cell r="B8">
            <v>11801</v>
          </cell>
          <cell r="C8">
            <v>12187</v>
          </cell>
          <cell r="D8">
            <v>11835</v>
          </cell>
          <cell r="E8">
            <v>11152</v>
          </cell>
          <cell r="F8">
            <v>10540</v>
          </cell>
          <cell r="G8">
            <v>10059</v>
          </cell>
          <cell r="H8">
            <v>9708</v>
          </cell>
          <cell r="I8">
            <v>9464</v>
          </cell>
        </row>
        <row r="9">
          <cell r="B9">
            <v>28647</v>
          </cell>
          <cell r="C9">
            <v>25542</v>
          </cell>
          <cell r="D9">
            <v>21830</v>
          </cell>
        </row>
        <row r="10">
          <cell r="A10" t="str">
            <v>Connection</v>
          </cell>
          <cell r="B10">
            <v>317</v>
          </cell>
          <cell r="C10">
            <v>296</v>
          </cell>
          <cell r="D10">
            <v>204</v>
          </cell>
          <cell r="E10">
            <v>118</v>
          </cell>
          <cell r="F10">
            <v>97</v>
          </cell>
          <cell r="G10">
            <v>89</v>
          </cell>
          <cell r="H10">
            <v>81</v>
          </cell>
          <cell r="I10">
            <v>76</v>
          </cell>
        </row>
        <row r="11">
          <cell r="A11" t="str">
            <v>Internet and data</v>
          </cell>
          <cell r="B11">
            <v>1771</v>
          </cell>
          <cell r="C11">
            <v>2301</v>
          </cell>
          <cell r="D11">
            <v>2705</v>
          </cell>
          <cell r="E11">
            <v>4222</v>
          </cell>
          <cell r="F11">
            <v>5945</v>
          </cell>
          <cell r="G11">
            <v>7013</v>
          </cell>
          <cell r="H11">
            <v>7620</v>
          </cell>
          <cell r="I11">
            <v>7793</v>
          </cell>
        </row>
        <row r="12">
          <cell r="A12" t="str">
            <v>VAS and Other</v>
          </cell>
          <cell r="B12">
            <v>1035</v>
          </cell>
          <cell r="C12">
            <v>1000</v>
          </cell>
          <cell r="D12">
            <v>971</v>
          </cell>
          <cell r="E12">
            <v>861</v>
          </cell>
          <cell r="F12">
            <v>900</v>
          </cell>
          <cell r="G12">
            <v>958</v>
          </cell>
          <cell r="H12">
            <v>1019</v>
          </cell>
          <cell r="I12">
            <v>1076</v>
          </cell>
        </row>
        <row r="13">
          <cell r="A13" t="str">
            <v>Internconnect</v>
          </cell>
          <cell r="B13">
            <v>2593</v>
          </cell>
          <cell r="C13">
            <v>3137</v>
          </cell>
          <cell r="D13">
            <v>3825</v>
          </cell>
          <cell r="E13">
            <v>3982</v>
          </cell>
          <cell r="F13">
            <v>3768</v>
          </cell>
          <cell r="G13">
            <v>3686</v>
          </cell>
          <cell r="H13">
            <v>3592</v>
          </cell>
          <cell r="I13">
            <v>3527</v>
          </cell>
        </row>
        <row r="14">
          <cell r="A14" t="str">
            <v>Leased circuits</v>
          </cell>
          <cell r="B14">
            <v>2680</v>
          </cell>
          <cell r="C14">
            <v>2725</v>
          </cell>
          <cell r="D14">
            <v>2787</v>
          </cell>
          <cell r="E14">
            <v>2706</v>
          </cell>
          <cell r="F14">
            <v>2605</v>
          </cell>
          <cell r="G14">
            <v>2440</v>
          </cell>
          <cell r="H14">
            <v>2298</v>
          </cell>
          <cell r="I14">
            <v>2164</v>
          </cell>
        </row>
        <row r="15">
          <cell r="A15" t="str">
            <v>Equipment</v>
          </cell>
          <cell r="B15">
            <v>514</v>
          </cell>
          <cell r="C15">
            <v>301</v>
          </cell>
          <cell r="D15">
            <v>370</v>
          </cell>
          <cell r="E15">
            <v>477</v>
          </cell>
          <cell r="F15">
            <v>482</v>
          </cell>
          <cell r="G15">
            <v>487</v>
          </cell>
          <cell r="H15">
            <v>491</v>
          </cell>
          <cell r="I15">
            <v>496</v>
          </cell>
        </row>
        <row r="16">
          <cell r="A16" t="str">
            <v>Other</v>
          </cell>
          <cell r="B16">
            <v>1623</v>
          </cell>
          <cell r="C16">
            <v>1246</v>
          </cell>
          <cell r="D16">
            <v>1576</v>
          </cell>
          <cell r="E16">
            <v>961</v>
          </cell>
          <cell r="F16">
            <v>864</v>
          </cell>
          <cell r="G16">
            <v>1011</v>
          </cell>
          <cell r="H16">
            <v>1153</v>
          </cell>
          <cell r="I16">
            <v>1377</v>
          </cell>
        </row>
        <row r="17">
          <cell r="A17" t="str">
            <v>Total revenue</v>
          </cell>
          <cell r="B17">
            <v>39180</v>
          </cell>
          <cell r="C17">
            <v>36548</v>
          </cell>
          <cell r="D17">
            <v>34268</v>
          </cell>
          <cell r="E17">
            <v>13209</v>
          </cell>
          <cell r="F17">
            <v>14564</v>
          </cell>
          <cell r="G17">
            <v>15595</v>
          </cell>
          <cell r="H17">
            <v>16173</v>
          </cell>
          <cell r="I17">
            <v>16433</v>
          </cell>
        </row>
        <row r="18">
          <cell r="A18" t="str">
            <v>% growth</v>
          </cell>
          <cell r="C18">
            <v>-6.7177131189382289E-2</v>
          </cell>
          <cell r="D18">
            <v>-6.2383714567144533E-2</v>
          </cell>
          <cell r="E18">
            <v>-0.61453834481148595</v>
          </cell>
          <cell r="F18">
            <v>0.10258157316980854</v>
          </cell>
          <cell r="G18">
            <v>7.0790991485855548E-2</v>
          </cell>
          <cell r="H18">
            <v>3.7063161269637712E-2</v>
          </cell>
          <cell r="I18">
            <v>1.6076176343288173E-2</v>
          </cell>
        </row>
        <row r="19">
          <cell r="A19" t="str">
            <v>KPI's</v>
          </cell>
        </row>
        <row r="20">
          <cell r="A20" t="str">
            <v>Lines ('000)</v>
          </cell>
          <cell r="B20">
            <v>3418</v>
          </cell>
          <cell r="C20">
            <v>3291</v>
          </cell>
          <cell r="D20">
            <v>3065.2</v>
          </cell>
        </row>
        <row r="21">
          <cell r="A21" t="str">
            <v>Total minutes (m CZK)</v>
          </cell>
          <cell r="B21">
            <v>12023</v>
          </cell>
          <cell r="C21">
            <v>11213</v>
          </cell>
          <cell r="D21">
            <v>9193</v>
          </cell>
        </row>
        <row r="22">
          <cell r="A22" t="str">
            <v>Total call revenue and subscriptions per line (CZK)</v>
          </cell>
          <cell r="B22">
            <v>8381.2170860152128</v>
          </cell>
          <cell r="C22">
            <v>7761.1668185961717</v>
          </cell>
          <cell r="D22">
            <v>7121.8843794858412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</row>
        <row r="23">
          <cell r="A23" t="str">
            <v>Total call revenue and subscriptions per minute (CZK)</v>
          </cell>
          <cell r="B23">
            <v>2.3826831905514432</v>
          </cell>
          <cell r="C23">
            <v>2.2778917328101311</v>
          </cell>
          <cell r="D23">
            <v>2.374632872838029</v>
          </cell>
        </row>
        <row r="26">
          <cell r="A26" t="str">
            <v>Call revenue and subscriptions split</v>
          </cell>
        </row>
        <row r="27">
          <cell r="B27" t="str">
            <v>Actual</v>
          </cell>
          <cell r="E27" t="str">
            <v>Projected</v>
          </cell>
        </row>
        <row r="28">
          <cell r="B28">
            <v>2002</v>
          </cell>
          <cell r="C28">
            <v>2003</v>
          </cell>
          <cell r="D28">
            <v>2004</v>
          </cell>
          <cell r="E28">
            <v>2005</v>
          </cell>
          <cell r="F28">
            <v>2006</v>
          </cell>
          <cell r="G28">
            <v>2007</v>
          </cell>
          <cell r="H28">
            <v>2008</v>
          </cell>
          <cell r="I28">
            <v>2009</v>
          </cell>
        </row>
        <row r="29">
          <cell r="A29" t="str">
            <v>Voice + Dial up service</v>
          </cell>
        </row>
        <row r="30">
          <cell r="A30" t="str">
            <v>PSTN</v>
          </cell>
          <cell r="B30">
            <v>23872</v>
          </cell>
          <cell r="C30">
            <v>20294</v>
          </cell>
          <cell r="D30">
            <v>17049</v>
          </cell>
          <cell r="E30">
            <v>14776</v>
          </cell>
          <cell r="F30">
            <v>13213</v>
          </cell>
          <cell r="G30">
            <v>12236</v>
          </cell>
          <cell r="H30">
            <v>11525</v>
          </cell>
          <cell r="I30">
            <v>11015</v>
          </cell>
        </row>
        <row r="31">
          <cell r="A31" t="str">
            <v>ISDN</v>
          </cell>
          <cell r="B31">
            <v>4508</v>
          </cell>
          <cell r="C31">
            <v>5073</v>
          </cell>
          <cell r="D31">
            <v>4582</v>
          </cell>
          <cell r="E31">
            <v>3716</v>
          </cell>
          <cell r="F31">
            <v>3328</v>
          </cell>
          <cell r="G31">
            <v>3187</v>
          </cell>
          <cell r="H31">
            <v>3053</v>
          </cell>
          <cell r="I31">
            <v>2918</v>
          </cell>
        </row>
        <row r="32">
          <cell r="A32" t="str">
            <v>Other</v>
          </cell>
          <cell r="B32">
            <v>584</v>
          </cell>
          <cell r="C32">
            <v>471</v>
          </cell>
          <cell r="D32">
            <v>403</v>
          </cell>
          <cell r="E32">
            <v>393</v>
          </cell>
          <cell r="F32">
            <v>373</v>
          </cell>
          <cell r="G32">
            <v>359</v>
          </cell>
          <cell r="H32">
            <v>349</v>
          </cell>
          <cell r="I32">
            <v>338</v>
          </cell>
        </row>
        <row r="33">
          <cell r="A33" t="str">
            <v>Total call revenue and subscriptions</v>
          </cell>
          <cell r="B33">
            <v>28964</v>
          </cell>
          <cell r="C33">
            <v>25838</v>
          </cell>
          <cell r="D33">
            <v>22034</v>
          </cell>
          <cell r="E33">
            <v>18885</v>
          </cell>
          <cell r="F33">
            <v>16914</v>
          </cell>
          <cell r="G33">
            <v>15782</v>
          </cell>
          <cell r="H33">
            <v>14927</v>
          </cell>
          <cell r="I33">
            <v>14271</v>
          </cell>
        </row>
        <row r="34">
          <cell r="A34" t="str">
            <v>% growth</v>
          </cell>
          <cell r="C34">
            <v>-0.10792708189476596</v>
          </cell>
          <cell r="D34">
            <v>-0.14722501741620864</v>
          </cell>
          <cell r="E34">
            <v>-0.14291549423618044</v>
          </cell>
          <cell r="F34">
            <v>-0.1043685464654488</v>
          </cell>
          <cell r="G34">
            <v>-6.6926806196050626E-2</v>
          </cell>
          <cell r="H34">
            <v>-5.4175643137751917E-2</v>
          </cell>
          <cell r="I34">
            <v>-4.3947209754136796E-2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ář jm. sez. Přípravy"/>
      <sheetName val="Krycí list"/>
      <sheetName val="Sumár jm. sez. Príprav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ář jm. sez. Přípravy"/>
      <sheetName val="Krycí list"/>
      <sheetName val="Sumár jm. sez. Príprav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 (Telecorp)"/>
      <sheetName val="Assumptions"/>
      <sheetName val="Model (Lehman)"/>
      <sheetName val="Assumptions 2"/>
      <sheetName val="Full Model"/>
      <sheetName val="DCF"/>
      <sheetName val="DCF-5 year"/>
      <sheetName val="DCF-3 ye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storical"/>
      <sheetName val="DATA"/>
      <sheetName val="ProSum"/>
      <sheetName val="Sum"/>
      <sheetName val="Rev"/>
      <sheetName val="Exp"/>
      <sheetName val="Phones"/>
      <sheetName val="Capex"/>
      <sheetName val="Zblank14 - Financing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nancials"/>
      <sheetName val="Client Base"/>
      <sheetName val="EVSales"/>
      <sheetName val="EVEBIT"/>
      <sheetName val="PE"/>
      <sheetName val="PEG"/>
      <sheetName val="Margin"/>
      <sheetName val="Valuatio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G2" t="str">
            <v>USD</v>
          </cell>
        </row>
        <row r="10">
          <cell r="C10" t="str">
            <v>($ in millions, except per share data)</v>
          </cell>
        </row>
        <row r="29">
          <cell r="G29">
            <v>13409.814285396371</v>
          </cell>
          <cell r="J29">
            <v>13552.687493896372</v>
          </cell>
        </row>
        <row r="30">
          <cell r="G30">
            <v>7444.5765568999441</v>
          </cell>
          <cell r="J30">
            <v>7254.5428127956829</v>
          </cell>
        </row>
        <row r="31">
          <cell r="G31">
            <v>11890.562565263413</v>
          </cell>
          <cell r="J31">
            <v>11853.699234803413</v>
          </cell>
        </row>
        <row r="36">
          <cell r="E36">
            <v>6.4646624999999993</v>
          </cell>
          <cell r="G36">
            <v>2887.1326620212576</v>
          </cell>
          <cell r="J36">
            <v>3128.3655054212572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Warnings"/>
      <sheetName val="Output"/>
      <sheetName val="IS and BS Standard Inputs"/>
      <sheetName val="Equity Research"/>
      <sheetName val="Automatic Updates"/>
      <sheetName val="Update Macro"/>
      <sheetName val="Multi-ID Lookup"/>
      <sheetName val="Industry-Specific Inputs"/>
      <sheetName val="FX"/>
      <sheetName val="CGI Group"/>
      <sheetName val="Affiliated"/>
      <sheetName val="Computer Science"/>
      <sheetName val="EDS"/>
      <sheetName val="Exult"/>
      <sheetName val="IBM"/>
      <sheetName val="Perot Systems"/>
      <sheetName val="Unisys"/>
      <sheetName val="Anteon"/>
      <sheetName val="CACI"/>
      <sheetName val="Dynamics Research"/>
      <sheetName val="ManTech"/>
      <sheetName val="Maximus"/>
      <sheetName val="PEC Solutions"/>
      <sheetName val="SRA International"/>
      <sheetName val="Tier Technologies"/>
      <sheetName val="Titan Corp"/>
      <sheetName val="Accenture"/>
      <sheetName val="American Mgmt"/>
      <sheetName val="BearingPoint"/>
      <sheetName val="Cognizant"/>
      <sheetName val="Keane"/>
      <sheetName val="Syntel"/>
      <sheetName val="HCL"/>
      <sheetName val="Infosys(ADR)"/>
      <sheetName val="Infosys"/>
      <sheetName val="Satyam"/>
      <sheetName val="Satyam (ADR)"/>
      <sheetName val="Wipro"/>
      <sheetName val="Wipro (AD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">
          <cell r="B5" t="str">
            <v>USD</v>
          </cell>
          <cell r="C5">
            <v>1</v>
          </cell>
        </row>
        <row r="6">
          <cell r="B6" t="str">
            <v>EUR</v>
          </cell>
          <cell r="C6">
            <v>0.74789281200218394</v>
          </cell>
        </row>
        <row r="7">
          <cell r="B7" t="str">
            <v>CAD</v>
          </cell>
          <cell r="C7">
            <v>1.1988251513516754</v>
          </cell>
        </row>
        <row r="8">
          <cell r="B8" t="str">
            <v>GBP</v>
          </cell>
          <cell r="C8">
            <v>0.51619830273998057</v>
          </cell>
        </row>
        <row r="9">
          <cell r="B9" t="str">
            <v>JPY</v>
          </cell>
          <cell r="C9">
            <v>102.51573616550139</v>
          </cell>
        </row>
        <row r="10">
          <cell r="B10" t="str">
            <v>CHF</v>
          </cell>
          <cell r="C10">
            <v>1.1413961557777472</v>
          </cell>
        </row>
        <row r="11">
          <cell r="B11" t="str">
            <v>DZD</v>
          </cell>
          <cell r="C11">
            <v>72.348430039068163</v>
          </cell>
        </row>
        <row r="12">
          <cell r="B12" t="str">
            <v>ARS</v>
          </cell>
          <cell r="C12">
            <v>2.973800814821423</v>
          </cell>
        </row>
        <row r="13">
          <cell r="B13" t="str">
            <v>AUD</v>
          </cell>
          <cell r="C13">
            <v>1.288244766505636</v>
          </cell>
        </row>
        <row r="14">
          <cell r="B14" t="str">
            <v>BBD</v>
          </cell>
          <cell r="C14">
            <v>2</v>
          </cell>
        </row>
        <row r="15">
          <cell r="B15" t="str">
            <v>BRL</v>
          </cell>
          <cell r="C15">
            <v>2.7015636650493309</v>
          </cell>
        </row>
        <row r="16">
          <cell r="B16" t="str">
            <v>CLP</v>
          </cell>
          <cell r="C16">
            <v>581.25341486381228</v>
          </cell>
        </row>
        <row r="17">
          <cell r="B17" t="str">
            <v>CNY</v>
          </cell>
          <cell r="C17">
            <v>8.2766383605634744</v>
          </cell>
        </row>
        <row r="18">
          <cell r="B18" t="str">
            <v>CYP</v>
          </cell>
          <cell r="C18">
            <v>0.43334691153656146</v>
          </cell>
        </row>
        <row r="19">
          <cell r="B19" t="str">
            <v>CZK</v>
          </cell>
          <cell r="C19">
            <v>23.02645970484684</v>
          </cell>
        </row>
        <row r="20">
          <cell r="B20" t="str">
            <v>DKK</v>
          </cell>
          <cell r="C20">
            <v>5.5569139122896702</v>
          </cell>
        </row>
        <row r="21">
          <cell r="B21" t="str">
            <v>XCD</v>
          </cell>
          <cell r="C21">
            <v>2.7000172801105928</v>
          </cell>
        </row>
        <row r="22">
          <cell r="B22" t="str">
            <v>EGP</v>
          </cell>
          <cell r="C22">
            <v>6.2400159744408938</v>
          </cell>
        </row>
        <row r="23">
          <cell r="B23" t="str">
            <v>HKD</v>
          </cell>
          <cell r="C23">
            <v>7.7727859219301392</v>
          </cell>
        </row>
        <row r="24">
          <cell r="B24" t="str">
            <v>HUF</v>
          </cell>
          <cell r="C24">
            <v>182.77191892237676</v>
          </cell>
        </row>
        <row r="25">
          <cell r="B25" t="str">
            <v>ISK</v>
          </cell>
          <cell r="C25">
            <v>62.570391690651988</v>
          </cell>
        </row>
        <row r="26">
          <cell r="B26" t="str">
            <v>INR</v>
          </cell>
          <cell r="C26">
            <v>44.060045029366023</v>
          </cell>
        </row>
        <row r="27">
          <cell r="B27" t="str">
            <v>IDR</v>
          </cell>
          <cell r="C27">
            <v>9045.0261401255448</v>
          </cell>
        </row>
        <row r="28">
          <cell r="B28" t="str">
            <v>ILS</v>
          </cell>
          <cell r="C28">
            <v>4.3605284960537212</v>
          </cell>
        </row>
        <row r="29">
          <cell r="B29" t="str">
            <v>JMD</v>
          </cell>
          <cell r="C29">
            <v>61.370024425269726</v>
          </cell>
        </row>
        <row r="30">
          <cell r="B30" t="str">
            <v>JOD</v>
          </cell>
          <cell r="C30">
            <v>0.70951171403839886</v>
          </cell>
        </row>
        <row r="31">
          <cell r="B31" t="str">
            <v>KRW</v>
          </cell>
          <cell r="C31">
            <v>1047.0107842110774</v>
          </cell>
        </row>
        <row r="32">
          <cell r="B32" t="str">
            <v>LBP</v>
          </cell>
          <cell r="C32">
            <v>1514.2521411525277</v>
          </cell>
        </row>
        <row r="33">
          <cell r="B33" t="str">
            <v>MYR</v>
          </cell>
          <cell r="C33">
            <v>3.8000129200439283</v>
          </cell>
        </row>
        <row r="34">
          <cell r="B34" t="str">
            <v>MXN</v>
          </cell>
          <cell r="C34">
            <v>11.128050476836963</v>
          </cell>
        </row>
        <row r="35">
          <cell r="B35" t="str">
            <v>NZD</v>
          </cell>
          <cell r="C35">
            <v>1.3914069489645844</v>
          </cell>
        </row>
        <row r="36">
          <cell r="B36" t="str">
            <v>NOK</v>
          </cell>
          <cell r="C36">
            <v>6.1050806481153614</v>
          </cell>
        </row>
        <row r="37">
          <cell r="B37" t="str">
            <v>PKR</v>
          </cell>
          <cell r="C37">
            <v>59.485214949824218</v>
          </cell>
        </row>
        <row r="38">
          <cell r="B38" t="str">
            <v>PHP</v>
          </cell>
          <cell r="C38">
            <v>56.090282919387043</v>
          </cell>
        </row>
        <row r="39">
          <cell r="B39" t="str">
            <v>PLN</v>
          </cell>
          <cell r="C39">
            <v>3.125</v>
          </cell>
        </row>
        <row r="40">
          <cell r="B40" t="str">
            <v>ROL</v>
          </cell>
          <cell r="C40">
            <v>27833.677079245263</v>
          </cell>
        </row>
        <row r="41">
          <cell r="B41" t="str">
            <v>RUR</v>
          </cell>
          <cell r="C41">
            <v>27.926564306499628</v>
          </cell>
        </row>
        <row r="42">
          <cell r="B42" t="str">
            <v>SAR</v>
          </cell>
          <cell r="C42">
            <v>3.7506000960153623</v>
          </cell>
        </row>
        <row r="43">
          <cell r="B43" t="str">
            <v>SGD</v>
          </cell>
          <cell r="C43">
            <v>1.6358499794700827</v>
          </cell>
        </row>
        <row r="44">
          <cell r="B44" t="str">
            <v>ZAR</v>
          </cell>
          <cell r="C44">
            <v>5.7975719768560925</v>
          </cell>
        </row>
        <row r="45">
          <cell r="B45" t="str">
            <v>SEK</v>
          </cell>
          <cell r="C45">
            <v>6.6652003225956955</v>
          </cell>
        </row>
        <row r="46">
          <cell r="B46" t="str">
            <v>TWD</v>
          </cell>
          <cell r="C46">
            <v>32.195024580901269</v>
          </cell>
        </row>
        <row r="47">
          <cell r="B47" t="str">
            <v>THB</v>
          </cell>
          <cell r="C47">
            <v>39.105118468956398</v>
          </cell>
        </row>
        <row r="48">
          <cell r="B48" t="str">
            <v>TTD</v>
          </cell>
          <cell r="C48">
            <v>6.2250608499698084</v>
          </cell>
        </row>
        <row r="49">
          <cell r="B49" t="str">
            <v>TRL</v>
          </cell>
          <cell r="C49">
            <v>1406509.3251568258</v>
          </cell>
        </row>
        <row r="50">
          <cell r="B50" t="str">
            <v>VEB</v>
          </cell>
          <cell r="C50">
            <v>2384.6997662994231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ga Caps"/>
      <sheetName val="Bus. Serv. DataIP Detail"/>
      <sheetName val="Global Markets Division"/>
      <sheetName val="Comm. Data Detail WCOM"/>
      <sheetName val="ROE"/>
      <sheetName val="Local Div."/>
      <sheetName val="Capex_Rev_Detail"/>
      <sheetName val="Sprint (FON)"/>
      <sheetName val="Bell Atlantic NYNEX"/>
      <sheetName val="Tables"/>
      <sheetName val="Data Revenue Driver"/>
      <sheetName val="LD &amp; RBOC comps010302"/>
      <sheetName val="Revenue WCOM"/>
      <sheetName val="Verizon"/>
      <sheetName val="Qwest"/>
      <sheetName val="MCI"/>
      <sheetName val="Tables WCOM"/>
      <sheetName val="Sheet1"/>
      <sheetName val="PDDP Division &amp; Corp."/>
      <sheetName val="Local Division"/>
      <sheetName val="#REF"/>
      <sheetName val="AT&amp;T Corp."/>
      <sheetName val="Revenues"/>
      <sheetName val="WCOM"/>
      <sheetName val="Data Revenue Driver WCOM"/>
      <sheetName val="BS &amp; Net Debt WCOM"/>
      <sheetName val="Revenue"/>
      <sheetName val="Comm. Data Detail"/>
      <sheetName val="4Majors"/>
      <sheetName val="IS Sum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CF"/>
      <sheetName val="range"/>
      <sheetName val="PublicCompValue"/>
      <sheetName val="M&amp;ACompValue"/>
      <sheetName val="PPR"/>
      <sheetName val="Other Asset Value"/>
      <sheetName val="Balance Sheet Inputs"/>
      <sheetName val="Contribution"/>
      <sheetName val="Rural Model"/>
      <sheetName val="Dobson Model"/>
      <sheetName val="Equity Grid 2"/>
      <sheetName val="Rural Prem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MODEL&gt;&gt;&gt;"/>
      <sheetName val="Parameters"/>
      <sheetName val="Chart"/>
      <sheetName val="Summary"/>
      <sheetName val="Shareholders"/>
      <sheetName val="Val ET 03"/>
      <sheetName val="Val ET 04"/>
      <sheetName val="Val CTc cons 03-08"/>
      <sheetName val="Val CTc cons 04-08"/>
      <sheetName val="Val CTc cons 05-08"/>
      <sheetName val="Val CTc stand 04-08"/>
      <sheetName val="Val CTc stand 05-08"/>
      <sheetName val="CTc 2003 monthly"/>
      <sheetName val="CTcAfter"/>
      <sheetName val="CTcCons"/>
      <sheetName val="CTcCons adj 4 rating"/>
      <sheetName val="ETafter"/>
      <sheetName val="OUTPUT 1"/>
      <sheetName val="OUTPUT 2"/>
      <sheetName val="OUTPUT 3"/>
      <sheetName val="OUTPUT 4"/>
      <sheetName val="CESKY TELECOM&gt;&gt;&gt;"/>
      <sheetName val="CTc"/>
      <sheetName val="CTc stress"/>
      <sheetName val="CTc 2003 stress"/>
      <sheetName val="CTc cons. pre-acq."/>
      <sheetName val="EUROTEL&gt;&gt;&gt;"/>
      <sheetName val="ET"/>
      <sheetName val="ET100"/>
      <sheetName val="ET51"/>
      <sheetName val="ETADJ100"/>
      <sheetName val="ET100c"/>
      <sheetName val="ETc"/>
      <sheetName val="ET100 stress"/>
      <sheetName val="ET51 stress"/>
      <sheetName val="ETloan51"/>
      <sheetName val="ETADJ51"/>
      <sheetName val="ETloan100"/>
      <sheetName val="ET100 - old"/>
      <sheetName val="OPERATIONS&gt;&gt;&gt;"/>
      <sheetName val="Dividend"/>
      <sheetName val="Loans"/>
      <sheetName val="Acquisition"/>
      <sheetName val="BBloan"/>
      <sheetName val="BBoutcome"/>
      <sheetName val="BuyBack"/>
      <sheetName val="Subsidiaries"/>
      <sheetName val="SubsidiariesDiv"/>
      <sheetName val="SubsidiariesDiff"/>
      <sheetName val="SubsidiariesCTc"/>
      <sheetName val="SubsidiariesOut"/>
      <sheetName val="Goodwill"/>
      <sheetName val="AUX&gt;&gt;&gt;"/>
      <sheetName val="Template"/>
      <sheetName val="Calcul"/>
      <sheetName val="Val"/>
      <sheetName val="OutPut CTc"/>
      <sheetName val="OutPut CTc stand"/>
      <sheetName val="OutPut ET"/>
      <sheetName val="OutPut"/>
      <sheetName val="RERICHA"/>
      <sheetName val="FARMA"/>
      <sheetName val="FARMAHUF"/>
      <sheetName val="CTc1"/>
      <sheetName val="CTc3"/>
      <sheetName val="CTc2"/>
      <sheetName val="Val CTc cons 03"/>
      <sheetName val="Val CTc cons 04"/>
      <sheetName val="Val CTc cons 05"/>
      <sheetName val="Val CTc stand 04"/>
      <sheetName val="Val CTc stand 05"/>
      <sheetName val="CTcRE"/>
      <sheetName val="CTcDAM"/>
      <sheetName val="O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2">
          <cell r="N2" t="str">
            <v>No</v>
          </cell>
        </row>
        <row r="3">
          <cell r="N3" t="str">
            <v>No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y"/>
      <sheetName val="Aug"/>
      <sheetName val="Sept"/>
      <sheetName val="Target collections"/>
      <sheetName val="Sales by Month"/>
      <sheetName val="Graphs"/>
      <sheetName val="Jan 06"/>
      <sheetName val="Dec 05"/>
      <sheetName val="Nov 05"/>
      <sheetName val="Oct 05"/>
      <sheetName val="Sep 05"/>
      <sheetName val="Aug 05"/>
      <sheetName val="Jul 05"/>
      <sheetName val="Jun 05"/>
      <sheetName val="May 05"/>
      <sheetName val="Apr 05"/>
      <sheetName val="Mar 05"/>
      <sheetName val="Feb 05"/>
      <sheetName val="Jan 05"/>
      <sheetName val="Dec 04"/>
      <sheetName val="Nov 04"/>
      <sheetName val="Oct 04"/>
      <sheetName val="Sep 04"/>
      <sheetName val="Aug 04"/>
      <sheetName val="Jul 04"/>
      <sheetName val="Jun 04"/>
      <sheetName val="May 04"/>
      <sheetName val="Apr 04"/>
      <sheetName val="Mar 04"/>
      <sheetName val="Feb 04"/>
      <sheetName val="Jan 04"/>
      <sheetName val="Dec"/>
      <sheetName val="Nov"/>
      <sheetName val="Oct"/>
    </sheetNames>
    <sheetDataSet>
      <sheetData sheetId="0" refreshError="1">
        <row r="1">
          <cell r="A1" t="str">
            <v>Performance - DSO</v>
          </cell>
          <cell r="H1">
            <v>37803</v>
          </cell>
        </row>
        <row r="3">
          <cell r="C3">
            <v>0.64</v>
          </cell>
          <cell r="D3">
            <v>1</v>
          </cell>
          <cell r="E3">
            <v>3.68</v>
          </cell>
          <cell r="F3">
            <v>3.61</v>
          </cell>
          <cell r="G3">
            <v>0.29649999999999999</v>
          </cell>
          <cell r="H3">
            <v>3.75</v>
          </cell>
          <cell r="I3">
            <v>1.78</v>
          </cell>
          <cell r="J3">
            <v>2.09</v>
          </cell>
        </row>
        <row r="4">
          <cell r="A4" t="str">
            <v>Local Curr</v>
          </cell>
          <cell r="C4" t="str">
            <v>UK</v>
          </cell>
          <cell r="D4" t="str">
            <v>HWT</v>
          </cell>
          <cell r="E4" t="str">
            <v>Saudi</v>
          </cell>
          <cell r="F4" t="str">
            <v>M/East</v>
          </cell>
          <cell r="G4" t="str">
            <v>Kuwait</v>
          </cell>
          <cell r="H4" t="str">
            <v>Malaysia</v>
          </cell>
          <cell r="I4" t="str">
            <v>Australia</v>
          </cell>
          <cell r="J4" t="str">
            <v>NZ</v>
          </cell>
        </row>
        <row r="7">
          <cell r="A7" t="str">
            <v>Debtors</v>
          </cell>
          <cell r="B7" t="str">
            <v>WIP 31/12/02</v>
          </cell>
          <cell r="C7">
            <v>28</v>
          </cell>
          <cell r="E7">
            <v>1647</v>
          </cell>
          <cell r="F7">
            <v>361</v>
          </cell>
          <cell r="G7">
            <v>116</v>
          </cell>
          <cell r="H7">
            <v>72</v>
          </cell>
          <cell r="I7">
            <v>22</v>
          </cell>
        </row>
        <row r="9">
          <cell r="A9">
            <v>37803</v>
          </cell>
        </row>
        <row r="10">
          <cell r="A10" t="str">
            <v>3rd party debtors</v>
          </cell>
          <cell r="C10">
            <v>1702</v>
          </cell>
          <cell r="D10">
            <v>1060</v>
          </cell>
          <cell r="E10">
            <v>11843</v>
          </cell>
          <cell r="F10">
            <v>4823</v>
          </cell>
          <cell r="G10">
            <v>183</v>
          </cell>
          <cell r="H10">
            <v>1986</v>
          </cell>
          <cell r="I10">
            <v>426</v>
          </cell>
          <cell r="J10">
            <v>206</v>
          </cell>
        </row>
        <row r="11">
          <cell r="A11" t="str">
            <v>less : retentions</v>
          </cell>
          <cell r="E11">
            <v>-898</v>
          </cell>
          <cell r="G11">
            <v>-75</v>
          </cell>
        </row>
        <row r="12">
          <cell r="A12" t="str">
            <v xml:space="preserve">           group (o/dues)</v>
          </cell>
        </row>
        <row r="13">
          <cell r="A13" t="str">
            <v xml:space="preserve">         prov'n incl</v>
          </cell>
          <cell r="E13">
            <v>13</v>
          </cell>
          <cell r="F13">
            <v>35</v>
          </cell>
          <cell r="G13">
            <v>16</v>
          </cell>
          <cell r="H13">
            <v>439</v>
          </cell>
          <cell r="I13">
            <v>23</v>
          </cell>
        </row>
        <row r="14">
          <cell r="A14" t="str">
            <v xml:space="preserve">         w/off</v>
          </cell>
          <cell r="C14">
            <v>-140</v>
          </cell>
          <cell r="E14">
            <v>-13</v>
          </cell>
          <cell r="F14">
            <v>-35</v>
          </cell>
          <cell r="G14">
            <v>-2</v>
          </cell>
          <cell r="H14">
            <v>-1015</v>
          </cell>
          <cell r="I14">
            <v>-23</v>
          </cell>
          <cell r="J14">
            <v>0</v>
          </cell>
        </row>
        <row r="15">
          <cell r="A15" t="str">
            <v xml:space="preserve">        WIP</v>
          </cell>
          <cell r="E15">
            <v>-1687</v>
          </cell>
          <cell r="F15">
            <v>-2463</v>
          </cell>
          <cell r="G15">
            <v>-17</v>
          </cell>
          <cell r="H15">
            <v>-159</v>
          </cell>
          <cell r="I15">
            <v>-36</v>
          </cell>
        </row>
        <row r="17">
          <cell r="A17" t="str">
            <v>Net ext Debtors</v>
          </cell>
          <cell r="C17">
            <v>1562</v>
          </cell>
          <cell r="D17">
            <v>1060</v>
          </cell>
          <cell r="E17">
            <v>9258</v>
          </cell>
          <cell r="F17">
            <v>2360</v>
          </cell>
          <cell r="G17">
            <v>105</v>
          </cell>
          <cell r="H17">
            <v>1251</v>
          </cell>
          <cell r="I17">
            <v>390</v>
          </cell>
          <cell r="J17">
            <v>206</v>
          </cell>
          <cell r="L17">
            <v>16192</v>
          </cell>
        </row>
        <row r="18">
          <cell r="B18" t="str">
            <v>UK WIP</v>
          </cell>
          <cell r="C18">
            <v>-231</v>
          </cell>
        </row>
        <row r="19">
          <cell r="A19" t="str">
            <v>Sales - tot</v>
          </cell>
          <cell r="C19">
            <v>3682</v>
          </cell>
          <cell r="D19">
            <v>2645</v>
          </cell>
          <cell r="E19">
            <v>13416</v>
          </cell>
          <cell r="F19">
            <v>6764</v>
          </cell>
          <cell r="G19">
            <v>224</v>
          </cell>
          <cell r="H19">
            <v>1287</v>
          </cell>
          <cell r="I19">
            <v>2389</v>
          </cell>
          <cell r="J19">
            <v>1002</v>
          </cell>
        </row>
        <row r="20">
          <cell r="A20" t="str">
            <v>WIP</v>
          </cell>
          <cell r="C20">
            <v>-203</v>
          </cell>
          <cell r="D20">
            <v>0</v>
          </cell>
          <cell r="E20">
            <v>-40</v>
          </cell>
          <cell r="F20">
            <v>-2102</v>
          </cell>
          <cell r="G20">
            <v>99</v>
          </cell>
          <cell r="H20">
            <v>-87</v>
          </cell>
          <cell r="I20">
            <v>-14</v>
          </cell>
          <cell r="J20">
            <v>0</v>
          </cell>
        </row>
        <row r="21">
          <cell r="A21" t="str">
            <v>Group</v>
          </cell>
          <cell r="C21">
            <v>-794</v>
          </cell>
        </row>
        <row r="22">
          <cell r="A22" t="str">
            <v>Net</v>
          </cell>
          <cell r="C22">
            <v>2685</v>
          </cell>
          <cell r="D22">
            <v>2645</v>
          </cell>
          <cell r="E22">
            <v>13376</v>
          </cell>
          <cell r="F22">
            <v>4662</v>
          </cell>
          <cell r="G22">
            <v>323</v>
          </cell>
          <cell r="H22">
            <v>1200</v>
          </cell>
          <cell r="I22">
            <v>2375</v>
          </cell>
          <cell r="J22">
            <v>1002</v>
          </cell>
        </row>
        <row r="23">
          <cell r="B23" t="str">
            <v>VAT %</v>
          </cell>
        </row>
        <row r="24">
          <cell r="A24" t="str">
            <v>Net +VAT (15%)</v>
          </cell>
          <cell r="C24">
            <v>2685</v>
          </cell>
          <cell r="D24">
            <v>2645</v>
          </cell>
          <cell r="E24">
            <v>13376</v>
          </cell>
          <cell r="F24">
            <v>4662</v>
          </cell>
          <cell r="G24">
            <v>323</v>
          </cell>
          <cell r="H24">
            <v>1200</v>
          </cell>
          <cell r="I24">
            <v>2375</v>
          </cell>
          <cell r="J24">
            <v>1002</v>
          </cell>
        </row>
        <row r="26">
          <cell r="A26" t="str">
            <v>Days</v>
          </cell>
          <cell r="C26">
            <v>212</v>
          </cell>
          <cell r="D26">
            <v>212</v>
          </cell>
          <cell r="E26">
            <v>212</v>
          </cell>
          <cell r="F26">
            <v>212</v>
          </cell>
          <cell r="G26">
            <v>212</v>
          </cell>
          <cell r="H26">
            <v>212</v>
          </cell>
          <cell r="I26">
            <v>212</v>
          </cell>
          <cell r="J26">
            <v>212</v>
          </cell>
        </row>
        <row r="27">
          <cell r="A27" t="str">
            <v>Days sales</v>
          </cell>
          <cell r="C27">
            <v>12.665094339622641</v>
          </cell>
          <cell r="D27">
            <v>12.476415094339623</v>
          </cell>
          <cell r="E27">
            <v>63.094339622641506</v>
          </cell>
          <cell r="F27">
            <v>21.990566037735849</v>
          </cell>
          <cell r="G27">
            <v>1.5235849056603774</v>
          </cell>
          <cell r="H27">
            <v>5.6603773584905657</v>
          </cell>
          <cell r="I27">
            <v>11.202830188679245</v>
          </cell>
          <cell r="J27">
            <v>4.7264150943396226</v>
          </cell>
        </row>
        <row r="29">
          <cell r="A29" t="str">
            <v>DSO</v>
          </cell>
          <cell r="C29">
            <v>123.33109869646184</v>
          </cell>
          <cell r="D29">
            <v>84.960302457466909</v>
          </cell>
          <cell r="E29">
            <v>146.73265550239236</v>
          </cell>
          <cell r="F29">
            <v>107.31874731874731</v>
          </cell>
          <cell r="G29">
            <v>68.916408668730654</v>
          </cell>
          <cell r="H29">
            <v>221.01000000000002</v>
          </cell>
          <cell r="I29">
            <v>34.812631578947368</v>
          </cell>
          <cell r="J29">
            <v>43.584830339321357</v>
          </cell>
          <cell r="L29">
            <v>830.6666745620679</v>
          </cell>
        </row>
        <row r="38">
          <cell r="M38" t="str">
            <v>meap</v>
          </cell>
        </row>
        <row r="39">
          <cell r="A39" t="str">
            <v>Net ext Debtors</v>
          </cell>
          <cell r="B39" t="str">
            <v>€ 000</v>
          </cell>
          <cell r="C39">
            <v>2440.625</v>
          </cell>
          <cell r="D39">
            <v>1060</v>
          </cell>
          <cell r="E39">
            <v>2515.7608695652175</v>
          </cell>
          <cell r="F39">
            <v>653.73961218836564</v>
          </cell>
          <cell r="G39">
            <v>354.13153456998316</v>
          </cell>
          <cell r="H39">
            <v>333.6</v>
          </cell>
          <cell r="I39">
            <v>219.10112359550561</v>
          </cell>
          <cell r="J39">
            <v>98.564593301435409</v>
          </cell>
          <cell r="L39">
            <v>7675.5227332205086</v>
          </cell>
          <cell r="M39">
            <v>4174.8977332205077</v>
          </cell>
        </row>
        <row r="40">
          <cell r="A40" t="str">
            <v>Net sales</v>
          </cell>
          <cell r="B40" t="str">
            <v>€ 000</v>
          </cell>
          <cell r="C40">
            <v>4195.3125</v>
          </cell>
          <cell r="D40">
            <v>2645</v>
          </cell>
          <cell r="E40">
            <v>3634.782608695652</v>
          </cell>
          <cell r="F40">
            <v>1291.4127423822715</v>
          </cell>
          <cell r="G40">
            <v>1089.3760539629006</v>
          </cell>
          <cell r="H40">
            <v>320</v>
          </cell>
          <cell r="I40">
            <v>1334.2696629213483</v>
          </cell>
          <cell r="J40">
            <v>479.4258373205742</v>
          </cell>
          <cell r="L40">
            <v>14989.579405282746</v>
          </cell>
          <cell r="M40">
            <v>8149.2669052827459</v>
          </cell>
        </row>
        <row r="41">
          <cell r="L41">
            <v>212</v>
          </cell>
          <cell r="M41">
            <v>212</v>
          </cell>
        </row>
        <row r="42">
          <cell r="L42">
            <v>70.705563232465778</v>
          </cell>
          <cell r="M42">
            <v>38.439938232465785</v>
          </cell>
        </row>
        <row r="44">
          <cell r="L44">
            <v>108.55613592928921</v>
          </cell>
          <cell r="M44">
            <v>108.60833615217553</v>
          </cell>
        </row>
        <row r="47">
          <cell r="C47" t="str">
            <v>July</v>
          </cell>
          <cell r="D47" t="str">
            <v>June</v>
          </cell>
          <cell r="E47" t="str">
            <v>May</v>
          </cell>
          <cell r="F47" t="str">
            <v>April</v>
          </cell>
          <cell r="G47" t="str">
            <v>March</v>
          </cell>
        </row>
        <row r="48">
          <cell r="C48">
            <v>31</v>
          </cell>
          <cell r="D48">
            <v>30</v>
          </cell>
          <cell r="E48">
            <v>31</v>
          </cell>
          <cell r="F48">
            <v>30</v>
          </cell>
          <cell r="G48">
            <v>31</v>
          </cell>
        </row>
        <row r="49">
          <cell r="A49" t="str">
            <v>UK</v>
          </cell>
        </row>
        <row r="50">
          <cell r="A50" t="str">
            <v>Sales</v>
          </cell>
          <cell r="B50" t="str">
            <v>Total</v>
          </cell>
          <cell r="C50">
            <v>666</v>
          </cell>
          <cell r="D50">
            <v>614</v>
          </cell>
          <cell r="E50">
            <v>609</v>
          </cell>
          <cell r="F50">
            <v>506</v>
          </cell>
        </row>
        <row r="51">
          <cell r="B51" t="str">
            <v>Group</v>
          </cell>
          <cell r="C51">
            <v>-133</v>
          </cell>
          <cell r="D51">
            <v>-152</v>
          </cell>
          <cell r="E51">
            <v>-119</v>
          </cell>
          <cell r="F51">
            <v>-150</v>
          </cell>
        </row>
        <row r="53">
          <cell r="B53" t="str">
            <v>Net</v>
          </cell>
          <cell r="C53">
            <v>533</v>
          </cell>
          <cell r="D53">
            <v>462</v>
          </cell>
          <cell r="E53">
            <v>490</v>
          </cell>
          <cell r="F53">
            <v>356</v>
          </cell>
          <cell r="G53">
            <v>0</v>
          </cell>
        </row>
        <row r="54">
          <cell r="C54">
            <v>0.12</v>
          </cell>
          <cell r="D54">
            <v>0.12</v>
          </cell>
          <cell r="E54">
            <v>0.12</v>
          </cell>
          <cell r="F54">
            <v>0.12</v>
          </cell>
          <cell r="G54">
            <v>0.12</v>
          </cell>
        </row>
        <row r="55">
          <cell r="B55" t="str">
            <v>Net +VAT (15%)</v>
          </cell>
          <cell r="C55">
            <v>596.96</v>
          </cell>
          <cell r="D55">
            <v>517.44000000000005</v>
          </cell>
          <cell r="E55">
            <v>548.80000000000007</v>
          </cell>
          <cell r="F55">
            <v>398.72</v>
          </cell>
          <cell r="G55">
            <v>0</v>
          </cell>
        </row>
        <row r="56">
          <cell r="C56">
            <v>1562</v>
          </cell>
          <cell r="D56">
            <v>965.04</v>
          </cell>
          <cell r="E56">
            <v>447.59999999999991</v>
          </cell>
          <cell r="F56">
            <v>-101.20000000000016</v>
          </cell>
        </row>
        <row r="57">
          <cell r="A57" t="str">
            <v>DSO</v>
          </cell>
          <cell r="C57">
            <v>31</v>
          </cell>
          <cell r="D57">
            <v>30</v>
          </cell>
          <cell r="E57">
            <v>25.283527696792994</v>
          </cell>
          <cell r="F57">
            <v>-7.6143659711075564</v>
          </cell>
        </row>
        <row r="58">
          <cell r="A58" t="str">
            <v>DSO count back</v>
          </cell>
          <cell r="C58">
            <v>31</v>
          </cell>
          <cell r="D58">
            <v>61</v>
          </cell>
          <cell r="E58">
            <v>86.283527696792987</v>
          </cell>
          <cell r="F58">
            <v>0</v>
          </cell>
        </row>
        <row r="61">
          <cell r="A61" t="str">
            <v>€ 000</v>
          </cell>
        </row>
        <row r="62">
          <cell r="A62" t="str">
            <v>Net ext Debtors</v>
          </cell>
          <cell r="C62">
            <v>2440.625</v>
          </cell>
          <cell r="D62">
            <v>1060</v>
          </cell>
          <cell r="E62">
            <v>2515.7608695652175</v>
          </cell>
          <cell r="F62">
            <v>653.73961218836564</v>
          </cell>
          <cell r="G62">
            <v>354.13153456998316</v>
          </cell>
          <cell r="H62">
            <v>333.6</v>
          </cell>
          <cell r="I62">
            <v>219.10112359550561</v>
          </cell>
          <cell r="J62">
            <v>98.564593301435409</v>
          </cell>
          <cell r="L62">
            <v>7675.5227332205086</v>
          </cell>
        </row>
        <row r="63">
          <cell r="A63" t="str">
            <v>Days sales</v>
          </cell>
          <cell r="C63">
            <v>19.789209905660375</v>
          </cell>
          <cell r="D63">
            <v>12.476415094339623</v>
          </cell>
          <cell r="E63">
            <v>17.145200984413453</v>
          </cell>
          <cell r="F63">
            <v>6.0915695395390168</v>
          </cell>
          <cell r="G63">
            <v>5.138566292277833</v>
          </cell>
          <cell r="H63">
            <v>1.5094339622641508</v>
          </cell>
          <cell r="I63">
            <v>6.2937248251006999</v>
          </cell>
          <cell r="J63">
            <v>2.2614426288706331</v>
          </cell>
          <cell r="L63">
            <v>70.705563232465792</v>
          </cell>
        </row>
        <row r="65">
          <cell r="A65" t="str">
            <v>DSO (check)</v>
          </cell>
          <cell r="C65">
            <v>123.33109869646184</v>
          </cell>
          <cell r="D65">
            <v>84.960302457466909</v>
          </cell>
          <cell r="E65">
            <v>146.73265550239236</v>
          </cell>
          <cell r="F65">
            <v>107.31874731874731</v>
          </cell>
          <cell r="G65">
            <v>68.916408668730654</v>
          </cell>
          <cell r="H65">
            <v>221.01000000000002</v>
          </cell>
          <cell r="I65">
            <v>34.812631578947368</v>
          </cell>
          <cell r="J65">
            <v>43.584830339321357</v>
          </cell>
          <cell r="L65">
            <v>108.5561359292892</v>
          </cell>
        </row>
        <row r="68">
          <cell r="A68" t="str">
            <v>Group sales YTD</v>
          </cell>
          <cell r="B68" t="str">
            <v>equip</v>
          </cell>
          <cell r="C68">
            <v>381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WC requirement"/>
      <sheetName val="Budget WC requirement FY15"/>
    </sheetNames>
    <definedNames>
      <definedName name="DateRangePriceMain" refersTo="#REF!"/>
      <definedName name="PriceRangeMain" refersTo="#REF!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Code"/>
      <sheetName val="PriceDataSheet"/>
      <sheetName val="PRESSUM"/>
      <sheetName val="UK Summary"/>
      <sheetName val="March"/>
      <sheetName val="April"/>
      <sheetName val="May"/>
      <sheetName val="June"/>
      <sheetName val="July"/>
      <sheetName val="August"/>
      <sheetName val="Sept"/>
      <sheetName val="Weekly"/>
      <sheetName val="Assumptions"/>
      <sheetName val="Sheet2"/>
      <sheetName val="Sheet3"/>
      <sheetName val="Output"/>
      <sheetName val="Injectable &amp; Powder - API"/>
      <sheetName val="Injectable - Formulation"/>
      <sheetName val="Powder - Formulation"/>
      <sheetName val="Oral Solids - API "/>
      <sheetName val="Oral Solids - Formulation"/>
      <sheetName val="Molecule List"/>
      <sheetName val="Data from Newport"/>
      <sheetName val="Sheet1"/>
      <sheetName val="Customize Your Purchase Order"/>
      <sheetName val="Control"/>
      <sheetName val="405"/>
      <sheetName val="427"/>
      <sheetName val="403"/>
      <sheetName val="Basic"/>
    </sheetNames>
    <sheetDataSet>
      <sheetData sheetId="0" refreshError="1"/>
      <sheetData sheetId="1" refreshError="1">
        <row r="5">
          <cell r="G5" t="str">
            <v>DATE</v>
          </cell>
          <cell r="H5" t="str">
            <v>CLOSE</v>
          </cell>
        </row>
        <row r="6">
          <cell r="G6">
            <v>34586</v>
          </cell>
          <cell r="H6">
            <v>4</v>
          </cell>
        </row>
        <row r="7">
          <cell r="G7">
            <v>34593</v>
          </cell>
          <cell r="H7">
            <v>4</v>
          </cell>
        </row>
        <row r="8">
          <cell r="G8">
            <v>34600</v>
          </cell>
          <cell r="H8">
            <v>4.125</v>
          </cell>
        </row>
        <row r="9">
          <cell r="G9">
            <v>34607</v>
          </cell>
          <cell r="H9">
            <v>4.125</v>
          </cell>
        </row>
        <row r="10">
          <cell r="G10">
            <v>34614</v>
          </cell>
          <cell r="H10">
            <v>4.25</v>
          </cell>
        </row>
        <row r="11">
          <cell r="G11">
            <v>34621</v>
          </cell>
          <cell r="H11">
            <v>4.375</v>
          </cell>
        </row>
        <row r="12">
          <cell r="G12">
            <v>34628</v>
          </cell>
          <cell r="H12">
            <v>4.625</v>
          </cell>
        </row>
        <row r="13">
          <cell r="G13">
            <v>34635</v>
          </cell>
          <cell r="H13">
            <v>4.875</v>
          </cell>
        </row>
        <row r="14">
          <cell r="G14">
            <v>34642</v>
          </cell>
          <cell r="H14">
            <v>4.625</v>
          </cell>
        </row>
        <row r="15">
          <cell r="G15">
            <v>34649</v>
          </cell>
          <cell r="H15">
            <v>4.5</v>
          </cell>
        </row>
        <row r="16">
          <cell r="G16">
            <v>34656</v>
          </cell>
          <cell r="H16">
            <v>4.375</v>
          </cell>
        </row>
        <row r="17">
          <cell r="G17">
            <v>34663</v>
          </cell>
          <cell r="H17">
            <v>4.375</v>
          </cell>
        </row>
        <row r="18">
          <cell r="G18">
            <v>34670</v>
          </cell>
          <cell r="H18">
            <v>4.25</v>
          </cell>
        </row>
        <row r="19">
          <cell r="G19">
            <v>34677</v>
          </cell>
          <cell r="H19">
            <v>3.75</v>
          </cell>
        </row>
        <row r="20">
          <cell r="G20">
            <v>34684</v>
          </cell>
          <cell r="H20">
            <v>3.875</v>
          </cell>
        </row>
        <row r="21">
          <cell r="G21">
            <v>34691</v>
          </cell>
          <cell r="H21">
            <v>4.125</v>
          </cell>
        </row>
        <row r="22">
          <cell r="G22">
            <v>34698</v>
          </cell>
          <cell r="H22">
            <v>4.125</v>
          </cell>
        </row>
        <row r="23">
          <cell r="G23">
            <v>34705</v>
          </cell>
          <cell r="H23">
            <v>4.25</v>
          </cell>
        </row>
        <row r="24">
          <cell r="G24">
            <v>34712</v>
          </cell>
          <cell r="H24">
            <v>4.5</v>
          </cell>
        </row>
        <row r="25">
          <cell r="G25">
            <v>34719</v>
          </cell>
          <cell r="H25">
            <v>4.5</v>
          </cell>
        </row>
        <row r="26">
          <cell r="G26">
            <v>34726</v>
          </cell>
          <cell r="H26">
            <v>4.5</v>
          </cell>
        </row>
        <row r="27">
          <cell r="G27">
            <v>34733</v>
          </cell>
          <cell r="H27">
            <v>4.5</v>
          </cell>
        </row>
        <row r="28">
          <cell r="G28">
            <v>34740</v>
          </cell>
          <cell r="H28">
            <v>4.75</v>
          </cell>
        </row>
        <row r="29">
          <cell r="G29">
            <v>34747</v>
          </cell>
          <cell r="H29">
            <v>5</v>
          </cell>
        </row>
        <row r="30">
          <cell r="G30">
            <v>34754</v>
          </cell>
          <cell r="H30">
            <v>5.375</v>
          </cell>
        </row>
        <row r="31">
          <cell r="G31">
            <v>34761</v>
          </cell>
          <cell r="H31">
            <v>5.125</v>
          </cell>
        </row>
        <row r="32">
          <cell r="G32">
            <v>34768</v>
          </cell>
          <cell r="H32">
            <v>5</v>
          </cell>
        </row>
        <row r="33">
          <cell r="G33">
            <v>34775</v>
          </cell>
          <cell r="H33">
            <v>5</v>
          </cell>
        </row>
        <row r="34">
          <cell r="G34">
            <v>34782</v>
          </cell>
          <cell r="H34">
            <v>5</v>
          </cell>
        </row>
        <row r="35">
          <cell r="G35">
            <v>34789</v>
          </cell>
          <cell r="H35">
            <v>5</v>
          </cell>
        </row>
        <row r="36">
          <cell r="G36">
            <v>34796</v>
          </cell>
          <cell r="H36">
            <v>5.25</v>
          </cell>
        </row>
        <row r="37">
          <cell r="G37">
            <v>34803</v>
          </cell>
          <cell r="H37">
            <v>5.375</v>
          </cell>
        </row>
        <row r="38">
          <cell r="G38">
            <v>34810</v>
          </cell>
          <cell r="H38">
            <v>5.5</v>
          </cell>
        </row>
        <row r="39">
          <cell r="G39">
            <v>34817</v>
          </cell>
          <cell r="H39">
            <v>5.25</v>
          </cell>
        </row>
        <row r="40">
          <cell r="G40">
            <v>34824</v>
          </cell>
          <cell r="H40">
            <v>5</v>
          </cell>
        </row>
        <row r="41">
          <cell r="G41">
            <v>34831</v>
          </cell>
          <cell r="H41">
            <v>5</v>
          </cell>
        </row>
        <row r="42">
          <cell r="G42">
            <v>34838</v>
          </cell>
          <cell r="H42">
            <v>5</v>
          </cell>
        </row>
        <row r="43">
          <cell r="G43">
            <v>34845</v>
          </cell>
          <cell r="H43">
            <v>4.75</v>
          </cell>
        </row>
        <row r="44">
          <cell r="G44">
            <v>34852</v>
          </cell>
          <cell r="H44">
            <v>4.875</v>
          </cell>
        </row>
        <row r="45">
          <cell r="G45">
            <v>34859</v>
          </cell>
          <cell r="H45">
            <v>4.75</v>
          </cell>
        </row>
        <row r="46">
          <cell r="G46">
            <v>34866</v>
          </cell>
          <cell r="H46">
            <v>4.375</v>
          </cell>
        </row>
        <row r="47">
          <cell r="G47">
            <v>34873</v>
          </cell>
          <cell r="H47">
            <v>4.75</v>
          </cell>
        </row>
        <row r="48">
          <cell r="G48">
            <v>34880</v>
          </cell>
          <cell r="H48">
            <v>4.5</v>
          </cell>
        </row>
        <row r="49">
          <cell r="G49">
            <v>34887</v>
          </cell>
          <cell r="H49">
            <v>4.875</v>
          </cell>
        </row>
        <row r="50">
          <cell r="G50">
            <v>34894</v>
          </cell>
          <cell r="H50">
            <v>5.125</v>
          </cell>
        </row>
        <row r="51">
          <cell r="G51">
            <v>34901</v>
          </cell>
          <cell r="H51">
            <v>4.625</v>
          </cell>
        </row>
        <row r="52">
          <cell r="G52">
            <v>34908</v>
          </cell>
          <cell r="H52">
            <v>4.5</v>
          </cell>
        </row>
        <row r="53">
          <cell r="G53">
            <v>34915</v>
          </cell>
          <cell r="H53">
            <v>4.5</v>
          </cell>
        </row>
        <row r="54">
          <cell r="G54">
            <v>34922</v>
          </cell>
          <cell r="H54">
            <v>4.5</v>
          </cell>
        </row>
        <row r="55">
          <cell r="G55">
            <v>34929</v>
          </cell>
          <cell r="H55">
            <v>4.25</v>
          </cell>
        </row>
        <row r="56">
          <cell r="G56">
            <v>34936</v>
          </cell>
          <cell r="H56">
            <v>4.375</v>
          </cell>
        </row>
        <row r="57">
          <cell r="G57">
            <v>34943</v>
          </cell>
          <cell r="H57">
            <v>4.875</v>
          </cell>
        </row>
        <row r="58">
          <cell r="G58">
            <v>34950</v>
          </cell>
          <cell r="H58">
            <v>4.875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F Assumptions"/>
      <sheetName val="Pro Forma"/>
      <sheetName val="Acquiror"/>
      <sheetName val="Targe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Operating Cases"/>
      <sheetName val="__FDSCACHE__"/>
      <sheetName val="Operating Model"/>
      <sheetName val="Financials"/>
      <sheetName val="Standalone Trade-up Analysis"/>
      <sheetName val="PF Trade-up Analysis"/>
      <sheetName val="Transaction Impact on W"/>
      <sheetName val="Standalone vs. PF Trade-up Comp"/>
      <sheetName val="Benchmarking Summary"/>
      <sheetName val="Benchmarking Backup"/>
      <sheetName val="DCF Analysis"/>
      <sheetName val="Output --&gt;"/>
      <sheetName val="Operating Stats Summary"/>
      <sheetName val="DCF UFCF Output"/>
      <sheetName val="Benchmarking Output"/>
      <sheetName val="Comparison Summary"/>
      <sheetName val="Combination Analysis (Cons)"/>
      <sheetName val="Combination Analysis (Dom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 BS"/>
      <sheetName val="Results PL"/>
      <sheetName val="FA Print"/>
      <sheetName val="Invst"/>
      <sheetName val="Notes"/>
      <sheetName val="Notes2"/>
      <sheetName val="Bal Sheet 2 Col"/>
      <sheetName val="Bal Sheet"/>
      <sheetName val="FA"/>
      <sheetName val="AdInfo"/>
      <sheetName val="Part 4"/>
      <sheetName val="VRS"/>
      <sheetName val="Related party By period"/>
      <sheetName val="Note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2">
          <cell r="A2" t="str">
            <v>diff in b/s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_Sheet1"/>
      <sheetName val="TM_P&amp;L"/>
      <sheetName val="TM_PURCHASE PRICE SUMMARY"/>
      <sheetName val="TM_PURCHASE PRICE SUMMARY (2)"/>
      <sheetName val="TM_Creditors"/>
      <sheetName val="TM_WIP"/>
      <sheetName val="TM_CASH FLOW (2)"/>
      <sheetName val="TM_CASH FLOW"/>
      <sheetName val="TM_DSO"/>
      <sheetName val="WORKING CAPITAL NEW GRAPH"/>
      <sheetName val="DSO"/>
      <sheetName val="TM_DEBTORS AGEING"/>
      <sheetName val="DEBTORS AGEING"/>
      <sheetName val="DEBTORS AGEING DETAILED"/>
      <sheetName val="CASH FLOW"/>
      <sheetName val="WIP"/>
      <sheetName val="TM_WIP APPENDIX"/>
      <sheetName val="WIP APPENDIX"/>
      <sheetName val="NET WORKING CAPITAL"/>
      <sheetName val="WORKING CAPITAL"/>
      <sheetName val="B Sheet"/>
      <sheetName val="Creditors"/>
      <sheetName val="PURCHASE PRICE SUMMARY-FINAL"/>
      <sheetName val="P&amp;L"/>
      <sheetName val="TM_B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ning Archives"/>
      <sheetName val="#REF"/>
      <sheetName val="CSCCincSKR"/>
      <sheetName val="Proforma"/>
      <sheetName val="Mai 2003"/>
      <sheetName val="Avril 2003"/>
      <sheetName val="Mars 2003"/>
      <sheetName val="Février 2003"/>
      <sheetName val="Janvier 2003"/>
      <sheetName val="Décembre 2002"/>
      <sheetName val="Novembre 2002"/>
      <sheetName val="Octobre 2002"/>
      <sheetName val="septembre 2002"/>
      <sheetName val="Aout 2002"/>
      <sheetName val="Juillet 2002"/>
      <sheetName val="Juin 2002"/>
      <sheetName val="Mai 2002"/>
      <sheetName val="Avril 2002"/>
      <sheetName val="Mars 2002"/>
      <sheetName val="Février 2002"/>
      <sheetName val="Janvier 2002"/>
      <sheetName val="Décembre 2001"/>
      <sheetName val="Novembre 2001"/>
      <sheetName val="Octobre 2001"/>
      <sheetName val="septembre 2001"/>
      <sheetName val="Aout"/>
      <sheetName val="Juillet"/>
      <sheetName val="Juin"/>
      <sheetName val="Mai"/>
      <sheetName val="Avril"/>
      <sheetName val="Mars"/>
      <sheetName val="février"/>
      <sheetName val="Janvier"/>
      <sheetName val="Décembre"/>
      <sheetName val="Novembre"/>
      <sheetName val="Octob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-0708-Income"/>
      <sheetName val="SEGEMENT REPORT DETAILED"/>
      <sheetName val="COMPUTATION"/>
      <sheetName val="cash flow"/>
      <sheetName val="DEP IT"/>
      <sheetName val="DEP COS"/>
      <sheetName val="deffered tax calc"/>
      <sheetName val="ABSCRACT "/>
      <sheetName val="cash flow "/>
      <sheetName val="MAT"/>
      <sheetName val="Computaion"/>
      <sheetName val="BRANCH WISE BS"/>
      <sheetName val="MAIN BS &amp; P&amp;L"/>
      <sheetName val="BRANCH WISE P&amp;L"/>
      <sheetName val="Depn 06-07"/>
      <sheetName val="Depn IT 06-07"/>
      <sheetName val="ABSCRACT"/>
      <sheetName val="CRITERIA1"/>
      <sheetName val="EXE-SUM"/>
      <sheetName val="Customize Your Purchase Or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 (2)"/>
      <sheetName val="Sheet3 _2_"/>
      <sheetName val="유통망계획"/>
      <sheetName val="CV"/>
      <sheetName val="ES(Kor)"/>
      <sheetName val="Sheet3_(2)"/>
      <sheetName val="Sheet3__2_"/>
      <sheetName val="TIll_Q_sal"/>
      <sheetName val="tiller"/>
      <sheetName val="Calculation (2)"/>
      <sheetName val="JCF"/>
      <sheetName val="Multiple output"/>
      <sheetName val="sheet6"/>
      <sheetName val="analysis"/>
      <sheetName val="Set"/>
      <sheetName val="BBEuros"/>
      <sheetName val="QoQ Forecast"/>
      <sheetName val="Income Statements"/>
      <sheetName val="DEPRE"/>
      <sheetName val="InvoiceList"/>
      <sheetName val="Income &amp; Occupancy Customer"/>
      <sheetName val="ABP inputs"/>
      <sheetName val="Synergy Sales Budget"/>
      <sheetName val="Project Budget Worksheet"/>
      <sheetName val="F1a-Pile"/>
      <sheetName val="Builtup Area"/>
      <sheetName val="INDIGINEOUS ITEMS "/>
      <sheetName val="fco"/>
      <sheetName val="Headings"/>
      <sheetName val="RCC,Ret. Wall"/>
      <sheetName val="BOQ T4B"/>
      <sheetName val="Summary"/>
      <sheetName val="노무비"/>
      <sheetName val="Formulas"/>
      <sheetName val="Global Assm."/>
      <sheetName val="download"/>
      <sheetName val="170810-lease tax"/>
      <sheetName val="Input"/>
      <sheetName val="Main Sheet (MTD)"/>
      <sheetName val="Consl Daily Report"/>
      <sheetName val="Acc_10_5"/>
      <sheetName val="Preside"/>
      <sheetName val="balance sheet"/>
      <sheetName val="Assumptions"/>
      <sheetName val="Occ"/>
      <sheetName val="Demand"/>
      <sheetName val="Inputs"/>
      <sheetName val="Ref"/>
      <sheetName val="Material "/>
      <sheetName val="Labour &amp; Plant"/>
      <sheetName val="GBW"/>
      <sheetName val="Design"/>
      <sheetName val="BOQ"/>
      <sheetName val=" B3"/>
      <sheetName val=" B1"/>
      <sheetName val="CFForecast detail"/>
      <sheetName val="Site Dev BOQ"/>
      <sheetName val="Lead"/>
      <sheetName val="Main-Material"/>
      <sheetName val="Sheet1"/>
      <sheetName val="beam-reinft-IIInd floor"/>
      <sheetName val="Break up Sheet"/>
      <sheetName val="MN T.B."/>
      <sheetName val="Approved MTD Proj #'s"/>
      <sheetName val="Sheet2"/>
      <sheetName val="van khuon"/>
      <sheetName val="Names"/>
      <sheetName val="Introduction"/>
      <sheetName val="IDC macro"/>
      <sheetName val="SALE"/>
      <sheetName val="Aladdin Macro1"/>
      <sheetName val="BalSht"/>
      <sheetName val="Acc_10.5"/>
      <sheetName val="Summary Excise"/>
      <sheetName val="LISTS"/>
      <sheetName val="Vind-BtB"/>
      <sheetName val="Load Details-220kV"/>
      <sheetName val="q-details"/>
      <sheetName val="LBO"/>
      <sheetName val="Block A - BOQ"/>
      <sheetName val="Rollup Summary"/>
      <sheetName val="Portfolio Summary"/>
      <sheetName val="Depreciation"/>
      <sheetName val="CapitalOutlay"/>
      <sheetName val="Assum"/>
      <sheetName val="strand"/>
      <sheetName val="ABP_inputs"/>
      <sheetName val="Synergy_Sales_Budget"/>
      <sheetName val="Project_Budget_Worksheet"/>
      <sheetName val="QoQ_Forecast"/>
      <sheetName val="Income_Statements"/>
      <sheetName val="Income_&amp;_Occupancy_Customer"/>
      <sheetName val="RCC,Ret__Wall"/>
      <sheetName val="Calculation_(2)"/>
      <sheetName val="Multiple_output"/>
      <sheetName val="Builtup_Area"/>
      <sheetName val="BOQ_T4B"/>
      <sheetName val="INDIGINEOUS_ITEMS_"/>
      <sheetName val="Material_"/>
      <sheetName val="Labour_&amp;_Plant"/>
      <sheetName val="Approved_MTD_Proj_#'s"/>
      <sheetName val="_B3"/>
      <sheetName val="_B1"/>
      <sheetName val="beam-reinft-IIInd_floor"/>
      <sheetName val="Aladdin_Macro1"/>
      <sheetName val="Global_Assm_"/>
      <sheetName val="MN_T_B_"/>
      <sheetName val="CFForecast_detail"/>
      <sheetName val="Site_Dev_BOQ"/>
      <sheetName val="Break_up_Sheet"/>
      <sheetName val="Load_Details-220kV"/>
      <sheetName val="Block_A_-_BOQ"/>
      <sheetName val="Sheet3_(2)1"/>
      <sheetName val="ABP_inputs1"/>
      <sheetName val="Synergy_Sales_Budget1"/>
      <sheetName val="Project_Budget_Worksheet1"/>
      <sheetName val="QoQ_Forecast1"/>
      <sheetName val="Income_Statements1"/>
      <sheetName val="Sheet3__2_1"/>
      <sheetName val="Income_&amp;_Occupancy_Customer1"/>
      <sheetName val="RCC,Ret__Wall1"/>
      <sheetName val="Calculation_(2)1"/>
      <sheetName val="Multiple_output1"/>
      <sheetName val="Builtup_Area1"/>
      <sheetName val="BOQ_T4B1"/>
      <sheetName val="INDIGINEOUS_ITEMS_1"/>
      <sheetName val="Material_1"/>
      <sheetName val="Labour_&amp;_Plant1"/>
      <sheetName val="Approved_MTD_Proj_#'s1"/>
      <sheetName val="_B31"/>
      <sheetName val="_B11"/>
      <sheetName val="beam-reinft-IIInd_floor1"/>
      <sheetName val="Aladdin_Macro11"/>
      <sheetName val="Acc_10_51"/>
      <sheetName val="Global_Assm_1"/>
      <sheetName val="MN_T_B_1"/>
      <sheetName val="CFForecast_detail1"/>
      <sheetName val="Site_Dev_BOQ1"/>
      <sheetName val="Break_up_Sheet1"/>
      <sheetName val="Load_Details-220kV1"/>
      <sheetName val="Block_A_-_BOQ1"/>
      <sheetName val="Sheet3_(2)2"/>
      <sheetName val="ABP_inputs2"/>
      <sheetName val="Synergy_Sales_Budget2"/>
      <sheetName val="Project_Budget_Worksheet2"/>
      <sheetName val="QoQ_Forecast2"/>
      <sheetName val="Income_Statements2"/>
      <sheetName val="Sheet3__2_2"/>
      <sheetName val="Income_&amp;_Occupancy_Customer2"/>
      <sheetName val="RCC,Ret__Wall2"/>
      <sheetName val="Calculation_(2)2"/>
      <sheetName val="Multiple_output2"/>
      <sheetName val="Builtup_Area2"/>
      <sheetName val="BOQ_T4B2"/>
      <sheetName val="INDIGINEOUS_ITEMS_2"/>
      <sheetName val="Material_2"/>
      <sheetName val="Labour_&amp;_Plant2"/>
      <sheetName val="Approved_MTD_Proj_#'s2"/>
      <sheetName val="_B32"/>
      <sheetName val="_B12"/>
      <sheetName val="beam-reinft-IIInd_floor2"/>
      <sheetName val="Aladdin_Macro12"/>
      <sheetName val="Acc_10_52"/>
      <sheetName val="Global_Assm_2"/>
      <sheetName val="MN_T_B_2"/>
      <sheetName val="CFForecast_detail2"/>
      <sheetName val="Site_Dev_BOQ2"/>
      <sheetName val="Break_up_Sheet2"/>
      <sheetName val="Load_Details-220kV2"/>
      <sheetName val="Block_A_-_BOQ2"/>
      <sheetName val="Fin Sum"/>
      <sheetName val="EBITDA"/>
      <sheetName val="ANN.K"/>
      <sheetName val="CAP"/>
      <sheetName val="International"/>
      <sheetName val="Internet"/>
      <sheetName val="02022005"/>
      <sheetName val="16022005"/>
      <sheetName val="05012005"/>
      <sheetName val="19012005"/>
      <sheetName val="02032005"/>
      <sheetName val="16032005"/>
      <sheetName val="30032005"/>
      <sheetName val="QoQ In Lakhs"/>
      <sheetName val="CABLE DATA"/>
      <sheetName val="1st flr"/>
      <sheetName val="final abstract"/>
      <sheetName val="Rate analysis"/>
      <sheetName val="Sheet3_(2)3"/>
      <sheetName val="ABP_inputs3"/>
      <sheetName val="Synergy_Sales_Budget3"/>
      <sheetName val="Project_Budget_Worksheet3"/>
      <sheetName val="QoQ_Forecast3"/>
      <sheetName val="Income_Statements3"/>
      <sheetName val="Sheet3__2_3"/>
      <sheetName val="Income_&amp;_Occupancy_Customer3"/>
      <sheetName val="RCC,Ret__Wall3"/>
      <sheetName val="Calculation_(2)3"/>
      <sheetName val="Multiple_output3"/>
      <sheetName val="Builtup_Area3"/>
      <sheetName val="BOQ_T4B3"/>
      <sheetName val="INDIGINEOUS_ITEMS_3"/>
      <sheetName val="Material_3"/>
      <sheetName val="Labour_&amp;_Plant3"/>
      <sheetName val="Approved_MTD_Proj_#'s3"/>
      <sheetName val="_B33"/>
      <sheetName val="_B13"/>
      <sheetName val="beam-reinft-IIInd_floor3"/>
      <sheetName val="Aladdin_Macro13"/>
      <sheetName val="Acc_10_53"/>
      <sheetName val="Global_Assm_3"/>
      <sheetName val="MN_T_B_3"/>
      <sheetName val="CFForecast_detail3"/>
      <sheetName val="Site_Dev_BOQ3"/>
      <sheetName val="Break_up_Sheet3"/>
      <sheetName val="Load_Details-220kV3"/>
      <sheetName val="Block_A_-_BOQ3"/>
      <sheetName val="Sheet3_(2)4"/>
      <sheetName val="ABP_inputs4"/>
      <sheetName val="Synergy_Sales_Budget4"/>
      <sheetName val="Project_Budget_Worksheet4"/>
      <sheetName val="QoQ_Forecast4"/>
      <sheetName val="Income_Statements4"/>
      <sheetName val="Sheet3__2_4"/>
      <sheetName val="Income_&amp;_Occupancy_Customer4"/>
      <sheetName val="RCC,Ret__Wall4"/>
      <sheetName val="Calculation_(2)4"/>
      <sheetName val="Multiple_output4"/>
      <sheetName val="Builtup_Area4"/>
      <sheetName val="BOQ_T4B4"/>
      <sheetName val="INDIGINEOUS_ITEMS_4"/>
      <sheetName val="Material_4"/>
      <sheetName val="Labour_&amp;_Plant4"/>
      <sheetName val="Approved_MTD_Proj_#'s4"/>
      <sheetName val="_B34"/>
      <sheetName val="_B14"/>
      <sheetName val="beam-reinft-IIInd_floor4"/>
      <sheetName val="Aladdin_Macro14"/>
      <sheetName val="Acc_10_54"/>
      <sheetName val="Global_Assm_4"/>
      <sheetName val="MN_T_B_4"/>
      <sheetName val="CFForecast_detail4"/>
      <sheetName val="Site_Dev_BOQ4"/>
      <sheetName val="Break_up_Sheet4"/>
      <sheetName val="Load_Details-220kV4"/>
      <sheetName val="Block_A_-_BOQ4"/>
      <sheetName val="02"/>
      <sheetName val="03"/>
      <sheetName val="04"/>
      <sheetName val="01"/>
      <sheetName val="Civil Boq"/>
      <sheetName val="MIS - kINR"/>
      <sheetName val="BS"/>
      <sheetName val="Other BS Sch 5-9"/>
      <sheetName val="Excess Calc"/>
      <sheetName val="Grouping Master"/>
      <sheetName val="Current Bill MB ref"/>
      <sheetName val="Meas.-Hotel Part"/>
      <sheetName val="March Analysts"/>
      <sheetName val="Company"/>
      <sheetName val="compu"/>
      <sheetName val="P &amp; L"/>
      <sheetName val="PLAN_FEB97"/>
      <sheetName val="Factor_Sheet"/>
      <sheetName val="Sheet3_(2)5"/>
      <sheetName val="Sheet3__2_5"/>
      <sheetName val="Calculation_(2)5"/>
      <sheetName val="Multiple_output5"/>
      <sheetName val="170810-lease_tax"/>
      <sheetName val="QoQ_Forecast5"/>
      <sheetName val="Income_Statements5"/>
      <sheetName val="Income_&amp;_Occupancy_Customer5"/>
      <sheetName val="ABP_inputs5"/>
      <sheetName val="Synergy_Sales_Budget5"/>
      <sheetName val="Project_Budget_Worksheet5"/>
      <sheetName val="INDIGINEOUS_ITEMS_5"/>
      <sheetName val="Builtup_Area5"/>
      <sheetName val="RCC,Ret__Wall5"/>
      <sheetName val="BOQ_T4B5"/>
      <sheetName val="Material_5"/>
      <sheetName val="Labour_&amp;_Plant5"/>
      <sheetName val="_B35"/>
      <sheetName val="_B15"/>
      <sheetName val="CFForecast_detail5"/>
      <sheetName val="Site_Dev_BOQ5"/>
      <sheetName val="beam-reinft-IIInd_floor5"/>
      <sheetName val="Global_Assm_5"/>
      <sheetName val="Main_Sheet_(MTD)"/>
      <sheetName val="Consl_Daily_Report"/>
      <sheetName val="balance_sheet"/>
      <sheetName val="van_khuon"/>
      <sheetName val="IDC_macro"/>
      <sheetName val="Aladdin_Macro15"/>
      <sheetName val="Acc_10_55"/>
      <sheetName val="Portfolio_Summary"/>
      <sheetName val="MIS_-_kINR"/>
      <sheetName val="Break_up_Sheet5"/>
      <sheetName val="Approved_MTD_Proj_#'s5"/>
      <sheetName val="MN_T_B_5"/>
      <sheetName val="Load_Details-220kV5"/>
      <sheetName val="Block_A_-_BOQ5"/>
      <sheetName val="CABLE_DATA"/>
      <sheetName val="1st_flr"/>
      <sheetName val="final_abstract"/>
      <sheetName val="Rate_analysis"/>
      <sheetName val="Rollup_Summary"/>
      <sheetName val="Civil_Boq"/>
      <sheetName val="F"/>
      <sheetName val="EXHIBIT&quot; T&quot;"/>
      <sheetName val="Turnover"/>
      <sheetName val="SCH-E-1"/>
      <sheetName val="BIPR"/>
      <sheetName val="BPCA"/>
      <sheetName val="BBRS"/>
      <sheetName val="KPM DT"/>
      <sheetName val="Main workings"/>
      <sheetName val="GENERAL2"/>
      <sheetName val="M-2 Adjusted"/>
      <sheetName val="Master Price List"/>
      <sheetName val="reference"/>
      <sheetName val="new_data"/>
      <sheetName val="earnmodl"/>
      <sheetName val="Dom Cell (IS)"/>
      <sheetName val="?????"/>
      <sheetName val="Budget Summary"/>
      <sheetName val="AOP13"/>
      <sheetName val="sept-plan"/>
      <sheetName val="classes"/>
      <sheetName val="IT Block"/>
      <sheetName val="Location CODE"/>
      <sheetName val="Location TYPE"/>
      <sheetName val="sub class"/>
      <sheetName val=" sub Loc "/>
      <sheetName val=" Acc. Sched."/>
      <sheetName val="HELP"/>
      <sheetName val="BS-2005"/>
      <sheetName val="MAIN_MENU"/>
      <sheetName val="exec summ"/>
      <sheetName val="Ins Erection"/>
    </sheetNames>
    <sheetDataSet>
      <sheetData sheetId="0" refreshError="1">
        <row r="65">
          <cell r="A65" t="str">
            <v>(II)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>
        <row r="65">
          <cell r="A65" t="str">
            <v>(II)</v>
          </cell>
        </row>
      </sheetData>
      <sheetData sheetId="87">
        <row r="65">
          <cell r="A65" t="str">
            <v>(II)</v>
          </cell>
        </row>
      </sheetData>
      <sheetData sheetId="88">
        <row r="65">
          <cell r="A65" t="str">
            <v>(II)</v>
          </cell>
        </row>
      </sheetData>
      <sheetData sheetId="89">
        <row r="65">
          <cell r="A65" t="str">
            <v>(II)</v>
          </cell>
        </row>
      </sheetData>
      <sheetData sheetId="90">
        <row r="65">
          <cell r="A65" t="str">
            <v>(II)</v>
          </cell>
        </row>
      </sheetData>
      <sheetData sheetId="91">
        <row r="65">
          <cell r="A65" t="str">
            <v>(II)</v>
          </cell>
        </row>
      </sheetData>
      <sheetData sheetId="92">
        <row r="65">
          <cell r="A65" t="str">
            <v>(II)</v>
          </cell>
        </row>
      </sheetData>
      <sheetData sheetId="93">
        <row r="65">
          <cell r="A65" t="str">
            <v>(II)</v>
          </cell>
        </row>
      </sheetData>
      <sheetData sheetId="94">
        <row r="65">
          <cell r="A65" t="str">
            <v>(II)</v>
          </cell>
        </row>
      </sheetData>
      <sheetData sheetId="95">
        <row r="65">
          <cell r="A65" t="str">
            <v>(II)</v>
          </cell>
        </row>
      </sheetData>
      <sheetData sheetId="96">
        <row r="65">
          <cell r="A65" t="str">
            <v>(II)</v>
          </cell>
        </row>
      </sheetData>
      <sheetData sheetId="97">
        <row r="65">
          <cell r="A65" t="str">
            <v>(II)</v>
          </cell>
        </row>
      </sheetData>
      <sheetData sheetId="98">
        <row r="65">
          <cell r="A65" t="str">
            <v>(II)</v>
          </cell>
        </row>
      </sheetData>
      <sheetData sheetId="99">
        <row r="65">
          <cell r="A65" t="str">
            <v>(II)</v>
          </cell>
        </row>
      </sheetData>
      <sheetData sheetId="100">
        <row r="65">
          <cell r="A65" t="str">
            <v>(II)</v>
          </cell>
        </row>
      </sheetData>
      <sheetData sheetId="101">
        <row r="65">
          <cell r="A65" t="str">
            <v>(II)</v>
          </cell>
        </row>
      </sheetData>
      <sheetData sheetId="102">
        <row r="65">
          <cell r="A65" t="str">
            <v>(II)</v>
          </cell>
        </row>
      </sheetData>
      <sheetData sheetId="103">
        <row r="65">
          <cell r="A65" t="str">
            <v>(II)</v>
          </cell>
        </row>
      </sheetData>
      <sheetData sheetId="104">
        <row r="65">
          <cell r="A65" t="str">
            <v>(II)</v>
          </cell>
        </row>
      </sheetData>
      <sheetData sheetId="105">
        <row r="65">
          <cell r="A65" t="str">
            <v>(II)</v>
          </cell>
        </row>
      </sheetData>
      <sheetData sheetId="106">
        <row r="65">
          <cell r="A65" t="str">
            <v>(II)</v>
          </cell>
        </row>
      </sheetData>
      <sheetData sheetId="107">
        <row r="65">
          <cell r="A65" t="str">
            <v>(II)</v>
          </cell>
        </row>
      </sheetData>
      <sheetData sheetId="108">
        <row r="65">
          <cell r="A65" t="str">
            <v>(II)</v>
          </cell>
        </row>
      </sheetData>
      <sheetData sheetId="109">
        <row r="65">
          <cell r="A65" t="str">
            <v>(II)</v>
          </cell>
        </row>
      </sheetData>
      <sheetData sheetId="110">
        <row r="65">
          <cell r="A65" t="str">
            <v>(II)</v>
          </cell>
        </row>
      </sheetData>
      <sheetData sheetId="111">
        <row r="65">
          <cell r="A65" t="str">
            <v>(II)</v>
          </cell>
        </row>
      </sheetData>
      <sheetData sheetId="112">
        <row r="65">
          <cell r="A65" t="str">
            <v>(II)</v>
          </cell>
        </row>
      </sheetData>
      <sheetData sheetId="113">
        <row r="65">
          <cell r="A65" t="str">
            <v>(II)</v>
          </cell>
        </row>
      </sheetData>
      <sheetData sheetId="114">
        <row r="65">
          <cell r="A65" t="str">
            <v>(II)</v>
          </cell>
        </row>
      </sheetData>
      <sheetData sheetId="115">
        <row r="65">
          <cell r="A65" t="str">
            <v>(II)</v>
          </cell>
        </row>
      </sheetData>
      <sheetData sheetId="116">
        <row r="65">
          <cell r="A65" t="str">
            <v>(II)</v>
          </cell>
        </row>
      </sheetData>
      <sheetData sheetId="117">
        <row r="65">
          <cell r="A65" t="str">
            <v>(II)</v>
          </cell>
        </row>
      </sheetData>
      <sheetData sheetId="118">
        <row r="65">
          <cell r="A65" t="str">
            <v>(II)</v>
          </cell>
        </row>
      </sheetData>
      <sheetData sheetId="119">
        <row r="65">
          <cell r="A65" t="str">
            <v>(II)</v>
          </cell>
        </row>
      </sheetData>
      <sheetData sheetId="120">
        <row r="65">
          <cell r="A65" t="str">
            <v>(II)</v>
          </cell>
        </row>
      </sheetData>
      <sheetData sheetId="121">
        <row r="65">
          <cell r="A65" t="str">
            <v>(II)</v>
          </cell>
        </row>
      </sheetData>
      <sheetData sheetId="122">
        <row r="65">
          <cell r="A65" t="str">
            <v>(II)</v>
          </cell>
        </row>
      </sheetData>
      <sheetData sheetId="123">
        <row r="65">
          <cell r="A65" t="str">
            <v>(II)</v>
          </cell>
        </row>
      </sheetData>
      <sheetData sheetId="124">
        <row r="65">
          <cell r="A65" t="str">
            <v>(II)</v>
          </cell>
        </row>
      </sheetData>
      <sheetData sheetId="125">
        <row r="65">
          <cell r="A65" t="str">
            <v>(II)</v>
          </cell>
        </row>
      </sheetData>
      <sheetData sheetId="126">
        <row r="65">
          <cell r="A65" t="str">
            <v>(II)</v>
          </cell>
        </row>
      </sheetData>
      <sheetData sheetId="127">
        <row r="65">
          <cell r="A65" t="str">
            <v>(II)</v>
          </cell>
        </row>
      </sheetData>
      <sheetData sheetId="128">
        <row r="65">
          <cell r="A65" t="str">
            <v>(II)</v>
          </cell>
        </row>
      </sheetData>
      <sheetData sheetId="129">
        <row r="65">
          <cell r="A65" t="str">
            <v>(II)</v>
          </cell>
        </row>
      </sheetData>
      <sheetData sheetId="130">
        <row r="65">
          <cell r="A65" t="str">
            <v>(II)</v>
          </cell>
        </row>
      </sheetData>
      <sheetData sheetId="131">
        <row r="65">
          <cell r="A65" t="str">
            <v>(II)</v>
          </cell>
        </row>
      </sheetData>
      <sheetData sheetId="132">
        <row r="65">
          <cell r="A65" t="str">
            <v>(II)</v>
          </cell>
        </row>
      </sheetData>
      <sheetData sheetId="133">
        <row r="65">
          <cell r="A65" t="str">
            <v>(II)</v>
          </cell>
        </row>
      </sheetData>
      <sheetData sheetId="134">
        <row r="65">
          <cell r="A65" t="str">
            <v>(II)</v>
          </cell>
        </row>
      </sheetData>
      <sheetData sheetId="135">
        <row r="65">
          <cell r="A65" t="str">
            <v>(II)</v>
          </cell>
        </row>
      </sheetData>
      <sheetData sheetId="136">
        <row r="65">
          <cell r="A65" t="str">
            <v>(II)</v>
          </cell>
        </row>
      </sheetData>
      <sheetData sheetId="137">
        <row r="65">
          <cell r="A65" t="str">
            <v>(II)</v>
          </cell>
        </row>
      </sheetData>
      <sheetData sheetId="138">
        <row r="65">
          <cell r="A65" t="str">
            <v>(II)</v>
          </cell>
        </row>
      </sheetData>
      <sheetData sheetId="139">
        <row r="65">
          <cell r="A65" t="str">
            <v>(II)</v>
          </cell>
        </row>
      </sheetData>
      <sheetData sheetId="140">
        <row r="65">
          <cell r="A65" t="str">
            <v>(II)</v>
          </cell>
        </row>
      </sheetData>
      <sheetData sheetId="141">
        <row r="65">
          <cell r="A65" t="str">
            <v>(II)</v>
          </cell>
        </row>
      </sheetData>
      <sheetData sheetId="142">
        <row r="65">
          <cell r="A65" t="str">
            <v>(II)</v>
          </cell>
        </row>
      </sheetData>
      <sheetData sheetId="143">
        <row r="65">
          <cell r="A65" t="str">
            <v>(II)</v>
          </cell>
        </row>
      </sheetData>
      <sheetData sheetId="144">
        <row r="65">
          <cell r="A65" t="str">
            <v>(II)</v>
          </cell>
        </row>
      </sheetData>
      <sheetData sheetId="145">
        <row r="65">
          <cell r="A65" t="str">
            <v>(II)</v>
          </cell>
        </row>
      </sheetData>
      <sheetData sheetId="146">
        <row r="65">
          <cell r="A65" t="str">
            <v>(II)</v>
          </cell>
        </row>
      </sheetData>
      <sheetData sheetId="147">
        <row r="65">
          <cell r="A65" t="str">
            <v>(II)</v>
          </cell>
        </row>
      </sheetData>
      <sheetData sheetId="148">
        <row r="65">
          <cell r="A65" t="str">
            <v>(II)</v>
          </cell>
        </row>
      </sheetData>
      <sheetData sheetId="149">
        <row r="65">
          <cell r="A65" t="str">
            <v>(II)</v>
          </cell>
        </row>
      </sheetData>
      <sheetData sheetId="150">
        <row r="65">
          <cell r="A65" t="str">
            <v>(II)</v>
          </cell>
        </row>
      </sheetData>
      <sheetData sheetId="151">
        <row r="65">
          <cell r="A65" t="str">
            <v>(II)</v>
          </cell>
        </row>
      </sheetData>
      <sheetData sheetId="152">
        <row r="65">
          <cell r="A65" t="str">
            <v>(II)</v>
          </cell>
        </row>
      </sheetData>
      <sheetData sheetId="153">
        <row r="65">
          <cell r="A65" t="str">
            <v>(II)</v>
          </cell>
        </row>
      </sheetData>
      <sheetData sheetId="154">
        <row r="65">
          <cell r="A65" t="str">
            <v>(II)</v>
          </cell>
        </row>
      </sheetData>
      <sheetData sheetId="155">
        <row r="65">
          <cell r="A65" t="str">
            <v>(II)</v>
          </cell>
        </row>
      </sheetData>
      <sheetData sheetId="156">
        <row r="65">
          <cell r="A65" t="str">
            <v>(II)</v>
          </cell>
        </row>
      </sheetData>
      <sheetData sheetId="157">
        <row r="65">
          <cell r="A65" t="str">
            <v>(II)</v>
          </cell>
        </row>
      </sheetData>
      <sheetData sheetId="158">
        <row r="65">
          <cell r="A65" t="str">
            <v>(II)</v>
          </cell>
        </row>
      </sheetData>
      <sheetData sheetId="159">
        <row r="65">
          <cell r="A65" t="str">
            <v>(II)</v>
          </cell>
        </row>
      </sheetData>
      <sheetData sheetId="160">
        <row r="65">
          <cell r="A65" t="str">
            <v>(II)</v>
          </cell>
        </row>
      </sheetData>
      <sheetData sheetId="161">
        <row r="65">
          <cell r="A65" t="str">
            <v>(II)</v>
          </cell>
        </row>
      </sheetData>
      <sheetData sheetId="162">
        <row r="65">
          <cell r="A65" t="str">
            <v>(II)</v>
          </cell>
        </row>
      </sheetData>
      <sheetData sheetId="163">
        <row r="65">
          <cell r="A65" t="str">
            <v>(II)</v>
          </cell>
        </row>
      </sheetData>
      <sheetData sheetId="164">
        <row r="65">
          <cell r="A65" t="str">
            <v>(II)</v>
          </cell>
        </row>
      </sheetData>
      <sheetData sheetId="165">
        <row r="65">
          <cell r="A65" t="str">
            <v>(II)</v>
          </cell>
        </row>
      </sheetData>
      <sheetData sheetId="166">
        <row r="65">
          <cell r="A65" t="str">
            <v>(II)</v>
          </cell>
        </row>
      </sheetData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>
        <row r="65">
          <cell r="A65" t="str">
            <v>(II)</v>
          </cell>
        </row>
      </sheetData>
      <sheetData sheetId="264">
        <row r="65">
          <cell r="A65" t="str">
            <v>(II)</v>
          </cell>
        </row>
      </sheetData>
      <sheetData sheetId="265">
        <row r="65">
          <cell r="A65" t="str">
            <v>(II)</v>
          </cell>
        </row>
      </sheetData>
      <sheetData sheetId="266">
        <row r="65">
          <cell r="A65" t="str">
            <v>(II)</v>
          </cell>
        </row>
      </sheetData>
      <sheetData sheetId="267">
        <row r="65">
          <cell r="A65" t="str">
            <v>(II)</v>
          </cell>
        </row>
      </sheetData>
      <sheetData sheetId="268">
        <row r="65">
          <cell r="A65" t="str">
            <v>(II)</v>
          </cell>
        </row>
      </sheetData>
      <sheetData sheetId="269">
        <row r="65">
          <cell r="A65" t="str">
            <v>(II)</v>
          </cell>
        </row>
      </sheetData>
      <sheetData sheetId="270">
        <row r="65">
          <cell r="A65" t="str">
            <v>(II)</v>
          </cell>
        </row>
      </sheetData>
      <sheetData sheetId="271">
        <row r="65">
          <cell r="A65" t="str">
            <v>(II)</v>
          </cell>
        </row>
      </sheetData>
      <sheetData sheetId="272">
        <row r="65">
          <cell r="A65" t="str">
            <v>(II)</v>
          </cell>
        </row>
      </sheetData>
      <sheetData sheetId="273">
        <row r="65">
          <cell r="A65" t="str">
            <v>(II)</v>
          </cell>
        </row>
      </sheetData>
      <sheetData sheetId="274">
        <row r="65">
          <cell r="A65" t="str">
            <v>(II)</v>
          </cell>
        </row>
      </sheetData>
      <sheetData sheetId="275">
        <row r="65">
          <cell r="A65" t="str">
            <v>(II)</v>
          </cell>
        </row>
      </sheetData>
      <sheetData sheetId="276">
        <row r="65">
          <cell r="A65" t="str">
            <v>(II)</v>
          </cell>
        </row>
      </sheetData>
      <sheetData sheetId="277">
        <row r="65">
          <cell r="A65" t="str">
            <v>(II)</v>
          </cell>
        </row>
      </sheetData>
      <sheetData sheetId="278">
        <row r="65">
          <cell r="A65" t="str">
            <v>(II)</v>
          </cell>
        </row>
      </sheetData>
      <sheetData sheetId="279">
        <row r="65">
          <cell r="A65" t="str">
            <v>(II)</v>
          </cell>
        </row>
      </sheetData>
      <sheetData sheetId="280">
        <row r="65">
          <cell r="A65" t="str">
            <v>(II)</v>
          </cell>
        </row>
      </sheetData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nge"/>
      <sheetName val="PublicCompValue"/>
      <sheetName val="M&amp;ACompValue"/>
      <sheetName val="PPR"/>
      <sheetName val="stock and options"/>
      <sheetName val="Breakup"/>
      <sheetName val="Dilution"/>
      <sheetName val="Model"/>
      <sheetName val="Sum proj"/>
      <sheetName val="USM overview"/>
      <sheetName val="TDS overview"/>
      <sheetName val="Aerial 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_General Assumptions"/>
      <sheetName val="Cover sheet"/>
      <sheetName val="TM_Profit and loss INR"/>
      <sheetName val="TM_Balance Sheet INR"/>
      <sheetName val="Profit and loss INR"/>
      <sheetName val="Balance Sheet INR"/>
      <sheetName val="TM_Cash flows INR"/>
      <sheetName val="Cash flows INR"/>
      <sheetName val="TM_Profit and loss USD"/>
      <sheetName val="Profit and loss USD"/>
      <sheetName val="TM_Balance Sheet USD"/>
      <sheetName val="Balance Sheet USD"/>
      <sheetName val="TM_Cash flows USD"/>
      <sheetName val="Cash flows USD"/>
      <sheetName val="TM_Capital Structure"/>
      <sheetName val="Additional information"/>
      <sheetName val="Capital Structure"/>
      <sheetName val="Quarterly FS"/>
      <sheetName val="Geographical - Mustard"/>
      <sheetName val="Geographical - Refined"/>
      <sheetName val="Refined oil split"/>
      <sheetName val="Sensitivites"/>
      <sheetName val="Input sheets"/>
      <sheetName val="TM_Revenue and cost ass"/>
      <sheetName val="TM_Quantity Ass"/>
      <sheetName val="TM_Quantity and sales ass"/>
      <sheetName val="General Assumptions"/>
      <sheetName val="TM_Quantity Sales  capex &amp; WC a"/>
      <sheetName val="Quantity Sales  capex &amp; WC assp"/>
      <sheetName val="TM_Costs assumpts "/>
      <sheetName val="Costs assumpts "/>
      <sheetName val="Computation sheets"/>
      <sheetName val="Revenues"/>
      <sheetName val="TM_Costs"/>
      <sheetName val="Costs"/>
      <sheetName val="TM_Borrowing schedule"/>
      <sheetName val="Borrowing schedule"/>
      <sheetName val="TM_Working cap sch"/>
      <sheetName val="Working cap sch"/>
      <sheetName val="TM_Sales and Gross Profit"/>
      <sheetName val="TM_Revenues"/>
      <sheetName val="Book Dep Sch"/>
      <sheetName val="TM_Tax dep Sch"/>
      <sheetName val="Tax dep Sch"/>
      <sheetName val="TM_Tax"/>
      <sheetName val="Ta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8">
          <cell r="F8">
            <v>1000000</v>
          </cell>
        </row>
        <row r="10">
          <cell r="L10">
            <v>1</v>
          </cell>
        </row>
      </sheetData>
      <sheetData sheetId="27" refreshError="1"/>
      <sheetData sheetId="28"/>
      <sheetData sheetId="29" refreshError="1"/>
      <sheetData sheetId="30"/>
      <sheetData sheetId="31" refreshError="1"/>
      <sheetData sheetId="32"/>
      <sheetData sheetId="33" refreshError="1"/>
      <sheetData sheetId="34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_General Assumptions"/>
      <sheetName val="Cover sheet"/>
      <sheetName val="TM_Profit and loss INR"/>
      <sheetName val="TM_Balance Sheet INR"/>
      <sheetName val="Profit and loss INR"/>
      <sheetName val="Balance Sheet INR"/>
      <sheetName val="TM_Cash flows INR"/>
      <sheetName val="Cash flows INR"/>
      <sheetName val="TM_Profit and loss USD"/>
      <sheetName val="Profit and loss USD"/>
      <sheetName val="TM_Balance Sheet USD"/>
      <sheetName val="Balance Sheet USD"/>
      <sheetName val="TM_Cash flows USD"/>
      <sheetName val="Cash flows USD"/>
      <sheetName val="TM_Capital Structure"/>
      <sheetName val="Additional information"/>
      <sheetName val="Capital Structure"/>
      <sheetName val="Quarterly FS"/>
      <sheetName val="Geographical - Mustard"/>
      <sheetName val="Geographical - Refined"/>
      <sheetName val="Refined oil split"/>
      <sheetName val="Sensitivites"/>
      <sheetName val="Input sheets"/>
      <sheetName val="TM_Revenue and cost ass"/>
      <sheetName val="TM_Quantity Ass"/>
      <sheetName val="TM_Quantity and sales ass"/>
      <sheetName val="General Assumptions"/>
      <sheetName val="TM_Quantity Sales  capex &amp; WC a"/>
      <sheetName val="Quantity Sales  capex &amp; WC assp"/>
      <sheetName val="TM_Costs assumpts "/>
      <sheetName val="Costs assumpts "/>
      <sheetName val="Computation sheets"/>
      <sheetName val="Revenues"/>
      <sheetName val="TM_Costs"/>
      <sheetName val="Costs"/>
      <sheetName val="TM_Borrowing schedule"/>
      <sheetName val="Borrowing schedule"/>
      <sheetName val="TM_Working cap sch"/>
      <sheetName val="Working cap sch"/>
      <sheetName val="TM_Sales and Gross Profit"/>
      <sheetName val="TM_Revenues"/>
      <sheetName val="Book Dep Sch"/>
      <sheetName val="TM_Tax dep Sch"/>
      <sheetName val="Tax dep Sch"/>
      <sheetName val="TM_Tax"/>
      <sheetName val="Ta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8">
          <cell r="F8">
            <v>1000000</v>
          </cell>
        </row>
        <row r="10">
          <cell r="L10">
            <v>1</v>
          </cell>
        </row>
      </sheetData>
      <sheetData sheetId="27" refreshError="1"/>
      <sheetData sheetId="28"/>
      <sheetData sheetId="29" refreshError="1"/>
      <sheetData sheetId="30"/>
      <sheetData sheetId="31" refreshError="1"/>
      <sheetData sheetId="32"/>
      <sheetData sheetId="33" refreshError="1"/>
      <sheetData sheetId="34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getOverview"/>
      <sheetName val="TargetTrading"/>
      <sheetName val="TargetAVP"/>
      <sheetName val="TargetDCF"/>
      <sheetName val="TargetLBO"/>
      <sheetName val="LBO Valuation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XRATES"/>
      <sheetName val="SHARES"/>
      <sheetName val="Multiples"/>
      <sheetName val="Comps Export"/>
      <sheetName val="Web - Valn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 Detail Expalin 2"/>
      <sheetName val="June99_Chemicals"/>
    </sheetNames>
    <definedNames>
      <definedName name="goto13"/>
      <definedName name="goto15"/>
      <definedName name="goto17"/>
      <definedName name="goto18"/>
      <definedName name="goto20"/>
      <definedName name="Module4.goto16"/>
      <definedName name="Module6.goto14"/>
      <definedName name="Print13"/>
      <definedName name="Print14"/>
      <definedName name="Print15"/>
      <definedName name="Print16"/>
      <definedName name="Print17"/>
      <definedName name="Print18"/>
      <definedName name="Print19"/>
      <definedName name="Print20"/>
    </definedNames>
    <sheetDataSet>
      <sheetData sheetId="0" refreshError="1"/>
      <sheetData sheetId="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Advanstar"/>
      <sheetName val="Co. C"/>
      <sheetName val="Synergies or Adjustments"/>
      <sheetName val="Co. E+C "/>
      <sheetName val="Module1"/>
      <sheetName val="DC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 Control"/>
      <sheetName val="Assumptions"/>
      <sheetName val="Calculations"/>
      <sheetName val="Blr"/>
      <sheetName val="Cnn"/>
      <sheetName val="Chd"/>
      <sheetName val="Chn"/>
      <sheetName val="Cbtr"/>
      <sheetName val="Elg"/>
      <sheetName val="Ggn"/>
      <sheetName val="Hyd"/>
      <sheetName val="Ind"/>
      <sheetName val="Jldr"/>
      <sheetName val="KolSL"/>
      <sheetName val="Lkw"/>
      <sheetName val="MumKd"/>
      <sheetName val="MumNP"/>
      <sheetName val="MumSC"/>
      <sheetName val="Nda"/>
      <sheetName val="Pune"/>
      <sheetName val="Trvdm"/>
      <sheetName val="Vdra"/>
      <sheetName val="Vizag"/>
      <sheetName val="Consolidated"/>
      <sheetName val="Valuation"/>
      <sheetName val="Sheet1"/>
    </sheetNames>
    <sheetDataSet>
      <sheetData sheetId="0" refreshError="1"/>
      <sheetData sheetId="1">
        <row r="1314">
          <cell r="B1314">
            <v>0.35699999999999998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storical"/>
      <sheetName val="DATA"/>
      <sheetName val="ProSum"/>
      <sheetName val="Sum"/>
      <sheetName val="Rev"/>
      <sheetName val="Exp"/>
      <sheetName val="Phones"/>
      <sheetName val="Capex"/>
      <sheetName val="Zblank14 - Financing Model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IS"/>
      <sheetName val="SG&amp;A"/>
      <sheetName val="CF"/>
      <sheetName val="Lead Sheets"/>
      <sheetName val="D0799"/>
      <sheetName val="GLRP01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läuterungen"/>
      <sheetName val="Abstimmung"/>
      <sheetName val="Parameter"/>
      <sheetName val="Maßnahmen"/>
      <sheetName val="Bilanz"/>
      <sheetName val="GuV"/>
      <sheetName val="Übersicht"/>
      <sheetName val="Übersicht Gesell"/>
      <sheetName val="Grafik"/>
      <sheetName val="SENSCF"/>
      <sheetName val="SensPL"/>
      <sheetName val="Cash"/>
      <sheetName val="P00BS"/>
      <sheetName val="P00CF"/>
      <sheetName val="P00PL"/>
      <sheetName val="P_DBS"/>
      <sheetName val="P11BS"/>
      <sheetName val="P11CF"/>
      <sheetName val="P11PL"/>
      <sheetName val="P12BS"/>
      <sheetName val="P12CF"/>
      <sheetName val="P12PL"/>
      <sheetName val="P13BS"/>
      <sheetName val="P13CF"/>
      <sheetName val="P13PL"/>
      <sheetName val="P14BS"/>
      <sheetName val="P14CF"/>
      <sheetName val="P14PL"/>
      <sheetName val="P15BS"/>
      <sheetName val="P15CF"/>
      <sheetName val="P15PL"/>
      <sheetName val="P16BS"/>
      <sheetName val="P16CF"/>
      <sheetName val="P16PL"/>
      <sheetName val="P19BS"/>
      <sheetName val="P19CF"/>
      <sheetName val="P19PL"/>
      <sheetName val="P20BS"/>
      <sheetName val="P20CF"/>
      <sheetName val="P20PL"/>
      <sheetName val="P11BSÜL"/>
      <sheetName val="P12BSÜL"/>
      <sheetName val="P13BSÜL"/>
      <sheetName val="P14BSÜL"/>
      <sheetName val="P15BSÜL"/>
      <sheetName val="P16BSÜL"/>
      <sheetName val="P19BSÜL"/>
      <sheetName val="P20BSÜ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TITLES"/>
      <sheetName val="FLASH"/>
      <sheetName val="EFR "/>
      <sheetName val="PROFIT-PERF"/>
      <sheetName val="PVA"/>
      <sheetName val="BS"/>
      <sheetName val="C-FLOW"/>
      <sheetName val="CASHFLOW"/>
      <sheetName val="ASSET-WK"/>
      <sheetName val="ASSET-UT"/>
      <sheetName val="RECEIVABLES"/>
      <sheetName val="INVENTORY"/>
      <sheetName val="DISTRICT PRO"/>
      <sheetName val="OVERHEAD"/>
      <sheetName val="PERF"/>
      <sheetName val="EXP"/>
      <sheetName val="OHVAR"/>
      <sheetName val="OT"/>
      <sheetName val="FACTORY"/>
      <sheetName val="PRODN"/>
      <sheetName val="MANPOWER"/>
      <sheetName val="AFE"/>
      <sheetName val="VAR"/>
      <sheetName val="BAW(D)"/>
      <sheetName val="OH-SUM"/>
      <sheetName val="2005"/>
      <sheetName val="CONTROL"/>
      <sheetName val="adp-budget"/>
      <sheetName val="Links"/>
      <sheetName val="PROD GRAPH"/>
      <sheetName val="#REF"/>
      <sheetName val="JAN"/>
      <sheetName val="Sheet1"/>
      <sheetName val="B&amp;S31-03-04"/>
      <sheetName val="Kontensalden"/>
      <sheetName val="form26"/>
      <sheetName val="CON"/>
      <sheetName val="90-120"/>
      <sheetName val="90_120"/>
      <sheetName val="FINSUM"/>
      <sheetName val="11-INV"/>
      <sheetName val="4-PVA2"/>
      <sheetName val="3-PVA"/>
      <sheetName val="KHSX"/>
      <sheetName val="Comp equip"/>
      <sheetName val="Mach &amp; equip"/>
      <sheetName val="Building"/>
      <sheetName val="FFE"/>
      <sheetName val="MV"/>
      <sheetName val="Freezers"/>
      <sheetName val="Power &amp; Fuel (S)"/>
      <sheetName val="Data"/>
      <sheetName val="OPR-OCT"/>
      <sheetName val="Cover"/>
      <sheetName val="Masters"/>
      <sheetName val="DEP99"/>
      <sheetName val="15121005"/>
      <sheetName val="15211005"/>
      <sheetName val="EFR_"/>
      <sheetName val="DISTRICT_PRO"/>
      <sheetName val="Chiet tinh"/>
      <sheetName val="SALES-VAL"/>
      <sheetName val="Lead"/>
      <sheetName val="DEPN"/>
      <sheetName val="CF"/>
      <sheetName val="Setup"/>
      <sheetName val="C &amp; G RHS"/>
      <sheetName val="19-PERF"/>
      <sheetName val="Q2 YTD OG Sales Analysis"/>
      <sheetName val="data 3A|6A"/>
      <sheetName val="PointNo.5"/>
      <sheetName val="RPK TB"/>
      <sheetName val="5 - CITICORP"/>
      <sheetName val="Stock"/>
      <sheetName val="EXPENSES"/>
      <sheetName val="Comps"/>
      <sheetName val="A"/>
      <sheetName val="Assumptions"/>
      <sheetName val="BS JUL"/>
      <sheetName val="Summary"/>
      <sheetName val="SAP jan"/>
      <sheetName val="TEL LINE INCENTIVES"/>
      <sheetName val="EFR_1"/>
      <sheetName val="DISTRICT_PRO1"/>
      <sheetName val="Q2_YTD_OG_Sales_Analysis"/>
      <sheetName val="data_3A|6A"/>
      <sheetName val="Comp_equip"/>
      <sheetName val="Mach_&amp;_equip"/>
      <sheetName val="Power_&amp;_Fuel_(S)"/>
      <sheetName val="Financials"/>
      <sheetName val="Lakshmi GF"/>
      <sheetName val="CITICORP"/>
      <sheetName val="HDFC"/>
      <sheetName val="KOTAK"/>
      <sheetName val="L_PM"/>
      <sheetName val="DEPRECIATION"/>
      <sheetName val="INPUTMISC"/>
      <sheetName val="MAT calculation final"/>
      <sheetName val="details of brought forward dep "/>
      <sheetName val="operting "/>
      <sheetName val="ytd"/>
      <sheetName val="analyoperat"/>
      <sheetName val="purblresul"/>
      <sheetName val="published sheet"/>
      <sheetName val="earnshare"/>
      <sheetName val="pend ent"/>
      <sheetName val="Cash Flow"/>
      <sheetName val="Balance Sheet"/>
      <sheetName val="Profit &amp; Loss"/>
      <sheetName val="Schd 1-4"/>
      <sheetName val="Schd -5"/>
      <sheetName val="Schd 5 "/>
      <sheetName val="Schd 6-9"/>
      <sheetName val="Schd 10-12"/>
      <sheetName val="Schd 13-15"/>
      <sheetName val="Schd 16-18"/>
      <sheetName val="subschp&amp;l"/>
      <sheetName val="subschbs"/>
      <sheetName val="adjustments"/>
      <sheetName val="Sheet4"/>
      <sheetName val="prior period"/>
      <sheetName val="furn&amp;diesel"/>
      <sheetName val="s&amp;Cconsump"/>
      <sheetName val="julytojun'08"/>
      <sheetName val="to nov cons'07"/>
      <sheetName val="consudec'07"/>
      <sheetName val="consumption"/>
      <sheetName val="fifo"/>
      <sheetName val="consumjan12.02.08"/>
      <sheetName val="consumjune'08"/>
      <sheetName val="consum jan'08"/>
      <sheetName val="Sheet2"/>
      <sheetName val="Sheet3"/>
      <sheetName val="consanaly"/>
      <sheetName val="contact_history_table"/>
      <sheetName val="TB_9_01"/>
      <sheetName val="Campus wise summary"/>
      <sheetName val="MODEL"/>
      <sheetName val="98FORECAST (1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CA-NT2"/>
    </sheetNames>
    <sheetDataSet>
      <sheetData sheetId="0" refreshError="1">
        <row r="1">
          <cell r="A1">
            <v>0</v>
          </cell>
          <cell r="B1" t="str">
            <v>***FIXED ASSETS*</v>
          </cell>
        </row>
        <row r="2">
          <cell r="A2">
            <v>1</v>
          </cell>
          <cell r="B2" t="str">
            <v>**LAND &amp; BLDGS*</v>
          </cell>
        </row>
        <row r="3">
          <cell r="A3">
            <v>102</v>
          </cell>
          <cell r="B3" t="str">
            <v>*OFFICE LAND &amp; BLDG COST*</v>
          </cell>
        </row>
        <row r="4">
          <cell r="A4">
            <v>10201</v>
          </cell>
          <cell r="B4" t="str">
            <v>FA-OFFICE LAND COST</v>
          </cell>
        </row>
        <row r="5">
          <cell r="A5">
            <v>10202</v>
          </cell>
          <cell r="B5" t="str">
            <v>FA-OFFICE BLDG COST</v>
          </cell>
        </row>
        <row r="6">
          <cell r="A6">
            <v>10298</v>
          </cell>
          <cell r="B6" t="str">
            <v>CAPITAL ADVANCE - BLDG</v>
          </cell>
        </row>
        <row r="7">
          <cell r="A7">
            <v>10299</v>
          </cell>
          <cell r="B7" t="str">
            <v>CAPITAL WIP - BLDG</v>
          </cell>
        </row>
        <row r="8">
          <cell r="A8">
            <v>2</v>
          </cell>
          <cell r="B8" t="str">
            <v>**LEASEHOLD IMPROVMTS*</v>
          </cell>
        </row>
        <row r="9">
          <cell r="A9">
            <v>203</v>
          </cell>
          <cell r="B9" t="str">
            <v>*INDUSTRIAL LEASEHOLD IMPROVT*</v>
          </cell>
        </row>
        <row r="10">
          <cell r="A10">
            <v>20301</v>
          </cell>
          <cell r="B10" t="str">
            <v>FA-INDUSTRIAL L/H IMPROVE COS</v>
          </cell>
        </row>
        <row r="11">
          <cell r="A11">
            <v>204</v>
          </cell>
          <cell r="B11" t="str">
            <v>*OFFICE LEASEHOLD IMPROVMTS*</v>
          </cell>
        </row>
        <row r="12">
          <cell r="A12">
            <v>20401</v>
          </cell>
          <cell r="B12" t="str">
            <v>FA-LEASEHOLD IMPROVE COST</v>
          </cell>
        </row>
        <row r="13">
          <cell r="A13">
            <v>3</v>
          </cell>
          <cell r="B13" t="str">
            <v>**PLANT &amp; MACHINERY*</v>
          </cell>
        </row>
        <row r="14">
          <cell r="A14">
            <v>306</v>
          </cell>
          <cell r="B14" t="str">
            <v>*EDP EQUIP*</v>
          </cell>
        </row>
        <row r="15">
          <cell r="A15">
            <v>30601</v>
          </cell>
          <cell r="B15" t="str">
            <v>FA-SMS COST</v>
          </cell>
        </row>
        <row r="16">
          <cell r="A16">
            <v>30602</v>
          </cell>
          <cell r="B16" t="str">
            <v>FA-MIS COST</v>
          </cell>
        </row>
        <row r="17">
          <cell r="A17">
            <v>30604</v>
          </cell>
          <cell r="B17" t="str">
            <v>FA - MIS COMPUTER COST</v>
          </cell>
        </row>
        <row r="18">
          <cell r="A18">
            <v>30605</v>
          </cell>
          <cell r="B18" t="str">
            <v>FA - MIS NETWORK COST</v>
          </cell>
        </row>
        <row r="19">
          <cell r="A19">
            <v>30606</v>
          </cell>
          <cell r="B19" t="str">
            <v>FA - MIS SOFTWARE</v>
          </cell>
        </row>
        <row r="20">
          <cell r="A20">
            <v>30607</v>
          </cell>
          <cell r="B20" t="str">
            <v>FA - OTHERS</v>
          </cell>
        </row>
        <row r="21">
          <cell r="A21">
            <v>30698</v>
          </cell>
          <cell r="B21" t="str">
            <v>CAPITAL WIP - EDP</v>
          </cell>
        </row>
        <row r="22">
          <cell r="A22">
            <v>307</v>
          </cell>
          <cell r="B22" t="str">
            <v>*OFFICE TELECOM SYSTEM*</v>
          </cell>
        </row>
        <row r="23">
          <cell r="A23">
            <v>30701</v>
          </cell>
          <cell r="B23" t="str">
            <v>FA-TELECOM EQUIP COST</v>
          </cell>
        </row>
        <row r="24">
          <cell r="A24">
            <v>30798</v>
          </cell>
          <cell r="B24" t="str">
            <v>CWIP-COMMUNICATION EQUIPMENTS</v>
          </cell>
        </row>
        <row r="25">
          <cell r="A25">
            <v>308</v>
          </cell>
          <cell r="B25" t="str">
            <v>*B O &amp; E  EQUIP*</v>
          </cell>
        </row>
        <row r="26">
          <cell r="A26">
            <v>30801</v>
          </cell>
          <cell r="B26" t="str">
            <v>FA-STUDIO EQUIPMENTS</v>
          </cell>
        </row>
        <row r="27">
          <cell r="A27">
            <v>30802</v>
          </cell>
          <cell r="B27" t="str">
            <v>FA-EDITING EQUIPMENTS</v>
          </cell>
        </row>
        <row r="28">
          <cell r="A28">
            <v>30803</v>
          </cell>
          <cell r="B28" t="str">
            <v>FA-GRAPHIC EQUIPMENTS</v>
          </cell>
        </row>
        <row r="29">
          <cell r="A29">
            <v>30804</v>
          </cell>
          <cell r="B29" t="str">
            <v>FA-EFP EQUIPMENTS</v>
          </cell>
        </row>
        <row r="30">
          <cell r="A30">
            <v>30805</v>
          </cell>
          <cell r="B30" t="str">
            <v>FA-AUDIO EQUIPMENTS</v>
          </cell>
        </row>
        <row r="31">
          <cell r="A31">
            <v>30806</v>
          </cell>
          <cell r="B31" t="str">
            <v>FA - LIB. MANAGEMENT SYSTEM</v>
          </cell>
        </row>
        <row r="32">
          <cell r="A32">
            <v>30807</v>
          </cell>
          <cell r="B32" t="str">
            <v>FA-TRANSMISSION EQUIPMENTS</v>
          </cell>
        </row>
        <row r="33">
          <cell r="A33">
            <v>30808</v>
          </cell>
          <cell r="B33" t="str">
            <v>FA-COMPRESSOR &amp; ENCODING</v>
          </cell>
        </row>
        <row r="34">
          <cell r="A34">
            <v>30809</v>
          </cell>
          <cell r="B34" t="str">
            <v>FA-MLTS</v>
          </cell>
        </row>
        <row r="35">
          <cell r="A35">
            <v>30810</v>
          </cell>
          <cell r="B35" t="str">
            <v>FA - RADIO EQUIPMENT</v>
          </cell>
        </row>
        <row r="36">
          <cell r="A36">
            <v>30814</v>
          </cell>
          <cell r="B36" t="str">
            <v>FA - DUBBING EQUIPMENT</v>
          </cell>
        </row>
        <row r="37">
          <cell r="A37">
            <v>30898</v>
          </cell>
          <cell r="B37" t="str">
            <v>CAPITAL WIP - BO&amp;E</v>
          </cell>
        </row>
        <row r="38">
          <cell r="A38">
            <v>30899</v>
          </cell>
          <cell r="B38" t="str">
            <v>FA-OTHER EQUIPMENT</v>
          </cell>
        </row>
        <row r="39">
          <cell r="A39">
            <v>309</v>
          </cell>
          <cell r="B39" t="str">
            <v>*OFFICE AUDIO &amp; VCR EQUIP*</v>
          </cell>
        </row>
        <row r="40">
          <cell r="A40">
            <v>30901</v>
          </cell>
          <cell r="B40" t="str">
            <v>FA-OFFICE AUDIO &amp; VCR COST</v>
          </cell>
        </row>
        <row r="41">
          <cell r="A41">
            <v>310</v>
          </cell>
          <cell r="B41" t="str">
            <v>*OFFICE  EQUIPMENT*</v>
          </cell>
        </row>
        <row r="42">
          <cell r="A42">
            <v>31002</v>
          </cell>
          <cell r="B42" t="str">
            <v>FA-OFFICE EQUIP COST</v>
          </cell>
        </row>
        <row r="43">
          <cell r="A43">
            <v>31098</v>
          </cell>
          <cell r="B43" t="str">
            <v>CAPITAL WIP - OFFICE EQUIP.</v>
          </cell>
        </row>
        <row r="44">
          <cell r="A44">
            <v>311</v>
          </cell>
          <cell r="B44" t="str">
            <v>*AIR-CONDITIONING SYSTM*</v>
          </cell>
        </row>
        <row r="45">
          <cell r="A45">
            <v>31101</v>
          </cell>
          <cell r="B45" t="str">
            <v>FA-AIR-CONDITIONING SYSTM COS</v>
          </cell>
        </row>
        <row r="46">
          <cell r="A46">
            <v>313</v>
          </cell>
          <cell r="B46" t="str">
            <v>*MOTOR VEHICLES*</v>
          </cell>
        </row>
        <row r="47">
          <cell r="A47">
            <v>31301</v>
          </cell>
          <cell r="B47" t="str">
            <v>FA-MOTOR VANS COST</v>
          </cell>
        </row>
        <row r="48">
          <cell r="A48">
            <v>314</v>
          </cell>
          <cell r="B48" t="str">
            <v>*OFFICE FURNITURE*</v>
          </cell>
        </row>
        <row r="49">
          <cell r="A49">
            <v>31401</v>
          </cell>
          <cell r="B49" t="str">
            <v>FA-OFFICE FURNITURE COST</v>
          </cell>
        </row>
        <row r="50">
          <cell r="A50">
            <v>1</v>
          </cell>
          <cell r="B50" t="str">
            <v>***ACCUMULATED DEPRECIATION*</v>
          </cell>
        </row>
        <row r="51">
          <cell r="A51">
            <v>101</v>
          </cell>
          <cell r="B51" t="str">
            <v>**LAND &amp; BLDGS*</v>
          </cell>
        </row>
        <row r="52">
          <cell r="A52">
            <v>10102</v>
          </cell>
          <cell r="B52" t="str">
            <v>*OFFICE LAND &amp; BLDG  COST*</v>
          </cell>
        </row>
        <row r="53">
          <cell r="A53">
            <v>1010201</v>
          </cell>
          <cell r="B53" t="str">
            <v>ACC DEPN-OFFICE LAND</v>
          </cell>
        </row>
        <row r="54">
          <cell r="A54">
            <v>1010202</v>
          </cell>
          <cell r="B54" t="str">
            <v>ACC DEPN-OFFICE BLDG</v>
          </cell>
        </row>
        <row r="55">
          <cell r="A55">
            <v>102</v>
          </cell>
          <cell r="B55" t="str">
            <v>**LEASEHOLD IMPROVMTS*</v>
          </cell>
        </row>
        <row r="56">
          <cell r="A56">
            <v>10203</v>
          </cell>
          <cell r="B56" t="str">
            <v>*INDUSTRIAL LEASEHOLD IMPROVT*</v>
          </cell>
        </row>
        <row r="57">
          <cell r="A57">
            <v>1020301</v>
          </cell>
          <cell r="B57" t="str">
            <v>ACC DEPN- LEASEHOLD IMPROVE</v>
          </cell>
        </row>
        <row r="58">
          <cell r="A58">
            <v>10204</v>
          </cell>
          <cell r="B58" t="str">
            <v>*OFFICE LEASEHOLD IMPROVMTS*</v>
          </cell>
        </row>
        <row r="59">
          <cell r="A59">
            <v>1020401</v>
          </cell>
          <cell r="B59" t="str">
            <v>ACC DEPN-LEASEHOLD IMPROVE</v>
          </cell>
        </row>
        <row r="60">
          <cell r="A60">
            <v>103</v>
          </cell>
          <cell r="B60" t="str">
            <v>**PLANT &amp; MACHINERY*</v>
          </cell>
        </row>
        <row r="61">
          <cell r="A61">
            <v>10306</v>
          </cell>
          <cell r="B61" t="str">
            <v>*EDP EQUIP*</v>
          </cell>
        </row>
        <row r="62">
          <cell r="A62">
            <v>1030601</v>
          </cell>
          <cell r="B62" t="str">
            <v>ACC DEPN-SMS</v>
          </cell>
        </row>
        <row r="63">
          <cell r="A63">
            <v>1030602</v>
          </cell>
          <cell r="B63" t="str">
            <v>ACC DEPN-MIS</v>
          </cell>
        </row>
        <row r="64">
          <cell r="A64">
            <v>1030604</v>
          </cell>
          <cell r="B64" t="str">
            <v>ACC DEPN - MIS COMPUTER COST</v>
          </cell>
        </row>
        <row r="65">
          <cell r="A65">
            <v>1030605</v>
          </cell>
          <cell r="B65" t="str">
            <v>ACC DEPN - MIS NETWORK COST</v>
          </cell>
        </row>
        <row r="66">
          <cell r="A66">
            <v>1030606</v>
          </cell>
          <cell r="B66" t="str">
            <v>ACC DEPN - MIS SOFTWARE</v>
          </cell>
        </row>
        <row r="67">
          <cell r="A67">
            <v>1030607</v>
          </cell>
          <cell r="B67" t="str">
            <v>ACC DEPN - OTHERS</v>
          </cell>
        </row>
        <row r="68">
          <cell r="A68">
            <v>10307</v>
          </cell>
          <cell r="B68" t="str">
            <v>*OFFICE  TELECOMMUNICATIONS  *</v>
          </cell>
        </row>
        <row r="69">
          <cell r="A69">
            <v>1030701</v>
          </cell>
          <cell r="B69" t="str">
            <v>ACC DEPN-TELECOM EQUIP</v>
          </cell>
        </row>
        <row r="70">
          <cell r="A70">
            <v>10308</v>
          </cell>
          <cell r="B70" t="str">
            <v>*B O &amp; E  EQUIP*</v>
          </cell>
        </row>
        <row r="71">
          <cell r="A71">
            <v>1030801</v>
          </cell>
          <cell r="B71" t="str">
            <v>ACC DEPN-STUDIO EQUIP</v>
          </cell>
        </row>
        <row r="72">
          <cell r="A72">
            <v>1030802</v>
          </cell>
          <cell r="B72" t="str">
            <v>ACC DEPN-EDITING EQUIP</v>
          </cell>
        </row>
        <row r="73">
          <cell r="A73">
            <v>1030803</v>
          </cell>
          <cell r="B73" t="str">
            <v>ACC DEPN-GRAPHIC EQUIP</v>
          </cell>
        </row>
        <row r="74">
          <cell r="A74">
            <v>1030804</v>
          </cell>
          <cell r="B74" t="str">
            <v>ACC DEPN-EFP EQUIP</v>
          </cell>
        </row>
        <row r="75">
          <cell r="A75">
            <v>1030805</v>
          </cell>
          <cell r="B75" t="str">
            <v>ACC DEPN-AUDIO EQUIP</v>
          </cell>
        </row>
        <row r="76">
          <cell r="A76">
            <v>1030806</v>
          </cell>
          <cell r="B76" t="str">
            <v>ACC DEPN-LIB. MANAGEMENT SYST</v>
          </cell>
        </row>
        <row r="77">
          <cell r="A77">
            <v>1030807</v>
          </cell>
          <cell r="B77" t="str">
            <v>ACC DEPN-TRANSMISSION EQUIP</v>
          </cell>
        </row>
        <row r="78">
          <cell r="A78">
            <v>1030808</v>
          </cell>
          <cell r="B78" t="str">
            <v>ACC DEPN-COMPRESSOR &amp; ENCODNG</v>
          </cell>
        </row>
        <row r="79">
          <cell r="A79">
            <v>1030809</v>
          </cell>
          <cell r="B79" t="str">
            <v>ACC DEPN-MLTS</v>
          </cell>
        </row>
        <row r="80">
          <cell r="A80">
            <v>1030810</v>
          </cell>
          <cell r="B80" t="str">
            <v>ACC DEPN - RADIO EQUIPMENT</v>
          </cell>
        </row>
        <row r="81">
          <cell r="A81">
            <v>1030814</v>
          </cell>
          <cell r="B81" t="str">
            <v>ACC DEPN - DUBBING  EQUIPMENT</v>
          </cell>
        </row>
        <row r="82">
          <cell r="A82">
            <v>1030899</v>
          </cell>
          <cell r="B82" t="str">
            <v>ACC DEPN-OTHER EQUIP</v>
          </cell>
        </row>
        <row r="83">
          <cell r="A83">
            <v>10309</v>
          </cell>
          <cell r="B83" t="str">
            <v>*OFFICE AUDIO &amp; VCR EQUIP*</v>
          </cell>
        </row>
        <row r="84">
          <cell r="A84">
            <v>1030901</v>
          </cell>
          <cell r="B84" t="str">
            <v>ACC DEPN-OFFICE AUDIO &amp; VCR</v>
          </cell>
        </row>
        <row r="85">
          <cell r="A85">
            <v>10310</v>
          </cell>
          <cell r="B85" t="str">
            <v>*OFFICE EQUIPMENT*</v>
          </cell>
        </row>
        <row r="86">
          <cell r="A86">
            <v>1031002</v>
          </cell>
          <cell r="B86" t="str">
            <v>ACC DEPN - OFFICE EQUIPMENT</v>
          </cell>
        </row>
        <row r="87">
          <cell r="A87">
            <v>10311</v>
          </cell>
          <cell r="B87" t="str">
            <v>*AIR-CONDITIONING SYSTM*</v>
          </cell>
        </row>
        <row r="88">
          <cell r="A88">
            <v>1031101</v>
          </cell>
          <cell r="B88" t="str">
            <v>ACC DEPN-AIR-COND SYSTM</v>
          </cell>
        </row>
        <row r="89">
          <cell r="A89">
            <v>10313</v>
          </cell>
          <cell r="B89" t="str">
            <v>*MOTOR VEHICLES*</v>
          </cell>
        </row>
        <row r="90">
          <cell r="A90">
            <v>1031301</v>
          </cell>
          <cell r="B90" t="str">
            <v>ACC DEPN-MOTOR VANS</v>
          </cell>
        </row>
        <row r="91">
          <cell r="A91">
            <v>10314</v>
          </cell>
          <cell r="B91" t="str">
            <v>*OFFICE FURNITURE*</v>
          </cell>
        </row>
        <row r="92">
          <cell r="A92">
            <v>1031401</v>
          </cell>
          <cell r="B92" t="str">
            <v>ACC DEPN-OFFICE FURNITURE</v>
          </cell>
        </row>
        <row r="93">
          <cell r="A93">
            <v>9</v>
          </cell>
          <cell r="B93" t="str">
            <v>***INVESTMENTS*</v>
          </cell>
        </row>
        <row r="94">
          <cell r="A94">
            <v>901</v>
          </cell>
          <cell r="B94" t="str">
            <v>**INVESTMENT IN EQUITY*</v>
          </cell>
        </row>
        <row r="95">
          <cell r="A95">
            <v>90101</v>
          </cell>
          <cell r="B95" t="str">
            <v>*INVESTMENT IN SUBSIDIARIES*</v>
          </cell>
        </row>
        <row r="96">
          <cell r="A96">
            <v>9010100</v>
          </cell>
          <cell r="B96" t="str">
            <v>INVESTMENT IN SUBSIDIARIES</v>
          </cell>
        </row>
        <row r="97">
          <cell r="A97">
            <v>905</v>
          </cell>
          <cell r="B97" t="str">
            <v>**OTHER INVESTMENTS*</v>
          </cell>
        </row>
        <row r="98">
          <cell r="A98">
            <v>90500</v>
          </cell>
          <cell r="B98" t="str">
            <v>*OTHER INVESTMENTS*</v>
          </cell>
        </row>
        <row r="99">
          <cell r="A99">
            <v>9050000</v>
          </cell>
          <cell r="B99" t="str">
            <v>OTHER INVESTMENTS</v>
          </cell>
        </row>
        <row r="100">
          <cell r="A100">
            <v>9050002</v>
          </cell>
          <cell r="B100" t="str">
            <v>SINKING FUND - USD</v>
          </cell>
        </row>
        <row r="101">
          <cell r="A101">
            <v>9050003</v>
          </cell>
          <cell r="B101" t="str">
            <v>SINKING FUND - INR</v>
          </cell>
        </row>
        <row r="102">
          <cell r="A102">
            <v>9050004</v>
          </cell>
          <cell r="B102" t="str">
            <v>L.TERM DEFERRED ASSET (INDIA)</v>
          </cell>
        </row>
        <row r="103">
          <cell r="A103">
            <v>10</v>
          </cell>
          <cell r="B103" t="str">
            <v>***CURRENT ASSETS*</v>
          </cell>
        </row>
        <row r="104">
          <cell r="A104">
            <v>1008</v>
          </cell>
          <cell r="B104" t="str">
            <v>**INVENTORIES*</v>
          </cell>
        </row>
        <row r="105">
          <cell r="A105">
            <v>100809</v>
          </cell>
          <cell r="B105" t="str">
            <v>*COST OF WIP FILM &amp;TV PRODUCT*</v>
          </cell>
        </row>
        <row r="106">
          <cell r="A106">
            <v>10080901</v>
          </cell>
          <cell r="B106" t="str">
            <v>WIP PROG &amp; RIGHT (INVENTORY)</v>
          </cell>
        </row>
        <row r="107">
          <cell r="A107">
            <v>100811</v>
          </cell>
          <cell r="B107" t="str">
            <v>*STOCK OF FINISHED GOODS*</v>
          </cell>
        </row>
        <row r="108">
          <cell r="A108">
            <v>10081126</v>
          </cell>
          <cell r="B108" t="str">
            <v>STOCK - FINISHED PROGRAMS</v>
          </cell>
        </row>
        <row r="109">
          <cell r="A109">
            <v>10081127</v>
          </cell>
          <cell r="B109" t="str">
            <v>STOCK - BLANK TAPES</v>
          </cell>
        </row>
        <row r="110">
          <cell r="A110">
            <v>100812</v>
          </cell>
          <cell r="B110" t="str">
            <v>*WRITE DOWN OF FINISHED GOODS*</v>
          </cell>
        </row>
        <row r="111">
          <cell r="A111">
            <v>10081223</v>
          </cell>
          <cell r="B111" t="str">
            <v>WD STOCK-OTHERS</v>
          </cell>
        </row>
        <row r="112">
          <cell r="A112">
            <v>1010</v>
          </cell>
          <cell r="B112" t="str">
            <v>**CASH &amp; BANK DEPOSIT*</v>
          </cell>
        </row>
        <row r="113">
          <cell r="A113">
            <v>101001</v>
          </cell>
          <cell r="B113" t="str">
            <v>*PETTY CASH*</v>
          </cell>
        </row>
        <row r="114">
          <cell r="A114">
            <v>10100121</v>
          </cell>
          <cell r="B114" t="str">
            <v>PETTY CASH - INDIA</v>
          </cell>
        </row>
        <row r="115">
          <cell r="A115">
            <v>10100122</v>
          </cell>
          <cell r="B115" t="str">
            <v>PETTY CASH -COLLECTION</v>
          </cell>
        </row>
        <row r="116">
          <cell r="A116">
            <v>101002</v>
          </cell>
          <cell r="B116" t="str">
            <v>*HONGKONG BANK*</v>
          </cell>
        </row>
        <row r="117">
          <cell r="A117">
            <v>10100226</v>
          </cell>
          <cell r="B117" t="str">
            <v>HK BANK - MUMBAI</v>
          </cell>
        </row>
        <row r="118">
          <cell r="A118">
            <v>10100227</v>
          </cell>
          <cell r="B118" t="str">
            <v>HK BANK - DELHI</v>
          </cell>
        </row>
        <row r="119">
          <cell r="A119">
            <v>10100228</v>
          </cell>
          <cell r="B119" t="str">
            <v>HK BANK -FIXED DEPOSIT</v>
          </cell>
        </row>
        <row r="120">
          <cell r="A120">
            <v>101003</v>
          </cell>
          <cell r="B120" t="str">
            <v>*CITIBANK NA*</v>
          </cell>
        </row>
        <row r="121">
          <cell r="A121">
            <v>10100307</v>
          </cell>
          <cell r="B121" t="str">
            <v>CITIBANK MUMBAI</v>
          </cell>
        </row>
        <row r="122">
          <cell r="A122">
            <v>10100308</v>
          </cell>
          <cell r="B122" t="str">
            <v>CITIBANK  GOLD MUMBAI</v>
          </cell>
        </row>
        <row r="123">
          <cell r="A123">
            <v>10100309</v>
          </cell>
          <cell r="B123" t="str">
            <v>CITIBANK  DELHI DTH</v>
          </cell>
        </row>
        <row r="124">
          <cell r="A124">
            <v>10100310</v>
          </cell>
          <cell r="B124" t="str">
            <v>CITIBANK DELHI D&amp;M</v>
          </cell>
        </row>
        <row r="125">
          <cell r="A125">
            <v>10100311</v>
          </cell>
          <cell r="B125" t="str">
            <v>CITIBANK FIXED DEPOSIT-MUMBAI</v>
          </cell>
        </row>
        <row r="126">
          <cell r="A126">
            <v>10100312</v>
          </cell>
          <cell r="B126" t="str">
            <v>CITIBANK GOLD FIXED DEPO-MUM</v>
          </cell>
        </row>
        <row r="127">
          <cell r="A127">
            <v>10100313</v>
          </cell>
          <cell r="B127" t="str">
            <v>CITIBANK COLLEC.DELHI-DNM</v>
          </cell>
        </row>
        <row r="128">
          <cell r="A128">
            <v>10100314</v>
          </cell>
          <cell r="B128" t="str">
            <v>CITIBANK : BANK MARGIN -MUM</v>
          </cell>
        </row>
        <row r="129">
          <cell r="A129">
            <v>101005</v>
          </cell>
          <cell r="B129" t="str">
            <v>*CREDIT LYONNAIS*</v>
          </cell>
        </row>
        <row r="130">
          <cell r="A130">
            <v>10100502</v>
          </cell>
          <cell r="B130" t="str">
            <v>CREDIT LYONNAIS : MUMBAI</v>
          </cell>
        </row>
        <row r="131">
          <cell r="A131">
            <v>10100503</v>
          </cell>
          <cell r="B131" t="str">
            <v>CREDIT LYONNAIS : DELHI</v>
          </cell>
        </row>
        <row r="132">
          <cell r="A132">
            <v>10100504</v>
          </cell>
          <cell r="B132" t="str">
            <v>CREDIT LYONNAIS : EFC</v>
          </cell>
        </row>
        <row r="133">
          <cell r="A133">
            <v>10100505</v>
          </cell>
          <cell r="B133" t="str">
            <v>CREDIT LYONNAIS :BANK MARGIN</v>
          </cell>
        </row>
        <row r="134">
          <cell r="A134">
            <v>10100506</v>
          </cell>
          <cell r="B134" t="str">
            <v>CREDIT LYONNAIS :STAR TV</v>
          </cell>
        </row>
        <row r="135">
          <cell r="A135">
            <v>10100507</v>
          </cell>
          <cell r="B135" t="str">
            <v>CREDIT LYONNAIS :FIXED DEPOSIT</v>
          </cell>
        </row>
        <row r="136">
          <cell r="A136">
            <v>10100508</v>
          </cell>
          <cell r="B136" t="str">
            <v>CREDIT LYONNAIS : EFC-FDR</v>
          </cell>
        </row>
        <row r="137">
          <cell r="A137">
            <v>101015</v>
          </cell>
          <cell r="B137" t="str">
            <v>*STATE BANK OF INDIA*</v>
          </cell>
        </row>
        <row r="138">
          <cell r="A138">
            <v>10101501</v>
          </cell>
          <cell r="B138" t="str">
            <v>STATE BANK OF INDIA</v>
          </cell>
        </row>
        <row r="139">
          <cell r="A139">
            <v>101016</v>
          </cell>
          <cell r="B139" t="str">
            <v>*DEUTSCHE BANK*</v>
          </cell>
        </row>
        <row r="140">
          <cell r="A140">
            <v>10101601</v>
          </cell>
          <cell r="B140" t="str">
            <v>DEUTSCHE BANK-CRP-MUM</v>
          </cell>
        </row>
        <row r="141">
          <cell r="A141">
            <v>10101602</v>
          </cell>
          <cell r="B141" t="str">
            <v>DEUTSCHE BANK-ETD-MUM</v>
          </cell>
        </row>
        <row r="142">
          <cell r="A142">
            <v>10101603</v>
          </cell>
          <cell r="B142" t="str">
            <v>DEUTSCHE BANK-CHV-MUM</v>
          </cell>
        </row>
        <row r="143">
          <cell r="A143">
            <v>10101604</v>
          </cell>
          <cell r="B143" t="str">
            <v>DEUTSCHE BANK-DNM-DEL</v>
          </cell>
        </row>
        <row r="144">
          <cell r="A144">
            <v>10101605</v>
          </cell>
          <cell r="B144" t="str">
            <v>DEUTSCHE BANK-DTH-DEL</v>
          </cell>
        </row>
        <row r="145">
          <cell r="A145">
            <v>10101606</v>
          </cell>
          <cell r="B145" t="str">
            <v>DEUTSCHE BANK-ADD-DEL</v>
          </cell>
        </row>
        <row r="146">
          <cell r="A146">
            <v>10101607</v>
          </cell>
          <cell r="B146" t="str">
            <v>DEUTSCHE BANK-EEFC-FD</v>
          </cell>
        </row>
        <row r="147">
          <cell r="A147">
            <v>10101608</v>
          </cell>
          <cell r="B147" t="str">
            <v>DEUTSCHE BANK-FD-MUM</v>
          </cell>
        </row>
        <row r="148">
          <cell r="A148">
            <v>10101609</v>
          </cell>
          <cell r="B148" t="str">
            <v>DEUTSCHE BANK-EEFC-MUM</v>
          </cell>
        </row>
        <row r="149">
          <cell r="A149">
            <v>101017</v>
          </cell>
          <cell r="B149" t="str">
            <v>*ICICI BANK*</v>
          </cell>
        </row>
        <row r="150">
          <cell r="A150">
            <v>10101701</v>
          </cell>
          <cell r="B150" t="str">
            <v>ICICI BANK</v>
          </cell>
        </row>
        <row r="151">
          <cell r="A151">
            <v>101018</v>
          </cell>
          <cell r="B151" t="str">
            <v>*B N P BANK*</v>
          </cell>
        </row>
        <row r="152">
          <cell r="A152">
            <v>10101801</v>
          </cell>
          <cell r="B152" t="str">
            <v>B N P BANK</v>
          </cell>
        </row>
        <row r="153">
          <cell r="A153">
            <v>10101802</v>
          </cell>
          <cell r="B153" t="str">
            <v>B N P BANK : FIXED DEPOSIT</v>
          </cell>
        </row>
        <row r="154">
          <cell r="A154">
            <v>10101803</v>
          </cell>
          <cell r="B154" t="str">
            <v>B N P BANK : SUBS SWEEPSTAKES</v>
          </cell>
        </row>
        <row r="155">
          <cell r="A155">
            <v>10101804</v>
          </cell>
          <cell r="B155" t="str">
            <v>B N P BANK : ADVT</v>
          </cell>
        </row>
        <row r="156">
          <cell r="A156">
            <v>10101805</v>
          </cell>
          <cell r="B156" t="str">
            <v>B N P BANK : COLL-DNM-DELHI</v>
          </cell>
        </row>
        <row r="157">
          <cell r="A157">
            <v>10101806</v>
          </cell>
          <cell r="B157" t="str">
            <v>B N P BANK : COLL-DTH-BOM</v>
          </cell>
        </row>
        <row r="158">
          <cell r="A158">
            <v>10101807</v>
          </cell>
          <cell r="B158" t="str">
            <v>B N P BANK : ADVT SWEEPSTAKES</v>
          </cell>
        </row>
        <row r="159">
          <cell r="A159">
            <v>10101808</v>
          </cell>
          <cell r="B159" t="str">
            <v>B N P BANK : EEFC FD</v>
          </cell>
        </row>
        <row r="160">
          <cell r="A160">
            <v>10101809</v>
          </cell>
          <cell r="B160" t="str">
            <v>B N P BANK : EEFC-MUM</v>
          </cell>
        </row>
        <row r="161">
          <cell r="A161">
            <v>10101810</v>
          </cell>
          <cell r="B161" t="str">
            <v>B N P BANK : GRATUITY-MUM</v>
          </cell>
        </row>
        <row r="162">
          <cell r="A162">
            <v>101019</v>
          </cell>
          <cell r="B162" t="str">
            <v>*BANK OF  AMERICA*</v>
          </cell>
        </row>
        <row r="163">
          <cell r="A163">
            <v>10101901</v>
          </cell>
          <cell r="B163" t="str">
            <v>BANK OF AMERICA-DEL-DTH</v>
          </cell>
        </row>
        <row r="164">
          <cell r="A164">
            <v>101020</v>
          </cell>
          <cell r="B164" t="str">
            <v>*ABN-AMRO BANK*</v>
          </cell>
        </row>
        <row r="165">
          <cell r="A165">
            <v>10102001</v>
          </cell>
          <cell r="B165" t="str">
            <v>ABN-AMR0 : FD- BOMBAY</v>
          </cell>
        </row>
        <row r="166">
          <cell r="A166">
            <v>101021</v>
          </cell>
          <cell r="B166" t="str">
            <v>*COMMERZ  BANK*</v>
          </cell>
        </row>
        <row r="167">
          <cell r="A167">
            <v>10102101</v>
          </cell>
          <cell r="B167" t="str">
            <v>COMMERZ BANK : FD- BOMBAY</v>
          </cell>
        </row>
        <row r="168">
          <cell r="A168">
            <v>101099</v>
          </cell>
          <cell r="B168" t="str">
            <v>*CHEQUE ON HAND (INDIA)*</v>
          </cell>
        </row>
        <row r="169">
          <cell r="A169">
            <v>10109901</v>
          </cell>
          <cell r="B169" t="str">
            <v>CHEQUES ON HAND (INDIA)</v>
          </cell>
        </row>
        <row r="170">
          <cell r="A170">
            <v>1012</v>
          </cell>
          <cell r="B170" t="str">
            <v>**RECEIVABLE, DEPOSIT &amp; PREPM*</v>
          </cell>
        </row>
        <row r="171">
          <cell r="A171">
            <v>101210</v>
          </cell>
          <cell r="B171" t="str">
            <v>*PREPAYMENT*</v>
          </cell>
        </row>
        <row r="172">
          <cell r="A172">
            <v>10121003</v>
          </cell>
          <cell r="B172" t="str">
            <v>PREPAID EXPENSES</v>
          </cell>
        </row>
        <row r="173">
          <cell r="A173">
            <v>10121007</v>
          </cell>
          <cell r="B173" t="str">
            <v>TAX ADVANCE PAYMENT (TDS)</v>
          </cell>
        </row>
        <row r="174">
          <cell r="A174">
            <v>10121012</v>
          </cell>
          <cell r="B174" t="str">
            <v>PREPAYMENT - INSU PREMIUM</v>
          </cell>
        </row>
        <row r="175">
          <cell r="A175">
            <v>101220</v>
          </cell>
          <cell r="B175" t="str">
            <v>*LOAN TO STAFF*</v>
          </cell>
        </row>
        <row r="176">
          <cell r="A176">
            <v>10122001</v>
          </cell>
          <cell r="B176" t="str">
            <v>SALARY ADVANCE</v>
          </cell>
        </row>
        <row r="177">
          <cell r="A177">
            <v>10122002</v>
          </cell>
          <cell r="B177" t="str">
            <v>SHORT TERM ADVANCE</v>
          </cell>
        </row>
        <row r="178">
          <cell r="A178">
            <v>10122003</v>
          </cell>
          <cell r="B178" t="str">
            <v>LOAN ADVANCE</v>
          </cell>
        </row>
        <row r="179">
          <cell r="A179">
            <v>10122004</v>
          </cell>
          <cell r="B179" t="str">
            <v>MEDICAL ADVANCE</v>
          </cell>
        </row>
        <row r="180">
          <cell r="A180">
            <v>101221</v>
          </cell>
          <cell r="B180" t="str">
            <v>*TRAVEL &amp; CASH ADVANCE*</v>
          </cell>
        </row>
        <row r="181">
          <cell r="A181">
            <v>10122101</v>
          </cell>
          <cell r="B181" t="str">
            <v>TRAVEL ADVANCE</v>
          </cell>
        </row>
        <row r="182">
          <cell r="A182">
            <v>10122102</v>
          </cell>
          <cell r="B182" t="str">
            <v>OTHER ADVANCE</v>
          </cell>
        </row>
        <row r="183">
          <cell r="A183">
            <v>10122104</v>
          </cell>
          <cell r="B183" t="str">
            <v>PRODUCTION ADVANCE</v>
          </cell>
        </row>
        <row r="184">
          <cell r="A184">
            <v>10122105</v>
          </cell>
          <cell r="B184" t="str">
            <v>IMPREST</v>
          </cell>
        </row>
        <row r="185">
          <cell r="A185">
            <v>101250</v>
          </cell>
          <cell r="B185" t="str">
            <v>*OTHER RECEIVABLES*</v>
          </cell>
        </row>
        <row r="186">
          <cell r="A186">
            <v>10125003</v>
          </cell>
          <cell r="B186" t="str">
            <v>STAFF RECEIVABLE</v>
          </cell>
        </row>
        <row r="187">
          <cell r="A187">
            <v>10125014</v>
          </cell>
          <cell r="B187" t="str">
            <v>INTEREST REC - FIXED DEPOSIT</v>
          </cell>
        </row>
        <row r="188">
          <cell r="A188">
            <v>10125015</v>
          </cell>
          <cell r="B188" t="str">
            <v>INTEREST REC - OTHER INVESTMEN</v>
          </cell>
        </row>
        <row r="189">
          <cell r="A189">
            <v>10125016</v>
          </cell>
          <cell r="B189" t="str">
            <v>INSURANCE RECEIVABLE</v>
          </cell>
        </row>
        <row r="190">
          <cell r="A190">
            <v>101290</v>
          </cell>
          <cell r="B190" t="str">
            <v>*RENTAL DEPOSIT*</v>
          </cell>
        </row>
        <row r="191">
          <cell r="A191">
            <v>10129000</v>
          </cell>
          <cell r="B191" t="str">
            <v>OTHER RENTAL DEPOSITS</v>
          </cell>
        </row>
        <row r="192">
          <cell r="A192">
            <v>10129001</v>
          </cell>
          <cell r="B192" t="str">
            <v>GOPAL CHOPRA</v>
          </cell>
        </row>
        <row r="193">
          <cell r="A193">
            <v>10129002</v>
          </cell>
          <cell r="B193" t="str">
            <v>KANCHAN DEEPAK RIJWANI</v>
          </cell>
        </row>
        <row r="194">
          <cell r="A194">
            <v>10129003</v>
          </cell>
          <cell r="B194" t="str">
            <v>LACHMIBAI K. KAMARA</v>
          </cell>
        </row>
        <row r="195">
          <cell r="A195">
            <v>10129004</v>
          </cell>
          <cell r="B195" t="str">
            <v>MITASHIMESEN-NOEL P'RA'S</v>
          </cell>
        </row>
        <row r="196">
          <cell r="A196">
            <v>10129005</v>
          </cell>
          <cell r="B196" t="str">
            <v>MRS.HARINDER SETHI</v>
          </cell>
        </row>
        <row r="197">
          <cell r="A197">
            <v>10129006</v>
          </cell>
          <cell r="B197" t="str">
            <v>NASRIEN P.</v>
          </cell>
        </row>
        <row r="198">
          <cell r="A198">
            <v>10129007</v>
          </cell>
          <cell r="B198" t="str">
            <v>MRS.NOOR N. VIRANI</v>
          </cell>
        </row>
        <row r="199">
          <cell r="A199">
            <v>10129008</v>
          </cell>
          <cell r="B199" t="str">
            <v>MRS.SONAL K.AJMERA</v>
          </cell>
        </row>
        <row r="200">
          <cell r="A200">
            <v>10129009</v>
          </cell>
          <cell r="B200" t="str">
            <v>VINEET SETHI</v>
          </cell>
        </row>
        <row r="201">
          <cell r="A201">
            <v>10129010</v>
          </cell>
          <cell r="B201" t="str">
            <v>JAMALS</v>
          </cell>
        </row>
        <row r="202">
          <cell r="A202">
            <v>10129011</v>
          </cell>
          <cell r="B202" t="str">
            <v>ROOPA LAMBA</v>
          </cell>
        </row>
        <row r="203">
          <cell r="A203">
            <v>10129013</v>
          </cell>
          <cell r="B203" t="str">
            <v>S M DYECHEM LTD</v>
          </cell>
        </row>
        <row r="204">
          <cell r="A204">
            <v>10129014</v>
          </cell>
          <cell r="B204" t="str">
            <v>VARSHA DESAI</v>
          </cell>
        </row>
        <row r="205">
          <cell r="A205">
            <v>10129015</v>
          </cell>
          <cell r="B205" t="str">
            <v>SNEHADHARA CONSTRUCTION LTD.</v>
          </cell>
        </row>
        <row r="206">
          <cell r="A206">
            <v>10129016</v>
          </cell>
          <cell r="B206" t="str">
            <v>GUEST HOUSE -[V]</v>
          </cell>
        </row>
        <row r="207">
          <cell r="A207">
            <v>10129017</v>
          </cell>
          <cell r="B207" t="str">
            <v>LAILA RUOASS</v>
          </cell>
        </row>
        <row r="208">
          <cell r="A208">
            <v>10129051</v>
          </cell>
          <cell r="B208" t="str">
            <v>BALADEV COMMERCIAL PVT.LTD</v>
          </cell>
        </row>
        <row r="209">
          <cell r="A209">
            <v>10129052</v>
          </cell>
          <cell r="B209" t="str">
            <v>BHARAT SONI</v>
          </cell>
        </row>
        <row r="210">
          <cell r="A210">
            <v>10129053</v>
          </cell>
          <cell r="B210" t="str">
            <v>BRIG  SINHA</v>
          </cell>
        </row>
        <row r="211">
          <cell r="A211">
            <v>10129054</v>
          </cell>
          <cell r="B211" t="str">
            <v>CAMBRIDGE CONSTRUCTION (DELHI)</v>
          </cell>
        </row>
        <row r="212">
          <cell r="A212">
            <v>10129055</v>
          </cell>
          <cell r="B212" t="str">
            <v>DBS CORPORATE CLUB</v>
          </cell>
        </row>
        <row r="213">
          <cell r="A213">
            <v>10129056</v>
          </cell>
          <cell r="B213" t="str">
            <v>H.L.CHAWLA</v>
          </cell>
        </row>
        <row r="214">
          <cell r="A214">
            <v>10129057</v>
          </cell>
          <cell r="B214" t="str">
            <v>JOGINDER SINGH</v>
          </cell>
        </row>
        <row r="215">
          <cell r="A215">
            <v>10129058</v>
          </cell>
          <cell r="B215" t="str">
            <v>KALYAN VYAPAAR PVT LTD</v>
          </cell>
        </row>
        <row r="216">
          <cell r="A216">
            <v>10129059</v>
          </cell>
          <cell r="B216" t="str">
            <v>LALBHAI SALES &amp; SERVICES LTD.</v>
          </cell>
        </row>
        <row r="217">
          <cell r="A217">
            <v>10129060</v>
          </cell>
          <cell r="B217" t="str">
            <v>SUKET GUJRAL</v>
          </cell>
        </row>
        <row r="218">
          <cell r="A218">
            <v>10129061</v>
          </cell>
          <cell r="B218" t="str">
            <v>NIRMAL CHAWLA</v>
          </cell>
        </row>
        <row r="219">
          <cell r="A219">
            <v>10129062</v>
          </cell>
          <cell r="B219" t="str">
            <v>REHANA SULTANA</v>
          </cell>
        </row>
        <row r="220">
          <cell r="A220">
            <v>10129063</v>
          </cell>
          <cell r="B220" t="str">
            <v>SHAFIULA SHAREEF</v>
          </cell>
        </row>
        <row r="221">
          <cell r="A221">
            <v>10129064</v>
          </cell>
          <cell r="B221" t="str">
            <v>THAKORBHAI GULBBHAI NAIK</v>
          </cell>
        </row>
        <row r="222">
          <cell r="A222">
            <v>10129066</v>
          </cell>
          <cell r="B222" t="str">
            <v>TOP LIGHT VINIMAY PVT LTD</v>
          </cell>
        </row>
        <row r="223">
          <cell r="A223">
            <v>10129067</v>
          </cell>
          <cell r="B223" t="str">
            <v>YASHODHAN MERCHANTS PVT LTD</v>
          </cell>
        </row>
        <row r="224">
          <cell r="A224">
            <v>101291</v>
          </cell>
          <cell r="B224" t="str">
            <v>*UTILITIES DEPOSITS*</v>
          </cell>
        </row>
        <row r="225">
          <cell r="A225">
            <v>10129101</v>
          </cell>
          <cell r="B225" t="str">
            <v>ANIL ELECTRIC CO.</v>
          </cell>
        </row>
        <row r="226">
          <cell r="A226">
            <v>10129102</v>
          </cell>
          <cell r="B226" t="str">
            <v>BPL MOBILE COMMUNICATION</v>
          </cell>
        </row>
        <row r="227">
          <cell r="A227">
            <v>10129103</v>
          </cell>
          <cell r="B227" t="str">
            <v>EVERCOOL SERVICES</v>
          </cell>
        </row>
        <row r="228">
          <cell r="A228">
            <v>10129104</v>
          </cell>
          <cell r="B228" t="str">
            <v>HINDUSTAN PETROLIUM COR.LTD</v>
          </cell>
        </row>
        <row r="229">
          <cell r="A229">
            <v>10129105</v>
          </cell>
          <cell r="B229" t="str">
            <v>ITC HOTELS LTD.</v>
          </cell>
        </row>
        <row r="230">
          <cell r="A230">
            <v>10129106</v>
          </cell>
          <cell r="B230" t="str">
            <v>SEDGWICK PAREKH HEALTH MGT.LTD</v>
          </cell>
        </row>
        <row r="231">
          <cell r="A231">
            <v>10129107</v>
          </cell>
          <cell r="B231" t="str">
            <v>VIDESH SANCHAR NIGAM LTD.</v>
          </cell>
        </row>
        <row r="232">
          <cell r="A232">
            <v>10129108</v>
          </cell>
          <cell r="B232" t="str">
            <v>TAJ MAHAL HOTEL</v>
          </cell>
        </row>
        <row r="233">
          <cell r="A233">
            <v>10129109</v>
          </cell>
          <cell r="B233" t="str">
            <v>MAHANAGER TELEPHONE NIGAM LTD.</v>
          </cell>
        </row>
        <row r="234">
          <cell r="A234">
            <v>10129110</v>
          </cell>
          <cell r="B234" t="str">
            <v>BSES LIMITED</v>
          </cell>
        </row>
        <row r="235">
          <cell r="A235">
            <v>101292</v>
          </cell>
          <cell r="B235" t="str">
            <v>*OTHER  DEPOSITS -ASSETS*</v>
          </cell>
        </row>
        <row r="236">
          <cell r="A236">
            <v>10129201</v>
          </cell>
          <cell r="B236" t="str">
            <v>DEPOSIT - CAPITAL EXP.</v>
          </cell>
        </row>
        <row r="237">
          <cell r="A237">
            <v>10129202</v>
          </cell>
          <cell r="B237" t="str">
            <v>DEPOSIT - PCPL</v>
          </cell>
        </row>
        <row r="238">
          <cell r="A238">
            <v>10129203</v>
          </cell>
          <cell r="B238" t="str">
            <v>ION EXCHANGE FIN.PROD.P.LTD</v>
          </cell>
        </row>
        <row r="239">
          <cell r="A239">
            <v>10129204</v>
          </cell>
          <cell r="B239" t="str">
            <v>BRIHANMUMBAI COPORATION</v>
          </cell>
        </row>
        <row r="240">
          <cell r="A240">
            <v>10129205</v>
          </cell>
          <cell r="B240" t="str">
            <v>K.C.COLLEGE</v>
          </cell>
        </row>
        <row r="241">
          <cell r="A241">
            <v>10129207</v>
          </cell>
          <cell r="B241" t="str">
            <v>BEST SELLERS</v>
          </cell>
        </row>
        <row r="242">
          <cell r="A242">
            <v>10129251</v>
          </cell>
          <cell r="B242" t="str">
            <v>STERLING CELLULAR LTD</v>
          </cell>
        </row>
        <row r="243">
          <cell r="A243">
            <v>10129252</v>
          </cell>
          <cell r="B243" t="str">
            <v>HELLO MINERALS PVT LTD</v>
          </cell>
        </row>
        <row r="244">
          <cell r="A244">
            <v>10129253</v>
          </cell>
          <cell r="B244" t="str">
            <v>SERVICIRCLE</v>
          </cell>
        </row>
        <row r="245">
          <cell r="A245">
            <v>10129254</v>
          </cell>
          <cell r="B245" t="str">
            <v>BHAGIRATHI HEALTH CARE PRODUCT</v>
          </cell>
        </row>
        <row r="246">
          <cell r="A246">
            <v>10129255</v>
          </cell>
          <cell r="B246" t="str">
            <v>SAPHIRE DIRECT MARKETING PVT</v>
          </cell>
        </row>
        <row r="247">
          <cell r="A247">
            <v>1022</v>
          </cell>
          <cell r="B247" t="str">
            <v>**TRADE DEBTORS*</v>
          </cell>
        </row>
        <row r="248">
          <cell r="A248" t="str">
            <v>1022A001</v>
          </cell>
          <cell r="B248" t="str">
            <v>ARCHIES GIFTS &amp; GREETINGS</v>
          </cell>
        </row>
        <row r="249">
          <cell r="A249" t="str">
            <v>1022B001</v>
          </cell>
          <cell r="B249" t="str">
            <v>BMG CRESENDO - ROYALTY</v>
          </cell>
        </row>
        <row r="250">
          <cell r="A250" t="str">
            <v>1022B002</v>
          </cell>
          <cell r="B250" t="str">
            <v>BPL - BANGALORE</v>
          </cell>
        </row>
        <row r="251">
          <cell r="A251" t="str">
            <v>1022B003</v>
          </cell>
          <cell r="B251" t="str">
            <v>BPL LIMITED</v>
          </cell>
        </row>
        <row r="252">
          <cell r="A252" t="str">
            <v>1022C001</v>
          </cell>
          <cell r="B252" t="str">
            <v>CADBURY (INDIA) LTD</v>
          </cell>
        </row>
        <row r="253">
          <cell r="A253" t="str">
            <v>1022C002</v>
          </cell>
          <cell r="B253" t="str">
            <v>COCA COLA (INDIA) LTD</v>
          </cell>
        </row>
        <row r="254">
          <cell r="A254" t="str">
            <v>1022C003</v>
          </cell>
          <cell r="B254" t="str">
            <v>CROISSANTS ETC</v>
          </cell>
        </row>
        <row r="255">
          <cell r="A255" t="str">
            <v>1022D001</v>
          </cell>
          <cell r="B255" t="str">
            <v>DNA NETWORK P. LTD</v>
          </cell>
        </row>
        <row r="256">
          <cell r="A256" t="str">
            <v>1022F001</v>
          </cell>
          <cell r="B256" t="str">
            <v>FANTASIE CHOCOLATES</v>
          </cell>
        </row>
        <row r="257">
          <cell r="A257" t="str">
            <v>1022F101</v>
          </cell>
          <cell r="B257" t="str">
            <v>FLAMINGO PHAR LTD</v>
          </cell>
        </row>
        <row r="258">
          <cell r="A258" t="str">
            <v>1022G001</v>
          </cell>
          <cell r="B258" t="str">
            <v>GRAMOPHONE COMPANY OF INDIA</v>
          </cell>
        </row>
        <row r="259">
          <cell r="A259" t="str">
            <v>1022H001</v>
          </cell>
          <cell r="B259" t="str">
            <v>HEWLET PACKARD INDIA LTD</v>
          </cell>
        </row>
        <row r="260">
          <cell r="A260" t="str">
            <v>1022H002</v>
          </cell>
          <cell r="B260" t="str">
            <v>HMV MUSIC (INDIA) LTD</v>
          </cell>
        </row>
        <row r="261">
          <cell r="A261" t="str">
            <v>1022K001</v>
          </cell>
          <cell r="B261" t="str">
            <v>KLM ROYAL DUTCH AIRLINES</v>
          </cell>
        </row>
        <row r="262">
          <cell r="A262" t="str">
            <v>1022K002</v>
          </cell>
          <cell r="B262" t="str">
            <v>KWALITY WALLS</v>
          </cell>
        </row>
        <row r="263">
          <cell r="A263" t="str">
            <v>1022K101</v>
          </cell>
          <cell r="B263" t="str">
            <v>K. UTTAMLAL (EXP) LTD</v>
          </cell>
        </row>
        <row r="264">
          <cell r="A264" t="str">
            <v>1022K501</v>
          </cell>
          <cell r="B264" t="str">
            <v>KREATIVE VISION</v>
          </cell>
        </row>
        <row r="265">
          <cell r="A265" t="str">
            <v>1022M001</v>
          </cell>
          <cell r="B265" t="str">
            <v>MAGNASOUND (INDIA) P. LTD</v>
          </cell>
        </row>
        <row r="266">
          <cell r="A266" t="str">
            <v>1022M002</v>
          </cell>
          <cell r="B266" t="str">
            <v>MARS CREATION - BANDRA</v>
          </cell>
        </row>
        <row r="267">
          <cell r="A267" t="str">
            <v>1022M003</v>
          </cell>
          <cell r="B267" t="str">
            <v>MEDIA VIDEO LTD</v>
          </cell>
        </row>
        <row r="268">
          <cell r="A268" t="str">
            <v>1022N501</v>
          </cell>
          <cell r="B268" t="str">
            <v>NATIONAL INST.OF SALES - NIS</v>
          </cell>
        </row>
        <row r="269">
          <cell r="A269" t="str">
            <v>1022P001</v>
          </cell>
          <cell r="B269" t="str">
            <v>PEPE CLOTHING (INDIA) LTD</v>
          </cell>
        </row>
        <row r="270">
          <cell r="A270" t="str">
            <v>1022P002</v>
          </cell>
          <cell r="B270" t="str">
            <v>PEPSICO (INDIA) HOLDINGS</v>
          </cell>
        </row>
        <row r="271">
          <cell r="A271" t="str">
            <v>1022P003</v>
          </cell>
          <cell r="B271" t="str">
            <v>PEPSI FOODS LTD</v>
          </cell>
        </row>
        <row r="272">
          <cell r="A272" t="str">
            <v>1022P004</v>
          </cell>
          <cell r="B272" t="str">
            <v>POLYGRAM (INDIA) LTD</v>
          </cell>
        </row>
        <row r="273">
          <cell r="A273" t="str">
            <v>1022P005</v>
          </cell>
          <cell r="B273" t="str">
            <v>PROCAM SPORTS LTD</v>
          </cell>
        </row>
        <row r="274">
          <cell r="A274" t="str">
            <v>1022P501</v>
          </cell>
          <cell r="B274" t="str">
            <v>PANCHRATAN HOTELS PVT.LTD</v>
          </cell>
        </row>
        <row r="275">
          <cell r="A275" t="str">
            <v>1022T001</v>
          </cell>
          <cell r="B275" t="str">
            <v>TIPS INDUSTRIES P. LTD</v>
          </cell>
        </row>
        <row r="276">
          <cell r="A276" t="str">
            <v>1022T002</v>
          </cell>
          <cell r="B276" t="str">
            <v>TWENTIETH CENTURY FOX</v>
          </cell>
        </row>
        <row r="277">
          <cell r="A277" t="str">
            <v>1022V001</v>
          </cell>
          <cell r="B277" t="str">
            <v>VENUS RECORDS &amp; TAPES P. LTD</v>
          </cell>
        </row>
        <row r="278">
          <cell r="A278">
            <v>1023</v>
          </cell>
          <cell r="B278" t="str">
            <v>**PROVISION FOR BAD DEBTS*</v>
          </cell>
        </row>
        <row r="279">
          <cell r="A279">
            <v>1024</v>
          </cell>
          <cell r="B279" t="str">
            <v>**OTHER DEBTORS*</v>
          </cell>
        </row>
        <row r="280">
          <cell r="A280" t="str">
            <v>1024A301</v>
          </cell>
          <cell r="B280" t="str">
            <v>ADG CORPORATION</v>
          </cell>
        </row>
        <row r="281">
          <cell r="A281" t="str">
            <v>1024B301</v>
          </cell>
          <cell r="B281" t="str">
            <v>BSI  - DEBTORS</v>
          </cell>
        </row>
        <row r="282">
          <cell r="A282" t="str">
            <v>1024B302</v>
          </cell>
          <cell r="B282" t="str">
            <v>BROAD SYSTEM MULTIMEDIA-INDIA</v>
          </cell>
        </row>
        <row r="283">
          <cell r="A283" t="str">
            <v>1024B303</v>
          </cell>
          <cell r="B283" t="str">
            <v>BREACH CANDY HOSPITAL</v>
          </cell>
        </row>
        <row r="284">
          <cell r="A284" t="str">
            <v>1024C301</v>
          </cell>
          <cell r="B284" t="str">
            <v>SITI CABLE LTD.</v>
          </cell>
        </row>
        <row r="285">
          <cell r="A285" t="str">
            <v>1024S001</v>
          </cell>
          <cell r="B285" t="str">
            <v>SNEHADHARA CONSTRUCTIONS P.LTD</v>
          </cell>
        </row>
        <row r="286">
          <cell r="A286" t="str">
            <v>1024Z301</v>
          </cell>
          <cell r="B286" t="str">
            <v>ZEE JV(P A T CO P LTD)</v>
          </cell>
        </row>
        <row r="287">
          <cell r="A287">
            <v>20</v>
          </cell>
          <cell r="B287" t="str">
            <v>***INTER -CO CURRENT ACCOUNTS*</v>
          </cell>
        </row>
        <row r="288">
          <cell r="A288">
            <v>2001</v>
          </cell>
          <cell r="B288" t="str">
            <v>**INTER - CO CURRENT ACCOUNTS*</v>
          </cell>
        </row>
        <row r="289">
          <cell r="A289">
            <v>20010009</v>
          </cell>
          <cell r="B289" t="str">
            <v>SATELLITE TV ASIAN REGN-COLLTN</v>
          </cell>
        </row>
        <row r="290">
          <cell r="A290">
            <v>200101</v>
          </cell>
          <cell r="B290" t="str">
            <v>*STAR TV LIMITED'S GROUP*</v>
          </cell>
        </row>
        <row r="291">
          <cell r="A291">
            <v>20010107</v>
          </cell>
          <cell r="B291" t="str">
            <v>CHL-STAR TV SPORTS LTD</v>
          </cell>
        </row>
        <row r="292">
          <cell r="A292">
            <v>20010130</v>
          </cell>
          <cell r="B292" t="str">
            <v>STAR ADVERTISING SALES B.V.</v>
          </cell>
        </row>
        <row r="293">
          <cell r="A293">
            <v>20010131</v>
          </cell>
          <cell r="B293" t="str">
            <v>SATELLITE TV ASIAN REGN LTD.</v>
          </cell>
        </row>
        <row r="294">
          <cell r="A294">
            <v>20010262</v>
          </cell>
          <cell r="B294" t="str">
            <v>ESS - ADVERTISING REV</v>
          </cell>
        </row>
        <row r="295">
          <cell r="A295">
            <v>200115</v>
          </cell>
          <cell r="B295" t="str">
            <v>*OTHER COMPANY*</v>
          </cell>
        </row>
        <row r="296">
          <cell r="A296">
            <v>20011537</v>
          </cell>
          <cell r="B296" t="str">
            <v>PRECISION COMPONENT PVT.LTD</v>
          </cell>
        </row>
        <row r="297">
          <cell r="A297">
            <v>200116</v>
          </cell>
          <cell r="B297" t="str">
            <v>*NEWS TELEVISION (I)LTD GROUP*</v>
          </cell>
        </row>
        <row r="298">
          <cell r="A298">
            <v>20011600</v>
          </cell>
          <cell r="B298" t="str">
            <v>INDIA - CORPORATE</v>
          </cell>
        </row>
        <row r="299">
          <cell r="A299">
            <v>20011601</v>
          </cell>
          <cell r="B299" t="str">
            <v>INDIA - PAY CHANNEL</v>
          </cell>
        </row>
        <row r="300">
          <cell r="A300">
            <v>20011602</v>
          </cell>
          <cell r="B300" t="str">
            <v>INDIA - DTH</v>
          </cell>
        </row>
        <row r="301">
          <cell r="A301">
            <v>20011603</v>
          </cell>
          <cell r="B301" t="str">
            <v>INDIA - [V]</v>
          </cell>
        </row>
        <row r="302">
          <cell r="A302">
            <v>20011604</v>
          </cell>
          <cell r="B302" t="str">
            <v>INDIA - STAR PLUS</v>
          </cell>
        </row>
        <row r="303">
          <cell r="A303">
            <v>20011605</v>
          </cell>
          <cell r="B303" t="str">
            <v>INDIA - STAR MOVIES</v>
          </cell>
        </row>
        <row r="304">
          <cell r="A304">
            <v>20011606</v>
          </cell>
          <cell r="B304" t="str">
            <v>INDIA - ADSALES</v>
          </cell>
        </row>
        <row r="305">
          <cell r="A305">
            <v>20011607</v>
          </cell>
          <cell r="B305" t="str">
            <v>INDIA - ETC</v>
          </cell>
        </row>
        <row r="306">
          <cell r="A306">
            <v>20011608</v>
          </cell>
          <cell r="B306" t="str">
            <v>INDIA - BO&amp;E</v>
          </cell>
        </row>
        <row r="307">
          <cell r="A307">
            <v>20011609</v>
          </cell>
          <cell r="B307" t="str">
            <v>INDIA - NNCA</v>
          </cell>
        </row>
        <row r="308">
          <cell r="A308">
            <v>30</v>
          </cell>
          <cell r="B308" t="str">
            <v>***CURRENT LIABILITIES*</v>
          </cell>
        </row>
        <row r="309">
          <cell r="A309">
            <v>3005</v>
          </cell>
          <cell r="B309" t="str">
            <v>**DEFERRED INCOME*</v>
          </cell>
        </row>
        <row r="310">
          <cell r="A310">
            <v>300500</v>
          </cell>
          <cell r="B310" t="str">
            <v>*DEFERRED INCOME*</v>
          </cell>
        </row>
        <row r="311">
          <cell r="A311">
            <v>30050001</v>
          </cell>
          <cell r="B311" t="str">
            <v>DEFERRED INCOME-SUBSCRIPTION</v>
          </cell>
        </row>
        <row r="312">
          <cell r="A312">
            <v>30050002</v>
          </cell>
          <cell r="B312" t="str">
            <v>DEFERRED INCOME-OTHERS</v>
          </cell>
        </row>
        <row r="313">
          <cell r="A313">
            <v>3015</v>
          </cell>
          <cell r="B313" t="str">
            <v>**DEPOSITS / ADVANCES*</v>
          </cell>
        </row>
        <row r="314">
          <cell r="A314">
            <v>301500</v>
          </cell>
          <cell r="B314" t="str">
            <v>*SECURITY DEPO FM SUBSCR-DIGL*</v>
          </cell>
        </row>
        <row r="315">
          <cell r="A315">
            <v>301501</v>
          </cell>
          <cell r="B315" t="str">
            <v>*DEPOSIST FROM DEALERS*</v>
          </cell>
        </row>
        <row r="316">
          <cell r="A316">
            <v>30150100</v>
          </cell>
          <cell r="B316" t="str">
            <v>DEALER  DEPOSITS</v>
          </cell>
        </row>
        <row r="317">
          <cell r="A317">
            <v>301502</v>
          </cell>
          <cell r="B317" t="str">
            <v>*DEPOSITS OTHERS -LIA*</v>
          </cell>
        </row>
        <row r="318">
          <cell r="A318">
            <v>30150201</v>
          </cell>
          <cell r="B318" t="str">
            <v>BHARTI TELECO - DEPOSIT</v>
          </cell>
        </row>
        <row r="319">
          <cell r="A319">
            <v>30150202</v>
          </cell>
          <cell r="B319" t="str">
            <v>NEPC</v>
          </cell>
        </row>
        <row r="320">
          <cell r="A320">
            <v>30150203</v>
          </cell>
          <cell r="B320" t="str">
            <v>LIBERTY DEPOSIT</v>
          </cell>
        </row>
        <row r="321">
          <cell r="A321">
            <v>301503</v>
          </cell>
          <cell r="B321" t="str">
            <v>*OTHER DEPOSIT - NG/OTHERS*</v>
          </cell>
        </row>
        <row r="322">
          <cell r="A322">
            <v>301504</v>
          </cell>
          <cell r="B322" t="str">
            <v>DEPOSITS OTHERS - EMI</v>
          </cell>
        </row>
        <row r="323">
          <cell r="A323">
            <v>301521</v>
          </cell>
          <cell r="B323" t="str">
            <v>*ADVANCE FROM SUBSCRIBERS*</v>
          </cell>
        </row>
        <row r="324">
          <cell r="A324">
            <v>30152100</v>
          </cell>
          <cell r="B324" t="str">
            <v>SUBSCRIPTION ADVANCE</v>
          </cell>
        </row>
        <row r="325">
          <cell r="A325">
            <v>301522</v>
          </cell>
          <cell r="B325" t="str">
            <v>*OTHER ADVANCES-LIA*</v>
          </cell>
        </row>
        <row r="326">
          <cell r="A326">
            <v>30152201</v>
          </cell>
          <cell r="B326" t="str">
            <v>AMBIENCE SPACE SELLERS LTD.</v>
          </cell>
        </row>
        <row r="327">
          <cell r="A327">
            <v>30152202</v>
          </cell>
          <cell r="B327" t="str">
            <v>BCCI</v>
          </cell>
        </row>
        <row r="328">
          <cell r="A328">
            <v>30152203</v>
          </cell>
          <cell r="B328" t="str">
            <v>CCI</v>
          </cell>
        </row>
        <row r="329">
          <cell r="A329">
            <v>30152204</v>
          </cell>
          <cell r="B329" t="str">
            <v>DOORDARSHAN</v>
          </cell>
        </row>
        <row r="330">
          <cell r="A330">
            <v>30152205</v>
          </cell>
          <cell r="B330" t="str">
            <v>PROFESSIONAL MANAGEMENT GROUP</v>
          </cell>
        </row>
        <row r="331">
          <cell r="A331">
            <v>30152206</v>
          </cell>
          <cell r="B331" t="str">
            <v>SETWORK</v>
          </cell>
        </row>
        <row r="332">
          <cell r="A332">
            <v>3020</v>
          </cell>
          <cell r="B332" t="str">
            <v>**SUNDRY CREDITORS*</v>
          </cell>
        </row>
        <row r="333">
          <cell r="A333">
            <v>3050</v>
          </cell>
          <cell r="B333" t="str">
            <v>**OTHER CREDITORS &amp; ACCRUALS*</v>
          </cell>
        </row>
        <row r="334">
          <cell r="A334">
            <v>305001</v>
          </cell>
          <cell r="B334" t="str">
            <v>*ACCRUALS*</v>
          </cell>
        </row>
        <row r="335">
          <cell r="A335">
            <v>30500109</v>
          </cell>
          <cell r="B335" t="str">
            <v>ACCRUED EXP - TAXATION</v>
          </cell>
        </row>
        <row r="336">
          <cell r="A336">
            <v>30500111</v>
          </cell>
          <cell r="B336" t="str">
            <v>ACCRUED EXP - SALARY</v>
          </cell>
        </row>
        <row r="337">
          <cell r="A337">
            <v>30500112</v>
          </cell>
          <cell r="B337" t="str">
            <v>ACCRUED EXP - BONUS</v>
          </cell>
        </row>
        <row r="338">
          <cell r="A338">
            <v>30500131</v>
          </cell>
          <cell r="B338" t="str">
            <v>ACCRUED EXP - GRATUITY</v>
          </cell>
        </row>
        <row r="339">
          <cell r="A339">
            <v>30500132</v>
          </cell>
          <cell r="B339" t="str">
            <v>ACCRUED INTEREST BUT NOT DUE</v>
          </cell>
        </row>
        <row r="340">
          <cell r="A340">
            <v>30500150</v>
          </cell>
          <cell r="B340" t="str">
            <v>ACCRUED EXP - OTHERS</v>
          </cell>
        </row>
        <row r="341">
          <cell r="A341">
            <v>305002</v>
          </cell>
          <cell r="B341" t="str">
            <v>*UNCLAIMED CHEQUES (INDIA)*</v>
          </cell>
        </row>
        <row r="342">
          <cell r="A342">
            <v>30500201</v>
          </cell>
          <cell r="B342" t="str">
            <v>UNCLAIMED CHEQUES (INDIA)</v>
          </cell>
        </row>
        <row r="343">
          <cell r="A343">
            <v>30501009</v>
          </cell>
          <cell r="B343" t="str">
            <v>PROV FOR OBSOLESXENCE OF ASSET</v>
          </cell>
        </row>
        <row r="344">
          <cell r="A344">
            <v>305030</v>
          </cell>
          <cell r="B344" t="str">
            <v>*PROVISION FOR TAX*</v>
          </cell>
        </row>
        <row r="345">
          <cell r="A345">
            <v>30503001</v>
          </cell>
          <cell r="B345" t="str">
            <v>PROFESSIONAL TAX</v>
          </cell>
        </row>
        <row r="346">
          <cell r="A346">
            <v>30503002</v>
          </cell>
          <cell r="B346" t="str">
            <v>PROVIDENT FUND PAYABLE</v>
          </cell>
        </row>
        <row r="347">
          <cell r="A347">
            <v>30503003</v>
          </cell>
          <cell r="B347" t="str">
            <v>ESIC PAYABLE</v>
          </cell>
        </row>
        <row r="348">
          <cell r="A348">
            <v>30503004</v>
          </cell>
          <cell r="B348" t="str">
            <v>TDS ON SALARIES</v>
          </cell>
        </row>
        <row r="349">
          <cell r="A349">
            <v>30503005</v>
          </cell>
          <cell r="B349" t="str">
            <v>TDS ON RENT</v>
          </cell>
        </row>
        <row r="350">
          <cell r="A350">
            <v>30503006</v>
          </cell>
          <cell r="B350" t="str">
            <v>TDS ON CONTRACTORS</v>
          </cell>
        </row>
        <row r="351">
          <cell r="A351">
            <v>30503007</v>
          </cell>
          <cell r="B351" t="str">
            <v>TDS ON PROFESSIONAL SERV</v>
          </cell>
        </row>
        <row r="352">
          <cell r="A352">
            <v>30503008</v>
          </cell>
          <cell r="B352" t="str">
            <v>TDS OTHERS</v>
          </cell>
        </row>
        <row r="353">
          <cell r="A353">
            <v>35</v>
          </cell>
          <cell r="B353" t="str">
            <v>***LONG TERM LIABILITIES*</v>
          </cell>
        </row>
        <row r="354">
          <cell r="A354">
            <v>3502</v>
          </cell>
          <cell r="B354" t="str">
            <v>**LOANS*</v>
          </cell>
        </row>
        <row r="355">
          <cell r="A355">
            <v>350201</v>
          </cell>
          <cell r="B355" t="str">
            <v>*SECURED LOANS*</v>
          </cell>
        </row>
        <row r="356">
          <cell r="A356">
            <v>35020101</v>
          </cell>
          <cell r="B356" t="str">
            <v>SECURED LOANS</v>
          </cell>
        </row>
        <row r="357">
          <cell r="A357">
            <v>350202</v>
          </cell>
          <cell r="B357" t="str">
            <v>*UNSECURED LOANS*</v>
          </cell>
        </row>
        <row r="358">
          <cell r="A358">
            <v>35020201</v>
          </cell>
          <cell r="B358" t="str">
            <v>UNSECURED LOANS</v>
          </cell>
        </row>
        <row r="359">
          <cell r="A359">
            <v>35030101</v>
          </cell>
          <cell r="B359" t="str">
            <v>L.TERM DEFERRED LIABILITIES</v>
          </cell>
        </row>
        <row r="360">
          <cell r="A360">
            <v>41</v>
          </cell>
          <cell r="B360" t="str">
            <v>***SHARE CAPITAL*</v>
          </cell>
        </row>
        <row r="361">
          <cell r="A361">
            <v>4100</v>
          </cell>
          <cell r="B361" t="str">
            <v>**SHARE CAPITAL*</v>
          </cell>
        </row>
        <row r="362">
          <cell r="A362">
            <v>410000</v>
          </cell>
          <cell r="B362" t="str">
            <v>*SHARE CAPITAL*</v>
          </cell>
        </row>
        <row r="363">
          <cell r="A363">
            <v>41000000</v>
          </cell>
          <cell r="B363" t="str">
            <v>SHARE CAPITAL</v>
          </cell>
        </row>
        <row r="364">
          <cell r="A364">
            <v>410006</v>
          </cell>
          <cell r="B364" t="str">
            <v>*ADVANCE EQUITY*</v>
          </cell>
        </row>
        <row r="365">
          <cell r="A365">
            <v>41000601</v>
          </cell>
          <cell r="B365" t="str">
            <v>ADVANCE EQUITY</v>
          </cell>
        </row>
        <row r="366">
          <cell r="A366">
            <v>42</v>
          </cell>
          <cell r="B366" t="str">
            <v>***RESERVES*</v>
          </cell>
        </row>
        <row r="367">
          <cell r="A367">
            <v>4204</v>
          </cell>
          <cell r="B367" t="str">
            <v>**CAPITAL RESERVE*</v>
          </cell>
        </row>
        <row r="368">
          <cell r="A368">
            <v>420400</v>
          </cell>
          <cell r="B368" t="str">
            <v>*CAPITAL RESERVE*</v>
          </cell>
        </row>
        <row r="369">
          <cell r="A369">
            <v>42040000</v>
          </cell>
          <cell r="B369" t="str">
            <v>CAPITAL RESERVE</v>
          </cell>
        </row>
        <row r="370">
          <cell r="A370">
            <v>4210</v>
          </cell>
          <cell r="B370" t="str">
            <v>**RETAINED PROFIT B/F*</v>
          </cell>
        </row>
        <row r="371">
          <cell r="A371">
            <v>421000</v>
          </cell>
          <cell r="B371" t="str">
            <v>*RETAINED PROFIT B/F*</v>
          </cell>
        </row>
        <row r="372">
          <cell r="A372">
            <v>42100001</v>
          </cell>
          <cell r="B372" t="str">
            <v>ACC DEFICIT / RETAINED PROFIT</v>
          </cell>
        </row>
        <row r="373">
          <cell r="A373">
            <v>50</v>
          </cell>
          <cell r="B373" t="str">
            <v>***REVENUE*</v>
          </cell>
        </row>
        <row r="374">
          <cell r="A374">
            <v>5018</v>
          </cell>
          <cell r="B374" t="str">
            <v>**SUBSCRIPTION SALES*</v>
          </cell>
        </row>
        <row r="375">
          <cell r="A375">
            <v>501801</v>
          </cell>
          <cell r="B375" t="str">
            <v>*DIRECT - TO - HOME OPERATION*</v>
          </cell>
        </row>
        <row r="376">
          <cell r="A376">
            <v>50180101</v>
          </cell>
          <cell r="B376" t="str">
            <v>DTH SUB SALES</v>
          </cell>
        </row>
        <row r="377">
          <cell r="A377">
            <v>501802</v>
          </cell>
          <cell r="B377" t="str">
            <v>*CATV OPERATION*</v>
          </cell>
        </row>
        <row r="378">
          <cell r="A378">
            <v>50180201</v>
          </cell>
          <cell r="B378" t="str">
            <v>CATV SUB SALES</v>
          </cell>
        </row>
        <row r="379">
          <cell r="A379">
            <v>501820</v>
          </cell>
          <cell r="B379" t="str">
            <v>*SALES DEDUCTION ITEMS*</v>
          </cell>
        </row>
        <row r="380">
          <cell r="A380">
            <v>50182001</v>
          </cell>
          <cell r="B380" t="str">
            <v>SUB SALES DEDCTN</v>
          </cell>
        </row>
        <row r="381">
          <cell r="A381">
            <v>501825</v>
          </cell>
          <cell r="B381" t="str">
            <v>*SUBS RELATED INCOME*</v>
          </cell>
        </row>
        <row r="382">
          <cell r="A382">
            <v>50182501</v>
          </cell>
          <cell r="B382" t="str">
            <v>TECHNICAL CONSULTANCY FEE</v>
          </cell>
        </row>
        <row r="383">
          <cell r="A383">
            <v>50182502</v>
          </cell>
          <cell r="B383" t="str">
            <v>INSTALLATION FEE</v>
          </cell>
        </row>
        <row r="384">
          <cell r="A384">
            <v>50182503</v>
          </cell>
          <cell r="B384" t="str">
            <v>ACTIVATION FEE</v>
          </cell>
        </row>
        <row r="385">
          <cell r="A385">
            <v>50182504</v>
          </cell>
          <cell r="B385" t="str">
            <v>CONSUMABLE SALES C-BAND</v>
          </cell>
        </row>
        <row r="386">
          <cell r="A386">
            <v>5019</v>
          </cell>
          <cell r="B386" t="str">
            <v>**EQUIPMENT SALES*</v>
          </cell>
        </row>
        <row r="387">
          <cell r="A387">
            <v>501901</v>
          </cell>
          <cell r="B387" t="str">
            <v>*EQUIPMENT SALES*</v>
          </cell>
        </row>
        <row r="388">
          <cell r="A388">
            <v>50190190</v>
          </cell>
          <cell r="B388" t="str">
            <v>EQ SALES-OTHERS</v>
          </cell>
        </row>
        <row r="389">
          <cell r="A389">
            <v>5035</v>
          </cell>
          <cell r="B389" t="str">
            <v>**COMMISSION INCOME*</v>
          </cell>
        </row>
        <row r="390">
          <cell r="A390">
            <v>503501</v>
          </cell>
          <cell r="B390" t="str">
            <v>*COMMISSION INCOME*</v>
          </cell>
        </row>
        <row r="391">
          <cell r="A391">
            <v>50350102</v>
          </cell>
          <cell r="B391" t="str">
            <v>COMMISSION  INCOME</v>
          </cell>
        </row>
        <row r="392">
          <cell r="A392">
            <v>5090</v>
          </cell>
          <cell r="B392" t="str">
            <v>**OTHER OPERATING REVENUE*</v>
          </cell>
        </row>
        <row r="393">
          <cell r="A393">
            <v>50900104</v>
          </cell>
          <cell r="B393" t="str">
            <v>PROGRAMME SALES-OTHERS(EXPORT)</v>
          </cell>
        </row>
        <row r="394">
          <cell r="A394">
            <v>50900300</v>
          </cell>
          <cell r="B394" t="str">
            <v>EXTERNAL BO&amp;E CHARGES</v>
          </cell>
        </row>
        <row r="395">
          <cell r="A395">
            <v>509010</v>
          </cell>
          <cell r="B395" t="str">
            <v>*INTEREST INCOME*</v>
          </cell>
        </row>
        <row r="396">
          <cell r="A396">
            <v>50901003</v>
          </cell>
          <cell r="B396" t="str">
            <v>BANK INTEREST INCOME- INDIA</v>
          </cell>
        </row>
        <row r="397">
          <cell r="A397">
            <v>509015</v>
          </cell>
          <cell r="B397" t="str">
            <v>*GAIN/LOSS ON FA DISPOSAL*</v>
          </cell>
        </row>
        <row r="398">
          <cell r="A398">
            <v>50901500</v>
          </cell>
          <cell r="B398" t="str">
            <v>GAIN/LOSS ON FA DISPOSAL</v>
          </cell>
        </row>
        <row r="399">
          <cell r="A399">
            <v>509020</v>
          </cell>
          <cell r="B399" t="str">
            <v>*OTHER INCOME*</v>
          </cell>
        </row>
        <row r="400">
          <cell r="A400">
            <v>50902003</v>
          </cell>
          <cell r="B400" t="str">
            <v>DIVIDEND INCOME</v>
          </cell>
        </row>
        <row r="401">
          <cell r="A401">
            <v>50902005</v>
          </cell>
          <cell r="B401" t="str">
            <v>INT ON OTHER INV  -INDIA</v>
          </cell>
        </row>
        <row r="402">
          <cell r="A402">
            <v>50902006</v>
          </cell>
          <cell r="B402" t="str">
            <v>REACTIVATION CHARGES</v>
          </cell>
        </row>
        <row r="403">
          <cell r="A403">
            <v>50902007</v>
          </cell>
          <cell r="B403" t="str">
            <v>VIEWING CHARGES</v>
          </cell>
        </row>
        <row r="404">
          <cell r="A404">
            <v>50902008</v>
          </cell>
          <cell r="B404" t="str">
            <v>SERVICE FEES</v>
          </cell>
        </row>
        <row r="405">
          <cell r="A405">
            <v>50902009</v>
          </cell>
          <cell r="B405" t="str">
            <v>HARDWARE COMMISSION</v>
          </cell>
        </row>
        <row r="406">
          <cell r="A406">
            <v>50902011</v>
          </cell>
          <cell r="B406" t="str">
            <v>INSTALLATION FEE</v>
          </cell>
        </row>
        <row r="407">
          <cell r="A407">
            <v>50902012</v>
          </cell>
          <cell r="B407" t="str">
            <v>ACTIVATION FEE</v>
          </cell>
        </row>
        <row r="408">
          <cell r="A408">
            <v>50902013</v>
          </cell>
          <cell r="B408" t="str">
            <v>CONSUMABLE SALES C-BAND</v>
          </cell>
        </row>
        <row r="409">
          <cell r="A409">
            <v>50902015</v>
          </cell>
          <cell r="B409" t="str">
            <v>USAGE INCOME - LOANER PC2</v>
          </cell>
        </row>
        <row r="410">
          <cell r="A410">
            <v>50902090</v>
          </cell>
          <cell r="B410" t="str">
            <v>OTHER INCOME</v>
          </cell>
        </row>
        <row r="411">
          <cell r="A411">
            <v>50902091</v>
          </cell>
          <cell r="B411" t="str">
            <v>ROYALTIES</v>
          </cell>
        </row>
        <row r="412">
          <cell r="A412">
            <v>60</v>
          </cell>
          <cell r="B412" t="str">
            <v>***EXPENSES*</v>
          </cell>
        </row>
        <row r="413">
          <cell r="A413">
            <v>6001</v>
          </cell>
          <cell r="B413" t="str">
            <v>**STAFF COSTS*</v>
          </cell>
        </row>
        <row r="414">
          <cell r="A414">
            <v>600101</v>
          </cell>
          <cell r="B414" t="str">
            <v>*SALARY COSTS*</v>
          </cell>
        </row>
        <row r="415">
          <cell r="A415">
            <v>60010101</v>
          </cell>
          <cell r="B415" t="str">
            <v>SALARY</v>
          </cell>
        </row>
        <row r="416">
          <cell r="A416">
            <v>60010102</v>
          </cell>
          <cell r="B416" t="str">
            <v>HOUSING ALLOWANCE</v>
          </cell>
        </row>
        <row r="417">
          <cell r="A417">
            <v>60010103</v>
          </cell>
          <cell r="B417" t="str">
            <v>BONUS</v>
          </cell>
        </row>
        <row r="418">
          <cell r="A418">
            <v>600102</v>
          </cell>
          <cell r="B418" t="str">
            <v>*ALLOWANCES*</v>
          </cell>
        </row>
        <row r="419">
          <cell r="A419">
            <v>60010201</v>
          </cell>
          <cell r="B419" t="str">
            <v>RELOCATION ALLOWANCE</v>
          </cell>
        </row>
        <row r="420">
          <cell r="A420">
            <v>60010202</v>
          </cell>
          <cell r="B420" t="str">
            <v>MEAL &amp; HOTEL EXP ALLOWANCE</v>
          </cell>
        </row>
        <row r="421">
          <cell r="A421">
            <v>60010290</v>
          </cell>
          <cell r="B421" t="str">
            <v>OTHER ALLOWANCES</v>
          </cell>
        </row>
        <row r="422">
          <cell r="A422">
            <v>600103</v>
          </cell>
          <cell r="B422" t="str">
            <v>*STAFF BENEFITS*</v>
          </cell>
        </row>
        <row r="423">
          <cell r="A423">
            <v>60010301</v>
          </cell>
          <cell r="B423" t="str">
            <v>COMPANY PAID HOUSE RENTAL</v>
          </cell>
        </row>
        <row r="424">
          <cell r="A424">
            <v>60010302</v>
          </cell>
          <cell r="B424" t="str">
            <v>MOTOR CAR RUNNING EXPENSES</v>
          </cell>
        </row>
        <row r="425">
          <cell r="A425">
            <v>60010303</v>
          </cell>
          <cell r="B425" t="str">
            <v>MEDICIAL EXPENSES</v>
          </cell>
        </row>
        <row r="426">
          <cell r="A426">
            <v>60010305</v>
          </cell>
          <cell r="B426" t="str">
            <v>OTHER REIMBURSEMENT</v>
          </cell>
        </row>
        <row r="427">
          <cell r="A427">
            <v>60010306</v>
          </cell>
          <cell r="B427" t="str">
            <v>LEAVE ENCASHMENT</v>
          </cell>
        </row>
        <row r="428">
          <cell r="A428">
            <v>60010307</v>
          </cell>
          <cell r="B428" t="str">
            <v>COMPENSATION ON RETIREMENT/DEA</v>
          </cell>
        </row>
        <row r="429">
          <cell r="A429">
            <v>600104</v>
          </cell>
          <cell r="B429" t="str">
            <v>*PROVIDENT/PENSION FUND/ESIC*</v>
          </cell>
        </row>
        <row r="430">
          <cell r="A430">
            <v>60010400</v>
          </cell>
          <cell r="B430" t="str">
            <v>PROVIDENT FUND</v>
          </cell>
        </row>
        <row r="431">
          <cell r="A431">
            <v>60010401</v>
          </cell>
          <cell r="B431" t="str">
            <v>FAMILY PROVIDENT FUND</v>
          </cell>
        </row>
        <row r="432">
          <cell r="A432">
            <v>60010402</v>
          </cell>
          <cell r="B432" t="str">
            <v>PENSION FUND</v>
          </cell>
        </row>
        <row r="433">
          <cell r="A433">
            <v>60010403</v>
          </cell>
          <cell r="B433" t="str">
            <v>EMPLOYEE STATE INSUR.CORP.</v>
          </cell>
        </row>
        <row r="434">
          <cell r="A434">
            <v>60010404</v>
          </cell>
          <cell r="B434" t="str">
            <v>ADMINISTRATION CHARGES-PF</v>
          </cell>
        </row>
        <row r="435">
          <cell r="A435">
            <v>600105</v>
          </cell>
          <cell r="B435" t="str">
            <v>*FREELANCE / CONTRACTORS*</v>
          </cell>
        </row>
        <row r="436">
          <cell r="A436">
            <v>60010500</v>
          </cell>
          <cell r="B436" t="str">
            <v>FREELANCE / CONTRACTORS</v>
          </cell>
        </row>
        <row r="437">
          <cell r="A437">
            <v>600106</v>
          </cell>
          <cell r="B437" t="str">
            <v>*RECRUITMENT ADVERTISING*</v>
          </cell>
        </row>
        <row r="438">
          <cell r="A438">
            <v>60010600</v>
          </cell>
          <cell r="B438" t="str">
            <v>RECRUITMENT ADVERTISING</v>
          </cell>
        </row>
        <row r="439">
          <cell r="A439">
            <v>600107</v>
          </cell>
          <cell r="B439" t="str">
            <v>*SEMINAR/TRAINING COURSE*</v>
          </cell>
        </row>
        <row r="440">
          <cell r="A440">
            <v>60010700</v>
          </cell>
          <cell r="B440" t="str">
            <v>SEMINAR/TRAINING COURSE</v>
          </cell>
        </row>
        <row r="441">
          <cell r="A441">
            <v>600108</v>
          </cell>
          <cell r="B441" t="str">
            <v>*STAFF FUNCTION*</v>
          </cell>
        </row>
        <row r="442">
          <cell r="A442">
            <v>60010800</v>
          </cell>
          <cell r="B442" t="str">
            <v>STAFF FUNCTION</v>
          </cell>
        </row>
        <row r="443">
          <cell r="A443">
            <v>600120</v>
          </cell>
          <cell r="B443" t="str">
            <v>*OTHER STAFF COSTS*</v>
          </cell>
        </row>
        <row r="444">
          <cell r="A444">
            <v>60012001</v>
          </cell>
          <cell r="B444" t="str">
            <v>OVERTIME PAYMENT</v>
          </cell>
        </row>
        <row r="445">
          <cell r="A445">
            <v>60012003</v>
          </cell>
          <cell r="B445" t="str">
            <v>SEVERENCE  PAYMENT</v>
          </cell>
        </row>
        <row r="446">
          <cell r="A446">
            <v>60012004</v>
          </cell>
          <cell r="B446" t="str">
            <v>GRATUITY</v>
          </cell>
        </row>
        <row r="447">
          <cell r="A447">
            <v>6002</v>
          </cell>
          <cell r="B447" t="str">
            <v>**PREMISES RELATED COSTS*</v>
          </cell>
        </row>
        <row r="448">
          <cell r="A448">
            <v>600201</v>
          </cell>
          <cell r="B448" t="str">
            <v>*OFFICE RENTAL*</v>
          </cell>
        </row>
        <row r="449">
          <cell r="A449">
            <v>60020100</v>
          </cell>
          <cell r="B449" t="str">
            <v>OFFICE RENTAL</v>
          </cell>
        </row>
        <row r="450">
          <cell r="A450">
            <v>600202</v>
          </cell>
          <cell r="B450" t="str">
            <v>*OFFICE MANAGEMENT FEE*</v>
          </cell>
        </row>
        <row r="451">
          <cell r="A451">
            <v>60020200</v>
          </cell>
          <cell r="B451" t="str">
            <v>OFFICE MANAGEMENT FEE</v>
          </cell>
        </row>
        <row r="452">
          <cell r="A452">
            <v>600204</v>
          </cell>
          <cell r="B452" t="str">
            <v>*CLEANING*</v>
          </cell>
        </row>
        <row r="453">
          <cell r="A453">
            <v>60020400</v>
          </cell>
          <cell r="B453" t="str">
            <v>CLEANING</v>
          </cell>
        </row>
        <row r="454">
          <cell r="A454">
            <v>600205</v>
          </cell>
          <cell r="B454" t="str">
            <v>*UTILITIES EXPENSES*</v>
          </cell>
        </row>
        <row r="455">
          <cell r="A455">
            <v>60020500</v>
          </cell>
          <cell r="B455" t="str">
            <v>UTILITIES EXPENSES</v>
          </cell>
        </row>
        <row r="456">
          <cell r="A456">
            <v>600206</v>
          </cell>
          <cell r="B456" t="str">
            <v>*GUARD SERVICE*</v>
          </cell>
        </row>
        <row r="457">
          <cell r="A457">
            <v>60020600</v>
          </cell>
          <cell r="B457" t="str">
            <v>GUARD SERVICE</v>
          </cell>
        </row>
        <row r="458">
          <cell r="A458">
            <v>6010</v>
          </cell>
          <cell r="B458" t="str">
            <v>**TRAVEL AND ENTERTAINMENT*</v>
          </cell>
        </row>
        <row r="459">
          <cell r="A459">
            <v>601001</v>
          </cell>
          <cell r="B459" t="str">
            <v>*ENTERTAINMENT*</v>
          </cell>
        </row>
        <row r="460">
          <cell r="A460">
            <v>60100100</v>
          </cell>
          <cell r="B460" t="str">
            <v>ENTERTAINMENT</v>
          </cell>
        </row>
        <row r="461">
          <cell r="A461">
            <v>60100101</v>
          </cell>
          <cell r="B461" t="str">
            <v>ENTERTAINMENT</v>
          </cell>
        </row>
        <row r="462">
          <cell r="A462">
            <v>601002</v>
          </cell>
          <cell r="B462" t="str">
            <v>*AIR TICKET AND VISA*</v>
          </cell>
        </row>
        <row r="463">
          <cell r="A463">
            <v>60100200</v>
          </cell>
          <cell r="B463" t="str">
            <v>AIR TICKET &amp; VISA (T&amp;E)</v>
          </cell>
        </row>
        <row r="464">
          <cell r="A464">
            <v>601003</v>
          </cell>
          <cell r="B464" t="str">
            <v>*HOTEL ACCOMMODATION*</v>
          </cell>
        </row>
        <row r="465">
          <cell r="A465">
            <v>60100300</v>
          </cell>
          <cell r="B465" t="str">
            <v>HOTEL ACCOMMODATION</v>
          </cell>
        </row>
        <row r="466">
          <cell r="A466">
            <v>601004</v>
          </cell>
          <cell r="B466" t="str">
            <v>*TRAVELLING*</v>
          </cell>
        </row>
        <row r="467">
          <cell r="A467">
            <v>60100401</v>
          </cell>
          <cell r="B467" t="str">
            <v>LOCAL TRAVELLING</v>
          </cell>
        </row>
        <row r="468">
          <cell r="A468">
            <v>60100402</v>
          </cell>
          <cell r="B468" t="str">
            <v>OVERSEAS TRAVELLING</v>
          </cell>
        </row>
        <row r="469">
          <cell r="A469">
            <v>60100403</v>
          </cell>
          <cell r="B469" t="str">
            <v>MOTOR CAR RUNNING EXPENSE</v>
          </cell>
        </row>
        <row r="470">
          <cell r="A470">
            <v>6021</v>
          </cell>
          <cell r="B470" t="str">
            <v>**PROGRAMME PRODUCTION COSTS*</v>
          </cell>
        </row>
        <row r="471">
          <cell r="A471">
            <v>602101</v>
          </cell>
          <cell r="B471" t="str">
            <v>**SATELLITE FEED &amp; DATA EXPEN*</v>
          </cell>
        </row>
        <row r="472">
          <cell r="A472">
            <v>60210101</v>
          </cell>
          <cell r="B472" t="str">
            <v>UPLINK / DOWNLINK</v>
          </cell>
        </row>
        <row r="473">
          <cell r="A473">
            <v>60210102</v>
          </cell>
          <cell r="B473" t="str">
            <v>CANCELLATION CHRG &amp; USED TIME</v>
          </cell>
        </row>
        <row r="474">
          <cell r="A474">
            <v>60210103</v>
          </cell>
          <cell r="B474" t="str">
            <v>VIDEOLINK RENTAL</v>
          </cell>
        </row>
        <row r="475">
          <cell r="A475">
            <v>60210105</v>
          </cell>
          <cell r="B475" t="str">
            <v>FACILITIES</v>
          </cell>
        </row>
        <row r="476">
          <cell r="A476">
            <v>60210106</v>
          </cell>
          <cell r="B476" t="str">
            <v>COMMUNICATIONS / TXM LINES</v>
          </cell>
        </row>
        <row r="477">
          <cell r="A477">
            <v>602102</v>
          </cell>
          <cell r="B477" t="str">
            <v>*ON SITE PRODUCTION*</v>
          </cell>
        </row>
        <row r="478">
          <cell r="A478">
            <v>60210201</v>
          </cell>
          <cell r="B478" t="str">
            <v>PROPS</v>
          </cell>
        </row>
        <row r="479">
          <cell r="A479">
            <v>60210202</v>
          </cell>
          <cell r="B479" t="str">
            <v>PER DIEM &amp; MESSING</v>
          </cell>
        </row>
        <row r="480">
          <cell r="A480">
            <v>60210203</v>
          </cell>
          <cell r="B480" t="str">
            <v>SETS AND SET UP (PRODUCTION)</v>
          </cell>
        </row>
        <row r="481">
          <cell r="A481">
            <v>60210204</v>
          </cell>
          <cell r="B481" t="str">
            <v>VENUE RENTAL (PRODUCTION)</v>
          </cell>
        </row>
        <row r="482">
          <cell r="A482">
            <v>60210205</v>
          </cell>
          <cell r="B482" t="str">
            <v>STUDIO RENTAL</v>
          </cell>
        </row>
        <row r="483">
          <cell r="A483">
            <v>60210206</v>
          </cell>
          <cell r="B483" t="str">
            <v>EFP CREW AND EQUIPMENT RENTAL</v>
          </cell>
        </row>
        <row r="484">
          <cell r="A484">
            <v>60210207</v>
          </cell>
          <cell r="B484" t="str">
            <v>PRODUCTION FREELANCERS</v>
          </cell>
        </row>
        <row r="485">
          <cell r="A485">
            <v>60210208</v>
          </cell>
          <cell r="B485" t="str">
            <v>PRODUCTION-STAND BY MEDICAL</v>
          </cell>
        </row>
        <row r="486">
          <cell r="A486">
            <v>60210209</v>
          </cell>
          <cell r="B486" t="str">
            <v>PRODUCTION-INSURANCE</v>
          </cell>
        </row>
        <row r="487">
          <cell r="A487">
            <v>60210210</v>
          </cell>
          <cell r="B487" t="str">
            <v>SANCTION FEE / LICENCE FEE</v>
          </cell>
        </row>
        <row r="488">
          <cell r="A488">
            <v>60210211</v>
          </cell>
          <cell r="B488" t="str">
            <v>PRODUCTION STAFF</v>
          </cell>
        </row>
        <row r="489">
          <cell r="A489">
            <v>60210212</v>
          </cell>
          <cell r="B489" t="str">
            <v>PROD - TECHNICAL STAFF</v>
          </cell>
        </row>
        <row r="490">
          <cell r="A490">
            <v>60210213</v>
          </cell>
          <cell r="B490" t="str">
            <v>SUPPORT STAFF</v>
          </cell>
        </row>
        <row r="491">
          <cell r="A491">
            <v>60210214</v>
          </cell>
          <cell r="B491" t="str">
            <v>COURIER, FREIGHT -DPC</v>
          </cell>
        </row>
        <row r="492">
          <cell r="A492">
            <v>60210215</v>
          </cell>
          <cell r="B492" t="str">
            <v>VOICE OVER RECORDING</v>
          </cell>
        </row>
        <row r="493">
          <cell r="A493">
            <v>60210217</v>
          </cell>
          <cell r="B493" t="str">
            <v>EQ RENTAL - CAMERA</v>
          </cell>
        </row>
        <row r="494">
          <cell r="A494">
            <v>60210218</v>
          </cell>
          <cell r="B494" t="str">
            <v>EQ RENTAL - LIGHTS</v>
          </cell>
        </row>
        <row r="495">
          <cell r="A495">
            <v>60210219</v>
          </cell>
          <cell r="B495" t="str">
            <v>EQ RENTAL - SOUND</v>
          </cell>
        </row>
        <row r="496">
          <cell r="A496">
            <v>60210220</v>
          </cell>
          <cell r="B496" t="str">
            <v>EQ RENTAL - GENERATOR</v>
          </cell>
        </row>
        <row r="497">
          <cell r="A497">
            <v>60210221</v>
          </cell>
          <cell r="B497" t="str">
            <v>EQ RENTAL - CRANE</v>
          </cell>
        </row>
        <row r="498">
          <cell r="A498">
            <v>60210222</v>
          </cell>
          <cell r="B498" t="str">
            <v>EQ RENTAL - TELEPROMTOR</v>
          </cell>
        </row>
        <row r="499">
          <cell r="A499">
            <v>60210223</v>
          </cell>
          <cell r="B499" t="str">
            <v>EFP CREW - CAMERA</v>
          </cell>
        </row>
        <row r="500">
          <cell r="A500">
            <v>60210224</v>
          </cell>
          <cell r="B500" t="str">
            <v>EFP CREW - LIGHTS</v>
          </cell>
        </row>
        <row r="501">
          <cell r="A501">
            <v>60210225</v>
          </cell>
          <cell r="B501" t="str">
            <v>EFP CREW - SOUND</v>
          </cell>
        </row>
        <row r="502">
          <cell r="A502">
            <v>60210226</v>
          </cell>
          <cell r="B502" t="str">
            <v>EFP CREW - GENERATOR</v>
          </cell>
        </row>
        <row r="503">
          <cell r="A503">
            <v>60210227</v>
          </cell>
          <cell r="B503" t="str">
            <v>EFP CREW - SPOT BOYS</v>
          </cell>
        </row>
        <row r="504">
          <cell r="A504">
            <v>60210228</v>
          </cell>
          <cell r="B504" t="str">
            <v>TECH STAFF  - CAREMA MAN</v>
          </cell>
        </row>
        <row r="505">
          <cell r="A505">
            <v>60210229</v>
          </cell>
          <cell r="B505" t="str">
            <v>TECH STAFF - SOUND RECORDIST</v>
          </cell>
        </row>
        <row r="506">
          <cell r="A506">
            <v>60210230</v>
          </cell>
          <cell r="B506" t="str">
            <v>TECH STAFF - ON LINE EDITOR</v>
          </cell>
        </row>
        <row r="507">
          <cell r="A507">
            <v>60210231</v>
          </cell>
          <cell r="B507" t="str">
            <v>TECH STAFF - OFF LINE EDITOR</v>
          </cell>
        </row>
        <row r="508">
          <cell r="A508">
            <v>60210290</v>
          </cell>
          <cell r="B508" t="str">
            <v>ON SITE PROD - GENERAL</v>
          </cell>
        </row>
        <row r="509">
          <cell r="A509">
            <v>602103</v>
          </cell>
          <cell r="B509" t="str">
            <v>*COMMISSIONED PRODUCTION*</v>
          </cell>
        </row>
        <row r="510">
          <cell r="A510">
            <v>60210301</v>
          </cell>
          <cell r="B510" t="str">
            <v>PRODUCTION FEE</v>
          </cell>
        </row>
        <row r="511">
          <cell r="A511">
            <v>60210302</v>
          </cell>
          <cell r="B511" t="str">
            <v>CLIPS -COMMISSIONED</v>
          </cell>
        </row>
        <row r="512">
          <cell r="A512">
            <v>60210304</v>
          </cell>
          <cell r="B512" t="str">
            <v>MUSIC -COMMISSIONED</v>
          </cell>
        </row>
        <row r="513">
          <cell r="A513">
            <v>60210305</v>
          </cell>
          <cell r="B513" t="str">
            <v>GRAPHIC PACKAGE -COMMISSIONED</v>
          </cell>
        </row>
        <row r="514">
          <cell r="A514">
            <v>602104</v>
          </cell>
          <cell r="B514" t="str">
            <v>*TALENT &amp;TALENT RELATED COSTS*</v>
          </cell>
        </row>
        <row r="515">
          <cell r="A515">
            <v>60210401</v>
          </cell>
          <cell r="B515" t="str">
            <v>TALENT / VJS / PRESENTERS</v>
          </cell>
        </row>
        <row r="516">
          <cell r="A516">
            <v>60210403</v>
          </cell>
          <cell r="B516" t="str">
            <v>TALENT RELATIONS</v>
          </cell>
        </row>
        <row r="517">
          <cell r="A517">
            <v>60210404</v>
          </cell>
          <cell r="B517" t="str">
            <v>MAKE-UP &amp; WARDROBE</v>
          </cell>
        </row>
        <row r="518">
          <cell r="A518">
            <v>60210405</v>
          </cell>
          <cell r="B518" t="str">
            <v>VOICE - OVER</v>
          </cell>
        </row>
        <row r="519">
          <cell r="A519">
            <v>60210406</v>
          </cell>
          <cell r="B519" t="str">
            <v>MAKE-UP MAN</v>
          </cell>
        </row>
        <row r="520">
          <cell r="A520">
            <v>60210407</v>
          </cell>
          <cell r="B520" t="str">
            <v>HAIRDRESSOR &amp; WARDRODE</v>
          </cell>
        </row>
        <row r="521">
          <cell r="A521">
            <v>602105</v>
          </cell>
          <cell r="B521" t="str">
            <v>*POST PRODUCTION*</v>
          </cell>
        </row>
        <row r="522">
          <cell r="A522">
            <v>60210501</v>
          </cell>
          <cell r="B522" t="str">
            <v>DUBBING</v>
          </cell>
        </row>
        <row r="523">
          <cell r="A523">
            <v>60210502</v>
          </cell>
          <cell r="B523" t="str">
            <v>SUB- TITLING</v>
          </cell>
        </row>
        <row r="524">
          <cell r="A524">
            <v>60210503</v>
          </cell>
          <cell r="B524" t="str">
            <v>TRANSLATION</v>
          </cell>
        </row>
        <row r="525">
          <cell r="A525">
            <v>60210504</v>
          </cell>
          <cell r="B525" t="str">
            <v>FACILITIES CHRG (EDIT/GFX/AUD</v>
          </cell>
        </row>
        <row r="526">
          <cell r="A526">
            <v>60210506</v>
          </cell>
          <cell r="B526" t="str">
            <v>BO&amp;E AFFILIATE CHARGES</v>
          </cell>
        </row>
        <row r="527">
          <cell r="A527">
            <v>60210507</v>
          </cell>
          <cell r="B527" t="str">
            <v>MUSIC- POST PRODN.</v>
          </cell>
        </row>
        <row r="528">
          <cell r="A528">
            <v>60210508</v>
          </cell>
          <cell r="B528" t="str">
            <v>STDS &amp; PRACTICES</v>
          </cell>
        </row>
        <row r="529">
          <cell r="A529">
            <v>60210509</v>
          </cell>
          <cell r="B529" t="str">
            <v>TRANSFERS</v>
          </cell>
        </row>
        <row r="530">
          <cell r="A530">
            <v>602106</v>
          </cell>
          <cell r="B530" t="str">
            <v>*TAPE COSTS*</v>
          </cell>
        </row>
        <row r="531">
          <cell r="A531">
            <v>60210601</v>
          </cell>
          <cell r="B531" t="str">
            <v>TAPES CONSUMPTION</v>
          </cell>
        </row>
        <row r="532">
          <cell r="A532">
            <v>60210602</v>
          </cell>
          <cell r="B532" t="str">
            <v>TAPES/CASSETTES/CONVERSION</v>
          </cell>
        </row>
        <row r="533">
          <cell r="A533">
            <v>602107</v>
          </cell>
          <cell r="B533" t="str">
            <v>*TRAVEL ENTERTAINT(Non-staff)*</v>
          </cell>
        </row>
        <row r="534">
          <cell r="A534">
            <v>60210701</v>
          </cell>
          <cell r="B534" t="str">
            <v>PRODUCTION- ENTERTAINMENT</v>
          </cell>
        </row>
        <row r="535">
          <cell r="A535">
            <v>60210702</v>
          </cell>
          <cell r="B535" t="str">
            <v>PRODUCTION- AIR TICKET &amp; VISA</v>
          </cell>
        </row>
        <row r="536">
          <cell r="A536">
            <v>60210703</v>
          </cell>
          <cell r="B536" t="str">
            <v>PRODUCTN-HOTEL ACCOMMODN</v>
          </cell>
        </row>
        <row r="537">
          <cell r="A537">
            <v>60210704</v>
          </cell>
          <cell r="B537" t="str">
            <v>PRODUCTION-TRANSPORTATION</v>
          </cell>
        </row>
        <row r="538">
          <cell r="A538">
            <v>60210705</v>
          </cell>
          <cell r="B538" t="str">
            <v>COMMUNICATION COSTS</v>
          </cell>
        </row>
        <row r="539">
          <cell r="A539">
            <v>602108</v>
          </cell>
          <cell r="B539" t="str">
            <v>*OTHERS*</v>
          </cell>
        </row>
        <row r="540">
          <cell r="A540">
            <v>60210890</v>
          </cell>
          <cell r="B540" t="str">
            <v>PRODUCTION OTHERS - GENERAL</v>
          </cell>
        </row>
        <row r="541">
          <cell r="A541">
            <v>602197</v>
          </cell>
          <cell r="B541" t="str">
            <v>*EXPENSE APSORPTION*</v>
          </cell>
        </row>
        <row r="542">
          <cell r="A542">
            <v>60219700</v>
          </cell>
          <cell r="B542" t="str">
            <v>EXPENSE APSORPTION</v>
          </cell>
        </row>
        <row r="543">
          <cell r="A543">
            <v>602198</v>
          </cell>
          <cell r="B543" t="str">
            <v>*COST OF SALES*</v>
          </cell>
        </row>
        <row r="544">
          <cell r="A544">
            <v>60219801</v>
          </cell>
          <cell r="B544" t="str">
            <v>COST OF SALES</v>
          </cell>
        </row>
        <row r="545">
          <cell r="A545">
            <v>6025</v>
          </cell>
          <cell r="B545" t="str">
            <v>**EVENT ORGNISING COSTS*</v>
          </cell>
        </row>
        <row r="546">
          <cell r="A546">
            <v>602501</v>
          </cell>
          <cell r="B546" t="str">
            <v>*EVENT SET-UP COSTS*</v>
          </cell>
        </row>
        <row r="547">
          <cell r="A547">
            <v>60250101</v>
          </cell>
          <cell r="B547" t="str">
            <v>MANAGEMENT FEE</v>
          </cell>
        </row>
        <row r="548">
          <cell r="A548">
            <v>60250103</v>
          </cell>
          <cell r="B548" t="str">
            <v>SACTIONS-LOCAL</v>
          </cell>
        </row>
        <row r="549">
          <cell r="A549">
            <v>60250104</v>
          </cell>
          <cell r="B549" t="str">
            <v>VENUE HIRE</v>
          </cell>
        </row>
        <row r="550">
          <cell r="A550">
            <v>602504</v>
          </cell>
          <cell r="B550" t="str">
            <v>*ON-SITE OPERATIONS*</v>
          </cell>
        </row>
        <row r="551">
          <cell r="A551">
            <v>60250401</v>
          </cell>
          <cell r="B551" t="str">
            <v>ADDI.PERSONNEL &amp; FREELANCERS</v>
          </cell>
        </row>
        <row r="552">
          <cell r="A552">
            <v>60250402</v>
          </cell>
          <cell r="B552" t="str">
            <v>CATERING</v>
          </cell>
        </row>
        <row r="553">
          <cell r="A553">
            <v>60250403</v>
          </cell>
          <cell r="B553" t="str">
            <v>CONTRACTOR</v>
          </cell>
        </row>
        <row r="554">
          <cell r="A554">
            <v>60250405</v>
          </cell>
          <cell r="B554" t="str">
            <v>EQUIPEMENT HIRE</v>
          </cell>
        </row>
        <row r="555">
          <cell r="A555">
            <v>60250406</v>
          </cell>
          <cell r="B555" t="str">
            <v>INSURANCE</v>
          </cell>
        </row>
        <row r="556">
          <cell r="A556">
            <v>60250407</v>
          </cell>
          <cell r="B556" t="str">
            <v>MEDICAL</v>
          </cell>
        </row>
        <row r="557">
          <cell r="A557">
            <v>60250408</v>
          </cell>
          <cell r="B557" t="str">
            <v>MISCELLANEOUS</v>
          </cell>
        </row>
        <row r="558">
          <cell r="A558">
            <v>60250409</v>
          </cell>
          <cell r="B558" t="str">
            <v>TICKETS</v>
          </cell>
        </row>
        <row r="559">
          <cell r="A559">
            <v>60250410</v>
          </cell>
          <cell r="B559" t="str">
            <v>TROPHIES</v>
          </cell>
        </row>
        <row r="560">
          <cell r="A560">
            <v>602506</v>
          </cell>
          <cell r="B560" t="str">
            <v>*TRAVEL &amp; ENTERTAINMENT*</v>
          </cell>
        </row>
        <row r="561">
          <cell r="A561">
            <v>60250602</v>
          </cell>
          <cell r="B561" t="str">
            <v>EVENT AIR TICKETS &amp; VISAS</v>
          </cell>
        </row>
        <row r="562">
          <cell r="A562">
            <v>60250603</v>
          </cell>
          <cell r="B562" t="str">
            <v>EVENT HOTEL ACCOMMODATION</v>
          </cell>
        </row>
        <row r="563">
          <cell r="A563">
            <v>60250604</v>
          </cell>
          <cell r="B563" t="str">
            <v>EVENT HOTEL TRANSPORTATION</v>
          </cell>
        </row>
        <row r="564">
          <cell r="A564">
            <v>603503</v>
          </cell>
          <cell r="B564" t="str">
            <v>*OTHER LICENCE FEE*</v>
          </cell>
        </row>
        <row r="565">
          <cell r="A565">
            <v>60350390</v>
          </cell>
          <cell r="B565" t="str">
            <v>OTHER LICENCE FEE</v>
          </cell>
        </row>
        <row r="566">
          <cell r="A566">
            <v>6050</v>
          </cell>
          <cell r="B566" t="str">
            <v>**ADVERTISING &amp;PROMOTION*</v>
          </cell>
        </row>
        <row r="567">
          <cell r="A567">
            <v>605001</v>
          </cell>
          <cell r="B567" t="str">
            <v>*A&amp;P GENERAL*</v>
          </cell>
        </row>
        <row r="568">
          <cell r="A568">
            <v>60500101</v>
          </cell>
          <cell r="B568" t="str">
            <v>MEDIA INSERTION ADVERTISING</v>
          </cell>
        </row>
        <row r="569">
          <cell r="A569">
            <v>60500102</v>
          </cell>
          <cell r="B569" t="str">
            <v>MEDIA  PRODUCTION</v>
          </cell>
        </row>
        <row r="570">
          <cell r="A570">
            <v>60500103</v>
          </cell>
          <cell r="B570" t="str">
            <v>PUBLIC RELATION</v>
          </cell>
        </row>
        <row r="571">
          <cell r="A571">
            <v>60500105</v>
          </cell>
          <cell r="B571" t="str">
            <v>RESEARCH A &amp; P</v>
          </cell>
        </row>
        <row r="572">
          <cell r="A572">
            <v>60500106</v>
          </cell>
          <cell r="B572" t="str">
            <v>DESIGN A &amp; P</v>
          </cell>
        </row>
        <row r="573">
          <cell r="A573">
            <v>60500107</v>
          </cell>
          <cell r="B573" t="str">
            <v>DIRECT MAIL</v>
          </cell>
        </row>
        <row r="574">
          <cell r="A574">
            <v>60500109</v>
          </cell>
          <cell r="B574" t="str">
            <v>SOUVENIOR</v>
          </cell>
        </row>
        <row r="575">
          <cell r="A575">
            <v>60500110</v>
          </cell>
          <cell r="B575" t="str">
            <v>TRAVEL &amp; ENTERTAINMENT</v>
          </cell>
        </row>
        <row r="576">
          <cell r="A576">
            <v>60500111</v>
          </cell>
          <cell r="B576" t="str">
            <v>TRADE ADVERTISING</v>
          </cell>
        </row>
        <row r="577">
          <cell r="A577">
            <v>605002</v>
          </cell>
          <cell r="B577" t="str">
            <v>*GFX*</v>
          </cell>
        </row>
        <row r="578">
          <cell r="A578">
            <v>60500201</v>
          </cell>
          <cell r="B578" t="str">
            <v>GRAPHIC MATERIAL /SUPPLIES</v>
          </cell>
        </row>
        <row r="579">
          <cell r="A579">
            <v>60500202</v>
          </cell>
          <cell r="B579" t="str">
            <v>ANIMATION PRODUCTION &amp; DESIGN</v>
          </cell>
        </row>
        <row r="580">
          <cell r="A580">
            <v>60500203</v>
          </cell>
          <cell r="B580" t="str">
            <v>GRAPHIC RELATED EXPENSES</v>
          </cell>
        </row>
        <row r="581">
          <cell r="A581">
            <v>605003</v>
          </cell>
          <cell r="B581" t="str">
            <v>*PRINTINGS*</v>
          </cell>
        </row>
        <row r="582">
          <cell r="A582">
            <v>60500301</v>
          </cell>
          <cell r="B582" t="str">
            <v>PRINT -STAR LINK</v>
          </cell>
        </row>
        <row r="583">
          <cell r="A583">
            <v>60500303</v>
          </cell>
          <cell r="B583" t="str">
            <v>PRINT - PROMOTIONAL (PAY)</v>
          </cell>
        </row>
        <row r="584">
          <cell r="A584">
            <v>60500304</v>
          </cell>
          <cell r="B584" t="str">
            <v>PRINT - PROMOTIONAL (FTA)</v>
          </cell>
        </row>
        <row r="585">
          <cell r="A585">
            <v>60500305</v>
          </cell>
          <cell r="B585" t="str">
            <v>PRINT - CORPORATE KITS</v>
          </cell>
        </row>
        <row r="586">
          <cell r="A586">
            <v>60500306</v>
          </cell>
          <cell r="B586" t="str">
            <v>LISTINGS</v>
          </cell>
        </row>
        <row r="587">
          <cell r="A587">
            <v>60500307</v>
          </cell>
          <cell r="B587" t="str">
            <v>BROCHURES</v>
          </cell>
        </row>
        <row r="588">
          <cell r="A588">
            <v>60500308</v>
          </cell>
          <cell r="B588" t="str">
            <v>POINT OF SALE</v>
          </cell>
        </row>
        <row r="589">
          <cell r="A589">
            <v>60500309</v>
          </cell>
          <cell r="B589" t="str">
            <v>DIRECT MARKETING</v>
          </cell>
        </row>
        <row r="590">
          <cell r="A590">
            <v>60500310</v>
          </cell>
          <cell r="B590" t="str">
            <v>SLIDE DUPLICATION &amp; PHOTOS</v>
          </cell>
        </row>
        <row r="591">
          <cell r="A591">
            <v>60500311</v>
          </cell>
          <cell r="B591" t="str">
            <v>LETTERHEADS &amp; POSTERS</v>
          </cell>
        </row>
        <row r="592">
          <cell r="A592">
            <v>60500312</v>
          </cell>
          <cell r="B592" t="str">
            <v>OTHER  PRINTING EXPENSES</v>
          </cell>
        </row>
        <row r="593">
          <cell r="A593">
            <v>605004</v>
          </cell>
          <cell r="B593" t="str">
            <v>*CONVENTN, SEMINAR &amp; EXHIBITN*</v>
          </cell>
        </row>
        <row r="594">
          <cell r="A594">
            <v>60500401</v>
          </cell>
          <cell r="B594" t="str">
            <v>CONVENTION</v>
          </cell>
        </row>
        <row r="595">
          <cell r="A595">
            <v>60500402</v>
          </cell>
          <cell r="B595" t="str">
            <v>SEMINARS</v>
          </cell>
        </row>
        <row r="596">
          <cell r="A596">
            <v>60500403</v>
          </cell>
          <cell r="B596" t="str">
            <v>PRESS &amp; OTHER CONFERENCES</v>
          </cell>
        </row>
        <row r="597">
          <cell r="A597">
            <v>60500404</v>
          </cell>
          <cell r="B597" t="str">
            <v>EXHIBITIONS</v>
          </cell>
        </row>
        <row r="598">
          <cell r="A598">
            <v>60500490</v>
          </cell>
          <cell r="B598" t="str">
            <v>OTR FCT-CONVENTN,SEMNAR,EXHB</v>
          </cell>
        </row>
        <row r="599">
          <cell r="A599">
            <v>605005</v>
          </cell>
          <cell r="B599" t="str">
            <v>*ROADSHOW*</v>
          </cell>
        </row>
        <row r="600">
          <cell r="A600">
            <v>60500500</v>
          </cell>
          <cell r="B600" t="str">
            <v>ROADSHOW</v>
          </cell>
        </row>
        <row r="601">
          <cell r="A601">
            <v>605006</v>
          </cell>
          <cell r="B601" t="str">
            <v>*PROMOTIONS*</v>
          </cell>
        </row>
        <row r="602">
          <cell r="A602">
            <v>60500601</v>
          </cell>
          <cell r="B602" t="str">
            <v>PREMIUMS</v>
          </cell>
        </row>
        <row r="603">
          <cell r="A603">
            <v>60500602</v>
          </cell>
          <cell r="B603" t="str">
            <v>EQUIPMENT RENTAL (PROMOTION)</v>
          </cell>
        </row>
        <row r="604">
          <cell r="A604">
            <v>60500603</v>
          </cell>
          <cell r="B604" t="str">
            <v>LAUNCHES</v>
          </cell>
        </row>
        <row r="605">
          <cell r="A605">
            <v>60500604</v>
          </cell>
          <cell r="B605" t="str">
            <v>ADVERTISING</v>
          </cell>
        </row>
        <row r="606">
          <cell r="A606">
            <v>60500605</v>
          </cell>
          <cell r="B606" t="str">
            <v>MERCHANISE</v>
          </cell>
        </row>
        <row r="607">
          <cell r="A607">
            <v>60500606</v>
          </cell>
          <cell r="B607" t="str">
            <v>LICENCE FEE</v>
          </cell>
        </row>
        <row r="608">
          <cell r="A608">
            <v>60500607</v>
          </cell>
          <cell r="B608" t="str">
            <v>MINOR CONTESTS</v>
          </cell>
        </row>
        <row r="609">
          <cell r="A609">
            <v>60500690</v>
          </cell>
          <cell r="B609" t="str">
            <v>PROMOTION-GENERAL</v>
          </cell>
        </row>
        <row r="610">
          <cell r="A610">
            <v>605008</v>
          </cell>
          <cell r="B610" t="str">
            <v>DATABASE</v>
          </cell>
        </row>
        <row r="611">
          <cell r="A611">
            <v>60500802</v>
          </cell>
          <cell r="B611" t="str">
            <v>BUSINESS DEVELOPMENT</v>
          </cell>
        </row>
        <row r="612">
          <cell r="A612">
            <v>605009</v>
          </cell>
          <cell r="B612" t="str">
            <v>*VJ PROMOS*</v>
          </cell>
        </row>
        <row r="613">
          <cell r="A613">
            <v>60500902</v>
          </cell>
          <cell r="B613" t="str">
            <v>APPEARANCE,(TRAVEL &amp; ENT.)</v>
          </cell>
        </row>
        <row r="614">
          <cell r="A614">
            <v>605010</v>
          </cell>
          <cell r="B614" t="str">
            <v>*ON-AIR PROMOS*</v>
          </cell>
        </row>
        <row r="615">
          <cell r="A615">
            <v>60501090</v>
          </cell>
          <cell r="B615" t="str">
            <v>GENERAL</v>
          </cell>
        </row>
        <row r="616">
          <cell r="A616">
            <v>605011</v>
          </cell>
          <cell r="B616" t="str">
            <v>*AGENCY SUPPORT*</v>
          </cell>
        </row>
        <row r="617">
          <cell r="A617">
            <v>60501103</v>
          </cell>
          <cell r="B617" t="str">
            <v>RESEARCH</v>
          </cell>
        </row>
        <row r="618">
          <cell r="A618">
            <v>60501104</v>
          </cell>
          <cell r="B618" t="str">
            <v>DESIGN</v>
          </cell>
        </row>
        <row r="619">
          <cell r="A619">
            <v>605020</v>
          </cell>
          <cell r="B619" t="str">
            <v>*OTHER A&amp;P ITEMS*</v>
          </cell>
        </row>
        <row r="620">
          <cell r="A620">
            <v>60502080</v>
          </cell>
          <cell r="B620" t="str">
            <v>REGIONAL OFFICE A&amp;P</v>
          </cell>
        </row>
        <row r="621">
          <cell r="A621">
            <v>60502090</v>
          </cell>
          <cell r="B621" t="str">
            <v>OTHER A&amp;P ITEMS</v>
          </cell>
        </row>
        <row r="622">
          <cell r="A622">
            <v>6052</v>
          </cell>
          <cell r="B622" t="str">
            <v>**RESEARCH*</v>
          </cell>
        </row>
        <row r="623">
          <cell r="A623">
            <v>605201</v>
          </cell>
          <cell r="B623" t="str">
            <v>*VIEWING DATA*</v>
          </cell>
        </row>
        <row r="624">
          <cell r="A624">
            <v>60520100</v>
          </cell>
          <cell r="B624" t="str">
            <v>VIEWING DATA</v>
          </cell>
        </row>
        <row r="625">
          <cell r="A625">
            <v>605203</v>
          </cell>
          <cell r="B625" t="str">
            <v>*VALIDATION/ SURVEY*</v>
          </cell>
        </row>
        <row r="626">
          <cell r="A626">
            <v>60520300</v>
          </cell>
          <cell r="B626" t="str">
            <v>VALIDATION/ SURVEY</v>
          </cell>
        </row>
        <row r="627">
          <cell r="A627">
            <v>605204</v>
          </cell>
          <cell r="B627" t="str">
            <v>*CHANNEL RESEARCH*</v>
          </cell>
        </row>
        <row r="628">
          <cell r="A628">
            <v>60520400</v>
          </cell>
          <cell r="B628" t="str">
            <v>CHANNEL RESEARCH</v>
          </cell>
        </row>
        <row r="629">
          <cell r="A629">
            <v>605220</v>
          </cell>
          <cell r="B629" t="str">
            <v>*OTHERS - RESEARCH*</v>
          </cell>
        </row>
        <row r="630">
          <cell r="A630">
            <v>60522090</v>
          </cell>
          <cell r="B630" t="str">
            <v>OTHERS - RESEARCH</v>
          </cell>
        </row>
        <row r="631">
          <cell r="A631">
            <v>6055</v>
          </cell>
          <cell r="B631" t="str">
            <v>**MARS*</v>
          </cell>
        </row>
        <row r="632">
          <cell r="A632">
            <v>605501</v>
          </cell>
          <cell r="B632" t="str">
            <v>*MARS*</v>
          </cell>
        </row>
        <row r="633">
          <cell r="A633">
            <v>60550104</v>
          </cell>
          <cell r="B633" t="str">
            <v>NON-STAFF AIR TICKET</v>
          </cell>
        </row>
        <row r="634">
          <cell r="A634">
            <v>60550105</v>
          </cell>
          <cell r="B634" t="str">
            <v>NON-STAFF HOTEL</v>
          </cell>
        </row>
        <row r="635">
          <cell r="A635">
            <v>60550106</v>
          </cell>
          <cell r="B635" t="str">
            <v>NON-STAFF LOCAL TRAVELLING</v>
          </cell>
        </row>
        <row r="636">
          <cell r="A636">
            <v>60550190</v>
          </cell>
          <cell r="B636" t="str">
            <v>MARS GENERAL</v>
          </cell>
        </row>
        <row r="637">
          <cell r="A637">
            <v>6060</v>
          </cell>
          <cell r="B637" t="str">
            <v>**LEGAL &amp; PROFESSIONAL*</v>
          </cell>
        </row>
        <row r="638">
          <cell r="A638">
            <v>606001</v>
          </cell>
          <cell r="B638" t="str">
            <v>*AUDIT FEE*</v>
          </cell>
        </row>
        <row r="639">
          <cell r="A639">
            <v>60600100</v>
          </cell>
          <cell r="B639" t="str">
            <v>AUDIT FEE -AA</v>
          </cell>
        </row>
        <row r="640">
          <cell r="A640">
            <v>60600101</v>
          </cell>
          <cell r="B640" t="str">
            <v>AUDIT FEE - AA</v>
          </cell>
        </row>
        <row r="641">
          <cell r="A641">
            <v>60600102</v>
          </cell>
          <cell r="B641" t="str">
            <v>OUT OF POCKET EXP - AA</v>
          </cell>
        </row>
        <row r="642">
          <cell r="A642">
            <v>60600190</v>
          </cell>
          <cell r="B642" t="str">
            <v>AUDIT FEE - OTHERS</v>
          </cell>
        </row>
        <row r="643">
          <cell r="A643">
            <v>606002</v>
          </cell>
          <cell r="B643" t="str">
            <v>*OTHER FINANCIAL SERVICES*</v>
          </cell>
        </row>
        <row r="644">
          <cell r="A644">
            <v>60600202</v>
          </cell>
          <cell r="B644" t="str">
            <v>TAXATION FEE &amp; ADVICE</v>
          </cell>
        </row>
        <row r="645">
          <cell r="A645">
            <v>60600211</v>
          </cell>
          <cell r="B645" t="str">
            <v>TAX AUDIT FEE</v>
          </cell>
        </row>
        <row r="646">
          <cell r="A646">
            <v>60600220</v>
          </cell>
          <cell r="B646" t="str">
            <v>MANAGEMENT SERVICES</v>
          </cell>
        </row>
        <row r="647">
          <cell r="A647">
            <v>606003</v>
          </cell>
          <cell r="B647" t="str">
            <v>*LEGAL*</v>
          </cell>
        </row>
        <row r="648">
          <cell r="A648">
            <v>60600301</v>
          </cell>
          <cell r="B648" t="str">
            <v>LEGAL CONSULTANCY FEE</v>
          </cell>
        </row>
        <row r="649">
          <cell r="A649">
            <v>606010</v>
          </cell>
          <cell r="B649" t="str">
            <v>*OTHER SERVICES*</v>
          </cell>
        </row>
        <row r="650">
          <cell r="A650">
            <v>60601001</v>
          </cell>
          <cell r="B650" t="str">
            <v>OTHER SERVICES</v>
          </cell>
        </row>
        <row r="651">
          <cell r="A651">
            <v>6065</v>
          </cell>
          <cell r="B651" t="str">
            <v>**GENERAL OPERATING EXPENSES*</v>
          </cell>
        </row>
        <row r="652">
          <cell r="A652">
            <v>606501</v>
          </cell>
          <cell r="B652" t="str">
            <v>*REPAIR &amp; MAINTANENCE*</v>
          </cell>
        </row>
        <row r="653">
          <cell r="A653">
            <v>60650101</v>
          </cell>
          <cell r="B653" t="str">
            <v>EDP  - HARDWARE</v>
          </cell>
        </row>
        <row r="654">
          <cell r="A654">
            <v>60650102</v>
          </cell>
          <cell r="B654" t="str">
            <v>EDP  - SOFTWARE</v>
          </cell>
        </row>
        <row r="655">
          <cell r="A655">
            <v>60650103</v>
          </cell>
          <cell r="B655" t="str">
            <v>OFFICE EQUIP MAINTENANCE</v>
          </cell>
        </row>
        <row r="656">
          <cell r="A656">
            <v>60650190</v>
          </cell>
          <cell r="B656" t="str">
            <v>OTHER EQUIPMENTS MAINTENANCE</v>
          </cell>
        </row>
        <row r="657">
          <cell r="A657">
            <v>60650191</v>
          </cell>
          <cell r="B657" t="str">
            <v>REPAIR &amp; MAINT - OTHER</v>
          </cell>
        </row>
        <row r="658">
          <cell r="A658">
            <v>606502</v>
          </cell>
          <cell r="B658" t="str">
            <v>*INSURANCE EXPENSES*</v>
          </cell>
        </row>
        <row r="659">
          <cell r="A659">
            <v>60650202</v>
          </cell>
          <cell r="B659" t="str">
            <v>STAFF INSURANCE</v>
          </cell>
        </row>
        <row r="660">
          <cell r="A660">
            <v>60650203</v>
          </cell>
          <cell r="B660" t="str">
            <v>OPERATION INSURANCE</v>
          </cell>
        </row>
        <row r="661">
          <cell r="A661">
            <v>60650290</v>
          </cell>
          <cell r="B661" t="str">
            <v>OTHER INSURANCE EXPENSES</v>
          </cell>
        </row>
        <row r="662">
          <cell r="A662">
            <v>606503</v>
          </cell>
          <cell r="B662" t="str">
            <v>*OFFICE OPERATING COSTS*</v>
          </cell>
        </row>
        <row r="663">
          <cell r="A663">
            <v>60650304</v>
          </cell>
          <cell r="B663" t="str">
            <v>OFFICE SUPPLIES</v>
          </cell>
        </row>
        <row r="664">
          <cell r="A664">
            <v>60650310</v>
          </cell>
          <cell r="B664" t="str">
            <v>TELEPHONE, TELEX &amp; FAX</v>
          </cell>
        </row>
        <row r="665">
          <cell r="A665">
            <v>60650312</v>
          </cell>
          <cell r="B665" t="str">
            <v>OFFICE MESSING</v>
          </cell>
        </row>
        <row r="666">
          <cell r="A666">
            <v>60650314</v>
          </cell>
          <cell r="B666" t="str">
            <v>OFFICE EQUIP RENTAL</v>
          </cell>
        </row>
        <row r="667">
          <cell r="A667">
            <v>606504</v>
          </cell>
          <cell r="B667" t="str">
            <v>*EDP*</v>
          </cell>
        </row>
        <row r="668">
          <cell r="A668">
            <v>60650401</v>
          </cell>
          <cell r="B668" t="str">
            <v>EDP CONSUMABLE</v>
          </cell>
        </row>
        <row r="669">
          <cell r="A669">
            <v>60650402</v>
          </cell>
          <cell r="B669" t="str">
            <v>COMPUTER SOFTWARE</v>
          </cell>
        </row>
        <row r="670">
          <cell r="A670">
            <v>606506</v>
          </cell>
          <cell r="B670" t="str">
            <v>*BUS &amp; MOTAR CAR EXPENSES*</v>
          </cell>
        </row>
        <row r="671">
          <cell r="A671">
            <v>60650601</v>
          </cell>
          <cell r="B671" t="str">
            <v>BUS &amp; MOTAR CAR EXPENSES</v>
          </cell>
        </row>
        <row r="672">
          <cell r="A672">
            <v>606599</v>
          </cell>
          <cell r="B672" t="str">
            <v>*SUNDRY COSTS*</v>
          </cell>
        </row>
        <row r="673">
          <cell r="A673">
            <v>60659901</v>
          </cell>
          <cell r="B673" t="str">
            <v>MAGAZINE &amp; PUBLICATION</v>
          </cell>
        </row>
        <row r="674">
          <cell r="A674">
            <v>60659902</v>
          </cell>
          <cell r="B674" t="str">
            <v>PRINTING &amp; STATIONERY</v>
          </cell>
        </row>
        <row r="675">
          <cell r="A675">
            <v>60659903</v>
          </cell>
          <cell r="B675" t="str">
            <v>FREIGHT &amp; COURIER</v>
          </cell>
        </row>
        <row r="676">
          <cell r="A676">
            <v>60659905</v>
          </cell>
          <cell r="B676" t="str">
            <v>POSTAGE</v>
          </cell>
        </row>
        <row r="677">
          <cell r="A677">
            <v>60659908</v>
          </cell>
          <cell r="B677" t="str">
            <v>MEMBERSHIP SUBSCRIPTION</v>
          </cell>
        </row>
        <row r="678">
          <cell r="A678">
            <v>60659916</v>
          </cell>
          <cell r="B678" t="str">
            <v>DEALER COMMISION</v>
          </cell>
        </row>
        <row r="679">
          <cell r="A679">
            <v>60659990</v>
          </cell>
          <cell r="B679" t="str">
            <v>MISCELLANEOUS - SUNDRY COSTS</v>
          </cell>
        </row>
        <row r="680">
          <cell r="A680">
            <v>6066</v>
          </cell>
          <cell r="B680" t="str">
            <v>**OTHER OPERATING COSTS*</v>
          </cell>
        </row>
        <row r="681">
          <cell r="A681">
            <v>606601</v>
          </cell>
          <cell r="B681" t="str">
            <v>PROVISION FOR BAD DEBTS</v>
          </cell>
        </row>
        <row r="682">
          <cell r="A682">
            <v>60660100</v>
          </cell>
          <cell r="B682" t="str">
            <v>PROVISION FOR BAD DEBTS</v>
          </cell>
        </row>
        <row r="683">
          <cell r="A683">
            <v>606602</v>
          </cell>
          <cell r="B683" t="str">
            <v>BAD DEBTS</v>
          </cell>
        </row>
        <row r="684">
          <cell r="A684">
            <v>60660200</v>
          </cell>
          <cell r="B684" t="str">
            <v>BAD DEBTS</v>
          </cell>
        </row>
        <row r="685">
          <cell r="A685">
            <v>60660300</v>
          </cell>
          <cell r="B685" t="str">
            <v>PROV FOR STOCK WRITTEN DOWN</v>
          </cell>
        </row>
        <row r="686">
          <cell r="A686">
            <v>60660301</v>
          </cell>
          <cell r="B686" t="str">
            <v>PROV FOR OBSOLESCENCE OF ASSET</v>
          </cell>
        </row>
        <row r="687">
          <cell r="A687">
            <v>606620</v>
          </cell>
          <cell r="B687" t="str">
            <v>*DONATION*</v>
          </cell>
        </row>
        <row r="688">
          <cell r="A688">
            <v>60662000</v>
          </cell>
          <cell r="B688" t="str">
            <v>DONATION</v>
          </cell>
        </row>
        <row r="689">
          <cell r="A689">
            <v>6070</v>
          </cell>
          <cell r="B689" t="str">
            <v>**DEPRECIATION EXPENSES*</v>
          </cell>
        </row>
        <row r="690">
          <cell r="A690">
            <v>607002</v>
          </cell>
          <cell r="B690" t="str">
            <v>*OFFICE LAND &amp; BLDG  COST*</v>
          </cell>
        </row>
        <row r="691">
          <cell r="A691">
            <v>60700201</v>
          </cell>
          <cell r="B691" t="str">
            <v>DEPN EXP- OFFICE LAND</v>
          </cell>
        </row>
        <row r="692">
          <cell r="A692">
            <v>60700202</v>
          </cell>
          <cell r="B692" t="str">
            <v>DEPN EXP- OFFICE BLDG</v>
          </cell>
        </row>
        <row r="693">
          <cell r="A693">
            <v>607003</v>
          </cell>
          <cell r="B693" t="str">
            <v>*INDUSTRIAL LEASEHOLD IMPROVT*</v>
          </cell>
        </row>
        <row r="694">
          <cell r="A694">
            <v>60700301</v>
          </cell>
          <cell r="B694" t="str">
            <v>DEPN EXP- LEASEHOLD IMPROVE</v>
          </cell>
        </row>
        <row r="695">
          <cell r="A695">
            <v>607004</v>
          </cell>
          <cell r="B695" t="str">
            <v>*OFFICE LEASEHOLD IMPROVEMT*</v>
          </cell>
        </row>
        <row r="696">
          <cell r="A696">
            <v>60700401</v>
          </cell>
          <cell r="B696" t="str">
            <v>DEPN EXP- OFFICE LEASEHOLD</v>
          </cell>
        </row>
        <row r="697">
          <cell r="A697">
            <v>607006</v>
          </cell>
          <cell r="B697" t="str">
            <v>*EDP EQUIP*</v>
          </cell>
        </row>
        <row r="698">
          <cell r="A698">
            <v>60700601</v>
          </cell>
          <cell r="B698" t="str">
            <v>DEPN EXP- SMS EQUIPMENT</v>
          </cell>
        </row>
        <row r="699">
          <cell r="A699">
            <v>60700602</v>
          </cell>
          <cell r="B699" t="str">
            <v>DEPN EXP- MIS EQUIPMENT</v>
          </cell>
        </row>
        <row r="700">
          <cell r="A700">
            <v>60700604</v>
          </cell>
          <cell r="B700" t="str">
            <v>DEPN EXP - MIS COMPUTER COST</v>
          </cell>
        </row>
        <row r="701">
          <cell r="A701">
            <v>60700605</v>
          </cell>
          <cell r="B701" t="str">
            <v>DEPN EXP - MIS NETWORK COST</v>
          </cell>
        </row>
        <row r="702">
          <cell r="A702">
            <v>60700606</v>
          </cell>
          <cell r="B702" t="str">
            <v>DEPN EXP - MIS SOFTWARE</v>
          </cell>
        </row>
        <row r="703">
          <cell r="A703">
            <v>60700607</v>
          </cell>
          <cell r="B703" t="str">
            <v>DEPN EXP - MIS OTHER</v>
          </cell>
        </row>
        <row r="704">
          <cell r="A704">
            <v>607007</v>
          </cell>
          <cell r="B704" t="str">
            <v>*DEPN EXP - TELECOM EQUIP*</v>
          </cell>
        </row>
        <row r="705">
          <cell r="A705">
            <v>60700701</v>
          </cell>
          <cell r="B705" t="str">
            <v>DEPN EXP- TELECOM</v>
          </cell>
        </row>
        <row r="706">
          <cell r="A706">
            <v>607008</v>
          </cell>
          <cell r="B706" t="str">
            <v>*B O &amp; E  EQUIP*</v>
          </cell>
        </row>
        <row r="707">
          <cell r="A707">
            <v>60700801</v>
          </cell>
          <cell r="B707" t="str">
            <v>DEPN EXP- STUDIO EQUIPMENTS</v>
          </cell>
        </row>
        <row r="708">
          <cell r="A708">
            <v>60700802</v>
          </cell>
          <cell r="B708" t="str">
            <v>DEPN EXP- EDITING EQUIPMENTS</v>
          </cell>
        </row>
        <row r="709">
          <cell r="A709">
            <v>60700803</v>
          </cell>
          <cell r="B709" t="str">
            <v>DEPN EXP- GRAPHIC EQUIPMENTS</v>
          </cell>
        </row>
        <row r="710">
          <cell r="A710">
            <v>60700804</v>
          </cell>
          <cell r="B710" t="str">
            <v>DEPN EXP- EFP EQUIPMENTS</v>
          </cell>
        </row>
        <row r="711">
          <cell r="A711">
            <v>60700805</v>
          </cell>
          <cell r="B711" t="str">
            <v>DEPN EXP- AUDIO EQUIPMENTS</v>
          </cell>
        </row>
        <row r="712">
          <cell r="A712">
            <v>60700806</v>
          </cell>
          <cell r="B712" t="str">
            <v>DEPN EXP- LIB. MANAGEMENT SYS</v>
          </cell>
        </row>
        <row r="713">
          <cell r="A713">
            <v>60700807</v>
          </cell>
          <cell r="B713" t="str">
            <v>DEPN EXP- TRANSMISSION EQUIPM</v>
          </cell>
        </row>
        <row r="714">
          <cell r="A714">
            <v>60700808</v>
          </cell>
          <cell r="B714" t="str">
            <v>DEPN EXP- COMPRESSOR &amp; ENCODI</v>
          </cell>
        </row>
        <row r="715">
          <cell r="A715">
            <v>60700809</v>
          </cell>
          <cell r="B715" t="str">
            <v>DEPN EXP- MLTS</v>
          </cell>
        </row>
        <row r="716">
          <cell r="A716">
            <v>60700810</v>
          </cell>
          <cell r="B716" t="str">
            <v>DEPN EXP- RADIO  EQUIPMENTS</v>
          </cell>
        </row>
        <row r="717">
          <cell r="A717">
            <v>60700814</v>
          </cell>
          <cell r="B717" t="str">
            <v>DEPN EXP- DUBBING  EQUIPMENTS</v>
          </cell>
        </row>
        <row r="718">
          <cell r="A718">
            <v>60700899</v>
          </cell>
          <cell r="B718" t="str">
            <v>DEPN EXP- OTHER EQUIPMENTS</v>
          </cell>
        </row>
        <row r="719">
          <cell r="A719">
            <v>607009</v>
          </cell>
          <cell r="B719" t="str">
            <v>*OFFICE AUDIO &amp; VCR EQUIPMENT*</v>
          </cell>
        </row>
        <row r="720">
          <cell r="A720">
            <v>60700901</v>
          </cell>
          <cell r="B720" t="str">
            <v>DEPN EXP- OFFICE AUDIO &amp; VCR</v>
          </cell>
        </row>
        <row r="721">
          <cell r="A721">
            <v>607010</v>
          </cell>
          <cell r="B721" t="str">
            <v>*OFFICE EQUIPMENT*</v>
          </cell>
        </row>
        <row r="722">
          <cell r="A722">
            <v>60701002</v>
          </cell>
          <cell r="B722" t="str">
            <v>DEPN EXP- OFFICE EQUIPMENT</v>
          </cell>
        </row>
        <row r="723">
          <cell r="A723">
            <v>607011</v>
          </cell>
          <cell r="B723" t="str">
            <v>*AIR CONDITIONING SYSTEM*</v>
          </cell>
        </row>
        <row r="724">
          <cell r="A724">
            <v>60701101</v>
          </cell>
          <cell r="B724" t="str">
            <v>DEPN EXP-  AIR COND SYSTEM</v>
          </cell>
        </row>
        <row r="725">
          <cell r="A725">
            <v>607013</v>
          </cell>
          <cell r="B725" t="str">
            <v>*MOTOR VEHICLES*</v>
          </cell>
        </row>
        <row r="726">
          <cell r="A726">
            <v>60701301</v>
          </cell>
          <cell r="B726" t="str">
            <v>DEPN EXP- MOTOR VANS</v>
          </cell>
        </row>
        <row r="727">
          <cell r="A727">
            <v>607014</v>
          </cell>
          <cell r="B727" t="str">
            <v>*OFFICE FURNITURE*</v>
          </cell>
        </row>
        <row r="728">
          <cell r="A728">
            <v>60701401</v>
          </cell>
          <cell r="B728" t="str">
            <v>DEPN EXP- OFFICE FURNITURE</v>
          </cell>
        </row>
        <row r="729">
          <cell r="A729">
            <v>6080</v>
          </cell>
          <cell r="B729" t="str">
            <v>COST OF EQUIPMENT SOLD</v>
          </cell>
        </row>
        <row r="730">
          <cell r="A730">
            <v>608001</v>
          </cell>
          <cell r="B730" t="str">
            <v>COST OF GOODS SOLD-EQUIPMENT</v>
          </cell>
        </row>
        <row r="731">
          <cell r="A731">
            <v>60800123</v>
          </cell>
          <cell r="B731" t="str">
            <v>COGS - OTHERS</v>
          </cell>
        </row>
        <row r="732">
          <cell r="A732">
            <v>6082</v>
          </cell>
          <cell r="B732" t="str">
            <v>**DUTIES,TAXES &amp; LEVIES*</v>
          </cell>
        </row>
        <row r="733">
          <cell r="A733">
            <v>608201</v>
          </cell>
          <cell r="B733" t="str">
            <v>*DUTIES &amp; TAXES*</v>
          </cell>
        </row>
        <row r="734">
          <cell r="A734">
            <v>60820101</v>
          </cell>
          <cell r="B734" t="str">
            <v>DUTIES &amp; TAXES</v>
          </cell>
        </row>
        <row r="735">
          <cell r="A735">
            <v>608202</v>
          </cell>
          <cell r="B735" t="str">
            <v>*INCOME TAX*</v>
          </cell>
        </row>
        <row r="736">
          <cell r="A736">
            <v>60820201</v>
          </cell>
          <cell r="B736" t="str">
            <v>INCOME TAX PAID</v>
          </cell>
        </row>
        <row r="737">
          <cell r="A737">
            <v>70</v>
          </cell>
          <cell r="B737" t="str">
            <v>***FINANCE COSTS*</v>
          </cell>
        </row>
        <row r="738">
          <cell r="A738">
            <v>7040</v>
          </cell>
          <cell r="B738" t="str">
            <v>**INTEREST EXPENSES*</v>
          </cell>
        </row>
        <row r="739">
          <cell r="A739">
            <v>704002</v>
          </cell>
          <cell r="B739" t="str">
            <v>*BANK INTEREST PAID -OFFSHORE*</v>
          </cell>
        </row>
        <row r="740">
          <cell r="A740">
            <v>70400201</v>
          </cell>
          <cell r="B740" t="str">
            <v>BANK INTEREST PAID -OVERDRAFT(</v>
          </cell>
        </row>
        <row r="741">
          <cell r="A741">
            <v>70400202</v>
          </cell>
          <cell r="B741" t="str">
            <v>BANK INTEREST PAID - LOAN(INDI</v>
          </cell>
        </row>
        <row r="742">
          <cell r="A742">
            <v>7041</v>
          </cell>
          <cell r="B742" t="str">
            <v>**OTHER FINANCE EXPENSES*</v>
          </cell>
        </row>
        <row r="743">
          <cell r="A743">
            <v>704101</v>
          </cell>
          <cell r="B743" t="str">
            <v>*PROFIT &amp; LOSS ON EXCHANG DIF*</v>
          </cell>
        </row>
        <row r="744">
          <cell r="A744">
            <v>70410100</v>
          </cell>
          <cell r="B744" t="str">
            <v>PROFIT &amp; LOSS ON EXCHANGE DIF</v>
          </cell>
        </row>
        <row r="745">
          <cell r="A745">
            <v>704102</v>
          </cell>
          <cell r="B745" t="str">
            <v>*BANK CHARGES*</v>
          </cell>
        </row>
        <row r="746">
          <cell r="A746">
            <v>70410200</v>
          </cell>
          <cell r="B746" t="str">
            <v>BANK CHARGES</v>
          </cell>
        </row>
        <row r="747">
          <cell r="A747">
            <v>76</v>
          </cell>
          <cell r="B747" t="str">
            <v>***CHARGE FROM AFFILIATES/JV*</v>
          </cell>
        </row>
        <row r="748">
          <cell r="A748">
            <v>7601</v>
          </cell>
          <cell r="B748" t="str">
            <v>**CHARGE FROM AFFILIATES/JV*</v>
          </cell>
        </row>
        <row r="749">
          <cell r="A749">
            <v>760101</v>
          </cell>
          <cell r="B749" t="str">
            <v>*AFF SRVC CHRG- G &amp; A*</v>
          </cell>
        </row>
        <row r="750">
          <cell r="A750">
            <v>76010100</v>
          </cell>
          <cell r="B750" t="str">
            <v>AFF SRVC CHRG- G &amp; A</v>
          </cell>
        </row>
        <row r="751">
          <cell r="A751">
            <v>760102</v>
          </cell>
          <cell r="B751" t="str">
            <v>*AFF SRVC CHRG- AD SALES*</v>
          </cell>
        </row>
        <row r="752">
          <cell r="A752">
            <v>76010200</v>
          </cell>
          <cell r="B752" t="str">
            <v>AFF SRVC CHRG- AD SALES</v>
          </cell>
        </row>
        <row r="753">
          <cell r="A753">
            <v>760103</v>
          </cell>
          <cell r="B753" t="str">
            <v>*AFF SRVC CHRG- UPLINK*</v>
          </cell>
        </row>
        <row r="754">
          <cell r="A754">
            <v>76010300</v>
          </cell>
          <cell r="B754" t="str">
            <v>AFF SRVC CHRG- UPLINK</v>
          </cell>
        </row>
        <row r="755">
          <cell r="A755">
            <v>760104</v>
          </cell>
          <cell r="B755" t="str">
            <v>*AFF SRVC CHRG- PUBLICITY*</v>
          </cell>
        </row>
        <row r="756">
          <cell r="A756">
            <v>76010400</v>
          </cell>
          <cell r="B756" t="str">
            <v>AFF SRVC CHRG- PUBLICITY</v>
          </cell>
        </row>
        <row r="757">
          <cell r="A757">
            <v>760105</v>
          </cell>
          <cell r="B757" t="str">
            <v>*AFF SRVC CHRG-NETWK SERVICES*</v>
          </cell>
        </row>
        <row r="758">
          <cell r="A758">
            <v>76010500</v>
          </cell>
          <cell r="B758" t="str">
            <v>AFF SRVC CHRG- NETWK SERVICES</v>
          </cell>
        </row>
        <row r="759">
          <cell r="A759">
            <v>760107</v>
          </cell>
          <cell r="B759" t="str">
            <v>*AFF BO &amp; E  CHARGE*</v>
          </cell>
        </row>
        <row r="760">
          <cell r="A760">
            <v>76010700</v>
          </cell>
          <cell r="B760" t="str">
            <v>AFF BO &amp; E CHARGE</v>
          </cell>
        </row>
        <row r="761">
          <cell r="A761">
            <v>76010701</v>
          </cell>
          <cell r="B761" t="str">
            <v>AFF BO &amp; E VARIABLE</v>
          </cell>
        </row>
        <row r="762">
          <cell r="A762">
            <v>760130</v>
          </cell>
          <cell r="B762" t="str">
            <v>*AFF SRVC CHG - FINANCE*</v>
          </cell>
        </row>
        <row r="763">
          <cell r="A763">
            <v>76013000</v>
          </cell>
          <cell r="B763" t="str">
            <v>AFF SRVC CHG - FINANCE</v>
          </cell>
        </row>
        <row r="764">
          <cell r="A764">
            <v>760131</v>
          </cell>
          <cell r="B764" t="str">
            <v>*AFF SRVC CHG - BRANCH OFFICE*</v>
          </cell>
        </row>
        <row r="765">
          <cell r="A765">
            <v>76013100</v>
          </cell>
          <cell r="B765" t="str">
            <v>AFF SRVC CHG - BRANCH OFFICE</v>
          </cell>
        </row>
        <row r="766">
          <cell r="A766">
            <v>97</v>
          </cell>
          <cell r="B766" t="str">
            <v>***YEAR END P&amp;L ADJ*</v>
          </cell>
        </row>
        <row r="767">
          <cell r="A767">
            <v>9700</v>
          </cell>
          <cell r="B767" t="str">
            <v>**YEAR END P&amp;L ADJ*</v>
          </cell>
        </row>
        <row r="768">
          <cell r="A768">
            <v>970000</v>
          </cell>
          <cell r="B768" t="str">
            <v>*YEAR END P&amp;L ADJ*</v>
          </cell>
        </row>
        <row r="769">
          <cell r="A769">
            <v>97000000</v>
          </cell>
          <cell r="B769" t="str">
            <v>YEAR END P&amp;L ADJ</v>
          </cell>
        </row>
        <row r="770">
          <cell r="A770">
            <v>99</v>
          </cell>
          <cell r="B770" t="str">
            <v>***SUSPENSE A/C*</v>
          </cell>
        </row>
        <row r="771">
          <cell r="A771">
            <v>9900</v>
          </cell>
          <cell r="B771" t="str">
            <v>**SUSPENSE A/C*</v>
          </cell>
        </row>
        <row r="772">
          <cell r="A772">
            <v>990000</v>
          </cell>
          <cell r="B772" t="str">
            <v>*SUSPENSE A/C*</v>
          </cell>
        </row>
        <row r="773">
          <cell r="A773">
            <v>99000000</v>
          </cell>
          <cell r="B773" t="str">
            <v>SUSPENSE A/C</v>
          </cell>
        </row>
        <row r="774">
          <cell r="A774" t="str">
            <v>B0000000</v>
          </cell>
          <cell r="B774" t="str">
            <v>BUDGET SUSPENSE A/C</v>
          </cell>
        </row>
        <row r="775">
          <cell r="A775" t="str">
            <v>ZCONV</v>
          </cell>
          <cell r="B775" t="str">
            <v>CONVERSION RATE TO USD</v>
          </cell>
        </row>
        <row r="776">
          <cell r="A776" t="str">
            <v>ZPLSK</v>
          </cell>
          <cell r="B776" t="str">
            <v>MONTHLY AVAILABLE P&amp;L (SK)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CA-NT2"/>
    </sheetNames>
    <sheetDataSet>
      <sheetData sheetId="0" refreshError="1">
        <row r="1">
          <cell r="A1">
            <v>0</v>
          </cell>
          <cell r="B1" t="str">
            <v>***FIXED ASSETS*</v>
          </cell>
        </row>
        <row r="2">
          <cell r="A2">
            <v>1</v>
          </cell>
          <cell r="B2" t="str">
            <v>**LAND &amp; BLDGS*</v>
          </cell>
        </row>
        <row r="3">
          <cell r="A3">
            <v>102</v>
          </cell>
          <cell r="B3" t="str">
            <v>*OFFICE LAND &amp; BLDG COST*</v>
          </cell>
        </row>
        <row r="4">
          <cell r="A4">
            <v>10201</v>
          </cell>
          <cell r="B4" t="str">
            <v>FA-OFFICE LAND COST</v>
          </cell>
        </row>
        <row r="5">
          <cell r="A5">
            <v>10202</v>
          </cell>
          <cell r="B5" t="str">
            <v>FA-OFFICE BLDG COST</v>
          </cell>
        </row>
        <row r="6">
          <cell r="A6">
            <v>10298</v>
          </cell>
          <cell r="B6" t="str">
            <v>CAPITAL ADVANCE - BLDG</v>
          </cell>
        </row>
        <row r="7">
          <cell r="A7">
            <v>10299</v>
          </cell>
          <cell r="B7" t="str">
            <v>CAPITAL WIP - BLDG</v>
          </cell>
        </row>
        <row r="8">
          <cell r="A8">
            <v>2</v>
          </cell>
          <cell r="B8" t="str">
            <v>**LEASEHOLD IMPROVMTS*</v>
          </cell>
        </row>
        <row r="9">
          <cell r="A9">
            <v>203</v>
          </cell>
          <cell r="B9" t="str">
            <v>*INDUSTRIAL LEASEHOLD IMPROVT*</v>
          </cell>
        </row>
        <row r="10">
          <cell r="A10">
            <v>20301</v>
          </cell>
          <cell r="B10" t="str">
            <v>FA-INDUSTRIAL L/H IMPROVE COS</v>
          </cell>
        </row>
        <row r="11">
          <cell r="A11">
            <v>204</v>
          </cell>
          <cell r="B11" t="str">
            <v>*OFFICE LEASEHOLD IMPROVMTS*</v>
          </cell>
        </row>
        <row r="12">
          <cell r="A12">
            <v>20401</v>
          </cell>
          <cell r="B12" t="str">
            <v>FA-LEASEHOLD IMPROVE COST</v>
          </cell>
        </row>
        <row r="13">
          <cell r="A13">
            <v>3</v>
          </cell>
          <cell r="B13" t="str">
            <v>**PLANT &amp; MACHINERY*</v>
          </cell>
        </row>
        <row r="14">
          <cell r="A14">
            <v>306</v>
          </cell>
          <cell r="B14" t="str">
            <v>*EDP EQUIP*</v>
          </cell>
        </row>
        <row r="15">
          <cell r="A15">
            <v>30601</v>
          </cell>
          <cell r="B15" t="str">
            <v>FA-SMS COST</v>
          </cell>
        </row>
        <row r="16">
          <cell r="A16">
            <v>30602</v>
          </cell>
          <cell r="B16" t="str">
            <v>FA-MIS COST</v>
          </cell>
        </row>
        <row r="17">
          <cell r="A17">
            <v>30604</v>
          </cell>
          <cell r="B17" t="str">
            <v>FA - MIS COMPUTER COST</v>
          </cell>
        </row>
        <row r="18">
          <cell r="A18">
            <v>30605</v>
          </cell>
          <cell r="B18" t="str">
            <v>FA - MIS NETWORK COST</v>
          </cell>
        </row>
        <row r="19">
          <cell r="A19">
            <v>30606</v>
          </cell>
          <cell r="B19" t="str">
            <v>FA - MIS SOFTWARE</v>
          </cell>
        </row>
        <row r="20">
          <cell r="A20">
            <v>30607</v>
          </cell>
          <cell r="B20" t="str">
            <v>FA - OTHERS</v>
          </cell>
        </row>
        <row r="21">
          <cell r="A21">
            <v>30698</v>
          </cell>
          <cell r="B21" t="str">
            <v>CAPITAL WIP - EDP</v>
          </cell>
        </row>
        <row r="22">
          <cell r="A22">
            <v>307</v>
          </cell>
          <cell r="B22" t="str">
            <v>*OFFICE TELECOM SYSTEM*</v>
          </cell>
        </row>
        <row r="23">
          <cell r="A23">
            <v>30701</v>
          </cell>
          <cell r="B23" t="str">
            <v>FA-TELECOM EQUIP COST</v>
          </cell>
        </row>
        <row r="24">
          <cell r="A24">
            <v>30798</v>
          </cell>
          <cell r="B24" t="str">
            <v>CWIP-COMMUNICATION EQUIPMENTS</v>
          </cell>
        </row>
        <row r="25">
          <cell r="A25">
            <v>308</v>
          </cell>
          <cell r="B25" t="str">
            <v>*B O &amp; E  EQUIP*</v>
          </cell>
        </row>
        <row r="26">
          <cell r="A26">
            <v>30801</v>
          </cell>
          <cell r="B26" t="str">
            <v>FA-STUDIO EQUIPMENTS</v>
          </cell>
        </row>
        <row r="27">
          <cell r="A27">
            <v>30802</v>
          </cell>
          <cell r="B27" t="str">
            <v>FA-EDITING EQUIPMENTS</v>
          </cell>
        </row>
        <row r="28">
          <cell r="A28">
            <v>30803</v>
          </cell>
          <cell r="B28" t="str">
            <v>FA-GRAPHIC EQUIPMENTS</v>
          </cell>
        </row>
        <row r="29">
          <cell r="A29">
            <v>30804</v>
          </cell>
          <cell r="B29" t="str">
            <v>FA-EFP EQUIPMENTS</v>
          </cell>
        </row>
        <row r="30">
          <cell r="A30">
            <v>30805</v>
          </cell>
          <cell r="B30" t="str">
            <v>FA-AUDIO EQUIPMENTS</v>
          </cell>
        </row>
        <row r="31">
          <cell r="A31">
            <v>30806</v>
          </cell>
          <cell r="B31" t="str">
            <v>FA - LIB. MANAGEMENT SYSTEM</v>
          </cell>
        </row>
        <row r="32">
          <cell r="A32">
            <v>30807</v>
          </cell>
          <cell r="B32" t="str">
            <v>FA-TRANSMISSION EQUIPMENTS</v>
          </cell>
        </row>
        <row r="33">
          <cell r="A33">
            <v>30808</v>
          </cell>
          <cell r="B33" t="str">
            <v>FA-COMPRESSOR &amp; ENCODING</v>
          </cell>
        </row>
        <row r="34">
          <cell r="A34">
            <v>30809</v>
          </cell>
          <cell r="B34" t="str">
            <v>FA-MLTS</v>
          </cell>
        </row>
        <row r="35">
          <cell r="A35">
            <v>30810</v>
          </cell>
          <cell r="B35" t="str">
            <v>FA - RADIO EQUIPMENT</v>
          </cell>
        </row>
        <row r="36">
          <cell r="A36">
            <v>30814</v>
          </cell>
          <cell r="B36" t="str">
            <v>FA - DUBBING EQUIPMENT</v>
          </cell>
        </row>
        <row r="37">
          <cell r="A37">
            <v>30898</v>
          </cell>
          <cell r="B37" t="str">
            <v>CAPITAL WIP - BO&amp;E</v>
          </cell>
        </row>
        <row r="38">
          <cell r="A38">
            <v>30899</v>
          </cell>
          <cell r="B38" t="str">
            <v>FA-OTHER EQUIPMENT</v>
          </cell>
        </row>
        <row r="39">
          <cell r="A39">
            <v>309</v>
          </cell>
          <cell r="B39" t="str">
            <v>*OFFICE AUDIO &amp; VCR EQUIP*</v>
          </cell>
        </row>
        <row r="40">
          <cell r="A40">
            <v>30901</v>
          </cell>
          <cell r="B40" t="str">
            <v>FA-OFFICE AUDIO &amp; VCR COST</v>
          </cell>
        </row>
        <row r="41">
          <cell r="A41">
            <v>310</v>
          </cell>
          <cell r="B41" t="str">
            <v>*OFFICE  EQUIPMENT*</v>
          </cell>
        </row>
        <row r="42">
          <cell r="A42">
            <v>31002</v>
          </cell>
          <cell r="B42" t="str">
            <v>FA-OFFICE EQUIP COST</v>
          </cell>
        </row>
        <row r="43">
          <cell r="A43">
            <v>31098</v>
          </cell>
          <cell r="B43" t="str">
            <v>CAPITAL WIP - OFFICE EQUIP.</v>
          </cell>
        </row>
        <row r="44">
          <cell r="A44">
            <v>311</v>
          </cell>
          <cell r="B44" t="str">
            <v>*AIR-CONDITIONING SYSTM*</v>
          </cell>
        </row>
        <row r="45">
          <cell r="A45">
            <v>31101</v>
          </cell>
          <cell r="B45" t="str">
            <v>FA-AIR-CONDITIONING SYSTM COS</v>
          </cell>
        </row>
        <row r="46">
          <cell r="A46">
            <v>313</v>
          </cell>
          <cell r="B46" t="str">
            <v>*MOTOR VEHICLES*</v>
          </cell>
        </row>
        <row r="47">
          <cell r="A47">
            <v>31301</v>
          </cell>
          <cell r="B47" t="str">
            <v>FA-MOTOR VANS COST</v>
          </cell>
        </row>
        <row r="48">
          <cell r="A48">
            <v>314</v>
          </cell>
          <cell r="B48" t="str">
            <v>*OFFICE FURNITURE*</v>
          </cell>
        </row>
        <row r="49">
          <cell r="A49">
            <v>31401</v>
          </cell>
          <cell r="B49" t="str">
            <v>FA-OFFICE FURNITURE COST</v>
          </cell>
        </row>
        <row r="50">
          <cell r="A50">
            <v>1</v>
          </cell>
          <cell r="B50" t="str">
            <v>***ACCUMULATED DEPRECIATION*</v>
          </cell>
        </row>
        <row r="51">
          <cell r="A51">
            <v>101</v>
          </cell>
          <cell r="B51" t="str">
            <v>**LAND &amp; BLDGS*</v>
          </cell>
        </row>
        <row r="52">
          <cell r="A52">
            <v>10102</v>
          </cell>
          <cell r="B52" t="str">
            <v>*OFFICE LAND &amp; BLDG  COST*</v>
          </cell>
        </row>
        <row r="53">
          <cell r="A53">
            <v>1010201</v>
          </cell>
          <cell r="B53" t="str">
            <v>ACC DEPN-OFFICE LAND</v>
          </cell>
        </row>
        <row r="54">
          <cell r="A54">
            <v>1010202</v>
          </cell>
          <cell r="B54" t="str">
            <v>ACC DEPN-OFFICE BLDG</v>
          </cell>
        </row>
        <row r="55">
          <cell r="A55">
            <v>102</v>
          </cell>
          <cell r="B55" t="str">
            <v>**LEASEHOLD IMPROVMTS*</v>
          </cell>
        </row>
        <row r="56">
          <cell r="A56">
            <v>10203</v>
          </cell>
          <cell r="B56" t="str">
            <v>*INDUSTRIAL LEASEHOLD IMPROVT*</v>
          </cell>
        </row>
        <row r="57">
          <cell r="A57">
            <v>1020301</v>
          </cell>
          <cell r="B57" t="str">
            <v>ACC DEPN- LEASEHOLD IMPROVE</v>
          </cell>
        </row>
        <row r="58">
          <cell r="A58">
            <v>10204</v>
          </cell>
          <cell r="B58" t="str">
            <v>*OFFICE LEASEHOLD IMPROVMTS*</v>
          </cell>
        </row>
        <row r="59">
          <cell r="A59">
            <v>1020401</v>
          </cell>
          <cell r="B59" t="str">
            <v>ACC DEPN-LEASEHOLD IMPROVE</v>
          </cell>
        </row>
        <row r="60">
          <cell r="A60">
            <v>103</v>
          </cell>
          <cell r="B60" t="str">
            <v>**PLANT &amp; MACHINERY*</v>
          </cell>
        </row>
        <row r="61">
          <cell r="A61">
            <v>10306</v>
          </cell>
          <cell r="B61" t="str">
            <v>*EDP EQUIP*</v>
          </cell>
        </row>
        <row r="62">
          <cell r="A62">
            <v>1030601</v>
          </cell>
          <cell r="B62" t="str">
            <v>ACC DEPN-SMS</v>
          </cell>
        </row>
        <row r="63">
          <cell r="A63">
            <v>1030602</v>
          </cell>
          <cell r="B63" t="str">
            <v>ACC DEPN-MIS</v>
          </cell>
        </row>
        <row r="64">
          <cell r="A64">
            <v>1030604</v>
          </cell>
          <cell r="B64" t="str">
            <v>ACC DEPN - MIS COMPUTER COST</v>
          </cell>
        </row>
        <row r="65">
          <cell r="A65">
            <v>1030605</v>
          </cell>
          <cell r="B65" t="str">
            <v>ACC DEPN - MIS NETWORK COST</v>
          </cell>
        </row>
        <row r="66">
          <cell r="A66">
            <v>1030606</v>
          </cell>
          <cell r="B66" t="str">
            <v>ACC DEPN - MIS SOFTWARE</v>
          </cell>
        </row>
        <row r="67">
          <cell r="A67">
            <v>1030607</v>
          </cell>
          <cell r="B67" t="str">
            <v>ACC DEPN - OTHERS</v>
          </cell>
        </row>
        <row r="68">
          <cell r="A68">
            <v>10307</v>
          </cell>
          <cell r="B68" t="str">
            <v>*OFFICE  TELECOMMUNICATIONS  *</v>
          </cell>
        </row>
        <row r="69">
          <cell r="A69">
            <v>1030701</v>
          </cell>
          <cell r="B69" t="str">
            <v>ACC DEPN-TELECOM EQUIP</v>
          </cell>
        </row>
        <row r="70">
          <cell r="A70">
            <v>10308</v>
          </cell>
          <cell r="B70" t="str">
            <v>*B O &amp; E  EQUIP*</v>
          </cell>
        </row>
        <row r="71">
          <cell r="A71">
            <v>1030801</v>
          </cell>
          <cell r="B71" t="str">
            <v>ACC DEPN-STUDIO EQUIP</v>
          </cell>
        </row>
        <row r="72">
          <cell r="A72">
            <v>1030802</v>
          </cell>
          <cell r="B72" t="str">
            <v>ACC DEPN-EDITING EQUIP</v>
          </cell>
        </row>
        <row r="73">
          <cell r="A73">
            <v>1030803</v>
          </cell>
          <cell r="B73" t="str">
            <v>ACC DEPN-GRAPHIC EQUIP</v>
          </cell>
        </row>
        <row r="74">
          <cell r="A74">
            <v>1030804</v>
          </cell>
          <cell r="B74" t="str">
            <v>ACC DEPN-EFP EQUIP</v>
          </cell>
        </row>
        <row r="75">
          <cell r="A75">
            <v>1030805</v>
          </cell>
          <cell r="B75" t="str">
            <v>ACC DEPN-AUDIO EQUIP</v>
          </cell>
        </row>
        <row r="76">
          <cell r="A76">
            <v>1030806</v>
          </cell>
          <cell r="B76" t="str">
            <v>ACC DEPN-LIB. MANAGEMENT SYST</v>
          </cell>
        </row>
        <row r="77">
          <cell r="A77">
            <v>1030807</v>
          </cell>
          <cell r="B77" t="str">
            <v>ACC DEPN-TRANSMISSION EQUIP</v>
          </cell>
        </row>
        <row r="78">
          <cell r="A78">
            <v>1030808</v>
          </cell>
          <cell r="B78" t="str">
            <v>ACC DEPN-COMPRESSOR &amp; ENCODNG</v>
          </cell>
        </row>
        <row r="79">
          <cell r="A79">
            <v>1030809</v>
          </cell>
          <cell r="B79" t="str">
            <v>ACC DEPN-MLTS</v>
          </cell>
        </row>
        <row r="80">
          <cell r="A80">
            <v>1030810</v>
          </cell>
          <cell r="B80" t="str">
            <v>ACC DEPN - RADIO EQUIPMENT</v>
          </cell>
        </row>
        <row r="81">
          <cell r="A81">
            <v>1030814</v>
          </cell>
          <cell r="B81" t="str">
            <v>ACC DEPN - DUBBING  EQUIPMENT</v>
          </cell>
        </row>
        <row r="82">
          <cell r="A82">
            <v>1030899</v>
          </cell>
          <cell r="B82" t="str">
            <v>ACC DEPN-OTHER EQUIP</v>
          </cell>
        </row>
        <row r="83">
          <cell r="A83">
            <v>10309</v>
          </cell>
          <cell r="B83" t="str">
            <v>*OFFICE AUDIO &amp; VCR EQUIP*</v>
          </cell>
        </row>
        <row r="84">
          <cell r="A84">
            <v>1030901</v>
          </cell>
          <cell r="B84" t="str">
            <v>ACC DEPN-OFFICE AUDIO &amp; VCR</v>
          </cell>
        </row>
        <row r="85">
          <cell r="A85">
            <v>10310</v>
          </cell>
          <cell r="B85" t="str">
            <v>*OFFICE EQUIPMENT*</v>
          </cell>
        </row>
        <row r="86">
          <cell r="A86">
            <v>1031002</v>
          </cell>
          <cell r="B86" t="str">
            <v>ACC DEPN - OFFICE EQUIPMENT</v>
          </cell>
        </row>
        <row r="87">
          <cell r="A87">
            <v>10311</v>
          </cell>
          <cell r="B87" t="str">
            <v>*AIR-CONDITIONING SYSTM*</v>
          </cell>
        </row>
        <row r="88">
          <cell r="A88">
            <v>1031101</v>
          </cell>
          <cell r="B88" t="str">
            <v>ACC DEPN-AIR-COND SYSTM</v>
          </cell>
        </row>
        <row r="89">
          <cell r="A89">
            <v>10313</v>
          </cell>
          <cell r="B89" t="str">
            <v>*MOTOR VEHICLES*</v>
          </cell>
        </row>
        <row r="90">
          <cell r="A90">
            <v>1031301</v>
          </cell>
          <cell r="B90" t="str">
            <v>ACC DEPN-MOTOR VANS</v>
          </cell>
        </row>
        <row r="91">
          <cell r="A91">
            <v>10314</v>
          </cell>
          <cell r="B91" t="str">
            <v>*OFFICE FURNITURE*</v>
          </cell>
        </row>
        <row r="92">
          <cell r="A92">
            <v>1031401</v>
          </cell>
          <cell r="B92" t="str">
            <v>ACC DEPN-OFFICE FURNITURE</v>
          </cell>
        </row>
        <row r="93">
          <cell r="A93">
            <v>9</v>
          </cell>
          <cell r="B93" t="str">
            <v>***INVESTMENTS*</v>
          </cell>
        </row>
        <row r="94">
          <cell r="A94">
            <v>901</v>
          </cell>
          <cell r="B94" t="str">
            <v>**INVESTMENT IN EQUITY*</v>
          </cell>
        </row>
        <row r="95">
          <cell r="A95">
            <v>90101</v>
          </cell>
          <cell r="B95" t="str">
            <v>*INVESTMENT IN SUBSIDIARIES*</v>
          </cell>
        </row>
        <row r="96">
          <cell r="A96">
            <v>9010100</v>
          </cell>
          <cell r="B96" t="str">
            <v>INVESTMENT IN SUBSIDIARIES</v>
          </cell>
        </row>
        <row r="97">
          <cell r="A97">
            <v>905</v>
          </cell>
          <cell r="B97" t="str">
            <v>**OTHER INVESTMENTS*</v>
          </cell>
        </row>
        <row r="98">
          <cell r="A98">
            <v>90500</v>
          </cell>
          <cell r="B98" t="str">
            <v>*OTHER INVESTMENTS*</v>
          </cell>
        </row>
        <row r="99">
          <cell r="A99">
            <v>9050000</v>
          </cell>
          <cell r="B99" t="str">
            <v>OTHER INVESTMENTS</v>
          </cell>
        </row>
        <row r="100">
          <cell r="A100">
            <v>9050002</v>
          </cell>
          <cell r="B100" t="str">
            <v>SINKING FUND - USD</v>
          </cell>
        </row>
        <row r="101">
          <cell r="A101">
            <v>9050003</v>
          </cell>
          <cell r="B101" t="str">
            <v>SINKING FUND - INR</v>
          </cell>
        </row>
        <row r="102">
          <cell r="A102">
            <v>9050004</v>
          </cell>
          <cell r="B102" t="str">
            <v>L.TERM DEFERRED ASSET (INDIA)</v>
          </cell>
        </row>
        <row r="103">
          <cell r="A103">
            <v>10</v>
          </cell>
          <cell r="B103" t="str">
            <v>***CURRENT ASSETS*</v>
          </cell>
        </row>
        <row r="104">
          <cell r="A104">
            <v>1008</v>
          </cell>
          <cell r="B104" t="str">
            <v>**INVENTORIES*</v>
          </cell>
        </row>
        <row r="105">
          <cell r="A105">
            <v>100809</v>
          </cell>
          <cell r="B105" t="str">
            <v>*COST OF WIP FILM &amp;TV PRODUCT*</v>
          </cell>
        </row>
        <row r="106">
          <cell r="A106">
            <v>10080901</v>
          </cell>
          <cell r="B106" t="str">
            <v>WIP PROG &amp; RIGHT (INVENTORY)</v>
          </cell>
        </row>
        <row r="107">
          <cell r="A107">
            <v>100811</v>
          </cell>
          <cell r="B107" t="str">
            <v>*STOCK OF FINISHED GOODS*</v>
          </cell>
        </row>
        <row r="108">
          <cell r="A108">
            <v>10081126</v>
          </cell>
          <cell r="B108" t="str">
            <v>STOCK - FINISHED PROGRAMS</v>
          </cell>
        </row>
        <row r="109">
          <cell r="A109">
            <v>10081127</v>
          </cell>
          <cell r="B109" t="str">
            <v>STOCK - BLANK TAPES</v>
          </cell>
        </row>
        <row r="110">
          <cell r="A110">
            <v>100812</v>
          </cell>
          <cell r="B110" t="str">
            <v>*WRITE DOWN OF FINISHED GOODS*</v>
          </cell>
        </row>
        <row r="111">
          <cell r="A111">
            <v>10081223</v>
          </cell>
          <cell r="B111" t="str">
            <v>WD STOCK-OTHERS</v>
          </cell>
        </row>
        <row r="112">
          <cell r="A112">
            <v>1010</v>
          </cell>
          <cell r="B112" t="str">
            <v>**CASH &amp; BANK DEPOSIT*</v>
          </cell>
        </row>
        <row r="113">
          <cell r="A113">
            <v>101001</v>
          </cell>
          <cell r="B113" t="str">
            <v>*PETTY CASH*</v>
          </cell>
        </row>
        <row r="114">
          <cell r="A114">
            <v>10100121</v>
          </cell>
          <cell r="B114" t="str">
            <v>PETTY CASH - INDIA</v>
          </cell>
        </row>
        <row r="115">
          <cell r="A115">
            <v>10100122</v>
          </cell>
          <cell r="B115" t="str">
            <v>PETTY CASH -COLLECTION</v>
          </cell>
        </row>
        <row r="116">
          <cell r="A116">
            <v>101002</v>
          </cell>
          <cell r="B116" t="str">
            <v>*HONGKONG BANK*</v>
          </cell>
        </row>
        <row r="117">
          <cell r="A117">
            <v>10100226</v>
          </cell>
          <cell r="B117" t="str">
            <v>HK BANK - MUMBAI</v>
          </cell>
        </row>
        <row r="118">
          <cell r="A118">
            <v>10100227</v>
          </cell>
          <cell r="B118" t="str">
            <v>HK BANK - DELHI</v>
          </cell>
        </row>
        <row r="119">
          <cell r="A119">
            <v>10100228</v>
          </cell>
          <cell r="B119" t="str">
            <v>HK BANK -FIXED DEPOSIT</v>
          </cell>
        </row>
        <row r="120">
          <cell r="A120">
            <v>101003</v>
          </cell>
          <cell r="B120" t="str">
            <v>*CITIBANK NA*</v>
          </cell>
        </row>
        <row r="121">
          <cell r="A121">
            <v>10100307</v>
          </cell>
          <cell r="B121" t="str">
            <v>CITIBANK MUMBAI</v>
          </cell>
        </row>
        <row r="122">
          <cell r="A122">
            <v>10100308</v>
          </cell>
          <cell r="B122" t="str">
            <v>CITIBANK  GOLD MUMBAI</v>
          </cell>
        </row>
        <row r="123">
          <cell r="A123">
            <v>10100309</v>
          </cell>
          <cell r="B123" t="str">
            <v>CITIBANK  DELHI DTH</v>
          </cell>
        </row>
        <row r="124">
          <cell r="A124">
            <v>10100310</v>
          </cell>
          <cell r="B124" t="str">
            <v>CITIBANK DELHI D&amp;M</v>
          </cell>
        </row>
        <row r="125">
          <cell r="A125">
            <v>10100311</v>
          </cell>
          <cell r="B125" t="str">
            <v>CITIBANK FIXED DEPOSIT-MUMBAI</v>
          </cell>
        </row>
        <row r="126">
          <cell r="A126">
            <v>10100312</v>
          </cell>
          <cell r="B126" t="str">
            <v>CITIBANK GOLD FIXED DEPO-MUM</v>
          </cell>
        </row>
        <row r="127">
          <cell r="A127">
            <v>10100313</v>
          </cell>
          <cell r="B127" t="str">
            <v>CITIBANK COLLEC.DELHI-DNM</v>
          </cell>
        </row>
        <row r="128">
          <cell r="A128">
            <v>10100314</v>
          </cell>
          <cell r="B128" t="str">
            <v>CITIBANK : BANK MARGIN -MUM</v>
          </cell>
        </row>
        <row r="129">
          <cell r="A129">
            <v>101005</v>
          </cell>
          <cell r="B129" t="str">
            <v>*CREDIT LYONNAIS*</v>
          </cell>
        </row>
        <row r="130">
          <cell r="A130">
            <v>10100502</v>
          </cell>
          <cell r="B130" t="str">
            <v>CREDIT LYONNAIS : MUMBAI</v>
          </cell>
        </row>
        <row r="131">
          <cell r="A131">
            <v>10100503</v>
          </cell>
          <cell r="B131" t="str">
            <v>CREDIT LYONNAIS : DELHI</v>
          </cell>
        </row>
        <row r="132">
          <cell r="A132">
            <v>10100504</v>
          </cell>
          <cell r="B132" t="str">
            <v>CREDIT LYONNAIS : EFC</v>
          </cell>
        </row>
        <row r="133">
          <cell r="A133">
            <v>10100505</v>
          </cell>
          <cell r="B133" t="str">
            <v>CREDIT LYONNAIS :BANK MARGIN</v>
          </cell>
        </row>
        <row r="134">
          <cell r="A134">
            <v>10100506</v>
          </cell>
          <cell r="B134" t="str">
            <v>CREDIT LYONNAIS :STAR TV</v>
          </cell>
        </row>
        <row r="135">
          <cell r="A135">
            <v>10100507</v>
          </cell>
          <cell r="B135" t="str">
            <v>CREDIT LYONNAIS :FIXED DEPOSIT</v>
          </cell>
        </row>
        <row r="136">
          <cell r="A136">
            <v>10100508</v>
          </cell>
          <cell r="B136" t="str">
            <v>CREDIT LYONNAIS : EFC-FDR</v>
          </cell>
        </row>
        <row r="137">
          <cell r="A137">
            <v>101015</v>
          </cell>
          <cell r="B137" t="str">
            <v>*STATE BANK OF INDIA*</v>
          </cell>
        </row>
        <row r="138">
          <cell r="A138">
            <v>10101501</v>
          </cell>
          <cell r="B138" t="str">
            <v>STATE BANK OF INDIA</v>
          </cell>
        </row>
        <row r="139">
          <cell r="A139">
            <v>101016</v>
          </cell>
          <cell r="B139" t="str">
            <v>*DEUTSCHE BANK*</v>
          </cell>
        </row>
        <row r="140">
          <cell r="A140">
            <v>10101601</v>
          </cell>
          <cell r="B140" t="str">
            <v>DEUTSCHE BANK-CRP-MUM</v>
          </cell>
        </row>
        <row r="141">
          <cell r="A141">
            <v>10101602</v>
          </cell>
          <cell r="B141" t="str">
            <v>DEUTSCHE BANK-ETD-MUM</v>
          </cell>
        </row>
        <row r="142">
          <cell r="A142">
            <v>10101603</v>
          </cell>
          <cell r="B142" t="str">
            <v>DEUTSCHE BANK-CHV-MUM</v>
          </cell>
        </row>
        <row r="143">
          <cell r="A143">
            <v>10101604</v>
          </cell>
          <cell r="B143" t="str">
            <v>DEUTSCHE BANK-DNM-DEL</v>
          </cell>
        </row>
        <row r="144">
          <cell r="A144">
            <v>10101605</v>
          </cell>
          <cell r="B144" t="str">
            <v>DEUTSCHE BANK-DTH-DEL</v>
          </cell>
        </row>
        <row r="145">
          <cell r="A145">
            <v>10101606</v>
          </cell>
          <cell r="B145" t="str">
            <v>DEUTSCHE BANK-ADD-DEL</v>
          </cell>
        </row>
        <row r="146">
          <cell r="A146">
            <v>10101607</v>
          </cell>
          <cell r="B146" t="str">
            <v>DEUTSCHE BANK-EEFC-FD</v>
          </cell>
        </row>
        <row r="147">
          <cell r="A147">
            <v>10101608</v>
          </cell>
          <cell r="B147" t="str">
            <v>DEUTSCHE BANK-FD-MUM</v>
          </cell>
        </row>
        <row r="148">
          <cell r="A148">
            <v>10101609</v>
          </cell>
          <cell r="B148" t="str">
            <v>DEUTSCHE BANK-EEFC-MUM</v>
          </cell>
        </row>
        <row r="149">
          <cell r="A149">
            <v>101017</v>
          </cell>
          <cell r="B149" t="str">
            <v>*ICICI BANK*</v>
          </cell>
        </row>
        <row r="150">
          <cell r="A150">
            <v>10101701</v>
          </cell>
          <cell r="B150" t="str">
            <v>ICICI BANK</v>
          </cell>
        </row>
        <row r="151">
          <cell r="A151">
            <v>101018</v>
          </cell>
          <cell r="B151" t="str">
            <v>*B N P BANK*</v>
          </cell>
        </row>
        <row r="152">
          <cell r="A152">
            <v>10101801</v>
          </cell>
          <cell r="B152" t="str">
            <v>B N P BANK</v>
          </cell>
        </row>
        <row r="153">
          <cell r="A153">
            <v>10101802</v>
          </cell>
          <cell r="B153" t="str">
            <v>B N P BANK : FIXED DEPOSIT</v>
          </cell>
        </row>
        <row r="154">
          <cell r="A154">
            <v>10101803</v>
          </cell>
          <cell r="B154" t="str">
            <v>B N P BANK : SUBS SWEEPSTAKES</v>
          </cell>
        </row>
        <row r="155">
          <cell r="A155">
            <v>10101804</v>
          </cell>
          <cell r="B155" t="str">
            <v>B N P BANK : ADVT</v>
          </cell>
        </row>
        <row r="156">
          <cell r="A156">
            <v>10101805</v>
          </cell>
          <cell r="B156" t="str">
            <v>B N P BANK : COLL-DNM-DELHI</v>
          </cell>
        </row>
        <row r="157">
          <cell r="A157">
            <v>10101806</v>
          </cell>
          <cell r="B157" t="str">
            <v>B N P BANK : COLL-DTH-BOM</v>
          </cell>
        </row>
        <row r="158">
          <cell r="A158">
            <v>10101807</v>
          </cell>
          <cell r="B158" t="str">
            <v>B N P BANK : ADVT SWEEPSTAKES</v>
          </cell>
        </row>
        <row r="159">
          <cell r="A159">
            <v>10101808</v>
          </cell>
          <cell r="B159" t="str">
            <v>B N P BANK : EEFC FD</v>
          </cell>
        </row>
        <row r="160">
          <cell r="A160">
            <v>10101809</v>
          </cell>
          <cell r="B160" t="str">
            <v>B N P BANK : EEFC-MUM</v>
          </cell>
        </row>
        <row r="161">
          <cell r="A161">
            <v>10101810</v>
          </cell>
          <cell r="B161" t="str">
            <v>B N P BANK : GRATUITY-MUM</v>
          </cell>
        </row>
        <row r="162">
          <cell r="A162">
            <v>101019</v>
          </cell>
          <cell r="B162" t="str">
            <v>*BANK OF  AMERICA*</v>
          </cell>
        </row>
        <row r="163">
          <cell r="A163">
            <v>10101901</v>
          </cell>
          <cell r="B163" t="str">
            <v>BANK OF AMERICA-DEL-DTH</v>
          </cell>
        </row>
        <row r="164">
          <cell r="A164">
            <v>101020</v>
          </cell>
          <cell r="B164" t="str">
            <v>*ABN-AMRO BANK*</v>
          </cell>
        </row>
        <row r="165">
          <cell r="A165">
            <v>10102001</v>
          </cell>
          <cell r="B165" t="str">
            <v>ABN-AMR0 : FD- BOMBAY</v>
          </cell>
        </row>
        <row r="166">
          <cell r="A166">
            <v>101021</v>
          </cell>
          <cell r="B166" t="str">
            <v>*COMMERZ  BANK*</v>
          </cell>
        </row>
        <row r="167">
          <cell r="A167">
            <v>10102101</v>
          </cell>
          <cell r="B167" t="str">
            <v>COMMERZ BANK : FD- BOMBAY</v>
          </cell>
        </row>
        <row r="168">
          <cell r="A168">
            <v>101099</v>
          </cell>
          <cell r="B168" t="str">
            <v>*CHEQUE ON HAND (INDIA)*</v>
          </cell>
        </row>
        <row r="169">
          <cell r="A169">
            <v>10109901</v>
          </cell>
          <cell r="B169" t="str">
            <v>CHEQUES ON HAND (INDIA)</v>
          </cell>
        </row>
        <row r="170">
          <cell r="A170">
            <v>1012</v>
          </cell>
          <cell r="B170" t="str">
            <v>**RECEIVABLE, DEPOSIT &amp; PREPM*</v>
          </cell>
        </row>
        <row r="171">
          <cell r="A171">
            <v>101210</v>
          </cell>
          <cell r="B171" t="str">
            <v>*PREPAYMENT*</v>
          </cell>
        </row>
        <row r="172">
          <cell r="A172">
            <v>10121003</v>
          </cell>
          <cell r="B172" t="str">
            <v>PREPAID EXPENSES</v>
          </cell>
        </row>
        <row r="173">
          <cell r="A173">
            <v>10121007</v>
          </cell>
          <cell r="B173" t="str">
            <v>TAX ADVANCE PAYMENT (TDS)</v>
          </cell>
        </row>
        <row r="174">
          <cell r="A174">
            <v>10121012</v>
          </cell>
          <cell r="B174" t="str">
            <v>PREPAYMENT - INSU PREMIUM</v>
          </cell>
        </row>
        <row r="175">
          <cell r="A175">
            <v>101220</v>
          </cell>
          <cell r="B175" t="str">
            <v>*LOAN TO STAFF*</v>
          </cell>
        </row>
        <row r="176">
          <cell r="A176">
            <v>10122001</v>
          </cell>
          <cell r="B176" t="str">
            <v>SALARY ADVANCE</v>
          </cell>
        </row>
        <row r="177">
          <cell r="A177">
            <v>10122002</v>
          </cell>
          <cell r="B177" t="str">
            <v>SHORT TERM ADVANCE</v>
          </cell>
        </row>
        <row r="178">
          <cell r="A178">
            <v>10122003</v>
          </cell>
          <cell r="B178" t="str">
            <v>LOAN ADVANCE</v>
          </cell>
        </row>
        <row r="179">
          <cell r="A179">
            <v>10122004</v>
          </cell>
          <cell r="B179" t="str">
            <v>MEDICAL ADVANCE</v>
          </cell>
        </row>
        <row r="180">
          <cell r="A180">
            <v>101221</v>
          </cell>
          <cell r="B180" t="str">
            <v>*TRAVEL &amp; CASH ADVANCE*</v>
          </cell>
        </row>
        <row r="181">
          <cell r="A181">
            <v>10122101</v>
          </cell>
          <cell r="B181" t="str">
            <v>TRAVEL ADVANCE</v>
          </cell>
        </row>
        <row r="182">
          <cell r="A182">
            <v>10122102</v>
          </cell>
          <cell r="B182" t="str">
            <v>OTHER ADVANCE</v>
          </cell>
        </row>
        <row r="183">
          <cell r="A183">
            <v>10122104</v>
          </cell>
          <cell r="B183" t="str">
            <v>PRODUCTION ADVANCE</v>
          </cell>
        </row>
        <row r="184">
          <cell r="A184">
            <v>10122105</v>
          </cell>
          <cell r="B184" t="str">
            <v>IMPREST</v>
          </cell>
        </row>
        <row r="185">
          <cell r="A185">
            <v>101250</v>
          </cell>
          <cell r="B185" t="str">
            <v>*OTHER RECEIVABLES*</v>
          </cell>
        </row>
        <row r="186">
          <cell r="A186">
            <v>10125003</v>
          </cell>
          <cell r="B186" t="str">
            <v>STAFF RECEIVABLE</v>
          </cell>
        </row>
        <row r="187">
          <cell r="A187">
            <v>10125014</v>
          </cell>
          <cell r="B187" t="str">
            <v>INTEREST REC - FIXED DEPOSIT</v>
          </cell>
        </row>
        <row r="188">
          <cell r="A188">
            <v>10125015</v>
          </cell>
          <cell r="B188" t="str">
            <v>INTEREST REC - OTHER INVESTMEN</v>
          </cell>
        </row>
        <row r="189">
          <cell r="A189">
            <v>10125016</v>
          </cell>
          <cell r="B189" t="str">
            <v>INSURANCE RECEIVABLE</v>
          </cell>
        </row>
        <row r="190">
          <cell r="A190">
            <v>101290</v>
          </cell>
          <cell r="B190" t="str">
            <v>*RENTAL DEPOSIT*</v>
          </cell>
        </row>
        <row r="191">
          <cell r="A191">
            <v>10129000</v>
          </cell>
          <cell r="B191" t="str">
            <v>OTHER RENTAL DEPOSITS</v>
          </cell>
        </row>
        <row r="192">
          <cell r="A192">
            <v>10129001</v>
          </cell>
          <cell r="B192" t="str">
            <v>GOPAL CHOPRA</v>
          </cell>
        </row>
        <row r="193">
          <cell r="A193">
            <v>10129002</v>
          </cell>
          <cell r="B193" t="str">
            <v>KANCHAN DEEPAK RIJWANI</v>
          </cell>
        </row>
        <row r="194">
          <cell r="A194">
            <v>10129003</v>
          </cell>
          <cell r="B194" t="str">
            <v>LACHMIBAI K. KAMARA</v>
          </cell>
        </row>
        <row r="195">
          <cell r="A195">
            <v>10129004</v>
          </cell>
          <cell r="B195" t="str">
            <v>MITASHIMESEN-NOEL P'RA'S</v>
          </cell>
        </row>
        <row r="196">
          <cell r="A196">
            <v>10129005</v>
          </cell>
          <cell r="B196" t="str">
            <v>MRS.HARINDER SETHI</v>
          </cell>
        </row>
        <row r="197">
          <cell r="A197">
            <v>10129006</v>
          </cell>
          <cell r="B197" t="str">
            <v>NASRIEN P.</v>
          </cell>
        </row>
        <row r="198">
          <cell r="A198">
            <v>10129007</v>
          </cell>
          <cell r="B198" t="str">
            <v>MRS.NOOR N. VIRANI</v>
          </cell>
        </row>
        <row r="199">
          <cell r="A199">
            <v>10129008</v>
          </cell>
          <cell r="B199" t="str">
            <v>MRS.SONAL K.AJMERA</v>
          </cell>
        </row>
        <row r="200">
          <cell r="A200">
            <v>10129009</v>
          </cell>
          <cell r="B200" t="str">
            <v>VINEET SETHI</v>
          </cell>
        </row>
        <row r="201">
          <cell r="A201">
            <v>10129010</v>
          </cell>
          <cell r="B201" t="str">
            <v>JAMALS</v>
          </cell>
        </row>
        <row r="202">
          <cell r="A202">
            <v>10129011</v>
          </cell>
          <cell r="B202" t="str">
            <v>ROOPA LAMBA</v>
          </cell>
        </row>
        <row r="203">
          <cell r="A203">
            <v>10129013</v>
          </cell>
          <cell r="B203" t="str">
            <v>S M DYECHEM LTD</v>
          </cell>
        </row>
        <row r="204">
          <cell r="A204">
            <v>10129014</v>
          </cell>
          <cell r="B204" t="str">
            <v>VARSHA DESAI</v>
          </cell>
        </row>
        <row r="205">
          <cell r="A205">
            <v>10129015</v>
          </cell>
          <cell r="B205" t="str">
            <v>SNEHADHARA CONSTRUCTION LTD.</v>
          </cell>
        </row>
        <row r="206">
          <cell r="A206">
            <v>10129016</v>
          </cell>
          <cell r="B206" t="str">
            <v>GUEST HOUSE -[V]</v>
          </cell>
        </row>
        <row r="207">
          <cell r="A207">
            <v>10129017</v>
          </cell>
          <cell r="B207" t="str">
            <v>LAILA RUOASS</v>
          </cell>
        </row>
        <row r="208">
          <cell r="A208">
            <v>10129051</v>
          </cell>
          <cell r="B208" t="str">
            <v>BALADEV COMMERCIAL PVT.LTD</v>
          </cell>
        </row>
        <row r="209">
          <cell r="A209">
            <v>10129052</v>
          </cell>
          <cell r="B209" t="str">
            <v>BHARAT SONI</v>
          </cell>
        </row>
        <row r="210">
          <cell r="A210">
            <v>10129053</v>
          </cell>
          <cell r="B210" t="str">
            <v>BRIG  SINHA</v>
          </cell>
        </row>
        <row r="211">
          <cell r="A211">
            <v>10129054</v>
          </cell>
          <cell r="B211" t="str">
            <v>CAMBRIDGE CONSTRUCTION (DELHI)</v>
          </cell>
        </row>
        <row r="212">
          <cell r="A212">
            <v>10129055</v>
          </cell>
          <cell r="B212" t="str">
            <v>DBS CORPORATE CLUB</v>
          </cell>
        </row>
        <row r="213">
          <cell r="A213">
            <v>10129056</v>
          </cell>
          <cell r="B213" t="str">
            <v>H.L.CHAWLA</v>
          </cell>
        </row>
        <row r="214">
          <cell r="A214">
            <v>10129057</v>
          </cell>
          <cell r="B214" t="str">
            <v>JOGINDER SINGH</v>
          </cell>
        </row>
        <row r="215">
          <cell r="A215">
            <v>10129058</v>
          </cell>
          <cell r="B215" t="str">
            <v>KALYAN VYAPAAR PVT LTD</v>
          </cell>
        </row>
        <row r="216">
          <cell r="A216">
            <v>10129059</v>
          </cell>
          <cell r="B216" t="str">
            <v>LALBHAI SALES &amp; SERVICES LTD.</v>
          </cell>
        </row>
        <row r="217">
          <cell r="A217">
            <v>10129060</v>
          </cell>
          <cell r="B217" t="str">
            <v>SUKET GUJRAL</v>
          </cell>
        </row>
        <row r="218">
          <cell r="A218">
            <v>10129061</v>
          </cell>
          <cell r="B218" t="str">
            <v>NIRMAL CHAWLA</v>
          </cell>
        </row>
        <row r="219">
          <cell r="A219">
            <v>10129062</v>
          </cell>
          <cell r="B219" t="str">
            <v>REHANA SULTANA</v>
          </cell>
        </row>
        <row r="220">
          <cell r="A220">
            <v>10129063</v>
          </cell>
          <cell r="B220" t="str">
            <v>SHAFIULA SHAREEF</v>
          </cell>
        </row>
        <row r="221">
          <cell r="A221">
            <v>10129064</v>
          </cell>
          <cell r="B221" t="str">
            <v>THAKORBHAI GULBBHAI NAIK</v>
          </cell>
        </row>
        <row r="222">
          <cell r="A222">
            <v>10129066</v>
          </cell>
          <cell r="B222" t="str">
            <v>TOP LIGHT VINIMAY PVT LTD</v>
          </cell>
        </row>
        <row r="223">
          <cell r="A223">
            <v>10129067</v>
          </cell>
          <cell r="B223" t="str">
            <v>YASHODHAN MERCHANTS PVT LTD</v>
          </cell>
        </row>
        <row r="224">
          <cell r="A224">
            <v>101291</v>
          </cell>
          <cell r="B224" t="str">
            <v>*UTILITIES DEPOSITS*</v>
          </cell>
        </row>
        <row r="225">
          <cell r="A225">
            <v>10129101</v>
          </cell>
          <cell r="B225" t="str">
            <v>ANIL ELECTRIC CO.</v>
          </cell>
        </row>
        <row r="226">
          <cell r="A226">
            <v>10129102</v>
          </cell>
          <cell r="B226" t="str">
            <v>BPL MOBILE COMMUNICATION</v>
          </cell>
        </row>
        <row r="227">
          <cell r="A227">
            <v>10129103</v>
          </cell>
          <cell r="B227" t="str">
            <v>EVERCOOL SERVICES</v>
          </cell>
        </row>
        <row r="228">
          <cell r="A228">
            <v>10129104</v>
          </cell>
          <cell r="B228" t="str">
            <v>HINDUSTAN PETROLIUM COR.LTD</v>
          </cell>
        </row>
        <row r="229">
          <cell r="A229">
            <v>10129105</v>
          </cell>
          <cell r="B229" t="str">
            <v>ITC HOTELS LTD.</v>
          </cell>
        </row>
        <row r="230">
          <cell r="A230">
            <v>10129106</v>
          </cell>
          <cell r="B230" t="str">
            <v>SEDGWICK PAREKH HEALTH MGT.LTD</v>
          </cell>
        </row>
        <row r="231">
          <cell r="A231">
            <v>10129107</v>
          </cell>
          <cell r="B231" t="str">
            <v>VIDESH SANCHAR NIGAM LTD.</v>
          </cell>
        </row>
        <row r="232">
          <cell r="A232">
            <v>10129108</v>
          </cell>
          <cell r="B232" t="str">
            <v>TAJ MAHAL HOTEL</v>
          </cell>
        </row>
        <row r="233">
          <cell r="A233">
            <v>10129109</v>
          </cell>
          <cell r="B233" t="str">
            <v>MAHANAGER TELEPHONE NIGAM LTD.</v>
          </cell>
        </row>
        <row r="234">
          <cell r="A234">
            <v>10129110</v>
          </cell>
          <cell r="B234" t="str">
            <v>BSES LIMITED</v>
          </cell>
        </row>
        <row r="235">
          <cell r="A235">
            <v>101292</v>
          </cell>
          <cell r="B235" t="str">
            <v>*OTHER  DEPOSITS -ASSETS*</v>
          </cell>
        </row>
        <row r="236">
          <cell r="A236">
            <v>10129201</v>
          </cell>
          <cell r="B236" t="str">
            <v>DEPOSIT - CAPITAL EXP.</v>
          </cell>
        </row>
        <row r="237">
          <cell r="A237">
            <v>10129202</v>
          </cell>
          <cell r="B237" t="str">
            <v>DEPOSIT - PCPL</v>
          </cell>
        </row>
        <row r="238">
          <cell r="A238">
            <v>10129203</v>
          </cell>
          <cell r="B238" t="str">
            <v>ION EXCHANGE FIN.PROD.P.LTD</v>
          </cell>
        </row>
        <row r="239">
          <cell r="A239">
            <v>10129204</v>
          </cell>
          <cell r="B239" t="str">
            <v>BRIHANMUMBAI COPORATION</v>
          </cell>
        </row>
        <row r="240">
          <cell r="A240">
            <v>10129205</v>
          </cell>
          <cell r="B240" t="str">
            <v>K.C.COLLEGE</v>
          </cell>
        </row>
        <row r="241">
          <cell r="A241">
            <v>10129207</v>
          </cell>
          <cell r="B241" t="str">
            <v>BEST SELLERS</v>
          </cell>
        </row>
        <row r="242">
          <cell r="A242">
            <v>10129251</v>
          </cell>
          <cell r="B242" t="str">
            <v>STERLING CELLULAR LTD</v>
          </cell>
        </row>
        <row r="243">
          <cell r="A243">
            <v>10129252</v>
          </cell>
          <cell r="B243" t="str">
            <v>HELLO MINERALS PVT LTD</v>
          </cell>
        </row>
        <row r="244">
          <cell r="A244">
            <v>10129253</v>
          </cell>
          <cell r="B244" t="str">
            <v>SERVICIRCLE</v>
          </cell>
        </row>
        <row r="245">
          <cell r="A245">
            <v>10129254</v>
          </cell>
          <cell r="B245" t="str">
            <v>BHAGIRATHI HEALTH CARE PRODUCT</v>
          </cell>
        </row>
        <row r="246">
          <cell r="A246">
            <v>10129255</v>
          </cell>
          <cell r="B246" t="str">
            <v>SAPHIRE DIRECT MARKETING PVT</v>
          </cell>
        </row>
        <row r="247">
          <cell r="A247">
            <v>1022</v>
          </cell>
          <cell r="B247" t="str">
            <v>**TRADE DEBTORS*</v>
          </cell>
        </row>
        <row r="248">
          <cell r="A248" t="str">
            <v>1022A001</v>
          </cell>
          <cell r="B248" t="str">
            <v>ARCHIES GIFTS &amp; GREETINGS</v>
          </cell>
        </row>
        <row r="249">
          <cell r="A249" t="str">
            <v>1022B001</v>
          </cell>
          <cell r="B249" t="str">
            <v>BMG CRESENDO - ROYALTY</v>
          </cell>
        </row>
        <row r="250">
          <cell r="A250" t="str">
            <v>1022B002</v>
          </cell>
          <cell r="B250" t="str">
            <v>BPL - BANGALORE</v>
          </cell>
        </row>
        <row r="251">
          <cell r="A251" t="str">
            <v>1022B003</v>
          </cell>
          <cell r="B251" t="str">
            <v>BPL LIMITED</v>
          </cell>
        </row>
        <row r="252">
          <cell r="A252" t="str">
            <v>1022C001</v>
          </cell>
          <cell r="B252" t="str">
            <v>CADBURY (INDIA) LTD</v>
          </cell>
        </row>
        <row r="253">
          <cell r="A253" t="str">
            <v>1022C002</v>
          </cell>
          <cell r="B253" t="str">
            <v>COCA COLA (INDIA) LTD</v>
          </cell>
        </row>
        <row r="254">
          <cell r="A254" t="str">
            <v>1022C003</v>
          </cell>
          <cell r="B254" t="str">
            <v>CROISSANTS ETC</v>
          </cell>
        </row>
        <row r="255">
          <cell r="A255" t="str">
            <v>1022D001</v>
          </cell>
          <cell r="B255" t="str">
            <v>DNA NETWORK P. LTD</v>
          </cell>
        </row>
        <row r="256">
          <cell r="A256" t="str">
            <v>1022F001</v>
          </cell>
          <cell r="B256" t="str">
            <v>FANTASIE CHOCOLATES</v>
          </cell>
        </row>
        <row r="257">
          <cell r="A257" t="str">
            <v>1022F101</v>
          </cell>
          <cell r="B257" t="str">
            <v>FLAMINGO PHAR LTD</v>
          </cell>
        </row>
        <row r="258">
          <cell r="A258" t="str">
            <v>1022G001</v>
          </cell>
          <cell r="B258" t="str">
            <v>GRAMOPHONE COMPANY OF INDIA</v>
          </cell>
        </row>
        <row r="259">
          <cell r="A259" t="str">
            <v>1022H001</v>
          </cell>
          <cell r="B259" t="str">
            <v>HEWLET PACKARD INDIA LTD</v>
          </cell>
        </row>
        <row r="260">
          <cell r="A260" t="str">
            <v>1022H002</v>
          </cell>
          <cell r="B260" t="str">
            <v>HMV MUSIC (INDIA) LTD</v>
          </cell>
        </row>
        <row r="261">
          <cell r="A261" t="str">
            <v>1022K001</v>
          </cell>
          <cell r="B261" t="str">
            <v>KLM ROYAL DUTCH AIRLINES</v>
          </cell>
        </row>
        <row r="262">
          <cell r="A262" t="str">
            <v>1022K002</v>
          </cell>
          <cell r="B262" t="str">
            <v>KWALITY WALLS</v>
          </cell>
        </row>
        <row r="263">
          <cell r="A263" t="str">
            <v>1022K101</v>
          </cell>
          <cell r="B263" t="str">
            <v>K. UTTAMLAL (EXP) LTD</v>
          </cell>
        </row>
        <row r="264">
          <cell r="A264" t="str">
            <v>1022K501</v>
          </cell>
          <cell r="B264" t="str">
            <v>KREATIVE VISION</v>
          </cell>
        </row>
        <row r="265">
          <cell r="A265" t="str">
            <v>1022M001</v>
          </cell>
          <cell r="B265" t="str">
            <v>MAGNASOUND (INDIA) P. LTD</v>
          </cell>
        </row>
        <row r="266">
          <cell r="A266" t="str">
            <v>1022M002</v>
          </cell>
          <cell r="B266" t="str">
            <v>MARS CREATION - BANDRA</v>
          </cell>
        </row>
        <row r="267">
          <cell r="A267" t="str">
            <v>1022M003</v>
          </cell>
          <cell r="B267" t="str">
            <v>MEDIA VIDEO LTD</v>
          </cell>
        </row>
        <row r="268">
          <cell r="A268" t="str">
            <v>1022N501</v>
          </cell>
          <cell r="B268" t="str">
            <v>NATIONAL INST.OF SALES - NIS</v>
          </cell>
        </row>
        <row r="269">
          <cell r="A269" t="str">
            <v>1022P001</v>
          </cell>
          <cell r="B269" t="str">
            <v>PEPE CLOTHING (INDIA) LTD</v>
          </cell>
        </row>
        <row r="270">
          <cell r="A270" t="str">
            <v>1022P002</v>
          </cell>
          <cell r="B270" t="str">
            <v>PEPSICO (INDIA) HOLDINGS</v>
          </cell>
        </row>
        <row r="271">
          <cell r="A271" t="str">
            <v>1022P003</v>
          </cell>
          <cell r="B271" t="str">
            <v>PEPSI FOODS LTD</v>
          </cell>
        </row>
        <row r="272">
          <cell r="A272" t="str">
            <v>1022P004</v>
          </cell>
          <cell r="B272" t="str">
            <v>POLYGRAM (INDIA) LTD</v>
          </cell>
        </row>
        <row r="273">
          <cell r="A273" t="str">
            <v>1022P005</v>
          </cell>
          <cell r="B273" t="str">
            <v>PROCAM SPORTS LTD</v>
          </cell>
        </row>
        <row r="274">
          <cell r="A274" t="str">
            <v>1022P501</v>
          </cell>
          <cell r="B274" t="str">
            <v>PANCHRATAN HOTELS PVT.LTD</v>
          </cell>
        </row>
        <row r="275">
          <cell r="A275" t="str">
            <v>1022T001</v>
          </cell>
          <cell r="B275" t="str">
            <v>TIPS INDUSTRIES P. LTD</v>
          </cell>
        </row>
        <row r="276">
          <cell r="A276" t="str">
            <v>1022T002</v>
          </cell>
          <cell r="B276" t="str">
            <v>TWENTIETH CENTURY FOX</v>
          </cell>
        </row>
        <row r="277">
          <cell r="A277" t="str">
            <v>1022V001</v>
          </cell>
          <cell r="B277" t="str">
            <v>VENUS RECORDS &amp; TAPES P. LTD</v>
          </cell>
        </row>
        <row r="278">
          <cell r="A278">
            <v>1023</v>
          </cell>
          <cell r="B278" t="str">
            <v>**PROVISION FOR BAD DEBTS*</v>
          </cell>
        </row>
        <row r="279">
          <cell r="A279">
            <v>1024</v>
          </cell>
          <cell r="B279" t="str">
            <v>**OTHER DEBTORS*</v>
          </cell>
        </row>
        <row r="280">
          <cell r="A280" t="str">
            <v>1024A301</v>
          </cell>
          <cell r="B280" t="str">
            <v>ADG CORPORATION</v>
          </cell>
        </row>
        <row r="281">
          <cell r="A281" t="str">
            <v>1024B301</v>
          </cell>
          <cell r="B281" t="str">
            <v>BSI  - DEBTORS</v>
          </cell>
        </row>
        <row r="282">
          <cell r="A282" t="str">
            <v>1024B302</v>
          </cell>
          <cell r="B282" t="str">
            <v>BROAD SYSTEM MULTIMEDIA-INDIA</v>
          </cell>
        </row>
        <row r="283">
          <cell r="A283" t="str">
            <v>1024B303</v>
          </cell>
          <cell r="B283" t="str">
            <v>BREACH CANDY HOSPITAL</v>
          </cell>
        </row>
        <row r="284">
          <cell r="A284" t="str">
            <v>1024C301</v>
          </cell>
          <cell r="B284" t="str">
            <v>SITI CABLE LTD.</v>
          </cell>
        </row>
        <row r="285">
          <cell r="A285" t="str">
            <v>1024S001</v>
          </cell>
          <cell r="B285" t="str">
            <v>SNEHADHARA CONSTRUCTIONS P.LTD</v>
          </cell>
        </row>
        <row r="286">
          <cell r="A286" t="str">
            <v>1024Z301</v>
          </cell>
          <cell r="B286" t="str">
            <v>ZEE JV(P A T CO P LTD)</v>
          </cell>
        </row>
        <row r="287">
          <cell r="A287">
            <v>20</v>
          </cell>
          <cell r="B287" t="str">
            <v>***INTER -CO CURRENT ACCOUNTS*</v>
          </cell>
        </row>
        <row r="288">
          <cell r="A288">
            <v>2001</v>
          </cell>
          <cell r="B288" t="str">
            <v>**INTER - CO CURRENT ACCOUNTS*</v>
          </cell>
        </row>
        <row r="289">
          <cell r="A289">
            <v>20010009</v>
          </cell>
          <cell r="B289" t="str">
            <v>SATELLITE TV ASIAN REGN-COLLTN</v>
          </cell>
        </row>
        <row r="290">
          <cell r="A290">
            <v>200101</v>
          </cell>
          <cell r="B290" t="str">
            <v>*STAR TV LIMITED'S GROUP*</v>
          </cell>
        </row>
        <row r="291">
          <cell r="A291">
            <v>20010107</v>
          </cell>
          <cell r="B291" t="str">
            <v>CHL-STAR TV SPORTS LTD</v>
          </cell>
        </row>
        <row r="292">
          <cell r="A292">
            <v>20010130</v>
          </cell>
          <cell r="B292" t="str">
            <v>STAR ADVERTISING SALES B.V.</v>
          </cell>
        </row>
        <row r="293">
          <cell r="A293">
            <v>20010131</v>
          </cell>
          <cell r="B293" t="str">
            <v>SATELLITE TV ASIAN REGN LTD.</v>
          </cell>
        </row>
        <row r="294">
          <cell r="A294">
            <v>20010262</v>
          </cell>
          <cell r="B294" t="str">
            <v>ESS - ADVERTISING REV</v>
          </cell>
        </row>
        <row r="295">
          <cell r="A295">
            <v>200115</v>
          </cell>
          <cell r="B295" t="str">
            <v>*OTHER COMPANY*</v>
          </cell>
        </row>
        <row r="296">
          <cell r="A296">
            <v>20011537</v>
          </cell>
          <cell r="B296" t="str">
            <v>PRECISION COMPONENT PVT.LTD</v>
          </cell>
        </row>
        <row r="297">
          <cell r="A297">
            <v>200116</v>
          </cell>
          <cell r="B297" t="str">
            <v>*NEWS TELEVISION (I)LTD GROUP*</v>
          </cell>
        </row>
        <row r="298">
          <cell r="A298">
            <v>20011600</v>
          </cell>
          <cell r="B298" t="str">
            <v>INDIA - CORPORATE</v>
          </cell>
        </row>
        <row r="299">
          <cell r="A299">
            <v>20011601</v>
          </cell>
          <cell r="B299" t="str">
            <v>INDIA - PAY CHANNEL</v>
          </cell>
        </row>
        <row r="300">
          <cell r="A300">
            <v>20011602</v>
          </cell>
          <cell r="B300" t="str">
            <v>INDIA - DTH</v>
          </cell>
        </row>
        <row r="301">
          <cell r="A301">
            <v>20011603</v>
          </cell>
          <cell r="B301" t="str">
            <v>INDIA - [V]</v>
          </cell>
        </row>
        <row r="302">
          <cell r="A302">
            <v>20011604</v>
          </cell>
          <cell r="B302" t="str">
            <v>INDIA - STAR PLUS</v>
          </cell>
        </row>
        <row r="303">
          <cell r="A303">
            <v>20011605</v>
          </cell>
          <cell r="B303" t="str">
            <v>INDIA - STAR MOVIES</v>
          </cell>
        </row>
        <row r="304">
          <cell r="A304">
            <v>20011606</v>
          </cell>
          <cell r="B304" t="str">
            <v>INDIA - ADSALES</v>
          </cell>
        </row>
        <row r="305">
          <cell r="A305">
            <v>20011607</v>
          </cell>
          <cell r="B305" t="str">
            <v>INDIA - ETC</v>
          </cell>
        </row>
        <row r="306">
          <cell r="A306">
            <v>20011608</v>
          </cell>
          <cell r="B306" t="str">
            <v>INDIA - BO&amp;E</v>
          </cell>
        </row>
        <row r="307">
          <cell r="A307">
            <v>20011609</v>
          </cell>
          <cell r="B307" t="str">
            <v>INDIA - NNCA</v>
          </cell>
        </row>
        <row r="308">
          <cell r="A308">
            <v>30</v>
          </cell>
          <cell r="B308" t="str">
            <v>***CURRENT LIABILITIES*</v>
          </cell>
        </row>
        <row r="309">
          <cell r="A309">
            <v>3005</v>
          </cell>
          <cell r="B309" t="str">
            <v>**DEFERRED INCOME*</v>
          </cell>
        </row>
        <row r="310">
          <cell r="A310">
            <v>300500</v>
          </cell>
          <cell r="B310" t="str">
            <v>*DEFERRED INCOME*</v>
          </cell>
        </row>
        <row r="311">
          <cell r="A311">
            <v>30050001</v>
          </cell>
          <cell r="B311" t="str">
            <v>DEFERRED INCOME-SUBSCRIPTION</v>
          </cell>
        </row>
        <row r="312">
          <cell r="A312">
            <v>30050002</v>
          </cell>
          <cell r="B312" t="str">
            <v>DEFERRED INCOME-OTHERS</v>
          </cell>
        </row>
        <row r="313">
          <cell r="A313">
            <v>3015</v>
          </cell>
          <cell r="B313" t="str">
            <v>**DEPOSITS / ADVANCES*</v>
          </cell>
        </row>
        <row r="314">
          <cell r="A314">
            <v>301500</v>
          </cell>
          <cell r="B314" t="str">
            <v>*SECURITY DEPO FM SUBSCR-DIGL*</v>
          </cell>
        </row>
        <row r="315">
          <cell r="A315">
            <v>301501</v>
          </cell>
          <cell r="B315" t="str">
            <v>*DEPOSIST FROM DEALERS*</v>
          </cell>
        </row>
        <row r="316">
          <cell r="A316">
            <v>30150100</v>
          </cell>
          <cell r="B316" t="str">
            <v>DEALER  DEPOSITS</v>
          </cell>
        </row>
        <row r="317">
          <cell r="A317">
            <v>301502</v>
          </cell>
          <cell r="B317" t="str">
            <v>*DEPOSITS OTHERS -LIA*</v>
          </cell>
        </row>
        <row r="318">
          <cell r="A318">
            <v>30150201</v>
          </cell>
          <cell r="B318" t="str">
            <v>BHARTI TELECO - DEPOSIT</v>
          </cell>
        </row>
        <row r="319">
          <cell r="A319">
            <v>30150202</v>
          </cell>
          <cell r="B319" t="str">
            <v>NEPC</v>
          </cell>
        </row>
        <row r="320">
          <cell r="A320">
            <v>30150203</v>
          </cell>
          <cell r="B320" t="str">
            <v>LIBERTY DEPOSIT</v>
          </cell>
        </row>
        <row r="321">
          <cell r="A321">
            <v>301503</v>
          </cell>
          <cell r="B321" t="str">
            <v>*OTHER DEPOSIT - NG/OTHERS*</v>
          </cell>
        </row>
        <row r="322">
          <cell r="A322">
            <v>301504</v>
          </cell>
          <cell r="B322" t="str">
            <v>DEPOSITS OTHERS - EMI</v>
          </cell>
        </row>
        <row r="323">
          <cell r="A323">
            <v>301521</v>
          </cell>
          <cell r="B323" t="str">
            <v>*ADVANCE FROM SUBSCRIBERS*</v>
          </cell>
        </row>
        <row r="324">
          <cell r="A324">
            <v>30152100</v>
          </cell>
          <cell r="B324" t="str">
            <v>SUBSCRIPTION ADVANCE</v>
          </cell>
        </row>
        <row r="325">
          <cell r="A325">
            <v>301522</v>
          </cell>
          <cell r="B325" t="str">
            <v>*OTHER ADVANCES-LIA*</v>
          </cell>
        </row>
        <row r="326">
          <cell r="A326">
            <v>30152201</v>
          </cell>
          <cell r="B326" t="str">
            <v>AMBIENCE SPACE SELLERS LTD.</v>
          </cell>
        </row>
        <row r="327">
          <cell r="A327">
            <v>30152202</v>
          </cell>
          <cell r="B327" t="str">
            <v>BCCI</v>
          </cell>
        </row>
        <row r="328">
          <cell r="A328">
            <v>30152203</v>
          </cell>
          <cell r="B328" t="str">
            <v>CCI</v>
          </cell>
        </row>
        <row r="329">
          <cell r="A329">
            <v>30152204</v>
          </cell>
          <cell r="B329" t="str">
            <v>DOORDARSHAN</v>
          </cell>
        </row>
        <row r="330">
          <cell r="A330">
            <v>30152205</v>
          </cell>
          <cell r="B330" t="str">
            <v>PROFESSIONAL MANAGEMENT GROUP</v>
          </cell>
        </row>
        <row r="331">
          <cell r="A331">
            <v>30152206</v>
          </cell>
          <cell r="B331" t="str">
            <v>SETWORK</v>
          </cell>
        </row>
        <row r="332">
          <cell r="A332">
            <v>3020</v>
          </cell>
          <cell r="B332" t="str">
            <v>**SUNDRY CREDITORS*</v>
          </cell>
        </row>
        <row r="333">
          <cell r="A333">
            <v>3050</v>
          </cell>
          <cell r="B333" t="str">
            <v>**OTHER CREDITORS &amp; ACCRUALS*</v>
          </cell>
        </row>
        <row r="334">
          <cell r="A334">
            <v>305001</v>
          </cell>
          <cell r="B334" t="str">
            <v>*ACCRUALS*</v>
          </cell>
        </row>
        <row r="335">
          <cell r="A335">
            <v>30500109</v>
          </cell>
          <cell r="B335" t="str">
            <v>ACCRUED EXP - TAXATION</v>
          </cell>
        </row>
        <row r="336">
          <cell r="A336">
            <v>30500111</v>
          </cell>
          <cell r="B336" t="str">
            <v>ACCRUED EXP - SALARY</v>
          </cell>
        </row>
        <row r="337">
          <cell r="A337">
            <v>30500112</v>
          </cell>
          <cell r="B337" t="str">
            <v>ACCRUED EXP - BONUS</v>
          </cell>
        </row>
        <row r="338">
          <cell r="A338">
            <v>30500131</v>
          </cell>
          <cell r="B338" t="str">
            <v>ACCRUED EXP - GRATUITY</v>
          </cell>
        </row>
        <row r="339">
          <cell r="A339">
            <v>30500132</v>
          </cell>
          <cell r="B339" t="str">
            <v>ACCRUED INTEREST BUT NOT DUE</v>
          </cell>
        </row>
        <row r="340">
          <cell r="A340">
            <v>30500150</v>
          </cell>
          <cell r="B340" t="str">
            <v>ACCRUED EXP - OTHERS</v>
          </cell>
        </row>
        <row r="341">
          <cell r="A341">
            <v>305002</v>
          </cell>
          <cell r="B341" t="str">
            <v>*UNCLAIMED CHEQUES (INDIA)*</v>
          </cell>
        </row>
        <row r="342">
          <cell r="A342">
            <v>30500201</v>
          </cell>
          <cell r="B342" t="str">
            <v>UNCLAIMED CHEQUES (INDIA)</v>
          </cell>
        </row>
        <row r="343">
          <cell r="A343">
            <v>30501009</v>
          </cell>
          <cell r="B343" t="str">
            <v>PROV FOR OBSOLESXENCE OF ASSET</v>
          </cell>
        </row>
        <row r="344">
          <cell r="A344">
            <v>305030</v>
          </cell>
          <cell r="B344" t="str">
            <v>*PROVISION FOR TAX*</v>
          </cell>
        </row>
        <row r="345">
          <cell r="A345">
            <v>30503001</v>
          </cell>
          <cell r="B345" t="str">
            <v>PROFESSIONAL TAX</v>
          </cell>
        </row>
        <row r="346">
          <cell r="A346">
            <v>30503002</v>
          </cell>
          <cell r="B346" t="str">
            <v>PROVIDENT FUND PAYABLE</v>
          </cell>
        </row>
        <row r="347">
          <cell r="A347">
            <v>30503003</v>
          </cell>
          <cell r="B347" t="str">
            <v>ESIC PAYABLE</v>
          </cell>
        </row>
        <row r="348">
          <cell r="A348">
            <v>30503004</v>
          </cell>
          <cell r="B348" t="str">
            <v>TDS ON SALARIES</v>
          </cell>
        </row>
        <row r="349">
          <cell r="A349">
            <v>30503005</v>
          </cell>
          <cell r="B349" t="str">
            <v>TDS ON RENT</v>
          </cell>
        </row>
        <row r="350">
          <cell r="A350">
            <v>30503006</v>
          </cell>
          <cell r="B350" t="str">
            <v>TDS ON CONTRACTORS</v>
          </cell>
        </row>
        <row r="351">
          <cell r="A351">
            <v>30503007</v>
          </cell>
          <cell r="B351" t="str">
            <v>TDS ON PROFESSIONAL SERV</v>
          </cell>
        </row>
        <row r="352">
          <cell r="A352">
            <v>30503008</v>
          </cell>
          <cell r="B352" t="str">
            <v>TDS OTHERS</v>
          </cell>
        </row>
        <row r="353">
          <cell r="A353">
            <v>35</v>
          </cell>
          <cell r="B353" t="str">
            <v>***LONG TERM LIABILITIES*</v>
          </cell>
        </row>
        <row r="354">
          <cell r="A354">
            <v>3502</v>
          </cell>
          <cell r="B354" t="str">
            <v>**LOANS*</v>
          </cell>
        </row>
        <row r="355">
          <cell r="A355">
            <v>350201</v>
          </cell>
          <cell r="B355" t="str">
            <v>*SECURED LOANS*</v>
          </cell>
        </row>
        <row r="356">
          <cell r="A356">
            <v>35020101</v>
          </cell>
          <cell r="B356" t="str">
            <v>SECURED LOANS</v>
          </cell>
        </row>
        <row r="357">
          <cell r="A357">
            <v>350202</v>
          </cell>
          <cell r="B357" t="str">
            <v>*UNSECURED LOANS*</v>
          </cell>
        </row>
        <row r="358">
          <cell r="A358">
            <v>35020201</v>
          </cell>
          <cell r="B358" t="str">
            <v>UNSECURED LOANS</v>
          </cell>
        </row>
        <row r="359">
          <cell r="A359">
            <v>35030101</v>
          </cell>
          <cell r="B359" t="str">
            <v>L.TERM DEFERRED LIABILITIES</v>
          </cell>
        </row>
        <row r="360">
          <cell r="A360">
            <v>41</v>
          </cell>
          <cell r="B360" t="str">
            <v>***SHARE CAPITAL*</v>
          </cell>
        </row>
        <row r="361">
          <cell r="A361">
            <v>4100</v>
          </cell>
          <cell r="B361" t="str">
            <v>**SHARE CAPITAL*</v>
          </cell>
        </row>
        <row r="362">
          <cell r="A362">
            <v>410000</v>
          </cell>
          <cell r="B362" t="str">
            <v>*SHARE CAPITAL*</v>
          </cell>
        </row>
        <row r="363">
          <cell r="A363">
            <v>41000000</v>
          </cell>
          <cell r="B363" t="str">
            <v>SHARE CAPITAL</v>
          </cell>
        </row>
        <row r="364">
          <cell r="A364">
            <v>410006</v>
          </cell>
          <cell r="B364" t="str">
            <v>*ADVANCE EQUITY*</v>
          </cell>
        </row>
        <row r="365">
          <cell r="A365">
            <v>41000601</v>
          </cell>
          <cell r="B365" t="str">
            <v>ADVANCE EQUITY</v>
          </cell>
        </row>
        <row r="366">
          <cell r="A366">
            <v>42</v>
          </cell>
          <cell r="B366" t="str">
            <v>***RESERVES*</v>
          </cell>
        </row>
        <row r="367">
          <cell r="A367">
            <v>4204</v>
          </cell>
          <cell r="B367" t="str">
            <v>**CAPITAL RESERVE*</v>
          </cell>
        </row>
        <row r="368">
          <cell r="A368">
            <v>420400</v>
          </cell>
          <cell r="B368" t="str">
            <v>*CAPITAL RESERVE*</v>
          </cell>
        </row>
        <row r="369">
          <cell r="A369">
            <v>42040000</v>
          </cell>
          <cell r="B369" t="str">
            <v>CAPITAL RESERVE</v>
          </cell>
        </row>
        <row r="370">
          <cell r="A370">
            <v>4210</v>
          </cell>
          <cell r="B370" t="str">
            <v>**RETAINED PROFIT B/F*</v>
          </cell>
        </row>
        <row r="371">
          <cell r="A371">
            <v>421000</v>
          </cell>
          <cell r="B371" t="str">
            <v>*RETAINED PROFIT B/F*</v>
          </cell>
        </row>
        <row r="372">
          <cell r="A372">
            <v>42100001</v>
          </cell>
          <cell r="B372" t="str">
            <v>ACC DEFICIT / RETAINED PROFIT</v>
          </cell>
        </row>
        <row r="373">
          <cell r="A373">
            <v>50</v>
          </cell>
          <cell r="B373" t="str">
            <v>***REVENUE*</v>
          </cell>
        </row>
        <row r="374">
          <cell r="A374">
            <v>5018</v>
          </cell>
          <cell r="B374" t="str">
            <v>**SUBSCRIPTION SALES*</v>
          </cell>
        </row>
        <row r="375">
          <cell r="A375">
            <v>501801</v>
          </cell>
          <cell r="B375" t="str">
            <v>*DIRECT - TO - HOME OPERATION*</v>
          </cell>
        </row>
        <row r="376">
          <cell r="A376">
            <v>50180101</v>
          </cell>
          <cell r="B376" t="str">
            <v>DTH SUB SALES</v>
          </cell>
        </row>
        <row r="377">
          <cell r="A377">
            <v>501802</v>
          </cell>
          <cell r="B377" t="str">
            <v>*CATV OPERATION*</v>
          </cell>
        </row>
        <row r="378">
          <cell r="A378">
            <v>50180201</v>
          </cell>
          <cell r="B378" t="str">
            <v>CATV SUB SALES</v>
          </cell>
        </row>
        <row r="379">
          <cell r="A379">
            <v>501820</v>
          </cell>
          <cell r="B379" t="str">
            <v>*SALES DEDUCTION ITEMS*</v>
          </cell>
        </row>
        <row r="380">
          <cell r="A380">
            <v>50182001</v>
          </cell>
          <cell r="B380" t="str">
            <v>SUB SALES DEDCTN</v>
          </cell>
        </row>
        <row r="381">
          <cell r="A381">
            <v>501825</v>
          </cell>
          <cell r="B381" t="str">
            <v>*SUBS RELATED INCOME*</v>
          </cell>
        </row>
        <row r="382">
          <cell r="A382">
            <v>50182501</v>
          </cell>
          <cell r="B382" t="str">
            <v>TECHNICAL CONSULTANCY FEE</v>
          </cell>
        </row>
        <row r="383">
          <cell r="A383">
            <v>50182502</v>
          </cell>
          <cell r="B383" t="str">
            <v>INSTALLATION FEE</v>
          </cell>
        </row>
        <row r="384">
          <cell r="A384">
            <v>50182503</v>
          </cell>
          <cell r="B384" t="str">
            <v>ACTIVATION FEE</v>
          </cell>
        </row>
        <row r="385">
          <cell r="A385">
            <v>50182504</v>
          </cell>
          <cell r="B385" t="str">
            <v>CONSUMABLE SALES C-BAND</v>
          </cell>
        </row>
        <row r="386">
          <cell r="A386">
            <v>5019</v>
          </cell>
          <cell r="B386" t="str">
            <v>**EQUIPMENT SALES*</v>
          </cell>
        </row>
        <row r="387">
          <cell r="A387">
            <v>501901</v>
          </cell>
          <cell r="B387" t="str">
            <v>*EQUIPMENT SALES*</v>
          </cell>
        </row>
        <row r="388">
          <cell r="A388">
            <v>50190190</v>
          </cell>
          <cell r="B388" t="str">
            <v>EQ SALES-OTHERS</v>
          </cell>
        </row>
        <row r="389">
          <cell r="A389">
            <v>5035</v>
          </cell>
          <cell r="B389" t="str">
            <v>**COMMISSION INCOME*</v>
          </cell>
        </row>
        <row r="390">
          <cell r="A390">
            <v>503501</v>
          </cell>
          <cell r="B390" t="str">
            <v>*COMMISSION INCOME*</v>
          </cell>
        </row>
        <row r="391">
          <cell r="A391">
            <v>50350102</v>
          </cell>
          <cell r="B391" t="str">
            <v>COMMISSION  INCOME</v>
          </cell>
        </row>
        <row r="392">
          <cell r="A392">
            <v>5090</v>
          </cell>
          <cell r="B392" t="str">
            <v>**OTHER OPERATING REVENUE*</v>
          </cell>
        </row>
        <row r="393">
          <cell r="A393">
            <v>50900104</v>
          </cell>
          <cell r="B393" t="str">
            <v>PROGRAMME SALES-OTHERS(EXPORT)</v>
          </cell>
        </row>
        <row r="394">
          <cell r="A394">
            <v>50900300</v>
          </cell>
          <cell r="B394" t="str">
            <v>EXTERNAL BO&amp;E CHARGES</v>
          </cell>
        </row>
        <row r="395">
          <cell r="A395">
            <v>509010</v>
          </cell>
          <cell r="B395" t="str">
            <v>*INTEREST INCOME*</v>
          </cell>
        </row>
        <row r="396">
          <cell r="A396">
            <v>50901003</v>
          </cell>
          <cell r="B396" t="str">
            <v>BANK INTEREST INCOME- INDIA</v>
          </cell>
        </row>
        <row r="397">
          <cell r="A397">
            <v>509015</v>
          </cell>
          <cell r="B397" t="str">
            <v>*GAIN/LOSS ON FA DISPOSAL*</v>
          </cell>
        </row>
        <row r="398">
          <cell r="A398">
            <v>50901500</v>
          </cell>
          <cell r="B398" t="str">
            <v>GAIN/LOSS ON FA DISPOSAL</v>
          </cell>
        </row>
        <row r="399">
          <cell r="A399">
            <v>509020</v>
          </cell>
          <cell r="B399" t="str">
            <v>*OTHER INCOME*</v>
          </cell>
        </row>
        <row r="400">
          <cell r="A400">
            <v>50902003</v>
          </cell>
          <cell r="B400" t="str">
            <v>DIVIDEND INCOME</v>
          </cell>
        </row>
        <row r="401">
          <cell r="A401">
            <v>50902005</v>
          </cell>
          <cell r="B401" t="str">
            <v>INT ON OTHER INV  -INDIA</v>
          </cell>
        </row>
        <row r="402">
          <cell r="A402">
            <v>50902006</v>
          </cell>
          <cell r="B402" t="str">
            <v>REACTIVATION CHARGES</v>
          </cell>
        </row>
        <row r="403">
          <cell r="A403">
            <v>50902007</v>
          </cell>
          <cell r="B403" t="str">
            <v>VIEWING CHARGES</v>
          </cell>
        </row>
        <row r="404">
          <cell r="A404">
            <v>50902008</v>
          </cell>
          <cell r="B404" t="str">
            <v>SERVICE FEES</v>
          </cell>
        </row>
        <row r="405">
          <cell r="A405">
            <v>50902009</v>
          </cell>
          <cell r="B405" t="str">
            <v>HARDWARE COMMISSION</v>
          </cell>
        </row>
        <row r="406">
          <cell r="A406">
            <v>50902011</v>
          </cell>
          <cell r="B406" t="str">
            <v>INSTALLATION FEE</v>
          </cell>
        </row>
        <row r="407">
          <cell r="A407">
            <v>50902012</v>
          </cell>
          <cell r="B407" t="str">
            <v>ACTIVATION FEE</v>
          </cell>
        </row>
        <row r="408">
          <cell r="A408">
            <v>50902013</v>
          </cell>
          <cell r="B408" t="str">
            <v>CONSUMABLE SALES C-BAND</v>
          </cell>
        </row>
        <row r="409">
          <cell r="A409">
            <v>50902015</v>
          </cell>
          <cell r="B409" t="str">
            <v>USAGE INCOME - LOANER PC2</v>
          </cell>
        </row>
        <row r="410">
          <cell r="A410">
            <v>50902090</v>
          </cell>
          <cell r="B410" t="str">
            <v>OTHER INCOME</v>
          </cell>
        </row>
        <row r="411">
          <cell r="A411">
            <v>50902091</v>
          </cell>
          <cell r="B411" t="str">
            <v>ROYALTIES</v>
          </cell>
        </row>
        <row r="412">
          <cell r="A412">
            <v>60</v>
          </cell>
          <cell r="B412" t="str">
            <v>***EXPENSES*</v>
          </cell>
        </row>
        <row r="413">
          <cell r="A413">
            <v>6001</v>
          </cell>
          <cell r="B413" t="str">
            <v>**STAFF COSTS*</v>
          </cell>
        </row>
        <row r="414">
          <cell r="A414">
            <v>600101</v>
          </cell>
          <cell r="B414" t="str">
            <v>*SALARY COSTS*</v>
          </cell>
        </row>
        <row r="415">
          <cell r="A415">
            <v>60010101</v>
          </cell>
          <cell r="B415" t="str">
            <v>SALARY</v>
          </cell>
        </row>
        <row r="416">
          <cell r="A416">
            <v>60010102</v>
          </cell>
          <cell r="B416" t="str">
            <v>HOUSING ALLOWANCE</v>
          </cell>
        </row>
        <row r="417">
          <cell r="A417">
            <v>60010103</v>
          </cell>
          <cell r="B417" t="str">
            <v>BONUS</v>
          </cell>
        </row>
        <row r="418">
          <cell r="A418">
            <v>600102</v>
          </cell>
          <cell r="B418" t="str">
            <v>*ALLOWANCES*</v>
          </cell>
        </row>
        <row r="419">
          <cell r="A419">
            <v>60010201</v>
          </cell>
          <cell r="B419" t="str">
            <v>RELOCATION ALLOWANCE</v>
          </cell>
        </row>
        <row r="420">
          <cell r="A420">
            <v>60010202</v>
          </cell>
          <cell r="B420" t="str">
            <v>MEAL &amp; HOTEL EXP ALLOWANCE</v>
          </cell>
        </row>
        <row r="421">
          <cell r="A421">
            <v>60010290</v>
          </cell>
          <cell r="B421" t="str">
            <v>OTHER ALLOWANCES</v>
          </cell>
        </row>
        <row r="422">
          <cell r="A422">
            <v>600103</v>
          </cell>
          <cell r="B422" t="str">
            <v>*STAFF BENEFITS*</v>
          </cell>
        </row>
        <row r="423">
          <cell r="A423">
            <v>60010301</v>
          </cell>
          <cell r="B423" t="str">
            <v>COMPANY PAID HOUSE RENTAL</v>
          </cell>
        </row>
        <row r="424">
          <cell r="A424">
            <v>60010302</v>
          </cell>
          <cell r="B424" t="str">
            <v>MOTOR CAR RUNNING EXPENSES</v>
          </cell>
        </row>
        <row r="425">
          <cell r="A425">
            <v>60010303</v>
          </cell>
          <cell r="B425" t="str">
            <v>MEDICIAL EXPENSES</v>
          </cell>
        </row>
        <row r="426">
          <cell r="A426">
            <v>60010305</v>
          </cell>
          <cell r="B426" t="str">
            <v>OTHER REIMBURSEMENT</v>
          </cell>
        </row>
        <row r="427">
          <cell r="A427">
            <v>60010306</v>
          </cell>
          <cell r="B427" t="str">
            <v>LEAVE ENCASHMENT</v>
          </cell>
        </row>
        <row r="428">
          <cell r="A428">
            <v>60010307</v>
          </cell>
          <cell r="B428" t="str">
            <v>COMPENSATION ON RETIREMENT/DEA</v>
          </cell>
        </row>
        <row r="429">
          <cell r="A429">
            <v>600104</v>
          </cell>
          <cell r="B429" t="str">
            <v>*PROVIDENT/PENSION FUND/ESIC*</v>
          </cell>
        </row>
        <row r="430">
          <cell r="A430">
            <v>60010400</v>
          </cell>
          <cell r="B430" t="str">
            <v>PROVIDENT FUND</v>
          </cell>
        </row>
        <row r="431">
          <cell r="A431">
            <v>60010401</v>
          </cell>
          <cell r="B431" t="str">
            <v>FAMILY PROVIDENT FUND</v>
          </cell>
        </row>
        <row r="432">
          <cell r="A432">
            <v>60010402</v>
          </cell>
          <cell r="B432" t="str">
            <v>PENSION FUND</v>
          </cell>
        </row>
        <row r="433">
          <cell r="A433">
            <v>60010403</v>
          </cell>
          <cell r="B433" t="str">
            <v>EMPLOYEE STATE INSUR.CORP.</v>
          </cell>
        </row>
        <row r="434">
          <cell r="A434">
            <v>60010404</v>
          </cell>
          <cell r="B434" t="str">
            <v>ADMINISTRATION CHARGES-PF</v>
          </cell>
        </row>
        <row r="435">
          <cell r="A435">
            <v>600105</v>
          </cell>
          <cell r="B435" t="str">
            <v>*FREELANCE / CONTRACTORS*</v>
          </cell>
        </row>
        <row r="436">
          <cell r="A436">
            <v>60010500</v>
          </cell>
          <cell r="B436" t="str">
            <v>FREELANCE / CONTRACTORS</v>
          </cell>
        </row>
        <row r="437">
          <cell r="A437">
            <v>600106</v>
          </cell>
          <cell r="B437" t="str">
            <v>*RECRUITMENT ADVERTISING*</v>
          </cell>
        </row>
        <row r="438">
          <cell r="A438">
            <v>60010600</v>
          </cell>
          <cell r="B438" t="str">
            <v>RECRUITMENT ADVERTISING</v>
          </cell>
        </row>
        <row r="439">
          <cell r="A439">
            <v>600107</v>
          </cell>
          <cell r="B439" t="str">
            <v>*SEMINAR/TRAINING COURSE*</v>
          </cell>
        </row>
        <row r="440">
          <cell r="A440">
            <v>60010700</v>
          </cell>
          <cell r="B440" t="str">
            <v>SEMINAR/TRAINING COURSE</v>
          </cell>
        </row>
        <row r="441">
          <cell r="A441">
            <v>600108</v>
          </cell>
          <cell r="B441" t="str">
            <v>*STAFF FUNCTION*</v>
          </cell>
        </row>
        <row r="442">
          <cell r="A442">
            <v>60010800</v>
          </cell>
          <cell r="B442" t="str">
            <v>STAFF FUNCTION</v>
          </cell>
        </row>
        <row r="443">
          <cell r="A443">
            <v>600120</v>
          </cell>
          <cell r="B443" t="str">
            <v>*OTHER STAFF COSTS*</v>
          </cell>
        </row>
        <row r="444">
          <cell r="A444">
            <v>60012001</v>
          </cell>
          <cell r="B444" t="str">
            <v>OVERTIME PAYMENT</v>
          </cell>
        </row>
        <row r="445">
          <cell r="A445">
            <v>60012003</v>
          </cell>
          <cell r="B445" t="str">
            <v>SEVERENCE  PAYMENT</v>
          </cell>
        </row>
        <row r="446">
          <cell r="A446">
            <v>60012004</v>
          </cell>
          <cell r="B446" t="str">
            <v>GRATUITY</v>
          </cell>
        </row>
        <row r="447">
          <cell r="A447">
            <v>6002</v>
          </cell>
          <cell r="B447" t="str">
            <v>**PREMISES RELATED COSTS*</v>
          </cell>
        </row>
        <row r="448">
          <cell r="A448">
            <v>600201</v>
          </cell>
          <cell r="B448" t="str">
            <v>*OFFICE RENTAL*</v>
          </cell>
        </row>
        <row r="449">
          <cell r="A449">
            <v>60020100</v>
          </cell>
          <cell r="B449" t="str">
            <v>OFFICE RENTAL</v>
          </cell>
        </row>
        <row r="450">
          <cell r="A450">
            <v>600202</v>
          </cell>
          <cell r="B450" t="str">
            <v>*OFFICE MANAGEMENT FEE*</v>
          </cell>
        </row>
        <row r="451">
          <cell r="A451">
            <v>60020200</v>
          </cell>
          <cell r="B451" t="str">
            <v>OFFICE MANAGEMENT FEE</v>
          </cell>
        </row>
        <row r="452">
          <cell r="A452">
            <v>600204</v>
          </cell>
          <cell r="B452" t="str">
            <v>*CLEANING*</v>
          </cell>
        </row>
        <row r="453">
          <cell r="A453">
            <v>60020400</v>
          </cell>
          <cell r="B453" t="str">
            <v>CLEANING</v>
          </cell>
        </row>
        <row r="454">
          <cell r="A454">
            <v>600205</v>
          </cell>
          <cell r="B454" t="str">
            <v>*UTILITIES EXPENSES*</v>
          </cell>
        </row>
        <row r="455">
          <cell r="A455">
            <v>60020500</v>
          </cell>
          <cell r="B455" t="str">
            <v>UTILITIES EXPENSES</v>
          </cell>
        </row>
        <row r="456">
          <cell r="A456">
            <v>600206</v>
          </cell>
          <cell r="B456" t="str">
            <v>*GUARD SERVICE*</v>
          </cell>
        </row>
        <row r="457">
          <cell r="A457">
            <v>60020600</v>
          </cell>
          <cell r="B457" t="str">
            <v>GUARD SERVICE</v>
          </cell>
        </row>
        <row r="458">
          <cell r="A458">
            <v>6010</v>
          </cell>
          <cell r="B458" t="str">
            <v>**TRAVEL AND ENTERTAINMENT*</v>
          </cell>
        </row>
        <row r="459">
          <cell r="A459">
            <v>601001</v>
          </cell>
          <cell r="B459" t="str">
            <v>*ENTERTAINMENT*</v>
          </cell>
        </row>
        <row r="460">
          <cell r="A460">
            <v>60100100</v>
          </cell>
          <cell r="B460" t="str">
            <v>ENTERTAINMENT</v>
          </cell>
        </row>
        <row r="461">
          <cell r="A461">
            <v>60100101</v>
          </cell>
          <cell r="B461" t="str">
            <v>ENTERTAINMENT</v>
          </cell>
        </row>
        <row r="462">
          <cell r="A462">
            <v>601002</v>
          </cell>
          <cell r="B462" t="str">
            <v>*AIR TICKET AND VISA*</v>
          </cell>
        </row>
        <row r="463">
          <cell r="A463">
            <v>60100200</v>
          </cell>
          <cell r="B463" t="str">
            <v>AIR TICKET &amp; VISA (T&amp;E)</v>
          </cell>
        </row>
        <row r="464">
          <cell r="A464">
            <v>601003</v>
          </cell>
          <cell r="B464" t="str">
            <v>*HOTEL ACCOMMODATION*</v>
          </cell>
        </row>
        <row r="465">
          <cell r="A465">
            <v>60100300</v>
          </cell>
          <cell r="B465" t="str">
            <v>HOTEL ACCOMMODATION</v>
          </cell>
        </row>
        <row r="466">
          <cell r="A466">
            <v>601004</v>
          </cell>
          <cell r="B466" t="str">
            <v>*TRAVELLING*</v>
          </cell>
        </row>
        <row r="467">
          <cell r="A467">
            <v>60100401</v>
          </cell>
          <cell r="B467" t="str">
            <v>LOCAL TRAVELLING</v>
          </cell>
        </row>
        <row r="468">
          <cell r="A468">
            <v>60100402</v>
          </cell>
          <cell r="B468" t="str">
            <v>OVERSEAS TRAVELLING</v>
          </cell>
        </row>
        <row r="469">
          <cell r="A469">
            <v>60100403</v>
          </cell>
          <cell r="B469" t="str">
            <v>MOTOR CAR RUNNING EXPENSE</v>
          </cell>
        </row>
        <row r="470">
          <cell r="A470">
            <v>6021</v>
          </cell>
          <cell r="B470" t="str">
            <v>**PROGRAMME PRODUCTION COSTS*</v>
          </cell>
        </row>
        <row r="471">
          <cell r="A471">
            <v>602101</v>
          </cell>
          <cell r="B471" t="str">
            <v>**SATELLITE FEED &amp; DATA EXPEN*</v>
          </cell>
        </row>
        <row r="472">
          <cell r="A472">
            <v>60210101</v>
          </cell>
          <cell r="B472" t="str">
            <v>UPLINK / DOWNLINK</v>
          </cell>
        </row>
        <row r="473">
          <cell r="A473">
            <v>60210102</v>
          </cell>
          <cell r="B473" t="str">
            <v>CANCELLATION CHRG &amp; USED TIME</v>
          </cell>
        </row>
        <row r="474">
          <cell r="A474">
            <v>60210103</v>
          </cell>
          <cell r="B474" t="str">
            <v>VIDEOLINK RENTAL</v>
          </cell>
        </row>
        <row r="475">
          <cell r="A475">
            <v>60210105</v>
          </cell>
          <cell r="B475" t="str">
            <v>FACILITIES</v>
          </cell>
        </row>
        <row r="476">
          <cell r="A476">
            <v>60210106</v>
          </cell>
          <cell r="B476" t="str">
            <v>COMMUNICATIONS / TXM LINES</v>
          </cell>
        </row>
        <row r="477">
          <cell r="A477">
            <v>602102</v>
          </cell>
          <cell r="B477" t="str">
            <v>*ON SITE PRODUCTION*</v>
          </cell>
        </row>
        <row r="478">
          <cell r="A478">
            <v>60210201</v>
          </cell>
          <cell r="B478" t="str">
            <v>PROPS</v>
          </cell>
        </row>
        <row r="479">
          <cell r="A479">
            <v>60210202</v>
          </cell>
          <cell r="B479" t="str">
            <v>PER DIEM &amp; MESSING</v>
          </cell>
        </row>
        <row r="480">
          <cell r="A480">
            <v>60210203</v>
          </cell>
          <cell r="B480" t="str">
            <v>SETS AND SET UP (PRODUCTION)</v>
          </cell>
        </row>
        <row r="481">
          <cell r="A481">
            <v>60210204</v>
          </cell>
          <cell r="B481" t="str">
            <v>VENUE RENTAL (PRODUCTION)</v>
          </cell>
        </row>
        <row r="482">
          <cell r="A482">
            <v>60210205</v>
          </cell>
          <cell r="B482" t="str">
            <v>STUDIO RENTAL</v>
          </cell>
        </row>
        <row r="483">
          <cell r="A483">
            <v>60210206</v>
          </cell>
          <cell r="B483" t="str">
            <v>EFP CREW AND EQUIPMENT RENTAL</v>
          </cell>
        </row>
        <row r="484">
          <cell r="A484">
            <v>60210207</v>
          </cell>
          <cell r="B484" t="str">
            <v>PRODUCTION FREELANCERS</v>
          </cell>
        </row>
        <row r="485">
          <cell r="A485">
            <v>60210208</v>
          </cell>
          <cell r="B485" t="str">
            <v>PRODUCTION-STAND BY MEDICAL</v>
          </cell>
        </row>
        <row r="486">
          <cell r="A486">
            <v>60210209</v>
          </cell>
          <cell r="B486" t="str">
            <v>PRODUCTION-INSURANCE</v>
          </cell>
        </row>
        <row r="487">
          <cell r="A487">
            <v>60210210</v>
          </cell>
          <cell r="B487" t="str">
            <v>SANCTION FEE / LICENCE FEE</v>
          </cell>
        </row>
        <row r="488">
          <cell r="A488">
            <v>60210211</v>
          </cell>
          <cell r="B488" t="str">
            <v>PRODUCTION STAFF</v>
          </cell>
        </row>
        <row r="489">
          <cell r="A489">
            <v>60210212</v>
          </cell>
          <cell r="B489" t="str">
            <v>PROD - TECHNICAL STAFF</v>
          </cell>
        </row>
        <row r="490">
          <cell r="A490">
            <v>60210213</v>
          </cell>
          <cell r="B490" t="str">
            <v>SUPPORT STAFF</v>
          </cell>
        </row>
        <row r="491">
          <cell r="A491">
            <v>60210214</v>
          </cell>
          <cell r="B491" t="str">
            <v>COURIER, FREIGHT -DPC</v>
          </cell>
        </row>
        <row r="492">
          <cell r="A492">
            <v>60210215</v>
          </cell>
          <cell r="B492" t="str">
            <v>VOICE OVER RECORDING</v>
          </cell>
        </row>
        <row r="493">
          <cell r="A493">
            <v>60210217</v>
          </cell>
          <cell r="B493" t="str">
            <v>EQ RENTAL - CAMERA</v>
          </cell>
        </row>
        <row r="494">
          <cell r="A494">
            <v>60210218</v>
          </cell>
          <cell r="B494" t="str">
            <v>EQ RENTAL - LIGHTS</v>
          </cell>
        </row>
        <row r="495">
          <cell r="A495">
            <v>60210219</v>
          </cell>
          <cell r="B495" t="str">
            <v>EQ RENTAL - SOUND</v>
          </cell>
        </row>
        <row r="496">
          <cell r="A496">
            <v>60210220</v>
          </cell>
          <cell r="B496" t="str">
            <v>EQ RENTAL - GENERATOR</v>
          </cell>
        </row>
        <row r="497">
          <cell r="A497">
            <v>60210221</v>
          </cell>
          <cell r="B497" t="str">
            <v>EQ RENTAL - CRANE</v>
          </cell>
        </row>
        <row r="498">
          <cell r="A498">
            <v>60210222</v>
          </cell>
          <cell r="B498" t="str">
            <v>EQ RENTAL - TELEPROMTOR</v>
          </cell>
        </row>
        <row r="499">
          <cell r="A499">
            <v>60210223</v>
          </cell>
          <cell r="B499" t="str">
            <v>EFP CREW - CAMERA</v>
          </cell>
        </row>
        <row r="500">
          <cell r="A500">
            <v>60210224</v>
          </cell>
          <cell r="B500" t="str">
            <v>EFP CREW - LIGHTS</v>
          </cell>
        </row>
        <row r="501">
          <cell r="A501">
            <v>60210225</v>
          </cell>
          <cell r="B501" t="str">
            <v>EFP CREW - SOUND</v>
          </cell>
        </row>
        <row r="502">
          <cell r="A502">
            <v>60210226</v>
          </cell>
          <cell r="B502" t="str">
            <v>EFP CREW - GENERATOR</v>
          </cell>
        </row>
        <row r="503">
          <cell r="A503">
            <v>60210227</v>
          </cell>
          <cell r="B503" t="str">
            <v>EFP CREW - SPOT BOYS</v>
          </cell>
        </row>
        <row r="504">
          <cell r="A504">
            <v>60210228</v>
          </cell>
          <cell r="B504" t="str">
            <v>TECH STAFF  - CAREMA MAN</v>
          </cell>
        </row>
        <row r="505">
          <cell r="A505">
            <v>60210229</v>
          </cell>
          <cell r="B505" t="str">
            <v>TECH STAFF - SOUND RECORDIST</v>
          </cell>
        </row>
        <row r="506">
          <cell r="A506">
            <v>60210230</v>
          </cell>
          <cell r="B506" t="str">
            <v>TECH STAFF - ON LINE EDITOR</v>
          </cell>
        </row>
        <row r="507">
          <cell r="A507">
            <v>60210231</v>
          </cell>
          <cell r="B507" t="str">
            <v>TECH STAFF - OFF LINE EDITOR</v>
          </cell>
        </row>
        <row r="508">
          <cell r="A508">
            <v>60210290</v>
          </cell>
          <cell r="B508" t="str">
            <v>ON SITE PROD - GENERAL</v>
          </cell>
        </row>
        <row r="509">
          <cell r="A509">
            <v>602103</v>
          </cell>
          <cell r="B509" t="str">
            <v>*COMMISSIONED PRODUCTION*</v>
          </cell>
        </row>
        <row r="510">
          <cell r="A510">
            <v>60210301</v>
          </cell>
          <cell r="B510" t="str">
            <v>PRODUCTION FEE</v>
          </cell>
        </row>
        <row r="511">
          <cell r="A511">
            <v>60210302</v>
          </cell>
          <cell r="B511" t="str">
            <v>CLIPS -COMMISSIONED</v>
          </cell>
        </row>
        <row r="512">
          <cell r="A512">
            <v>60210304</v>
          </cell>
          <cell r="B512" t="str">
            <v>MUSIC -COMMISSIONED</v>
          </cell>
        </row>
        <row r="513">
          <cell r="A513">
            <v>60210305</v>
          </cell>
          <cell r="B513" t="str">
            <v>GRAPHIC PACKAGE -COMMISSIONED</v>
          </cell>
        </row>
        <row r="514">
          <cell r="A514">
            <v>602104</v>
          </cell>
          <cell r="B514" t="str">
            <v>*TALENT &amp;TALENT RELATED COSTS*</v>
          </cell>
        </row>
        <row r="515">
          <cell r="A515">
            <v>60210401</v>
          </cell>
          <cell r="B515" t="str">
            <v>TALENT / VJS / PRESENTERS</v>
          </cell>
        </row>
        <row r="516">
          <cell r="A516">
            <v>60210403</v>
          </cell>
          <cell r="B516" t="str">
            <v>TALENT RELATIONS</v>
          </cell>
        </row>
        <row r="517">
          <cell r="A517">
            <v>60210404</v>
          </cell>
          <cell r="B517" t="str">
            <v>MAKE-UP &amp; WARDROBE</v>
          </cell>
        </row>
        <row r="518">
          <cell r="A518">
            <v>60210405</v>
          </cell>
          <cell r="B518" t="str">
            <v>VOICE - OVER</v>
          </cell>
        </row>
        <row r="519">
          <cell r="A519">
            <v>60210406</v>
          </cell>
          <cell r="B519" t="str">
            <v>MAKE-UP MAN</v>
          </cell>
        </row>
        <row r="520">
          <cell r="A520">
            <v>60210407</v>
          </cell>
          <cell r="B520" t="str">
            <v>HAIRDRESSOR &amp; WARDRODE</v>
          </cell>
        </row>
        <row r="521">
          <cell r="A521">
            <v>602105</v>
          </cell>
          <cell r="B521" t="str">
            <v>*POST PRODUCTION*</v>
          </cell>
        </row>
        <row r="522">
          <cell r="A522">
            <v>60210501</v>
          </cell>
          <cell r="B522" t="str">
            <v>DUBBING</v>
          </cell>
        </row>
        <row r="523">
          <cell r="A523">
            <v>60210502</v>
          </cell>
          <cell r="B523" t="str">
            <v>SUB- TITLING</v>
          </cell>
        </row>
        <row r="524">
          <cell r="A524">
            <v>60210503</v>
          </cell>
          <cell r="B524" t="str">
            <v>TRANSLATION</v>
          </cell>
        </row>
        <row r="525">
          <cell r="A525">
            <v>60210504</v>
          </cell>
          <cell r="B525" t="str">
            <v>FACILITIES CHRG (EDIT/GFX/AUD</v>
          </cell>
        </row>
        <row r="526">
          <cell r="A526">
            <v>60210506</v>
          </cell>
          <cell r="B526" t="str">
            <v>BO&amp;E AFFILIATE CHARGES</v>
          </cell>
        </row>
        <row r="527">
          <cell r="A527">
            <v>60210507</v>
          </cell>
          <cell r="B527" t="str">
            <v>MUSIC- POST PRODN.</v>
          </cell>
        </row>
        <row r="528">
          <cell r="A528">
            <v>60210508</v>
          </cell>
          <cell r="B528" t="str">
            <v>STDS &amp; PRACTICES</v>
          </cell>
        </row>
        <row r="529">
          <cell r="A529">
            <v>60210509</v>
          </cell>
          <cell r="B529" t="str">
            <v>TRANSFERS</v>
          </cell>
        </row>
        <row r="530">
          <cell r="A530">
            <v>602106</v>
          </cell>
          <cell r="B530" t="str">
            <v>*TAPE COSTS*</v>
          </cell>
        </row>
        <row r="531">
          <cell r="A531">
            <v>60210601</v>
          </cell>
          <cell r="B531" t="str">
            <v>TAPES CONSUMPTION</v>
          </cell>
        </row>
        <row r="532">
          <cell r="A532">
            <v>60210602</v>
          </cell>
          <cell r="B532" t="str">
            <v>TAPES/CASSETTES/CONVERSION</v>
          </cell>
        </row>
        <row r="533">
          <cell r="A533">
            <v>602107</v>
          </cell>
          <cell r="B533" t="str">
            <v>*TRAVEL ENTERTAINT(Non-staff)*</v>
          </cell>
        </row>
        <row r="534">
          <cell r="A534">
            <v>60210701</v>
          </cell>
          <cell r="B534" t="str">
            <v>PRODUCTION- ENTERTAINMENT</v>
          </cell>
        </row>
        <row r="535">
          <cell r="A535">
            <v>60210702</v>
          </cell>
          <cell r="B535" t="str">
            <v>PRODUCTION- AIR TICKET &amp; VISA</v>
          </cell>
        </row>
        <row r="536">
          <cell r="A536">
            <v>60210703</v>
          </cell>
          <cell r="B536" t="str">
            <v>PRODUCTN-HOTEL ACCOMMODN</v>
          </cell>
        </row>
        <row r="537">
          <cell r="A537">
            <v>60210704</v>
          </cell>
          <cell r="B537" t="str">
            <v>PRODUCTION-TRANSPORTATION</v>
          </cell>
        </row>
        <row r="538">
          <cell r="A538">
            <v>60210705</v>
          </cell>
          <cell r="B538" t="str">
            <v>COMMUNICATION COSTS</v>
          </cell>
        </row>
        <row r="539">
          <cell r="A539">
            <v>602108</v>
          </cell>
          <cell r="B539" t="str">
            <v>*OTHERS*</v>
          </cell>
        </row>
        <row r="540">
          <cell r="A540">
            <v>60210890</v>
          </cell>
          <cell r="B540" t="str">
            <v>PRODUCTION OTHERS - GENERAL</v>
          </cell>
        </row>
        <row r="541">
          <cell r="A541">
            <v>602197</v>
          </cell>
          <cell r="B541" t="str">
            <v>*EXPENSE APSORPTION*</v>
          </cell>
        </row>
        <row r="542">
          <cell r="A542">
            <v>60219700</v>
          </cell>
          <cell r="B542" t="str">
            <v>EXPENSE APSORPTION</v>
          </cell>
        </row>
        <row r="543">
          <cell r="A543">
            <v>602198</v>
          </cell>
          <cell r="B543" t="str">
            <v>*COST OF SALES*</v>
          </cell>
        </row>
        <row r="544">
          <cell r="A544">
            <v>60219801</v>
          </cell>
          <cell r="B544" t="str">
            <v>COST OF SALES</v>
          </cell>
        </row>
        <row r="545">
          <cell r="A545">
            <v>6025</v>
          </cell>
          <cell r="B545" t="str">
            <v>**EVENT ORGNISING COSTS*</v>
          </cell>
        </row>
        <row r="546">
          <cell r="A546">
            <v>602501</v>
          </cell>
          <cell r="B546" t="str">
            <v>*EVENT SET-UP COSTS*</v>
          </cell>
        </row>
        <row r="547">
          <cell r="A547">
            <v>60250101</v>
          </cell>
          <cell r="B547" t="str">
            <v>MANAGEMENT FEE</v>
          </cell>
        </row>
        <row r="548">
          <cell r="A548">
            <v>60250103</v>
          </cell>
          <cell r="B548" t="str">
            <v>SACTIONS-LOCAL</v>
          </cell>
        </row>
        <row r="549">
          <cell r="A549">
            <v>60250104</v>
          </cell>
          <cell r="B549" t="str">
            <v>VENUE HIRE</v>
          </cell>
        </row>
        <row r="550">
          <cell r="A550">
            <v>602504</v>
          </cell>
          <cell r="B550" t="str">
            <v>*ON-SITE OPERATIONS*</v>
          </cell>
        </row>
        <row r="551">
          <cell r="A551">
            <v>60250401</v>
          </cell>
          <cell r="B551" t="str">
            <v>ADDI.PERSONNEL &amp; FREELANCERS</v>
          </cell>
        </row>
        <row r="552">
          <cell r="A552">
            <v>60250402</v>
          </cell>
          <cell r="B552" t="str">
            <v>CATERING</v>
          </cell>
        </row>
        <row r="553">
          <cell r="A553">
            <v>60250403</v>
          </cell>
          <cell r="B553" t="str">
            <v>CONTRACTOR</v>
          </cell>
        </row>
        <row r="554">
          <cell r="A554">
            <v>60250405</v>
          </cell>
          <cell r="B554" t="str">
            <v>EQUIPEMENT HIRE</v>
          </cell>
        </row>
        <row r="555">
          <cell r="A555">
            <v>60250406</v>
          </cell>
          <cell r="B555" t="str">
            <v>INSURANCE</v>
          </cell>
        </row>
        <row r="556">
          <cell r="A556">
            <v>60250407</v>
          </cell>
          <cell r="B556" t="str">
            <v>MEDICAL</v>
          </cell>
        </row>
        <row r="557">
          <cell r="A557">
            <v>60250408</v>
          </cell>
          <cell r="B557" t="str">
            <v>MISCELLANEOUS</v>
          </cell>
        </row>
        <row r="558">
          <cell r="A558">
            <v>60250409</v>
          </cell>
          <cell r="B558" t="str">
            <v>TICKETS</v>
          </cell>
        </row>
        <row r="559">
          <cell r="A559">
            <v>60250410</v>
          </cell>
          <cell r="B559" t="str">
            <v>TROPHIES</v>
          </cell>
        </row>
        <row r="560">
          <cell r="A560">
            <v>602506</v>
          </cell>
          <cell r="B560" t="str">
            <v>*TRAVEL &amp; ENTERTAINMENT*</v>
          </cell>
        </row>
        <row r="561">
          <cell r="A561">
            <v>60250602</v>
          </cell>
          <cell r="B561" t="str">
            <v>EVENT AIR TICKETS &amp; VISAS</v>
          </cell>
        </row>
        <row r="562">
          <cell r="A562">
            <v>60250603</v>
          </cell>
          <cell r="B562" t="str">
            <v>EVENT HOTEL ACCOMMODATION</v>
          </cell>
        </row>
        <row r="563">
          <cell r="A563">
            <v>60250604</v>
          </cell>
          <cell r="B563" t="str">
            <v>EVENT HOTEL TRANSPORTATION</v>
          </cell>
        </row>
        <row r="564">
          <cell r="A564">
            <v>603503</v>
          </cell>
          <cell r="B564" t="str">
            <v>*OTHER LICENCE FEE*</v>
          </cell>
        </row>
        <row r="565">
          <cell r="A565">
            <v>60350390</v>
          </cell>
          <cell r="B565" t="str">
            <v>OTHER LICENCE FEE</v>
          </cell>
        </row>
        <row r="566">
          <cell r="A566">
            <v>6050</v>
          </cell>
          <cell r="B566" t="str">
            <v>**ADVERTISING &amp;PROMOTION*</v>
          </cell>
        </row>
        <row r="567">
          <cell r="A567">
            <v>605001</v>
          </cell>
          <cell r="B567" t="str">
            <v>*A&amp;P GENERAL*</v>
          </cell>
        </row>
        <row r="568">
          <cell r="A568">
            <v>60500101</v>
          </cell>
          <cell r="B568" t="str">
            <v>MEDIA INSERTION ADVERTISING</v>
          </cell>
        </row>
        <row r="569">
          <cell r="A569">
            <v>60500102</v>
          </cell>
          <cell r="B569" t="str">
            <v>MEDIA  PRODUCTION</v>
          </cell>
        </row>
        <row r="570">
          <cell r="A570">
            <v>60500103</v>
          </cell>
          <cell r="B570" t="str">
            <v>PUBLIC RELATION</v>
          </cell>
        </row>
        <row r="571">
          <cell r="A571">
            <v>60500105</v>
          </cell>
          <cell r="B571" t="str">
            <v>RESEARCH A &amp; P</v>
          </cell>
        </row>
        <row r="572">
          <cell r="A572">
            <v>60500106</v>
          </cell>
          <cell r="B572" t="str">
            <v>DESIGN A &amp; P</v>
          </cell>
        </row>
        <row r="573">
          <cell r="A573">
            <v>60500107</v>
          </cell>
          <cell r="B573" t="str">
            <v>DIRECT MAIL</v>
          </cell>
        </row>
        <row r="574">
          <cell r="A574">
            <v>60500109</v>
          </cell>
          <cell r="B574" t="str">
            <v>SOUVENIOR</v>
          </cell>
        </row>
        <row r="575">
          <cell r="A575">
            <v>60500110</v>
          </cell>
          <cell r="B575" t="str">
            <v>TRAVEL &amp; ENTERTAINMENT</v>
          </cell>
        </row>
        <row r="576">
          <cell r="A576">
            <v>60500111</v>
          </cell>
          <cell r="B576" t="str">
            <v>TRADE ADVERTISING</v>
          </cell>
        </row>
        <row r="577">
          <cell r="A577">
            <v>605002</v>
          </cell>
          <cell r="B577" t="str">
            <v>*GFX*</v>
          </cell>
        </row>
        <row r="578">
          <cell r="A578">
            <v>60500201</v>
          </cell>
          <cell r="B578" t="str">
            <v>GRAPHIC MATERIAL /SUPPLIES</v>
          </cell>
        </row>
        <row r="579">
          <cell r="A579">
            <v>60500202</v>
          </cell>
          <cell r="B579" t="str">
            <v>ANIMATION PRODUCTION &amp; DESIGN</v>
          </cell>
        </row>
        <row r="580">
          <cell r="A580">
            <v>60500203</v>
          </cell>
          <cell r="B580" t="str">
            <v>GRAPHIC RELATED EXPENSES</v>
          </cell>
        </row>
        <row r="581">
          <cell r="A581">
            <v>605003</v>
          </cell>
          <cell r="B581" t="str">
            <v>*PRINTINGS*</v>
          </cell>
        </row>
        <row r="582">
          <cell r="A582">
            <v>60500301</v>
          </cell>
          <cell r="B582" t="str">
            <v>PRINT -STAR LINK</v>
          </cell>
        </row>
        <row r="583">
          <cell r="A583">
            <v>60500303</v>
          </cell>
          <cell r="B583" t="str">
            <v>PRINT - PROMOTIONAL (PAY)</v>
          </cell>
        </row>
        <row r="584">
          <cell r="A584">
            <v>60500304</v>
          </cell>
          <cell r="B584" t="str">
            <v>PRINT - PROMOTIONAL (FTA)</v>
          </cell>
        </row>
        <row r="585">
          <cell r="A585">
            <v>60500305</v>
          </cell>
          <cell r="B585" t="str">
            <v>PRINT - CORPORATE KITS</v>
          </cell>
        </row>
        <row r="586">
          <cell r="A586">
            <v>60500306</v>
          </cell>
          <cell r="B586" t="str">
            <v>LISTINGS</v>
          </cell>
        </row>
        <row r="587">
          <cell r="A587">
            <v>60500307</v>
          </cell>
          <cell r="B587" t="str">
            <v>BROCHURES</v>
          </cell>
        </row>
        <row r="588">
          <cell r="A588">
            <v>60500308</v>
          </cell>
          <cell r="B588" t="str">
            <v>POINT OF SALE</v>
          </cell>
        </row>
        <row r="589">
          <cell r="A589">
            <v>60500309</v>
          </cell>
          <cell r="B589" t="str">
            <v>DIRECT MARKETING</v>
          </cell>
        </row>
        <row r="590">
          <cell r="A590">
            <v>60500310</v>
          </cell>
          <cell r="B590" t="str">
            <v>SLIDE DUPLICATION &amp; PHOTOS</v>
          </cell>
        </row>
        <row r="591">
          <cell r="A591">
            <v>60500311</v>
          </cell>
          <cell r="B591" t="str">
            <v>LETTERHEADS &amp; POSTERS</v>
          </cell>
        </row>
        <row r="592">
          <cell r="A592">
            <v>60500312</v>
          </cell>
          <cell r="B592" t="str">
            <v>OTHER  PRINTING EXPENSES</v>
          </cell>
        </row>
        <row r="593">
          <cell r="A593">
            <v>605004</v>
          </cell>
          <cell r="B593" t="str">
            <v>*CONVENTN, SEMINAR &amp; EXHIBITN*</v>
          </cell>
        </row>
        <row r="594">
          <cell r="A594">
            <v>60500401</v>
          </cell>
          <cell r="B594" t="str">
            <v>CONVENTION</v>
          </cell>
        </row>
        <row r="595">
          <cell r="A595">
            <v>60500402</v>
          </cell>
          <cell r="B595" t="str">
            <v>SEMINARS</v>
          </cell>
        </row>
        <row r="596">
          <cell r="A596">
            <v>60500403</v>
          </cell>
          <cell r="B596" t="str">
            <v>PRESS &amp; OTHER CONFERENCES</v>
          </cell>
        </row>
        <row r="597">
          <cell r="A597">
            <v>60500404</v>
          </cell>
          <cell r="B597" t="str">
            <v>EXHIBITIONS</v>
          </cell>
        </row>
        <row r="598">
          <cell r="A598">
            <v>60500490</v>
          </cell>
          <cell r="B598" t="str">
            <v>OTR FCT-CONVENTN,SEMNAR,EXHB</v>
          </cell>
        </row>
        <row r="599">
          <cell r="A599">
            <v>605005</v>
          </cell>
          <cell r="B599" t="str">
            <v>*ROADSHOW*</v>
          </cell>
        </row>
        <row r="600">
          <cell r="A600">
            <v>60500500</v>
          </cell>
          <cell r="B600" t="str">
            <v>ROADSHOW</v>
          </cell>
        </row>
        <row r="601">
          <cell r="A601">
            <v>605006</v>
          </cell>
          <cell r="B601" t="str">
            <v>*PROMOTIONS*</v>
          </cell>
        </row>
        <row r="602">
          <cell r="A602">
            <v>60500601</v>
          </cell>
          <cell r="B602" t="str">
            <v>PREMIUMS</v>
          </cell>
        </row>
        <row r="603">
          <cell r="A603">
            <v>60500602</v>
          </cell>
          <cell r="B603" t="str">
            <v>EQUIPMENT RENTAL (PROMOTION)</v>
          </cell>
        </row>
        <row r="604">
          <cell r="A604">
            <v>60500603</v>
          </cell>
          <cell r="B604" t="str">
            <v>LAUNCHES</v>
          </cell>
        </row>
        <row r="605">
          <cell r="A605">
            <v>60500604</v>
          </cell>
          <cell r="B605" t="str">
            <v>ADVERTISING</v>
          </cell>
        </row>
        <row r="606">
          <cell r="A606">
            <v>60500605</v>
          </cell>
          <cell r="B606" t="str">
            <v>MERCHANISE</v>
          </cell>
        </row>
        <row r="607">
          <cell r="A607">
            <v>60500606</v>
          </cell>
          <cell r="B607" t="str">
            <v>LICENCE FEE</v>
          </cell>
        </row>
        <row r="608">
          <cell r="A608">
            <v>60500607</v>
          </cell>
          <cell r="B608" t="str">
            <v>MINOR CONTESTS</v>
          </cell>
        </row>
        <row r="609">
          <cell r="A609">
            <v>60500690</v>
          </cell>
          <cell r="B609" t="str">
            <v>PROMOTION-GENERAL</v>
          </cell>
        </row>
        <row r="610">
          <cell r="A610">
            <v>605008</v>
          </cell>
          <cell r="B610" t="str">
            <v>DATABASE</v>
          </cell>
        </row>
        <row r="611">
          <cell r="A611">
            <v>60500802</v>
          </cell>
          <cell r="B611" t="str">
            <v>BUSINESS DEVELOPMENT</v>
          </cell>
        </row>
        <row r="612">
          <cell r="A612">
            <v>605009</v>
          </cell>
          <cell r="B612" t="str">
            <v>*VJ PROMOS*</v>
          </cell>
        </row>
        <row r="613">
          <cell r="A613">
            <v>60500902</v>
          </cell>
          <cell r="B613" t="str">
            <v>APPEARANCE,(TRAVEL &amp; ENT.)</v>
          </cell>
        </row>
        <row r="614">
          <cell r="A614">
            <v>605010</v>
          </cell>
          <cell r="B614" t="str">
            <v>*ON-AIR PROMOS*</v>
          </cell>
        </row>
        <row r="615">
          <cell r="A615">
            <v>60501090</v>
          </cell>
          <cell r="B615" t="str">
            <v>GENERAL</v>
          </cell>
        </row>
        <row r="616">
          <cell r="A616">
            <v>605011</v>
          </cell>
          <cell r="B616" t="str">
            <v>*AGENCY SUPPORT*</v>
          </cell>
        </row>
        <row r="617">
          <cell r="A617">
            <v>60501103</v>
          </cell>
          <cell r="B617" t="str">
            <v>RESEARCH</v>
          </cell>
        </row>
        <row r="618">
          <cell r="A618">
            <v>60501104</v>
          </cell>
          <cell r="B618" t="str">
            <v>DESIGN</v>
          </cell>
        </row>
        <row r="619">
          <cell r="A619">
            <v>605020</v>
          </cell>
          <cell r="B619" t="str">
            <v>*OTHER A&amp;P ITEMS*</v>
          </cell>
        </row>
        <row r="620">
          <cell r="A620">
            <v>60502080</v>
          </cell>
          <cell r="B620" t="str">
            <v>REGIONAL OFFICE A&amp;P</v>
          </cell>
        </row>
        <row r="621">
          <cell r="A621">
            <v>60502090</v>
          </cell>
          <cell r="B621" t="str">
            <v>OTHER A&amp;P ITEMS</v>
          </cell>
        </row>
        <row r="622">
          <cell r="A622">
            <v>6052</v>
          </cell>
          <cell r="B622" t="str">
            <v>**RESEARCH*</v>
          </cell>
        </row>
        <row r="623">
          <cell r="A623">
            <v>605201</v>
          </cell>
          <cell r="B623" t="str">
            <v>*VIEWING DATA*</v>
          </cell>
        </row>
        <row r="624">
          <cell r="A624">
            <v>60520100</v>
          </cell>
          <cell r="B624" t="str">
            <v>VIEWING DATA</v>
          </cell>
        </row>
        <row r="625">
          <cell r="A625">
            <v>605203</v>
          </cell>
          <cell r="B625" t="str">
            <v>*VALIDATION/ SURVEY*</v>
          </cell>
        </row>
        <row r="626">
          <cell r="A626">
            <v>60520300</v>
          </cell>
          <cell r="B626" t="str">
            <v>VALIDATION/ SURVEY</v>
          </cell>
        </row>
        <row r="627">
          <cell r="A627">
            <v>605204</v>
          </cell>
          <cell r="B627" t="str">
            <v>*CHANNEL RESEARCH*</v>
          </cell>
        </row>
        <row r="628">
          <cell r="A628">
            <v>60520400</v>
          </cell>
          <cell r="B628" t="str">
            <v>CHANNEL RESEARCH</v>
          </cell>
        </row>
        <row r="629">
          <cell r="A629">
            <v>605220</v>
          </cell>
          <cell r="B629" t="str">
            <v>*OTHERS - RESEARCH*</v>
          </cell>
        </row>
        <row r="630">
          <cell r="A630">
            <v>60522090</v>
          </cell>
          <cell r="B630" t="str">
            <v>OTHERS - RESEARCH</v>
          </cell>
        </row>
        <row r="631">
          <cell r="A631">
            <v>6055</v>
          </cell>
          <cell r="B631" t="str">
            <v>**MARS*</v>
          </cell>
        </row>
        <row r="632">
          <cell r="A632">
            <v>605501</v>
          </cell>
          <cell r="B632" t="str">
            <v>*MARS*</v>
          </cell>
        </row>
        <row r="633">
          <cell r="A633">
            <v>60550104</v>
          </cell>
          <cell r="B633" t="str">
            <v>NON-STAFF AIR TICKET</v>
          </cell>
        </row>
        <row r="634">
          <cell r="A634">
            <v>60550105</v>
          </cell>
          <cell r="B634" t="str">
            <v>NON-STAFF HOTEL</v>
          </cell>
        </row>
        <row r="635">
          <cell r="A635">
            <v>60550106</v>
          </cell>
          <cell r="B635" t="str">
            <v>NON-STAFF LOCAL TRAVELLING</v>
          </cell>
        </row>
        <row r="636">
          <cell r="A636">
            <v>60550190</v>
          </cell>
          <cell r="B636" t="str">
            <v>MARS GENERAL</v>
          </cell>
        </row>
        <row r="637">
          <cell r="A637">
            <v>6060</v>
          </cell>
          <cell r="B637" t="str">
            <v>**LEGAL &amp; PROFESSIONAL*</v>
          </cell>
        </row>
        <row r="638">
          <cell r="A638">
            <v>606001</v>
          </cell>
          <cell r="B638" t="str">
            <v>*AUDIT FEE*</v>
          </cell>
        </row>
        <row r="639">
          <cell r="A639">
            <v>60600100</v>
          </cell>
          <cell r="B639" t="str">
            <v>AUDIT FEE -AA</v>
          </cell>
        </row>
        <row r="640">
          <cell r="A640">
            <v>60600101</v>
          </cell>
          <cell r="B640" t="str">
            <v>AUDIT FEE - AA</v>
          </cell>
        </row>
        <row r="641">
          <cell r="A641">
            <v>60600102</v>
          </cell>
          <cell r="B641" t="str">
            <v>OUT OF POCKET EXP - AA</v>
          </cell>
        </row>
        <row r="642">
          <cell r="A642">
            <v>60600190</v>
          </cell>
          <cell r="B642" t="str">
            <v>AUDIT FEE - OTHERS</v>
          </cell>
        </row>
        <row r="643">
          <cell r="A643">
            <v>606002</v>
          </cell>
          <cell r="B643" t="str">
            <v>*OTHER FINANCIAL SERVICES*</v>
          </cell>
        </row>
        <row r="644">
          <cell r="A644">
            <v>60600202</v>
          </cell>
          <cell r="B644" t="str">
            <v>TAXATION FEE &amp; ADVICE</v>
          </cell>
        </row>
        <row r="645">
          <cell r="A645">
            <v>60600211</v>
          </cell>
          <cell r="B645" t="str">
            <v>TAX AUDIT FEE</v>
          </cell>
        </row>
        <row r="646">
          <cell r="A646">
            <v>60600220</v>
          </cell>
          <cell r="B646" t="str">
            <v>MANAGEMENT SERVICES</v>
          </cell>
        </row>
        <row r="647">
          <cell r="A647">
            <v>606003</v>
          </cell>
          <cell r="B647" t="str">
            <v>*LEGAL*</v>
          </cell>
        </row>
        <row r="648">
          <cell r="A648">
            <v>60600301</v>
          </cell>
          <cell r="B648" t="str">
            <v>LEGAL CONSULTANCY FEE</v>
          </cell>
        </row>
        <row r="649">
          <cell r="A649">
            <v>606010</v>
          </cell>
          <cell r="B649" t="str">
            <v>*OTHER SERVICES*</v>
          </cell>
        </row>
        <row r="650">
          <cell r="A650">
            <v>60601001</v>
          </cell>
          <cell r="B650" t="str">
            <v>OTHER SERVICES</v>
          </cell>
        </row>
        <row r="651">
          <cell r="A651">
            <v>6065</v>
          </cell>
          <cell r="B651" t="str">
            <v>**GENERAL OPERATING EXPENSES*</v>
          </cell>
        </row>
        <row r="652">
          <cell r="A652">
            <v>606501</v>
          </cell>
          <cell r="B652" t="str">
            <v>*REPAIR &amp; MAINTANENCE*</v>
          </cell>
        </row>
        <row r="653">
          <cell r="A653">
            <v>60650101</v>
          </cell>
          <cell r="B653" t="str">
            <v>EDP  - HARDWARE</v>
          </cell>
        </row>
        <row r="654">
          <cell r="A654">
            <v>60650102</v>
          </cell>
          <cell r="B654" t="str">
            <v>EDP  - SOFTWARE</v>
          </cell>
        </row>
        <row r="655">
          <cell r="A655">
            <v>60650103</v>
          </cell>
          <cell r="B655" t="str">
            <v>OFFICE EQUIP MAINTENANCE</v>
          </cell>
        </row>
        <row r="656">
          <cell r="A656">
            <v>60650190</v>
          </cell>
          <cell r="B656" t="str">
            <v>OTHER EQUIPMENTS MAINTENANCE</v>
          </cell>
        </row>
        <row r="657">
          <cell r="A657">
            <v>60650191</v>
          </cell>
          <cell r="B657" t="str">
            <v>REPAIR &amp; MAINT - OTHER</v>
          </cell>
        </row>
        <row r="658">
          <cell r="A658">
            <v>606502</v>
          </cell>
          <cell r="B658" t="str">
            <v>*INSURANCE EXPENSES*</v>
          </cell>
        </row>
        <row r="659">
          <cell r="A659">
            <v>60650202</v>
          </cell>
          <cell r="B659" t="str">
            <v>STAFF INSURANCE</v>
          </cell>
        </row>
        <row r="660">
          <cell r="A660">
            <v>60650203</v>
          </cell>
          <cell r="B660" t="str">
            <v>OPERATION INSURANCE</v>
          </cell>
        </row>
        <row r="661">
          <cell r="A661">
            <v>60650290</v>
          </cell>
          <cell r="B661" t="str">
            <v>OTHER INSURANCE EXPENSES</v>
          </cell>
        </row>
        <row r="662">
          <cell r="A662">
            <v>606503</v>
          </cell>
          <cell r="B662" t="str">
            <v>*OFFICE OPERATING COSTS*</v>
          </cell>
        </row>
        <row r="663">
          <cell r="A663">
            <v>60650304</v>
          </cell>
          <cell r="B663" t="str">
            <v>OFFICE SUPPLIES</v>
          </cell>
        </row>
        <row r="664">
          <cell r="A664">
            <v>60650310</v>
          </cell>
          <cell r="B664" t="str">
            <v>TELEPHONE, TELEX &amp; FAX</v>
          </cell>
        </row>
        <row r="665">
          <cell r="A665">
            <v>60650312</v>
          </cell>
          <cell r="B665" t="str">
            <v>OFFICE MESSING</v>
          </cell>
        </row>
        <row r="666">
          <cell r="A666">
            <v>60650314</v>
          </cell>
          <cell r="B666" t="str">
            <v>OFFICE EQUIP RENTAL</v>
          </cell>
        </row>
        <row r="667">
          <cell r="A667">
            <v>606504</v>
          </cell>
          <cell r="B667" t="str">
            <v>*EDP*</v>
          </cell>
        </row>
        <row r="668">
          <cell r="A668">
            <v>60650401</v>
          </cell>
          <cell r="B668" t="str">
            <v>EDP CONSUMABLE</v>
          </cell>
        </row>
        <row r="669">
          <cell r="A669">
            <v>60650402</v>
          </cell>
          <cell r="B669" t="str">
            <v>COMPUTER SOFTWARE</v>
          </cell>
        </row>
        <row r="670">
          <cell r="A670">
            <v>606506</v>
          </cell>
          <cell r="B670" t="str">
            <v>*BUS &amp; MOTAR CAR EXPENSES*</v>
          </cell>
        </row>
        <row r="671">
          <cell r="A671">
            <v>60650601</v>
          </cell>
          <cell r="B671" t="str">
            <v>BUS &amp; MOTAR CAR EXPENSES</v>
          </cell>
        </row>
        <row r="672">
          <cell r="A672">
            <v>606599</v>
          </cell>
          <cell r="B672" t="str">
            <v>*SUNDRY COSTS*</v>
          </cell>
        </row>
        <row r="673">
          <cell r="A673">
            <v>60659901</v>
          </cell>
          <cell r="B673" t="str">
            <v>MAGAZINE &amp; PUBLICATION</v>
          </cell>
        </row>
        <row r="674">
          <cell r="A674">
            <v>60659902</v>
          </cell>
          <cell r="B674" t="str">
            <v>PRINTING &amp; STATIONERY</v>
          </cell>
        </row>
        <row r="675">
          <cell r="A675">
            <v>60659903</v>
          </cell>
          <cell r="B675" t="str">
            <v>FREIGHT &amp; COURIER</v>
          </cell>
        </row>
        <row r="676">
          <cell r="A676">
            <v>60659905</v>
          </cell>
          <cell r="B676" t="str">
            <v>POSTAGE</v>
          </cell>
        </row>
        <row r="677">
          <cell r="A677">
            <v>60659908</v>
          </cell>
          <cell r="B677" t="str">
            <v>MEMBERSHIP SUBSCRIPTION</v>
          </cell>
        </row>
        <row r="678">
          <cell r="A678">
            <v>60659916</v>
          </cell>
          <cell r="B678" t="str">
            <v>DEALER COMMISION</v>
          </cell>
        </row>
        <row r="679">
          <cell r="A679">
            <v>60659990</v>
          </cell>
          <cell r="B679" t="str">
            <v>MISCELLANEOUS - SUNDRY COSTS</v>
          </cell>
        </row>
        <row r="680">
          <cell r="A680">
            <v>6066</v>
          </cell>
          <cell r="B680" t="str">
            <v>**OTHER OPERATING COSTS*</v>
          </cell>
        </row>
        <row r="681">
          <cell r="A681">
            <v>606601</v>
          </cell>
          <cell r="B681" t="str">
            <v>PROVISION FOR BAD DEBTS</v>
          </cell>
        </row>
        <row r="682">
          <cell r="A682">
            <v>60660100</v>
          </cell>
          <cell r="B682" t="str">
            <v>PROVISION FOR BAD DEBTS</v>
          </cell>
        </row>
        <row r="683">
          <cell r="A683">
            <v>606602</v>
          </cell>
          <cell r="B683" t="str">
            <v>BAD DEBTS</v>
          </cell>
        </row>
        <row r="684">
          <cell r="A684">
            <v>60660200</v>
          </cell>
          <cell r="B684" t="str">
            <v>BAD DEBTS</v>
          </cell>
        </row>
        <row r="685">
          <cell r="A685">
            <v>60660300</v>
          </cell>
          <cell r="B685" t="str">
            <v>PROV FOR STOCK WRITTEN DOWN</v>
          </cell>
        </row>
        <row r="686">
          <cell r="A686">
            <v>60660301</v>
          </cell>
          <cell r="B686" t="str">
            <v>PROV FOR OBSOLESCENCE OF ASSET</v>
          </cell>
        </row>
        <row r="687">
          <cell r="A687">
            <v>606620</v>
          </cell>
          <cell r="B687" t="str">
            <v>*DONATION*</v>
          </cell>
        </row>
        <row r="688">
          <cell r="A688">
            <v>60662000</v>
          </cell>
          <cell r="B688" t="str">
            <v>DONATION</v>
          </cell>
        </row>
        <row r="689">
          <cell r="A689">
            <v>6070</v>
          </cell>
          <cell r="B689" t="str">
            <v>**DEPRECIATION EXPENSES*</v>
          </cell>
        </row>
        <row r="690">
          <cell r="A690">
            <v>607002</v>
          </cell>
          <cell r="B690" t="str">
            <v>*OFFICE LAND &amp; BLDG  COST*</v>
          </cell>
        </row>
        <row r="691">
          <cell r="A691">
            <v>60700201</v>
          </cell>
          <cell r="B691" t="str">
            <v>DEPN EXP- OFFICE LAND</v>
          </cell>
        </row>
        <row r="692">
          <cell r="A692">
            <v>60700202</v>
          </cell>
          <cell r="B692" t="str">
            <v>DEPN EXP- OFFICE BLDG</v>
          </cell>
        </row>
        <row r="693">
          <cell r="A693">
            <v>607003</v>
          </cell>
          <cell r="B693" t="str">
            <v>*INDUSTRIAL LEASEHOLD IMPROVT*</v>
          </cell>
        </row>
        <row r="694">
          <cell r="A694">
            <v>60700301</v>
          </cell>
          <cell r="B694" t="str">
            <v>DEPN EXP- LEASEHOLD IMPROVE</v>
          </cell>
        </row>
        <row r="695">
          <cell r="A695">
            <v>607004</v>
          </cell>
          <cell r="B695" t="str">
            <v>*OFFICE LEASEHOLD IMPROVEMT*</v>
          </cell>
        </row>
        <row r="696">
          <cell r="A696">
            <v>60700401</v>
          </cell>
          <cell r="B696" t="str">
            <v>DEPN EXP- OFFICE LEASEHOLD</v>
          </cell>
        </row>
        <row r="697">
          <cell r="A697">
            <v>607006</v>
          </cell>
          <cell r="B697" t="str">
            <v>*EDP EQUIP*</v>
          </cell>
        </row>
        <row r="698">
          <cell r="A698">
            <v>60700601</v>
          </cell>
          <cell r="B698" t="str">
            <v>DEPN EXP- SMS EQUIPMENT</v>
          </cell>
        </row>
        <row r="699">
          <cell r="A699">
            <v>60700602</v>
          </cell>
          <cell r="B699" t="str">
            <v>DEPN EXP- MIS EQUIPMENT</v>
          </cell>
        </row>
        <row r="700">
          <cell r="A700">
            <v>60700604</v>
          </cell>
          <cell r="B700" t="str">
            <v>DEPN EXP - MIS COMPUTER COST</v>
          </cell>
        </row>
        <row r="701">
          <cell r="A701">
            <v>60700605</v>
          </cell>
          <cell r="B701" t="str">
            <v>DEPN EXP - MIS NETWORK COST</v>
          </cell>
        </row>
        <row r="702">
          <cell r="A702">
            <v>60700606</v>
          </cell>
          <cell r="B702" t="str">
            <v>DEPN EXP - MIS SOFTWARE</v>
          </cell>
        </row>
        <row r="703">
          <cell r="A703">
            <v>60700607</v>
          </cell>
          <cell r="B703" t="str">
            <v>DEPN EXP - MIS OTHER</v>
          </cell>
        </row>
        <row r="704">
          <cell r="A704">
            <v>607007</v>
          </cell>
          <cell r="B704" t="str">
            <v>*DEPN EXP - TELECOM EQUIP*</v>
          </cell>
        </row>
        <row r="705">
          <cell r="A705">
            <v>60700701</v>
          </cell>
          <cell r="B705" t="str">
            <v>DEPN EXP- TELECOM</v>
          </cell>
        </row>
        <row r="706">
          <cell r="A706">
            <v>607008</v>
          </cell>
          <cell r="B706" t="str">
            <v>*B O &amp; E  EQUIP*</v>
          </cell>
        </row>
        <row r="707">
          <cell r="A707">
            <v>60700801</v>
          </cell>
          <cell r="B707" t="str">
            <v>DEPN EXP- STUDIO EQUIPMENTS</v>
          </cell>
        </row>
        <row r="708">
          <cell r="A708">
            <v>60700802</v>
          </cell>
          <cell r="B708" t="str">
            <v>DEPN EXP- EDITING EQUIPMENTS</v>
          </cell>
        </row>
        <row r="709">
          <cell r="A709">
            <v>60700803</v>
          </cell>
          <cell r="B709" t="str">
            <v>DEPN EXP- GRAPHIC EQUIPMENTS</v>
          </cell>
        </row>
        <row r="710">
          <cell r="A710">
            <v>60700804</v>
          </cell>
          <cell r="B710" t="str">
            <v>DEPN EXP- EFP EQUIPMENTS</v>
          </cell>
        </row>
        <row r="711">
          <cell r="A711">
            <v>60700805</v>
          </cell>
          <cell r="B711" t="str">
            <v>DEPN EXP- AUDIO EQUIPMENTS</v>
          </cell>
        </row>
        <row r="712">
          <cell r="A712">
            <v>60700806</v>
          </cell>
          <cell r="B712" t="str">
            <v>DEPN EXP- LIB. MANAGEMENT SYS</v>
          </cell>
        </row>
        <row r="713">
          <cell r="A713">
            <v>60700807</v>
          </cell>
          <cell r="B713" t="str">
            <v>DEPN EXP- TRANSMISSION EQUIPM</v>
          </cell>
        </row>
        <row r="714">
          <cell r="A714">
            <v>60700808</v>
          </cell>
          <cell r="B714" t="str">
            <v>DEPN EXP- COMPRESSOR &amp; ENCODI</v>
          </cell>
        </row>
        <row r="715">
          <cell r="A715">
            <v>60700809</v>
          </cell>
          <cell r="B715" t="str">
            <v>DEPN EXP- MLTS</v>
          </cell>
        </row>
        <row r="716">
          <cell r="A716">
            <v>60700810</v>
          </cell>
          <cell r="B716" t="str">
            <v>DEPN EXP- RADIO  EQUIPMENTS</v>
          </cell>
        </row>
        <row r="717">
          <cell r="A717">
            <v>60700814</v>
          </cell>
          <cell r="B717" t="str">
            <v>DEPN EXP- DUBBING  EQUIPMENTS</v>
          </cell>
        </row>
        <row r="718">
          <cell r="A718">
            <v>60700899</v>
          </cell>
          <cell r="B718" t="str">
            <v>DEPN EXP- OTHER EQUIPMENTS</v>
          </cell>
        </row>
        <row r="719">
          <cell r="A719">
            <v>607009</v>
          </cell>
          <cell r="B719" t="str">
            <v>*OFFICE AUDIO &amp; VCR EQUIPMENT*</v>
          </cell>
        </row>
        <row r="720">
          <cell r="A720">
            <v>60700901</v>
          </cell>
          <cell r="B720" t="str">
            <v>DEPN EXP- OFFICE AUDIO &amp; VCR</v>
          </cell>
        </row>
        <row r="721">
          <cell r="A721">
            <v>607010</v>
          </cell>
          <cell r="B721" t="str">
            <v>*OFFICE EQUIPMENT*</v>
          </cell>
        </row>
        <row r="722">
          <cell r="A722">
            <v>60701002</v>
          </cell>
          <cell r="B722" t="str">
            <v>DEPN EXP- OFFICE EQUIPMENT</v>
          </cell>
        </row>
        <row r="723">
          <cell r="A723">
            <v>607011</v>
          </cell>
          <cell r="B723" t="str">
            <v>*AIR CONDITIONING SYSTEM*</v>
          </cell>
        </row>
        <row r="724">
          <cell r="A724">
            <v>60701101</v>
          </cell>
          <cell r="B724" t="str">
            <v>DEPN EXP-  AIR COND SYSTEM</v>
          </cell>
        </row>
        <row r="725">
          <cell r="A725">
            <v>607013</v>
          </cell>
          <cell r="B725" t="str">
            <v>*MOTOR VEHICLES*</v>
          </cell>
        </row>
        <row r="726">
          <cell r="A726">
            <v>60701301</v>
          </cell>
          <cell r="B726" t="str">
            <v>DEPN EXP- MOTOR VANS</v>
          </cell>
        </row>
        <row r="727">
          <cell r="A727">
            <v>607014</v>
          </cell>
          <cell r="B727" t="str">
            <v>*OFFICE FURNITURE*</v>
          </cell>
        </row>
        <row r="728">
          <cell r="A728">
            <v>60701401</v>
          </cell>
          <cell r="B728" t="str">
            <v>DEPN EXP- OFFICE FURNITURE</v>
          </cell>
        </row>
        <row r="729">
          <cell r="A729">
            <v>6080</v>
          </cell>
          <cell r="B729" t="str">
            <v>COST OF EQUIPMENT SOLD</v>
          </cell>
        </row>
        <row r="730">
          <cell r="A730">
            <v>608001</v>
          </cell>
          <cell r="B730" t="str">
            <v>COST OF GOODS SOLD-EQUIPMENT</v>
          </cell>
        </row>
        <row r="731">
          <cell r="A731">
            <v>60800123</v>
          </cell>
          <cell r="B731" t="str">
            <v>COGS - OTHERS</v>
          </cell>
        </row>
        <row r="732">
          <cell r="A732">
            <v>6082</v>
          </cell>
          <cell r="B732" t="str">
            <v>**DUTIES,TAXES &amp; LEVIES*</v>
          </cell>
        </row>
        <row r="733">
          <cell r="A733">
            <v>608201</v>
          </cell>
          <cell r="B733" t="str">
            <v>*DUTIES &amp; TAXES*</v>
          </cell>
        </row>
        <row r="734">
          <cell r="A734">
            <v>60820101</v>
          </cell>
          <cell r="B734" t="str">
            <v>DUTIES &amp; TAXES</v>
          </cell>
        </row>
        <row r="735">
          <cell r="A735">
            <v>608202</v>
          </cell>
          <cell r="B735" t="str">
            <v>*INCOME TAX*</v>
          </cell>
        </row>
        <row r="736">
          <cell r="A736">
            <v>60820201</v>
          </cell>
          <cell r="B736" t="str">
            <v>INCOME TAX PAID</v>
          </cell>
        </row>
        <row r="737">
          <cell r="A737">
            <v>70</v>
          </cell>
          <cell r="B737" t="str">
            <v>***FINANCE COSTS*</v>
          </cell>
        </row>
        <row r="738">
          <cell r="A738">
            <v>7040</v>
          </cell>
          <cell r="B738" t="str">
            <v>**INTEREST EXPENSES*</v>
          </cell>
        </row>
        <row r="739">
          <cell r="A739">
            <v>704002</v>
          </cell>
          <cell r="B739" t="str">
            <v>*BANK INTEREST PAID -OFFSHORE*</v>
          </cell>
        </row>
        <row r="740">
          <cell r="A740">
            <v>70400201</v>
          </cell>
          <cell r="B740" t="str">
            <v>BANK INTEREST PAID -OVERDRAFT(</v>
          </cell>
        </row>
        <row r="741">
          <cell r="A741">
            <v>70400202</v>
          </cell>
          <cell r="B741" t="str">
            <v>BANK INTEREST PAID - LOAN(INDI</v>
          </cell>
        </row>
        <row r="742">
          <cell r="A742">
            <v>7041</v>
          </cell>
          <cell r="B742" t="str">
            <v>**OTHER FINANCE EXPENSES*</v>
          </cell>
        </row>
        <row r="743">
          <cell r="A743">
            <v>704101</v>
          </cell>
          <cell r="B743" t="str">
            <v>*PROFIT &amp; LOSS ON EXCHANG DIF*</v>
          </cell>
        </row>
        <row r="744">
          <cell r="A744">
            <v>70410100</v>
          </cell>
          <cell r="B744" t="str">
            <v>PROFIT &amp; LOSS ON EXCHANGE DIF</v>
          </cell>
        </row>
        <row r="745">
          <cell r="A745">
            <v>704102</v>
          </cell>
          <cell r="B745" t="str">
            <v>*BANK CHARGES*</v>
          </cell>
        </row>
        <row r="746">
          <cell r="A746">
            <v>70410200</v>
          </cell>
          <cell r="B746" t="str">
            <v>BANK CHARGES</v>
          </cell>
        </row>
        <row r="747">
          <cell r="A747">
            <v>76</v>
          </cell>
          <cell r="B747" t="str">
            <v>***CHARGE FROM AFFILIATES/JV*</v>
          </cell>
        </row>
        <row r="748">
          <cell r="A748">
            <v>7601</v>
          </cell>
          <cell r="B748" t="str">
            <v>**CHARGE FROM AFFILIATES/JV*</v>
          </cell>
        </row>
        <row r="749">
          <cell r="A749">
            <v>760101</v>
          </cell>
          <cell r="B749" t="str">
            <v>*AFF SRVC CHRG- G &amp; A*</v>
          </cell>
        </row>
        <row r="750">
          <cell r="A750">
            <v>76010100</v>
          </cell>
          <cell r="B750" t="str">
            <v>AFF SRVC CHRG- G &amp; A</v>
          </cell>
        </row>
        <row r="751">
          <cell r="A751">
            <v>760102</v>
          </cell>
          <cell r="B751" t="str">
            <v>*AFF SRVC CHRG- AD SALES*</v>
          </cell>
        </row>
        <row r="752">
          <cell r="A752">
            <v>76010200</v>
          </cell>
          <cell r="B752" t="str">
            <v>AFF SRVC CHRG- AD SALES</v>
          </cell>
        </row>
        <row r="753">
          <cell r="A753">
            <v>760103</v>
          </cell>
          <cell r="B753" t="str">
            <v>*AFF SRVC CHRG- UPLINK*</v>
          </cell>
        </row>
        <row r="754">
          <cell r="A754">
            <v>76010300</v>
          </cell>
          <cell r="B754" t="str">
            <v>AFF SRVC CHRG- UPLINK</v>
          </cell>
        </row>
        <row r="755">
          <cell r="A755">
            <v>760104</v>
          </cell>
          <cell r="B755" t="str">
            <v>*AFF SRVC CHRG- PUBLICITY*</v>
          </cell>
        </row>
        <row r="756">
          <cell r="A756">
            <v>76010400</v>
          </cell>
          <cell r="B756" t="str">
            <v>AFF SRVC CHRG- PUBLICITY</v>
          </cell>
        </row>
        <row r="757">
          <cell r="A757">
            <v>760105</v>
          </cell>
          <cell r="B757" t="str">
            <v>*AFF SRVC CHRG-NETWK SERVICES*</v>
          </cell>
        </row>
        <row r="758">
          <cell r="A758">
            <v>76010500</v>
          </cell>
          <cell r="B758" t="str">
            <v>AFF SRVC CHRG- NETWK SERVICES</v>
          </cell>
        </row>
        <row r="759">
          <cell r="A759">
            <v>760107</v>
          </cell>
          <cell r="B759" t="str">
            <v>*AFF BO &amp; E  CHARGE*</v>
          </cell>
        </row>
        <row r="760">
          <cell r="A760">
            <v>76010700</v>
          </cell>
          <cell r="B760" t="str">
            <v>AFF BO &amp; E CHARGE</v>
          </cell>
        </row>
        <row r="761">
          <cell r="A761">
            <v>76010701</v>
          </cell>
          <cell r="B761" t="str">
            <v>AFF BO &amp; E VARIABLE</v>
          </cell>
        </row>
        <row r="762">
          <cell r="A762">
            <v>760130</v>
          </cell>
          <cell r="B762" t="str">
            <v>*AFF SRVC CHG - FINANCE*</v>
          </cell>
        </row>
        <row r="763">
          <cell r="A763">
            <v>76013000</v>
          </cell>
          <cell r="B763" t="str">
            <v>AFF SRVC CHG - FINANCE</v>
          </cell>
        </row>
        <row r="764">
          <cell r="A764">
            <v>760131</v>
          </cell>
          <cell r="B764" t="str">
            <v>*AFF SRVC CHG - BRANCH OFFICE*</v>
          </cell>
        </row>
        <row r="765">
          <cell r="A765">
            <v>76013100</v>
          </cell>
          <cell r="B765" t="str">
            <v>AFF SRVC CHG - BRANCH OFFICE</v>
          </cell>
        </row>
        <row r="766">
          <cell r="A766">
            <v>97</v>
          </cell>
          <cell r="B766" t="str">
            <v>***YEAR END P&amp;L ADJ*</v>
          </cell>
        </row>
        <row r="767">
          <cell r="A767">
            <v>9700</v>
          </cell>
          <cell r="B767" t="str">
            <v>**YEAR END P&amp;L ADJ*</v>
          </cell>
        </row>
        <row r="768">
          <cell r="A768">
            <v>970000</v>
          </cell>
          <cell r="B768" t="str">
            <v>*YEAR END P&amp;L ADJ*</v>
          </cell>
        </row>
        <row r="769">
          <cell r="A769">
            <v>97000000</v>
          </cell>
          <cell r="B769" t="str">
            <v>YEAR END P&amp;L ADJ</v>
          </cell>
        </row>
        <row r="770">
          <cell r="A770">
            <v>99</v>
          </cell>
          <cell r="B770" t="str">
            <v>***SUSPENSE A/C*</v>
          </cell>
        </row>
        <row r="771">
          <cell r="A771">
            <v>9900</v>
          </cell>
          <cell r="B771" t="str">
            <v>**SUSPENSE A/C*</v>
          </cell>
        </row>
        <row r="772">
          <cell r="A772">
            <v>990000</v>
          </cell>
          <cell r="B772" t="str">
            <v>*SUSPENSE A/C*</v>
          </cell>
        </row>
        <row r="773">
          <cell r="A773">
            <v>99000000</v>
          </cell>
          <cell r="B773" t="str">
            <v>SUSPENSE A/C</v>
          </cell>
        </row>
        <row r="774">
          <cell r="A774" t="str">
            <v>B0000000</v>
          </cell>
          <cell r="B774" t="str">
            <v>BUDGET SUSPENSE A/C</v>
          </cell>
        </row>
        <row r="775">
          <cell r="A775" t="str">
            <v>ZCONV</v>
          </cell>
          <cell r="B775" t="str">
            <v>CONVERSION RATE TO USD</v>
          </cell>
        </row>
        <row r="776">
          <cell r="A776" t="str">
            <v>ZPLSK</v>
          </cell>
          <cell r="B776" t="str">
            <v>MONTHLY AVAILABLE P&amp;L (SK)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CA-NT2"/>
    </sheetNames>
    <sheetDataSet>
      <sheetData sheetId="0" refreshError="1">
        <row r="1">
          <cell r="A1">
            <v>0</v>
          </cell>
          <cell r="B1" t="str">
            <v>***FIXED ASSETS*</v>
          </cell>
        </row>
        <row r="2">
          <cell r="A2">
            <v>1</v>
          </cell>
          <cell r="B2" t="str">
            <v>**LAND &amp; BLDGS*</v>
          </cell>
        </row>
        <row r="3">
          <cell r="A3">
            <v>102</v>
          </cell>
          <cell r="B3" t="str">
            <v>*OFFICE LAND &amp; BLDG COST*</v>
          </cell>
        </row>
        <row r="4">
          <cell r="A4">
            <v>10201</v>
          </cell>
          <cell r="B4" t="str">
            <v>FA-OFFICE LAND COST</v>
          </cell>
        </row>
        <row r="5">
          <cell r="A5">
            <v>10202</v>
          </cell>
          <cell r="B5" t="str">
            <v>FA-OFFICE BLDG COST</v>
          </cell>
        </row>
        <row r="6">
          <cell r="A6">
            <v>10298</v>
          </cell>
          <cell r="B6" t="str">
            <v>CAPITAL ADVANCE - BLDG</v>
          </cell>
        </row>
        <row r="7">
          <cell r="A7">
            <v>10299</v>
          </cell>
          <cell r="B7" t="str">
            <v>CAPITAL WIP - BLDG</v>
          </cell>
        </row>
        <row r="8">
          <cell r="A8">
            <v>2</v>
          </cell>
          <cell r="B8" t="str">
            <v>**LEASEHOLD IMPROVMTS*</v>
          </cell>
        </row>
        <row r="9">
          <cell r="A9">
            <v>203</v>
          </cell>
          <cell r="B9" t="str">
            <v>*INDUSTRIAL LEASEHOLD IMPROVT*</v>
          </cell>
        </row>
        <row r="10">
          <cell r="A10">
            <v>20301</v>
          </cell>
          <cell r="B10" t="str">
            <v>FA-INDUSTRIAL L/H IMPROVE COS</v>
          </cell>
        </row>
        <row r="11">
          <cell r="A11">
            <v>204</v>
          </cell>
          <cell r="B11" t="str">
            <v>*OFFICE LEASEHOLD IMPROVMTS*</v>
          </cell>
        </row>
        <row r="12">
          <cell r="A12">
            <v>20401</v>
          </cell>
          <cell r="B12" t="str">
            <v>FA-LEASEHOLD IMPROVE COST</v>
          </cell>
        </row>
        <row r="13">
          <cell r="A13">
            <v>3</v>
          </cell>
          <cell r="B13" t="str">
            <v>**PLANT &amp; MACHINERY*</v>
          </cell>
        </row>
        <row r="14">
          <cell r="A14">
            <v>306</v>
          </cell>
          <cell r="B14" t="str">
            <v>*EDP EQUIP*</v>
          </cell>
        </row>
        <row r="15">
          <cell r="A15">
            <v>30601</v>
          </cell>
          <cell r="B15" t="str">
            <v>FA-SMS COST</v>
          </cell>
        </row>
        <row r="16">
          <cell r="A16">
            <v>30602</v>
          </cell>
          <cell r="B16" t="str">
            <v>FA-MIS COST</v>
          </cell>
        </row>
        <row r="17">
          <cell r="A17">
            <v>30604</v>
          </cell>
          <cell r="B17" t="str">
            <v>FA - MIS COMPUTER COST</v>
          </cell>
        </row>
        <row r="18">
          <cell r="A18">
            <v>30605</v>
          </cell>
          <cell r="B18" t="str">
            <v>FA - MIS NETWORK COST</v>
          </cell>
        </row>
        <row r="19">
          <cell r="A19">
            <v>30606</v>
          </cell>
          <cell r="B19" t="str">
            <v>FA - MIS SOFTWARE</v>
          </cell>
        </row>
        <row r="20">
          <cell r="A20">
            <v>30607</v>
          </cell>
          <cell r="B20" t="str">
            <v>FA - OTHERS</v>
          </cell>
        </row>
        <row r="21">
          <cell r="A21">
            <v>30698</v>
          </cell>
          <cell r="B21" t="str">
            <v>CAPITAL WIP - EDP</v>
          </cell>
        </row>
        <row r="22">
          <cell r="A22">
            <v>307</v>
          </cell>
          <cell r="B22" t="str">
            <v>*OFFICE TELECOM SYSTEM*</v>
          </cell>
        </row>
        <row r="23">
          <cell r="A23">
            <v>30701</v>
          </cell>
          <cell r="B23" t="str">
            <v>FA-TELECOM EQUIP COST</v>
          </cell>
        </row>
        <row r="24">
          <cell r="A24">
            <v>30798</v>
          </cell>
          <cell r="B24" t="str">
            <v>CWIP-COMMUNICATION EQUIPMENTS</v>
          </cell>
        </row>
        <row r="25">
          <cell r="A25">
            <v>308</v>
          </cell>
          <cell r="B25" t="str">
            <v>*B O &amp; E  EQUIP*</v>
          </cell>
        </row>
        <row r="26">
          <cell r="A26">
            <v>30801</v>
          </cell>
          <cell r="B26" t="str">
            <v>FA-STUDIO EQUIPMENTS</v>
          </cell>
        </row>
        <row r="27">
          <cell r="A27">
            <v>30802</v>
          </cell>
          <cell r="B27" t="str">
            <v>FA-EDITING EQUIPMENTS</v>
          </cell>
        </row>
        <row r="28">
          <cell r="A28">
            <v>30803</v>
          </cell>
          <cell r="B28" t="str">
            <v>FA-GRAPHIC EQUIPMENTS</v>
          </cell>
        </row>
        <row r="29">
          <cell r="A29">
            <v>30804</v>
          </cell>
          <cell r="B29" t="str">
            <v>FA-EFP EQUIPMENTS</v>
          </cell>
        </row>
        <row r="30">
          <cell r="A30">
            <v>30805</v>
          </cell>
          <cell r="B30" t="str">
            <v>FA-AUDIO EQUIPMENTS</v>
          </cell>
        </row>
        <row r="31">
          <cell r="A31">
            <v>30806</v>
          </cell>
          <cell r="B31" t="str">
            <v>FA - LIB. MANAGEMENT SYSTEM</v>
          </cell>
        </row>
        <row r="32">
          <cell r="A32">
            <v>30807</v>
          </cell>
          <cell r="B32" t="str">
            <v>FA-TRANSMISSION EQUIPMENTS</v>
          </cell>
        </row>
        <row r="33">
          <cell r="A33">
            <v>30808</v>
          </cell>
          <cell r="B33" t="str">
            <v>FA-COMPRESSOR &amp; ENCODING</v>
          </cell>
        </row>
        <row r="34">
          <cell r="A34">
            <v>30809</v>
          </cell>
          <cell r="B34" t="str">
            <v>FA-MLTS</v>
          </cell>
        </row>
        <row r="35">
          <cell r="A35">
            <v>30810</v>
          </cell>
          <cell r="B35" t="str">
            <v>FA - RADIO EQUIPMENT</v>
          </cell>
        </row>
        <row r="36">
          <cell r="A36">
            <v>30814</v>
          </cell>
          <cell r="B36" t="str">
            <v>FA - DUBBING EQUIPMENT</v>
          </cell>
        </row>
        <row r="37">
          <cell r="A37">
            <v>30898</v>
          </cell>
          <cell r="B37" t="str">
            <v>CAPITAL WIP - BO&amp;E</v>
          </cell>
        </row>
        <row r="38">
          <cell r="A38">
            <v>30899</v>
          </cell>
          <cell r="B38" t="str">
            <v>FA-OTHER EQUIPMENT</v>
          </cell>
        </row>
        <row r="39">
          <cell r="A39">
            <v>309</v>
          </cell>
          <cell r="B39" t="str">
            <v>*OFFICE AUDIO &amp; VCR EQUIP*</v>
          </cell>
        </row>
        <row r="40">
          <cell r="A40">
            <v>30901</v>
          </cell>
          <cell r="B40" t="str">
            <v>FA-OFFICE AUDIO &amp; VCR COST</v>
          </cell>
        </row>
        <row r="41">
          <cell r="A41">
            <v>310</v>
          </cell>
          <cell r="B41" t="str">
            <v>*OFFICE  EQUIPMENT*</v>
          </cell>
        </row>
        <row r="42">
          <cell r="A42">
            <v>31002</v>
          </cell>
          <cell r="B42" t="str">
            <v>FA-OFFICE EQUIP COST</v>
          </cell>
        </row>
        <row r="43">
          <cell r="A43">
            <v>31098</v>
          </cell>
          <cell r="B43" t="str">
            <v>CAPITAL WIP - OFFICE EQUIP.</v>
          </cell>
        </row>
        <row r="44">
          <cell r="A44">
            <v>311</v>
          </cell>
          <cell r="B44" t="str">
            <v>*AIR-CONDITIONING SYSTM*</v>
          </cell>
        </row>
        <row r="45">
          <cell r="A45">
            <v>31101</v>
          </cell>
          <cell r="B45" t="str">
            <v>FA-AIR-CONDITIONING SYSTM COS</v>
          </cell>
        </row>
        <row r="46">
          <cell r="A46">
            <v>313</v>
          </cell>
          <cell r="B46" t="str">
            <v>*MOTOR VEHICLES*</v>
          </cell>
        </row>
        <row r="47">
          <cell r="A47">
            <v>31301</v>
          </cell>
          <cell r="B47" t="str">
            <v>FA-MOTOR VANS COST</v>
          </cell>
        </row>
        <row r="48">
          <cell r="A48">
            <v>314</v>
          </cell>
          <cell r="B48" t="str">
            <v>*OFFICE FURNITURE*</v>
          </cell>
        </row>
        <row r="49">
          <cell r="A49">
            <v>31401</v>
          </cell>
          <cell r="B49" t="str">
            <v>FA-OFFICE FURNITURE COST</v>
          </cell>
        </row>
        <row r="50">
          <cell r="A50">
            <v>1</v>
          </cell>
          <cell r="B50" t="str">
            <v>***ACCUMULATED DEPRECIATION*</v>
          </cell>
        </row>
        <row r="51">
          <cell r="A51">
            <v>101</v>
          </cell>
          <cell r="B51" t="str">
            <v>**LAND &amp; BLDGS*</v>
          </cell>
        </row>
        <row r="52">
          <cell r="A52">
            <v>10102</v>
          </cell>
          <cell r="B52" t="str">
            <v>*OFFICE LAND &amp; BLDG  COST*</v>
          </cell>
        </row>
        <row r="53">
          <cell r="A53">
            <v>1010201</v>
          </cell>
          <cell r="B53" t="str">
            <v>ACC DEPN-OFFICE LAND</v>
          </cell>
        </row>
        <row r="54">
          <cell r="A54">
            <v>1010202</v>
          </cell>
          <cell r="B54" t="str">
            <v>ACC DEPN-OFFICE BLDG</v>
          </cell>
        </row>
        <row r="55">
          <cell r="A55">
            <v>102</v>
          </cell>
          <cell r="B55" t="str">
            <v>**LEASEHOLD IMPROVMTS*</v>
          </cell>
        </row>
        <row r="56">
          <cell r="A56">
            <v>10203</v>
          </cell>
          <cell r="B56" t="str">
            <v>*INDUSTRIAL LEASEHOLD IMPROVT*</v>
          </cell>
        </row>
        <row r="57">
          <cell r="A57">
            <v>1020301</v>
          </cell>
          <cell r="B57" t="str">
            <v>ACC DEPN- LEASEHOLD IMPROVE</v>
          </cell>
        </row>
        <row r="58">
          <cell r="A58">
            <v>10204</v>
          </cell>
          <cell r="B58" t="str">
            <v>*OFFICE LEASEHOLD IMPROVMTS*</v>
          </cell>
        </row>
        <row r="59">
          <cell r="A59">
            <v>1020401</v>
          </cell>
          <cell r="B59" t="str">
            <v>ACC DEPN-LEASEHOLD IMPROVE</v>
          </cell>
        </row>
        <row r="60">
          <cell r="A60">
            <v>103</v>
          </cell>
          <cell r="B60" t="str">
            <v>**PLANT &amp; MACHINERY*</v>
          </cell>
        </row>
        <row r="61">
          <cell r="A61">
            <v>10306</v>
          </cell>
          <cell r="B61" t="str">
            <v>*EDP EQUIP*</v>
          </cell>
        </row>
        <row r="62">
          <cell r="A62">
            <v>1030601</v>
          </cell>
          <cell r="B62" t="str">
            <v>ACC DEPN-SMS</v>
          </cell>
        </row>
        <row r="63">
          <cell r="A63">
            <v>1030602</v>
          </cell>
          <cell r="B63" t="str">
            <v>ACC DEPN-MIS</v>
          </cell>
        </row>
        <row r="64">
          <cell r="A64">
            <v>1030604</v>
          </cell>
          <cell r="B64" t="str">
            <v>ACC DEPN - MIS COMPUTER COST</v>
          </cell>
        </row>
        <row r="65">
          <cell r="A65">
            <v>1030605</v>
          </cell>
          <cell r="B65" t="str">
            <v>ACC DEPN - MIS NETWORK COST</v>
          </cell>
        </row>
        <row r="66">
          <cell r="A66">
            <v>1030606</v>
          </cell>
          <cell r="B66" t="str">
            <v>ACC DEPN - MIS SOFTWARE</v>
          </cell>
        </row>
        <row r="67">
          <cell r="A67">
            <v>1030607</v>
          </cell>
          <cell r="B67" t="str">
            <v>ACC DEPN - OTHERS</v>
          </cell>
        </row>
        <row r="68">
          <cell r="A68">
            <v>10307</v>
          </cell>
          <cell r="B68" t="str">
            <v>*OFFICE  TELECOMMUNICATIONS  *</v>
          </cell>
        </row>
        <row r="69">
          <cell r="A69">
            <v>1030701</v>
          </cell>
          <cell r="B69" t="str">
            <v>ACC DEPN-TELECOM EQUIP</v>
          </cell>
        </row>
        <row r="70">
          <cell r="A70">
            <v>10308</v>
          </cell>
          <cell r="B70" t="str">
            <v>*B O &amp; E  EQUIP*</v>
          </cell>
        </row>
        <row r="71">
          <cell r="A71">
            <v>1030801</v>
          </cell>
          <cell r="B71" t="str">
            <v>ACC DEPN-STUDIO EQUIP</v>
          </cell>
        </row>
        <row r="72">
          <cell r="A72">
            <v>1030802</v>
          </cell>
          <cell r="B72" t="str">
            <v>ACC DEPN-EDITING EQUIP</v>
          </cell>
        </row>
        <row r="73">
          <cell r="A73">
            <v>1030803</v>
          </cell>
          <cell r="B73" t="str">
            <v>ACC DEPN-GRAPHIC EQUIP</v>
          </cell>
        </row>
        <row r="74">
          <cell r="A74">
            <v>1030804</v>
          </cell>
          <cell r="B74" t="str">
            <v>ACC DEPN-EFP EQUIP</v>
          </cell>
        </row>
        <row r="75">
          <cell r="A75">
            <v>1030805</v>
          </cell>
          <cell r="B75" t="str">
            <v>ACC DEPN-AUDIO EQUIP</v>
          </cell>
        </row>
        <row r="76">
          <cell r="A76">
            <v>1030806</v>
          </cell>
          <cell r="B76" t="str">
            <v>ACC DEPN-LIB. MANAGEMENT SYST</v>
          </cell>
        </row>
        <row r="77">
          <cell r="A77">
            <v>1030807</v>
          </cell>
          <cell r="B77" t="str">
            <v>ACC DEPN-TRANSMISSION EQUIP</v>
          </cell>
        </row>
        <row r="78">
          <cell r="A78">
            <v>1030808</v>
          </cell>
          <cell r="B78" t="str">
            <v>ACC DEPN-COMPRESSOR &amp; ENCODNG</v>
          </cell>
        </row>
        <row r="79">
          <cell r="A79">
            <v>1030809</v>
          </cell>
          <cell r="B79" t="str">
            <v>ACC DEPN-MLTS</v>
          </cell>
        </row>
        <row r="80">
          <cell r="A80">
            <v>1030810</v>
          </cell>
          <cell r="B80" t="str">
            <v>ACC DEPN - RADIO EQUIPMENT</v>
          </cell>
        </row>
        <row r="81">
          <cell r="A81">
            <v>1030814</v>
          </cell>
          <cell r="B81" t="str">
            <v>ACC DEPN - DUBBING  EQUIPMENT</v>
          </cell>
        </row>
        <row r="82">
          <cell r="A82">
            <v>1030899</v>
          </cell>
          <cell r="B82" t="str">
            <v>ACC DEPN-OTHER EQUIP</v>
          </cell>
        </row>
        <row r="83">
          <cell r="A83">
            <v>10309</v>
          </cell>
          <cell r="B83" t="str">
            <v>*OFFICE AUDIO &amp; VCR EQUIP*</v>
          </cell>
        </row>
        <row r="84">
          <cell r="A84">
            <v>1030901</v>
          </cell>
          <cell r="B84" t="str">
            <v>ACC DEPN-OFFICE AUDIO &amp; VCR</v>
          </cell>
        </row>
        <row r="85">
          <cell r="A85">
            <v>10310</v>
          </cell>
          <cell r="B85" t="str">
            <v>*OFFICE EQUIPMENT*</v>
          </cell>
        </row>
        <row r="86">
          <cell r="A86">
            <v>1031002</v>
          </cell>
          <cell r="B86" t="str">
            <v>ACC DEPN - OFFICE EQUIPMENT</v>
          </cell>
        </row>
        <row r="87">
          <cell r="A87">
            <v>10311</v>
          </cell>
          <cell r="B87" t="str">
            <v>*AIR-CONDITIONING SYSTM*</v>
          </cell>
        </row>
        <row r="88">
          <cell r="A88">
            <v>1031101</v>
          </cell>
          <cell r="B88" t="str">
            <v>ACC DEPN-AIR-COND SYSTM</v>
          </cell>
        </row>
        <row r="89">
          <cell r="A89">
            <v>10313</v>
          </cell>
          <cell r="B89" t="str">
            <v>*MOTOR VEHICLES*</v>
          </cell>
        </row>
        <row r="90">
          <cell r="A90">
            <v>1031301</v>
          </cell>
          <cell r="B90" t="str">
            <v>ACC DEPN-MOTOR VANS</v>
          </cell>
        </row>
        <row r="91">
          <cell r="A91">
            <v>10314</v>
          </cell>
          <cell r="B91" t="str">
            <v>*OFFICE FURNITURE*</v>
          </cell>
        </row>
        <row r="92">
          <cell r="A92">
            <v>1031401</v>
          </cell>
          <cell r="B92" t="str">
            <v>ACC DEPN-OFFICE FURNITURE</v>
          </cell>
        </row>
        <row r="93">
          <cell r="A93">
            <v>9</v>
          </cell>
          <cell r="B93" t="str">
            <v>***INVESTMENTS*</v>
          </cell>
        </row>
        <row r="94">
          <cell r="A94">
            <v>901</v>
          </cell>
          <cell r="B94" t="str">
            <v>**INVESTMENT IN EQUITY*</v>
          </cell>
        </row>
        <row r="95">
          <cell r="A95">
            <v>90101</v>
          </cell>
          <cell r="B95" t="str">
            <v>*INVESTMENT IN SUBSIDIARIES*</v>
          </cell>
        </row>
        <row r="96">
          <cell r="A96">
            <v>9010100</v>
          </cell>
          <cell r="B96" t="str">
            <v>INVESTMENT IN SUBSIDIARIES</v>
          </cell>
        </row>
        <row r="97">
          <cell r="A97">
            <v>905</v>
          </cell>
          <cell r="B97" t="str">
            <v>**OTHER INVESTMENTS*</v>
          </cell>
        </row>
        <row r="98">
          <cell r="A98">
            <v>90500</v>
          </cell>
          <cell r="B98" t="str">
            <v>*OTHER INVESTMENTS*</v>
          </cell>
        </row>
        <row r="99">
          <cell r="A99">
            <v>9050000</v>
          </cell>
          <cell r="B99" t="str">
            <v>OTHER INVESTMENTS</v>
          </cell>
        </row>
        <row r="100">
          <cell r="A100">
            <v>9050002</v>
          </cell>
          <cell r="B100" t="str">
            <v>SINKING FUND - USD</v>
          </cell>
        </row>
        <row r="101">
          <cell r="A101">
            <v>9050003</v>
          </cell>
          <cell r="B101" t="str">
            <v>SINKING FUND - INR</v>
          </cell>
        </row>
        <row r="102">
          <cell r="A102">
            <v>9050004</v>
          </cell>
          <cell r="B102" t="str">
            <v>L.TERM DEFERRED ASSET (INDIA)</v>
          </cell>
        </row>
        <row r="103">
          <cell r="A103">
            <v>10</v>
          </cell>
          <cell r="B103" t="str">
            <v>***CURRENT ASSETS*</v>
          </cell>
        </row>
        <row r="104">
          <cell r="A104">
            <v>1008</v>
          </cell>
          <cell r="B104" t="str">
            <v>**INVENTORIES*</v>
          </cell>
        </row>
        <row r="105">
          <cell r="A105">
            <v>100809</v>
          </cell>
          <cell r="B105" t="str">
            <v>*COST OF WIP FILM &amp;TV PRODUCT*</v>
          </cell>
        </row>
        <row r="106">
          <cell r="A106">
            <v>10080901</v>
          </cell>
          <cell r="B106" t="str">
            <v>WIP PROG &amp; RIGHT (INVENTORY)</v>
          </cell>
        </row>
        <row r="107">
          <cell r="A107">
            <v>100811</v>
          </cell>
          <cell r="B107" t="str">
            <v>*STOCK OF FINISHED GOODS*</v>
          </cell>
        </row>
        <row r="108">
          <cell r="A108">
            <v>10081126</v>
          </cell>
          <cell r="B108" t="str">
            <v>STOCK - FINISHED PROGRAMS</v>
          </cell>
        </row>
        <row r="109">
          <cell r="A109">
            <v>10081127</v>
          </cell>
          <cell r="B109" t="str">
            <v>STOCK - BLANK TAPES</v>
          </cell>
        </row>
        <row r="110">
          <cell r="A110">
            <v>100812</v>
          </cell>
          <cell r="B110" t="str">
            <v>*WRITE DOWN OF FINISHED GOODS*</v>
          </cell>
        </row>
        <row r="111">
          <cell r="A111">
            <v>10081223</v>
          </cell>
          <cell r="B111" t="str">
            <v>WD STOCK-OTHERS</v>
          </cell>
        </row>
        <row r="112">
          <cell r="A112">
            <v>1010</v>
          </cell>
          <cell r="B112" t="str">
            <v>**CASH &amp; BANK DEPOSIT*</v>
          </cell>
        </row>
        <row r="113">
          <cell r="A113">
            <v>101001</v>
          </cell>
          <cell r="B113" t="str">
            <v>*PETTY CASH*</v>
          </cell>
        </row>
        <row r="114">
          <cell r="A114">
            <v>10100121</v>
          </cell>
          <cell r="B114" t="str">
            <v>PETTY CASH - INDIA</v>
          </cell>
        </row>
        <row r="115">
          <cell r="A115">
            <v>10100122</v>
          </cell>
          <cell r="B115" t="str">
            <v>PETTY CASH -COLLECTION</v>
          </cell>
        </row>
        <row r="116">
          <cell r="A116">
            <v>101002</v>
          </cell>
          <cell r="B116" t="str">
            <v>*HONGKONG BANK*</v>
          </cell>
        </row>
        <row r="117">
          <cell r="A117">
            <v>10100226</v>
          </cell>
          <cell r="B117" t="str">
            <v>HK BANK - MUMBAI</v>
          </cell>
        </row>
        <row r="118">
          <cell r="A118">
            <v>10100227</v>
          </cell>
          <cell r="B118" t="str">
            <v>HK BANK - DELHI</v>
          </cell>
        </row>
        <row r="119">
          <cell r="A119">
            <v>10100228</v>
          </cell>
          <cell r="B119" t="str">
            <v>HK BANK -FIXED DEPOSIT</v>
          </cell>
        </row>
        <row r="120">
          <cell r="A120">
            <v>101003</v>
          </cell>
          <cell r="B120" t="str">
            <v>*CITIBANK NA*</v>
          </cell>
        </row>
        <row r="121">
          <cell r="A121">
            <v>10100307</v>
          </cell>
          <cell r="B121" t="str">
            <v>CITIBANK MUMBAI</v>
          </cell>
        </row>
        <row r="122">
          <cell r="A122">
            <v>10100308</v>
          </cell>
          <cell r="B122" t="str">
            <v>CITIBANK  GOLD MUMBAI</v>
          </cell>
        </row>
        <row r="123">
          <cell r="A123">
            <v>10100309</v>
          </cell>
          <cell r="B123" t="str">
            <v>CITIBANK  DELHI DTH</v>
          </cell>
        </row>
        <row r="124">
          <cell r="A124">
            <v>10100310</v>
          </cell>
          <cell r="B124" t="str">
            <v>CITIBANK DELHI D&amp;M</v>
          </cell>
        </row>
        <row r="125">
          <cell r="A125">
            <v>10100311</v>
          </cell>
          <cell r="B125" t="str">
            <v>CITIBANK FIXED DEPOSIT-MUMBAI</v>
          </cell>
        </row>
        <row r="126">
          <cell r="A126">
            <v>10100312</v>
          </cell>
          <cell r="B126" t="str">
            <v>CITIBANK GOLD FIXED DEPO-MUM</v>
          </cell>
        </row>
        <row r="127">
          <cell r="A127">
            <v>10100313</v>
          </cell>
          <cell r="B127" t="str">
            <v>CITIBANK COLLEC.DELHI-DNM</v>
          </cell>
        </row>
        <row r="128">
          <cell r="A128">
            <v>10100314</v>
          </cell>
          <cell r="B128" t="str">
            <v>CITIBANK : BANK MARGIN -MUM</v>
          </cell>
        </row>
        <row r="129">
          <cell r="A129">
            <v>101005</v>
          </cell>
          <cell r="B129" t="str">
            <v>*CREDIT LYONNAIS*</v>
          </cell>
        </row>
        <row r="130">
          <cell r="A130">
            <v>10100502</v>
          </cell>
          <cell r="B130" t="str">
            <v>CREDIT LYONNAIS : MUMBAI</v>
          </cell>
        </row>
        <row r="131">
          <cell r="A131">
            <v>10100503</v>
          </cell>
          <cell r="B131" t="str">
            <v>CREDIT LYONNAIS : DELHI</v>
          </cell>
        </row>
        <row r="132">
          <cell r="A132">
            <v>10100504</v>
          </cell>
          <cell r="B132" t="str">
            <v>CREDIT LYONNAIS : EFC</v>
          </cell>
        </row>
        <row r="133">
          <cell r="A133">
            <v>10100505</v>
          </cell>
          <cell r="B133" t="str">
            <v>CREDIT LYONNAIS :BANK MARGIN</v>
          </cell>
        </row>
        <row r="134">
          <cell r="A134">
            <v>10100506</v>
          </cell>
          <cell r="B134" t="str">
            <v>CREDIT LYONNAIS :STAR TV</v>
          </cell>
        </row>
        <row r="135">
          <cell r="A135">
            <v>10100507</v>
          </cell>
          <cell r="B135" t="str">
            <v>CREDIT LYONNAIS :FIXED DEPOSIT</v>
          </cell>
        </row>
        <row r="136">
          <cell r="A136">
            <v>10100508</v>
          </cell>
          <cell r="B136" t="str">
            <v>CREDIT LYONNAIS : EFC-FDR</v>
          </cell>
        </row>
        <row r="137">
          <cell r="A137">
            <v>101015</v>
          </cell>
          <cell r="B137" t="str">
            <v>*STATE BANK OF INDIA*</v>
          </cell>
        </row>
        <row r="138">
          <cell r="A138">
            <v>10101501</v>
          </cell>
          <cell r="B138" t="str">
            <v>STATE BANK OF INDIA</v>
          </cell>
        </row>
        <row r="139">
          <cell r="A139">
            <v>101016</v>
          </cell>
          <cell r="B139" t="str">
            <v>*DEUTSCHE BANK*</v>
          </cell>
        </row>
        <row r="140">
          <cell r="A140">
            <v>10101601</v>
          </cell>
          <cell r="B140" t="str">
            <v>DEUTSCHE BANK-CRP-MUM</v>
          </cell>
        </row>
        <row r="141">
          <cell r="A141">
            <v>10101602</v>
          </cell>
          <cell r="B141" t="str">
            <v>DEUTSCHE BANK-ETD-MUM</v>
          </cell>
        </row>
        <row r="142">
          <cell r="A142">
            <v>10101603</v>
          </cell>
          <cell r="B142" t="str">
            <v>DEUTSCHE BANK-CHV-MUM</v>
          </cell>
        </row>
        <row r="143">
          <cell r="A143">
            <v>10101604</v>
          </cell>
          <cell r="B143" t="str">
            <v>DEUTSCHE BANK-DNM-DEL</v>
          </cell>
        </row>
        <row r="144">
          <cell r="A144">
            <v>10101605</v>
          </cell>
          <cell r="B144" t="str">
            <v>DEUTSCHE BANK-DTH-DEL</v>
          </cell>
        </row>
        <row r="145">
          <cell r="A145">
            <v>10101606</v>
          </cell>
          <cell r="B145" t="str">
            <v>DEUTSCHE BANK-ADD-DEL</v>
          </cell>
        </row>
        <row r="146">
          <cell r="A146">
            <v>10101607</v>
          </cell>
          <cell r="B146" t="str">
            <v>DEUTSCHE BANK-EEFC-FD</v>
          </cell>
        </row>
        <row r="147">
          <cell r="A147">
            <v>10101608</v>
          </cell>
          <cell r="B147" t="str">
            <v>DEUTSCHE BANK-FD-MUM</v>
          </cell>
        </row>
        <row r="148">
          <cell r="A148">
            <v>10101609</v>
          </cell>
          <cell r="B148" t="str">
            <v>DEUTSCHE BANK-EEFC-MUM</v>
          </cell>
        </row>
        <row r="149">
          <cell r="A149">
            <v>101017</v>
          </cell>
          <cell r="B149" t="str">
            <v>*ICICI BANK*</v>
          </cell>
        </row>
        <row r="150">
          <cell r="A150">
            <v>10101701</v>
          </cell>
          <cell r="B150" t="str">
            <v>ICICI BANK</v>
          </cell>
        </row>
        <row r="151">
          <cell r="A151">
            <v>101018</v>
          </cell>
          <cell r="B151" t="str">
            <v>*B N P BANK*</v>
          </cell>
        </row>
        <row r="152">
          <cell r="A152">
            <v>10101801</v>
          </cell>
          <cell r="B152" t="str">
            <v>B N P BANK</v>
          </cell>
        </row>
        <row r="153">
          <cell r="A153">
            <v>10101802</v>
          </cell>
          <cell r="B153" t="str">
            <v>B N P BANK : FIXED DEPOSIT</v>
          </cell>
        </row>
        <row r="154">
          <cell r="A154">
            <v>10101803</v>
          </cell>
          <cell r="B154" t="str">
            <v>B N P BANK : SUBS SWEEPSTAKES</v>
          </cell>
        </row>
        <row r="155">
          <cell r="A155">
            <v>10101804</v>
          </cell>
          <cell r="B155" t="str">
            <v>B N P BANK : ADVT</v>
          </cell>
        </row>
        <row r="156">
          <cell r="A156">
            <v>10101805</v>
          </cell>
          <cell r="B156" t="str">
            <v>B N P BANK : COLL-DNM-DELHI</v>
          </cell>
        </row>
        <row r="157">
          <cell r="A157">
            <v>10101806</v>
          </cell>
          <cell r="B157" t="str">
            <v>B N P BANK : COLL-DTH-BOM</v>
          </cell>
        </row>
        <row r="158">
          <cell r="A158">
            <v>10101807</v>
          </cell>
          <cell r="B158" t="str">
            <v>B N P BANK : ADVT SWEEPSTAKES</v>
          </cell>
        </row>
        <row r="159">
          <cell r="A159">
            <v>10101808</v>
          </cell>
          <cell r="B159" t="str">
            <v>B N P BANK : EEFC FD</v>
          </cell>
        </row>
        <row r="160">
          <cell r="A160">
            <v>10101809</v>
          </cell>
          <cell r="B160" t="str">
            <v>B N P BANK : EEFC-MUM</v>
          </cell>
        </row>
        <row r="161">
          <cell r="A161">
            <v>10101810</v>
          </cell>
          <cell r="B161" t="str">
            <v>B N P BANK : GRATUITY-MUM</v>
          </cell>
        </row>
        <row r="162">
          <cell r="A162">
            <v>101019</v>
          </cell>
          <cell r="B162" t="str">
            <v>*BANK OF  AMERICA*</v>
          </cell>
        </row>
        <row r="163">
          <cell r="A163">
            <v>10101901</v>
          </cell>
          <cell r="B163" t="str">
            <v>BANK OF AMERICA-DEL-DTH</v>
          </cell>
        </row>
        <row r="164">
          <cell r="A164">
            <v>101020</v>
          </cell>
          <cell r="B164" t="str">
            <v>*ABN-AMRO BANK*</v>
          </cell>
        </row>
        <row r="165">
          <cell r="A165">
            <v>10102001</v>
          </cell>
          <cell r="B165" t="str">
            <v>ABN-AMR0 : FD- BOMBAY</v>
          </cell>
        </row>
        <row r="166">
          <cell r="A166">
            <v>101021</v>
          </cell>
          <cell r="B166" t="str">
            <v>*COMMERZ  BANK*</v>
          </cell>
        </row>
        <row r="167">
          <cell r="A167">
            <v>10102101</v>
          </cell>
          <cell r="B167" t="str">
            <v>COMMERZ BANK : FD- BOMBAY</v>
          </cell>
        </row>
        <row r="168">
          <cell r="A168">
            <v>101099</v>
          </cell>
          <cell r="B168" t="str">
            <v>*CHEQUE ON HAND (INDIA)*</v>
          </cell>
        </row>
        <row r="169">
          <cell r="A169">
            <v>10109901</v>
          </cell>
          <cell r="B169" t="str">
            <v>CHEQUES ON HAND (INDIA)</v>
          </cell>
        </row>
        <row r="170">
          <cell r="A170">
            <v>1012</v>
          </cell>
          <cell r="B170" t="str">
            <v>**RECEIVABLE, DEPOSIT &amp; PREPM*</v>
          </cell>
        </row>
        <row r="171">
          <cell r="A171">
            <v>101210</v>
          </cell>
          <cell r="B171" t="str">
            <v>*PREPAYMENT*</v>
          </cell>
        </row>
        <row r="172">
          <cell r="A172">
            <v>10121003</v>
          </cell>
          <cell r="B172" t="str">
            <v>PREPAID EXPENSES</v>
          </cell>
        </row>
        <row r="173">
          <cell r="A173">
            <v>10121007</v>
          </cell>
          <cell r="B173" t="str">
            <v>TAX ADVANCE PAYMENT (TDS)</v>
          </cell>
        </row>
        <row r="174">
          <cell r="A174">
            <v>10121012</v>
          </cell>
          <cell r="B174" t="str">
            <v>PREPAYMENT - INSU PREMIUM</v>
          </cell>
        </row>
        <row r="175">
          <cell r="A175">
            <v>101220</v>
          </cell>
          <cell r="B175" t="str">
            <v>*LOAN TO STAFF*</v>
          </cell>
        </row>
        <row r="176">
          <cell r="A176">
            <v>10122001</v>
          </cell>
          <cell r="B176" t="str">
            <v>SALARY ADVANCE</v>
          </cell>
        </row>
        <row r="177">
          <cell r="A177">
            <v>10122002</v>
          </cell>
          <cell r="B177" t="str">
            <v>SHORT TERM ADVANCE</v>
          </cell>
        </row>
        <row r="178">
          <cell r="A178">
            <v>10122003</v>
          </cell>
          <cell r="B178" t="str">
            <v>LOAN ADVANCE</v>
          </cell>
        </row>
        <row r="179">
          <cell r="A179">
            <v>10122004</v>
          </cell>
          <cell r="B179" t="str">
            <v>MEDICAL ADVANCE</v>
          </cell>
        </row>
        <row r="180">
          <cell r="A180">
            <v>101221</v>
          </cell>
          <cell r="B180" t="str">
            <v>*TRAVEL &amp; CASH ADVANCE*</v>
          </cell>
        </row>
        <row r="181">
          <cell r="A181">
            <v>10122101</v>
          </cell>
          <cell r="B181" t="str">
            <v>TRAVEL ADVANCE</v>
          </cell>
        </row>
        <row r="182">
          <cell r="A182">
            <v>10122102</v>
          </cell>
          <cell r="B182" t="str">
            <v>OTHER ADVANCE</v>
          </cell>
        </row>
        <row r="183">
          <cell r="A183">
            <v>10122104</v>
          </cell>
          <cell r="B183" t="str">
            <v>PRODUCTION ADVANCE</v>
          </cell>
        </row>
        <row r="184">
          <cell r="A184">
            <v>10122105</v>
          </cell>
          <cell r="B184" t="str">
            <v>IMPREST</v>
          </cell>
        </row>
        <row r="185">
          <cell r="A185">
            <v>101250</v>
          </cell>
          <cell r="B185" t="str">
            <v>*OTHER RECEIVABLES*</v>
          </cell>
        </row>
        <row r="186">
          <cell r="A186">
            <v>10125003</v>
          </cell>
          <cell r="B186" t="str">
            <v>STAFF RECEIVABLE</v>
          </cell>
        </row>
        <row r="187">
          <cell r="A187">
            <v>10125014</v>
          </cell>
          <cell r="B187" t="str">
            <v>INTEREST REC - FIXED DEPOSIT</v>
          </cell>
        </row>
        <row r="188">
          <cell r="A188">
            <v>10125015</v>
          </cell>
          <cell r="B188" t="str">
            <v>INTEREST REC - OTHER INVESTMEN</v>
          </cell>
        </row>
        <row r="189">
          <cell r="A189">
            <v>10125016</v>
          </cell>
          <cell r="B189" t="str">
            <v>INSURANCE RECEIVABLE</v>
          </cell>
        </row>
        <row r="190">
          <cell r="A190">
            <v>101290</v>
          </cell>
          <cell r="B190" t="str">
            <v>*RENTAL DEPOSIT*</v>
          </cell>
        </row>
        <row r="191">
          <cell r="A191">
            <v>10129000</v>
          </cell>
          <cell r="B191" t="str">
            <v>OTHER RENTAL DEPOSITS</v>
          </cell>
        </row>
        <row r="192">
          <cell r="A192">
            <v>10129001</v>
          </cell>
          <cell r="B192" t="str">
            <v>GOPAL CHOPRA</v>
          </cell>
        </row>
        <row r="193">
          <cell r="A193">
            <v>10129002</v>
          </cell>
          <cell r="B193" t="str">
            <v>KANCHAN DEEPAK RIJWANI</v>
          </cell>
        </row>
        <row r="194">
          <cell r="A194">
            <v>10129003</v>
          </cell>
          <cell r="B194" t="str">
            <v>LACHMIBAI K. KAMARA</v>
          </cell>
        </row>
        <row r="195">
          <cell r="A195">
            <v>10129004</v>
          </cell>
          <cell r="B195" t="str">
            <v>MITASHIMESEN-NOEL P'RA'S</v>
          </cell>
        </row>
        <row r="196">
          <cell r="A196">
            <v>10129005</v>
          </cell>
          <cell r="B196" t="str">
            <v>MRS.HARINDER SETHI</v>
          </cell>
        </row>
        <row r="197">
          <cell r="A197">
            <v>10129006</v>
          </cell>
          <cell r="B197" t="str">
            <v>NASRIEN P.</v>
          </cell>
        </row>
        <row r="198">
          <cell r="A198">
            <v>10129007</v>
          </cell>
          <cell r="B198" t="str">
            <v>MRS.NOOR N. VIRANI</v>
          </cell>
        </row>
        <row r="199">
          <cell r="A199">
            <v>10129008</v>
          </cell>
          <cell r="B199" t="str">
            <v>MRS.SONAL K.AJMERA</v>
          </cell>
        </row>
        <row r="200">
          <cell r="A200">
            <v>10129009</v>
          </cell>
          <cell r="B200" t="str">
            <v>VINEET SETHI</v>
          </cell>
        </row>
        <row r="201">
          <cell r="A201">
            <v>10129010</v>
          </cell>
          <cell r="B201" t="str">
            <v>JAMALS</v>
          </cell>
        </row>
        <row r="202">
          <cell r="A202">
            <v>10129011</v>
          </cell>
          <cell r="B202" t="str">
            <v>ROOPA LAMBA</v>
          </cell>
        </row>
        <row r="203">
          <cell r="A203">
            <v>10129013</v>
          </cell>
          <cell r="B203" t="str">
            <v>S M DYECHEM LTD</v>
          </cell>
        </row>
        <row r="204">
          <cell r="A204">
            <v>10129014</v>
          </cell>
          <cell r="B204" t="str">
            <v>VARSHA DESAI</v>
          </cell>
        </row>
        <row r="205">
          <cell r="A205">
            <v>10129015</v>
          </cell>
          <cell r="B205" t="str">
            <v>SNEHADHARA CONSTRUCTION LTD.</v>
          </cell>
        </row>
        <row r="206">
          <cell r="A206">
            <v>10129016</v>
          </cell>
          <cell r="B206" t="str">
            <v>GUEST HOUSE -[V]</v>
          </cell>
        </row>
        <row r="207">
          <cell r="A207">
            <v>10129017</v>
          </cell>
          <cell r="B207" t="str">
            <v>LAILA RUOASS</v>
          </cell>
        </row>
        <row r="208">
          <cell r="A208">
            <v>10129051</v>
          </cell>
          <cell r="B208" t="str">
            <v>BALADEV COMMERCIAL PVT.LTD</v>
          </cell>
        </row>
        <row r="209">
          <cell r="A209">
            <v>10129052</v>
          </cell>
          <cell r="B209" t="str">
            <v>BHARAT SONI</v>
          </cell>
        </row>
        <row r="210">
          <cell r="A210">
            <v>10129053</v>
          </cell>
          <cell r="B210" t="str">
            <v>BRIG  SINHA</v>
          </cell>
        </row>
        <row r="211">
          <cell r="A211">
            <v>10129054</v>
          </cell>
          <cell r="B211" t="str">
            <v>CAMBRIDGE CONSTRUCTION (DELHI)</v>
          </cell>
        </row>
        <row r="212">
          <cell r="A212">
            <v>10129055</v>
          </cell>
          <cell r="B212" t="str">
            <v>DBS CORPORATE CLUB</v>
          </cell>
        </row>
        <row r="213">
          <cell r="A213">
            <v>10129056</v>
          </cell>
          <cell r="B213" t="str">
            <v>H.L.CHAWLA</v>
          </cell>
        </row>
        <row r="214">
          <cell r="A214">
            <v>10129057</v>
          </cell>
          <cell r="B214" t="str">
            <v>JOGINDER SINGH</v>
          </cell>
        </row>
        <row r="215">
          <cell r="A215">
            <v>10129058</v>
          </cell>
          <cell r="B215" t="str">
            <v>KALYAN VYAPAAR PVT LTD</v>
          </cell>
        </row>
        <row r="216">
          <cell r="A216">
            <v>10129059</v>
          </cell>
          <cell r="B216" t="str">
            <v>LALBHAI SALES &amp; SERVICES LTD.</v>
          </cell>
        </row>
        <row r="217">
          <cell r="A217">
            <v>10129060</v>
          </cell>
          <cell r="B217" t="str">
            <v>SUKET GUJRAL</v>
          </cell>
        </row>
        <row r="218">
          <cell r="A218">
            <v>10129061</v>
          </cell>
          <cell r="B218" t="str">
            <v>NIRMAL CHAWLA</v>
          </cell>
        </row>
        <row r="219">
          <cell r="A219">
            <v>10129062</v>
          </cell>
          <cell r="B219" t="str">
            <v>REHANA SULTANA</v>
          </cell>
        </row>
        <row r="220">
          <cell r="A220">
            <v>10129063</v>
          </cell>
          <cell r="B220" t="str">
            <v>SHAFIULA SHAREEF</v>
          </cell>
        </row>
        <row r="221">
          <cell r="A221">
            <v>10129064</v>
          </cell>
          <cell r="B221" t="str">
            <v>THAKORBHAI GULBBHAI NAIK</v>
          </cell>
        </row>
        <row r="222">
          <cell r="A222">
            <v>10129066</v>
          </cell>
          <cell r="B222" t="str">
            <v>TOP LIGHT VINIMAY PVT LTD</v>
          </cell>
        </row>
        <row r="223">
          <cell r="A223">
            <v>10129067</v>
          </cell>
          <cell r="B223" t="str">
            <v>YASHODHAN MERCHANTS PVT LTD</v>
          </cell>
        </row>
        <row r="224">
          <cell r="A224">
            <v>101291</v>
          </cell>
          <cell r="B224" t="str">
            <v>*UTILITIES DEPOSITS*</v>
          </cell>
        </row>
        <row r="225">
          <cell r="A225">
            <v>10129101</v>
          </cell>
          <cell r="B225" t="str">
            <v>ANIL ELECTRIC CO.</v>
          </cell>
        </row>
        <row r="226">
          <cell r="A226">
            <v>10129102</v>
          </cell>
          <cell r="B226" t="str">
            <v>BPL MOBILE COMMUNICATION</v>
          </cell>
        </row>
        <row r="227">
          <cell r="A227">
            <v>10129103</v>
          </cell>
          <cell r="B227" t="str">
            <v>EVERCOOL SERVICES</v>
          </cell>
        </row>
        <row r="228">
          <cell r="A228">
            <v>10129104</v>
          </cell>
          <cell r="B228" t="str">
            <v>HINDUSTAN PETROLIUM COR.LTD</v>
          </cell>
        </row>
        <row r="229">
          <cell r="A229">
            <v>10129105</v>
          </cell>
          <cell r="B229" t="str">
            <v>ITC HOTELS LTD.</v>
          </cell>
        </row>
        <row r="230">
          <cell r="A230">
            <v>10129106</v>
          </cell>
          <cell r="B230" t="str">
            <v>SEDGWICK PAREKH HEALTH MGT.LTD</v>
          </cell>
        </row>
        <row r="231">
          <cell r="A231">
            <v>10129107</v>
          </cell>
          <cell r="B231" t="str">
            <v>VIDESH SANCHAR NIGAM LTD.</v>
          </cell>
        </row>
        <row r="232">
          <cell r="A232">
            <v>10129108</v>
          </cell>
          <cell r="B232" t="str">
            <v>TAJ MAHAL HOTEL</v>
          </cell>
        </row>
        <row r="233">
          <cell r="A233">
            <v>10129109</v>
          </cell>
          <cell r="B233" t="str">
            <v>MAHANAGER TELEPHONE NIGAM LTD.</v>
          </cell>
        </row>
        <row r="234">
          <cell r="A234">
            <v>10129110</v>
          </cell>
          <cell r="B234" t="str">
            <v>BSES LIMITED</v>
          </cell>
        </row>
        <row r="235">
          <cell r="A235">
            <v>101292</v>
          </cell>
          <cell r="B235" t="str">
            <v>*OTHER  DEPOSITS -ASSETS*</v>
          </cell>
        </row>
        <row r="236">
          <cell r="A236">
            <v>10129201</v>
          </cell>
          <cell r="B236" t="str">
            <v>DEPOSIT - CAPITAL EXP.</v>
          </cell>
        </row>
        <row r="237">
          <cell r="A237">
            <v>10129202</v>
          </cell>
          <cell r="B237" t="str">
            <v>DEPOSIT - PCPL</v>
          </cell>
        </row>
        <row r="238">
          <cell r="A238">
            <v>10129203</v>
          </cell>
          <cell r="B238" t="str">
            <v>ION EXCHANGE FIN.PROD.P.LTD</v>
          </cell>
        </row>
        <row r="239">
          <cell r="A239">
            <v>10129204</v>
          </cell>
          <cell r="B239" t="str">
            <v>BRIHANMUMBAI COPORATION</v>
          </cell>
        </row>
        <row r="240">
          <cell r="A240">
            <v>10129205</v>
          </cell>
          <cell r="B240" t="str">
            <v>K.C.COLLEGE</v>
          </cell>
        </row>
        <row r="241">
          <cell r="A241">
            <v>10129207</v>
          </cell>
          <cell r="B241" t="str">
            <v>BEST SELLERS</v>
          </cell>
        </row>
        <row r="242">
          <cell r="A242">
            <v>10129251</v>
          </cell>
          <cell r="B242" t="str">
            <v>STERLING CELLULAR LTD</v>
          </cell>
        </row>
        <row r="243">
          <cell r="A243">
            <v>10129252</v>
          </cell>
          <cell r="B243" t="str">
            <v>HELLO MINERALS PVT LTD</v>
          </cell>
        </row>
        <row r="244">
          <cell r="A244">
            <v>10129253</v>
          </cell>
          <cell r="B244" t="str">
            <v>SERVICIRCLE</v>
          </cell>
        </row>
        <row r="245">
          <cell r="A245">
            <v>10129254</v>
          </cell>
          <cell r="B245" t="str">
            <v>BHAGIRATHI HEALTH CARE PRODUCT</v>
          </cell>
        </row>
        <row r="246">
          <cell r="A246">
            <v>10129255</v>
          </cell>
          <cell r="B246" t="str">
            <v>SAPHIRE DIRECT MARKETING PVT</v>
          </cell>
        </row>
        <row r="247">
          <cell r="A247">
            <v>1022</v>
          </cell>
          <cell r="B247" t="str">
            <v>**TRADE DEBTORS*</v>
          </cell>
        </row>
        <row r="248">
          <cell r="A248" t="str">
            <v>1022A001</v>
          </cell>
          <cell r="B248" t="str">
            <v>ARCHIES GIFTS &amp; GREETINGS</v>
          </cell>
        </row>
        <row r="249">
          <cell r="A249" t="str">
            <v>1022B001</v>
          </cell>
          <cell r="B249" t="str">
            <v>BMG CRESENDO - ROYALTY</v>
          </cell>
        </row>
        <row r="250">
          <cell r="A250" t="str">
            <v>1022B002</v>
          </cell>
          <cell r="B250" t="str">
            <v>BPL - BANGALORE</v>
          </cell>
        </row>
        <row r="251">
          <cell r="A251" t="str">
            <v>1022B003</v>
          </cell>
          <cell r="B251" t="str">
            <v>BPL LIMITED</v>
          </cell>
        </row>
        <row r="252">
          <cell r="A252" t="str">
            <v>1022C001</v>
          </cell>
          <cell r="B252" t="str">
            <v>CADBURY (INDIA) LTD</v>
          </cell>
        </row>
        <row r="253">
          <cell r="A253" t="str">
            <v>1022C002</v>
          </cell>
          <cell r="B253" t="str">
            <v>COCA COLA (INDIA) LTD</v>
          </cell>
        </row>
        <row r="254">
          <cell r="A254" t="str">
            <v>1022C003</v>
          </cell>
          <cell r="B254" t="str">
            <v>CROISSANTS ETC</v>
          </cell>
        </row>
        <row r="255">
          <cell r="A255" t="str">
            <v>1022D001</v>
          </cell>
          <cell r="B255" t="str">
            <v>DNA NETWORK P. LTD</v>
          </cell>
        </row>
        <row r="256">
          <cell r="A256" t="str">
            <v>1022F001</v>
          </cell>
          <cell r="B256" t="str">
            <v>FANTASIE CHOCOLATES</v>
          </cell>
        </row>
        <row r="257">
          <cell r="A257" t="str">
            <v>1022F101</v>
          </cell>
          <cell r="B257" t="str">
            <v>FLAMINGO PHAR LTD</v>
          </cell>
        </row>
        <row r="258">
          <cell r="A258" t="str">
            <v>1022G001</v>
          </cell>
          <cell r="B258" t="str">
            <v>GRAMOPHONE COMPANY OF INDIA</v>
          </cell>
        </row>
        <row r="259">
          <cell r="A259" t="str">
            <v>1022H001</v>
          </cell>
          <cell r="B259" t="str">
            <v>HEWLET PACKARD INDIA LTD</v>
          </cell>
        </row>
        <row r="260">
          <cell r="A260" t="str">
            <v>1022H002</v>
          </cell>
          <cell r="B260" t="str">
            <v>HMV MUSIC (INDIA) LTD</v>
          </cell>
        </row>
        <row r="261">
          <cell r="A261" t="str">
            <v>1022K001</v>
          </cell>
          <cell r="B261" t="str">
            <v>KLM ROYAL DUTCH AIRLINES</v>
          </cell>
        </row>
        <row r="262">
          <cell r="A262" t="str">
            <v>1022K002</v>
          </cell>
          <cell r="B262" t="str">
            <v>KWALITY WALLS</v>
          </cell>
        </row>
        <row r="263">
          <cell r="A263" t="str">
            <v>1022K101</v>
          </cell>
          <cell r="B263" t="str">
            <v>K. UTTAMLAL (EXP) LTD</v>
          </cell>
        </row>
        <row r="264">
          <cell r="A264" t="str">
            <v>1022K501</v>
          </cell>
          <cell r="B264" t="str">
            <v>KREATIVE VISION</v>
          </cell>
        </row>
        <row r="265">
          <cell r="A265" t="str">
            <v>1022M001</v>
          </cell>
          <cell r="B265" t="str">
            <v>MAGNASOUND (INDIA) P. LTD</v>
          </cell>
        </row>
        <row r="266">
          <cell r="A266" t="str">
            <v>1022M002</v>
          </cell>
          <cell r="B266" t="str">
            <v>MARS CREATION - BANDRA</v>
          </cell>
        </row>
        <row r="267">
          <cell r="A267" t="str">
            <v>1022M003</v>
          </cell>
          <cell r="B267" t="str">
            <v>MEDIA VIDEO LTD</v>
          </cell>
        </row>
        <row r="268">
          <cell r="A268" t="str">
            <v>1022N501</v>
          </cell>
          <cell r="B268" t="str">
            <v>NATIONAL INST.OF SALES - NIS</v>
          </cell>
        </row>
        <row r="269">
          <cell r="A269" t="str">
            <v>1022P001</v>
          </cell>
          <cell r="B269" t="str">
            <v>PEPE CLOTHING (INDIA) LTD</v>
          </cell>
        </row>
        <row r="270">
          <cell r="A270" t="str">
            <v>1022P002</v>
          </cell>
          <cell r="B270" t="str">
            <v>PEPSICO (INDIA) HOLDINGS</v>
          </cell>
        </row>
        <row r="271">
          <cell r="A271" t="str">
            <v>1022P003</v>
          </cell>
          <cell r="B271" t="str">
            <v>PEPSI FOODS LTD</v>
          </cell>
        </row>
        <row r="272">
          <cell r="A272" t="str">
            <v>1022P004</v>
          </cell>
          <cell r="B272" t="str">
            <v>POLYGRAM (INDIA) LTD</v>
          </cell>
        </row>
        <row r="273">
          <cell r="A273" t="str">
            <v>1022P005</v>
          </cell>
          <cell r="B273" t="str">
            <v>PROCAM SPORTS LTD</v>
          </cell>
        </row>
        <row r="274">
          <cell r="A274" t="str">
            <v>1022P501</v>
          </cell>
          <cell r="B274" t="str">
            <v>PANCHRATAN HOTELS PVT.LTD</v>
          </cell>
        </row>
        <row r="275">
          <cell r="A275" t="str">
            <v>1022T001</v>
          </cell>
          <cell r="B275" t="str">
            <v>TIPS INDUSTRIES P. LTD</v>
          </cell>
        </row>
        <row r="276">
          <cell r="A276" t="str">
            <v>1022T002</v>
          </cell>
          <cell r="B276" t="str">
            <v>TWENTIETH CENTURY FOX</v>
          </cell>
        </row>
        <row r="277">
          <cell r="A277" t="str">
            <v>1022V001</v>
          </cell>
          <cell r="B277" t="str">
            <v>VENUS RECORDS &amp; TAPES P. LTD</v>
          </cell>
        </row>
        <row r="278">
          <cell r="A278">
            <v>1023</v>
          </cell>
          <cell r="B278" t="str">
            <v>**PROVISION FOR BAD DEBTS*</v>
          </cell>
        </row>
        <row r="279">
          <cell r="A279">
            <v>1024</v>
          </cell>
          <cell r="B279" t="str">
            <v>**OTHER DEBTORS*</v>
          </cell>
        </row>
        <row r="280">
          <cell r="A280" t="str">
            <v>1024A301</v>
          </cell>
          <cell r="B280" t="str">
            <v>ADG CORPORATION</v>
          </cell>
        </row>
        <row r="281">
          <cell r="A281" t="str">
            <v>1024B301</v>
          </cell>
          <cell r="B281" t="str">
            <v>BSI  - DEBTORS</v>
          </cell>
        </row>
        <row r="282">
          <cell r="A282" t="str">
            <v>1024B302</v>
          </cell>
          <cell r="B282" t="str">
            <v>BROAD SYSTEM MULTIMEDIA-INDIA</v>
          </cell>
        </row>
        <row r="283">
          <cell r="A283" t="str">
            <v>1024B303</v>
          </cell>
          <cell r="B283" t="str">
            <v>BREACH CANDY HOSPITAL</v>
          </cell>
        </row>
        <row r="284">
          <cell r="A284" t="str">
            <v>1024C301</v>
          </cell>
          <cell r="B284" t="str">
            <v>SITI CABLE LTD.</v>
          </cell>
        </row>
        <row r="285">
          <cell r="A285" t="str">
            <v>1024S001</v>
          </cell>
          <cell r="B285" t="str">
            <v>SNEHADHARA CONSTRUCTIONS P.LTD</v>
          </cell>
        </row>
        <row r="286">
          <cell r="A286" t="str">
            <v>1024Z301</v>
          </cell>
          <cell r="B286" t="str">
            <v>ZEE JV(P A T CO P LTD)</v>
          </cell>
        </row>
        <row r="287">
          <cell r="A287">
            <v>20</v>
          </cell>
          <cell r="B287" t="str">
            <v>***INTER -CO CURRENT ACCOUNTS*</v>
          </cell>
        </row>
        <row r="288">
          <cell r="A288">
            <v>2001</v>
          </cell>
          <cell r="B288" t="str">
            <v>**INTER - CO CURRENT ACCOUNTS*</v>
          </cell>
        </row>
        <row r="289">
          <cell r="A289">
            <v>20010009</v>
          </cell>
          <cell r="B289" t="str">
            <v>SATELLITE TV ASIAN REGN-COLLTN</v>
          </cell>
        </row>
        <row r="290">
          <cell r="A290">
            <v>200101</v>
          </cell>
          <cell r="B290" t="str">
            <v>*STAR TV LIMITED'S GROUP*</v>
          </cell>
        </row>
        <row r="291">
          <cell r="A291">
            <v>20010107</v>
          </cell>
          <cell r="B291" t="str">
            <v>CHL-STAR TV SPORTS LTD</v>
          </cell>
        </row>
        <row r="292">
          <cell r="A292">
            <v>20010130</v>
          </cell>
          <cell r="B292" t="str">
            <v>STAR ADVERTISING SALES B.V.</v>
          </cell>
        </row>
        <row r="293">
          <cell r="A293">
            <v>20010131</v>
          </cell>
          <cell r="B293" t="str">
            <v>SATELLITE TV ASIAN REGN LTD.</v>
          </cell>
        </row>
        <row r="294">
          <cell r="A294">
            <v>20010262</v>
          </cell>
          <cell r="B294" t="str">
            <v>ESS - ADVERTISING REV</v>
          </cell>
        </row>
        <row r="295">
          <cell r="A295">
            <v>200115</v>
          </cell>
          <cell r="B295" t="str">
            <v>*OTHER COMPANY*</v>
          </cell>
        </row>
        <row r="296">
          <cell r="A296">
            <v>20011537</v>
          </cell>
          <cell r="B296" t="str">
            <v>PRECISION COMPONENT PVT.LTD</v>
          </cell>
        </row>
        <row r="297">
          <cell r="A297">
            <v>200116</v>
          </cell>
          <cell r="B297" t="str">
            <v>*NEWS TELEVISION (I)LTD GROUP*</v>
          </cell>
        </row>
        <row r="298">
          <cell r="A298">
            <v>20011600</v>
          </cell>
          <cell r="B298" t="str">
            <v>INDIA - CORPORATE</v>
          </cell>
        </row>
        <row r="299">
          <cell r="A299">
            <v>20011601</v>
          </cell>
          <cell r="B299" t="str">
            <v>INDIA - PAY CHANNEL</v>
          </cell>
        </row>
        <row r="300">
          <cell r="A300">
            <v>20011602</v>
          </cell>
          <cell r="B300" t="str">
            <v>INDIA - DTH</v>
          </cell>
        </row>
        <row r="301">
          <cell r="A301">
            <v>20011603</v>
          </cell>
          <cell r="B301" t="str">
            <v>INDIA - [V]</v>
          </cell>
        </row>
        <row r="302">
          <cell r="A302">
            <v>20011604</v>
          </cell>
          <cell r="B302" t="str">
            <v>INDIA - STAR PLUS</v>
          </cell>
        </row>
        <row r="303">
          <cell r="A303">
            <v>20011605</v>
          </cell>
          <cell r="B303" t="str">
            <v>INDIA - STAR MOVIES</v>
          </cell>
        </row>
        <row r="304">
          <cell r="A304">
            <v>20011606</v>
          </cell>
          <cell r="B304" t="str">
            <v>INDIA - ADSALES</v>
          </cell>
        </row>
        <row r="305">
          <cell r="A305">
            <v>20011607</v>
          </cell>
          <cell r="B305" t="str">
            <v>INDIA - ETC</v>
          </cell>
        </row>
        <row r="306">
          <cell r="A306">
            <v>20011608</v>
          </cell>
          <cell r="B306" t="str">
            <v>INDIA - BO&amp;E</v>
          </cell>
        </row>
        <row r="307">
          <cell r="A307">
            <v>20011609</v>
          </cell>
          <cell r="B307" t="str">
            <v>INDIA - NNCA</v>
          </cell>
        </row>
        <row r="308">
          <cell r="A308">
            <v>30</v>
          </cell>
          <cell r="B308" t="str">
            <v>***CURRENT LIABILITIES*</v>
          </cell>
        </row>
        <row r="309">
          <cell r="A309">
            <v>3005</v>
          </cell>
          <cell r="B309" t="str">
            <v>**DEFERRED INCOME*</v>
          </cell>
        </row>
        <row r="310">
          <cell r="A310">
            <v>300500</v>
          </cell>
          <cell r="B310" t="str">
            <v>*DEFERRED INCOME*</v>
          </cell>
        </row>
        <row r="311">
          <cell r="A311">
            <v>30050001</v>
          </cell>
          <cell r="B311" t="str">
            <v>DEFERRED INCOME-SUBSCRIPTION</v>
          </cell>
        </row>
        <row r="312">
          <cell r="A312">
            <v>30050002</v>
          </cell>
          <cell r="B312" t="str">
            <v>DEFERRED INCOME-OTHERS</v>
          </cell>
        </row>
        <row r="313">
          <cell r="A313">
            <v>3015</v>
          </cell>
          <cell r="B313" t="str">
            <v>**DEPOSITS / ADVANCES*</v>
          </cell>
        </row>
        <row r="314">
          <cell r="A314">
            <v>301500</v>
          </cell>
          <cell r="B314" t="str">
            <v>*SECURITY DEPO FM SUBSCR-DIGL*</v>
          </cell>
        </row>
        <row r="315">
          <cell r="A315">
            <v>301501</v>
          </cell>
          <cell r="B315" t="str">
            <v>*DEPOSIST FROM DEALERS*</v>
          </cell>
        </row>
        <row r="316">
          <cell r="A316">
            <v>30150100</v>
          </cell>
          <cell r="B316" t="str">
            <v>DEALER  DEPOSITS</v>
          </cell>
        </row>
        <row r="317">
          <cell r="A317">
            <v>301502</v>
          </cell>
          <cell r="B317" t="str">
            <v>*DEPOSITS OTHERS -LIA*</v>
          </cell>
        </row>
        <row r="318">
          <cell r="A318">
            <v>30150201</v>
          </cell>
          <cell r="B318" t="str">
            <v>BHARTI TELECO - DEPOSIT</v>
          </cell>
        </row>
        <row r="319">
          <cell r="A319">
            <v>30150202</v>
          </cell>
          <cell r="B319" t="str">
            <v>NEPC</v>
          </cell>
        </row>
        <row r="320">
          <cell r="A320">
            <v>30150203</v>
          </cell>
          <cell r="B320" t="str">
            <v>LIBERTY DEPOSIT</v>
          </cell>
        </row>
        <row r="321">
          <cell r="A321">
            <v>301503</v>
          </cell>
          <cell r="B321" t="str">
            <v>*OTHER DEPOSIT - NG/OTHERS*</v>
          </cell>
        </row>
        <row r="322">
          <cell r="A322">
            <v>301504</v>
          </cell>
          <cell r="B322" t="str">
            <v>DEPOSITS OTHERS - EMI</v>
          </cell>
        </row>
        <row r="323">
          <cell r="A323">
            <v>301521</v>
          </cell>
          <cell r="B323" t="str">
            <v>*ADVANCE FROM SUBSCRIBERS*</v>
          </cell>
        </row>
        <row r="324">
          <cell r="A324">
            <v>30152100</v>
          </cell>
          <cell r="B324" t="str">
            <v>SUBSCRIPTION ADVANCE</v>
          </cell>
        </row>
        <row r="325">
          <cell r="A325">
            <v>301522</v>
          </cell>
          <cell r="B325" t="str">
            <v>*OTHER ADVANCES-LIA*</v>
          </cell>
        </row>
        <row r="326">
          <cell r="A326">
            <v>30152201</v>
          </cell>
          <cell r="B326" t="str">
            <v>AMBIENCE SPACE SELLERS LTD.</v>
          </cell>
        </row>
        <row r="327">
          <cell r="A327">
            <v>30152202</v>
          </cell>
          <cell r="B327" t="str">
            <v>BCCI</v>
          </cell>
        </row>
        <row r="328">
          <cell r="A328">
            <v>30152203</v>
          </cell>
          <cell r="B328" t="str">
            <v>CCI</v>
          </cell>
        </row>
        <row r="329">
          <cell r="A329">
            <v>30152204</v>
          </cell>
          <cell r="B329" t="str">
            <v>DOORDARSHAN</v>
          </cell>
        </row>
        <row r="330">
          <cell r="A330">
            <v>30152205</v>
          </cell>
          <cell r="B330" t="str">
            <v>PROFESSIONAL MANAGEMENT GROUP</v>
          </cell>
        </row>
        <row r="331">
          <cell r="A331">
            <v>30152206</v>
          </cell>
          <cell r="B331" t="str">
            <v>SETWORK</v>
          </cell>
        </row>
        <row r="332">
          <cell r="A332">
            <v>3020</v>
          </cell>
          <cell r="B332" t="str">
            <v>**SUNDRY CREDITORS*</v>
          </cell>
        </row>
        <row r="333">
          <cell r="A333">
            <v>3050</v>
          </cell>
          <cell r="B333" t="str">
            <v>**OTHER CREDITORS &amp; ACCRUALS*</v>
          </cell>
        </row>
        <row r="334">
          <cell r="A334">
            <v>305001</v>
          </cell>
          <cell r="B334" t="str">
            <v>*ACCRUALS*</v>
          </cell>
        </row>
        <row r="335">
          <cell r="A335">
            <v>30500109</v>
          </cell>
          <cell r="B335" t="str">
            <v>ACCRUED EXP - TAXATION</v>
          </cell>
        </row>
        <row r="336">
          <cell r="A336">
            <v>30500111</v>
          </cell>
          <cell r="B336" t="str">
            <v>ACCRUED EXP - SALARY</v>
          </cell>
        </row>
        <row r="337">
          <cell r="A337">
            <v>30500112</v>
          </cell>
          <cell r="B337" t="str">
            <v>ACCRUED EXP - BONUS</v>
          </cell>
        </row>
        <row r="338">
          <cell r="A338">
            <v>30500131</v>
          </cell>
          <cell r="B338" t="str">
            <v>ACCRUED EXP - GRATUITY</v>
          </cell>
        </row>
        <row r="339">
          <cell r="A339">
            <v>30500132</v>
          </cell>
          <cell r="B339" t="str">
            <v>ACCRUED INTEREST BUT NOT DUE</v>
          </cell>
        </row>
        <row r="340">
          <cell r="A340">
            <v>30500150</v>
          </cell>
          <cell r="B340" t="str">
            <v>ACCRUED EXP - OTHERS</v>
          </cell>
        </row>
        <row r="341">
          <cell r="A341">
            <v>305002</v>
          </cell>
          <cell r="B341" t="str">
            <v>*UNCLAIMED CHEQUES (INDIA)*</v>
          </cell>
        </row>
        <row r="342">
          <cell r="A342">
            <v>30500201</v>
          </cell>
          <cell r="B342" t="str">
            <v>UNCLAIMED CHEQUES (INDIA)</v>
          </cell>
        </row>
        <row r="343">
          <cell r="A343">
            <v>30501009</v>
          </cell>
          <cell r="B343" t="str">
            <v>PROV FOR OBSOLESXENCE OF ASSET</v>
          </cell>
        </row>
        <row r="344">
          <cell r="A344">
            <v>305030</v>
          </cell>
          <cell r="B344" t="str">
            <v>*PROVISION FOR TAX*</v>
          </cell>
        </row>
        <row r="345">
          <cell r="A345">
            <v>30503001</v>
          </cell>
          <cell r="B345" t="str">
            <v>PROFESSIONAL TAX</v>
          </cell>
        </row>
        <row r="346">
          <cell r="A346">
            <v>30503002</v>
          </cell>
          <cell r="B346" t="str">
            <v>PROVIDENT FUND PAYABLE</v>
          </cell>
        </row>
        <row r="347">
          <cell r="A347">
            <v>30503003</v>
          </cell>
          <cell r="B347" t="str">
            <v>ESIC PAYABLE</v>
          </cell>
        </row>
        <row r="348">
          <cell r="A348">
            <v>30503004</v>
          </cell>
          <cell r="B348" t="str">
            <v>TDS ON SALARIES</v>
          </cell>
        </row>
        <row r="349">
          <cell r="A349">
            <v>30503005</v>
          </cell>
          <cell r="B349" t="str">
            <v>TDS ON RENT</v>
          </cell>
        </row>
        <row r="350">
          <cell r="A350">
            <v>30503006</v>
          </cell>
          <cell r="B350" t="str">
            <v>TDS ON CONTRACTORS</v>
          </cell>
        </row>
        <row r="351">
          <cell r="A351">
            <v>30503007</v>
          </cell>
          <cell r="B351" t="str">
            <v>TDS ON PROFESSIONAL SERV</v>
          </cell>
        </row>
        <row r="352">
          <cell r="A352">
            <v>30503008</v>
          </cell>
          <cell r="B352" t="str">
            <v>TDS OTHERS</v>
          </cell>
        </row>
        <row r="353">
          <cell r="A353">
            <v>35</v>
          </cell>
          <cell r="B353" t="str">
            <v>***LONG TERM LIABILITIES*</v>
          </cell>
        </row>
        <row r="354">
          <cell r="A354">
            <v>3502</v>
          </cell>
          <cell r="B354" t="str">
            <v>**LOANS*</v>
          </cell>
        </row>
        <row r="355">
          <cell r="A355">
            <v>350201</v>
          </cell>
          <cell r="B355" t="str">
            <v>*SECURED LOANS*</v>
          </cell>
        </row>
        <row r="356">
          <cell r="A356">
            <v>35020101</v>
          </cell>
          <cell r="B356" t="str">
            <v>SECURED LOANS</v>
          </cell>
        </row>
        <row r="357">
          <cell r="A357">
            <v>350202</v>
          </cell>
          <cell r="B357" t="str">
            <v>*UNSECURED LOANS*</v>
          </cell>
        </row>
        <row r="358">
          <cell r="A358">
            <v>35020201</v>
          </cell>
          <cell r="B358" t="str">
            <v>UNSECURED LOANS</v>
          </cell>
        </row>
        <row r="359">
          <cell r="A359">
            <v>35030101</v>
          </cell>
          <cell r="B359" t="str">
            <v>L.TERM DEFERRED LIABILITIES</v>
          </cell>
        </row>
        <row r="360">
          <cell r="A360">
            <v>41</v>
          </cell>
          <cell r="B360" t="str">
            <v>***SHARE CAPITAL*</v>
          </cell>
        </row>
        <row r="361">
          <cell r="A361">
            <v>4100</v>
          </cell>
          <cell r="B361" t="str">
            <v>**SHARE CAPITAL*</v>
          </cell>
        </row>
        <row r="362">
          <cell r="A362">
            <v>410000</v>
          </cell>
          <cell r="B362" t="str">
            <v>*SHARE CAPITAL*</v>
          </cell>
        </row>
        <row r="363">
          <cell r="A363">
            <v>41000000</v>
          </cell>
          <cell r="B363" t="str">
            <v>SHARE CAPITAL</v>
          </cell>
        </row>
        <row r="364">
          <cell r="A364">
            <v>410006</v>
          </cell>
          <cell r="B364" t="str">
            <v>*ADVANCE EQUITY*</v>
          </cell>
        </row>
        <row r="365">
          <cell r="A365">
            <v>41000601</v>
          </cell>
          <cell r="B365" t="str">
            <v>ADVANCE EQUITY</v>
          </cell>
        </row>
        <row r="366">
          <cell r="A366">
            <v>42</v>
          </cell>
          <cell r="B366" t="str">
            <v>***RESERVES*</v>
          </cell>
        </row>
        <row r="367">
          <cell r="A367">
            <v>4204</v>
          </cell>
          <cell r="B367" t="str">
            <v>**CAPITAL RESERVE*</v>
          </cell>
        </row>
        <row r="368">
          <cell r="A368">
            <v>420400</v>
          </cell>
          <cell r="B368" t="str">
            <v>*CAPITAL RESERVE*</v>
          </cell>
        </row>
        <row r="369">
          <cell r="A369">
            <v>42040000</v>
          </cell>
          <cell r="B369" t="str">
            <v>CAPITAL RESERVE</v>
          </cell>
        </row>
        <row r="370">
          <cell r="A370">
            <v>4210</v>
          </cell>
          <cell r="B370" t="str">
            <v>**RETAINED PROFIT B/F*</v>
          </cell>
        </row>
        <row r="371">
          <cell r="A371">
            <v>421000</v>
          </cell>
          <cell r="B371" t="str">
            <v>*RETAINED PROFIT B/F*</v>
          </cell>
        </row>
        <row r="372">
          <cell r="A372">
            <v>42100001</v>
          </cell>
          <cell r="B372" t="str">
            <v>ACC DEFICIT / RETAINED PROFIT</v>
          </cell>
        </row>
        <row r="373">
          <cell r="A373">
            <v>50</v>
          </cell>
          <cell r="B373" t="str">
            <v>***REVENUE*</v>
          </cell>
        </row>
        <row r="374">
          <cell r="A374">
            <v>5018</v>
          </cell>
          <cell r="B374" t="str">
            <v>**SUBSCRIPTION SALES*</v>
          </cell>
        </row>
        <row r="375">
          <cell r="A375">
            <v>501801</v>
          </cell>
          <cell r="B375" t="str">
            <v>*DIRECT - TO - HOME OPERATION*</v>
          </cell>
        </row>
        <row r="376">
          <cell r="A376">
            <v>50180101</v>
          </cell>
          <cell r="B376" t="str">
            <v>DTH SUB SALES</v>
          </cell>
        </row>
        <row r="377">
          <cell r="A377">
            <v>501802</v>
          </cell>
          <cell r="B377" t="str">
            <v>*CATV OPERATION*</v>
          </cell>
        </row>
        <row r="378">
          <cell r="A378">
            <v>50180201</v>
          </cell>
          <cell r="B378" t="str">
            <v>CATV SUB SALES</v>
          </cell>
        </row>
        <row r="379">
          <cell r="A379">
            <v>501820</v>
          </cell>
          <cell r="B379" t="str">
            <v>*SALES DEDUCTION ITEMS*</v>
          </cell>
        </row>
        <row r="380">
          <cell r="A380">
            <v>50182001</v>
          </cell>
          <cell r="B380" t="str">
            <v>SUB SALES DEDCTN</v>
          </cell>
        </row>
        <row r="381">
          <cell r="A381">
            <v>501825</v>
          </cell>
          <cell r="B381" t="str">
            <v>*SUBS RELATED INCOME*</v>
          </cell>
        </row>
        <row r="382">
          <cell r="A382">
            <v>50182501</v>
          </cell>
          <cell r="B382" t="str">
            <v>TECHNICAL CONSULTANCY FEE</v>
          </cell>
        </row>
        <row r="383">
          <cell r="A383">
            <v>50182502</v>
          </cell>
          <cell r="B383" t="str">
            <v>INSTALLATION FEE</v>
          </cell>
        </row>
        <row r="384">
          <cell r="A384">
            <v>50182503</v>
          </cell>
          <cell r="B384" t="str">
            <v>ACTIVATION FEE</v>
          </cell>
        </row>
        <row r="385">
          <cell r="A385">
            <v>50182504</v>
          </cell>
          <cell r="B385" t="str">
            <v>CONSUMABLE SALES C-BAND</v>
          </cell>
        </row>
        <row r="386">
          <cell r="A386">
            <v>5019</v>
          </cell>
          <cell r="B386" t="str">
            <v>**EQUIPMENT SALES*</v>
          </cell>
        </row>
        <row r="387">
          <cell r="A387">
            <v>501901</v>
          </cell>
          <cell r="B387" t="str">
            <v>*EQUIPMENT SALES*</v>
          </cell>
        </row>
        <row r="388">
          <cell r="A388">
            <v>50190190</v>
          </cell>
          <cell r="B388" t="str">
            <v>EQ SALES-OTHERS</v>
          </cell>
        </row>
        <row r="389">
          <cell r="A389">
            <v>5035</v>
          </cell>
          <cell r="B389" t="str">
            <v>**COMMISSION INCOME*</v>
          </cell>
        </row>
        <row r="390">
          <cell r="A390">
            <v>503501</v>
          </cell>
          <cell r="B390" t="str">
            <v>*COMMISSION INCOME*</v>
          </cell>
        </row>
        <row r="391">
          <cell r="A391">
            <v>50350102</v>
          </cell>
          <cell r="B391" t="str">
            <v>COMMISSION  INCOME</v>
          </cell>
        </row>
        <row r="392">
          <cell r="A392">
            <v>5090</v>
          </cell>
          <cell r="B392" t="str">
            <v>**OTHER OPERATING REVENUE*</v>
          </cell>
        </row>
        <row r="393">
          <cell r="A393">
            <v>50900104</v>
          </cell>
          <cell r="B393" t="str">
            <v>PROGRAMME SALES-OTHERS(EXPORT)</v>
          </cell>
        </row>
        <row r="394">
          <cell r="A394">
            <v>50900300</v>
          </cell>
          <cell r="B394" t="str">
            <v>EXTERNAL BO&amp;E CHARGES</v>
          </cell>
        </row>
        <row r="395">
          <cell r="A395">
            <v>509010</v>
          </cell>
          <cell r="B395" t="str">
            <v>*INTEREST INCOME*</v>
          </cell>
        </row>
        <row r="396">
          <cell r="A396">
            <v>50901003</v>
          </cell>
          <cell r="B396" t="str">
            <v>BANK INTEREST INCOME- INDIA</v>
          </cell>
        </row>
        <row r="397">
          <cell r="A397">
            <v>509015</v>
          </cell>
          <cell r="B397" t="str">
            <v>*GAIN/LOSS ON FA DISPOSAL*</v>
          </cell>
        </row>
        <row r="398">
          <cell r="A398">
            <v>50901500</v>
          </cell>
          <cell r="B398" t="str">
            <v>GAIN/LOSS ON FA DISPOSAL</v>
          </cell>
        </row>
        <row r="399">
          <cell r="A399">
            <v>509020</v>
          </cell>
          <cell r="B399" t="str">
            <v>*OTHER INCOME*</v>
          </cell>
        </row>
        <row r="400">
          <cell r="A400">
            <v>50902003</v>
          </cell>
          <cell r="B400" t="str">
            <v>DIVIDEND INCOME</v>
          </cell>
        </row>
        <row r="401">
          <cell r="A401">
            <v>50902005</v>
          </cell>
          <cell r="B401" t="str">
            <v>INT ON OTHER INV  -INDIA</v>
          </cell>
        </row>
        <row r="402">
          <cell r="A402">
            <v>50902006</v>
          </cell>
          <cell r="B402" t="str">
            <v>REACTIVATION CHARGES</v>
          </cell>
        </row>
        <row r="403">
          <cell r="A403">
            <v>50902007</v>
          </cell>
          <cell r="B403" t="str">
            <v>VIEWING CHARGES</v>
          </cell>
        </row>
        <row r="404">
          <cell r="A404">
            <v>50902008</v>
          </cell>
          <cell r="B404" t="str">
            <v>SERVICE FEES</v>
          </cell>
        </row>
        <row r="405">
          <cell r="A405">
            <v>50902009</v>
          </cell>
          <cell r="B405" t="str">
            <v>HARDWARE COMMISSION</v>
          </cell>
        </row>
        <row r="406">
          <cell r="A406">
            <v>50902011</v>
          </cell>
          <cell r="B406" t="str">
            <v>INSTALLATION FEE</v>
          </cell>
        </row>
        <row r="407">
          <cell r="A407">
            <v>50902012</v>
          </cell>
          <cell r="B407" t="str">
            <v>ACTIVATION FEE</v>
          </cell>
        </row>
        <row r="408">
          <cell r="A408">
            <v>50902013</v>
          </cell>
          <cell r="B408" t="str">
            <v>CONSUMABLE SALES C-BAND</v>
          </cell>
        </row>
        <row r="409">
          <cell r="A409">
            <v>50902015</v>
          </cell>
          <cell r="B409" t="str">
            <v>USAGE INCOME - LOANER PC2</v>
          </cell>
        </row>
        <row r="410">
          <cell r="A410">
            <v>50902090</v>
          </cell>
          <cell r="B410" t="str">
            <v>OTHER INCOME</v>
          </cell>
        </row>
        <row r="411">
          <cell r="A411">
            <v>50902091</v>
          </cell>
          <cell r="B411" t="str">
            <v>ROYALTIES</v>
          </cell>
        </row>
        <row r="412">
          <cell r="A412">
            <v>60</v>
          </cell>
          <cell r="B412" t="str">
            <v>***EXPENSES*</v>
          </cell>
        </row>
        <row r="413">
          <cell r="A413">
            <v>6001</v>
          </cell>
          <cell r="B413" t="str">
            <v>**STAFF COSTS*</v>
          </cell>
        </row>
        <row r="414">
          <cell r="A414">
            <v>600101</v>
          </cell>
          <cell r="B414" t="str">
            <v>*SALARY COSTS*</v>
          </cell>
        </row>
        <row r="415">
          <cell r="A415">
            <v>60010101</v>
          </cell>
          <cell r="B415" t="str">
            <v>SALARY</v>
          </cell>
        </row>
        <row r="416">
          <cell r="A416">
            <v>60010102</v>
          </cell>
          <cell r="B416" t="str">
            <v>HOUSING ALLOWANCE</v>
          </cell>
        </row>
        <row r="417">
          <cell r="A417">
            <v>60010103</v>
          </cell>
          <cell r="B417" t="str">
            <v>BONUS</v>
          </cell>
        </row>
        <row r="418">
          <cell r="A418">
            <v>600102</v>
          </cell>
          <cell r="B418" t="str">
            <v>*ALLOWANCES*</v>
          </cell>
        </row>
        <row r="419">
          <cell r="A419">
            <v>60010201</v>
          </cell>
          <cell r="B419" t="str">
            <v>RELOCATION ALLOWANCE</v>
          </cell>
        </row>
        <row r="420">
          <cell r="A420">
            <v>60010202</v>
          </cell>
          <cell r="B420" t="str">
            <v>MEAL &amp; HOTEL EXP ALLOWANCE</v>
          </cell>
        </row>
        <row r="421">
          <cell r="A421">
            <v>60010290</v>
          </cell>
          <cell r="B421" t="str">
            <v>OTHER ALLOWANCES</v>
          </cell>
        </row>
        <row r="422">
          <cell r="A422">
            <v>600103</v>
          </cell>
          <cell r="B422" t="str">
            <v>*STAFF BENEFITS*</v>
          </cell>
        </row>
        <row r="423">
          <cell r="A423">
            <v>60010301</v>
          </cell>
          <cell r="B423" t="str">
            <v>COMPANY PAID HOUSE RENTAL</v>
          </cell>
        </row>
        <row r="424">
          <cell r="A424">
            <v>60010302</v>
          </cell>
          <cell r="B424" t="str">
            <v>MOTOR CAR RUNNING EXPENSES</v>
          </cell>
        </row>
        <row r="425">
          <cell r="A425">
            <v>60010303</v>
          </cell>
          <cell r="B425" t="str">
            <v>MEDICIAL EXPENSES</v>
          </cell>
        </row>
        <row r="426">
          <cell r="A426">
            <v>60010305</v>
          </cell>
          <cell r="B426" t="str">
            <v>OTHER REIMBURSEMENT</v>
          </cell>
        </row>
        <row r="427">
          <cell r="A427">
            <v>60010306</v>
          </cell>
          <cell r="B427" t="str">
            <v>LEAVE ENCASHMENT</v>
          </cell>
        </row>
        <row r="428">
          <cell r="A428">
            <v>60010307</v>
          </cell>
          <cell r="B428" t="str">
            <v>COMPENSATION ON RETIREMENT/DEA</v>
          </cell>
        </row>
        <row r="429">
          <cell r="A429">
            <v>600104</v>
          </cell>
          <cell r="B429" t="str">
            <v>*PROVIDENT/PENSION FUND/ESIC*</v>
          </cell>
        </row>
        <row r="430">
          <cell r="A430">
            <v>60010400</v>
          </cell>
          <cell r="B430" t="str">
            <v>PROVIDENT FUND</v>
          </cell>
        </row>
        <row r="431">
          <cell r="A431">
            <v>60010401</v>
          </cell>
          <cell r="B431" t="str">
            <v>FAMILY PROVIDENT FUND</v>
          </cell>
        </row>
        <row r="432">
          <cell r="A432">
            <v>60010402</v>
          </cell>
          <cell r="B432" t="str">
            <v>PENSION FUND</v>
          </cell>
        </row>
        <row r="433">
          <cell r="A433">
            <v>60010403</v>
          </cell>
          <cell r="B433" t="str">
            <v>EMPLOYEE STATE INSUR.CORP.</v>
          </cell>
        </row>
        <row r="434">
          <cell r="A434">
            <v>60010404</v>
          </cell>
          <cell r="B434" t="str">
            <v>ADMINISTRATION CHARGES-PF</v>
          </cell>
        </row>
        <row r="435">
          <cell r="A435">
            <v>600105</v>
          </cell>
          <cell r="B435" t="str">
            <v>*FREELANCE / CONTRACTORS*</v>
          </cell>
        </row>
        <row r="436">
          <cell r="A436">
            <v>60010500</v>
          </cell>
          <cell r="B436" t="str">
            <v>FREELANCE / CONTRACTORS</v>
          </cell>
        </row>
        <row r="437">
          <cell r="A437">
            <v>600106</v>
          </cell>
          <cell r="B437" t="str">
            <v>*RECRUITMENT ADVERTISING*</v>
          </cell>
        </row>
        <row r="438">
          <cell r="A438">
            <v>60010600</v>
          </cell>
          <cell r="B438" t="str">
            <v>RECRUITMENT ADVERTISING</v>
          </cell>
        </row>
        <row r="439">
          <cell r="A439">
            <v>600107</v>
          </cell>
          <cell r="B439" t="str">
            <v>*SEMINAR/TRAINING COURSE*</v>
          </cell>
        </row>
        <row r="440">
          <cell r="A440">
            <v>60010700</v>
          </cell>
          <cell r="B440" t="str">
            <v>SEMINAR/TRAINING COURSE</v>
          </cell>
        </row>
        <row r="441">
          <cell r="A441">
            <v>600108</v>
          </cell>
          <cell r="B441" t="str">
            <v>*STAFF FUNCTION*</v>
          </cell>
        </row>
        <row r="442">
          <cell r="A442">
            <v>60010800</v>
          </cell>
          <cell r="B442" t="str">
            <v>STAFF FUNCTION</v>
          </cell>
        </row>
        <row r="443">
          <cell r="A443">
            <v>600120</v>
          </cell>
          <cell r="B443" t="str">
            <v>*OTHER STAFF COSTS*</v>
          </cell>
        </row>
        <row r="444">
          <cell r="A444">
            <v>60012001</v>
          </cell>
          <cell r="B444" t="str">
            <v>OVERTIME PAYMENT</v>
          </cell>
        </row>
        <row r="445">
          <cell r="A445">
            <v>60012003</v>
          </cell>
          <cell r="B445" t="str">
            <v>SEVERENCE  PAYMENT</v>
          </cell>
        </row>
        <row r="446">
          <cell r="A446">
            <v>60012004</v>
          </cell>
          <cell r="B446" t="str">
            <v>GRATUITY</v>
          </cell>
        </row>
        <row r="447">
          <cell r="A447">
            <v>6002</v>
          </cell>
          <cell r="B447" t="str">
            <v>**PREMISES RELATED COSTS*</v>
          </cell>
        </row>
        <row r="448">
          <cell r="A448">
            <v>600201</v>
          </cell>
          <cell r="B448" t="str">
            <v>*OFFICE RENTAL*</v>
          </cell>
        </row>
        <row r="449">
          <cell r="A449">
            <v>60020100</v>
          </cell>
          <cell r="B449" t="str">
            <v>OFFICE RENTAL</v>
          </cell>
        </row>
        <row r="450">
          <cell r="A450">
            <v>600202</v>
          </cell>
          <cell r="B450" t="str">
            <v>*OFFICE MANAGEMENT FEE*</v>
          </cell>
        </row>
        <row r="451">
          <cell r="A451">
            <v>60020200</v>
          </cell>
          <cell r="B451" t="str">
            <v>OFFICE MANAGEMENT FEE</v>
          </cell>
        </row>
        <row r="452">
          <cell r="A452">
            <v>600204</v>
          </cell>
          <cell r="B452" t="str">
            <v>*CLEANING*</v>
          </cell>
        </row>
        <row r="453">
          <cell r="A453">
            <v>60020400</v>
          </cell>
          <cell r="B453" t="str">
            <v>CLEANING</v>
          </cell>
        </row>
        <row r="454">
          <cell r="A454">
            <v>600205</v>
          </cell>
          <cell r="B454" t="str">
            <v>*UTILITIES EXPENSES*</v>
          </cell>
        </row>
        <row r="455">
          <cell r="A455">
            <v>60020500</v>
          </cell>
          <cell r="B455" t="str">
            <v>UTILITIES EXPENSES</v>
          </cell>
        </row>
        <row r="456">
          <cell r="A456">
            <v>600206</v>
          </cell>
          <cell r="B456" t="str">
            <v>*GUARD SERVICE*</v>
          </cell>
        </row>
        <row r="457">
          <cell r="A457">
            <v>60020600</v>
          </cell>
          <cell r="B457" t="str">
            <v>GUARD SERVICE</v>
          </cell>
        </row>
        <row r="458">
          <cell r="A458">
            <v>6010</v>
          </cell>
          <cell r="B458" t="str">
            <v>**TRAVEL AND ENTERTAINMENT*</v>
          </cell>
        </row>
        <row r="459">
          <cell r="A459">
            <v>601001</v>
          </cell>
          <cell r="B459" t="str">
            <v>*ENTERTAINMENT*</v>
          </cell>
        </row>
        <row r="460">
          <cell r="A460">
            <v>60100100</v>
          </cell>
          <cell r="B460" t="str">
            <v>ENTERTAINMENT</v>
          </cell>
        </row>
        <row r="461">
          <cell r="A461">
            <v>60100101</v>
          </cell>
          <cell r="B461" t="str">
            <v>ENTERTAINMENT</v>
          </cell>
        </row>
        <row r="462">
          <cell r="A462">
            <v>601002</v>
          </cell>
          <cell r="B462" t="str">
            <v>*AIR TICKET AND VISA*</v>
          </cell>
        </row>
        <row r="463">
          <cell r="A463">
            <v>60100200</v>
          </cell>
          <cell r="B463" t="str">
            <v>AIR TICKET &amp; VISA (T&amp;E)</v>
          </cell>
        </row>
        <row r="464">
          <cell r="A464">
            <v>601003</v>
          </cell>
          <cell r="B464" t="str">
            <v>*HOTEL ACCOMMODATION*</v>
          </cell>
        </row>
        <row r="465">
          <cell r="A465">
            <v>60100300</v>
          </cell>
          <cell r="B465" t="str">
            <v>HOTEL ACCOMMODATION</v>
          </cell>
        </row>
        <row r="466">
          <cell r="A466">
            <v>601004</v>
          </cell>
          <cell r="B466" t="str">
            <v>*TRAVELLING*</v>
          </cell>
        </row>
        <row r="467">
          <cell r="A467">
            <v>60100401</v>
          </cell>
          <cell r="B467" t="str">
            <v>LOCAL TRAVELLING</v>
          </cell>
        </row>
        <row r="468">
          <cell r="A468">
            <v>60100402</v>
          </cell>
          <cell r="B468" t="str">
            <v>OVERSEAS TRAVELLING</v>
          </cell>
        </row>
        <row r="469">
          <cell r="A469">
            <v>60100403</v>
          </cell>
          <cell r="B469" t="str">
            <v>MOTOR CAR RUNNING EXPENSE</v>
          </cell>
        </row>
        <row r="470">
          <cell r="A470">
            <v>6021</v>
          </cell>
          <cell r="B470" t="str">
            <v>**PROGRAMME PRODUCTION COSTS*</v>
          </cell>
        </row>
        <row r="471">
          <cell r="A471">
            <v>602101</v>
          </cell>
          <cell r="B471" t="str">
            <v>**SATELLITE FEED &amp; DATA EXPEN*</v>
          </cell>
        </row>
        <row r="472">
          <cell r="A472">
            <v>60210101</v>
          </cell>
          <cell r="B472" t="str">
            <v>UPLINK / DOWNLINK</v>
          </cell>
        </row>
        <row r="473">
          <cell r="A473">
            <v>60210102</v>
          </cell>
          <cell r="B473" t="str">
            <v>CANCELLATION CHRG &amp; USED TIME</v>
          </cell>
        </row>
        <row r="474">
          <cell r="A474">
            <v>60210103</v>
          </cell>
          <cell r="B474" t="str">
            <v>VIDEOLINK RENTAL</v>
          </cell>
        </row>
        <row r="475">
          <cell r="A475">
            <v>60210105</v>
          </cell>
          <cell r="B475" t="str">
            <v>FACILITIES</v>
          </cell>
        </row>
        <row r="476">
          <cell r="A476">
            <v>60210106</v>
          </cell>
          <cell r="B476" t="str">
            <v>COMMUNICATIONS / TXM LINES</v>
          </cell>
        </row>
        <row r="477">
          <cell r="A477">
            <v>602102</v>
          </cell>
          <cell r="B477" t="str">
            <v>*ON SITE PRODUCTION*</v>
          </cell>
        </row>
        <row r="478">
          <cell r="A478">
            <v>60210201</v>
          </cell>
          <cell r="B478" t="str">
            <v>PROPS</v>
          </cell>
        </row>
        <row r="479">
          <cell r="A479">
            <v>60210202</v>
          </cell>
          <cell r="B479" t="str">
            <v>PER DIEM &amp; MESSING</v>
          </cell>
        </row>
        <row r="480">
          <cell r="A480">
            <v>60210203</v>
          </cell>
          <cell r="B480" t="str">
            <v>SETS AND SET UP (PRODUCTION)</v>
          </cell>
        </row>
        <row r="481">
          <cell r="A481">
            <v>60210204</v>
          </cell>
          <cell r="B481" t="str">
            <v>VENUE RENTAL (PRODUCTION)</v>
          </cell>
        </row>
        <row r="482">
          <cell r="A482">
            <v>60210205</v>
          </cell>
          <cell r="B482" t="str">
            <v>STUDIO RENTAL</v>
          </cell>
        </row>
        <row r="483">
          <cell r="A483">
            <v>60210206</v>
          </cell>
          <cell r="B483" t="str">
            <v>EFP CREW AND EQUIPMENT RENTAL</v>
          </cell>
        </row>
        <row r="484">
          <cell r="A484">
            <v>60210207</v>
          </cell>
          <cell r="B484" t="str">
            <v>PRODUCTION FREELANCERS</v>
          </cell>
        </row>
        <row r="485">
          <cell r="A485">
            <v>60210208</v>
          </cell>
          <cell r="B485" t="str">
            <v>PRODUCTION-STAND BY MEDICAL</v>
          </cell>
        </row>
        <row r="486">
          <cell r="A486">
            <v>60210209</v>
          </cell>
          <cell r="B486" t="str">
            <v>PRODUCTION-INSURANCE</v>
          </cell>
        </row>
        <row r="487">
          <cell r="A487">
            <v>60210210</v>
          </cell>
          <cell r="B487" t="str">
            <v>SANCTION FEE / LICENCE FEE</v>
          </cell>
        </row>
        <row r="488">
          <cell r="A488">
            <v>60210211</v>
          </cell>
          <cell r="B488" t="str">
            <v>PRODUCTION STAFF</v>
          </cell>
        </row>
        <row r="489">
          <cell r="A489">
            <v>60210212</v>
          </cell>
          <cell r="B489" t="str">
            <v>PROD - TECHNICAL STAFF</v>
          </cell>
        </row>
        <row r="490">
          <cell r="A490">
            <v>60210213</v>
          </cell>
          <cell r="B490" t="str">
            <v>SUPPORT STAFF</v>
          </cell>
        </row>
        <row r="491">
          <cell r="A491">
            <v>60210214</v>
          </cell>
          <cell r="B491" t="str">
            <v>COURIER, FREIGHT -DPC</v>
          </cell>
        </row>
        <row r="492">
          <cell r="A492">
            <v>60210215</v>
          </cell>
          <cell r="B492" t="str">
            <v>VOICE OVER RECORDING</v>
          </cell>
        </row>
        <row r="493">
          <cell r="A493">
            <v>60210217</v>
          </cell>
          <cell r="B493" t="str">
            <v>EQ RENTAL - CAMERA</v>
          </cell>
        </row>
        <row r="494">
          <cell r="A494">
            <v>60210218</v>
          </cell>
          <cell r="B494" t="str">
            <v>EQ RENTAL - LIGHTS</v>
          </cell>
        </row>
        <row r="495">
          <cell r="A495">
            <v>60210219</v>
          </cell>
          <cell r="B495" t="str">
            <v>EQ RENTAL - SOUND</v>
          </cell>
        </row>
        <row r="496">
          <cell r="A496">
            <v>60210220</v>
          </cell>
          <cell r="B496" t="str">
            <v>EQ RENTAL - GENERATOR</v>
          </cell>
        </row>
        <row r="497">
          <cell r="A497">
            <v>60210221</v>
          </cell>
          <cell r="B497" t="str">
            <v>EQ RENTAL - CRANE</v>
          </cell>
        </row>
        <row r="498">
          <cell r="A498">
            <v>60210222</v>
          </cell>
          <cell r="B498" t="str">
            <v>EQ RENTAL - TELEPROMTOR</v>
          </cell>
        </row>
        <row r="499">
          <cell r="A499">
            <v>60210223</v>
          </cell>
          <cell r="B499" t="str">
            <v>EFP CREW - CAMERA</v>
          </cell>
        </row>
        <row r="500">
          <cell r="A500">
            <v>60210224</v>
          </cell>
          <cell r="B500" t="str">
            <v>EFP CREW - LIGHTS</v>
          </cell>
        </row>
        <row r="501">
          <cell r="A501">
            <v>60210225</v>
          </cell>
          <cell r="B501" t="str">
            <v>EFP CREW - SOUND</v>
          </cell>
        </row>
        <row r="502">
          <cell r="A502">
            <v>60210226</v>
          </cell>
          <cell r="B502" t="str">
            <v>EFP CREW - GENERATOR</v>
          </cell>
        </row>
        <row r="503">
          <cell r="A503">
            <v>60210227</v>
          </cell>
          <cell r="B503" t="str">
            <v>EFP CREW - SPOT BOYS</v>
          </cell>
        </row>
        <row r="504">
          <cell r="A504">
            <v>60210228</v>
          </cell>
          <cell r="B504" t="str">
            <v>TECH STAFF  - CAREMA MAN</v>
          </cell>
        </row>
        <row r="505">
          <cell r="A505">
            <v>60210229</v>
          </cell>
          <cell r="B505" t="str">
            <v>TECH STAFF - SOUND RECORDIST</v>
          </cell>
        </row>
        <row r="506">
          <cell r="A506">
            <v>60210230</v>
          </cell>
          <cell r="B506" t="str">
            <v>TECH STAFF - ON LINE EDITOR</v>
          </cell>
        </row>
        <row r="507">
          <cell r="A507">
            <v>60210231</v>
          </cell>
          <cell r="B507" t="str">
            <v>TECH STAFF - OFF LINE EDITOR</v>
          </cell>
        </row>
        <row r="508">
          <cell r="A508">
            <v>60210290</v>
          </cell>
          <cell r="B508" t="str">
            <v>ON SITE PROD - GENERAL</v>
          </cell>
        </row>
        <row r="509">
          <cell r="A509">
            <v>602103</v>
          </cell>
          <cell r="B509" t="str">
            <v>*COMMISSIONED PRODUCTION*</v>
          </cell>
        </row>
        <row r="510">
          <cell r="A510">
            <v>60210301</v>
          </cell>
          <cell r="B510" t="str">
            <v>PRODUCTION FEE</v>
          </cell>
        </row>
        <row r="511">
          <cell r="A511">
            <v>60210302</v>
          </cell>
          <cell r="B511" t="str">
            <v>CLIPS -COMMISSIONED</v>
          </cell>
        </row>
        <row r="512">
          <cell r="A512">
            <v>60210304</v>
          </cell>
          <cell r="B512" t="str">
            <v>MUSIC -COMMISSIONED</v>
          </cell>
        </row>
        <row r="513">
          <cell r="A513">
            <v>60210305</v>
          </cell>
          <cell r="B513" t="str">
            <v>GRAPHIC PACKAGE -COMMISSIONED</v>
          </cell>
        </row>
        <row r="514">
          <cell r="A514">
            <v>602104</v>
          </cell>
          <cell r="B514" t="str">
            <v>*TALENT &amp;TALENT RELATED COSTS*</v>
          </cell>
        </row>
        <row r="515">
          <cell r="A515">
            <v>60210401</v>
          </cell>
          <cell r="B515" t="str">
            <v>TALENT / VJS / PRESENTERS</v>
          </cell>
        </row>
        <row r="516">
          <cell r="A516">
            <v>60210403</v>
          </cell>
          <cell r="B516" t="str">
            <v>TALENT RELATIONS</v>
          </cell>
        </row>
        <row r="517">
          <cell r="A517">
            <v>60210404</v>
          </cell>
          <cell r="B517" t="str">
            <v>MAKE-UP &amp; WARDROBE</v>
          </cell>
        </row>
        <row r="518">
          <cell r="A518">
            <v>60210405</v>
          </cell>
          <cell r="B518" t="str">
            <v>VOICE - OVER</v>
          </cell>
        </row>
        <row r="519">
          <cell r="A519">
            <v>60210406</v>
          </cell>
          <cell r="B519" t="str">
            <v>MAKE-UP MAN</v>
          </cell>
        </row>
        <row r="520">
          <cell r="A520">
            <v>60210407</v>
          </cell>
          <cell r="B520" t="str">
            <v>HAIRDRESSOR &amp; WARDRODE</v>
          </cell>
        </row>
        <row r="521">
          <cell r="A521">
            <v>602105</v>
          </cell>
          <cell r="B521" t="str">
            <v>*POST PRODUCTION*</v>
          </cell>
        </row>
        <row r="522">
          <cell r="A522">
            <v>60210501</v>
          </cell>
          <cell r="B522" t="str">
            <v>DUBBING</v>
          </cell>
        </row>
        <row r="523">
          <cell r="A523">
            <v>60210502</v>
          </cell>
          <cell r="B523" t="str">
            <v>SUB- TITLING</v>
          </cell>
        </row>
        <row r="524">
          <cell r="A524">
            <v>60210503</v>
          </cell>
          <cell r="B524" t="str">
            <v>TRANSLATION</v>
          </cell>
        </row>
        <row r="525">
          <cell r="A525">
            <v>60210504</v>
          </cell>
          <cell r="B525" t="str">
            <v>FACILITIES CHRG (EDIT/GFX/AUD</v>
          </cell>
        </row>
        <row r="526">
          <cell r="A526">
            <v>60210506</v>
          </cell>
          <cell r="B526" t="str">
            <v>BO&amp;E AFFILIATE CHARGES</v>
          </cell>
        </row>
        <row r="527">
          <cell r="A527">
            <v>60210507</v>
          </cell>
          <cell r="B527" t="str">
            <v>MUSIC- POST PRODN.</v>
          </cell>
        </row>
        <row r="528">
          <cell r="A528">
            <v>60210508</v>
          </cell>
          <cell r="B528" t="str">
            <v>STDS &amp; PRACTICES</v>
          </cell>
        </row>
        <row r="529">
          <cell r="A529">
            <v>60210509</v>
          </cell>
          <cell r="B529" t="str">
            <v>TRANSFERS</v>
          </cell>
        </row>
        <row r="530">
          <cell r="A530">
            <v>602106</v>
          </cell>
          <cell r="B530" t="str">
            <v>*TAPE COSTS*</v>
          </cell>
        </row>
        <row r="531">
          <cell r="A531">
            <v>60210601</v>
          </cell>
          <cell r="B531" t="str">
            <v>TAPES CONSUMPTION</v>
          </cell>
        </row>
        <row r="532">
          <cell r="A532">
            <v>60210602</v>
          </cell>
          <cell r="B532" t="str">
            <v>TAPES/CASSETTES/CONVERSION</v>
          </cell>
        </row>
        <row r="533">
          <cell r="A533">
            <v>602107</v>
          </cell>
          <cell r="B533" t="str">
            <v>*TRAVEL ENTERTAINT(Non-staff)*</v>
          </cell>
        </row>
        <row r="534">
          <cell r="A534">
            <v>60210701</v>
          </cell>
          <cell r="B534" t="str">
            <v>PRODUCTION- ENTERTAINMENT</v>
          </cell>
        </row>
        <row r="535">
          <cell r="A535">
            <v>60210702</v>
          </cell>
          <cell r="B535" t="str">
            <v>PRODUCTION- AIR TICKET &amp; VISA</v>
          </cell>
        </row>
        <row r="536">
          <cell r="A536">
            <v>60210703</v>
          </cell>
          <cell r="B536" t="str">
            <v>PRODUCTN-HOTEL ACCOMMODN</v>
          </cell>
        </row>
        <row r="537">
          <cell r="A537">
            <v>60210704</v>
          </cell>
          <cell r="B537" t="str">
            <v>PRODUCTION-TRANSPORTATION</v>
          </cell>
        </row>
        <row r="538">
          <cell r="A538">
            <v>60210705</v>
          </cell>
          <cell r="B538" t="str">
            <v>COMMUNICATION COSTS</v>
          </cell>
        </row>
        <row r="539">
          <cell r="A539">
            <v>602108</v>
          </cell>
          <cell r="B539" t="str">
            <v>*OTHERS*</v>
          </cell>
        </row>
        <row r="540">
          <cell r="A540">
            <v>60210890</v>
          </cell>
          <cell r="B540" t="str">
            <v>PRODUCTION OTHERS - GENERAL</v>
          </cell>
        </row>
        <row r="541">
          <cell r="A541">
            <v>602197</v>
          </cell>
          <cell r="B541" t="str">
            <v>*EXPENSE APSORPTION*</v>
          </cell>
        </row>
        <row r="542">
          <cell r="A542">
            <v>60219700</v>
          </cell>
          <cell r="B542" t="str">
            <v>EXPENSE APSORPTION</v>
          </cell>
        </row>
        <row r="543">
          <cell r="A543">
            <v>602198</v>
          </cell>
          <cell r="B543" t="str">
            <v>*COST OF SALES*</v>
          </cell>
        </row>
        <row r="544">
          <cell r="A544">
            <v>60219801</v>
          </cell>
          <cell r="B544" t="str">
            <v>COST OF SALES</v>
          </cell>
        </row>
        <row r="545">
          <cell r="A545">
            <v>6025</v>
          </cell>
          <cell r="B545" t="str">
            <v>**EVENT ORGNISING COSTS*</v>
          </cell>
        </row>
        <row r="546">
          <cell r="A546">
            <v>602501</v>
          </cell>
          <cell r="B546" t="str">
            <v>*EVENT SET-UP COSTS*</v>
          </cell>
        </row>
        <row r="547">
          <cell r="A547">
            <v>60250101</v>
          </cell>
          <cell r="B547" t="str">
            <v>MANAGEMENT FEE</v>
          </cell>
        </row>
        <row r="548">
          <cell r="A548">
            <v>60250103</v>
          </cell>
          <cell r="B548" t="str">
            <v>SACTIONS-LOCAL</v>
          </cell>
        </row>
        <row r="549">
          <cell r="A549">
            <v>60250104</v>
          </cell>
          <cell r="B549" t="str">
            <v>VENUE HIRE</v>
          </cell>
        </row>
        <row r="550">
          <cell r="A550">
            <v>602504</v>
          </cell>
          <cell r="B550" t="str">
            <v>*ON-SITE OPERATIONS*</v>
          </cell>
        </row>
        <row r="551">
          <cell r="A551">
            <v>60250401</v>
          </cell>
          <cell r="B551" t="str">
            <v>ADDI.PERSONNEL &amp; FREELANCERS</v>
          </cell>
        </row>
        <row r="552">
          <cell r="A552">
            <v>60250402</v>
          </cell>
          <cell r="B552" t="str">
            <v>CATERING</v>
          </cell>
        </row>
        <row r="553">
          <cell r="A553">
            <v>60250403</v>
          </cell>
          <cell r="B553" t="str">
            <v>CONTRACTOR</v>
          </cell>
        </row>
        <row r="554">
          <cell r="A554">
            <v>60250405</v>
          </cell>
          <cell r="B554" t="str">
            <v>EQUIPEMENT HIRE</v>
          </cell>
        </row>
        <row r="555">
          <cell r="A555">
            <v>60250406</v>
          </cell>
          <cell r="B555" t="str">
            <v>INSURANCE</v>
          </cell>
        </row>
        <row r="556">
          <cell r="A556">
            <v>60250407</v>
          </cell>
          <cell r="B556" t="str">
            <v>MEDICAL</v>
          </cell>
        </row>
        <row r="557">
          <cell r="A557">
            <v>60250408</v>
          </cell>
          <cell r="B557" t="str">
            <v>MISCELLANEOUS</v>
          </cell>
        </row>
        <row r="558">
          <cell r="A558">
            <v>60250409</v>
          </cell>
          <cell r="B558" t="str">
            <v>TICKETS</v>
          </cell>
        </row>
        <row r="559">
          <cell r="A559">
            <v>60250410</v>
          </cell>
          <cell r="B559" t="str">
            <v>TROPHIES</v>
          </cell>
        </row>
        <row r="560">
          <cell r="A560">
            <v>602506</v>
          </cell>
          <cell r="B560" t="str">
            <v>*TRAVEL &amp; ENTERTAINMENT*</v>
          </cell>
        </row>
        <row r="561">
          <cell r="A561">
            <v>60250602</v>
          </cell>
          <cell r="B561" t="str">
            <v>EVENT AIR TICKETS &amp; VISAS</v>
          </cell>
        </row>
        <row r="562">
          <cell r="A562">
            <v>60250603</v>
          </cell>
          <cell r="B562" t="str">
            <v>EVENT HOTEL ACCOMMODATION</v>
          </cell>
        </row>
        <row r="563">
          <cell r="A563">
            <v>60250604</v>
          </cell>
          <cell r="B563" t="str">
            <v>EVENT HOTEL TRANSPORTATION</v>
          </cell>
        </row>
        <row r="564">
          <cell r="A564">
            <v>603503</v>
          </cell>
          <cell r="B564" t="str">
            <v>*OTHER LICENCE FEE*</v>
          </cell>
        </row>
        <row r="565">
          <cell r="A565">
            <v>60350390</v>
          </cell>
          <cell r="B565" t="str">
            <v>OTHER LICENCE FEE</v>
          </cell>
        </row>
        <row r="566">
          <cell r="A566">
            <v>6050</v>
          </cell>
          <cell r="B566" t="str">
            <v>**ADVERTISING &amp;PROMOTION*</v>
          </cell>
        </row>
        <row r="567">
          <cell r="A567">
            <v>605001</v>
          </cell>
          <cell r="B567" t="str">
            <v>*A&amp;P GENERAL*</v>
          </cell>
        </row>
        <row r="568">
          <cell r="A568">
            <v>60500101</v>
          </cell>
          <cell r="B568" t="str">
            <v>MEDIA INSERTION ADVERTISING</v>
          </cell>
        </row>
        <row r="569">
          <cell r="A569">
            <v>60500102</v>
          </cell>
          <cell r="B569" t="str">
            <v>MEDIA  PRODUCTION</v>
          </cell>
        </row>
        <row r="570">
          <cell r="A570">
            <v>60500103</v>
          </cell>
          <cell r="B570" t="str">
            <v>PUBLIC RELATION</v>
          </cell>
        </row>
        <row r="571">
          <cell r="A571">
            <v>60500105</v>
          </cell>
          <cell r="B571" t="str">
            <v>RESEARCH A &amp; P</v>
          </cell>
        </row>
        <row r="572">
          <cell r="A572">
            <v>60500106</v>
          </cell>
          <cell r="B572" t="str">
            <v>DESIGN A &amp; P</v>
          </cell>
        </row>
        <row r="573">
          <cell r="A573">
            <v>60500107</v>
          </cell>
          <cell r="B573" t="str">
            <v>DIRECT MAIL</v>
          </cell>
        </row>
        <row r="574">
          <cell r="A574">
            <v>60500109</v>
          </cell>
          <cell r="B574" t="str">
            <v>SOUVENIOR</v>
          </cell>
        </row>
        <row r="575">
          <cell r="A575">
            <v>60500110</v>
          </cell>
          <cell r="B575" t="str">
            <v>TRAVEL &amp; ENTERTAINMENT</v>
          </cell>
        </row>
        <row r="576">
          <cell r="A576">
            <v>60500111</v>
          </cell>
          <cell r="B576" t="str">
            <v>TRADE ADVERTISING</v>
          </cell>
        </row>
        <row r="577">
          <cell r="A577">
            <v>605002</v>
          </cell>
          <cell r="B577" t="str">
            <v>*GFX*</v>
          </cell>
        </row>
        <row r="578">
          <cell r="A578">
            <v>60500201</v>
          </cell>
          <cell r="B578" t="str">
            <v>GRAPHIC MATERIAL /SUPPLIES</v>
          </cell>
        </row>
        <row r="579">
          <cell r="A579">
            <v>60500202</v>
          </cell>
          <cell r="B579" t="str">
            <v>ANIMATION PRODUCTION &amp; DESIGN</v>
          </cell>
        </row>
        <row r="580">
          <cell r="A580">
            <v>60500203</v>
          </cell>
          <cell r="B580" t="str">
            <v>GRAPHIC RELATED EXPENSES</v>
          </cell>
        </row>
        <row r="581">
          <cell r="A581">
            <v>605003</v>
          </cell>
          <cell r="B581" t="str">
            <v>*PRINTINGS*</v>
          </cell>
        </row>
        <row r="582">
          <cell r="A582">
            <v>60500301</v>
          </cell>
          <cell r="B582" t="str">
            <v>PRINT -STAR LINK</v>
          </cell>
        </row>
        <row r="583">
          <cell r="A583">
            <v>60500303</v>
          </cell>
          <cell r="B583" t="str">
            <v>PRINT - PROMOTIONAL (PAY)</v>
          </cell>
        </row>
        <row r="584">
          <cell r="A584">
            <v>60500304</v>
          </cell>
          <cell r="B584" t="str">
            <v>PRINT - PROMOTIONAL (FTA)</v>
          </cell>
        </row>
        <row r="585">
          <cell r="A585">
            <v>60500305</v>
          </cell>
          <cell r="B585" t="str">
            <v>PRINT - CORPORATE KITS</v>
          </cell>
        </row>
        <row r="586">
          <cell r="A586">
            <v>60500306</v>
          </cell>
          <cell r="B586" t="str">
            <v>LISTINGS</v>
          </cell>
        </row>
        <row r="587">
          <cell r="A587">
            <v>60500307</v>
          </cell>
          <cell r="B587" t="str">
            <v>BROCHURES</v>
          </cell>
        </row>
        <row r="588">
          <cell r="A588">
            <v>60500308</v>
          </cell>
          <cell r="B588" t="str">
            <v>POINT OF SALE</v>
          </cell>
        </row>
        <row r="589">
          <cell r="A589">
            <v>60500309</v>
          </cell>
          <cell r="B589" t="str">
            <v>DIRECT MARKETING</v>
          </cell>
        </row>
        <row r="590">
          <cell r="A590">
            <v>60500310</v>
          </cell>
          <cell r="B590" t="str">
            <v>SLIDE DUPLICATION &amp; PHOTOS</v>
          </cell>
        </row>
        <row r="591">
          <cell r="A591">
            <v>60500311</v>
          </cell>
          <cell r="B591" t="str">
            <v>LETTERHEADS &amp; POSTERS</v>
          </cell>
        </row>
        <row r="592">
          <cell r="A592">
            <v>60500312</v>
          </cell>
          <cell r="B592" t="str">
            <v>OTHER  PRINTING EXPENSES</v>
          </cell>
        </row>
        <row r="593">
          <cell r="A593">
            <v>605004</v>
          </cell>
          <cell r="B593" t="str">
            <v>*CONVENTN, SEMINAR &amp; EXHIBITN*</v>
          </cell>
        </row>
        <row r="594">
          <cell r="A594">
            <v>60500401</v>
          </cell>
          <cell r="B594" t="str">
            <v>CONVENTION</v>
          </cell>
        </row>
        <row r="595">
          <cell r="A595">
            <v>60500402</v>
          </cell>
          <cell r="B595" t="str">
            <v>SEMINARS</v>
          </cell>
        </row>
        <row r="596">
          <cell r="A596">
            <v>60500403</v>
          </cell>
          <cell r="B596" t="str">
            <v>PRESS &amp; OTHER CONFERENCES</v>
          </cell>
        </row>
        <row r="597">
          <cell r="A597">
            <v>60500404</v>
          </cell>
          <cell r="B597" t="str">
            <v>EXHIBITIONS</v>
          </cell>
        </row>
        <row r="598">
          <cell r="A598">
            <v>60500490</v>
          </cell>
          <cell r="B598" t="str">
            <v>OTR FCT-CONVENTN,SEMNAR,EXHB</v>
          </cell>
        </row>
        <row r="599">
          <cell r="A599">
            <v>605005</v>
          </cell>
          <cell r="B599" t="str">
            <v>*ROADSHOW*</v>
          </cell>
        </row>
        <row r="600">
          <cell r="A600">
            <v>60500500</v>
          </cell>
          <cell r="B600" t="str">
            <v>ROADSHOW</v>
          </cell>
        </row>
        <row r="601">
          <cell r="A601">
            <v>605006</v>
          </cell>
          <cell r="B601" t="str">
            <v>*PROMOTIONS*</v>
          </cell>
        </row>
        <row r="602">
          <cell r="A602">
            <v>60500601</v>
          </cell>
          <cell r="B602" t="str">
            <v>PREMIUMS</v>
          </cell>
        </row>
        <row r="603">
          <cell r="A603">
            <v>60500602</v>
          </cell>
          <cell r="B603" t="str">
            <v>EQUIPMENT RENTAL (PROMOTION)</v>
          </cell>
        </row>
        <row r="604">
          <cell r="A604">
            <v>60500603</v>
          </cell>
          <cell r="B604" t="str">
            <v>LAUNCHES</v>
          </cell>
        </row>
        <row r="605">
          <cell r="A605">
            <v>60500604</v>
          </cell>
          <cell r="B605" t="str">
            <v>ADVERTISING</v>
          </cell>
        </row>
        <row r="606">
          <cell r="A606">
            <v>60500605</v>
          </cell>
          <cell r="B606" t="str">
            <v>MERCHANISE</v>
          </cell>
        </row>
        <row r="607">
          <cell r="A607">
            <v>60500606</v>
          </cell>
          <cell r="B607" t="str">
            <v>LICENCE FEE</v>
          </cell>
        </row>
        <row r="608">
          <cell r="A608">
            <v>60500607</v>
          </cell>
          <cell r="B608" t="str">
            <v>MINOR CONTESTS</v>
          </cell>
        </row>
        <row r="609">
          <cell r="A609">
            <v>60500690</v>
          </cell>
          <cell r="B609" t="str">
            <v>PROMOTION-GENERAL</v>
          </cell>
        </row>
        <row r="610">
          <cell r="A610">
            <v>605008</v>
          </cell>
          <cell r="B610" t="str">
            <v>DATABASE</v>
          </cell>
        </row>
        <row r="611">
          <cell r="A611">
            <v>60500802</v>
          </cell>
          <cell r="B611" t="str">
            <v>BUSINESS DEVELOPMENT</v>
          </cell>
        </row>
        <row r="612">
          <cell r="A612">
            <v>605009</v>
          </cell>
          <cell r="B612" t="str">
            <v>*VJ PROMOS*</v>
          </cell>
        </row>
        <row r="613">
          <cell r="A613">
            <v>60500902</v>
          </cell>
          <cell r="B613" t="str">
            <v>APPEARANCE,(TRAVEL &amp; ENT.)</v>
          </cell>
        </row>
        <row r="614">
          <cell r="A614">
            <v>605010</v>
          </cell>
          <cell r="B614" t="str">
            <v>*ON-AIR PROMOS*</v>
          </cell>
        </row>
        <row r="615">
          <cell r="A615">
            <v>60501090</v>
          </cell>
          <cell r="B615" t="str">
            <v>GENERAL</v>
          </cell>
        </row>
        <row r="616">
          <cell r="A616">
            <v>605011</v>
          </cell>
          <cell r="B616" t="str">
            <v>*AGENCY SUPPORT*</v>
          </cell>
        </row>
        <row r="617">
          <cell r="A617">
            <v>60501103</v>
          </cell>
          <cell r="B617" t="str">
            <v>RESEARCH</v>
          </cell>
        </row>
        <row r="618">
          <cell r="A618">
            <v>60501104</v>
          </cell>
          <cell r="B618" t="str">
            <v>DESIGN</v>
          </cell>
        </row>
        <row r="619">
          <cell r="A619">
            <v>605020</v>
          </cell>
          <cell r="B619" t="str">
            <v>*OTHER A&amp;P ITEMS*</v>
          </cell>
        </row>
        <row r="620">
          <cell r="A620">
            <v>60502080</v>
          </cell>
          <cell r="B620" t="str">
            <v>REGIONAL OFFICE A&amp;P</v>
          </cell>
        </row>
        <row r="621">
          <cell r="A621">
            <v>60502090</v>
          </cell>
          <cell r="B621" t="str">
            <v>OTHER A&amp;P ITEMS</v>
          </cell>
        </row>
        <row r="622">
          <cell r="A622">
            <v>6052</v>
          </cell>
          <cell r="B622" t="str">
            <v>**RESEARCH*</v>
          </cell>
        </row>
        <row r="623">
          <cell r="A623">
            <v>605201</v>
          </cell>
          <cell r="B623" t="str">
            <v>*VIEWING DATA*</v>
          </cell>
        </row>
        <row r="624">
          <cell r="A624">
            <v>60520100</v>
          </cell>
          <cell r="B624" t="str">
            <v>VIEWING DATA</v>
          </cell>
        </row>
        <row r="625">
          <cell r="A625">
            <v>605203</v>
          </cell>
          <cell r="B625" t="str">
            <v>*VALIDATION/ SURVEY*</v>
          </cell>
        </row>
        <row r="626">
          <cell r="A626">
            <v>60520300</v>
          </cell>
          <cell r="B626" t="str">
            <v>VALIDATION/ SURVEY</v>
          </cell>
        </row>
        <row r="627">
          <cell r="A627">
            <v>605204</v>
          </cell>
          <cell r="B627" t="str">
            <v>*CHANNEL RESEARCH*</v>
          </cell>
        </row>
        <row r="628">
          <cell r="A628">
            <v>60520400</v>
          </cell>
          <cell r="B628" t="str">
            <v>CHANNEL RESEARCH</v>
          </cell>
        </row>
        <row r="629">
          <cell r="A629">
            <v>605220</v>
          </cell>
          <cell r="B629" t="str">
            <v>*OTHERS - RESEARCH*</v>
          </cell>
        </row>
        <row r="630">
          <cell r="A630">
            <v>60522090</v>
          </cell>
          <cell r="B630" t="str">
            <v>OTHERS - RESEARCH</v>
          </cell>
        </row>
        <row r="631">
          <cell r="A631">
            <v>6055</v>
          </cell>
          <cell r="B631" t="str">
            <v>**MARS*</v>
          </cell>
        </row>
        <row r="632">
          <cell r="A632">
            <v>605501</v>
          </cell>
          <cell r="B632" t="str">
            <v>*MARS*</v>
          </cell>
        </row>
        <row r="633">
          <cell r="A633">
            <v>60550104</v>
          </cell>
          <cell r="B633" t="str">
            <v>NON-STAFF AIR TICKET</v>
          </cell>
        </row>
        <row r="634">
          <cell r="A634">
            <v>60550105</v>
          </cell>
          <cell r="B634" t="str">
            <v>NON-STAFF HOTEL</v>
          </cell>
        </row>
        <row r="635">
          <cell r="A635">
            <v>60550106</v>
          </cell>
          <cell r="B635" t="str">
            <v>NON-STAFF LOCAL TRAVELLING</v>
          </cell>
        </row>
        <row r="636">
          <cell r="A636">
            <v>60550190</v>
          </cell>
          <cell r="B636" t="str">
            <v>MARS GENERAL</v>
          </cell>
        </row>
        <row r="637">
          <cell r="A637">
            <v>6060</v>
          </cell>
          <cell r="B637" t="str">
            <v>**LEGAL &amp; PROFESSIONAL*</v>
          </cell>
        </row>
        <row r="638">
          <cell r="A638">
            <v>606001</v>
          </cell>
          <cell r="B638" t="str">
            <v>*AUDIT FEE*</v>
          </cell>
        </row>
        <row r="639">
          <cell r="A639">
            <v>60600100</v>
          </cell>
          <cell r="B639" t="str">
            <v>AUDIT FEE -AA</v>
          </cell>
        </row>
        <row r="640">
          <cell r="A640">
            <v>60600101</v>
          </cell>
          <cell r="B640" t="str">
            <v>AUDIT FEE - AA</v>
          </cell>
        </row>
        <row r="641">
          <cell r="A641">
            <v>60600102</v>
          </cell>
          <cell r="B641" t="str">
            <v>OUT OF POCKET EXP - AA</v>
          </cell>
        </row>
        <row r="642">
          <cell r="A642">
            <v>60600190</v>
          </cell>
          <cell r="B642" t="str">
            <v>AUDIT FEE - OTHERS</v>
          </cell>
        </row>
        <row r="643">
          <cell r="A643">
            <v>606002</v>
          </cell>
          <cell r="B643" t="str">
            <v>*OTHER FINANCIAL SERVICES*</v>
          </cell>
        </row>
        <row r="644">
          <cell r="A644">
            <v>60600202</v>
          </cell>
          <cell r="B644" t="str">
            <v>TAXATION FEE &amp; ADVICE</v>
          </cell>
        </row>
        <row r="645">
          <cell r="A645">
            <v>60600211</v>
          </cell>
          <cell r="B645" t="str">
            <v>TAX AUDIT FEE</v>
          </cell>
        </row>
        <row r="646">
          <cell r="A646">
            <v>60600220</v>
          </cell>
          <cell r="B646" t="str">
            <v>MANAGEMENT SERVICES</v>
          </cell>
        </row>
        <row r="647">
          <cell r="A647">
            <v>606003</v>
          </cell>
          <cell r="B647" t="str">
            <v>*LEGAL*</v>
          </cell>
        </row>
        <row r="648">
          <cell r="A648">
            <v>60600301</v>
          </cell>
          <cell r="B648" t="str">
            <v>LEGAL CONSULTANCY FEE</v>
          </cell>
        </row>
        <row r="649">
          <cell r="A649">
            <v>606010</v>
          </cell>
          <cell r="B649" t="str">
            <v>*OTHER SERVICES*</v>
          </cell>
        </row>
        <row r="650">
          <cell r="A650">
            <v>60601001</v>
          </cell>
          <cell r="B650" t="str">
            <v>OTHER SERVICES</v>
          </cell>
        </row>
        <row r="651">
          <cell r="A651">
            <v>6065</v>
          </cell>
          <cell r="B651" t="str">
            <v>**GENERAL OPERATING EXPENSES*</v>
          </cell>
        </row>
        <row r="652">
          <cell r="A652">
            <v>606501</v>
          </cell>
          <cell r="B652" t="str">
            <v>*REPAIR &amp; MAINTANENCE*</v>
          </cell>
        </row>
        <row r="653">
          <cell r="A653">
            <v>60650101</v>
          </cell>
          <cell r="B653" t="str">
            <v>EDP  - HARDWARE</v>
          </cell>
        </row>
        <row r="654">
          <cell r="A654">
            <v>60650102</v>
          </cell>
          <cell r="B654" t="str">
            <v>EDP  - SOFTWARE</v>
          </cell>
        </row>
        <row r="655">
          <cell r="A655">
            <v>60650103</v>
          </cell>
          <cell r="B655" t="str">
            <v>OFFICE EQUIP MAINTENANCE</v>
          </cell>
        </row>
        <row r="656">
          <cell r="A656">
            <v>60650190</v>
          </cell>
          <cell r="B656" t="str">
            <v>OTHER EQUIPMENTS MAINTENANCE</v>
          </cell>
        </row>
        <row r="657">
          <cell r="A657">
            <v>60650191</v>
          </cell>
          <cell r="B657" t="str">
            <v>REPAIR &amp; MAINT - OTHER</v>
          </cell>
        </row>
        <row r="658">
          <cell r="A658">
            <v>606502</v>
          </cell>
          <cell r="B658" t="str">
            <v>*INSURANCE EXPENSES*</v>
          </cell>
        </row>
        <row r="659">
          <cell r="A659">
            <v>60650202</v>
          </cell>
          <cell r="B659" t="str">
            <v>STAFF INSURANCE</v>
          </cell>
        </row>
        <row r="660">
          <cell r="A660">
            <v>60650203</v>
          </cell>
          <cell r="B660" t="str">
            <v>OPERATION INSURANCE</v>
          </cell>
        </row>
        <row r="661">
          <cell r="A661">
            <v>60650290</v>
          </cell>
          <cell r="B661" t="str">
            <v>OTHER INSURANCE EXPENSES</v>
          </cell>
        </row>
        <row r="662">
          <cell r="A662">
            <v>606503</v>
          </cell>
          <cell r="B662" t="str">
            <v>*OFFICE OPERATING COSTS*</v>
          </cell>
        </row>
        <row r="663">
          <cell r="A663">
            <v>60650304</v>
          </cell>
          <cell r="B663" t="str">
            <v>OFFICE SUPPLIES</v>
          </cell>
        </row>
        <row r="664">
          <cell r="A664">
            <v>60650310</v>
          </cell>
          <cell r="B664" t="str">
            <v>TELEPHONE, TELEX &amp; FAX</v>
          </cell>
        </row>
        <row r="665">
          <cell r="A665">
            <v>60650312</v>
          </cell>
          <cell r="B665" t="str">
            <v>OFFICE MESSING</v>
          </cell>
        </row>
        <row r="666">
          <cell r="A666">
            <v>60650314</v>
          </cell>
          <cell r="B666" t="str">
            <v>OFFICE EQUIP RENTAL</v>
          </cell>
        </row>
        <row r="667">
          <cell r="A667">
            <v>606504</v>
          </cell>
          <cell r="B667" t="str">
            <v>*EDP*</v>
          </cell>
        </row>
        <row r="668">
          <cell r="A668">
            <v>60650401</v>
          </cell>
          <cell r="B668" t="str">
            <v>EDP CONSUMABLE</v>
          </cell>
        </row>
        <row r="669">
          <cell r="A669">
            <v>60650402</v>
          </cell>
          <cell r="B669" t="str">
            <v>COMPUTER SOFTWARE</v>
          </cell>
        </row>
        <row r="670">
          <cell r="A670">
            <v>606506</v>
          </cell>
          <cell r="B670" t="str">
            <v>*BUS &amp; MOTAR CAR EXPENSES*</v>
          </cell>
        </row>
        <row r="671">
          <cell r="A671">
            <v>60650601</v>
          </cell>
          <cell r="B671" t="str">
            <v>BUS &amp; MOTAR CAR EXPENSES</v>
          </cell>
        </row>
        <row r="672">
          <cell r="A672">
            <v>606599</v>
          </cell>
          <cell r="B672" t="str">
            <v>*SUNDRY COSTS*</v>
          </cell>
        </row>
        <row r="673">
          <cell r="A673">
            <v>60659901</v>
          </cell>
          <cell r="B673" t="str">
            <v>MAGAZINE &amp; PUBLICATION</v>
          </cell>
        </row>
        <row r="674">
          <cell r="A674">
            <v>60659902</v>
          </cell>
          <cell r="B674" t="str">
            <v>PRINTING &amp; STATIONERY</v>
          </cell>
        </row>
        <row r="675">
          <cell r="A675">
            <v>60659903</v>
          </cell>
          <cell r="B675" t="str">
            <v>FREIGHT &amp; COURIER</v>
          </cell>
        </row>
        <row r="676">
          <cell r="A676">
            <v>60659905</v>
          </cell>
          <cell r="B676" t="str">
            <v>POSTAGE</v>
          </cell>
        </row>
        <row r="677">
          <cell r="A677">
            <v>60659908</v>
          </cell>
          <cell r="B677" t="str">
            <v>MEMBERSHIP SUBSCRIPTION</v>
          </cell>
        </row>
        <row r="678">
          <cell r="A678">
            <v>60659916</v>
          </cell>
          <cell r="B678" t="str">
            <v>DEALER COMMISION</v>
          </cell>
        </row>
        <row r="679">
          <cell r="A679">
            <v>60659990</v>
          </cell>
          <cell r="B679" t="str">
            <v>MISCELLANEOUS - SUNDRY COSTS</v>
          </cell>
        </row>
        <row r="680">
          <cell r="A680">
            <v>6066</v>
          </cell>
          <cell r="B680" t="str">
            <v>**OTHER OPERATING COSTS*</v>
          </cell>
        </row>
        <row r="681">
          <cell r="A681">
            <v>606601</v>
          </cell>
          <cell r="B681" t="str">
            <v>PROVISION FOR BAD DEBTS</v>
          </cell>
        </row>
        <row r="682">
          <cell r="A682">
            <v>60660100</v>
          </cell>
          <cell r="B682" t="str">
            <v>PROVISION FOR BAD DEBTS</v>
          </cell>
        </row>
        <row r="683">
          <cell r="A683">
            <v>606602</v>
          </cell>
          <cell r="B683" t="str">
            <v>BAD DEBTS</v>
          </cell>
        </row>
        <row r="684">
          <cell r="A684">
            <v>60660200</v>
          </cell>
          <cell r="B684" t="str">
            <v>BAD DEBTS</v>
          </cell>
        </row>
        <row r="685">
          <cell r="A685">
            <v>60660300</v>
          </cell>
          <cell r="B685" t="str">
            <v>PROV FOR STOCK WRITTEN DOWN</v>
          </cell>
        </row>
        <row r="686">
          <cell r="A686">
            <v>60660301</v>
          </cell>
          <cell r="B686" t="str">
            <v>PROV FOR OBSOLESCENCE OF ASSET</v>
          </cell>
        </row>
        <row r="687">
          <cell r="A687">
            <v>606620</v>
          </cell>
          <cell r="B687" t="str">
            <v>*DONATION*</v>
          </cell>
        </row>
        <row r="688">
          <cell r="A688">
            <v>60662000</v>
          </cell>
          <cell r="B688" t="str">
            <v>DONATION</v>
          </cell>
        </row>
        <row r="689">
          <cell r="A689">
            <v>6070</v>
          </cell>
          <cell r="B689" t="str">
            <v>**DEPRECIATION EXPENSES*</v>
          </cell>
        </row>
        <row r="690">
          <cell r="A690">
            <v>607002</v>
          </cell>
          <cell r="B690" t="str">
            <v>*OFFICE LAND &amp; BLDG  COST*</v>
          </cell>
        </row>
        <row r="691">
          <cell r="A691">
            <v>60700201</v>
          </cell>
          <cell r="B691" t="str">
            <v>DEPN EXP- OFFICE LAND</v>
          </cell>
        </row>
        <row r="692">
          <cell r="A692">
            <v>60700202</v>
          </cell>
          <cell r="B692" t="str">
            <v>DEPN EXP- OFFICE BLDG</v>
          </cell>
        </row>
        <row r="693">
          <cell r="A693">
            <v>607003</v>
          </cell>
          <cell r="B693" t="str">
            <v>*INDUSTRIAL LEASEHOLD IMPROVT*</v>
          </cell>
        </row>
        <row r="694">
          <cell r="A694">
            <v>60700301</v>
          </cell>
          <cell r="B694" t="str">
            <v>DEPN EXP- LEASEHOLD IMPROVE</v>
          </cell>
        </row>
        <row r="695">
          <cell r="A695">
            <v>607004</v>
          </cell>
          <cell r="B695" t="str">
            <v>*OFFICE LEASEHOLD IMPROVEMT*</v>
          </cell>
        </row>
        <row r="696">
          <cell r="A696">
            <v>60700401</v>
          </cell>
          <cell r="B696" t="str">
            <v>DEPN EXP- OFFICE LEASEHOLD</v>
          </cell>
        </row>
        <row r="697">
          <cell r="A697">
            <v>607006</v>
          </cell>
          <cell r="B697" t="str">
            <v>*EDP EQUIP*</v>
          </cell>
        </row>
        <row r="698">
          <cell r="A698">
            <v>60700601</v>
          </cell>
          <cell r="B698" t="str">
            <v>DEPN EXP- SMS EQUIPMENT</v>
          </cell>
        </row>
        <row r="699">
          <cell r="A699">
            <v>60700602</v>
          </cell>
          <cell r="B699" t="str">
            <v>DEPN EXP- MIS EQUIPMENT</v>
          </cell>
        </row>
        <row r="700">
          <cell r="A700">
            <v>60700604</v>
          </cell>
          <cell r="B700" t="str">
            <v>DEPN EXP - MIS COMPUTER COST</v>
          </cell>
        </row>
        <row r="701">
          <cell r="A701">
            <v>60700605</v>
          </cell>
          <cell r="B701" t="str">
            <v>DEPN EXP - MIS NETWORK COST</v>
          </cell>
        </row>
        <row r="702">
          <cell r="A702">
            <v>60700606</v>
          </cell>
          <cell r="B702" t="str">
            <v>DEPN EXP - MIS SOFTWARE</v>
          </cell>
        </row>
        <row r="703">
          <cell r="A703">
            <v>60700607</v>
          </cell>
          <cell r="B703" t="str">
            <v>DEPN EXP - MIS OTHER</v>
          </cell>
        </row>
        <row r="704">
          <cell r="A704">
            <v>607007</v>
          </cell>
          <cell r="B704" t="str">
            <v>*DEPN EXP - TELECOM EQUIP*</v>
          </cell>
        </row>
        <row r="705">
          <cell r="A705">
            <v>60700701</v>
          </cell>
          <cell r="B705" t="str">
            <v>DEPN EXP- TELECOM</v>
          </cell>
        </row>
        <row r="706">
          <cell r="A706">
            <v>607008</v>
          </cell>
          <cell r="B706" t="str">
            <v>*B O &amp; E  EQUIP*</v>
          </cell>
        </row>
        <row r="707">
          <cell r="A707">
            <v>60700801</v>
          </cell>
          <cell r="B707" t="str">
            <v>DEPN EXP- STUDIO EQUIPMENTS</v>
          </cell>
        </row>
        <row r="708">
          <cell r="A708">
            <v>60700802</v>
          </cell>
          <cell r="B708" t="str">
            <v>DEPN EXP- EDITING EQUIPMENTS</v>
          </cell>
        </row>
        <row r="709">
          <cell r="A709">
            <v>60700803</v>
          </cell>
          <cell r="B709" t="str">
            <v>DEPN EXP- GRAPHIC EQUIPMENTS</v>
          </cell>
        </row>
        <row r="710">
          <cell r="A710">
            <v>60700804</v>
          </cell>
          <cell r="B710" t="str">
            <v>DEPN EXP- EFP EQUIPMENTS</v>
          </cell>
        </row>
        <row r="711">
          <cell r="A711">
            <v>60700805</v>
          </cell>
          <cell r="B711" t="str">
            <v>DEPN EXP- AUDIO EQUIPMENTS</v>
          </cell>
        </row>
        <row r="712">
          <cell r="A712">
            <v>60700806</v>
          </cell>
          <cell r="B712" t="str">
            <v>DEPN EXP- LIB. MANAGEMENT SYS</v>
          </cell>
        </row>
        <row r="713">
          <cell r="A713">
            <v>60700807</v>
          </cell>
          <cell r="B713" t="str">
            <v>DEPN EXP- TRANSMISSION EQUIPM</v>
          </cell>
        </row>
        <row r="714">
          <cell r="A714">
            <v>60700808</v>
          </cell>
          <cell r="B714" t="str">
            <v>DEPN EXP- COMPRESSOR &amp; ENCODI</v>
          </cell>
        </row>
        <row r="715">
          <cell r="A715">
            <v>60700809</v>
          </cell>
          <cell r="B715" t="str">
            <v>DEPN EXP- MLTS</v>
          </cell>
        </row>
        <row r="716">
          <cell r="A716">
            <v>60700810</v>
          </cell>
          <cell r="B716" t="str">
            <v>DEPN EXP- RADIO  EQUIPMENTS</v>
          </cell>
        </row>
        <row r="717">
          <cell r="A717">
            <v>60700814</v>
          </cell>
          <cell r="B717" t="str">
            <v>DEPN EXP- DUBBING  EQUIPMENTS</v>
          </cell>
        </row>
        <row r="718">
          <cell r="A718">
            <v>60700899</v>
          </cell>
          <cell r="B718" t="str">
            <v>DEPN EXP- OTHER EQUIPMENTS</v>
          </cell>
        </row>
        <row r="719">
          <cell r="A719">
            <v>607009</v>
          </cell>
          <cell r="B719" t="str">
            <v>*OFFICE AUDIO &amp; VCR EQUIPMENT*</v>
          </cell>
        </row>
        <row r="720">
          <cell r="A720">
            <v>60700901</v>
          </cell>
          <cell r="B720" t="str">
            <v>DEPN EXP- OFFICE AUDIO &amp; VCR</v>
          </cell>
        </row>
        <row r="721">
          <cell r="A721">
            <v>607010</v>
          </cell>
          <cell r="B721" t="str">
            <v>*OFFICE EQUIPMENT*</v>
          </cell>
        </row>
        <row r="722">
          <cell r="A722">
            <v>60701002</v>
          </cell>
          <cell r="B722" t="str">
            <v>DEPN EXP- OFFICE EQUIPMENT</v>
          </cell>
        </row>
        <row r="723">
          <cell r="A723">
            <v>607011</v>
          </cell>
          <cell r="B723" t="str">
            <v>*AIR CONDITIONING SYSTEM*</v>
          </cell>
        </row>
        <row r="724">
          <cell r="A724">
            <v>60701101</v>
          </cell>
          <cell r="B724" t="str">
            <v>DEPN EXP-  AIR COND SYSTEM</v>
          </cell>
        </row>
        <row r="725">
          <cell r="A725">
            <v>607013</v>
          </cell>
          <cell r="B725" t="str">
            <v>*MOTOR VEHICLES*</v>
          </cell>
        </row>
        <row r="726">
          <cell r="A726">
            <v>60701301</v>
          </cell>
          <cell r="B726" t="str">
            <v>DEPN EXP- MOTOR VANS</v>
          </cell>
        </row>
        <row r="727">
          <cell r="A727">
            <v>607014</v>
          </cell>
          <cell r="B727" t="str">
            <v>*OFFICE FURNITURE*</v>
          </cell>
        </row>
        <row r="728">
          <cell r="A728">
            <v>60701401</v>
          </cell>
          <cell r="B728" t="str">
            <v>DEPN EXP- OFFICE FURNITURE</v>
          </cell>
        </row>
        <row r="729">
          <cell r="A729">
            <v>6080</v>
          </cell>
          <cell r="B729" t="str">
            <v>COST OF EQUIPMENT SOLD</v>
          </cell>
        </row>
        <row r="730">
          <cell r="A730">
            <v>608001</v>
          </cell>
          <cell r="B730" t="str">
            <v>COST OF GOODS SOLD-EQUIPMENT</v>
          </cell>
        </row>
        <row r="731">
          <cell r="A731">
            <v>60800123</v>
          </cell>
          <cell r="B731" t="str">
            <v>COGS - OTHERS</v>
          </cell>
        </row>
        <row r="732">
          <cell r="A732">
            <v>6082</v>
          </cell>
          <cell r="B732" t="str">
            <v>**DUTIES,TAXES &amp; LEVIES*</v>
          </cell>
        </row>
        <row r="733">
          <cell r="A733">
            <v>608201</v>
          </cell>
          <cell r="B733" t="str">
            <v>*DUTIES &amp; TAXES*</v>
          </cell>
        </row>
        <row r="734">
          <cell r="A734">
            <v>60820101</v>
          </cell>
          <cell r="B734" t="str">
            <v>DUTIES &amp; TAXES</v>
          </cell>
        </row>
        <row r="735">
          <cell r="A735">
            <v>608202</v>
          </cell>
          <cell r="B735" t="str">
            <v>*INCOME TAX*</v>
          </cell>
        </row>
        <row r="736">
          <cell r="A736">
            <v>60820201</v>
          </cell>
          <cell r="B736" t="str">
            <v>INCOME TAX PAID</v>
          </cell>
        </row>
        <row r="737">
          <cell r="A737">
            <v>70</v>
          </cell>
          <cell r="B737" t="str">
            <v>***FINANCE COSTS*</v>
          </cell>
        </row>
        <row r="738">
          <cell r="A738">
            <v>7040</v>
          </cell>
          <cell r="B738" t="str">
            <v>**INTEREST EXPENSES*</v>
          </cell>
        </row>
        <row r="739">
          <cell r="A739">
            <v>704002</v>
          </cell>
          <cell r="B739" t="str">
            <v>*BANK INTEREST PAID -OFFSHORE*</v>
          </cell>
        </row>
        <row r="740">
          <cell r="A740">
            <v>70400201</v>
          </cell>
          <cell r="B740" t="str">
            <v>BANK INTEREST PAID -OVERDRAFT(</v>
          </cell>
        </row>
        <row r="741">
          <cell r="A741">
            <v>70400202</v>
          </cell>
          <cell r="B741" t="str">
            <v>BANK INTEREST PAID - LOAN(INDI</v>
          </cell>
        </row>
        <row r="742">
          <cell r="A742">
            <v>7041</v>
          </cell>
          <cell r="B742" t="str">
            <v>**OTHER FINANCE EXPENSES*</v>
          </cell>
        </row>
        <row r="743">
          <cell r="A743">
            <v>704101</v>
          </cell>
          <cell r="B743" t="str">
            <v>*PROFIT &amp; LOSS ON EXCHANG DIF*</v>
          </cell>
        </row>
        <row r="744">
          <cell r="A744">
            <v>70410100</v>
          </cell>
          <cell r="B744" t="str">
            <v>PROFIT &amp; LOSS ON EXCHANGE DIF</v>
          </cell>
        </row>
        <row r="745">
          <cell r="A745">
            <v>704102</v>
          </cell>
          <cell r="B745" t="str">
            <v>*BANK CHARGES*</v>
          </cell>
        </row>
        <row r="746">
          <cell r="A746">
            <v>70410200</v>
          </cell>
          <cell r="B746" t="str">
            <v>BANK CHARGES</v>
          </cell>
        </row>
        <row r="747">
          <cell r="A747">
            <v>76</v>
          </cell>
          <cell r="B747" t="str">
            <v>***CHARGE FROM AFFILIATES/JV*</v>
          </cell>
        </row>
        <row r="748">
          <cell r="A748">
            <v>7601</v>
          </cell>
          <cell r="B748" t="str">
            <v>**CHARGE FROM AFFILIATES/JV*</v>
          </cell>
        </row>
        <row r="749">
          <cell r="A749">
            <v>760101</v>
          </cell>
          <cell r="B749" t="str">
            <v>*AFF SRVC CHRG- G &amp; A*</v>
          </cell>
        </row>
        <row r="750">
          <cell r="A750">
            <v>76010100</v>
          </cell>
          <cell r="B750" t="str">
            <v>AFF SRVC CHRG- G &amp; A</v>
          </cell>
        </row>
        <row r="751">
          <cell r="A751">
            <v>760102</v>
          </cell>
          <cell r="B751" t="str">
            <v>*AFF SRVC CHRG- AD SALES*</v>
          </cell>
        </row>
        <row r="752">
          <cell r="A752">
            <v>76010200</v>
          </cell>
          <cell r="B752" t="str">
            <v>AFF SRVC CHRG- AD SALES</v>
          </cell>
        </row>
        <row r="753">
          <cell r="A753">
            <v>760103</v>
          </cell>
          <cell r="B753" t="str">
            <v>*AFF SRVC CHRG- UPLINK*</v>
          </cell>
        </row>
        <row r="754">
          <cell r="A754">
            <v>76010300</v>
          </cell>
          <cell r="B754" t="str">
            <v>AFF SRVC CHRG- UPLINK</v>
          </cell>
        </row>
        <row r="755">
          <cell r="A755">
            <v>760104</v>
          </cell>
          <cell r="B755" t="str">
            <v>*AFF SRVC CHRG- PUBLICITY*</v>
          </cell>
        </row>
        <row r="756">
          <cell r="A756">
            <v>76010400</v>
          </cell>
          <cell r="B756" t="str">
            <v>AFF SRVC CHRG- PUBLICITY</v>
          </cell>
        </row>
        <row r="757">
          <cell r="A757">
            <v>760105</v>
          </cell>
          <cell r="B757" t="str">
            <v>*AFF SRVC CHRG-NETWK SERVICES*</v>
          </cell>
        </row>
        <row r="758">
          <cell r="A758">
            <v>76010500</v>
          </cell>
          <cell r="B758" t="str">
            <v>AFF SRVC CHRG- NETWK SERVICES</v>
          </cell>
        </row>
        <row r="759">
          <cell r="A759">
            <v>760107</v>
          </cell>
          <cell r="B759" t="str">
            <v>*AFF BO &amp; E  CHARGE*</v>
          </cell>
        </row>
        <row r="760">
          <cell r="A760">
            <v>76010700</v>
          </cell>
          <cell r="B760" t="str">
            <v>AFF BO &amp; E CHARGE</v>
          </cell>
        </row>
        <row r="761">
          <cell r="A761">
            <v>76010701</v>
          </cell>
          <cell r="B761" t="str">
            <v>AFF BO &amp; E VARIABLE</v>
          </cell>
        </row>
        <row r="762">
          <cell r="A762">
            <v>760130</v>
          </cell>
          <cell r="B762" t="str">
            <v>*AFF SRVC CHG - FINANCE*</v>
          </cell>
        </row>
        <row r="763">
          <cell r="A763">
            <v>76013000</v>
          </cell>
          <cell r="B763" t="str">
            <v>AFF SRVC CHG - FINANCE</v>
          </cell>
        </row>
        <row r="764">
          <cell r="A764">
            <v>760131</v>
          </cell>
          <cell r="B764" t="str">
            <v>*AFF SRVC CHG - BRANCH OFFICE*</v>
          </cell>
        </row>
        <row r="765">
          <cell r="A765">
            <v>76013100</v>
          </cell>
          <cell r="B765" t="str">
            <v>AFF SRVC CHG - BRANCH OFFICE</v>
          </cell>
        </row>
        <row r="766">
          <cell r="A766">
            <v>97</v>
          </cell>
          <cell r="B766" t="str">
            <v>***YEAR END P&amp;L ADJ*</v>
          </cell>
        </row>
        <row r="767">
          <cell r="A767">
            <v>9700</v>
          </cell>
          <cell r="B767" t="str">
            <v>**YEAR END P&amp;L ADJ*</v>
          </cell>
        </row>
        <row r="768">
          <cell r="A768">
            <v>970000</v>
          </cell>
          <cell r="B768" t="str">
            <v>*YEAR END P&amp;L ADJ*</v>
          </cell>
        </row>
        <row r="769">
          <cell r="A769">
            <v>97000000</v>
          </cell>
          <cell r="B769" t="str">
            <v>YEAR END P&amp;L ADJ</v>
          </cell>
        </row>
        <row r="770">
          <cell r="A770">
            <v>99</v>
          </cell>
          <cell r="B770" t="str">
            <v>***SUSPENSE A/C*</v>
          </cell>
        </row>
        <row r="771">
          <cell r="A771">
            <v>9900</v>
          </cell>
          <cell r="B771" t="str">
            <v>**SUSPENSE A/C*</v>
          </cell>
        </row>
        <row r="772">
          <cell r="A772">
            <v>990000</v>
          </cell>
          <cell r="B772" t="str">
            <v>*SUSPENSE A/C*</v>
          </cell>
        </row>
        <row r="773">
          <cell r="A773">
            <v>99000000</v>
          </cell>
          <cell r="B773" t="str">
            <v>SUSPENSE A/C</v>
          </cell>
        </row>
        <row r="774">
          <cell r="A774" t="str">
            <v>B0000000</v>
          </cell>
          <cell r="B774" t="str">
            <v>BUDGET SUSPENSE A/C</v>
          </cell>
        </row>
        <row r="775">
          <cell r="A775" t="str">
            <v>ZCONV</v>
          </cell>
          <cell r="B775" t="str">
            <v>CONVERSION RATE TO USD</v>
          </cell>
        </row>
        <row r="776">
          <cell r="A776" t="str">
            <v>ZPLSK</v>
          </cell>
          <cell r="B776" t="str">
            <v>MONTHLY AVAILABLE P&amp;L (SK)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 Pivot"/>
      <sheetName val="Summary by Group"/>
      <sheetName val="Drivers-ALL"/>
      <sheetName val="Drivers-DOM"/>
      <sheetName val="Drivers-EXP"/>
      <sheetName val="Drivers-HOUSE"/>
      <sheetName val="Driv. Graph"/>
      <sheetName val="chk"/>
      <sheetName val="Data to Piv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Bud/Act</v>
          </cell>
          <cell r="B1" t="str">
            <v>Period</v>
          </cell>
          <cell r="C1" t="str">
            <v>Group</v>
          </cell>
          <cell r="D1" t="str">
            <v>Salesman</v>
          </cell>
          <cell r="E1" t="str">
            <v>Ship Code</v>
          </cell>
          <cell r="F1" t="str">
            <v>ST name</v>
          </cell>
          <cell r="G1" t="str">
            <v>ST Exp Code</v>
          </cell>
          <cell r="H1" t="str">
            <v>ST City</v>
          </cell>
          <cell r="I1" t="str">
            <v>ST State</v>
          </cell>
          <cell r="J1" t="str">
            <v>ST Country</v>
          </cell>
          <cell r="K1" t="str">
            <v>CC Name</v>
          </cell>
          <cell r="L1" t="str">
            <v>CC State</v>
          </cell>
          <cell r="M1" t="str">
            <v>CC Country</v>
          </cell>
          <cell r="N1" t="str">
            <v>DEAL-DIST</v>
          </cell>
          <cell r="O1" t="str">
            <v>Item Code</v>
          </cell>
          <cell r="P1" t="str">
            <v>Item Name</v>
          </cell>
          <cell r="Q1" t="str">
            <v>Classification</v>
          </cell>
          <cell r="R1" t="str">
            <v>Volume</v>
          </cell>
          <cell r="S1" t="str">
            <v>Revenue</v>
          </cell>
        </row>
        <row r="2">
          <cell r="A2" t="str">
            <v>Budget</v>
          </cell>
          <cell r="B2">
            <v>1</v>
          </cell>
          <cell r="C2" t="str">
            <v>Domestic</v>
          </cell>
          <cell r="D2">
            <v>1</v>
          </cell>
          <cell r="E2">
            <v>5316</v>
          </cell>
          <cell r="F2" t="str">
            <v>GLADDING MCBEAN &amp; CO</v>
          </cell>
          <cell r="G2" t="str">
            <v>D</v>
          </cell>
          <cell r="H2" t="str">
            <v>LINCOLN</v>
          </cell>
          <cell r="I2" t="str">
            <v>CA</v>
          </cell>
          <cell r="J2" t="str">
            <v>USA</v>
          </cell>
          <cell r="K2" t="str">
            <v>GLADDING MCBEAN &amp; CO</v>
          </cell>
          <cell r="L2" t="str">
            <v>CA</v>
          </cell>
          <cell r="M2" t="str">
            <v>USA</v>
          </cell>
          <cell r="N2" t="str">
            <v>C</v>
          </cell>
          <cell r="O2">
            <v>30210130</v>
          </cell>
          <cell r="P2" t="str">
            <v>SODA ASH DENSE 100LB BAG</v>
          </cell>
          <cell r="Q2" t="str">
            <v>Soda Ash</v>
          </cell>
          <cell r="R2">
            <v>4.0199999999999996</v>
          </cell>
          <cell r="S2">
            <v>953.5</v>
          </cell>
        </row>
        <row r="3">
          <cell r="A3" t="str">
            <v>Budget</v>
          </cell>
          <cell r="B3">
            <v>1</v>
          </cell>
          <cell r="C3" t="str">
            <v>Domestic</v>
          </cell>
          <cell r="D3">
            <v>1</v>
          </cell>
          <cell r="E3">
            <v>5380</v>
          </cell>
          <cell r="F3" t="str">
            <v>U.S. BORAX INC.</v>
          </cell>
          <cell r="G3" t="str">
            <v>D</v>
          </cell>
          <cell r="H3" t="str">
            <v>BORON</v>
          </cell>
          <cell r="I3" t="str">
            <v>CA</v>
          </cell>
          <cell r="J3" t="str">
            <v>USA</v>
          </cell>
          <cell r="K3" t="str">
            <v>U.S. BORAX INC.</v>
          </cell>
          <cell r="L3" t="str">
            <v>CA</v>
          </cell>
          <cell r="M3" t="str">
            <v>USA</v>
          </cell>
          <cell r="N3" t="str">
            <v>C</v>
          </cell>
          <cell r="O3">
            <v>30210100</v>
          </cell>
          <cell r="P3" t="str">
            <v>SODA ASH DENSE BULK</v>
          </cell>
          <cell r="Q3" t="str">
            <v>Soda Ash</v>
          </cell>
          <cell r="R3">
            <v>228.55</v>
          </cell>
          <cell r="S3">
            <v>20466.62</v>
          </cell>
        </row>
        <row r="4">
          <cell r="A4" t="str">
            <v>Budget</v>
          </cell>
          <cell r="B4">
            <v>1</v>
          </cell>
          <cell r="C4" t="str">
            <v>Domestic</v>
          </cell>
          <cell r="D4">
            <v>1</v>
          </cell>
          <cell r="E4">
            <v>5390</v>
          </cell>
          <cell r="F4" t="str">
            <v>UNIVAR USA</v>
          </cell>
          <cell r="G4" t="str">
            <v>D</v>
          </cell>
          <cell r="H4" t="str">
            <v>CITY OF COMMERCE</v>
          </cell>
          <cell r="I4" t="str">
            <v>CA</v>
          </cell>
          <cell r="J4" t="str">
            <v>USA</v>
          </cell>
          <cell r="K4" t="str">
            <v>UNIVAR USA</v>
          </cell>
          <cell r="L4" t="str">
            <v>CA</v>
          </cell>
          <cell r="M4" t="str">
            <v>USA</v>
          </cell>
          <cell r="N4" t="str">
            <v>D</v>
          </cell>
          <cell r="O4">
            <v>22060410</v>
          </cell>
          <cell r="P4" t="str">
            <v>V-BOR 50LB BAG (004)</v>
          </cell>
          <cell r="Q4" t="str">
            <v>Penta</v>
          </cell>
          <cell r="R4">
            <v>0.42</v>
          </cell>
          <cell r="S4">
            <v>172.24</v>
          </cell>
        </row>
        <row r="5">
          <cell r="A5" t="str">
            <v>Budget</v>
          </cell>
          <cell r="B5">
            <v>1</v>
          </cell>
          <cell r="C5" t="str">
            <v>Domestic</v>
          </cell>
          <cell r="D5">
            <v>1</v>
          </cell>
          <cell r="E5">
            <v>5390</v>
          </cell>
          <cell r="F5" t="str">
            <v>UNIVAR USA</v>
          </cell>
          <cell r="G5" t="str">
            <v>D</v>
          </cell>
          <cell r="H5" t="str">
            <v>CITY OF COMMERCE</v>
          </cell>
          <cell r="I5" t="str">
            <v>CA</v>
          </cell>
          <cell r="J5" t="str">
            <v>USA</v>
          </cell>
          <cell r="K5" t="str">
            <v>UNIVAR USA</v>
          </cell>
          <cell r="L5" t="str">
            <v>CA</v>
          </cell>
          <cell r="M5" t="str">
            <v>USA</v>
          </cell>
          <cell r="N5" t="str">
            <v>D</v>
          </cell>
          <cell r="O5">
            <v>30210110</v>
          </cell>
          <cell r="P5" t="str">
            <v>SODA ASH DENSE 50LB BAG</v>
          </cell>
          <cell r="Q5" t="str">
            <v>Soda Ash</v>
          </cell>
          <cell r="R5">
            <v>63.08</v>
          </cell>
          <cell r="S5">
            <v>10136.99</v>
          </cell>
        </row>
        <row r="6">
          <cell r="A6" t="str">
            <v>Budget</v>
          </cell>
          <cell r="B6">
            <v>1</v>
          </cell>
          <cell r="C6" t="str">
            <v>Domestic</v>
          </cell>
          <cell r="D6">
            <v>1</v>
          </cell>
          <cell r="E6">
            <v>5390</v>
          </cell>
          <cell r="F6" t="str">
            <v>UNIVAR USA</v>
          </cell>
          <cell r="G6" t="str">
            <v>D</v>
          </cell>
          <cell r="H6" t="str">
            <v>CITY OF COMMERCE</v>
          </cell>
          <cell r="I6" t="str">
            <v>CA</v>
          </cell>
          <cell r="J6" t="str">
            <v>USA</v>
          </cell>
          <cell r="K6" t="str">
            <v>UNIVAR USA</v>
          </cell>
          <cell r="L6" t="str">
            <v>CA</v>
          </cell>
          <cell r="M6" t="str">
            <v>USA</v>
          </cell>
          <cell r="N6" t="str">
            <v>D</v>
          </cell>
          <cell r="O6">
            <v>40060410</v>
          </cell>
          <cell r="P6" t="str">
            <v>SODIUM SULFATE STD 50LB BAG</v>
          </cell>
          <cell r="Q6" t="str">
            <v>Sodium Sulfate</v>
          </cell>
          <cell r="R6">
            <v>296.24</v>
          </cell>
          <cell r="S6">
            <v>52305.85</v>
          </cell>
        </row>
        <row r="7">
          <cell r="A7" t="str">
            <v>Budget</v>
          </cell>
          <cell r="B7">
            <v>1</v>
          </cell>
          <cell r="C7" t="str">
            <v>Domestic</v>
          </cell>
          <cell r="D7">
            <v>1</v>
          </cell>
          <cell r="E7">
            <v>5390</v>
          </cell>
          <cell r="F7" t="str">
            <v>UNIVAR USA</v>
          </cell>
          <cell r="G7" t="str">
            <v>D</v>
          </cell>
          <cell r="H7" t="str">
            <v>CITY OF COMMERCE</v>
          </cell>
          <cell r="I7" t="str">
            <v>CA</v>
          </cell>
          <cell r="J7" t="str">
            <v>USA</v>
          </cell>
          <cell r="K7" t="str">
            <v>UNIVAR USA</v>
          </cell>
          <cell r="L7" t="str">
            <v>CA</v>
          </cell>
          <cell r="M7" t="str">
            <v>USA</v>
          </cell>
          <cell r="N7" t="str">
            <v>D</v>
          </cell>
          <cell r="O7">
            <v>40060430</v>
          </cell>
          <cell r="P7" t="str">
            <v>SODIUM SULFATE STD 100LB BAG</v>
          </cell>
          <cell r="Q7" t="str">
            <v>Sodium Sulfate</v>
          </cell>
          <cell r="R7">
            <v>13.98</v>
          </cell>
          <cell r="S7">
            <v>2581.2199999999998</v>
          </cell>
        </row>
        <row r="8">
          <cell r="A8" t="str">
            <v>Budget</v>
          </cell>
          <cell r="B8">
            <v>1</v>
          </cell>
          <cell r="C8" t="str">
            <v>Domestic</v>
          </cell>
          <cell r="D8">
            <v>1</v>
          </cell>
          <cell r="E8">
            <v>5429</v>
          </cell>
          <cell r="F8" t="str">
            <v>UNIVAR USA</v>
          </cell>
          <cell r="G8" t="str">
            <v>D</v>
          </cell>
          <cell r="H8" t="str">
            <v>SAN JOSE</v>
          </cell>
          <cell r="I8" t="str">
            <v>CA</v>
          </cell>
          <cell r="J8" t="str">
            <v>USA</v>
          </cell>
          <cell r="K8" t="str">
            <v>UNIVAR USA</v>
          </cell>
          <cell r="L8" t="str">
            <v>CA</v>
          </cell>
          <cell r="M8" t="str">
            <v>USA</v>
          </cell>
          <cell r="N8" t="str">
            <v>D</v>
          </cell>
          <cell r="O8">
            <v>30210110</v>
          </cell>
          <cell r="P8" t="str">
            <v>SODA ASH DENSE 50LB BAG</v>
          </cell>
          <cell r="Q8" t="str">
            <v>Soda Ash</v>
          </cell>
          <cell r="R8">
            <v>11.83</v>
          </cell>
          <cell r="S8">
            <v>1778.15</v>
          </cell>
        </row>
        <row r="9">
          <cell r="A9" t="str">
            <v>Budget</v>
          </cell>
          <cell r="B9">
            <v>1</v>
          </cell>
          <cell r="C9" t="str">
            <v>Domestic</v>
          </cell>
          <cell r="D9">
            <v>1</v>
          </cell>
          <cell r="E9">
            <v>5429</v>
          </cell>
          <cell r="F9" t="str">
            <v>UNIVAR USA</v>
          </cell>
          <cell r="G9" t="str">
            <v>D</v>
          </cell>
          <cell r="H9" t="str">
            <v>SAN JOSE</v>
          </cell>
          <cell r="I9" t="str">
            <v>CA</v>
          </cell>
          <cell r="J9" t="str">
            <v>USA</v>
          </cell>
          <cell r="K9" t="str">
            <v>UNIVAR USA</v>
          </cell>
          <cell r="L9" t="str">
            <v>CA</v>
          </cell>
          <cell r="M9" t="str">
            <v>USA</v>
          </cell>
          <cell r="N9" t="str">
            <v>D</v>
          </cell>
          <cell r="O9">
            <v>40060410</v>
          </cell>
          <cell r="P9" t="str">
            <v>SODIUM SULFATE STD 50LB BAG</v>
          </cell>
          <cell r="Q9" t="str">
            <v>Sodium Sulfate</v>
          </cell>
          <cell r="R9">
            <v>12.07</v>
          </cell>
          <cell r="S9">
            <v>2257.0300000000002</v>
          </cell>
        </row>
        <row r="10">
          <cell r="A10" t="str">
            <v>Budget</v>
          </cell>
          <cell r="B10">
            <v>1</v>
          </cell>
          <cell r="C10" t="str">
            <v>Domestic</v>
          </cell>
          <cell r="D10">
            <v>1</v>
          </cell>
          <cell r="E10">
            <v>5430</v>
          </cell>
          <cell r="F10" t="str">
            <v>VALUE PRODUCTS</v>
          </cell>
          <cell r="G10" t="str">
            <v>D</v>
          </cell>
          <cell r="H10" t="str">
            <v>STOCKTON</v>
          </cell>
          <cell r="I10" t="str">
            <v>CA</v>
          </cell>
          <cell r="J10" t="str">
            <v>USA</v>
          </cell>
          <cell r="K10" t="str">
            <v>UNIVAR USA</v>
          </cell>
          <cell r="L10" t="str">
            <v>CA</v>
          </cell>
          <cell r="M10" t="str">
            <v>USA</v>
          </cell>
          <cell r="N10" t="str">
            <v>D</v>
          </cell>
          <cell r="O10">
            <v>40060410</v>
          </cell>
          <cell r="P10" t="str">
            <v>SODIUM SULFATE STD 50LB BAG</v>
          </cell>
          <cell r="Q10" t="str">
            <v>Sodium Sulfate</v>
          </cell>
          <cell r="R10">
            <v>11.86</v>
          </cell>
          <cell r="S10">
            <v>2217.4299999999998</v>
          </cell>
        </row>
        <row r="11">
          <cell r="A11" t="str">
            <v>Budget</v>
          </cell>
          <cell r="B11">
            <v>1</v>
          </cell>
          <cell r="C11" t="str">
            <v>Domestic</v>
          </cell>
          <cell r="D11">
            <v>1</v>
          </cell>
          <cell r="E11">
            <v>5628</v>
          </cell>
          <cell r="F11" t="str">
            <v>U.S. DYE</v>
          </cell>
          <cell r="G11" t="str">
            <v>D</v>
          </cell>
          <cell r="H11" t="str">
            <v>GARDEN GROVE</v>
          </cell>
          <cell r="I11" t="str">
            <v>CA</v>
          </cell>
          <cell r="J11" t="str">
            <v>USA</v>
          </cell>
          <cell r="K11" t="str">
            <v>BRENNTAG WEST, INC.</v>
          </cell>
          <cell r="L11" t="str">
            <v>CA</v>
          </cell>
          <cell r="M11" t="str">
            <v>USA</v>
          </cell>
          <cell r="N11" t="str">
            <v>D</v>
          </cell>
          <cell r="O11">
            <v>40150410</v>
          </cell>
          <cell r="P11" t="str">
            <v>SODIUM SULFATE CRS 50LB BAG</v>
          </cell>
          <cell r="Q11" t="str">
            <v>Sodium Sulfate</v>
          </cell>
          <cell r="R11">
            <v>60.35</v>
          </cell>
          <cell r="S11">
            <v>9374.11</v>
          </cell>
        </row>
        <row r="12">
          <cell r="A12" t="str">
            <v>Budget</v>
          </cell>
          <cell r="B12">
            <v>1</v>
          </cell>
          <cell r="C12" t="str">
            <v>Domestic</v>
          </cell>
          <cell r="D12">
            <v>1</v>
          </cell>
          <cell r="E12">
            <v>5650</v>
          </cell>
          <cell r="F12" t="str">
            <v>HUISH DETERGENTS INC</v>
          </cell>
          <cell r="G12" t="str">
            <v>D</v>
          </cell>
          <cell r="H12" t="str">
            <v>SALT LAKE CITY</v>
          </cell>
          <cell r="I12" t="str">
            <v>UT</v>
          </cell>
          <cell r="J12" t="str">
            <v>USA</v>
          </cell>
          <cell r="K12" t="str">
            <v>HUISH DETERGENTS INC</v>
          </cell>
          <cell r="L12" t="str">
            <v>UT</v>
          </cell>
          <cell r="M12" t="str">
            <v>USA</v>
          </cell>
          <cell r="N12" t="str">
            <v>C</v>
          </cell>
          <cell r="O12">
            <v>40060400</v>
          </cell>
          <cell r="P12" t="str">
            <v>SODIUM SULFATE STANDARD BULK</v>
          </cell>
          <cell r="Q12" t="str">
            <v>Sodium Sulfate</v>
          </cell>
          <cell r="R12">
            <v>635.25</v>
          </cell>
          <cell r="S12">
            <v>42713.86</v>
          </cell>
        </row>
        <row r="13">
          <cell r="A13" t="str">
            <v>Budget</v>
          </cell>
          <cell r="B13">
            <v>1</v>
          </cell>
          <cell r="C13" t="str">
            <v>Domestic</v>
          </cell>
          <cell r="D13">
            <v>1</v>
          </cell>
          <cell r="E13">
            <v>6056</v>
          </cell>
          <cell r="F13" t="str">
            <v>CELITE</v>
          </cell>
          <cell r="G13" t="str">
            <v>D</v>
          </cell>
          <cell r="H13" t="str">
            <v>LOMPOC</v>
          </cell>
          <cell r="I13" t="str">
            <v>CA</v>
          </cell>
          <cell r="J13" t="str">
            <v>USA</v>
          </cell>
          <cell r="K13" t="str">
            <v>CELITE</v>
          </cell>
          <cell r="L13" t="str">
            <v>CA</v>
          </cell>
          <cell r="M13" t="str">
            <v>USA</v>
          </cell>
          <cell r="N13" t="str">
            <v>C</v>
          </cell>
          <cell r="O13">
            <v>30210100</v>
          </cell>
          <cell r="P13" t="str">
            <v>SODA ASH DENSE BULK</v>
          </cell>
          <cell r="Q13" t="str">
            <v>Soda Ash</v>
          </cell>
          <cell r="R13">
            <v>846.99</v>
          </cell>
          <cell r="S13">
            <v>71460.929999999993</v>
          </cell>
        </row>
        <row r="14">
          <cell r="A14" t="str">
            <v>Budget</v>
          </cell>
          <cell r="B14">
            <v>1</v>
          </cell>
          <cell r="C14" t="str">
            <v>Domestic</v>
          </cell>
          <cell r="D14">
            <v>1</v>
          </cell>
          <cell r="E14">
            <v>6090</v>
          </cell>
          <cell r="F14" t="str">
            <v>IN-CIDE TECHNOLOGIES</v>
          </cell>
          <cell r="G14" t="str">
            <v>D</v>
          </cell>
          <cell r="H14" t="str">
            <v>PHOENIX</v>
          </cell>
          <cell r="I14" t="str">
            <v>AZ</v>
          </cell>
          <cell r="J14" t="str">
            <v>USA</v>
          </cell>
          <cell r="K14" t="str">
            <v>IN-CIDE TECHNOLOGIES</v>
          </cell>
          <cell r="L14" t="str">
            <v>AZ</v>
          </cell>
          <cell r="M14" t="str">
            <v>USA</v>
          </cell>
          <cell r="N14" t="str">
            <v>C</v>
          </cell>
          <cell r="O14">
            <v>22060400</v>
          </cell>
          <cell r="P14" t="str">
            <v>V-BOR STD BULK (004)</v>
          </cell>
          <cell r="Q14" t="str">
            <v>Penta</v>
          </cell>
          <cell r="R14">
            <v>388.01</v>
          </cell>
          <cell r="S14">
            <v>97271.31</v>
          </cell>
        </row>
        <row r="15">
          <cell r="A15" t="str">
            <v>Budget</v>
          </cell>
          <cell r="B15">
            <v>1</v>
          </cell>
          <cell r="C15" t="str">
            <v>Domestic</v>
          </cell>
          <cell r="D15">
            <v>1</v>
          </cell>
          <cell r="E15">
            <v>6090</v>
          </cell>
          <cell r="F15" t="str">
            <v>IN-CIDE TECHNOLOGIES</v>
          </cell>
          <cell r="G15" t="str">
            <v>D</v>
          </cell>
          <cell r="H15" t="str">
            <v>PHOENIX</v>
          </cell>
          <cell r="I15" t="str">
            <v>AZ</v>
          </cell>
          <cell r="J15" t="str">
            <v>USA</v>
          </cell>
          <cell r="K15" t="str">
            <v>IN-CIDE TECHNOLOGIES</v>
          </cell>
          <cell r="L15" t="str">
            <v>AZ</v>
          </cell>
          <cell r="M15" t="str">
            <v>USA</v>
          </cell>
          <cell r="N15" t="str">
            <v>C</v>
          </cell>
          <cell r="O15">
            <v>24090250</v>
          </cell>
          <cell r="P15" t="str">
            <v>BORIC ACID GRAN TECH 1TN FIBC</v>
          </cell>
          <cell r="Q15" t="str">
            <v>Boric Acid</v>
          </cell>
          <cell r="R15">
            <v>22.36</v>
          </cell>
          <cell r="S15">
            <v>9195.6200000000008</v>
          </cell>
        </row>
        <row r="16">
          <cell r="A16" t="str">
            <v>Budget</v>
          </cell>
          <cell r="B16">
            <v>1</v>
          </cell>
          <cell r="C16" t="str">
            <v>Domestic</v>
          </cell>
          <cell r="D16">
            <v>1</v>
          </cell>
          <cell r="E16">
            <v>6090</v>
          </cell>
          <cell r="F16" t="str">
            <v>IN-CIDE TECHNOLOGIES</v>
          </cell>
          <cell r="G16" t="str">
            <v>D</v>
          </cell>
          <cell r="H16" t="str">
            <v>PHOENIX</v>
          </cell>
          <cell r="I16" t="str">
            <v>AZ</v>
          </cell>
          <cell r="J16" t="str">
            <v>USA</v>
          </cell>
          <cell r="K16" t="str">
            <v>IN-CIDE TECHNOLOGIES</v>
          </cell>
          <cell r="L16" t="str">
            <v>AZ</v>
          </cell>
          <cell r="M16" t="str">
            <v>USA</v>
          </cell>
          <cell r="N16" t="str">
            <v>C</v>
          </cell>
          <cell r="O16">
            <v>24090251</v>
          </cell>
          <cell r="P16" t="str">
            <v>BORIC ACID GRN TCH 2200LB FIBC</v>
          </cell>
          <cell r="Q16" t="str">
            <v>Boric Acid</v>
          </cell>
          <cell r="R16">
            <v>29.81</v>
          </cell>
          <cell r="S16">
            <v>12202.16</v>
          </cell>
        </row>
        <row r="17">
          <cell r="A17" t="str">
            <v>Budget</v>
          </cell>
          <cell r="B17">
            <v>1</v>
          </cell>
          <cell r="C17" t="str">
            <v>Domestic</v>
          </cell>
          <cell r="D17">
            <v>1</v>
          </cell>
          <cell r="E17">
            <v>6090</v>
          </cell>
          <cell r="F17" t="str">
            <v>IN-CIDE TECHNOLOGIES</v>
          </cell>
          <cell r="G17" t="str">
            <v>D</v>
          </cell>
          <cell r="H17" t="str">
            <v>PHOENIX</v>
          </cell>
          <cell r="I17" t="str">
            <v>AZ</v>
          </cell>
          <cell r="J17" t="str">
            <v>USA</v>
          </cell>
          <cell r="K17" t="str">
            <v>IN-CIDE TECHNOLOGIES</v>
          </cell>
          <cell r="L17" t="str">
            <v>AZ</v>
          </cell>
          <cell r="M17" t="str">
            <v>USA</v>
          </cell>
          <cell r="N17" t="str">
            <v>C</v>
          </cell>
          <cell r="O17">
            <v>24099455</v>
          </cell>
          <cell r="P17" t="str">
            <v>BOR boric acid, 1MT FIBC</v>
          </cell>
          <cell r="Q17" t="str">
            <v>Boric Acid</v>
          </cell>
          <cell r="R17">
            <v>50.42</v>
          </cell>
          <cell r="S17">
            <v>21174.58</v>
          </cell>
        </row>
        <row r="18">
          <cell r="A18" t="str">
            <v>Budget</v>
          </cell>
          <cell r="B18">
            <v>1</v>
          </cell>
          <cell r="C18" t="str">
            <v>Domestic</v>
          </cell>
          <cell r="D18">
            <v>1</v>
          </cell>
          <cell r="E18">
            <v>6090</v>
          </cell>
          <cell r="F18" t="str">
            <v>IN-CIDE TECHNOLOGIES</v>
          </cell>
          <cell r="G18" t="str">
            <v>D</v>
          </cell>
          <cell r="H18" t="str">
            <v>PHOENIX</v>
          </cell>
          <cell r="I18" t="str">
            <v>AZ</v>
          </cell>
          <cell r="J18" t="str">
            <v>USA</v>
          </cell>
          <cell r="K18" t="str">
            <v>IN-CIDE TECHNOLOGIES</v>
          </cell>
          <cell r="L18" t="str">
            <v>AZ</v>
          </cell>
          <cell r="M18" t="str">
            <v>USA</v>
          </cell>
          <cell r="N18" t="str">
            <v>C</v>
          </cell>
          <cell r="O18">
            <v>26069710</v>
          </cell>
          <cell r="P18" t="str">
            <v>SOLUBLE BORON-21 50LB BAG</v>
          </cell>
          <cell r="Q18" t="str">
            <v>Foliarel (SCL)</v>
          </cell>
          <cell r="R18">
            <v>0.93</v>
          </cell>
          <cell r="S18">
            <v>991.98</v>
          </cell>
        </row>
        <row r="19">
          <cell r="A19" t="str">
            <v>Budget</v>
          </cell>
          <cell r="B19">
            <v>1</v>
          </cell>
          <cell r="C19" t="str">
            <v>Domestic</v>
          </cell>
          <cell r="D19">
            <v>1</v>
          </cell>
          <cell r="E19">
            <v>6090</v>
          </cell>
          <cell r="F19" t="str">
            <v>IN-CIDE TECHNOLOGIES</v>
          </cell>
          <cell r="G19" t="str">
            <v>D</v>
          </cell>
          <cell r="H19" t="str">
            <v>PHOENIX</v>
          </cell>
          <cell r="I19" t="str">
            <v>AZ</v>
          </cell>
          <cell r="J19" t="str">
            <v>USA</v>
          </cell>
          <cell r="K19" t="str">
            <v>IN-CIDE TECHNOLOGIES</v>
          </cell>
          <cell r="L19" t="str">
            <v>AZ</v>
          </cell>
          <cell r="M19" t="str">
            <v>USA</v>
          </cell>
          <cell r="N19" t="str">
            <v>C</v>
          </cell>
          <cell r="O19">
            <v>26769710</v>
          </cell>
          <cell r="P19" t="str">
            <v>SOD OCTABORATE PEST 50LB BAG</v>
          </cell>
          <cell r="Q19" t="str">
            <v>Foliarel (SCL)</v>
          </cell>
          <cell r="R19">
            <v>3.66</v>
          </cell>
          <cell r="S19">
            <v>3807.11</v>
          </cell>
        </row>
        <row r="20">
          <cell r="A20" t="str">
            <v>Budget</v>
          </cell>
          <cell r="B20">
            <v>1</v>
          </cell>
          <cell r="C20" t="str">
            <v>Domestic</v>
          </cell>
          <cell r="D20">
            <v>1</v>
          </cell>
          <cell r="E20">
            <v>6090</v>
          </cell>
          <cell r="F20" t="str">
            <v>IN-CIDE TECHNOLOGIES</v>
          </cell>
          <cell r="G20" t="str">
            <v>D</v>
          </cell>
          <cell r="H20" t="str">
            <v>PHOENIX</v>
          </cell>
          <cell r="I20" t="str">
            <v>AZ</v>
          </cell>
          <cell r="J20" t="str">
            <v>USA</v>
          </cell>
          <cell r="K20" t="str">
            <v>IN-CIDE TECHNOLOGIES</v>
          </cell>
          <cell r="L20" t="str">
            <v>AZ</v>
          </cell>
          <cell r="M20" t="str">
            <v>USA</v>
          </cell>
          <cell r="N20" t="str">
            <v>C</v>
          </cell>
          <cell r="O20">
            <v>26769755</v>
          </cell>
          <cell r="P20" t="str">
            <v>SODIUM OCTABORATE PEST 1MT</v>
          </cell>
          <cell r="Q20" t="str">
            <v>Foliarel (SCL)</v>
          </cell>
          <cell r="R20">
            <v>2.99</v>
          </cell>
          <cell r="S20">
            <v>3218.75</v>
          </cell>
        </row>
        <row r="21">
          <cell r="A21" t="str">
            <v>Budget</v>
          </cell>
          <cell r="B21">
            <v>1</v>
          </cell>
          <cell r="C21" t="str">
            <v>Domestic</v>
          </cell>
          <cell r="D21">
            <v>1</v>
          </cell>
          <cell r="E21">
            <v>6090</v>
          </cell>
          <cell r="F21" t="str">
            <v>IN-CIDE TECHNOLOGIES</v>
          </cell>
          <cell r="G21" t="str">
            <v>D</v>
          </cell>
          <cell r="H21" t="str">
            <v>PHOENIX</v>
          </cell>
          <cell r="I21" t="str">
            <v>AZ</v>
          </cell>
          <cell r="J21" t="str">
            <v>USA</v>
          </cell>
          <cell r="K21" t="str">
            <v>IN-CIDE TECHNOLOGIES</v>
          </cell>
          <cell r="L21" t="str">
            <v>AZ</v>
          </cell>
          <cell r="M21" t="str">
            <v>USA</v>
          </cell>
          <cell r="N21" t="str">
            <v>C</v>
          </cell>
          <cell r="O21">
            <v>26769785</v>
          </cell>
          <cell r="P21" t="str">
            <v>SODIUM OCTABORATE PEST 500KG</v>
          </cell>
          <cell r="Q21" t="str">
            <v>Foliarel (SCL)</v>
          </cell>
          <cell r="R21">
            <v>3.36</v>
          </cell>
          <cell r="S21">
            <v>3857.08</v>
          </cell>
        </row>
        <row r="22">
          <cell r="A22" t="str">
            <v>Budget</v>
          </cell>
          <cell r="B22">
            <v>1</v>
          </cell>
          <cell r="C22" t="str">
            <v>Domestic</v>
          </cell>
          <cell r="D22">
            <v>1</v>
          </cell>
          <cell r="E22">
            <v>6104</v>
          </cell>
          <cell r="F22" t="str">
            <v>PACIFIC COAST CHEMICALS, INC.</v>
          </cell>
          <cell r="G22" t="str">
            <v>D</v>
          </cell>
          <cell r="H22" t="str">
            <v>BERKELEY</v>
          </cell>
          <cell r="I22" t="str">
            <v>CA</v>
          </cell>
          <cell r="J22" t="str">
            <v>USA</v>
          </cell>
          <cell r="K22" t="str">
            <v>PACIFIC COAST CHEMICALS, INC.</v>
          </cell>
          <cell r="L22" t="str">
            <v>CA</v>
          </cell>
          <cell r="M22" t="str">
            <v>USA</v>
          </cell>
          <cell r="N22" t="str">
            <v>D</v>
          </cell>
          <cell r="O22">
            <v>24030210</v>
          </cell>
          <cell r="P22" t="str">
            <v>BORIC ACID PWD TECH 50LB BAG</v>
          </cell>
          <cell r="Q22" t="str">
            <v>Boric Acid</v>
          </cell>
          <cell r="R22">
            <v>2.64</v>
          </cell>
          <cell r="S22">
            <v>2365.15</v>
          </cell>
        </row>
        <row r="23">
          <cell r="A23" t="str">
            <v>Budget</v>
          </cell>
          <cell r="B23">
            <v>1</v>
          </cell>
          <cell r="C23" t="str">
            <v>Domestic</v>
          </cell>
          <cell r="D23">
            <v>1</v>
          </cell>
          <cell r="E23">
            <v>6104</v>
          </cell>
          <cell r="F23" t="str">
            <v>PACIFIC COAST CHEMICALS, INC.</v>
          </cell>
          <cell r="G23" t="str">
            <v>D</v>
          </cell>
          <cell r="H23" t="str">
            <v>BERKELEY</v>
          </cell>
          <cell r="I23" t="str">
            <v>CA</v>
          </cell>
          <cell r="J23" t="str">
            <v>USA</v>
          </cell>
          <cell r="K23" t="str">
            <v>PACIFIC COAST CHEMICALS, INC.</v>
          </cell>
          <cell r="L23" t="str">
            <v>CA</v>
          </cell>
          <cell r="M23" t="str">
            <v>USA</v>
          </cell>
          <cell r="N23" t="str">
            <v>D</v>
          </cell>
          <cell r="O23">
            <v>24090210</v>
          </cell>
          <cell r="P23" t="str">
            <v>BORIC ACID GRAN TECH 50LB BAG</v>
          </cell>
          <cell r="Q23" t="str">
            <v>Boric Acid</v>
          </cell>
          <cell r="R23">
            <v>0.42</v>
          </cell>
          <cell r="S23">
            <v>333.68</v>
          </cell>
        </row>
        <row r="24">
          <cell r="A24" t="str">
            <v>Budget</v>
          </cell>
          <cell r="B24">
            <v>1</v>
          </cell>
          <cell r="C24" t="str">
            <v>Domestic</v>
          </cell>
          <cell r="D24">
            <v>1</v>
          </cell>
          <cell r="E24">
            <v>6104</v>
          </cell>
          <cell r="F24" t="str">
            <v>PACIFIC COAST CHEMICALS, INC.</v>
          </cell>
          <cell r="G24" t="str">
            <v>D</v>
          </cell>
          <cell r="H24" t="str">
            <v>BERKELEY</v>
          </cell>
          <cell r="I24" t="str">
            <v>CA</v>
          </cell>
          <cell r="J24" t="str">
            <v>USA</v>
          </cell>
          <cell r="K24" t="str">
            <v>PACIFIC COAST CHEMICALS, INC.</v>
          </cell>
          <cell r="L24" t="str">
            <v>CA</v>
          </cell>
          <cell r="M24" t="str">
            <v>USA</v>
          </cell>
          <cell r="N24" t="str">
            <v>D</v>
          </cell>
          <cell r="O24">
            <v>40060410</v>
          </cell>
          <cell r="P24" t="str">
            <v>SODIUM SULFATE STD 50LB BAG</v>
          </cell>
          <cell r="Q24" t="str">
            <v>Sodium Sulfate</v>
          </cell>
          <cell r="R24">
            <v>0.64</v>
          </cell>
          <cell r="S24">
            <v>130.22999999999999</v>
          </cell>
        </row>
        <row r="25">
          <cell r="A25" t="str">
            <v>Budget</v>
          </cell>
          <cell r="B25">
            <v>1</v>
          </cell>
          <cell r="C25" t="str">
            <v>Domestic</v>
          </cell>
          <cell r="D25">
            <v>1</v>
          </cell>
          <cell r="E25">
            <v>6396</v>
          </cell>
          <cell r="F25" t="str">
            <v>OIL DRY CORPORATION</v>
          </cell>
          <cell r="G25" t="str">
            <v>D</v>
          </cell>
          <cell r="H25" t="str">
            <v>OCHLOCKNEE</v>
          </cell>
          <cell r="I25" t="str">
            <v>GA</v>
          </cell>
          <cell r="J25" t="str">
            <v>USA</v>
          </cell>
          <cell r="K25" t="str">
            <v>THE CLOROX CO.</v>
          </cell>
          <cell r="L25" t="str">
            <v>CA</v>
          </cell>
          <cell r="M25" t="str">
            <v>USA</v>
          </cell>
          <cell r="N25" t="str">
            <v>C</v>
          </cell>
          <cell r="O25">
            <v>22060410</v>
          </cell>
          <cell r="P25" t="str">
            <v>V-BOR 50LB BAG (004)</v>
          </cell>
          <cell r="Q25" t="str">
            <v>Penta</v>
          </cell>
          <cell r="R25">
            <v>7.47</v>
          </cell>
          <cell r="S25">
            <v>2036.08</v>
          </cell>
        </row>
        <row r="26">
          <cell r="A26" t="str">
            <v>Budget</v>
          </cell>
          <cell r="B26">
            <v>1</v>
          </cell>
          <cell r="C26" t="str">
            <v>Domestic</v>
          </cell>
          <cell r="D26">
            <v>1</v>
          </cell>
          <cell r="E26">
            <v>6396</v>
          </cell>
          <cell r="F26" t="str">
            <v>OIL DRY CORPORATION</v>
          </cell>
          <cell r="G26" t="str">
            <v>D</v>
          </cell>
          <cell r="H26" t="str">
            <v>OCHLOCKNEE</v>
          </cell>
          <cell r="I26" t="str">
            <v>GA</v>
          </cell>
          <cell r="J26" t="str">
            <v>USA</v>
          </cell>
          <cell r="K26" t="str">
            <v>THE CLOROX CO.</v>
          </cell>
          <cell r="L26" t="str">
            <v>CA</v>
          </cell>
          <cell r="M26" t="str">
            <v>USA</v>
          </cell>
          <cell r="N26" t="str">
            <v>C</v>
          </cell>
          <cell r="O26">
            <v>24790210</v>
          </cell>
          <cell r="P26" t="str">
            <v>BORIC ACID GRN TCH 50LB PEST</v>
          </cell>
          <cell r="Q26" t="str">
            <v>Boric Acid</v>
          </cell>
          <cell r="R26">
            <v>37.35</v>
          </cell>
          <cell r="S26">
            <v>18199.62</v>
          </cell>
        </row>
        <row r="27">
          <cell r="A27" t="str">
            <v>Budget</v>
          </cell>
          <cell r="B27">
            <v>1</v>
          </cell>
          <cell r="C27" t="str">
            <v>Domestic</v>
          </cell>
          <cell r="D27">
            <v>1</v>
          </cell>
          <cell r="E27">
            <v>6541</v>
          </cell>
          <cell r="F27" t="str">
            <v>GALLADE CHEMICAL COMPANY</v>
          </cell>
          <cell r="G27" t="str">
            <v>D</v>
          </cell>
          <cell r="H27" t="str">
            <v>FONTANA</v>
          </cell>
          <cell r="I27" t="str">
            <v>CA</v>
          </cell>
          <cell r="J27" t="str">
            <v>USA</v>
          </cell>
          <cell r="K27" t="str">
            <v>GALLADE CHEMICAL CO</v>
          </cell>
          <cell r="L27" t="str">
            <v>CA</v>
          </cell>
          <cell r="M27" t="str">
            <v>USA</v>
          </cell>
          <cell r="N27" t="str">
            <v>D</v>
          </cell>
          <cell r="O27">
            <v>20060230</v>
          </cell>
          <cell r="P27" t="str">
            <v>PYROBOR 100LB BAG (002)</v>
          </cell>
          <cell r="Q27" t="str">
            <v>Pyrobor</v>
          </cell>
          <cell r="R27">
            <v>0.21</v>
          </cell>
          <cell r="S27">
            <v>172.79</v>
          </cell>
        </row>
        <row r="28">
          <cell r="A28" t="str">
            <v>Budget</v>
          </cell>
          <cell r="B28">
            <v>1</v>
          </cell>
          <cell r="C28" t="str">
            <v>Domestic</v>
          </cell>
          <cell r="D28">
            <v>1</v>
          </cell>
          <cell r="E28">
            <v>6541</v>
          </cell>
          <cell r="F28" t="str">
            <v>GALLADE CHEMICAL COMPANY</v>
          </cell>
          <cell r="G28" t="str">
            <v>D</v>
          </cell>
          <cell r="H28" t="str">
            <v>FONTANA</v>
          </cell>
          <cell r="I28" t="str">
            <v>CA</v>
          </cell>
          <cell r="J28" t="str">
            <v>USA</v>
          </cell>
          <cell r="K28" t="str">
            <v>GALLADE CHEMICAL CO</v>
          </cell>
          <cell r="L28" t="str">
            <v>CA</v>
          </cell>
          <cell r="M28" t="str">
            <v>USA</v>
          </cell>
          <cell r="N28" t="str">
            <v>D</v>
          </cell>
          <cell r="O28">
            <v>23060210</v>
          </cell>
          <cell r="P28" t="str">
            <v>DECA BORAX STD 50LB BAG</v>
          </cell>
          <cell r="Q28" t="str">
            <v>Deca</v>
          </cell>
          <cell r="R28">
            <v>1.87</v>
          </cell>
          <cell r="S28">
            <v>685.42</v>
          </cell>
        </row>
        <row r="29">
          <cell r="A29" t="str">
            <v>Budget</v>
          </cell>
          <cell r="B29">
            <v>1</v>
          </cell>
          <cell r="C29" t="str">
            <v>Domestic</v>
          </cell>
          <cell r="D29">
            <v>1</v>
          </cell>
          <cell r="E29">
            <v>6541</v>
          </cell>
          <cell r="F29" t="str">
            <v>GALLADE CHEMICAL COMPANY</v>
          </cell>
          <cell r="G29" t="str">
            <v>D</v>
          </cell>
          <cell r="H29" t="str">
            <v>FONTANA</v>
          </cell>
          <cell r="I29" t="str">
            <v>CA</v>
          </cell>
          <cell r="J29" t="str">
            <v>USA</v>
          </cell>
          <cell r="K29" t="str">
            <v>GALLADE CHEMICAL CO</v>
          </cell>
          <cell r="L29" t="str">
            <v>CA</v>
          </cell>
          <cell r="M29" t="str">
            <v>USA</v>
          </cell>
          <cell r="N29" t="str">
            <v>D</v>
          </cell>
          <cell r="O29">
            <v>24030210</v>
          </cell>
          <cell r="P29" t="str">
            <v>BORIC ACID PWD TECH 50LB BAG</v>
          </cell>
          <cell r="Q29" t="str">
            <v>Boric Acid</v>
          </cell>
          <cell r="R29">
            <v>0.41</v>
          </cell>
          <cell r="S29">
            <v>363.87</v>
          </cell>
        </row>
        <row r="30">
          <cell r="A30" t="str">
            <v>Budget</v>
          </cell>
          <cell r="B30">
            <v>1</v>
          </cell>
          <cell r="C30" t="str">
            <v>Domestic</v>
          </cell>
          <cell r="D30">
            <v>1</v>
          </cell>
          <cell r="E30">
            <v>6541</v>
          </cell>
          <cell r="F30" t="str">
            <v>GALLADE CHEMICAL COMPANY</v>
          </cell>
          <cell r="G30" t="str">
            <v>D</v>
          </cell>
          <cell r="H30" t="str">
            <v>FONTANA</v>
          </cell>
          <cell r="I30" t="str">
            <v>CA</v>
          </cell>
          <cell r="J30" t="str">
            <v>USA</v>
          </cell>
          <cell r="K30" t="str">
            <v>GALLADE CHEMICAL CO</v>
          </cell>
          <cell r="L30" t="str">
            <v>CA</v>
          </cell>
          <cell r="M30" t="str">
            <v>USA</v>
          </cell>
          <cell r="N30" t="str">
            <v>D</v>
          </cell>
          <cell r="O30">
            <v>24090210</v>
          </cell>
          <cell r="P30" t="str">
            <v>BORIC ACID GRAN TECH 50LB BAG</v>
          </cell>
          <cell r="Q30" t="str">
            <v>Boric Acid</v>
          </cell>
          <cell r="R30">
            <v>7.47</v>
          </cell>
          <cell r="S30">
            <v>5591.66</v>
          </cell>
        </row>
        <row r="31">
          <cell r="A31" t="str">
            <v>Budget</v>
          </cell>
          <cell r="B31">
            <v>1</v>
          </cell>
          <cell r="C31" t="str">
            <v>Domestic</v>
          </cell>
          <cell r="D31">
            <v>1</v>
          </cell>
          <cell r="E31">
            <v>6541</v>
          </cell>
          <cell r="F31" t="str">
            <v>GALLADE CHEMICAL COMPANY</v>
          </cell>
          <cell r="G31" t="str">
            <v>D</v>
          </cell>
          <cell r="H31" t="str">
            <v>FONTANA</v>
          </cell>
          <cell r="I31" t="str">
            <v>CA</v>
          </cell>
          <cell r="J31" t="str">
            <v>USA</v>
          </cell>
          <cell r="K31" t="str">
            <v>GALLADE CHEMICAL CO</v>
          </cell>
          <cell r="L31" t="str">
            <v>CA</v>
          </cell>
          <cell r="M31" t="str">
            <v>USA</v>
          </cell>
          <cell r="N31" t="str">
            <v>D</v>
          </cell>
          <cell r="O31">
            <v>40060410</v>
          </cell>
          <cell r="P31" t="str">
            <v>SODIUM SULFATE STD 50LB BAG</v>
          </cell>
          <cell r="Q31" t="str">
            <v>Sodium Sulfate</v>
          </cell>
          <cell r="R31">
            <v>8.89</v>
          </cell>
          <cell r="S31">
            <v>1734.22</v>
          </cell>
        </row>
        <row r="32">
          <cell r="A32" t="str">
            <v>Budget</v>
          </cell>
          <cell r="B32">
            <v>1</v>
          </cell>
          <cell r="C32" t="str">
            <v>Domestic</v>
          </cell>
          <cell r="D32">
            <v>1</v>
          </cell>
          <cell r="E32">
            <v>6717</v>
          </cell>
          <cell r="F32" t="str">
            <v>NEVADA POWER COMPANY</v>
          </cell>
          <cell r="G32" t="str">
            <v>D</v>
          </cell>
          <cell r="H32" t="str">
            <v>MOAPA</v>
          </cell>
          <cell r="I32" t="str">
            <v>NV</v>
          </cell>
          <cell r="J32" t="str">
            <v>USA</v>
          </cell>
          <cell r="K32" t="str">
            <v>NEVADA POWER COMPANY</v>
          </cell>
          <cell r="L32" t="str">
            <v>NV</v>
          </cell>
          <cell r="M32" t="str">
            <v>USA</v>
          </cell>
          <cell r="N32" t="str">
            <v>C</v>
          </cell>
          <cell r="O32">
            <v>30210100</v>
          </cell>
          <cell r="P32" t="str">
            <v>SODA ASH DENSE BULK</v>
          </cell>
          <cell r="Q32" t="str">
            <v>Soda Ash</v>
          </cell>
          <cell r="R32">
            <v>1555.02</v>
          </cell>
          <cell r="S32">
            <v>117559.33</v>
          </cell>
        </row>
        <row r="33">
          <cell r="A33" t="str">
            <v>Budget</v>
          </cell>
          <cell r="B33">
            <v>1</v>
          </cell>
          <cell r="C33" t="str">
            <v>Domestic</v>
          </cell>
          <cell r="D33">
            <v>1</v>
          </cell>
          <cell r="E33">
            <v>6933</v>
          </cell>
          <cell r="F33" t="str">
            <v>NORTH MIDWAY STEAM PLANT</v>
          </cell>
          <cell r="G33" t="str">
            <v>D</v>
          </cell>
          <cell r="H33" t="str">
            <v>FELLOWS</v>
          </cell>
          <cell r="I33" t="str">
            <v>CA</v>
          </cell>
          <cell r="J33" t="str">
            <v>USA</v>
          </cell>
          <cell r="K33" t="str">
            <v>TEXACO</v>
          </cell>
          <cell r="L33" t="str">
            <v>CA</v>
          </cell>
          <cell r="M33" t="str">
            <v>USA</v>
          </cell>
          <cell r="N33" t="str">
            <v>C</v>
          </cell>
          <cell r="O33">
            <v>30210100</v>
          </cell>
          <cell r="P33" t="str">
            <v>SODA ASH DENSE BULK</v>
          </cell>
          <cell r="Q33" t="str">
            <v>Soda Ash</v>
          </cell>
          <cell r="R33">
            <v>70.5</v>
          </cell>
          <cell r="S33">
            <v>7819.16</v>
          </cell>
        </row>
        <row r="34">
          <cell r="A34" t="str">
            <v>Budget</v>
          </cell>
          <cell r="B34">
            <v>1</v>
          </cell>
          <cell r="C34" t="str">
            <v>Domestic</v>
          </cell>
          <cell r="D34">
            <v>1</v>
          </cell>
          <cell r="E34">
            <v>6956</v>
          </cell>
          <cell r="F34" t="str">
            <v>BLUE CROSS LABS</v>
          </cell>
          <cell r="G34" t="str">
            <v>D</v>
          </cell>
          <cell r="H34" t="str">
            <v>SAUGUS</v>
          </cell>
          <cell r="I34" t="str">
            <v>CA</v>
          </cell>
          <cell r="J34" t="str">
            <v>USA</v>
          </cell>
          <cell r="K34" t="str">
            <v>BRENNTAG WEST, INC.</v>
          </cell>
          <cell r="L34" t="str">
            <v>CA</v>
          </cell>
          <cell r="M34" t="str">
            <v>USA</v>
          </cell>
          <cell r="N34" t="str">
            <v>D</v>
          </cell>
          <cell r="O34">
            <v>40150410</v>
          </cell>
          <cell r="P34" t="str">
            <v>SODIUM SULFATE CRS 50LB BAG</v>
          </cell>
          <cell r="Q34" t="str">
            <v>Sodium Sulfate</v>
          </cell>
          <cell r="R34">
            <v>4.0199999999999996</v>
          </cell>
          <cell r="S34">
            <v>677.26</v>
          </cell>
        </row>
        <row r="35">
          <cell r="A35" t="str">
            <v>Budget</v>
          </cell>
          <cell r="B35">
            <v>1</v>
          </cell>
          <cell r="C35" t="str">
            <v>Domestic</v>
          </cell>
          <cell r="D35">
            <v>1</v>
          </cell>
          <cell r="E35">
            <v>6960</v>
          </cell>
          <cell r="F35" t="str">
            <v>BRENNTAG WEST, INC.</v>
          </cell>
          <cell r="G35" t="str">
            <v>D</v>
          </cell>
          <cell r="H35" t="str">
            <v>SANTA FE SPRINGS</v>
          </cell>
          <cell r="I35" t="str">
            <v>CA</v>
          </cell>
          <cell r="J35" t="str">
            <v>USA</v>
          </cell>
          <cell r="K35" t="str">
            <v>BRENNTAG WEST, INC.</v>
          </cell>
          <cell r="L35" t="str">
            <v>CA</v>
          </cell>
          <cell r="M35" t="str">
            <v>USA</v>
          </cell>
          <cell r="N35" t="str">
            <v>D</v>
          </cell>
          <cell r="O35">
            <v>22060450</v>
          </cell>
          <cell r="P35" t="str">
            <v>V-BOR 1TN FIBC (004)</v>
          </cell>
          <cell r="Q35" t="str">
            <v>Penta</v>
          </cell>
          <cell r="R35">
            <v>3.73</v>
          </cell>
          <cell r="S35">
            <v>1355.19</v>
          </cell>
        </row>
        <row r="36">
          <cell r="A36" t="str">
            <v>Budget</v>
          </cell>
          <cell r="B36">
            <v>1</v>
          </cell>
          <cell r="C36" t="str">
            <v>Domestic</v>
          </cell>
          <cell r="D36">
            <v>1</v>
          </cell>
          <cell r="E36">
            <v>6960</v>
          </cell>
          <cell r="F36" t="str">
            <v>BRENNTAG WEST, INC.</v>
          </cell>
          <cell r="G36" t="str">
            <v>D</v>
          </cell>
          <cell r="H36" t="str">
            <v>SANTA FE SPRINGS</v>
          </cell>
          <cell r="I36" t="str">
            <v>CA</v>
          </cell>
          <cell r="J36" t="str">
            <v>USA</v>
          </cell>
          <cell r="K36" t="str">
            <v>BRENNTAG WEST, INC.</v>
          </cell>
          <cell r="L36" t="str">
            <v>CA</v>
          </cell>
          <cell r="M36" t="str">
            <v>USA</v>
          </cell>
          <cell r="N36" t="str">
            <v>D</v>
          </cell>
          <cell r="O36">
            <v>24090210</v>
          </cell>
          <cell r="P36" t="str">
            <v>BORIC ACID GRAN TECH 50LB BAG</v>
          </cell>
          <cell r="Q36" t="str">
            <v>Boric Acid</v>
          </cell>
          <cell r="R36">
            <v>5.6</v>
          </cell>
          <cell r="S36">
            <v>4073.29</v>
          </cell>
        </row>
        <row r="37">
          <cell r="A37" t="str">
            <v>Budget</v>
          </cell>
          <cell r="B37">
            <v>1</v>
          </cell>
          <cell r="C37" t="str">
            <v>Domestic</v>
          </cell>
          <cell r="D37">
            <v>1</v>
          </cell>
          <cell r="E37">
            <v>6960</v>
          </cell>
          <cell r="F37" t="str">
            <v>BRENNTAG WEST, INC.</v>
          </cell>
          <cell r="G37" t="str">
            <v>D</v>
          </cell>
          <cell r="H37" t="str">
            <v>SANTA FE SPRINGS</v>
          </cell>
          <cell r="I37" t="str">
            <v>CA</v>
          </cell>
          <cell r="J37" t="str">
            <v>USA</v>
          </cell>
          <cell r="K37" t="str">
            <v>BRENNTAG WEST, INC.</v>
          </cell>
          <cell r="L37" t="str">
            <v>CA</v>
          </cell>
          <cell r="M37" t="str">
            <v>USA</v>
          </cell>
          <cell r="N37" t="str">
            <v>D</v>
          </cell>
          <cell r="O37">
            <v>30210110</v>
          </cell>
          <cell r="P37" t="str">
            <v>SODA ASH DENSE 50LB BAG</v>
          </cell>
          <cell r="Q37" t="str">
            <v>Soda Ash</v>
          </cell>
          <cell r="R37">
            <v>120.77</v>
          </cell>
          <cell r="S37">
            <v>14486.72</v>
          </cell>
        </row>
        <row r="38">
          <cell r="A38" t="str">
            <v>Budget</v>
          </cell>
          <cell r="B38">
            <v>1</v>
          </cell>
          <cell r="C38" t="str">
            <v>Domestic</v>
          </cell>
          <cell r="D38">
            <v>1</v>
          </cell>
          <cell r="E38">
            <v>6960</v>
          </cell>
          <cell r="F38" t="str">
            <v>BRENNTAG WEST, INC.</v>
          </cell>
          <cell r="G38" t="str">
            <v>D</v>
          </cell>
          <cell r="H38" t="str">
            <v>SANTA FE SPRINGS</v>
          </cell>
          <cell r="I38" t="str">
            <v>CA</v>
          </cell>
          <cell r="J38" t="str">
            <v>USA</v>
          </cell>
          <cell r="K38" t="str">
            <v>BRENNTAG WEST, INC.</v>
          </cell>
          <cell r="L38" t="str">
            <v>CA</v>
          </cell>
          <cell r="M38" t="str">
            <v>USA</v>
          </cell>
          <cell r="N38" t="str">
            <v>D</v>
          </cell>
          <cell r="O38">
            <v>40150410</v>
          </cell>
          <cell r="P38" t="str">
            <v>SODIUM SULFATE CRS 50LB BAG</v>
          </cell>
          <cell r="Q38" t="str">
            <v>Sodium Sulfate</v>
          </cell>
          <cell r="R38">
            <v>201.58</v>
          </cell>
          <cell r="S38">
            <v>26825.86</v>
          </cell>
        </row>
        <row r="39">
          <cell r="A39" t="str">
            <v>Budget</v>
          </cell>
          <cell r="B39">
            <v>1</v>
          </cell>
          <cell r="C39" t="str">
            <v>Domestic</v>
          </cell>
          <cell r="D39">
            <v>1</v>
          </cell>
          <cell r="E39">
            <v>6960</v>
          </cell>
          <cell r="F39" t="str">
            <v>BRENNTAG WEST, INC.</v>
          </cell>
          <cell r="G39" t="str">
            <v>D</v>
          </cell>
          <cell r="H39" t="str">
            <v>SANTA FE SPRINGS</v>
          </cell>
          <cell r="I39" t="str">
            <v>CA</v>
          </cell>
          <cell r="J39" t="str">
            <v>USA</v>
          </cell>
          <cell r="K39" t="str">
            <v>BRENNTAG WEST, INC.</v>
          </cell>
          <cell r="L39" t="str">
            <v>CA</v>
          </cell>
          <cell r="M39" t="str">
            <v>USA</v>
          </cell>
          <cell r="N39" t="str">
            <v>D</v>
          </cell>
          <cell r="O39">
            <v>40150430</v>
          </cell>
          <cell r="P39" t="str">
            <v>SODIUM SULFATE CRS 100LB BG</v>
          </cell>
          <cell r="Q39" t="str">
            <v>Sodium Sulfate</v>
          </cell>
          <cell r="R39">
            <v>3.81</v>
          </cell>
          <cell r="S39">
            <v>724.18</v>
          </cell>
        </row>
        <row r="40">
          <cell r="A40" t="str">
            <v>Budget</v>
          </cell>
          <cell r="B40">
            <v>1</v>
          </cell>
          <cell r="C40" t="str">
            <v>Domestic</v>
          </cell>
          <cell r="D40">
            <v>1</v>
          </cell>
          <cell r="E40">
            <v>7020</v>
          </cell>
          <cell r="F40" t="str">
            <v>ISP ALGINATES</v>
          </cell>
          <cell r="G40" t="str">
            <v>D</v>
          </cell>
          <cell r="H40" t="str">
            <v>SAN DIEGO</v>
          </cell>
          <cell r="I40" t="str">
            <v>CA</v>
          </cell>
          <cell r="J40" t="str">
            <v>USA</v>
          </cell>
          <cell r="K40" t="str">
            <v>UNIVAR USA</v>
          </cell>
          <cell r="L40" t="str">
            <v>CA</v>
          </cell>
          <cell r="M40" t="str">
            <v>USA</v>
          </cell>
          <cell r="N40" t="str">
            <v>D</v>
          </cell>
          <cell r="O40">
            <v>30210100</v>
          </cell>
          <cell r="P40" t="str">
            <v>SODA ASH DENSE BULK</v>
          </cell>
          <cell r="Q40" t="str">
            <v>Soda Ash</v>
          </cell>
          <cell r="R40">
            <v>157.75</v>
          </cell>
          <cell r="S40">
            <v>15353.81</v>
          </cell>
        </row>
        <row r="41">
          <cell r="A41" t="str">
            <v>Budget</v>
          </cell>
          <cell r="B41">
            <v>1</v>
          </cell>
          <cell r="C41" t="str">
            <v>Domestic</v>
          </cell>
          <cell r="D41">
            <v>1</v>
          </cell>
          <cell r="E41">
            <v>7029</v>
          </cell>
          <cell r="F41" t="str">
            <v>UNIVAR USA</v>
          </cell>
          <cell r="G41" t="str">
            <v>D</v>
          </cell>
          <cell r="H41" t="str">
            <v>SALT LAKE CITY</v>
          </cell>
          <cell r="I41" t="str">
            <v>UT</v>
          </cell>
          <cell r="J41" t="str">
            <v>USA</v>
          </cell>
          <cell r="K41" t="str">
            <v>UNIVAR USA</v>
          </cell>
          <cell r="L41" t="str">
            <v>CA</v>
          </cell>
          <cell r="M41" t="str">
            <v>USA</v>
          </cell>
          <cell r="N41" t="str">
            <v>D</v>
          </cell>
          <cell r="O41">
            <v>22060410</v>
          </cell>
          <cell r="P41" t="str">
            <v>V-BOR 50LB BAG (004)</v>
          </cell>
          <cell r="Q41" t="str">
            <v>Penta</v>
          </cell>
          <cell r="R41">
            <v>16.940000000000001</v>
          </cell>
          <cell r="S41">
            <v>6103.76</v>
          </cell>
        </row>
        <row r="42">
          <cell r="A42" t="str">
            <v>Budget</v>
          </cell>
          <cell r="B42">
            <v>1</v>
          </cell>
          <cell r="C42" t="str">
            <v>Domestic</v>
          </cell>
          <cell r="D42">
            <v>1</v>
          </cell>
          <cell r="E42">
            <v>7041</v>
          </cell>
          <cell r="F42" t="str">
            <v>UNIVAR USA</v>
          </cell>
          <cell r="G42" t="str">
            <v>D</v>
          </cell>
          <cell r="H42" t="str">
            <v>FRESNO</v>
          </cell>
          <cell r="I42" t="str">
            <v>CA</v>
          </cell>
          <cell r="J42" t="str">
            <v>USA</v>
          </cell>
          <cell r="K42" t="str">
            <v>UNIVAR USA</v>
          </cell>
          <cell r="L42" t="str">
            <v>CA</v>
          </cell>
          <cell r="M42" t="str">
            <v>USA</v>
          </cell>
          <cell r="N42" t="str">
            <v>D</v>
          </cell>
          <cell r="O42">
            <v>30210110</v>
          </cell>
          <cell r="P42" t="str">
            <v>SODA ASH DENSE 50LB BAG</v>
          </cell>
          <cell r="Q42" t="str">
            <v>Soda Ash</v>
          </cell>
          <cell r="R42">
            <v>11.83</v>
          </cell>
          <cell r="S42">
            <v>2007.97</v>
          </cell>
        </row>
        <row r="43">
          <cell r="A43" t="str">
            <v>Budget</v>
          </cell>
          <cell r="B43">
            <v>1</v>
          </cell>
          <cell r="C43" t="str">
            <v>Domestic</v>
          </cell>
          <cell r="D43">
            <v>1</v>
          </cell>
          <cell r="E43">
            <v>7048</v>
          </cell>
          <cell r="F43" t="str">
            <v>SUPER BRANDS INC.</v>
          </cell>
          <cell r="G43" t="str">
            <v>D</v>
          </cell>
          <cell r="H43" t="str">
            <v>HENDERSON</v>
          </cell>
          <cell r="I43" t="str">
            <v>NV</v>
          </cell>
          <cell r="J43" t="str">
            <v>USA</v>
          </cell>
          <cell r="K43" t="str">
            <v>UNIVAR USA</v>
          </cell>
          <cell r="L43" t="str">
            <v>CA</v>
          </cell>
          <cell r="M43" t="str">
            <v>USA</v>
          </cell>
          <cell r="N43" t="str">
            <v>D</v>
          </cell>
          <cell r="O43">
            <v>40070410</v>
          </cell>
          <cell r="P43" t="str">
            <v>SODIUM SULFATE MEDIUM 50LB BAG</v>
          </cell>
          <cell r="Q43" t="str">
            <v>Sodium Sulfate</v>
          </cell>
          <cell r="R43">
            <v>19.059999999999999</v>
          </cell>
          <cell r="S43">
            <v>3038.59</v>
          </cell>
        </row>
        <row r="44">
          <cell r="A44" t="str">
            <v>Budget</v>
          </cell>
          <cell r="B44">
            <v>1</v>
          </cell>
          <cell r="C44" t="str">
            <v>Domestic</v>
          </cell>
          <cell r="D44">
            <v>1</v>
          </cell>
          <cell r="E44">
            <v>7076</v>
          </cell>
          <cell r="F44" t="str">
            <v>TUCSON ELECTRIC</v>
          </cell>
          <cell r="G44" t="str">
            <v>D</v>
          </cell>
          <cell r="H44" t="str">
            <v>SPRINGERVILLE</v>
          </cell>
          <cell r="I44" t="str">
            <v>AZ</v>
          </cell>
          <cell r="J44" t="str">
            <v>USA</v>
          </cell>
          <cell r="K44" t="str">
            <v>UNIVAR USA</v>
          </cell>
          <cell r="L44" t="str">
            <v>NM</v>
          </cell>
          <cell r="M44" t="str">
            <v>USA</v>
          </cell>
          <cell r="N44" t="str">
            <v>D</v>
          </cell>
          <cell r="O44">
            <v>30210100</v>
          </cell>
          <cell r="P44" t="str">
            <v>SODA ASH DENSE BULK</v>
          </cell>
          <cell r="Q44" t="str">
            <v>Soda Ash</v>
          </cell>
          <cell r="R44">
            <v>389.43</v>
          </cell>
          <cell r="S44">
            <v>30547.11</v>
          </cell>
        </row>
        <row r="45">
          <cell r="A45" t="str">
            <v>Budget</v>
          </cell>
          <cell r="B45">
            <v>1</v>
          </cell>
          <cell r="C45" t="str">
            <v>Domestic</v>
          </cell>
          <cell r="D45">
            <v>1</v>
          </cell>
          <cell r="E45">
            <v>7269</v>
          </cell>
          <cell r="F45" t="str">
            <v>PABCO GYPSUM</v>
          </cell>
          <cell r="G45" t="str">
            <v>D</v>
          </cell>
          <cell r="H45" t="str">
            <v>LAS VEGAS</v>
          </cell>
          <cell r="I45" t="str">
            <v>NV</v>
          </cell>
          <cell r="J45" t="str">
            <v>USA</v>
          </cell>
          <cell r="K45" t="str">
            <v>BRENNTAG WEST, INC.</v>
          </cell>
          <cell r="L45" t="str">
            <v>CA</v>
          </cell>
          <cell r="M45" t="str">
            <v>USA</v>
          </cell>
          <cell r="N45" t="str">
            <v>D</v>
          </cell>
          <cell r="O45">
            <v>24090210</v>
          </cell>
          <cell r="P45" t="str">
            <v>BORIC ACID GRAN TECH 50LB BAG</v>
          </cell>
          <cell r="Q45" t="str">
            <v>Boric Acid</v>
          </cell>
          <cell r="R45">
            <v>14.94</v>
          </cell>
          <cell r="S45">
            <v>8086.63</v>
          </cell>
        </row>
        <row r="46">
          <cell r="A46" t="str">
            <v>Budget</v>
          </cell>
          <cell r="B46">
            <v>1</v>
          </cell>
          <cell r="C46" t="str">
            <v>Domestic</v>
          </cell>
          <cell r="D46">
            <v>1</v>
          </cell>
          <cell r="E46">
            <v>7338</v>
          </cell>
          <cell r="F46" t="str">
            <v>PACIFICA CHEMICAL</v>
          </cell>
          <cell r="G46" t="str">
            <v>D</v>
          </cell>
          <cell r="H46" t="str">
            <v>CARSON</v>
          </cell>
          <cell r="I46" t="str">
            <v>CA</v>
          </cell>
          <cell r="J46" t="str">
            <v>USA</v>
          </cell>
          <cell r="K46" t="str">
            <v>UNIVAR USA</v>
          </cell>
          <cell r="L46" t="str">
            <v>CA</v>
          </cell>
          <cell r="M46" t="str">
            <v>USA</v>
          </cell>
          <cell r="N46" t="str">
            <v>D</v>
          </cell>
          <cell r="O46">
            <v>40060410</v>
          </cell>
          <cell r="P46" t="str">
            <v>SODIUM SULFATE STD 50LB BAG</v>
          </cell>
          <cell r="Q46" t="str">
            <v>Sodium Sulfate</v>
          </cell>
          <cell r="R46">
            <v>76.02</v>
          </cell>
          <cell r="S46">
            <v>14215.32</v>
          </cell>
        </row>
        <row r="47">
          <cell r="A47" t="str">
            <v>Budget</v>
          </cell>
          <cell r="B47">
            <v>1</v>
          </cell>
          <cell r="C47" t="str">
            <v>Domestic</v>
          </cell>
          <cell r="D47">
            <v>1</v>
          </cell>
          <cell r="E47">
            <v>7420</v>
          </cell>
          <cell r="F47" t="str">
            <v>MID CONTINENT PACKAGING</v>
          </cell>
          <cell r="G47" t="str">
            <v>D</v>
          </cell>
          <cell r="H47" t="str">
            <v>ENID</v>
          </cell>
          <cell r="I47" t="str">
            <v>OK</v>
          </cell>
          <cell r="J47" t="str">
            <v>USA</v>
          </cell>
          <cell r="K47" t="str">
            <v>MID CONTINENT PACKAGING</v>
          </cell>
          <cell r="L47" t="str">
            <v>OK</v>
          </cell>
          <cell r="M47" t="str">
            <v>USA</v>
          </cell>
          <cell r="N47" t="str">
            <v>C</v>
          </cell>
          <cell r="O47">
            <v>24090210</v>
          </cell>
          <cell r="P47" t="str">
            <v>BORIC ACID GRAN TECH 50LB BAG</v>
          </cell>
          <cell r="Q47" t="str">
            <v>Boric Acid</v>
          </cell>
          <cell r="R47">
            <v>37.35</v>
          </cell>
          <cell r="S47">
            <v>19028.88</v>
          </cell>
        </row>
        <row r="48">
          <cell r="A48" t="str">
            <v>Budget</v>
          </cell>
          <cell r="B48">
            <v>1</v>
          </cell>
          <cell r="C48" t="str">
            <v>Domestic</v>
          </cell>
          <cell r="D48">
            <v>1</v>
          </cell>
          <cell r="E48">
            <v>7483</v>
          </cell>
          <cell r="F48" t="str">
            <v>NORTHERN CALIFORNIA PWR AGENCY</v>
          </cell>
          <cell r="G48" t="str">
            <v>D</v>
          </cell>
          <cell r="H48" t="str">
            <v>MIDDLETOWN</v>
          </cell>
          <cell r="I48" t="str">
            <v>CA</v>
          </cell>
          <cell r="J48" t="str">
            <v>USA</v>
          </cell>
          <cell r="K48" t="str">
            <v>UNIVAR USA</v>
          </cell>
          <cell r="L48" t="str">
            <v>CA</v>
          </cell>
          <cell r="M48" t="str">
            <v>USA</v>
          </cell>
          <cell r="N48" t="str">
            <v>D</v>
          </cell>
          <cell r="O48">
            <v>30210110</v>
          </cell>
          <cell r="P48" t="str">
            <v>SODA ASH DENSE 50LB BAG</v>
          </cell>
          <cell r="Q48" t="str">
            <v>Soda Ash</v>
          </cell>
          <cell r="R48">
            <v>7.47</v>
          </cell>
          <cell r="S48">
            <v>1029.51</v>
          </cell>
        </row>
        <row r="49">
          <cell r="A49" t="str">
            <v>Budget</v>
          </cell>
          <cell r="B49">
            <v>1</v>
          </cell>
          <cell r="C49" t="str">
            <v>Domestic</v>
          </cell>
          <cell r="D49">
            <v>1</v>
          </cell>
          <cell r="E49">
            <v>7684</v>
          </cell>
          <cell r="F49" t="str">
            <v>BASIC FOODS</v>
          </cell>
          <cell r="G49" t="str">
            <v>D</v>
          </cell>
          <cell r="H49" t="str">
            <v>N. LAS VEGAS</v>
          </cell>
          <cell r="I49" t="str">
            <v>NV</v>
          </cell>
          <cell r="J49" t="str">
            <v>USA</v>
          </cell>
          <cell r="K49" t="str">
            <v>BRENNTAG WEST, INC.</v>
          </cell>
          <cell r="L49" t="str">
            <v>CA</v>
          </cell>
          <cell r="M49" t="str">
            <v>USA</v>
          </cell>
          <cell r="N49" t="str">
            <v>D</v>
          </cell>
          <cell r="O49">
            <v>30210100</v>
          </cell>
          <cell r="P49" t="str">
            <v>SODA ASH DENSE BULK</v>
          </cell>
          <cell r="Q49" t="str">
            <v>Soda Ash</v>
          </cell>
          <cell r="R49">
            <v>106.42</v>
          </cell>
          <cell r="S49">
            <v>8801.7199999999993</v>
          </cell>
        </row>
        <row r="50">
          <cell r="A50" t="str">
            <v>Budget</v>
          </cell>
          <cell r="B50">
            <v>1</v>
          </cell>
          <cell r="C50" t="str">
            <v>Domestic</v>
          </cell>
          <cell r="D50">
            <v>1</v>
          </cell>
          <cell r="E50">
            <v>7780</v>
          </cell>
          <cell r="F50" t="str">
            <v>LORBER INDUSTRIES</v>
          </cell>
          <cell r="G50" t="str">
            <v>D</v>
          </cell>
          <cell r="H50" t="str">
            <v>GARDENA</v>
          </cell>
          <cell r="I50" t="str">
            <v>CA</v>
          </cell>
          <cell r="J50" t="str">
            <v>USA</v>
          </cell>
          <cell r="K50" t="str">
            <v>UNIVAR USA</v>
          </cell>
          <cell r="L50" t="str">
            <v>CA</v>
          </cell>
          <cell r="M50" t="str">
            <v>USA</v>
          </cell>
          <cell r="N50" t="str">
            <v>D</v>
          </cell>
          <cell r="O50">
            <v>40060410</v>
          </cell>
          <cell r="P50" t="str">
            <v>SODIUM SULFATE STD 50LB BAG</v>
          </cell>
          <cell r="Q50" t="str">
            <v>Sodium Sulfate</v>
          </cell>
          <cell r="R50">
            <v>64.37</v>
          </cell>
          <cell r="S50">
            <v>10621.31</v>
          </cell>
        </row>
        <row r="51">
          <cell r="A51" t="str">
            <v>Budget</v>
          </cell>
          <cell r="B51">
            <v>1</v>
          </cell>
          <cell r="C51" t="str">
            <v>Domestic</v>
          </cell>
          <cell r="D51">
            <v>1</v>
          </cell>
          <cell r="E51">
            <v>7832</v>
          </cell>
          <cell r="F51" t="str">
            <v>ANACHEMIA SCIENCE</v>
          </cell>
          <cell r="G51" t="str">
            <v>D</v>
          </cell>
          <cell r="H51" t="str">
            <v>SPARKS</v>
          </cell>
          <cell r="I51" t="str">
            <v>NV</v>
          </cell>
          <cell r="J51" t="str">
            <v>USA</v>
          </cell>
          <cell r="K51" t="str">
            <v>UNIVAR USA</v>
          </cell>
          <cell r="L51" t="str">
            <v>CA</v>
          </cell>
          <cell r="M51" t="str">
            <v>USA</v>
          </cell>
          <cell r="N51" t="str">
            <v>D</v>
          </cell>
          <cell r="O51">
            <v>20060210</v>
          </cell>
          <cell r="P51" t="str">
            <v>PYROBOR 50LB BAG (002)</v>
          </cell>
          <cell r="Q51" t="str">
            <v>Pyrobor</v>
          </cell>
          <cell r="R51">
            <v>6.64</v>
          </cell>
          <cell r="S51">
            <v>5291.11</v>
          </cell>
        </row>
        <row r="52">
          <cell r="A52" t="str">
            <v>Budget</v>
          </cell>
          <cell r="B52">
            <v>1</v>
          </cell>
          <cell r="C52" t="str">
            <v>Domestic</v>
          </cell>
          <cell r="D52">
            <v>1</v>
          </cell>
          <cell r="E52">
            <v>7832</v>
          </cell>
          <cell r="F52" t="str">
            <v>ANACHEMIA SCIENCE</v>
          </cell>
          <cell r="G52" t="str">
            <v>D</v>
          </cell>
          <cell r="H52" t="str">
            <v>SPARKS</v>
          </cell>
          <cell r="I52" t="str">
            <v>NV</v>
          </cell>
          <cell r="J52" t="str">
            <v>USA</v>
          </cell>
          <cell r="K52" t="str">
            <v>UNIVAR USA</v>
          </cell>
          <cell r="L52" t="str">
            <v>CA</v>
          </cell>
          <cell r="M52" t="str">
            <v>USA</v>
          </cell>
          <cell r="N52" t="str">
            <v>D</v>
          </cell>
          <cell r="O52">
            <v>30210110</v>
          </cell>
          <cell r="P52" t="str">
            <v>SODA ASH DENSE 50LB BAG</v>
          </cell>
          <cell r="Q52" t="str">
            <v>Soda Ash</v>
          </cell>
          <cell r="R52">
            <v>12.24</v>
          </cell>
          <cell r="S52">
            <v>1817.4</v>
          </cell>
        </row>
        <row r="53">
          <cell r="A53" t="str">
            <v>Budget</v>
          </cell>
          <cell r="B53">
            <v>1</v>
          </cell>
          <cell r="C53" t="str">
            <v>Domestic</v>
          </cell>
          <cell r="D53">
            <v>1</v>
          </cell>
          <cell r="E53">
            <v>7939</v>
          </cell>
          <cell r="F53" t="str">
            <v>G.P. GYPSUM</v>
          </cell>
          <cell r="G53" t="str">
            <v>D</v>
          </cell>
          <cell r="H53" t="str">
            <v>ANTIOCH</v>
          </cell>
          <cell r="I53" t="str">
            <v>CA</v>
          </cell>
          <cell r="J53" t="str">
            <v>USA</v>
          </cell>
          <cell r="K53" t="str">
            <v>UNIVAR USA</v>
          </cell>
          <cell r="L53" t="str">
            <v>CA</v>
          </cell>
          <cell r="M53" t="str">
            <v>USA</v>
          </cell>
          <cell r="N53" t="str">
            <v>D</v>
          </cell>
          <cell r="O53">
            <v>24090250</v>
          </cell>
          <cell r="P53" t="str">
            <v>BORIC ACID GRAN TECH 1TN FIBC</v>
          </cell>
          <cell r="Q53" t="str">
            <v>Boric Acid</v>
          </cell>
          <cell r="R53">
            <v>11.18</v>
          </cell>
          <cell r="S53">
            <v>6423.51</v>
          </cell>
        </row>
        <row r="54">
          <cell r="A54" t="str">
            <v>Budget</v>
          </cell>
          <cell r="B54">
            <v>1</v>
          </cell>
          <cell r="C54" t="str">
            <v>Domestic</v>
          </cell>
          <cell r="D54">
            <v>1</v>
          </cell>
          <cell r="E54">
            <v>7984</v>
          </cell>
          <cell r="F54" t="str">
            <v>WESTCO CHEMICALS, INC.</v>
          </cell>
          <cell r="G54" t="str">
            <v>D</v>
          </cell>
          <cell r="H54" t="str">
            <v>NORTH HOLLYWOOD</v>
          </cell>
          <cell r="I54" t="str">
            <v>CA</v>
          </cell>
          <cell r="J54" t="str">
            <v>USA</v>
          </cell>
          <cell r="K54" t="str">
            <v>WESTCO CHEMICALS, INC.</v>
          </cell>
          <cell r="L54" t="str">
            <v>CA</v>
          </cell>
          <cell r="M54" t="str">
            <v>USA</v>
          </cell>
          <cell r="N54" t="str">
            <v>D</v>
          </cell>
          <cell r="O54">
            <v>40060410</v>
          </cell>
          <cell r="P54" t="str">
            <v>SODIUM SULFATE STD 50LB BAG</v>
          </cell>
          <cell r="Q54" t="str">
            <v>Sodium Sulfate</v>
          </cell>
          <cell r="R54">
            <v>3.81</v>
          </cell>
          <cell r="S54">
            <v>735.16</v>
          </cell>
        </row>
        <row r="55">
          <cell r="A55" t="str">
            <v>Budget</v>
          </cell>
          <cell r="B55">
            <v>1</v>
          </cell>
          <cell r="C55" t="str">
            <v>Domestic</v>
          </cell>
          <cell r="D55">
            <v>1</v>
          </cell>
          <cell r="E55">
            <v>8135</v>
          </cell>
          <cell r="F55" t="str">
            <v>PACIFIC CONTINENTAL TEXTILE</v>
          </cell>
          <cell r="G55" t="str">
            <v>D</v>
          </cell>
          <cell r="H55" t="str">
            <v>COMPTON</v>
          </cell>
          <cell r="I55" t="str">
            <v>CA</v>
          </cell>
          <cell r="J55" t="str">
            <v>USA</v>
          </cell>
          <cell r="K55" t="str">
            <v>BRENNTAG WEST, INC.</v>
          </cell>
          <cell r="L55" t="str">
            <v>CA</v>
          </cell>
          <cell r="M55" t="str">
            <v>USA</v>
          </cell>
          <cell r="N55" t="str">
            <v>D</v>
          </cell>
          <cell r="O55">
            <v>40150410</v>
          </cell>
          <cell r="P55" t="str">
            <v>SODIUM SULFATE CRS 50LB BAG</v>
          </cell>
          <cell r="Q55" t="str">
            <v>Sodium Sulfate</v>
          </cell>
          <cell r="R55">
            <v>28.16</v>
          </cell>
          <cell r="S55">
            <v>4928.45</v>
          </cell>
        </row>
        <row r="56">
          <cell r="A56" t="str">
            <v>Budget</v>
          </cell>
          <cell r="B56">
            <v>1</v>
          </cell>
          <cell r="C56" t="str">
            <v>Domestic</v>
          </cell>
          <cell r="D56">
            <v>1</v>
          </cell>
          <cell r="E56">
            <v>8173</v>
          </cell>
          <cell r="F56" t="str">
            <v>CHEM LAB PRODUCTS</v>
          </cell>
          <cell r="G56" t="str">
            <v>D</v>
          </cell>
          <cell r="H56" t="str">
            <v>ONTARIO</v>
          </cell>
          <cell r="I56" t="str">
            <v>CA</v>
          </cell>
          <cell r="J56" t="str">
            <v>USA</v>
          </cell>
          <cell r="K56" t="str">
            <v>BRENNTAG WEST, INC.</v>
          </cell>
          <cell r="L56" t="str">
            <v>CA</v>
          </cell>
          <cell r="M56" t="str">
            <v>USA</v>
          </cell>
          <cell r="N56" t="str">
            <v>D</v>
          </cell>
          <cell r="O56">
            <v>24090250</v>
          </cell>
          <cell r="P56" t="str">
            <v>BORIC ACID GRAN TECH 1TN FIBC</v>
          </cell>
          <cell r="Q56" t="str">
            <v>Boric Acid</v>
          </cell>
          <cell r="R56">
            <v>29.81</v>
          </cell>
          <cell r="S56">
            <v>18650.28</v>
          </cell>
        </row>
        <row r="57">
          <cell r="A57" t="str">
            <v>Budget</v>
          </cell>
          <cell r="B57">
            <v>1</v>
          </cell>
          <cell r="C57" t="str">
            <v>Domestic</v>
          </cell>
          <cell r="D57">
            <v>1</v>
          </cell>
          <cell r="E57">
            <v>8173</v>
          </cell>
          <cell r="F57" t="str">
            <v>CHEM LAB PRODUCTS</v>
          </cell>
          <cell r="G57" t="str">
            <v>D</v>
          </cell>
          <cell r="H57" t="str">
            <v>ONTARIO</v>
          </cell>
          <cell r="I57" t="str">
            <v>CA</v>
          </cell>
          <cell r="J57" t="str">
            <v>USA</v>
          </cell>
          <cell r="K57" t="str">
            <v>BRENNTAG WEST, INC.</v>
          </cell>
          <cell r="L57" t="str">
            <v>CA</v>
          </cell>
          <cell r="M57" t="str">
            <v>USA</v>
          </cell>
          <cell r="N57" t="str">
            <v>D</v>
          </cell>
          <cell r="O57">
            <v>30210150</v>
          </cell>
          <cell r="P57" t="str">
            <v>SODA ASH DENSE 1TN FIBC</v>
          </cell>
          <cell r="Q57" t="str">
            <v>Soda Ash</v>
          </cell>
          <cell r="R57">
            <v>16.940000000000001</v>
          </cell>
          <cell r="S57">
            <v>2939.07</v>
          </cell>
        </row>
        <row r="58">
          <cell r="A58" t="str">
            <v>Budget</v>
          </cell>
          <cell r="B58">
            <v>1</v>
          </cell>
          <cell r="C58" t="str">
            <v>Domestic</v>
          </cell>
          <cell r="D58">
            <v>1</v>
          </cell>
          <cell r="E58">
            <v>8219</v>
          </cell>
          <cell r="F58" t="str">
            <v>UNIVAR USA</v>
          </cell>
          <cell r="G58" t="str">
            <v>D</v>
          </cell>
          <cell r="H58" t="str">
            <v>NATIONAL CITY</v>
          </cell>
          <cell r="I58" t="str">
            <v>CA</v>
          </cell>
          <cell r="J58" t="str">
            <v>USA</v>
          </cell>
          <cell r="K58" t="str">
            <v>UNIVAR USA</v>
          </cell>
          <cell r="L58" t="str">
            <v>CA</v>
          </cell>
          <cell r="M58" t="str">
            <v>USA</v>
          </cell>
          <cell r="N58" t="str">
            <v>D</v>
          </cell>
          <cell r="O58">
            <v>30210110</v>
          </cell>
          <cell r="P58" t="str">
            <v>SODA ASH DENSE 50LB BAG</v>
          </cell>
          <cell r="Q58" t="str">
            <v>Soda Ash</v>
          </cell>
          <cell r="R58">
            <v>11.21</v>
          </cell>
          <cell r="S58">
            <v>1413.49</v>
          </cell>
        </row>
        <row r="59">
          <cell r="A59" t="str">
            <v>Budget</v>
          </cell>
          <cell r="B59">
            <v>1</v>
          </cell>
          <cell r="C59" t="str">
            <v>Domestic</v>
          </cell>
          <cell r="D59">
            <v>1</v>
          </cell>
          <cell r="E59">
            <v>8220</v>
          </cell>
          <cell r="F59" t="str">
            <v>NEVADA POWER COMPANY</v>
          </cell>
          <cell r="G59" t="str">
            <v>D</v>
          </cell>
          <cell r="H59" t="str">
            <v>MOAPA</v>
          </cell>
          <cell r="I59" t="str">
            <v>NV</v>
          </cell>
          <cell r="J59" t="str">
            <v>USA</v>
          </cell>
          <cell r="K59" t="str">
            <v>NEVADA POWER COMPANY</v>
          </cell>
          <cell r="L59" t="str">
            <v>NV</v>
          </cell>
          <cell r="M59" t="str">
            <v>USA</v>
          </cell>
          <cell r="N59" t="str">
            <v>C</v>
          </cell>
          <cell r="O59">
            <v>30210100</v>
          </cell>
          <cell r="P59" t="str">
            <v>SODA ASH DENSE BULK</v>
          </cell>
          <cell r="Q59" t="str">
            <v>Soda Ash</v>
          </cell>
          <cell r="R59">
            <v>1269.44</v>
          </cell>
          <cell r="S59">
            <v>95525.22</v>
          </cell>
        </row>
        <row r="60">
          <cell r="A60" t="str">
            <v>Budget</v>
          </cell>
          <cell r="B60">
            <v>1</v>
          </cell>
          <cell r="C60" t="str">
            <v>Domestic</v>
          </cell>
          <cell r="D60">
            <v>1</v>
          </cell>
          <cell r="E60">
            <v>8221</v>
          </cell>
          <cell r="F60" t="str">
            <v>NEVADA POWER COMPANY</v>
          </cell>
          <cell r="G60" t="str">
            <v>D</v>
          </cell>
          <cell r="H60" t="str">
            <v>MOAPA</v>
          </cell>
          <cell r="I60" t="str">
            <v>NV</v>
          </cell>
          <cell r="J60" t="str">
            <v>USA</v>
          </cell>
          <cell r="K60" t="str">
            <v>NEVADA POWER COMPANY</v>
          </cell>
          <cell r="L60" t="str">
            <v>NV</v>
          </cell>
          <cell r="M60" t="str">
            <v>USA</v>
          </cell>
          <cell r="N60" t="str">
            <v>C</v>
          </cell>
          <cell r="O60">
            <v>30210100</v>
          </cell>
          <cell r="P60" t="str">
            <v>SODA ASH DENSE BULK</v>
          </cell>
          <cell r="Q60" t="str">
            <v>Soda Ash</v>
          </cell>
          <cell r="R60">
            <v>294.68</v>
          </cell>
          <cell r="S60">
            <v>22245.1</v>
          </cell>
        </row>
        <row r="61">
          <cell r="A61" t="str">
            <v>Budget</v>
          </cell>
          <cell r="B61">
            <v>1</v>
          </cell>
          <cell r="C61" t="str">
            <v>Domestic</v>
          </cell>
          <cell r="D61">
            <v>1</v>
          </cell>
          <cell r="E61">
            <v>8229</v>
          </cell>
          <cell r="F61" t="str">
            <v>SOUTHERN CALIFORNIA EDISON</v>
          </cell>
          <cell r="G61" t="str">
            <v>D</v>
          </cell>
          <cell r="H61" t="str">
            <v>LAUGHLIN</v>
          </cell>
          <cell r="I61" t="str">
            <v>NV</v>
          </cell>
          <cell r="J61" t="str">
            <v>USA</v>
          </cell>
          <cell r="K61" t="str">
            <v>UNIVAR USA</v>
          </cell>
          <cell r="L61" t="str">
            <v>CA</v>
          </cell>
          <cell r="M61" t="str">
            <v>USA</v>
          </cell>
          <cell r="N61" t="str">
            <v>D</v>
          </cell>
          <cell r="O61">
            <v>30210100</v>
          </cell>
          <cell r="P61" t="str">
            <v>SODA ASH DENSE BULK</v>
          </cell>
          <cell r="Q61" t="str">
            <v>Soda Ash</v>
          </cell>
          <cell r="R61">
            <v>174.79</v>
          </cell>
          <cell r="S61">
            <v>17047.02</v>
          </cell>
        </row>
        <row r="62">
          <cell r="A62" t="str">
            <v>Budget</v>
          </cell>
          <cell r="B62">
            <v>1</v>
          </cell>
          <cell r="C62" t="str">
            <v>Domestic</v>
          </cell>
          <cell r="D62">
            <v>1</v>
          </cell>
          <cell r="E62">
            <v>8321</v>
          </cell>
          <cell r="F62" t="str">
            <v>GEORGIA PACIFIC</v>
          </cell>
          <cell r="G62" t="str">
            <v>D</v>
          </cell>
          <cell r="H62" t="str">
            <v>N LAS VEGAS</v>
          </cell>
          <cell r="I62" t="str">
            <v>NV</v>
          </cell>
          <cell r="J62" t="str">
            <v>USA</v>
          </cell>
          <cell r="K62" t="str">
            <v>UNIVAR USA</v>
          </cell>
          <cell r="L62" t="str">
            <v>CA</v>
          </cell>
          <cell r="M62" t="str">
            <v>USA</v>
          </cell>
          <cell r="N62" t="str">
            <v>D</v>
          </cell>
          <cell r="O62">
            <v>24090253</v>
          </cell>
          <cell r="P62" t="str">
            <v>BORIC ACID GRN TCH 2500LB FIBC</v>
          </cell>
          <cell r="Q62" t="str">
            <v>Boric Acid</v>
          </cell>
          <cell r="R62">
            <v>11.43</v>
          </cell>
          <cell r="S62">
            <v>6584.2</v>
          </cell>
        </row>
        <row r="63">
          <cell r="A63" t="str">
            <v>Budget</v>
          </cell>
          <cell r="B63">
            <v>1</v>
          </cell>
          <cell r="C63" t="str">
            <v>Domestic</v>
          </cell>
          <cell r="D63">
            <v>1</v>
          </cell>
          <cell r="E63">
            <v>8433</v>
          </cell>
          <cell r="F63" t="str">
            <v>BRENNTAG WEST</v>
          </cell>
          <cell r="G63" t="str">
            <v>D</v>
          </cell>
          <cell r="H63" t="str">
            <v>CHULA VISTA</v>
          </cell>
          <cell r="I63" t="str">
            <v>CA</v>
          </cell>
          <cell r="J63" t="str">
            <v>USA</v>
          </cell>
          <cell r="K63" t="str">
            <v>BRENNTAG WEST, INC.</v>
          </cell>
          <cell r="L63" t="str">
            <v>CA</v>
          </cell>
          <cell r="M63" t="str">
            <v>USA</v>
          </cell>
          <cell r="N63" t="str">
            <v>D</v>
          </cell>
          <cell r="O63">
            <v>30210110</v>
          </cell>
          <cell r="P63" t="str">
            <v>SODA ASH DENSE 50LB BAG</v>
          </cell>
          <cell r="Q63" t="str">
            <v>Soda Ash</v>
          </cell>
          <cell r="R63">
            <v>44.82</v>
          </cell>
          <cell r="S63">
            <v>6801.43</v>
          </cell>
        </row>
        <row r="64">
          <cell r="A64" t="str">
            <v>Budget</v>
          </cell>
          <cell r="B64">
            <v>1</v>
          </cell>
          <cell r="C64" t="str">
            <v>Domestic</v>
          </cell>
          <cell r="D64">
            <v>1</v>
          </cell>
          <cell r="E64">
            <v>8493</v>
          </cell>
          <cell r="F64" t="str">
            <v>LORBER INDUSTRIES</v>
          </cell>
          <cell r="G64" t="str">
            <v>D</v>
          </cell>
          <cell r="H64" t="str">
            <v>GARDENA</v>
          </cell>
          <cell r="I64" t="str">
            <v>CA</v>
          </cell>
          <cell r="J64" t="str">
            <v>USA</v>
          </cell>
          <cell r="K64" t="str">
            <v>BRENNTAG WEST, INC.</v>
          </cell>
          <cell r="L64" t="str">
            <v>CA</v>
          </cell>
          <cell r="M64" t="str">
            <v>USA</v>
          </cell>
          <cell r="N64" t="str">
            <v>D</v>
          </cell>
          <cell r="O64">
            <v>40150410</v>
          </cell>
          <cell r="P64" t="str">
            <v>SODIUM SULFATE CRS 50LB BAG</v>
          </cell>
          <cell r="Q64" t="str">
            <v>Sodium Sulfate</v>
          </cell>
          <cell r="R64">
            <v>24.14</v>
          </cell>
          <cell r="S64">
            <v>3982.99</v>
          </cell>
        </row>
        <row r="65">
          <cell r="A65" t="str">
            <v>Budget</v>
          </cell>
          <cell r="B65">
            <v>1</v>
          </cell>
          <cell r="C65" t="str">
            <v>Domestic</v>
          </cell>
          <cell r="D65">
            <v>1</v>
          </cell>
          <cell r="E65">
            <v>8495</v>
          </cell>
          <cell r="F65" t="str">
            <v>SWISSTEX</v>
          </cell>
          <cell r="G65" t="str">
            <v>D</v>
          </cell>
          <cell r="H65" t="str">
            <v>LOS ANGELES</v>
          </cell>
          <cell r="I65" t="str">
            <v>CA</v>
          </cell>
          <cell r="J65" t="str">
            <v>USA</v>
          </cell>
          <cell r="K65" t="str">
            <v>BRENNTAG WEST, INC.</v>
          </cell>
          <cell r="L65" t="str">
            <v>CA</v>
          </cell>
          <cell r="M65" t="str">
            <v>USA</v>
          </cell>
          <cell r="N65" t="str">
            <v>D</v>
          </cell>
          <cell r="O65">
            <v>40150410</v>
          </cell>
          <cell r="P65" t="str">
            <v>SODIUM SULFATE CRS 50LB BAG</v>
          </cell>
          <cell r="Q65" t="str">
            <v>Sodium Sulfate</v>
          </cell>
          <cell r="R65">
            <v>221.28</v>
          </cell>
          <cell r="S65">
            <v>42042.69</v>
          </cell>
        </row>
        <row r="66">
          <cell r="A66" t="str">
            <v>Budget</v>
          </cell>
          <cell r="B66">
            <v>1</v>
          </cell>
          <cell r="C66" t="str">
            <v>Domestic</v>
          </cell>
          <cell r="D66">
            <v>1</v>
          </cell>
          <cell r="E66">
            <v>8498</v>
          </cell>
          <cell r="F66" t="str">
            <v>E &amp; J DYE</v>
          </cell>
          <cell r="G66" t="str">
            <v>D</v>
          </cell>
          <cell r="H66" t="str">
            <v>HAWTHORNE</v>
          </cell>
          <cell r="I66" t="str">
            <v>CA</v>
          </cell>
          <cell r="J66" t="str">
            <v>USA</v>
          </cell>
          <cell r="K66" t="str">
            <v>BRENNTAG WEST, INC.</v>
          </cell>
          <cell r="L66" t="str">
            <v>CA</v>
          </cell>
          <cell r="M66" t="str">
            <v>USA</v>
          </cell>
          <cell r="N66" t="str">
            <v>D</v>
          </cell>
          <cell r="O66">
            <v>40150410</v>
          </cell>
          <cell r="P66" t="str">
            <v>SODIUM SULFATE CRS 50LB BAG</v>
          </cell>
          <cell r="Q66" t="str">
            <v>Sodium Sulfate</v>
          </cell>
          <cell r="R66">
            <v>40.020000000000003</v>
          </cell>
          <cell r="S66">
            <v>7323.75</v>
          </cell>
        </row>
        <row r="67">
          <cell r="A67" t="str">
            <v>Budget</v>
          </cell>
          <cell r="B67">
            <v>1</v>
          </cell>
          <cell r="C67" t="str">
            <v>Domestic</v>
          </cell>
          <cell r="D67">
            <v>1</v>
          </cell>
          <cell r="E67">
            <v>8569</v>
          </cell>
          <cell r="F67" t="str">
            <v>CHEMCOR CHEMICAL CORP</v>
          </cell>
          <cell r="G67" t="str">
            <v>D</v>
          </cell>
          <cell r="H67" t="str">
            <v>CHINO</v>
          </cell>
          <cell r="I67" t="str">
            <v>CA</v>
          </cell>
          <cell r="J67" t="str">
            <v>USA</v>
          </cell>
          <cell r="K67" t="str">
            <v>CHEMCOR CHEMICAL CORP</v>
          </cell>
          <cell r="L67" t="str">
            <v>CA</v>
          </cell>
          <cell r="M67" t="str">
            <v>USA</v>
          </cell>
          <cell r="N67" t="str">
            <v>D</v>
          </cell>
          <cell r="O67">
            <v>23060210</v>
          </cell>
          <cell r="P67" t="str">
            <v>DECA BORAX STD 50LB BAG</v>
          </cell>
          <cell r="Q67" t="str">
            <v>Deca</v>
          </cell>
          <cell r="R67">
            <v>2.4900000000000002</v>
          </cell>
          <cell r="S67">
            <v>976.58</v>
          </cell>
        </row>
        <row r="68">
          <cell r="A68" t="str">
            <v>Budget</v>
          </cell>
          <cell r="B68">
            <v>1</v>
          </cell>
          <cell r="C68" t="str">
            <v>Domestic</v>
          </cell>
          <cell r="D68">
            <v>1</v>
          </cell>
          <cell r="E68">
            <v>8569</v>
          </cell>
          <cell r="F68" t="str">
            <v>CHEMCOR CHEMICAL CORP</v>
          </cell>
          <cell r="G68" t="str">
            <v>D</v>
          </cell>
          <cell r="H68" t="str">
            <v>CHINO</v>
          </cell>
          <cell r="I68" t="str">
            <v>CA</v>
          </cell>
          <cell r="J68" t="str">
            <v>USA</v>
          </cell>
          <cell r="K68" t="str">
            <v>CHEMCOR CHEMICAL CORP</v>
          </cell>
          <cell r="L68" t="str">
            <v>CA</v>
          </cell>
          <cell r="M68" t="str">
            <v>USA</v>
          </cell>
          <cell r="N68" t="str">
            <v>D</v>
          </cell>
          <cell r="O68">
            <v>30210110</v>
          </cell>
          <cell r="P68" t="str">
            <v>SODA ASH DENSE 50LB BAG</v>
          </cell>
          <cell r="Q68" t="str">
            <v>Soda Ash</v>
          </cell>
          <cell r="R68">
            <v>19.71</v>
          </cell>
          <cell r="S68">
            <v>2673.98</v>
          </cell>
        </row>
        <row r="69">
          <cell r="A69" t="str">
            <v>Budget</v>
          </cell>
          <cell r="B69">
            <v>1</v>
          </cell>
          <cell r="C69" t="str">
            <v>Domestic</v>
          </cell>
          <cell r="D69">
            <v>1</v>
          </cell>
          <cell r="E69">
            <v>8569</v>
          </cell>
          <cell r="F69" t="str">
            <v>CHEMCOR CHEMICAL CORP</v>
          </cell>
          <cell r="G69" t="str">
            <v>D</v>
          </cell>
          <cell r="H69" t="str">
            <v>CHINO</v>
          </cell>
          <cell r="I69" t="str">
            <v>CA</v>
          </cell>
          <cell r="J69" t="str">
            <v>USA</v>
          </cell>
          <cell r="K69" t="str">
            <v>CHEMCOR CHEMICAL CORP</v>
          </cell>
          <cell r="L69" t="str">
            <v>CA</v>
          </cell>
          <cell r="M69" t="str">
            <v>USA</v>
          </cell>
          <cell r="N69" t="str">
            <v>D</v>
          </cell>
          <cell r="O69">
            <v>40070410</v>
          </cell>
          <cell r="P69" t="str">
            <v>SODIUM SULFATE MEDIUM 50LB BAG</v>
          </cell>
          <cell r="Q69" t="str">
            <v>Sodium Sulfate</v>
          </cell>
          <cell r="R69">
            <v>1.27</v>
          </cell>
          <cell r="S69">
            <v>231.12</v>
          </cell>
        </row>
        <row r="70">
          <cell r="A70" t="str">
            <v>Budget</v>
          </cell>
          <cell r="B70">
            <v>1</v>
          </cell>
          <cell r="C70" t="str">
            <v>Domestic</v>
          </cell>
          <cell r="D70">
            <v>1</v>
          </cell>
          <cell r="E70">
            <v>8569</v>
          </cell>
          <cell r="F70" t="str">
            <v>CHEMCOR CHEMICAL CORP</v>
          </cell>
          <cell r="G70" t="str">
            <v>D</v>
          </cell>
          <cell r="H70" t="str">
            <v>CHINO</v>
          </cell>
          <cell r="I70" t="str">
            <v>CA</v>
          </cell>
          <cell r="J70" t="str">
            <v>USA</v>
          </cell>
          <cell r="K70" t="str">
            <v>CHEMCOR CHEMICAL CORP</v>
          </cell>
          <cell r="L70" t="str">
            <v>CA</v>
          </cell>
          <cell r="M70" t="str">
            <v>USA</v>
          </cell>
          <cell r="N70" t="str">
            <v>D</v>
          </cell>
          <cell r="O70">
            <v>40150410</v>
          </cell>
          <cell r="P70" t="str">
            <v>SODIUM SULFATE CRS 50LB BAG</v>
          </cell>
          <cell r="Q70" t="str">
            <v>Sodium Sulfate</v>
          </cell>
          <cell r="R70">
            <v>10.38</v>
          </cell>
          <cell r="S70">
            <v>1891.35</v>
          </cell>
        </row>
        <row r="71">
          <cell r="A71" t="str">
            <v>Budget</v>
          </cell>
          <cell r="B71">
            <v>1</v>
          </cell>
          <cell r="C71" t="str">
            <v>Domestic</v>
          </cell>
          <cell r="D71">
            <v>1</v>
          </cell>
          <cell r="E71">
            <v>8621</v>
          </cell>
          <cell r="F71" t="str">
            <v>ALSTYLE DYEING &amp; FINISHING</v>
          </cell>
          <cell r="G71" t="str">
            <v>D</v>
          </cell>
          <cell r="H71" t="str">
            <v>ANAHEIM</v>
          </cell>
          <cell r="I71" t="str">
            <v>CA</v>
          </cell>
          <cell r="J71" t="str">
            <v>USA</v>
          </cell>
          <cell r="K71" t="str">
            <v>BRENNTAG WEST, INC.</v>
          </cell>
          <cell r="L71" t="str">
            <v>CA</v>
          </cell>
          <cell r="M71" t="str">
            <v>USA</v>
          </cell>
          <cell r="N71" t="str">
            <v>D</v>
          </cell>
          <cell r="O71">
            <v>40150410</v>
          </cell>
          <cell r="P71" t="str">
            <v>SODIUM SULFATE CRS 50LB BAG</v>
          </cell>
          <cell r="Q71" t="str">
            <v>Sodium Sulfate</v>
          </cell>
          <cell r="R71">
            <v>535.09</v>
          </cell>
          <cell r="S71">
            <v>84037.1</v>
          </cell>
        </row>
        <row r="72">
          <cell r="A72" t="str">
            <v>Budget</v>
          </cell>
          <cell r="B72">
            <v>1</v>
          </cell>
          <cell r="C72" t="str">
            <v>Domestic</v>
          </cell>
          <cell r="D72">
            <v>1</v>
          </cell>
          <cell r="E72">
            <v>8682</v>
          </cell>
          <cell r="F72" t="str">
            <v>CITY OF LAS VEGAS</v>
          </cell>
          <cell r="G72" t="str">
            <v>D</v>
          </cell>
          <cell r="H72" t="str">
            <v>LAS VEGAS</v>
          </cell>
          <cell r="I72" t="str">
            <v>NV</v>
          </cell>
          <cell r="J72" t="str">
            <v>USA</v>
          </cell>
          <cell r="K72" t="str">
            <v>BRENNTAG WEST, INC.</v>
          </cell>
          <cell r="L72" t="str">
            <v>CA</v>
          </cell>
          <cell r="M72" t="str">
            <v>USA</v>
          </cell>
          <cell r="N72" t="str">
            <v>D</v>
          </cell>
          <cell r="O72">
            <v>30210100</v>
          </cell>
          <cell r="P72" t="str">
            <v>SODA ASH DENSE BULK</v>
          </cell>
          <cell r="Q72" t="str">
            <v>Soda Ash</v>
          </cell>
          <cell r="R72">
            <v>88.5</v>
          </cell>
          <cell r="S72">
            <v>7575.6</v>
          </cell>
        </row>
        <row r="73">
          <cell r="A73" t="str">
            <v>Budget</v>
          </cell>
          <cell r="B73">
            <v>1</v>
          </cell>
          <cell r="C73" t="str">
            <v>Domestic</v>
          </cell>
          <cell r="D73">
            <v>1</v>
          </cell>
          <cell r="E73">
            <v>8683</v>
          </cell>
          <cell r="F73" t="str">
            <v>CITY OF LAS VEGAS</v>
          </cell>
          <cell r="G73" t="str">
            <v>D</v>
          </cell>
          <cell r="H73" t="str">
            <v>LAS VEGAS</v>
          </cell>
          <cell r="I73" t="str">
            <v>NV</v>
          </cell>
          <cell r="J73" t="str">
            <v>USA</v>
          </cell>
          <cell r="K73" t="str">
            <v>BRENNTAG WEST, INC.</v>
          </cell>
          <cell r="L73" t="str">
            <v>CA</v>
          </cell>
          <cell r="M73" t="str">
            <v>USA</v>
          </cell>
          <cell r="N73" t="str">
            <v>D</v>
          </cell>
          <cell r="O73">
            <v>30210100</v>
          </cell>
          <cell r="P73" t="str">
            <v>SODA ASH DENSE BULK</v>
          </cell>
          <cell r="Q73" t="str">
            <v>Soda Ash</v>
          </cell>
          <cell r="R73">
            <v>89.08</v>
          </cell>
          <cell r="S73">
            <v>7616.63</v>
          </cell>
        </row>
        <row r="74">
          <cell r="A74" t="str">
            <v>Budget</v>
          </cell>
          <cell r="B74">
            <v>1</v>
          </cell>
          <cell r="C74" t="str">
            <v>Domestic</v>
          </cell>
          <cell r="D74">
            <v>1</v>
          </cell>
          <cell r="E74">
            <v>8688</v>
          </cell>
          <cell r="F74" t="str">
            <v>CALPINE CORP.</v>
          </cell>
          <cell r="G74" t="str">
            <v>D</v>
          </cell>
          <cell r="H74" t="str">
            <v>MIDDLETOWN</v>
          </cell>
          <cell r="I74" t="str">
            <v>CA</v>
          </cell>
          <cell r="J74" t="str">
            <v>USA</v>
          </cell>
          <cell r="K74" t="str">
            <v>UNIVAR USA</v>
          </cell>
          <cell r="L74" t="str">
            <v>CA</v>
          </cell>
          <cell r="M74" t="str">
            <v>USA</v>
          </cell>
          <cell r="N74" t="str">
            <v>D</v>
          </cell>
          <cell r="O74">
            <v>30210110</v>
          </cell>
          <cell r="P74" t="str">
            <v>SODA ASH DENSE 50LB BAG</v>
          </cell>
          <cell r="Q74" t="str">
            <v>Soda Ash</v>
          </cell>
          <cell r="R74">
            <v>16.600000000000001</v>
          </cell>
          <cell r="S74">
            <v>2340.09</v>
          </cell>
        </row>
        <row r="75">
          <cell r="A75" t="str">
            <v>Budget</v>
          </cell>
          <cell r="B75">
            <v>1</v>
          </cell>
          <cell r="C75" t="str">
            <v>Domestic</v>
          </cell>
          <cell r="D75">
            <v>1</v>
          </cell>
          <cell r="E75">
            <v>8749</v>
          </cell>
          <cell r="F75" t="str">
            <v>A &amp; M PRODUCTS MANUFACTURING</v>
          </cell>
          <cell r="G75" t="str">
            <v>D</v>
          </cell>
          <cell r="H75" t="str">
            <v>SPRING HILL</v>
          </cell>
          <cell r="I75" t="str">
            <v>KS</v>
          </cell>
          <cell r="J75" t="str">
            <v>USA</v>
          </cell>
          <cell r="K75" t="str">
            <v>A &amp; M PRODUCTS MANUFACTURING</v>
          </cell>
          <cell r="L75" t="str">
            <v>KS</v>
          </cell>
          <cell r="M75" t="str">
            <v>USA</v>
          </cell>
          <cell r="N75" t="str">
            <v>C</v>
          </cell>
          <cell r="O75">
            <v>22760450</v>
          </cell>
          <cell r="P75" t="str">
            <v>V-BOR PEST 1TN FIBC (004)</v>
          </cell>
          <cell r="Q75" t="str">
            <v>Penta</v>
          </cell>
          <cell r="R75">
            <v>134.16</v>
          </cell>
          <cell r="S75">
            <v>40485.17</v>
          </cell>
        </row>
        <row r="76">
          <cell r="A76" t="str">
            <v>Budget</v>
          </cell>
          <cell r="B76">
            <v>1</v>
          </cell>
          <cell r="C76" t="str">
            <v>Domestic</v>
          </cell>
          <cell r="D76">
            <v>1</v>
          </cell>
          <cell r="E76">
            <v>8782</v>
          </cell>
          <cell r="F76" t="str">
            <v>BLUE CROSS LABS</v>
          </cell>
          <cell r="G76" t="str">
            <v>D</v>
          </cell>
          <cell r="H76" t="str">
            <v>SAUGUS</v>
          </cell>
          <cell r="I76" t="str">
            <v>CA</v>
          </cell>
          <cell r="J76" t="str">
            <v>USA</v>
          </cell>
          <cell r="K76" t="str">
            <v>UNIVAR USA</v>
          </cell>
          <cell r="L76" t="str">
            <v>CA</v>
          </cell>
          <cell r="M76" t="str">
            <v>USA</v>
          </cell>
          <cell r="N76" t="str">
            <v>D</v>
          </cell>
          <cell r="O76">
            <v>40060410</v>
          </cell>
          <cell r="P76" t="str">
            <v>SODIUM SULFATE STD 50LB BAG</v>
          </cell>
          <cell r="Q76" t="str">
            <v>Sodium Sulfate</v>
          </cell>
          <cell r="R76">
            <v>4.0199999999999996</v>
          </cell>
          <cell r="S76">
            <v>722.97</v>
          </cell>
        </row>
        <row r="77">
          <cell r="A77" t="str">
            <v>Budget</v>
          </cell>
          <cell r="B77">
            <v>1</v>
          </cell>
          <cell r="C77" t="str">
            <v>Domestic</v>
          </cell>
          <cell r="D77">
            <v>1</v>
          </cell>
          <cell r="E77">
            <v>8862</v>
          </cell>
          <cell r="F77" t="str">
            <v>NGS MAIN WAREHOUSE</v>
          </cell>
          <cell r="G77" t="str">
            <v>D</v>
          </cell>
          <cell r="H77" t="str">
            <v>PAGE</v>
          </cell>
          <cell r="I77" t="str">
            <v>AZ</v>
          </cell>
          <cell r="J77" t="str">
            <v>USA</v>
          </cell>
          <cell r="K77" t="str">
            <v>SRP</v>
          </cell>
          <cell r="L77" t="str">
            <v>AZ</v>
          </cell>
          <cell r="M77" t="str">
            <v>USA</v>
          </cell>
          <cell r="N77" t="str">
            <v>C</v>
          </cell>
          <cell r="O77">
            <v>30210100</v>
          </cell>
          <cell r="P77" t="str">
            <v>SODA ASH DENSE BULK</v>
          </cell>
          <cell r="Q77" t="str">
            <v>Soda Ash</v>
          </cell>
          <cell r="R77">
            <v>263.75</v>
          </cell>
          <cell r="S77">
            <v>17615.86</v>
          </cell>
        </row>
        <row r="78">
          <cell r="A78" t="str">
            <v>Budget</v>
          </cell>
          <cell r="B78">
            <v>1</v>
          </cell>
          <cell r="C78" t="str">
            <v>Domestic</v>
          </cell>
          <cell r="D78">
            <v>1</v>
          </cell>
          <cell r="E78">
            <v>8901</v>
          </cell>
          <cell r="F78" t="str">
            <v>CGS MAIN WAREHOUSE</v>
          </cell>
          <cell r="G78" t="str">
            <v>D</v>
          </cell>
          <cell r="H78" t="str">
            <v>ST. JOHNS</v>
          </cell>
          <cell r="I78" t="str">
            <v>AZ</v>
          </cell>
          <cell r="J78" t="str">
            <v>USA</v>
          </cell>
          <cell r="K78" t="str">
            <v>CGS MAIN WAREHOUSE</v>
          </cell>
          <cell r="L78" t="str">
            <v>AZ</v>
          </cell>
          <cell r="M78" t="str">
            <v>USA</v>
          </cell>
          <cell r="N78" t="str">
            <v>C</v>
          </cell>
          <cell r="O78">
            <v>30210100</v>
          </cell>
          <cell r="P78" t="str">
            <v>SODA ASH DENSE BULK</v>
          </cell>
          <cell r="Q78" t="str">
            <v>Soda Ash</v>
          </cell>
          <cell r="R78">
            <v>141.69999999999999</v>
          </cell>
          <cell r="S78">
            <v>9190.7999999999993</v>
          </cell>
        </row>
        <row r="79">
          <cell r="A79" t="str">
            <v>Budget</v>
          </cell>
          <cell r="B79">
            <v>1</v>
          </cell>
          <cell r="C79" t="str">
            <v>Domestic</v>
          </cell>
          <cell r="D79">
            <v>1</v>
          </cell>
          <cell r="E79">
            <v>8906</v>
          </cell>
          <cell r="F79" t="str">
            <v>LUSEAUX LABORATORIES</v>
          </cell>
          <cell r="G79" t="str">
            <v>D</v>
          </cell>
          <cell r="H79" t="str">
            <v>KINGMAN</v>
          </cell>
          <cell r="I79" t="str">
            <v>AZ</v>
          </cell>
          <cell r="J79" t="str">
            <v>USA</v>
          </cell>
          <cell r="K79" t="str">
            <v>UNIVAR USA</v>
          </cell>
          <cell r="L79" t="str">
            <v>AZ</v>
          </cell>
          <cell r="M79" t="str">
            <v>USA</v>
          </cell>
          <cell r="N79" t="str">
            <v>D</v>
          </cell>
          <cell r="O79">
            <v>40060410</v>
          </cell>
          <cell r="P79" t="str">
            <v>SODIUM SULFATE STD 50LB BAG</v>
          </cell>
          <cell r="Q79" t="str">
            <v>Sodium Sulfate</v>
          </cell>
          <cell r="R79">
            <v>3.81</v>
          </cell>
          <cell r="S79">
            <v>569.1</v>
          </cell>
        </row>
        <row r="80">
          <cell r="A80" t="str">
            <v>Budget</v>
          </cell>
          <cell r="B80">
            <v>1</v>
          </cell>
          <cell r="C80" t="str">
            <v>Domestic</v>
          </cell>
          <cell r="D80">
            <v>1</v>
          </cell>
          <cell r="E80">
            <v>8981</v>
          </cell>
          <cell r="F80" t="str">
            <v>ARIZONA PUBLIC SERVICE</v>
          </cell>
          <cell r="G80" t="str">
            <v>D</v>
          </cell>
          <cell r="H80" t="str">
            <v>TONOPAH</v>
          </cell>
          <cell r="I80" t="str">
            <v>AZ</v>
          </cell>
          <cell r="J80" t="str">
            <v>USA</v>
          </cell>
          <cell r="K80" t="str">
            <v>UNIVAR USA</v>
          </cell>
          <cell r="L80" t="str">
            <v>AZ</v>
          </cell>
          <cell r="M80" t="str">
            <v>USA</v>
          </cell>
          <cell r="N80" t="str">
            <v>D</v>
          </cell>
          <cell r="O80">
            <v>30210100</v>
          </cell>
          <cell r="P80" t="str">
            <v>SODA ASH DENSE BULK</v>
          </cell>
          <cell r="Q80" t="str">
            <v>Soda Ash</v>
          </cell>
          <cell r="R80">
            <v>508.2</v>
          </cell>
          <cell r="S80">
            <v>35294.26</v>
          </cell>
        </row>
        <row r="81">
          <cell r="A81" t="str">
            <v>Budget</v>
          </cell>
          <cell r="B81">
            <v>1</v>
          </cell>
          <cell r="C81" t="str">
            <v>Domestic</v>
          </cell>
          <cell r="D81">
            <v>1</v>
          </cell>
          <cell r="E81">
            <v>9002</v>
          </cell>
          <cell r="F81" t="str">
            <v>BRENNTAG WEST, INC.</v>
          </cell>
          <cell r="G81" t="str">
            <v>D</v>
          </cell>
          <cell r="H81" t="str">
            <v>OGDEN</v>
          </cell>
          <cell r="I81" t="str">
            <v>UT</v>
          </cell>
          <cell r="J81" t="str">
            <v>USA</v>
          </cell>
          <cell r="K81" t="str">
            <v>BRENNTAG WEST, INC.</v>
          </cell>
          <cell r="L81" t="str">
            <v>UT</v>
          </cell>
          <cell r="M81" t="str">
            <v>USA</v>
          </cell>
          <cell r="N81" t="str">
            <v>D</v>
          </cell>
          <cell r="O81">
            <v>28069792</v>
          </cell>
          <cell r="P81" t="str">
            <v>AMMONIUM PENTABORATE 150KG DRM</v>
          </cell>
          <cell r="Q81" t="str">
            <v>Boric Salt (SCL)</v>
          </cell>
          <cell r="R81">
            <v>1.1499999999999999</v>
          </cell>
          <cell r="S81">
            <v>3217.28</v>
          </cell>
        </row>
        <row r="82">
          <cell r="A82" t="str">
            <v>Budget</v>
          </cell>
          <cell r="B82">
            <v>1</v>
          </cell>
          <cell r="C82" t="str">
            <v>Domestic</v>
          </cell>
          <cell r="D82">
            <v>1</v>
          </cell>
          <cell r="E82">
            <v>9042</v>
          </cell>
          <cell r="F82" t="str">
            <v>RELIANT ENERGY</v>
          </cell>
          <cell r="G82" t="str">
            <v>D</v>
          </cell>
          <cell r="H82" t="str">
            <v>CASA GRANDE</v>
          </cell>
          <cell r="I82" t="str">
            <v>AZ</v>
          </cell>
          <cell r="J82" t="str">
            <v>USA</v>
          </cell>
          <cell r="K82" t="str">
            <v>UNIVAR USA</v>
          </cell>
          <cell r="L82" t="str">
            <v>AZ</v>
          </cell>
          <cell r="M82" t="str">
            <v>USA</v>
          </cell>
          <cell r="N82" t="str">
            <v>D</v>
          </cell>
          <cell r="O82">
            <v>30210100</v>
          </cell>
          <cell r="P82" t="str">
            <v>SODA ASH DENSE BULK</v>
          </cell>
          <cell r="Q82" t="str">
            <v>Soda Ash</v>
          </cell>
          <cell r="R82">
            <v>22.08</v>
          </cell>
          <cell r="S82">
            <v>3043.75</v>
          </cell>
        </row>
        <row r="83">
          <cell r="A83" t="str">
            <v>Budget</v>
          </cell>
          <cell r="B83">
            <v>1</v>
          </cell>
          <cell r="C83" t="str">
            <v>Domestic</v>
          </cell>
          <cell r="D83">
            <v>1</v>
          </cell>
          <cell r="E83">
            <v>9051</v>
          </cell>
          <cell r="F83" t="str">
            <v>U.S. DYE</v>
          </cell>
          <cell r="G83" t="str">
            <v>D</v>
          </cell>
          <cell r="H83" t="str">
            <v>GARDEN GROVE</v>
          </cell>
          <cell r="I83" t="str">
            <v>CA</v>
          </cell>
          <cell r="J83" t="str">
            <v>USA</v>
          </cell>
          <cell r="K83" t="str">
            <v>UNIVAR USA</v>
          </cell>
          <cell r="L83" t="str">
            <v>CA</v>
          </cell>
          <cell r="M83" t="str">
            <v>USA</v>
          </cell>
          <cell r="N83" t="str">
            <v>D</v>
          </cell>
          <cell r="O83">
            <v>40060410</v>
          </cell>
          <cell r="P83" t="str">
            <v>SODIUM SULFATE STD 50LB BAG</v>
          </cell>
          <cell r="Q83" t="str">
            <v>Sodium Sulfate</v>
          </cell>
          <cell r="R83">
            <v>112.44</v>
          </cell>
          <cell r="S83">
            <v>18552.36</v>
          </cell>
        </row>
        <row r="84">
          <cell r="A84" t="str">
            <v>Budget</v>
          </cell>
          <cell r="B84">
            <v>1</v>
          </cell>
          <cell r="C84" t="str">
            <v>Domestic</v>
          </cell>
          <cell r="D84">
            <v>1</v>
          </cell>
          <cell r="E84">
            <v>9065</v>
          </cell>
          <cell r="F84" t="str">
            <v>ALSTYLE DYEING &amp; FINISHING</v>
          </cell>
          <cell r="G84" t="str">
            <v>D</v>
          </cell>
          <cell r="H84" t="str">
            <v>ANAHEIM</v>
          </cell>
          <cell r="I84" t="str">
            <v>CA</v>
          </cell>
          <cell r="J84" t="str">
            <v>USA</v>
          </cell>
          <cell r="K84" t="str">
            <v>UNIVAR USA</v>
          </cell>
          <cell r="L84" t="str">
            <v>CA</v>
          </cell>
          <cell r="M84" t="str">
            <v>USA</v>
          </cell>
          <cell r="N84" t="str">
            <v>D</v>
          </cell>
          <cell r="O84">
            <v>40060410</v>
          </cell>
          <cell r="P84" t="str">
            <v>SODIUM SULFATE STD 50LB BAG</v>
          </cell>
          <cell r="Q84" t="str">
            <v>Sodium Sulfate</v>
          </cell>
          <cell r="R84">
            <v>12.07</v>
          </cell>
          <cell r="S84">
            <v>2015.64</v>
          </cell>
        </row>
        <row r="85">
          <cell r="A85" t="str">
            <v>Budget</v>
          </cell>
          <cell r="B85">
            <v>1</v>
          </cell>
          <cell r="C85" t="str">
            <v>Domestic</v>
          </cell>
          <cell r="D85">
            <v>1</v>
          </cell>
          <cell r="E85">
            <v>9066</v>
          </cell>
          <cell r="F85" t="str">
            <v>L.A. CHEMICAL</v>
          </cell>
          <cell r="G85" t="str">
            <v>D</v>
          </cell>
          <cell r="H85" t="str">
            <v>FRESNO</v>
          </cell>
          <cell r="I85" t="str">
            <v>CA</v>
          </cell>
          <cell r="J85" t="str">
            <v>USA</v>
          </cell>
          <cell r="K85" t="str">
            <v>L.A. CHEMICAL</v>
          </cell>
          <cell r="L85" t="str">
            <v>CA</v>
          </cell>
          <cell r="M85" t="str">
            <v>USA</v>
          </cell>
          <cell r="N85" t="str">
            <v>D</v>
          </cell>
          <cell r="O85">
            <v>20060210</v>
          </cell>
          <cell r="P85" t="str">
            <v>PYROBOR 50LB BAG (002)</v>
          </cell>
          <cell r="Q85" t="str">
            <v>Pyrobor</v>
          </cell>
          <cell r="R85">
            <v>3.74</v>
          </cell>
          <cell r="S85">
            <v>2946.66</v>
          </cell>
        </row>
        <row r="86">
          <cell r="A86" t="str">
            <v>Budget</v>
          </cell>
          <cell r="B86">
            <v>1</v>
          </cell>
          <cell r="C86" t="str">
            <v>Domestic</v>
          </cell>
          <cell r="D86">
            <v>1</v>
          </cell>
          <cell r="E86">
            <v>9066</v>
          </cell>
          <cell r="F86" t="str">
            <v>L.A. CHEMICAL</v>
          </cell>
          <cell r="G86" t="str">
            <v>D</v>
          </cell>
          <cell r="H86" t="str">
            <v>FRESNO</v>
          </cell>
          <cell r="I86" t="str">
            <v>CA</v>
          </cell>
          <cell r="J86" t="str">
            <v>USA</v>
          </cell>
          <cell r="K86" t="str">
            <v>L.A. CHEMICAL</v>
          </cell>
          <cell r="L86" t="str">
            <v>CA</v>
          </cell>
          <cell r="M86" t="str">
            <v>USA</v>
          </cell>
          <cell r="N86" t="str">
            <v>D</v>
          </cell>
          <cell r="O86">
            <v>30210110</v>
          </cell>
          <cell r="P86" t="str">
            <v>SODA ASH DENSE 50LB BAG</v>
          </cell>
          <cell r="Q86" t="str">
            <v>Soda Ash</v>
          </cell>
          <cell r="R86">
            <v>3.74</v>
          </cell>
          <cell r="S86">
            <v>610</v>
          </cell>
        </row>
        <row r="87">
          <cell r="A87" t="str">
            <v>Budget</v>
          </cell>
          <cell r="B87">
            <v>1</v>
          </cell>
          <cell r="C87" t="str">
            <v>Domestic</v>
          </cell>
          <cell r="D87">
            <v>1</v>
          </cell>
          <cell r="E87">
            <v>9083</v>
          </cell>
          <cell r="F87" t="str">
            <v>L.A. CHEMICAL</v>
          </cell>
          <cell r="G87" t="str">
            <v>D</v>
          </cell>
          <cell r="H87" t="str">
            <v>RICHMOND</v>
          </cell>
          <cell r="I87" t="str">
            <v>CA</v>
          </cell>
          <cell r="J87" t="str">
            <v>USA</v>
          </cell>
          <cell r="K87" t="str">
            <v>L.A. CHEMICAL</v>
          </cell>
          <cell r="L87" t="str">
            <v>CA</v>
          </cell>
          <cell r="M87" t="str">
            <v>USA</v>
          </cell>
          <cell r="N87" t="str">
            <v>D</v>
          </cell>
          <cell r="O87">
            <v>20060210</v>
          </cell>
          <cell r="P87" t="str">
            <v>PYROBOR 50LB BAG (002)</v>
          </cell>
          <cell r="Q87" t="str">
            <v>Pyrobor</v>
          </cell>
          <cell r="R87">
            <v>3.32</v>
          </cell>
          <cell r="S87">
            <v>2629.9</v>
          </cell>
        </row>
        <row r="88">
          <cell r="A88" t="str">
            <v>Budget</v>
          </cell>
          <cell r="B88">
            <v>1</v>
          </cell>
          <cell r="C88" t="str">
            <v>Domestic</v>
          </cell>
          <cell r="D88">
            <v>1</v>
          </cell>
          <cell r="E88">
            <v>9083</v>
          </cell>
          <cell r="F88" t="str">
            <v>L.A. CHEMICAL</v>
          </cell>
          <cell r="G88" t="str">
            <v>D</v>
          </cell>
          <cell r="H88" t="str">
            <v>RICHMOND</v>
          </cell>
          <cell r="I88" t="str">
            <v>CA</v>
          </cell>
          <cell r="J88" t="str">
            <v>USA</v>
          </cell>
          <cell r="K88" t="str">
            <v>L.A. CHEMICAL</v>
          </cell>
          <cell r="L88" t="str">
            <v>CA</v>
          </cell>
          <cell r="M88" t="str">
            <v>USA</v>
          </cell>
          <cell r="N88" t="str">
            <v>D</v>
          </cell>
          <cell r="O88">
            <v>24090210</v>
          </cell>
          <cell r="P88" t="str">
            <v>BORIC ACID GRAN TECH 50LB BAG</v>
          </cell>
          <cell r="Q88" t="str">
            <v>Boric Acid</v>
          </cell>
          <cell r="R88">
            <v>0.62</v>
          </cell>
          <cell r="S88">
            <v>499.9</v>
          </cell>
        </row>
        <row r="89">
          <cell r="A89" t="str">
            <v>Budget</v>
          </cell>
          <cell r="B89">
            <v>1</v>
          </cell>
          <cell r="C89" t="str">
            <v>Domestic</v>
          </cell>
          <cell r="D89">
            <v>1</v>
          </cell>
          <cell r="E89">
            <v>9083</v>
          </cell>
          <cell r="F89" t="str">
            <v>L.A. CHEMICAL</v>
          </cell>
          <cell r="G89" t="str">
            <v>D</v>
          </cell>
          <cell r="H89" t="str">
            <v>RICHMOND</v>
          </cell>
          <cell r="I89" t="str">
            <v>CA</v>
          </cell>
          <cell r="J89" t="str">
            <v>USA</v>
          </cell>
          <cell r="K89" t="str">
            <v>L.A. CHEMICAL</v>
          </cell>
          <cell r="L89" t="str">
            <v>CA</v>
          </cell>
          <cell r="M89" t="str">
            <v>USA</v>
          </cell>
          <cell r="N89" t="str">
            <v>D</v>
          </cell>
          <cell r="O89">
            <v>40060410</v>
          </cell>
          <cell r="P89" t="str">
            <v>SODIUM SULFATE STD 50LB BAG</v>
          </cell>
          <cell r="Q89" t="str">
            <v>Sodium Sulfate</v>
          </cell>
          <cell r="R89">
            <v>15.03</v>
          </cell>
          <cell r="S89">
            <v>2927.21</v>
          </cell>
        </row>
        <row r="90">
          <cell r="A90" t="str">
            <v>Budget</v>
          </cell>
          <cell r="B90">
            <v>1</v>
          </cell>
          <cell r="C90" t="str">
            <v>Domestic</v>
          </cell>
          <cell r="D90">
            <v>1</v>
          </cell>
          <cell r="E90">
            <v>9100</v>
          </cell>
          <cell r="F90" t="str">
            <v>L.A. CHEMICAL</v>
          </cell>
          <cell r="G90" t="str">
            <v>D</v>
          </cell>
          <cell r="H90" t="str">
            <v>SALT LAKE CITY</v>
          </cell>
          <cell r="I90" t="str">
            <v>UT</v>
          </cell>
          <cell r="J90" t="str">
            <v>USA</v>
          </cell>
          <cell r="K90" t="str">
            <v>L.A. CHEMICAL</v>
          </cell>
          <cell r="L90" t="str">
            <v>UT</v>
          </cell>
          <cell r="M90" t="str">
            <v>USA</v>
          </cell>
          <cell r="N90" t="str">
            <v>D</v>
          </cell>
          <cell r="O90">
            <v>20060210</v>
          </cell>
          <cell r="P90" t="str">
            <v>PYROBOR 50LB BAG (002)</v>
          </cell>
          <cell r="Q90" t="str">
            <v>Pyrobor</v>
          </cell>
          <cell r="R90">
            <v>1.87</v>
          </cell>
          <cell r="S90">
            <v>1420.53</v>
          </cell>
        </row>
        <row r="91">
          <cell r="A91" t="str">
            <v>Budget</v>
          </cell>
          <cell r="B91">
            <v>1</v>
          </cell>
          <cell r="C91" t="str">
            <v>Domestic</v>
          </cell>
          <cell r="D91">
            <v>1</v>
          </cell>
          <cell r="E91">
            <v>9100</v>
          </cell>
          <cell r="F91" t="str">
            <v>L.A. CHEMICAL</v>
          </cell>
          <cell r="G91" t="str">
            <v>D</v>
          </cell>
          <cell r="H91" t="str">
            <v>SALT LAKE CITY</v>
          </cell>
          <cell r="I91" t="str">
            <v>UT</v>
          </cell>
          <cell r="J91" t="str">
            <v>USA</v>
          </cell>
          <cell r="K91" t="str">
            <v>L.A. CHEMICAL</v>
          </cell>
          <cell r="L91" t="str">
            <v>UT</v>
          </cell>
          <cell r="M91" t="str">
            <v>USA</v>
          </cell>
          <cell r="N91" t="str">
            <v>D</v>
          </cell>
          <cell r="O91">
            <v>22060410</v>
          </cell>
          <cell r="P91" t="str">
            <v>V-BOR 50LB BAG (004)</v>
          </cell>
          <cell r="Q91" t="str">
            <v>Penta</v>
          </cell>
          <cell r="R91">
            <v>16.940000000000001</v>
          </cell>
          <cell r="S91">
            <v>6217.29</v>
          </cell>
        </row>
        <row r="92">
          <cell r="A92" t="str">
            <v>Budget</v>
          </cell>
          <cell r="B92">
            <v>1</v>
          </cell>
          <cell r="C92" t="str">
            <v>Domestic</v>
          </cell>
          <cell r="D92">
            <v>1</v>
          </cell>
          <cell r="E92">
            <v>9101</v>
          </cell>
          <cell r="F92" t="str">
            <v>KENNECOTT RAWHIDE</v>
          </cell>
          <cell r="G92" t="str">
            <v>D</v>
          </cell>
          <cell r="H92" t="str">
            <v>FALLON</v>
          </cell>
          <cell r="I92" t="str">
            <v>NV</v>
          </cell>
          <cell r="J92" t="str">
            <v>USA</v>
          </cell>
          <cell r="K92" t="str">
            <v>L.A. CHEMICAL</v>
          </cell>
          <cell r="L92" t="str">
            <v>UT</v>
          </cell>
          <cell r="M92" t="str">
            <v>USA</v>
          </cell>
          <cell r="N92" t="str">
            <v>D</v>
          </cell>
          <cell r="O92">
            <v>20060210</v>
          </cell>
          <cell r="P92" t="str">
            <v>PYROBOR 50LB BAG (002)</v>
          </cell>
          <cell r="Q92" t="str">
            <v>Pyrobor</v>
          </cell>
          <cell r="R92">
            <v>3.73</v>
          </cell>
          <cell r="S92">
            <v>2834.62</v>
          </cell>
        </row>
        <row r="93">
          <cell r="A93" t="str">
            <v>Budget</v>
          </cell>
          <cell r="B93">
            <v>1</v>
          </cell>
          <cell r="C93" t="str">
            <v>Domestic</v>
          </cell>
          <cell r="D93">
            <v>1</v>
          </cell>
          <cell r="E93">
            <v>9149</v>
          </cell>
          <cell r="F93" t="str">
            <v>THATCHER COMPANY</v>
          </cell>
          <cell r="G93" t="str">
            <v>D</v>
          </cell>
          <cell r="H93" t="str">
            <v>SALT LAKE CITY</v>
          </cell>
          <cell r="I93" t="str">
            <v>UT</v>
          </cell>
          <cell r="J93" t="str">
            <v>USA</v>
          </cell>
          <cell r="K93" t="str">
            <v>THATCHER COMPANY</v>
          </cell>
          <cell r="L93" t="str">
            <v>UT</v>
          </cell>
          <cell r="M93" t="str">
            <v>USA</v>
          </cell>
          <cell r="N93" t="str">
            <v>D</v>
          </cell>
          <cell r="O93">
            <v>20060210</v>
          </cell>
          <cell r="P93" t="str">
            <v>PYROBOR 50LB BAG (002)</v>
          </cell>
          <cell r="Q93" t="str">
            <v>Pyrobor</v>
          </cell>
          <cell r="R93">
            <v>2.08</v>
          </cell>
          <cell r="S93">
            <v>1768.02</v>
          </cell>
        </row>
        <row r="94">
          <cell r="A94" t="str">
            <v>Budget</v>
          </cell>
          <cell r="B94">
            <v>1</v>
          </cell>
          <cell r="C94" t="str">
            <v>Domestic</v>
          </cell>
          <cell r="D94">
            <v>1</v>
          </cell>
          <cell r="E94">
            <v>9149</v>
          </cell>
          <cell r="F94" t="str">
            <v>THATCHER COMPANY</v>
          </cell>
          <cell r="G94" t="str">
            <v>D</v>
          </cell>
          <cell r="H94" t="str">
            <v>SALT LAKE CITY</v>
          </cell>
          <cell r="I94" t="str">
            <v>UT</v>
          </cell>
          <cell r="J94" t="str">
            <v>USA</v>
          </cell>
          <cell r="K94" t="str">
            <v>THATCHER COMPANY</v>
          </cell>
          <cell r="L94" t="str">
            <v>UT</v>
          </cell>
          <cell r="M94" t="str">
            <v>USA</v>
          </cell>
          <cell r="N94" t="str">
            <v>D</v>
          </cell>
          <cell r="O94">
            <v>22060410</v>
          </cell>
          <cell r="P94" t="str">
            <v>V-BOR 50LB BAG (004)</v>
          </cell>
          <cell r="Q94" t="str">
            <v>Penta</v>
          </cell>
          <cell r="R94">
            <v>0.62</v>
          </cell>
          <cell r="S94">
            <v>268.94</v>
          </cell>
        </row>
        <row r="95">
          <cell r="A95" t="str">
            <v>Budget</v>
          </cell>
          <cell r="B95">
            <v>1</v>
          </cell>
          <cell r="C95" t="str">
            <v>Domestic</v>
          </cell>
          <cell r="D95">
            <v>1</v>
          </cell>
          <cell r="E95">
            <v>9149</v>
          </cell>
          <cell r="F95" t="str">
            <v>THATCHER COMPANY</v>
          </cell>
          <cell r="G95" t="str">
            <v>D</v>
          </cell>
          <cell r="H95" t="str">
            <v>SALT LAKE CITY</v>
          </cell>
          <cell r="I95" t="str">
            <v>UT</v>
          </cell>
          <cell r="J95" t="str">
            <v>USA</v>
          </cell>
          <cell r="K95" t="str">
            <v>THATCHER COMPANY</v>
          </cell>
          <cell r="L95" t="str">
            <v>UT</v>
          </cell>
          <cell r="M95" t="str">
            <v>USA</v>
          </cell>
          <cell r="N95" t="str">
            <v>D</v>
          </cell>
          <cell r="O95">
            <v>23060210</v>
          </cell>
          <cell r="P95" t="str">
            <v>DECA BORAX STD 50LB BAG</v>
          </cell>
          <cell r="Q95" t="str">
            <v>Deca</v>
          </cell>
          <cell r="R95">
            <v>1.04</v>
          </cell>
          <cell r="S95">
            <v>391.16</v>
          </cell>
        </row>
        <row r="96">
          <cell r="A96" t="str">
            <v>Budget</v>
          </cell>
          <cell r="B96">
            <v>1</v>
          </cell>
          <cell r="C96" t="str">
            <v>Domestic</v>
          </cell>
          <cell r="D96">
            <v>1</v>
          </cell>
          <cell r="E96">
            <v>9215</v>
          </cell>
          <cell r="F96" t="str">
            <v>GALLO GLASS</v>
          </cell>
          <cell r="G96" t="str">
            <v>D</v>
          </cell>
          <cell r="H96" t="str">
            <v>MODESTO</v>
          </cell>
          <cell r="I96" t="str">
            <v>CA</v>
          </cell>
          <cell r="J96" t="str">
            <v>USA</v>
          </cell>
          <cell r="K96" t="str">
            <v>BRENNTAG WEST, INC.</v>
          </cell>
          <cell r="L96" t="str">
            <v>CA</v>
          </cell>
          <cell r="M96" t="str">
            <v>USA</v>
          </cell>
          <cell r="N96" t="str">
            <v>D</v>
          </cell>
          <cell r="O96">
            <v>40150400</v>
          </cell>
          <cell r="P96" t="str">
            <v>SODIUM SULFATE COARSE BULK</v>
          </cell>
          <cell r="Q96" t="str">
            <v>Sodium Sulfate</v>
          </cell>
          <cell r="R96">
            <v>9.0399999999999991</v>
          </cell>
          <cell r="S96">
            <v>949.11</v>
          </cell>
        </row>
        <row r="97">
          <cell r="A97" t="str">
            <v>Budget</v>
          </cell>
          <cell r="B97">
            <v>1</v>
          </cell>
          <cell r="C97" t="str">
            <v>Domestic</v>
          </cell>
          <cell r="D97">
            <v>1</v>
          </cell>
          <cell r="E97">
            <v>9215</v>
          </cell>
          <cell r="F97" t="str">
            <v>GALLO GLASS</v>
          </cell>
          <cell r="G97" t="str">
            <v>D</v>
          </cell>
          <cell r="H97" t="str">
            <v>MODESTO</v>
          </cell>
          <cell r="I97" t="str">
            <v>CA</v>
          </cell>
          <cell r="J97" t="str">
            <v>USA</v>
          </cell>
          <cell r="K97" t="str">
            <v>BRENNTAG WEST, INC.</v>
          </cell>
          <cell r="L97" t="str">
            <v>CA</v>
          </cell>
          <cell r="M97" t="str">
            <v>USA</v>
          </cell>
          <cell r="N97" t="str">
            <v>D</v>
          </cell>
          <cell r="O97">
            <v>40150430</v>
          </cell>
          <cell r="P97" t="str">
            <v>SODIUM SULFATE CRS 100LB BG</v>
          </cell>
          <cell r="Q97" t="str">
            <v>Sodium Sulfate</v>
          </cell>
          <cell r="R97">
            <v>46.37</v>
          </cell>
          <cell r="S97">
            <v>5332.89</v>
          </cell>
        </row>
        <row r="98">
          <cell r="A98" t="str">
            <v>Budget</v>
          </cell>
          <cell r="B98">
            <v>1</v>
          </cell>
          <cell r="C98" t="str">
            <v>Domestic</v>
          </cell>
          <cell r="D98">
            <v>1</v>
          </cell>
          <cell r="E98">
            <v>9217</v>
          </cell>
          <cell r="F98" t="str">
            <v>BRENNTAG WEST, INC.</v>
          </cell>
          <cell r="G98" t="str">
            <v>D</v>
          </cell>
          <cell r="H98" t="str">
            <v>FRESNO</v>
          </cell>
          <cell r="I98" t="str">
            <v>CA</v>
          </cell>
          <cell r="J98" t="str">
            <v>USA</v>
          </cell>
          <cell r="K98" t="str">
            <v>BRENNTAG WEST, INC.</v>
          </cell>
          <cell r="L98" t="str">
            <v>CA</v>
          </cell>
          <cell r="M98" t="str">
            <v>USA</v>
          </cell>
          <cell r="N98" t="str">
            <v>D</v>
          </cell>
          <cell r="O98">
            <v>22060410</v>
          </cell>
          <cell r="P98" t="str">
            <v>V-BOR 50LB BAG (004)</v>
          </cell>
          <cell r="Q98" t="str">
            <v>Penta</v>
          </cell>
          <cell r="R98">
            <v>3.74</v>
          </cell>
          <cell r="S98">
            <v>1574.18</v>
          </cell>
        </row>
        <row r="99">
          <cell r="A99" t="str">
            <v>Budget</v>
          </cell>
          <cell r="B99">
            <v>1</v>
          </cell>
          <cell r="C99" t="str">
            <v>Domestic</v>
          </cell>
          <cell r="D99">
            <v>1</v>
          </cell>
          <cell r="E99">
            <v>9217</v>
          </cell>
          <cell r="F99" t="str">
            <v>BRENNTAG WEST, INC.</v>
          </cell>
          <cell r="G99" t="str">
            <v>D</v>
          </cell>
          <cell r="H99" t="str">
            <v>FRESNO</v>
          </cell>
          <cell r="I99" t="str">
            <v>CA</v>
          </cell>
          <cell r="J99" t="str">
            <v>USA</v>
          </cell>
          <cell r="K99" t="str">
            <v>BRENNTAG WEST, INC.</v>
          </cell>
          <cell r="L99" t="str">
            <v>CA</v>
          </cell>
          <cell r="M99" t="str">
            <v>USA</v>
          </cell>
          <cell r="N99" t="str">
            <v>D</v>
          </cell>
          <cell r="O99">
            <v>23060210</v>
          </cell>
          <cell r="P99" t="str">
            <v>DECA BORAX STD 50LB BAG</v>
          </cell>
          <cell r="Q99" t="str">
            <v>Deca</v>
          </cell>
          <cell r="R99">
            <v>2.08</v>
          </cell>
          <cell r="S99">
            <v>761.58</v>
          </cell>
        </row>
        <row r="100">
          <cell r="A100" t="str">
            <v>Budget</v>
          </cell>
          <cell r="B100">
            <v>1</v>
          </cell>
          <cell r="C100" t="str">
            <v>Domestic</v>
          </cell>
          <cell r="D100">
            <v>1</v>
          </cell>
          <cell r="E100">
            <v>9217</v>
          </cell>
          <cell r="F100" t="str">
            <v>BRENNTAG WEST, INC.</v>
          </cell>
          <cell r="G100" t="str">
            <v>D</v>
          </cell>
          <cell r="H100" t="str">
            <v>FRESNO</v>
          </cell>
          <cell r="I100" t="str">
            <v>CA</v>
          </cell>
          <cell r="J100" t="str">
            <v>USA</v>
          </cell>
          <cell r="K100" t="str">
            <v>BRENNTAG WEST, INC.</v>
          </cell>
          <cell r="L100" t="str">
            <v>CA</v>
          </cell>
          <cell r="M100" t="str">
            <v>USA</v>
          </cell>
          <cell r="N100" t="str">
            <v>D</v>
          </cell>
          <cell r="O100">
            <v>30210100</v>
          </cell>
          <cell r="P100" t="str">
            <v>SODA ASH DENSE BULK</v>
          </cell>
          <cell r="Q100" t="str">
            <v>Soda Ash</v>
          </cell>
          <cell r="R100">
            <v>13.17</v>
          </cell>
          <cell r="S100">
            <v>1503.37</v>
          </cell>
        </row>
        <row r="101">
          <cell r="A101" t="str">
            <v>Budget</v>
          </cell>
          <cell r="B101">
            <v>1</v>
          </cell>
          <cell r="C101" t="str">
            <v>Domestic</v>
          </cell>
          <cell r="D101">
            <v>1</v>
          </cell>
          <cell r="E101">
            <v>9217</v>
          </cell>
          <cell r="F101" t="str">
            <v>BRENNTAG WEST, INC.</v>
          </cell>
          <cell r="G101" t="str">
            <v>D</v>
          </cell>
          <cell r="H101" t="str">
            <v>FRESNO</v>
          </cell>
          <cell r="I101" t="str">
            <v>CA</v>
          </cell>
          <cell r="J101" t="str">
            <v>USA</v>
          </cell>
          <cell r="K101" t="str">
            <v>BRENNTAG WEST, INC.</v>
          </cell>
          <cell r="L101" t="str">
            <v>CA</v>
          </cell>
          <cell r="M101" t="str">
            <v>USA</v>
          </cell>
          <cell r="N101" t="str">
            <v>D</v>
          </cell>
          <cell r="O101">
            <v>30210110</v>
          </cell>
          <cell r="P101" t="str">
            <v>SODA ASH DENSE 50LB BAG</v>
          </cell>
          <cell r="Q101" t="str">
            <v>Soda Ash</v>
          </cell>
          <cell r="R101">
            <v>20.75</v>
          </cell>
          <cell r="S101">
            <v>3214.39</v>
          </cell>
        </row>
        <row r="102">
          <cell r="A102" t="str">
            <v>Budget</v>
          </cell>
          <cell r="B102">
            <v>1</v>
          </cell>
          <cell r="C102" t="str">
            <v>Domestic</v>
          </cell>
          <cell r="D102">
            <v>1</v>
          </cell>
          <cell r="E102">
            <v>9217</v>
          </cell>
          <cell r="F102" t="str">
            <v>BRENNTAG WEST, INC.</v>
          </cell>
          <cell r="G102" t="str">
            <v>D</v>
          </cell>
          <cell r="H102" t="str">
            <v>FRESNO</v>
          </cell>
          <cell r="I102" t="str">
            <v>CA</v>
          </cell>
          <cell r="J102" t="str">
            <v>USA</v>
          </cell>
          <cell r="K102" t="str">
            <v>BRENNTAG WEST, INC.</v>
          </cell>
          <cell r="L102" t="str">
            <v>CA</v>
          </cell>
          <cell r="M102" t="str">
            <v>USA</v>
          </cell>
          <cell r="N102" t="str">
            <v>D</v>
          </cell>
          <cell r="O102">
            <v>40150410</v>
          </cell>
          <cell r="P102" t="str">
            <v>SODIUM SULFATE CRS 50LB BAG</v>
          </cell>
          <cell r="Q102" t="str">
            <v>Sodium Sulfate</v>
          </cell>
          <cell r="R102">
            <v>23.29</v>
          </cell>
          <cell r="S102">
            <v>4425.55</v>
          </cell>
        </row>
        <row r="103">
          <cell r="A103" t="str">
            <v>Budget</v>
          </cell>
          <cell r="B103">
            <v>1</v>
          </cell>
          <cell r="C103" t="str">
            <v>Domestic</v>
          </cell>
          <cell r="D103">
            <v>1</v>
          </cell>
          <cell r="E103">
            <v>9236</v>
          </cell>
          <cell r="F103" t="str">
            <v>DUKE ENERGY</v>
          </cell>
          <cell r="G103" t="str">
            <v>D</v>
          </cell>
          <cell r="H103" t="str">
            <v>ARLINGTON</v>
          </cell>
          <cell r="I103" t="str">
            <v>AZ</v>
          </cell>
          <cell r="J103" t="str">
            <v>USA</v>
          </cell>
          <cell r="K103" t="str">
            <v>UNIVAR USA</v>
          </cell>
          <cell r="L103" t="str">
            <v>AZ</v>
          </cell>
          <cell r="M103" t="str">
            <v>USA</v>
          </cell>
          <cell r="N103" t="str">
            <v>D</v>
          </cell>
          <cell r="O103">
            <v>30210100</v>
          </cell>
          <cell r="P103" t="str">
            <v>SODA ASH DENSE BULK</v>
          </cell>
          <cell r="Q103" t="str">
            <v>Soda Ash</v>
          </cell>
          <cell r="R103">
            <v>26.5</v>
          </cell>
          <cell r="S103">
            <v>2181.75</v>
          </cell>
        </row>
        <row r="104">
          <cell r="A104" t="str">
            <v>Budget</v>
          </cell>
          <cell r="B104">
            <v>1</v>
          </cell>
          <cell r="C104" t="str">
            <v>Domestic</v>
          </cell>
          <cell r="D104">
            <v>1</v>
          </cell>
          <cell r="E104">
            <v>9287</v>
          </cell>
          <cell r="F104" t="str">
            <v>PABCO GYPSUM COMPANY</v>
          </cell>
          <cell r="G104" t="str">
            <v>D</v>
          </cell>
          <cell r="H104" t="str">
            <v>NEWARK</v>
          </cell>
          <cell r="I104" t="str">
            <v>CA</v>
          </cell>
          <cell r="J104" t="str">
            <v>USA</v>
          </cell>
          <cell r="K104" t="str">
            <v>BRENNTAG WEST, INC.</v>
          </cell>
          <cell r="L104" t="str">
            <v>CA</v>
          </cell>
          <cell r="M104" t="str">
            <v>USA</v>
          </cell>
          <cell r="N104" t="str">
            <v>D</v>
          </cell>
          <cell r="O104">
            <v>24090210</v>
          </cell>
          <cell r="P104" t="str">
            <v>BORIC ACID GRAN TECH 50LB BAG</v>
          </cell>
          <cell r="Q104" t="str">
            <v>Boric Acid</v>
          </cell>
          <cell r="R104">
            <v>3.74</v>
          </cell>
          <cell r="S104">
            <v>2017.03</v>
          </cell>
        </row>
        <row r="105">
          <cell r="A105" t="str">
            <v>Budget</v>
          </cell>
          <cell r="B105">
            <v>1</v>
          </cell>
          <cell r="C105" t="str">
            <v>Domestic</v>
          </cell>
          <cell r="D105">
            <v>1</v>
          </cell>
          <cell r="E105">
            <v>9292</v>
          </cell>
          <cell r="F105" t="str">
            <v>LAFAYETTE TEXTILE</v>
          </cell>
          <cell r="G105" t="str">
            <v>D</v>
          </cell>
          <cell r="H105" t="str">
            <v>LOS ANGELES</v>
          </cell>
          <cell r="I105" t="str">
            <v>CA</v>
          </cell>
          <cell r="J105" t="str">
            <v>USA</v>
          </cell>
          <cell r="K105" t="str">
            <v>UNIVAR USA</v>
          </cell>
          <cell r="L105" t="str">
            <v>CA</v>
          </cell>
          <cell r="M105" t="str">
            <v>USA</v>
          </cell>
          <cell r="N105" t="str">
            <v>D</v>
          </cell>
          <cell r="O105">
            <v>40060410</v>
          </cell>
          <cell r="P105" t="str">
            <v>SODIUM SULFATE STD 50LB BAG</v>
          </cell>
          <cell r="Q105" t="str">
            <v>Sodium Sulfate</v>
          </cell>
          <cell r="R105">
            <v>72.42</v>
          </cell>
          <cell r="S105">
            <v>13743.33</v>
          </cell>
        </row>
        <row r="106">
          <cell r="A106" t="str">
            <v>Budget</v>
          </cell>
          <cell r="B106">
            <v>1</v>
          </cell>
          <cell r="C106" t="str">
            <v>Domestic</v>
          </cell>
          <cell r="D106">
            <v>1</v>
          </cell>
          <cell r="E106">
            <v>9332</v>
          </cell>
          <cell r="F106" t="str">
            <v>KINGSFORD COMPANY</v>
          </cell>
          <cell r="G106" t="str">
            <v>D</v>
          </cell>
          <cell r="H106" t="str">
            <v>PARSONS</v>
          </cell>
          <cell r="I106" t="str">
            <v>WV</v>
          </cell>
          <cell r="J106" t="str">
            <v>USA</v>
          </cell>
          <cell r="K106" t="str">
            <v>KINGSFORD COMPANY</v>
          </cell>
          <cell r="L106" t="str">
            <v>WV</v>
          </cell>
          <cell r="M106" t="str">
            <v>USA</v>
          </cell>
          <cell r="N106" t="str">
            <v>C</v>
          </cell>
          <cell r="O106">
            <v>22060410</v>
          </cell>
          <cell r="P106" t="str">
            <v>V-BOR 50LB BAG (004)</v>
          </cell>
          <cell r="Q106" t="str">
            <v>Penta</v>
          </cell>
          <cell r="R106">
            <v>18.68</v>
          </cell>
          <cell r="S106">
            <v>5075.88</v>
          </cell>
        </row>
        <row r="107">
          <cell r="A107" t="str">
            <v>Budget</v>
          </cell>
          <cell r="B107">
            <v>1</v>
          </cell>
          <cell r="C107" t="str">
            <v>Domestic</v>
          </cell>
          <cell r="D107">
            <v>1</v>
          </cell>
          <cell r="E107">
            <v>9333</v>
          </cell>
          <cell r="F107" t="str">
            <v>L.A. CHEMICAL</v>
          </cell>
          <cell r="G107" t="str">
            <v>D</v>
          </cell>
          <cell r="H107" t="str">
            <v>SOUTHGATE</v>
          </cell>
          <cell r="I107" t="str">
            <v>CA</v>
          </cell>
          <cell r="J107" t="str">
            <v>USA</v>
          </cell>
          <cell r="K107" t="str">
            <v>L.A. CHEMICAL</v>
          </cell>
          <cell r="L107" t="str">
            <v>CA</v>
          </cell>
          <cell r="M107" t="str">
            <v>USA</v>
          </cell>
          <cell r="N107" t="str">
            <v>D</v>
          </cell>
          <cell r="O107">
            <v>22060450</v>
          </cell>
          <cell r="P107" t="str">
            <v>V-BOR 1TN FIBC (004)</v>
          </cell>
          <cell r="Q107" t="str">
            <v>Penta</v>
          </cell>
          <cell r="R107">
            <v>11.18</v>
          </cell>
          <cell r="S107">
            <v>4078.11</v>
          </cell>
        </row>
        <row r="108">
          <cell r="A108" t="str">
            <v>Budget</v>
          </cell>
          <cell r="B108">
            <v>1</v>
          </cell>
          <cell r="C108" t="str">
            <v>Domestic</v>
          </cell>
          <cell r="D108">
            <v>1</v>
          </cell>
          <cell r="E108">
            <v>9362</v>
          </cell>
          <cell r="F108" t="str">
            <v>CHEMICAL COMPOUNDING</v>
          </cell>
          <cell r="G108" t="str">
            <v>D</v>
          </cell>
          <cell r="H108" t="str">
            <v>OAKLAND</v>
          </cell>
          <cell r="I108" t="str">
            <v>CA</v>
          </cell>
          <cell r="J108" t="str">
            <v>USA</v>
          </cell>
          <cell r="K108" t="str">
            <v>BRENNTAG WEST, INC.</v>
          </cell>
          <cell r="L108" t="str">
            <v>CA</v>
          </cell>
          <cell r="M108" t="str">
            <v>USA</v>
          </cell>
          <cell r="N108" t="str">
            <v>D</v>
          </cell>
          <cell r="O108">
            <v>40150410</v>
          </cell>
          <cell r="P108" t="str">
            <v>SODIUM SULFATE CRS 50LB BAG</v>
          </cell>
          <cell r="Q108" t="str">
            <v>Sodium Sulfate</v>
          </cell>
          <cell r="R108">
            <v>2.12</v>
          </cell>
          <cell r="S108">
            <v>412.91</v>
          </cell>
        </row>
        <row r="109">
          <cell r="A109" t="str">
            <v>Budget</v>
          </cell>
          <cell r="B109">
            <v>1</v>
          </cell>
          <cell r="C109" t="str">
            <v>Domestic</v>
          </cell>
          <cell r="D109">
            <v>1</v>
          </cell>
          <cell r="E109">
            <v>9432</v>
          </cell>
          <cell r="F109" t="str">
            <v>KINGSFORD MANUFACTURING</v>
          </cell>
          <cell r="G109" t="str">
            <v>D</v>
          </cell>
          <cell r="H109" t="str">
            <v>BURNSIDE</v>
          </cell>
          <cell r="I109" t="str">
            <v>KY</v>
          </cell>
          <cell r="J109" t="str">
            <v>USA</v>
          </cell>
          <cell r="K109" t="str">
            <v>KINGSFORD MANUFACTURING</v>
          </cell>
          <cell r="L109" t="str">
            <v>KY</v>
          </cell>
          <cell r="M109" t="str">
            <v>USA</v>
          </cell>
          <cell r="N109" t="str">
            <v>C</v>
          </cell>
          <cell r="O109">
            <v>22060450</v>
          </cell>
          <cell r="P109" t="str">
            <v>V-BOR 1TN FIBC (004)</v>
          </cell>
          <cell r="Q109" t="str">
            <v>Penta</v>
          </cell>
          <cell r="R109">
            <v>55.9</v>
          </cell>
          <cell r="S109">
            <v>16733.87</v>
          </cell>
        </row>
        <row r="110">
          <cell r="A110" t="str">
            <v>Budget</v>
          </cell>
          <cell r="B110">
            <v>1</v>
          </cell>
          <cell r="C110" t="str">
            <v>Domestic</v>
          </cell>
          <cell r="D110">
            <v>1</v>
          </cell>
          <cell r="E110">
            <v>9435</v>
          </cell>
          <cell r="F110" t="str">
            <v>HIGH DESERT POWER TRUST</v>
          </cell>
          <cell r="G110" t="str">
            <v>D</v>
          </cell>
          <cell r="H110" t="str">
            <v>VICTORVILLE</v>
          </cell>
          <cell r="I110" t="str">
            <v>CA</v>
          </cell>
          <cell r="J110" t="str">
            <v>USA</v>
          </cell>
          <cell r="K110" t="str">
            <v>BRENNTAG WEST, INC.</v>
          </cell>
          <cell r="L110" t="str">
            <v>CA</v>
          </cell>
          <cell r="M110" t="str">
            <v>USA</v>
          </cell>
          <cell r="N110" t="str">
            <v>D</v>
          </cell>
          <cell r="O110">
            <v>30210100</v>
          </cell>
          <cell r="P110" t="str">
            <v>SODA ASH DENSE BULK</v>
          </cell>
          <cell r="Q110" t="str">
            <v>Soda Ash</v>
          </cell>
          <cell r="R110">
            <v>26.17</v>
          </cell>
          <cell r="S110">
            <v>2943.23</v>
          </cell>
        </row>
        <row r="111">
          <cell r="A111" t="str">
            <v>Budget</v>
          </cell>
          <cell r="B111">
            <v>1</v>
          </cell>
          <cell r="C111" t="str">
            <v>Domestic</v>
          </cell>
          <cell r="D111">
            <v>1</v>
          </cell>
          <cell r="E111">
            <v>9437</v>
          </cell>
          <cell r="F111" t="str">
            <v>KINGSFORD MANUFACTURING</v>
          </cell>
          <cell r="G111" t="str">
            <v>D</v>
          </cell>
          <cell r="H111" t="str">
            <v>SPRINGFIELD</v>
          </cell>
          <cell r="I111" t="str">
            <v>OR</v>
          </cell>
          <cell r="J111" t="str">
            <v>USA</v>
          </cell>
          <cell r="K111" t="str">
            <v>KINGSFORD MANUFACTURING</v>
          </cell>
          <cell r="L111" t="str">
            <v>OR</v>
          </cell>
          <cell r="M111" t="str">
            <v>USA</v>
          </cell>
          <cell r="N111" t="str">
            <v>C</v>
          </cell>
          <cell r="O111">
            <v>22060450</v>
          </cell>
          <cell r="P111" t="str">
            <v>V-BOR 1TN FIBC (004)</v>
          </cell>
          <cell r="Q111" t="str">
            <v>Penta</v>
          </cell>
          <cell r="R111">
            <v>7.45</v>
          </cell>
          <cell r="S111">
            <v>2226.9499999999998</v>
          </cell>
        </row>
        <row r="112">
          <cell r="A112" t="str">
            <v>Budget</v>
          </cell>
          <cell r="B112">
            <v>1</v>
          </cell>
          <cell r="C112" t="str">
            <v>Domestic</v>
          </cell>
          <cell r="D112">
            <v>1</v>
          </cell>
          <cell r="E112">
            <v>9437</v>
          </cell>
          <cell r="F112" t="str">
            <v>KINGSFORD MANUFACTURING</v>
          </cell>
          <cell r="G112" t="str">
            <v>D</v>
          </cell>
          <cell r="H112" t="str">
            <v>SPRINGFIELD</v>
          </cell>
          <cell r="I112" t="str">
            <v>OR</v>
          </cell>
          <cell r="J112" t="str">
            <v>USA</v>
          </cell>
          <cell r="K112" t="str">
            <v>KINGSFORD MANUFACTURING</v>
          </cell>
          <cell r="L112" t="str">
            <v>OR</v>
          </cell>
          <cell r="M112" t="str">
            <v>USA</v>
          </cell>
          <cell r="N112" t="str">
            <v>C</v>
          </cell>
          <cell r="O112">
            <v>22060453</v>
          </cell>
          <cell r="P112" t="str">
            <v>V-BOR 2500LB FIBC (004)</v>
          </cell>
          <cell r="Q112" t="str">
            <v>Penta</v>
          </cell>
          <cell r="R112">
            <v>41.5</v>
          </cell>
          <cell r="S112">
            <v>12644.96</v>
          </cell>
        </row>
        <row r="113">
          <cell r="A113" t="str">
            <v>Budget</v>
          </cell>
          <cell r="B113">
            <v>1</v>
          </cell>
          <cell r="C113" t="str">
            <v>Domestic</v>
          </cell>
          <cell r="D113">
            <v>1</v>
          </cell>
          <cell r="E113">
            <v>9441</v>
          </cell>
          <cell r="F113" t="str">
            <v>HARQUAHALA GENERATING</v>
          </cell>
          <cell r="G113" t="str">
            <v>D</v>
          </cell>
          <cell r="H113" t="str">
            <v>TONOPAH</v>
          </cell>
          <cell r="I113" t="str">
            <v>AZ</v>
          </cell>
          <cell r="J113" t="str">
            <v>USA</v>
          </cell>
          <cell r="K113" t="str">
            <v>UNIVAR USA</v>
          </cell>
          <cell r="L113" t="str">
            <v>AZ</v>
          </cell>
          <cell r="M113" t="str">
            <v>USA</v>
          </cell>
          <cell r="N113" t="str">
            <v>D</v>
          </cell>
          <cell r="O113">
            <v>30210100</v>
          </cell>
          <cell r="P113" t="str">
            <v>SODA ASH DENSE BULK</v>
          </cell>
          <cell r="Q113" t="str">
            <v>Soda Ash</v>
          </cell>
          <cell r="R113">
            <v>43.77</v>
          </cell>
          <cell r="S113">
            <v>4004.92</v>
          </cell>
        </row>
        <row r="114">
          <cell r="A114" t="str">
            <v>Budget</v>
          </cell>
          <cell r="B114">
            <v>1</v>
          </cell>
          <cell r="C114" t="str">
            <v>Domestic</v>
          </cell>
          <cell r="D114">
            <v>1</v>
          </cell>
          <cell r="E114">
            <v>9444</v>
          </cell>
          <cell r="F114" t="str">
            <v>PACIFICA CHEMICAL</v>
          </cell>
          <cell r="G114" t="str">
            <v>D</v>
          </cell>
          <cell r="H114" t="str">
            <v>COMPTON</v>
          </cell>
          <cell r="I114" t="str">
            <v>CA</v>
          </cell>
          <cell r="J114" t="str">
            <v>USA</v>
          </cell>
          <cell r="K114" t="str">
            <v>BRENNTAG WEST, INC.</v>
          </cell>
          <cell r="L114" t="str">
            <v>CA</v>
          </cell>
          <cell r="M114" t="str">
            <v>USA</v>
          </cell>
          <cell r="N114" t="str">
            <v>D</v>
          </cell>
          <cell r="O114">
            <v>40150410</v>
          </cell>
          <cell r="P114" t="str">
            <v>SODIUM SULFATE CRS 50LB BAG</v>
          </cell>
          <cell r="Q114" t="str">
            <v>Sodium Sulfate</v>
          </cell>
          <cell r="R114">
            <v>28.16</v>
          </cell>
          <cell r="S114">
            <v>5491.7</v>
          </cell>
        </row>
        <row r="115">
          <cell r="A115" t="str">
            <v>Budget</v>
          </cell>
          <cell r="B115">
            <v>1</v>
          </cell>
          <cell r="C115" t="str">
            <v>Domestic</v>
          </cell>
          <cell r="D115">
            <v>1</v>
          </cell>
          <cell r="E115">
            <v>9451</v>
          </cell>
          <cell r="F115" t="str">
            <v>KINGSFORD MANUFACTURING</v>
          </cell>
          <cell r="G115" t="str">
            <v>D</v>
          </cell>
          <cell r="H115" t="str">
            <v>SUMMER SHADE</v>
          </cell>
          <cell r="I115" t="str">
            <v>KY</v>
          </cell>
          <cell r="J115" t="str">
            <v>USA</v>
          </cell>
          <cell r="K115" t="str">
            <v>KINGSFORD MANUFACTURING</v>
          </cell>
          <cell r="L115" t="str">
            <v>KY</v>
          </cell>
          <cell r="M115" t="str">
            <v>USA</v>
          </cell>
          <cell r="N115" t="str">
            <v>C</v>
          </cell>
          <cell r="O115">
            <v>22060453</v>
          </cell>
          <cell r="P115" t="str">
            <v>V-BOR 2500LB FIBC (004)</v>
          </cell>
          <cell r="Q115" t="str">
            <v>Penta</v>
          </cell>
          <cell r="R115">
            <v>15.25</v>
          </cell>
          <cell r="S115">
            <v>4185.08</v>
          </cell>
        </row>
        <row r="116">
          <cell r="A116" t="str">
            <v>Budget</v>
          </cell>
          <cell r="B116">
            <v>1</v>
          </cell>
          <cell r="C116" t="str">
            <v>Domestic</v>
          </cell>
          <cell r="D116">
            <v>1</v>
          </cell>
          <cell r="E116">
            <v>9454</v>
          </cell>
          <cell r="F116" t="str">
            <v>WESTCO CHEMICALS, INC.</v>
          </cell>
          <cell r="G116" t="str">
            <v>D</v>
          </cell>
          <cell r="H116" t="str">
            <v>SALT LAKE CITY</v>
          </cell>
          <cell r="I116" t="str">
            <v>UT</v>
          </cell>
          <cell r="J116" t="str">
            <v>USA</v>
          </cell>
          <cell r="K116" t="str">
            <v>WESTCO CHEMICALS, INC.</v>
          </cell>
          <cell r="L116" t="str">
            <v>CA</v>
          </cell>
          <cell r="M116" t="str">
            <v>USA</v>
          </cell>
          <cell r="N116" t="str">
            <v>D</v>
          </cell>
          <cell r="O116">
            <v>24629720</v>
          </cell>
          <cell r="P116" t="str">
            <v>BORIC ACID EP GRAN 25KG BAG</v>
          </cell>
          <cell r="Q116" t="str">
            <v>HP Boric Acid (SCL)</v>
          </cell>
          <cell r="R116">
            <v>0.19</v>
          </cell>
          <cell r="S116">
            <v>253.66</v>
          </cell>
        </row>
        <row r="117">
          <cell r="A117" t="str">
            <v>Budget</v>
          </cell>
          <cell r="B117">
            <v>1</v>
          </cell>
          <cell r="C117" t="str">
            <v>Domestic</v>
          </cell>
          <cell r="D117">
            <v>1</v>
          </cell>
          <cell r="E117">
            <v>9455</v>
          </cell>
          <cell r="F117" t="str">
            <v>KINGSFORD MANUFACTURING</v>
          </cell>
          <cell r="G117" t="str">
            <v>D</v>
          </cell>
          <cell r="H117" t="str">
            <v>BELLE</v>
          </cell>
          <cell r="I117" t="str">
            <v>MO</v>
          </cell>
          <cell r="J117" t="str">
            <v>USA</v>
          </cell>
          <cell r="K117" t="str">
            <v>KINGSFORD MANUFACTURING</v>
          </cell>
          <cell r="L117" t="str">
            <v>MO</v>
          </cell>
          <cell r="M117" t="str">
            <v>USA</v>
          </cell>
          <cell r="N117" t="str">
            <v>C</v>
          </cell>
          <cell r="O117">
            <v>22060410</v>
          </cell>
          <cell r="P117" t="str">
            <v>V-BOR 50LB BAG (004)</v>
          </cell>
          <cell r="Q117" t="str">
            <v>Penta</v>
          </cell>
          <cell r="R117">
            <v>7.47</v>
          </cell>
          <cell r="S117">
            <v>2232.4899999999998</v>
          </cell>
        </row>
        <row r="118">
          <cell r="A118" t="str">
            <v>Budget</v>
          </cell>
          <cell r="B118">
            <v>1</v>
          </cell>
          <cell r="C118" t="str">
            <v>Domestic</v>
          </cell>
          <cell r="D118">
            <v>1</v>
          </cell>
          <cell r="E118">
            <v>9455</v>
          </cell>
          <cell r="F118" t="str">
            <v>KINGSFORD MANUFACTURING</v>
          </cell>
          <cell r="G118" t="str">
            <v>D</v>
          </cell>
          <cell r="H118" t="str">
            <v>BELLE</v>
          </cell>
          <cell r="I118" t="str">
            <v>MO</v>
          </cell>
          <cell r="J118" t="str">
            <v>USA</v>
          </cell>
          <cell r="K118" t="str">
            <v>KINGSFORD MANUFACTURING</v>
          </cell>
          <cell r="L118" t="str">
            <v>MO</v>
          </cell>
          <cell r="M118" t="str">
            <v>USA</v>
          </cell>
          <cell r="N118" t="str">
            <v>C</v>
          </cell>
          <cell r="O118">
            <v>22060450</v>
          </cell>
          <cell r="P118" t="str">
            <v>V-BOR 1TN FIBC (004)</v>
          </cell>
          <cell r="Q118" t="str">
            <v>Penta</v>
          </cell>
          <cell r="R118">
            <v>40.83</v>
          </cell>
          <cell r="S118">
            <v>12229.99</v>
          </cell>
        </row>
        <row r="119">
          <cell r="A119" t="str">
            <v>Budget</v>
          </cell>
          <cell r="B119">
            <v>1</v>
          </cell>
          <cell r="C119" t="str">
            <v>Domestic</v>
          </cell>
          <cell r="D119">
            <v>1</v>
          </cell>
          <cell r="E119">
            <v>9468</v>
          </cell>
          <cell r="F119" t="str">
            <v>BRENNTAG WEST, INC.</v>
          </cell>
          <cell r="G119" t="str">
            <v>D</v>
          </cell>
          <cell r="H119" t="str">
            <v>OAKLAND</v>
          </cell>
          <cell r="I119" t="str">
            <v>CA</v>
          </cell>
          <cell r="J119" t="str">
            <v>USA</v>
          </cell>
          <cell r="K119" t="str">
            <v>BRENNTAG WEST, INC.</v>
          </cell>
          <cell r="L119" t="str">
            <v>CA</v>
          </cell>
          <cell r="M119" t="str">
            <v>USA</v>
          </cell>
          <cell r="N119" t="str">
            <v>D</v>
          </cell>
          <cell r="O119">
            <v>20060210</v>
          </cell>
          <cell r="P119" t="str">
            <v>PYROBOR 50LB BAG (002)</v>
          </cell>
          <cell r="Q119" t="str">
            <v>Pyrobor</v>
          </cell>
          <cell r="R119">
            <v>0.83</v>
          </cell>
          <cell r="S119">
            <v>677.32</v>
          </cell>
        </row>
        <row r="120">
          <cell r="A120" t="str">
            <v>Budget</v>
          </cell>
          <cell r="B120">
            <v>1</v>
          </cell>
          <cell r="C120" t="str">
            <v>Domestic</v>
          </cell>
          <cell r="D120">
            <v>1</v>
          </cell>
          <cell r="E120">
            <v>9468</v>
          </cell>
          <cell r="F120" t="str">
            <v>BRENNTAG WEST, INC.</v>
          </cell>
          <cell r="G120" t="str">
            <v>D</v>
          </cell>
          <cell r="H120" t="str">
            <v>OAKLAND</v>
          </cell>
          <cell r="I120" t="str">
            <v>CA</v>
          </cell>
          <cell r="J120" t="str">
            <v>USA</v>
          </cell>
          <cell r="K120" t="str">
            <v>BRENNTAG WEST, INC.</v>
          </cell>
          <cell r="L120" t="str">
            <v>CA</v>
          </cell>
          <cell r="M120" t="str">
            <v>USA</v>
          </cell>
          <cell r="N120" t="str">
            <v>D</v>
          </cell>
          <cell r="O120">
            <v>30210110</v>
          </cell>
          <cell r="P120" t="str">
            <v>SODA ASH DENSE 50LB BAG</v>
          </cell>
          <cell r="Q120" t="str">
            <v>Soda Ash</v>
          </cell>
          <cell r="R120">
            <v>0.62</v>
          </cell>
          <cell r="S120">
            <v>104.59</v>
          </cell>
        </row>
        <row r="121">
          <cell r="A121" t="str">
            <v>Budget</v>
          </cell>
          <cell r="B121">
            <v>1</v>
          </cell>
          <cell r="C121" t="str">
            <v>Domestic</v>
          </cell>
          <cell r="D121">
            <v>1</v>
          </cell>
          <cell r="E121">
            <v>9476</v>
          </cell>
          <cell r="F121" t="str">
            <v>SPRECKELS SUGAR COMPANY</v>
          </cell>
          <cell r="G121" t="str">
            <v>D</v>
          </cell>
          <cell r="H121" t="str">
            <v>MENDOTA</v>
          </cell>
          <cell r="I121" t="str">
            <v>CA</v>
          </cell>
          <cell r="J121" t="str">
            <v>USA</v>
          </cell>
          <cell r="K121" t="str">
            <v>BRENNTAG WEST, INC.</v>
          </cell>
          <cell r="L121" t="str">
            <v>CA</v>
          </cell>
          <cell r="M121" t="str">
            <v>USA</v>
          </cell>
          <cell r="N121" t="str">
            <v>D</v>
          </cell>
          <cell r="O121">
            <v>30210110</v>
          </cell>
          <cell r="P121" t="str">
            <v>SODA ASH DENSE 50LB BAG</v>
          </cell>
          <cell r="Q121" t="str">
            <v>Soda Ash</v>
          </cell>
          <cell r="R121">
            <v>25.9</v>
          </cell>
          <cell r="S121">
            <v>3974.78</v>
          </cell>
        </row>
        <row r="122">
          <cell r="A122" t="str">
            <v>Budget</v>
          </cell>
          <cell r="B122">
            <v>1</v>
          </cell>
          <cell r="C122" t="str">
            <v>Domestic</v>
          </cell>
          <cell r="D122">
            <v>1</v>
          </cell>
          <cell r="E122">
            <v>9490</v>
          </cell>
          <cell r="F122" t="str">
            <v>IONICS</v>
          </cell>
          <cell r="G122" t="str">
            <v>D</v>
          </cell>
          <cell r="H122" t="str">
            <v>HINKLEY</v>
          </cell>
          <cell r="I122" t="str">
            <v>CA</v>
          </cell>
          <cell r="J122" t="str">
            <v>USA</v>
          </cell>
          <cell r="K122" t="str">
            <v>BRENNTAG WEST, INC.</v>
          </cell>
          <cell r="L122" t="str">
            <v>CA</v>
          </cell>
          <cell r="M122" t="str">
            <v>USA</v>
          </cell>
          <cell r="N122" t="str">
            <v>D</v>
          </cell>
          <cell r="O122">
            <v>30210100</v>
          </cell>
          <cell r="P122" t="str">
            <v>SODA ASH DENSE BULK</v>
          </cell>
          <cell r="Q122" t="str">
            <v>Soda Ash</v>
          </cell>
          <cell r="R122">
            <v>30.49</v>
          </cell>
          <cell r="S122">
            <v>3406.24</v>
          </cell>
        </row>
        <row r="123">
          <cell r="A123" t="str">
            <v>Budget</v>
          </cell>
          <cell r="B123">
            <v>1</v>
          </cell>
          <cell r="C123" t="str">
            <v>Domestic</v>
          </cell>
          <cell r="D123">
            <v>1</v>
          </cell>
          <cell r="E123">
            <v>9491</v>
          </cell>
          <cell r="F123" t="str">
            <v>E &amp; J DYE HOUSE INC.</v>
          </cell>
          <cell r="G123" t="str">
            <v>D</v>
          </cell>
          <cell r="H123" t="str">
            <v>HAWTHORNE</v>
          </cell>
          <cell r="I123" t="str">
            <v>CA</v>
          </cell>
          <cell r="J123" t="str">
            <v>USA</v>
          </cell>
          <cell r="K123" t="str">
            <v>UNIVAR USA</v>
          </cell>
          <cell r="L123" t="str">
            <v>CA</v>
          </cell>
          <cell r="M123" t="str">
            <v>USA</v>
          </cell>
          <cell r="N123" t="str">
            <v>D</v>
          </cell>
          <cell r="O123">
            <v>40060410</v>
          </cell>
          <cell r="P123" t="str">
            <v>SODIUM SULFATE STD 50LB BAG</v>
          </cell>
          <cell r="Q123" t="str">
            <v>Sodium Sulfate</v>
          </cell>
          <cell r="R123">
            <v>4.0199999999999996</v>
          </cell>
          <cell r="S123">
            <v>756.37</v>
          </cell>
        </row>
        <row r="124">
          <cell r="A124" t="str">
            <v>Budget</v>
          </cell>
          <cell r="B124">
            <v>1</v>
          </cell>
          <cell r="C124" t="str">
            <v>Domestic</v>
          </cell>
          <cell r="D124">
            <v>1</v>
          </cell>
          <cell r="E124">
            <v>9508</v>
          </cell>
          <cell r="F124" t="str">
            <v>CITY OF LAS VEGAS</v>
          </cell>
          <cell r="G124" t="str">
            <v>D</v>
          </cell>
          <cell r="H124" t="str">
            <v>LAS VEGAS</v>
          </cell>
          <cell r="I124" t="str">
            <v>NV</v>
          </cell>
          <cell r="J124" t="str">
            <v>USA</v>
          </cell>
          <cell r="K124" t="str">
            <v>BRENNTAG WEST, INC.</v>
          </cell>
          <cell r="L124" t="str">
            <v>CA</v>
          </cell>
          <cell r="M124" t="str">
            <v>USA</v>
          </cell>
          <cell r="N124" t="str">
            <v>D</v>
          </cell>
          <cell r="O124">
            <v>30210100</v>
          </cell>
          <cell r="P124" t="str">
            <v>SODA ASH DENSE BULK</v>
          </cell>
          <cell r="Q124" t="str">
            <v>Soda Ash</v>
          </cell>
          <cell r="R124">
            <v>4.49</v>
          </cell>
          <cell r="S124">
            <v>394.59</v>
          </cell>
        </row>
        <row r="125">
          <cell r="A125" t="str">
            <v>Budget</v>
          </cell>
          <cell r="B125">
            <v>1</v>
          </cell>
          <cell r="C125" t="str">
            <v>Domestic</v>
          </cell>
          <cell r="D125">
            <v>2</v>
          </cell>
          <cell r="E125">
            <v>5097</v>
          </cell>
          <cell r="F125" t="str">
            <v>CASCADE COLUMBIA DIST. CO.</v>
          </cell>
          <cell r="G125" t="str">
            <v>D</v>
          </cell>
          <cell r="H125" t="str">
            <v>SEATTLE</v>
          </cell>
          <cell r="I125" t="str">
            <v>WA</v>
          </cell>
          <cell r="J125" t="str">
            <v>USA</v>
          </cell>
          <cell r="K125" t="str">
            <v>CASCADE COLUMBIA DIST. CO.</v>
          </cell>
          <cell r="L125" t="str">
            <v>WA</v>
          </cell>
          <cell r="M125" t="str">
            <v>USA</v>
          </cell>
          <cell r="N125" t="str">
            <v>D</v>
          </cell>
          <cell r="O125">
            <v>22060410</v>
          </cell>
          <cell r="P125" t="str">
            <v>V-BOR 50LB BAG (004)</v>
          </cell>
          <cell r="Q125" t="str">
            <v>Penta</v>
          </cell>
          <cell r="R125">
            <v>8.51</v>
          </cell>
          <cell r="S125">
            <v>3496.82</v>
          </cell>
        </row>
        <row r="126">
          <cell r="A126" t="str">
            <v>Budget</v>
          </cell>
          <cell r="B126">
            <v>1</v>
          </cell>
          <cell r="C126" t="str">
            <v>Domestic</v>
          </cell>
          <cell r="D126">
            <v>2</v>
          </cell>
          <cell r="E126">
            <v>5097</v>
          </cell>
          <cell r="F126" t="str">
            <v>CASCADE COLUMBIA DIST. CO.</v>
          </cell>
          <cell r="G126" t="str">
            <v>D</v>
          </cell>
          <cell r="H126" t="str">
            <v>SEATTLE</v>
          </cell>
          <cell r="I126" t="str">
            <v>WA</v>
          </cell>
          <cell r="J126" t="str">
            <v>USA</v>
          </cell>
          <cell r="K126" t="str">
            <v>CASCADE COLUMBIA DIST. CO.</v>
          </cell>
          <cell r="L126" t="str">
            <v>WA</v>
          </cell>
          <cell r="M126" t="str">
            <v>USA</v>
          </cell>
          <cell r="N126" t="str">
            <v>D</v>
          </cell>
          <cell r="O126">
            <v>22060460</v>
          </cell>
          <cell r="P126" t="str">
            <v>V-BOR 1800LB FIBC (004)</v>
          </cell>
          <cell r="Q126" t="str">
            <v>Penta</v>
          </cell>
          <cell r="R126">
            <v>1.98</v>
          </cell>
          <cell r="S126">
            <v>814.59</v>
          </cell>
        </row>
        <row r="127">
          <cell r="A127" t="str">
            <v>Budget</v>
          </cell>
          <cell r="B127">
            <v>1</v>
          </cell>
          <cell r="C127" t="str">
            <v>Domestic</v>
          </cell>
          <cell r="D127">
            <v>2</v>
          </cell>
          <cell r="E127">
            <v>5097</v>
          </cell>
          <cell r="F127" t="str">
            <v>CASCADE COLUMBIA DIST. CO.</v>
          </cell>
          <cell r="G127" t="str">
            <v>D</v>
          </cell>
          <cell r="H127" t="str">
            <v>SEATTLE</v>
          </cell>
          <cell r="I127" t="str">
            <v>WA</v>
          </cell>
          <cell r="J127" t="str">
            <v>USA</v>
          </cell>
          <cell r="K127" t="str">
            <v>CASCADE COLUMBIA DIST. CO.</v>
          </cell>
          <cell r="L127" t="str">
            <v>WA</v>
          </cell>
          <cell r="M127" t="str">
            <v>USA</v>
          </cell>
          <cell r="N127" t="str">
            <v>D</v>
          </cell>
          <cell r="O127">
            <v>24090210</v>
          </cell>
          <cell r="P127" t="str">
            <v>BORIC ACID GRAN TECH 50LB BAG</v>
          </cell>
          <cell r="Q127" t="str">
            <v>Boric Acid</v>
          </cell>
          <cell r="R127">
            <v>2.54</v>
          </cell>
          <cell r="S127">
            <v>1778.69</v>
          </cell>
        </row>
        <row r="128">
          <cell r="A128" t="str">
            <v>Budget</v>
          </cell>
          <cell r="B128">
            <v>1</v>
          </cell>
          <cell r="C128" t="str">
            <v>Domestic</v>
          </cell>
          <cell r="D128">
            <v>2</v>
          </cell>
          <cell r="E128">
            <v>5097</v>
          </cell>
          <cell r="F128" t="str">
            <v>CASCADE COLUMBIA DIST. CO.</v>
          </cell>
          <cell r="G128" t="str">
            <v>D</v>
          </cell>
          <cell r="H128" t="str">
            <v>SEATTLE</v>
          </cell>
          <cell r="I128" t="str">
            <v>WA</v>
          </cell>
          <cell r="J128" t="str">
            <v>USA</v>
          </cell>
          <cell r="K128" t="str">
            <v>CASCADE COLUMBIA DIST. CO.</v>
          </cell>
          <cell r="L128" t="str">
            <v>WA</v>
          </cell>
          <cell r="M128" t="str">
            <v>USA</v>
          </cell>
          <cell r="N128" t="str">
            <v>D</v>
          </cell>
          <cell r="O128">
            <v>40060410</v>
          </cell>
          <cell r="P128" t="str">
            <v>SODIUM SULFATE STD 50LB BAG</v>
          </cell>
          <cell r="Q128" t="str">
            <v>Sodium Sulfate</v>
          </cell>
          <cell r="R128">
            <v>5.93</v>
          </cell>
          <cell r="S128">
            <v>1111.68</v>
          </cell>
        </row>
        <row r="129">
          <cell r="A129" t="str">
            <v>Budget</v>
          </cell>
          <cell r="B129">
            <v>1</v>
          </cell>
          <cell r="C129" t="str">
            <v>Domestic</v>
          </cell>
          <cell r="D129">
            <v>2</v>
          </cell>
          <cell r="E129">
            <v>5219</v>
          </cell>
          <cell r="F129" t="str">
            <v>HARCROS CHEMICAL INC</v>
          </cell>
          <cell r="G129" t="str">
            <v>D</v>
          </cell>
          <cell r="H129" t="str">
            <v>ST LOUIS</v>
          </cell>
          <cell r="I129" t="str">
            <v>MO</v>
          </cell>
          <cell r="J129" t="str">
            <v>USA</v>
          </cell>
          <cell r="K129" t="str">
            <v>HARCROS CHEMICAL INC</v>
          </cell>
          <cell r="L129" t="str">
            <v>MO</v>
          </cell>
          <cell r="M129" t="str">
            <v>USA</v>
          </cell>
          <cell r="N129" t="str">
            <v>D</v>
          </cell>
          <cell r="O129">
            <v>40060410</v>
          </cell>
          <cell r="P129" t="str">
            <v>SODIUM SULFATE STD 50LB BAG</v>
          </cell>
          <cell r="Q129" t="str">
            <v>Sodium Sulfate</v>
          </cell>
          <cell r="R129">
            <v>6.99</v>
          </cell>
          <cell r="S129">
            <v>1114.3499999999999</v>
          </cell>
        </row>
        <row r="130">
          <cell r="A130" t="str">
            <v>Budget</v>
          </cell>
          <cell r="B130">
            <v>1</v>
          </cell>
          <cell r="C130" t="str">
            <v>Domestic</v>
          </cell>
          <cell r="D130">
            <v>2</v>
          </cell>
          <cell r="E130">
            <v>5219</v>
          </cell>
          <cell r="F130" t="str">
            <v>HARCROS CHEMICAL INC</v>
          </cell>
          <cell r="G130" t="str">
            <v>D</v>
          </cell>
          <cell r="H130" t="str">
            <v>ST LOUIS</v>
          </cell>
          <cell r="I130" t="str">
            <v>MO</v>
          </cell>
          <cell r="J130" t="str">
            <v>USA</v>
          </cell>
          <cell r="K130" t="str">
            <v>HARCROS CHEMICAL INC</v>
          </cell>
          <cell r="L130" t="str">
            <v>MO</v>
          </cell>
          <cell r="M130" t="str">
            <v>USA</v>
          </cell>
          <cell r="N130" t="str">
            <v>D</v>
          </cell>
          <cell r="O130">
            <v>40150410</v>
          </cell>
          <cell r="P130" t="str">
            <v>SODIUM SULFATE CRS 50LB BAG</v>
          </cell>
          <cell r="Q130" t="str">
            <v>Sodium Sulfate</v>
          </cell>
          <cell r="R130">
            <v>0.21</v>
          </cell>
          <cell r="S130">
            <v>34.07</v>
          </cell>
        </row>
        <row r="131">
          <cell r="A131" t="str">
            <v>Budget</v>
          </cell>
          <cell r="B131">
            <v>1</v>
          </cell>
          <cell r="C131" t="str">
            <v>Domestic</v>
          </cell>
          <cell r="D131">
            <v>2</v>
          </cell>
          <cell r="E131">
            <v>5232</v>
          </cell>
          <cell r="F131" t="str">
            <v>IDEAL CHEMICAL &amp; SUPPLY CO</v>
          </cell>
          <cell r="G131" t="str">
            <v>D</v>
          </cell>
          <cell r="H131" t="str">
            <v>MEMPHIS</v>
          </cell>
          <cell r="I131" t="str">
            <v>TN</v>
          </cell>
          <cell r="J131" t="str">
            <v>USA</v>
          </cell>
          <cell r="K131" t="str">
            <v>IDEAL CHEMICAL &amp; SUPPLY CO</v>
          </cell>
          <cell r="L131" t="str">
            <v>TN</v>
          </cell>
          <cell r="M131" t="str">
            <v>USA</v>
          </cell>
          <cell r="N131" t="str">
            <v>D</v>
          </cell>
          <cell r="O131">
            <v>22060410</v>
          </cell>
          <cell r="P131" t="str">
            <v>V-BOR 50LB BAG (004)</v>
          </cell>
          <cell r="Q131" t="str">
            <v>Penta</v>
          </cell>
          <cell r="R131">
            <v>7.47</v>
          </cell>
          <cell r="S131">
            <v>1895.04</v>
          </cell>
        </row>
        <row r="132">
          <cell r="A132" t="str">
            <v>Budget</v>
          </cell>
          <cell r="B132">
            <v>1</v>
          </cell>
          <cell r="C132" t="str">
            <v>Domestic</v>
          </cell>
          <cell r="D132">
            <v>2</v>
          </cell>
          <cell r="E132">
            <v>5232</v>
          </cell>
          <cell r="F132" t="str">
            <v>IDEAL CHEMICAL &amp; SUPPLY CO</v>
          </cell>
          <cell r="G132" t="str">
            <v>D</v>
          </cell>
          <cell r="H132" t="str">
            <v>MEMPHIS</v>
          </cell>
          <cell r="I132" t="str">
            <v>TN</v>
          </cell>
          <cell r="J132" t="str">
            <v>USA</v>
          </cell>
          <cell r="K132" t="str">
            <v>IDEAL CHEMICAL &amp; SUPPLY CO</v>
          </cell>
          <cell r="L132" t="str">
            <v>TN</v>
          </cell>
          <cell r="M132" t="str">
            <v>USA</v>
          </cell>
          <cell r="N132" t="str">
            <v>D</v>
          </cell>
          <cell r="O132">
            <v>24090210</v>
          </cell>
          <cell r="P132" t="str">
            <v>BORIC ACID GRAN TECH 50LB BAG</v>
          </cell>
          <cell r="Q132" t="str">
            <v>Boric Acid</v>
          </cell>
          <cell r="R132">
            <v>2.54</v>
          </cell>
          <cell r="S132">
            <v>1948.04</v>
          </cell>
        </row>
        <row r="133">
          <cell r="A133" t="str">
            <v>Budget</v>
          </cell>
          <cell r="B133">
            <v>1</v>
          </cell>
          <cell r="C133" t="str">
            <v>Domestic</v>
          </cell>
          <cell r="D133">
            <v>2</v>
          </cell>
          <cell r="E133">
            <v>5333</v>
          </cell>
          <cell r="F133" t="str">
            <v>G.S. ROBINS &amp; CO.</v>
          </cell>
          <cell r="G133" t="str">
            <v>D</v>
          </cell>
          <cell r="H133" t="str">
            <v>ST LOUIS</v>
          </cell>
          <cell r="I133" t="str">
            <v>MO</v>
          </cell>
          <cell r="J133" t="str">
            <v>USA</v>
          </cell>
          <cell r="K133" t="str">
            <v>G.S. ROBINS &amp; CO.</v>
          </cell>
          <cell r="L133" t="str">
            <v>MO</v>
          </cell>
          <cell r="M133" t="str">
            <v>USA</v>
          </cell>
          <cell r="N133" t="str">
            <v>D</v>
          </cell>
          <cell r="O133">
            <v>22060410</v>
          </cell>
          <cell r="P133" t="str">
            <v>V-BOR 50LB BAG (004)</v>
          </cell>
          <cell r="Q133" t="str">
            <v>Penta</v>
          </cell>
          <cell r="R133">
            <v>3.32</v>
          </cell>
          <cell r="S133">
            <v>1187.1300000000001</v>
          </cell>
        </row>
        <row r="134">
          <cell r="A134" t="str">
            <v>Budget</v>
          </cell>
          <cell r="B134">
            <v>1</v>
          </cell>
          <cell r="C134" t="str">
            <v>Domestic</v>
          </cell>
          <cell r="D134">
            <v>2</v>
          </cell>
          <cell r="E134">
            <v>5333</v>
          </cell>
          <cell r="F134" t="str">
            <v>G.S. ROBINS &amp; CO.</v>
          </cell>
          <cell r="G134" t="str">
            <v>D</v>
          </cell>
          <cell r="H134" t="str">
            <v>ST LOUIS</v>
          </cell>
          <cell r="I134" t="str">
            <v>MO</v>
          </cell>
          <cell r="J134" t="str">
            <v>USA</v>
          </cell>
          <cell r="K134" t="str">
            <v>G.S. ROBINS &amp; CO.</v>
          </cell>
          <cell r="L134" t="str">
            <v>MO</v>
          </cell>
          <cell r="M134" t="str">
            <v>USA</v>
          </cell>
          <cell r="N134" t="str">
            <v>D</v>
          </cell>
          <cell r="O134">
            <v>24030210</v>
          </cell>
          <cell r="P134" t="str">
            <v>BORIC ACID PWD TECH 50LB BAG</v>
          </cell>
          <cell r="Q134" t="str">
            <v>Boric Acid</v>
          </cell>
          <cell r="R134">
            <v>0.41</v>
          </cell>
          <cell r="S134">
            <v>286.44</v>
          </cell>
        </row>
        <row r="135">
          <cell r="A135" t="str">
            <v>Budget</v>
          </cell>
          <cell r="B135">
            <v>1</v>
          </cell>
          <cell r="C135" t="str">
            <v>Domestic</v>
          </cell>
          <cell r="D135">
            <v>2</v>
          </cell>
          <cell r="E135">
            <v>5544</v>
          </cell>
          <cell r="F135" t="str">
            <v>JONES FIBER PRODUCTS INC</v>
          </cell>
          <cell r="G135" t="str">
            <v>D</v>
          </cell>
          <cell r="H135" t="str">
            <v>MEMPHIS</v>
          </cell>
          <cell r="I135" t="str">
            <v>TN</v>
          </cell>
          <cell r="J135" t="str">
            <v>USA</v>
          </cell>
          <cell r="K135" t="str">
            <v>UNIVAR USA</v>
          </cell>
          <cell r="L135" t="str">
            <v>TN</v>
          </cell>
          <cell r="M135" t="str">
            <v>USA</v>
          </cell>
          <cell r="N135" t="str">
            <v>D</v>
          </cell>
          <cell r="O135">
            <v>24090283</v>
          </cell>
          <cell r="P135" t="str">
            <v>BORIC ACID GRN TCH 2500LB FIBC</v>
          </cell>
          <cell r="Q135" t="str">
            <v>Boric Acid</v>
          </cell>
          <cell r="R135">
            <v>29.64</v>
          </cell>
          <cell r="S135">
            <v>13572.28</v>
          </cell>
        </row>
        <row r="136">
          <cell r="A136" t="str">
            <v>Budget</v>
          </cell>
          <cell r="B136">
            <v>1</v>
          </cell>
          <cell r="C136" t="str">
            <v>Domestic</v>
          </cell>
          <cell r="D136">
            <v>2</v>
          </cell>
          <cell r="E136">
            <v>5556</v>
          </cell>
          <cell r="F136" t="str">
            <v>WOLF CREEK GENERATING STATION</v>
          </cell>
          <cell r="G136" t="str">
            <v>D</v>
          </cell>
          <cell r="H136" t="str">
            <v>BURLINGTON</v>
          </cell>
          <cell r="I136" t="str">
            <v>KS</v>
          </cell>
          <cell r="J136" t="str">
            <v>USA</v>
          </cell>
          <cell r="K136" t="str">
            <v>WOLF CREEK NUCLEAR OPERATING</v>
          </cell>
          <cell r="L136" t="str">
            <v>KS</v>
          </cell>
          <cell r="M136" t="str">
            <v>USA</v>
          </cell>
          <cell r="N136" t="str">
            <v>C</v>
          </cell>
          <cell r="O136">
            <v>24609792</v>
          </cell>
          <cell r="P136" t="str">
            <v>BORIC ACID NS 150KG DRUM</v>
          </cell>
          <cell r="Q136" t="str">
            <v>HP Boric Acid (SCL)</v>
          </cell>
          <cell r="R136">
            <v>2.2400000000000002</v>
          </cell>
          <cell r="S136">
            <v>3608.6</v>
          </cell>
        </row>
        <row r="137">
          <cell r="A137" t="str">
            <v>Budget</v>
          </cell>
          <cell r="B137">
            <v>1</v>
          </cell>
          <cell r="C137" t="str">
            <v>Domestic</v>
          </cell>
          <cell r="D137">
            <v>2</v>
          </cell>
          <cell r="E137">
            <v>6365</v>
          </cell>
          <cell r="F137" t="str">
            <v>SPECTRUM GLASS</v>
          </cell>
          <cell r="G137" t="str">
            <v>D</v>
          </cell>
          <cell r="H137" t="str">
            <v>WOODINVILLE</v>
          </cell>
          <cell r="I137" t="str">
            <v>WA</v>
          </cell>
          <cell r="J137" t="str">
            <v>USA</v>
          </cell>
          <cell r="K137" t="str">
            <v>CASCADE COLUMBIA DIST. CO.</v>
          </cell>
          <cell r="L137" t="str">
            <v>WA</v>
          </cell>
          <cell r="M137" t="str">
            <v>USA</v>
          </cell>
          <cell r="N137" t="str">
            <v>D</v>
          </cell>
          <cell r="O137">
            <v>20310250</v>
          </cell>
          <cell r="P137" t="str">
            <v>PYROBOR 30/100 1TN FIBC (002)</v>
          </cell>
          <cell r="Q137" t="str">
            <v>Pyrobor</v>
          </cell>
          <cell r="R137">
            <v>44.72</v>
          </cell>
          <cell r="S137">
            <v>28033.53</v>
          </cell>
        </row>
        <row r="138">
          <cell r="A138" t="str">
            <v>Budget</v>
          </cell>
          <cell r="B138">
            <v>1</v>
          </cell>
          <cell r="C138" t="str">
            <v>Domestic</v>
          </cell>
          <cell r="D138">
            <v>2</v>
          </cell>
          <cell r="E138">
            <v>6564</v>
          </cell>
          <cell r="F138" t="str">
            <v>DOMTAR INC</v>
          </cell>
          <cell r="G138" t="str">
            <v>D</v>
          </cell>
          <cell r="H138" t="str">
            <v>ASHDOWN</v>
          </cell>
          <cell r="I138" t="str">
            <v>AR</v>
          </cell>
          <cell r="J138" t="str">
            <v>USA</v>
          </cell>
          <cell r="K138" t="str">
            <v>HARCROS CHEMICAL INC</v>
          </cell>
          <cell r="L138" t="str">
            <v>AR</v>
          </cell>
          <cell r="M138" t="str">
            <v>USA</v>
          </cell>
          <cell r="N138" t="str">
            <v>D</v>
          </cell>
          <cell r="O138">
            <v>40060410</v>
          </cell>
          <cell r="P138" t="str">
            <v>SODIUM SULFATE STD 50LB BAG</v>
          </cell>
          <cell r="Q138" t="str">
            <v>Sodium Sulfate</v>
          </cell>
          <cell r="R138">
            <v>133.19</v>
          </cell>
          <cell r="S138">
            <v>11987.09</v>
          </cell>
        </row>
        <row r="139">
          <cell r="A139" t="str">
            <v>Budget</v>
          </cell>
          <cell r="B139">
            <v>1</v>
          </cell>
          <cell r="C139" t="str">
            <v>Domestic</v>
          </cell>
          <cell r="D139">
            <v>2</v>
          </cell>
          <cell r="E139">
            <v>6565</v>
          </cell>
          <cell r="F139" t="str">
            <v>HARCROS CHEMICAL INC.</v>
          </cell>
          <cell r="G139" t="str">
            <v>D</v>
          </cell>
          <cell r="H139" t="str">
            <v>LITTLE ROCK</v>
          </cell>
          <cell r="I139" t="str">
            <v>AR</v>
          </cell>
          <cell r="J139" t="str">
            <v>USA</v>
          </cell>
          <cell r="K139" t="str">
            <v>HARCROS CHEMICAL INC</v>
          </cell>
          <cell r="L139" t="str">
            <v>AR</v>
          </cell>
          <cell r="M139" t="str">
            <v>USA</v>
          </cell>
          <cell r="N139" t="str">
            <v>D</v>
          </cell>
          <cell r="O139">
            <v>40060410</v>
          </cell>
          <cell r="P139" t="str">
            <v>SODIUM SULFATE STD 50LB BAG</v>
          </cell>
          <cell r="Q139" t="str">
            <v>Sodium Sulfate</v>
          </cell>
          <cell r="R139">
            <v>7.62</v>
          </cell>
          <cell r="S139">
            <v>589.86</v>
          </cell>
        </row>
        <row r="140">
          <cell r="A140" t="str">
            <v>Budget</v>
          </cell>
          <cell r="B140">
            <v>1</v>
          </cell>
          <cell r="C140" t="str">
            <v>Domestic</v>
          </cell>
          <cell r="D140">
            <v>2</v>
          </cell>
          <cell r="E140">
            <v>6565</v>
          </cell>
          <cell r="F140" t="str">
            <v>HARCROS CHEMICAL INC.</v>
          </cell>
          <cell r="G140" t="str">
            <v>D</v>
          </cell>
          <cell r="H140" t="str">
            <v>LITTLE ROCK</v>
          </cell>
          <cell r="I140" t="str">
            <v>AR</v>
          </cell>
          <cell r="J140" t="str">
            <v>USA</v>
          </cell>
          <cell r="K140" t="str">
            <v>HARCROS CHEMICAL INC</v>
          </cell>
          <cell r="L140" t="str">
            <v>AR</v>
          </cell>
          <cell r="M140" t="str">
            <v>USA</v>
          </cell>
          <cell r="N140" t="str">
            <v>D</v>
          </cell>
          <cell r="O140">
            <v>40060459</v>
          </cell>
          <cell r="P140" t="str">
            <v>SODIUM SULFATE STD FIBC GEN</v>
          </cell>
          <cell r="Q140" t="str">
            <v>Sodium Sulfate</v>
          </cell>
          <cell r="R140">
            <v>22.61</v>
          </cell>
          <cell r="S140">
            <v>1735.34</v>
          </cell>
        </row>
        <row r="141">
          <cell r="A141" t="str">
            <v>Budget</v>
          </cell>
          <cell r="B141">
            <v>1</v>
          </cell>
          <cell r="C141" t="str">
            <v>Domestic</v>
          </cell>
          <cell r="D141">
            <v>2</v>
          </cell>
          <cell r="E141">
            <v>6574</v>
          </cell>
          <cell r="F141" t="str">
            <v>ALCOA ALUMINUM CO OF AMERICA</v>
          </cell>
          <cell r="G141" t="str">
            <v>D</v>
          </cell>
          <cell r="H141" t="str">
            <v>BAUXITE</v>
          </cell>
          <cell r="I141" t="str">
            <v>AR</v>
          </cell>
          <cell r="J141" t="str">
            <v>USA</v>
          </cell>
          <cell r="K141" t="str">
            <v>HEARTLAND SUPPLY, INC.</v>
          </cell>
          <cell r="L141" t="str">
            <v>AR</v>
          </cell>
          <cell r="M141" t="str">
            <v>USA</v>
          </cell>
          <cell r="N141" t="str">
            <v>D</v>
          </cell>
          <cell r="O141">
            <v>24090210</v>
          </cell>
          <cell r="P141" t="str">
            <v>BORIC ACID GRAN TECH 50LB BAG</v>
          </cell>
          <cell r="Q141" t="str">
            <v>Boric Acid</v>
          </cell>
          <cell r="R141">
            <v>3.74</v>
          </cell>
          <cell r="S141">
            <v>2259.4499999999998</v>
          </cell>
        </row>
        <row r="142">
          <cell r="A142" t="str">
            <v>Budget</v>
          </cell>
          <cell r="B142">
            <v>1</v>
          </cell>
          <cell r="C142" t="str">
            <v>Domestic</v>
          </cell>
          <cell r="D142">
            <v>2</v>
          </cell>
          <cell r="E142">
            <v>7016</v>
          </cell>
          <cell r="F142" t="str">
            <v>GEORGIA PACIFIC</v>
          </cell>
          <cell r="G142" t="str">
            <v>D</v>
          </cell>
          <cell r="H142" t="str">
            <v>ALBANY</v>
          </cell>
          <cell r="I142" t="str">
            <v>OR</v>
          </cell>
          <cell r="J142" t="str">
            <v>USA</v>
          </cell>
          <cell r="K142" t="str">
            <v>UNIVAR USA</v>
          </cell>
          <cell r="L142" t="str">
            <v>CA</v>
          </cell>
          <cell r="M142" t="str">
            <v>USA</v>
          </cell>
          <cell r="N142" t="str">
            <v>D</v>
          </cell>
          <cell r="O142">
            <v>40060410</v>
          </cell>
          <cell r="P142" t="str">
            <v>SODIUM SULFATE STD 50LB BAG</v>
          </cell>
          <cell r="Q142" t="str">
            <v>Sodium Sulfate</v>
          </cell>
          <cell r="R142">
            <v>30.49</v>
          </cell>
          <cell r="S142">
            <v>5046.3900000000003</v>
          </cell>
        </row>
        <row r="143">
          <cell r="A143" t="str">
            <v>Budget</v>
          </cell>
          <cell r="B143">
            <v>1</v>
          </cell>
          <cell r="C143" t="str">
            <v>Domestic</v>
          </cell>
          <cell r="D143">
            <v>2</v>
          </cell>
          <cell r="E143">
            <v>7215</v>
          </cell>
          <cell r="F143" t="str">
            <v>UNIVAR USA</v>
          </cell>
          <cell r="G143" t="str">
            <v>D</v>
          </cell>
          <cell r="H143" t="str">
            <v>SPOKANE</v>
          </cell>
          <cell r="I143" t="str">
            <v>WA</v>
          </cell>
          <cell r="J143" t="str">
            <v>USA</v>
          </cell>
          <cell r="K143" t="str">
            <v>UNIVAR USA</v>
          </cell>
          <cell r="L143" t="str">
            <v>WA</v>
          </cell>
          <cell r="M143" t="str">
            <v>USA</v>
          </cell>
          <cell r="N143" t="str">
            <v>D</v>
          </cell>
          <cell r="O143">
            <v>24609720</v>
          </cell>
          <cell r="P143" t="str">
            <v>BORIC ACID NS 25KG BAG</v>
          </cell>
          <cell r="Q143" t="str">
            <v>HP Boric Acid (SCL)</v>
          </cell>
          <cell r="R143">
            <v>5.28</v>
          </cell>
          <cell r="S143">
            <v>10069.52</v>
          </cell>
        </row>
        <row r="144">
          <cell r="A144" t="str">
            <v>Budget</v>
          </cell>
          <cell r="B144">
            <v>1</v>
          </cell>
          <cell r="C144" t="str">
            <v>Domestic</v>
          </cell>
          <cell r="D144">
            <v>2</v>
          </cell>
          <cell r="E144">
            <v>7324</v>
          </cell>
          <cell r="F144" t="str">
            <v>COUNTRY SAVE</v>
          </cell>
          <cell r="G144" t="str">
            <v>D</v>
          </cell>
          <cell r="H144" t="str">
            <v>ARLINGTON</v>
          </cell>
          <cell r="I144" t="str">
            <v>WA</v>
          </cell>
          <cell r="J144" t="str">
            <v>USA</v>
          </cell>
          <cell r="K144" t="str">
            <v>UNIVAR USA</v>
          </cell>
          <cell r="L144" t="str">
            <v>WA</v>
          </cell>
          <cell r="M144" t="str">
            <v>USA</v>
          </cell>
          <cell r="N144" t="str">
            <v>D</v>
          </cell>
          <cell r="O144">
            <v>40150400</v>
          </cell>
          <cell r="P144" t="str">
            <v>SODIUM SULFATE COARSE BULK</v>
          </cell>
          <cell r="Q144" t="str">
            <v>Sodium Sulfate</v>
          </cell>
          <cell r="R144">
            <v>39.229999999999997</v>
          </cell>
          <cell r="S144">
            <v>3776.2</v>
          </cell>
        </row>
        <row r="145">
          <cell r="A145" t="str">
            <v>Budget</v>
          </cell>
          <cell r="B145">
            <v>1</v>
          </cell>
          <cell r="C145" t="str">
            <v>Domestic</v>
          </cell>
          <cell r="D145">
            <v>2</v>
          </cell>
          <cell r="E145">
            <v>7376</v>
          </cell>
          <cell r="F145" t="str">
            <v>GEORGIA PACIFIC</v>
          </cell>
          <cell r="G145" t="str">
            <v>D</v>
          </cell>
          <cell r="H145" t="str">
            <v>LOVELL</v>
          </cell>
          <cell r="I145" t="str">
            <v>WY</v>
          </cell>
          <cell r="J145" t="str">
            <v>USA</v>
          </cell>
          <cell r="K145" t="str">
            <v>UNIVAR USA</v>
          </cell>
          <cell r="L145" t="str">
            <v>CO</v>
          </cell>
          <cell r="M145" t="str">
            <v>USA</v>
          </cell>
          <cell r="N145" t="str">
            <v>D</v>
          </cell>
          <cell r="O145">
            <v>24090213</v>
          </cell>
          <cell r="P145" t="str">
            <v>BORIC ACD GRN 50LB PULPABLE BG</v>
          </cell>
          <cell r="Q145" t="str">
            <v>Boric Acid</v>
          </cell>
          <cell r="R145">
            <v>26.15</v>
          </cell>
          <cell r="S145">
            <v>13498.12</v>
          </cell>
        </row>
        <row r="146">
          <cell r="A146" t="str">
            <v>Budget</v>
          </cell>
          <cell r="B146">
            <v>1</v>
          </cell>
          <cell r="C146" t="str">
            <v>Domestic</v>
          </cell>
          <cell r="D146">
            <v>2</v>
          </cell>
          <cell r="E146">
            <v>7428</v>
          </cell>
          <cell r="F146" t="str">
            <v>CASCADE COLUMBIA DIST</v>
          </cell>
          <cell r="G146" t="str">
            <v>D</v>
          </cell>
          <cell r="H146" t="str">
            <v>SHERWOOD</v>
          </cell>
          <cell r="I146" t="str">
            <v>OR</v>
          </cell>
          <cell r="J146" t="str">
            <v>USA</v>
          </cell>
          <cell r="K146" t="str">
            <v>CASCADE COLUMBIA DIST. CO.</v>
          </cell>
          <cell r="L146" t="str">
            <v>WA</v>
          </cell>
          <cell r="M146" t="str">
            <v>USA</v>
          </cell>
          <cell r="N146" t="str">
            <v>D</v>
          </cell>
          <cell r="O146">
            <v>20060210</v>
          </cell>
          <cell r="P146" t="str">
            <v>PYROBOR 50LB BAG (002)</v>
          </cell>
          <cell r="Q146" t="str">
            <v>Pyrobor</v>
          </cell>
          <cell r="R146">
            <v>0.83</v>
          </cell>
          <cell r="S146">
            <v>689.78</v>
          </cell>
        </row>
        <row r="147">
          <cell r="A147" t="str">
            <v>Budget</v>
          </cell>
          <cell r="B147">
            <v>1</v>
          </cell>
          <cell r="C147" t="str">
            <v>Domestic</v>
          </cell>
          <cell r="D147">
            <v>2</v>
          </cell>
          <cell r="E147">
            <v>7428</v>
          </cell>
          <cell r="F147" t="str">
            <v>CASCADE COLUMBIA DIST</v>
          </cell>
          <cell r="G147" t="str">
            <v>D</v>
          </cell>
          <cell r="H147" t="str">
            <v>SHERWOOD</v>
          </cell>
          <cell r="I147" t="str">
            <v>OR</v>
          </cell>
          <cell r="J147" t="str">
            <v>USA</v>
          </cell>
          <cell r="K147" t="str">
            <v>CASCADE COLUMBIA DIST. CO.</v>
          </cell>
          <cell r="L147" t="str">
            <v>WA</v>
          </cell>
          <cell r="M147" t="str">
            <v>USA</v>
          </cell>
          <cell r="N147" t="str">
            <v>D</v>
          </cell>
          <cell r="O147">
            <v>22060410</v>
          </cell>
          <cell r="P147" t="str">
            <v>V-BOR 50LB BAG (004)</v>
          </cell>
          <cell r="Q147" t="str">
            <v>Penta</v>
          </cell>
          <cell r="R147">
            <v>2.91</v>
          </cell>
          <cell r="S147">
            <v>1194.04</v>
          </cell>
        </row>
        <row r="148">
          <cell r="A148" t="str">
            <v>Budget</v>
          </cell>
          <cell r="B148">
            <v>1</v>
          </cell>
          <cell r="C148" t="str">
            <v>Domestic</v>
          </cell>
          <cell r="D148">
            <v>2</v>
          </cell>
          <cell r="E148">
            <v>7428</v>
          </cell>
          <cell r="F148" t="str">
            <v>CASCADE COLUMBIA DIST</v>
          </cell>
          <cell r="G148" t="str">
            <v>D</v>
          </cell>
          <cell r="H148" t="str">
            <v>SHERWOOD</v>
          </cell>
          <cell r="I148" t="str">
            <v>OR</v>
          </cell>
          <cell r="J148" t="str">
            <v>USA</v>
          </cell>
          <cell r="K148" t="str">
            <v>CASCADE COLUMBIA DIST. CO.</v>
          </cell>
          <cell r="L148" t="str">
            <v>WA</v>
          </cell>
          <cell r="M148" t="str">
            <v>USA</v>
          </cell>
          <cell r="N148" t="str">
            <v>D</v>
          </cell>
          <cell r="O148">
            <v>22060460</v>
          </cell>
          <cell r="P148" t="str">
            <v>V-BOR 1800LB FIBC (004)</v>
          </cell>
          <cell r="Q148" t="str">
            <v>Penta</v>
          </cell>
          <cell r="R148">
            <v>4.88</v>
          </cell>
          <cell r="S148">
            <v>2005.14</v>
          </cell>
        </row>
        <row r="149">
          <cell r="A149" t="str">
            <v>Budget</v>
          </cell>
          <cell r="B149">
            <v>1</v>
          </cell>
          <cell r="C149" t="str">
            <v>Domestic</v>
          </cell>
          <cell r="D149">
            <v>2</v>
          </cell>
          <cell r="E149">
            <v>7428</v>
          </cell>
          <cell r="F149" t="str">
            <v>CASCADE COLUMBIA DIST</v>
          </cell>
          <cell r="G149" t="str">
            <v>D</v>
          </cell>
          <cell r="H149" t="str">
            <v>SHERWOOD</v>
          </cell>
          <cell r="I149" t="str">
            <v>OR</v>
          </cell>
          <cell r="J149" t="str">
            <v>USA</v>
          </cell>
          <cell r="K149" t="str">
            <v>CASCADE COLUMBIA DIST. CO.</v>
          </cell>
          <cell r="L149" t="str">
            <v>WA</v>
          </cell>
          <cell r="M149" t="str">
            <v>USA</v>
          </cell>
          <cell r="N149" t="str">
            <v>D</v>
          </cell>
          <cell r="O149">
            <v>23060210</v>
          </cell>
          <cell r="P149" t="str">
            <v>DECA BORAX STD 50LB BAG</v>
          </cell>
          <cell r="Q149" t="str">
            <v>Deca</v>
          </cell>
          <cell r="R149">
            <v>4.9800000000000004</v>
          </cell>
          <cell r="S149">
            <v>1827.78</v>
          </cell>
        </row>
        <row r="150">
          <cell r="A150" t="str">
            <v>Budget</v>
          </cell>
          <cell r="B150">
            <v>1</v>
          </cell>
          <cell r="C150" t="str">
            <v>Domestic</v>
          </cell>
          <cell r="D150">
            <v>2</v>
          </cell>
          <cell r="E150">
            <v>7428</v>
          </cell>
          <cell r="F150" t="str">
            <v>CASCADE COLUMBIA DIST</v>
          </cell>
          <cell r="G150" t="str">
            <v>D</v>
          </cell>
          <cell r="H150" t="str">
            <v>SHERWOOD</v>
          </cell>
          <cell r="I150" t="str">
            <v>OR</v>
          </cell>
          <cell r="J150" t="str">
            <v>USA</v>
          </cell>
          <cell r="K150" t="str">
            <v>CASCADE COLUMBIA DIST. CO.</v>
          </cell>
          <cell r="L150" t="str">
            <v>WA</v>
          </cell>
          <cell r="M150" t="str">
            <v>USA</v>
          </cell>
          <cell r="N150" t="str">
            <v>D</v>
          </cell>
          <cell r="O150">
            <v>24090210</v>
          </cell>
          <cell r="P150" t="str">
            <v>BORIC ACID GRAN TECH 50LB BAG</v>
          </cell>
          <cell r="Q150" t="str">
            <v>Boric Acid</v>
          </cell>
          <cell r="R150">
            <v>84.7</v>
          </cell>
          <cell r="S150">
            <v>44890.71</v>
          </cell>
        </row>
        <row r="151">
          <cell r="A151" t="str">
            <v>Budget</v>
          </cell>
          <cell r="B151">
            <v>1</v>
          </cell>
          <cell r="C151" t="str">
            <v>Domestic</v>
          </cell>
          <cell r="D151">
            <v>2</v>
          </cell>
          <cell r="E151">
            <v>7428</v>
          </cell>
          <cell r="F151" t="str">
            <v>CASCADE COLUMBIA DIST</v>
          </cell>
          <cell r="G151" t="str">
            <v>D</v>
          </cell>
          <cell r="H151" t="str">
            <v>SHERWOOD</v>
          </cell>
          <cell r="I151" t="str">
            <v>OR</v>
          </cell>
          <cell r="J151" t="str">
            <v>USA</v>
          </cell>
          <cell r="K151" t="str">
            <v>CASCADE COLUMBIA DIST. CO.</v>
          </cell>
          <cell r="L151" t="str">
            <v>WA</v>
          </cell>
          <cell r="M151" t="str">
            <v>USA</v>
          </cell>
          <cell r="N151" t="str">
            <v>D</v>
          </cell>
          <cell r="O151">
            <v>40060410</v>
          </cell>
          <cell r="P151" t="str">
            <v>SODIUM SULFATE STD 50LB BAG</v>
          </cell>
          <cell r="Q151" t="str">
            <v>Sodium Sulfate</v>
          </cell>
          <cell r="R151">
            <v>11.43</v>
          </cell>
          <cell r="S151">
            <v>2053.96</v>
          </cell>
        </row>
        <row r="152">
          <cell r="A152" t="str">
            <v>Budget</v>
          </cell>
          <cell r="B152">
            <v>1</v>
          </cell>
          <cell r="C152" t="str">
            <v>Domestic</v>
          </cell>
          <cell r="D152">
            <v>2</v>
          </cell>
          <cell r="E152">
            <v>7494</v>
          </cell>
          <cell r="F152" t="str">
            <v>HARCROS ORGANICS</v>
          </cell>
          <cell r="G152" t="str">
            <v>D</v>
          </cell>
          <cell r="H152" t="str">
            <v>KANSAS CITY</v>
          </cell>
          <cell r="I152" t="str">
            <v>KS</v>
          </cell>
          <cell r="J152" t="str">
            <v>USA</v>
          </cell>
          <cell r="K152" t="str">
            <v>HARCROS ORGANICS</v>
          </cell>
          <cell r="L152" t="str">
            <v>KS</v>
          </cell>
          <cell r="M152" t="str">
            <v>USA</v>
          </cell>
          <cell r="N152" t="str">
            <v>C</v>
          </cell>
          <cell r="O152">
            <v>24090253</v>
          </cell>
          <cell r="P152" t="str">
            <v>BORIC ACID GRN TCH 2500LB FIBC</v>
          </cell>
          <cell r="Q152" t="str">
            <v>Boric Acid</v>
          </cell>
          <cell r="R152">
            <v>7.62</v>
          </cell>
          <cell r="S152">
            <v>5963.86</v>
          </cell>
        </row>
        <row r="153">
          <cell r="A153" t="str">
            <v>Budget</v>
          </cell>
          <cell r="B153">
            <v>1</v>
          </cell>
          <cell r="C153" t="str">
            <v>Domestic</v>
          </cell>
          <cell r="D153">
            <v>2</v>
          </cell>
          <cell r="E153">
            <v>7497</v>
          </cell>
          <cell r="F153" t="str">
            <v>UNIVAR USA</v>
          </cell>
          <cell r="G153" t="str">
            <v>D</v>
          </cell>
          <cell r="H153" t="str">
            <v>KANSAS CITY</v>
          </cell>
          <cell r="I153" t="str">
            <v>MO</v>
          </cell>
          <cell r="J153" t="str">
            <v>USA</v>
          </cell>
          <cell r="K153" t="str">
            <v>UNIVAR USA</v>
          </cell>
          <cell r="L153" t="str">
            <v>IL</v>
          </cell>
          <cell r="M153" t="str">
            <v>USA</v>
          </cell>
          <cell r="N153" t="str">
            <v>D</v>
          </cell>
          <cell r="O153">
            <v>22060410</v>
          </cell>
          <cell r="P153" t="str">
            <v>V-BOR 50LB BAG (004)</v>
          </cell>
          <cell r="Q153" t="str">
            <v>Penta</v>
          </cell>
          <cell r="R153">
            <v>5.81</v>
          </cell>
          <cell r="S153">
            <v>1990.06</v>
          </cell>
        </row>
        <row r="154">
          <cell r="A154" t="str">
            <v>Budget</v>
          </cell>
          <cell r="B154">
            <v>1</v>
          </cell>
          <cell r="C154" t="str">
            <v>Domestic</v>
          </cell>
          <cell r="D154">
            <v>2</v>
          </cell>
          <cell r="E154">
            <v>7497</v>
          </cell>
          <cell r="F154" t="str">
            <v>UNIVAR USA</v>
          </cell>
          <cell r="G154" t="str">
            <v>D</v>
          </cell>
          <cell r="H154" t="str">
            <v>KANSAS CITY</v>
          </cell>
          <cell r="I154" t="str">
            <v>MO</v>
          </cell>
          <cell r="J154" t="str">
            <v>USA</v>
          </cell>
          <cell r="K154" t="str">
            <v>UNIVAR USA</v>
          </cell>
          <cell r="L154" t="str">
            <v>IL</v>
          </cell>
          <cell r="M154" t="str">
            <v>USA</v>
          </cell>
          <cell r="N154" t="str">
            <v>D</v>
          </cell>
          <cell r="O154">
            <v>22060430</v>
          </cell>
          <cell r="P154" t="str">
            <v>V-BOR STD 100LB BAG (004)</v>
          </cell>
          <cell r="Q154" t="str">
            <v>Penta</v>
          </cell>
          <cell r="R154">
            <v>1.06</v>
          </cell>
          <cell r="S154">
            <v>362.99</v>
          </cell>
        </row>
        <row r="155">
          <cell r="A155" t="str">
            <v>Budget</v>
          </cell>
          <cell r="B155">
            <v>1</v>
          </cell>
          <cell r="C155" t="str">
            <v>Domestic</v>
          </cell>
          <cell r="D155">
            <v>2</v>
          </cell>
          <cell r="E155">
            <v>7497</v>
          </cell>
          <cell r="F155" t="str">
            <v>UNIVAR USA</v>
          </cell>
          <cell r="G155" t="str">
            <v>D</v>
          </cell>
          <cell r="H155" t="str">
            <v>KANSAS CITY</v>
          </cell>
          <cell r="I155" t="str">
            <v>MO</v>
          </cell>
          <cell r="J155" t="str">
            <v>USA</v>
          </cell>
          <cell r="K155" t="str">
            <v>UNIVAR USA</v>
          </cell>
          <cell r="L155" t="str">
            <v>IL</v>
          </cell>
          <cell r="M155" t="str">
            <v>USA</v>
          </cell>
          <cell r="N155" t="str">
            <v>D</v>
          </cell>
          <cell r="O155">
            <v>24030210</v>
          </cell>
          <cell r="P155" t="str">
            <v>BORIC ACID PWD TECH 50LB BAG</v>
          </cell>
          <cell r="Q155" t="str">
            <v>Boric Acid</v>
          </cell>
          <cell r="R155">
            <v>0.61</v>
          </cell>
          <cell r="S155">
            <v>427.76</v>
          </cell>
        </row>
        <row r="156">
          <cell r="A156" t="str">
            <v>Budget</v>
          </cell>
          <cell r="B156">
            <v>1</v>
          </cell>
          <cell r="C156" t="str">
            <v>Domestic</v>
          </cell>
          <cell r="D156">
            <v>2</v>
          </cell>
          <cell r="E156">
            <v>7497</v>
          </cell>
          <cell r="F156" t="str">
            <v>UNIVAR USA</v>
          </cell>
          <cell r="G156" t="str">
            <v>D</v>
          </cell>
          <cell r="H156" t="str">
            <v>KANSAS CITY</v>
          </cell>
          <cell r="I156" t="str">
            <v>MO</v>
          </cell>
          <cell r="J156" t="str">
            <v>USA</v>
          </cell>
          <cell r="K156" t="str">
            <v>UNIVAR USA</v>
          </cell>
          <cell r="L156" t="str">
            <v>IL</v>
          </cell>
          <cell r="M156" t="str">
            <v>USA</v>
          </cell>
          <cell r="N156" t="str">
            <v>D</v>
          </cell>
          <cell r="O156">
            <v>24090210</v>
          </cell>
          <cell r="P156" t="str">
            <v>BORIC ACID GRAN TECH 50LB BAG</v>
          </cell>
          <cell r="Q156" t="str">
            <v>Boric Acid</v>
          </cell>
          <cell r="R156">
            <v>2.7</v>
          </cell>
          <cell r="S156">
            <v>1554.17</v>
          </cell>
        </row>
        <row r="157">
          <cell r="A157" t="str">
            <v>Budget</v>
          </cell>
          <cell r="B157">
            <v>1</v>
          </cell>
          <cell r="C157" t="str">
            <v>Domestic</v>
          </cell>
          <cell r="D157">
            <v>2</v>
          </cell>
          <cell r="E157">
            <v>7497</v>
          </cell>
          <cell r="F157" t="str">
            <v>UNIVAR USA</v>
          </cell>
          <cell r="G157" t="str">
            <v>D</v>
          </cell>
          <cell r="H157" t="str">
            <v>KANSAS CITY</v>
          </cell>
          <cell r="I157" t="str">
            <v>MO</v>
          </cell>
          <cell r="J157" t="str">
            <v>USA</v>
          </cell>
          <cell r="K157" t="str">
            <v>UNIVAR USA</v>
          </cell>
          <cell r="L157" t="str">
            <v>IL</v>
          </cell>
          <cell r="M157" t="str">
            <v>USA</v>
          </cell>
          <cell r="N157" t="str">
            <v>D</v>
          </cell>
          <cell r="O157">
            <v>40060410</v>
          </cell>
          <cell r="P157" t="str">
            <v>SODIUM SULFATE STD 50LB BAG</v>
          </cell>
          <cell r="Q157" t="str">
            <v>Sodium Sulfate</v>
          </cell>
          <cell r="R157">
            <v>3.81</v>
          </cell>
          <cell r="S157">
            <v>558.77</v>
          </cell>
        </row>
        <row r="158">
          <cell r="A158" t="str">
            <v>Budget</v>
          </cell>
          <cell r="B158">
            <v>1</v>
          </cell>
          <cell r="C158" t="str">
            <v>Domestic</v>
          </cell>
          <cell r="D158">
            <v>2</v>
          </cell>
          <cell r="E158">
            <v>7525</v>
          </cell>
          <cell r="F158" t="str">
            <v>GEORGIA PACIFIC CORP.</v>
          </cell>
          <cell r="G158" t="str">
            <v>D</v>
          </cell>
          <cell r="H158" t="str">
            <v>FT DODGE</v>
          </cell>
          <cell r="I158" t="str">
            <v>IA</v>
          </cell>
          <cell r="J158" t="str">
            <v>USA</v>
          </cell>
          <cell r="K158" t="str">
            <v>UNIVAR USA</v>
          </cell>
          <cell r="L158" t="str">
            <v>NE</v>
          </cell>
          <cell r="M158" t="str">
            <v>USA</v>
          </cell>
          <cell r="N158" t="str">
            <v>D</v>
          </cell>
          <cell r="O158">
            <v>24090250</v>
          </cell>
          <cell r="P158" t="str">
            <v>BORIC ACID GRAN TECH 1TN FIBC</v>
          </cell>
          <cell r="Q158" t="str">
            <v>Boric Acid</v>
          </cell>
          <cell r="R158">
            <v>11.01</v>
          </cell>
          <cell r="S158">
            <v>5726.99</v>
          </cell>
        </row>
        <row r="159">
          <cell r="A159" t="str">
            <v>Budget</v>
          </cell>
          <cell r="B159">
            <v>1</v>
          </cell>
          <cell r="C159" t="str">
            <v>Domestic</v>
          </cell>
          <cell r="D159">
            <v>2</v>
          </cell>
          <cell r="E159">
            <v>7673</v>
          </cell>
          <cell r="F159" t="str">
            <v>G.S. ROBINS &amp; CO.</v>
          </cell>
          <cell r="G159" t="str">
            <v>D</v>
          </cell>
          <cell r="H159" t="str">
            <v>ST LOUIS</v>
          </cell>
          <cell r="I159" t="str">
            <v>MO</v>
          </cell>
          <cell r="J159" t="str">
            <v>USA</v>
          </cell>
          <cell r="K159" t="str">
            <v>G.S. ROBINS &amp; CO.</v>
          </cell>
          <cell r="L159" t="str">
            <v>MO</v>
          </cell>
          <cell r="M159" t="str">
            <v>USA</v>
          </cell>
          <cell r="N159" t="str">
            <v>D</v>
          </cell>
          <cell r="O159">
            <v>22060410</v>
          </cell>
          <cell r="P159" t="str">
            <v>V-BOR 50LB BAG (004)</v>
          </cell>
          <cell r="Q159" t="str">
            <v>Penta</v>
          </cell>
          <cell r="R159">
            <v>4.1500000000000004</v>
          </cell>
          <cell r="S159">
            <v>1448.63</v>
          </cell>
        </row>
        <row r="160">
          <cell r="A160" t="str">
            <v>Budget</v>
          </cell>
          <cell r="B160">
            <v>1</v>
          </cell>
          <cell r="C160" t="str">
            <v>Domestic</v>
          </cell>
          <cell r="D160">
            <v>2</v>
          </cell>
          <cell r="E160">
            <v>7673</v>
          </cell>
          <cell r="F160" t="str">
            <v>G.S. ROBINS &amp; CO.</v>
          </cell>
          <cell r="G160" t="str">
            <v>D</v>
          </cell>
          <cell r="H160" t="str">
            <v>ST LOUIS</v>
          </cell>
          <cell r="I160" t="str">
            <v>MO</v>
          </cell>
          <cell r="J160" t="str">
            <v>USA</v>
          </cell>
          <cell r="K160" t="str">
            <v>G.S. ROBINS &amp; CO.</v>
          </cell>
          <cell r="L160" t="str">
            <v>MO</v>
          </cell>
          <cell r="M160" t="str">
            <v>USA</v>
          </cell>
          <cell r="N160" t="str">
            <v>D</v>
          </cell>
          <cell r="O160">
            <v>23060210</v>
          </cell>
          <cell r="P160" t="str">
            <v>DECA BORAX STD 50LB BAG</v>
          </cell>
          <cell r="Q160" t="str">
            <v>Deca</v>
          </cell>
          <cell r="R160">
            <v>2.08</v>
          </cell>
          <cell r="S160">
            <v>668.46</v>
          </cell>
        </row>
        <row r="161">
          <cell r="A161" t="str">
            <v>Budget</v>
          </cell>
          <cell r="B161">
            <v>1</v>
          </cell>
          <cell r="C161" t="str">
            <v>Domestic</v>
          </cell>
          <cell r="D161">
            <v>2</v>
          </cell>
          <cell r="E161">
            <v>7673</v>
          </cell>
          <cell r="F161" t="str">
            <v>G.S. ROBINS &amp; CO.</v>
          </cell>
          <cell r="G161" t="str">
            <v>D</v>
          </cell>
          <cell r="H161" t="str">
            <v>ST LOUIS</v>
          </cell>
          <cell r="I161" t="str">
            <v>MO</v>
          </cell>
          <cell r="J161" t="str">
            <v>USA</v>
          </cell>
          <cell r="K161" t="str">
            <v>G.S. ROBINS &amp; CO.</v>
          </cell>
          <cell r="L161" t="str">
            <v>MO</v>
          </cell>
          <cell r="M161" t="str">
            <v>USA</v>
          </cell>
          <cell r="N161" t="str">
            <v>D</v>
          </cell>
          <cell r="O161">
            <v>24030210</v>
          </cell>
          <cell r="P161" t="str">
            <v>BORIC ACID PWD TECH 50LB BAG</v>
          </cell>
          <cell r="Q161" t="str">
            <v>Boric Acid</v>
          </cell>
          <cell r="R161">
            <v>15.04</v>
          </cell>
          <cell r="S161">
            <v>10036.68</v>
          </cell>
        </row>
        <row r="162">
          <cell r="A162" t="str">
            <v>Budget</v>
          </cell>
          <cell r="B162">
            <v>1</v>
          </cell>
          <cell r="C162" t="str">
            <v>Domestic</v>
          </cell>
          <cell r="D162">
            <v>2</v>
          </cell>
          <cell r="E162">
            <v>7673</v>
          </cell>
          <cell r="F162" t="str">
            <v>G.S. ROBINS &amp; CO.</v>
          </cell>
          <cell r="G162" t="str">
            <v>D</v>
          </cell>
          <cell r="H162" t="str">
            <v>ST LOUIS</v>
          </cell>
          <cell r="I162" t="str">
            <v>MO</v>
          </cell>
          <cell r="J162" t="str">
            <v>USA</v>
          </cell>
          <cell r="K162" t="str">
            <v>G.S. ROBINS &amp; CO.</v>
          </cell>
          <cell r="L162" t="str">
            <v>MO</v>
          </cell>
          <cell r="M162" t="str">
            <v>USA</v>
          </cell>
          <cell r="N162" t="str">
            <v>D</v>
          </cell>
          <cell r="O162">
            <v>24090230</v>
          </cell>
          <cell r="P162" t="str">
            <v>BORIC ACID GRAN TECH 100LB BAG</v>
          </cell>
          <cell r="Q162" t="str">
            <v>Boric Acid</v>
          </cell>
          <cell r="R162">
            <v>0.42</v>
          </cell>
          <cell r="S162">
            <v>267.64</v>
          </cell>
        </row>
        <row r="163">
          <cell r="A163" t="str">
            <v>Budget</v>
          </cell>
          <cell r="B163">
            <v>1</v>
          </cell>
          <cell r="C163" t="str">
            <v>Domestic</v>
          </cell>
          <cell r="D163">
            <v>2</v>
          </cell>
          <cell r="E163">
            <v>7673</v>
          </cell>
          <cell r="F163" t="str">
            <v>G.S. ROBINS &amp; CO.</v>
          </cell>
          <cell r="G163" t="str">
            <v>D</v>
          </cell>
          <cell r="H163" t="str">
            <v>ST LOUIS</v>
          </cell>
          <cell r="I163" t="str">
            <v>MO</v>
          </cell>
          <cell r="J163" t="str">
            <v>USA</v>
          </cell>
          <cell r="K163" t="str">
            <v>G.S. ROBINS &amp; CO.</v>
          </cell>
          <cell r="L163" t="str">
            <v>MO</v>
          </cell>
          <cell r="M163" t="str">
            <v>USA</v>
          </cell>
          <cell r="N163" t="str">
            <v>D</v>
          </cell>
          <cell r="O163">
            <v>40060450</v>
          </cell>
          <cell r="P163" t="str">
            <v>SODIUM SULFATE STD 1TN FIBC</v>
          </cell>
          <cell r="Q163" t="str">
            <v>Sodium Sulfate</v>
          </cell>
          <cell r="R163">
            <v>5.08</v>
          </cell>
          <cell r="S163">
            <v>237.16</v>
          </cell>
        </row>
        <row r="164">
          <cell r="A164" t="str">
            <v>Budget</v>
          </cell>
          <cell r="B164">
            <v>1</v>
          </cell>
          <cell r="C164" t="str">
            <v>Domestic</v>
          </cell>
          <cell r="D164">
            <v>2</v>
          </cell>
          <cell r="E164">
            <v>7712</v>
          </cell>
          <cell r="F164" t="str">
            <v>JONES FIBER PRODUCTS INC</v>
          </cell>
          <cell r="G164" t="str">
            <v>D</v>
          </cell>
          <cell r="H164" t="str">
            <v>MORRISTOWN</v>
          </cell>
          <cell r="I164" t="str">
            <v>TN</v>
          </cell>
          <cell r="J164" t="str">
            <v>USA</v>
          </cell>
          <cell r="K164" t="str">
            <v>JONES FIBER PRODUCTS INC</v>
          </cell>
          <cell r="L164" t="str">
            <v>TN</v>
          </cell>
          <cell r="M164" t="str">
            <v>USA</v>
          </cell>
          <cell r="N164" t="str">
            <v>C</v>
          </cell>
          <cell r="O164">
            <v>24090253</v>
          </cell>
          <cell r="P164" t="str">
            <v>BORIC ACID GRN TCH 2500LB FIBC</v>
          </cell>
          <cell r="Q164" t="str">
            <v>Boric Acid</v>
          </cell>
          <cell r="R164">
            <v>33.880000000000003</v>
          </cell>
          <cell r="S164">
            <v>16262.3</v>
          </cell>
        </row>
        <row r="165">
          <cell r="A165" t="str">
            <v>Budget</v>
          </cell>
          <cell r="B165">
            <v>1</v>
          </cell>
          <cell r="C165" t="str">
            <v>Domestic</v>
          </cell>
          <cell r="D165">
            <v>2</v>
          </cell>
          <cell r="E165">
            <v>7938</v>
          </cell>
          <cell r="F165" t="str">
            <v>G.S. ROBINS &amp; CO.</v>
          </cell>
          <cell r="G165" t="str">
            <v>D</v>
          </cell>
          <cell r="H165" t="str">
            <v>KANSAS CITY</v>
          </cell>
          <cell r="I165" t="str">
            <v>KS</v>
          </cell>
          <cell r="J165" t="str">
            <v>USA</v>
          </cell>
          <cell r="K165" t="str">
            <v>G.S. ROBINS &amp; CO.</v>
          </cell>
          <cell r="L165" t="str">
            <v>MO</v>
          </cell>
          <cell r="M165" t="str">
            <v>USA</v>
          </cell>
          <cell r="N165" t="str">
            <v>D</v>
          </cell>
          <cell r="O165">
            <v>22060410</v>
          </cell>
          <cell r="P165" t="str">
            <v>V-BOR 50LB BAG (004)</v>
          </cell>
          <cell r="Q165" t="str">
            <v>Penta</v>
          </cell>
          <cell r="R165">
            <v>6.85</v>
          </cell>
          <cell r="S165">
            <v>2431.58</v>
          </cell>
        </row>
        <row r="166">
          <cell r="A166" t="str">
            <v>Budget</v>
          </cell>
          <cell r="B166">
            <v>1</v>
          </cell>
          <cell r="C166" t="str">
            <v>Domestic</v>
          </cell>
          <cell r="D166">
            <v>2</v>
          </cell>
          <cell r="E166">
            <v>7938</v>
          </cell>
          <cell r="F166" t="str">
            <v>G.S. ROBINS &amp; CO.</v>
          </cell>
          <cell r="G166" t="str">
            <v>D</v>
          </cell>
          <cell r="H166" t="str">
            <v>KANSAS CITY</v>
          </cell>
          <cell r="I166" t="str">
            <v>KS</v>
          </cell>
          <cell r="J166" t="str">
            <v>USA</v>
          </cell>
          <cell r="K166" t="str">
            <v>G.S. ROBINS &amp; CO.</v>
          </cell>
          <cell r="L166" t="str">
            <v>MO</v>
          </cell>
          <cell r="M166" t="str">
            <v>USA</v>
          </cell>
          <cell r="N166" t="str">
            <v>D</v>
          </cell>
          <cell r="O166">
            <v>23060210</v>
          </cell>
          <cell r="P166" t="str">
            <v>DECA BORAX STD 50LB BAG</v>
          </cell>
          <cell r="Q166" t="str">
            <v>Deca</v>
          </cell>
          <cell r="R166">
            <v>0.62</v>
          </cell>
          <cell r="S166">
            <v>201.74</v>
          </cell>
        </row>
        <row r="167">
          <cell r="A167" t="str">
            <v>Budget</v>
          </cell>
          <cell r="B167">
            <v>1</v>
          </cell>
          <cell r="C167" t="str">
            <v>Domestic</v>
          </cell>
          <cell r="D167">
            <v>2</v>
          </cell>
          <cell r="E167">
            <v>8254</v>
          </cell>
          <cell r="F167" t="str">
            <v>WEYERHAEUSER COMPANY</v>
          </cell>
          <cell r="G167" t="str">
            <v>D</v>
          </cell>
          <cell r="H167" t="str">
            <v>ALBANY</v>
          </cell>
          <cell r="I167" t="str">
            <v>OR</v>
          </cell>
          <cell r="J167" t="str">
            <v>USA</v>
          </cell>
          <cell r="K167" t="str">
            <v>WEYERHAEUSER COMPANY</v>
          </cell>
          <cell r="L167" t="str">
            <v>OR</v>
          </cell>
          <cell r="M167" t="str">
            <v>USA</v>
          </cell>
          <cell r="N167" t="str">
            <v>C</v>
          </cell>
          <cell r="O167">
            <v>24150252</v>
          </cell>
          <cell r="P167" t="str">
            <v>BORIC ACID COARSE 2400LB FIBC</v>
          </cell>
          <cell r="Q167" t="str">
            <v>Boric Acid</v>
          </cell>
          <cell r="R167">
            <v>125</v>
          </cell>
          <cell r="S167">
            <v>77750</v>
          </cell>
        </row>
        <row r="168">
          <cell r="A168" t="str">
            <v>Budget</v>
          </cell>
          <cell r="B168">
            <v>1</v>
          </cell>
          <cell r="C168" t="str">
            <v>Domestic</v>
          </cell>
          <cell r="D168">
            <v>2</v>
          </cell>
          <cell r="E168">
            <v>8364</v>
          </cell>
          <cell r="F168" t="str">
            <v>CHEMI-CON MATERIAL CORP.</v>
          </cell>
          <cell r="G168" t="str">
            <v>D</v>
          </cell>
          <cell r="H168" t="str">
            <v>MOSES LAKE</v>
          </cell>
          <cell r="I168" t="str">
            <v>WA</v>
          </cell>
          <cell r="J168" t="str">
            <v>USA</v>
          </cell>
          <cell r="K168" t="str">
            <v>UNIVAR USA</v>
          </cell>
          <cell r="L168" t="str">
            <v>WA</v>
          </cell>
          <cell r="M168" t="str">
            <v>USA</v>
          </cell>
          <cell r="N168" t="str">
            <v>D</v>
          </cell>
          <cell r="O168">
            <v>28069792</v>
          </cell>
          <cell r="P168" t="str">
            <v>AMMONIUM PENTABORATE 150KG DRM</v>
          </cell>
          <cell r="Q168" t="str">
            <v>Boric Salt (SCL)</v>
          </cell>
          <cell r="R168">
            <v>0.22</v>
          </cell>
          <cell r="S168">
            <v>495.89</v>
          </cell>
        </row>
        <row r="169">
          <cell r="A169" t="str">
            <v>Budget</v>
          </cell>
          <cell r="B169">
            <v>1</v>
          </cell>
          <cell r="C169" t="str">
            <v>Domestic</v>
          </cell>
          <cell r="D169">
            <v>2</v>
          </cell>
          <cell r="E169">
            <v>8379</v>
          </cell>
          <cell r="F169" t="str">
            <v>PRO-SERVE INCORPORATE</v>
          </cell>
          <cell r="G169" t="str">
            <v>D</v>
          </cell>
          <cell r="H169" t="str">
            <v>MEMPHIS</v>
          </cell>
          <cell r="I169" t="str">
            <v>TN</v>
          </cell>
          <cell r="J169" t="str">
            <v>USA</v>
          </cell>
          <cell r="K169" t="str">
            <v>PRO-SERVE INCORPORATE</v>
          </cell>
          <cell r="L169" t="str">
            <v>TN</v>
          </cell>
          <cell r="M169" t="str">
            <v>USA</v>
          </cell>
          <cell r="N169" t="str">
            <v>C</v>
          </cell>
          <cell r="O169">
            <v>22060410</v>
          </cell>
          <cell r="P169" t="str">
            <v>V-BOR 50LB BAG (004)</v>
          </cell>
          <cell r="Q169" t="str">
            <v>Penta</v>
          </cell>
          <cell r="R169">
            <v>38.11</v>
          </cell>
          <cell r="S169">
            <v>12215.78</v>
          </cell>
        </row>
        <row r="170">
          <cell r="A170" t="str">
            <v>Budget</v>
          </cell>
          <cell r="B170">
            <v>1</v>
          </cell>
          <cell r="C170" t="str">
            <v>Domestic</v>
          </cell>
          <cell r="D170">
            <v>2</v>
          </cell>
          <cell r="E170">
            <v>8383</v>
          </cell>
          <cell r="F170" t="str">
            <v>UNION ELECTRIC D/B/A AMEREN-UE</v>
          </cell>
          <cell r="G170" t="str">
            <v>D</v>
          </cell>
          <cell r="H170" t="str">
            <v>FULTON</v>
          </cell>
          <cell r="I170" t="str">
            <v>MO</v>
          </cell>
          <cell r="J170" t="str">
            <v>USA</v>
          </cell>
          <cell r="K170" t="str">
            <v>UNION ELECTRIC D/B/A AMEREN-UE</v>
          </cell>
          <cell r="L170" t="str">
            <v>MO</v>
          </cell>
          <cell r="M170" t="str">
            <v>USA</v>
          </cell>
          <cell r="N170" t="str">
            <v>C</v>
          </cell>
          <cell r="O170">
            <v>24609792</v>
          </cell>
          <cell r="P170" t="str">
            <v>BORIC ACID NS 150KG DRUM</v>
          </cell>
          <cell r="Q170" t="str">
            <v>HP Boric Acid (SCL)</v>
          </cell>
          <cell r="R170">
            <v>2.2400000000000002</v>
          </cell>
          <cell r="S170">
            <v>3524.57</v>
          </cell>
        </row>
        <row r="171">
          <cell r="A171" t="str">
            <v>Budget</v>
          </cell>
          <cell r="B171">
            <v>1</v>
          </cell>
          <cell r="C171" t="str">
            <v>Domestic</v>
          </cell>
          <cell r="D171">
            <v>2</v>
          </cell>
          <cell r="E171">
            <v>8388</v>
          </cell>
          <cell r="F171" t="str">
            <v>UNIVAR C/O GEORGIA PACIFIC</v>
          </cell>
          <cell r="G171" t="str">
            <v>D</v>
          </cell>
          <cell r="H171" t="str">
            <v>SURREY</v>
          </cell>
          <cell r="I171" t="str">
            <v>BC</v>
          </cell>
          <cell r="J171" t="str">
            <v>CAN</v>
          </cell>
          <cell r="K171" t="str">
            <v>UNIVAR CANADA LTD</v>
          </cell>
          <cell r="L171" t="str">
            <v>BC</v>
          </cell>
          <cell r="M171" t="str">
            <v>CAN</v>
          </cell>
          <cell r="N171" t="str">
            <v>D</v>
          </cell>
          <cell r="O171">
            <v>24090255</v>
          </cell>
          <cell r="P171" t="str">
            <v>BORIC ACID GRAN TECH 1 MT FIBC</v>
          </cell>
          <cell r="Q171" t="str">
            <v>Boric Acid</v>
          </cell>
          <cell r="R171">
            <v>7.47</v>
          </cell>
          <cell r="S171">
            <v>3973.67</v>
          </cell>
        </row>
        <row r="172">
          <cell r="A172" t="str">
            <v>Budget</v>
          </cell>
          <cell r="B172">
            <v>1</v>
          </cell>
          <cell r="C172" t="str">
            <v>Domestic</v>
          </cell>
          <cell r="D172">
            <v>2</v>
          </cell>
          <cell r="E172">
            <v>8447</v>
          </cell>
          <cell r="F172" t="str">
            <v>G.S. ROBINS &amp; CO.</v>
          </cell>
          <cell r="G172" t="str">
            <v>D</v>
          </cell>
          <cell r="H172" t="str">
            <v>QUINCY</v>
          </cell>
          <cell r="I172" t="str">
            <v>IL</v>
          </cell>
          <cell r="J172" t="str">
            <v>USA</v>
          </cell>
          <cell r="K172" t="str">
            <v>G.S. ROBINS &amp; CO.</v>
          </cell>
          <cell r="L172" t="str">
            <v>MO</v>
          </cell>
          <cell r="M172" t="str">
            <v>USA</v>
          </cell>
          <cell r="N172" t="str">
            <v>D</v>
          </cell>
          <cell r="O172">
            <v>22060410</v>
          </cell>
          <cell r="P172" t="str">
            <v>V-BOR 50LB BAG (004)</v>
          </cell>
          <cell r="Q172" t="str">
            <v>Penta</v>
          </cell>
          <cell r="R172">
            <v>1.87</v>
          </cell>
          <cell r="S172">
            <v>650.9</v>
          </cell>
        </row>
        <row r="173">
          <cell r="A173" t="str">
            <v>Budget</v>
          </cell>
          <cell r="B173">
            <v>1</v>
          </cell>
          <cell r="C173" t="str">
            <v>Domestic</v>
          </cell>
          <cell r="D173">
            <v>2</v>
          </cell>
          <cell r="E173">
            <v>8447</v>
          </cell>
          <cell r="F173" t="str">
            <v>G.S. ROBINS &amp; CO.</v>
          </cell>
          <cell r="G173" t="str">
            <v>D</v>
          </cell>
          <cell r="H173" t="str">
            <v>QUINCY</v>
          </cell>
          <cell r="I173" t="str">
            <v>IL</v>
          </cell>
          <cell r="J173" t="str">
            <v>USA</v>
          </cell>
          <cell r="K173" t="str">
            <v>G.S. ROBINS &amp; CO.</v>
          </cell>
          <cell r="L173" t="str">
            <v>MO</v>
          </cell>
          <cell r="M173" t="str">
            <v>USA</v>
          </cell>
          <cell r="N173" t="str">
            <v>D</v>
          </cell>
          <cell r="O173">
            <v>23060210</v>
          </cell>
          <cell r="P173" t="str">
            <v>DECA BORAX STD 50LB BAG</v>
          </cell>
          <cell r="Q173" t="str">
            <v>Deca</v>
          </cell>
          <cell r="R173">
            <v>0.21</v>
          </cell>
          <cell r="S173">
            <v>65.900000000000006</v>
          </cell>
        </row>
        <row r="174">
          <cell r="A174" t="str">
            <v>Budget</v>
          </cell>
          <cell r="B174">
            <v>1</v>
          </cell>
          <cell r="C174" t="str">
            <v>Domestic</v>
          </cell>
          <cell r="D174">
            <v>2</v>
          </cell>
          <cell r="E174">
            <v>8447</v>
          </cell>
          <cell r="F174" t="str">
            <v>G.S. ROBINS &amp; CO.</v>
          </cell>
          <cell r="G174" t="str">
            <v>D</v>
          </cell>
          <cell r="H174" t="str">
            <v>QUINCY</v>
          </cell>
          <cell r="I174" t="str">
            <v>IL</v>
          </cell>
          <cell r="J174" t="str">
            <v>USA</v>
          </cell>
          <cell r="K174" t="str">
            <v>G.S. ROBINS &amp; CO.</v>
          </cell>
          <cell r="L174" t="str">
            <v>MO</v>
          </cell>
          <cell r="M174" t="str">
            <v>USA</v>
          </cell>
          <cell r="N174" t="str">
            <v>D</v>
          </cell>
          <cell r="O174">
            <v>24030210</v>
          </cell>
          <cell r="P174" t="str">
            <v>BORIC ACID PWD TECH 50LB BAG</v>
          </cell>
          <cell r="Q174" t="str">
            <v>Boric Acid</v>
          </cell>
          <cell r="R174">
            <v>1.42</v>
          </cell>
          <cell r="S174">
            <v>946.99</v>
          </cell>
        </row>
        <row r="175">
          <cell r="A175" t="str">
            <v>Budget</v>
          </cell>
          <cell r="B175">
            <v>1</v>
          </cell>
          <cell r="C175" t="str">
            <v>Domestic</v>
          </cell>
          <cell r="D175">
            <v>2</v>
          </cell>
          <cell r="E175">
            <v>8517</v>
          </cell>
          <cell r="F175" t="str">
            <v>RANDALL INDUSTRIES</v>
          </cell>
          <cell r="G175" t="str">
            <v>D</v>
          </cell>
          <cell r="H175" t="str">
            <v>GRAND JUNCTION</v>
          </cell>
          <cell r="I175" t="str">
            <v>CO</v>
          </cell>
          <cell r="J175" t="str">
            <v>USA</v>
          </cell>
          <cell r="K175" t="str">
            <v>RANDALL INDUSTRIES</v>
          </cell>
          <cell r="L175" t="str">
            <v>CO</v>
          </cell>
          <cell r="M175" t="str">
            <v>USA</v>
          </cell>
          <cell r="N175" t="str">
            <v>C</v>
          </cell>
          <cell r="O175">
            <v>24030210</v>
          </cell>
          <cell r="P175" t="str">
            <v>BORIC ACID PWD TECH 50LB BAG</v>
          </cell>
          <cell r="Q175" t="str">
            <v>Boric Acid</v>
          </cell>
          <cell r="R175">
            <v>1.02</v>
          </cell>
          <cell r="S175">
            <v>899.51</v>
          </cell>
        </row>
        <row r="176">
          <cell r="A176" t="str">
            <v>Budget</v>
          </cell>
          <cell r="B176">
            <v>1</v>
          </cell>
          <cell r="C176" t="str">
            <v>Domestic</v>
          </cell>
          <cell r="D176">
            <v>2</v>
          </cell>
          <cell r="E176">
            <v>8517</v>
          </cell>
          <cell r="F176" t="str">
            <v>RANDALL INDUSTRIES</v>
          </cell>
          <cell r="G176" t="str">
            <v>D</v>
          </cell>
          <cell r="H176" t="str">
            <v>GRAND JUNCTION</v>
          </cell>
          <cell r="I176" t="str">
            <v>CO</v>
          </cell>
          <cell r="J176" t="str">
            <v>USA</v>
          </cell>
          <cell r="K176" t="str">
            <v>RANDALL INDUSTRIES</v>
          </cell>
          <cell r="L176" t="str">
            <v>CO</v>
          </cell>
          <cell r="M176" t="str">
            <v>USA</v>
          </cell>
          <cell r="N176" t="str">
            <v>C</v>
          </cell>
          <cell r="O176">
            <v>30210110</v>
          </cell>
          <cell r="P176" t="str">
            <v>SODA ASH DENSE 50LB BAG</v>
          </cell>
          <cell r="Q176" t="str">
            <v>Soda Ash</v>
          </cell>
          <cell r="R176">
            <v>1.25</v>
          </cell>
          <cell r="S176">
            <v>220.38</v>
          </cell>
        </row>
        <row r="177">
          <cell r="A177" t="str">
            <v>Budget</v>
          </cell>
          <cell r="B177">
            <v>1</v>
          </cell>
          <cell r="C177" t="str">
            <v>Domestic</v>
          </cell>
          <cell r="D177">
            <v>2</v>
          </cell>
          <cell r="E177">
            <v>8634</v>
          </cell>
          <cell r="F177" t="str">
            <v>CENTRAL FIBER</v>
          </cell>
          <cell r="G177" t="str">
            <v>D</v>
          </cell>
          <cell r="H177" t="str">
            <v>WELLSVILLE</v>
          </cell>
          <cell r="I177" t="str">
            <v>KS</v>
          </cell>
          <cell r="J177" t="str">
            <v>USA</v>
          </cell>
          <cell r="K177" t="str">
            <v>CENTRAL FIBER</v>
          </cell>
          <cell r="L177" t="str">
            <v>KS</v>
          </cell>
          <cell r="M177" t="str">
            <v>USA</v>
          </cell>
          <cell r="O177">
            <v>22060410</v>
          </cell>
          <cell r="P177" t="str">
            <v>V-BOR 50LB BAG (004)</v>
          </cell>
          <cell r="Q177" t="str">
            <v>Penta</v>
          </cell>
          <cell r="R177">
            <v>3.74</v>
          </cell>
          <cell r="S177">
            <v>1247.25</v>
          </cell>
        </row>
        <row r="178">
          <cell r="A178" t="str">
            <v>Budget</v>
          </cell>
          <cell r="B178">
            <v>1</v>
          </cell>
          <cell r="C178" t="str">
            <v>Domestic</v>
          </cell>
          <cell r="D178">
            <v>2</v>
          </cell>
          <cell r="E178">
            <v>9056</v>
          </cell>
          <cell r="F178" t="str">
            <v>INACTIVE-BRENNTAG MID-SOUTH, I</v>
          </cell>
          <cell r="G178" t="str">
            <v>D</v>
          </cell>
          <cell r="H178" t="str">
            <v>MEMPHIS</v>
          </cell>
          <cell r="I178" t="str">
            <v>TN</v>
          </cell>
          <cell r="J178" t="str">
            <v>USA</v>
          </cell>
          <cell r="K178" t="str">
            <v>BRENNTAG MID-SOUTH, INC.</v>
          </cell>
          <cell r="L178" t="str">
            <v>KY</v>
          </cell>
          <cell r="M178" t="str">
            <v>USA</v>
          </cell>
          <cell r="N178" t="str">
            <v>D</v>
          </cell>
          <cell r="O178">
            <v>24090210</v>
          </cell>
          <cell r="P178" t="str">
            <v>BORIC ACID GRAN TECH 50LB BAG</v>
          </cell>
          <cell r="Q178" t="str">
            <v>Boric Acid</v>
          </cell>
          <cell r="R178">
            <v>8.4700000000000006</v>
          </cell>
          <cell r="S178">
            <v>5590.16</v>
          </cell>
        </row>
        <row r="179">
          <cell r="A179" t="str">
            <v>Budget</v>
          </cell>
          <cell r="B179">
            <v>1</v>
          </cell>
          <cell r="C179" t="str">
            <v>Domestic</v>
          </cell>
          <cell r="D179">
            <v>2</v>
          </cell>
          <cell r="E179">
            <v>9057</v>
          </cell>
          <cell r="F179" t="str">
            <v>BRENNTAG MID-SOUTH, INC.</v>
          </cell>
          <cell r="G179" t="str">
            <v>D</v>
          </cell>
          <cell r="H179" t="str">
            <v>SPRINGFIELD</v>
          </cell>
          <cell r="I179" t="str">
            <v>MO</v>
          </cell>
          <cell r="J179" t="str">
            <v>USA</v>
          </cell>
          <cell r="K179" t="str">
            <v>BRENNTAG MID-SOUTH, INC.</v>
          </cell>
          <cell r="L179" t="str">
            <v>KY</v>
          </cell>
          <cell r="M179" t="str">
            <v>USA</v>
          </cell>
          <cell r="N179" t="str">
            <v>D</v>
          </cell>
          <cell r="O179">
            <v>23060210</v>
          </cell>
          <cell r="P179" t="str">
            <v>DECA BORAX STD 50LB BAG</v>
          </cell>
          <cell r="Q179" t="str">
            <v>Deca</v>
          </cell>
          <cell r="R179">
            <v>7.47</v>
          </cell>
          <cell r="S179">
            <v>2726.73</v>
          </cell>
        </row>
        <row r="180">
          <cell r="A180" t="str">
            <v>Budget</v>
          </cell>
          <cell r="B180">
            <v>1</v>
          </cell>
          <cell r="C180" t="str">
            <v>Domestic</v>
          </cell>
          <cell r="D180">
            <v>2</v>
          </cell>
          <cell r="E180">
            <v>9078</v>
          </cell>
          <cell r="F180" t="str">
            <v>QUADRA CHEMICAL WESTERN INC.</v>
          </cell>
          <cell r="G180" t="str">
            <v>D</v>
          </cell>
          <cell r="H180" t="str">
            <v>PORTLAND</v>
          </cell>
          <cell r="I180" t="str">
            <v>OR</v>
          </cell>
          <cell r="J180" t="str">
            <v>USA</v>
          </cell>
          <cell r="K180" t="str">
            <v>QUADRA CHEMICAL WESTERN INC.</v>
          </cell>
          <cell r="L180" t="str">
            <v>OR</v>
          </cell>
          <cell r="M180" t="str">
            <v>USA</v>
          </cell>
          <cell r="N180" t="str">
            <v>D</v>
          </cell>
          <cell r="O180">
            <v>22060410</v>
          </cell>
          <cell r="P180" t="str">
            <v>V-BOR 50LB BAG (004)</v>
          </cell>
          <cell r="Q180" t="str">
            <v>Penta</v>
          </cell>
          <cell r="R180">
            <v>2.08</v>
          </cell>
          <cell r="S180">
            <v>835.48</v>
          </cell>
        </row>
        <row r="181">
          <cell r="A181" t="str">
            <v>Budget</v>
          </cell>
          <cell r="B181">
            <v>1</v>
          </cell>
          <cell r="C181" t="str">
            <v>Domestic</v>
          </cell>
          <cell r="D181">
            <v>2</v>
          </cell>
          <cell r="E181">
            <v>9078</v>
          </cell>
          <cell r="F181" t="str">
            <v>QUADRA CHEMICAL WESTERN INC.</v>
          </cell>
          <cell r="G181" t="str">
            <v>D</v>
          </cell>
          <cell r="H181" t="str">
            <v>PORTLAND</v>
          </cell>
          <cell r="I181" t="str">
            <v>OR</v>
          </cell>
          <cell r="J181" t="str">
            <v>USA</v>
          </cell>
          <cell r="K181" t="str">
            <v>QUADRA CHEMICAL WESTERN INC.</v>
          </cell>
          <cell r="L181" t="str">
            <v>OR</v>
          </cell>
          <cell r="M181" t="str">
            <v>USA</v>
          </cell>
          <cell r="N181" t="str">
            <v>D</v>
          </cell>
          <cell r="O181">
            <v>23060210</v>
          </cell>
          <cell r="P181" t="str">
            <v>DECA BORAX STD 50LB BAG</v>
          </cell>
          <cell r="Q181" t="str">
            <v>Deca</v>
          </cell>
          <cell r="R181">
            <v>2.7</v>
          </cell>
          <cell r="S181">
            <v>984.8</v>
          </cell>
        </row>
        <row r="182">
          <cell r="A182" t="str">
            <v>Budget</v>
          </cell>
          <cell r="B182">
            <v>1</v>
          </cell>
          <cell r="C182" t="str">
            <v>Domestic</v>
          </cell>
          <cell r="D182">
            <v>2</v>
          </cell>
          <cell r="E182">
            <v>9421</v>
          </cell>
          <cell r="F182" t="str">
            <v>INACTIVE-LOVELAND INDUSTRIES I</v>
          </cell>
          <cell r="G182" t="str">
            <v>D</v>
          </cell>
          <cell r="H182" t="str">
            <v>ST. JOSEPH</v>
          </cell>
          <cell r="I182" t="str">
            <v>MO</v>
          </cell>
          <cell r="J182" t="str">
            <v>USA</v>
          </cell>
          <cell r="K182" t="str">
            <v>INACTIVE-LOVELAND INDUSTRIES I</v>
          </cell>
          <cell r="L182" t="str">
            <v>MO</v>
          </cell>
          <cell r="M182" t="str">
            <v>USA</v>
          </cell>
          <cell r="N182" t="str">
            <v>C</v>
          </cell>
          <cell r="O182">
            <v>24730210</v>
          </cell>
          <cell r="P182" t="str">
            <v>BORIC ACID PWD PEST 50LB BAG</v>
          </cell>
          <cell r="Q182" t="str">
            <v>Boric Acid</v>
          </cell>
          <cell r="R182">
            <v>8.4700000000000006</v>
          </cell>
          <cell r="S182">
            <v>6310.11</v>
          </cell>
        </row>
        <row r="183">
          <cell r="A183" t="str">
            <v>Budget</v>
          </cell>
          <cell r="B183">
            <v>1</v>
          </cell>
          <cell r="C183" t="str">
            <v>Domestic</v>
          </cell>
          <cell r="D183">
            <v>2</v>
          </cell>
          <cell r="E183">
            <v>9428</v>
          </cell>
          <cell r="F183" t="str">
            <v>USG INTERIORS</v>
          </cell>
          <cell r="G183" t="str">
            <v>D</v>
          </cell>
          <cell r="H183" t="str">
            <v>GREENVILLE</v>
          </cell>
          <cell r="I183" t="str">
            <v>MS</v>
          </cell>
          <cell r="J183" t="str">
            <v>USA</v>
          </cell>
          <cell r="K183" t="str">
            <v>BRENNTAG MID-SOUTH, INC.</v>
          </cell>
          <cell r="L183" t="str">
            <v>KY</v>
          </cell>
          <cell r="M183" t="str">
            <v>USA</v>
          </cell>
          <cell r="N183" t="str">
            <v>D</v>
          </cell>
          <cell r="O183">
            <v>24090210</v>
          </cell>
          <cell r="P183" t="str">
            <v>BORIC ACID GRAN TECH 50LB BAG</v>
          </cell>
          <cell r="Q183" t="str">
            <v>Boric Acid</v>
          </cell>
          <cell r="R183">
            <v>8.4700000000000006</v>
          </cell>
          <cell r="S183">
            <v>3813.14</v>
          </cell>
        </row>
        <row r="184">
          <cell r="A184" t="str">
            <v>Budget</v>
          </cell>
          <cell r="B184">
            <v>1</v>
          </cell>
          <cell r="C184" t="str">
            <v>Domestic</v>
          </cell>
          <cell r="D184">
            <v>2</v>
          </cell>
          <cell r="E184">
            <v>9514</v>
          </cell>
          <cell r="F184" t="str">
            <v>AMT LABS</v>
          </cell>
          <cell r="G184" t="str">
            <v>D</v>
          </cell>
          <cell r="H184" t="str">
            <v>NORTH SALT LAKE CITY</v>
          </cell>
          <cell r="I184" t="str">
            <v>UT</v>
          </cell>
          <cell r="J184" t="str">
            <v>USA</v>
          </cell>
          <cell r="K184" t="str">
            <v>QUADRA CHEMICAL WESTERN INC.</v>
          </cell>
          <cell r="L184" t="str">
            <v>OR</v>
          </cell>
          <cell r="M184" t="str">
            <v>USA</v>
          </cell>
          <cell r="N184" t="str">
            <v>D</v>
          </cell>
          <cell r="O184">
            <v>24629720</v>
          </cell>
          <cell r="P184" t="str">
            <v>BORIC ACID EP GRAN 25KG BAG</v>
          </cell>
          <cell r="Q184" t="str">
            <v>HP Boric Acid (SCL)</v>
          </cell>
          <cell r="R184">
            <v>0.16</v>
          </cell>
          <cell r="S184">
            <v>167.73</v>
          </cell>
        </row>
        <row r="185">
          <cell r="A185" t="str">
            <v>Budget</v>
          </cell>
          <cell r="B185">
            <v>1</v>
          </cell>
          <cell r="C185" t="str">
            <v>Domestic</v>
          </cell>
          <cell r="D185">
            <v>3</v>
          </cell>
          <cell r="E185">
            <v>5056</v>
          </cell>
          <cell r="F185" t="str">
            <v>ACCESS BUSINESS GROUP</v>
          </cell>
          <cell r="G185" t="str">
            <v>D</v>
          </cell>
          <cell r="H185" t="str">
            <v>ADA</v>
          </cell>
          <cell r="I185" t="str">
            <v>MI</v>
          </cell>
          <cell r="J185" t="str">
            <v>USA</v>
          </cell>
          <cell r="K185" t="str">
            <v>ACCESS BUSINESS GROUP</v>
          </cell>
          <cell r="L185" t="str">
            <v>MI</v>
          </cell>
          <cell r="M185" t="str">
            <v>USA</v>
          </cell>
          <cell r="N185" t="str">
            <v>C</v>
          </cell>
          <cell r="O185">
            <v>40060400</v>
          </cell>
          <cell r="P185" t="str">
            <v>SODIUM SULFATE STANDARD BULK</v>
          </cell>
          <cell r="Q185" t="str">
            <v>Sodium Sulfate</v>
          </cell>
          <cell r="R185">
            <v>16.850000000000001</v>
          </cell>
          <cell r="S185">
            <v>543.12</v>
          </cell>
        </row>
        <row r="186">
          <cell r="A186" t="str">
            <v>Budget</v>
          </cell>
          <cell r="B186">
            <v>1</v>
          </cell>
          <cell r="C186" t="str">
            <v>Domestic</v>
          </cell>
          <cell r="D186">
            <v>3</v>
          </cell>
          <cell r="E186">
            <v>5056</v>
          </cell>
          <cell r="F186" t="str">
            <v>ACCESS BUSINESS GROUP</v>
          </cell>
          <cell r="G186" t="str">
            <v>D</v>
          </cell>
          <cell r="H186" t="str">
            <v>ADA</v>
          </cell>
          <cell r="I186" t="str">
            <v>MI</v>
          </cell>
          <cell r="J186" t="str">
            <v>USA</v>
          </cell>
          <cell r="K186" t="str">
            <v>ACCESS BUSINESS GROUP</v>
          </cell>
          <cell r="L186" t="str">
            <v>MI</v>
          </cell>
          <cell r="M186" t="str">
            <v>USA</v>
          </cell>
          <cell r="N186" t="str">
            <v>C</v>
          </cell>
          <cell r="O186">
            <v>40150400</v>
          </cell>
          <cell r="P186" t="str">
            <v>SODIUM SULFATE COARSE BULK</v>
          </cell>
          <cell r="Q186" t="str">
            <v>Sodium Sulfate</v>
          </cell>
          <cell r="R186">
            <v>20.23</v>
          </cell>
          <cell r="S186">
            <v>930.97</v>
          </cell>
        </row>
        <row r="187">
          <cell r="A187" t="str">
            <v>Budget</v>
          </cell>
          <cell r="B187">
            <v>1</v>
          </cell>
          <cell r="C187" t="str">
            <v>Domestic</v>
          </cell>
          <cell r="D187">
            <v>3</v>
          </cell>
          <cell r="E187">
            <v>5196</v>
          </cell>
          <cell r="F187" t="str">
            <v>GENERAL ELECTRIC COMPANY</v>
          </cell>
          <cell r="G187" t="str">
            <v>D</v>
          </cell>
          <cell r="H187" t="str">
            <v>NILES</v>
          </cell>
          <cell r="I187" t="str">
            <v>OH</v>
          </cell>
          <cell r="J187" t="str">
            <v>USA</v>
          </cell>
          <cell r="K187" t="str">
            <v>GENERAL ELECTRIC COMPANY</v>
          </cell>
          <cell r="L187" t="str">
            <v>OH</v>
          </cell>
          <cell r="M187" t="str">
            <v>USA</v>
          </cell>
          <cell r="N187" t="str">
            <v>C</v>
          </cell>
          <cell r="O187">
            <v>24090200</v>
          </cell>
          <cell r="P187" t="str">
            <v>BORIC ACID GRAN TECH BULK</v>
          </cell>
          <cell r="Q187" t="str">
            <v>Boric Acid</v>
          </cell>
          <cell r="R187">
            <v>157.09</v>
          </cell>
          <cell r="S187">
            <v>69588.679999999993</v>
          </cell>
        </row>
        <row r="188">
          <cell r="A188" t="str">
            <v>Budget</v>
          </cell>
          <cell r="B188">
            <v>1</v>
          </cell>
          <cell r="C188" t="str">
            <v>Domestic</v>
          </cell>
          <cell r="D188">
            <v>3</v>
          </cell>
          <cell r="E188">
            <v>5209</v>
          </cell>
          <cell r="F188" t="str">
            <v>GUARDIAN INDUSTRIES</v>
          </cell>
          <cell r="G188" t="str">
            <v>D</v>
          </cell>
          <cell r="H188" t="str">
            <v>KINGSBURG</v>
          </cell>
          <cell r="I188" t="str">
            <v>CA</v>
          </cell>
          <cell r="J188" t="str">
            <v>USA</v>
          </cell>
          <cell r="K188" t="str">
            <v>GUARDIAN INDUSTRIES</v>
          </cell>
          <cell r="L188" t="str">
            <v>CA</v>
          </cell>
          <cell r="M188" t="str">
            <v>USA</v>
          </cell>
          <cell r="N188" t="str">
            <v>C</v>
          </cell>
          <cell r="O188">
            <v>30210100</v>
          </cell>
          <cell r="P188" t="str">
            <v>SODA ASH DENSE BULK</v>
          </cell>
          <cell r="Q188" t="str">
            <v>Soda Ash</v>
          </cell>
          <cell r="R188">
            <v>1926</v>
          </cell>
          <cell r="S188">
            <v>150613.35999999999</v>
          </cell>
        </row>
        <row r="189">
          <cell r="A189" t="str">
            <v>Budget</v>
          </cell>
          <cell r="B189">
            <v>1</v>
          </cell>
          <cell r="C189" t="str">
            <v>Domestic</v>
          </cell>
          <cell r="D189">
            <v>3</v>
          </cell>
          <cell r="E189">
            <v>5209</v>
          </cell>
          <cell r="F189" t="str">
            <v>GUARDIAN INDUSTRIES</v>
          </cell>
          <cell r="G189" t="str">
            <v>D</v>
          </cell>
          <cell r="H189" t="str">
            <v>KINGSBURG</v>
          </cell>
          <cell r="I189" t="str">
            <v>CA</v>
          </cell>
          <cell r="J189" t="str">
            <v>USA</v>
          </cell>
          <cell r="K189" t="str">
            <v>GUARDIAN INDUSTRIES</v>
          </cell>
          <cell r="L189" t="str">
            <v>CA</v>
          </cell>
          <cell r="M189" t="str">
            <v>USA</v>
          </cell>
          <cell r="N189" t="str">
            <v>C</v>
          </cell>
          <cell r="O189">
            <v>40150400</v>
          </cell>
          <cell r="P189" t="str">
            <v>SODIUM SULFATE COARSE BULK</v>
          </cell>
          <cell r="Q189" t="str">
            <v>Sodium Sulfate</v>
          </cell>
          <cell r="R189">
            <v>96.95</v>
          </cell>
          <cell r="S189">
            <v>10837.49</v>
          </cell>
        </row>
        <row r="190">
          <cell r="A190" t="str">
            <v>Budget</v>
          </cell>
          <cell r="B190">
            <v>1</v>
          </cell>
          <cell r="C190" t="str">
            <v>Domestic</v>
          </cell>
          <cell r="D190">
            <v>3</v>
          </cell>
          <cell r="E190">
            <v>5249</v>
          </cell>
          <cell r="F190" t="str">
            <v>GUARDIAN INDUSTRIES</v>
          </cell>
          <cell r="G190" t="str">
            <v>D</v>
          </cell>
          <cell r="H190" t="str">
            <v>CORSICANA</v>
          </cell>
          <cell r="I190" t="str">
            <v>TX</v>
          </cell>
          <cell r="J190" t="str">
            <v>USA</v>
          </cell>
          <cell r="K190" t="str">
            <v>GUARDIAN INDUSTRIES</v>
          </cell>
          <cell r="L190" t="str">
            <v>TX</v>
          </cell>
          <cell r="M190" t="str">
            <v>USA</v>
          </cell>
          <cell r="N190" t="str">
            <v>C</v>
          </cell>
          <cell r="O190">
            <v>30210100</v>
          </cell>
          <cell r="P190" t="str">
            <v>SODA ASH DENSE BULK</v>
          </cell>
          <cell r="Q190" t="str">
            <v>Soda Ash</v>
          </cell>
          <cell r="R190">
            <v>2780.03</v>
          </cell>
          <cell r="S190">
            <v>183009.66</v>
          </cell>
        </row>
        <row r="191">
          <cell r="A191" t="str">
            <v>Budget</v>
          </cell>
          <cell r="B191">
            <v>1</v>
          </cell>
          <cell r="C191" t="str">
            <v>Domestic</v>
          </cell>
          <cell r="D191">
            <v>3</v>
          </cell>
          <cell r="E191">
            <v>5278</v>
          </cell>
          <cell r="F191" t="str">
            <v>MILPORT ENTERPRISES INC</v>
          </cell>
          <cell r="G191" t="str">
            <v>D</v>
          </cell>
          <cell r="H191" t="str">
            <v>MILWAUKEE</v>
          </cell>
          <cell r="I191" t="str">
            <v>WI</v>
          </cell>
          <cell r="J191" t="str">
            <v>USA</v>
          </cell>
          <cell r="K191" t="str">
            <v>MILPORT ENTERPRISES INC</v>
          </cell>
          <cell r="L191" t="str">
            <v>WI</v>
          </cell>
          <cell r="M191" t="str">
            <v>USA</v>
          </cell>
          <cell r="N191" t="str">
            <v>D</v>
          </cell>
          <cell r="O191">
            <v>22060410</v>
          </cell>
          <cell r="P191" t="str">
            <v>V-BOR 50LB BAG (004)</v>
          </cell>
          <cell r="Q191" t="str">
            <v>Penta</v>
          </cell>
          <cell r="R191">
            <v>2.4900000000000002</v>
          </cell>
          <cell r="S191">
            <v>1076.0999999999999</v>
          </cell>
        </row>
        <row r="192">
          <cell r="A192" t="str">
            <v>Budget</v>
          </cell>
          <cell r="B192">
            <v>1</v>
          </cell>
          <cell r="C192" t="str">
            <v>Domestic</v>
          </cell>
          <cell r="D192">
            <v>3</v>
          </cell>
          <cell r="E192">
            <v>5278</v>
          </cell>
          <cell r="F192" t="str">
            <v>MILPORT ENTERPRISES INC</v>
          </cell>
          <cell r="G192" t="str">
            <v>D</v>
          </cell>
          <cell r="H192" t="str">
            <v>MILWAUKEE</v>
          </cell>
          <cell r="I192" t="str">
            <v>WI</v>
          </cell>
          <cell r="J192" t="str">
            <v>USA</v>
          </cell>
          <cell r="K192" t="str">
            <v>MILPORT ENTERPRISES INC</v>
          </cell>
          <cell r="L192" t="str">
            <v>WI</v>
          </cell>
          <cell r="M192" t="str">
            <v>USA</v>
          </cell>
          <cell r="N192" t="str">
            <v>D</v>
          </cell>
          <cell r="O192">
            <v>24090210</v>
          </cell>
          <cell r="P192" t="str">
            <v>BORIC ACID GRAN TECH 50LB BAG</v>
          </cell>
          <cell r="Q192" t="str">
            <v>Boric Acid</v>
          </cell>
          <cell r="R192">
            <v>5.08</v>
          </cell>
          <cell r="S192">
            <v>4199.9399999999996</v>
          </cell>
        </row>
        <row r="193">
          <cell r="A193" t="str">
            <v>Budget</v>
          </cell>
          <cell r="B193">
            <v>1</v>
          </cell>
          <cell r="C193" t="str">
            <v>Domestic</v>
          </cell>
          <cell r="D193">
            <v>3</v>
          </cell>
          <cell r="E193">
            <v>5278</v>
          </cell>
          <cell r="F193" t="str">
            <v>MILPORT ENTERPRISES INC</v>
          </cell>
          <cell r="G193" t="str">
            <v>D</v>
          </cell>
          <cell r="H193" t="str">
            <v>MILWAUKEE</v>
          </cell>
          <cell r="I193" t="str">
            <v>WI</v>
          </cell>
          <cell r="J193" t="str">
            <v>USA</v>
          </cell>
          <cell r="K193" t="str">
            <v>MILPORT ENTERPRISES INC</v>
          </cell>
          <cell r="L193" t="str">
            <v>WI</v>
          </cell>
          <cell r="M193" t="str">
            <v>USA</v>
          </cell>
          <cell r="N193" t="str">
            <v>D</v>
          </cell>
          <cell r="O193">
            <v>40060410</v>
          </cell>
          <cell r="P193" t="str">
            <v>SODIUM SULFATE STD 50LB BAG</v>
          </cell>
          <cell r="Q193" t="str">
            <v>Sodium Sulfate</v>
          </cell>
          <cell r="R193">
            <v>8.0500000000000007</v>
          </cell>
          <cell r="S193">
            <v>1280.32</v>
          </cell>
        </row>
        <row r="194">
          <cell r="A194" t="str">
            <v>Budget</v>
          </cell>
          <cell r="B194">
            <v>1</v>
          </cell>
          <cell r="C194" t="str">
            <v>Domestic</v>
          </cell>
          <cell r="D194">
            <v>3</v>
          </cell>
          <cell r="E194">
            <v>5310</v>
          </cell>
          <cell r="F194" t="str">
            <v>LIBBEY GLASS, INC.</v>
          </cell>
          <cell r="G194" t="str">
            <v>D</v>
          </cell>
          <cell r="H194" t="str">
            <v>CITY OF INDUSTRY</v>
          </cell>
          <cell r="I194" t="str">
            <v>CA</v>
          </cell>
          <cell r="J194" t="str">
            <v>USA</v>
          </cell>
          <cell r="K194" t="str">
            <v>LIBBEY GLASS, INC.</v>
          </cell>
          <cell r="L194" t="str">
            <v>CA</v>
          </cell>
          <cell r="M194" t="str">
            <v>USA</v>
          </cell>
          <cell r="N194" t="str">
            <v>C</v>
          </cell>
          <cell r="O194">
            <v>30210100</v>
          </cell>
          <cell r="P194" t="str">
            <v>SODA ASH DENSE BULK</v>
          </cell>
          <cell r="Q194" t="str">
            <v>Soda Ash</v>
          </cell>
          <cell r="R194">
            <v>340.42</v>
          </cell>
          <cell r="S194">
            <v>33789.760000000002</v>
          </cell>
        </row>
        <row r="195">
          <cell r="A195" t="str">
            <v>Budget</v>
          </cell>
          <cell r="B195">
            <v>1</v>
          </cell>
          <cell r="C195" t="str">
            <v>Domestic</v>
          </cell>
          <cell r="D195">
            <v>3</v>
          </cell>
          <cell r="E195">
            <v>5310</v>
          </cell>
          <cell r="F195" t="str">
            <v>LIBBEY GLASS, INC.</v>
          </cell>
          <cell r="G195" t="str">
            <v>D</v>
          </cell>
          <cell r="H195" t="str">
            <v>CITY OF INDUSTRY</v>
          </cell>
          <cell r="I195" t="str">
            <v>CA</v>
          </cell>
          <cell r="J195" t="str">
            <v>USA</v>
          </cell>
          <cell r="K195" t="str">
            <v>LIBBEY GLASS, INC.</v>
          </cell>
          <cell r="L195" t="str">
            <v>CA</v>
          </cell>
          <cell r="M195" t="str">
            <v>USA</v>
          </cell>
          <cell r="N195" t="str">
            <v>C</v>
          </cell>
          <cell r="O195">
            <v>40150450</v>
          </cell>
          <cell r="P195" t="str">
            <v>SODIUM SULFATE CRS 1TN FIBC</v>
          </cell>
          <cell r="Q195" t="str">
            <v>Sodium Sulfate</v>
          </cell>
          <cell r="R195">
            <v>0.68</v>
          </cell>
          <cell r="S195">
            <v>131.62</v>
          </cell>
        </row>
        <row r="196">
          <cell r="A196" t="str">
            <v>Budget</v>
          </cell>
          <cell r="B196">
            <v>1</v>
          </cell>
          <cell r="C196" t="str">
            <v>Domestic</v>
          </cell>
          <cell r="D196">
            <v>3</v>
          </cell>
          <cell r="E196">
            <v>5310</v>
          </cell>
          <cell r="F196" t="str">
            <v>LIBBEY GLASS, INC.</v>
          </cell>
          <cell r="G196" t="str">
            <v>D</v>
          </cell>
          <cell r="H196" t="str">
            <v>CITY OF INDUSTRY</v>
          </cell>
          <cell r="I196" t="str">
            <v>CA</v>
          </cell>
          <cell r="J196" t="str">
            <v>USA</v>
          </cell>
          <cell r="K196" t="str">
            <v>LIBBEY GLASS, INC.</v>
          </cell>
          <cell r="L196" t="str">
            <v>CA</v>
          </cell>
          <cell r="M196" t="str">
            <v>USA</v>
          </cell>
          <cell r="N196" t="str">
            <v>C</v>
          </cell>
          <cell r="O196">
            <v>40150451</v>
          </cell>
          <cell r="P196" t="str">
            <v>SODIUM SULFATE CRS 2200LB FIBC</v>
          </cell>
          <cell r="Q196" t="str">
            <v>Sodium Sulfate</v>
          </cell>
          <cell r="R196">
            <v>10.43</v>
          </cell>
          <cell r="S196">
            <v>2034</v>
          </cell>
        </row>
        <row r="197">
          <cell r="A197" t="str">
            <v>Budget</v>
          </cell>
          <cell r="B197">
            <v>1</v>
          </cell>
          <cell r="C197" t="str">
            <v>Domestic</v>
          </cell>
          <cell r="D197">
            <v>3</v>
          </cell>
          <cell r="E197">
            <v>5383</v>
          </cell>
          <cell r="F197" t="str">
            <v>ULRICH CHEMICAL, INC.</v>
          </cell>
          <cell r="G197" t="str">
            <v>D</v>
          </cell>
          <cell r="H197" t="str">
            <v>INDIANAPOLIS</v>
          </cell>
          <cell r="I197" t="str">
            <v>IN</v>
          </cell>
          <cell r="J197" t="str">
            <v>USA</v>
          </cell>
          <cell r="K197" t="str">
            <v>ULRICH CHEMICAL, INC.</v>
          </cell>
          <cell r="L197" t="str">
            <v>IN</v>
          </cell>
          <cell r="M197" t="str">
            <v>USA</v>
          </cell>
          <cell r="N197" t="str">
            <v>D</v>
          </cell>
          <cell r="O197">
            <v>22060410</v>
          </cell>
          <cell r="P197" t="str">
            <v>V-BOR 50LB BAG (004)</v>
          </cell>
          <cell r="Q197" t="str">
            <v>Penta</v>
          </cell>
          <cell r="R197">
            <v>3.11</v>
          </cell>
          <cell r="S197">
            <v>1273.97</v>
          </cell>
        </row>
        <row r="198">
          <cell r="A198" t="str">
            <v>Budget</v>
          </cell>
          <cell r="B198">
            <v>1</v>
          </cell>
          <cell r="C198" t="str">
            <v>Domestic</v>
          </cell>
          <cell r="D198">
            <v>3</v>
          </cell>
          <cell r="E198">
            <v>5383</v>
          </cell>
          <cell r="F198" t="str">
            <v>ULRICH CHEMICAL, INC.</v>
          </cell>
          <cell r="G198" t="str">
            <v>D</v>
          </cell>
          <cell r="H198" t="str">
            <v>INDIANAPOLIS</v>
          </cell>
          <cell r="I198" t="str">
            <v>IN</v>
          </cell>
          <cell r="J198" t="str">
            <v>USA</v>
          </cell>
          <cell r="K198" t="str">
            <v>ULRICH CHEMICAL, INC.</v>
          </cell>
          <cell r="L198" t="str">
            <v>IN</v>
          </cell>
          <cell r="M198" t="str">
            <v>USA</v>
          </cell>
          <cell r="N198" t="str">
            <v>D</v>
          </cell>
          <cell r="O198">
            <v>24090210</v>
          </cell>
          <cell r="P198" t="str">
            <v>BORIC ACID GRAN TECH 50LB BAG</v>
          </cell>
          <cell r="Q198" t="str">
            <v>Boric Acid</v>
          </cell>
          <cell r="R198">
            <v>7.89</v>
          </cell>
          <cell r="S198">
            <v>6165.98</v>
          </cell>
        </row>
        <row r="199">
          <cell r="A199" t="str">
            <v>Budget</v>
          </cell>
          <cell r="B199">
            <v>1</v>
          </cell>
          <cell r="C199" t="str">
            <v>Domestic</v>
          </cell>
          <cell r="D199">
            <v>3</v>
          </cell>
          <cell r="E199">
            <v>5383</v>
          </cell>
          <cell r="F199" t="str">
            <v>ULRICH CHEMICAL, INC.</v>
          </cell>
          <cell r="G199" t="str">
            <v>D</v>
          </cell>
          <cell r="H199" t="str">
            <v>INDIANAPOLIS</v>
          </cell>
          <cell r="I199" t="str">
            <v>IN</v>
          </cell>
          <cell r="J199" t="str">
            <v>USA</v>
          </cell>
          <cell r="K199" t="str">
            <v>ULRICH CHEMICAL, INC.</v>
          </cell>
          <cell r="L199" t="str">
            <v>IN</v>
          </cell>
          <cell r="M199" t="str">
            <v>USA</v>
          </cell>
          <cell r="N199" t="str">
            <v>D</v>
          </cell>
          <cell r="O199">
            <v>28069710</v>
          </cell>
          <cell r="P199" t="str">
            <v>AMMONIUM PENTABORATE 50LB BAG</v>
          </cell>
          <cell r="Q199" t="str">
            <v>Boric Salt (SCL)</v>
          </cell>
          <cell r="R199">
            <v>1.1399999999999999</v>
          </cell>
          <cell r="S199">
            <v>3246.3</v>
          </cell>
        </row>
        <row r="200">
          <cell r="A200" t="str">
            <v>Budget</v>
          </cell>
          <cell r="B200">
            <v>1</v>
          </cell>
          <cell r="C200" t="str">
            <v>Domestic</v>
          </cell>
          <cell r="D200">
            <v>3</v>
          </cell>
          <cell r="E200">
            <v>5412</v>
          </cell>
          <cell r="F200" t="str">
            <v>WAUSAU CHEMICAL COMPANY</v>
          </cell>
          <cell r="G200" t="str">
            <v>D</v>
          </cell>
          <cell r="H200" t="str">
            <v>WAUSAU</v>
          </cell>
          <cell r="I200" t="str">
            <v>WI</v>
          </cell>
          <cell r="J200" t="str">
            <v>USA</v>
          </cell>
          <cell r="K200" t="str">
            <v>WAUSAU CHEMICAL COMPANY</v>
          </cell>
          <cell r="L200" t="str">
            <v>WI</v>
          </cell>
          <cell r="M200" t="str">
            <v>USA</v>
          </cell>
          <cell r="N200" t="str">
            <v>D</v>
          </cell>
          <cell r="O200">
            <v>23060210</v>
          </cell>
          <cell r="P200" t="str">
            <v>DECA BORAX STD 50LB BAG</v>
          </cell>
          <cell r="Q200" t="str">
            <v>Deca</v>
          </cell>
          <cell r="R200">
            <v>1.45</v>
          </cell>
          <cell r="S200">
            <v>547.63</v>
          </cell>
        </row>
        <row r="201">
          <cell r="A201" t="str">
            <v>Budget</v>
          </cell>
          <cell r="B201">
            <v>1</v>
          </cell>
          <cell r="C201" t="str">
            <v>Domestic</v>
          </cell>
          <cell r="D201">
            <v>3</v>
          </cell>
          <cell r="E201">
            <v>5458</v>
          </cell>
          <cell r="F201" t="str">
            <v>BONDED CHEMICALS INCORPORATED</v>
          </cell>
          <cell r="G201" t="str">
            <v>D</v>
          </cell>
          <cell r="H201" t="str">
            <v>COLUMBUS</v>
          </cell>
          <cell r="I201" t="str">
            <v>OH</v>
          </cell>
          <cell r="J201" t="str">
            <v>USA</v>
          </cell>
          <cell r="K201" t="str">
            <v>BONDED CHEMICALS INCORPORATED</v>
          </cell>
          <cell r="L201" t="str">
            <v>OH</v>
          </cell>
          <cell r="M201" t="str">
            <v>USA</v>
          </cell>
          <cell r="N201" t="str">
            <v>D</v>
          </cell>
          <cell r="O201">
            <v>22060410</v>
          </cell>
          <cell r="P201" t="str">
            <v>V-BOR 50LB BAG (004)</v>
          </cell>
          <cell r="Q201" t="str">
            <v>Penta</v>
          </cell>
          <cell r="R201">
            <v>1.04</v>
          </cell>
          <cell r="S201">
            <v>438.63</v>
          </cell>
        </row>
        <row r="202">
          <cell r="A202" t="str">
            <v>Budget</v>
          </cell>
          <cell r="B202">
            <v>1</v>
          </cell>
          <cell r="C202" t="str">
            <v>Domestic</v>
          </cell>
          <cell r="D202">
            <v>3</v>
          </cell>
          <cell r="E202">
            <v>5458</v>
          </cell>
          <cell r="F202" t="str">
            <v>BONDED CHEMICALS INCORPORATED</v>
          </cell>
          <cell r="G202" t="str">
            <v>D</v>
          </cell>
          <cell r="H202" t="str">
            <v>COLUMBUS</v>
          </cell>
          <cell r="I202" t="str">
            <v>OH</v>
          </cell>
          <cell r="J202" t="str">
            <v>USA</v>
          </cell>
          <cell r="K202" t="str">
            <v>BONDED CHEMICALS INCORPORATED</v>
          </cell>
          <cell r="L202" t="str">
            <v>OH</v>
          </cell>
          <cell r="M202" t="str">
            <v>USA</v>
          </cell>
          <cell r="N202" t="str">
            <v>D</v>
          </cell>
          <cell r="O202">
            <v>40150410</v>
          </cell>
          <cell r="P202" t="str">
            <v>SODIUM SULFATE CRS 50LB BAG</v>
          </cell>
          <cell r="Q202" t="str">
            <v>Sodium Sulfate</v>
          </cell>
          <cell r="R202">
            <v>6.14</v>
          </cell>
          <cell r="S202">
            <v>912</v>
          </cell>
        </row>
        <row r="203">
          <cell r="A203" t="str">
            <v>Budget</v>
          </cell>
          <cell r="B203">
            <v>1</v>
          </cell>
          <cell r="C203" t="str">
            <v>Domestic</v>
          </cell>
          <cell r="D203">
            <v>3</v>
          </cell>
          <cell r="E203">
            <v>5472</v>
          </cell>
          <cell r="F203" t="str">
            <v>UNIVAR USA</v>
          </cell>
          <cell r="G203" t="str">
            <v>D</v>
          </cell>
          <cell r="H203" t="str">
            <v>LOUISVILLE</v>
          </cell>
          <cell r="I203" t="str">
            <v>KY</v>
          </cell>
          <cell r="J203" t="str">
            <v>USA</v>
          </cell>
          <cell r="K203" t="str">
            <v>UNIVAR USA</v>
          </cell>
          <cell r="L203" t="str">
            <v>KY</v>
          </cell>
          <cell r="M203" t="str">
            <v>USA</v>
          </cell>
          <cell r="N203" t="str">
            <v>D</v>
          </cell>
          <cell r="O203">
            <v>40060410</v>
          </cell>
          <cell r="P203" t="str">
            <v>SODIUM SULFATE STD 50LB BAG</v>
          </cell>
          <cell r="Q203" t="str">
            <v>Sodium Sulfate</v>
          </cell>
          <cell r="R203">
            <v>1.27</v>
          </cell>
          <cell r="S203">
            <v>143.72999999999999</v>
          </cell>
        </row>
        <row r="204">
          <cell r="A204" t="str">
            <v>Budget</v>
          </cell>
          <cell r="B204">
            <v>1</v>
          </cell>
          <cell r="C204" t="str">
            <v>Domestic</v>
          </cell>
          <cell r="D204">
            <v>3</v>
          </cell>
          <cell r="E204">
            <v>5472</v>
          </cell>
          <cell r="F204" t="str">
            <v>UNIVAR USA</v>
          </cell>
          <cell r="G204" t="str">
            <v>D</v>
          </cell>
          <cell r="H204" t="str">
            <v>LOUISVILLE</v>
          </cell>
          <cell r="I204" t="str">
            <v>KY</v>
          </cell>
          <cell r="J204" t="str">
            <v>USA</v>
          </cell>
          <cell r="K204" t="str">
            <v>UNIVAR USA</v>
          </cell>
          <cell r="L204" t="str">
            <v>KY</v>
          </cell>
          <cell r="M204" t="str">
            <v>USA</v>
          </cell>
          <cell r="N204" t="str">
            <v>D</v>
          </cell>
          <cell r="O204">
            <v>40060450</v>
          </cell>
          <cell r="P204" t="str">
            <v>SODIUM SULFATE STD 1TN FIBC</v>
          </cell>
          <cell r="Q204" t="str">
            <v>Sodium Sulfate</v>
          </cell>
          <cell r="R204">
            <v>5.93</v>
          </cell>
          <cell r="S204">
            <v>695.62</v>
          </cell>
        </row>
        <row r="205">
          <cell r="A205" t="str">
            <v>Budget</v>
          </cell>
          <cell r="B205">
            <v>1</v>
          </cell>
          <cell r="C205" t="str">
            <v>Domestic</v>
          </cell>
          <cell r="D205">
            <v>3</v>
          </cell>
          <cell r="E205">
            <v>5695</v>
          </cell>
          <cell r="F205" t="str">
            <v>SAINT-GOBAIN CONTAINERS</v>
          </cell>
          <cell r="G205" t="str">
            <v>D</v>
          </cell>
          <cell r="H205" t="str">
            <v>LINCOLN</v>
          </cell>
          <cell r="I205" t="str">
            <v>IL</v>
          </cell>
          <cell r="J205" t="str">
            <v>USA</v>
          </cell>
          <cell r="K205" t="str">
            <v>SAINT-GOBAIN CONTAINERS</v>
          </cell>
          <cell r="L205" t="str">
            <v>IL</v>
          </cell>
          <cell r="M205" t="str">
            <v>USA</v>
          </cell>
          <cell r="N205" t="str">
            <v>C</v>
          </cell>
          <cell r="O205">
            <v>40160400</v>
          </cell>
          <cell r="P205" t="str">
            <v>SODIUM SULFATE PREMIUM BULK</v>
          </cell>
          <cell r="Q205" t="str">
            <v>Sodium Sulfate</v>
          </cell>
          <cell r="R205">
            <v>72.28</v>
          </cell>
          <cell r="S205">
            <v>2976.26</v>
          </cell>
        </row>
        <row r="206">
          <cell r="A206" t="str">
            <v>Budget</v>
          </cell>
          <cell r="B206">
            <v>1</v>
          </cell>
          <cell r="C206" t="str">
            <v>Domestic</v>
          </cell>
          <cell r="D206">
            <v>3</v>
          </cell>
          <cell r="E206">
            <v>6041</v>
          </cell>
          <cell r="F206" t="str">
            <v>AMERICAN PORCELAIN &amp; ENAMEL</v>
          </cell>
          <cell r="G206" t="str">
            <v>D</v>
          </cell>
          <cell r="H206" t="str">
            <v>MUSKEGON</v>
          </cell>
          <cell r="I206" t="str">
            <v>MI</v>
          </cell>
          <cell r="J206" t="str">
            <v>USA</v>
          </cell>
          <cell r="K206" t="str">
            <v>AMERICAN PORCELAIN &amp; ENAMEL</v>
          </cell>
          <cell r="L206" t="str">
            <v>MI</v>
          </cell>
          <cell r="M206" t="str">
            <v>USA</v>
          </cell>
          <cell r="N206" t="str">
            <v>C</v>
          </cell>
          <cell r="O206">
            <v>20060200</v>
          </cell>
          <cell r="P206" t="str">
            <v>PYROBOR ANHY BORAX BULK (002)</v>
          </cell>
          <cell r="Q206" t="str">
            <v>Pyrobor</v>
          </cell>
          <cell r="R206">
            <v>13.51</v>
          </cell>
          <cell r="S206">
            <v>7842.33</v>
          </cell>
        </row>
        <row r="207">
          <cell r="A207" t="str">
            <v>Budget</v>
          </cell>
          <cell r="B207">
            <v>1</v>
          </cell>
          <cell r="C207" t="str">
            <v>Domestic</v>
          </cell>
          <cell r="D207">
            <v>3</v>
          </cell>
          <cell r="E207">
            <v>6041</v>
          </cell>
          <cell r="F207" t="str">
            <v>AMERICAN PORCELAIN &amp; ENAMEL</v>
          </cell>
          <cell r="G207" t="str">
            <v>D</v>
          </cell>
          <cell r="H207" t="str">
            <v>MUSKEGON</v>
          </cell>
          <cell r="I207" t="str">
            <v>MI</v>
          </cell>
          <cell r="J207" t="str">
            <v>USA</v>
          </cell>
          <cell r="K207" t="str">
            <v>AMERICAN PORCELAIN &amp; ENAMEL</v>
          </cell>
          <cell r="L207" t="str">
            <v>MI</v>
          </cell>
          <cell r="M207" t="str">
            <v>USA</v>
          </cell>
          <cell r="N207" t="str">
            <v>C</v>
          </cell>
          <cell r="O207">
            <v>20060400</v>
          </cell>
          <cell r="P207" t="str">
            <v>PYROBOR BULK (004)</v>
          </cell>
          <cell r="Q207" t="str">
            <v>Pyrobor</v>
          </cell>
          <cell r="R207">
            <v>46.58</v>
          </cell>
          <cell r="S207">
            <v>27031.66</v>
          </cell>
        </row>
        <row r="208">
          <cell r="A208" t="str">
            <v>Budget</v>
          </cell>
          <cell r="B208">
            <v>1</v>
          </cell>
          <cell r="C208" t="str">
            <v>Domestic</v>
          </cell>
          <cell r="D208">
            <v>3</v>
          </cell>
          <cell r="E208">
            <v>6074</v>
          </cell>
          <cell r="F208" t="str">
            <v>GENERAL ELECTRIC COMPANY</v>
          </cell>
          <cell r="G208" t="str">
            <v>D</v>
          </cell>
          <cell r="H208" t="str">
            <v>SOMERSET</v>
          </cell>
          <cell r="I208" t="str">
            <v>KY</v>
          </cell>
          <cell r="J208" t="str">
            <v>USA</v>
          </cell>
          <cell r="K208" t="str">
            <v>GENERAL ELECTRIC COMPANY</v>
          </cell>
          <cell r="L208" t="str">
            <v>KY</v>
          </cell>
          <cell r="M208" t="str">
            <v>USA</v>
          </cell>
          <cell r="N208" t="str">
            <v>C</v>
          </cell>
          <cell r="O208">
            <v>24150200</v>
          </cell>
          <cell r="P208" t="str">
            <v>BORIC ACID CRS BULK</v>
          </cell>
          <cell r="Q208" t="str">
            <v>Boric Acid</v>
          </cell>
          <cell r="R208">
            <v>63.52</v>
          </cell>
          <cell r="S208">
            <v>28141.39</v>
          </cell>
        </row>
        <row r="209">
          <cell r="A209" t="str">
            <v>Budget</v>
          </cell>
          <cell r="B209">
            <v>1</v>
          </cell>
          <cell r="C209" t="str">
            <v>Domestic</v>
          </cell>
          <cell r="D209">
            <v>3</v>
          </cell>
          <cell r="E209">
            <v>6109</v>
          </cell>
          <cell r="F209" t="str">
            <v>PROCTER &amp; GAMBLE MFG.</v>
          </cell>
          <cell r="G209" t="str">
            <v>D</v>
          </cell>
          <cell r="H209" t="str">
            <v>ST LOUIS</v>
          </cell>
          <cell r="I209" t="str">
            <v>MO</v>
          </cell>
          <cell r="J209" t="str">
            <v>USA</v>
          </cell>
          <cell r="K209" t="str">
            <v>PROCTER &amp; GAMBLE MFG.</v>
          </cell>
          <cell r="L209" t="str">
            <v>MO</v>
          </cell>
          <cell r="M209" t="str">
            <v>USA</v>
          </cell>
          <cell r="N209" t="str">
            <v>C</v>
          </cell>
          <cell r="O209">
            <v>40060400</v>
          </cell>
          <cell r="P209" t="str">
            <v>SODIUM SULFATE STANDARD BULK</v>
          </cell>
          <cell r="Q209" t="str">
            <v>Sodium Sulfate</v>
          </cell>
          <cell r="R209">
            <v>2625.68</v>
          </cell>
          <cell r="S209">
            <v>79193.94</v>
          </cell>
        </row>
        <row r="210">
          <cell r="A210" t="str">
            <v>Budget</v>
          </cell>
          <cell r="B210">
            <v>1</v>
          </cell>
          <cell r="C210" t="str">
            <v>Domestic</v>
          </cell>
          <cell r="D210">
            <v>3</v>
          </cell>
          <cell r="E210">
            <v>6110</v>
          </cell>
          <cell r="F210" t="str">
            <v>STAR PACIFIC</v>
          </cell>
          <cell r="G210" t="str">
            <v>D</v>
          </cell>
          <cell r="H210" t="str">
            <v>UNION CITY</v>
          </cell>
          <cell r="I210" t="str">
            <v>CA</v>
          </cell>
          <cell r="J210" t="str">
            <v>USA</v>
          </cell>
          <cell r="K210" t="str">
            <v>STAR PACIFIC</v>
          </cell>
          <cell r="L210" t="str">
            <v>CA</v>
          </cell>
          <cell r="M210" t="str">
            <v>USA</v>
          </cell>
          <cell r="N210" t="str">
            <v>C</v>
          </cell>
          <cell r="O210">
            <v>40070400</v>
          </cell>
          <cell r="P210" t="str">
            <v>SODIUM SULFATE MEDIUM BULK</v>
          </cell>
          <cell r="Q210" t="str">
            <v>Sodium Sulfate</v>
          </cell>
          <cell r="R210">
            <v>285.45</v>
          </cell>
          <cell r="S210">
            <v>17970.28</v>
          </cell>
        </row>
        <row r="211">
          <cell r="A211" t="str">
            <v>Budget</v>
          </cell>
          <cell r="B211">
            <v>1</v>
          </cell>
          <cell r="C211" t="str">
            <v>Domestic</v>
          </cell>
          <cell r="D211">
            <v>3</v>
          </cell>
          <cell r="E211">
            <v>6516</v>
          </cell>
          <cell r="F211" t="str">
            <v>FERRO CORPORATION</v>
          </cell>
          <cell r="G211" t="str">
            <v>D</v>
          </cell>
          <cell r="H211" t="str">
            <v>CLEVELAND</v>
          </cell>
          <cell r="I211" t="str">
            <v>OH</v>
          </cell>
          <cell r="J211" t="str">
            <v>USA</v>
          </cell>
          <cell r="K211" t="str">
            <v>FERRO CORPORATION</v>
          </cell>
          <cell r="L211" t="str">
            <v>OH</v>
          </cell>
          <cell r="M211" t="str">
            <v>USA</v>
          </cell>
          <cell r="N211" t="str">
            <v>C</v>
          </cell>
          <cell r="O211">
            <v>20060200</v>
          </cell>
          <cell r="P211" t="str">
            <v>PYROBOR ANHY BORAX BULK (002)</v>
          </cell>
          <cell r="Q211" t="str">
            <v>Pyrobor</v>
          </cell>
          <cell r="R211">
            <v>381.15</v>
          </cell>
          <cell r="S211">
            <v>167217.23000000001</v>
          </cell>
        </row>
        <row r="212">
          <cell r="A212" t="str">
            <v>Budget</v>
          </cell>
          <cell r="B212">
            <v>1</v>
          </cell>
          <cell r="C212" t="str">
            <v>Domestic</v>
          </cell>
          <cell r="D212">
            <v>3</v>
          </cell>
          <cell r="E212">
            <v>6516</v>
          </cell>
          <cell r="F212" t="str">
            <v>FERRO CORPORATION</v>
          </cell>
          <cell r="G212" t="str">
            <v>D</v>
          </cell>
          <cell r="H212" t="str">
            <v>CLEVELAND</v>
          </cell>
          <cell r="I212" t="str">
            <v>OH</v>
          </cell>
          <cell r="J212" t="str">
            <v>USA</v>
          </cell>
          <cell r="K212" t="str">
            <v>FERRO CORPORATION</v>
          </cell>
          <cell r="L212" t="str">
            <v>OH</v>
          </cell>
          <cell r="M212" t="str">
            <v>USA</v>
          </cell>
          <cell r="N212" t="str">
            <v>C</v>
          </cell>
          <cell r="O212">
            <v>20060400</v>
          </cell>
          <cell r="P212" t="str">
            <v>PYROBOR BULK (004)</v>
          </cell>
          <cell r="Q212" t="str">
            <v>Pyrobor</v>
          </cell>
          <cell r="R212">
            <v>35.28</v>
          </cell>
          <cell r="S212">
            <v>15479.77</v>
          </cell>
        </row>
        <row r="213">
          <cell r="A213" t="str">
            <v>Budget</v>
          </cell>
          <cell r="B213">
            <v>1</v>
          </cell>
          <cell r="C213" t="str">
            <v>Domestic</v>
          </cell>
          <cell r="D213">
            <v>3</v>
          </cell>
          <cell r="E213">
            <v>6516</v>
          </cell>
          <cell r="F213" t="str">
            <v>FERRO CORPORATION</v>
          </cell>
          <cell r="G213" t="str">
            <v>D</v>
          </cell>
          <cell r="H213" t="str">
            <v>CLEVELAND</v>
          </cell>
          <cell r="I213" t="str">
            <v>OH</v>
          </cell>
          <cell r="J213" t="str">
            <v>USA</v>
          </cell>
          <cell r="K213" t="str">
            <v>FERRO CORPORATION</v>
          </cell>
          <cell r="L213" t="str">
            <v>OH</v>
          </cell>
          <cell r="M213" t="str">
            <v>USA</v>
          </cell>
          <cell r="N213" t="str">
            <v>C</v>
          </cell>
          <cell r="O213">
            <v>25060252</v>
          </cell>
          <cell r="P213" t="str">
            <v>ANHYDROUS BORIC ACID 2400 FIBC</v>
          </cell>
          <cell r="Q213" t="str">
            <v>ABA</v>
          </cell>
          <cell r="R213">
            <v>14.82</v>
          </cell>
          <cell r="S213">
            <v>22764.55</v>
          </cell>
        </row>
        <row r="214">
          <cell r="A214" t="str">
            <v>Budget</v>
          </cell>
          <cell r="B214">
            <v>1</v>
          </cell>
          <cell r="C214" t="str">
            <v>Domestic</v>
          </cell>
          <cell r="D214">
            <v>3</v>
          </cell>
          <cell r="E214">
            <v>6516</v>
          </cell>
          <cell r="F214" t="str">
            <v>FERRO CORPORATION</v>
          </cell>
          <cell r="G214" t="str">
            <v>D</v>
          </cell>
          <cell r="H214" t="str">
            <v>CLEVELAND</v>
          </cell>
          <cell r="I214" t="str">
            <v>OH</v>
          </cell>
          <cell r="J214" t="str">
            <v>USA</v>
          </cell>
          <cell r="K214" t="str">
            <v>FERRO CORPORATION</v>
          </cell>
          <cell r="L214" t="str">
            <v>OH</v>
          </cell>
          <cell r="M214" t="str">
            <v>USA</v>
          </cell>
          <cell r="N214" t="str">
            <v>C</v>
          </cell>
          <cell r="O214">
            <v>30210100</v>
          </cell>
          <cell r="P214" t="str">
            <v>SODA ASH DENSE BULK</v>
          </cell>
          <cell r="Q214" t="str">
            <v>Soda Ash</v>
          </cell>
          <cell r="R214">
            <v>202.25</v>
          </cell>
          <cell r="S214">
            <v>18833.52</v>
          </cell>
        </row>
        <row r="215">
          <cell r="A215" t="str">
            <v>Budget</v>
          </cell>
          <cell r="B215">
            <v>1</v>
          </cell>
          <cell r="C215" t="str">
            <v>Domestic</v>
          </cell>
          <cell r="D215">
            <v>3</v>
          </cell>
          <cell r="E215">
            <v>6560</v>
          </cell>
          <cell r="F215" t="str">
            <v>GUARDIAN INDUSTRIES</v>
          </cell>
          <cell r="G215" t="str">
            <v>D</v>
          </cell>
          <cell r="H215" t="str">
            <v>FULLERTON</v>
          </cell>
          <cell r="I215" t="str">
            <v>CA</v>
          </cell>
          <cell r="J215" t="str">
            <v>USA</v>
          </cell>
          <cell r="K215" t="str">
            <v>GUARDIAN INDUSTRIES</v>
          </cell>
          <cell r="L215" t="str">
            <v>CA</v>
          </cell>
          <cell r="M215" t="str">
            <v>USA</v>
          </cell>
          <cell r="N215" t="str">
            <v>C</v>
          </cell>
          <cell r="O215">
            <v>30210100</v>
          </cell>
          <cell r="P215" t="str">
            <v>SODA ASH DENSE BULK</v>
          </cell>
          <cell r="Q215" t="str">
            <v>Soda Ash</v>
          </cell>
          <cell r="R215">
            <v>328.78</v>
          </cell>
          <cell r="S215">
            <v>26404.01</v>
          </cell>
        </row>
        <row r="216">
          <cell r="A216" t="str">
            <v>Budget</v>
          </cell>
          <cell r="B216">
            <v>1</v>
          </cell>
          <cell r="C216" t="str">
            <v>Domestic</v>
          </cell>
          <cell r="D216">
            <v>3</v>
          </cell>
          <cell r="E216">
            <v>6560</v>
          </cell>
          <cell r="F216" t="str">
            <v>GUARDIAN INDUSTRIES</v>
          </cell>
          <cell r="G216" t="str">
            <v>D</v>
          </cell>
          <cell r="H216" t="str">
            <v>FULLERTON</v>
          </cell>
          <cell r="I216" t="str">
            <v>CA</v>
          </cell>
          <cell r="J216" t="str">
            <v>USA</v>
          </cell>
          <cell r="K216" t="str">
            <v>GUARDIAN INDUSTRIES</v>
          </cell>
          <cell r="L216" t="str">
            <v>CA</v>
          </cell>
          <cell r="M216" t="str">
            <v>USA</v>
          </cell>
          <cell r="N216" t="str">
            <v>C</v>
          </cell>
          <cell r="O216">
            <v>40160400</v>
          </cell>
          <cell r="P216" t="str">
            <v>SODIUM SULFATE PREMIUM BULK</v>
          </cell>
          <cell r="Q216" t="str">
            <v>Sodium Sulfate</v>
          </cell>
          <cell r="R216">
            <v>9.08</v>
          </cell>
          <cell r="S216">
            <v>1019.9</v>
          </cell>
        </row>
        <row r="217">
          <cell r="A217" t="str">
            <v>Budget</v>
          </cell>
          <cell r="B217">
            <v>1</v>
          </cell>
          <cell r="C217" t="str">
            <v>Domestic</v>
          </cell>
          <cell r="D217">
            <v>3</v>
          </cell>
          <cell r="E217">
            <v>6676</v>
          </cell>
          <cell r="F217" t="str">
            <v>3 M COMPANY</v>
          </cell>
          <cell r="G217" t="str">
            <v>D</v>
          </cell>
          <cell r="H217" t="str">
            <v>COTTAGE GROVE</v>
          </cell>
          <cell r="I217" t="str">
            <v>MN</v>
          </cell>
          <cell r="J217" t="str">
            <v>USA</v>
          </cell>
          <cell r="K217" t="str">
            <v>3 M COMPANY</v>
          </cell>
          <cell r="L217" t="str">
            <v>MN</v>
          </cell>
          <cell r="M217" t="str">
            <v>USA</v>
          </cell>
          <cell r="N217" t="str">
            <v>C</v>
          </cell>
          <cell r="O217">
            <v>20310210</v>
          </cell>
          <cell r="P217" t="str">
            <v>PYROBOR 30/100 50LB BAG (002)</v>
          </cell>
          <cell r="Q217" t="str">
            <v>Pyrobor</v>
          </cell>
          <cell r="R217">
            <v>72.84</v>
          </cell>
          <cell r="S217">
            <v>39473.03</v>
          </cell>
        </row>
        <row r="218">
          <cell r="A218" t="str">
            <v>Budget</v>
          </cell>
          <cell r="B218">
            <v>1</v>
          </cell>
          <cell r="C218" t="str">
            <v>Domestic</v>
          </cell>
          <cell r="D218">
            <v>3</v>
          </cell>
          <cell r="E218">
            <v>7245</v>
          </cell>
          <cell r="F218" t="str">
            <v>UNIVAR USA</v>
          </cell>
          <cell r="G218" t="str">
            <v>D</v>
          </cell>
          <cell r="H218" t="str">
            <v>TWINSBURG</v>
          </cell>
          <cell r="I218" t="str">
            <v>OH</v>
          </cell>
          <cell r="J218" t="str">
            <v>USA</v>
          </cell>
          <cell r="K218" t="str">
            <v>UNIVAR USA</v>
          </cell>
          <cell r="L218" t="str">
            <v>IL</v>
          </cell>
          <cell r="M218" t="str">
            <v>USA</v>
          </cell>
          <cell r="N218" t="str">
            <v>D</v>
          </cell>
          <cell r="O218">
            <v>24030210</v>
          </cell>
          <cell r="P218" t="str">
            <v>BORIC ACID PWD TECH 50LB BAG</v>
          </cell>
          <cell r="Q218" t="str">
            <v>Boric Acid</v>
          </cell>
          <cell r="R218">
            <v>2.64</v>
          </cell>
          <cell r="S218">
            <v>2355.89</v>
          </cell>
        </row>
        <row r="219">
          <cell r="A219" t="str">
            <v>Budget</v>
          </cell>
          <cell r="B219">
            <v>1</v>
          </cell>
          <cell r="C219" t="str">
            <v>Domestic</v>
          </cell>
          <cell r="D219">
            <v>3</v>
          </cell>
          <cell r="E219">
            <v>7245</v>
          </cell>
          <cell r="F219" t="str">
            <v>UNIVAR USA</v>
          </cell>
          <cell r="G219" t="str">
            <v>D</v>
          </cell>
          <cell r="H219" t="str">
            <v>TWINSBURG</v>
          </cell>
          <cell r="I219" t="str">
            <v>OH</v>
          </cell>
          <cell r="J219" t="str">
            <v>USA</v>
          </cell>
          <cell r="K219" t="str">
            <v>UNIVAR USA</v>
          </cell>
          <cell r="L219" t="str">
            <v>IL</v>
          </cell>
          <cell r="M219" t="str">
            <v>USA</v>
          </cell>
          <cell r="N219" t="str">
            <v>D</v>
          </cell>
          <cell r="O219">
            <v>24090210</v>
          </cell>
          <cell r="P219" t="str">
            <v>BORIC ACID GRAN TECH 50LB BAG</v>
          </cell>
          <cell r="Q219" t="str">
            <v>Boric Acid</v>
          </cell>
          <cell r="R219">
            <v>33.82</v>
          </cell>
          <cell r="S219">
            <v>19625.36</v>
          </cell>
        </row>
        <row r="220">
          <cell r="A220" t="str">
            <v>Budget</v>
          </cell>
          <cell r="B220">
            <v>1</v>
          </cell>
          <cell r="C220" t="str">
            <v>Domestic</v>
          </cell>
          <cell r="D220">
            <v>3</v>
          </cell>
          <cell r="E220">
            <v>7245</v>
          </cell>
          <cell r="F220" t="str">
            <v>UNIVAR USA</v>
          </cell>
          <cell r="G220" t="str">
            <v>D</v>
          </cell>
          <cell r="H220" t="str">
            <v>TWINSBURG</v>
          </cell>
          <cell r="I220" t="str">
            <v>OH</v>
          </cell>
          <cell r="J220" t="str">
            <v>USA</v>
          </cell>
          <cell r="K220" t="str">
            <v>UNIVAR USA</v>
          </cell>
          <cell r="L220" t="str">
            <v>IL</v>
          </cell>
          <cell r="M220" t="str">
            <v>USA</v>
          </cell>
          <cell r="N220" t="str">
            <v>D</v>
          </cell>
          <cell r="O220">
            <v>40060410</v>
          </cell>
          <cell r="P220" t="str">
            <v>SODIUM SULFATE STD 50LB BAG</v>
          </cell>
          <cell r="Q220" t="str">
            <v>Sodium Sulfate</v>
          </cell>
          <cell r="R220">
            <v>17.149999999999999</v>
          </cell>
          <cell r="S220">
            <v>1485.94</v>
          </cell>
        </row>
        <row r="221">
          <cell r="A221" t="str">
            <v>Budget</v>
          </cell>
          <cell r="B221">
            <v>1</v>
          </cell>
          <cell r="C221" t="str">
            <v>Domestic</v>
          </cell>
          <cell r="D221">
            <v>3</v>
          </cell>
          <cell r="E221">
            <v>7246</v>
          </cell>
          <cell r="F221" t="str">
            <v>UNIVAR USA</v>
          </cell>
          <cell r="G221" t="str">
            <v>D</v>
          </cell>
          <cell r="H221" t="str">
            <v>WALBRIDGE</v>
          </cell>
          <cell r="I221" t="str">
            <v>OH</v>
          </cell>
          <cell r="J221" t="str">
            <v>USA</v>
          </cell>
          <cell r="K221" t="str">
            <v>UNIVAR USA</v>
          </cell>
          <cell r="L221" t="str">
            <v>IL</v>
          </cell>
          <cell r="M221" t="str">
            <v>USA</v>
          </cell>
          <cell r="N221" t="str">
            <v>D</v>
          </cell>
          <cell r="O221">
            <v>22060410</v>
          </cell>
          <cell r="P221" t="str">
            <v>V-BOR 50LB BAG (004)</v>
          </cell>
          <cell r="Q221" t="str">
            <v>Penta</v>
          </cell>
          <cell r="R221">
            <v>11.21</v>
          </cell>
          <cell r="S221">
            <v>4333.8</v>
          </cell>
        </row>
        <row r="222">
          <cell r="A222" t="str">
            <v>Budget</v>
          </cell>
          <cell r="B222">
            <v>1</v>
          </cell>
          <cell r="C222" t="str">
            <v>Domestic</v>
          </cell>
          <cell r="D222">
            <v>3</v>
          </cell>
          <cell r="E222">
            <v>7273</v>
          </cell>
          <cell r="F222" t="str">
            <v>YOUNG CHEMICAL COMPANY</v>
          </cell>
          <cell r="G222" t="str">
            <v>D</v>
          </cell>
          <cell r="H222" t="str">
            <v>BROOK PARK</v>
          </cell>
          <cell r="I222" t="str">
            <v>OH</v>
          </cell>
          <cell r="J222" t="str">
            <v>USA</v>
          </cell>
          <cell r="K222" t="str">
            <v>YOUNG CHEMICAL COMPANY</v>
          </cell>
          <cell r="L222" t="str">
            <v>OH</v>
          </cell>
          <cell r="M222" t="str">
            <v>USA</v>
          </cell>
          <cell r="N222" t="str">
            <v>D</v>
          </cell>
          <cell r="O222">
            <v>20060210</v>
          </cell>
          <cell r="P222" t="str">
            <v>PYROBOR 50LB BAG (002)</v>
          </cell>
          <cell r="Q222" t="str">
            <v>Pyrobor</v>
          </cell>
          <cell r="R222">
            <v>3.11</v>
          </cell>
          <cell r="S222">
            <v>2288.77</v>
          </cell>
        </row>
        <row r="223">
          <cell r="A223" t="str">
            <v>Budget</v>
          </cell>
          <cell r="B223">
            <v>1</v>
          </cell>
          <cell r="C223" t="str">
            <v>Domestic</v>
          </cell>
          <cell r="D223">
            <v>3</v>
          </cell>
          <cell r="E223">
            <v>7273</v>
          </cell>
          <cell r="F223" t="str">
            <v>YOUNG CHEMICAL COMPANY</v>
          </cell>
          <cell r="G223" t="str">
            <v>D</v>
          </cell>
          <cell r="H223" t="str">
            <v>BROOK PARK</v>
          </cell>
          <cell r="I223" t="str">
            <v>OH</v>
          </cell>
          <cell r="J223" t="str">
            <v>USA</v>
          </cell>
          <cell r="K223" t="str">
            <v>YOUNG CHEMICAL COMPANY</v>
          </cell>
          <cell r="L223" t="str">
            <v>OH</v>
          </cell>
          <cell r="M223" t="str">
            <v>USA</v>
          </cell>
          <cell r="N223" t="str">
            <v>D</v>
          </cell>
          <cell r="O223">
            <v>22060410</v>
          </cell>
          <cell r="P223" t="str">
            <v>V-BOR 50LB BAG (004)</v>
          </cell>
          <cell r="Q223" t="str">
            <v>Penta</v>
          </cell>
          <cell r="R223">
            <v>18.47</v>
          </cell>
          <cell r="S223">
            <v>6972.83</v>
          </cell>
        </row>
        <row r="224">
          <cell r="A224" t="str">
            <v>Budget</v>
          </cell>
          <cell r="B224">
            <v>1</v>
          </cell>
          <cell r="C224" t="str">
            <v>Domestic</v>
          </cell>
          <cell r="D224">
            <v>3</v>
          </cell>
          <cell r="E224">
            <v>7273</v>
          </cell>
          <cell r="F224" t="str">
            <v>YOUNG CHEMICAL COMPANY</v>
          </cell>
          <cell r="G224" t="str">
            <v>D</v>
          </cell>
          <cell r="H224" t="str">
            <v>BROOK PARK</v>
          </cell>
          <cell r="I224" t="str">
            <v>OH</v>
          </cell>
          <cell r="J224" t="str">
            <v>USA</v>
          </cell>
          <cell r="K224" t="str">
            <v>YOUNG CHEMICAL COMPANY</v>
          </cell>
          <cell r="L224" t="str">
            <v>OH</v>
          </cell>
          <cell r="M224" t="str">
            <v>USA</v>
          </cell>
          <cell r="N224" t="str">
            <v>D</v>
          </cell>
          <cell r="O224">
            <v>23060210</v>
          </cell>
          <cell r="P224" t="str">
            <v>DECA BORAX STD 50LB BAG</v>
          </cell>
          <cell r="Q224" t="str">
            <v>Deca</v>
          </cell>
          <cell r="R224">
            <v>0.62</v>
          </cell>
          <cell r="S224">
            <v>233.54</v>
          </cell>
        </row>
        <row r="225">
          <cell r="A225" t="str">
            <v>Budget</v>
          </cell>
          <cell r="B225">
            <v>1</v>
          </cell>
          <cell r="C225" t="str">
            <v>Domestic</v>
          </cell>
          <cell r="D225">
            <v>3</v>
          </cell>
          <cell r="E225">
            <v>7273</v>
          </cell>
          <cell r="F225" t="str">
            <v>YOUNG CHEMICAL COMPANY</v>
          </cell>
          <cell r="G225" t="str">
            <v>D</v>
          </cell>
          <cell r="H225" t="str">
            <v>BROOK PARK</v>
          </cell>
          <cell r="I225" t="str">
            <v>OH</v>
          </cell>
          <cell r="J225" t="str">
            <v>USA</v>
          </cell>
          <cell r="K225" t="str">
            <v>YOUNG CHEMICAL COMPANY</v>
          </cell>
          <cell r="L225" t="str">
            <v>OH</v>
          </cell>
          <cell r="M225" t="str">
            <v>USA</v>
          </cell>
          <cell r="N225" t="str">
            <v>D</v>
          </cell>
          <cell r="O225">
            <v>24090210</v>
          </cell>
          <cell r="P225" t="str">
            <v>BORIC ACID GRAN TECH 50LB BAG</v>
          </cell>
          <cell r="Q225" t="str">
            <v>Boric Acid</v>
          </cell>
          <cell r="R225">
            <v>2.08</v>
          </cell>
          <cell r="S225">
            <v>1318.22</v>
          </cell>
        </row>
        <row r="226">
          <cell r="A226" t="str">
            <v>Budget</v>
          </cell>
          <cell r="B226">
            <v>1</v>
          </cell>
          <cell r="C226" t="str">
            <v>Domestic</v>
          </cell>
          <cell r="D226">
            <v>3</v>
          </cell>
          <cell r="E226">
            <v>7273</v>
          </cell>
          <cell r="F226" t="str">
            <v>YOUNG CHEMICAL COMPANY</v>
          </cell>
          <cell r="G226" t="str">
            <v>D</v>
          </cell>
          <cell r="H226" t="str">
            <v>BROOK PARK</v>
          </cell>
          <cell r="I226" t="str">
            <v>OH</v>
          </cell>
          <cell r="J226" t="str">
            <v>USA</v>
          </cell>
          <cell r="K226" t="str">
            <v>YOUNG CHEMICAL COMPANY</v>
          </cell>
          <cell r="L226" t="str">
            <v>OH</v>
          </cell>
          <cell r="M226" t="str">
            <v>USA</v>
          </cell>
          <cell r="N226" t="str">
            <v>D</v>
          </cell>
          <cell r="O226">
            <v>78099792</v>
          </cell>
          <cell r="P226" t="str">
            <v>POTASSIUM PENTABORATE 150KG DR</v>
          </cell>
          <cell r="Q226" t="str">
            <v>Boric Salt (SCL)</v>
          </cell>
          <cell r="R226">
            <v>0.11</v>
          </cell>
          <cell r="S226">
            <v>399.53</v>
          </cell>
        </row>
        <row r="227">
          <cell r="A227" t="str">
            <v>Budget</v>
          </cell>
          <cell r="B227">
            <v>1</v>
          </cell>
          <cell r="C227" t="str">
            <v>Domestic</v>
          </cell>
          <cell r="D227">
            <v>3</v>
          </cell>
          <cell r="E227">
            <v>7273</v>
          </cell>
          <cell r="F227" t="str">
            <v>YOUNG CHEMICAL COMPANY</v>
          </cell>
          <cell r="G227" t="str">
            <v>D</v>
          </cell>
          <cell r="H227" t="str">
            <v>BROOK PARK</v>
          </cell>
          <cell r="I227" t="str">
            <v>OH</v>
          </cell>
          <cell r="J227" t="str">
            <v>USA</v>
          </cell>
          <cell r="K227" t="str">
            <v>YOUNG CHEMICAL COMPANY</v>
          </cell>
          <cell r="L227" t="str">
            <v>OH</v>
          </cell>
          <cell r="M227" t="str">
            <v>USA</v>
          </cell>
          <cell r="N227" t="str">
            <v>D</v>
          </cell>
          <cell r="O227">
            <v>79099720</v>
          </cell>
          <cell r="P227" t="str">
            <v>POTASSIUM TETRABORATE 25KG BAG</v>
          </cell>
          <cell r="Q227" t="str">
            <v>Boric Salt (SCL)</v>
          </cell>
          <cell r="R227">
            <v>0.19</v>
          </cell>
          <cell r="S227">
            <v>705.19</v>
          </cell>
        </row>
        <row r="228">
          <cell r="A228" t="str">
            <v>Budget</v>
          </cell>
          <cell r="B228">
            <v>1</v>
          </cell>
          <cell r="C228" t="str">
            <v>Domestic</v>
          </cell>
          <cell r="D228">
            <v>3</v>
          </cell>
          <cell r="E228">
            <v>7365</v>
          </cell>
          <cell r="F228" t="str">
            <v>UNIVAR USA</v>
          </cell>
          <cell r="G228" t="str">
            <v>D</v>
          </cell>
          <cell r="H228" t="str">
            <v>ST PAUL</v>
          </cell>
          <cell r="I228" t="str">
            <v>MN</v>
          </cell>
          <cell r="J228" t="str">
            <v>USA</v>
          </cell>
          <cell r="K228" t="str">
            <v>UNIVAR USA</v>
          </cell>
          <cell r="L228" t="str">
            <v>MN</v>
          </cell>
          <cell r="M228" t="str">
            <v>USA</v>
          </cell>
          <cell r="N228" t="str">
            <v>D</v>
          </cell>
          <cell r="O228">
            <v>22060410</v>
          </cell>
          <cell r="P228" t="str">
            <v>V-BOR 50LB BAG (004)</v>
          </cell>
          <cell r="Q228" t="str">
            <v>Penta</v>
          </cell>
          <cell r="R228">
            <v>3.74</v>
          </cell>
          <cell r="S228">
            <v>1442.78</v>
          </cell>
        </row>
        <row r="229">
          <cell r="A229" t="str">
            <v>Budget</v>
          </cell>
          <cell r="B229">
            <v>1</v>
          </cell>
          <cell r="C229" t="str">
            <v>Domestic</v>
          </cell>
          <cell r="D229">
            <v>3</v>
          </cell>
          <cell r="E229">
            <v>7365</v>
          </cell>
          <cell r="F229" t="str">
            <v>UNIVAR USA</v>
          </cell>
          <cell r="G229" t="str">
            <v>D</v>
          </cell>
          <cell r="H229" t="str">
            <v>ST PAUL</v>
          </cell>
          <cell r="I229" t="str">
            <v>MN</v>
          </cell>
          <cell r="J229" t="str">
            <v>USA</v>
          </cell>
          <cell r="K229" t="str">
            <v>UNIVAR USA</v>
          </cell>
          <cell r="L229" t="str">
            <v>MN</v>
          </cell>
          <cell r="M229" t="str">
            <v>USA</v>
          </cell>
          <cell r="N229" t="str">
            <v>D</v>
          </cell>
          <cell r="O229">
            <v>40070414</v>
          </cell>
          <cell r="P229" t="str">
            <v>SODIUM SULFAT MED 50LB SPECIAL</v>
          </cell>
          <cell r="Q229" t="str">
            <v>Sodium Sulfate</v>
          </cell>
          <cell r="R229">
            <v>15.25</v>
          </cell>
          <cell r="S229">
            <v>2683.29</v>
          </cell>
        </row>
        <row r="230">
          <cell r="A230" t="str">
            <v>Budget</v>
          </cell>
          <cell r="B230">
            <v>1</v>
          </cell>
          <cell r="C230" t="str">
            <v>Domestic</v>
          </cell>
          <cell r="D230">
            <v>3</v>
          </cell>
          <cell r="E230">
            <v>7377</v>
          </cell>
          <cell r="F230" t="str">
            <v>CHEMCENTRAL CHICAGO</v>
          </cell>
          <cell r="G230" t="str">
            <v>D</v>
          </cell>
          <cell r="H230" t="str">
            <v>BEDFORD PARK</v>
          </cell>
          <cell r="I230" t="str">
            <v>IL</v>
          </cell>
          <cell r="J230" t="str">
            <v>USA</v>
          </cell>
          <cell r="K230" t="str">
            <v>CHEMCENTRAL CHICAGO</v>
          </cell>
          <cell r="L230" t="str">
            <v>IL</v>
          </cell>
          <cell r="M230" t="str">
            <v>USA</v>
          </cell>
          <cell r="N230" t="str">
            <v>D</v>
          </cell>
          <cell r="O230">
            <v>22060410</v>
          </cell>
          <cell r="P230" t="str">
            <v>V-BOR 50LB BAG (004)</v>
          </cell>
          <cell r="Q230" t="str">
            <v>Penta</v>
          </cell>
          <cell r="R230">
            <v>6.43</v>
          </cell>
          <cell r="S230">
            <v>2628.74</v>
          </cell>
        </row>
        <row r="231">
          <cell r="A231" t="str">
            <v>Budget</v>
          </cell>
          <cell r="B231">
            <v>1</v>
          </cell>
          <cell r="C231" t="str">
            <v>Domestic</v>
          </cell>
          <cell r="D231">
            <v>3</v>
          </cell>
          <cell r="E231">
            <v>7377</v>
          </cell>
          <cell r="F231" t="str">
            <v>CHEMCENTRAL CHICAGO</v>
          </cell>
          <cell r="G231" t="str">
            <v>D</v>
          </cell>
          <cell r="H231" t="str">
            <v>BEDFORD PARK</v>
          </cell>
          <cell r="I231" t="str">
            <v>IL</v>
          </cell>
          <cell r="J231" t="str">
            <v>USA</v>
          </cell>
          <cell r="K231" t="str">
            <v>CHEMCENTRAL CHICAGO</v>
          </cell>
          <cell r="L231" t="str">
            <v>IL</v>
          </cell>
          <cell r="M231" t="str">
            <v>USA</v>
          </cell>
          <cell r="N231" t="str">
            <v>D</v>
          </cell>
          <cell r="O231">
            <v>23060210</v>
          </cell>
          <cell r="P231" t="str">
            <v>DECA BORAX STD 50LB BAG</v>
          </cell>
          <cell r="Q231" t="str">
            <v>Deca</v>
          </cell>
          <cell r="R231">
            <v>2.4900000000000002</v>
          </cell>
          <cell r="S231">
            <v>882.78</v>
          </cell>
        </row>
        <row r="232">
          <cell r="A232" t="str">
            <v>Budget</v>
          </cell>
          <cell r="B232">
            <v>1</v>
          </cell>
          <cell r="C232" t="str">
            <v>Domestic</v>
          </cell>
          <cell r="D232">
            <v>3</v>
          </cell>
          <cell r="E232">
            <v>7377</v>
          </cell>
          <cell r="F232" t="str">
            <v>CHEMCENTRAL CHICAGO</v>
          </cell>
          <cell r="G232" t="str">
            <v>D</v>
          </cell>
          <cell r="H232" t="str">
            <v>BEDFORD PARK</v>
          </cell>
          <cell r="I232" t="str">
            <v>IL</v>
          </cell>
          <cell r="J232" t="str">
            <v>USA</v>
          </cell>
          <cell r="K232" t="str">
            <v>CHEMCENTRAL CHICAGO</v>
          </cell>
          <cell r="L232" t="str">
            <v>IL</v>
          </cell>
          <cell r="M232" t="str">
            <v>USA</v>
          </cell>
          <cell r="N232" t="str">
            <v>D</v>
          </cell>
          <cell r="O232">
            <v>24090210</v>
          </cell>
          <cell r="P232" t="str">
            <v>BORIC ACID GRAN TECH 50LB BAG</v>
          </cell>
          <cell r="Q232" t="str">
            <v>Boric Acid</v>
          </cell>
          <cell r="R232">
            <v>2.2799999999999998</v>
          </cell>
          <cell r="S232">
            <v>1730.47</v>
          </cell>
        </row>
        <row r="233">
          <cell r="A233" t="str">
            <v>Budget</v>
          </cell>
          <cell r="B233">
            <v>1</v>
          </cell>
          <cell r="C233" t="str">
            <v>Domestic</v>
          </cell>
          <cell r="D233">
            <v>3</v>
          </cell>
          <cell r="E233">
            <v>7379</v>
          </cell>
          <cell r="F233" t="str">
            <v>CARDINAL FG</v>
          </cell>
          <cell r="G233" t="str">
            <v>D</v>
          </cell>
          <cell r="H233" t="str">
            <v>MENOMONIE</v>
          </cell>
          <cell r="I233" t="str">
            <v>WI</v>
          </cell>
          <cell r="J233" t="str">
            <v>USA</v>
          </cell>
          <cell r="K233" t="str">
            <v>CARDINAL FG</v>
          </cell>
          <cell r="L233" t="str">
            <v>WI</v>
          </cell>
          <cell r="M233" t="str">
            <v>USA</v>
          </cell>
          <cell r="N233" t="str">
            <v>C</v>
          </cell>
          <cell r="O233">
            <v>40160400</v>
          </cell>
          <cell r="P233" t="str">
            <v>SODIUM SULFATE PREMIUM BULK</v>
          </cell>
          <cell r="Q233" t="str">
            <v>Sodium Sulfate</v>
          </cell>
          <cell r="R233">
            <v>54.23</v>
          </cell>
          <cell r="S233">
            <v>2971.5</v>
          </cell>
        </row>
        <row r="234">
          <cell r="A234" t="str">
            <v>Budget</v>
          </cell>
          <cell r="B234">
            <v>1</v>
          </cell>
          <cell r="C234" t="str">
            <v>Domestic</v>
          </cell>
          <cell r="D234">
            <v>3</v>
          </cell>
          <cell r="E234">
            <v>7464</v>
          </cell>
          <cell r="F234" t="str">
            <v>DOVER CHEMICAL CORPORATION</v>
          </cell>
          <cell r="G234" t="str">
            <v>D</v>
          </cell>
          <cell r="H234" t="str">
            <v>HAMMOND</v>
          </cell>
          <cell r="I234" t="str">
            <v>IN</v>
          </cell>
          <cell r="J234" t="str">
            <v>USA</v>
          </cell>
          <cell r="K234" t="str">
            <v>DOVER CHEMICAL CORPORATION</v>
          </cell>
          <cell r="L234" t="str">
            <v>IN</v>
          </cell>
          <cell r="M234" t="str">
            <v>USA</v>
          </cell>
          <cell r="N234" t="str">
            <v>C</v>
          </cell>
          <cell r="O234">
            <v>24090210</v>
          </cell>
          <cell r="P234" t="str">
            <v>BORIC ACID GRAN TECH 50LB BAG</v>
          </cell>
          <cell r="Q234" t="str">
            <v>Boric Acid</v>
          </cell>
          <cell r="R234">
            <v>19.09</v>
          </cell>
          <cell r="S234">
            <v>7940.07</v>
          </cell>
        </row>
        <row r="235">
          <cell r="A235" t="str">
            <v>Budget</v>
          </cell>
          <cell r="B235">
            <v>1</v>
          </cell>
          <cell r="C235" t="str">
            <v>Domestic</v>
          </cell>
          <cell r="D235">
            <v>3</v>
          </cell>
          <cell r="E235">
            <v>7473</v>
          </cell>
          <cell r="F235" t="str">
            <v>PROCTER &amp; GAMBLE MFG</v>
          </cell>
          <cell r="G235" t="str">
            <v>D</v>
          </cell>
          <cell r="H235" t="str">
            <v>ALEXANDRIA</v>
          </cell>
          <cell r="I235" t="str">
            <v>LA</v>
          </cell>
          <cell r="J235" t="str">
            <v>USA</v>
          </cell>
          <cell r="K235" t="str">
            <v>PROCTER &amp; GAMBLE MFG</v>
          </cell>
          <cell r="L235" t="str">
            <v>LA</v>
          </cell>
          <cell r="M235" t="str">
            <v>USA</v>
          </cell>
          <cell r="N235" t="str">
            <v>C</v>
          </cell>
          <cell r="O235">
            <v>40060400</v>
          </cell>
          <cell r="P235" t="str">
            <v>SODIUM SULFATE STANDARD BULK</v>
          </cell>
          <cell r="Q235" t="str">
            <v>Sodium Sulfate</v>
          </cell>
          <cell r="R235">
            <v>1510.89</v>
          </cell>
          <cell r="S235">
            <v>46060.89</v>
          </cell>
        </row>
        <row r="236">
          <cell r="A236" t="str">
            <v>Budget</v>
          </cell>
          <cell r="B236">
            <v>1</v>
          </cell>
          <cell r="C236" t="str">
            <v>Domestic</v>
          </cell>
          <cell r="D236">
            <v>3</v>
          </cell>
          <cell r="E236">
            <v>7521</v>
          </cell>
          <cell r="F236" t="str">
            <v>PILKINGTON NORTH AMERICA</v>
          </cell>
          <cell r="G236" t="str">
            <v>D</v>
          </cell>
          <cell r="H236" t="str">
            <v>LATHROP</v>
          </cell>
          <cell r="I236" t="str">
            <v>CA</v>
          </cell>
          <cell r="J236" t="str">
            <v>USA</v>
          </cell>
          <cell r="K236" t="str">
            <v>PILKINGTON NORTH AMERICA</v>
          </cell>
          <cell r="L236" t="str">
            <v>CA</v>
          </cell>
          <cell r="M236" t="str">
            <v>USA</v>
          </cell>
          <cell r="N236" t="str">
            <v>C</v>
          </cell>
          <cell r="O236">
            <v>30210100</v>
          </cell>
          <cell r="P236" t="str">
            <v>SODA ASH DENSE BULK</v>
          </cell>
          <cell r="Q236" t="str">
            <v>Soda Ash</v>
          </cell>
          <cell r="R236">
            <v>3349.25</v>
          </cell>
          <cell r="S236">
            <v>254543</v>
          </cell>
        </row>
        <row r="237">
          <cell r="A237" t="str">
            <v>Budget</v>
          </cell>
          <cell r="B237">
            <v>1</v>
          </cell>
          <cell r="C237" t="str">
            <v>Domestic</v>
          </cell>
          <cell r="D237">
            <v>3</v>
          </cell>
          <cell r="E237">
            <v>7521</v>
          </cell>
          <cell r="F237" t="str">
            <v>PILKINGTON NORTH AMERICA</v>
          </cell>
          <cell r="G237" t="str">
            <v>D</v>
          </cell>
          <cell r="H237" t="str">
            <v>LATHROP</v>
          </cell>
          <cell r="I237" t="str">
            <v>CA</v>
          </cell>
          <cell r="J237" t="str">
            <v>USA</v>
          </cell>
          <cell r="K237" t="str">
            <v>PILKINGTON NORTH AMERICA</v>
          </cell>
          <cell r="L237" t="str">
            <v>CA</v>
          </cell>
          <cell r="M237" t="str">
            <v>USA</v>
          </cell>
          <cell r="N237" t="str">
            <v>C</v>
          </cell>
          <cell r="O237">
            <v>40160400</v>
          </cell>
          <cell r="P237" t="str">
            <v>SODIUM SULFATE PREMIUM BULK</v>
          </cell>
          <cell r="Q237" t="str">
            <v>Sodium Sulfate</v>
          </cell>
          <cell r="R237">
            <v>110.07</v>
          </cell>
          <cell r="S237">
            <v>11242.93</v>
          </cell>
        </row>
        <row r="238">
          <cell r="A238" t="str">
            <v>Budget</v>
          </cell>
          <cell r="B238">
            <v>1</v>
          </cell>
          <cell r="C238" t="str">
            <v>Domestic</v>
          </cell>
          <cell r="D238">
            <v>3</v>
          </cell>
          <cell r="E238">
            <v>7536</v>
          </cell>
          <cell r="F238" t="str">
            <v>ASHLAND CHEMICAL, INC.</v>
          </cell>
          <cell r="G238" t="str">
            <v>D</v>
          </cell>
          <cell r="H238" t="str">
            <v>WILLOW SPRINGS</v>
          </cell>
          <cell r="I238" t="str">
            <v>IL</v>
          </cell>
          <cell r="J238" t="str">
            <v>USA</v>
          </cell>
          <cell r="K238" t="str">
            <v>ASHLAND CHEMICAL, INC.</v>
          </cell>
          <cell r="L238" t="str">
            <v>IL</v>
          </cell>
          <cell r="M238" t="str">
            <v>USA</v>
          </cell>
          <cell r="N238" t="str">
            <v>D</v>
          </cell>
          <cell r="O238">
            <v>22060410</v>
          </cell>
          <cell r="P238" t="str">
            <v>V-BOR 50LB BAG (004)</v>
          </cell>
          <cell r="Q238" t="str">
            <v>Penta</v>
          </cell>
          <cell r="R238">
            <v>0.83</v>
          </cell>
          <cell r="S238">
            <v>283.69</v>
          </cell>
        </row>
        <row r="239">
          <cell r="A239" t="str">
            <v>Budget</v>
          </cell>
          <cell r="B239">
            <v>1</v>
          </cell>
          <cell r="C239" t="str">
            <v>Domestic</v>
          </cell>
          <cell r="D239">
            <v>3</v>
          </cell>
          <cell r="E239">
            <v>7536</v>
          </cell>
          <cell r="F239" t="str">
            <v>ASHLAND CHEMICAL, INC.</v>
          </cell>
          <cell r="G239" t="str">
            <v>D</v>
          </cell>
          <cell r="H239" t="str">
            <v>WILLOW SPRINGS</v>
          </cell>
          <cell r="I239" t="str">
            <v>IL</v>
          </cell>
          <cell r="J239" t="str">
            <v>USA</v>
          </cell>
          <cell r="K239" t="str">
            <v>ASHLAND CHEMICAL, INC.</v>
          </cell>
          <cell r="L239" t="str">
            <v>IL</v>
          </cell>
          <cell r="M239" t="str">
            <v>USA</v>
          </cell>
          <cell r="N239" t="str">
            <v>D</v>
          </cell>
          <cell r="O239">
            <v>22060430</v>
          </cell>
          <cell r="P239" t="str">
            <v>V-BOR STD 100LB BAG (004)</v>
          </cell>
          <cell r="Q239" t="str">
            <v>Penta</v>
          </cell>
          <cell r="R239">
            <v>4.45</v>
          </cell>
          <cell r="S239">
            <v>1829.21</v>
          </cell>
        </row>
        <row r="240">
          <cell r="A240" t="str">
            <v>Budget</v>
          </cell>
          <cell r="B240">
            <v>1</v>
          </cell>
          <cell r="C240" t="str">
            <v>Domestic</v>
          </cell>
          <cell r="D240">
            <v>3</v>
          </cell>
          <cell r="E240">
            <v>7536</v>
          </cell>
          <cell r="F240" t="str">
            <v>ASHLAND CHEMICAL, INC.</v>
          </cell>
          <cell r="G240" t="str">
            <v>D</v>
          </cell>
          <cell r="H240" t="str">
            <v>WILLOW SPRINGS</v>
          </cell>
          <cell r="I240" t="str">
            <v>IL</v>
          </cell>
          <cell r="J240" t="str">
            <v>USA</v>
          </cell>
          <cell r="K240" t="str">
            <v>ASHLAND CHEMICAL, INC.</v>
          </cell>
          <cell r="L240" t="str">
            <v>IL</v>
          </cell>
          <cell r="M240" t="str">
            <v>USA</v>
          </cell>
          <cell r="N240" t="str">
            <v>D</v>
          </cell>
          <cell r="O240">
            <v>24090210</v>
          </cell>
          <cell r="P240" t="str">
            <v>BORIC ACID GRAN TECH 50LB BAG</v>
          </cell>
          <cell r="Q240" t="str">
            <v>Boric Acid</v>
          </cell>
          <cell r="R240">
            <v>20.13</v>
          </cell>
          <cell r="S240">
            <v>15745.42</v>
          </cell>
        </row>
        <row r="241">
          <cell r="A241" t="str">
            <v>Budget</v>
          </cell>
          <cell r="B241">
            <v>1</v>
          </cell>
          <cell r="C241" t="str">
            <v>Domestic</v>
          </cell>
          <cell r="D241">
            <v>3</v>
          </cell>
          <cell r="E241">
            <v>7536</v>
          </cell>
          <cell r="F241" t="str">
            <v>ASHLAND CHEMICAL, INC.</v>
          </cell>
          <cell r="G241" t="str">
            <v>D</v>
          </cell>
          <cell r="H241" t="str">
            <v>WILLOW SPRINGS</v>
          </cell>
          <cell r="I241" t="str">
            <v>IL</v>
          </cell>
          <cell r="J241" t="str">
            <v>USA</v>
          </cell>
          <cell r="K241" t="str">
            <v>ASHLAND CHEMICAL, INC.</v>
          </cell>
          <cell r="L241" t="str">
            <v>IL</v>
          </cell>
          <cell r="M241" t="str">
            <v>USA</v>
          </cell>
          <cell r="N241" t="str">
            <v>D</v>
          </cell>
          <cell r="O241">
            <v>79099720</v>
          </cell>
          <cell r="P241" t="str">
            <v>POTASSIUM TETRABORATE 25KG BAG</v>
          </cell>
          <cell r="Q241" t="str">
            <v>Boric Salt (SCL)</v>
          </cell>
          <cell r="R241">
            <v>0.2</v>
          </cell>
          <cell r="S241">
            <v>531.45000000000005</v>
          </cell>
        </row>
        <row r="242">
          <cell r="A242" t="str">
            <v>Budget</v>
          </cell>
          <cell r="B242">
            <v>1</v>
          </cell>
          <cell r="C242" t="str">
            <v>Domestic</v>
          </cell>
          <cell r="D242">
            <v>3</v>
          </cell>
          <cell r="E242">
            <v>7728</v>
          </cell>
          <cell r="F242" t="str">
            <v>HAVILAND PRODUCTS COMPANY</v>
          </cell>
          <cell r="G242" t="str">
            <v>D</v>
          </cell>
          <cell r="H242" t="str">
            <v>GRAND RAPIDS</v>
          </cell>
          <cell r="I242" t="str">
            <v>MI</v>
          </cell>
          <cell r="J242" t="str">
            <v>USA</v>
          </cell>
          <cell r="K242" t="str">
            <v>HAVILAND PRODUCTS COMPANY</v>
          </cell>
          <cell r="L242" t="str">
            <v>MI</v>
          </cell>
          <cell r="M242" t="str">
            <v>USA</v>
          </cell>
          <cell r="N242" t="str">
            <v>D</v>
          </cell>
          <cell r="O242">
            <v>22060453</v>
          </cell>
          <cell r="P242" t="str">
            <v>V-BOR 2500LB FIBC (004)</v>
          </cell>
          <cell r="Q242" t="str">
            <v>Penta</v>
          </cell>
          <cell r="R242">
            <v>14.82</v>
          </cell>
          <cell r="S242">
            <v>5160.6499999999996</v>
          </cell>
        </row>
        <row r="243">
          <cell r="A243" t="str">
            <v>Budget</v>
          </cell>
          <cell r="B243">
            <v>1</v>
          </cell>
          <cell r="C243" t="str">
            <v>Domestic</v>
          </cell>
          <cell r="D243">
            <v>3</v>
          </cell>
          <cell r="E243">
            <v>7951</v>
          </cell>
          <cell r="F243" t="str">
            <v>PVS NOLWOOD CHEMICAL INC</v>
          </cell>
          <cell r="G243" t="str">
            <v>D</v>
          </cell>
          <cell r="H243" t="str">
            <v>DETROIT</v>
          </cell>
          <cell r="I243" t="str">
            <v>MI</v>
          </cell>
          <cell r="J243" t="str">
            <v>USA</v>
          </cell>
          <cell r="K243" t="str">
            <v>PVS NOLWOOD CHEMICAL INC</v>
          </cell>
          <cell r="L243" t="str">
            <v>MI</v>
          </cell>
          <cell r="M243" t="str">
            <v>USA</v>
          </cell>
          <cell r="N243" t="str">
            <v>D</v>
          </cell>
          <cell r="O243">
            <v>22060410</v>
          </cell>
          <cell r="P243" t="str">
            <v>V-BOR 50LB BAG (004)</v>
          </cell>
          <cell r="Q243" t="str">
            <v>Penta</v>
          </cell>
          <cell r="R243">
            <v>10.38</v>
          </cell>
          <cell r="S243">
            <v>4395.3</v>
          </cell>
        </row>
        <row r="244">
          <cell r="A244" t="str">
            <v>Budget</v>
          </cell>
          <cell r="B244">
            <v>1</v>
          </cell>
          <cell r="C244" t="str">
            <v>Domestic</v>
          </cell>
          <cell r="D244">
            <v>3</v>
          </cell>
          <cell r="E244">
            <v>7951</v>
          </cell>
          <cell r="F244" t="str">
            <v>PVS NOLWOOD CHEMICAL INC</v>
          </cell>
          <cell r="G244" t="str">
            <v>D</v>
          </cell>
          <cell r="H244" t="str">
            <v>DETROIT</v>
          </cell>
          <cell r="I244" t="str">
            <v>MI</v>
          </cell>
          <cell r="J244" t="str">
            <v>USA</v>
          </cell>
          <cell r="K244" t="str">
            <v>PVS NOLWOOD CHEMICAL INC</v>
          </cell>
          <cell r="L244" t="str">
            <v>MI</v>
          </cell>
          <cell r="M244" t="str">
            <v>USA</v>
          </cell>
          <cell r="N244" t="str">
            <v>D</v>
          </cell>
          <cell r="O244">
            <v>23060210</v>
          </cell>
          <cell r="P244" t="str">
            <v>DECA BORAX STD 50LB BAG</v>
          </cell>
          <cell r="Q244" t="str">
            <v>Deca</v>
          </cell>
          <cell r="R244">
            <v>0.21</v>
          </cell>
          <cell r="S244">
            <v>76.63</v>
          </cell>
        </row>
        <row r="245">
          <cell r="A245" t="str">
            <v>Budget</v>
          </cell>
          <cell r="B245">
            <v>1</v>
          </cell>
          <cell r="C245" t="str">
            <v>Domestic</v>
          </cell>
          <cell r="D245">
            <v>3</v>
          </cell>
          <cell r="E245">
            <v>7951</v>
          </cell>
          <cell r="F245" t="str">
            <v>PVS NOLWOOD CHEMICAL INC</v>
          </cell>
          <cell r="G245" t="str">
            <v>D</v>
          </cell>
          <cell r="H245" t="str">
            <v>DETROIT</v>
          </cell>
          <cell r="I245" t="str">
            <v>MI</v>
          </cell>
          <cell r="J245" t="str">
            <v>USA</v>
          </cell>
          <cell r="K245" t="str">
            <v>PVS NOLWOOD CHEMICAL INC</v>
          </cell>
          <cell r="L245" t="str">
            <v>MI</v>
          </cell>
          <cell r="M245" t="str">
            <v>USA</v>
          </cell>
          <cell r="N245" t="str">
            <v>D</v>
          </cell>
          <cell r="O245">
            <v>24090210</v>
          </cell>
          <cell r="P245" t="str">
            <v>BORIC ACID GRAN TECH 50LB BAG</v>
          </cell>
          <cell r="Q245" t="str">
            <v>Boric Acid</v>
          </cell>
          <cell r="R245">
            <v>7.89</v>
          </cell>
          <cell r="S245">
            <v>5133.7</v>
          </cell>
        </row>
        <row r="246">
          <cell r="A246" t="str">
            <v>Budget</v>
          </cell>
          <cell r="B246">
            <v>1</v>
          </cell>
          <cell r="C246" t="str">
            <v>Domestic</v>
          </cell>
          <cell r="D246">
            <v>3</v>
          </cell>
          <cell r="E246">
            <v>7951</v>
          </cell>
          <cell r="F246" t="str">
            <v>PVS NOLWOOD CHEMICAL INC</v>
          </cell>
          <cell r="G246" t="str">
            <v>D</v>
          </cell>
          <cell r="H246" t="str">
            <v>DETROIT</v>
          </cell>
          <cell r="I246" t="str">
            <v>MI</v>
          </cell>
          <cell r="J246" t="str">
            <v>USA</v>
          </cell>
          <cell r="K246" t="str">
            <v>PVS NOLWOOD CHEMICAL INC</v>
          </cell>
          <cell r="L246" t="str">
            <v>MI</v>
          </cell>
          <cell r="M246" t="str">
            <v>USA</v>
          </cell>
          <cell r="N246" t="str">
            <v>D</v>
          </cell>
          <cell r="O246">
            <v>40060410</v>
          </cell>
          <cell r="P246" t="str">
            <v>SODIUM SULFATE STD 50LB BAG</v>
          </cell>
          <cell r="Q246" t="str">
            <v>Sodium Sulfate</v>
          </cell>
          <cell r="R246">
            <v>10.8</v>
          </cell>
          <cell r="S246">
            <v>1134.46</v>
          </cell>
        </row>
        <row r="247">
          <cell r="A247" t="str">
            <v>Budget</v>
          </cell>
          <cell r="B247">
            <v>1</v>
          </cell>
          <cell r="C247" t="str">
            <v>Domestic</v>
          </cell>
          <cell r="D247">
            <v>3</v>
          </cell>
          <cell r="E247">
            <v>8007</v>
          </cell>
          <cell r="F247" t="str">
            <v>BLACHFORD CORPORATION</v>
          </cell>
          <cell r="G247" t="str">
            <v>D</v>
          </cell>
          <cell r="H247" t="str">
            <v>FRANKFORT</v>
          </cell>
          <cell r="I247" t="str">
            <v>IL</v>
          </cell>
          <cell r="J247" t="str">
            <v>USA</v>
          </cell>
          <cell r="K247" t="str">
            <v>UNIVAR USA</v>
          </cell>
          <cell r="L247" t="str">
            <v>IL</v>
          </cell>
          <cell r="M247" t="str">
            <v>USA</v>
          </cell>
          <cell r="N247" t="str">
            <v>D</v>
          </cell>
          <cell r="O247">
            <v>22060410</v>
          </cell>
          <cell r="P247" t="str">
            <v>V-BOR 50LB BAG (004)</v>
          </cell>
          <cell r="Q247" t="str">
            <v>Penta</v>
          </cell>
          <cell r="R247">
            <v>22</v>
          </cell>
          <cell r="S247">
            <v>8392.2800000000007</v>
          </cell>
        </row>
        <row r="248">
          <cell r="A248" t="str">
            <v>Budget</v>
          </cell>
          <cell r="B248">
            <v>1</v>
          </cell>
          <cell r="C248" t="str">
            <v>Domestic</v>
          </cell>
          <cell r="D248">
            <v>3</v>
          </cell>
          <cell r="E248">
            <v>8007</v>
          </cell>
          <cell r="F248" t="str">
            <v>BLACHFORD CORPORATION</v>
          </cell>
          <cell r="G248" t="str">
            <v>D</v>
          </cell>
          <cell r="H248" t="str">
            <v>FRANKFORT</v>
          </cell>
          <cell r="I248" t="str">
            <v>IL</v>
          </cell>
          <cell r="J248" t="str">
            <v>USA</v>
          </cell>
          <cell r="K248" t="str">
            <v>UNIVAR USA</v>
          </cell>
          <cell r="L248" t="str">
            <v>IL</v>
          </cell>
          <cell r="M248" t="str">
            <v>USA</v>
          </cell>
          <cell r="N248" t="str">
            <v>D</v>
          </cell>
          <cell r="O248">
            <v>40150410</v>
          </cell>
          <cell r="P248" t="str">
            <v>SODIUM SULFATE CRS 50LB BAG</v>
          </cell>
          <cell r="Q248" t="str">
            <v>Sodium Sulfate</v>
          </cell>
          <cell r="R248">
            <v>3.81</v>
          </cell>
          <cell r="S248">
            <v>513.73</v>
          </cell>
        </row>
        <row r="249">
          <cell r="A249" t="str">
            <v>Budget</v>
          </cell>
          <cell r="B249">
            <v>1</v>
          </cell>
          <cell r="C249" t="str">
            <v>Domestic</v>
          </cell>
          <cell r="D249">
            <v>3</v>
          </cell>
          <cell r="E249">
            <v>8106</v>
          </cell>
          <cell r="F249" t="str">
            <v>UNIVAR USA</v>
          </cell>
          <cell r="G249" t="str">
            <v>D</v>
          </cell>
          <cell r="H249" t="str">
            <v>BEDFORD PARK</v>
          </cell>
          <cell r="I249" t="str">
            <v>IL</v>
          </cell>
          <cell r="J249" t="str">
            <v>USA</v>
          </cell>
          <cell r="K249" t="str">
            <v>UNIVAR USA</v>
          </cell>
          <cell r="L249" t="str">
            <v>IL</v>
          </cell>
          <cell r="M249" t="str">
            <v>USA</v>
          </cell>
          <cell r="N249" t="str">
            <v>D</v>
          </cell>
          <cell r="O249">
            <v>22060410</v>
          </cell>
          <cell r="P249" t="str">
            <v>V-BOR 50LB BAG (004)</v>
          </cell>
          <cell r="Q249" t="str">
            <v>Penta</v>
          </cell>
          <cell r="R249">
            <v>10.38</v>
          </cell>
          <cell r="S249">
            <v>4237.55</v>
          </cell>
        </row>
        <row r="250">
          <cell r="A250" t="str">
            <v>Budget</v>
          </cell>
          <cell r="B250">
            <v>1</v>
          </cell>
          <cell r="C250" t="str">
            <v>Domestic</v>
          </cell>
          <cell r="D250">
            <v>3</v>
          </cell>
          <cell r="E250">
            <v>8106</v>
          </cell>
          <cell r="F250" t="str">
            <v>UNIVAR USA</v>
          </cell>
          <cell r="G250" t="str">
            <v>D</v>
          </cell>
          <cell r="H250" t="str">
            <v>BEDFORD PARK</v>
          </cell>
          <cell r="I250" t="str">
            <v>IL</v>
          </cell>
          <cell r="J250" t="str">
            <v>USA</v>
          </cell>
          <cell r="K250" t="str">
            <v>UNIVAR USA</v>
          </cell>
          <cell r="L250" t="str">
            <v>IL</v>
          </cell>
          <cell r="M250" t="str">
            <v>USA</v>
          </cell>
          <cell r="N250" t="str">
            <v>D</v>
          </cell>
          <cell r="O250">
            <v>23060210</v>
          </cell>
          <cell r="P250" t="str">
            <v>DECA BORAX STD 50LB BAG</v>
          </cell>
          <cell r="Q250" t="str">
            <v>Deca</v>
          </cell>
          <cell r="R250">
            <v>5.6</v>
          </cell>
          <cell r="S250">
            <v>1982.81</v>
          </cell>
        </row>
        <row r="251">
          <cell r="A251" t="str">
            <v>Budget</v>
          </cell>
          <cell r="B251">
            <v>1</v>
          </cell>
          <cell r="C251" t="str">
            <v>Domestic</v>
          </cell>
          <cell r="D251">
            <v>3</v>
          </cell>
          <cell r="E251">
            <v>8106</v>
          </cell>
          <cell r="F251" t="str">
            <v>UNIVAR USA</v>
          </cell>
          <cell r="G251" t="str">
            <v>D</v>
          </cell>
          <cell r="H251" t="str">
            <v>BEDFORD PARK</v>
          </cell>
          <cell r="I251" t="str">
            <v>IL</v>
          </cell>
          <cell r="J251" t="str">
            <v>USA</v>
          </cell>
          <cell r="K251" t="str">
            <v>UNIVAR USA</v>
          </cell>
          <cell r="L251" t="str">
            <v>IL</v>
          </cell>
          <cell r="M251" t="str">
            <v>USA</v>
          </cell>
          <cell r="N251" t="str">
            <v>D</v>
          </cell>
          <cell r="O251">
            <v>24090210</v>
          </cell>
          <cell r="P251" t="str">
            <v>BORIC ACID GRAN TECH 50LB BAG</v>
          </cell>
          <cell r="Q251" t="str">
            <v>Boric Acid</v>
          </cell>
          <cell r="R251">
            <v>5.6</v>
          </cell>
          <cell r="S251">
            <v>4284.3599999999997</v>
          </cell>
        </row>
        <row r="252">
          <cell r="A252" t="str">
            <v>Budget</v>
          </cell>
          <cell r="B252">
            <v>1</v>
          </cell>
          <cell r="C252" t="str">
            <v>Domestic</v>
          </cell>
          <cell r="D252">
            <v>3</v>
          </cell>
          <cell r="E252">
            <v>8174</v>
          </cell>
          <cell r="F252" t="str">
            <v>CHEMICALS, INC.</v>
          </cell>
          <cell r="G252" t="str">
            <v>D</v>
          </cell>
          <cell r="H252" t="str">
            <v>FAIRFIELD</v>
          </cell>
          <cell r="I252" t="str">
            <v>OH</v>
          </cell>
          <cell r="J252" t="str">
            <v>USA</v>
          </cell>
          <cell r="K252" t="str">
            <v>CHEMICALS, INC.</v>
          </cell>
          <cell r="L252" t="str">
            <v>OH</v>
          </cell>
          <cell r="M252" t="str">
            <v>USA</v>
          </cell>
          <cell r="N252" t="str">
            <v>C</v>
          </cell>
          <cell r="O252">
            <v>23060210</v>
          </cell>
          <cell r="P252" t="str">
            <v>DECA BORAX STD 50LB BAG</v>
          </cell>
          <cell r="Q252" t="str">
            <v>Deca</v>
          </cell>
          <cell r="R252">
            <v>4.7699999999999996</v>
          </cell>
          <cell r="S252">
            <v>1749.21</v>
          </cell>
        </row>
        <row r="253">
          <cell r="A253" t="str">
            <v>Budget</v>
          </cell>
          <cell r="B253">
            <v>1</v>
          </cell>
          <cell r="C253" t="str">
            <v>Domestic</v>
          </cell>
          <cell r="D253">
            <v>3</v>
          </cell>
          <cell r="E253">
            <v>8174</v>
          </cell>
          <cell r="F253" t="str">
            <v>CHEMICALS, INC.</v>
          </cell>
          <cell r="G253" t="str">
            <v>D</v>
          </cell>
          <cell r="H253" t="str">
            <v>FAIRFIELD</v>
          </cell>
          <cell r="I253" t="str">
            <v>OH</v>
          </cell>
          <cell r="J253" t="str">
            <v>USA</v>
          </cell>
          <cell r="K253" t="str">
            <v>CHEMICALS, INC.</v>
          </cell>
          <cell r="L253" t="str">
            <v>OH</v>
          </cell>
          <cell r="M253" t="str">
            <v>USA</v>
          </cell>
          <cell r="N253" t="str">
            <v>C</v>
          </cell>
          <cell r="O253">
            <v>24090210</v>
          </cell>
          <cell r="P253" t="str">
            <v>BORIC ACID GRAN TECH 50LB BAG</v>
          </cell>
          <cell r="Q253" t="str">
            <v>Boric Acid</v>
          </cell>
          <cell r="R253">
            <v>6.43</v>
          </cell>
          <cell r="S253">
            <v>4759.1099999999997</v>
          </cell>
        </row>
        <row r="254">
          <cell r="A254" t="str">
            <v>Budget</v>
          </cell>
          <cell r="B254">
            <v>1</v>
          </cell>
          <cell r="C254" t="str">
            <v>Domestic</v>
          </cell>
          <cell r="D254">
            <v>3</v>
          </cell>
          <cell r="E254">
            <v>8530</v>
          </cell>
          <cell r="F254" t="str">
            <v>GOJO INDUSTRIES</v>
          </cell>
          <cell r="G254" t="str">
            <v>D</v>
          </cell>
          <cell r="H254" t="str">
            <v>CUYAHOGA FALLS</v>
          </cell>
          <cell r="I254" t="str">
            <v>OH</v>
          </cell>
          <cell r="J254" t="str">
            <v>USA</v>
          </cell>
          <cell r="K254" t="str">
            <v>UNIVAR USA</v>
          </cell>
          <cell r="L254" t="str">
            <v>OH</v>
          </cell>
          <cell r="M254" t="str">
            <v>USA</v>
          </cell>
          <cell r="N254" t="str">
            <v>C</v>
          </cell>
          <cell r="O254">
            <v>40060410</v>
          </cell>
          <cell r="P254" t="str">
            <v>SODIUM SULFATE STD 50LB BAG</v>
          </cell>
          <cell r="Q254" t="str">
            <v>Sodium Sulfate</v>
          </cell>
          <cell r="R254">
            <v>43.2</v>
          </cell>
          <cell r="S254">
            <v>3490.3</v>
          </cell>
        </row>
        <row r="255">
          <cell r="A255" t="str">
            <v>Budget</v>
          </cell>
          <cell r="B255">
            <v>1</v>
          </cell>
          <cell r="C255" t="str">
            <v>Domestic</v>
          </cell>
          <cell r="D255">
            <v>3</v>
          </cell>
          <cell r="E255">
            <v>8546</v>
          </cell>
          <cell r="F255" t="str">
            <v>MODERN INSULATION</v>
          </cell>
          <cell r="G255" t="str">
            <v>D</v>
          </cell>
          <cell r="H255" t="str">
            <v>SPENCER</v>
          </cell>
          <cell r="I255" t="str">
            <v>WI</v>
          </cell>
          <cell r="J255" t="str">
            <v>USA</v>
          </cell>
          <cell r="K255" t="str">
            <v>MODERN INSULATION</v>
          </cell>
          <cell r="L255" t="str">
            <v>WI</v>
          </cell>
          <cell r="M255" t="str">
            <v>USA</v>
          </cell>
          <cell r="N255" t="str">
            <v>C</v>
          </cell>
          <cell r="O255">
            <v>24090200</v>
          </cell>
          <cell r="P255" t="str">
            <v>BORIC ACID GRAN TECH BULK</v>
          </cell>
          <cell r="Q255" t="str">
            <v>Boric Acid</v>
          </cell>
          <cell r="R255">
            <v>194.81</v>
          </cell>
          <cell r="S255">
            <v>84352.19</v>
          </cell>
        </row>
        <row r="256">
          <cell r="A256" t="str">
            <v>Budget</v>
          </cell>
          <cell r="B256">
            <v>1</v>
          </cell>
          <cell r="C256" t="str">
            <v>Domestic</v>
          </cell>
          <cell r="D256">
            <v>3</v>
          </cell>
          <cell r="E256">
            <v>8548</v>
          </cell>
          <cell r="F256" t="str">
            <v>YOUNG CHEMICAL COMPANY</v>
          </cell>
          <cell r="G256" t="str">
            <v>D</v>
          </cell>
          <cell r="H256" t="str">
            <v>TOLEDO</v>
          </cell>
          <cell r="I256" t="str">
            <v>OH</v>
          </cell>
          <cell r="J256" t="str">
            <v>USA</v>
          </cell>
          <cell r="K256" t="str">
            <v>YOUNG CHEMICAL COMPANY</v>
          </cell>
          <cell r="L256" t="str">
            <v>OH</v>
          </cell>
          <cell r="M256" t="str">
            <v>USA</v>
          </cell>
          <cell r="N256" t="str">
            <v>D</v>
          </cell>
          <cell r="O256">
            <v>40060410</v>
          </cell>
          <cell r="P256" t="str">
            <v>SODIUM SULFATE STD 50LB BAG</v>
          </cell>
          <cell r="Q256" t="str">
            <v>Sodium Sulfate</v>
          </cell>
          <cell r="R256">
            <v>3.6</v>
          </cell>
          <cell r="S256">
            <v>327.62</v>
          </cell>
        </row>
        <row r="257">
          <cell r="A257" t="str">
            <v>Budget</v>
          </cell>
          <cell r="B257">
            <v>1</v>
          </cell>
          <cell r="C257" t="str">
            <v>Domestic</v>
          </cell>
          <cell r="D257">
            <v>3</v>
          </cell>
          <cell r="E257">
            <v>8652</v>
          </cell>
          <cell r="F257" t="str">
            <v>BRENNTAG MID SOUTH, INC.</v>
          </cell>
          <cell r="G257" t="str">
            <v>D</v>
          </cell>
          <cell r="H257" t="str">
            <v>SAINT ALBANS</v>
          </cell>
          <cell r="I257" t="str">
            <v>WV</v>
          </cell>
          <cell r="J257" t="str">
            <v>USA</v>
          </cell>
          <cell r="K257" t="str">
            <v>BRENNTAG MID-SOUTH, INC.</v>
          </cell>
          <cell r="L257" t="str">
            <v>KY</v>
          </cell>
          <cell r="M257" t="str">
            <v>USA</v>
          </cell>
          <cell r="N257" t="str">
            <v>D</v>
          </cell>
          <cell r="O257">
            <v>24030210</v>
          </cell>
          <cell r="P257" t="str">
            <v>BORIC ACID PWD TECH 50LB BAG</v>
          </cell>
          <cell r="Q257" t="str">
            <v>Boric Acid</v>
          </cell>
          <cell r="R257">
            <v>7.11</v>
          </cell>
          <cell r="S257">
            <v>5109.41</v>
          </cell>
        </row>
        <row r="258">
          <cell r="A258" t="str">
            <v>Budget</v>
          </cell>
          <cell r="B258">
            <v>1</v>
          </cell>
          <cell r="C258" t="str">
            <v>Domestic</v>
          </cell>
          <cell r="D258">
            <v>3</v>
          </cell>
          <cell r="E258">
            <v>8652</v>
          </cell>
          <cell r="F258" t="str">
            <v>BRENNTAG MID SOUTH, INC.</v>
          </cell>
          <cell r="G258" t="str">
            <v>D</v>
          </cell>
          <cell r="H258" t="str">
            <v>SAINT ALBANS</v>
          </cell>
          <cell r="I258" t="str">
            <v>WV</v>
          </cell>
          <cell r="J258" t="str">
            <v>USA</v>
          </cell>
          <cell r="K258" t="str">
            <v>BRENNTAG MID-SOUTH, INC.</v>
          </cell>
          <cell r="L258" t="str">
            <v>KY</v>
          </cell>
          <cell r="M258" t="str">
            <v>USA</v>
          </cell>
          <cell r="N258" t="str">
            <v>D</v>
          </cell>
          <cell r="O258">
            <v>40060410</v>
          </cell>
          <cell r="P258" t="str">
            <v>SODIUM SULFATE STD 50LB BAG</v>
          </cell>
          <cell r="Q258" t="str">
            <v>Sodium Sulfate</v>
          </cell>
          <cell r="R258">
            <v>0.21</v>
          </cell>
          <cell r="S258">
            <v>19.559999999999999</v>
          </cell>
        </row>
        <row r="259">
          <cell r="A259" t="str">
            <v>Budget</v>
          </cell>
          <cell r="B259">
            <v>1</v>
          </cell>
          <cell r="C259" t="str">
            <v>Domestic</v>
          </cell>
          <cell r="D259">
            <v>3</v>
          </cell>
          <cell r="E259">
            <v>8699</v>
          </cell>
          <cell r="F259" t="str">
            <v>LIBBEY GLASS SHREVEPORT</v>
          </cell>
          <cell r="G259" t="str">
            <v>D</v>
          </cell>
          <cell r="H259" t="str">
            <v>SHREVEPORT</v>
          </cell>
          <cell r="I259" t="str">
            <v>LA</v>
          </cell>
          <cell r="J259" t="str">
            <v>USA</v>
          </cell>
          <cell r="K259" t="str">
            <v>LIBBEY GLASS SHREVEPORT</v>
          </cell>
          <cell r="L259" t="str">
            <v>LA</v>
          </cell>
          <cell r="M259" t="str">
            <v>USA</v>
          </cell>
          <cell r="N259" t="str">
            <v>C</v>
          </cell>
          <cell r="O259">
            <v>40150400</v>
          </cell>
          <cell r="P259" t="str">
            <v>SODIUM SULFATE COARSE BULK</v>
          </cell>
          <cell r="Q259" t="str">
            <v>Sodium Sulfate</v>
          </cell>
          <cell r="R259">
            <v>49.78</v>
          </cell>
          <cell r="S259">
            <v>3722.88</v>
          </cell>
        </row>
        <row r="260">
          <cell r="A260" t="str">
            <v>Budget</v>
          </cell>
          <cell r="B260">
            <v>1</v>
          </cell>
          <cell r="C260" t="str">
            <v>Domestic</v>
          </cell>
          <cell r="D260">
            <v>3</v>
          </cell>
          <cell r="E260">
            <v>8750</v>
          </cell>
          <cell r="F260" t="str">
            <v>GUARDIAN FIBERGLASS</v>
          </cell>
          <cell r="G260" t="str">
            <v>D</v>
          </cell>
          <cell r="H260" t="str">
            <v>KINGMAN</v>
          </cell>
          <cell r="I260" t="str">
            <v>AZ</v>
          </cell>
          <cell r="J260" t="str">
            <v>USA</v>
          </cell>
          <cell r="K260" t="str">
            <v>GUARDIAN FIBERGLASS</v>
          </cell>
          <cell r="L260" t="str">
            <v>AZ</v>
          </cell>
          <cell r="M260" t="str">
            <v>USA</v>
          </cell>
          <cell r="N260" t="str">
            <v>C</v>
          </cell>
          <cell r="O260">
            <v>22060400</v>
          </cell>
          <cell r="P260" t="str">
            <v>V-BOR STD BULK (004)</v>
          </cell>
          <cell r="Q260" t="str">
            <v>Penta</v>
          </cell>
          <cell r="R260">
            <v>406.56</v>
          </cell>
          <cell r="S260">
            <v>98084.82</v>
          </cell>
        </row>
        <row r="261">
          <cell r="A261" t="str">
            <v>Budget</v>
          </cell>
          <cell r="B261">
            <v>1</v>
          </cell>
          <cell r="C261" t="str">
            <v>Domestic</v>
          </cell>
          <cell r="D261">
            <v>3</v>
          </cell>
          <cell r="E261">
            <v>8823</v>
          </cell>
          <cell r="F261" t="str">
            <v>GP GYPSUM</v>
          </cell>
          <cell r="G261" t="str">
            <v>D</v>
          </cell>
          <cell r="H261" t="str">
            <v>WHEATFIELD</v>
          </cell>
          <cell r="I261" t="str">
            <v>IN</v>
          </cell>
          <cell r="J261" t="str">
            <v>USA</v>
          </cell>
          <cell r="K261" t="str">
            <v>UNIVAR USA</v>
          </cell>
          <cell r="L261" t="str">
            <v>IN</v>
          </cell>
          <cell r="M261" t="str">
            <v>USA</v>
          </cell>
          <cell r="N261" t="str">
            <v>D</v>
          </cell>
          <cell r="O261">
            <v>24090250</v>
          </cell>
          <cell r="P261" t="str">
            <v>BORIC ACID GRAN TECH 1TN FIBC</v>
          </cell>
          <cell r="Q261" t="str">
            <v>Boric Acid</v>
          </cell>
          <cell r="R261">
            <v>7.28</v>
          </cell>
          <cell r="S261">
            <v>3760.3</v>
          </cell>
        </row>
        <row r="262">
          <cell r="A262" t="str">
            <v>Budget</v>
          </cell>
          <cell r="B262">
            <v>1</v>
          </cell>
          <cell r="C262" t="str">
            <v>Domestic</v>
          </cell>
          <cell r="D262">
            <v>3</v>
          </cell>
          <cell r="E262">
            <v>9029</v>
          </cell>
          <cell r="F262" t="str">
            <v>CAMCO</v>
          </cell>
          <cell r="G262" t="str">
            <v>D</v>
          </cell>
          <cell r="H262" t="str">
            <v>FLORENCE</v>
          </cell>
          <cell r="I262" t="str">
            <v>KY</v>
          </cell>
          <cell r="J262" t="str">
            <v>USA</v>
          </cell>
          <cell r="K262" t="str">
            <v>GMZ</v>
          </cell>
          <cell r="L262" t="str">
            <v>OH</v>
          </cell>
          <cell r="M262" t="str">
            <v>USA</v>
          </cell>
          <cell r="N262" t="str">
            <v>D</v>
          </cell>
          <cell r="O262">
            <v>40060450</v>
          </cell>
          <cell r="P262" t="str">
            <v>SODIUM SULFATE STD 1TN FIBC</v>
          </cell>
          <cell r="Q262" t="str">
            <v>Sodium Sulfate</v>
          </cell>
          <cell r="R262">
            <v>18.63</v>
          </cell>
          <cell r="S262">
            <v>1900.44</v>
          </cell>
        </row>
        <row r="263">
          <cell r="A263" t="str">
            <v>Budget</v>
          </cell>
          <cell r="B263">
            <v>1</v>
          </cell>
          <cell r="C263" t="str">
            <v>Domestic</v>
          </cell>
          <cell r="D263">
            <v>3</v>
          </cell>
          <cell r="E263">
            <v>9098</v>
          </cell>
          <cell r="F263" t="str">
            <v>UNIVAR USA</v>
          </cell>
          <cell r="G263" t="str">
            <v>D</v>
          </cell>
          <cell r="H263" t="str">
            <v>CINCINNATI</v>
          </cell>
          <cell r="I263" t="str">
            <v>OH</v>
          </cell>
          <cell r="J263" t="str">
            <v>USA</v>
          </cell>
          <cell r="K263" t="str">
            <v>UNIVAR USA</v>
          </cell>
          <cell r="L263" t="str">
            <v>OH</v>
          </cell>
          <cell r="M263" t="str">
            <v>USA</v>
          </cell>
          <cell r="N263" t="str">
            <v>D</v>
          </cell>
          <cell r="O263">
            <v>22060410</v>
          </cell>
          <cell r="P263" t="str">
            <v>V-BOR 50LB BAG (004)</v>
          </cell>
          <cell r="Q263" t="str">
            <v>Penta</v>
          </cell>
          <cell r="R263">
            <v>15.15</v>
          </cell>
          <cell r="S263">
            <v>5809.84</v>
          </cell>
        </row>
        <row r="264">
          <cell r="A264" t="str">
            <v>Budget</v>
          </cell>
          <cell r="B264">
            <v>1</v>
          </cell>
          <cell r="C264" t="str">
            <v>Domestic</v>
          </cell>
          <cell r="D264">
            <v>3</v>
          </cell>
          <cell r="E264">
            <v>9098</v>
          </cell>
          <cell r="F264" t="str">
            <v>UNIVAR USA</v>
          </cell>
          <cell r="G264" t="str">
            <v>D</v>
          </cell>
          <cell r="H264" t="str">
            <v>CINCINNATI</v>
          </cell>
          <cell r="I264" t="str">
            <v>OH</v>
          </cell>
          <cell r="J264" t="str">
            <v>USA</v>
          </cell>
          <cell r="K264" t="str">
            <v>UNIVAR USA</v>
          </cell>
          <cell r="L264" t="str">
            <v>OH</v>
          </cell>
          <cell r="M264" t="str">
            <v>USA</v>
          </cell>
          <cell r="N264" t="str">
            <v>D</v>
          </cell>
          <cell r="O264">
            <v>24099753</v>
          </cell>
          <cell r="P264" t="str">
            <v>BORIC ACD GRN TCH IT 2500LB FI</v>
          </cell>
          <cell r="Q264" t="str">
            <v>Boric Acid (SCL)</v>
          </cell>
          <cell r="R264">
            <v>10.16</v>
          </cell>
          <cell r="S264">
            <v>6098.88</v>
          </cell>
        </row>
        <row r="265">
          <cell r="A265" t="str">
            <v>Budget</v>
          </cell>
          <cell r="B265">
            <v>1</v>
          </cell>
          <cell r="C265" t="str">
            <v>Domestic</v>
          </cell>
          <cell r="D265">
            <v>3</v>
          </cell>
          <cell r="E265">
            <v>9098</v>
          </cell>
          <cell r="F265" t="str">
            <v>UNIVAR USA</v>
          </cell>
          <cell r="G265" t="str">
            <v>D</v>
          </cell>
          <cell r="H265" t="str">
            <v>CINCINNATI</v>
          </cell>
          <cell r="I265" t="str">
            <v>OH</v>
          </cell>
          <cell r="J265" t="str">
            <v>USA</v>
          </cell>
          <cell r="K265" t="str">
            <v>UNIVAR USA</v>
          </cell>
          <cell r="L265" t="str">
            <v>OH</v>
          </cell>
          <cell r="M265" t="str">
            <v>USA</v>
          </cell>
          <cell r="N265" t="str">
            <v>D</v>
          </cell>
          <cell r="O265">
            <v>40060410</v>
          </cell>
          <cell r="P265" t="str">
            <v>SODIUM SULFATE STD 50LB BAG</v>
          </cell>
          <cell r="Q265" t="str">
            <v>Sodium Sulfate</v>
          </cell>
          <cell r="R265">
            <v>3.18</v>
          </cell>
          <cell r="S265">
            <v>373.51</v>
          </cell>
        </row>
        <row r="266">
          <cell r="A266" t="str">
            <v>Budget</v>
          </cell>
          <cell r="B266">
            <v>1</v>
          </cell>
          <cell r="C266" t="str">
            <v>Domestic</v>
          </cell>
          <cell r="D266">
            <v>3</v>
          </cell>
          <cell r="E266">
            <v>9174</v>
          </cell>
          <cell r="F266" t="str">
            <v>HARRIS &amp; FORD</v>
          </cell>
          <cell r="G266" t="str">
            <v>D</v>
          </cell>
          <cell r="H266" t="str">
            <v>INDIANAPOLIS</v>
          </cell>
          <cell r="I266" t="str">
            <v>IN</v>
          </cell>
          <cell r="J266" t="str">
            <v>USA</v>
          </cell>
          <cell r="K266" t="str">
            <v>HARRIS &amp; FORD</v>
          </cell>
          <cell r="L266" t="str">
            <v>IN</v>
          </cell>
          <cell r="M266" t="str">
            <v>USA</v>
          </cell>
          <cell r="N266" t="str">
            <v>D</v>
          </cell>
          <cell r="O266">
            <v>22060410</v>
          </cell>
          <cell r="P266" t="str">
            <v>V-BOR 50LB BAG (004)</v>
          </cell>
          <cell r="Q266" t="str">
            <v>Penta</v>
          </cell>
          <cell r="R266">
            <v>39.22</v>
          </cell>
          <cell r="S266">
            <v>16751.52</v>
          </cell>
        </row>
        <row r="267">
          <cell r="A267" t="str">
            <v>Budget</v>
          </cell>
          <cell r="B267">
            <v>1</v>
          </cell>
          <cell r="C267" t="str">
            <v>Domestic</v>
          </cell>
          <cell r="D267">
            <v>3</v>
          </cell>
          <cell r="E267">
            <v>9174</v>
          </cell>
          <cell r="F267" t="str">
            <v>HARRIS &amp; FORD</v>
          </cell>
          <cell r="G267" t="str">
            <v>D</v>
          </cell>
          <cell r="H267" t="str">
            <v>INDIANAPOLIS</v>
          </cell>
          <cell r="I267" t="str">
            <v>IN</v>
          </cell>
          <cell r="J267" t="str">
            <v>USA</v>
          </cell>
          <cell r="K267" t="str">
            <v>HARRIS &amp; FORD</v>
          </cell>
          <cell r="L267" t="str">
            <v>IN</v>
          </cell>
          <cell r="M267" t="str">
            <v>USA</v>
          </cell>
          <cell r="N267" t="str">
            <v>D</v>
          </cell>
          <cell r="O267">
            <v>22060453</v>
          </cell>
          <cell r="P267" t="str">
            <v>V-BOR 2500LB FIBC (004)</v>
          </cell>
          <cell r="Q267" t="str">
            <v>Penta</v>
          </cell>
          <cell r="R267">
            <v>2.96</v>
          </cell>
          <cell r="S267">
            <v>1270.26</v>
          </cell>
        </row>
        <row r="268">
          <cell r="A268" t="str">
            <v>Budget</v>
          </cell>
          <cell r="B268">
            <v>1</v>
          </cell>
          <cell r="C268" t="str">
            <v>Domestic</v>
          </cell>
          <cell r="D268">
            <v>3</v>
          </cell>
          <cell r="E268">
            <v>9174</v>
          </cell>
          <cell r="F268" t="str">
            <v>HARRIS &amp; FORD</v>
          </cell>
          <cell r="G268" t="str">
            <v>D</v>
          </cell>
          <cell r="H268" t="str">
            <v>INDIANAPOLIS</v>
          </cell>
          <cell r="I268" t="str">
            <v>IN</v>
          </cell>
          <cell r="J268" t="str">
            <v>USA</v>
          </cell>
          <cell r="K268" t="str">
            <v>HARRIS &amp; FORD</v>
          </cell>
          <cell r="L268" t="str">
            <v>IN</v>
          </cell>
          <cell r="M268" t="str">
            <v>USA</v>
          </cell>
          <cell r="N268" t="str">
            <v>D</v>
          </cell>
          <cell r="O268">
            <v>23060210</v>
          </cell>
          <cell r="P268" t="str">
            <v>DECA BORAX STD 50LB BAG</v>
          </cell>
          <cell r="Q268" t="str">
            <v>Deca</v>
          </cell>
          <cell r="R268">
            <v>2.08</v>
          </cell>
          <cell r="S268">
            <v>776.67</v>
          </cell>
        </row>
        <row r="269">
          <cell r="A269" t="str">
            <v>Budget</v>
          </cell>
          <cell r="B269">
            <v>1</v>
          </cell>
          <cell r="C269" t="str">
            <v>Domestic</v>
          </cell>
          <cell r="D269">
            <v>3</v>
          </cell>
          <cell r="E269">
            <v>9184</v>
          </cell>
          <cell r="F269" t="str">
            <v>PILKINGTON NORTH AMERICA INC</v>
          </cell>
          <cell r="G269" t="str">
            <v>D</v>
          </cell>
          <cell r="H269" t="str">
            <v>OTTAWA</v>
          </cell>
          <cell r="I269" t="str">
            <v>IL</v>
          </cell>
          <cell r="J269" t="str">
            <v>USA</v>
          </cell>
          <cell r="K269" t="str">
            <v>PILKINGTON NORTH AMERICA INC</v>
          </cell>
          <cell r="L269" t="str">
            <v>IL</v>
          </cell>
          <cell r="M269" t="str">
            <v>USA</v>
          </cell>
          <cell r="N269" t="str">
            <v>C</v>
          </cell>
          <cell r="O269">
            <v>30210100</v>
          </cell>
          <cell r="P269" t="str">
            <v>SODA ASH DENSE BULK</v>
          </cell>
          <cell r="Q269" t="str">
            <v>Soda Ash</v>
          </cell>
          <cell r="R269">
            <v>2394.67</v>
          </cell>
          <cell r="S269">
            <v>149187.73000000001</v>
          </cell>
        </row>
        <row r="270">
          <cell r="A270" t="str">
            <v>Budget</v>
          </cell>
          <cell r="B270">
            <v>1</v>
          </cell>
          <cell r="C270" t="str">
            <v>Domestic</v>
          </cell>
          <cell r="D270">
            <v>3</v>
          </cell>
          <cell r="E270">
            <v>9184</v>
          </cell>
          <cell r="F270" t="str">
            <v>PILKINGTON NORTH AMERICA INC</v>
          </cell>
          <cell r="G270" t="str">
            <v>D</v>
          </cell>
          <cell r="H270" t="str">
            <v>OTTAWA</v>
          </cell>
          <cell r="I270" t="str">
            <v>IL</v>
          </cell>
          <cell r="J270" t="str">
            <v>USA</v>
          </cell>
          <cell r="K270" t="str">
            <v>PILKINGTON NORTH AMERICA INC</v>
          </cell>
          <cell r="L270" t="str">
            <v>IL</v>
          </cell>
          <cell r="M270" t="str">
            <v>USA</v>
          </cell>
          <cell r="N270" t="str">
            <v>C</v>
          </cell>
          <cell r="O270">
            <v>30218800</v>
          </cell>
          <cell r="P270" t="str">
            <v>SODA ASH DENSE BULK (088)</v>
          </cell>
          <cell r="Q270" t="str">
            <v>Soda Ash</v>
          </cell>
          <cell r="R270">
            <v>20</v>
          </cell>
          <cell r="S270">
            <v>1277.05</v>
          </cell>
        </row>
        <row r="271">
          <cell r="A271" t="str">
            <v>Budget</v>
          </cell>
          <cell r="B271">
            <v>1</v>
          </cell>
          <cell r="C271" t="str">
            <v>Domestic</v>
          </cell>
          <cell r="D271">
            <v>3</v>
          </cell>
          <cell r="E271">
            <v>9279</v>
          </cell>
          <cell r="F271" t="str">
            <v>GUARDIAN FIBERGLASS</v>
          </cell>
          <cell r="G271" t="str">
            <v>D</v>
          </cell>
          <cell r="H271" t="str">
            <v>KINGMAN</v>
          </cell>
          <cell r="I271" t="str">
            <v>AZ</v>
          </cell>
          <cell r="J271" t="str">
            <v>USA</v>
          </cell>
          <cell r="K271" t="str">
            <v>GUARDIAN FIBERGLASS</v>
          </cell>
          <cell r="L271" t="str">
            <v>AZ</v>
          </cell>
          <cell r="M271" t="str">
            <v>USA</v>
          </cell>
          <cell r="O271">
            <v>30210100</v>
          </cell>
          <cell r="P271" t="str">
            <v>SODA ASH DENSE BULK</v>
          </cell>
          <cell r="Q271" t="str">
            <v>Soda Ash</v>
          </cell>
          <cell r="R271">
            <v>366.02</v>
          </cell>
          <cell r="S271">
            <v>26353.21</v>
          </cell>
        </row>
        <row r="272">
          <cell r="A272" t="str">
            <v>Budget</v>
          </cell>
          <cell r="B272">
            <v>1</v>
          </cell>
          <cell r="C272" t="str">
            <v>Domestic</v>
          </cell>
          <cell r="D272">
            <v>3</v>
          </cell>
          <cell r="E272">
            <v>9312</v>
          </cell>
          <cell r="F272" t="str">
            <v>ASHLAND DISTRIBUTION COMPANY</v>
          </cell>
          <cell r="G272" t="str">
            <v>D</v>
          </cell>
          <cell r="H272" t="str">
            <v>ST PAUL</v>
          </cell>
          <cell r="I272" t="str">
            <v>MN</v>
          </cell>
          <cell r="J272" t="str">
            <v>USA</v>
          </cell>
          <cell r="K272" t="str">
            <v>ASHLAND CHEMICAL, INC.</v>
          </cell>
          <cell r="L272" t="str">
            <v>IL</v>
          </cell>
          <cell r="M272" t="str">
            <v>USA</v>
          </cell>
          <cell r="N272" t="str">
            <v>D</v>
          </cell>
          <cell r="O272">
            <v>22060410</v>
          </cell>
          <cell r="P272" t="str">
            <v>V-BOR 50LB BAG (004)</v>
          </cell>
          <cell r="Q272" t="str">
            <v>Penta</v>
          </cell>
          <cell r="R272">
            <v>1.87</v>
          </cell>
          <cell r="S272">
            <v>508.02</v>
          </cell>
        </row>
        <row r="273">
          <cell r="A273" t="str">
            <v>Budget</v>
          </cell>
          <cell r="B273">
            <v>1</v>
          </cell>
          <cell r="C273" t="str">
            <v>Domestic</v>
          </cell>
          <cell r="D273">
            <v>3</v>
          </cell>
          <cell r="E273">
            <v>9312</v>
          </cell>
          <cell r="F273" t="str">
            <v>ASHLAND DISTRIBUTION COMPANY</v>
          </cell>
          <cell r="G273" t="str">
            <v>D</v>
          </cell>
          <cell r="H273" t="str">
            <v>ST PAUL</v>
          </cell>
          <cell r="I273" t="str">
            <v>MN</v>
          </cell>
          <cell r="J273" t="str">
            <v>USA</v>
          </cell>
          <cell r="K273" t="str">
            <v>ASHLAND CHEMICAL, INC.</v>
          </cell>
          <cell r="L273" t="str">
            <v>IL</v>
          </cell>
          <cell r="M273" t="str">
            <v>USA</v>
          </cell>
          <cell r="N273" t="str">
            <v>D</v>
          </cell>
          <cell r="O273">
            <v>24090210</v>
          </cell>
          <cell r="P273" t="str">
            <v>BORIC ACID GRAN TECH 50LB BAG</v>
          </cell>
          <cell r="Q273" t="str">
            <v>Boric Acid</v>
          </cell>
          <cell r="R273">
            <v>1.87</v>
          </cell>
          <cell r="S273">
            <v>1367.87</v>
          </cell>
        </row>
        <row r="274">
          <cell r="A274" t="str">
            <v>Budget</v>
          </cell>
          <cell r="B274">
            <v>1</v>
          </cell>
          <cell r="C274" t="str">
            <v>Domestic</v>
          </cell>
          <cell r="D274">
            <v>3</v>
          </cell>
          <cell r="E274">
            <v>9388</v>
          </cell>
          <cell r="F274" t="str">
            <v>UNION CARBIDE</v>
          </cell>
          <cell r="G274" t="str">
            <v>D</v>
          </cell>
          <cell r="H274" t="str">
            <v>S. CHARLESTON</v>
          </cell>
          <cell r="I274" t="str">
            <v>WV</v>
          </cell>
          <cell r="J274" t="str">
            <v>USA</v>
          </cell>
          <cell r="K274" t="str">
            <v>UNIVAR USA</v>
          </cell>
          <cell r="L274" t="str">
            <v>OH</v>
          </cell>
          <cell r="M274" t="str">
            <v>USA</v>
          </cell>
          <cell r="N274" t="str">
            <v>D</v>
          </cell>
          <cell r="O274">
            <v>24090210</v>
          </cell>
          <cell r="P274" t="str">
            <v>BORIC ACID GRAN TECH 50LB BAG</v>
          </cell>
          <cell r="Q274" t="str">
            <v>Boric Acid</v>
          </cell>
          <cell r="R274">
            <v>3.11</v>
          </cell>
          <cell r="S274">
            <v>2207.63</v>
          </cell>
        </row>
        <row r="275">
          <cell r="A275" t="str">
            <v>Budget</v>
          </cell>
          <cell r="B275">
            <v>1</v>
          </cell>
          <cell r="C275" t="str">
            <v>Domestic</v>
          </cell>
          <cell r="D275">
            <v>3</v>
          </cell>
          <cell r="E275">
            <v>9430</v>
          </cell>
          <cell r="F275" t="str">
            <v>KOHLER COMPANY</v>
          </cell>
          <cell r="G275" t="str">
            <v>D</v>
          </cell>
          <cell r="H275" t="str">
            <v>KOHLER</v>
          </cell>
          <cell r="I275" t="str">
            <v>WI</v>
          </cell>
          <cell r="J275" t="str">
            <v>USA</v>
          </cell>
          <cell r="K275" t="str">
            <v>KOHLER COMPANY</v>
          </cell>
          <cell r="L275" t="str">
            <v>WI</v>
          </cell>
          <cell r="M275" t="str">
            <v>USA</v>
          </cell>
          <cell r="N275" t="str">
            <v>C</v>
          </cell>
          <cell r="O275">
            <v>20310200</v>
          </cell>
          <cell r="P275" t="str">
            <v>PYROBOR 30/100 BULK (002)</v>
          </cell>
          <cell r="Q275" t="str">
            <v>Pyrobor</v>
          </cell>
          <cell r="R275">
            <v>84.7</v>
          </cell>
          <cell r="S275">
            <v>42256.53</v>
          </cell>
        </row>
        <row r="276">
          <cell r="A276" t="str">
            <v>Budget</v>
          </cell>
          <cell r="B276">
            <v>1</v>
          </cell>
          <cell r="C276" t="str">
            <v>Domestic</v>
          </cell>
          <cell r="D276">
            <v>4</v>
          </cell>
          <cell r="E276">
            <v>5021</v>
          </cell>
          <cell r="F276" t="str">
            <v>GULF CHEMICAL &amp; METALLURGICAL</v>
          </cell>
          <cell r="G276" t="str">
            <v>D</v>
          </cell>
          <cell r="H276" t="str">
            <v>FREEPORT</v>
          </cell>
          <cell r="I276" t="str">
            <v>TX</v>
          </cell>
          <cell r="J276" t="str">
            <v>USA</v>
          </cell>
          <cell r="K276" t="str">
            <v>GULF CHEMICAL &amp; METALLURGICAL</v>
          </cell>
          <cell r="L276" t="str">
            <v>TX</v>
          </cell>
          <cell r="M276" t="str">
            <v>USA</v>
          </cell>
          <cell r="N276" t="str">
            <v>C</v>
          </cell>
          <cell r="O276">
            <v>30210100</v>
          </cell>
          <cell r="P276" t="str">
            <v>SODA ASH DENSE BULK</v>
          </cell>
          <cell r="Q276" t="str">
            <v>Soda Ash</v>
          </cell>
          <cell r="R276">
            <v>1016.39</v>
          </cell>
          <cell r="S276">
            <v>100622.95</v>
          </cell>
        </row>
        <row r="277">
          <cell r="A277" t="str">
            <v>Budget</v>
          </cell>
          <cell r="B277">
            <v>1</v>
          </cell>
          <cell r="C277" t="str">
            <v>Domestic</v>
          </cell>
          <cell r="D277">
            <v>4</v>
          </cell>
          <cell r="E277">
            <v>5025</v>
          </cell>
          <cell r="F277" t="str">
            <v>QUEMETCO, INC.</v>
          </cell>
          <cell r="G277" t="str">
            <v>D</v>
          </cell>
          <cell r="H277" t="str">
            <v>CITY OF INDUSTRY</v>
          </cell>
          <cell r="I277" t="str">
            <v>CA</v>
          </cell>
          <cell r="J277" t="str">
            <v>USA</v>
          </cell>
          <cell r="K277" t="str">
            <v>QUEMETCO, INC.</v>
          </cell>
          <cell r="L277" t="str">
            <v>CA</v>
          </cell>
          <cell r="M277" t="str">
            <v>USA</v>
          </cell>
          <cell r="N277" t="str">
            <v>C</v>
          </cell>
          <cell r="O277">
            <v>30210100</v>
          </cell>
          <cell r="P277" t="str">
            <v>SODA ASH DENSE BULK</v>
          </cell>
          <cell r="Q277" t="str">
            <v>Soda Ash</v>
          </cell>
          <cell r="R277">
            <v>1778.69</v>
          </cell>
          <cell r="S277">
            <v>157734.1</v>
          </cell>
        </row>
        <row r="278">
          <cell r="A278" t="str">
            <v>Budget</v>
          </cell>
          <cell r="B278">
            <v>1</v>
          </cell>
          <cell r="C278" t="str">
            <v>Domestic</v>
          </cell>
          <cell r="D278">
            <v>4</v>
          </cell>
          <cell r="E278">
            <v>5037</v>
          </cell>
          <cell r="F278" t="str">
            <v>TRAYLOR CHEMICAL</v>
          </cell>
          <cell r="G278" t="str">
            <v>D</v>
          </cell>
          <cell r="H278" t="str">
            <v>ORLANDO</v>
          </cell>
          <cell r="I278" t="str">
            <v>FL</v>
          </cell>
          <cell r="J278" t="str">
            <v>USA</v>
          </cell>
          <cell r="K278" t="str">
            <v>TRAYLOR CHEMICAL</v>
          </cell>
          <cell r="L278" t="str">
            <v>FL</v>
          </cell>
          <cell r="M278" t="str">
            <v>USA</v>
          </cell>
          <cell r="N278" t="str">
            <v>C</v>
          </cell>
          <cell r="O278">
            <v>22060410</v>
          </cell>
          <cell r="P278" t="str">
            <v>V-BOR 50LB BAG (004)</v>
          </cell>
          <cell r="Q278" t="str">
            <v>Penta</v>
          </cell>
          <cell r="R278">
            <v>5.08</v>
          </cell>
          <cell r="S278">
            <v>1758.89</v>
          </cell>
        </row>
        <row r="279">
          <cell r="A279" t="str">
            <v>Budget</v>
          </cell>
          <cell r="B279">
            <v>1</v>
          </cell>
          <cell r="C279" t="str">
            <v>Domestic</v>
          </cell>
          <cell r="D279">
            <v>4</v>
          </cell>
          <cell r="E279">
            <v>5037</v>
          </cell>
          <cell r="F279" t="str">
            <v>TRAYLOR CHEMICAL</v>
          </cell>
          <cell r="G279" t="str">
            <v>D</v>
          </cell>
          <cell r="H279" t="str">
            <v>ORLANDO</v>
          </cell>
          <cell r="I279" t="str">
            <v>FL</v>
          </cell>
          <cell r="J279" t="str">
            <v>USA</v>
          </cell>
          <cell r="K279" t="str">
            <v>TRAYLOR CHEMICAL</v>
          </cell>
          <cell r="L279" t="str">
            <v>FL</v>
          </cell>
          <cell r="M279" t="str">
            <v>USA</v>
          </cell>
          <cell r="N279" t="str">
            <v>C</v>
          </cell>
          <cell r="O279">
            <v>23060210</v>
          </cell>
          <cell r="P279" t="str">
            <v>DECA BORAX STD 50LB BAG</v>
          </cell>
          <cell r="Q279" t="str">
            <v>Deca</v>
          </cell>
          <cell r="R279">
            <v>3.05</v>
          </cell>
          <cell r="S279">
            <v>915.14</v>
          </cell>
        </row>
        <row r="280">
          <cell r="A280" t="str">
            <v>Budget</v>
          </cell>
          <cell r="B280">
            <v>1</v>
          </cell>
          <cell r="C280" t="str">
            <v>Domestic</v>
          </cell>
          <cell r="D280">
            <v>4</v>
          </cell>
          <cell r="E280">
            <v>5045</v>
          </cell>
          <cell r="F280" t="str">
            <v>AFG VICTORVILLE PLANT</v>
          </cell>
          <cell r="G280" t="str">
            <v>D</v>
          </cell>
          <cell r="H280" t="str">
            <v>VICTORVILLE</v>
          </cell>
          <cell r="I280" t="str">
            <v>CA</v>
          </cell>
          <cell r="J280" t="str">
            <v>USA</v>
          </cell>
          <cell r="K280" t="str">
            <v>AFG VICTORVILLE PLANT</v>
          </cell>
          <cell r="L280" t="str">
            <v>CA</v>
          </cell>
          <cell r="M280" t="str">
            <v>USA</v>
          </cell>
          <cell r="N280" t="str">
            <v>C</v>
          </cell>
          <cell r="O280">
            <v>40150400</v>
          </cell>
          <cell r="P280" t="str">
            <v>SODIUM SULFATE COARSE BULK</v>
          </cell>
          <cell r="Q280" t="str">
            <v>Sodium Sulfate</v>
          </cell>
          <cell r="R280">
            <v>101.64</v>
          </cell>
          <cell r="S280">
            <v>10848.92</v>
          </cell>
        </row>
        <row r="281">
          <cell r="A281" t="str">
            <v>Budget</v>
          </cell>
          <cell r="B281">
            <v>1</v>
          </cell>
          <cell r="C281" t="str">
            <v>Domestic</v>
          </cell>
          <cell r="D281">
            <v>4</v>
          </cell>
          <cell r="E281">
            <v>5098</v>
          </cell>
          <cell r="F281" t="str">
            <v>HOOVER TREATED WOOD PRODUCTS</v>
          </cell>
          <cell r="G281" t="str">
            <v>D</v>
          </cell>
          <cell r="H281" t="str">
            <v>PINE BLUFF</v>
          </cell>
          <cell r="I281" t="str">
            <v>AR</v>
          </cell>
          <cell r="J281" t="str">
            <v>USA</v>
          </cell>
          <cell r="K281" t="str">
            <v>HOOVER TREATED WOOD PRODUCTS</v>
          </cell>
          <cell r="L281" t="str">
            <v>AR</v>
          </cell>
          <cell r="M281" t="str">
            <v>USA</v>
          </cell>
          <cell r="N281" t="str">
            <v>C</v>
          </cell>
          <cell r="O281">
            <v>23060210</v>
          </cell>
          <cell r="P281" t="str">
            <v>DECA BORAX STD 50LB BAG</v>
          </cell>
          <cell r="Q281" t="str">
            <v>Deca</v>
          </cell>
          <cell r="R281">
            <v>1.87</v>
          </cell>
          <cell r="S281">
            <v>513.35</v>
          </cell>
        </row>
        <row r="282">
          <cell r="A282" t="str">
            <v>Budget</v>
          </cell>
          <cell r="B282">
            <v>1</v>
          </cell>
          <cell r="C282" t="str">
            <v>Domestic</v>
          </cell>
          <cell r="D282">
            <v>4</v>
          </cell>
          <cell r="E282">
            <v>5098</v>
          </cell>
          <cell r="F282" t="str">
            <v>HOOVER TREATED WOOD PRODUCTS</v>
          </cell>
          <cell r="G282" t="str">
            <v>D</v>
          </cell>
          <cell r="H282" t="str">
            <v>PINE BLUFF</v>
          </cell>
          <cell r="I282" t="str">
            <v>AR</v>
          </cell>
          <cell r="J282" t="str">
            <v>USA</v>
          </cell>
          <cell r="K282" t="str">
            <v>HOOVER TREATED WOOD PRODUCTS</v>
          </cell>
          <cell r="L282" t="str">
            <v>AR</v>
          </cell>
          <cell r="M282" t="str">
            <v>USA</v>
          </cell>
          <cell r="N282" t="str">
            <v>C</v>
          </cell>
          <cell r="O282">
            <v>24090210</v>
          </cell>
          <cell r="P282" t="str">
            <v>BORIC ACID GRAN TECH 50LB BAG</v>
          </cell>
          <cell r="Q282" t="str">
            <v>Boric Acid</v>
          </cell>
          <cell r="R282">
            <v>1.87</v>
          </cell>
          <cell r="S282">
            <v>1088.58</v>
          </cell>
        </row>
        <row r="283">
          <cell r="A283" t="str">
            <v>Budget</v>
          </cell>
          <cell r="B283">
            <v>1</v>
          </cell>
          <cell r="C283" t="str">
            <v>Domestic</v>
          </cell>
          <cell r="D283">
            <v>4</v>
          </cell>
          <cell r="E283">
            <v>5443</v>
          </cell>
          <cell r="F283" t="str">
            <v>TUSCALOOSA WAREHOUSE</v>
          </cell>
          <cell r="G283" t="str">
            <v>D</v>
          </cell>
          <cell r="H283" t="str">
            <v>TUSCALOOSA</v>
          </cell>
          <cell r="I283" t="str">
            <v>AL</v>
          </cell>
          <cell r="J283" t="str">
            <v>USA</v>
          </cell>
          <cell r="K283" t="str">
            <v>TUSCALOOSA WAREHOUSE</v>
          </cell>
          <cell r="L283" t="str">
            <v>AL</v>
          </cell>
          <cell r="M283" t="str">
            <v>USA</v>
          </cell>
          <cell r="N283" t="str">
            <v>C</v>
          </cell>
          <cell r="O283">
            <v>20310200</v>
          </cell>
          <cell r="P283" t="str">
            <v>PYROBOR 30/100 BULK (002)</v>
          </cell>
          <cell r="Q283" t="str">
            <v>Pyrobor</v>
          </cell>
          <cell r="R283">
            <v>59.29</v>
          </cell>
          <cell r="S283">
            <v>29884.89</v>
          </cell>
        </row>
        <row r="284">
          <cell r="A284" t="str">
            <v>Budget</v>
          </cell>
          <cell r="B284">
            <v>1</v>
          </cell>
          <cell r="C284" t="str">
            <v>Domestic</v>
          </cell>
          <cell r="D284">
            <v>4</v>
          </cell>
          <cell r="E284">
            <v>5545</v>
          </cell>
          <cell r="F284" t="str">
            <v>UNIVAR USA</v>
          </cell>
          <cell r="G284" t="str">
            <v>D</v>
          </cell>
          <cell r="H284" t="str">
            <v>NORCROSS</v>
          </cell>
          <cell r="I284" t="str">
            <v>GA</v>
          </cell>
          <cell r="J284" t="str">
            <v>USA</v>
          </cell>
          <cell r="K284" t="str">
            <v>UNIVAR USA</v>
          </cell>
          <cell r="L284" t="str">
            <v>GA</v>
          </cell>
          <cell r="M284" t="str">
            <v>USA</v>
          </cell>
          <cell r="N284" t="str">
            <v>D</v>
          </cell>
          <cell r="O284">
            <v>22060410</v>
          </cell>
          <cell r="P284" t="str">
            <v>V-BOR 50LB BAG (004)</v>
          </cell>
          <cell r="Q284" t="str">
            <v>Penta</v>
          </cell>
          <cell r="R284">
            <v>20.329999999999998</v>
          </cell>
          <cell r="S284">
            <v>6733.59</v>
          </cell>
        </row>
        <row r="285">
          <cell r="A285" t="str">
            <v>Budget</v>
          </cell>
          <cell r="B285">
            <v>1</v>
          </cell>
          <cell r="C285" t="str">
            <v>Domestic</v>
          </cell>
          <cell r="D285">
            <v>4</v>
          </cell>
          <cell r="E285">
            <v>5545</v>
          </cell>
          <cell r="F285" t="str">
            <v>UNIVAR USA</v>
          </cell>
          <cell r="G285" t="str">
            <v>D</v>
          </cell>
          <cell r="H285" t="str">
            <v>NORCROSS</v>
          </cell>
          <cell r="I285" t="str">
            <v>GA</v>
          </cell>
          <cell r="J285" t="str">
            <v>USA</v>
          </cell>
          <cell r="K285" t="str">
            <v>UNIVAR USA</v>
          </cell>
          <cell r="L285" t="str">
            <v>GA</v>
          </cell>
          <cell r="M285" t="str">
            <v>USA</v>
          </cell>
          <cell r="N285" t="str">
            <v>D</v>
          </cell>
          <cell r="O285">
            <v>24090210</v>
          </cell>
          <cell r="P285" t="str">
            <v>BORIC ACID GRAN TECH 50LB BAG</v>
          </cell>
          <cell r="Q285" t="str">
            <v>Boric Acid</v>
          </cell>
          <cell r="R285">
            <v>5.08</v>
          </cell>
          <cell r="S285">
            <v>2909.3</v>
          </cell>
        </row>
        <row r="286">
          <cell r="A286" t="str">
            <v>Budget</v>
          </cell>
          <cell r="B286">
            <v>1</v>
          </cell>
          <cell r="C286" t="str">
            <v>Domestic</v>
          </cell>
          <cell r="D286">
            <v>4</v>
          </cell>
          <cell r="E286">
            <v>5545</v>
          </cell>
          <cell r="F286" t="str">
            <v>UNIVAR USA</v>
          </cell>
          <cell r="G286" t="str">
            <v>D</v>
          </cell>
          <cell r="H286" t="str">
            <v>NORCROSS</v>
          </cell>
          <cell r="I286" t="str">
            <v>GA</v>
          </cell>
          <cell r="J286" t="str">
            <v>USA</v>
          </cell>
          <cell r="K286" t="str">
            <v>UNIVAR USA</v>
          </cell>
          <cell r="L286" t="str">
            <v>GA</v>
          </cell>
          <cell r="M286" t="str">
            <v>USA</v>
          </cell>
          <cell r="N286" t="str">
            <v>D</v>
          </cell>
          <cell r="O286">
            <v>40160450</v>
          </cell>
          <cell r="P286" t="str">
            <v>SODIUM SULFATE PREM 1TN FIBC</v>
          </cell>
          <cell r="Q286" t="str">
            <v>Sodium Sulfate</v>
          </cell>
          <cell r="R286">
            <v>16.940000000000001</v>
          </cell>
          <cell r="S286">
            <v>2145.2800000000002</v>
          </cell>
        </row>
        <row r="287">
          <cell r="A287" t="str">
            <v>Budget</v>
          </cell>
          <cell r="B287">
            <v>1</v>
          </cell>
          <cell r="C287" t="str">
            <v>Domestic</v>
          </cell>
          <cell r="D287">
            <v>4</v>
          </cell>
          <cell r="E287">
            <v>5550</v>
          </cell>
          <cell r="F287" t="str">
            <v>TEXAS INDUSTRIES, INC.</v>
          </cell>
          <cell r="G287" t="str">
            <v>D</v>
          </cell>
          <cell r="H287" t="str">
            <v>MIDLOTHIAN</v>
          </cell>
          <cell r="I287" t="str">
            <v>TX</v>
          </cell>
          <cell r="J287" t="str">
            <v>USA</v>
          </cell>
          <cell r="K287" t="str">
            <v>TEXAS INDUSTRIES, INC.</v>
          </cell>
          <cell r="L287" t="str">
            <v>TX</v>
          </cell>
          <cell r="M287" t="str">
            <v>USA</v>
          </cell>
          <cell r="N287" t="str">
            <v>C</v>
          </cell>
          <cell r="O287">
            <v>30210100</v>
          </cell>
          <cell r="P287" t="str">
            <v>SODA ASH DENSE BULK</v>
          </cell>
          <cell r="Q287" t="str">
            <v>Soda Ash</v>
          </cell>
          <cell r="R287">
            <v>152.46</v>
          </cell>
          <cell r="S287">
            <v>12448.28</v>
          </cell>
        </row>
        <row r="288">
          <cell r="A288" t="str">
            <v>Budget</v>
          </cell>
          <cell r="B288">
            <v>1</v>
          </cell>
          <cell r="C288" t="str">
            <v>Domestic</v>
          </cell>
          <cell r="D288">
            <v>4</v>
          </cell>
          <cell r="E288">
            <v>5565</v>
          </cell>
          <cell r="F288" t="str">
            <v>DOMINION VIRGINIA POWER</v>
          </cell>
          <cell r="G288" t="str">
            <v>D</v>
          </cell>
          <cell r="H288" t="str">
            <v>MINERAL</v>
          </cell>
          <cell r="I288" t="str">
            <v>VA</v>
          </cell>
          <cell r="J288" t="str">
            <v>USA</v>
          </cell>
          <cell r="K288" t="str">
            <v>DOMINION VIRGINIA POWER</v>
          </cell>
          <cell r="L288" t="str">
            <v>VA</v>
          </cell>
          <cell r="M288" t="str">
            <v>USA</v>
          </cell>
          <cell r="N288" t="str">
            <v>C</v>
          </cell>
          <cell r="O288">
            <v>24609720</v>
          </cell>
          <cell r="P288" t="str">
            <v>BORIC ACID NS 25KG BAG</v>
          </cell>
          <cell r="Q288" t="str">
            <v>HP Boric Acid (SCL)</v>
          </cell>
          <cell r="R288">
            <v>3.05</v>
          </cell>
          <cell r="S288">
            <v>4527.4399999999996</v>
          </cell>
        </row>
        <row r="289">
          <cell r="A289" t="str">
            <v>Budget</v>
          </cell>
          <cell r="B289">
            <v>1</v>
          </cell>
          <cell r="C289" t="str">
            <v>Domestic</v>
          </cell>
          <cell r="D289">
            <v>4</v>
          </cell>
          <cell r="E289">
            <v>5699</v>
          </cell>
          <cell r="F289" t="str">
            <v>UNIVAR USA</v>
          </cell>
          <cell r="G289" t="str">
            <v>D</v>
          </cell>
          <cell r="H289" t="str">
            <v>TAMPA</v>
          </cell>
          <cell r="I289" t="str">
            <v>FL</v>
          </cell>
          <cell r="J289" t="str">
            <v>USA</v>
          </cell>
          <cell r="K289" t="str">
            <v>UNIVAR USA</v>
          </cell>
          <cell r="L289" t="str">
            <v>GA</v>
          </cell>
          <cell r="M289" t="str">
            <v>USA</v>
          </cell>
          <cell r="N289" t="str">
            <v>D</v>
          </cell>
          <cell r="O289">
            <v>22060410</v>
          </cell>
          <cell r="P289" t="str">
            <v>V-BOR 50LB BAG (004)</v>
          </cell>
          <cell r="Q289" t="str">
            <v>Penta</v>
          </cell>
          <cell r="R289">
            <v>10.16</v>
          </cell>
          <cell r="S289">
            <v>3715.9</v>
          </cell>
        </row>
        <row r="290">
          <cell r="A290" t="str">
            <v>Budget</v>
          </cell>
          <cell r="B290">
            <v>1</v>
          </cell>
          <cell r="C290" t="str">
            <v>Domestic</v>
          </cell>
          <cell r="D290">
            <v>4</v>
          </cell>
          <cell r="E290">
            <v>5699</v>
          </cell>
          <cell r="F290" t="str">
            <v>UNIVAR USA</v>
          </cell>
          <cell r="G290" t="str">
            <v>D</v>
          </cell>
          <cell r="H290" t="str">
            <v>TAMPA</v>
          </cell>
          <cell r="I290" t="str">
            <v>FL</v>
          </cell>
          <cell r="J290" t="str">
            <v>USA</v>
          </cell>
          <cell r="K290" t="str">
            <v>UNIVAR USA</v>
          </cell>
          <cell r="L290" t="str">
            <v>GA</v>
          </cell>
          <cell r="M290" t="str">
            <v>USA</v>
          </cell>
          <cell r="N290" t="str">
            <v>D</v>
          </cell>
          <cell r="O290">
            <v>23060210</v>
          </cell>
          <cell r="P290" t="str">
            <v>DECA BORAX STD 50LB BAG</v>
          </cell>
          <cell r="Q290" t="str">
            <v>Deca</v>
          </cell>
          <cell r="R290">
            <v>1.52</v>
          </cell>
          <cell r="S290">
            <v>525.36</v>
          </cell>
        </row>
        <row r="291">
          <cell r="A291" t="str">
            <v>Budget</v>
          </cell>
          <cell r="B291">
            <v>1</v>
          </cell>
          <cell r="C291" t="str">
            <v>Domestic</v>
          </cell>
          <cell r="D291">
            <v>4</v>
          </cell>
          <cell r="E291">
            <v>6119</v>
          </cell>
          <cell r="F291" t="str">
            <v>SPECIALTY CHEMICAL CO., INC.</v>
          </cell>
          <cell r="G291" t="str">
            <v>D</v>
          </cell>
          <cell r="H291" t="str">
            <v>CLEVELAND</v>
          </cell>
          <cell r="I291" t="str">
            <v>TN</v>
          </cell>
          <cell r="J291" t="str">
            <v>USA</v>
          </cell>
          <cell r="K291" t="str">
            <v>SPECIALTY CHEMICAL CO., INC.</v>
          </cell>
          <cell r="L291" t="str">
            <v>TN</v>
          </cell>
          <cell r="M291" t="str">
            <v>USA</v>
          </cell>
          <cell r="N291" t="str">
            <v>D</v>
          </cell>
          <cell r="O291">
            <v>22060410</v>
          </cell>
          <cell r="P291" t="str">
            <v>V-BOR 50LB BAG (004)</v>
          </cell>
          <cell r="Q291" t="str">
            <v>Penta</v>
          </cell>
          <cell r="R291">
            <v>1.02</v>
          </cell>
          <cell r="S291">
            <v>420.09</v>
          </cell>
        </row>
        <row r="292">
          <cell r="A292" t="str">
            <v>Budget</v>
          </cell>
          <cell r="B292">
            <v>1</v>
          </cell>
          <cell r="C292" t="str">
            <v>Domestic</v>
          </cell>
          <cell r="D292">
            <v>4</v>
          </cell>
          <cell r="E292">
            <v>6119</v>
          </cell>
          <cell r="F292" t="str">
            <v>SPECIALTY CHEMICAL CO., INC.</v>
          </cell>
          <cell r="G292" t="str">
            <v>D</v>
          </cell>
          <cell r="H292" t="str">
            <v>CLEVELAND</v>
          </cell>
          <cell r="I292" t="str">
            <v>TN</v>
          </cell>
          <cell r="J292" t="str">
            <v>USA</v>
          </cell>
          <cell r="K292" t="str">
            <v>SPECIALTY CHEMICAL CO., INC.</v>
          </cell>
          <cell r="L292" t="str">
            <v>TN</v>
          </cell>
          <cell r="M292" t="str">
            <v>USA</v>
          </cell>
          <cell r="N292" t="str">
            <v>D</v>
          </cell>
          <cell r="O292">
            <v>23060210</v>
          </cell>
          <cell r="P292" t="str">
            <v>DECA BORAX STD 50LB BAG</v>
          </cell>
          <cell r="Q292" t="str">
            <v>Deca</v>
          </cell>
          <cell r="R292">
            <v>2.0299999999999998</v>
          </cell>
          <cell r="S292">
            <v>732.49</v>
          </cell>
        </row>
        <row r="293">
          <cell r="A293" t="str">
            <v>Budget</v>
          </cell>
          <cell r="B293">
            <v>1</v>
          </cell>
          <cell r="C293" t="str">
            <v>Domestic</v>
          </cell>
          <cell r="D293">
            <v>4</v>
          </cell>
          <cell r="E293">
            <v>6119</v>
          </cell>
          <cell r="F293" t="str">
            <v>SPECIALTY CHEMICAL CO., INC.</v>
          </cell>
          <cell r="G293" t="str">
            <v>D</v>
          </cell>
          <cell r="H293" t="str">
            <v>CLEVELAND</v>
          </cell>
          <cell r="I293" t="str">
            <v>TN</v>
          </cell>
          <cell r="J293" t="str">
            <v>USA</v>
          </cell>
          <cell r="K293" t="str">
            <v>SPECIALTY CHEMICAL CO., INC.</v>
          </cell>
          <cell r="L293" t="str">
            <v>TN</v>
          </cell>
          <cell r="M293" t="str">
            <v>USA</v>
          </cell>
          <cell r="N293" t="str">
            <v>D</v>
          </cell>
          <cell r="O293">
            <v>24090210</v>
          </cell>
          <cell r="P293" t="str">
            <v>BORIC ACID GRAN TECH 50LB BAG</v>
          </cell>
          <cell r="Q293" t="str">
            <v>Boric Acid</v>
          </cell>
          <cell r="R293">
            <v>1.52</v>
          </cell>
          <cell r="S293">
            <v>1255.23</v>
          </cell>
        </row>
        <row r="294">
          <cell r="A294" t="str">
            <v>Budget</v>
          </cell>
          <cell r="B294">
            <v>1</v>
          </cell>
          <cell r="C294" t="str">
            <v>Domestic</v>
          </cell>
          <cell r="D294">
            <v>4</v>
          </cell>
          <cell r="E294">
            <v>6119</v>
          </cell>
          <cell r="F294" t="str">
            <v>SPECIALTY CHEMICAL CO., INC.</v>
          </cell>
          <cell r="G294" t="str">
            <v>D</v>
          </cell>
          <cell r="H294" t="str">
            <v>CLEVELAND</v>
          </cell>
          <cell r="I294" t="str">
            <v>TN</v>
          </cell>
          <cell r="J294" t="str">
            <v>USA</v>
          </cell>
          <cell r="K294" t="str">
            <v>SPECIALTY CHEMICAL CO., INC.</v>
          </cell>
          <cell r="L294" t="str">
            <v>TN</v>
          </cell>
          <cell r="M294" t="str">
            <v>USA</v>
          </cell>
          <cell r="N294" t="str">
            <v>D</v>
          </cell>
          <cell r="O294">
            <v>24150250</v>
          </cell>
          <cell r="P294" t="str">
            <v>BORIC ACID CRS 1TN FIBC</v>
          </cell>
          <cell r="Q294" t="str">
            <v>Boric Acid</v>
          </cell>
          <cell r="R294">
            <v>0.17</v>
          </cell>
          <cell r="S294">
            <v>148.04</v>
          </cell>
        </row>
        <row r="295">
          <cell r="A295" t="str">
            <v>Budget</v>
          </cell>
          <cell r="B295">
            <v>1</v>
          </cell>
          <cell r="C295" t="str">
            <v>Domestic</v>
          </cell>
          <cell r="D295">
            <v>4</v>
          </cell>
          <cell r="E295">
            <v>6537</v>
          </cell>
          <cell r="F295" t="str">
            <v>IMC PHOSPHATES MP INC</v>
          </cell>
          <cell r="G295" t="str">
            <v>D</v>
          </cell>
          <cell r="H295" t="str">
            <v>FOUR CORNERS</v>
          </cell>
          <cell r="I295" t="str">
            <v>FL</v>
          </cell>
          <cell r="J295" t="str">
            <v>USA</v>
          </cell>
          <cell r="K295" t="str">
            <v>IMC PHOSPHATES MP INC</v>
          </cell>
          <cell r="L295" t="str">
            <v>FL</v>
          </cell>
          <cell r="M295" t="str">
            <v>USA</v>
          </cell>
          <cell r="N295" t="str">
            <v>C</v>
          </cell>
          <cell r="O295">
            <v>30210100</v>
          </cell>
          <cell r="P295" t="str">
            <v>SODA ASH DENSE BULK</v>
          </cell>
          <cell r="Q295" t="str">
            <v>Soda Ash</v>
          </cell>
          <cell r="R295">
            <v>1524.59</v>
          </cell>
          <cell r="S295">
            <v>112005.4</v>
          </cell>
        </row>
        <row r="296">
          <cell r="A296" t="str">
            <v>Budget</v>
          </cell>
          <cell r="B296">
            <v>1</v>
          </cell>
          <cell r="C296" t="str">
            <v>Domestic</v>
          </cell>
          <cell r="D296">
            <v>4</v>
          </cell>
          <cell r="E296">
            <v>6538</v>
          </cell>
          <cell r="F296" t="str">
            <v>IMC PHOSPHATES MP INC</v>
          </cell>
          <cell r="G296" t="str">
            <v>D</v>
          </cell>
          <cell r="H296" t="str">
            <v>PIERCE</v>
          </cell>
          <cell r="I296" t="str">
            <v>FL</v>
          </cell>
          <cell r="J296" t="str">
            <v>USA</v>
          </cell>
          <cell r="K296" t="str">
            <v>IMC PHOSPHATES MP INC</v>
          </cell>
          <cell r="L296" t="str">
            <v>FL</v>
          </cell>
          <cell r="M296" t="str">
            <v>USA</v>
          </cell>
          <cell r="N296" t="str">
            <v>C</v>
          </cell>
          <cell r="O296">
            <v>30210100</v>
          </cell>
          <cell r="P296" t="str">
            <v>SODA ASH DENSE BULK</v>
          </cell>
          <cell r="Q296" t="str">
            <v>Soda Ash</v>
          </cell>
          <cell r="R296">
            <v>508.2</v>
          </cell>
          <cell r="S296">
            <v>37186.79</v>
          </cell>
        </row>
        <row r="297">
          <cell r="A297" t="str">
            <v>Budget</v>
          </cell>
          <cell r="B297">
            <v>1</v>
          </cell>
          <cell r="C297" t="str">
            <v>Domestic</v>
          </cell>
          <cell r="D297">
            <v>4</v>
          </cell>
          <cell r="E297">
            <v>6549</v>
          </cell>
          <cell r="F297" t="str">
            <v>EXIDE CORPORATION</v>
          </cell>
          <cell r="G297" t="str">
            <v>D</v>
          </cell>
          <cell r="H297" t="str">
            <v>LOS ANGELES</v>
          </cell>
          <cell r="I297" t="str">
            <v>CA</v>
          </cell>
          <cell r="J297" t="str">
            <v>USA</v>
          </cell>
          <cell r="K297" t="str">
            <v>EXIDE CORPORATION</v>
          </cell>
          <cell r="L297" t="str">
            <v>CA</v>
          </cell>
          <cell r="M297" t="str">
            <v>USA</v>
          </cell>
          <cell r="N297" t="str">
            <v>C</v>
          </cell>
          <cell r="O297">
            <v>30210100</v>
          </cell>
          <cell r="P297" t="str">
            <v>SODA ASH DENSE BULK</v>
          </cell>
          <cell r="Q297" t="str">
            <v>Soda Ash</v>
          </cell>
          <cell r="R297">
            <v>1101.0899999999999</v>
          </cell>
          <cell r="S297">
            <v>96180.46</v>
          </cell>
        </row>
        <row r="298">
          <cell r="A298" t="str">
            <v>Budget</v>
          </cell>
          <cell r="B298">
            <v>1</v>
          </cell>
          <cell r="C298" t="str">
            <v>Domestic</v>
          </cell>
          <cell r="D298">
            <v>4</v>
          </cell>
          <cell r="E298">
            <v>6577</v>
          </cell>
          <cell r="F298" t="str">
            <v>HOOVER TREATED WOOD PRODUCTS</v>
          </cell>
          <cell r="G298" t="str">
            <v>D</v>
          </cell>
          <cell r="H298" t="str">
            <v>DILLARD</v>
          </cell>
          <cell r="I298" t="str">
            <v>OR</v>
          </cell>
          <cell r="J298" t="str">
            <v>USA</v>
          </cell>
          <cell r="K298" t="str">
            <v>HOOVER TREATED WOOD PRODUCTS</v>
          </cell>
          <cell r="L298" t="str">
            <v>OR</v>
          </cell>
          <cell r="M298" t="str">
            <v>USA</v>
          </cell>
          <cell r="N298" t="str">
            <v>C</v>
          </cell>
          <cell r="O298">
            <v>23060210</v>
          </cell>
          <cell r="P298" t="str">
            <v>DECA BORAX STD 50LB BAG</v>
          </cell>
          <cell r="Q298" t="str">
            <v>Deca</v>
          </cell>
          <cell r="R298">
            <v>1.87</v>
          </cell>
          <cell r="S298">
            <v>504.54</v>
          </cell>
        </row>
        <row r="299">
          <cell r="A299" t="str">
            <v>Budget</v>
          </cell>
          <cell r="B299">
            <v>1</v>
          </cell>
          <cell r="C299" t="str">
            <v>Domestic</v>
          </cell>
          <cell r="D299">
            <v>4</v>
          </cell>
          <cell r="E299">
            <v>6577</v>
          </cell>
          <cell r="F299" t="str">
            <v>HOOVER TREATED WOOD PRODUCTS</v>
          </cell>
          <cell r="G299" t="str">
            <v>D</v>
          </cell>
          <cell r="H299" t="str">
            <v>DILLARD</v>
          </cell>
          <cell r="I299" t="str">
            <v>OR</v>
          </cell>
          <cell r="J299" t="str">
            <v>USA</v>
          </cell>
          <cell r="K299" t="str">
            <v>HOOVER TREATED WOOD PRODUCTS</v>
          </cell>
          <cell r="L299" t="str">
            <v>OR</v>
          </cell>
          <cell r="M299" t="str">
            <v>USA</v>
          </cell>
          <cell r="N299" t="str">
            <v>C</v>
          </cell>
          <cell r="O299">
            <v>24090210</v>
          </cell>
          <cell r="P299" t="str">
            <v>BORIC ACID GRAN TECH 50LB BAG</v>
          </cell>
          <cell r="Q299" t="str">
            <v>Boric Acid</v>
          </cell>
          <cell r="R299">
            <v>1.87</v>
          </cell>
          <cell r="S299">
            <v>1079.77</v>
          </cell>
        </row>
        <row r="300">
          <cell r="A300" t="str">
            <v>Budget</v>
          </cell>
          <cell r="B300">
            <v>1</v>
          </cell>
          <cell r="C300" t="str">
            <v>Domestic</v>
          </cell>
          <cell r="D300">
            <v>4</v>
          </cell>
          <cell r="E300">
            <v>6587</v>
          </cell>
          <cell r="F300" t="str">
            <v>INDUSTRIAL CHEMICAL COMPANY</v>
          </cell>
          <cell r="G300" t="str">
            <v>D</v>
          </cell>
          <cell r="H300" t="str">
            <v>BIRMINGHAM</v>
          </cell>
          <cell r="I300" t="str">
            <v>AL</v>
          </cell>
          <cell r="J300" t="str">
            <v>USA</v>
          </cell>
          <cell r="K300" t="str">
            <v>INDUSTRIAL CHEMICAL C</v>
          </cell>
          <cell r="L300" t="str">
            <v>AL</v>
          </cell>
          <cell r="M300" t="str">
            <v>USA</v>
          </cell>
          <cell r="N300" t="str">
            <v>D</v>
          </cell>
          <cell r="O300">
            <v>30210100</v>
          </cell>
          <cell r="P300" t="str">
            <v>SODA ASH DENSE BULK</v>
          </cell>
          <cell r="Q300" t="str">
            <v>Soda Ash</v>
          </cell>
          <cell r="R300">
            <v>508.2</v>
          </cell>
          <cell r="S300">
            <v>43069.67</v>
          </cell>
        </row>
        <row r="301">
          <cell r="A301" t="str">
            <v>Budget</v>
          </cell>
          <cell r="B301">
            <v>1</v>
          </cell>
          <cell r="C301" t="str">
            <v>Domestic</v>
          </cell>
          <cell r="D301">
            <v>4</v>
          </cell>
          <cell r="E301">
            <v>6587</v>
          </cell>
          <cell r="F301" t="str">
            <v>INDUSTRIAL CHEMICAL COMPANY</v>
          </cell>
          <cell r="G301" t="str">
            <v>D</v>
          </cell>
          <cell r="H301" t="str">
            <v>BIRMINGHAM</v>
          </cell>
          <cell r="I301" t="str">
            <v>AL</v>
          </cell>
          <cell r="J301" t="str">
            <v>USA</v>
          </cell>
          <cell r="K301" t="str">
            <v>INDUSTRIAL CHEMICAL C</v>
          </cell>
          <cell r="L301" t="str">
            <v>AL</v>
          </cell>
          <cell r="M301" t="str">
            <v>USA</v>
          </cell>
          <cell r="N301" t="str">
            <v>D</v>
          </cell>
          <cell r="O301">
            <v>40060400</v>
          </cell>
          <cell r="P301" t="str">
            <v>SODIUM SULFATE STANDARD BULK</v>
          </cell>
          <cell r="Q301" t="str">
            <v>Sodium Sulfate</v>
          </cell>
          <cell r="R301">
            <v>101.64</v>
          </cell>
          <cell r="S301">
            <v>4418.26</v>
          </cell>
        </row>
        <row r="302">
          <cell r="A302" t="str">
            <v>Budget</v>
          </cell>
          <cell r="B302">
            <v>1</v>
          </cell>
          <cell r="C302" t="str">
            <v>Domestic</v>
          </cell>
          <cell r="D302">
            <v>4</v>
          </cell>
          <cell r="E302">
            <v>6601</v>
          </cell>
          <cell r="F302" t="str">
            <v>INTERNATIONAL CELLULOSE CORP</v>
          </cell>
          <cell r="G302" t="str">
            <v>D</v>
          </cell>
          <cell r="H302" t="str">
            <v>ALMEDA</v>
          </cell>
          <cell r="I302" t="str">
            <v>TX</v>
          </cell>
          <cell r="J302" t="str">
            <v>USA</v>
          </cell>
          <cell r="K302" t="str">
            <v>INTERNATIONAL CELLULOSE CORP.</v>
          </cell>
          <cell r="L302" t="str">
            <v>TX</v>
          </cell>
          <cell r="M302" t="str">
            <v>USA</v>
          </cell>
          <cell r="N302" t="str">
            <v>C</v>
          </cell>
          <cell r="O302">
            <v>22060400</v>
          </cell>
          <cell r="P302" t="str">
            <v>V-BOR STD BULK (004)</v>
          </cell>
          <cell r="Q302" t="str">
            <v>Penta</v>
          </cell>
          <cell r="R302">
            <v>11.87</v>
          </cell>
          <cell r="S302">
            <v>3210.84</v>
          </cell>
        </row>
        <row r="303">
          <cell r="A303" t="str">
            <v>Budget</v>
          </cell>
          <cell r="B303">
            <v>1</v>
          </cell>
          <cell r="C303" t="str">
            <v>Domestic</v>
          </cell>
          <cell r="D303">
            <v>4</v>
          </cell>
          <cell r="E303">
            <v>6601</v>
          </cell>
          <cell r="F303" t="str">
            <v>INTERNATIONAL CELLULOSE CORP</v>
          </cell>
          <cell r="G303" t="str">
            <v>D</v>
          </cell>
          <cell r="H303" t="str">
            <v>ALMEDA</v>
          </cell>
          <cell r="I303" t="str">
            <v>TX</v>
          </cell>
          <cell r="J303" t="str">
            <v>USA</v>
          </cell>
          <cell r="K303" t="str">
            <v>INTERNATIONAL CELLULOSE CORP.</v>
          </cell>
          <cell r="L303" t="str">
            <v>TX</v>
          </cell>
          <cell r="M303" t="str">
            <v>USA</v>
          </cell>
          <cell r="N303" t="str">
            <v>C</v>
          </cell>
          <cell r="O303">
            <v>22060450</v>
          </cell>
          <cell r="P303" t="str">
            <v>V-BOR 1TN FIBC (004)</v>
          </cell>
          <cell r="Q303" t="str">
            <v>Penta</v>
          </cell>
          <cell r="R303">
            <v>4.07</v>
          </cell>
          <cell r="S303">
            <v>1227.3599999999999</v>
          </cell>
        </row>
        <row r="304">
          <cell r="A304" t="str">
            <v>Budget</v>
          </cell>
          <cell r="B304">
            <v>1</v>
          </cell>
          <cell r="C304" t="str">
            <v>Domestic</v>
          </cell>
          <cell r="D304">
            <v>4</v>
          </cell>
          <cell r="E304">
            <v>6601</v>
          </cell>
          <cell r="F304" t="str">
            <v>INTERNATIONAL CELLULOSE CORP</v>
          </cell>
          <cell r="G304" t="str">
            <v>D</v>
          </cell>
          <cell r="H304" t="str">
            <v>ALMEDA</v>
          </cell>
          <cell r="I304" t="str">
            <v>TX</v>
          </cell>
          <cell r="J304" t="str">
            <v>USA</v>
          </cell>
          <cell r="K304" t="str">
            <v>INTERNATIONAL CELLULOSE CORP.</v>
          </cell>
          <cell r="L304" t="str">
            <v>TX</v>
          </cell>
          <cell r="M304" t="str">
            <v>USA</v>
          </cell>
          <cell r="N304" t="str">
            <v>C</v>
          </cell>
          <cell r="O304">
            <v>24230200</v>
          </cell>
          <cell r="P304" t="str">
            <v>BORIC ACID GRAN TECH BULK</v>
          </cell>
          <cell r="Q304" t="str">
            <v>Boric Acid</v>
          </cell>
          <cell r="R304">
            <v>33.880000000000003</v>
          </cell>
          <cell r="S304">
            <v>15733.43</v>
          </cell>
        </row>
        <row r="305">
          <cell r="A305" t="str">
            <v>Budget</v>
          </cell>
          <cell r="B305">
            <v>1</v>
          </cell>
          <cell r="C305" t="str">
            <v>Domestic</v>
          </cell>
          <cell r="D305">
            <v>4</v>
          </cell>
          <cell r="E305">
            <v>6703</v>
          </cell>
          <cell r="F305" t="str">
            <v>ROHM &amp; HAAS</v>
          </cell>
          <cell r="G305" t="str">
            <v>D</v>
          </cell>
          <cell r="H305" t="str">
            <v>ELMA</v>
          </cell>
          <cell r="I305" t="str">
            <v>WA</v>
          </cell>
          <cell r="J305" t="str">
            <v>USA</v>
          </cell>
          <cell r="K305" t="str">
            <v>ROHM &amp; HAAS</v>
          </cell>
          <cell r="L305" t="str">
            <v>WA</v>
          </cell>
          <cell r="M305" t="str">
            <v>USA</v>
          </cell>
          <cell r="N305" t="str">
            <v>C</v>
          </cell>
          <cell r="O305">
            <v>24850200</v>
          </cell>
          <cell r="P305" t="str">
            <v>BORIC ACID GR TECH PREM BULK</v>
          </cell>
          <cell r="Q305" t="str">
            <v>Boric Acid</v>
          </cell>
          <cell r="R305">
            <v>592.9</v>
          </cell>
          <cell r="S305">
            <v>217111.46</v>
          </cell>
        </row>
        <row r="306">
          <cell r="A306" t="str">
            <v>Budget</v>
          </cell>
          <cell r="B306">
            <v>1</v>
          </cell>
          <cell r="C306" t="str">
            <v>Domestic</v>
          </cell>
          <cell r="D306">
            <v>4</v>
          </cell>
          <cell r="E306">
            <v>6975</v>
          </cell>
          <cell r="F306" t="str">
            <v>BRENNTAG SOUTHWEST, INC.</v>
          </cell>
          <cell r="G306" t="str">
            <v>D</v>
          </cell>
          <cell r="H306" t="str">
            <v>ELMENDORF</v>
          </cell>
          <cell r="I306" t="str">
            <v>TX</v>
          </cell>
          <cell r="J306" t="str">
            <v>USA</v>
          </cell>
          <cell r="K306" t="str">
            <v>BRENNTAG SOUTHWEST, INC.</v>
          </cell>
          <cell r="L306" t="str">
            <v>TX</v>
          </cell>
          <cell r="M306" t="str">
            <v>USA</v>
          </cell>
          <cell r="N306" t="str">
            <v>D</v>
          </cell>
          <cell r="O306">
            <v>23060210</v>
          </cell>
          <cell r="P306" t="str">
            <v>DECA BORAX STD 50LB BAG</v>
          </cell>
          <cell r="Q306" t="str">
            <v>Deca</v>
          </cell>
          <cell r="R306">
            <v>6.1</v>
          </cell>
          <cell r="S306">
            <v>2299.08</v>
          </cell>
        </row>
        <row r="307">
          <cell r="A307" t="str">
            <v>Budget</v>
          </cell>
          <cell r="B307">
            <v>1</v>
          </cell>
          <cell r="C307" t="str">
            <v>Domestic</v>
          </cell>
          <cell r="D307">
            <v>4</v>
          </cell>
          <cell r="E307">
            <v>6975</v>
          </cell>
          <cell r="F307" t="str">
            <v>BRENNTAG SOUTHWEST, INC.</v>
          </cell>
          <cell r="G307" t="str">
            <v>D</v>
          </cell>
          <cell r="H307" t="str">
            <v>ELMENDORF</v>
          </cell>
          <cell r="I307" t="str">
            <v>TX</v>
          </cell>
          <cell r="J307" t="str">
            <v>USA</v>
          </cell>
          <cell r="K307" t="str">
            <v>BRENNTAG SOUTHWEST, INC.</v>
          </cell>
          <cell r="L307" t="str">
            <v>TX</v>
          </cell>
          <cell r="M307" t="str">
            <v>USA</v>
          </cell>
          <cell r="N307" t="str">
            <v>D</v>
          </cell>
          <cell r="O307">
            <v>24090210</v>
          </cell>
          <cell r="P307" t="str">
            <v>BORIC ACID GRAN TECH 50LB BAG</v>
          </cell>
          <cell r="Q307" t="str">
            <v>Boric Acid</v>
          </cell>
          <cell r="R307">
            <v>10.16</v>
          </cell>
          <cell r="S307">
            <v>5527.04</v>
          </cell>
        </row>
        <row r="308">
          <cell r="A308" t="str">
            <v>Budget</v>
          </cell>
          <cell r="B308">
            <v>1</v>
          </cell>
          <cell r="C308" t="str">
            <v>Domestic</v>
          </cell>
          <cell r="D308">
            <v>4</v>
          </cell>
          <cell r="E308">
            <v>6975</v>
          </cell>
          <cell r="F308" t="str">
            <v>BRENNTAG SOUTHWEST, INC.</v>
          </cell>
          <cell r="G308" t="str">
            <v>D</v>
          </cell>
          <cell r="H308" t="str">
            <v>ELMENDORF</v>
          </cell>
          <cell r="I308" t="str">
            <v>TX</v>
          </cell>
          <cell r="J308" t="str">
            <v>USA</v>
          </cell>
          <cell r="K308" t="str">
            <v>BRENNTAG SOUTHWEST, INC.</v>
          </cell>
          <cell r="L308" t="str">
            <v>TX</v>
          </cell>
          <cell r="M308" t="str">
            <v>USA</v>
          </cell>
          <cell r="N308" t="str">
            <v>D</v>
          </cell>
          <cell r="O308">
            <v>24090251</v>
          </cell>
          <cell r="P308" t="str">
            <v>BORIC ACID GRN TCH 2200LB FIBC</v>
          </cell>
          <cell r="Q308" t="str">
            <v>Boric Acid</v>
          </cell>
          <cell r="R308">
            <v>42.35</v>
          </cell>
          <cell r="S308">
            <v>21123.17</v>
          </cell>
        </row>
        <row r="309">
          <cell r="A309" t="str">
            <v>Budget</v>
          </cell>
          <cell r="B309">
            <v>1</v>
          </cell>
          <cell r="C309" t="str">
            <v>Domestic</v>
          </cell>
          <cell r="D309">
            <v>4</v>
          </cell>
          <cell r="E309">
            <v>7094</v>
          </cell>
          <cell r="F309" t="str">
            <v>IMC PHOSPHATES MP INC</v>
          </cell>
          <cell r="G309" t="str">
            <v>D</v>
          </cell>
          <cell r="H309" t="str">
            <v>NEW WALES</v>
          </cell>
          <cell r="I309" t="str">
            <v>FL</v>
          </cell>
          <cell r="J309" t="str">
            <v>USA</v>
          </cell>
          <cell r="K309" t="str">
            <v>IMC PHOSPHATES MP INC</v>
          </cell>
          <cell r="L309" t="str">
            <v>FL</v>
          </cell>
          <cell r="M309" t="str">
            <v>USA</v>
          </cell>
          <cell r="N309" t="str">
            <v>C</v>
          </cell>
          <cell r="O309">
            <v>30210100</v>
          </cell>
          <cell r="P309" t="str">
            <v>SODA ASH DENSE BULK</v>
          </cell>
          <cell r="Q309" t="str">
            <v>Soda Ash</v>
          </cell>
          <cell r="R309">
            <v>1863.39</v>
          </cell>
          <cell r="S309">
            <v>136705.09</v>
          </cell>
        </row>
        <row r="310">
          <cell r="A310" t="str">
            <v>Budget</v>
          </cell>
          <cell r="B310">
            <v>1</v>
          </cell>
          <cell r="C310" t="str">
            <v>Domestic</v>
          </cell>
          <cell r="D310">
            <v>4</v>
          </cell>
          <cell r="E310">
            <v>7441</v>
          </cell>
          <cell r="F310" t="str">
            <v>UNIVAR USA</v>
          </cell>
          <cell r="G310" t="str">
            <v>D</v>
          </cell>
          <cell r="H310" t="str">
            <v>JACKSONVILLE</v>
          </cell>
          <cell r="I310" t="str">
            <v>FL</v>
          </cell>
          <cell r="J310" t="str">
            <v>USA</v>
          </cell>
          <cell r="K310" t="str">
            <v>UNIVAR USA</v>
          </cell>
          <cell r="L310" t="str">
            <v>FL</v>
          </cell>
          <cell r="M310" t="str">
            <v>USA</v>
          </cell>
          <cell r="N310" t="str">
            <v>D</v>
          </cell>
          <cell r="O310">
            <v>22060410</v>
          </cell>
          <cell r="P310" t="str">
            <v>V-BOR 50LB BAG (004)</v>
          </cell>
          <cell r="Q310" t="str">
            <v>Penta</v>
          </cell>
          <cell r="R310">
            <v>7.47</v>
          </cell>
          <cell r="S310">
            <v>2500.12</v>
          </cell>
        </row>
        <row r="311">
          <cell r="A311" t="str">
            <v>Budget</v>
          </cell>
          <cell r="B311">
            <v>1</v>
          </cell>
          <cell r="C311" t="str">
            <v>Domestic</v>
          </cell>
          <cell r="D311">
            <v>4</v>
          </cell>
          <cell r="E311">
            <v>7442</v>
          </cell>
          <cell r="F311" t="str">
            <v>GEORGIA PACIFIC</v>
          </cell>
          <cell r="G311" t="str">
            <v>D</v>
          </cell>
          <cell r="H311" t="str">
            <v>BRUNSWICK</v>
          </cell>
          <cell r="I311" t="str">
            <v>GA</v>
          </cell>
          <cell r="J311" t="str">
            <v>USA</v>
          </cell>
          <cell r="K311" t="str">
            <v>UNIVAR USA</v>
          </cell>
          <cell r="L311" t="str">
            <v>FL</v>
          </cell>
          <cell r="M311" t="str">
            <v>USA</v>
          </cell>
          <cell r="N311" t="str">
            <v>D</v>
          </cell>
          <cell r="O311">
            <v>24090213</v>
          </cell>
          <cell r="P311" t="str">
            <v>BORIC ACD GRN 50LB PULPABLE BG</v>
          </cell>
          <cell r="Q311" t="str">
            <v>Boric Acid</v>
          </cell>
          <cell r="R311">
            <v>25.41</v>
          </cell>
          <cell r="S311">
            <v>10708.83</v>
          </cell>
        </row>
        <row r="312">
          <cell r="A312" t="str">
            <v>Budget</v>
          </cell>
          <cell r="B312">
            <v>1</v>
          </cell>
          <cell r="C312" t="str">
            <v>Domestic</v>
          </cell>
          <cell r="D312">
            <v>4</v>
          </cell>
          <cell r="E312">
            <v>7633</v>
          </cell>
          <cell r="F312" t="str">
            <v>DUKE ENERGY CORPORATION</v>
          </cell>
          <cell r="G312" t="str">
            <v>D</v>
          </cell>
          <cell r="H312" t="str">
            <v>CHARLOTTE</v>
          </cell>
          <cell r="I312" t="str">
            <v>NC</v>
          </cell>
          <cell r="J312" t="str">
            <v>USA</v>
          </cell>
          <cell r="K312" t="str">
            <v>BRENNTAG SOUTHEAST</v>
          </cell>
          <cell r="L312" t="str">
            <v>NC</v>
          </cell>
          <cell r="M312" t="str">
            <v>USA</v>
          </cell>
          <cell r="N312" t="str">
            <v>D</v>
          </cell>
          <cell r="O312">
            <v>24609791</v>
          </cell>
          <cell r="P312" t="str">
            <v>BORIC ACID NS 100KG DRUM</v>
          </cell>
          <cell r="Q312" t="str">
            <v>HP Boric Acid (SCL)</v>
          </cell>
          <cell r="R312">
            <v>5.08</v>
          </cell>
          <cell r="S312">
            <v>8157.29</v>
          </cell>
        </row>
        <row r="313">
          <cell r="A313" t="str">
            <v>Budget</v>
          </cell>
          <cell r="B313">
            <v>1</v>
          </cell>
          <cell r="C313" t="str">
            <v>Domestic</v>
          </cell>
          <cell r="D313">
            <v>4</v>
          </cell>
          <cell r="E313">
            <v>7646</v>
          </cell>
          <cell r="F313" t="str">
            <v>DYCHO COMPANY INC.</v>
          </cell>
          <cell r="G313" t="str">
            <v>D</v>
          </cell>
          <cell r="H313" t="str">
            <v>NIOTA</v>
          </cell>
          <cell r="I313" t="str">
            <v>TN</v>
          </cell>
          <cell r="J313" t="str">
            <v>USA</v>
          </cell>
          <cell r="K313" t="str">
            <v>DYCHO COMPANY INC.</v>
          </cell>
          <cell r="L313" t="str">
            <v>TN</v>
          </cell>
          <cell r="M313" t="str">
            <v>USA</v>
          </cell>
          <cell r="N313" t="str">
            <v>D</v>
          </cell>
          <cell r="O313">
            <v>22060410</v>
          </cell>
          <cell r="P313" t="str">
            <v>V-BOR 50LB BAG (004)</v>
          </cell>
          <cell r="Q313" t="str">
            <v>Penta</v>
          </cell>
          <cell r="R313">
            <v>3.05</v>
          </cell>
          <cell r="S313">
            <v>1186.6099999999999</v>
          </cell>
        </row>
        <row r="314">
          <cell r="A314" t="str">
            <v>Budget</v>
          </cell>
          <cell r="B314">
            <v>1</v>
          </cell>
          <cell r="C314" t="str">
            <v>Domestic</v>
          </cell>
          <cell r="D314">
            <v>4</v>
          </cell>
          <cell r="E314">
            <v>7646</v>
          </cell>
          <cell r="F314" t="str">
            <v>DYCHO COMPANY INC.</v>
          </cell>
          <cell r="G314" t="str">
            <v>D</v>
          </cell>
          <cell r="H314" t="str">
            <v>NIOTA</v>
          </cell>
          <cell r="I314" t="str">
            <v>TN</v>
          </cell>
          <cell r="J314" t="str">
            <v>USA</v>
          </cell>
          <cell r="K314" t="str">
            <v>DYCHO COMPANY INC.</v>
          </cell>
          <cell r="L314" t="str">
            <v>TN</v>
          </cell>
          <cell r="M314" t="str">
            <v>USA</v>
          </cell>
          <cell r="N314" t="str">
            <v>D</v>
          </cell>
          <cell r="O314">
            <v>30210110</v>
          </cell>
          <cell r="P314" t="str">
            <v>SODA ASH DENSE 50LB BAG</v>
          </cell>
          <cell r="Q314" t="str">
            <v>Soda Ash</v>
          </cell>
          <cell r="R314">
            <v>16.09</v>
          </cell>
          <cell r="S314">
            <v>2096.58</v>
          </cell>
        </row>
        <row r="315">
          <cell r="A315" t="str">
            <v>Budget</v>
          </cell>
          <cell r="B315">
            <v>1</v>
          </cell>
          <cell r="C315" t="str">
            <v>Domestic</v>
          </cell>
          <cell r="D315">
            <v>4</v>
          </cell>
          <cell r="E315">
            <v>7646</v>
          </cell>
          <cell r="F315" t="str">
            <v>DYCHO COMPANY INC.</v>
          </cell>
          <cell r="G315" t="str">
            <v>D</v>
          </cell>
          <cell r="H315" t="str">
            <v>NIOTA</v>
          </cell>
          <cell r="I315" t="str">
            <v>TN</v>
          </cell>
          <cell r="J315" t="str">
            <v>USA</v>
          </cell>
          <cell r="K315" t="str">
            <v>DYCHO COMPANY INC.</v>
          </cell>
          <cell r="L315" t="str">
            <v>TN</v>
          </cell>
          <cell r="M315" t="str">
            <v>USA</v>
          </cell>
          <cell r="N315" t="str">
            <v>D</v>
          </cell>
          <cell r="O315">
            <v>40060410</v>
          </cell>
          <cell r="P315" t="str">
            <v>SODIUM SULFATE STD 50LB BAG</v>
          </cell>
          <cell r="Q315" t="str">
            <v>Sodium Sulfate</v>
          </cell>
          <cell r="R315">
            <v>2.0299999999999998</v>
          </cell>
          <cell r="S315">
            <v>192.69</v>
          </cell>
        </row>
        <row r="316">
          <cell r="A316" t="str">
            <v>Budget</v>
          </cell>
          <cell r="B316">
            <v>1</v>
          </cell>
          <cell r="C316" t="str">
            <v>Domestic</v>
          </cell>
          <cell r="D316">
            <v>4</v>
          </cell>
          <cell r="E316">
            <v>7749</v>
          </cell>
          <cell r="F316" t="str">
            <v>G.P. GYPSUM</v>
          </cell>
          <cell r="G316" t="str">
            <v>D</v>
          </cell>
          <cell r="H316" t="str">
            <v>SWEETWATER</v>
          </cell>
          <cell r="I316" t="str">
            <v>TX</v>
          </cell>
          <cell r="J316" t="str">
            <v>USA</v>
          </cell>
          <cell r="K316" t="str">
            <v>UNIVAR USA</v>
          </cell>
          <cell r="L316" t="str">
            <v>TX</v>
          </cell>
          <cell r="M316" t="str">
            <v>USA</v>
          </cell>
          <cell r="N316" t="str">
            <v>D</v>
          </cell>
          <cell r="O316">
            <v>24090213</v>
          </cell>
          <cell r="P316" t="str">
            <v>BORIC ACD GRN 50LB PULPABLE BG</v>
          </cell>
          <cell r="Q316" t="str">
            <v>Boric Acid</v>
          </cell>
          <cell r="R316">
            <v>14.82</v>
          </cell>
          <cell r="S316">
            <v>6814.85</v>
          </cell>
        </row>
        <row r="317">
          <cell r="A317" t="str">
            <v>Budget</v>
          </cell>
          <cell r="B317">
            <v>1</v>
          </cell>
          <cell r="C317" t="str">
            <v>Domestic</v>
          </cell>
          <cell r="D317">
            <v>4</v>
          </cell>
          <cell r="E317">
            <v>7798</v>
          </cell>
          <cell r="F317" t="str">
            <v>CARL AKEY C.S. 5022</v>
          </cell>
          <cell r="G317" t="str">
            <v>D</v>
          </cell>
          <cell r="H317" t="str">
            <v>LEWISBURG</v>
          </cell>
          <cell r="I317" t="str">
            <v>OH</v>
          </cell>
          <cell r="J317" t="str">
            <v>USA</v>
          </cell>
          <cell r="K317" t="str">
            <v>INTERNATIONAL STOCK FOOD</v>
          </cell>
          <cell r="L317" t="str">
            <v>GA</v>
          </cell>
          <cell r="M317" t="str">
            <v>USA</v>
          </cell>
          <cell r="N317" t="str">
            <v>C</v>
          </cell>
          <cell r="O317">
            <v>40150410</v>
          </cell>
          <cell r="P317" t="str">
            <v>SODIUM SULFATE CRS 50LB BAG</v>
          </cell>
          <cell r="Q317" t="str">
            <v>Sodium Sulfate</v>
          </cell>
          <cell r="R317">
            <v>22.66</v>
          </cell>
          <cell r="S317">
            <v>5001.8900000000003</v>
          </cell>
        </row>
        <row r="318">
          <cell r="A318" t="str">
            <v>Budget</v>
          </cell>
          <cell r="B318">
            <v>1</v>
          </cell>
          <cell r="C318" t="str">
            <v>Domestic</v>
          </cell>
          <cell r="D318">
            <v>4</v>
          </cell>
          <cell r="E318">
            <v>7837</v>
          </cell>
          <cell r="F318" t="str">
            <v>ATOTECH USA, INC.</v>
          </cell>
          <cell r="G318" t="str">
            <v>D</v>
          </cell>
          <cell r="H318" t="str">
            <v>ROCKHILL</v>
          </cell>
          <cell r="I318" t="str">
            <v>SC</v>
          </cell>
          <cell r="J318" t="str">
            <v>USA</v>
          </cell>
          <cell r="K318" t="str">
            <v>ATOTECH USA, INC.</v>
          </cell>
          <cell r="L318" t="str">
            <v>SC</v>
          </cell>
          <cell r="M318" t="str">
            <v>USA</v>
          </cell>
          <cell r="N318" t="str">
            <v>C</v>
          </cell>
          <cell r="O318">
            <v>24099720</v>
          </cell>
          <cell r="P318" t="str">
            <v>BORIC ACID GRN TCH IT 25KG BAG</v>
          </cell>
          <cell r="Q318" t="str">
            <v>Boric Acid (SCL)</v>
          </cell>
          <cell r="R318">
            <v>0.37</v>
          </cell>
          <cell r="S318">
            <v>235.62</v>
          </cell>
        </row>
        <row r="319">
          <cell r="A319" t="str">
            <v>Budget</v>
          </cell>
          <cell r="B319">
            <v>1</v>
          </cell>
          <cell r="C319" t="str">
            <v>Domestic</v>
          </cell>
          <cell r="D319">
            <v>4</v>
          </cell>
          <cell r="E319">
            <v>7924</v>
          </cell>
          <cell r="F319" t="str">
            <v>FLORIDA POWER &amp; LIGHT COMPANY</v>
          </cell>
          <cell r="G319" t="str">
            <v>D</v>
          </cell>
          <cell r="H319" t="str">
            <v>FLORIDA CITY</v>
          </cell>
          <cell r="I319" t="str">
            <v>FL</v>
          </cell>
          <cell r="J319" t="str">
            <v>USA</v>
          </cell>
          <cell r="K319" t="str">
            <v>FLORIDA POWER &amp; LIGHT COMPANY</v>
          </cell>
          <cell r="L319" t="str">
            <v>FL</v>
          </cell>
          <cell r="M319" t="str">
            <v>USA</v>
          </cell>
          <cell r="N319" t="str">
            <v>C</v>
          </cell>
          <cell r="O319">
            <v>24609792</v>
          </cell>
          <cell r="P319" t="str">
            <v>BORIC ACID NS 150KG DRUM</v>
          </cell>
          <cell r="Q319" t="str">
            <v>HP Boric Acid (SCL)</v>
          </cell>
          <cell r="R319">
            <v>4.07</v>
          </cell>
          <cell r="S319">
            <v>7021.32</v>
          </cell>
        </row>
        <row r="320">
          <cell r="A320" t="str">
            <v>Budget</v>
          </cell>
          <cell r="B320">
            <v>1</v>
          </cell>
          <cell r="C320" t="str">
            <v>Domestic</v>
          </cell>
          <cell r="D320">
            <v>4</v>
          </cell>
          <cell r="E320">
            <v>8047</v>
          </cell>
          <cell r="F320" t="str">
            <v>CHEMICAL DYNAMICS</v>
          </cell>
          <cell r="G320" t="str">
            <v>D</v>
          </cell>
          <cell r="H320" t="str">
            <v>PLANT CITY</v>
          </cell>
          <cell r="I320" t="str">
            <v>FL</v>
          </cell>
          <cell r="J320" t="str">
            <v>USA</v>
          </cell>
          <cell r="K320" t="str">
            <v>FRIT INDUSTRIES, INC</v>
          </cell>
          <cell r="L320" t="str">
            <v>AL</v>
          </cell>
          <cell r="M320" t="str">
            <v>USA</v>
          </cell>
          <cell r="N320" t="str">
            <v>C</v>
          </cell>
          <cell r="O320">
            <v>26069710</v>
          </cell>
          <cell r="P320" t="str">
            <v>SOLUBLE BORON-21 50LB BAG</v>
          </cell>
          <cell r="Q320" t="str">
            <v>Foliarel (SCL)</v>
          </cell>
          <cell r="R320">
            <v>1.69</v>
          </cell>
          <cell r="S320">
            <v>1643.38</v>
          </cell>
        </row>
        <row r="321">
          <cell r="A321" t="str">
            <v>Budget</v>
          </cell>
          <cell r="B321">
            <v>1</v>
          </cell>
          <cell r="C321" t="str">
            <v>Domestic</v>
          </cell>
          <cell r="D321">
            <v>4</v>
          </cell>
          <cell r="E321">
            <v>8054</v>
          </cell>
          <cell r="F321" t="str">
            <v>GOODPASTURE</v>
          </cell>
          <cell r="G321" t="str">
            <v>D</v>
          </cell>
          <cell r="H321" t="str">
            <v>DIMMIT</v>
          </cell>
          <cell r="I321" t="str">
            <v>TX</v>
          </cell>
          <cell r="J321" t="str">
            <v>USA</v>
          </cell>
          <cell r="K321" t="str">
            <v>GOODPASTURE</v>
          </cell>
          <cell r="L321" t="str">
            <v>TX</v>
          </cell>
          <cell r="M321" t="str">
            <v>USA</v>
          </cell>
          <cell r="N321" t="str">
            <v>C</v>
          </cell>
          <cell r="O321">
            <v>30210100</v>
          </cell>
          <cell r="P321" t="str">
            <v>SODA ASH DENSE BULK</v>
          </cell>
          <cell r="Q321" t="str">
            <v>Soda Ash</v>
          </cell>
          <cell r="R321">
            <v>50.82</v>
          </cell>
          <cell r="S321">
            <v>4393.3599999999997</v>
          </cell>
        </row>
        <row r="322">
          <cell r="A322" t="str">
            <v>Budget</v>
          </cell>
          <cell r="B322">
            <v>1</v>
          </cell>
          <cell r="C322" t="str">
            <v>Domestic</v>
          </cell>
          <cell r="D322">
            <v>4</v>
          </cell>
          <cell r="E322">
            <v>8182</v>
          </cell>
          <cell r="F322" t="str">
            <v>EXIDE CORPORATION</v>
          </cell>
          <cell r="G322" t="str">
            <v>D</v>
          </cell>
          <cell r="H322" t="str">
            <v>FRISCO</v>
          </cell>
          <cell r="I322" t="str">
            <v>TX</v>
          </cell>
          <cell r="J322" t="str">
            <v>USA</v>
          </cell>
          <cell r="K322" t="str">
            <v>EXIDE CORPORATION</v>
          </cell>
          <cell r="L322" t="str">
            <v>TX</v>
          </cell>
          <cell r="M322" t="str">
            <v>USA</v>
          </cell>
          <cell r="N322" t="str">
            <v>C</v>
          </cell>
          <cell r="O322">
            <v>30210100</v>
          </cell>
          <cell r="P322" t="str">
            <v>SODA ASH DENSE BULK</v>
          </cell>
          <cell r="Q322" t="str">
            <v>Soda Ash</v>
          </cell>
          <cell r="R322">
            <v>677.6</v>
          </cell>
          <cell r="S322">
            <v>54919.13</v>
          </cell>
        </row>
        <row r="323">
          <cell r="A323" t="str">
            <v>Budget</v>
          </cell>
          <cell r="B323">
            <v>1</v>
          </cell>
          <cell r="C323" t="str">
            <v>Domestic</v>
          </cell>
          <cell r="D323">
            <v>4</v>
          </cell>
          <cell r="E323">
            <v>8209</v>
          </cell>
          <cell r="F323" t="str">
            <v>HARCROS CHEMICAL INC.</v>
          </cell>
          <cell r="G323" t="str">
            <v>D</v>
          </cell>
          <cell r="H323" t="str">
            <v>BESSEMER</v>
          </cell>
          <cell r="I323" t="str">
            <v>AL</v>
          </cell>
          <cell r="J323" t="str">
            <v>USA</v>
          </cell>
          <cell r="K323" t="str">
            <v>HARCROS CHEMICAL INC.</v>
          </cell>
          <cell r="L323" t="str">
            <v>AL</v>
          </cell>
          <cell r="M323" t="str">
            <v>USA</v>
          </cell>
          <cell r="N323" t="str">
            <v>D</v>
          </cell>
          <cell r="O323">
            <v>22060410</v>
          </cell>
          <cell r="P323" t="str">
            <v>V-BOR 50LB BAG (004)</v>
          </cell>
          <cell r="Q323" t="str">
            <v>Penta</v>
          </cell>
          <cell r="R323">
            <v>8.1300000000000008</v>
          </cell>
          <cell r="S323">
            <v>2790.09</v>
          </cell>
        </row>
        <row r="324">
          <cell r="A324" t="str">
            <v>Budget</v>
          </cell>
          <cell r="B324">
            <v>1</v>
          </cell>
          <cell r="C324" t="str">
            <v>Domestic</v>
          </cell>
          <cell r="D324">
            <v>4</v>
          </cell>
          <cell r="E324">
            <v>8209</v>
          </cell>
          <cell r="F324" t="str">
            <v>HARCROS CHEMICAL INC.</v>
          </cell>
          <cell r="G324" t="str">
            <v>D</v>
          </cell>
          <cell r="H324" t="str">
            <v>BESSEMER</v>
          </cell>
          <cell r="I324" t="str">
            <v>AL</v>
          </cell>
          <cell r="J324" t="str">
            <v>USA</v>
          </cell>
          <cell r="K324" t="str">
            <v>HARCROS CHEMICAL INC.</v>
          </cell>
          <cell r="L324" t="str">
            <v>AL</v>
          </cell>
          <cell r="M324" t="str">
            <v>USA</v>
          </cell>
          <cell r="N324" t="str">
            <v>D</v>
          </cell>
          <cell r="O324">
            <v>23060210</v>
          </cell>
          <cell r="P324" t="str">
            <v>DECA BORAX STD 50LB BAG</v>
          </cell>
          <cell r="Q324" t="str">
            <v>Deca</v>
          </cell>
          <cell r="R324">
            <v>0.51</v>
          </cell>
          <cell r="S324">
            <v>159.93</v>
          </cell>
        </row>
        <row r="325">
          <cell r="A325" t="str">
            <v>Budget</v>
          </cell>
          <cell r="B325">
            <v>1</v>
          </cell>
          <cell r="C325" t="str">
            <v>Domestic</v>
          </cell>
          <cell r="D325">
            <v>4</v>
          </cell>
          <cell r="E325">
            <v>8209</v>
          </cell>
          <cell r="F325" t="str">
            <v>HARCROS CHEMICAL INC.</v>
          </cell>
          <cell r="G325" t="str">
            <v>D</v>
          </cell>
          <cell r="H325" t="str">
            <v>BESSEMER</v>
          </cell>
          <cell r="I325" t="str">
            <v>AL</v>
          </cell>
          <cell r="J325" t="str">
            <v>USA</v>
          </cell>
          <cell r="K325" t="str">
            <v>HARCROS CHEMICAL INC.</v>
          </cell>
          <cell r="L325" t="str">
            <v>AL</v>
          </cell>
          <cell r="M325" t="str">
            <v>USA</v>
          </cell>
          <cell r="N325" t="str">
            <v>D</v>
          </cell>
          <cell r="O325">
            <v>24030210</v>
          </cell>
          <cell r="P325" t="str">
            <v>BORIC ACID PWD TECH 50LB BAG</v>
          </cell>
          <cell r="Q325" t="str">
            <v>Boric Acid</v>
          </cell>
          <cell r="R325">
            <v>1.02</v>
          </cell>
          <cell r="S325">
            <v>897.47</v>
          </cell>
        </row>
        <row r="326">
          <cell r="A326" t="str">
            <v>Budget</v>
          </cell>
          <cell r="B326">
            <v>1</v>
          </cell>
          <cell r="C326" t="str">
            <v>Domestic</v>
          </cell>
          <cell r="D326">
            <v>4</v>
          </cell>
          <cell r="E326">
            <v>8209</v>
          </cell>
          <cell r="F326" t="str">
            <v>HARCROS CHEMICAL INC.</v>
          </cell>
          <cell r="G326" t="str">
            <v>D</v>
          </cell>
          <cell r="H326" t="str">
            <v>BESSEMER</v>
          </cell>
          <cell r="I326" t="str">
            <v>AL</v>
          </cell>
          <cell r="J326" t="str">
            <v>USA</v>
          </cell>
          <cell r="K326" t="str">
            <v>HARCROS CHEMICAL INC.</v>
          </cell>
          <cell r="L326" t="str">
            <v>AL</v>
          </cell>
          <cell r="M326" t="str">
            <v>USA</v>
          </cell>
          <cell r="N326" t="str">
            <v>D</v>
          </cell>
          <cell r="O326">
            <v>24090210</v>
          </cell>
          <cell r="P326" t="str">
            <v>BORIC ACID GRAN TECH 50LB BAG</v>
          </cell>
          <cell r="Q326" t="str">
            <v>Boric Acid</v>
          </cell>
          <cell r="R326">
            <v>3.05</v>
          </cell>
          <cell r="S326">
            <v>1823.7</v>
          </cell>
        </row>
        <row r="327">
          <cell r="A327" t="str">
            <v>Budget</v>
          </cell>
          <cell r="B327">
            <v>1</v>
          </cell>
          <cell r="C327" t="str">
            <v>Domestic</v>
          </cell>
          <cell r="D327">
            <v>4</v>
          </cell>
          <cell r="E327">
            <v>8390</v>
          </cell>
          <cell r="F327" t="str">
            <v>RSR</v>
          </cell>
          <cell r="G327" t="str">
            <v>D</v>
          </cell>
          <cell r="H327" t="str">
            <v>MIDDLETOWN</v>
          </cell>
          <cell r="I327" t="str">
            <v>NY</v>
          </cell>
          <cell r="J327" t="str">
            <v>USA</v>
          </cell>
          <cell r="K327" t="str">
            <v>QUEMETCO, INC.</v>
          </cell>
          <cell r="L327" t="str">
            <v>CA</v>
          </cell>
          <cell r="M327" t="str">
            <v>USA</v>
          </cell>
          <cell r="N327" t="str">
            <v>C</v>
          </cell>
          <cell r="O327">
            <v>30219100</v>
          </cell>
          <cell r="P327" t="str">
            <v>SODA ASH DENSE BULK (091)</v>
          </cell>
          <cell r="Q327" t="str">
            <v>Soda Ash</v>
          </cell>
          <cell r="R327">
            <v>1693.99</v>
          </cell>
          <cell r="S327">
            <v>100131.69</v>
          </cell>
        </row>
        <row r="328">
          <cell r="A328" t="str">
            <v>Budget</v>
          </cell>
          <cell r="B328">
            <v>1</v>
          </cell>
          <cell r="C328" t="str">
            <v>Domestic</v>
          </cell>
          <cell r="D328">
            <v>4</v>
          </cell>
          <cell r="E328">
            <v>8395</v>
          </cell>
          <cell r="F328" t="str">
            <v>RSR CORPORATION</v>
          </cell>
          <cell r="G328" t="str">
            <v>D</v>
          </cell>
          <cell r="H328" t="str">
            <v>INDIANAPOLIS</v>
          </cell>
          <cell r="I328" t="str">
            <v>IN</v>
          </cell>
          <cell r="J328" t="str">
            <v>USA</v>
          </cell>
          <cell r="K328" t="str">
            <v>RSR CORPORATION</v>
          </cell>
          <cell r="L328" t="str">
            <v>IN</v>
          </cell>
          <cell r="M328" t="str">
            <v>USA</v>
          </cell>
          <cell r="N328" t="str">
            <v>C</v>
          </cell>
          <cell r="O328">
            <v>30219100</v>
          </cell>
          <cell r="P328" t="str">
            <v>SODA ASH DENSE BULK (091)</v>
          </cell>
          <cell r="Q328" t="str">
            <v>Soda Ash</v>
          </cell>
          <cell r="R328">
            <v>2032.79</v>
          </cell>
          <cell r="S328">
            <v>102147.54</v>
          </cell>
        </row>
        <row r="329">
          <cell r="A329" t="str">
            <v>Budget</v>
          </cell>
          <cell r="B329">
            <v>1</v>
          </cell>
          <cell r="C329" t="str">
            <v>Domestic</v>
          </cell>
          <cell r="D329">
            <v>4</v>
          </cell>
          <cell r="E329">
            <v>8429</v>
          </cell>
          <cell r="F329" t="str">
            <v>PHELPS DODGE REFINING</v>
          </cell>
          <cell r="G329" t="str">
            <v>D</v>
          </cell>
          <cell r="H329" t="str">
            <v>EL PASO</v>
          </cell>
          <cell r="I329" t="str">
            <v>TX</v>
          </cell>
          <cell r="J329" t="str">
            <v>USA</v>
          </cell>
          <cell r="K329" t="str">
            <v>PHELPS DODGE REFINING</v>
          </cell>
          <cell r="L329" t="str">
            <v>TX</v>
          </cell>
          <cell r="M329" t="str">
            <v>USA</v>
          </cell>
          <cell r="N329" t="str">
            <v>D</v>
          </cell>
          <cell r="O329">
            <v>30210100</v>
          </cell>
          <cell r="P329" t="str">
            <v>SODA ASH DENSE BULK</v>
          </cell>
          <cell r="Q329" t="str">
            <v>Soda Ash</v>
          </cell>
          <cell r="R329">
            <v>42.35</v>
          </cell>
          <cell r="S329">
            <v>4592.83</v>
          </cell>
        </row>
        <row r="330">
          <cell r="A330" t="str">
            <v>Budget</v>
          </cell>
          <cell r="B330">
            <v>1</v>
          </cell>
          <cell r="C330" t="str">
            <v>Domestic</v>
          </cell>
          <cell r="D330">
            <v>4</v>
          </cell>
          <cell r="E330">
            <v>8475</v>
          </cell>
          <cell r="F330" t="str">
            <v>3 M COMPANY</v>
          </cell>
          <cell r="G330" t="str">
            <v>D</v>
          </cell>
          <cell r="H330" t="str">
            <v>BROWNWOOD</v>
          </cell>
          <cell r="I330" t="str">
            <v>TX</v>
          </cell>
          <cell r="J330" t="str">
            <v>USA</v>
          </cell>
          <cell r="K330" t="str">
            <v>3 M COMPANY</v>
          </cell>
          <cell r="L330" t="str">
            <v>TX</v>
          </cell>
          <cell r="M330" t="str">
            <v>USA</v>
          </cell>
          <cell r="N330" t="str">
            <v>C</v>
          </cell>
          <cell r="O330">
            <v>20310210</v>
          </cell>
          <cell r="P330" t="str">
            <v>PYROBOR 30/100 50LB BAG (002)</v>
          </cell>
          <cell r="Q330" t="str">
            <v>Pyrobor</v>
          </cell>
          <cell r="R330">
            <v>10.5</v>
          </cell>
          <cell r="S330">
            <v>7173.37</v>
          </cell>
        </row>
        <row r="331">
          <cell r="A331" t="str">
            <v>Budget</v>
          </cell>
          <cell r="B331">
            <v>1</v>
          </cell>
          <cell r="C331" t="str">
            <v>Domestic</v>
          </cell>
          <cell r="D331">
            <v>4</v>
          </cell>
          <cell r="E331">
            <v>8475</v>
          </cell>
          <cell r="F331" t="str">
            <v>3 M COMPANY</v>
          </cell>
          <cell r="G331" t="str">
            <v>D</v>
          </cell>
          <cell r="H331" t="str">
            <v>BROWNWOOD</v>
          </cell>
          <cell r="I331" t="str">
            <v>TX</v>
          </cell>
          <cell r="J331" t="str">
            <v>USA</v>
          </cell>
          <cell r="K331" t="str">
            <v>3 M COMPANY</v>
          </cell>
          <cell r="L331" t="str">
            <v>TX</v>
          </cell>
          <cell r="M331" t="str">
            <v>USA</v>
          </cell>
          <cell r="N331" t="str">
            <v>C</v>
          </cell>
          <cell r="O331">
            <v>30210110</v>
          </cell>
          <cell r="P331" t="str">
            <v>SODA ASH DENSE 50LB BAG</v>
          </cell>
          <cell r="Q331" t="str">
            <v>Soda Ash</v>
          </cell>
          <cell r="R331">
            <v>6.1</v>
          </cell>
          <cell r="S331">
            <v>1064.83</v>
          </cell>
        </row>
        <row r="332">
          <cell r="A332" t="str">
            <v>Budget</v>
          </cell>
          <cell r="B332">
            <v>1</v>
          </cell>
          <cell r="C332" t="str">
            <v>Domestic</v>
          </cell>
          <cell r="D332">
            <v>4</v>
          </cell>
          <cell r="E332">
            <v>8488</v>
          </cell>
          <cell r="F332" t="str">
            <v>UNIVAR USA</v>
          </cell>
          <cell r="G332" t="str">
            <v>D</v>
          </cell>
          <cell r="H332" t="str">
            <v>MURFREESBORO</v>
          </cell>
          <cell r="I332" t="str">
            <v>TN</v>
          </cell>
          <cell r="J332" t="str">
            <v>USA</v>
          </cell>
          <cell r="K332" t="str">
            <v>UNIVAR USA</v>
          </cell>
          <cell r="L332" t="str">
            <v>TN</v>
          </cell>
          <cell r="M332" t="str">
            <v>USA</v>
          </cell>
          <cell r="N332" t="str">
            <v>D</v>
          </cell>
          <cell r="O332">
            <v>22060410</v>
          </cell>
          <cell r="P332" t="str">
            <v>V-BOR 50LB BAG (004)</v>
          </cell>
          <cell r="Q332" t="str">
            <v>Penta</v>
          </cell>
          <cell r="R332">
            <v>14.23</v>
          </cell>
          <cell r="S332">
            <v>4784.72</v>
          </cell>
        </row>
        <row r="333">
          <cell r="A333" t="str">
            <v>Budget</v>
          </cell>
          <cell r="B333">
            <v>1</v>
          </cell>
          <cell r="C333" t="str">
            <v>Domestic</v>
          </cell>
          <cell r="D333">
            <v>4</v>
          </cell>
          <cell r="E333">
            <v>8676</v>
          </cell>
          <cell r="F333" t="str">
            <v>PERMA-CHINK SYSTEMS, INC.</v>
          </cell>
          <cell r="G333" t="str">
            <v>D</v>
          </cell>
          <cell r="H333" t="str">
            <v>KNOXVILLE</v>
          </cell>
          <cell r="I333" t="str">
            <v>TN</v>
          </cell>
          <cell r="J333" t="str">
            <v>USA</v>
          </cell>
          <cell r="K333" t="str">
            <v>PERMA-CHINK SYSTEMS, INC.</v>
          </cell>
          <cell r="L333" t="str">
            <v>TN</v>
          </cell>
          <cell r="M333" t="str">
            <v>USA</v>
          </cell>
          <cell r="N333" t="str">
            <v>C</v>
          </cell>
          <cell r="O333">
            <v>26769710</v>
          </cell>
          <cell r="P333" t="str">
            <v>SOD OCTABORATE PEST 50LB BAG</v>
          </cell>
          <cell r="Q333" t="str">
            <v>Foliarel (SCL)</v>
          </cell>
          <cell r="R333">
            <v>3.66</v>
          </cell>
          <cell r="S333">
            <v>4205.54</v>
          </cell>
        </row>
        <row r="334">
          <cell r="A334" t="str">
            <v>Budget</v>
          </cell>
          <cell r="B334">
            <v>1</v>
          </cell>
          <cell r="C334" t="str">
            <v>Domestic</v>
          </cell>
          <cell r="D334">
            <v>4</v>
          </cell>
          <cell r="E334">
            <v>8681</v>
          </cell>
          <cell r="F334" t="str">
            <v>EKA CHEMICALS-ROME</v>
          </cell>
          <cell r="G334" t="str">
            <v>D</v>
          </cell>
          <cell r="H334" t="str">
            <v>ROME</v>
          </cell>
          <cell r="I334" t="str">
            <v>GA</v>
          </cell>
          <cell r="J334" t="str">
            <v>USA</v>
          </cell>
          <cell r="K334" t="str">
            <v>UNIVAR USA</v>
          </cell>
          <cell r="L334" t="str">
            <v>GA</v>
          </cell>
          <cell r="M334" t="str">
            <v>USA</v>
          </cell>
          <cell r="N334" t="str">
            <v>D</v>
          </cell>
          <cell r="O334">
            <v>30210150</v>
          </cell>
          <cell r="P334" t="str">
            <v>SODA ASH DENSE 1TN FIBC</v>
          </cell>
          <cell r="Q334" t="str">
            <v>Soda Ash</v>
          </cell>
          <cell r="R334">
            <v>14.91</v>
          </cell>
          <cell r="S334">
            <v>1896.48</v>
          </cell>
        </row>
        <row r="335">
          <cell r="A335" t="str">
            <v>Budget</v>
          </cell>
          <cell r="B335">
            <v>1</v>
          </cell>
          <cell r="C335" t="str">
            <v>Domestic</v>
          </cell>
          <cell r="D335">
            <v>4</v>
          </cell>
          <cell r="E335">
            <v>8798</v>
          </cell>
          <cell r="F335" t="str">
            <v>CHEVRON ORONITE CO LLC</v>
          </cell>
          <cell r="G335" t="str">
            <v>D</v>
          </cell>
          <cell r="H335" t="str">
            <v>BELLE CHASSE</v>
          </cell>
          <cell r="I335" t="str">
            <v>LA</v>
          </cell>
          <cell r="J335" t="str">
            <v>USA</v>
          </cell>
          <cell r="K335" t="str">
            <v>CHEVRON ORONITE CO LLC</v>
          </cell>
          <cell r="L335" t="str">
            <v>LA</v>
          </cell>
          <cell r="M335" t="str">
            <v>USA</v>
          </cell>
          <cell r="N335" t="str">
            <v>C</v>
          </cell>
          <cell r="O335">
            <v>24090254</v>
          </cell>
          <cell r="P335" t="str">
            <v>BORIC ACID GRN TCH 2800LB FIBC</v>
          </cell>
          <cell r="Q335" t="str">
            <v>Boric Acid</v>
          </cell>
          <cell r="R335">
            <v>66.739999999999995</v>
          </cell>
          <cell r="S335">
            <v>36708.74</v>
          </cell>
        </row>
        <row r="336">
          <cell r="A336" t="str">
            <v>Budget</v>
          </cell>
          <cell r="B336">
            <v>1</v>
          </cell>
          <cell r="C336" t="str">
            <v>Domestic</v>
          </cell>
          <cell r="D336">
            <v>4</v>
          </cell>
          <cell r="E336">
            <v>8798</v>
          </cell>
          <cell r="F336" t="str">
            <v>CHEVRON ORONITE CO LLC</v>
          </cell>
          <cell r="G336" t="str">
            <v>D</v>
          </cell>
          <cell r="H336" t="str">
            <v>BELLE CHASSE</v>
          </cell>
          <cell r="I336" t="str">
            <v>LA</v>
          </cell>
          <cell r="J336" t="str">
            <v>USA</v>
          </cell>
          <cell r="K336" t="str">
            <v>CHEVRON ORONITE CO LLC</v>
          </cell>
          <cell r="L336" t="str">
            <v>LA</v>
          </cell>
          <cell r="M336" t="str">
            <v>USA</v>
          </cell>
          <cell r="N336" t="str">
            <v>C</v>
          </cell>
          <cell r="O336">
            <v>24090282</v>
          </cell>
          <cell r="P336" t="str">
            <v>BORIC ACID GRN TCH 2500LB FIBC</v>
          </cell>
          <cell r="Q336" t="str">
            <v>Boric Acid</v>
          </cell>
          <cell r="R336">
            <v>27.95</v>
          </cell>
          <cell r="S336">
            <v>15372.95</v>
          </cell>
        </row>
        <row r="337">
          <cell r="A337" t="str">
            <v>Budget</v>
          </cell>
          <cell r="B337">
            <v>1</v>
          </cell>
          <cell r="C337" t="str">
            <v>Domestic</v>
          </cell>
          <cell r="D337">
            <v>4</v>
          </cell>
          <cell r="E337">
            <v>8798</v>
          </cell>
          <cell r="F337" t="str">
            <v>CHEVRON ORONITE CO LLC</v>
          </cell>
          <cell r="G337" t="str">
            <v>D</v>
          </cell>
          <cell r="H337" t="str">
            <v>BELLE CHASSE</v>
          </cell>
          <cell r="I337" t="str">
            <v>LA</v>
          </cell>
          <cell r="J337" t="str">
            <v>USA</v>
          </cell>
          <cell r="K337" t="str">
            <v>CHEVRON ORONITE CO LLC</v>
          </cell>
          <cell r="L337" t="str">
            <v>LA</v>
          </cell>
          <cell r="M337" t="str">
            <v>USA</v>
          </cell>
          <cell r="N337" t="str">
            <v>C</v>
          </cell>
          <cell r="O337">
            <v>24090288</v>
          </cell>
          <cell r="P337" t="str">
            <v>BORIC ACID GRN TCH 1000LB FIBC</v>
          </cell>
          <cell r="Q337" t="str">
            <v>Boric Acid</v>
          </cell>
          <cell r="R337">
            <v>11.18</v>
          </cell>
          <cell r="S337">
            <v>6149.18</v>
          </cell>
        </row>
        <row r="338">
          <cell r="A338" t="str">
            <v>Budget</v>
          </cell>
          <cell r="B338">
            <v>1</v>
          </cell>
          <cell r="C338" t="str">
            <v>Domestic</v>
          </cell>
          <cell r="D338">
            <v>4</v>
          </cell>
          <cell r="E338">
            <v>8825</v>
          </cell>
          <cell r="F338" t="str">
            <v>UNIVAR USA</v>
          </cell>
          <cell r="G338" t="str">
            <v>D</v>
          </cell>
          <cell r="H338" t="str">
            <v>LADSON</v>
          </cell>
          <cell r="I338" t="str">
            <v>SC</v>
          </cell>
          <cell r="J338" t="str">
            <v>USA</v>
          </cell>
          <cell r="K338" t="str">
            <v>UNIVAR USA</v>
          </cell>
          <cell r="L338" t="str">
            <v>SC</v>
          </cell>
          <cell r="M338" t="str">
            <v>USA</v>
          </cell>
          <cell r="N338" t="str">
            <v>D</v>
          </cell>
          <cell r="O338">
            <v>22060410</v>
          </cell>
          <cell r="P338" t="str">
            <v>V-BOR 50LB BAG (004)</v>
          </cell>
          <cell r="Q338" t="str">
            <v>Penta</v>
          </cell>
          <cell r="R338">
            <v>15.25</v>
          </cell>
          <cell r="S338">
            <v>4675.6000000000004</v>
          </cell>
        </row>
        <row r="339">
          <cell r="A339" t="str">
            <v>Budget</v>
          </cell>
          <cell r="B339">
            <v>1</v>
          </cell>
          <cell r="C339" t="str">
            <v>Domestic</v>
          </cell>
          <cell r="D339">
            <v>4</v>
          </cell>
          <cell r="E339">
            <v>8825</v>
          </cell>
          <cell r="F339" t="str">
            <v>UNIVAR USA</v>
          </cell>
          <cell r="G339" t="str">
            <v>D</v>
          </cell>
          <cell r="H339" t="str">
            <v>LADSON</v>
          </cell>
          <cell r="I339" t="str">
            <v>SC</v>
          </cell>
          <cell r="J339" t="str">
            <v>USA</v>
          </cell>
          <cell r="K339" t="str">
            <v>UNIVAR USA</v>
          </cell>
          <cell r="L339" t="str">
            <v>SC</v>
          </cell>
          <cell r="M339" t="str">
            <v>USA</v>
          </cell>
          <cell r="N339" t="str">
            <v>D</v>
          </cell>
          <cell r="O339">
            <v>24090210</v>
          </cell>
          <cell r="P339" t="str">
            <v>BORIC ACID GRAN TECH 50LB BAG</v>
          </cell>
          <cell r="Q339" t="str">
            <v>Boric Acid</v>
          </cell>
          <cell r="R339">
            <v>3.05</v>
          </cell>
          <cell r="S339">
            <v>1741.9</v>
          </cell>
        </row>
        <row r="340">
          <cell r="A340" t="str">
            <v>Budget</v>
          </cell>
          <cell r="B340">
            <v>1</v>
          </cell>
          <cell r="C340" t="str">
            <v>Domestic</v>
          </cell>
          <cell r="D340">
            <v>4</v>
          </cell>
          <cell r="E340">
            <v>8840</v>
          </cell>
          <cell r="F340" t="str">
            <v>KAY CHEMICAL COMPANY</v>
          </cell>
          <cell r="G340" t="str">
            <v>D</v>
          </cell>
          <cell r="H340" t="str">
            <v>GREENSBORO</v>
          </cell>
          <cell r="I340" t="str">
            <v>NC</v>
          </cell>
          <cell r="J340" t="str">
            <v>USA</v>
          </cell>
          <cell r="K340" t="str">
            <v>KAY CHEMICAL COMPANY</v>
          </cell>
          <cell r="L340" t="str">
            <v>NC</v>
          </cell>
          <cell r="M340" t="str">
            <v>USA</v>
          </cell>
          <cell r="N340" t="str">
            <v>C</v>
          </cell>
          <cell r="O340">
            <v>40060410</v>
          </cell>
          <cell r="P340" t="str">
            <v>SODIUM SULFATE STD 50LB BAG</v>
          </cell>
          <cell r="Q340" t="str">
            <v>Sodium Sulfate</v>
          </cell>
          <cell r="R340">
            <v>203.28</v>
          </cell>
          <cell r="S340">
            <v>13895.52</v>
          </cell>
        </row>
        <row r="341">
          <cell r="A341" t="str">
            <v>Budget</v>
          </cell>
          <cell r="B341">
            <v>1</v>
          </cell>
          <cell r="C341" t="str">
            <v>Domestic</v>
          </cell>
          <cell r="D341">
            <v>4</v>
          </cell>
          <cell r="E341">
            <v>8902</v>
          </cell>
          <cell r="F341" t="str">
            <v>HARCROS CHEMICAL INC</v>
          </cell>
          <cell r="G341" t="str">
            <v>D</v>
          </cell>
          <cell r="H341" t="str">
            <v>DALLAS</v>
          </cell>
          <cell r="I341" t="str">
            <v>TX</v>
          </cell>
          <cell r="J341" t="str">
            <v>USA</v>
          </cell>
          <cell r="K341" t="str">
            <v>HARCROS CHEMICAL INC</v>
          </cell>
          <cell r="L341" t="str">
            <v>TX</v>
          </cell>
          <cell r="M341" t="str">
            <v>USA</v>
          </cell>
          <cell r="N341" t="str">
            <v>D</v>
          </cell>
          <cell r="O341">
            <v>22060410</v>
          </cell>
          <cell r="P341" t="str">
            <v>V-BOR 50LB BAG (004)</v>
          </cell>
          <cell r="Q341" t="str">
            <v>Penta</v>
          </cell>
          <cell r="R341">
            <v>2.0299999999999998</v>
          </cell>
          <cell r="S341">
            <v>751.57</v>
          </cell>
        </row>
        <row r="342">
          <cell r="A342" t="str">
            <v>Budget</v>
          </cell>
          <cell r="B342">
            <v>1</v>
          </cell>
          <cell r="C342" t="str">
            <v>Domestic</v>
          </cell>
          <cell r="D342">
            <v>4</v>
          </cell>
          <cell r="E342">
            <v>8902</v>
          </cell>
          <cell r="F342" t="str">
            <v>HARCROS CHEMICAL INC</v>
          </cell>
          <cell r="G342" t="str">
            <v>D</v>
          </cell>
          <cell r="H342" t="str">
            <v>DALLAS</v>
          </cell>
          <cell r="I342" t="str">
            <v>TX</v>
          </cell>
          <cell r="J342" t="str">
            <v>USA</v>
          </cell>
          <cell r="K342" t="str">
            <v>HARCROS CHEMICAL INC</v>
          </cell>
          <cell r="L342" t="str">
            <v>TX</v>
          </cell>
          <cell r="M342" t="str">
            <v>USA</v>
          </cell>
          <cell r="N342" t="str">
            <v>D</v>
          </cell>
          <cell r="O342">
            <v>40060410</v>
          </cell>
          <cell r="P342" t="str">
            <v>SODIUM SULFATE STD 50LB BAG</v>
          </cell>
          <cell r="Q342" t="str">
            <v>Sodium Sulfate</v>
          </cell>
          <cell r="R342">
            <v>16.940000000000001</v>
          </cell>
          <cell r="S342">
            <v>1576.49</v>
          </cell>
        </row>
        <row r="343">
          <cell r="A343" t="str">
            <v>Budget</v>
          </cell>
          <cell r="B343">
            <v>1</v>
          </cell>
          <cell r="C343" t="str">
            <v>Domestic</v>
          </cell>
          <cell r="D343">
            <v>4</v>
          </cell>
          <cell r="E343">
            <v>9035</v>
          </cell>
          <cell r="F343" t="str">
            <v>TIME PRODUCTS</v>
          </cell>
          <cell r="G343" t="str">
            <v>D</v>
          </cell>
          <cell r="H343" t="str">
            <v>ATLANTA</v>
          </cell>
          <cell r="I343" t="str">
            <v>GA</v>
          </cell>
          <cell r="J343" t="str">
            <v>USA</v>
          </cell>
          <cell r="K343" t="str">
            <v>INDUSTRIAL CHEMICAL C</v>
          </cell>
          <cell r="L343" t="str">
            <v>AL</v>
          </cell>
          <cell r="M343" t="str">
            <v>USA</v>
          </cell>
          <cell r="N343" t="str">
            <v>D</v>
          </cell>
          <cell r="O343">
            <v>30210100</v>
          </cell>
          <cell r="P343" t="str">
            <v>SODA ASH DENSE BULK</v>
          </cell>
          <cell r="Q343" t="str">
            <v>Soda Ash</v>
          </cell>
          <cell r="R343">
            <v>84.7</v>
          </cell>
          <cell r="S343">
            <v>6201.69</v>
          </cell>
        </row>
        <row r="344">
          <cell r="A344" t="str">
            <v>Budget</v>
          </cell>
          <cell r="B344">
            <v>1</v>
          </cell>
          <cell r="C344" t="str">
            <v>Domestic</v>
          </cell>
          <cell r="D344">
            <v>4</v>
          </cell>
          <cell r="E344">
            <v>9116</v>
          </cell>
          <cell r="F344" t="str">
            <v>DOMINION VIRGINIA POWER</v>
          </cell>
          <cell r="G344" t="str">
            <v>D</v>
          </cell>
          <cell r="H344" t="str">
            <v>SURRY</v>
          </cell>
          <cell r="I344" t="str">
            <v>VA</v>
          </cell>
          <cell r="J344" t="str">
            <v>USA</v>
          </cell>
          <cell r="K344" t="str">
            <v>DOMINION VIRGINIA POWER</v>
          </cell>
          <cell r="L344" t="str">
            <v>VA</v>
          </cell>
          <cell r="M344" t="str">
            <v>USA</v>
          </cell>
          <cell r="N344" t="str">
            <v>C</v>
          </cell>
          <cell r="O344">
            <v>24609720</v>
          </cell>
          <cell r="P344" t="str">
            <v>BORIC ACID NS 25KG BAG</v>
          </cell>
          <cell r="Q344" t="str">
            <v>HP Boric Acid (SCL)</v>
          </cell>
          <cell r="R344">
            <v>3.05</v>
          </cell>
          <cell r="S344">
            <v>4526.8500000000004</v>
          </cell>
        </row>
        <row r="345">
          <cell r="A345" t="str">
            <v>Budget</v>
          </cell>
          <cell r="B345">
            <v>1</v>
          </cell>
          <cell r="C345" t="str">
            <v>Domestic</v>
          </cell>
          <cell r="D345">
            <v>4</v>
          </cell>
          <cell r="E345">
            <v>9198</v>
          </cell>
          <cell r="F345" t="str">
            <v>BRENNTAG SOUTHEAST, INC.</v>
          </cell>
          <cell r="G345" t="str">
            <v>D</v>
          </cell>
          <cell r="H345" t="str">
            <v>CHARLOTTE</v>
          </cell>
          <cell r="I345" t="str">
            <v>NC</v>
          </cell>
          <cell r="J345" t="str">
            <v>USA</v>
          </cell>
          <cell r="K345" t="str">
            <v>BRENNTAG SOUTHEAST, INC.</v>
          </cell>
          <cell r="L345" t="str">
            <v>NC</v>
          </cell>
          <cell r="M345" t="str">
            <v>USA</v>
          </cell>
          <cell r="N345" t="str">
            <v>D</v>
          </cell>
          <cell r="O345">
            <v>22060410</v>
          </cell>
          <cell r="P345" t="str">
            <v>V-BOR 50LB BAG (004)</v>
          </cell>
          <cell r="Q345" t="str">
            <v>Penta</v>
          </cell>
          <cell r="R345">
            <v>3.74</v>
          </cell>
          <cell r="S345">
            <v>1339.6</v>
          </cell>
        </row>
        <row r="346">
          <cell r="A346" t="str">
            <v>Budget</v>
          </cell>
          <cell r="B346">
            <v>1</v>
          </cell>
          <cell r="C346" t="str">
            <v>Domestic</v>
          </cell>
          <cell r="D346">
            <v>4</v>
          </cell>
          <cell r="E346">
            <v>9439</v>
          </cell>
          <cell r="F346" t="str">
            <v>STP NUCLEAR OPERATING COMPANY</v>
          </cell>
          <cell r="G346" t="str">
            <v>D</v>
          </cell>
          <cell r="H346" t="str">
            <v>WADSWORTH</v>
          </cell>
          <cell r="I346" t="str">
            <v>TX</v>
          </cell>
          <cell r="J346" t="str">
            <v>USA</v>
          </cell>
          <cell r="K346" t="str">
            <v>STP NUCLEAR OPERATING COMPANY</v>
          </cell>
          <cell r="L346" t="str">
            <v>TX</v>
          </cell>
          <cell r="M346" t="str">
            <v>USA</v>
          </cell>
          <cell r="O346">
            <v>24609792</v>
          </cell>
          <cell r="P346" t="str">
            <v>BORIC ACID NS 150KG DRUM</v>
          </cell>
          <cell r="Q346" t="str">
            <v>HP Boric Acid (SCL)</v>
          </cell>
          <cell r="R346">
            <v>5.08</v>
          </cell>
          <cell r="S346">
            <v>7913.46</v>
          </cell>
        </row>
        <row r="347">
          <cell r="A347" t="str">
            <v>Budget</v>
          </cell>
          <cell r="B347">
            <v>1</v>
          </cell>
          <cell r="C347" t="str">
            <v>Domestic</v>
          </cell>
          <cell r="D347">
            <v>4</v>
          </cell>
          <cell r="E347">
            <v>9440</v>
          </cell>
          <cell r="F347" t="str">
            <v>HARCROS CHEMICAL INC</v>
          </cell>
          <cell r="G347" t="str">
            <v>D</v>
          </cell>
          <cell r="H347" t="str">
            <v>PASADENA</v>
          </cell>
          <cell r="I347" t="str">
            <v>TX</v>
          </cell>
          <cell r="J347" t="str">
            <v>USA</v>
          </cell>
          <cell r="K347" t="str">
            <v>HARCROS CHEMICAL INC</v>
          </cell>
          <cell r="L347" t="str">
            <v>TX</v>
          </cell>
          <cell r="M347" t="str">
            <v>USA</v>
          </cell>
          <cell r="N347" t="str">
            <v>D</v>
          </cell>
          <cell r="O347">
            <v>40060410</v>
          </cell>
          <cell r="P347" t="str">
            <v>SODIUM SULFATE STD 50LB BAG</v>
          </cell>
          <cell r="Q347" t="str">
            <v>Sodium Sulfate</v>
          </cell>
          <cell r="R347">
            <v>10.8</v>
          </cell>
          <cell r="S347">
            <v>1050.03</v>
          </cell>
        </row>
        <row r="348">
          <cell r="A348" t="str">
            <v>Budget</v>
          </cell>
          <cell r="B348">
            <v>1</v>
          </cell>
          <cell r="C348" t="str">
            <v>Domestic</v>
          </cell>
          <cell r="D348">
            <v>4</v>
          </cell>
          <cell r="E348">
            <v>9452</v>
          </cell>
          <cell r="F348" t="str">
            <v>FLG INC</v>
          </cell>
          <cell r="G348" t="str">
            <v>D</v>
          </cell>
          <cell r="H348" t="str">
            <v>MOULTON</v>
          </cell>
          <cell r="I348" t="str">
            <v>AL</v>
          </cell>
          <cell r="J348" t="str">
            <v>USA</v>
          </cell>
          <cell r="K348" t="str">
            <v>INDUSTRIAL CHEMICAL C</v>
          </cell>
          <cell r="L348" t="str">
            <v>AL</v>
          </cell>
          <cell r="M348" t="str">
            <v>USA</v>
          </cell>
          <cell r="N348" t="str">
            <v>D</v>
          </cell>
          <cell r="O348">
            <v>24230250</v>
          </cell>
          <cell r="P348" t="str">
            <v>BORIC ACID GRAN TECH 1TN FIBC</v>
          </cell>
          <cell r="Q348" t="str">
            <v>Boric Acid</v>
          </cell>
          <cell r="R348">
            <v>63.52</v>
          </cell>
          <cell r="S348">
            <v>26128.34</v>
          </cell>
        </row>
        <row r="349">
          <cell r="A349" t="str">
            <v>Budget</v>
          </cell>
          <cell r="B349">
            <v>1</v>
          </cell>
          <cell r="C349" t="str">
            <v>Domestic</v>
          </cell>
          <cell r="D349">
            <v>4</v>
          </cell>
          <cell r="E349">
            <v>9459</v>
          </cell>
          <cell r="F349" t="str">
            <v>FRITZ INDUSTRIES INC.</v>
          </cell>
          <cell r="G349" t="str">
            <v>D</v>
          </cell>
          <cell r="H349" t="str">
            <v>MESQUITE</v>
          </cell>
          <cell r="I349" t="str">
            <v>TX</v>
          </cell>
          <cell r="J349" t="str">
            <v>USA</v>
          </cell>
          <cell r="K349" t="str">
            <v>FRITZ INDUSTRIES INC.</v>
          </cell>
          <cell r="L349" t="str">
            <v>TX</v>
          </cell>
          <cell r="M349" t="str">
            <v>USA</v>
          </cell>
          <cell r="N349" t="str">
            <v>D</v>
          </cell>
          <cell r="O349">
            <v>24090210</v>
          </cell>
          <cell r="P349" t="str">
            <v>BORIC ACID GRAN TECH 50LB BAG</v>
          </cell>
          <cell r="Q349" t="str">
            <v>Boric Acid</v>
          </cell>
          <cell r="R349">
            <v>1.02</v>
          </cell>
          <cell r="S349">
            <v>889.35</v>
          </cell>
        </row>
        <row r="350">
          <cell r="A350" t="str">
            <v>Budget</v>
          </cell>
          <cell r="B350">
            <v>1</v>
          </cell>
          <cell r="C350" t="str">
            <v>Domestic</v>
          </cell>
          <cell r="D350">
            <v>4</v>
          </cell>
          <cell r="E350">
            <v>9459</v>
          </cell>
          <cell r="F350" t="str">
            <v>FRITZ INDUSTRIES INC.</v>
          </cell>
          <cell r="G350" t="str">
            <v>D</v>
          </cell>
          <cell r="H350" t="str">
            <v>MESQUITE</v>
          </cell>
          <cell r="I350" t="str">
            <v>TX</v>
          </cell>
          <cell r="J350" t="str">
            <v>USA</v>
          </cell>
          <cell r="K350" t="str">
            <v>FRITZ INDUSTRIES INC.</v>
          </cell>
          <cell r="L350" t="str">
            <v>TX</v>
          </cell>
          <cell r="M350" t="str">
            <v>USA</v>
          </cell>
          <cell r="N350" t="str">
            <v>D</v>
          </cell>
          <cell r="O350">
            <v>24150252</v>
          </cell>
          <cell r="P350" t="str">
            <v>BORIC ACID COARSE 2400LB FIBC</v>
          </cell>
          <cell r="Q350" t="str">
            <v>Boric Acid</v>
          </cell>
          <cell r="R350">
            <v>1.02</v>
          </cell>
          <cell r="S350">
            <v>909.67</v>
          </cell>
        </row>
        <row r="351">
          <cell r="A351" t="str">
            <v>Budget</v>
          </cell>
          <cell r="B351">
            <v>1</v>
          </cell>
          <cell r="C351" t="str">
            <v>Domestic</v>
          </cell>
          <cell r="D351">
            <v>4</v>
          </cell>
          <cell r="E351">
            <v>9519</v>
          </cell>
          <cell r="F351" t="str">
            <v>NATIONAL GYPSUM</v>
          </cell>
          <cell r="G351" t="str">
            <v>D</v>
          </cell>
          <cell r="H351" t="str">
            <v>GARDEN CITY</v>
          </cell>
          <cell r="I351" t="str">
            <v>GA</v>
          </cell>
          <cell r="J351" t="str">
            <v>USA</v>
          </cell>
          <cell r="K351" t="str">
            <v>UNIVAR USA</v>
          </cell>
          <cell r="L351" t="str">
            <v>GA</v>
          </cell>
          <cell r="M351" t="str">
            <v>USA</v>
          </cell>
          <cell r="N351" t="str">
            <v>D</v>
          </cell>
          <cell r="O351">
            <v>24090210</v>
          </cell>
          <cell r="P351" t="str">
            <v>BORIC ACID GRAN TECH 50LB BAG</v>
          </cell>
          <cell r="Q351" t="str">
            <v>Boric Acid</v>
          </cell>
          <cell r="R351">
            <v>3.74</v>
          </cell>
          <cell r="S351">
            <v>2081.29</v>
          </cell>
        </row>
        <row r="352">
          <cell r="A352" t="str">
            <v>Budget</v>
          </cell>
          <cell r="B352">
            <v>1</v>
          </cell>
          <cell r="C352" t="str">
            <v>Domestic</v>
          </cell>
          <cell r="D352">
            <v>5</v>
          </cell>
          <cell r="E352">
            <v>5061</v>
          </cell>
          <cell r="F352" t="str">
            <v>CLINTON UNIVERSAL WAREHOUSE</v>
          </cell>
          <cell r="G352" t="str">
            <v>D</v>
          </cell>
          <cell r="H352" t="str">
            <v>NEWARK</v>
          </cell>
          <cell r="I352" t="str">
            <v>NJ</v>
          </cell>
          <cell r="J352" t="str">
            <v>USA</v>
          </cell>
          <cell r="K352" t="str">
            <v>ACS CHEMICAL INC</v>
          </cell>
          <cell r="L352" t="str">
            <v>NJ</v>
          </cell>
          <cell r="M352" t="str">
            <v>USA</v>
          </cell>
          <cell r="N352" t="str">
            <v>C</v>
          </cell>
          <cell r="O352">
            <v>23619792</v>
          </cell>
          <cell r="P352" t="str">
            <v>DECA BORAX NS GRAN 150KG DRUM</v>
          </cell>
          <cell r="Q352" t="str">
            <v>Boric Salt (SCL)</v>
          </cell>
          <cell r="R352">
            <v>0.17</v>
          </cell>
          <cell r="S352">
            <v>416.29</v>
          </cell>
        </row>
        <row r="353">
          <cell r="A353" t="str">
            <v>Budget</v>
          </cell>
          <cell r="B353">
            <v>1</v>
          </cell>
          <cell r="C353" t="str">
            <v>Domestic</v>
          </cell>
          <cell r="D353">
            <v>5</v>
          </cell>
          <cell r="E353">
            <v>5101</v>
          </cell>
          <cell r="F353" t="str">
            <v>CERTAIN-TEED CORP.</v>
          </cell>
          <cell r="G353" t="str">
            <v>D</v>
          </cell>
          <cell r="H353" t="str">
            <v>CHOWCHILLA</v>
          </cell>
          <cell r="I353" t="str">
            <v>CA</v>
          </cell>
          <cell r="J353" t="str">
            <v>USA</v>
          </cell>
          <cell r="K353" t="str">
            <v>CERTAIN-TEED CORP.</v>
          </cell>
          <cell r="L353" t="str">
            <v>CA</v>
          </cell>
          <cell r="M353" t="str">
            <v>USA</v>
          </cell>
          <cell r="N353" t="str">
            <v>C</v>
          </cell>
          <cell r="O353">
            <v>30210100</v>
          </cell>
          <cell r="P353" t="str">
            <v>SODA ASH DENSE BULK</v>
          </cell>
          <cell r="Q353" t="str">
            <v>Soda Ash</v>
          </cell>
          <cell r="R353">
            <v>593.16999999999996</v>
          </cell>
          <cell r="S353">
            <v>41978.41</v>
          </cell>
        </row>
        <row r="354">
          <cell r="A354" t="str">
            <v>Budget</v>
          </cell>
          <cell r="B354">
            <v>1</v>
          </cell>
          <cell r="C354" t="str">
            <v>Domestic</v>
          </cell>
          <cell r="D354">
            <v>5</v>
          </cell>
          <cell r="E354">
            <v>5101</v>
          </cell>
          <cell r="F354" t="str">
            <v>CERTAIN-TEED CORP.</v>
          </cell>
          <cell r="G354" t="str">
            <v>D</v>
          </cell>
          <cell r="H354" t="str">
            <v>CHOWCHILLA</v>
          </cell>
          <cell r="I354" t="str">
            <v>CA</v>
          </cell>
          <cell r="J354" t="str">
            <v>USA</v>
          </cell>
          <cell r="K354" t="str">
            <v>CERTAIN-TEED CORP.</v>
          </cell>
          <cell r="L354" t="str">
            <v>CA</v>
          </cell>
          <cell r="M354" t="str">
            <v>USA</v>
          </cell>
          <cell r="N354" t="str">
            <v>C</v>
          </cell>
          <cell r="O354">
            <v>40150400</v>
          </cell>
          <cell r="P354" t="str">
            <v>SODIUM SULFATE COARSE BULK</v>
          </cell>
          <cell r="Q354" t="str">
            <v>Sodium Sulfate</v>
          </cell>
          <cell r="R354">
            <v>23.16</v>
          </cell>
          <cell r="S354">
            <v>3228.48</v>
          </cell>
        </row>
        <row r="355">
          <cell r="A355" t="str">
            <v>Budget</v>
          </cell>
          <cell r="B355">
            <v>1</v>
          </cell>
          <cell r="C355" t="str">
            <v>Domestic</v>
          </cell>
          <cell r="D355">
            <v>5</v>
          </cell>
          <cell r="E355">
            <v>5111</v>
          </cell>
          <cell r="F355" t="str">
            <v>MALLINCKRODT BAKER, INC.</v>
          </cell>
          <cell r="G355" t="str">
            <v>D</v>
          </cell>
          <cell r="H355" t="str">
            <v>PARIS</v>
          </cell>
          <cell r="I355" t="str">
            <v>KY</v>
          </cell>
          <cell r="J355" t="str">
            <v>USA</v>
          </cell>
          <cell r="K355" t="str">
            <v>MALLINCKRODT BAKER, INC</v>
          </cell>
          <cell r="L355" t="str">
            <v>KY</v>
          </cell>
          <cell r="M355" t="str">
            <v>USA</v>
          </cell>
          <cell r="N355" t="str">
            <v>C</v>
          </cell>
          <cell r="O355">
            <v>24629792</v>
          </cell>
          <cell r="P355" t="str">
            <v>BORIC ACID EP GRAN 150KG DRUM</v>
          </cell>
          <cell r="Q355" t="str">
            <v>HP Boric Acid (SCL)</v>
          </cell>
          <cell r="R355">
            <v>9.74</v>
          </cell>
          <cell r="S355">
            <v>5606.31</v>
          </cell>
        </row>
        <row r="356">
          <cell r="A356" t="str">
            <v>Budget</v>
          </cell>
          <cell r="B356">
            <v>1</v>
          </cell>
          <cell r="C356" t="str">
            <v>Domestic</v>
          </cell>
          <cell r="D356">
            <v>5</v>
          </cell>
          <cell r="E356">
            <v>5194</v>
          </cell>
          <cell r="F356" t="str">
            <v>ALDEN LEEDS</v>
          </cell>
          <cell r="G356" t="str">
            <v>D</v>
          </cell>
          <cell r="H356" t="str">
            <v>SOUTH KEARNY</v>
          </cell>
          <cell r="I356" t="str">
            <v>NJ</v>
          </cell>
          <cell r="J356" t="str">
            <v>USA</v>
          </cell>
          <cell r="K356" t="str">
            <v>VECKRIDGE CHEMICAL COMPANY</v>
          </cell>
          <cell r="L356" t="str">
            <v>NJ</v>
          </cell>
          <cell r="M356" t="str">
            <v>USA</v>
          </cell>
          <cell r="N356" t="str">
            <v>D</v>
          </cell>
          <cell r="O356">
            <v>22060410</v>
          </cell>
          <cell r="P356" t="str">
            <v>V-BOR 50LB BAG (004)</v>
          </cell>
          <cell r="Q356" t="str">
            <v>Penta</v>
          </cell>
          <cell r="R356">
            <v>3.74</v>
          </cell>
          <cell r="S356">
            <v>1205.51</v>
          </cell>
        </row>
        <row r="357">
          <cell r="A357" t="str">
            <v>Budget</v>
          </cell>
          <cell r="B357">
            <v>1</v>
          </cell>
          <cell r="C357" t="str">
            <v>Domestic</v>
          </cell>
          <cell r="D357">
            <v>5</v>
          </cell>
          <cell r="E357">
            <v>5194</v>
          </cell>
          <cell r="F357" t="str">
            <v>ALDEN LEEDS</v>
          </cell>
          <cell r="G357" t="str">
            <v>D</v>
          </cell>
          <cell r="H357" t="str">
            <v>SOUTH KEARNY</v>
          </cell>
          <cell r="I357" t="str">
            <v>NJ</v>
          </cell>
          <cell r="J357" t="str">
            <v>USA</v>
          </cell>
          <cell r="K357" t="str">
            <v>VECKRIDGE CHEMICAL COMPANY</v>
          </cell>
          <cell r="L357" t="str">
            <v>NJ</v>
          </cell>
          <cell r="M357" t="str">
            <v>USA</v>
          </cell>
          <cell r="N357" t="str">
            <v>D</v>
          </cell>
          <cell r="O357">
            <v>24030210</v>
          </cell>
          <cell r="P357" t="str">
            <v>BORIC ACID PWD TECH 50LB BAG</v>
          </cell>
          <cell r="Q357" t="str">
            <v>Boric Acid</v>
          </cell>
          <cell r="R357">
            <v>1.42</v>
          </cell>
          <cell r="S357">
            <v>786.54</v>
          </cell>
        </row>
        <row r="358">
          <cell r="A358" t="str">
            <v>Budget</v>
          </cell>
          <cell r="B358">
            <v>1</v>
          </cell>
          <cell r="C358" t="str">
            <v>Domestic</v>
          </cell>
          <cell r="D358">
            <v>5</v>
          </cell>
          <cell r="E358">
            <v>5194</v>
          </cell>
          <cell r="F358" t="str">
            <v>ALDEN LEEDS</v>
          </cell>
          <cell r="G358" t="str">
            <v>D</v>
          </cell>
          <cell r="H358" t="str">
            <v>SOUTH KEARNY</v>
          </cell>
          <cell r="I358" t="str">
            <v>NJ</v>
          </cell>
          <cell r="J358" t="str">
            <v>USA</v>
          </cell>
          <cell r="K358" t="str">
            <v>VECKRIDGE CHEMICAL COMPANY</v>
          </cell>
          <cell r="L358" t="str">
            <v>NJ</v>
          </cell>
          <cell r="M358" t="str">
            <v>USA</v>
          </cell>
          <cell r="N358" t="str">
            <v>D</v>
          </cell>
          <cell r="O358">
            <v>24090210</v>
          </cell>
          <cell r="P358" t="str">
            <v>BORIC ACID GRAN TECH 50LB BAG</v>
          </cell>
          <cell r="Q358" t="str">
            <v>Boric Acid</v>
          </cell>
          <cell r="R358">
            <v>2.2799999999999998</v>
          </cell>
          <cell r="S358">
            <v>1072.28</v>
          </cell>
        </row>
        <row r="359">
          <cell r="A359" t="str">
            <v>Budget</v>
          </cell>
          <cell r="B359">
            <v>1</v>
          </cell>
          <cell r="C359" t="str">
            <v>Domestic</v>
          </cell>
          <cell r="D359">
            <v>5</v>
          </cell>
          <cell r="E359">
            <v>5324</v>
          </cell>
          <cell r="F359" t="str">
            <v>PPG INDUSTRIES, INC.</v>
          </cell>
          <cell r="G359" t="str">
            <v>D</v>
          </cell>
          <cell r="H359" t="str">
            <v>FRESNO</v>
          </cell>
          <cell r="I359" t="str">
            <v>CA</v>
          </cell>
          <cell r="J359" t="str">
            <v>USA</v>
          </cell>
          <cell r="K359" t="str">
            <v>PPG INDUSTRIES, INC.</v>
          </cell>
          <cell r="L359" t="str">
            <v>CA</v>
          </cell>
          <cell r="M359" t="str">
            <v>USA</v>
          </cell>
          <cell r="N359" t="str">
            <v>C</v>
          </cell>
          <cell r="O359">
            <v>40160400</v>
          </cell>
          <cell r="P359" t="str">
            <v>SODIUM SULFATE PREMIUM BULK</v>
          </cell>
          <cell r="Q359" t="str">
            <v>Sodium Sulfate</v>
          </cell>
          <cell r="R359">
            <v>32.07</v>
          </cell>
          <cell r="S359">
            <v>3138.11</v>
          </cell>
        </row>
        <row r="360">
          <cell r="A360" t="str">
            <v>Budget</v>
          </cell>
          <cell r="B360">
            <v>1</v>
          </cell>
          <cell r="C360" t="str">
            <v>Domestic</v>
          </cell>
          <cell r="D360">
            <v>5</v>
          </cell>
          <cell r="E360">
            <v>5374</v>
          </cell>
          <cell r="F360" t="str">
            <v>BRENNTAG NORTHEAST, INC.</v>
          </cell>
          <cell r="G360" t="str">
            <v>D</v>
          </cell>
          <cell r="H360" t="str">
            <v>READING</v>
          </cell>
          <cell r="I360" t="str">
            <v>PA</v>
          </cell>
          <cell r="J360" t="str">
            <v>USA</v>
          </cell>
          <cell r="K360" t="str">
            <v>BRENNTAG NORTHEAST, INC.</v>
          </cell>
          <cell r="L360" t="str">
            <v>PA</v>
          </cell>
          <cell r="M360" t="str">
            <v>USA</v>
          </cell>
          <cell r="N360" t="str">
            <v>D</v>
          </cell>
          <cell r="O360">
            <v>22060410</v>
          </cell>
          <cell r="P360" t="str">
            <v>V-BOR 50LB BAG (004)</v>
          </cell>
          <cell r="Q360" t="str">
            <v>Penta</v>
          </cell>
          <cell r="R360">
            <v>21.17</v>
          </cell>
          <cell r="S360">
            <v>7411.2</v>
          </cell>
        </row>
        <row r="361">
          <cell r="A361" t="str">
            <v>Budget</v>
          </cell>
          <cell r="B361">
            <v>1</v>
          </cell>
          <cell r="C361" t="str">
            <v>Domestic</v>
          </cell>
          <cell r="D361">
            <v>5</v>
          </cell>
          <cell r="E361">
            <v>5374</v>
          </cell>
          <cell r="F361" t="str">
            <v>BRENNTAG NORTHEAST, INC.</v>
          </cell>
          <cell r="G361" t="str">
            <v>D</v>
          </cell>
          <cell r="H361" t="str">
            <v>READING</v>
          </cell>
          <cell r="I361" t="str">
            <v>PA</v>
          </cell>
          <cell r="J361" t="str">
            <v>USA</v>
          </cell>
          <cell r="K361" t="str">
            <v>BRENNTAG NORTHEAST, INC.</v>
          </cell>
          <cell r="L361" t="str">
            <v>PA</v>
          </cell>
          <cell r="M361" t="str">
            <v>USA</v>
          </cell>
          <cell r="N361" t="str">
            <v>D</v>
          </cell>
          <cell r="O361">
            <v>24090210</v>
          </cell>
          <cell r="P361" t="str">
            <v>BORIC ACID GRAN TECH 50LB BAG</v>
          </cell>
          <cell r="Q361" t="str">
            <v>Boric Acid</v>
          </cell>
          <cell r="R361">
            <v>21.17</v>
          </cell>
          <cell r="S361">
            <v>14081.28</v>
          </cell>
        </row>
        <row r="362">
          <cell r="A362" t="str">
            <v>Budget</v>
          </cell>
          <cell r="B362">
            <v>1</v>
          </cell>
          <cell r="C362" t="str">
            <v>Domestic</v>
          </cell>
          <cell r="D362">
            <v>5</v>
          </cell>
          <cell r="E362">
            <v>5399</v>
          </cell>
          <cell r="F362" t="str">
            <v>VECKRIDGE CHEMICAL COMPANY</v>
          </cell>
          <cell r="G362" t="str">
            <v>D</v>
          </cell>
          <cell r="H362" t="str">
            <v>SOUTH KEARNY</v>
          </cell>
          <cell r="I362" t="str">
            <v>NJ</v>
          </cell>
          <cell r="J362" t="str">
            <v>USA</v>
          </cell>
          <cell r="K362" t="str">
            <v>VECKRIDGE CHEMICAL COMPANY</v>
          </cell>
          <cell r="L362" t="str">
            <v>NJ</v>
          </cell>
          <cell r="M362" t="str">
            <v>USA</v>
          </cell>
          <cell r="N362" t="str">
            <v>D</v>
          </cell>
          <cell r="O362">
            <v>22060410</v>
          </cell>
          <cell r="P362" t="str">
            <v>V-BOR 50LB BAG (004)</v>
          </cell>
          <cell r="Q362" t="str">
            <v>Penta</v>
          </cell>
          <cell r="R362">
            <v>2.08</v>
          </cell>
          <cell r="S362">
            <v>767.24</v>
          </cell>
        </row>
        <row r="363">
          <cell r="A363" t="str">
            <v>Budget</v>
          </cell>
          <cell r="B363">
            <v>1</v>
          </cell>
          <cell r="C363" t="str">
            <v>Domestic</v>
          </cell>
          <cell r="D363">
            <v>5</v>
          </cell>
          <cell r="E363">
            <v>5399</v>
          </cell>
          <cell r="F363" t="str">
            <v>VECKRIDGE CHEMICAL COMPANY</v>
          </cell>
          <cell r="G363" t="str">
            <v>D</v>
          </cell>
          <cell r="H363" t="str">
            <v>SOUTH KEARNY</v>
          </cell>
          <cell r="I363" t="str">
            <v>NJ</v>
          </cell>
          <cell r="J363" t="str">
            <v>USA</v>
          </cell>
          <cell r="K363" t="str">
            <v>VECKRIDGE CHEMICAL COMPANY</v>
          </cell>
          <cell r="L363" t="str">
            <v>NJ</v>
          </cell>
          <cell r="M363" t="str">
            <v>USA</v>
          </cell>
          <cell r="N363" t="str">
            <v>D</v>
          </cell>
          <cell r="O363">
            <v>23060210</v>
          </cell>
          <cell r="P363" t="str">
            <v>DECA BORAX STD 50LB BAG</v>
          </cell>
          <cell r="Q363" t="str">
            <v>Deca</v>
          </cell>
          <cell r="R363">
            <v>3.32</v>
          </cell>
          <cell r="S363">
            <v>1118.3699999999999</v>
          </cell>
        </row>
        <row r="364">
          <cell r="A364" t="str">
            <v>Budget</v>
          </cell>
          <cell r="B364">
            <v>1</v>
          </cell>
          <cell r="C364" t="str">
            <v>Domestic</v>
          </cell>
          <cell r="D364">
            <v>5</v>
          </cell>
          <cell r="E364">
            <v>5399</v>
          </cell>
          <cell r="F364" t="str">
            <v>VECKRIDGE CHEMICAL COMPANY</v>
          </cell>
          <cell r="G364" t="str">
            <v>D</v>
          </cell>
          <cell r="H364" t="str">
            <v>SOUTH KEARNY</v>
          </cell>
          <cell r="I364" t="str">
            <v>NJ</v>
          </cell>
          <cell r="J364" t="str">
            <v>USA</v>
          </cell>
          <cell r="K364" t="str">
            <v>VECKRIDGE CHEMICAL COMPANY</v>
          </cell>
          <cell r="L364" t="str">
            <v>NJ</v>
          </cell>
          <cell r="M364" t="str">
            <v>USA</v>
          </cell>
          <cell r="N364" t="str">
            <v>D</v>
          </cell>
          <cell r="O364">
            <v>24090210</v>
          </cell>
          <cell r="P364" t="str">
            <v>BORIC ACID GRAN TECH 50LB BAG</v>
          </cell>
          <cell r="Q364" t="str">
            <v>Boric Acid</v>
          </cell>
          <cell r="R364">
            <v>5.81</v>
          </cell>
          <cell r="S364">
            <v>3077.63</v>
          </cell>
        </row>
        <row r="365">
          <cell r="A365" t="str">
            <v>Budget</v>
          </cell>
          <cell r="B365">
            <v>1</v>
          </cell>
          <cell r="C365" t="str">
            <v>Domestic</v>
          </cell>
          <cell r="D365">
            <v>5</v>
          </cell>
          <cell r="E365">
            <v>5521</v>
          </cell>
          <cell r="F365" t="str">
            <v>MID-CONTINENT PACKAGI</v>
          </cell>
          <cell r="G365" t="str">
            <v>D</v>
          </cell>
          <cell r="H365" t="str">
            <v>ENID</v>
          </cell>
          <cell r="I365" t="str">
            <v>OK</v>
          </cell>
          <cell r="J365" t="str">
            <v>USA</v>
          </cell>
          <cell r="K365" t="str">
            <v>VECKRIDGE CHEMICAL COMPANY</v>
          </cell>
          <cell r="L365" t="str">
            <v>NJ</v>
          </cell>
          <cell r="M365" t="str">
            <v>USA</v>
          </cell>
          <cell r="N365" t="str">
            <v>D</v>
          </cell>
          <cell r="O365">
            <v>22060410</v>
          </cell>
          <cell r="P365" t="str">
            <v>V-BOR 50LB BAG (004)</v>
          </cell>
          <cell r="Q365" t="str">
            <v>Penta</v>
          </cell>
          <cell r="R365">
            <v>3.74</v>
          </cell>
          <cell r="S365">
            <v>1270.25</v>
          </cell>
        </row>
        <row r="366">
          <cell r="A366" t="str">
            <v>Budget</v>
          </cell>
          <cell r="B366">
            <v>1</v>
          </cell>
          <cell r="C366" t="str">
            <v>Domestic</v>
          </cell>
          <cell r="D366">
            <v>5</v>
          </cell>
          <cell r="E366">
            <v>5549</v>
          </cell>
          <cell r="F366" t="str">
            <v>FUSION CERAMICS</v>
          </cell>
          <cell r="G366" t="str">
            <v>D</v>
          </cell>
          <cell r="H366" t="str">
            <v>CARROLLTON</v>
          </cell>
          <cell r="I366" t="str">
            <v>OH</v>
          </cell>
          <cell r="J366" t="str">
            <v>USA</v>
          </cell>
          <cell r="K366" t="str">
            <v>UNIVAR USA</v>
          </cell>
          <cell r="L366" t="str">
            <v>PA</v>
          </cell>
          <cell r="M366" t="str">
            <v>USA</v>
          </cell>
          <cell r="N366" t="str">
            <v>D</v>
          </cell>
          <cell r="O366">
            <v>20060210</v>
          </cell>
          <cell r="P366" t="str">
            <v>PYROBOR 50LB BAG (002)</v>
          </cell>
          <cell r="Q366" t="str">
            <v>Pyrobor</v>
          </cell>
          <cell r="R366">
            <v>21.58</v>
          </cell>
          <cell r="S366">
            <v>11555.55</v>
          </cell>
        </row>
        <row r="367">
          <cell r="A367" t="str">
            <v>Budget</v>
          </cell>
          <cell r="B367">
            <v>1</v>
          </cell>
          <cell r="C367" t="str">
            <v>Domestic</v>
          </cell>
          <cell r="D367">
            <v>5</v>
          </cell>
          <cell r="E367">
            <v>5591</v>
          </cell>
          <cell r="F367" t="str">
            <v>WYNCO, LLC</v>
          </cell>
          <cell r="G367" t="str">
            <v>D</v>
          </cell>
          <cell r="H367" t="str">
            <v>NACOGDOCHES</v>
          </cell>
          <cell r="I367" t="str">
            <v>TX</v>
          </cell>
          <cell r="J367" t="str">
            <v>USA</v>
          </cell>
          <cell r="K367" t="str">
            <v>SCHERING-PLOUGH ANIMAL HEALTH</v>
          </cell>
          <cell r="L367" t="str">
            <v>NE</v>
          </cell>
          <cell r="M367" t="str">
            <v>USA</v>
          </cell>
          <cell r="N367" t="str">
            <v>D</v>
          </cell>
          <cell r="O367">
            <v>24740211</v>
          </cell>
          <cell r="P367" t="str">
            <v>BORIC ACID PWD PEST W/TCP SAFE</v>
          </cell>
          <cell r="Q367" t="str">
            <v>Boric Acid</v>
          </cell>
          <cell r="R367">
            <v>3.81</v>
          </cell>
          <cell r="S367">
            <v>3049.18</v>
          </cell>
        </row>
        <row r="368">
          <cell r="A368" t="str">
            <v>Budget</v>
          </cell>
          <cell r="B368">
            <v>1</v>
          </cell>
          <cell r="C368" t="str">
            <v>Domestic</v>
          </cell>
          <cell r="D368">
            <v>5</v>
          </cell>
          <cell r="E368">
            <v>6050</v>
          </cell>
          <cell r="F368" t="str">
            <v>ATLANTIC METALS CORPORATION</v>
          </cell>
          <cell r="G368" t="str">
            <v>D</v>
          </cell>
          <cell r="H368" t="str">
            <v>PHILADELPHIA</v>
          </cell>
          <cell r="I368" t="str">
            <v>PA</v>
          </cell>
          <cell r="J368" t="str">
            <v>USA</v>
          </cell>
          <cell r="K368" t="str">
            <v>ATLANTIC METALS CORPORATION</v>
          </cell>
          <cell r="L368" t="str">
            <v>PA</v>
          </cell>
          <cell r="M368" t="str">
            <v>USA</v>
          </cell>
          <cell r="N368" t="str">
            <v>C</v>
          </cell>
          <cell r="O368">
            <v>20060254</v>
          </cell>
          <cell r="P368" t="str">
            <v>PYROBOR 2800LB FIBC (002)</v>
          </cell>
          <cell r="Q368" t="str">
            <v>Pyrobor</v>
          </cell>
          <cell r="R368">
            <v>3.79</v>
          </cell>
          <cell r="S368">
            <v>2648.5</v>
          </cell>
        </row>
        <row r="369">
          <cell r="A369" t="str">
            <v>Budget</v>
          </cell>
          <cell r="B369">
            <v>1</v>
          </cell>
          <cell r="C369" t="str">
            <v>Domestic</v>
          </cell>
          <cell r="D369">
            <v>5</v>
          </cell>
          <cell r="E369">
            <v>6092</v>
          </cell>
          <cell r="F369" t="str">
            <v>QUADRA CHEMICALS (WESTERN) LTD</v>
          </cell>
          <cell r="G369" t="str">
            <v>D</v>
          </cell>
          <cell r="H369" t="str">
            <v>DELTA</v>
          </cell>
          <cell r="I369" t="str">
            <v>BC</v>
          </cell>
          <cell r="J369" t="str">
            <v>CAN</v>
          </cell>
          <cell r="K369" t="str">
            <v>QUADRA CHEMICALS (WESTERN) LTD</v>
          </cell>
          <cell r="L369" t="str">
            <v>BC</v>
          </cell>
          <cell r="M369" t="str">
            <v>CAN</v>
          </cell>
          <cell r="N369" t="str">
            <v>D</v>
          </cell>
          <cell r="O369">
            <v>20060210</v>
          </cell>
          <cell r="P369" t="str">
            <v>PYROBOR 50LB BAG (002)</v>
          </cell>
          <cell r="Q369" t="str">
            <v>Pyrobor</v>
          </cell>
          <cell r="R369">
            <v>5.4</v>
          </cell>
          <cell r="S369">
            <v>4216.2700000000004</v>
          </cell>
        </row>
        <row r="370">
          <cell r="A370" t="str">
            <v>Budget</v>
          </cell>
          <cell r="B370">
            <v>1</v>
          </cell>
          <cell r="C370" t="str">
            <v>Domestic</v>
          </cell>
          <cell r="D370">
            <v>5</v>
          </cell>
          <cell r="E370">
            <v>6092</v>
          </cell>
          <cell r="F370" t="str">
            <v>QUADRA CHEMICALS (WESTERN) LTD</v>
          </cell>
          <cell r="G370" t="str">
            <v>D</v>
          </cell>
          <cell r="H370" t="str">
            <v>DELTA</v>
          </cell>
          <cell r="I370" t="str">
            <v>BC</v>
          </cell>
          <cell r="J370" t="str">
            <v>CAN</v>
          </cell>
          <cell r="K370" t="str">
            <v>QUADRA CHEMICALS (WESTERN) LTD</v>
          </cell>
          <cell r="L370" t="str">
            <v>BC</v>
          </cell>
          <cell r="M370" t="str">
            <v>CAN</v>
          </cell>
          <cell r="N370" t="str">
            <v>D</v>
          </cell>
          <cell r="O370">
            <v>22060410</v>
          </cell>
          <cell r="P370" t="str">
            <v>V-BOR 50LB BAG (004)</v>
          </cell>
          <cell r="Q370" t="str">
            <v>Penta</v>
          </cell>
          <cell r="R370">
            <v>9.1300000000000008</v>
          </cell>
          <cell r="S370">
            <v>3104.4</v>
          </cell>
        </row>
        <row r="371">
          <cell r="A371" t="str">
            <v>Budget</v>
          </cell>
          <cell r="B371">
            <v>1</v>
          </cell>
          <cell r="C371" t="str">
            <v>Domestic</v>
          </cell>
          <cell r="D371">
            <v>5</v>
          </cell>
          <cell r="E371">
            <v>6092</v>
          </cell>
          <cell r="F371" t="str">
            <v>QUADRA CHEMICALS (WESTERN) LTD</v>
          </cell>
          <cell r="G371" t="str">
            <v>D</v>
          </cell>
          <cell r="H371" t="str">
            <v>DELTA</v>
          </cell>
          <cell r="I371" t="str">
            <v>BC</v>
          </cell>
          <cell r="J371" t="str">
            <v>CAN</v>
          </cell>
          <cell r="K371" t="str">
            <v>QUADRA CHEMICALS (WESTERN) LTD</v>
          </cell>
          <cell r="L371" t="str">
            <v>BC</v>
          </cell>
          <cell r="M371" t="str">
            <v>CAN</v>
          </cell>
          <cell r="N371" t="str">
            <v>D</v>
          </cell>
          <cell r="O371">
            <v>40060410</v>
          </cell>
          <cell r="P371" t="str">
            <v>SODIUM SULFATE STD 50LB BAG</v>
          </cell>
          <cell r="Q371" t="str">
            <v>Sodium Sulfate</v>
          </cell>
          <cell r="R371">
            <v>0.42</v>
          </cell>
          <cell r="S371">
            <v>107.99</v>
          </cell>
        </row>
        <row r="372">
          <cell r="A372" t="str">
            <v>Budget</v>
          </cell>
          <cell r="B372">
            <v>1</v>
          </cell>
          <cell r="C372" t="str">
            <v>Domestic</v>
          </cell>
          <cell r="D372">
            <v>5</v>
          </cell>
          <cell r="E372">
            <v>6093</v>
          </cell>
          <cell r="F372" t="str">
            <v>PEMCO CORPORATION</v>
          </cell>
          <cell r="G372" t="str">
            <v>D</v>
          </cell>
          <cell r="H372" t="str">
            <v>BALTIMORE</v>
          </cell>
          <cell r="I372" t="str">
            <v>MD</v>
          </cell>
          <cell r="J372" t="str">
            <v>USA</v>
          </cell>
          <cell r="K372" t="str">
            <v>PEMCO CORPORATION</v>
          </cell>
          <cell r="L372" t="str">
            <v>MD</v>
          </cell>
          <cell r="M372" t="str">
            <v>USA</v>
          </cell>
          <cell r="N372" t="str">
            <v>C</v>
          </cell>
          <cell r="O372">
            <v>20060200</v>
          </cell>
          <cell r="P372" t="str">
            <v>PYROBOR ANHY BORAX BULK (002)</v>
          </cell>
          <cell r="Q372" t="str">
            <v>Pyrobor</v>
          </cell>
          <cell r="R372">
            <v>336.65</v>
          </cell>
          <cell r="S372">
            <v>156762.62</v>
          </cell>
        </row>
        <row r="373">
          <cell r="A373" t="str">
            <v>Budget</v>
          </cell>
          <cell r="B373">
            <v>1</v>
          </cell>
          <cell r="C373" t="str">
            <v>Domestic</v>
          </cell>
          <cell r="D373">
            <v>5</v>
          </cell>
          <cell r="E373">
            <v>6129</v>
          </cell>
          <cell r="F373" t="str">
            <v>GAF CORPORATION</v>
          </cell>
          <cell r="G373" t="str">
            <v>D</v>
          </cell>
          <cell r="H373" t="str">
            <v>NASHVILLE</v>
          </cell>
          <cell r="I373" t="str">
            <v>TN</v>
          </cell>
          <cell r="J373" t="str">
            <v>USA</v>
          </cell>
          <cell r="K373" t="str">
            <v>GAF CORPORATION</v>
          </cell>
          <cell r="L373" t="str">
            <v>TN</v>
          </cell>
          <cell r="M373" t="str">
            <v>USA</v>
          </cell>
          <cell r="N373" t="str">
            <v>C</v>
          </cell>
          <cell r="O373">
            <v>24090200</v>
          </cell>
          <cell r="P373" t="str">
            <v>BORIC ACID GRAN TECH BULK</v>
          </cell>
          <cell r="Q373" t="str">
            <v>Boric Acid</v>
          </cell>
          <cell r="R373">
            <v>423.5</v>
          </cell>
          <cell r="S373">
            <v>148224.04</v>
          </cell>
        </row>
        <row r="374">
          <cell r="A374" t="str">
            <v>Budget</v>
          </cell>
          <cell r="B374">
            <v>1</v>
          </cell>
          <cell r="C374" t="str">
            <v>Domestic</v>
          </cell>
          <cell r="D374">
            <v>5</v>
          </cell>
          <cell r="E374">
            <v>6219</v>
          </cell>
          <cell r="F374" t="str">
            <v>ASTRO CHEMICALS INC</v>
          </cell>
          <cell r="G374" t="str">
            <v>D</v>
          </cell>
          <cell r="H374" t="str">
            <v>SPRINGFIELD</v>
          </cell>
          <cell r="I374" t="str">
            <v>MA</v>
          </cell>
          <cell r="J374" t="str">
            <v>USA</v>
          </cell>
          <cell r="K374" t="str">
            <v>ASTRO CHEMICALS INC</v>
          </cell>
          <cell r="L374" t="str">
            <v>MA</v>
          </cell>
          <cell r="M374" t="str">
            <v>USA</v>
          </cell>
          <cell r="N374" t="str">
            <v>D</v>
          </cell>
          <cell r="O374">
            <v>22060410</v>
          </cell>
          <cell r="P374" t="str">
            <v>V-BOR 50LB BAG (004)</v>
          </cell>
          <cell r="Q374" t="str">
            <v>Penta</v>
          </cell>
          <cell r="R374">
            <v>8.51</v>
          </cell>
          <cell r="S374">
            <v>3183.82</v>
          </cell>
        </row>
        <row r="375">
          <cell r="A375" t="str">
            <v>Budget</v>
          </cell>
          <cell r="B375">
            <v>1</v>
          </cell>
          <cell r="C375" t="str">
            <v>Domestic</v>
          </cell>
          <cell r="D375">
            <v>5</v>
          </cell>
          <cell r="E375">
            <v>6219</v>
          </cell>
          <cell r="F375" t="str">
            <v>ASTRO CHEMICALS INC</v>
          </cell>
          <cell r="G375" t="str">
            <v>D</v>
          </cell>
          <cell r="H375" t="str">
            <v>SPRINGFIELD</v>
          </cell>
          <cell r="I375" t="str">
            <v>MA</v>
          </cell>
          <cell r="J375" t="str">
            <v>USA</v>
          </cell>
          <cell r="K375" t="str">
            <v>ASTRO CHEMICALS INC</v>
          </cell>
          <cell r="L375" t="str">
            <v>MA</v>
          </cell>
          <cell r="M375" t="str">
            <v>USA</v>
          </cell>
          <cell r="N375" t="str">
            <v>D</v>
          </cell>
          <cell r="O375">
            <v>23060210</v>
          </cell>
          <cell r="P375" t="str">
            <v>DECA BORAX STD 50LB BAG</v>
          </cell>
          <cell r="Q375" t="str">
            <v>Deca</v>
          </cell>
          <cell r="R375">
            <v>5.6</v>
          </cell>
          <cell r="S375">
            <v>1814.19</v>
          </cell>
        </row>
        <row r="376">
          <cell r="A376" t="str">
            <v>Budget</v>
          </cell>
          <cell r="B376">
            <v>1</v>
          </cell>
          <cell r="C376" t="str">
            <v>Domestic</v>
          </cell>
          <cell r="D376">
            <v>5</v>
          </cell>
          <cell r="E376">
            <v>6219</v>
          </cell>
          <cell r="F376" t="str">
            <v>ASTRO CHEMICALS INC</v>
          </cell>
          <cell r="G376" t="str">
            <v>D</v>
          </cell>
          <cell r="H376" t="str">
            <v>SPRINGFIELD</v>
          </cell>
          <cell r="I376" t="str">
            <v>MA</v>
          </cell>
          <cell r="J376" t="str">
            <v>USA</v>
          </cell>
          <cell r="K376" t="str">
            <v>ASTRO CHEMICALS INC</v>
          </cell>
          <cell r="L376" t="str">
            <v>MA</v>
          </cell>
          <cell r="M376" t="str">
            <v>USA</v>
          </cell>
          <cell r="N376" t="str">
            <v>D</v>
          </cell>
          <cell r="O376">
            <v>24030210</v>
          </cell>
          <cell r="P376" t="str">
            <v>BORIC ACID PWD TECH 50LB BAG</v>
          </cell>
          <cell r="Q376" t="str">
            <v>Boric Acid</v>
          </cell>
          <cell r="R376">
            <v>1.63</v>
          </cell>
          <cell r="S376">
            <v>1280.06</v>
          </cell>
        </row>
        <row r="377">
          <cell r="A377" t="str">
            <v>Budget</v>
          </cell>
          <cell r="B377">
            <v>1</v>
          </cell>
          <cell r="C377" t="str">
            <v>Domestic</v>
          </cell>
          <cell r="D377">
            <v>5</v>
          </cell>
          <cell r="E377">
            <v>6219</v>
          </cell>
          <cell r="F377" t="str">
            <v>ASTRO CHEMICALS INC</v>
          </cell>
          <cell r="G377" t="str">
            <v>D</v>
          </cell>
          <cell r="H377" t="str">
            <v>SPRINGFIELD</v>
          </cell>
          <cell r="I377" t="str">
            <v>MA</v>
          </cell>
          <cell r="J377" t="str">
            <v>USA</v>
          </cell>
          <cell r="K377" t="str">
            <v>ASTRO CHEMICALS INC</v>
          </cell>
          <cell r="L377" t="str">
            <v>MA</v>
          </cell>
          <cell r="M377" t="str">
            <v>USA</v>
          </cell>
          <cell r="N377" t="str">
            <v>D</v>
          </cell>
          <cell r="O377">
            <v>24090210</v>
          </cell>
          <cell r="P377" t="str">
            <v>BORIC ACID GRAN TECH 50LB BAG</v>
          </cell>
          <cell r="Q377" t="str">
            <v>Boric Acid</v>
          </cell>
          <cell r="R377">
            <v>6.85</v>
          </cell>
          <cell r="S377">
            <v>4404.82</v>
          </cell>
        </row>
        <row r="378">
          <cell r="A378" t="str">
            <v>Budget</v>
          </cell>
          <cell r="B378">
            <v>1</v>
          </cell>
          <cell r="C378" t="str">
            <v>Domestic</v>
          </cell>
          <cell r="D378">
            <v>5</v>
          </cell>
          <cell r="E378">
            <v>6219</v>
          </cell>
          <cell r="F378" t="str">
            <v>ASTRO CHEMICALS INC</v>
          </cell>
          <cell r="G378" t="str">
            <v>D</v>
          </cell>
          <cell r="H378" t="str">
            <v>SPRINGFIELD</v>
          </cell>
          <cell r="I378" t="str">
            <v>MA</v>
          </cell>
          <cell r="J378" t="str">
            <v>USA</v>
          </cell>
          <cell r="K378" t="str">
            <v>ASTRO CHEMICALS INC</v>
          </cell>
          <cell r="L378" t="str">
            <v>MA</v>
          </cell>
          <cell r="M378" t="str">
            <v>USA</v>
          </cell>
          <cell r="N378" t="str">
            <v>D</v>
          </cell>
          <cell r="O378">
            <v>28069710</v>
          </cell>
          <cell r="P378" t="str">
            <v>AMMONIUM PENTABORATE 50LB BAG</v>
          </cell>
          <cell r="Q378" t="str">
            <v>Boric Salt (SCL)</v>
          </cell>
          <cell r="R378">
            <v>0</v>
          </cell>
          <cell r="S378">
            <v>13.04</v>
          </cell>
        </row>
        <row r="379">
          <cell r="A379" t="str">
            <v>Budget</v>
          </cell>
          <cell r="B379">
            <v>1</v>
          </cell>
          <cell r="C379" t="str">
            <v>Domestic</v>
          </cell>
          <cell r="D379">
            <v>5</v>
          </cell>
          <cell r="E379">
            <v>6219</v>
          </cell>
          <cell r="F379" t="str">
            <v>ASTRO CHEMICALS INC</v>
          </cell>
          <cell r="G379" t="str">
            <v>D</v>
          </cell>
          <cell r="H379" t="str">
            <v>SPRINGFIELD</v>
          </cell>
          <cell r="I379" t="str">
            <v>MA</v>
          </cell>
          <cell r="J379" t="str">
            <v>USA</v>
          </cell>
          <cell r="K379" t="str">
            <v>ASTRO CHEMICALS INC</v>
          </cell>
          <cell r="L379" t="str">
            <v>MA</v>
          </cell>
          <cell r="M379" t="str">
            <v>USA</v>
          </cell>
          <cell r="N379" t="str">
            <v>D</v>
          </cell>
          <cell r="O379">
            <v>78099792</v>
          </cell>
          <cell r="P379" t="str">
            <v>POTASSIUM PENTABORATE 150KG DR</v>
          </cell>
          <cell r="Q379" t="str">
            <v>Boric Salt (SCL)</v>
          </cell>
          <cell r="R379">
            <v>0.64</v>
          </cell>
          <cell r="S379">
            <v>2221.41</v>
          </cell>
        </row>
        <row r="380">
          <cell r="A380" t="str">
            <v>Budget</v>
          </cell>
          <cell r="B380">
            <v>1</v>
          </cell>
          <cell r="C380" t="str">
            <v>Domestic</v>
          </cell>
          <cell r="D380">
            <v>5</v>
          </cell>
          <cell r="E380">
            <v>6359</v>
          </cell>
          <cell r="F380" t="str">
            <v>CANADA COLORS &amp; CHEMICAL LTD</v>
          </cell>
          <cell r="G380" t="str">
            <v>D</v>
          </cell>
          <cell r="H380" t="str">
            <v>BRAMPTON</v>
          </cell>
          <cell r="I380" t="str">
            <v>ON</v>
          </cell>
          <cell r="J380" t="str">
            <v>CAN</v>
          </cell>
          <cell r="K380" t="str">
            <v>CANADA COLORS &amp; CHEMICAL LTD</v>
          </cell>
          <cell r="L380" t="str">
            <v>ON</v>
          </cell>
          <cell r="M380" t="str">
            <v>CAN</v>
          </cell>
          <cell r="N380" t="str">
            <v>D</v>
          </cell>
          <cell r="O380">
            <v>22060400</v>
          </cell>
          <cell r="P380" t="str">
            <v>V-BOR STD BULK (004)</v>
          </cell>
          <cell r="Q380" t="str">
            <v>Penta</v>
          </cell>
          <cell r="R380">
            <v>16.239999999999998</v>
          </cell>
          <cell r="S380">
            <v>5258.42</v>
          </cell>
        </row>
        <row r="381">
          <cell r="A381" t="str">
            <v>Budget</v>
          </cell>
          <cell r="B381">
            <v>1</v>
          </cell>
          <cell r="C381" t="str">
            <v>Domestic</v>
          </cell>
          <cell r="D381">
            <v>5</v>
          </cell>
          <cell r="E381">
            <v>6359</v>
          </cell>
          <cell r="F381" t="str">
            <v>CANADA COLORS &amp; CHEMICAL LTD</v>
          </cell>
          <cell r="G381" t="str">
            <v>D</v>
          </cell>
          <cell r="H381" t="str">
            <v>BRAMPTON</v>
          </cell>
          <cell r="I381" t="str">
            <v>ON</v>
          </cell>
          <cell r="J381" t="str">
            <v>CAN</v>
          </cell>
          <cell r="K381" t="str">
            <v>CANADA COLORS &amp; CHEMICAL LTD</v>
          </cell>
          <cell r="L381" t="str">
            <v>ON</v>
          </cell>
          <cell r="M381" t="str">
            <v>CAN</v>
          </cell>
          <cell r="N381" t="str">
            <v>D</v>
          </cell>
          <cell r="O381">
            <v>24090200</v>
          </cell>
          <cell r="P381" t="str">
            <v>BORIC ACID GRAN TECH BULK</v>
          </cell>
          <cell r="Q381" t="str">
            <v>Boric Acid</v>
          </cell>
          <cell r="R381">
            <v>22.16</v>
          </cell>
          <cell r="S381">
            <v>11557</v>
          </cell>
        </row>
        <row r="382">
          <cell r="A382" t="str">
            <v>Budget</v>
          </cell>
          <cell r="B382">
            <v>1</v>
          </cell>
          <cell r="C382" t="str">
            <v>Domestic</v>
          </cell>
          <cell r="D382">
            <v>5</v>
          </cell>
          <cell r="E382">
            <v>6359</v>
          </cell>
          <cell r="F382" t="str">
            <v>CANADA COLORS &amp; CHEMICAL LTD</v>
          </cell>
          <cell r="G382" t="str">
            <v>D</v>
          </cell>
          <cell r="H382" t="str">
            <v>BRAMPTON</v>
          </cell>
          <cell r="I382" t="str">
            <v>ON</v>
          </cell>
          <cell r="J382" t="str">
            <v>CAN</v>
          </cell>
          <cell r="K382" t="str">
            <v>CANADA COLORS &amp; CHEMICAL LTD</v>
          </cell>
          <cell r="L382" t="str">
            <v>ON</v>
          </cell>
          <cell r="M382" t="str">
            <v>CAN</v>
          </cell>
          <cell r="N382" t="str">
            <v>D</v>
          </cell>
          <cell r="O382">
            <v>24230200</v>
          </cell>
          <cell r="P382" t="str">
            <v>BORIC ACID GRAN TECH BULK</v>
          </cell>
          <cell r="Q382" t="str">
            <v>Boric Acid</v>
          </cell>
          <cell r="R382">
            <v>33.53</v>
          </cell>
          <cell r="S382">
            <v>11338.36</v>
          </cell>
        </row>
        <row r="383">
          <cell r="A383" t="str">
            <v>Budget</v>
          </cell>
          <cell r="B383">
            <v>1</v>
          </cell>
          <cell r="C383" t="str">
            <v>Domestic</v>
          </cell>
          <cell r="D383">
            <v>5</v>
          </cell>
          <cell r="E383">
            <v>6359</v>
          </cell>
          <cell r="F383" t="str">
            <v>CANADA COLORS &amp; CHEMICAL LTD</v>
          </cell>
          <cell r="G383" t="str">
            <v>D</v>
          </cell>
          <cell r="H383" t="str">
            <v>BRAMPTON</v>
          </cell>
          <cell r="I383" t="str">
            <v>ON</v>
          </cell>
          <cell r="J383" t="str">
            <v>CAN</v>
          </cell>
          <cell r="K383" t="str">
            <v>CANADA COLORS &amp; CHEMICAL LTD</v>
          </cell>
          <cell r="L383" t="str">
            <v>ON</v>
          </cell>
          <cell r="M383" t="str">
            <v>CAN</v>
          </cell>
          <cell r="N383" t="str">
            <v>D</v>
          </cell>
          <cell r="O383">
            <v>30210100</v>
          </cell>
          <cell r="P383" t="str">
            <v>SODA ASH DENSE BULK</v>
          </cell>
          <cell r="Q383" t="str">
            <v>Soda Ash</v>
          </cell>
          <cell r="R383">
            <v>16.940000000000001</v>
          </cell>
          <cell r="S383">
            <v>1304.3699999999999</v>
          </cell>
        </row>
        <row r="384">
          <cell r="A384" t="str">
            <v>Budget</v>
          </cell>
          <cell r="B384">
            <v>1</v>
          </cell>
          <cell r="C384" t="str">
            <v>Domestic</v>
          </cell>
          <cell r="D384">
            <v>5</v>
          </cell>
          <cell r="E384">
            <v>6598</v>
          </cell>
          <cell r="F384" t="str">
            <v>INTERSTATE CHEMICAL COMPANY</v>
          </cell>
          <cell r="G384" t="str">
            <v>D</v>
          </cell>
          <cell r="H384" t="str">
            <v>WAYNE</v>
          </cell>
          <cell r="I384" t="str">
            <v>MI</v>
          </cell>
          <cell r="J384" t="str">
            <v>USA</v>
          </cell>
          <cell r="K384" t="str">
            <v>INTERSTATE CHEMICAL COMPANY</v>
          </cell>
          <cell r="L384" t="str">
            <v>PA</v>
          </cell>
          <cell r="M384" t="str">
            <v>USA</v>
          </cell>
          <cell r="N384" t="str">
            <v>D</v>
          </cell>
          <cell r="O384">
            <v>22060410</v>
          </cell>
          <cell r="P384" t="str">
            <v>V-BOR 50LB BAG (004)</v>
          </cell>
          <cell r="Q384" t="str">
            <v>Penta</v>
          </cell>
          <cell r="R384">
            <v>8.3000000000000007</v>
          </cell>
          <cell r="S384">
            <v>3072.41</v>
          </cell>
        </row>
        <row r="385">
          <cell r="A385" t="str">
            <v>Budget</v>
          </cell>
          <cell r="B385">
            <v>1</v>
          </cell>
          <cell r="C385" t="str">
            <v>Domestic</v>
          </cell>
          <cell r="D385">
            <v>5</v>
          </cell>
          <cell r="E385">
            <v>6598</v>
          </cell>
          <cell r="F385" t="str">
            <v>INTERSTATE CHEMICAL COMPANY</v>
          </cell>
          <cell r="G385" t="str">
            <v>D</v>
          </cell>
          <cell r="H385" t="str">
            <v>WAYNE</v>
          </cell>
          <cell r="I385" t="str">
            <v>MI</v>
          </cell>
          <cell r="J385" t="str">
            <v>USA</v>
          </cell>
          <cell r="K385" t="str">
            <v>INTERSTATE CHEMICAL COMPANY</v>
          </cell>
          <cell r="L385" t="str">
            <v>PA</v>
          </cell>
          <cell r="M385" t="str">
            <v>USA</v>
          </cell>
          <cell r="N385" t="str">
            <v>D</v>
          </cell>
          <cell r="O385">
            <v>23060210</v>
          </cell>
          <cell r="P385" t="str">
            <v>DECA BORAX STD 50LB BAG</v>
          </cell>
          <cell r="Q385" t="str">
            <v>Deca</v>
          </cell>
          <cell r="R385">
            <v>0.42</v>
          </cell>
          <cell r="S385">
            <v>141.72</v>
          </cell>
        </row>
        <row r="386">
          <cell r="A386" t="str">
            <v>Budget</v>
          </cell>
          <cell r="B386">
            <v>1</v>
          </cell>
          <cell r="C386" t="str">
            <v>Domestic</v>
          </cell>
          <cell r="D386">
            <v>5</v>
          </cell>
          <cell r="E386">
            <v>6598</v>
          </cell>
          <cell r="F386" t="str">
            <v>INTERSTATE CHEMICAL COMPANY</v>
          </cell>
          <cell r="G386" t="str">
            <v>D</v>
          </cell>
          <cell r="H386" t="str">
            <v>WAYNE</v>
          </cell>
          <cell r="I386" t="str">
            <v>MI</v>
          </cell>
          <cell r="J386" t="str">
            <v>USA</v>
          </cell>
          <cell r="K386" t="str">
            <v>INTERSTATE CHEMICAL COMPANY</v>
          </cell>
          <cell r="L386" t="str">
            <v>PA</v>
          </cell>
          <cell r="M386" t="str">
            <v>USA</v>
          </cell>
          <cell r="N386" t="str">
            <v>D</v>
          </cell>
          <cell r="O386">
            <v>24090210</v>
          </cell>
          <cell r="P386" t="str">
            <v>BORIC ACID GRAN TECH 50LB BAG</v>
          </cell>
          <cell r="Q386" t="str">
            <v>Boric Acid</v>
          </cell>
          <cell r="R386">
            <v>6.23</v>
          </cell>
          <cell r="S386">
            <v>3815.92</v>
          </cell>
        </row>
        <row r="387">
          <cell r="A387" t="str">
            <v>Budget</v>
          </cell>
          <cell r="B387">
            <v>1</v>
          </cell>
          <cell r="C387" t="str">
            <v>Domestic</v>
          </cell>
          <cell r="D387">
            <v>5</v>
          </cell>
          <cell r="E387">
            <v>6598</v>
          </cell>
          <cell r="F387" t="str">
            <v>INTERSTATE CHEMICAL COMPANY</v>
          </cell>
          <cell r="G387" t="str">
            <v>D</v>
          </cell>
          <cell r="H387" t="str">
            <v>WAYNE</v>
          </cell>
          <cell r="I387" t="str">
            <v>MI</v>
          </cell>
          <cell r="J387" t="str">
            <v>USA</v>
          </cell>
          <cell r="K387" t="str">
            <v>INTERSTATE CHEMICAL COMPANY</v>
          </cell>
          <cell r="L387" t="str">
            <v>PA</v>
          </cell>
          <cell r="M387" t="str">
            <v>USA</v>
          </cell>
          <cell r="N387" t="str">
            <v>D</v>
          </cell>
          <cell r="O387">
            <v>78099720</v>
          </cell>
          <cell r="P387" t="str">
            <v>POTASSIUM PENTABORATE 25KG BAG</v>
          </cell>
          <cell r="Q387" t="str">
            <v>Boric Salt (SCL)</v>
          </cell>
          <cell r="R387">
            <v>0.09</v>
          </cell>
          <cell r="S387">
            <v>349.96</v>
          </cell>
        </row>
        <row r="388">
          <cell r="A388" t="str">
            <v>Budget</v>
          </cell>
          <cell r="B388">
            <v>1</v>
          </cell>
          <cell r="C388" t="str">
            <v>Domestic</v>
          </cell>
          <cell r="D388">
            <v>5</v>
          </cell>
          <cell r="E388">
            <v>6600</v>
          </cell>
          <cell r="F388" t="str">
            <v>INTERSTATE CHEMICAL COMPANY</v>
          </cell>
          <cell r="G388" t="str">
            <v>D</v>
          </cell>
          <cell r="H388" t="str">
            <v>PUEBLO WEST</v>
          </cell>
          <cell r="I388" t="str">
            <v>CO</v>
          </cell>
          <cell r="J388" t="str">
            <v>USA</v>
          </cell>
          <cell r="K388" t="str">
            <v>INTERSTATE CHEMICAL COMPANY</v>
          </cell>
          <cell r="L388" t="str">
            <v>PA</v>
          </cell>
          <cell r="M388" t="str">
            <v>USA</v>
          </cell>
          <cell r="N388" t="str">
            <v>D</v>
          </cell>
          <cell r="O388">
            <v>22060410</v>
          </cell>
          <cell r="P388" t="str">
            <v>V-BOR 50LB BAG (004)</v>
          </cell>
          <cell r="Q388" t="str">
            <v>Penta</v>
          </cell>
          <cell r="R388">
            <v>6.43</v>
          </cell>
          <cell r="S388">
            <v>2617.6799999999998</v>
          </cell>
        </row>
        <row r="389">
          <cell r="A389" t="str">
            <v>Budget</v>
          </cell>
          <cell r="B389">
            <v>1</v>
          </cell>
          <cell r="C389" t="str">
            <v>Domestic</v>
          </cell>
          <cell r="D389">
            <v>5</v>
          </cell>
          <cell r="E389">
            <v>6600</v>
          </cell>
          <cell r="F389" t="str">
            <v>INTERSTATE CHEMICAL COMPANY</v>
          </cell>
          <cell r="G389" t="str">
            <v>D</v>
          </cell>
          <cell r="H389" t="str">
            <v>PUEBLO WEST</v>
          </cell>
          <cell r="I389" t="str">
            <v>CO</v>
          </cell>
          <cell r="J389" t="str">
            <v>USA</v>
          </cell>
          <cell r="K389" t="str">
            <v>INTERSTATE CHEMICAL COMPANY</v>
          </cell>
          <cell r="L389" t="str">
            <v>PA</v>
          </cell>
          <cell r="M389" t="str">
            <v>USA</v>
          </cell>
          <cell r="N389" t="str">
            <v>D</v>
          </cell>
          <cell r="O389">
            <v>23060230</v>
          </cell>
          <cell r="P389" t="str">
            <v>DECA BORAX STD 100LB BAG</v>
          </cell>
          <cell r="Q389" t="str">
            <v>Deca</v>
          </cell>
          <cell r="R389">
            <v>0.85</v>
          </cell>
          <cell r="S389">
            <v>304.64999999999998</v>
          </cell>
        </row>
        <row r="390">
          <cell r="A390" t="str">
            <v>Budget</v>
          </cell>
          <cell r="B390">
            <v>1</v>
          </cell>
          <cell r="C390" t="str">
            <v>Domestic</v>
          </cell>
          <cell r="D390">
            <v>5</v>
          </cell>
          <cell r="E390">
            <v>6600</v>
          </cell>
          <cell r="F390" t="str">
            <v>INTERSTATE CHEMICAL COMPANY</v>
          </cell>
          <cell r="G390" t="str">
            <v>D</v>
          </cell>
          <cell r="H390" t="str">
            <v>PUEBLO WEST</v>
          </cell>
          <cell r="I390" t="str">
            <v>CO</v>
          </cell>
          <cell r="J390" t="str">
            <v>USA</v>
          </cell>
          <cell r="K390" t="str">
            <v>INTERSTATE CHEMICAL COMPANY</v>
          </cell>
          <cell r="L390" t="str">
            <v>PA</v>
          </cell>
          <cell r="M390" t="str">
            <v>USA</v>
          </cell>
          <cell r="N390" t="str">
            <v>D</v>
          </cell>
          <cell r="O390">
            <v>24030210</v>
          </cell>
          <cell r="P390" t="str">
            <v>BORIC ACID PWD TECH 50LB BAG</v>
          </cell>
          <cell r="Q390" t="str">
            <v>Boric Acid</v>
          </cell>
          <cell r="R390">
            <v>0.2</v>
          </cell>
          <cell r="S390">
            <v>174.65</v>
          </cell>
        </row>
        <row r="391">
          <cell r="A391" t="str">
            <v>Budget</v>
          </cell>
          <cell r="B391">
            <v>1</v>
          </cell>
          <cell r="C391" t="str">
            <v>Domestic</v>
          </cell>
          <cell r="D391">
            <v>5</v>
          </cell>
          <cell r="E391">
            <v>6600</v>
          </cell>
          <cell r="F391" t="str">
            <v>INTERSTATE CHEMICAL COMPANY</v>
          </cell>
          <cell r="G391" t="str">
            <v>D</v>
          </cell>
          <cell r="H391" t="str">
            <v>PUEBLO WEST</v>
          </cell>
          <cell r="I391" t="str">
            <v>CO</v>
          </cell>
          <cell r="J391" t="str">
            <v>USA</v>
          </cell>
          <cell r="K391" t="str">
            <v>INTERSTATE CHEMICAL COMPANY</v>
          </cell>
          <cell r="L391" t="str">
            <v>PA</v>
          </cell>
          <cell r="M391" t="str">
            <v>USA</v>
          </cell>
          <cell r="N391" t="str">
            <v>D</v>
          </cell>
          <cell r="O391">
            <v>24090210</v>
          </cell>
          <cell r="P391" t="str">
            <v>BORIC ACID GRAN TECH 50LB BAG</v>
          </cell>
          <cell r="Q391" t="str">
            <v>Boric Acid</v>
          </cell>
          <cell r="R391">
            <v>9.9600000000000009</v>
          </cell>
          <cell r="S391">
            <v>5173.2</v>
          </cell>
        </row>
        <row r="392">
          <cell r="A392" t="str">
            <v>Budget</v>
          </cell>
          <cell r="B392">
            <v>1</v>
          </cell>
          <cell r="C392" t="str">
            <v>Domestic</v>
          </cell>
          <cell r="D392">
            <v>5</v>
          </cell>
          <cell r="E392">
            <v>6600</v>
          </cell>
          <cell r="F392" t="str">
            <v>INTERSTATE CHEMICAL COMPANY</v>
          </cell>
          <cell r="G392" t="str">
            <v>D</v>
          </cell>
          <cell r="H392" t="str">
            <v>PUEBLO WEST</v>
          </cell>
          <cell r="I392" t="str">
            <v>CO</v>
          </cell>
          <cell r="J392" t="str">
            <v>USA</v>
          </cell>
          <cell r="K392" t="str">
            <v>INTERSTATE CHEMICAL COMPANY</v>
          </cell>
          <cell r="L392" t="str">
            <v>PA</v>
          </cell>
          <cell r="M392" t="str">
            <v>USA</v>
          </cell>
          <cell r="N392" t="str">
            <v>D</v>
          </cell>
          <cell r="O392">
            <v>24090261</v>
          </cell>
          <cell r="P392" t="str">
            <v>BORIC ACID GRN TCH 1000LB FIBC</v>
          </cell>
          <cell r="Q392" t="str">
            <v>Boric Acid</v>
          </cell>
          <cell r="R392">
            <v>4.2300000000000004</v>
          </cell>
          <cell r="S392">
            <v>2802.81</v>
          </cell>
        </row>
        <row r="393">
          <cell r="A393" t="str">
            <v>Budget</v>
          </cell>
          <cell r="B393">
            <v>1</v>
          </cell>
          <cell r="C393" t="str">
            <v>Domestic</v>
          </cell>
          <cell r="D393">
            <v>5</v>
          </cell>
          <cell r="E393">
            <v>6989</v>
          </cell>
          <cell r="F393" t="str">
            <v>ABITIBI CONSOLIDATED</v>
          </cell>
          <cell r="G393" t="str">
            <v>D</v>
          </cell>
          <cell r="H393" t="str">
            <v>SNOWFLAKE</v>
          </cell>
          <cell r="I393" t="str">
            <v>AZ</v>
          </cell>
          <cell r="J393" t="str">
            <v>USA</v>
          </cell>
          <cell r="K393" t="str">
            <v>ABITIBI</v>
          </cell>
          <cell r="L393" t="str">
            <v>AZ</v>
          </cell>
          <cell r="M393" t="str">
            <v>USA</v>
          </cell>
          <cell r="N393" t="str">
            <v>C</v>
          </cell>
          <cell r="O393">
            <v>30210100</v>
          </cell>
          <cell r="P393" t="str">
            <v>SODA ASH DENSE BULK</v>
          </cell>
          <cell r="Q393" t="str">
            <v>Soda Ash</v>
          </cell>
          <cell r="R393">
            <v>130.25</v>
          </cell>
          <cell r="S393">
            <v>14197.25</v>
          </cell>
        </row>
        <row r="394">
          <cell r="A394" t="str">
            <v>Budget</v>
          </cell>
          <cell r="B394">
            <v>1</v>
          </cell>
          <cell r="C394" t="str">
            <v>Domestic</v>
          </cell>
          <cell r="D394">
            <v>5</v>
          </cell>
          <cell r="E394">
            <v>7448</v>
          </cell>
          <cell r="F394" t="str">
            <v>WYNCO, LLC</v>
          </cell>
          <cell r="G394" t="str">
            <v>D</v>
          </cell>
          <cell r="H394" t="str">
            <v>FRUITLAND</v>
          </cell>
          <cell r="I394" t="str">
            <v>MD</v>
          </cell>
          <cell r="J394" t="str">
            <v>USA</v>
          </cell>
          <cell r="K394" t="str">
            <v>SCHERING-PLOUGH ANIMAL HEALTH</v>
          </cell>
          <cell r="L394" t="str">
            <v>NE</v>
          </cell>
          <cell r="M394" t="str">
            <v>USA</v>
          </cell>
          <cell r="N394" t="str">
            <v>C</v>
          </cell>
          <cell r="O394">
            <v>24740211</v>
          </cell>
          <cell r="P394" t="str">
            <v>BORIC ACID PWD PEST W/TCP SAFE</v>
          </cell>
          <cell r="Q394" t="str">
            <v>Boric Acid</v>
          </cell>
          <cell r="R394">
            <v>3.81</v>
          </cell>
          <cell r="S394">
            <v>3049.18</v>
          </cell>
        </row>
        <row r="395">
          <cell r="A395" t="str">
            <v>Budget</v>
          </cell>
          <cell r="B395">
            <v>1</v>
          </cell>
          <cell r="C395" t="str">
            <v>Domestic</v>
          </cell>
          <cell r="D395">
            <v>5</v>
          </cell>
          <cell r="E395">
            <v>7574</v>
          </cell>
          <cell r="F395" t="str">
            <v>WYNCO LLC</v>
          </cell>
          <cell r="G395" t="str">
            <v>D</v>
          </cell>
          <cell r="H395" t="str">
            <v>SPRINGDALE</v>
          </cell>
          <cell r="I395" t="str">
            <v>AR</v>
          </cell>
          <cell r="J395" t="str">
            <v>USA</v>
          </cell>
          <cell r="K395" t="str">
            <v>SCHERING-PLOUGH ANIMAL HEALTH</v>
          </cell>
          <cell r="L395" t="str">
            <v>NE</v>
          </cell>
          <cell r="M395" t="str">
            <v>USA</v>
          </cell>
          <cell r="N395" t="str">
            <v>C</v>
          </cell>
          <cell r="O395">
            <v>24740211</v>
          </cell>
          <cell r="P395" t="str">
            <v>BORIC ACID PWD PEST W/TCP SAFE</v>
          </cell>
          <cell r="Q395" t="str">
            <v>Boric Acid</v>
          </cell>
          <cell r="R395">
            <v>3.81</v>
          </cell>
          <cell r="S395">
            <v>3049.18</v>
          </cell>
        </row>
        <row r="396">
          <cell r="A396" t="str">
            <v>Budget</v>
          </cell>
          <cell r="B396">
            <v>1</v>
          </cell>
          <cell r="C396" t="str">
            <v>Domestic</v>
          </cell>
          <cell r="D396">
            <v>5</v>
          </cell>
          <cell r="E396">
            <v>7855</v>
          </cell>
          <cell r="F396" t="str">
            <v>QUADRA CHEMICAL</v>
          </cell>
          <cell r="G396" t="str">
            <v>D</v>
          </cell>
          <cell r="H396" t="str">
            <v>BURLINGTON</v>
          </cell>
          <cell r="I396" t="str">
            <v>ON</v>
          </cell>
          <cell r="J396" t="str">
            <v>CAN</v>
          </cell>
          <cell r="K396" t="str">
            <v>QUADRA CHEMICAL</v>
          </cell>
          <cell r="L396" t="str">
            <v>PQ</v>
          </cell>
          <cell r="M396" t="str">
            <v>CAN</v>
          </cell>
          <cell r="N396" t="str">
            <v>D</v>
          </cell>
          <cell r="O396">
            <v>20060210</v>
          </cell>
          <cell r="P396" t="str">
            <v>PYROBOR 50LB BAG (002)</v>
          </cell>
          <cell r="Q396" t="str">
            <v>Pyrobor</v>
          </cell>
          <cell r="R396">
            <v>6.02</v>
          </cell>
          <cell r="S396">
            <v>4585.9399999999996</v>
          </cell>
        </row>
        <row r="397">
          <cell r="A397" t="str">
            <v>Budget</v>
          </cell>
          <cell r="B397">
            <v>1</v>
          </cell>
          <cell r="C397" t="str">
            <v>Domestic</v>
          </cell>
          <cell r="D397">
            <v>5</v>
          </cell>
          <cell r="E397">
            <v>7855</v>
          </cell>
          <cell r="F397" t="str">
            <v>QUADRA CHEMICAL</v>
          </cell>
          <cell r="G397" t="str">
            <v>D</v>
          </cell>
          <cell r="H397" t="str">
            <v>BURLINGTON</v>
          </cell>
          <cell r="I397" t="str">
            <v>ON</v>
          </cell>
          <cell r="J397" t="str">
            <v>CAN</v>
          </cell>
          <cell r="K397" t="str">
            <v>QUADRA CHEMICAL</v>
          </cell>
          <cell r="L397" t="str">
            <v>PQ</v>
          </cell>
          <cell r="M397" t="str">
            <v>CAN</v>
          </cell>
          <cell r="N397" t="str">
            <v>D</v>
          </cell>
          <cell r="O397">
            <v>23060210</v>
          </cell>
          <cell r="P397" t="str">
            <v>DECA BORAX STD 50LB BAG</v>
          </cell>
          <cell r="Q397" t="str">
            <v>Deca</v>
          </cell>
          <cell r="R397">
            <v>0.83</v>
          </cell>
          <cell r="S397">
            <v>294.99</v>
          </cell>
        </row>
        <row r="398">
          <cell r="A398" t="str">
            <v>Budget</v>
          </cell>
          <cell r="B398">
            <v>1</v>
          </cell>
          <cell r="C398" t="str">
            <v>Domestic</v>
          </cell>
          <cell r="D398">
            <v>5</v>
          </cell>
          <cell r="E398">
            <v>7855</v>
          </cell>
          <cell r="F398" t="str">
            <v>QUADRA CHEMICAL</v>
          </cell>
          <cell r="G398" t="str">
            <v>D</v>
          </cell>
          <cell r="H398" t="str">
            <v>BURLINGTON</v>
          </cell>
          <cell r="I398" t="str">
            <v>ON</v>
          </cell>
          <cell r="J398" t="str">
            <v>CAN</v>
          </cell>
          <cell r="K398" t="str">
            <v>QUADRA CHEMICAL</v>
          </cell>
          <cell r="L398" t="str">
            <v>PQ</v>
          </cell>
          <cell r="M398" t="str">
            <v>CAN</v>
          </cell>
          <cell r="N398" t="str">
            <v>D</v>
          </cell>
          <cell r="O398">
            <v>24090210</v>
          </cell>
          <cell r="P398" t="str">
            <v>BORIC ACID GRAN TECH 50LB BAG</v>
          </cell>
          <cell r="Q398" t="str">
            <v>Boric Acid</v>
          </cell>
          <cell r="R398">
            <v>6.02</v>
          </cell>
          <cell r="S398">
            <v>3170.81</v>
          </cell>
        </row>
        <row r="399">
          <cell r="A399" t="str">
            <v>Budget</v>
          </cell>
          <cell r="B399">
            <v>1</v>
          </cell>
          <cell r="C399" t="str">
            <v>Domestic</v>
          </cell>
          <cell r="D399">
            <v>5</v>
          </cell>
          <cell r="E399">
            <v>8066</v>
          </cell>
          <cell r="F399" t="str">
            <v>SAFEGUARD INC</v>
          </cell>
          <cell r="G399" t="str">
            <v>D</v>
          </cell>
          <cell r="H399" t="str">
            <v>WADING RIVER</v>
          </cell>
          <cell r="I399" t="str">
            <v>NY</v>
          </cell>
          <cell r="J399" t="str">
            <v>USA</v>
          </cell>
          <cell r="K399" t="str">
            <v>SAFEGUARD INC</v>
          </cell>
          <cell r="L399" t="str">
            <v>NY</v>
          </cell>
          <cell r="M399" t="str">
            <v>USA</v>
          </cell>
          <cell r="N399" t="str">
            <v>C</v>
          </cell>
          <cell r="O399">
            <v>26069718</v>
          </cell>
          <cell r="P399" t="str">
            <v>SODIUM OCTABORATE 20KG BAG</v>
          </cell>
          <cell r="Q399" t="str">
            <v>Foliarel (SCL)</v>
          </cell>
          <cell r="R399">
            <v>0.73</v>
          </cell>
          <cell r="S399">
            <v>1157.79</v>
          </cell>
        </row>
        <row r="400">
          <cell r="A400" t="str">
            <v>Budget</v>
          </cell>
          <cell r="B400">
            <v>1</v>
          </cell>
          <cell r="C400" t="str">
            <v>Domestic</v>
          </cell>
          <cell r="D400">
            <v>5</v>
          </cell>
          <cell r="E400">
            <v>8104</v>
          </cell>
          <cell r="F400" t="str">
            <v>OWENS CORNING</v>
          </cell>
          <cell r="G400" t="str">
            <v>D</v>
          </cell>
          <cell r="H400" t="str">
            <v>FAIRBURN</v>
          </cell>
          <cell r="I400" t="str">
            <v>GA</v>
          </cell>
          <cell r="J400" t="str">
            <v>USA</v>
          </cell>
          <cell r="K400" t="str">
            <v>OWENS CORNING</v>
          </cell>
          <cell r="L400" t="str">
            <v>GA</v>
          </cell>
          <cell r="M400" t="str">
            <v>USA</v>
          </cell>
          <cell r="N400" t="str">
            <v>C</v>
          </cell>
          <cell r="O400">
            <v>30210100</v>
          </cell>
          <cell r="P400" t="str">
            <v>SODA ASH DENSE BULK</v>
          </cell>
          <cell r="Q400" t="str">
            <v>Soda Ash</v>
          </cell>
          <cell r="R400">
            <v>345.07</v>
          </cell>
          <cell r="S400">
            <v>25107.09</v>
          </cell>
        </row>
        <row r="401">
          <cell r="A401" t="str">
            <v>Budget</v>
          </cell>
          <cell r="B401">
            <v>1</v>
          </cell>
          <cell r="C401" t="str">
            <v>Domestic</v>
          </cell>
          <cell r="D401">
            <v>5</v>
          </cell>
          <cell r="E401">
            <v>8587</v>
          </cell>
          <cell r="F401" t="str">
            <v>GEHRING MONTGOMERY COMPANY</v>
          </cell>
          <cell r="G401" t="str">
            <v>D</v>
          </cell>
          <cell r="H401" t="str">
            <v>WARMINSTER</v>
          </cell>
          <cell r="I401" t="str">
            <v>PA</v>
          </cell>
          <cell r="J401" t="str">
            <v>USA</v>
          </cell>
          <cell r="K401" t="str">
            <v>GEHRING MONTGOMERY COMPANY</v>
          </cell>
          <cell r="L401" t="str">
            <v>PA</v>
          </cell>
          <cell r="M401" t="str">
            <v>USA</v>
          </cell>
          <cell r="N401" t="str">
            <v>C</v>
          </cell>
          <cell r="O401">
            <v>22060410</v>
          </cell>
          <cell r="P401" t="str">
            <v>V-BOR 50LB BAG (004)</v>
          </cell>
          <cell r="Q401" t="str">
            <v>Penta</v>
          </cell>
          <cell r="R401">
            <v>3.74</v>
          </cell>
          <cell r="S401">
            <v>1448.73</v>
          </cell>
        </row>
        <row r="402">
          <cell r="A402" t="str">
            <v>Budget</v>
          </cell>
          <cell r="B402">
            <v>1</v>
          </cell>
          <cell r="C402" t="str">
            <v>Domestic</v>
          </cell>
          <cell r="D402">
            <v>5</v>
          </cell>
          <cell r="E402">
            <v>8587</v>
          </cell>
          <cell r="F402" t="str">
            <v>GEHRING MONTGOMERY COMPANY</v>
          </cell>
          <cell r="G402" t="str">
            <v>D</v>
          </cell>
          <cell r="H402" t="str">
            <v>WARMINSTER</v>
          </cell>
          <cell r="I402" t="str">
            <v>PA</v>
          </cell>
          <cell r="J402" t="str">
            <v>USA</v>
          </cell>
          <cell r="K402" t="str">
            <v>GEHRING MONTGOMERY COMPANY</v>
          </cell>
          <cell r="L402" t="str">
            <v>PA</v>
          </cell>
          <cell r="M402" t="str">
            <v>USA</v>
          </cell>
          <cell r="N402" t="str">
            <v>C</v>
          </cell>
          <cell r="O402">
            <v>23060210</v>
          </cell>
          <cell r="P402" t="str">
            <v>DECA BORAX STD 50LB BAG</v>
          </cell>
          <cell r="Q402" t="str">
            <v>Deca</v>
          </cell>
          <cell r="R402">
            <v>10.79</v>
          </cell>
          <cell r="S402">
            <v>3450.57</v>
          </cell>
        </row>
        <row r="403">
          <cell r="A403" t="str">
            <v>Budget</v>
          </cell>
          <cell r="B403">
            <v>1</v>
          </cell>
          <cell r="C403" t="str">
            <v>Domestic</v>
          </cell>
          <cell r="D403">
            <v>5</v>
          </cell>
          <cell r="E403">
            <v>8587</v>
          </cell>
          <cell r="F403" t="str">
            <v>GEHRING MONTGOMERY COMPANY</v>
          </cell>
          <cell r="G403" t="str">
            <v>D</v>
          </cell>
          <cell r="H403" t="str">
            <v>WARMINSTER</v>
          </cell>
          <cell r="I403" t="str">
            <v>PA</v>
          </cell>
          <cell r="J403" t="str">
            <v>USA</v>
          </cell>
          <cell r="K403" t="str">
            <v>GEHRING MONTGOMERY COMPANY</v>
          </cell>
          <cell r="L403" t="str">
            <v>PA</v>
          </cell>
          <cell r="M403" t="str">
            <v>USA</v>
          </cell>
          <cell r="N403" t="str">
            <v>C</v>
          </cell>
          <cell r="O403">
            <v>23060250</v>
          </cell>
          <cell r="P403" t="str">
            <v>DECA BORAX STD 1TN FIBC</v>
          </cell>
          <cell r="Q403" t="str">
            <v>Deca</v>
          </cell>
          <cell r="R403">
            <v>12.7</v>
          </cell>
          <cell r="S403">
            <v>3811.48</v>
          </cell>
        </row>
        <row r="404">
          <cell r="A404" t="str">
            <v>Budget</v>
          </cell>
          <cell r="B404">
            <v>1</v>
          </cell>
          <cell r="C404" t="str">
            <v>Domestic</v>
          </cell>
          <cell r="D404">
            <v>5</v>
          </cell>
          <cell r="E404">
            <v>8587</v>
          </cell>
          <cell r="F404" t="str">
            <v>GEHRING MONTGOMERY COMPANY</v>
          </cell>
          <cell r="G404" t="str">
            <v>D</v>
          </cell>
          <cell r="H404" t="str">
            <v>WARMINSTER</v>
          </cell>
          <cell r="I404" t="str">
            <v>PA</v>
          </cell>
          <cell r="J404" t="str">
            <v>USA</v>
          </cell>
          <cell r="K404" t="str">
            <v>GEHRING MONTGOMERY COMPANY</v>
          </cell>
          <cell r="L404" t="str">
            <v>PA</v>
          </cell>
          <cell r="M404" t="str">
            <v>USA</v>
          </cell>
          <cell r="N404" t="str">
            <v>C</v>
          </cell>
          <cell r="O404">
            <v>24030210</v>
          </cell>
          <cell r="P404" t="str">
            <v>BORIC ACID PWD TECH 50LB BAG</v>
          </cell>
          <cell r="Q404" t="str">
            <v>Boric Acid</v>
          </cell>
          <cell r="R404">
            <v>0.41</v>
          </cell>
          <cell r="S404">
            <v>317.76</v>
          </cell>
        </row>
        <row r="405">
          <cell r="A405" t="str">
            <v>Budget</v>
          </cell>
          <cell r="B405">
            <v>1</v>
          </cell>
          <cell r="C405" t="str">
            <v>Domestic</v>
          </cell>
          <cell r="D405">
            <v>5</v>
          </cell>
          <cell r="E405">
            <v>8599</v>
          </cell>
          <cell r="F405" t="str">
            <v>EXELON GENERATION CO., LLC</v>
          </cell>
          <cell r="G405" t="str">
            <v>D</v>
          </cell>
          <cell r="H405" t="str">
            <v>BYRON</v>
          </cell>
          <cell r="I405" t="str">
            <v>IL</v>
          </cell>
          <cell r="J405" t="str">
            <v>USA</v>
          </cell>
          <cell r="K405" t="str">
            <v>EXELON GENERATION CO., LLC</v>
          </cell>
          <cell r="L405" t="str">
            <v>IL</v>
          </cell>
          <cell r="M405" t="str">
            <v>USA</v>
          </cell>
          <cell r="N405" t="str">
            <v>C</v>
          </cell>
          <cell r="O405">
            <v>24609720</v>
          </cell>
          <cell r="P405" t="str">
            <v>BORIC ACID NS 25KG BAG</v>
          </cell>
          <cell r="Q405" t="str">
            <v>HP Boric Acid (SCL)</v>
          </cell>
          <cell r="R405">
            <v>7.06</v>
          </cell>
          <cell r="S405">
            <v>10585.39</v>
          </cell>
        </row>
        <row r="406">
          <cell r="A406" t="str">
            <v>Budget</v>
          </cell>
          <cell r="B406">
            <v>1</v>
          </cell>
          <cell r="C406" t="str">
            <v>Domestic</v>
          </cell>
          <cell r="D406">
            <v>5</v>
          </cell>
          <cell r="E406">
            <v>8600</v>
          </cell>
          <cell r="F406" t="str">
            <v>EXELON GENERATION COMPANY LLC</v>
          </cell>
          <cell r="G406" t="str">
            <v>D</v>
          </cell>
          <cell r="H406" t="str">
            <v>MORRIS</v>
          </cell>
          <cell r="I406" t="str">
            <v>IL</v>
          </cell>
          <cell r="J406" t="str">
            <v>USA</v>
          </cell>
          <cell r="K406" t="str">
            <v>EXELON GENERATION COMPANY LLC</v>
          </cell>
          <cell r="L406" t="str">
            <v>IL</v>
          </cell>
          <cell r="M406" t="str">
            <v>USA</v>
          </cell>
          <cell r="N406" t="str">
            <v>C</v>
          </cell>
          <cell r="O406">
            <v>24609792</v>
          </cell>
          <cell r="P406" t="str">
            <v>BORIC ACID NS 150KG DRUM</v>
          </cell>
          <cell r="Q406" t="str">
            <v>HP Boric Acid (SCL)</v>
          </cell>
          <cell r="R406">
            <v>0.03</v>
          </cell>
          <cell r="S406">
            <v>45.23</v>
          </cell>
        </row>
        <row r="407">
          <cell r="A407" t="str">
            <v>Budget</v>
          </cell>
          <cell r="B407">
            <v>1</v>
          </cell>
          <cell r="C407" t="str">
            <v>Domestic</v>
          </cell>
          <cell r="D407">
            <v>5</v>
          </cell>
          <cell r="E407">
            <v>8839</v>
          </cell>
          <cell r="F407" t="str">
            <v>HARCROS CHEMICAL INC</v>
          </cell>
          <cell r="G407" t="str">
            <v>D</v>
          </cell>
          <cell r="H407" t="str">
            <v>NASHUA</v>
          </cell>
          <cell r="I407" t="str">
            <v>NH</v>
          </cell>
          <cell r="J407" t="str">
            <v>USA</v>
          </cell>
          <cell r="K407" t="str">
            <v>HARCROS CHEMICAL INC</v>
          </cell>
          <cell r="L407" t="str">
            <v>NH</v>
          </cell>
          <cell r="M407" t="str">
            <v>USA</v>
          </cell>
          <cell r="N407" t="str">
            <v>D</v>
          </cell>
          <cell r="O407">
            <v>20060210</v>
          </cell>
          <cell r="P407" t="str">
            <v>PYROBOR 50LB BAG (002)</v>
          </cell>
          <cell r="Q407" t="str">
            <v>Pyrobor</v>
          </cell>
          <cell r="R407">
            <v>1.04</v>
          </cell>
          <cell r="S407">
            <v>767.57</v>
          </cell>
        </row>
        <row r="408">
          <cell r="A408" t="str">
            <v>Budget</v>
          </cell>
          <cell r="B408">
            <v>1</v>
          </cell>
          <cell r="C408" t="str">
            <v>Domestic</v>
          </cell>
          <cell r="D408">
            <v>5</v>
          </cell>
          <cell r="E408">
            <v>8839</v>
          </cell>
          <cell r="F408" t="str">
            <v>HARCROS CHEMICAL INC</v>
          </cell>
          <cell r="G408" t="str">
            <v>D</v>
          </cell>
          <cell r="H408" t="str">
            <v>NASHUA</v>
          </cell>
          <cell r="I408" t="str">
            <v>NH</v>
          </cell>
          <cell r="J408" t="str">
            <v>USA</v>
          </cell>
          <cell r="K408" t="str">
            <v>HARCROS CHEMICAL INC</v>
          </cell>
          <cell r="L408" t="str">
            <v>NH</v>
          </cell>
          <cell r="M408" t="str">
            <v>USA</v>
          </cell>
          <cell r="N408" t="str">
            <v>D</v>
          </cell>
          <cell r="O408">
            <v>22060410</v>
          </cell>
          <cell r="P408" t="str">
            <v>V-BOR 50LB BAG (004)</v>
          </cell>
          <cell r="Q408" t="str">
            <v>Penta</v>
          </cell>
          <cell r="R408">
            <v>8.7200000000000006</v>
          </cell>
          <cell r="S408">
            <v>3140.8</v>
          </cell>
        </row>
        <row r="409">
          <cell r="A409" t="str">
            <v>Budget</v>
          </cell>
          <cell r="B409">
            <v>1</v>
          </cell>
          <cell r="C409" t="str">
            <v>Domestic</v>
          </cell>
          <cell r="D409">
            <v>5</v>
          </cell>
          <cell r="E409">
            <v>8839</v>
          </cell>
          <cell r="F409" t="str">
            <v>HARCROS CHEMICAL INC</v>
          </cell>
          <cell r="G409" t="str">
            <v>D</v>
          </cell>
          <cell r="H409" t="str">
            <v>NASHUA</v>
          </cell>
          <cell r="I409" t="str">
            <v>NH</v>
          </cell>
          <cell r="J409" t="str">
            <v>USA</v>
          </cell>
          <cell r="K409" t="str">
            <v>HARCROS CHEMICAL INC</v>
          </cell>
          <cell r="L409" t="str">
            <v>NH</v>
          </cell>
          <cell r="M409" t="str">
            <v>USA</v>
          </cell>
          <cell r="N409" t="str">
            <v>D</v>
          </cell>
          <cell r="O409">
            <v>23060210</v>
          </cell>
          <cell r="P409" t="str">
            <v>DECA BORAX STD 50LB BAG</v>
          </cell>
          <cell r="Q409" t="str">
            <v>Deca</v>
          </cell>
          <cell r="R409">
            <v>1.45</v>
          </cell>
          <cell r="S409">
            <v>475.98</v>
          </cell>
        </row>
        <row r="410">
          <cell r="A410" t="str">
            <v>Budget</v>
          </cell>
          <cell r="B410">
            <v>1</v>
          </cell>
          <cell r="C410" t="str">
            <v>Domestic</v>
          </cell>
          <cell r="D410">
            <v>5</v>
          </cell>
          <cell r="E410">
            <v>8857</v>
          </cell>
          <cell r="F410" t="str">
            <v>OWENS CORNING</v>
          </cell>
          <cell r="G410" t="str">
            <v>D</v>
          </cell>
          <cell r="H410" t="str">
            <v>NEWARK</v>
          </cell>
          <cell r="I410" t="str">
            <v>OH</v>
          </cell>
          <cell r="J410" t="str">
            <v>USA</v>
          </cell>
          <cell r="K410" t="str">
            <v>OWENS CORNING</v>
          </cell>
          <cell r="L410" t="str">
            <v>OH</v>
          </cell>
          <cell r="M410" t="str">
            <v>USA</v>
          </cell>
          <cell r="N410" t="str">
            <v>C</v>
          </cell>
          <cell r="O410">
            <v>30210100</v>
          </cell>
          <cell r="P410" t="str">
            <v>SODA ASH DENSE BULK</v>
          </cell>
          <cell r="Q410" t="str">
            <v>Soda Ash</v>
          </cell>
          <cell r="R410">
            <v>1719.92</v>
          </cell>
          <cell r="S410">
            <v>119414.27</v>
          </cell>
        </row>
        <row r="411">
          <cell r="A411" t="str">
            <v>Budget</v>
          </cell>
          <cell r="B411">
            <v>1</v>
          </cell>
          <cell r="C411" t="str">
            <v>Domestic</v>
          </cell>
          <cell r="D411">
            <v>5</v>
          </cell>
          <cell r="E411">
            <v>8857</v>
          </cell>
          <cell r="F411" t="str">
            <v>OWENS CORNING</v>
          </cell>
          <cell r="G411" t="str">
            <v>D</v>
          </cell>
          <cell r="H411" t="str">
            <v>NEWARK</v>
          </cell>
          <cell r="I411" t="str">
            <v>OH</v>
          </cell>
          <cell r="J411" t="str">
            <v>USA</v>
          </cell>
          <cell r="K411" t="str">
            <v>OWENS CORNING</v>
          </cell>
          <cell r="L411" t="str">
            <v>OH</v>
          </cell>
          <cell r="M411" t="str">
            <v>USA</v>
          </cell>
          <cell r="N411" t="str">
            <v>C</v>
          </cell>
          <cell r="O411">
            <v>30218800</v>
          </cell>
          <cell r="P411" t="str">
            <v>SODA ASH DENSE BULK (088)</v>
          </cell>
          <cell r="Q411" t="str">
            <v>Soda Ash</v>
          </cell>
          <cell r="R411">
            <v>17.75</v>
          </cell>
          <cell r="S411">
            <v>1153.75</v>
          </cell>
        </row>
        <row r="412">
          <cell r="A412" t="str">
            <v>Budget</v>
          </cell>
          <cell r="B412">
            <v>1</v>
          </cell>
          <cell r="C412" t="str">
            <v>Domestic</v>
          </cell>
          <cell r="D412">
            <v>5</v>
          </cell>
          <cell r="E412">
            <v>8858</v>
          </cell>
          <cell r="F412" t="str">
            <v>OWENS CORNING</v>
          </cell>
          <cell r="G412" t="str">
            <v>D</v>
          </cell>
          <cell r="H412" t="str">
            <v>SELKIRK</v>
          </cell>
          <cell r="I412" t="str">
            <v>NY</v>
          </cell>
          <cell r="J412" t="str">
            <v>USA</v>
          </cell>
          <cell r="K412" t="str">
            <v>OWENS CORNING</v>
          </cell>
          <cell r="L412" t="str">
            <v>NY</v>
          </cell>
          <cell r="M412" t="str">
            <v>USA</v>
          </cell>
          <cell r="N412" t="str">
            <v>C</v>
          </cell>
          <cell r="O412">
            <v>30210100</v>
          </cell>
          <cell r="P412" t="str">
            <v>SODA ASH DENSE BULK</v>
          </cell>
          <cell r="Q412" t="str">
            <v>Soda Ash</v>
          </cell>
          <cell r="R412">
            <v>2028.81</v>
          </cell>
          <cell r="S412">
            <v>140089.29</v>
          </cell>
        </row>
        <row r="413">
          <cell r="A413" t="str">
            <v>Budget</v>
          </cell>
          <cell r="B413">
            <v>1</v>
          </cell>
          <cell r="C413" t="str">
            <v>Domestic</v>
          </cell>
          <cell r="D413">
            <v>5</v>
          </cell>
          <cell r="E413">
            <v>8937</v>
          </cell>
          <cell r="F413" t="str">
            <v>KLEEN-TEST</v>
          </cell>
          <cell r="G413" t="str">
            <v>D</v>
          </cell>
          <cell r="H413" t="str">
            <v>PORT WASHINGTON</v>
          </cell>
          <cell r="I413" t="str">
            <v>WI</v>
          </cell>
          <cell r="J413" t="str">
            <v>USA</v>
          </cell>
          <cell r="K413" t="str">
            <v>UNILEVER HPC</v>
          </cell>
          <cell r="L413" t="str">
            <v>CT</v>
          </cell>
          <cell r="M413" t="str">
            <v>USA</v>
          </cell>
          <cell r="N413" t="str">
            <v>C</v>
          </cell>
          <cell r="O413">
            <v>40060410</v>
          </cell>
          <cell r="P413" t="str">
            <v>SODIUM SULFATE STD 50LB BAG</v>
          </cell>
          <cell r="Q413" t="str">
            <v>Sodium Sulfate</v>
          </cell>
          <cell r="R413">
            <v>10.8</v>
          </cell>
          <cell r="S413">
            <v>1607.16</v>
          </cell>
        </row>
        <row r="414">
          <cell r="A414" t="str">
            <v>Budget</v>
          </cell>
          <cell r="B414">
            <v>1</v>
          </cell>
          <cell r="C414" t="str">
            <v>Domestic</v>
          </cell>
          <cell r="D414">
            <v>5</v>
          </cell>
          <cell r="E414">
            <v>9008</v>
          </cell>
          <cell r="F414" t="str">
            <v>CITY CHEMICAL LLC</v>
          </cell>
          <cell r="G414" t="str">
            <v>D</v>
          </cell>
          <cell r="H414" t="str">
            <v>WEST HAVEN</v>
          </cell>
          <cell r="I414" t="str">
            <v>CT</v>
          </cell>
          <cell r="J414" t="str">
            <v>USA</v>
          </cell>
          <cell r="K414" t="str">
            <v>CITY CHEMICAL LLC</v>
          </cell>
          <cell r="L414" t="str">
            <v>CT</v>
          </cell>
          <cell r="M414" t="str">
            <v>USA</v>
          </cell>
          <cell r="N414" t="str">
            <v>C</v>
          </cell>
          <cell r="O414">
            <v>78099720</v>
          </cell>
          <cell r="P414" t="str">
            <v>POTASSIUM PENTABORATE 25KG BAG</v>
          </cell>
          <cell r="Q414" t="str">
            <v>Boric Salt (SCL)</v>
          </cell>
          <cell r="R414">
            <v>0.09</v>
          </cell>
          <cell r="S414">
            <v>330.63</v>
          </cell>
        </row>
        <row r="415">
          <cell r="A415" t="str">
            <v>Budget</v>
          </cell>
          <cell r="B415">
            <v>1</v>
          </cell>
          <cell r="C415" t="str">
            <v>Domestic</v>
          </cell>
          <cell r="D415">
            <v>5</v>
          </cell>
          <cell r="E415">
            <v>9025</v>
          </cell>
          <cell r="F415" t="str">
            <v>PEMCO CORPORATION</v>
          </cell>
          <cell r="G415" t="str">
            <v>D</v>
          </cell>
          <cell r="H415" t="str">
            <v>LEESBURG</v>
          </cell>
          <cell r="I415" t="str">
            <v>AL</v>
          </cell>
          <cell r="J415" t="str">
            <v>USA</v>
          </cell>
          <cell r="K415" t="str">
            <v>PEMCO CORPORATION</v>
          </cell>
          <cell r="L415" t="str">
            <v>AL</v>
          </cell>
          <cell r="M415" t="str">
            <v>USA</v>
          </cell>
          <cell r="N415" t="str">
            <v>C</v>
          </cell>
          <cell r="O415">
            <v>20060200</v>
          </cell>
          <cell r="P415" t="str">
            <v>PYROBOR ANHY BORAX BULK (002)</v>
          </cell>
          <cell r="Q415" t="str">
            <v>Pyrobor</v>
          </cell>
          <cell r="R415">
            <v>187.99</v>
          </cell>
          <cell r="S415">
            <v>86840.639999999999</v>
          </cell>
        </row>
        <row r="416">
          <cell r="A416" t="str">
            <v>Budget</v>
          </cell>
          <cell r="B416">
            <v>1</v>
          </cell>
          <cell r="C416" t="str">
            <v>Domestic</v>
          </cell>
          <cell r="D416">
            <v>5</v>
          </cell>
          <cell r="E416">
            <v>9048</v>
          </cell>
          <cell r="F416" t="str">
            <v>UNIVAR USA</v>
          </cell>
          <cell r="G416" t="str">
            <v>D</v>
          </cell>
          <cell r="H416" t="str">
            <v>BUNOLA</v>
          </cell>
          <cell r="I416" t="str">
            <v>PA</v>
          </cell>
          <cell r="J416" t="str">
            <v>USA</v>
          </cell>
          <cell r="K416" t="str">
            <v>UNIVAR USA</v>
          </cell>
          <cell r="L416" t="str">
            <v>IL</v>
          </cell>
          <cell r="M416" t="str">
            <v>USA</v>
          </cell>
          <cell r="N416" t="str">
            <v>D</v>
          </cell>
          <cell r="O416">
            <v>20060210</v>
          </cell>
          <cell r="P416" t="str">
            <v>PYROBOR 50LB BAG (002)</v>
          </cell>
          <cell r="Q416" t="str">
            <v>Pyrobor</v>
          </cell>
          <cell r="R416">
            <v>18.68</v>
          </cell>
          <cell r="S416">
            <v>10152.700000000001</v>
          </cell>
        </row>
        <row r="417">
          <cell r="A417" t="str">
            <v>Budget</v>
          </cell>
          <cell r="B417">
            <v>1</v>
          </cell>
          <cell r="C417" t="str">
            <v>Domestic</v>
          </cell>
          <cell r="D417">
            <v>5</v>
          </cell>
          <cell r="E417">
            <v>9048</v>
          </cell>
          <cell r="F417" t="str">
            <v>UNIVAR USA</v>
          </cell>
          <cell r="G417" t="str">
            <v>D</v>
          </cell>
          <cell r="H417" t="str">
            <v>BUNOLA</v>
          </cell>
          <cell r="I417" t="str">
            <v>PA</v>
          </cell>
          <cell r="J417" t="str">
            <v>USA</v>
          </cell>
          <cell r="K417" t="str">
            <v>UNIVAR USA</v>
          </cell>
          <cell r="L417" t="str">
            <v>IL</v>
          </cell>
          <cell r="M417" t="str">
            <v>USA</v>
          </cell>
          <cell r="N417" t="str">
            <v>D</v>
          </cell>
          <cell r="O417">
            <v>22060410</v>
          </cell>
          <cell r="P417" t="str">
            <v>V-BOR 50LB BAG (004)</v>
          </cell>
          <cell r="Q417" t="str">
            <v>Penta</v>
          </cell>
          <cell r="R417">
            <v>7.68</v>
          </cell>
          <cell r="S417">
            <v>2180.94</v>
          </cell>
        </row>
        <row r="418">
          <cell r="A418" t="str">
            <v>Budget</v>
          </cell>
          <cell r="B418">
            <v>1</v>
          </cell>
          <cell r="C418" t="str">
            <v>Domestic</v>
          </cell>
          <cell r="D418">
            <v>5</v>
          </cell>
          <cell r="E418">
            <v>9048</v>
          </cell>
          <cell r="F418" t="str">
            <v>UNIVAR USA</v>
          </cell>
          <cell r="G418" t="str">
            <v>D</v>
          </cell>
          <cell r="H418" t="str">
            <v>BUNOLA</v>
          </cell>
          <cell r="I418" t="str">
            <v>PA</v>
          </cell>
          <cell r="J418" t="str">
            <v>USA</v>
          </cell>
          <cell r="K418" t="str">
            <v>UNIVAR USA</v>
          </cell>
          <cell r="L418" t="str">
            <v>IL</v>
          </cell>
          <cell r="M418" t="str">
            <v>USA</v>
          </cell>
          <cell r="N418" t="str">
            <v>D</v>
          </cell>
          <cell r="O418">
            <v>22060450</v>
          </cell>
          <cell r="P418" t="str">
            <v>V-BOR 1TN FIBC (004)</v>
          </cell>
          <cell r="Q418" t="str">
            <v>Penta</v>
          </cell>
          <cell r="R418">
            <v>8.3000000000000007</v>
          </cell>
          <cell r="S418">
            <v>3106.38</v>
          </cell>
        </row>
        <row r="419">
          <cell r="A419" t="str">
            <v>Budget</v>
          </cell>
          <cell r="B419">
            <v>1</v>
          </cell>
          <cell r="C419" t="str">
            <v>Domestic</v>
          </cell>
          <cell r="D419">
            <v>5</v>
          </cell>
          <cell r="E419">
            <v>9048</v>
          </cell>
          <cell r="F419" t="str">
            <v>UNIVAR USA</v>
          </cell>
          <cell r="G419" t="str">
            <v>D</v>
          </cell>
          <cell r="H419" t="str">
            <v>BUNOLA</v>
          </cell>
          <cell r="I419" t="str">
            <v>PA</v>
          </cell>
          <cell r="J419" t="str">
            <v>USA</v>
          </cell>
          <cell r="K419" t="str">
            <v>UNIVAR USA</v>
          </cell>
          <cell r="L419" t="str">
            <v>IL</v>
          </cell>
          <cell r="M419" t="str">
            <v>USA</v>
          </cell>
          <cell r="N419" t="str">
            <v>D</v>
          </cell>
          <cell r="O419">
            <v>24090210</v>
          </cell>
          <cell r="P419" t="str">
            <v>BORIC ACID GRAN TECH 50LB BAG</v>
          </cell>
          <cell r="Q419" t="str">
            <v>Boric Acid</v>
          </cell>
          <cell r="R419">
            <v>13.28</v>
          </cell>
          <cell r="S419">
            <v>5708.54</v>
          </cell>
        </row>
        <row r="420">
          <cell r="A420" t="str">
            <v>Budget</v>
          </cell>
          <cell r="B420">
            <v>1</v>
          </cell>
          <cell r="C420" t="str">
            <v>Domestic</v>
          </cell>
          <cell r="D420">
            <v>5</v>
          </cell>
          <cell r="E420">
            <v>9067</v>
          </cell>
          <cell r="F420" t="str">
            <v>EXELON GENERATION COMPANY LLC</v>
          </cell>
          <cell r="G420" t="str">
            <v>D</v>
          </cell>
          <cell r="H420" t="str">
            <v>BRAIDWOOD</v>
          </cell>
          <cell r="I420" t="str">
            <v>IL</v>
          </cell>
          <cell r="J420" t="str">
            <v>USA</v>
          </cell>
          <cell r="K420" t="str">
            <v>EXELON GENERATION COMPANY LLC</v>
          </cell>
          <cell r="L420" t="str">
            <v>IL</v>
          </cell>
          <cell r="M420" t="str">
            <v>USA</v>
          </cell>
          <cell r="N420" t="str">
            <v>C</v>
          </cell>
          <cell r="O420">
            <v>24609720</v>
          </cell>
          <cell r="P420" t="str">
            <v>BORIC ACID NS 25KG BAG</v>
          </cell>
          <cell r="Q420" t="str">
            <v>HP Boric Acid (SCL)</v>
          </cell>
          <cell r="R420">
            <v>4.9000000000000004</v>
          </cell>
          <cell r="S420">
            <v>7319.61</v>
          </cell>
        </row>
        <row r="421">
          <cell r="A421" t="str">
            <v>Budget</v>
          </cell>
          <cell r="B421">
            <v>1</v>
          </cell>
          <cell r="C421" t="str">
            <v>Domestic</v>
          </cell>
          <cell r="D421">
            <v>5</v>
          </cell>
          <cell r="E421">
            <v>9093</v>
          </cell>
          <cell r="F421" t="str">
            <v>UNIVAR USA</v>
          </cell>
          <cell r="G421" t="str">
            <v>D</v>
          </cell>
          <cell r="H421" t="str">
            <v>PROVIDENCE</v>
          </cell>
          <cell r="I421" t="str">
            <v>RI</v>
          </cell>
          <cell r="J421" t="str">
            <v>USA</v>
          </cell>
          <cell r="K421" t="str">
            <v>UNIVAR USA</v>
          </cell>
          <cell r="L421" t="str">
            <v>RI</v>
          </cell>
          <cell r="M421" t="str">
            <v>USA</v>
          </cell>
          <cell r="N421" t="str">
            <v>D</v>
          </cell>
          <cell r="O421">
            <v>22060410</v>
          </cell>
          <cell r="P421" t="str">
            <v>V-BOR 50LB BAG (004)</v>
          </cell>
          <cell r="Q421" t="str">
            <v>Penta</v>
          </cell>
          <cell r="R421">
            <v>4.57</v>
          </cell>
          <cell r="S421">
            <v>1499.73</v>
          </cell>
        </row>
        <row r="422">
          <cell r="A422" t="str">
            <v>Budget</v>
          </cell>
          <cell r="B422">
            <v>1</v>
          </cell>
          <cell r="C422" t="str">
            <v>Domestic</v>
          </cell>
          <cell r="D422">
            <v>5</v>
          </cell>
          <cell r="E422">
            <v>9093</v>
          </cell>
          <cell r="F422" t="str">
            <v>UNIVAR USA</v>
          </cell>
          <cell r="G422" t="str">
            <v>D</v>
          </cell>
          <cell r="H422" t="str">
            <v>PROVIDENCE</v>
          </cell>
          <cell r="I422" t="str">
            <v>RI</v>
          </cell>
          <cell r="J422" t="str">
            <v>USA</v>
          </cell>
          <cell r="K422" t="str">
            <v>UNIVAR USA</v>
          </cell>
          <cell r="L422" t="str">
            <v>RI</v>
          </cell>
          <cell r="M422" t="str">
            <v>USA</v>
          </cell>
          <cell r="N422" t="str">
            <v>D</v>
          </cell>
          <cell r="O422">
            <v>23060210</v>
          </cell>
          <cell r="P422" t="str">
            <v>DECA BORAX STD 50LB BAG</v>
          </cell>
          <cell r="Q422" t="str">
            <v>Deca</v>
          </cell>
          <cell r="R422">
            <v>1.25</v>
          </cell>
          <cell r="S422">
            <v>391.04</v>
          </cell>
        </row>
        <row r="423">
          <cell r="A423" t="str">
            <v>Budget</v>
          </cell>
          <cell r="B423">
            <v>1</v>
          </cell>
          <cell r="C423" t="str">
            <v>Domestic</v>
          </cell>
          <cell r="D423">
            <v>5</v>
          </cell>
          <cell r="E423">
            <v>9093</v>
          </cell>
          <cell r="F423" t="str">
            <v>UNIVAR USA</v>
          </cell>
          <cell r="G423" t="str">
            <v>D</v>
          </cell>
          <cell r="H423" t="str">
            <v>PROVIDENCE</v>
          </cell>
          <cell r="I423" t="str">
            <v>RI</v>
          </cell>
          <cell r="J423" t="str">
            <v>USA</v>
          </cell>
          <cell r="K423" t="str">
            <v>UNIVAR USA</v>
          </cell>
          <cell r="L423" t="str">
            <v>RI</v>
          </cell>
          <cell r="M423" t="str">
            <v>USA</v>
          </cell>
          <cell r="N423" t="str">
            <v>D</v>
          </cell>
          <cell r="O423">
            <v>24090210</v>
          </cell>
          <cell r="P423" t="str">
            <v>BORIC ACID GRAN TECH 50LB BAG</v>
          </cell>
          <cell r="Q423" t="str">
            <v>Boric Acid</v>
          </cell>
          <cell r="R423">
            <v>1.45</v>
          </cell>
          <cell r="S423">
            <v>915.88</v>
          </cell>
        </row>
        <row r="424">
          <cell r="A424" t="str">
            <v>Budget</v>
          </cell>
          <cell r="B424">
            <v>1</v>
          </cell>
          <cell r="C424" t="str">
            <v>Domestic</v>
          </cell>
          <cell r="D424">
            <v>5</v>
          </cell>
          <cell r="E424">
            <v>9094</v>
          </cell>
          <cell r="F424" t="str">
            <v>CHEMICAL SALES &amp; SERVICE</v>
          </cell>
          <cell r="G424" t="str">
            <v>D</v>
          </cell>
          <cell r="H424" t="str">
            <v>WORCESTER</v>
          </cell>
          <cell r="I424" t="str">
            <v>MA</v>
          </cell>
          <cell r="J424" t="str">
            <v>USA</v>
          </cell>
          <cell r="K424" t="str">
            <v>UNIVAR USA</v>
          </cell>
          <cell r="L424" t="str">
            <v>RI</v>
          </cell>
          <cell r="M424" t="str">
            <v>USA</v>
          </cell>
          <cell r="N424" t="str">
            <v>D</v>
          </cell>
          <cell r="O424">
            <v>22060410</v>
          </cell>
          <cell r="P424" t="str">
            <v>V-BOR 50LB BAG (004)</v>
          </cell>
          <cell r="Q424" t="str">
            <v>Penta</v>
          </cell>
          <cell r="R424">
            <v>6.02</v>
          </cell>
          <cell r="S424">
            <v>1977.22</v>
          </cell>
        </row>
        <row r="425">
          <cell r="A425" t="str">
            <v>Budget</v>
          </cell>
          <cell r="B425">
            <v>1</v>
          </cell>
          <cell r="C425" t="str">
            <v>Domestic</v>
          </cell>
          <cell r="D425">
            <v>5</v>
          </cell>
          <cell r="E425">
            <v>9094</v>
          </cell>
          <cell r="F425" t="str">
            <v>CHEMICAL SALES &amp; SERVICE</v>
          </cell>
          <cell r="G425" t="str">
            <v>D</v>
          </cell>
          <cell r="H425" t="str">
            <v>WORCESTER</v>
          </cell>
          <cell r="I425" t="str">
            <v>MA</v>
          </cell>
          <cell r="J425" t="str">
            <v>USA</v>
          </cell>
          <cell r="K425" t="str">
            <v>UNIVAR USA</v>
          </cell>
          <cell r="L425" t="str">
            <v>RI</v>
          </cell>
          <cell r="M425" t="str">
            <v>USA</v>
          </cell>
          <cell r="N425" t="str">
            <v>D</v>
          </cell>
          <cell r="O425">
            <v>23060210</v>
          </cell>
          <cell r="P425" t="str">
            <v>DECA BORAX STD 50LB BAG</v>
          </cell>
          <cell r="Q425" t="str">
            <v>Deca</v>
          </cell>
          <cell r="R425">
            <v>5.19</v>
          </cell>
          <cell r="S425">
            <v>1602.6</v>
          </cell>
        </row>
        <row r="426">
          <cell r="A426" t="str">
            <v>Budget</v>
          </cell>
          <cell r="B426">
            <v>1</v>
          </cell>
          <cell r="C426" t="str">
            <v>Domestic</v>
          </cell>
          <cell r="D426">
            <v>5</v>
          </cell>
          <cell r="E426">
            <v>9119</v>
          </cell>
          <cell r="F426" t="str">
            <v>UNIVAR USA</v>
          </cell>
          <cell r="G426" t="str">
            <v>D</v>
          </cell>
          <cell r="H426" t="str">
            <v>MIDDLETOWN</v>
          </cell>
          <cell r="I426" t="str">
            <v>PA</v>
          </cell>
          <cell r="J426" t="str">
            <v>USA</v>
          </cell>
          <cell r="K426" t="str">
            <v>UNIVAR USA</v>
          </cell>
          <cell r="L426" t="str">
            <v>PA</v>
          </cell>
          <cell r="M426" t="str">
            <v>USA</v>
          </cell>
          <cell r="N426" t="str">
            <v>D</v>
          </cell>
          <cell r="O426">
            <v>22060410</v>
          </cell>
          <cell r="P426" t="str">
            <v>V-BOR 50LB BAG (004)</v>
          </cell>
          <cell r="Q426" t="str">
            <v>Penta</v>
          </cell>
          <cell r="R426">
            <v>7.47</v>
          </cell>
          <cell r="S426">
            <v>2597.65</v>
          </cell>
        </row>
        <row r="427">
          <cell r="A427" t="str">
            <v>Budget</v>
          </cell>
          <cell r="B427">
            <v>1</v>
          </cell>
          <cell r="C427" t="str">
            <v>Domestic</v>
          </cell>
          <cell r="D427">
            <v>5</v>
          </cell>
          <cell r="E427">
            <v>9205</v>
          </cell>
          <cell r="F427" t="str">
            <v>MANHATTAN PRODUCTS INC</v>
          </cell>
          <cell r="G427" t="str">
            <v>D</v>
          </cell>
          <cell r="H427" t="str">
            <v>CARLSTADT</v>
          </cell>
          <cell r="I427" t="str">
            <v>NJ</v>
          </cell>
          <cell r="J427" t="str">
            <v>USA</v>
          </cell>
          <cell r="K427" t="str">
            <v>VECKRIDGE CHEMICAL COMPANY</v>
          </cell>
          <cell r="L427" t="str">
            <v>NJ</v>
          </cell>
          <cell r="M427" t="str">
            <v>USA</v>
          </cell>
          <cell r="N427" t="str">
            <v>D</v>
          </cell>
          <cell r="O427">
            <v>23060210</v>
          </cell>
          <cell r="P427" t="str">
            <v>DECA BORAX STD 50LB BAG</v>
          </cell>
          <cell r="Q427" t="str">
            <v>Deca</v>
          </cell>
          <cell r="R427">
            <v>8.4700000000000006</v>
          </cell>
          <cell r="S427">
            <v>2202.19</v>
          </cell>
        </row>
        <row r="428">
          <cell r="A428" t="str">
            <v>Budget</v>
          </cell>
          <cell r="B428">
            <v>1</v>
          </cell>
          <cell r="C428" t="str">
            <v>Domestic</v>
          </cell>
          <cell r="D428">
            <v>5</v>
          </cell>
          <cell r="E428">
            <v>9261</v>
          </cell>
          <cell r="F428" t="str">
            <v>OWENS CORNING</v>
          </cell>
          <cell r="G428" t="str">
            <v>D</v>
          </cell>
          <cell r="H428" t="str">
            <v>SANTA CLARA</v>
          </cell>
          <cell r="I428" t="str">
            <v>CA</v>
          </cell>
          <cell r="J428" t="str">
            <v>USA</v>
          </cell>
          <cell r="K428" t="str">
            <v>OWENS CORNING</v>
          </cell>
          <cell r="L428" t="str">
            <v>CA</v>
          </cell>
          <cell r="M428" t="str">
            <v>USA</v>
          </cell>
          <cell r="N428" t="str">
            <v>C</v>
          </cell>
          <cell r="O428">
            <v>30210100</v>
          </cell>
          <cell r="P428" t="str">
            <v>SODA ASH DENSE BULK</v>
          </cell>
          <cell r="Q428" t="str">
            <v>Soda Ash</v>
          </cell>
          <cell r="R428">
            <v>635.29</v>
          </cell>
          <cell r="S428">
            <v>59513.88</v>
          </cell>
        </row>
        <row r="429">
          <cell r="A429" t="str">
            <v>Budget</v>
          </cell>
          <cell r="B429">
            <v>1</v>
          </cell>
          <cell r="C429" t="str">
            <v>Domestic</v>
          </cell>
          <cell r="D429">
            <v>5</v>
          </cell>
          <cell r="E429">
            <v>9263</v>
          </cell>
          <cell r="F429" t="str">
            <v>OWENS CORNING</v>
          </cell>
          <cell r="G429" t="str">
            <v>D</v>
          </cell>
          <cell r="H429" t="str">
            <v>ELOY</v>
          </cell>
          <cell r="I429" t="str">
            <v>AZ</v>
          </cell>
          <cell r="J429" t="str">
            <v>USA</v>
          </cell>
          <cell r="K429" t="str">
            <v>OWENS CORNING</v>
          </cell>
          <cell r="L429" t="str">
            <v>AZ</v>
          </cell>
          <cell r="M429" t="str">
            <v>USA</v>
          </cell>
          <cell r="N429" t="str">
            <v>C</v>
          </cell>
          <cell r="O429">
            <v>30210100</v>
          </cell>
          <cell r="P429" t="str">
            <v>SODA ASH DENSE BULK</v>
          </cell>
          <cell r="Q429" t="str">
            <v>Soda Ash</v>
          </cell>
          <cell r="R429">
            <v>133.44</v>
          </cell>
          <cell r="S429">
            <v>9822.3799999999992</v>
          </cell>
        </row>
        <row r="430">
          <cell r="A430" t="str">
            <v>Budget</v>
          </cell>
          <cell r="B430">
            <v>1</v>
          </cell>
          <cell r="C430" t="str">
            <v>Domestic</v>
          </cell>
          <cell r="D430">
            <v>5</v>
          </cell>
          <cell r="E430">
            <v>9264</v>
          </cell>
          <cell r="F430" t="str">
            <v>OWENS CORNING CANADA INC.</v>
          </cell>
          <cell r="G430" t="str">
            <v>D</v>
          </cell>
          <cell r="H430" t="str">
            <v>AGINCOURT</v>
          </cell>
          <cell r="I430" t="str">
            <v>ON</v>
          </cell>
          <cell r="J430" t="str">
            <v>CAN</v>
          </cell>
          <cell r="K430" t="str">
            <v>OWENS CORNING CANADA INC.</v>
          </cell>
          <cell r="L430" t="str">
            <v>ON</v>
          </cell>
          <cell r="M430" t="str">
            <v>CAN</v>
          </cell>
          <cell r="N430" t="str">
            <v>C</v>
          </cell>
          <cell r="O430">
            <v>30210100</v>
          </cell>
          <cell r="P430" t="str">
            <v>SODA ASH DENSE BULK</v>
          </cell>
          <cell r="Q430" t="str">
            <v>Soda Ash</v>
          </cell>
          <cell r="R430">
            <v>273.25</v>
          </cell>
          <cell r="S430">
            <v>20767.11</v>
          </cell>
        </row>
        <row r="431">
          <cell r="A431" t="str">
            <v>Budget</v>
          </cell>
          <cell r="B431">
            <v>1</v>
          </cell>
          <cell r="C431" t="str">
            <v>Domestic</v>
          </cell>
          <cell r="D431">
            <v>5</v>
          </cell>
          <cell r="E431">
            <v>9265</v>
          </cell>
          <cell r="F431" t="str">
            <v>OWENS CORNING</v>
          </cell>
          <cell r="G431" t="str">
            <v>D</v>
          </cell>
          <cell r="H431" t="str">
            <v>CANDIAC</v>
          </cell>
          <cell r="I431" t="str">
            <v>PQ</v>
          </cell>
          <cell r="J431" t="str">
            <v>CAN</v>
          </cell>
          <cell r="K431" t="str">
            <v>OWENS CORNING</v>
          </cell>
          <cell r="L431" t="str">
            <v>PQ</v>
          </cell>
          <cell r="M431" t="str">
            <v>CAN</v>
          </cell>
          <cell r="N431" t="str">
            <v>C</v>
          </cell>
          <cell r="O431">
            <v>30210100</v>
          </cell>
          <cell r="P431" t="str">
            <v>SODA ASH DENSE BULK</v>
          </cell>
          <cell r="Q431" t="str">
            <v>Soda Ash</v>
          </cell>
          <cell r="R431">
            <v>149.31</v>
          </cell>
          <cell r="S431">
            <v>10974.4</v>
          </cell>
        </row>
        <row r="432">
          <cell r="A432" t="str">
            <v>Budget</v>
          </cell>
          <cell r="B432">
            <v>1</v>
          </cell>
          <cell r="C432" t="str">
            <v>Domestic</v>
          </cell>
          <cell r="D432">
            <v>5</v>
          </cell>
          <cell r="E432">
            <v>9270</v>
          </cell>
          <cell r="F432" t="str">
            <v>JEMPAK CANADA</v>
          </cell>
          <cell r="G432" t="str">
            <v>D</v>
          </cell>
          <cell r="H432" t="str">
            <v>OAKVILLE</v>
          </cell>
          <cell r="I432" t="str">
            <v>ON</v>
          </cell>
          <cell r="J432" t="str">
            <v>CAN</v>
          </cell>
          <cell r="K432" t="str">
            <v>QUADRA CHEMICAL</v>
          </cell>
          <cell r="L432" t="str">
            <v>PQ</v>
          </cell>
          <cell r="M432" t="str">
            <v>CAN</v>
          </cell>
          <cell r="N432" t="str">
            <v>D</v>
          </cell>
          <cell r="O432">
            <v>23060210</v>
          </cell>
          <cell r="P432" t="str">
            <v>DECA BORAX STD 50LB BAG</v>
          </cell>
          <cell r="Q432" t="str">
            <v>Deca</v>
          </cell>
          <cell r="R432">
            <v>3.74</v>
          </cell>
          <cell r="S432">
            <v>1169.79</v>
          </cell>
        </row>
        <row r="433">
          <cell r="A433" t="str">
            <v>Budget</v>
          </cell>
          <cell r="B433">
            <v>1</v>
          </cell>
          <cell r="C433" t="str">
            <v>Domestic</v>
          </cell>
          <cell r="D433">
            <v>5</v>
          </cell>
          <cell r="E433">
            <v>9377</v>
          </cell>
          <cell r="F433" t="str">
            <v>CANADA COLORS &amp; CHEMICAL LTD</v>
          </cell>
          <cell r="G433" t="str">
            <v>D</v>
          </cell>
          <cell r="H433" t="str">
            <v>MORDEN</v>
          </cell>
          <cell r="I433" t="str">
            <v>MB</v>
          </cell>
          <cell r="J433" t="str">
            <v>CAN</v>
          </cell>
          <cell r="K433" t="str">
            <v>CANADA COLORS &amp; CHEMICAL LTD</v>
          </cell>
          <cell r="L433" t="str">
            <v>ON</v>
          </cell>
          <cell r="M433" t="str">
            <v>CAN</v>
          </cell>
          <cell r="N433" t="str">
            <v>D</v>
          </cell>
          <cell r="O433">
            <v>24230250</v>
          </cell>
          <cell r="P433" t="str">
            <v>BORIC ACID GRAN TECH 1TN FIBC</v>
          </cell>
          <cell r="Q433" t="str">
            <v>Boric Acid</v>
          </cell>
          <cell r="R433">
            <v>7.45</v>
          </cell>
          <cell r="S433">
            <v>3406.28</v>
          </cell>
        </row>
        <row r="434">
          <cell r="A434" t="str">
            <v>Budget</v>
          </cell>
          <cell r="B434">
            <v>1</v>
          </cell>
          <cell r="C434" t="str">
            <v>Domestic</v>
          </cell>
          <cell r="D434">
            <v>5</v>
          </cell>
          <cell r="E434">
            <v>9405</v>
          </cell>
          <cell r="F434" t="str">
            <v>PFIZER PHARMACEUTICAL, INC.</v>
          </cell>
          <cell r="G434" t="str">
            <v>E</v>
          </cell>
          <cell r="H434" t="str">
            <v>VEGA BAJA</v>
          </cell>
          <cell r="J434" t="str">
            <v>PRC</v>
          </cell>
          <cell r="K434" t="str">
            <v>PFIZER PHARMACEUTICAL, INC.</v>
          </cell>
          <cell r="L434" t="str">
            <v>NJ</v>
          </cell>
          <cell r="M434" t="str">
            <v>USA</v>
          </cell>
          <cell r="N434" t="str">
            <v>C</v>
          </cell>
          <cell r="O434">
            <v>40060430</v>
          </cell>
          <cell r="P434" t="str">
            <v>SODIUM SULFATE STD 100LB BAG</v>
          </cell>
          <cell r="Q434" t="str">
            <v>Sodium Sulfate</v>
          </cell>
          <cell r="R434">
            <v>6.78</v>
          </cell>
          <cell r="S434">
            <v>1456.83</v>
          </cell>
        </row>
        <row r="435">
          <cell r="A435" t="str">
            <v>Budget</v>
          </cell>
          <cell r="B435">
            <v>1</v>
          </cell>
          <cell r="C435" t="str">
            <v>Domestic</v>
          </cell>
          <cell r="D435">
            <v>5</v>
          </cell>
          <cell r="E435">
            <v>9419</v>
          </cell>
          <cell r="F435" t="str">
            <v>LORD'S ADDITIVES LLC</v>
          </cell>
          <cell r="G435" t="str">
            <v>D</v>
          </cell>
          <cell r="H435" t="str">
            <v>SEWELL</v>
          </cell>
          <cell r="I435" t="str">
            <v>NJ</v>
          </cell>
          <cell r="J435" t="str">
            <v>USA</v>
          </cell>
          <cell r="K435" t="str">
            <v>LORD'S ADDITIVES LLC</v>
          </cell>
          <cell r="L435" t="str">
            <v>NJ</v>
          </cell>
          <cell r="M435" t="str">
            <v>USA</v>
          </cell>
          <cell r="N435" t="str">
            <v>C</v>
          </cell>
          <cell r="O435">
            <v>27069720</v>
          </cell>
          <cell r="P435" t="str">
            <v>ZINC BORATE, STD 25KG BAGS</v>
          </cell>
          <cell r="Q435" t="str">
            <v>Boric Salt (SCL)</v>
          </cell>
          <cell r="R435">
            <v>0.19</v>
          </cell>
          <cell r="S435">
            <v>290.76</v>
          </cell>
        </row>
        <row r="436">
          <cell r="A436" t="str">
            <v>Budget</v>
          </cell>
          <cell r="B436">
            <v>1</v>
          </cell>
          <cell r="C436" t="str">
            <v>Domestic</v>
          </cell>
          <cell r="D436">
            <v>5</v>
          </cell>
          <cell r="E436">
            <v>9419</v>
          </cell>
          <cell r="F436" t="str">
            <v>LORD'S ADDITIVES LLC</v>
          </cell>
          <cell r="G436" t="str">
            <v>D</v>
          </cell>
          <cell r="H436" t="str">
            <v>SEWELL</v>
          </cell>
          <cell r="I436" t="str">
            <v>NJ</v>
          </cell>
          <cell r="J436" t="str">
            <v>USA</v>
          </cell>
          <cell r="K436" t="str">
            <v>LORD'S ADDITIVES LLC</v>
          </cell>
          <cell r="L436" t="str">
            <v>NJ</v>
          </cell>
          <cell r="M436" t="str">
            <v>USA</v>
          </cell>
          <cell r="N436" t="str">
            <v>C</v>
          </cell>
          <cell r="O436">
            <v>27069753</v>
          </cell>
          <cell r="P436" t="str">
            <v>ZINC BORATE STD., 2500LB FIBC</v>
          </cell>
          <cell r="Q436" t="str">
            <v>Boric Salt (SCL)</v>
          </cell>
          <cell r="R436">
            <v>8.4700000000000006</v>
          </cell>
          <cell r="S436">
            <v>13192.52</v>
          </cell>
        </row>
        <row r="437">
          <cell r="A437" t="str">
            <v>Budget</v>
          </cell>
          <cell r="B437">
            <v>1</v>
          </cell>
          <cell r="C437" t="str">
            <v>Domestic</v>
          </cell>
          <cell r="D437">
            <v>5</v>
          </cell>
          <cell r="E437">
            <v>9467</v>
          </cell>
          <cell r="F437" t="str">
            <v>CERTAIN-TEED CORP</v>
          </cell>
          <cell r="G437" t="str">
            <v>D</v>
          </cell>
          <cell r="H437" t="str">
            <v>MOUNTAIN TOP</v>
          </cell>
          <cell r="I437" t="str">
            <v>PA</v>
          </cell>
          <cell r="J437" t="str">
            <v>USA</v>
          </cell>
          <cell r="K437" t="str">
            <v>CERTAIN-TEED CORP</v>
          </cell>
          <cell r="L437" t="str">
            <v>PA</v>
          </cell>
          <cell r="M437" t="str">
            <v>USA</v>
          </cell>
          <cell r="N437" t="str">
            <v>C</v>
          </cell>
          <cell r="O437">
            <v>22060400</v>
          </cell>
          <cell r="P437" t="str">
            <v>V-BOR STD BULK (004)</v>
          </cell>
          <cell r="Q437" t="str">
            <v>Penta</v>
          </cell>
          <cell r="R437">
            <v>719.95</v>
          </cell>
          <cell r="S437">
            <v>158387.98000000001</v>
          </cell>
        </row>
        <row r="438">
          <cell r="A438" t="str">
            <v>Budget</v>
          </cell>
          <cell r="B438">
            <v>1</v>
          </cell>
          <cell r="C438" t="str">
            <v>Domestic</v>
          </cell>
          <cell r="D438">
            <v>5</v>
          </cell>
          <cell r="E438">
            <v>9531</v>
          </cell>
          <cell r="F438" t="str">
            <v>DOMINION NUCLEAR CONNECTICUT</v>
          </cell>
          <cell r="G438" t="str">
            <v>D</v>
          </cell>
          <cell r="H438" t="str">
            <v>WATERFORD</v>
          </cell>
          <cell r="I438" t="str">
            <v>CT</v>
          </cell>
          <cell r="J438" t="str">
            <v>USA</v>
          </cell>
          <cell r="K438" t="str">
            <v>DOMINION NUCLEAR CONNECTICUT</v>
          </cell>
          <cell r="L438" t="str">
            <v>CT</v>
          </cell>
          <cell r="M438" t="str">
            <v>USA</v>
          </cell>
          <cell r="N438" t="str">
            <v>C</v>
          </cell>
          <cell r="O438">
            <v>24609720</v>
          </cell>
          <cell r="P438" t="str">
            <v>BORIC ACID NS 25KG BAG</v>
          </cell>
          <cell r="Q438" t="str">
            <v>HP Boric Acid (SCL)</v>
          </cell>
          <cell r="R438">
            <v>3.56</v>
          </cell>
          <cell r="S438">
            <v>6207.62</v>
          </cell>
        </row>
        <row r="439">
          <cell r="A439" t="str">
            <v>Budget</v>
          </cell>
          <cell r="B439">
            <v>1</v>
          </cell>
          <cell r="C439" t="str">
            <v>Export</v>
          </cell>
          <cell r="D439">
            <v>50</v>
          </cell>
          <cell r="E439">
            <v>6425</v>
          </cell>
          <cell r="F439" t="str">
            <v>VERRERIES DU COURVAL</v>
          </cell>
          <cell r="G439" t="str">
            <v>E</v>
          </cell>
          <cell r="H439" t="str">
            <v>BLANGY SUR BRESLE</v>
          </cell>
          <cell r="J439" t="str">
            <v>FRA</v>
          </cell>
          <cell r="K439" t="str">
            <v>IMC CHEMICALS EUROPE</v>
          </cell>
          <cell r="M439" t="str">
            <v>FRA</v>
          </cell>
          <cell r="N439" t="str">
            <v>C</v>
          </cell>
          <cell r="O439">
            <v>20060200</v>
          </cell>
          <cell r="P439" t="str">
            <v>PYROBOR ANHY BORAX BULK (002)</v>
          </cell>
          <cell r="Q439" t="str">
            <v>Pyrobor</v>
          </cell>
          <cell r="R439">
            <v>13.98</v>
          </cell>
          <cell r="S439">
            <v>7295.16</v>
          </cell>
        </row>
        <row r="440">
          <cell r="A440" t="str">
            <v>Budget</v>
          </cell>
          <cell r="B440">
            <v>1</v>
          </cell>
          <cell r="C440" t="str">
            <v>Export</v>
          </cell>
          <cell r="D440">
            <v>50</v>
          </cell>
          <cell r="E440">
            <v>6426</v>
          </cell>
          <cell r="F440" t="str">
            <v>MSX-CLAL</v>
          </cell>
          <cell r="G440" t="str">
            <v>E</v>
          </cell>
          <cell r="H440" t="str">
            <v>BORNEL</v>
          </cell>
          <cell r="J440" t="str">
            <v>FRA</v>
          </cell>
          <cell r="K440" t="str">
            <v>IMC CHEMICALS EUROPE</v>
          </cell>
          <cell r="M440" t="str">
            <v>FRA</v>
          </cell>
          <cell r="N440" t="str">
            <v>C</v>
          </cell>
          <cell r="O440">
            <v>20060220</v>
          </cell>
          <cell r="P440" t="str">
            <v>PYROBOR 25KG BAG (002)</v>
          </cell>
          <cell r="Q440" t="str">
            <v>Pyrobor</v>
          </cell>
          <cell r="R440">
            <v>0.51</v>
          </cell>
          <cell r="S440">
            <v>353.2</v>
          </cell>
        </row>
        <row r="441">
          <cell r="A441" t="str">
            <v>Budget</v>
          </cell>
          <cell r="B441">
            <v>1</v>
          </cell>
          <cell r="C441" t="str">
            <v>Export</v>
          </cell>
          <cell r="D441">
            <v>50</v>
          </cell>
          <cell r="E441">
            <v>8159</v>
          </cell>
          <cell r="F441" t="str">
            <v>G. ALT &amp; COMPANY</v>
          </cell>
          <cell r="G441" t="str">
            <v>E</v>
          </cell>
          <cell r="H441" t="str">
            <v>.</v>
          </cell>
          <cell r="J441" t="str">
            <v>AUT</v>
          </cell>
          <cell r="K441" t="str">
            <v>IMC CHEMICALS EUROPE</v>
          </cell>
          <cell r="M441" t="str">
            <v>FRA</v>
          </cell>
          <cell r="N441" t="str">
            <v>D</v>
          </cell>
          <cell r="O441">
            <v>20060220</v>
          </cell>
          <cell r="P441" t="str">
            <v>PYROBOR 25KG BAG (002)</v>
          </cell>
          <cell r="Q441" t="str">
            <v>Pyrobor</v>
          </cell>
          <cell r="R441">
            <v>0.91</v>
          </cell>
          <cell r="S441">
            <v>827.63</v>
          </cell>
        </row>
        <row r="442">
          <cell r="A442" t="str">
            <v>Budget</v>
          </cell>
          <cell r="B442">
            <v>1</v>
          </cell>
          <cell r="C442" t="str">
            <v>Export</v>
          </cell>
          <cell r="D442">
            <v>50</v>
          </cell>
          <cell r="E442">
            <v>8797</v>
          </cell>
          <cell r="F442" t="str">
            <v>SKLARNY KAVALIER, A.S.</v>
          </cell>
          <cell r="G442" t="str">
            <v>E</v>
          </cell>
          <cell r="H442" t="str">
            <v>SAZAVA</v>
          </cell>
          <cell r="J442" t="str">
            <v>CZE</v>
          </cell>
          <cell r="K442" t="str">
            <v>IMC CHEMICALS EUROPE</v>
          </cell>
          <cell r="M442" t="str">
            <v>FRA</v>
          </cell>
          <cell r="N442" t="str">
            <v>C</v>
          </cell>
          <cell r="O442">
            <v>20060255</v>
          </cell>
          <cell r="P442" t="str">
            <v>PYROBOR 1 MT FIBC (002)</v>
          </cell>
          <cell r="Q442" t="str">
            <v>Pyrobor</v>
          </cell>
          <cell r="R442">
            <v>23.38</v>
          </cell>
          <cell r="S442">
            <v>10776.82</v>
          </cell>
        </row>
        <row r="443">
          <cell r="A443" t="str">
            <v>Budget</v>
          </cell>
          <cell r="B443">
            <v>1</v>
          </cell>
          <cell r="C443" t="str">
            <v>Export</v>
          </cell>
          <cell r="D443">
            <v>50</v>
          </cell>
          <cell r="E443">
            <v>8837</v>
          </cell>
          <cell r="F443" t="str">
            <v>TDG LOGISTICS OMYA NDC</v>
          </cell>
          <cell r="G443" t="str">
            <v>E</v>
          </cell>
          <cell r="H443" t="str">
            <v>ENGLAND</v>
          </cell>
          <cell r="J443" t="str">
            <v>ENG</v>
          </cell>
          <cell r="K443" t="str">
            <v>IMC CHEMICALS EUROPE</v>
          </cell>
          <cell r="M443" t="str">
            <v>FRA</v>
          </cell>
          <cell r="N443" t="str">
            <v>C</v>
          </cell>
          <cell r="O443">
            <v>20060220</v>
          </cell>
          <cell r="P443" t="str">
            <v>PYROBOR 25KG BAG (002)</v>
          </cell>
          <cell r="Q443" t="str">
            <v>Pyrobor</v>
          </cell>
          <cell r="R443">
            <v>9.32</v>
          </cell>
          <cell r="S443">
            <v>6838.63</v>
          </cell>
        </row>
        <row r="444">
          <cell r="A444" t="str">
            <v>Budget</v>
          </cell>
          <cell r="B444">
            <v>1</v>
          </cell>
          <cell r="C444" t="str">
            <v>Export</v>
          </cell>
          <cell r="D444">
            <v>50</v>
          </cell>
          <cell r="E444">
            <v>8875</v>
          </cell>
          <cell r="F444" t="str">
            <v>PROQUIM, C.A.</v>
          </cell>
          <cell r="G444" t="str">
            <v>E</v>
          </cell>
          <cell r="H444" t="str">
            <v>CARACAS</v>
          </cell>
          <cell r="J444" t="str">
            <v>VEN</v>
          </cell>
          <cell r="K444" t="str">
            <v>YAKY PRODUCTS, C.A.</v>
          </cell>
          <cell r="M444" t="str">
            <v>VEN</v>
          </cell>
          <cell r="O444">
            <v>22060448</v>
          </cell>
          <cell r="P444" t="str">
            <v>V-BOR 50KG BAG (004), WOOD</v>
          </cell>
          <cell r="Q444" t="str">
            <v>Penta</v>
          </cell>
          <cell r="R444">
            <v>3.73</v>
          </cell>
          <cell r="S444">
            <v>1078.82</v>
          </cell>
        </row>
        <row r="445">
          <cell r="A445" t="str">
            <v>Budget</v>
          </cell>
          <cell r="B445">
            <v>1</v>
          </cell>
          <cell r="C445" t="str">
            <v>Export</v>
          </cell>
          <cell r="D445">
            <v>50</v>
          </cell>
          <cell r="E445">
            <v>8891</v>
          </cell>
          <cell r="F445" t="str">
            <v>INACTIVE-CENTONZE</v>
          </cell>
          <cell r="G445" t="str">
            <v>E</v>
          </cell>
          <cell r="H445" t="str">
            <v>CHIASSO</v>
          </cell>
          <cell r="J445" t="str">
            <v>SWI</v>
          </cell>
          <cell r="K445" t="str">
            <v>IMC CHEMICALS EUROPE</v>
          </cell>
          <cell r="M445" t="str">
            <v>FRA</v>
          </cell>
          <cell r="N445" t="str">
            <v>C</v>
          </cell>
          <cell r="O445">
            <v>20060220</v>
          </cell>
          <cell r="P445" t="str">
            <v>PYROBOR 25KG BAG (002)</v>
          </cell>
          <cell r="Q445" t="str">
            <v>Pyrobor</v>
          </cell>
          <cell r="R445">
            <v>0.68</v>
          </cell>
          <cell r="S445">
            <v>506.16</v>
          </cell>
        </row>
        <row r="446">
          <cell r="A446" t="str">
            <v>Budget</v>
          </cell>
          <cell r="B446">
            <v>1</v>
          </cell>
          <cell r="C446" t="str">
            <v>Export</v>
          </cell>
          <cell r="D446">
            <v>50</v>
          </cell>
          <cell r="E446">
            <v>8892</v>
          </cell>
          <cell r="F446" t="str">
            <v>PROCHIMIE/SCHWEIZERHALL CHEMIE</v>
          </cell>
          <cell r="G446" t="str">
            <v>E</v>
          </cell>
          <cell r="H446" t="str">
            <v>AVENCHES</v>
          </cell>
          <cell r="J446" t="str">
            <v>SWI</v>
          </cell>
          <cell r="K446" t="str">
            <v>IMC CHEMICALS EUROPE</v>
          </cell>
          <cell r="M446" t="str">
            <v>FRA</v>
          </cell>
          <cell r="N446" t="str">
            <v>C</v>
          </cell>
          <cell r="O446">
            <v>20060220</v>
          </cell>
          <cell r="P446" t="str">
            <v>PYROBOR 25KG BAG (002)</v>
          </cell>
          <cell r="Q446" t="str">
            <v>Pyrobor</v>
          </cell>
          <cell r="R446">
            <v>2.2400000000000002</v>
          </cell>
          <cell r="S446">
            <v>1673.81</v>
          </cell>
        </row>
        <row r="447">
          <cell r="A447" t="str">
            <v>Budget</v>
          </cell>
          <cell r="B447">
            <v>1</v>
          </cell>
          <cell r="C447" t="str">
            <v>Export</v>
          </cell>
          <cell r="D447">
            <v>50</v>
          </cell>
          <cell r="E447">
            <v>8893</v>
          </cell>
          <cell r="F447" t="str">
            <v>WHEATON FRANCE</v>
          </cell>
          <cell r="G447" t="str">
            <v>E</v>
          </cell>
          <cell r="H447" t="str">
            <v>AUMALE</v>
          </cell>
          <cell r="J447" t="str">
            <v>FRA</v>
          </cell>
          <cell r="K447" t="str">
            <v>IMC CHEMICALS EUROPE</v>
          </cell>
          <cell r="M447" t="str">
            <v>FRA</v>
          </cell>
          <cell r="N447" t="str">
            <v>D</v>
          </cell>
          <cell r="O447">
            <v>20060200</v>
          </cell>
          <cell r="P447" t="str">
            <v>PYROBOR ANHY BORAX BULK (002)</v>
          </cell>
          <cell r="Q447" t="str">
            <v>Pyrobor</v>
          </cell>
          <cell r="R447">
            <v>186.68</v>
          </cell>
          <cell r="S447">
            <v>89231.89</v>
          </cell>
        </row>
        <row r="448">
          <cell r="A448" t="str">
            <v>Budget</v>
          </cell>
          <cell r="B448">
            <v>1</v>
          </cell>
          <cell r="C448" t="str">
            <v>Export</v>
          </cell>
          <cell r="D448">
            <v>50</v>
          </cell>
          <cell r="E448">
            <v>8893</v>
          </cell>
          <cell r="F448" t="str">
            <v>WHEATON FRANCE</v>
          </cell>
          <cell r="G448" t="str">
            <v>E</v>
          </cell>
          <cell r="H448" t="str">
            <v>AUMALE</v>
          </cell>
          <cell r="J448" t="str">
            <v>FRA</v>
          </cell>
          <cell r="K448" t="str">
            <v>IMC CHEMICALS EUROPE</v>
          </cell>
          <cell r="M448" t="str">
            <v>FRA</v>
          </cell>
          <cell r="N448" t="str">
            <v>D</v>
          </cell>
          <cell r="O448">
            <v>20060220</v>
          </cell>
          <cell r="P448" t="str">
            <v>PYROBOR 25KG BAG (002)</v>
          </cell>
          <cell r="Q448" t="str">
            <v>Pyrobor</v>
          </cell>
          <cell r="R448">
            <v>9.32</v>
          </cell>
          <cell r="S448">
            <v>4453.5</v>
          </cell>
        </row>
        <row r="449">
          <cell r="A449" t="str">
            <v>Budget</v>
          </cell>
          <cell r="B449">
            <v>1</v>
          </cell>
          <cell r="C449" t="str">
            <v>Export</v>
          </cell>
          <cell r="D449">
            <v>50</v>
          </cell>
          <cell r="E449">
            <v>8895</v>
          </cell>
          <cell r="F449" t="str">
            <v>SCHOTT ROHRGLASS</v>
          </cell>
          <cell r="G449" t="str">
            <v>E</v>
          </cell>
          <cell r="H449" t="str">
            <v>ESSEN</v>
          </cell>
          <cell r="J449" t="str">
            <v>GER</v>
          </cell>
          <cell r="K449" t="str">
            <v>IMC CHEMICALS EUROPE</v>
          </cell>
          <cell r="M449" t="str">
            <v>FRA</v>
          </cell>
          <cell r="N449" t="str">
            <v>C</v>
          </cell>
          <cell r="O449">
            <v>20060200</v>
          </cell>
          <cell r="P449" t="str">
            <v>PYROBOR ANHY BORAX BULK (002)</v>
          </cell>
          <cell r="Q449" t="str">
            <v>Pyrobor</v>
          </cell>
          <cell r="R449">
            <v>158.63999999999999</v>
          </cell>
          <cell r="S449">
            <v>77417.33</v>
          </cell>
        </row>
        <row r="450">
          <cell r="A450" t="str">
            <v>Budget</v>
          </cell>
          <cell r="B450">
            <v>1</v>
          </cell>
          <cell r="C450" t="str">
            <v>Export</v>
          </cell>
          <cell r="D450">
            <v>50</v>
          </cell>
          <cell r="E450">
            <v>8896</v>
          </cell>
          <cell r="F450" t="str">
            <v>GLASHUTTE LIMBURG</v>
          </cell>
          <cell r="G450" t="str">
            <v>E</v>
          </cell>
          <cell r="H450" t="str">
            <v>6250 LIMBURG 1</v>
          </cell>
          <cell r="J450" t="str">
            <v>GER</v>
          </cell>
          <cell r="K450" t="str">
            <v>IMC CHEMICALS EUROPE</v>
          </cell>
          <cell r="M450" t="str">
            <v>FRA</v>
          </cell>
          <cell r="N450" t="str">
            <v>C</v>
          </cell>
          <cell r="O450">
            <v>20060220</v>
          </cell>
          <cell r="P450" t="str">
            <v>PYROBOR 25KG BAG (002)</v>
          </cell>
          <cell r="Q450" t="str">
            <v>Pyrobor</v>
          </cell>
          <cell r="R450">
            <v>0.93</v>
          </cell>
          <cell r="S450">
            <v>706.75</v>
          </cell>
        </row>
        <row r="451">
          <cell r="A451" t="str">
            <v>Budget</v>
          </cell>
          <cell r="B451">
            <v>1</v>
          </cell>
          <cell r="C451" t="str">
            <v>Export</v>
          </cell>
          <cell r="D451">
            <v>50</v>
          </cell>
          <cell r="E451">
            <v>8896</v>
          </cell>
          <cell r="F451" t="str">
            <v>GLASHUTTE LIMBURG</v>
          </cell>
          <cell r="G451" t="str">
            <v>E</v>
          </cell>
          <cell r="H451" t="str">
            <v>6250 LIMBURG 1</v>
          </cell>
          <cell r="J451" t="str">
            <v>GER</v>
          </cell>
          <cell r="K451" t="str">
            <v>IMC CHEMICALS EUROPE</v>
          </cell>
          <cell r="M451" t="str">
            <v>FRA</v>
          </cell>
          <cell r="N451" t="str">
            <v>C</v>
          </cell>
          <cell r="O451">
            <v>20060255</v>
          </cell>
          <cell r="P451" t="str">
            <v>PYROBOR 1 MT FIBC (002)</v>
          </cell>
          <cell r="Q451" t="str">
            <v>Pyrobor</v>
          </cell>
          <cell r="R451">
            <v>0.93</v>
          </cell>
          <cell r="S451">
            <v>706.77</v>
          </cell>
        </row>
        <row r="452">
          <cell r="A452" t="str">
            <v>Budget</v>
          </cell>
          <cell r="B452">
            <v>1</v>
          </cell>
          <cell r="C452" t="str">
            <v>Export</v>
          </cell>
          <cell r="D452">
            <v>50</v>
          </cell>
          <cell r="E452">
            <v>8898</v>
          </cell>
          <cell r="F452" t="str">
            <v>ARC INTERNATIONAL</v>
          </cell>
          <cell r="G452" t="str">
            <v>E</v>
          </cell>
          <cell r="H452" t="str">
            <v>ARQUES</v>
          </cell>
          <cell r="J452" t="str">
            <v>FRA</v>
          </cell>
          <cell r="K452" t="str">
            <v>IMC CHEMICALS EUROPE</v>
          </cell>
          <cell r="M452" t="str">
            <v>FRA</v>
          </cell>
          <cell r="N452" t="str">
            <v>C</v>
          </cell>
          <cell r="O452">
            <v>20060200</v>
          </cell>
          <cell r="P452" t="str">
            <v>PYROBOR ANHY BORAX BULK (002)</v>
          </cell>
          <cell r="Q452" t="str">
            <v>Pyrobor</v>
          </cell>
          <cell r="R452">
            <v>155.41999999999999</v>
          </cell>
          <cell r="S452">
            <v>78644.289999999994</v>
          </cell>
        </row>
        <row r="453">
          <cell r="A453" t="str">
            <v>Budget</v>
          </cell>
          <cell r="B453">
            <v>1</v>
          </cell>
          <cell r="C453" t="str">
            <v>Export</v>
          </cell>
          <cell r="D453">
            <v>50</v>
          </cell>
          <cell r="E453">
            <v>8907</v>
          </cell>
          <cell r="F453" t="str">
            <v>NACHTMANN GMBH</v>
          </cell>
          <cell r="G453" t="str">
            <v>E</v>
          </cell>
          <cell r="H453" t="str">
            <v>NEUSTADT</v>
          </cell>
          <cell r="J453" t="str">
            <v>GER</v>
          </cell>
          <cell r="K453" t="str">
            <v>IMC CHEMICALS EUROPE</v>
          </cell>
          <cell r="M453" t="str">
            <v>FRA</v>
          </cell>
          <cell r="N453" t="str">
            <v>C</v>
          </cell>
          <cell r="O453">
            <v>20060200</v>
          </cell>
          <cell r="P453" t="str">
            <v>PYROBOR ANHY BORAX BULK (002)</v>
          </cell>
          <cell r="Q453" t="str">
            <v>Pyrobor</v>
          </cell>
          <cell r="R453">
            <v>2.37</v>
          </cell>
          <cell r="S453">
            <v>1314.02</v>
          </cell>
        </row>
        <row r="454">
          <cell r="A454" t="str">
            <v>Budget</v>
          </cell>
          <cell r="B454">
            <v>1</v>
          </cell>
          <cell r="C454" t="str">
            <v>Export</v>
          </cell>
          <cell r="D454">
            <v>50</v>
          </cell>
          <cell r="E454">
            <v>8911</v>
          </cell>
          <cell r="F454" t="str">
            <v>FERRO FRANCE</v>
          </cell>
          <cell r="G454" t="str">
            <v>E</v>
          </cell>
          <cell r="H454" t="str">
            <v>ST DIZIER</v>
          </cell>
          <cell r="J454" t="str">
            <v>FRA</v>
          </cell>
          <cell r="K454" t="str">
            <v>IMC CHEMICALS EUROPE</v>
          </cell>
          <cell r="M454" t="str">
            <v>FRA</v>
          </cell>
          <cell r="N454" t="str">
            <v>D</v>
          </cell>
          <cell r="O454">
            <v>20060200</v>
          </cell>
          <cell r="P454" t="str">
            <v>PYROBOR ANHY BORAX BULK (002)</v>
          </cell>
          <cell r="Q454" t="str">
            <v>Pyrobor</v>
          </cell>
          <cell r="R454">
            <v>60.64</v>
          </cell>
          <cell r="S454">
            <v>27350.81</v>
          </cell>
        </row>
        <row r="455">
          <cell r="A455" t="str">
            <v>Budget</v>
          </cell>
          <cell r="B455">
            <v>1</v>
          </cell>
          <cell r="C455" t="str">
            <v>Export</v>
          </cell>
          <cell r="D455">
            <v>50</v>
          </cell>
          <cell r="E455">
            <v>8913</v>
          </cell>
          <cell r="F455" t="str">
            <v>FERRO HOLLAND B.V.</v>
          </cell>
          <cell r="G455" t="str">
            <v>E</v>
          </cell>
          <cell r="H455" t="str">
            <v>BA ROTTERDAM</v>
          </cell>
          <cell r="J455" t="str">
            <v>NET</v>
          </cell>
          <cell r="K455" t="str">
            <v>IMC CHEMICALS EUROPE</v>
          </cell>
          <cell r="M455" t="str">
            <v>FRA</v>
          </cell>
          <cell r="N455" t="str">
            <v>D</v>
          </cell>
          <cell r="O455">
            <v>20060200</v>
          </cell>
          <cell r="P455" t="str">
            <v>PYROBOR ANHY BORAX BULK (002)</v>
          </cell>
          <cell r="Q455" t="str">
            <v>Pyrobor</v>
          </cell>
          <cell r="R455">
            <v>116.72</v>
          </cell>
          <cell r="S455">
            <v>53105.71</v>
          </cell>
        </row>
        <row r="456">
          <cell r="A456" t="str">
            <v>Budget</v>
          </cell>
          <cell r="B456">
            <v>1</v>
          </cell>
          <cell r="C456" t="str">
            <v>Export</v>
          </cell>
          <cell r="D456">
            <v>50</v>
          </cell>
          <cell r="E456">
            <v>8918</v>
          </cell>
          <cell r="F456" t="str">
            <v>AFFILIPS</v>
          </cell>
          <cell r="G456" t="str">
            <v>E</v>
          </cell>
          <cell r="H456" t="str">
            <v>TIENEN</v>
          </cell>
          <cell r="J456" t="str">
            <v>BEL</v>
          </cell>
          <cell r="K456" t="str">
            <v>IMC CHEMICALS EUROPE</v>
          </cell>
          <cell r="M456" t="str">
            <v>FRA</v>
          </cell>
          <cell r="N456" t="str">
            <v>C</v>
          </cell>
          <cell r="O456">
            <v>20060220</v>
          </cell>
          <cell r="P456" t="str">
            <v>PYROBOR 25KG BAG (002)</v>
          </cell>
          <cell r="Q456" t="str">
            <v>Pyrobor</v>
          </cell>
          <cell r="R456">
            <v>13.47</v>
          </cell>
          <cell r="S456">
            <v>8834.49</v>
          </cell>
        </row>
        <row r="457">
          <cell r="A457" t="str">
            <v>Budget</v>
          </cell>
          <cell r="B457">
            <v>1</v>
          </cell>
          <cell r="C457" t="str">
            <v>Export</v>
          </cell>
          <cell r="D457">
            <v>50</v>
          </cell>
          <cell r="E457">
            <v>8920</v>
          </cell>
          <cell r="F457" t="str">
            <v>FERRO GREAT BRITAIN LTD.</v>
          </cell>
          <cell r="G457" t="str">
            <v>E</v>
          </cell>
          <cell r="H457" t="str">
            <v>STOKE-ON-TRENT</v>
          </cell>
          <cell r="J457" t="str">
            <v>ENG</v>
          </cell>
          <cell r="K457" t="str">
            <v>IMC CHEMICALS EUROPE</v>
          </cell>
          <cell r="M457" t="str">
            <v>FRA</v>
          </cell>
          <cell r="N457" t="str">
            <v>C</v>
          </cell>
          <cell r="O457">
            <v>20060220</v>
          </cell>
          <cell r="P457" t="str">
            <v>PYROBOR 25KG BAG (002)</v>
          </cell>
          <cell r="Q457" t="str">
            <v>Pyrobor</v>
          </cell>
          <cell r="R457">
            <v>3.98</v>
          </cell>
          <cell r="S457">
            <v>1974.51</v>
          </cell>
        </row>
        <row r="458">
          <cell r="A458" t="str">
            <v>Budget</v>
          </cell>
          <cell r="B458">
            <v>1</v>
          </cell>
          <cell r="C458" t="str">
            <v>Export</v>
          </cell>
          <cell r="D458">
            <v>50</v>
          </cell>
          <cell r="E458">
            <v>8922</v>
          </cell>
          <cell r="F458" t="str">
            <v>SAINT GOBAIN DESJONQUERES</v>
          </cell>
          <cell r="G458" t="str">
            <v>E</v>
          </cell>
          <cell r="H458" t="str">
            <v>MERS-LES-BAINS</v>
          </cell>
          <cell r="J458" t="str">
            <v>FRA</v>
          </cell>
          <cell r="K458" t="str">
            <v>IMC CHEMICALS EUROPE</v>
          </cell>
          <cell r="M458" t="str">
            <v>FRA</v>
          </cell>
          <cell r="N458" t="str">
            <v>C</v>
          </cell>
          <cell r="O458">
            <v>20060200</v>
          </cell>
          <cell r="P458" t="str">
            <v>PYROBOR ANHY BORAX BULK (002)</v>
          </cell>
          <cell r="Q458" t="str">
            <v>Pyrobor</v>
          </cell>
          <cell r="R458">
            <v>186.68</v>
          </cell>
          <cell r="S458">
            <v>89605.25</v>
          </cell>
        </row>
        <row r="459">
          <cell r="A459" t="str">
            <v>Budget</v>
          </cell>
          <cell r="B459">
            <v>1</v>
          </cell>
          <cell r="C459" t="str">
            <v>Export</v>
          </cell>
          <cell r="D459">
            <v>50</v>
          </cell>
          <cell r="E459">
            <v>8925</v>
          </cell>
          <cell r="F459" t="str">
            <v>WISTHOFF GmbH &amp; Co.</v>
          </cell>
          <cell r="G459" t="str">
            <v>E</v>
          </cell>
          <cell r="H459" t="str">
            <v>ESSEN</v>
          </cell>
          <cell r="J459" t="str">
            <v>GER</v>
          </cell>
          <cell r="K459" t="str">
            <v>IMC CHEMICALS EUROPE</v>
          </cell>
          <cell r="M459" t="str">
            <v>FRA</v>
          </cell>
          <cell r="N459" t="str">
            <v>C</v>
          </cell>
          <cell r="O459">
            <v>20060220</v>
          </cell>
          <cell r="P459" t="str">
            <v>PYROBOR 25KG BAG (002)</v>
          </cell>
          <cell r="Q459" t="str">
            <v>Pyrobor</v>
          </cell>
          <cell r="R459">
            <v>13.98</v>
          </cell>
          <cell r="S459">
            <v>10076.27</v>
          </cell>
        </row>
        <row r="460">
          <cell r="A460" t="str">
            <v>Budget</v>
          </cell>
          <cell r="B460">
            <v>1</v>
          </cell>
          <cell r="C460" t="str">
            <v>Export</v>
          </cell>
          <cell r="D460">
            <v>50</v>
          </cell>
          <cell r="E460">
            <v>8973</v>
          </cell>
          <cell r="F460" t="str">
            <v>VITKOVICE S.R.O.</v>
          </cell>
          <cell r="G460" t="str">
            <v>E</v>
          </cell>
          <cell r="H460" t="str">
            <v>OSTRAVA</v>
          </cell>
          <cell r="J460" t="str">
            <v>CZE</v>
          </cell>
          <cell r="K460" t="str">
            <v>IMC CHEMICALS EUROPE</v>
          </cell>
          <cell r="M460" t="str">
            <v>FRA</v>
          </cell>
          <cell r="N460" t="str">
            <v>C</v>
          </cell>
          <cell r="O460">
            <v>20060220</v>
          </cell>
          <cell r="P460" t="str">
            <v>PYROBOR 25KG BAG (002)</v>
          </cell>
          <cell r="Q460" t="str">
            <v>Pyrobor</v>
          </cell>
          <cell r="R460">
            <v>0.45</v>
          </cell>
          <cell r="S460">
            <v>380.07</v>
          </cell>
        </row>
        <row r="461">
          <cell r="A461" t="str">
            <v>Budget</v>
          </cell>
          <cell r="B461">
            <v>1</v>
          </cell>
          <cell r="C461" t="str">
            <v>Export</v>
          </cell>
          <cell r="D461">
            <v>50</v>
          </cell>
          <cell r="E461">
            <v>8985</v>
          </cell>
          <cell r="F461" t="str">
            <v>PILKINGTON SPECIAL GLASS</v>
          </cell>
          <cell r="G461" t="str">
            <v>E</v>
          </cell>
          <cell r="H461" t="str">
            <v>DENBIGHSHIRE</v>
          </cell>
          <cell r="J461" t="str">
            <v>ENG</v>
          </cell>
          <cell r="K461" t="str">
            <v>IMC CHEMICALS EUROPE</v>
          </cell>
          <cell r="M461" t="str">
            <v>FRA</v>
          </cell>
          <cell r="N461" t="str">
            <v>D</v>
          </cell>
          <cell r="O461">
            <v>20060220</v>
          </cell>
          <cell r="P461" t="str">
            <v>PYROBOR 25KG BAG (002)</v>
          </cell>
          <cell r="Q461" t="str">
            <v>Pyrobor</v>
          </cell>
          <cell r="R461">
            <v>4.4800000000000004</v>
          </cell>
          <cell r="S461">
            <v>2567.84</v>
          </cell>
        </row>
        <row r="462">
          <cell r="A462" t="str">
            <v>Budget</v>
          </cell>
          <cell r="B462">
            <v>1</v>
          </cell>
          <cell r="C462" t="str">
            <v>Export</v>
          </cell>
          <cell r="D462">
            <v>50</v>
          </cell>
          <cell r="E462">
            <v>9050</v>
          </cell>
          <cell r="F462" t="str">
            <v>INDUSTRIAL PRODUCTS COOREMAN</v>
          </cell>
          <cell r="G462" t="str">
            <v>E</v>
          </cell>
          <cell r="H462" t="str">
            <v>LEBBEKE (DENDERMONDE)</v>
          </cell>
          <cell r="J462" t="str">
            <v>BEL</v>
          </cell>
          <cell r="K462" t="str">
            <v>IMC CHEMICALS EUROPE</v>
          </cell>
          <cell r="M462" t="str">
            <v>FRA</v>
          </cell>
          <cell r="N462" t="str">
            <v>D</v>
          </cell>
          <cell r="O462">
            <v>20060220</v>
          </cell>
          <cell r="P462" t="str">
            <v>PYROBOR 25KG BAG (002)</v>
          </cell>
          <cell r="Q462" t="str">
            <v>Pyrobor</v>
          </cell>
          <cell r="R462">
            <v>0.68</v>
          </cell>
          <cell r="S462">
            <v>502.78</v>
          </cell>
        </row>
        <row r="463">
          <cell r="A463" t="str">
            <v>Budget</v>
          </cell>
          <cell r="B463">
            <v>1</v>
          </cell>
          <cell r="C463" t="str">
            <v>Export</v>
          </cell>
          <cell r="D463">
            <v>50</v>
          </cell>
          <cell r="E463">
            <v>9194</v>
          </cell>
          <cell r="F463" t="str">
            <v>PITTSBURGH CORNING EUROPE N.V.</v>
          </cell>
          <cell r="G463" t="str">
            <v>E</v>
          </cell>
          <cell r="H463" t="str">
            <v>TESSENDERLO</v>
          </cell>
          <cell r="J463" t="str">
            <v>BEL</v>
          </cell>
          <cell r="K463" t="str">
            <v>IMC CHEMICALS EUROPE</v>
          </cell>
          <cell r="M463" t="str">
            <v>FRA</v>
          </cell>
          <cell r="N463" t="str">
            <v>C</v>
          </cell>
          <cell r="O463">
            <v>30210100</v>
          </cell>
          <cell r="P463" t="str">
            <v>SODA ASH DENSE BULK</v>
          </cell>
          <cell r="Q463" t="str">
            <v>Soda Ash</v>
          </cell>
          <cell r="R463">
            <v>89.36</v>
          </cell>
          <cell r="S463">
            <v>7379.18</v>
          </cell>
        </row>
        <row r="464">
          <cell r="A464" t="str">
            <v>Budget</v>
          </cell>
          <cell r="B464">
            <v>1</v>
          </cell>
          <cell r="C464" t="str">
            <v>Export</v>
          </cell>
          <cell r="D464">
            <v>50</v>
          </cell>
          <cell r="E464">
            <v>9305</v>
          </cell>
          <cell r="F464" t="str">
            <v>FERRO ENAMEL DO BRASIL IND.</v>
          </cell>
          <cell r="G464" t="str">
            <v>E</v>
          </cell>
          <cell r="H464" t="str">
            <v>AMERICANA - SP</v>
          </cell>
          <cell r="J464" t="str">
            <v>BRZ</v>
          </cell>
          <cell r="K464" t="str">
            <v>TCN - CONSULTORIA E</v>
          </cell>
          <cell r="M464" t="str">
            <v>BRZ</v>
          </cell>
          <cell r="N464" t="str">
            <v>C</v>
          </cell>
          <cell r="O464">
            <v>22060428</v>
          </cell>
          <cell r="P464" t="str">
            <v>V-BOR 25KG BAG (004), WOOD</v>
          </cell>
          <cell r="Q464" t="str">
            <v>Penta</v>
          </cell>
          <cell r="R464">
            <v>22.35</v>
          </cell>
          <cell r="S464">
            <v>6002.31</v>
          </cell>
        </row>
        <row r="465">
          <cell r="A465" t="str">
            <v>Budget</v>
          </cell>
          <cell r="B465">
            <v>1</v>
          </cell>
          <cell r="C465" t="str">
            <v>Export</v>
          </cell>
          <cell r="D465">
            <v>50</v>
          </cell>
          <cell r="E465">
            <v>9358</v>
          </cell>
          <cell r="F465" t="str">
            <v>FERRO GERMANY Gmbh.</v>
          </cell>
          <cell r="G465" t="str">
            <v>E</v>
          </cell>
          <cell r="H465" t="str">
            <v>FRANKFURT</v>
          </cell>
          <cell r="J465" t="str">
            <v>GER</v>
          </cell>
          <cell r="K465" t="str">
            <v>IMC CHEMICALS EUROPE</v>
          </cell>
          <cell r="M465" t="str">
            <v>FRA</v>
          </cell>
          <cell r="N465" t="str">
            <v>D</v>
          </cell>
          <cell r="O465">
            <v>20060255</v>
          </cell>
          <cell r="P465" t="str">
            <v>PYROBOR 1 MT FIBC (002)</v>
          </cell>
          <cell r="Q465" t="str">
            <v>Pyrobor</v>
          </cell>
          <cell r="R465">
            <v>6.72</v>
          </cell>
          <cell r="S465">
            <v>3119.11</v>
          </cell>
        </row>
        <row r="466">
          <cell r="A466" t="str">
            <v>Budget</v>
          </cell>
          <cell r="B466">
            <v>1</v>
          </cell>
          <cell r="C466" t="str">
            <v>Export</v>
          </cell>
          <cell r="D466">
            <v>50</v>
          </cell>
          <cell r="E466">
            <v>9379</v>
          </cell>
          <cell r="F466" t="str">
            <v>ZALAKERAMIA RT.</v>
          </cell>
          <cell r="G466" t="str">
            <v>E</v>
          </cell>
          <cell r="H466" t="str">
            <v>TOFEJ</v>
          </cell>
          <cell r="J466" t="str">
            <v>HUN</v>
          </cell>
          <cell r="K466" t="str">
            <v>IMC CHEMICALS EUROPE</v>
          </cell>
          <cell r="M466" t="str">
            <v>FRA</v>
          </cell>
          <cell r="N466" t="str">
            <v>C</v>
          </cell>
          <cell r="O466">
            <v>20060220</v>
          </cell>
          <cell r="P466" t="str">
            <v>PYROBOR 25KG BAG (002)</v>
          </cell>
          <cell r="Q466" t="str">
            <v>Pyrobor</v>
          </cell>
          <cell r="R466">
            <v>4.26</v>
          </cell>
          <cell r="S466">
            <v>2760.98</v>
          </cell>
        </row>
        <row r="467">
          <cell r="A467" t="str">
            <v>Budget</v>
          </cell>
          <cell r="B467">
            <v>1</v>
          </cell>
          <cell r="C467" t="str">
            <v>Export</v>
          </cell>
          <cell r="D467">
            <v>50</v>
          </cell>
          <cell r="E467">
            <v>9403</v>
          </cell>
          <cell r="F467" t="str">
            <v>IMC CHEMICALS EUROPE</v>
          </cell>
          <cell r="G467" t="str">
            <v>E</v>
          </cell>
          <cell r="H467" t="str">
            <v>ANTWERP</v>
          </cell>
          <cell r="J467" t="str">
            <v>BEL</v>
          </cell>
          <cell r="K467" t="str">
            <v>IMC CHEMICALS EUROPE</v>
          </cell>
          <cell r="M467" t="str">
            <v>FRA</v>
          </cell>
          <cell r="N467" t="str">
            <v>C</v>
          </cell>
          <cell r="O467" t="str">
            <v>220604B8</v>
          </cell>
          <cell r="P467" t="str">
            <v>V-BOR 25KG POLYBAG,WOOD (004)</v>
          </cell>
          <cell r="Q467" t="str">
            <v>Penta</v>
          </cell>
          <cell r="R467">
            <v>11.18</v>
          </cell>
          <cell r="S467">
            <v>3129.14</v>
          </cell>
        </row>
        <row r="468">
          <cell r="A468" t="str">
            <v>Budget</v>
          </cell>
          <cell r="B468">
            <v>1</v>
          </cell>
          <cell r="C468" t="str">
            <v>Export</v>
          </cell>
          <cell r="D468">
            <v>50</v>
          </cell>
          <cell r="E468">
            <v>9497</v>
          </cell>
          <cell r="F468" t="str">
            <v>NORKEM LTD</v>
          </cell>
          <cell r="G468" t="str">
            <v>E</v>
          </cell>
          <cell r="H468" t="str">
            <v>KNUTSFORD CHESCHIRE</v>
          </cell>
          <cell r="J468" t="str">
            <v>ENG</v>
          </cell>
          <cell r="K468" t="str">
            <v>IMC CHEMICALS EUROPE</v>
          </cell>
          <cell r="M468" t="str">
            <v>FRA</v>
          </cell>
          <cell r="N468" t="str">
            <v>D</v>
          </cell>
          <cell r="O468">
            <v>20060220</v>
          </cell>
          <cell r="P468" t="str">
            <v>PYROBOR 25KG BAG (002)</v>
          </cell>
          <cell r="Q468" t="str">
            <v>Pyrobor</v>
          </cell>
          <cell r="R468">
            <v>2.29</v>
          </cell>
          <cell r="S468">
            <v>1681.22</v>
          </cell>
        </row>
        <row r="469">
          <cell r="A469" t="str">
            <v>Budget</v>
          </cell>
          <cell r="B469">
            <v>1</v>
          </cell>
          <cell r="C469" t="str">
            <v>Export</v>
          </cell>
          <cell r="D469">
            <v>55</v>
          </cell>
          <cell r="E469">
            <v>5350</v>
          </cell>
          <cell r="F469" t="str">
            <v>SHIONOGI/NAGOYA</v>
          </cell>
          <cell r="G469" t="str">
            <v>E</v>
          </cell>
          <cell r="H469" t="str">
            <v>NAGOYA</v>
          </cell>
          <cell r="J469" t="str">
            <v>JAP</v>
          </cell>
          <cell r="K469" t="str">
            <v>SHIONOGI &amp; COMPANY LTD</v>
          </cell>
          <cell r="M469" t="str">
            <v>JAP</v>
          </cell>
          <cell r="N469" t="str">
            <v>C</v>
          </cell>
          <cell r="O469">
            <v>22060455</v>
          </cell>
          <cell r="P469" t="str">
            <v>V-BOR 1 MT FIBC (004)</v>
          </cell>
          <cell r="Q469" t="str">
            <v>Penta</v>
          </cell>
          <cell r="R469">
            <v>5.79</v>
          </cell>
          <cell r="S469">
            <v>2084.62</v>
          </cell>
        </row>
        <row r="470">
          <cell r="A470" t="str">
            <v>Budget</v>
          </cell>
          <cell r="B470">
            <v>1</v>
          </cell>
          <cell r="C470" t="str">
            <v>Export</v>
          </cell>
          <cell r="D470">
            <v>55</v>
          </cell>
          <cell r="E470">
            <v>5350</v>
          </cell>
          <cell r="F470" t="str">
            <v>SHIONOGI/NAGOYA</v>
          </cell>
          <cell r="G470" t="str">
            <v>E</v>
          </cell>
          <cell r="H470" t="str">
            <v>NAGOYA</v>
          </cell>
          <cell r="J470" t="str">
            <v>JAP</v>
          </cell>
          <cell r="K470" t="str">
            <v>SHIONOGI &amp; COMPANY LTD</v>
          </cell>
          <cell r="M470" t="str">
            <v>JAP</v>
          </cell>
          <cell r="N470" t="str">
            <v>C</v>
          </cell>
          <cell r="O470" t="str">
            <v>230602B8</v>
          </cell>
          <cell r="P470" t="str">
            <v>DECA STD 25KG POLYBAG, WOOD</v>
          </cell>
          <cell r="Q470" t="str">
            <v>Deca</v>
          </cell>
          <cell r="R470">
            <v>4.12</v>
          </cell>
          <cell r="S470">
            <v>1344.42</v>
          </cell>
        </row>
        <row r="471">
          <cell r="A471" t="str">
            <v>Budget</v>
          </cell>
          <cell r="B471">
            <v>1</v>
          </cell>
          <cell r="C471" t="str">
            <v>Export</v>
          </cell>
          <cell r="D471">
            <v>55</v>
          </cell>
          <cell r="E471">
            <v>5350</v>
          </cell>
          <cell r="F471" t="str">
            <v>SHIONOGI/NAGOYA</v>
          </cell>
          <cell r="G471" t="str">
            <v>E</v>
          </cell>
          <cell r="H471" t="str">
            <v>NAGOYA</v>
          </cell>
          <cell r="J471" t="str">
            <v>JAP</v>
          </cell>
          <cell r="K471" t="str">
            <v>SHIONOGI &amp; COMPANY LTD</v>
          </cell>
          <cell r="M471" t="str">
            <v>JAP</v>
          </cell>
          <cell r="N471" t="str">
            <v>C</v>
          </cell>
          <cell r="O471">
            <v>24090228</v>
          </cell>
          <cell r="P471" t="str">
            <v>BORIC ACID GRAN 25KG BAG, WOOD</v>
          </cell>
          <cell r="Q471" t="str">
            <v>Boric Acid</v>
          </cell>
          <cell r="R471">
            <v>4.71</v>
          </cell>
          <cell r="S471">
            <v>2457.37</v>
          </cell>
        </row>
        <row r="472">
          <cell r="A472" t="str">
            <v>Budget</v>
          </cell>
          <cell r="B472">
            <v>1</v>
          </cell>
          <cell r="C472" t="str">
            <v>Export</v>
          </cell>
          <cell r="D472">
            <v>55</v>
          </cell>
          <cell r="E472">
            <v>5352</v>
          </cell>
          <cell r="F472" t="str">
            <v>SHIONOGI/YOKOHAMA</v>
          </cell>
          <cell r="G472" t="str">
            <v>E</v>
          </cell>
          <cell r="H472" t="str">
            <v>YOKOHAMA</v>
          </cell>
          <cell r="J472" t="str">
            <v>JAP</v>
          </cell>
          <cell r="K472" t="str">
            <v>SHIONOGI &amp; COMPANY LTD</v>
          </cell>
          <cell r="M472" t="str">
            <v>JAP</v>
          </cell>
          <cell r="N472" t="str">
            <v>C</v>
          </cell>
          <cell r="O472">
            <v>20060228</v>
          </cell>
          <cell r="P472" t="str">
            <v>PYROBOR 25KG BAG (002), WOOD</v>
          </cell>
          <cell r="Q472" t="str">
            <v>Pyrobor</v>
          </cell>
          <cell r="R472">
            <v>4.9000000000000004</v>
          </cell>
          <cell r="S472">
            <v>3221.31</v>
          </cell>
        </row>
        <row r="473">
          <cell r="A473" t="str">
            <v>Budget</v>
          </cell>
          <cell r="B473">
            <v>1</v>
          </cell>
          <cell r="C473" t="str">
            <v>Export</v>
          </cell>
          <cell r="D473">
            <v>55</v>
          </cell>
          <cell r="E473">
            <v>5352</v>
          </cell>
          <cell r="F473" t="str">
            <v>SHIONOGI/YOKOHAMA</v>
          </cell>
          <cell r="G473" t="str">
            <v>E</v>
          </cell>
          <cell r="H473" t="str">
            <v>YOKOHAMA</v>
          </cell>
          <cell r="J473" t="str">
            <v>JAP</v>
          </cell>
          <cell r="K473" t="str">
            <v>SHIONOGI &amp; COMPANY LTD</v>
          </cell>
          <cell r="M473" t="str">
            <v>JAP</v>
          </cell>
          <cell r="N473" t="str">
            <v>C</v>
          </cell>
          <cell r="O473">
            <v>22060428</v>
          </cell>
          <cell r="P473" t="str">
            <v>V-BOR 25KG BAG (004), WOOD</v>
          </cell>
          <cell r="Q473" t="str">
            <v>Penta</v>
          </cell>
          <cell r="R473">
            <v>5.69</v>
          </cell>
          <cell r="S473">
            <v>1953.99</v>
          </cell>
        </row>
        <row r="474">
          <cell r="A474" t="str">
            <v>Budget</v>
          </cell>
          <cell r="B474">
            <v>1</v>
          </cell>
          <cell r="C474" t="str">
            <v>Export</v>
          </cell>
          <cell r="D474">
            <v>55</v>
          </cell>
          <cell r="E474">
            <v>5352</v>
          </cell>
          <cell r="F474" t="str">
            <v>SHIONOGI/YOKOHAMA</v>
          </cell>
          <cell r="G474" t="str">
            <v>E</v>
          </cell>
          <cell r="H474" t="str">
            <v>YOKOHAMA</v>
          </cell>
          <cell r="J474" t="str">
            <v>JAP</v>
          </cell>
          <cell r="K474" t="str">
            <v>SHIONOGI &amp; COMPANY LTD</v>
          </cell>
          <cell r="M474" t="str">
            <v>JAP</v>
          </cell>
          <cell r="N474" t="str">
            <v>C</v>
          </cell>
          <cell r="O474" t="str">
            <v>230602B8</v>
          </cell>
          <cell r="P474" t="str">
            <v>DECA STD 25KG POLYBAG, WOOD</v>
          </cell>
          <cell r="Q474" t="str">
            <v>Deca</v>
          </cell>
          <cell r="R474">
            <v>1.18</v>
          </cell>
          <cell r="S474">
            <v>331.89</v>
          </cell>
        </row>
        <row r="475">
          <cell r="A475" t="str">
            <v>Budget</v>
          </cell>
          <cell r="B475">
            <v>1</v>
          </cell>
          <cell r="C475" t="str">
            <v>Export</v>
          </cell>
          <cell r="D475">
            <v>55</v>
          </cell>
          <cell r="E475">
            <v>5352</v>
          </cell>
          <cell r="F475" t="str">
            <v>SHIONOGI/YOKOHAMA</v>
          </cell>
          <cell r="G475" t="str">
            <v>E</v>
          </cell>
          <cell r="H475" t="str">
            <v>YOKOHAMA</v>
          </cell>
          <cell r="J475" t="str">
            <v>JAP</v>
          </cell>
          <cell r="K475" t="str">
            <v>SHIONOGI &amp; COMPANY LTD</v>
          </cell>
          <cell r="M475" t="str">
            <v>JAP</v>
          </cell>
          <cell r="N475" t="str">
            <v>C</v>
          </cell>
          <cell r="O475">
            <v>24090228</v>
          </cell>
          <cell r="P475" t="str">
            <v>BORIC ACID GRAN 25KG BAG, WOOD</v>
          </cell>
          <cell r="Q475" t="str">
            <v>Boric Acid</v>
          </cell>
          <cell r="R475">
            <v>10.59</v>
          </cell>
          <cell r="S475">
            <v>5625.03</v>
          </cell>
        </row>
        <row r="476">
          <cell r="A476" t="str">
            <v>Budget</v>
          </cell>
          <cell r="B476">
            <v>1</v>
          </cell>
          <cell r="C476" t="str">
            <v>Export</v>
          </cell>
          <cell r="D476">
            <v>55</v>
          </cell>
          <cell r="E476">
            <v>5361</v>
          </cell>
          <cell r="F476" t="str">
            <v>SHIONOGI/OSAKA</v>
          </cell>
          <cell r="G476" t="str">
            <v>E</v>
          </cell>
          <cell r="H476" t="str">
            <v>OSAKA</v>
          </cell>
          <cell r="J476" t="str">
            <v>JAP</v>
          </cell>
          <cell r="K476" t="str">
            <v>SHIONOGI &amp; COMPANY LTD</v>
          </cell>
          <cell r="M476" t="str">
            <v>JAP</v>
          </cell>
          <cell r="N476" t="str">
            <v>C</v>
          </cell>
          <cell r="O476">
            <v>20060228</v>
          </cell>
          <cell r="P476" t="str">
            <v>PYROBOR 25KG BAG (002), WOOD</v>
          </cell>
          <cell r="Q476" t="str">
            <v>Pyrobor</v>
          </cell>
          <cell r="R476">
            <v>9.02</v>
          </cell>
          <cell r="S476">
            <v>5552.24</v>
          </cell>
        </row>
        <row r="477">
          <cell r="A477" t="str">
            <v>Budget</v>
          </cell>
          <cell r="B477">
            <v>1</v>
          </cell>
          <cell r="C477" t="str">
            <v>Export</v>
          </cell>
          <cell r="D477">
            <v>55</v>
          </cell>
          <cell r="E477">
            <v>5361</v>
          </cell>
          <cell r="F477" t="str">
            <v>SHIONOGI/OSAKA</v>
          </cell>
          <cell r="G477" t="str">
            <v>E</v>
          </cell>
          <cell r="H477" t="str">
            <v>OSAKA</v>
          </cell>
          <cell r="J477" t="str">
            <v>JAP</v>
          </cell>
          <cell r="K477" t="str">
            <v>SHIONOGI &amp; COMPANY LTD</v>
          </cell>
          <cell r="M477" t="str">
            <v>JAP</v>
          </cell>
          <cell r="N477" t="str">
            <v>C</v>
          </cell>
          <cell r="O477">
            <v>20060255</v>
          </cell>
          <cell r="P477" t="str">
            <v>PYROBOR 1 MT FIBC (002)</v>
          </cell>
          <cell r="Q477" t="str">
            <v>Pyrobor</v>
          </cell>
          <cell r="R477">
            <v>4.3</v>
          </cell>
          <cell r="S477">
            <v>2740.54</v>
          </cell>
        </row>
        <row r="478">
          <cell r="A478" t="str">
            <v>Budget</v>
          </cell>
          <cell r="B478">
            <v>1</v>
          </cell>
          <cell r="C478" t="str">
            <v>Export</v>
          </cell>
          <cell r="D478">
            <v>55</v>
          </cell>
          <cell r="E478">
            <v>5361</v>
          </cell>
          <cell r="F478" t="str">
            <v>SHIONOGI/OSAKA</v>
          </cell>
          <cell r="G478" t="str">
            <v>E</v>
          </cell>
          <cell r="H478" t="str">
            <v>OSAKA</v>
          </cell>
          <cell r="J478" t="str">
            <v>JAP</v>
          </cell>
          <cell r="K478" t="str">
            <v>SHIONOGI &amp; COMPANY LTD</v>
          </cell>
          <cell r="M478" t="str">
            <v>JAP</v>
          </cell>
          <cell r="N478" t="str">
            <v>C</v>
          </cell>
          <cell r="O478">
            <v>22060428</v>
          </cell>
          <cell r="P478" t="str">
            <v>V-BOR 25KG BAG (004), WOOD</v>
          </cell>
          <cell r="Q478" t="str">
            <v>Penta</v>
          </cell>
          <cell r="R478">
            <v>3.92</v>
          </cell>
          <cell r="S478">
            <v>1285.49</v>
          </cell>
        </row>
        <row r="479">
          <cell r="A479" t="str">
            <v>Budget</v>
          </cell>
          <cell r="B479">
            <v>1</v>
          </cell>
          <cell r="C479" t="str">
            <v>Export</v>
          </cell>
          <cell r="D479">
            <v>55</v>
          </cell>
          <cell r="E479">
            <v>5361</v>
          </cell>
          <cell r="F479" t="str">
            <v>SHIONOGI/OSAKA</v>
          </cell>
          <cell r="G479" t="str">
            <v>E</v>
          </cell>
          <cell r="H479" t="str">
            <v>OSAKA</v>
          </cell>
          <cell r="J479" t="str">
            <v>JAP</v>
          </cell>
          <cell r="K479" t="str">
            <v>SHIONOGI &amp; COMPANY LTD</v>
          </cell>
          <cell r="M479" t="str">
            <v>JAP</v>
          </cell>
          <cell r="N479" t="str">
            <v>C</v>
          </cell>
          <cell r="O479" t="str">
            <v>230602B8</v>
          </cell>
          <cell r="P479" t="str">
            <v>DECA STD 25KG POLYBAG, WOOD</v>
          </cell>
          <cell r="Q479" t="str">
            <v>Deca</v>
          </cell>
          <cell r="R479">
            <v>32.74</v>
          </cell>
          <cell r="S479">
            <v>10254.33</v>
          </cell>
        </row>
        <row r="480">
          <cell r="A480" t="str">
            <v>Budget</v>
          </cell>
          <cell r="B480">
            <v>1</v>
          </cell>
          <cell r="C480" t="str">
            <v>Export</v>
          </cell>
          <cell r="D480">
            <v>55</v>
          </cell>
          <cell r="E480">
            <v>5361</v>
          </cell>
          <cell r="F480" t="str">
            <v>SHIONOGI/OSAKA</v>
          </cell>
          <cell r="G480" t="str">
            <v>E</v>
          </cell>
          <cell r="H480" t="str">
            <v>OSAKA</v>
          </cell>
          <cell r="J480" t="str">
            <v>JAP</v>
          </cell>
          <cell r="K480" t="str">
            <v>SHIONOGI &amp; COMPANY LTD</v>
          </cell>
          <cell r="M480" t="str">
            <v>JAP</v>
          </cell>
          <cell r="N480" t="str">
            <v>C</v>
          </cell>
          <cell r="O480">
            <v>24090228</v>
          </cell>
          <cell r="P480" t="str">
            <v>BORIC ACID GRAN 25KG BAG, WOOD</v>
          </cell>
          <cell r="Q480" t="str">
            <v>Boric Acid</v>
          </cell>
          <cell r="R480">
            <v>36.270000000000003</v>
          </cell>
          <cell r="S480">
            <v>19018.080000000002</v>
          </cell>
        </row>
        <row r="481">
          <cell r="A481" t="str">
            <v>Budget</v>
          </cell>
          <cell r="B481">
            <v>1</v>
          </cell>
          <cell r="C481" t="str">
            <v>Export</v>
          </cell>
          <cell r="D481">
            <v>55</v>
          </cell>
          <cell r="E481">
            <v>5375</v>
          </cell>
          <cell r="F481" t="str">
            <v>SHIONOGI/KANTO HORO/NAGOYA</v>
          </cell>
          <cell r="G481" t="str">
            <v>E</v>
          </cell>
          <cell r="H481" t="str">
            <v>NAGOYA</v>
          </cell>
          <cell r="J481" t="str">
            <v>JAP</v>
          </cell>
          <cell r="K481" t="str">
            <v>SHIONOGI &amp; COMPANY LTD</v>
          </cell>
          <cell r="M481" t="str">
            <v>JAP</v>
          </cell>
          <cell r="N481" t="str">
            <v>C</v>
          </cell>
          <cell r="O481">
            <v>20060228</v>
          </cell>
          <cell r="P481" t="str">
            <v>PYROBOR 25KG BAG (002), WOOD</v>
          </cell>
          <cell r="Q481" t="str">
            <v>Pyrobor</v>
          </cell>
          <cell r="R481">
            <v>2.35</v>
          </cell>
          <cell r="S481">
            <v>1399.44</v>
          </cell>
        </row>
        <row r="482">
          <cell r="A482" t="str">
            <v>Budget</v>
          </cell>
          <cell r="B482">
            <v>1</v>
          </cell>
          <cell r="C482" t="str">
            <v>Export</v>
          </cell>
          <cell r="D482">
            <v>55</v>
          </cell>
          <cell r="E482">
            <v>5386</v>
          </cell>
          <cell r="F482" t="str">
            <v>SHIONOGI/NIHON FRIT/NAGOYA</v>
          </cell>
          <cell r="G482" t="str">
            <v>E</v>
          </cell>
          <cell r="H482" t="str">
            <v>NAGOYA</v>
          </cell>
          <cell r="J482" t="str">
            <v>JAP</v>
          </cell>
          <cell r="K482" t="str">
            <v>SHIONOGI &amp; COMPANY LTD</v>
          </cell>
          <cell r="M482" t="str">
            <v>JAP</v>
          </cell>
          <cell r="N482" t="str">
            <v>C</v>
          </cell>
          <cell r="O482">
            <v>20060255</v>
          </cell>
          <cell r="P482" t="str">
            <v>PYROBOR 1 MT FIBC (002)</v>
          </cell>
          <cell r="Q482" t="str">
            <v>Pyrobor</v>
          </cell>
          <cell r="R482">
            <v>1.68</v>
          </cell>
          <cell r="S482">
            <v>954.39</v>
          </cell>
        </row>
        <row r="483">
          <cell r="A483" t="str">
            <v>Budget</v>
          </cell>
          <cell r="B483">
            <v>1</v>
          </cell>
          <cell r="C483" t="str">
            <v>Export</v>
          </cell>
          <cell r="D483">
            <v>55</v>
          </cell>
          <cell r="E483">
            <v>5393</v>
          </cell>
          <cell r="F483" t="str">
            <v>MITSUI/OSAKA</v>
          </cell>
          <cell r="G483" t="str">
            <v>E</v>
          </cell>
          <cell r="H483" t="str">
            <v>OSAKA</v>
          </cell>
          <cell r="J483" t="str">
            <v>JAP</v>
          </cell>
          <cell r="K483" t="str">
            <v>MITSUI &amp; COMPANY (EXPORT)</v>
          </cell>
          <cell r="L483" t="str">
            <v>NY</v>
          </cell>
          <cell r="M483" t="str">
            <v>USA</v>
          </cell>
          <cell r="N483" t="str">
            <v>C</v>
          </cell>
          <cell r="O483">
            <v>23060228</v>
          </cell>
          <cell r="P483" t="str">
            <v>DECA BORAX STD 25KG BAG, WOOD</v>
          </cell>
          <cell r="Q483" t="str">
            <v>Deca</v>
          </cell>
          <cell r="R483">
            <v>6.08</v>
          </cell>
          <cell r="S483">
            <v>2175.21</v>
          </cell>
        </row>
        <row r="484">
          <cell r="A484" t="str">
            <v>Budget</v>
          </cell>
          <cell r="B484">
            <v>1</v>
          </cell>
          <cell r="C484" t="str">
            <v>Export</v>
          </cell>
          <cell r="D484">
            <v>55</v>
          </cell>
          <cell r="E484">
            <v>5393</v>
          </cell>
          <cell r="F484" t="str">
            <v>MITSUI/OSAKA</v>
          </cell>
          <cell r="G484" t="str">
            <v>E</v>
          </cell>
          <cell r="H484" t="str">
            <v>OSAKA</v>
          </cell>
          <cell r="J484" t="str">
            <v>JAP</v>
          </cell>
          <cell r="K484" t="str">
            <v>MITSUI &amp; COMPANY (EXPORT)</v>
          </cell>
          <cell r="L484" t="str">
            <v>NY</v>
          </cell>
          <cell r="M484" t="str">
            <v>USA</v>
          </cell>
          <cell r="N484" t="str">
            <v>C</v>
          </cell>
          <cell r="O484">
            <v>24090228</v>
          </cell>
          <cell r="P484" t="str">
            <v>BORIC ACID GRAN 25KG BAG, WOOD</v>
          </cell>
          <cell r="Q484" t="str">
            <v>Boric Acid</v>
          </cell>
          <cell r="R484">
            <v>1.37</v>
          </cell>
          <cell r="S484">
            <v>805</v>
          </cell>
        </row>
        <row r="485">
          <cell r="A485" t="str">
            <v>Budget</v>
          </cell>
          <cell r="B485">
            <v>1</v>
          </cell>
          <cell r="C485" t="str">
            <v>Export</v>
          </cell>
          <cell r="D485">
            <v>55</v>
          </cell>
          <cell r="E485">
            <v>5394</v>
          </cell>
          <cell r="F485" t="str">
            <v>MITSUI/NAGOYA</v>
          </cell>
          <cell r="G485" t="str">
            <v>E</v>
          </cell>
          <cell r="H485" t="str">
            <v>NAGOYA</v>
          </cell>
          <cell r="J485" t="str">
            <v>JAP</v>
          </cell>
          <cell r="K485" t="str">
            <v>MITSUI &amp; COMPANY (EXPORT)</v>
          </cell>
          <cell r="L485" t="str">
            <v>NY</v>
          </cell>
          <cell r="M485" t="str">
            <v>USA</v>
          </cell>
          <cell r="N485" t="str">
            <v>C</v>
          </cell>
          <cell r="O485">
            <v>22060428</v>
          </cell>
          <cell r="P485" t="str">
            <v>V-BOR 25KG BAG (004), WOOD</v>
          </cell>
          <cell r="Q485" t="str">
            <v>Penta</v>
          </cell>
          <cell r="R485">
            <v>0.98</v>
          </cell>
          <cell r="S485">
            <v>330.99</v>
          </cell>
        </row>
        <row r="486">
          <cell r="A486" t="str">
            <v>Budget</v>
          </cell>
          <cell r="B486">
            <v>1</v>
          </cell>
          <cell r="C486" t="str">
            <v>Export</v>
          </cell>
          <cell r="D486">
            <v>55</v>
          </cell>
          <cell r="E486">
            <v>5395</v>
          </cell>
          <cell r="F486" t="str">
            <v>MITSUI/HAKATA</v>
          </cell>
          <cell r="G486" t="str">
            <v>E</v>
          </cell>
          <cell r="H486" t="str">
            <v>HAKATA</v>
          </cell>
          <cell r="J486" t="str">
            <v>JAP</v>
          </cell>
          <cell r="K486" t="str">
            <v>MITSUI &amp; COMPANY (EXPORT)</v>
          </cell>
          <cell r="L486" t="str">
            <v>NY</v>
          </cell>
          <cell r="M486" t="str">
            <v>USA</v>
          </cell>
          <cell r="N486" t="str">
            <v>C</v>
          </cell>
          <cell r="O486" t="str">
            <v>230602B8</v>
          </cell>
          <cell r="P486" t="str">
            <v>DECA STD 25KG POLYBAG, WOOD</v>
          </cell>
          <cell r="Q486" t="str">
            <v>Deca</v>
          </cell>
          <cell r="R486">
            <v>2.94</v>
          </cell>
          <cell r="S486">
            <v>1098.57</v>
          </cell>
        </row>
        <row r="487">
          <cell r="A487" t="str">
            <v>Budget</v>
          </cell>
          <cell r="B487">
            <v>1</v>
          </cell>
          <cell r="C487" t="str">
            <v>Export</v>
          </cell>
          <cell r="D487">
            <v>55</v>
          </cell>
          <cell r="E487">
            <v>5395</v>
          </cell>
          <cell r="F487" t="str">
            <v>MITSUI/HAKATA</v>
          </cell>
          <cell r="G487" t="str">
            <v>E</v>
          </cell>
          <cell r="H487" t="str">
            <v>HAKATA</v>
          </cell>
          <cell r="J487" t="str">
            <v>JAP</v>
          </cell>
          <cell r="K487" t="str">
            <v>MITSUI &amp; COMPANY (EXPORT)</v>
          </cell>
          <cell r="L487" t="str">
            <v>NY</v>
          </cell>
          <cell r="M487" t="str">
            <v>USA</v>
          </cell>
          <cell r="N487" t="str">
            <v>C</v>
          </cell>
          <cell r="O487">
            <v>24090228</v>
          </cell>
          <cell r="P487" t="str">
            <v>BORIC ACID GRAN 25KG BAG, WOOD</v>
          </cell>
          <cell r="Q487" t="str">
            <v>Boric Acid</v>
          </cell>
          <cell r="R487">
            <v>4.51</v>
          </cell>
          <cell r="S487">
            <v>2720.21</v>
          </cell>
        </row>
        <row r="488">
          <cell r="A488" t="str">
            <v>Budget</v>
          </cell>
          <cell r="B488">
            <v>1</v>
          </cell>
          <cell r="C488" t="str">
            <v>Export</v>
          </cell>
          <cell r="D488">
            <v>55</v>
          </cell>
          <cell r="E488">
            <v>5396</v>
          </cell>
          <cell r="F488" t="str">
            <v>MITSUI/YOKOHAMA</v>
          </cell>
          <cell r="G488" t="str">
            <v>E</v>
          </cell>
          <cell r="H488" t="str">
            <v>YOKOHAMA</v>
          </cell>
          <cell r="J488" t="str">
            <v>JAP</v>
          </cell>
          <cell r="K488" t="str">
            <v>MITSUI &amp; COMPANY (EXPORT)</v>
          </cell>
          <cell r="L488" t="str">
            <v>NY</v>
          </cell>
          <cell r="M488" t="str">
            <v>USA</v>
          </cell>
          <cell r="N488" t="str">
            <v>C</v>
          </cell>
          <cell r="O488">
            <v>22060428</v>
          </cell>
          <cell r="P488" t="str">
            <v>V-BOR 25KG BAG (004), WOOD</v>
          </cell>
          <cell r="Q488" t="str">
            <v>Penta</v>
          </cell>
          <cell r="R488">
            <v>0.59</v>
          </cell>
          <cell r="S488">
            <v>199.56</v>
          </cell>
        </row>
        <row r="489">
          <cell r="A489" t="str">
            <v>Budget</v>
          </cell>
          <cell r="B489">
            <v>1</v>
          </cell>
          <cell r="C489" t="str">
            <v>Export</v>
          </cell>
          <cell r="D489">
            <v>55</v>
          </cell>
          <cell r="E489">
            <v>5396</v>
          </cell>
          <cell r="F489" t="str">
            <v>MITSUI/YOKOHAMA</v>
          </cell>
          <cell r="G489" t="str">
            <v>E</v>
          </cell>
          <cell r="H489" t="str">
            <v>YOKOHAMA</v>
          </cell>
          <cell r="J489" t="str">
            <v>JAP</v>
          </cell>
          <cell r="K489" t="str">
            <v>MITSUI &amp; COMPANY (EXPORT)</v>
          </cell>
          <cell r="L489" t="str">
            <v>NY</v>
          </cell>
          <cell r="M489" t="str">
            <v>USA</v>
          </cell>
          <cell r="N489" t="str">
            <v>C</v>
          </cell>
          <cell r="O489">
            <v>23060228</v>
          </cell>
          <cell r="P489" t="str">
            <v>DECA BORAX STD 25KG BAG, WOOD</v>
          </cell>
          <cell r="Q489" t="str">
            <v>Deca</v>
          </cell>
          <cell r="R489">
            <v>9.61</v>
          </cell>
          <cell r="S489">
            <v>3437.34</v>
          </cell>
        </row>
        <row r="490">
          <cell r="A490" t="str">
            <v>Budget</v>
          </cell>
          <cell r="B490">
            <v>1</v>
          </cell>
          <cell r="C490" t="str">
            <v>Export</v>
          </cell>
          <cell r="D490">
            <v>55</v>
          </cell>
          <cell r="E490">
            <v>5396</v>
          </cell>
          <cell r="F490" t="str">
            <v>MITSUI/YOKOHAMA</v>
          </cell>
          <cell r="G490" t="str">
            <v>E</v>
          </cell>
          <cell r="H490" t="str">
            <v>YOKOHAMA</v>
          </cell>
          <cell r="J490" t="str">
            <v>JAP</v>
          </cell>
          <cell r="K490" t="str">
            <v>MITSUI &amp; COMPANY (EXPORT)</v>
          </cell>
          <cell r="L490" t="str">
            <v>NY</v>
          </cell>
          <cell r="M490" t="str">
            <v>USA</v>
          </cell>
          <cell r="N490" t="str">
            <v>C</v>
          </cell>
          <cell r="O490">
            <v>24090228</v>
          </cell>
          <cell r="P490" t="str">
            <v>BORIC ACID GRAN 25KG BAG, WOOD</v>
          </cell>
          <cell r="Q490" t="str">
            <v>Boric Acid</v>
          </cell>
          <cell r="R490">
            <v>4.71</v>
          </cell>
          <cell r="S490">
            <v>2774.1</v>
          </cell>
        </row>
        <row r="491">
          <cell r="A491" t="str">
            <v>Budget</v>
          </cell>
          <cell r="B491">
            <v>1</v>
          </cell>
          <cell r="C491" t="str">
            <v>Export</v>
          </cell>
          <cell r="D491">
            <v>55</v>
          </cell>
          <cell r="E491">
            <v>5397</v>
          </cell>
          <cell r="F491" t="str">
            <v>MITSUI/NEG/YOKOHAMA</v>
          </cell>
          <cell r="G491" t="str">
            <v>E</v>
          </cell>
          <cell r="H491" t="str">
            <v>YOKOHAMA</v>
          </cell>
          <cell r="J491" t="str">
            <v>JAP</v>
          </cell>
          <cell r="K491" t="str">
            <v>MITSUI &amp; COMPANY (EXPORT)</v>
          </cell>
          <cell r="L491" t="str">
            <v>NY</v>
          </cell>
          <cell r="M491" t="str">
            <v>USA</v>
          </cell>
          <cell r="N491" t="str">
            <v>C</v>
          </cell>
          <cell r="O491">
            <v>20060255</v>
          </cell>
          <cell r="P491" t="str">
            <v>PYROBOR 1 MT FIBC (002)</v>
          </cell>
          <cell r="Q491" t="str">
            <v>Pyrobor</v>
          </cell>
          <cell r="R491">
            <v>67.22</v>
          </cell>
          <cell r="S491">
            <v>32036.720000000001</v>
          </cell>
        </row>
        <row r="492">
          <cell r="A492" t="str">
            <v>Budget</v>
          </cell>
          <cell r="B492">
            <v>1</v>
          </cell>
          <cell r="C492" t="str">
            <v>Export</v>
          </cell>
          <cell r="D492">
            <v>55</v>
          </cell>
          <cell r="E492">
            <v>5398</v>
          </cell>
          <cell r="F492" t="str">
            <v>MITSUI/NEG/NAGOYA</v>
          </cell>
          <cell r="G492" t="str">
            <v>E</v>
          </cell>
          <cell r="H492" t="str">
            <v>NAGOYA</v>
          </cell>
          <cell r="J492" t="str">
            <v>JAP</v>
          </cell>
          <cell r="K492" t="str">
            <v>MITSUI &amp; COMPANY (EXPORT)</v>
          </cell>
          <cell r="L492" t="str">
            <v>NY</v>
          </cell>
          <cell r="M492" t="str">
            <v>USA</v>
          </cell>
          <cell r="N492" t="str">
            <v>C</v>
          </cell>
          <cell r="O492">
            <v>20060228</v>
          </cell>
          <cell r="P492" t="str">
            <v>PYROBOR 25KG BAG (002), WOOD</v>
          </cell>
          <cell r="Q492" t="str">
            <v>Pyrobor</v>
          </cell>
          <cell r="R492">
            <v>3.73</v>
          </cell>
          <cell r="S492">
            <v>1784.39</v>
          </cell>
        </row>
        <row r="493">
          <cell r="A493" t="str">
            <v>Budget</v>
          </cell>
          <cell r="B493">
            <v>1</v>
          </cell>
          <cell r="C493" t="str">
            <v>Export</v>
          </cell>
          <cell r="D493">
            <v>55</v>
          </cell>
          <cell r="E493">
            <v>5418</v>
          </cell>
          <cell r="F493" t="str">
            <v>TOKAN MATERIAL TECHNOLOGY CO.,</v>
          </cell>
          <cell r="G493" t="str">
            <v>E</v>
          </cell>
          <cell r="H493" t="str">
            <v>HAKATA</v>
          </cell>
          <cell r="J493" t="str">
            <v>JAP</v>
          </cell>
          <cell r="K493" t="str">
            <v>MITSUI &amp; COMPANY (EXPORT)</v>
          </cell>
          <cell r="L493" t="str">
            <v>NY</v>
          </cell>
          <cell r="M493" t="str">
            <v>USA</v>
          </cell>
          <cell r="N493" t="str">
            <v>C</v>
          </cell>
          <cell r="O493">
            <v>20060200</v>
          </cell>
          <cell r="P493" t="str">
            <v>PYROBOR ANHY BORAX BULK (002)</v>
          </cell>
          <cell r="Q493" t="str">
            <v>Pyrobor</v>
          </cell>
          <cell r="R493">
            <v>26.26</v>
          </cell>
          <cell r="S493">
            <v>14289.01</v>
          </cell>
        </row>
        <row r="494">
          <cell r="A494" t="str">
            <v>Budget</v>
          </cell>
          <cell r="B494">
            <v>1</v>
          </cell>
          <cell r="C494" t="str">
            <v>Export</v>
          </cell>
          <cell r="D494">
            <v>55</v>
          </cell>
          <cell r="E494">
            <v>5420</v>
          </cell>
          <cell r="F494" t="str">
            <v>TOKAN MATERIAL TECHNOLOGY CO.,</v>
          </cell>
          <cell r="G494" t="str">
            <v>E</v>
          </cell>
          <cell r="H494" t="str">
            <v>NAGOYA</v>
          </cell>
          <cell r="J494" t="str">
            <v>JAP</v>
          </cell>
          <cell r="K494" t="str">
            <v>MITSUI &amp; COMPANY (EXPORT)</v>
          </cell>
          <cell r="L494" t="str">
            <v>NY</v>
          </cell>
          <cell r="M494" t="str">
            <v>USA</v>
          </cell>
          <cell r="N494" t="str">
            <v>C</v>
          </cell>
          <cell r="O494">
            <v>20310200</v>
          </cell>
          <cell r="P494" t="str">
            <v>PYROBOR 30/100 BULK (002)</v>
          </cell>
          <cell r="Q494" t="str">
            <v>Pyrobor</v>
          </cell>
          <cell r="R494">
            <v>44.59</v>
          </cell>
          <cell r="S494">
            <v>20940.89</v>
          </cell>
        </row>
        <row r="495">
          <cell r="A495" t="str">
            <v>Budget</v>
          </cell>
          <cell r="B495">
            <v>1</v>
          </cell>
          <cell r="C495" t="str">
            <v>Export</v>
          </cell>
          <cell r="D495">
            <v>55</v>
          </cell>
          <cell r="E495">
            <v>5425</v>
          </cell>
          <cell r="F495" t="str">
            <v>MITSUI/NH TECHNO/NAGOYA</v>
          </cell>
          <cell r="G495" t="str">
            <v>E</v>
          </cell>
          <cell r="H495" t="str">
            <v>NAGOYA</v>
          </cell>
          <cell r="J495" t="str">
            <v>JAP</v>
          </cell>
          <cell r="K495" t="str">
            <v>MITSUI &amp; COMPANY (EXPORT)</v>
          </cell>
          <cell r="L495" t="str">
            <v>NY</v>
          </cell>
          <cell r="M495" t="str">
            <v>USA</v>
          </cell>
          <cell r="N495" t="str">
            <v>C</v>
          </cell>
          <cell r="O495">
            <v>24850249</v>
          </cell>
          <cell r="P495" t="str">
            <v>BORIC ACID GRAN, 1 MT FIBC</v>
          </cell>
          <cell r="Q495" t="str">
            <v>Boric Acid</v>
          </cell>
          <cell r="R495">
            <v>39.96</v>
          </cell>
          <cell r="S495">
            <v>19168.45</v>
          </cell>
        </row>
        <row r="496">
          <cell r="A496" t="str">
            <v>Budget</v>
          </cell>
          <cell r="B496">
            <v>1</v>
          </cell>
          <cell r="C496" t="str">
            <v>Export</v>
          </cell>
          <cell r="D496">
            <v>55</v>
          </cell>
          <cell r="E496">
            <v>5428</v>
          </cell>
          <cell r="F496" t="str">
            <v>SHIONOGI/GLASS MIXING</v>
          </cell>
          <cell r="G496" t="str">
            <v>E</v>
          </cell>
          <cell r="H496" t="str">
            <v>YOKOHAMA</v>
          </cell>
          <cell r="J496" t="str">
            <v>JAP</v>
          </cell>
          <cell r="K496" t="str">
            <v>SHIONOGI &amp; COMPANY LTD</v>
          </cell>
          <cell r="M496" t="str">
            <v>JAP</v>
          </cell>
          <cell r="N496" t="str">
            <v>C</v>
          </cell>
          <cell r="O496">
            <v>22060455</v>
          </cell>
          <cell r="P496" t="str">
            <v>V-BOR 1 MT FIBC (004)</v>
          </cell>
          <cell r="Q496" t="str">
            <v>Penta</v>
          </cell>
          <cell r="R496">
            <v>11.2</v>
          </cell>
          <cell r="S496">
            <v>3094.07</v>
          </cell>
        </row>
        <row r="497">
          <cell r="A497" t="str">
            <v>Budget</v>
          </cell>
          <cell r="B497">
            <v>1</v>
          </cell>
          <cell r="C497" t="str">
            <v>Export</v>
          </cell>
          <cell r="D497">
            <v>55</v>
          </cell>
          <cell r="E497">
            <v>5469</v>
          </cell>
          <cell r="F497" t="str">
            <v>FERRO - TOYO</v>
          </cell>
          <cell r="G497" t="str">
            <v>E</v>
          </cell>
          <cell r="H497" t="str">
            <v>KAOHSIUNG</v>
          </cell>
          <cell r="J497" t="str">
            <v>TWN</v>
          </cell>
          <cell r="K497" t="str">
            <v>MITSUI &amp; COMPANY (EXPORT)</v>
          </cell>
          <cell r="L497" t="str">
            <v>NY</v>
          </cell>
          <cell r="M497" t="str">
            <v>USA</v>
          </cell>
          <cell r="N497" t="str">
            <v>C</v>
          </cell>
          <cell r="O497">
            <v>20060280</v>
          </cell>
          <cell r="P497" t="str">
            <v>PYROBOR 1 MT FIBC (002)</v>
          </cell>
          <cell r="Q497" t="str">
            <v>Pyrobor</v>
          </cell>
          <cell r="R497">
            <v>85.9</v>
          </cell>
          <cell r="S497">
            <v>41208.15</v>
          </cell>
        </row>
        <row r="498">
          <cell r="A498" t="str">
            <v>Budget</v>
          </cell>
          <cell r="B498">
            <v>1</v>
          </cell>
          <cell r="C498" t="str">
            <v>Export</v>
          </cell>
          <cell r="D498">
            <v>55</v>
          </cell>
          <cell r="E498">
            <v>7432</v>
          </cell>
          <cell r="F498" t="str">
            <v>GUANGZHOU HUAPO GLASS CO. LTD.</v>
          </cell>
          <cell r="G498" t="str">
            <v>E</v>
          </cell>
          <cell r="H498" t="str">
            <v>HUANGPU GUANGZHOU</v>
          </cell>
          <cell r="J498" t="str">
            <v>CHN</v>
          </cell>
          <cell r="K498" t="str">
            <v>CFA INDUSTRIAL CORP.</v>
          </cell>
          <cell r="L498" t="str">
            <v>CA</v>
          </cell>
          <cell r="M498" t="str">
            <v>USA</v>
          </cell>
          <cell r="N498" t="str">
            <v>C</v>
          </cell>
          <cell r="O498">
            <v>20060240</v>
          </cell>
          <cell r="P498" t="str">
            <v>PYROBOR 50KG BAG (002)</v>
          </cell>
          <cell r="Q498" t="str">
            <v>Pyrobor</v>
          </cell>
          <cell r="R498">
            <v>14.94</v>
          </cell>
          <cell r="S498">
            <v>8753.18</v>
          </cell>
        </row>
        <row r="499">
          <cell r="A499" t="str">
            <v>Budget</v>
          </cell>
          <cell r="B499">
            <v>1</v>
          </cell>
          <cell r="C499" t="str">
            <v>Export</v>
          </cell>
          <cell r="D499">
            <v>55</v>
          </cell>
          <cell r="E499">
            <v>8214</v>
          </cell>
          <cell r="F499" t="str">
            <v>BE INTERNATIONAL CORPORATION</v>
          </cell>
          <cell r="G499" t="str">
            <v>E</v>
          </cell>
          <cell r="H499" t="str">
            <v>OSAKA</v>
          </cell>
          <cell r="J499" t="str">
            <v>JAP</v>
          </cell>
          <cell r="K499" t="str">
            <v>BE INTERNATIONAL CORPORATION</v>
          </cell>
          <cell r="M499" t="str">
            <v>JAP</v>
          </cell>
          <cell r="N499" t="str">
            <v>D</v>
          </cell>
          <cell r="O499" t="str">
            <v>200602B8</v>
          </cell>
          <cell r="P499" t="str">
            <v>PYROBOR 25KG POLYBAG, WOOD</v>
          </cell>
          <cell r="Q499" t="str">
            <v>Pyrobor</v>
          </cell>
          <cell r="R499">
            <v>2.5499999999999998</v>
          </cell>
          <cell r="S499">
            <v>1385.51</v>
          </cell>
        </row>
        <row r="500">
          <cell r="A500" t="str">
            <v>Budget</v>
          </cell>
          <cell r="B500">
            <v>1</v>
          </cell>
          <cell r="C500" t="str">
            <v>Export</v>
          </cell>
          <cell r="D500">
            <v>55</v>
          </cell>
          <cell r="E500">
            <v>8214</v>
          </cell>
          <cell r="F500" t="str">
            <v>BE INTERNATIONAL CORPORATION</v>
          </cell>
          <cell r="G500" t="str">
            <v>E</v>
          </cell>
          <cell r="H500" t="str">
            <v>OSAKA</v>
          </cell>
          <cell r="J500" t="str">
            <v>JAP</v>
          </cell>
          <cell r="K500" t="str">
            <v>BE INTERNATIONAL CORPORATION</v>
          </cell>
          <cell r="M500" t="str">
            <v>JAP</v>
          </cell>
          <cell r="N500" t="str">
            <v>D</v>
          </cell>
          <cell r="O500" t="str">
            <v>230602B8</v>
          </cell>
          <cell r="P500" t="str">
            <v>DECA STD 25KG POLYBAG, WOOD</v>
          </cell>
          <cell r="Q500" t="str">
            <v>Deca</v>
          </cell>
          <cell r="R500">
            <v>4.51</v>
          </cell>
          <cell r="S500">
            <v>1382.89</v>
          </cell>
        </row>
        <row r="501">
          <cell r="A501" t="str">
            <v>Budget</v>
          </cell>
          <cell r="B501">
            <v>1</v>
          </cell>
          <cell r="C501" t="str">
            <v>Export</v>
          </cell>
          <cell r="D501">
            <v>55</v>
          </cell>
          <cell r="E501">
            <v>8214</v>
          </cell>
          <cell r="F501" t="str">
            <v>BE INTERNATIONAL CORPORATION</v>
          </cell>
          <cell r="G501" t="str">
            <v>E</v>
          </cell>
          <cell r="H501" t="str">
            <v>OSAKA</v>
          </cell>
          <cell r="J501" t="str">
            <v>JAP</v>
          </cell>
          <cell r="K501" t="str">
            <v>BE INTERNATIONAL CORPORATION</v>
          </cell>
          <cell r="M501" t="str">
            <v>JAP</v>
          </cell>
          <cell r="N501" t="str">
            <v>D</v>
          </cell>
          <cell r="O501" t="str">
            <v>231602B8</v>
          </cell>
          <cell r="P501" t="str">
            <v>DECA EX CRS 25KG POLYBAG, WOOD</v>
          </cell>
          <cell r="Q501" t="str">
            <v>Deca</v>
          </cell>
          <cell r="R501">
            <v>3.73</v>
          </cell>
          <cell r="S501">
            <v>1124.72</v>
          </cell>
        </row>
        <row r="502">
          <cell r="A502" t="str">
            <v>Budget</v>
          </cell>
          <cell r="B502">
            <v>1</v>
          </cell>
          <cell r="C502" t="str">
            <v>Export</v>
          </cell>
          <cell r="D502">
            <v>55</v>
          </cell>
          <cell r="E502">
            <v>8295</v>
          </cell>
          <cell r="F502" t="str">
            <v>BE INTERNATIONAL CORPORATION</v>
          </cell>
          <cell r="G502" t="str">
            <v>E</v>
          </cell>
          <cell r="H502" t="str">
            <v>NAGOYA</v>
          </cell>
          <cell r="J502" t="str">
            <v>JAP</v>
          </cell>
          <cell r="K502" t="str">
            <v>BE INTERNATIONAL CORPORATION</v>
          </cell>
          <cell r="M502" t="str">
            <v>JAP</v>
          </cell>
          <cell r="N502" t="str">
            <v>C</v>
          </cell>
          <cell r="O502" t="str">
            <v>200602B8</v>
          </cell>
          <cell r="P502" t="str">
            <v>PYROBOR 25KG POLYBAG, WOOD</v>
          </cell>
          <cell r="Q502" t="str">
            <v>Pyrobor</v>
          </cell>
          <cell r="R502">
            <v>3.73</v>
          </cell>
          <cell r="S502">
            <v>2062.09</v>
          </cell>
        </row>
        <row r="503">
          <cell r="A503" t="str">
            <v>Budget</v>
          </cell>
          <cell r="B503">
            <v>1</v>
          </cell>
          <cell r="C503" t="str">
            <v>Export</v>
          </cell>
          <cell r="D503">
            <v>55</v>
          </cell>
          <cell r="E503">
            <v>8295</v>
          </cell>
          <cell r="F503" t="str">
            <v>BE INTERNATIONAL CORPORATION</v>
          </cell>
          <cell r="G503" t="str">
            <v>E</v>
          </cell>
          <cell r="H503" t="str">
            <v>NAGOYA</v>
          </cell>
          <cell r="J503" t="str">
            <v>JAP</v>
          </cell>
          <cell r="K503" t="str">
            <v>BE INTERNATIONAL CORPORATION</v>
          </cell>
          <cell r="M503" t="str">
            <v>JAP</v>
          </cell>
          <cell r="N503" t="str">
            <v>C</v>
          </cell>
          <cell r="O503" t="str">
            <v>230602B8</v>
          </cell>
          <cell r="P503" t="str">
            <v>DECA STD 25KG POLYBAG, WOOD</v>
          </cell>
          <cell r="Q503" t="str">
            <v>Deca</v>
          </cell>
          <cell r="R503">
            <v>4.71</v>
          </cell>
          <cell r="S503">
            <v>1368.15</v>
          </cell>
        </row>
        <row r="504">
          <cell r="A504" t="str">
            <v>Budget</v>
          </cell>
          <cell r="B504">
            <v>1</v>
          </cell>
          <cell r="C504" t="str">
            <v>Export</v>
          </cell>
          <cell r="D504">
            <v>55</v>
          </cell>
          <cell r="E504">
            <v>8295</v>
          </cell>
          <cell r="F504" t="str">
            <v>BE INTERNATIONAL CORPORATION</v>
          </cell>
          <cell r="G504" t="str">
            <v>E</v>
          </cell>
          <cell r="H504" t="str">
            <v>NAGOYA</v>
          </cell>
          <cell r="J504" t="str">
            <v>JAP</v>
          </cell>
          <cell r="K504" t="str">
            <v>BE INTERNATIONAL CORPORATION</v>
          </cell>
          <cell r="M504" t="str">
            <v>JAP</v>
          </cell>
          <cell r="N504" t="str">
            <v>C</v>
          </cell>
          <cell r="O504" t="str">
            <v>231602B8</v>
          </cell>
          <cell r="P504" t="str">
            <v>DECA EX CRS 25KG POLYBAG, WOOD</v>
          </cell>
          <cell r="Q504" t="str">
            <v>Deca</v>
          </cell>
          <cell r="R504">
            <v>2.16</v>
          </cell>
          <cell r="S504">
            <v>651.67999999999995</v>
          </cell>
        </row>
        <row r="505">
          <cell r="A505" t="str">
            <v>Budget</v>
          </cell>
          <cell r="B505">
            <v>1</v>
          </cell>
          <cell r="C505" t="str">
            <v>Export</v>
          </cell>
          <cell r="D505">
            <v>55</v>
          </cell>
          <cell r="E505">
            <v>8480</v>
          </cell>
          <cell r="F505" t="str">
            <v>SHIONOGI/YOUNG VENUS/NAGOYA</v>
          </cell>
          <cell r="G505" t="str">
            <v>E</v>
          </cell>
          <cell r="H505" t="str">
            <v>NAGOYA</v>
          </cell>
          <cell r="J505" t="str">
            <v>JAP</v>
          </cell>
          <cell r="K505" t="str">
            <v>SHIONOGI &amp; COMPANY LTD</v>
          </cell>
          <cell r="M505" t="str">
            <v>JAP</v>
          </cell>
          <cell r="N505" t="str">
            <v>C</v>
          </cell>
          <cell r="O505">
            <v>24090228</v>
          </cell>
          <cell r="P505" t="str">
            <v>BORIC ACID GRAN 25KG BAG, WOOD</v>
          </cell>
          <cell r="Q505" t="str">
            <v>Boric Acid</v>
          </cell>
          <cell r="R505">
            <v>11.18</v>
          </cell>
          <cell r="S505">
            <v>5770.89</v>
          </cell>
        </row>
        <row r="506">
          <cell r="A506" t="str">
            <v>Budget</v>
          </cell>
          <cell r="B506">
            <v>1</v>
          </cell>
          <cell r="C506" t="str">
            <v>Export</v>
          </cell>
          <cell r="D506">
            <v>55</v>
          </cell>
          <cell r="E506">
            <v>8482</v>
          </cell>
          <cell r="F506" t="str">
            <v>SHIONOGI/KURARRAY/OSAKA</v>
          </cell>
          <cell r="G506" t="str">
            <v>E</v>
          </cell>
          <cell r="H506" t="str">
            <v>OSAKA</v>
          </cell>
          <cell r="J506" t="str">
            <v>JAP</v>
          </cell>
          <cell r="K506" t="str">
            <v>SHIONOGI &amp; COMPANY LTD</v>
          </cell>
          <cell r="M506" t="str">
            <v>JAP</v>
          </cell>
          <cell r="N506" t="str">
            <v>C</v>
          </cell>
          <cell r="O506">
            <v>24090255</v>
          </cell>
          <cell r="P506" t="str">
            <v>BORIC ACID GRAN TECH 1 MT FIBC</v>
          </cell>
          <cell r="Q506" t="str">
            <v>Boric Acid</v>
          </cell>
          <cell r="R506">
            <v>3.17</v>
          </cell>
          <cell r="S506">
            <v>1502.23</v>
          </cell>
        </row>
        <row r="507">
          <cell r="A507" t="str">
            <v>Budget</v>
          </cell>
          <cell r="B507">
            <v>1</v>
          </cell>
          <cell r="C507" t="str">
            <v>Export</v>
          </cell>
          <cell r="D507">
            <v>55</v>
          </cell>
          <cell r="E507">
            <v>8662</v>
          </cell>
          <cell r="F507" t="str">
            <v>BE INTERNATIONAL CORPORATION</v>
          </cell>
          <cell r="G507" t="str">
            <v>E</v>
          </cell>
          <cell r="H507" t="str">
            <v>YOKOHAMA</v>
          </cell>
          <cell r="J507" t="str">
            <v>JAP</v>
          </cell>
          <cell r="K507" t="str">
            <v>BE INTERNATIONAL CORPORATION</v>
          </cell>
          <cell r="M507" t="str">
            <v>JAP</v>
          </cell>
          <cell r="N507" t="str">
            <v>D</v>
          </cell>
          <cell r="O507" t="str">
            <v>230602B8</v>
          </cell>
          <cell r="P507" t="str">
            <v>DECA STD 25KG POLYBAG, WOOD</v>
          </cell>
          <cell r="Q507" t="str">
            <v>Deca</v>
          </cell>
          <cell r="R507">
            <v>11.18</v>
          </cell>
          <cell r="S507">
            <v>3359.27</v>
          </cell>
        </row>
        <row r="508">
          <cell r="A508" t="str">
            <v>Budget</v>
          </cell>
          <cell r="B508">
            <v>1</v>
          </cell>
          <cell r="C508" t="str">
            <v>Export</v>
          </cell>
          <cell r="D508">
            <v>55</v>
          </cell>
          <cell r="E508">
            <v>8662</v>
          </cell>
          <cell r="F508" t="str">
            <v>BE INTERNATIONAL CORPORATION</v>
          </cell>
          <cell r="G508" t="str">
            <v>E</v>
          </cell>
          <cell r="H508" t="str">
            <v>YOKOHAMA</v>
          </cell>
          <cell r="J508" t="str">
            <v>JAP</v>
          </cell>
          <cell r="K508" t="str">
            <v>BE INTERNATIONAL CORPORATION</v>
          </cell>
          <cell r="M508" t="str">
            <v>JAP</v>
          </cell>
          <cell r="N508" t="str">
            <v>D</v>
          </cell>
          <cell r="O508" t="str">
            <v>231602B8</v>
          </cell>
          <cell r="P508" t="str">
            <v>DECA EX CRS 25KG POLYBAG, WOOD</v>
          </cell>
          <cell r="Q508" t="str">
            <v>Deca</v>
          </cell>
          <cell r="R508">
            <v>11.18</v>
          </cell>
          <cell r="S508">
            <v>3395.86</v>
          </cell>
        </row>
        <row r="509">
          <cell r="A509" t="str">
            <v>Budget</v>
          </cell>
          <cell r="B509">
            <v>1</v>
          </cell>
          <cell r="C509" t="str">
            <v>Export</v>
          </cell>
          <cell r="D509">
            <v>55</v>
          </cell>
          <cell r="E509">
            <v>8808</v>
          </cell>
          <cell r="F509" t="str">
            <v>BE INTERNATIONAL CORPORATION</v>
          </cell>
          <cell r="G509" t="str">
            <v>E</v>
          </cell>
          <cell r="H509" t="str">
            <v>NAGOYA</v>
          </cell>
          <cell r="J509" t="str">
            <v>JAP</v>
          </cell>
          <cell r="K509" t="str">
            <v>BE INTERNATIONAL CORPORATION</v>
          </cell>
          <cell r="M509" t="str">
            <v>JAP</v>
          </cell>
          <cell r="N509" t="str">
            <v>C</v>
          </cell>
          <cell r="O509" t="str">
            <v>200602B8</v>
          </cell>
          <cell r="P509" t="str">
            <v>PYROBOR 25KG POLYBAG, WOOD</v>
          </cell>
          <cell r="Q509" t="str">
            <v>Pyrobor</v>
          </cell>
          <cell r="R509">
            <v>1.96</v>
          </cell>
          <cell r="S509">
            <v>1091.6099999999999</v>
          </cell>
        </row>
        <row r="510">
          <cell r="A510" t="str">
            <v>Budget</v>
          </cell>
          <cell r="B510">
            <v>1</v>
          </cell>
          <cell r="C510" t="str">
            <v>Export</v>
          </cell>
          <cell r="D510">
            <v>55</v>
          </cell>
          <cell r="E510">
            <v>8816</v>
          </cell>
          <cell r="F510" t="str">
            <v>BE INTERNATIONAL CORPORATION</v>
          </cell>
          <cell r="G510" t="str">
            <v>E</v>
          </cell>
          <cell r="H510" t="str">
            <v>SHIMIZU</v>
          </cell>
          <cell r="J510" t="str">
            <v>JAP</v>
          </cell>
          <cell r="K510" t="str">
            <v>BE INTERNATIONAL CORPORATION</v>
          </cell>
          <cell r="M510" t="str">
            <v>JAP</v>
          </cell>
          <cell r="N510" t="str">
            <v>D</v>
          </cell>
          <cell r="O510">
            <v>24850277</v>
          </cell>
          <cell r="P510" t="str">
            <v>BORIC ACID GRN TECH 775KG FIBC</v>
          </cell>
          <cell r="Q510" t="str">
            <v>Boric Acid</v>
          </cell>
          <cell r="R510">
            <v>8.68</v>
          </cell>
          <cell r="S510">
            <v>4138.92</v>
          </cell>
        </row>
        <row r="511">
          <cell r="A511" t="str">
            <v>Budget</v>
          </cell>
          <cell r="B511">
            <v>1</v>
          </cell>
          <cell r="C511" t="str">
            <v>Export</v>
          </cell>
          <cell r="D511">
            <v>55</v>
          </cell>
          <cell r="E511">
            <v>8818</v>
          </cell>
          <cell r="F511" t="str">
            <v>BE INTERNATIONAL CORPORATION</v>
          </cell>
          <cell r="G511" t="str">
            <v>E</v>
          </cell>
          <cell r="H511" t="str">
            <v>YOKOHAMA</v>
          </cell>
          <cell r="J511" t="str">
            <v>JAP</v>
          </cell>
          <cell r="K511" t="str">
            <v>BE INTERNATIONAL CORPORATION</v>
          </cell>
          <cell r="M511" t="str">
            <v>JAP</v>
          </cell>
          <cell r="N511" t="str">
            <v>D</v>
          </cell>
          <cell r="O511">
            <v>22060428</v>
          </cell>
          <cell r="P511" t="str">
            <v>V-BOR 25KG BAG (004), WOOD</v>
          </cell>
          <cell r="Q511" t="str">
            <v>Penta</v>
          </cell>
          <cell r="R511">
            <v>3.73</v>
          </cell>
          <cell r="S511">
            <v>1030.8800000000001</v>
          </cell>
        </row>
        <row r="512">
          <cell r="A512" t="str">
            <v>Budget</v>
          </cell>
          <cell r="B512">
            <v>1</v>
          </cell>
          <cell r="C512" t="str">
            <v>Export</v>
          </cell>
          <cell r="D512">
            <v>55</v>
          </cell>
          <cell r="E512">
            <v>8818</v>
          </cell>
          <cell r="F512" t="str">
            <v>BE INTERNATIONAL CORPORATION</v>
          </cell>
          <cell r="G512" t="str">
            <v>E</v>
          </cell>
          <cell r="H512" t="str">
            <v>YOKOHAMA</v>
          </cell>
          <cell r="J512" t="str">
            <v>JAP</v>
          </cell>
          <cell r="K512" t="str">
            <v>BE INTERNATIONAL CORPORATION</v>
          </cell>
          <cell r="M512" t="str">
            <v>JAP</v>
          </cell>
          <cell r="N512" t="str">
            <v>D</v>
          </cell>
          <cell r="O512" t="str">
            <v>220604B8</v>
          </cell>
          <cell r="P512" t="str">
            <v>V-BOR 25KG POLYBAG,WOOD (004)</v>
          </cell>
          <cell r="Q512" t="str">
            <v>Penta</v>
          </cell>
          <cell r="R512">
            <v>7.45</v>
          </cell>
          <cell r="S512">
            <v>2021.86</v>
          </cell>
        </row>
        <row r="513">
          <cell r="A513" t="str">
            <v>Budget</v>
          </cell>
          <cell r="B513">
            <v>1</v>
          </cell>
          <cell r="C513" t="str">
            <v>Export</v>
          </cell>
          <cell r="D513">
            <v>55</v>
          </cell>
          <cell r="E513">
            <v>8818</v>
          </cell>
          <cell r="F513" t="str">
            <v>BE INTERNATIONAL CORPORATION</v>
          </cell>
          <cell r="G513" t="str">
            <v>E</v>
          </cell>
          <cell r="H513" t="str">
            <v>YOKOHAMA</v>
          </cell>
          <cell r="J513" t="str">
            <v>JAP</v>
          </cell>
          <cell r="K513" t="str">
            <v>BE INTERNATIONAL CORPORATION</v>
          </cell>
          <cell r="M513" t="str">
            <v>JAP</v>
          </cell>
          <cell r="N513" t="str">
            <v>D</v>
          </cell>
          <cell r="O513">
            <v>24850228</v>
          </cell>
          <cell r="P513" t="str">
            <v>BORIC ACID GRAN 25KG BAG, WOOD</v>
          </cell>
          <cell r="Q513" t="str">
            <v>Boric Acid</v>
          </cell>
          <cell r="R513">
            <v>7.45</v>
          </cell>
          <cell r="S513">
            <v>3407.97</v>
          </cell>
        </row>
        <row r="514">
          <cell r="A514" t="str">
            <v>Budget</v>
          </cell>
          <cell r="B514">
            <v>1</v>
          </cell>
          <cell r="C514" t="str">
            <v>Export</v>
          </cell>
          <cell r="D514">
            <v>55</v>
          </cell>
          <cell r="E514">
            <v>8819</v>
          </cell>
          <cell r="F514" t="str">
            <v>BE INTERNATIONAL CORPORATION</v>
          </cell>
          <cell r="G514" t="str">
            <v>E</v>
          </cell>
          <cell r="H514" t="str">
            <v>YOKOHAMA</v>
          </cell>
          <cell r="J514" t="str">
            <v>JAP</v>
          </cell>
          <cell r="K514" t="str">
            <v>BE INTERNATIONAL CORPORATION</v>
          </cell>
          <cell r="M514" t="str">
            <v>JAP</v>
          </cell>
          <cell r="N514" t="str">
            <v>D</v>
          </cell>
          <cell r="O514" t="str">
            <v>200602B8</v>
          </cell>
          <cell r="P514" t="str">
            <v>PYROBOR 25KG POLYBAG, WOOD</v>
          </cell>
          <cell r="Q514" t="str">
            <v>Pyrobor</v>
          </cell>
          <cell r="R514">
            <v>7.45</v>
          </cell>
          <cell r="S514">
            <v>4157.05</v>
          </cell>
        </row>
        <row r="515">
          <cell r="A515" t="str">
            <v>Budget</v>
          </cell>
          <cell r="B515">
            <v>1</v>
          </cell>
          <cell r="C515" t="str">
            <v>Export</v>
          </cell>
          <cell r="D515">
            <v>55</v>
          </cell>
          <cell r="E515">
            <v>8866</v>
          </cell>
          <cell r="F515" t="str">
            <v>BE INTERNATIONAL CORPORATION</v>
          </cell>
          <cell r="G515" t="str">
            <v>E</v>
          </cell>
          <cell r="H515" t="str">
            <v>OSAKA</v>
          </cell>
          <cell r="J515" t="str">
            <v>JAP</v>
          </cell>
          <cell r="K515" t="str">
            <v>BE INTERNATIONAL CORPORATION</v>
          </cell>
          <cell r="M515" t="str">
            <v>JAP</v>
          </cell>
          <cell r="N515" t="str">
            <v>D</v>
          </cell>
          <cell r="O515">
            <v>20060255</v>
          </cell>
          <cell r="P515" t="str">
            <v>PYROBOR 1 MT FIBC (002)</v>
          </cell>
          <cell r="Q515" t="str">
            <v>Pyrobor</v>
          </cell>
          <cell r="R515">
            <v>1.1200000000000001</v>
          </cell>
          <cell r="S515">
            <v>582.48</v>
          </cell>
        </row>
        <row r="516">
          <cell r="A516" t="str">
            <v>Budget</v>
          </cell>
          <cell r="B516">
            <v>1</v>
          </cell>
          <cell r="C516" t="str">
            <v>Export</v>
          </cell>
          <cell r="D516">
            <v>55</v>
          </cell>
          <cell r="E516">
            <v>8866</v>
          </cell>
          <cell r="F516" t="str">
            <v>BE INTERNATIONAL CORPORATION</v>
          </cell>
          <cell r="G516" t="str">
            <v>E</v>
          </cell>
          <cell r="H516" t="str">
            <v>OSAKA</v>
          </cell>
          <cell r="J516" t="str">
            <v>JAP</v>
          </cell>
          <cell r="K516" t="str">
            <v>BE INTERNATIONAL CORPORATION</v>
          </cell>
          <cell r="M516" t="str">
            <v>JAP</v>
          </cell>
          <cell r="N516" t="str">
            <v>D</v>
          </cell>
          <cell r="O516" t="str">
            <v>200602B8</v>
          </cell>
          <cell r="P516" t="str">
            <v>PYROBOR 25KG POLYBAG, WOOD</v>
          </cell>
          <cell r="Q516" t="str">
            <v>Pyrobor</v>
          </cell>
          <cell r="R516">
            <v>1.96</v>
          </cell>
          <cell r="S516">
            <v>1091.6099999999999</v>
          </cell>
        </row>
        <row r="517">
          <cell r="A517" t="str">
            <v>Budget</v>
          </cell>
          <cell r="B517">
            <v>1</v>
          </cell>
          <cell r="C517" t="str">
            <v>Export</v>
          </cell>
          <cell r="D517">
            <v>55</v>
          </cell>
          <cell r="E517">
            <v>8866</v>
          </cell>
          <cell r="F517" t="str">
            <v>BE INTERNATIONAL CORPORATION</v>
          </cell>
          <cell r="G517" t="str">
            <v>E</v>
          </cell>
          <cell r="H517" t="str">
            <v>OSAKA</v>
          </cell>
          <cell r="J517" t="str">
            <v>JAP</v>
          </cell>
          <cell r="K517" t="str">
            <v>BE INTERNATIONAL CORPORATION</v>
          </cell>
          <cell r="M517" t="str">
            <v>JAP</v>
          </cell>
          <cell r="N517" t="str">
            <v>D</v>
          </cell>
          <cell r="O517">
            <v>22060455</v>
          </cell>
          <cell r="P517" t="str">
            <v>V-BOR 1 MT FIBC (004)</v>
          </cell>
          <cell r="Q517" t="str">
            <v>Penta</v>
          </cell>
          <cell r="R517">
            <v>1.1200000000000001</v>
          </cell>
          <cell r="S517">
            <v>280.08999999999997</v>
          </cell>
        </row>
        <row r="518">
          <cell r="A518" t="str">
            <v>Budget</v>
          </cell>
          <cell r="B518">
            <v>1</v>
          </cell>
          <cell r="C518" t="str">
            <v>Export</v>
          </cell>
          <cell r="D518">
            <v>55</v>
          </cell>
          <cell r="E518">
            <v>8866</v>
          </cell>
          <cell r="F518" t="str">
            <v>BE INTERNATIONAL CORPORATION</v>
          </cell>
          <cell r="G518" t="str">
            <v>E</v>
          </cell>
          <cell r="H518" t="str">
            <v>OSAKA</v>
          </cell>
          <cell r="J518" t="str">
            <v>JAP</v>
          </cell>
          <cell r="K518" t="str">
            <v>BE INTERNATIONAL CORPORATION</v>
          </cell>
          <cell r="M518" t="str">
            <v>JAP</v>
          </cell>
          <cell r="N518" t="str">
            <v>D</v>
          </cell>
          <cell r="O518">
            <v>24850228</v>
          </cell>
          <cell r="P518" t="str">
            <v>BORIC ACID GRAN 25KG BAG, WOOD</v>
          </cell>
          <cell r="Q518" t="str">
            <v>Boric Acid</v>
          </cell>
          <cell r="R518">
            <v>7.45</v>
          </cell>
          <cell r="S518">
            <v>3386.28</v>
          </cell>
        </row>
        <row r="519">
          <cell r="A519" t="str">
            <v>Budget</v>
          </cell>
          <cell r="B519">
            <v>1</v>
          </cell>
          <cell r="C519" t="str">
            <v>Export</v>
          </cell>
          <cell r="D519">
            <v>55</v>
          </cell>
          <cell r="E519">
            <v>8933</v>
          </cell>
          <cell r="F519" t="str">
            <v>ALWAYS STAR CO., LTD.</v>
          </cell>
          <cell r="G519" t="str">
            <v>E</v>
          </cell>
          <cell r="H519" t="str">
            <v>TAIPEI</v>
          </cell>
          <cell r="J519" t="str">
            <v>TWN</v>
          </cell>
          <cell r="K519" t="str">
            <v>ALWAYS STAR CO., LTD.</v>
          </cell>
          <cell r="M519" t="str">
            <v>TWN</v>
          </cell>
          <cell r="N519" t="str">
            <v>D</v>
          </cell>
          <cell r="O519">
            <v>20150228</v>
          </cell>
          <cell r="P519" t="str">
            <v>PYROBOR COARSE 25KG (002) WOOD</v>
          </cell>
          <cell r="Q519" t="str">
            <v>Pyrobor</v>
          </cell>
          <cell r="R519">
            <v>67.05</v>
          </cell>
          <cell r="S519">
            <v>40202.339999999997</v>
          </cell>
        </row>
        <row r="520">
          <cell r="A520" t="str">
            <v>Budget</v>
          </cell>
          <cell r="B520">
            <v>1</v>
          </cell>
          <cell r="C520" t="str">
            <v>Export</v>
          </cell>
          <cell r="D520">
            <v>55</v>
          </cell>
          <cell r="E520">
            <v>8933</v>
          </cell>
          <cell r="F520" t="str">
            <v>ALWAYS STAR CO., LTD.</v>
          </cell>
          <cell r="G520" t="str">
            <v>E</v>
          </cell>
          <cell r="H520" t="str">
            <v>TAIPEI</v>
          </cell>
          <cell r="J520" t="str">
            <v>TWN</v>
          </cell>
          <cell r="K520" t="str">
            <v>ALWAYS STAR CO., LTD.</v>
          </cell>
          <cell r="M520" t="str">
            <v>TWN</v>
          </cell>
          <cell r="N520" t="str">
            <v>D</v>
          </cell>
          <cell r="O520">
            <v>22060428</v>
          </cell>
          <cell r="P520" t="str">
            <v>V-BOR 25KG BAG (004), WOOD</v>
          </cell>
          <cell r="Q520" t="str">
            <v>Penta</v>
          </cell>
          <cell r="R520">
            <v>3.73</v>
          </cell>
          <cell r="S520">
            <v>913.23</v>
          </cell>
        </row>
        <row r="521">
          <cell r="A521" t="str">
            <v>Budget</v>
          </cell>
          <cell r="B521">
            <v>1</v>
          </cell>
          <cell r="C521" t="str">
            <v>Export</v>
          </cell>
          <cell r="D521">
            <v>55</v>
          </cell>
          <cell r="E521">
            <v>8933</v>
          </cell>
          <cell r="F521" t="str">
            <v>ALWAYS STAR CO., LTD.</v>
          </cell>
          <cell r="G521" t="str">
            <v>E</v>
          </cell>
          <cell r="H521" t="str">
            <v>TAIPEI</v>
          </cell>
          <cell r="J521" t="str">
            <v>TWN</v>
          </cell>
          <cell r="K521" t="str">
            <v>ALWAYS STAR CO., LTD.</v>
          </cell>
          <cell r="M521" t="str">
            <v>TWN</v>
          </cell>
          <cell r="N521" t="str">
            <v>D</v>
          </cell>
          <cell r="O521">
            <v>23160228</v>
          </cell>
          <cell r="P521" t="str">
            <v>DECA BORAX X CRS 25KG BAG WOOD</v>
          </cell>
          <cell r="Q521" t="str">
            <v>Deca</v>
          </cell>
          <cell r="R521">
            <v>14.7</v>
          </cell>
          <cell r="S521">
            <v>3612.98</v>
          </cell>
        </row>
        <row r="522">
          <cell r="A522" t="str">
            <v>Budget</v>
          </cell>
          <cell r="B522">
            <v>1</v>
          </cell>
          <cell r="C522" t="str">
            <v>Export</v>
          </cell>
          <cell r="D522">
            <v>55</v>
          </cell>
          <cell r="E522">
            <v>8933</v>
          </cell>
          <cell r="F522" t="str">
            <v>ALWAYS STAR CO., LTD.</v>
          </cell>
          <cell r="G522" t="str">
            <v>E</v>
          </cell>
          <cell r="H522" t="str">
            <v>TAIPEI</v>
          </cell>
          <cell r="J522" t="str">
            <v>TWN</v>
          </cell>
          <cell r="K522" t="str">
            <v>ALWAYS STAR CO., LTD.</v>
          </cell>
          <cell r="M522" t="str">
            <v>TWN</v>
          </cell>
          <cell r="N522" t="str">
            <v>D</v>
          </cell>
          <cell r="O522">
            <v>24090228</v>
          </cell>
          <cell r="P522" t="str">
            <v>BORIC ACID GRAN 25KG BAG, WOOD</v>
          </cell>
          <cell r="Q522" t="str">
            <v>Boric Acid</v>
          </cell>
          <cell r="R522">
            <v>14.9</v>
          </cell>
          <cell r="S522">
            <v>5832.57</v>
          </cell>
        </row>
        <row r="523">
          <cell r="A523" t="str">
            <v>Budget</v>
          </cell>
          <cell r="B523">
            <v>1</v>
          </cell>
          <cell r="C523" t="str">
            <v>Export</v>
          </cell>
          <cell r="D523">
            <v>55</v>
          </cell>
          <cell r="E523">
            <v>8986</v>
          </cell>
          <cell r="F523" t="str">
            <v>BEHN MEYER INTERNATIONAL</v>
          </cell>
          <cell r="G523" t="str">
            <v>E</v>
          </cell>
          <cell r="H523" t="str">
            <v>SINGAPORE</v>
          </cell>
          <cell r="J523" t="str">
            <v>SIN</v>
          </cell>
          <cell r="K523" t="str">
            <v>BEHN MEYER INTERNATIONAL</v>
          </cell>
          <cell r="M523" t="str">
            <v>SIN</v>
          </cell>
          <cell r="N523" t="str">
            <v>D</v>
          </cell>
          <cell r="O523">
            <v>24090261</v>
          </cell>
          <cell r="P523" t="str">
            <v>BORIC ACID GRN TCH 1000LB FIBC</v>
          </cell>
          <cell r="Q523" t="str">
            <v>Boric Acid</v>
          </cell>
          <cell r="R523">
            <v>1.69</v>
          </cell>
          <cell r="S523">
            <v>959.29</v>
          </cell>
        </row>
        <row r="524">
          <cell r="A524" t="str">
            <v>Budget</v>
          </cell>
          <cell r="B524">
            <v>1</v>
          </cell>
          <cell r="C524" t="str">
            <v>Export</v>
          </cell>
          <cell r="D524">
            <v>55</v>
          </cell>
          <cell r="E524">
            <v>8988</v>
          </cell>
          <cell r="F524" t="str">
            <v>NUFARM TECHNOLOGIES (M)SDN BHD</v>
          </cell>
          <cell r="G524" t="str">
            <v>E</v>
          </cell>
          <cell r="H524" t="str">
            <v>PETALING JAYA</v>
          </cell>
          <cell r="J524" t="str">
            <v>MAL</v>
          </cell>
          <cell r="K524" t="str">
            <v>BEHN MEYER INTERNATIONAL</v>
          </cell>
          <cell r="M524" t="str">
            <v>SIN</v>
          </cell>
          <cell r="N524" t="str">
            <v>C</v>
          </cell>
          <cell r="O524">
            <v>22060420</v>
          </cell>
          <cell r="P524" t="str">
            <v>V-BOR 25KG BAG (004)</v>
          </cell>
          <cell r="Q524" t="str">
            <v>Penta</v>
          </cell>
          <cell r="R524">
            <v>7.45</v>
          </cell>
          <cell r="S524">
            <v>1762.26</v>
          </cell>
        </row>
        <row r="525">
          <cell r="A525" t="str">
            <v>Budget</v>
          </cell>
          <cell r="B525">
            <v>1</v>
          </cell>
          <cell r="C525" t="str">
            <v>Export</v>
          </cell>
          <cell r="D525">
            <v>55</v>
          </cell>
          <cell r="E525">
            <v>8988</v>
          </cell>
          <cell r="F525" t="str">
            <v>NUFARM TECHNOLOGIES (M)SDN BHD</v>
          </cell>
          <cell r="G525" t="str">
            <v>E</v>
          </cell>
          <cell r="H525" t="str">
            <v>PETALING JAYA</v>
          </cell>
          <cell r="J525" t="str">
            <v>MAL</v>
          </cell>
          <cell r="K525" t="str">
            <v>BEHN MEYER INTERNATIONAL</v>
          </cell>
          <cell r="M525" t="str">
            <v>SIN</v>
          </cell>
          <cell r="N525" t="str">
            <v>C</v>
          </cell>
          <cell r="O525" t="str">
            <v>220604B0</v>
          </cell>
          <cell r="P525" t="str">
            <v>V-BOR 25 KG POLYBAG (004)</v>
          </cell>
          <cell r="Q525" t="str">
            <v>Penta</v>
          </cell>
          <cell r="R525">
            <v>22.35</v>
          </cell>
          <cell r="S525">
            <v>5292.36</v>
          </cell>
        </row>
        <row r="526">
          <cell r="A526" t="str">
            <v>Budget</v>
          </cell>
          <cell r="B526">
            <v>1</v>
          </cell>
          <cell r="C526" t="str">
            <v>Export</v>
          </cell>
          <cell r="D526">
            <v>55</v>
          </cell>
          <cell r="E526">
            <v>8988</v>
          </cell>
          <cell r="F526" t="str">
            <v>NUFARM TECHNOLOGIES (M)SDN BHD</v>
          </cell>
          <cell r="G526" t="str">
            <v>E</v>
          </cell>
          <cell r="H526" t="str">
            <v>PETALING JAYA</v>
          </cell>
          <cell r="J526" t="str">
            <v>MAL</v>
          </cell>
          <cell r="K526" t="str">
            <v>BEHN MEYER INTERNATIONAL</v>
          </cell>
          <cell r="M526" t="str">
            <v>SIN</v>
          </cell>
          <cell r="N526" t="str">
            <v>C</v>
          </cell>
          <cell r="O526">
            <v>23060220</v>
          </cell>
          <cell r="P526" t="str">
            <v>DECA BORAX STD 25KG BAG</v>
          </cell>
          <cell r="Q526" t="str">
            <v>Deca</v>
          </cell>
          <cell r="R526">
            <v>11.18</v>
          </cell>
          <cell r="S526">
            <v>2645.25</v>
          </cell>
        </row>
        <row r="527">
          <cell r="A527" t="str">
            <v>Budget</v>
          </cell>
          <cell r="B527">
            <v>1</v>
          </cell>
          <cell r="C527" t="str">
            <v>Export</v>
          </cell>
          <cell r="D527">
            <v>55</v>
          </cell>
          <cell r="E527">
            <v>8988</v>
          </cell>
          <cell r="F527" t="str">
            <v>NUFARM TECHNOLOGIES (M)SDN BHD</v>
          </cell>
          <cell r="G527" t="str">
            <v>E</v>
          </cell>
          <cell r="H527" t="str">
            <v>PETALING JAYA</v>
          </cell>
          <cell r="J527" t="str">
            <v>MAL</v>
          </cell>
          <cell r="K527" t="str">
            <v>BEHN MEYER INTERNATIONAL</v>
          </cell>
          <cell r="M527" t="str">
            <v>SIN</v>
          </cell>
          <cell r="N527" t="str">
            <v>C</v>
          </cell>
          <cell r="O527">
            <v>24090220</v>
          </cell>
          <cell r="P527" t="str">
            <v>BORIC ACID GRAN TECH 25KG BAG</v>
          </cell>
          <cell r="Q527" t="str">
            <v>Boric Acid</v>
          </cell>
          <cell r="R527">
            <v>22.35</v>
          </cell>
          <cell r="S527">
            <v>7819.54</v>
          </cell>
        </row>
        <row r="528">
          <cell r="A528" t="str">
            <v>Budget</v>
          </cell>
          <cell r="B528">
            <v>1</v>
          </cell>
          <cell r="C528" t="str">
            <v>Export</v>
          </cell>
          <cell r="D528">
            <v>55</v>
          </cell>
          <cell r="E528">
            <v>8997</v>
          </cell>
          <cell r="F528" t="str">
            <v>YUE HO GLASS., LTD</v>
          </cell>
          <cell r="G528" t="str">
            <v>E</v>
          </cell>
          <cell r="H528" t="str">
            <v>KEELUNG</v>
          </cell>
          <cell r="J528" t="str">
            <v>TWN</v>
          </cell>
          <cell r="K528" t="str">
            <v>HLC INTERNATIONAL CORPORATION</v>
          </cell>
          <cell r="M528" t="str">
            <v>TWN</v>
          </cell>
          <cell r="N528" t="str">
            <v>C</v>
          </cell>
          <cell r="O528">
            <v>20150228</v>
          </cell>
          <cell r="P528" t="str">
            <v>PYROBOR COARSE 25KG (002) WOOD</v>
          </cell>
          <cell r="Q528" t="str">
            <v>Pyrobor</v>
          </cell>
          <cell r="R528">
            <v>22.35</v>
          </cell>
          <cell r="S528">
            <v>14918.11</v>
          </cell>
        </row>
        <row r="529">
          <cell r="A529" t="str">
            <v>Budget</v>
          </cell>
          <cell r="B529">
            <v>1</v>
          </cell>
          <cell r="C529" t="str">
            <v>Export</v>
          </cell>
          <cell r="D529">
            <v>55</v>
          </cell>
          <cell r="E529">
            <v>8997</v>
          </cell>
          <cell r="F529" t="str">
            <v>YUE HO GLASS., LTD</v>
          </cell>
          <cell r="G529" t="str">
            <v>E</v>
          </cell>
          <cell r="H529" t="str">
            <v>KEELUNG</v>
          </cell>
          <cell r="J529" t="str">
            <v>TWN</v>
          </cell>
          <cell r="K529" t="str">
            <v>HLC INTERNATIONAL CORPORATION</v>
          </cell>
          <cell r="M529" t="str">
            <v>TWN</v>
          </cell>
          <cell r="N529" t="str">
            <v>C</v>
          </cell>
          <cell r="O529">
            <v>24090228</v>
          </cell>
          <cell r="P529" t="str">
            <v>BORIC ACID GRAN 25KG BAG, WOOD</v>
          </cell>
          <cell r="Q529" t="str">
            <v>Boric Acid</v>
          </cell>
          <cell r="R529">
            <v>3.73</v>
          </cell>
          <cell r="S529">
            <v>1913.7</v>
          </cell>
        </row>
        <row r="530">
          <cell r="A530" t="str">
            <v>Budget</v>
          </cell>
          <cell r="B530">
            <v>1</v>
          </cell>
          <cell r="C530" t="str">
            <v>Export</v>
          </cell>
          <cell r="D530">
            <v>55</v>
          </cell>
          <cell r="E530">
            <v>8998</v>
          </cell>
          <cell r="F530" t="str">
            <v>Le CHOU ENTERPRISE CO., LTD.</v>
          </cell>
          <cell r="G530" t="str">
            <v>E</v>
          </cell>
          <cell r="H530" t="str">
            <v>KAOHSIUNG</v>
          </cell>
          <cell r="J530" t="str">
            <v>TWN</v>
          </cell>
          <cell r="K530" t="str">
            <v>HLC INTERNATIONAL CORPORATION</v>
          </cell>
          <cell r="M530" t="str">
            <v>TWN</v>
          </cell>
          <cell r="N530" t="str">
            <v>C</v>
          </cell>
          <cell r="O530">
            <v>23060220</v>
          </cell>
          <cell r="P530" t="str">
            <v>DECA BORAX STD 25KG BAG</v>
          </cell>
          <cell r="Q530" t="str">
            <v>Deca</v>
          </cell>
          <cell r="R530">
            <v>3.73</v>
          </cell>
          <cell r="S530">
            <v>1389.92</v>
          </cell>
        </row>
        <row r="531">
          <cell r="A531" t="str">
            <v>Budget</v>
          </cell>
          <cell r="B531">
            <v>1</v>
          </cell>
          <cell r="C531" t="str">
            <v>Export</v>
          </cell>
          <cell r="D531">
            <v>55</v>
          </cell>
          <cell r="E531">
            <v>9001</v>
          </cell>
          <cell r="F531" t="str">
            <v>TAIWAN FLUORESCENT LAMP CO LTD</v>
          </cell>
          <cell r="G531" t="str">
            <v>E</v>
          </cell>
          <cell r="H531" t="str">
            <v>KEELUNG</v>
          </cell>
          <cell r="J531" t="str">
            <v>TWN</v>
          </cell>
          <cell r="K531" t="str">
            <v>HLC INTERNATIONAL CORPORATION</v>
          </cell>
          <cell r="M531" t="str">
            <v>TWN</v>
          </cell>
          <cell r="N531" t="str">
            <v>C</v>
          </cell>
          <cell r="O531">
            <v>20310228</v>
          </cell>
          <cell r="P531" t="str">
            <v>PYROBOR 30/100 25KG (002) WOOD</v>
          </cell>
          <cell r="Q531" t="str">
            <v>Pyrobor</v>
          </cell>
          <cell r="R531">
            <v>11.18</v>
          </cell>
          <cell r="S531">
            <v>8139.45</v>
          </cell>
        </row>
        <row r="532">
          <cell r="A532" t="str">
            <v>Budget</v>
          </cell>
          <cell r="B532">
            <v>1</v>
          </cell>
          <cell r="C532" t="str">
            <v>Export</v>
          </cell>
          <cell r="D532">
            <v>55</v>
          </cell>
          <cell r="E532">
            <v>9005</v>
          </cell>
          <cell r="F532" t="str">
            <v>LEN YIH TRADING Co., LTD.</v>
          </cell>
          <cell r="G532" t="str">
            <v>E</v>
          </cell>
          <cell r="H532" t="str">
            <v>TAIPEI</v>
          </cell>
          <cell r="J532" t="str">
            <v>TWN</v>
          </cell>
          <cell r="K532" t="str">
            <v>HLC INTERNATIONAL CORPORATION</v>
          </cell>
          <cell r="M532" t="str">
            <v>TWN</v>
          </cell>
          <cell r="N532" t="str">
            <v>C</v>
          </cell>
          <cell r="O532">
            <v>23060228</v>
          </cell>
          <cell r="P532" t="str">
            <v>DECA BORAX STD 25KG BAG, WOOD</v>
          </cell>
          <cell r="Q532" t="str">
            <v>Deca</v>
          </cell>
          <cell r="R532">
            <v>14.51</v>
          </cell>
          <cell r="S532">
            <v>4950.66</v>
          </cell>
        </row>
        <row r="533">
          <cell r="A533" t="str">
            <v>Budget</v>
          </cell>
          <cell r="B533">
            <v>1</v>
          </cell>
          <cell r="C533" t="str">
            <v>Export</v>
          </cell>
          <cell r="D533">
            <v>55</v>
          </cell>
          <cell r="E533">
            <v>9005</v>
          </cell>
          <cell r="F533" t="str">
            <v>LEN YIH TRADING Co., LTD.</v>
          </cell>
          <cell r="G533" t="str">
            <v>E</v>
          </cell>
          <cell r="H533" t="str">
            <v>TAIPEI</v>
          </cell>
          <cell r="J533" t="str">
            <v>TWN</v>
          </cell>
          <cell r="K533" t="str">
            <v>HLC INTERNATIONAL CORPORATION</v>
          </cell>
          <cell r="M533" t="str">
            <v>TWN</v>
          </cell>
          <cell r="N533" t="str">
            <v>C</v>
          </cell>
          <cell r="O533">
            <v>24090228</v>
          </cell>
          <cell r="P533" t="str">
            <v>BORIC ACID GRAN 25KG BAG, WOOD</v>
          </cell>
          <cell r="Q533" t="str">
            <v>Boric Acid</v>
          </cell>
          <cell r="R533">
            <v>0.39</v>
          </cell>
          <cell r="S533">
            <v>212.11</v>
          </cell>
        </row>
        <row r="534">
          <cell r="A534" t="str">
            <v>Budget</v>
          </cell>
          <cell r="B534">
            <v>1</v>
          </cell>
          <cell r="C534" t="str">
            <v>Export</v>
          </cell>
          <cell r="D534">
            <v>55</v>
          </cell>
          <cell r="E534">
            <v>9007</v>
          </cell>
          <cell r="F534" t="str">
            <v>LAN FONG COMPANY CO., LTD.</v>
          </cell>
          <cell r="G534" t="str">
            <v>E</v>
          </cell>
          <cell r="H534" t="str">
            <v>KAOHSIUNG</v>
          </cell>
          <cell r="J534" t="str">
            <v>TWN</v>
          </cell>
          <cell r="K534" t="str">
            <v>HLC INTERNATIONAL CORPORATION</v>
          </cell>
          <cell r="M534" t="str">
            <v>TWN</v>
          </cell>
          <cell r="N534" t="str">
            <v>C</v>
          </cell>
          <cell r="O534">
            <v>23160228</v>
          </cell>
          <cell r="P534" t="str">
            <v>DECA BORAX X CRS 25KG BAG WOOD</v>
          </cell>
          <cell r="Q534" t="str">
            <v>Deca</v>
          </cell>
          <cell r="R534">
            <v>3.73</v>
          </cell>
          <cell r="S534">
            <v>1386.19</v>
          </cell>
        </row>
        <row r="535">
          <cell r="A535" t="str">
            <v>Budget</v>
          </cell>
          <cell r="B535">
            <v>1</v>
          </cell>
          <cell r="C535" t="str">
            <v>Export</v>
          </cell>
          <cell r="D535">
            <v>55</v>
          </cell>
          <cell r="E535">
            <v>9012</v>
          </cell>
          <cell r="F535" t="str">
            <v>BE INTERNATIONAL CORPORATION</v>
          </cell>
          <cell r="G535" t="str">
            <v>E</v>
          </cell>
          <cell r="H535" t="str">
            <v>MOJI</v>
          </cell>
          <cell r="J535" t="str">
            <v>JAP</v>
          </cell>
          <cell r="K535" t="str">
            <v>BE INTERNATIONAL CORPORATION</v>
          </cell>
          <cell r="M535" t="str">
            <v>JAP</v>
          </cell>
          <cell r="N535" t="str">
            <v>D</v>
          </cell>
          <cell r="O535">
            <v>24850228</v>
          </cell>
          <cell r="P535" t="str">
            <v>BORIC ACID GRAN 25KG BAG, WOOD</v>
          </cell>
          <cell r="Q535" t="str">
            <v>Boric Acid</v>
          </cell>
          <cell r="R535">
            <v>1.96</v>
          </cell>
          <cell r="S535">
            <v>865.84</v>
          </cell>
        </row>
        <row r="536">
          <cell r="A536" t="str">
            <v>Budget</v>
          </cell>
          <cell r="B536">
            <v>1</v>
          </cell>
          <cell r="C536" t="str">
            <v>Export</v>
          </cell>
          <cell r="D536">
            <v>55</v>
          </cell>
          <cell r="E536">
            <v>9013</v>
          </cell>
          <cell r="F536" t="str">
            <v>MITSUI/NH TECHNO/YOKOHAMA</v>
          </cell>
          <cell r="G536" t="str">
            <v>E</v>
          </cell>
          <cell r="H536" t="str">
            <v>YOKOHAMA</v>
          </cell>
          <cell r="J536" t="str">
            <v>JAP</v>
          </cell>
          <cell r="K536" t="str">
            <v>MITSUI &amp; COMPANY (EXPORT)</v>
          </cell>
          <cell r="L536" t="str">
            <v>NY</v>
          </cell>
          <cell r="M536" t="str">
            <v>USA</v>
          </cell>
          <cell r="N536" t="str">
            <v>C</v>
          </cell>
          <cell r="O536">
            <v>24850229</v>
          </cell>
          <cell r="P536" t="str">
            <v>BORIC ACID GRAN 25KG BAG WOOD</v>
          </cell>
          <cell r="Q536" t="str">
            <v>Boric Acid</v>
          </cell>
          <cell r="R536">
            <v>67</v>
          </cell>
          <cell r="S536">
            <v>31931.18</v>
          </cell>
        </row>
        <row r="537">
          <cell r="A537" t="str">
            <v>Budget</v>
          </cell>
          <cell r="B537">
            <v>1</v>
          </cell>
          <cell r="C537" t="str">
            <v>Export</v>
          </cell>
          <cell r="D537">
            <v>55</v>
          </cell>
          <cell r="E537">
            <v>9021</v>
          </cell>
          <cell r="F537" t="str">
            <v>MC INDUSTRIAL CHEMICAL CO. LTD</v>
          </cell>
          <cell r="G537" t="str">
            <v>E</v>
          </cell>
          <cell r="H537" t="str">
            <v>BANGKOK</v>
          </cell>
          <cell r="J537" t="str">
            <v>THA</v>
          </cell>
          <cell r="K537" t="str">
            <v>MC INDUSTRIAL CHEMICAL CO. LTD</v>
          </cell>
          <cell r="M537" t="str">
            <v>THA</v>
          </cell>
          <cell r="N537" t="str">
            <v>C</v>
          </cell>
          <cell r="O537">
            <v>22060428</v>
          </cell>
          <cell r="P537" t="str">
            <v>V-BOR 25KG BAG (004), WOOD</v>
          </cell>
          <cell r="Q537" t="str">
            <v>Penta</v>
          </cell>
          <cell r="R537">
            <v>104.3</v>
          </cell>
          <cell r="S537">
            <v>30574.22</v>
          </cell>
        </row>
        <row r="538">
          <cell r="A538" t="str">
            <v>Budget</v>
          </cell>
          <cell r="B538">
            <v>1</v>
          </cell>
          <cell r="C538" t="str">
            <v>Export</v>
          </cell>
          <cell r="D538">
            <v>55</v>
          </cell>
          <cell r="E538">
            <v>9021</v>
          </cell>
          <cell r="F538" t="str">
            <v>MC INDUSTRIAL CHEMICAL CO. LTD</v>
          </cell>
          <cell r="G538" t="str">
            <v>E</v>
          </cell>
          <cell r="H538" t="str">
            <v>BANGKOK</v>
          </cell>
          <cell r="J538" t="str">
            <v>THA</v>
          </cell>
          <cell r="K538" t="str">
            <v>MC INDUSTRIAL CHEMICAL CO. LTD</v>
          </cell>
          <cell r="M538" t="str">
            <v>THA</v>
          </cell>
          <cell r="N538" t="str">
            <v>C</v>
          </cell>
          <cell r="O538">
            <v>23060228</v>
          </cell>
          <cell r="P538" t="str">
            <v>DECA BORAX STD 25KG BAG, WOOD</v>
          </cell>
          <cell r="Q538" t="str">
            <v>Deca</v>
          </cell>
          <cell r="R538">
            <v>100.58</v>
          </cell>
          <cell r="S538">
            <v>26237.48</v>
          </cell>
        </row>
        <row r="539">
          <cell r="A539" t="str">
            <v>Budget</v>
          </cell>
          <cell r="B539">
            <v>1</v>
          </cell>
          <cell r="C539" t="str">
            <v>Export</v>
          </cell>
          <cell r="D539">
            <v>55</v>
          </cell>
          <cell r="E539">
            <v>9021</v>
          </cell>
          <cell r="F539" t="str">
            <v>MC INDUSTRIAL CHEMICAL CO. LTD</v>
          </cell>
          <cell r="G539" t="str">
            <v>E</v>
          </cell>
          <cell r="H539" t="str">
            <v>BANGKOK</v>
          </cell>
          <cell r="J539" t="str">
            <v>THA</v>
          </cell>
          <cell r="K539" t="str">
            <v>MC INDUSTRIAL CHEMICAL CO. LTD</v>
          </cell>
          <cell r="M539" t="str">
            <v>THA</v>
          </cell>
          <cell r="N539" t="str">
            <v>C</v>
          </cell>
          <cell r="O539">
            <v>24090228</v>
          </cell>
          <cell r="P539" t="str">
            <v>BORIC ACID GRAN 25KG BAG, WOOD</v>
          </cell>
          <cell r="Q539" t="str">
            <v>Boric Acid</v>
          </cell>
          <cell r="R539">
            <v>67.05</v>
          </cell>
          <cell r="S539">
            <v>29912.12</v>
          </cell>
        </row>
        <row r="540">
          <cell r="A540" t="str">
            <v>Budget</v>
          </cell>
          <cell r="B540">
            <v>1</v>
          </cell>
          <cell r="C540" t="str">
            <v>Export</v>
          </cell>
          <cell r="D540">
            <v>55</v>
          </cell>
          <cell r="E540">
            <v>9022</v>
          </cell>
          <cell r="F540" t="str">
            <v>THAI NOPARIN INTERTRADE CO.</v>
          </cell>
          <cell r="G540" t="str">
            <v>E</v>
          </cell>
          <cell r="H540" t="str">
            <v>BANGKOK</v>
          </cell>
          <cell r="J540" t="str">
            <v>THA</v>
          </cell>
          <cell r="K540" t="str">
            <v>MC INDUSTRIAL CHEMICAL CO. LTD</v>
          </cell>
          <cell r="M540" t="str">
            <v>THA</v>
          </cell>
          <cell r="N540" t="str">
            <v>D</v>
          </cell>
          <cell r="O540">
            <v>24090224</v>
          </cell>
          <cell r="P540" t="str">
            <v>BORIC ACID GRAN 25KG SPECIAL</v>
          </cell>
          <cell r="Q540" t="str">
            <v>Boric Acid</v>
          </cell>
          <cell r="R540">
            <v>22.35</v>
          </cell>
          <cell r="S540">
            <v>10380.6</v>
          </cell>
        </row>
        <row r="541">
          <cell r="A541" t="str">
            <v>Budget</v>
          </cell>
          <cell r="B541">
            <v>1</v>
          </cell>
          <cell r="C541" t="str">
            <v>Export</v>
          </cell>
          <cell r="D541">
            <v>55</v>
          </cell>
          <cell r="E541">
            <v>9053</v>
          </cell>
          <cell r="F541" t="str">
            <v>BE INTERNATIONAL CORPORATION</v>
          </cell>
          <cell r="G541" t="str">
            <v>E</v>
          </cell>
          <cell r="H541" t="str">
            <v>NAGOYA</v>
          </cell>
          <cell r="J541" t="str">
            <v>JAP</v>
          </cell>
          <cell r="K541" t="str">
            <v>BE INTERNATIONAL CORPORATION</v>
          </cell>
          <cell r="M541" t="str">
            <v>JAP</v>
          </cell>
          <cell r="N541" t="str">
            <v>D</v>
          </cell>
          <cell r="O541">
            <v>24850228</v>
          </cell>
          <cell r="P541" t="str">
            <v>BORIC ACID GRAN 25KG BAG, WOOD</v>
          </cell>
          <cell r="Q541" t="str">
            <v>Boric Acid</v>
          </cell>
          <cell r="R541">
            <v>7.45</v>
          </cell>
          <cell r="S541">
            <v>3388.15</v>
          </cell>
        </row>
        <row r="542">
          <cell r="A542" t="str">
            <v>Budget</v>
          </cell>
          <cell r="B542">
            <v>1</v>
          </cell>
          <cell r="C542" t="str">
            <v>Export</v>
          </cell>
          <cell r="D542">
            <v>55</v>
          </cell>
          <cell r="E542">
            <v>9109</v>
          </cell>
          <cell r="F542" t="str">
            <v>KWANGBOK RUBBER Co. (SHINWOO)</v>
          </cell>
          <cell r="G542" t="str">
            <v>E</v>
          </cell>
          <cell r="H542" t="str">
            <v>BUSAN</v>
          </cell>
          <cell r="J542" t="str">
            <v>KOS</v>
          </cell>
          <cell r="K542" t="str">
            <v>SHIN SEUNG HICHEM Co., LTD.</v>
          </cell>
          <cell r="M542" t="str">
            <v>KOS</v>
          </cell>
          <cell r="N542" t="str">
            <v>C</v>
          </cell>
          <cell r="O542">
            <v>22060428</v>
          </cell>
          <cell r="P542" t="str">
            <v>V-BOR 25KG BAG (004), WOOD</v>
          </cell>
          <cell r="Q542" t="str">
            <v>Penta</v>
          </cell>
          <cell r="R542">
            <v>22.35</v>
          </cell>
          <cell r="S542">
            <v>6601.98</v>
          </cell>
        </row>
        <row r="543">
          <cell r="A543" t="str">
            <v>Budget</v>
          </cell>
          <cell r="B543">
            <v>1</v>
          </cell>
          <cell r="C543" t="str">
            <v>Export</v>
          </cell>
          <cell r="D543">
            <v>55</v>
          </cell>
          <cell r="E543">
            <v>9109</v>
          </cell>
          <cell r="F543" t="str">
            <v>KWANGBOK RUBBER Co. (SHINWOO)</v>
          </cell>
          <cell r="G543" t="str">
            <v>E</v>
          </cell>
          <cell r="H543" t="str">
            <v>BUSAN</v>
          </cell>
          <cell r="J543" t="str">
            <v>KOS</v>
          </cell>
          <cell r="K543" t="str">
            <v>SHIN SEUNG HICHEM Co., LTD.</v>
          </cell>
          <cell r="M543" t="str">
            <v>KOS</v>
          </cell>
          <cell r="N543" t="str">
            <v>C</v>
          </cell>
          <cell r="O543">
            <v>23060228</v>
          </cell>
          <cell r="P543" t="str">
            <v>DECA BORAX STD 25KG BAG, WOOD</v>
          </cell>
          <cell r="Q543" t="str">
            <v>Deca</v>
          </cell>
          <cell r="R543">
            <v>18.63</v>
          </cell>
          <cell r="S543">
            <v>5337.38</v>
          </cell>
        </row>
        <row r="544">
          <cell r="A544" t="str">
            <v>Budget</v>
          </cell>
          <cell r="B544">
            <v>1</v>
          </cell>
          <cell r="C544" t="str">
            <v>Export</v>
          </cell>
          <cell r="D544">
            <v>55</v>
          </cell>
          <cell r="E544">
            <v>9109</v>
          </cell>
          <cell r="F544" t="str">
            <v>KWANGBOK RUBBER Co. (SHINWOO)</v>
          </cell>
          <cell r="G544" t="str">
            <v>E</v>
          </cell>
          <cell r="H544" t="str">
            <v>BUSAN</v>
          </cell>
          <cell r="J544" t="str">
            <v>KOS</v>
          </cell>
          <cell r="K544" t="str">
            <v>SHIN SEUNG HICHEM Co., LTD.</v>
          </cell>
          <cell r="M544" t="str">
            <v>KOS</v>
          </cell>
          <cell r="N544" t="str">
            <v>C</v>
          </cell>
          <cell r="O544">
            <v>24090228</v>
          </cell>
          <cell r="P544" t="str">
            <v>BORIC ACID GRAN 25KG BAG, WOOD</v>
          </cell>
          <cell r="Q544" t="str">
            <v>Boric Acid</v>
          </cell>
          <cell r="R544">
            <v>11.18</v>
          </cell>
          <cell r="S544">
            <v>4515.79</v>
          </cell>
        </row>
        <row r="545">
          <cell r="A545" t="str">
            <v>Budget</v>
          </cell>
          <cell r="B545">
            <v>1</v>
          </cell>
          <cell r="C545" t="str">
            <v>Export</v>
          </cell>
          <cell r="D545">
            <v>55</v>
          </cell>
          <cell r="E545">
            <v>9110</v>
          </cell>
          <cell r="F545" t="str">
            <v>JINSUNG CHEMICO</v>
          </cell>
          <cell r="G545" t="str">
            <v>E</v>
          </cell>
          <cell r="H545" t="str">
            <v>KWANGYANG PORT</v>
          </cell>
          <cell r="J545" t="str">
            <v>KOS</v>
          </cell>
          <cell r="K545" t="str">
            <v>SHIN SEUNG HICHEM Co., LTD.</v>
          </cell>
          <cell r="M545" t="str">
            <v>KOS</v>
          </cell>
          <cell r="N545" t="str">
            <v>C</v>
          </cell>
          <cell r="O545">
            <v>22060428</v>
          </cell>
          <cell r="P545" t="str">
            <v>V-BOR 25KG BAG (004), WOOD</v>
          </cell>
          <cell r="Q545" t="str">
            <v>Penta</v>
          </cell>
          <cell r="R545">
            <v>65.48</v>
          </cell>
          <cell r="S545">
            <v>18664.53</v>
          </cell>
        </row>
        <row r="546">
          <cell r="A546" t="str">
            <v>Budget</v>
          </cell>
          <cell r="B546">
            <v>1</v>
          </cell>
          <cell r="C546" t="str">
            <v>Export</v>
          </cell>
          <cell r="D546">
            <v>55</v>
          </cell>
          <cell r="E546">
            <v>9110</v>
          </cell>
          <cell r="F546" t="str">
            <v>JINSUNG CHEMICO</v>
          </cell>
          <cell r="G546" t="str">
            <v>E</v>
          </cell>
          <cell r="H546" t="str">
            <v>KWANGYANG PORT</v>
          </cell>
          <cell r="J546" t="str">
            <v>KOS</v>
          </cell>
          <cell r="K546" t="str">
            <v>SHIN SEUNG HICHEM Co., LTD.</v>
          </cell>
          <cell r="M546" t="str">
            <v>KOS</v>
          </cell>
          <cell r="N546" t="str">
            <v>C</v>
          </cell>
          <cell r="O546">
            <v>23060228</v>
          </cell>
          <cell r="P546" t="str">
            <v>DECA BORAX STD 25KG BAG, WOOD</v>
          </cell>
          <cell r="Q546" t="str">
            <v>Deca</v>
          </cell>
          <cell r="R546">
            <v>14.12</v>
          </cell>
          <cell r="S546">
            <v>3893.51</v>
          </cell>
        </row>
        <row r="547">
          <cell r="A547" t="str">
            <v>Budget</v>
          </cell>
          <cell r="B547">
            <v>1</v>
          </cell>
          <cell r="C547" t="str">
            <v>Export</v>
          </cell>
          <cell r="D547">
            <v>55</v>
          </cell>
          <cell r="E547">
            <v>9110</v>
          </cell>
          <cell r="F547" t="str">
            <v>JINSUNG CHEMICO</v>
          </cell>
          <cell r="G547" t="str">
            <v>E</v>
          </cell>
          <cell r="H547" t="str">
            <v>KWANGYANG PORT</v>
          </cell>
          <cell r="J547" t="str">
            <v>KOS</v>
          </cell>
          <cell r="K547" t="str">
            <v>SHIN SEUNG HICHEM Co., LTD.</v>
          </cell>
          <cell r="M547" t="str">
            <v>KOS</v>
          </cell>
          <cell r="N547" t="str">
            <v>C</v>
          </cell>
          <cell r="O547">
            <v>24090228</v>
          </cell>
          <cell r="P547" t="str">
            <v>BORIC ACID GRAN 25KG BAG, WOOD</v>
          </cell>
          <cell r="Q547" t="str">
            <v>Boric Acid</v>
          </cell>
          <cell r="R547">
            <v>14.51</v>
          </cell>
          <cell r="S547">
            <v>5714.13</v>
          </cell>
        </row>
        <row r="548">
          <cell r="A548" t="str">
            <v>Budget</v>
          </cell>
          <cell r="B548">
            <v>1</v>
          </cell>
          <cell r="C548" t="str">
            <v>Export</v>
          </cell>
          <cell r="D548">
            <v>55</v>
          </cell>
          <cell r="E548">
            <v>9125</v>
          </cell>
          <cell r="F548" t="str">
            <v>PT. CHEMIFIN JAYA UTAMA</v>
          </cell>
          <cell r="G548" t="str">
            <v>E</v>
          </cell>
          <cell r="H548" t="str">
            <v>JAKARTA</v>
          </cell>
          <cell r="J548" t="str">
            <v>INO</v>
          </cell>
          <cell r="K548" t="str">
            <v>PT. CHEMIFIN JAYA UTAMA</v>
          </cell>
          <cell r="M548" t="str">
            <v>INO</v>
          </cell>
          <cell r="N548" t="str">
            <v>C</v>
          </cell>
          <cell r="O548">
            <v>23060228</v>
          </cell>
          <cell r="P548" t="str">
            <v>DECA BORAX STD 25KG BAG, WOOD</v>
          </cell>
          <cell r="Q548" t="str">
            <v>Deca</v>
          </cell>
          <cell r="R548">
            <v>4.71</v>
          </cell>
          <cell r="S548">
            <v>1285.25</v>
          </cell>
        </row>
        <row r="549">
          <cell r="A549" t="str">
            <v>Budget</v>
          </cell>
          <cell r="B549">
            <v>1</v>
          </cell>
          <cell r="C549" t="str">
            <v>Export</v>
          </cell>
          <cell r="D549">
            <v>55</v>
          </cell>
          <cell r="E549">
            <v>9125</v>
          </cell>
          <cell r="F549" t="str">
            <v>PT. CHEMIFIN JAYA UTAMA</v>
          </cell>
          <cell r="G549" t="str">
            <v>E</v>
          </cell>
          <cell r="H549" t="str">
            <v>JAKARTA</v>
          </cell>
          <cell r="J549" t="str">
            <v>INO</v>
          </cell>
          <cell r="K549" t="str">
            <v>PT. CHEMIFIN JAYA UTAMA</v>
          </cell>
          <cell r="M549" t="str">
            <v>INO</v>
          </cell>
          <cell r="N549" t="str">
            <v>C</v>
          </cell>
          <cell r="O549">
            <v>24090220</v>
          </cell>
          <cell r="P549" t="str">
            <v>BORIC ACID GRAN TECH 25KG BAG</v>
          </cell>
          <cell r="Q549" t="str">
            <v>Boric Acid</v>
          </cell>
          <cell r="R549">
            <v>37.25</v>
          </cell>
          <cell r="S549">
            <v>14961.57</v>
          </cell>
        </row>
        <row r="550">
          <cell r="A550" t="str">
            <v>Budget</v>
          </cell>
          <cell r="B550">
            <v>1</v>
          </cell>
          <cell r="C550" t="str">
            <v>Export</v>
          </cell>
          <cell r="D550">
            <v>55</v>
          </cell>
          <cell r="E550">
            <v>9125</v>
          </cell>
          <cell r="F550" t="str">
            <v>PT. CHEMIFIN JAYA UTAMA</v>
          </cell>
          <cell r="G550" t="str">
            <v>E</v>
          </cell>
          <cell r="H550" t="str">
            <v>JAKARTA</v>
          </cell>
          <cell r="J550" t="str">
            <v>INO</v>
          </cell>
          <cell r="K550" t="str">
            <v>PT. CHEMIFIN JAYA UTAMA</v>
          </cell>
          <cell r="M550" t="str">
            <v>INO</v>
          </cell>
          <cell r="N550" t="str">
            <v>C</v>
          </cell>
          <cell r="O550">
            <v>24090228</v>
          </cell>
          <cell r="P550" t="str">
            <v>BORIC ACID GRAN 25KG BAG, WOOD</v>
          </cell>
          <cell r="Q550" t="str">
            <v>Boric Acid</v>
          </cell>
          <cell r="R550">
            <v>2.75</v>
          </cell>
          <cell r="S550">
            <v>947.46</v>
          </cell>
        </row>
        <row r="551">
          <cell r="A551" t="str">
            <v>Budget</v>
          </cell>
          <cell r="B551">
            <v>1</v>
          </cell>
          <cell r="C551" t="str">
            <v>Export</v>
          </cell>
          <cell r="D551">
            <v>55</v>
          </cell>
          <cell r="E551">
            <v>9126</v>
          </cell>
          <cell r="F551" t="str">
            <v>BEHN MEYER AGRICARE (S)PTE.LTD</v>
          </cell>
          <cell r="G551" t="str">
            <v>E</v>
          </cell>
          <cell r="H551" t="str">
            <v>JOHOR BAHRU (PASIR GUDANG)</v>
          </cell>
          <cell r="J551" t="str">
            <v>MAL</v>
          </cell>
          <cell r="K551" t="str">
            <v>BEHN MEYER INTERNATIONAL</v>
          </cell>
          <cell r="M551" t="str">
            <v>SIN</v>
          </cell>
          <cell r="N551" t="str">
            <v>C</v>
          </cell>
          <cell r="O551" t="str">
            <v>220604B0</v>
          </cell>
          <cell r="P551" t="str">
            <v>V-BOR 25 KG POLYBAG (004)</v>
          </cell>
          <cell r="Q551" t="str">
            <v>Penta</v>
          </cell>
          <cell r="R551">
            <v>42.35</v>
          </cell>
          <cell r="S551">
            <v>9354.49</v>
          </cell>
        </row>
        <row r="552">
          <cell r="A552" t="str">
            <v>Budget</v>
          </cell>
          <cell r="B552">
            <v>1</v>
          </cell>
          <cell r="C552" t="str">
            <v>Export</v>
          </cell>
          <cell r="D552">
            <v>55</v>
          </cell>
          <cell r="E552">
            <v>9145</v>
          </cell>
          <cell r="F552" t="str">
            <v>RIFA INDUSTRIAL Co., LTD.</v>
          </cell>
          <cell r="G552" t="str">
            <v>E</v>
          </cell>
          <cell r="H552" t="str">
            <v>BUSAN</v>
          </cell>
          <cell r="J552" t="str">
            <v>KOS</v>
          </cell>
          <cell r="K552" t="str">
            <v>SHIN SEUNG HICHEM CO., LTD.</v>
          </cell>
          <cell r="M552" t="str">
            <v>KOS</v>
          </cell>
          <cell r="N552" t="str">
            <v>C</v>
          </cell>
          <cell r="O552">
            <v>23060228</v>
          </cell>
          <cell r="P552" t="str">
            <v>DECA BORAX STD 25KG BAG, WOOD</v>
          </cell>
          <cell r="Q552" t="str">
            <v>Deca</v>
          </cell>
          <cell r="R552">
            <v>17.649999999999999</v>
          </cell>
          <cell r="S552">
            <v>5091.37</v>
          </cell>
        </row>
        <row r="553">
          <cell r="A553" t="str">
            <v>Budget</v>
          </cell>
          <cell r="B553">
            <v>1</v>
          </cell>
          <cell r="C553" t="str">
            <v>Export</v>
          </cell>
          <cell r="D553">
            <v>55</v>
          </cell>
          <cell r="E553">
            <v>9145</v>
          </cell>
          <cell r="F553" t="str">
            <v>RIFA INDUSTRIAL Co., LTD.</v>
          </cell>
          <cell r="G553" t="str">
            <v>E</v>
          </cell>
          <cell r="H553" t="str">
            <v>BUSAN</v>
          </cell>
          <cell r="J553" t="str">
            <v>KOS</v>
          </cell>
          <cell r="K553" t="str">
            <v>SHIN SEUNG HICHEM CO., LTD.</v>
          </cell>
          <cell r="M553" t="str">
            <v>KOS</v>
          </cell>
          <cell r="N553" t="str">
            <v>C</v>
          </cell>
          <cell r="O553">
            <v>24090228</v>
          </cell>
          <cell r="P553" t="str">
            <v>BORIC ACID GRAN 25KG BAG, WOOD</v>
          </cell>
          <cell r="Q553" t="str">
            <v>Boric Acid</v>
          </cell>
          <cell r="R553">
            <v>12.55</v>
          </cell>
          <cell r="S553">
            <v>5032.25</v>
          </cell>
        </row>
        <row r="554">
          <cell r="A554" t="str">
            <v>Budget</v>
          </cell>
          <cell r="B554">
            <v>1</v>
          </cell>
          <cell r="C554" t="str">
            <v>Export</v>
          </cell>
          <cell r="D554">
            <v>55</v>
          </cell>
          <cell r="E554">
            <v>9146</v>
          </cell>
          <cell r="F554" t="str">
            <v>TREFILARBED KOREA Co., LTD.</v>
          </cell>
          <cell r="G554" t="str">
            <v>E</v>
          </cell>
          <cell r="H554" t="str">
            <v>KYUNGNAM</v>
          </cell>
          <cell r="J554" t="str">
            <v>KOS</v>
          </cell>
          <cell r="K554" t="str">
            <v>SHIN SEUNG HICHEM CO., LTD.</v>
          </cell>
          <cell r="M554" t="str">
            <v>KOS</v>
          </cell>
          <cell r="N554" t="str">
            <v>C</v>
          </cell>
          <cell r="O554">
            <v>22060428</v>
          </cell>
          <cell r="P554" t="str">
            <v>V-BOR 25KG BAG (004), WOOD</v>
          </cell>
          <cell r="Q554" t="str">
            <v>Penta</v>
          </cell>
          <cell r="R554">
            <v>12.55</v>
          </cell>
          <cell r="S554">
            <v>3667.15</v>
          </cell>
        </row>
        <row r="555">
          <cell r="A555" t="str">
            <v>Budget</v>
          </cell>
          <cell r="B555">
            <v>1</v>
          </cell>
          <cell r="C555" t="str">
            <v>Export</v>
          </cell>
          <cell r="D555">
            <v>55</v>
          </cell>
          <cell r="E555">
            <v>9147</v>
          </cell>
          <cell r="F555" t="str">
            <v>KISWIRE LTD.</v>
          </cell>
          <cell r="G555" t="str">
            <v>E</v>
          </cell>
          <cell r="H555" t="str">
            <v>BUSAN</v>
          </cell>
          <cell r="J555" t="str">
            <v>KOS</v>
          </cell>
          <cell r="K555" t="str">
            <v>SHIN SEUNG HICHEM CO., LTD.</v>
          </cell>
          <cell r="M555" t="str">
            <v>KOS</v>
          </cell>
          <cell r="N555" t="str">
            <v>C</v>
          </cell>
          <cell r="O555">
            <v>22060428</v>
          </cell>
          <cell r="P555" t="str">
            <v>V-BOR 25KG BAG (004), WOOD</v>
          </cell>
          <cell r="Q555" t="str">
            <v>Penta</v>
          </cell>
          <cell r="R555">
            <v>12.55</v>
          </cell>
          <cell r="S555">
            <v>3635.98</v>
          </cell>
        </row>
        <row r="556">
          <cell r="A556" t="str">
            <v>Budget</v>
          </cell>
          <cell r="B556">
            <v>1</v>
          </cell>
          <cell r="C556" t="str">
            <v>Export</v>
          </cell>
          <cell r="D556">
            <v>55</v>
          </cell>
          <cell r="E556">
            <v>9148</v>
          </cell>
          <cell r="F556" t="str">
            <v>HONGDUK INDUSTRIAL, LTD.</v>
          </cell>
          <cell r="G556" t="str">
            <v>E</v>
          </cell>
          <cell r="H556" t="str">
            <v>BUSAN</v>
          </cell>
          <cell r="J556" t="str">
            <v>KOS</v>
          </cell>
          <cell r="K556" t="str">
            <v>SHIN SEUNG HICHEM CO., LTD.</v>
          </cell>
          <cell r="M556" t="str">
            <v>KOS</v>
          </cell>
          <cell r="N556" t="str">
            <v>C</v>
          </cell>
          <cell r="O556">
            <v>22060428</v>
          </cell>
          <cell r="P556" t="str">
            <v>V-BOR 25KG BAG (004), WOOD</v>
          </cell>
          <cell r="Q556" t="str">
            <v>Penta</v>
          </cell>
          <cell r="R556">
            <v>6.27</v>
          </cell>
          <cell r="S556">
            <v>1833.57</v>
          </cell>
        </row>
        <row r="557">
          <cell r="A557" t="str">
            <v>Budget</v>
          </cell>
          <cell r="B557">
            <v>1</v>
          </cell>
          <cell r="C557" t="str">
            <v>Export</v>
          </cell>
          <cell r="D557">
            <v>55</v>
          </cell>
          <cell r="E557">
            <v>9158</v>
          </cell>
          <cell r="F557" t="str">
            <v>TONG YANG TRADING Co., LTD.</v>
          </cell>
          <cell r="G557" t="str">
            <v>E</v>
          </cell>
          <cell r="H557" t="str">
            <v>TAIWAN</v>
          </cell>
          <cell r="J557" t="str">
            <v>TWN</v>
          </cell>
          <cell r="K557" t="str">
            <v>HLC INTERNATIONAL CORPORATION</v>
          </cell>
          <cell r="M557" t="str">
            <v>TWN</v>
          </cell>
          <cell r="O557">
            <v>24090228</v>
          </cell>
          <cell r="P557" t="str">
            <v>BORIC ACID GRAN 25KG BAG, WOOD</v>
          </cell>
          <cell r="Q557" t="str">
            <v>Boric Acid</v>
          </cell>
          <cell r="R557">
            <v>14.9</v>
          </cell>
          <cell r="S557">
            <v>7039.2</v>
          </cell>
        </row>
        <row r="558">
          <cell r="A558" t="str">
            <v>Budget</v>
          </cell>
          <cell r="B558">
            <v>1</v>
          </cell>
          <cell r="C558" t="str">
            <v>Export</v>
          </cell>
          <cell r="D558">
            <v>55</v>
          </cell>
          <cell r="E558">
            <v>9160</v>
          </cell>
          <cell r="F558" t="str">
            <v>PATA CHEMICALS &amp; MACHINERY Co.</v>
          </cell>
          <cell r="G558" t="str">
            <v>E</v>
          </cell>
          <cell r="H558" t="str">
            <v>BANGKOK</v>
          </cell>
          <cell r="J558" t="str">
            <v>THA</v>
          </cell>
          <cell r="K558" t="str">
            <v>MC INDUSTRIAL CHEMICAL CO. LTD</v>
          </cell>
          <cell r="M558" t="str">
            <v>THA</v>
          </cell>
          <cell r="N558" t="str">
            <v>C</v>
          </cell>
          <cell r="O558">
            <v>24030223</v>
          </cell>
          <cell r="P558" t="str">
            <v>BORIC ACID PWD 50LB BAG (INTL)</v>
          </cell>
          <cell r="Q558" t="str">
            <v>Boric Acid</v>
          </cell>
          <cell r="R558">
            <v>3.56</v>
          </cell>
          <cell r="S558">
            <v>2152.04</v>
          </cell>
        </row>
        <row r="559">
          <cell r="A559" t="str">
            <v>Budget</v>
          </cell>
          <cell r="B559">
            <v>1</v>
          </cell>
          <cell r="C559" t="str">
            <v>Export</v>
          </cell>
          <cell r="D559">
            <v>55</v>
          </cell>
          <cell r="E559">
            <v>9162</v>
          </cell>
          <cell r="F559" t="str">
            <v>TAI KOO TRADING</v>
          </cell>
          <cell r="G559" t="str">
            <v>E</v>
          </cell>
          <cell r="H559" t="str">
            <v>MANILA</v>
          </cell>
          <cell r="J559" t="str">
            <v>PHI</v>
          </cell>
          <cell r="K559" t="str">
            <v>CHEMSETTER</v>
          </cell>
          <cell r="M559" t="str">
            <v>PHI</v>
          </cell>
          <cell r="N559" t="str">
            <v>C</v>
          </cell>
          <cell r="O559">
            <v>23060220</v>
          </cell>
          <cell r="P559" t="str">
            <v>DECA BORAX STD 25KG BAG</v>
          </cell>
          <cell r="Q559" t="str">
            <v>Deca</v>
          </cell>
          <cell r="R559">
            <v>3.73</v>
          </cell>
          <cell r="S559">
            <v>1118.08</v>
          </cell>
        </row>
        <row r="560">
          <cell r="A560" t="str">
            <v>Budget</v>
          </cell>
          <cell r="B560">
            <v>1</v>
          </cell>
          <cell r="C560" t="str">
            <v>Export</v>
          </cell>
          <cell r="D560">
            <v>55</v>
          </cell>
          <cell r="E560">
            <v>9164</v>
          </cell>
          <cell r="F560" t="str">
            <v>SYTENGCO ENTERPRISES CORP</v>
          </cell>
          <cell r="G560" t="str">
            <v>E</v>
          </cell>
          <cell r="H560" t="str">
            <v>QUEZON CITY</v>
          </cell>
          <cell r="J560" t="str">
            <v>PHI</v>
          </cell>
          <cell r="K560" t="str">
            <v>CHEMSETTER</v>
          </cell>
          <cell r="M560" t="str">
            <v>PHI</v>
          </cell>
          <cell r="N560" t="str">
            <v>C</v>
          </cell>
          <cell r="O560">
            <v>23060220</v>
          </cell>
          <cell r="P560" t="str">
            <v>DECA BORAX STD 25KG BAG</v>
          </cell>
          <cell r="Q560" t="str">
            <v>Deca</v>
          </cell>
          <cell r="R560">
            <v>7.45</v>
          </cell>
          <cell r="S560">
            <v>2110.42</v>
          </cell>
        </row>
        <row r="561">
          <cell r="A561" t="str">
            <v>Budget</v>
          </cell>
          <cell r="B561">
            <v>1</v>
          </cell>
          <cell r="C561" t="str">
            <v>Export</v>
          </cell>
          <cell r="D561">
            <v>55</v>
          </cell>
          <cell r="E561">
            <v>9169</v>
          </cell>
          <cell r="F561" t="str">
            <v>LUCID CHEMICAL IMPORT EXPORT</v>
          </cell>
          <cell r="G561" t="str">
            <v>E</v>
          </cell>
          <cell r="H561" t="str">
            <v>MANILA</v>
          </cell>
          <cell r="J561" t="str">
            <v>PHI</v>
          </cell>
          <cell r="K561" t="str">
            <v>CHEMSETTER</v>
          </cell>
          <cell r="M561" t="str">
            <v>PHI</v>
          </cell>
          <cell r="N561" t="str">
            <v>C</v>
          </cell>
          <cell r="O561">
            <v>23060220</v>
          </cell>
          <cell r="P561" t="str">
            <v>DECA BORAX STD 25KG BAG</v>
          </cell>
          <cell r="Q561" t="str">
            <v>Deca</v>
          </cell>
          <cell r="R561">
            <v>7.45</v>
          </cell>
          <cell r="S561">
            <v>2134.77</v>
          </cell>
        </row>
        <row r="562">
          <cell r="A562" t="str">
            <v>Budget</v>
          </cell>
          <cell r="B562">
            <v>1</v>
          </cell>
          <cell r="C562" t="str">
            <v>Export</v>
          </cell>
          <cell r="D562">
            <v>55</v>
          </cell>
          <cell r="E562">
            <v>9176</v>
          </cell>
          <cell r="F562" t="str">
            <v>BEHN MEYER AGRICARE (S)PTE.LTD</v>
          </cell>
          <cell r="G562" t="str">
            <v>E</v>
          </cell>
          <cell r="H562" t="str">
            <v>PORT KLANG</v>
          </cell>
          <cell r="J562" t="str">
            <v>MAL</v>
          </cell>
          <cell r="K562" t="str">
            <v>BEHN MEYER INTERNATIONAL</v>
          </cell>
          <cell r="M562" t="str">
            <v>SIN</v>
          </cell>
          <cell r="N562" t="str">
            <v>C</v>
          </cell>
          <cell r="O562" t="str">
            <v>220604B0</v>
          </cell>
          <cell r="P562" t="str">
            <v>V-BOR 25 KG POLYBAG (004)</v>
          </cell>
          <cell r="Q562" t="str">
            <v>Penta</v>
          </cell>
          <cell r="R562">
            <v>74.5</v>
          </cell>
          <cell r="S562">
            <v>17382.02</v>
          </cell>
        </row>
        <row r="563">
          <cell r="A563" t="str">
            <v>Budget</v>
          </cell>
          <cell r="B563">
            <v>1</v>
          </cell>
          <cell r="C563" t="str">
            <v>Export</v>
          </cell>
          <cell r="D563">
            <v>55</v>
          </cell>
          <cell r="E563">
            <v>9181</v>
          </cell>
          <cell r="F563" t="str">
            <v>BE INTERNATIONAL CORPORATION</v>
          </cell>
          <cell r="G563" t="str">
            <v>E</v>
          </cell>
          <cell r="H563" t="str">
            <v>NAGOYA</v>
          </cell>
          <cell r="J563" t="str">
            <v>JAP</v>
          </cell>
          <cell r="K563" t="str">
            <v>BE INTERNATIONAL CORPORATION</v>
          </cell>
          <cell r="M563" t="str">
            <v>JAP</v>
          </cell>
          <cell r="N563" t="str">
            <v>D</v>
          </cell>
          <cell r="O563">
            <v>22060455</v>
          </cell>
          <cell r="P563" t="str">
            <v>V-BOR 1 MT FIBC (004)</v>
          </cell>
          <cell r="Q563" t="str">
            <v>Penta</v>
          </cell>
          <cell r="R563">
            <v>14.38</v>
          </cell>
          <cell r="S563">
            <v>3885.16</v>
          </cell>
        </row>
        <row r="564">
          <cell r="A564" t="str">
            <v>Budget</v>
          </cell>
          <cell r="B564">
            <v>1</v>
          </cell>
          <cell r="C564" t="str">
            <v>Export</v>
          </cell>
          <cell r="D564">
            <v>55</v>
          </cell>
          <cell r="E564">
            <v>9181</v>
          </cell>
          <cell r="F564" t="str">
            <v>BE INTERNATIONAL CORPORATION</v>
          </cell>
          <cell r="G564" t="str">
            <v>E</v>
          </cell>
          <cell r="H564" t="str">
            <v>NAGOYA</v>
          </cell>
          <cell r="J564" t="str">
            <v>JAP</v>
          </cell>
          <cell r="K564" t="str">
            <v>BE INTERNATIONAL CORPORATION</v>
          </cell>
          <cell r="M564" t="str">
            <v>JAP</v>
          </cell>
          <cell r="N564" t="str">
            <v>D</v>
          </cell>
          <cell r="O564">
            <v>24850255</v>
          </cell>
          <cell r="P564" t="str">
            <v>BORIC ACID GRN TECH 1MT FIBC</v>
          </cell>
          <cell r="Q564" t="str">
            <v>Boric Acid</v>
          </cell>
          <cell r="R564">
            <v>0.56000000000000005</v>
          </cell>
          <cell r="S564">
            <v>263.92</v>
          </cell>
        </row>
        <row r="565">
          <cell r="A565" t="str">
            <v>Budget</v>
          </cell>
          <cell r="B565">
            <v>1</v>
          </cell>
          <cell r="C565" t="str">
            <v>Export</v>
          </cell>
          <cell r="D565">
            <v>55</v>
          </cell>
          <cell r="E565">
            <v>9183</v>
          </cell>
          <cell r="F565" t="str">
            <v>HYBRID MANUFACTURING CORP</v>
          </cell>
          <cell r="G565" t="str">
            <v>E</v>
          </cell>
          <cell r="H565" t="str">
            <v>MANILA</v>
          </cell>
          <cell r="J565" t="str">
            <v>PHI</v>
          </cell>
          <cell r="K565" t="str">
            <v>CHEMSETTER</v>
          </cell>
          <cell r="M565" t="str">
            <v>PHI</v>
          </cell>
          <cell r="N565" t="str">
            <v>C</v>
          </cell>
          <cell r="O565">
            <v>23060220</v>
          </cell>
          <cell r="P565" t="str">
            <v>DECA BORAX STD 25KG BAG</v>
          </cell>
          <cell r="Q565" t="str">
            <v>Deca</v>
          </cell>
          <cell r="R565">
            <v>44.7</v>
          </cell>
          <cell r="S565">
            <v>12183.51</v>
          </cell>
        </row>
        <row r="566">
          <cell r="A566" t="str">
            <v>Budget</v>
          </cell>
          <cell r="B566">
            <v>1</v>
          </cell>
          <cell r="C566" t="str">
            <v>Export</v>
          </cell>
          <cell r="D566">
            <v>55</v>
          </cell>
          <cell r="E566">
            <v>9197</v>
          </cell>
          <cell r="F566" t="str">
            <v>PT. LUCKY TOP METALS CORP.</v>
          </cell>
          <cell r="G566" t="str">
            <v>E</v>
          </cell>
          <cell r="H566" t="str">
            <v>SURABAYA</v>
          </cell>
          <cell r="J566" t="str">
            <v>INO</v>
          </cell>
          <cell r="K566" t="str">
            <v>PT. CHEMIFIN JAYA UTAMA</v>
          </cell>
          <cell r="M566" t="str">
            <v>INO</v>
          </cell>
          <cell r="N566" t="str">
            <v>C</v>
          </cell>
          <cell r="O566">
            <v>23060228</v>
          </cell>
          <cell r="P566" t="str">
            <v>DECA BORAX STD 25KG BAG, WOOD</v>
          </cell>
          <cell r="Q566" t="str">
            <v>Deca</v>
          </cell>
          <cell r="R566">
            <v>7.99</v>
          </cell>
          <cell r="S566">
            <v>3155.04</v>
          </cell>
        </row>
        <row r="567">
          <cell r="A567" t="str">
            <v>Budget</v>
          </cell>
          <cell r="B567">
            <v>1</v>
          </cell>
          <cell r="C567" t="str">
            <v>Export</v>
          </cell>
          <cell r="D567">
            <v>55</v>
          </cell>
          <cell r="E567">
            <v>9204</v>
          </cell>
          <cell r="F567" t="str">
            <v>SUNGPO CORP.</v>
          </cell>
          <cell r="G567" t="str">
            <v>E</v>
          </cell>
          <cell r="H567" t="str">
            <v>BUSAN</v>
          </cell>
          <cell r="J567" t="str">
            <v>KOS</v>
          </cell>
          <cell r="K567" t="str">
            <v>SHIN SEUNG HICHEM Co., LTD.</v>
          </cell>
          <cell r="M567" t="str">
            <v>KOS</v>
          </cell>
          <cell r="N567" t="str">
            <v>C</v>
          </cell>
          <cell r="O567">
            <v>24090228</v>
          </cell>
          <cell r="P567" t="str">
            <v>BORIC ACID GRAN 25KG BAG, WOOD</v>
          </cell>
          <cell r="Q567" t="str">
            <v>Boric Acid</v>
          </cell>
          <cell r="R567">
            <v>6.27</v>
          </cell>
          <cell r="S567">
            <v>2515.66</v>
          </cell>
        </row>
        <row r="568">
          <cell r="A568" t="str">
            <v>Budget</v>
          </cell>
          <cell r="B568">
            <v>1</v>
          </cell>
          <cell r="C568" t="str">
            <v>Export</v>
          </cell>
          <cell r="D568">
            <v>55</v>
          </cell>
          <cell r="E568">
            <v>9209</v>
          </cell>
          <cell r="F568" t="str">
            <v>ALWAYS STAR CO., LTD.</v>
          </cell>
          <cell r="G568" t="str">
            <v>E</v>
          </cell>
          <cell r="H568" t="str">
            <v>GUANGZHOU</v>
          </cell>
          <cell r="J568" t="str">
            <v>CHN</v>
          </cell>
          <cell r="K568" t="str">
            <v>ALWAYS STAR CO., LTD.</v>
          </cell>
          <cell r="M568" t="str">
            <v>TWN</v>
          </cell>
          <cell r="N568" t="str">
            <v>D</v>
          </cell>
          <cell r="O568">
            <v>20150228</v>
          </cell>
          <cell r="P568" t="str">
            <v>PYROBOR COARSE 25KG (002) WOOD</v>
          </cell>
          <cell r="Q568" t="str">
            <v>Pyrobor</v>
          </cell>
          <cell r="R568">
            <v>7.45</v>
          </cell>
          <cell r="S568">
            <v>4470.8599999999997</v>
          </cell>
        </row>
        <row r="569">
          <cell r="A569" t="str">
            <v>Budget</v>
          </cell>
          <cell r="B569">
            <v>1</v>
          </cell>
          <cell r="C569" t="str">
            <v>Export</v>
          </cell>
          <cell r="D569">
            <v>55</v>
          </cell>
          <cell r="E569">
            <v>9209</v>
          </cell>
          <cell r="F569" t="str">
            <v>ALWAYS STAR CO., LTD.</v>
          </cell>
          <cell r="G569" t="str">
            <v>E</v>
          </cell>
          <cell r="H569" t="str">
            <v>GUANGZHOU</v>
          </cell>
          <cell r="J569" t="str">
            <v>CHN</v>
          </cell>
          <cell r="K569" t="str">
            <v>ALWAYS STAR CO., LTD.</v>
          </cell>
          <cell r="M569" t="str">
            <v>TWN</v>
          </cell>
          <cell r="N569" t="str">
            <v>D</v>
          </cell>
          <cell r="O569">
            <v>24090228</v>
          </cell>
          <cell r="P569" t="str">
            <v>BORIC ACID GRAN 25KG BAG, WOOD</v>
          </cell>
          <cell r="Q569" t="str">
            <v>Boric Acid</v>
          </cell>
          <cell r="R569">
            <v>3.73</v>
          </cell>
          <cell r="S569">
            <v>1340.33</v>
          </cell>
        </row>
        <row r="570">
          <cell r="A570" t="str">
            <v>Budget</v>
          </cell>
          <cell r="B570">
            <v>1</v>
          </cell>
          <cell r="C570" t="str">
            <v>Export</v>
          </cell>
          <cell r="D570">
            <v>55</v>
          </cell>
          <cell r="E570">
            <v>9214</v>
          </cell>
          <cell r="F570" t="str">
            <v>CORNPAK LIMITED</v>
          </cell>
          <cell r="G570" t="str">
            <v>E</v>
          </cell>
          <cell r="H570" t="str">
            <v>KARACHI</v>
          </cell>
          <cell r="J570" t="str">
            <v>PAK</v>
          </cell>
          <cell r="K570" t="str">
            <v>FAROOQ INT'L EXPORT ENT</v>
          </cell>
          <cell r="M570" t="str">
            <v>PAK</v>
          </cell>
          <cell r="N570" t="str">
            <v>C</v>
          </cell>
          <cell r="O570">
            <v>22060448</v>
          </cell>
          <cell r="P570" t="str">
            <v>V-BOR 50KG BAG (004), WOOD</v>
          </cell>
          <cell r="Q570" t="str">
            <v>Penta</v>
          </cell>
          <cell r="R570">
            <v>22.41</v>
          </cell>
          <cell r="S570">
            <v>7153.38</v>
          </cell>
        </row>
        <row r="571">
          <cell r="A571" t="str">
            <v>Budget</v>
          </cell>
          <cell r="B571">
            <v>1</v>
          </cell>
          <cell r="C571" t="str">
            <v>Export</v>
          </cell>
          <cell r="D571">
            <v>55</v>
          </cell>
          <cell r="E571">
            <v>9218</v>
          </cell>
          <cell r="F571" t="str">
            <v>BE INTERNATIONAL CORPORATION</v>
          </cell>
          <cell r="G571" t="str">
            <v>E</v>
          </cell>
          <cell r="H571" t="str">
            <v>NAGOYA</v>
          </cell>
          <cell r="J571" t="str">
            <v>JAP</v>
          </cell>
          <cell r="K571" t="str">
            <v>BE INTERNATIONAL CORPORATION</v>
          </cell>
          <cell r="M571" t="str">
            <v>JAP</v>
          </cell>
          <cell r="N571" t="str">
            <v>D</v>
          </cell>
          <cell r="O571" t="str">
            <v>220604B8</v>
          </cell>
          <cell r="P571" t="str">
            <v>V-BOR 25KG POLYBAG,WOOD (004)</v>
          </cell>
          <cell r="Q571" t="str">
            <v>Penta</v>
          </cell>
          <cell r="R571">
            <v>6.67</v>
          </cell>
          <cell r="S571">
            <v>1869.34</v>
          </cell>
        </row>
        <row r="572">
          <cell r="A572" t="str">
            <v>Budget</v>
          </cell>
          <cell r="B572">
            <v>1</v>
          </cell>
          <cell r="C572" t="str">
            <v>Export</v>
          </cell>
          <cell r="D572">
            <v>55</v>
          </cell>
          <cell r="E572">
            <v>9218</v>
          </cell>
          <cell r="F572" t="str">
            <v>BE INTERNATIONAL CORPORATION</v>
          </cell>
          <cell r="G572" t="str">
            <v>E</v>
          </cell>
          <cell r="H572" t="str">
            <v>NAGOYA</v>
          </cell>
          <cell r="J572" t="str">
            <v>JAP</v>
          </cell>
          <cell r="K572" t="str">
            <v>BE INTERNATIONAL CORPORATION</v>
          </cell>
          <cell r="M572" t="str">
            <v>JAP</v>
          </cell>
          <cell r="N572" t="str">
            <v>D</v>
          </cell>
          <cell r="O572">
            <v>24850228</v>
          </cell>
          <cell r="P572" t="str">
            <v>BORIC ACID GRAN 25KG BAG, WOOD</v>
          </cell>
          <cell r="Q572" t="str">
            <v>Boric Acid</v>
          </cell>
          <cell r="R572">
            <v>4.51</v>
          </cell>
          <cell r="S572">
            <v>2003.72</v>
          </cell>
        </row>
        <row r="573">
          <cell r="A573" t="str">
            <v>Budget</v>
          </cell>
          <cell r="B573">
            <v>1</v>
          </cell>
          <cell r="C573" t="str">
            <v>Export</v>
          </cell>
          <cell r="D573">
            <v>55</v>
          </cell>
          <cell r="E573">
            <v>9220</v>
          </cell>
          <cell r="F573" t="str">
            <v>BE INTERNATIONAL CORPORATION</v>
          </cell>
          <cell r="G573" t="str">
            <v>E</v>
          </cell>
          <cell r="H573" t="str">
            <v>MOJI</v>
          </cell>
          <cell r="J573" t="str">
            <v>JAP</v>
          </cell>
          <cell r="K573" t="str">
            <v>BE INTERNATIONAL CORPORATION</v>
          </cell>
          <cell r="M573" t="str">
            <v>JAP</v>
          </cell>
          <cell r="N573" t="str">
            <v>D</v>
          </cell>
          <cell r="O573">
            <v>20060255</v>
          </cell>
          <cell r="P573" t="str">
            <v>PYROBOR 1 MT FIBC (002)</v>
          </cell>
          <cell r="Q573" t="str">
            <v>Pyrobor</v>
          </cell>
          <cell r="R573">
            <v>11.2</v>
          </cell>
          <cell r="S573">
            <v>5421.87</v>
          </cell>
        </row>
        <row r="574">
          <cell r="A574" t="str">
            <v>Budget</v>
          </cell>
          <cell r="B574">
            <v>1</v>
          </cell>
          <cell r="C574" t="str">
            <v>Export</v>
          </cell>
          <cell r="D574">
            <v>55</v>
          </cell>
          <cell r="E574">
            <v>9225</v>
          </cell>
          <cell r="F574" t="str">
            <v>HANJIN CHEMICALS CO., LTD.</v>
          </cell>
          <cell r="G574" t="str">
            <v>E</v>
          </cell>
          <cell r="H574" t="str">
            <v>BUSAN</v>
          </cell>
          <cell r="J574" t="str">
            <v>KOS</v>
          </cell>
          <cell r="K574" t="str">
            <v>SHIN SEUNG HICHEM Co., LTD.</v>
          </cell>
          <cell r="M574" t="str">
            <v>KOS</v>
          </cell>
          <cell r="N574" t="str">
            <v>C</v>
          </cell>
          <cell r="O574">
            <v>24090228</v>
          </cell>
          <cell r="P574" t="str">
            <v>BORIC ACID GRAN 25KG BAG, WOOD</v>
          </cell>
          <cell r="Q574" t="str">
            <v>Boric Acid</v>
          </cell>
          <cell r="R574">
            <v>15.68</v>
          </cell>
          <cell r="S574">
            <v>6311.72</v>
          </cell>
        </row>
        <row r="575">
          <cell r="A575" t="str">
            <v>Budget</v>
          </cell>
          <cell r="B575">
            <v>1</v>
          </cell>
          <cell r="C575" t="str">
            <v>Export</v>
          </cell>
          <cell r="D575">
            <v>55</v>
          </cell>
          <cell r="E575">
            <v>9227</v>
          </cell>
          <cell r="F575" t="str">
            <v>BIOCHEMIE TRADING</v>
          </cell>
          <cell r="G575" t="str">
            <v>E</v>
          </cell>
          <cell r="H575" t="str">
            <v>PENANG</v>
          </cell>
          <cell r="J575" t="str">
            <v>MAL</v>
          </cell>
          <cell r="K575" t="str">
            <v>BEHN MEYER INTERNATIONAL</v>
          </cell>
          <cell r="M575" t="str">
            <v>MAL</v>
          </cell>
          <cell r="N575" t="str">
            <v>C</v>
          </cell>
          <cell r="O575" t="str">
            <v>230602T0</v>
          </cell>
          <cell r="P575" t="str">
            <v>DECA BORAX 25KG BIOCHEMIE BAG</v>
          </cell>
          <cell r="Q575" t="str">
            <v>Deca</v>
          </cell>
          <cell r="R575">
            <v>44.7</v>
          </cell>
          <cell r="S575">
            <v>11096.81</v>
          </cell>
        </row>
        <row r="576">
          <cell r="A576" t="str">
            <v>Budget</v>
          </cell>
          <cell r="B576">
            <v>1</v>
          </cell>
          <cell r="C576" t="str">
            <v>Export</v>
          </cell>
          <cell r="D576">
            <v>55</v>
          </cell>
          <cell r="E576">
            <v>9228</v>
          </cell>
          <cell r="F576" t="str">
            <v>BE INTERNATIONAL CORPORATION</v>
          </cell>
          <cell r="G576" t="str">
            <v>E</v>
          </cell>
          <cell r="H576" t="str">
            <v>OSAKA</v>
          </cell>
          <cell r="J576" t="str">
            <v>JAP</v>
          </cell>
          <cell r="K576" t="str">
            <v>BE INTERNATIONAL CORPORATION</v>
          </cell>
          <cell r="M576" t="str">
            <v>JAP</v>
          </cell>
          <cell r="N576" t="str">
            <v>D</v>
          </cell>
          <cell r="O576">
            <v>22060428</v>
          </cell>
          <cell r="P576" t="str">
            <v>V-BOR 25KG BAG (004), WOOD</v>
          </cell>
          <cell r="Q576" t="str">
            <v>Penta</v>
          </cell>
          <cell r="R576">
            <v>1.76</v>
          </cell>
          <cell r="S576">
            <v>493.04</v>
          </cell>
        </row>
        <row r="577">
          <cell r="A577" t="str">
            <v>Budget</v>
          </cell>
          <cell r="B577">
            <v>1</v>
          </cell>
          <cell r="C577" t="str">
            <v>Export</v>
          </cell>
          <cell r="D577">
            <v>55</v>
          </cell>
          <cell r="E577">
            <v>9229</v>
          </cell>
          <cell r="F577" t="str">
            <v>KISWEL LTD.</v>
          </cell>
          <cell r="G577" t="str">
            <v>E</v>
          </cell>
          <cell r="H577" t="str">
            <v>BUSAN</v>
          </cell>
          <cell r="J577" t="str">
            <v>KOS</v>
          </cell>
          <cell r="K577" t="str">
            <v>SHIN SEUNG HICHEM CO., LTD.</v>
          </cell>
          <cell r="M577" t="str">
            <v>KOS</v>
          </cell>
          <cell r="O577">
            <v>22060428</v>
          </cell>
          <cell r="P577" t="str">
            <v>V-BOR 25KG BAG (004), WOOD</v>
          </cell>
          <cell r="Q577" t="str">
            <v>Penta</v>
          </cell>
          <cell r="R577">
            <v>3.14</v>
          </cell>
          <cell r="S577">
            <v>916.79</v>
          </cell>
        </row>
        <row r="578">
          <cell r="A578" t="str">
            <v>Budget</v>
          </cell>
          <cell r="B578">
            <v>1</v>
          </cell>
          <cell r="C578" t="str">
            <v>Export</v>
          </cell>
          <cell r="D578">
            <v>55</v>
          </cell>
          <cell r="E578">
            <v>9245</v>
          </cell>
          <cell r="F578" t="str">
            <v>CHEMICAL &amp; ELECTRICAL</v>
          </cell>
          <cell r="G578" t="str">
            <v>E</v>
          </cell>
          <cell r="H578" t="str">
            <v>HAIPHONG CITY</v>
          </cell>
          <cell r="J578" t="str">
            <v>SIN</v>
          </cell>
          <cell r="K578" t="str">
            <v>BEHN MEYER INTERNATIONAL</v>
          </cell>
          <cell r="M578" t="str">
            <v>SIN</v>
          </cell>
          <cell r="N578" t="str">
            <v>C</v>
          </cell>
          <cell r="O578">
            <v>22060420</v>
          </cell>
          <cell r="P578" t="str">
            <v>V-BOR 25KG BAG (004)</v>
          </cell>
          <cell r="Q578" t="str">
            <v>Penta</v>
          </cell>
          <cell r="R578">
            <v>7.45</v>
          </cell>
          <cell r="S578">
            <v>1923.83</v>
          </cell>
        </row>
        <row r="579">
          <cell r="A579" t="str">
            <v>Budget</v>
          </cell>
          <cell r="B579">
            <v>1</v>
          </cell>
          <cell r="C579" t="str">
            <v>Export</v>
          </cell>
          <cell r="D579">
            <v>55</v>
          </cell>
          <cell r="E579">
            <v>9248</v>
          </cell>
          <cell r="F579" t="str">
            <v>BE INTERNATIONAL CORPORATION</v>
          </cell>
          <cell r="G579" t="str">
            <v>E</v>
          </cell>
          <cell r="H579" t="str">
            <v>NAGOYA</v>
          </cell>
          <cell r="J579" t="str">
            <v>JAP</v>
          </cell>
          <cell r="K579" t="str">
            <v>BE INTERNATIONAL CORPORATION</v>
          </cell>
          <cell r="M579" t="str">
            <v>JAP</v>
          </cell>
          <cell r="N579" t="str">
            <v>D</v>
          </cell>
          <cell r="O579">
            <v>24090228</v>
          </cell>
          <cell r="P579" t="str">
            <v>BORIC ACID GRAN 25KG BAG, WOOD</v>
          </cell>
          <cell r="Q579" t="str">
            <v>Boric Acid</v>
          </cell>
          <cell r="R579">
            <v>11.18</v>
          </cell>
          <cell r="S579">
            <v>5169.12</v>
          </cell>
        </row>
        <row r="580">
          <cell r="A580" t="str">
            <v>Budget</v>
          </cell>
          <cell r="B580">
            <v>1</v>
          </cell>
          <cell r="C580" t="str">
            <v>Export</v>
          </cell>
          <cell r="D580">
            <v>55</v>
          </cell>
          <cell r="E580">
            <v>9250</v>
          </cell>
          <cell r="F580" t="str">
            <v>SAM WHA FINE CHEMICAL CO. LTD.</v>
          </cell>
          <cell r="G580" t="str">
            <v>E</v>
          </cell>
          <cell r="H580" t="str">
            <v>BUSAN</v>
          </cell>
          <cell r="J580" t="str">
            <v>KOS</v>
          </cell>
          <cell r="K580" t="str">
            <v>SHIN SEUNG HICHEM Co., LTD.</v>
          </cell>
          <cell r="M580" t="str">
            <v>KOS</v>
          </cell>
          <cell r="O580">
            <v>23060228</v>
          </cell>
          <cell r="P580" t="str">
            <v>DECA BORAX STD 25KG BAG, WOOD</v>
          </cell>
          <cell r="Q580" t="str">
            <v>Deca</v>
          </cell>
          <cell r="R580">
            <v>6.86</v>
          </cell>
          <cell r="S580">
            <v>1936.4</v>
          </cell>
        </row>
        <row r="581">
          <cell r="A581" t="str">
            <v>Budget</v>
          </cell>
          <cell r="B581">
            <v>1</v>
          </cell>
          <cell r="C581" t="str">
            <v>Export</v>
          </cell>
          <cell r="D581">
            <v>55</v>
          </cell>
          <cell r="E581">
            <v>9250</v>
          </cell>
          <cell r="F581" t="str">
            <v>SAM WHA FINE CHEMICAL CO. LTD.</v>
          </cell>
          <cell r="G581" t="str">
            <v>E</v>
          </cell>
          <cell r="H581" t="str">
            <v>BUSAN</v>
          </cell>
          <cell r="J581" t="str">
            <v>KOS</v>
          </cell>
          <cell r="K581" t="str">
            <v>SHIN SEUNG HICHEM Co., LTD.</v>
          </cell>
          <cell r="M581" t="str">
            <v>KOS</v>
          </cell>
          <cell r="O581">
            <v>24090228</v>
          </cell>
          <cell r="P581" t="str">
            <v>BORIC ACID GRAN 25KG BAG, WOOD</v>
          </cell>
          <cell r="Q581" t="str">
            <v>Boric Acid</v>
          </cell>
          <cell r="R581">
            <v>5.69</v>
          </cell>
          <cell r="S581">
            <v>2274.4299999999998</v>
          </cell>
        </row>
        <row r="582">
          <cell r="A582" t="str">
            <v>Budget</v>
          </cell>
          <cell r="B582">
            <v>1</v>
          </cell>
          <cell r="C582" t="str">
            <v>Export</v>
          </cell>
          <cell r="D582">
            <v>55</v>
          </cell>
          <cell r="E582">
            <v>9253</v>
          </cell>
          <cell r="F582" t="str">
            <v>ALWAYS STAR CO., LTD.</v>
          </cell>
          <cell r="G582" t="str">
            <v>E</v>
          </cell>
          <cell r="H582" t="str">
            <v>TIANJIN</v>
          </cell>
          <cell r="J582" t="str">
            <v>CHN</v>
          </cell>
          <cell r="K582" t="str">
            <v>ALWAYS STAR CO., LTD.</v>
          </cell>
          <cell r="M582" t="str">
            <v>TWN</v>
          </cell>
          <cell r="N582" t="str">
            <v>C</v>
          </cell>
          <cell r="O582">
            <v>20150228</v>
          </cell>
          <cell r="P582" t="str">
            <v>PYROBOR COARSE 25KG (002) WOOD</v>
          </cell>
          <cell r="Q582" t="str">
            <v>Pyrobor</v>
          </cell>
          <cell r="R582">
            <v>3.73</v>
          </cell>
          <cell r="S582">
            <v>2235.9</v>
          </cell>
        </row>
        <row r="583">
          <cell r="A583" t="str">
            <v>Budget</v>
          </cell>
          <cell r="B583">
            <v>1</v>
          </cell>
          <cell r="C583" t="str">
            <v>Export</v>
          </cell>
          <cell r="D583">
            <v>55</v>
          </cell>
          <cell r="E583">
            <v>9253</v>
          </cell>
          <cell r="F583" t="str">
            <v>ALWAYS STAR CO., LTD.</v>
          </cell>
          <cell r="G583" t="str">
            <v>E</v>
          </cell>
          <cell r="H583" t="str">
            <v>TIANJIN</v>
          </cell>
          <cell r="J583" t="str">
            <v>CHN</v>
          </cell>
          <cell r="K583" t="str">
            <v>ALWAYS STAR CO., LTD.</v>
          </cell>
          <cell r="M583" t="str">
            <v>TWN</v>
          </cell>
          <cell r="N583" t="str">
            <v>C</v>
          </cell>
          <cell r="O583" t="str">
            <v>220604B8</v>
          </cell>
          <cell r="P583" t="str">
            <v>V-BOR 25KG POLYBAG,WOOD (004)</v>
          </cell>
          <cell r="Q583" t="str">
            <v>Penta</v>
          </cell>
          <cell r="R583">
            <v>127.05</v>
          </cell>
          <cell r="S583">
            <v>29048.48</v>
          </cell>
        </row>
        <row r="584">
          <cell r="A584" t="str">
            <v>Budget</v>
          </cell>
          <cell r="B584">
            <v>1</v>
          </cell>
          <cell r="C584" t="str">
            <v>Export</v>
          </cell>
          <cell r="D584">
            <v>55</v>
          </cell>
          <cell r="E584">
            <v>9253</v>
          </cell>
          <cell r="F584" t="str">
            <v>ALWAYS STAR CO., LTD.</v>
          </cell>
          <cell r="G584" t="str">
            <v>E</v>
          </cell>
          <cell r="H584" t="str">
            <v>TIANJIN</v>
          </cell>
          <cell r="J584" t="str">
            <v>CHN</v>
          </cell>
          <cell r="K584" t="str">
            <v>ALWAYS STAR CO., LTD.</v>
          </cell>
          <cell r="M584" t="str">
            <v>TWN</v>
          </cell>
          <cell r="N584" t="str">
            <v>C</v>
          </cell>
          <cell r="O584">
            <v>24090228</v>
          </cell>
          <cell r="P584" t="str">
            <v>BORIC ACID GRAN 25KG BAG, WOOD</v>
          </cell>
          <cell r="Q584" t="str">
            <v>Boric Acid</v>
          </cell>
          <cell r="R584">
            <v>81.95</v>
          </cell>
          <cell r="S584">
            <v>26448</v>
          </cell>
        </row>
        <row r="585">
          <cell r="A585" t="str">
            <v>Budget</v>
          </cell>
          <cell r="B585">
            <v>1</v>
          </cell>
          <cell r="C585" t="str">
            <v>Export</v>
          </cell>
          <cell r="D585">
            <v>55</v>
          </cell>
          <cell r="E585">
            <v>9253</v>
          </cell>
          <cell r="F585" t="str">
            <v>ALWAYS STAR CO., LTD.</v>
          </cell>
          <cell r="G585" t="str">
            <v>E</v>
          </cell>
          <cell r="H585" t="str">
            <v>TIANJIN</v>
          </cell>
          <cell r="J585" t="str">
            <v>CHN</v>
          </cell>
          <cell r="K585" t="str">
            <v>ALWAYS STAR CO., LTD.</v>
          </cell>
          <cell r="M585" t="str">
            <v>TWN</v>
          </cell>
          <cell r="N585" t="str">
            <v>C</v>
          </cell>
          <cell r="O585" t="str">
            <v>240902B8</v>
          </cell>
          <cell r="P585" t="str">
            <v>BORIC ACID GRAN 25KG POLY WOOD</v>
          </cell>
          <cell r="Q585" t="str">
            <v>Boric Acid</v>
          </cell>
          <cell r="R585">
            <v>29.8</v>
          </cell>
          <cell r="S585">
            <v>9603.9</v>
          </cell>
        </row>
        <row r="586">
          <cell r="A586" t="str">
            <v>Budget</v>
          </cell>
          <cell r="B586">
            <v>1</v>
          </cell>
          <cell r="C586" t="str">
            <v>Export</v>
          </cell>
          <cell r="D586">
            <v>55</v>
          </cell>
          <cell r="E586">
            <v>9254</v>
          </cell>
          <cell r="F586" t="str">
            <v>ALWAYS STAR CO., LTD.</v>
          </cell>
          <cell r="G586" t="str">
            <v>E</v>
          </cell>
          <cell r="H586" t="str">
            <v>SHANGHAI</v>
          </cell>
          <cell r="J586" t="str">
            <v>CHN</v>
          </cell>
          <cell r="K586" t="str">
            <v>ALWAYS STAR CO., LTD.</v>
          </cell>
          <cell r="M586" t="str">
            <v>TWN</v>
          </cell>
          <cell r="N586" t="str">
            <v>D</v>
          </cell>
          <cell r="O586" t="str">
            <v>220604B8</v>
          </cell>
          <cell r="P586" t="str">
            <v>V-BOR 25KG POLYBAG,WOOD (004)</v>
          </cell>
          <cell r="Q586" t="str">
            <v>Penta</v>
          </cell>
          <cell r="R586">
            <v>190.57</v>
          </cell>
          <cell r="S586">
            <v>43415.19</v>
          </cell>
        </row>
        <row r="587">
          <cell r="A587" t="str">
            <v>Budget</v>
          </cell>
          <cell r="B587">
            <v>1</v>
          </cell>
          <cell r="C587" t="str">
            <v>Export</v>
          </cell>
          <cell r="D587">
            <v>55</v>
          </cell>
          <cell r="E587">
            <v>9254</v>
          </cell>
          <cell r="F587" t="str">
            <v>ALWAYS STAR CO., LTD.</v>
          </cell>
          <cell r="G587" t="str">
            <v>E</v>
          </cell>
          <cell r="H587" t="str">
            <v>SHANGHAI</v>
          </cell>
          <cell r="J587" t="str">
            <v>CHN</v>
          </cell>
          <cell r="K587" t="str">
            <v>ALWAYS STAR CO., LTD.</v>
          </cell>
          <cell r="M587" t="str">
            <v>TWN</v>
          </cell>
          <cell r="N587" t="str">
            <v>D</v>
          </cell>
          <cell r="O587">
            <v>24090228</v>
          </cell>
          <cell r="P587" t="str">
            <v>BORIC ACID GRAN 25KG BAG, WOOD</v>
          </cell>
          <cell r="Q587" t="str">
            <v>Boric Acid</v>
          </cell>
          <cell r="R587">
            <v>89.4</v>
          </cell>
          <cell r="S587">
            <v>28867.61</v>
          </cell>
        </row>
        <row r="588">
          <cell r="A588" t="str">
            <v>Budget</v>
          </cell>
          <cell r="B588">
            <v>1</v>
          </cell>
          <cell r="C588" t="str">
            <v>Export</v>
          </cell>
          <cell r="D588">
            <v>55</v>
          </cell>
          <cell r="E588">
            <v>9257</v>
          </cell>
          <cell r="F588" t="str">
            <v>BYUCKSAN CORPORATION</v>
          </cell>
          <cell r="G588" t="str">
            <v>E</v>
          </cell>
          <cell r="H588" t="str">
            <v>SEOUL</v>
          </cell>
          <cell r="J588" t="str">
            <v>KOS</v>
          </cell>
          <cell r="K588" t="str">
            <v>SHIN SEUNG HICHEM CO., LTD.</v>
          </cell>
          <cell r="M588" t="str">
            <v>KOS</v>
          </cell>
          <cell r="N588" t="str">
            <v>C</v>
          </cell>
          <cell r="O588">
            <v>22060455</v>
          </cell>
          <cell r="P588" t="str">
            <v>V-BOR 1 MT FIBC (004)</v>
          </cell>
          <cell r="Q588" t="str">
            <v>Penta</v>
          </cell>
          <cell r="R588">
            <v>46.31</v>
          </cell>
          <cell r="S588">
            <v>12603.62</v>
          </cell>
        </row>
        <row r="589">
          <cell r="A589" t="str">
            <v>Budget</v>
          </cell>
          <cell r="B589">
            <v>1</v>
          </cell>
          <cell r="C589" t="str">
            <v>Export</v>
          </cell>
          <cell r="D589">
            <v>55</v>
          </cell>
          <cell r="E589">
            <v>9260</v>
          </cell>
          <cell r="F589" t="str">
            <v>HWA-CHIH</v>
          </cell>
          <cell r="G589" t="str">
            <v>E</v>
          </cell>
          <cell r="H589" t="str">
            <v>TAO YUAN</v>
          </cell>
          <cell r="J589" t="str">
            <v>TWN</v>
          </cell>
          <cell r="K589" t="str">
            <v>HLC INTERNATIONAL CORPORATION</v>
          </cell>
          <cell r="M589" t="str">
            <v>TWN</v>
          </cell>
          <cell r="O589">
            <v>22060428</v>
          </cell>
          <cell r="P589" t="str">
            <v>V-BOR 25KG BAG (004), WOOD</v>
          </cell>
          <cell r="Q589" t="str">
            <v>Penta</v>
          </cell>
          <cell r="R589">
            <v>11.18</v>
          </cell>
          <cell r="S589">
            <v>2867.42</v>
          </cell>
        </row>
        <row r="590">
          <cell r="A590" t="str">
            <v>Budget</v>
          </cell>
          <cell r="B590">
            <v>1</v>
          </cell>
          <cell r="C590" t="str">
            <v>Export</v>
          </cell>
          <cell r="D590">
            <v>55</v>
          </cell>
          <cell r="E590">
            <v>9271</v>
          </cell>
          <cell r="F590" t="str">
            <v>ALWAYS STAR CO., LTD.</v>
          </cell>
          <cell r="G590" t="str">
            <v>E</v>
          </cell>
          <cell r="H590" t="str">
            <v>HONG KONG</v>
          </cell>
          <cell r="J590" t="str">
            <v>CHN</v>
          </cell>
          <cell r="K590" t="str">
            <v>ALWAYS STAR CO., LTD.</v>
          </cell>
          <cell r="M590" t="str">
            <v>TWN</v>
          </cell>
          <cell r="O590">
            <v>22060455</v>
          </cell>
          <cell r="P590" t="str">
            <v>V-BOR 1 MT FIBC (004)</v>
          </cell>
          <cell r="Q590" t="str">
            <v>Penta</v>
          </cell>
          <cell r="R590">
            <v>33.61</v>
          </cell>
          <cell r="S590">
            <v>8500.7800000000007</v>
          </cell>
        </row>
        <row r="591">
          <cell r="A591" t="str">
            <v>Budget</v>
          </cell>
          <cell r="B591">
            <v>1</v>
          </cell>
          <cell r="C591" t="str">
            <v>Export</v>
          </cell>
          <cell r="D591">
            <v>55</v>
          </cell>
          <cell r="E591">
            <v>9278</v>
          </cell>
          <cell r="F591" t="str">
            <v>PT. FERRO MAS DINAMIKA</v>
          </cell>
          <cell r="G591" t="str">
            <v>E</v>
          </cell>
          <cell r="H591" t="str">
            <v>BEKASI</v>
          </cell>
          <cell r="J591" t="str">
            <v>INO</v>
          </cell>
          <cell r="K591" t="str">
            <v>PT. CHEMIFIN JAYA UTAMA</v>
          </cell>
          <cell r="M591" t="str">
            <v>INO</v>
          </cell>
          <cell r="O591">
            <v>22060428</v>
          </cell>
          <cell r="P591" t="str">
            <v>V-BOR 25KG BAG (004), WOOD</v>
          </cell>
          <cell r="Q591" t="str">
            <v>Penta</v>
          </cell>
          <cell r="R591">
            <v>11.18</v>
          </cell>
          <cell r="S591">
            <v>3093.9</v>
          </cell>
        </row>
        <row r="592">
          <cell r="A592" t="str">
            <v>Budget</v>
          </cell>
          <cell r="B592">
            <v>1</v>
          </cell>
          <cell r="C592" t="str">
            <v>Export</v>
          </cell>
          <cell r="D592">
            <v>55</v>
          </cell>
          <cell r="E592">
            <v>9282</v>
          </cell>
          <cell r="F592" t="str">
            <v>THAI CENTRAL CHEMICAL PUBLIC</v>
          </cell>
          <cell r="G592" t="str">
            <v>E</v>
          </cell>
          <cell r="H592" t="str">
            <v>BANGKOK</v>
          </cell>
          <cell r="J592" t="str">
            <v>THA</v>
          </cell>
          <cell r="K592" t="str">
            <v>MC INDUSTRIAL CHEMICAL CO. LTD</v>
          </cell>
          <cell r="M592" t="str">
            <v>USA</v>
          </cell>
          <cell r="N592" t="str">
            <v>C</v>
          </cell>
          <cell r="O592">
            <v>20060228</v>
          </cell>
          <cell r="P592" t="str">
            <v>PYROBOR 25KG BAG (002), WOOD</v>
          </cell>
          <cell r="Q592" t="str">
            <v>Pyrobor</v>
          </cell>
          <cell r="R592">
            <v>11.18</v>
          </cell>
          <cell r="S592">
            <v>6911.98</v>
          </cell>
        </row>
        <row r="593">
          <cell r="A593" t="str">
            <v>Budget</v>
          </cell>
          <cell r="B593">
            <v>1</v>
          </cell>
          <cell r="C593" t="str">
            <v>Export</v>
          </cell>
          <cell r="D593">
            <v>55</v>
          </cell>
          <cell r="E593">
            <v>9286</v>
          </cell>
          <cell r="F593" t="str">
            <v>PT. PHILIPS-RALIN ELECTRONICS</v>
          </cell>
          <cell r="G593" t="str">
            <v>E</v>
          </cell>
          <cell r="H593" t="str">
            <v>SIDOARJO</v>
          </cell>
          <cell r="J593" t="str">
            <v>INO</v>
          </cell>
          <cell r="K593" t="str">
            <v>PT. CHEMIFIN JAYA UTAMA</v>
          </cell>
          <cell r="M593" t="str">
            <v>INO</v>
          </cell>
          <cell r="N593" t="str">
            <v>C</v>
          </cell>
          <cell r="O593">
            <v>22060428</v>
          </cell>
          <cell r="P593" t="str">
            <v>V-BOR 25KG BAG (004), WOOD</v>
          </cell>
          <cell r="Q593" t="str">
            <v>Penta</v>
          </cell>
          <cell r="R593">
            <v>11.18</v>
          </cell>
          <cell r="S593">
            <v>3110.38</v>
          </cell>
        </row>
        <row r="594">
          <cell r="A594" t="str">
            <v>Budget</v>
          </cell>
          <cell r="B594">
            <v>1</v>
          </cell>
          <cell r="C594" t="str">
            <v>Export</v>
          </cell>
          <cell r="D594">
            <v>55</v>
          </cell>
          <cell r="E594">
            <v>9298</v>
          </cell>
          <cell r="F594" t="str">
            <v>KINIK COMPANY</v>
          </cell>
          <cell r="G594" t="str">
            <v>E</v>
          </cell>
          <cell r="H594" t="str">
            <v>KEELUNG</v>
          </cell>
          <cell r="J594" t="str">
            <v>TWN</v>
          </cell>
          <cell r="K594" t="str">
            <v>HLC INTERNATIONAL CORPORATION</v>
          </cell>
          <cell r="M594" t="str">
            <v>TWN</v>
          </cell>
          <cell r="N594" t="str">
            <v>D</v>
          </cell>
          <cell r="O594">
            <v>20150228</v>
          </cell>
          <cell r="P594" t="str">
            <v>PYROBOR COARSE 25KG (002) WOOD</v>
          </cell>
          <cell r="Q594" t="str">
            <v>Pyrobor</v>
          </cell>
          <cell r="R594">
            <v>3.73</v>
          </cell>
          <cell r="S594">
            <v>3081.43</v>
          </cell>
        </row>
        <row r="595">
          <cell r="A595" t="str">
            <v>Budget</v>
          </cell>
          <cell r="B595">
            <v>1</v>
          </cell>
          <cell r="C595" t="str">
            <v>Export</v>
          </cell>
          <cell r="D595">
            <v>55</v>
          </cell>
          <cell r="E595">
            <v>9299</v>
          </cell>
          <cell r="F595" t="str">
            <v>SHIONOGI/HAKATA</v>
          </cell>
          <cell r="G595" t="str">
            <v>E</v>
          </cell>
          <cell r="H595" t="str">
            <v>HAKATA</v>
          </cell>
          <cell r="J595" t="str">
            <v>JAP</v>
          </cell>
          <cell r="K595" t="str">
            <v>SHIONOGI &amp; COMPANY LTD</v>
          </cell>
          <cell r="M595" t="str">
            <v>JAP</v>
          </cell>
          <cell r="N595" t="str">
            <v>C</v>
          </cell>
          <cell r="O595">
            <v>20060228</v>
          </cell>
          <cell r="P595" t="str">
            <v>PYROBOR 25KG BAG (002), WOOD</v>
          </cell>
          <cell r="Q595" t="str">
            <v>Pyrobor</v>
          </cell>
          <cell r="R595">
            <v>1.57</v>
          </cell>
          <cell r="S595">
            <v>984.29</v>
          </cell>
        </row>
        <row r="596">
          <cell r="A596" t="str">
            <v>Budget</v>
          </cell>
          <cell r="B596">
            <v>1</v>
          </cell>
          <cell r="C596" t="str">
            <v>Export</v>
          </cell>
          <cell r="D596">
            <v>55</v>
          </cell>
          <cell r="E596">
            <v>9299</v>
          </cell>
          <cell r="F596" t="str">
            <v>SHIONOGI/HAKATA</v>
          </cell>
          <cell r="G596" t="str">
            <v>E</v>
          </cell>
          <cell r="H596" t="str">
            <v>HAKATA</v>
          </cell>
          <cell r="J596" t="str">
            <v>JAP</v>
          </cell>
          <cell r="K596" t="str">
            <v>SHIONOGI &amp; COMPANY LTD</v>
          </cell>
          <cell r="M596" t="str">
            <v>JAP</v>
          </cell>
          <cell r="N596" t="str">
            <v>C</v>
          </cell>
          <cell r="O596" t="str">
            <v>230602B8</v>
          </cell>
          <cell r="P596" t="str">
            <v>DECA STD 25KG POLYBAG, WOOD</v>
          </cell>
          <cell r="Q596" t="str">
            <v>Deca</v>
          </cell>
          <cell r="R596">
            <v>7.06</v>
          </cell>
          <cell r="S596">
            <v>2081.2800000000002</v>
          </cell>
        </row>
        <row r="597">
          <cell r="A597" t="str">
            <v>Budget</v>
          </cell>
          <cell r="B597">
            <v>1</v>
          </cell>
          <cell r="C597" t="str">
            <v>Export</v>
          </cell>
          <cell r="D597">
            <v>55</v>
          </cell>
          <cell r="E597">
            <v>9299</v>
          </cell>
          <cell r="F597" t="str">
            <v>SHIONOGI/HAKATA</v>
          </cell>
          <cell r="G597" t="str">
            <v>E</v>
          </cell>
          <cell r="H597" t="str">
            <v>HAKATA</v>
          </cell>
          <cell r="J597" t="str">
            <v>JAP</v>
          </cell>
          <cell r="K597" t="str">
            <v>SHIONOGI &amp; COMPANY LTD</v>
          </cell>
          <cell r="M597" t="str">
            <v>JAP</v>
          </cell>
          <cell r="N597" t="str">
            <v>C</v>
          </cell>
          <cell r="O597">
            <v>24090228</v>
          </cell>
          <cell r="P597" t="str">
            <v>BORIC ACID GRAN 25KG BAG, WOOD</v>
          </cell>
          <cell r="Q597" t="str">
            <v>Boric Acid</v>
          </cell>
          <cell r="R597">
            <v>10</v>
          </cell>
          <cell r="S597">
            <v>5251.24</v>
          </cell>
        </row>
        <row r="598">
          <cell r="A598" t="str">
            <v>Budget</v>
          </cell>
          <cell r="B598">
            <v>1</v>
          </cell>
          <cell r="C598" t="str">
            <v>Export</v>
          </cell>
          <cell r="D598">
            <v>55</v>
          </cell>
          <cell r="E598">
            <v>9300</v>
          </cell>
          <cell r="F598" t="str">
            <v>ALWAYS STAR CO., LTD.</v>
          </cell>
          <cell r="G598" t="str">
            <v>E</v>
          </cell>
          <cell r="H598" t="str">
            <v>HONG KONG</v>
          </cell>
          <cell r="J598" t="str">
            <v>CHN</v>
          </cell>
          <cell r="K598" t="str">
            <v>ALWAYS STAR CO., LTD.</v>
          </cell>
          <cell r="M598" t="str">
            <v>TWN</v>
          </cell>
          <cell r="N598" t="str">
            <v>D</v>
          </cell>
          <cell r="O598">
            <v>20150220</v>
          </cell>
          <cell r="P598" t="str">
            <v>PYROBOR COARSE 25KG BAG (002)</v>
          </cell>
          <cell r="Q598" t="str">
            <v>Pyrobor</v>
          </cell>
          <cell r="R598">
            <v>3.73</v>
          </cell>
          <cell r="S598">
            <v>2235.9</v>
          </cell>
        </row>
        <row r="599">
          <cell r="A599" t="str">
            <v>Budget</v>
          </cell>
          <cell r="B599">
            <v>1</v>
          </cell>
          <cell r="C599" t="str">
            <v>Export</v>
          </cell>
          <cell r="D599">
            <v>55</v>
          </cell>
          <cell r="E599">
            <v>9302</v>
          </cell>
          <cell r="F599" t="str">
            <v>PT. SAMAWOOD UTAMA WORKS IND.</v>
          </cell>
          <cell r="G599" t="str">
            <v>E</v>
          </cell>
          <cell r="H599" t="str">
            <v>MEDAN</v>
          </cell>
          <cell r="J599" t="str">
            <v>INO</v>
          </cell>
          <cell r="K599" t="str">
            <v>PT. CHEMIFIN JAYA UTAMA</v>
          </cell>
          <cell r="M599" t="str">
            <v>INO</v>
          </cell>
          <cell r="N599" t="str">
            <v>C</v>
          </cell>
          <cell r="O599">
            <v>24090228</v>
          </cell>
          <cell r="P599" t="str">
            <v>BORIC ACID GRAN 25KG BAG, WOOD</v>
          </cell>
          <cell r="Q599" t="str">
            <v>Boric Acid</v>
          </cell>
          <cell r="R599">
            <v>3.73</v>
          </cell>
          <cell r="S599">
            <v>1486.95</v>
          </cell>
        </row>
        <row r="600">
          <cell r="A600" t="str">
            <v>Budget</v>
          </cell>
          <cell r="B600">
            <v>1</v>
          </cell>
          <cell r="C600" t="str">
            <v>Export</v>
          </cell>
          <cell r="D600">
            <v>55</v>
          </cell>
          <cell r="E600">
            <v>9303</v>
          </cell>
          <cell r="F600" t="str">
            <v>ALWAYS STAR CO., LTD.</v>
          </cell>
          <cell r="G600" t="str">
            <v>E</v>
          </cell>
          <cell r="H600" t="str">
            <v>HONG KONG</v>
          </cell>
          <cell r="J600" t="str">
            <v>CHN</v>
          </cell>
          <cell r="K600" t="str">
            <v>ALWAYS STAR CO., LTD.</v>
          </cell>
          <cell r="M600" t="str">
            <v>TWN</v>
          </cell>
          <cell r="N600" t="str">
            <v>D</v>
          </cell>
          <cell r="O600">
            <v>20150220</v>
          </cell>
          <cell r="P600" t="str">
            <v>PYROBOR COARSE 25KG BAG (002)</v>
          </cell>
          <cell r="Q600" t="str">
            <v>Pyrobor</v>
          </cell>
          <cell r="R600">
            <v>7.45</v>
          </cell>
          <cell r="S600">
            <v>4466.32</v>
          </cell>
        </row>
        <row r="601">
          <cell r="A601" t="str">
            <v>Budget</v>
          </cell>
          <cell r="B601">
            <v>1</v>
          </cell>
          <cell r="C601" t="str">
            <v>Export</v>
          </cell>
          <cell r="D601">
            <v>55</v>
          </cell>
          <cell r="E601">
            <v>9309</v>
          </cell>
          <cell r="F601" t="str">
            <v>ALWAYS STAR CO., LTD.</v>
          </cell>
          <cell r="G601" t="str">
            <v>E</v>
          </cell>
          <cell r="H601" t="str">
            <v>GUANGZHOU</v>
          </cell>
          <cell r="J601" t="str">
            <v>CHN</v>
          </cell>
          <cell r="K601" t="str">
            <v>ALWAYS STAR CO., LTD.</v>
          </cell>
          <cell r="M601" t="str">
            <v>TWN</v>
          </cell>
          <cell r="N601" t="str">
            <v>D</v>
          </cell>
          <cell r="O601">
            <v>22060455</v>
          </cell>
          <cell r="P601" t="str">
            <v>V-BOR 1 MT FIBC (004)</v>
          </cell>
          <cell r="Q601" t="str">
            <v>Penta</v>
          </cell>
          <cell r="R601">
            <v>7.47</v>
          </cell>
          <cell r="S601">
            <v>1889.98</v>
          </cell>
        </row>
        <row r="602">
          <cell r="A602" t="str">
            <v>Budget</v>
          </cell>
          <cell r="B602">
            <v>1</v>
          </cell>
          <cell r="C602" t="str">
            <v>Export</v>
          </cell>
          <cell r="D602">
            <v>55</v>
          </cell>
          <cell r="E602">
            <v>9326</v>
          </cell>
          <cell r="F602" t="str">
            <v>PT. SINAR ENAMELINDO UTAMA</v>
          </cell>
          <cell r="G602" t="str">
            <v>E</v>
          </cell>
          <cell r="H602" t="str">
            <v>CURUG, TANGERANG</v>
          </cell>
          <cell r="J602" t="str">
            <v>INO</v>
          </cell>
          <cell r="K602" t="str">
            <v>PT. CHEMIFIN JAYA UTAMA</v>
          </cell>
          <cell r="M602" t="str">
            <v>INO</v>
          </cell>
          <cell r="N602" t="str">
            <v>C</v>
          </cell>
          <cell r="O602">
            <v>22060428</v>
          </cell>
          <cell r="P602" t="str">
            <v>V-BOR 25KG BAG (004), WOOD</v>
          </cell>
          <cell r="Q602" t="str">
            <v>Penta</v>
          </cell>
          <cell r="R602">
            <v>7.45</v>
          </cell>
          <cell r="S602">
            <v>1909.38</v>
          </cell>
        </row>
        <row r="603">
          <cell r="A603" t="str">
            <v>Budget</v>
          </cell>
          <cell r="B603">
            <v>1</v>
          </cell>
          <cell r="C603" t="str">
            <v>Export</v>
          </cell>
          <cell r="D603">
            <v>55</v>
          </cell>
          <cell r="E603">
            <v>9327</v>
          </cell>
          <cell r="F603" t="str">
            <v>HYOSUNG CORPORATION</v>
          </cell>
          <cell r="G603" t="str">
            <v>E</v>
          </cell>
          <cell r="H603" t="str">
            <v>SEOUL</v>
          </cell>
          <cell r="J603" t="str">
            <v>KOS</v>
          </cell>
          <cell r="K603" t="str">
            <v>SHIN SEUNG HICHEM CO., LTD.</v>
          </cell>
          <cell r="M603" t="str">
            <v>KOS</v>
          </cell>
          <cell r="N603" t="str">
            <v>C</v>
          </cell>
          <cell r="O603">
            <v>22060428</v>
          </cell>
          <cell r="P603" t="str">
            <v>V-BOR 25KG BAG (004), WOOD</v>
          </cell>
          <cell r="Q603" t="str">
            <v>Penta</v>
          </cell>
          <cell r="R603">
            <v>31.76</v>
          </cell>
          <cell r="S603">
            <v>9028.0300000000007</v>
          </cell>
        </row>
        <row r="604">
          <cell r="A604" t="str">
            <v>Budget</v>
          </cell>
          <cell r="B604">
            <v>1</v>
          </cell>
          <cell r="C604" t="str">
            <v>Export</v>
          </cell>
          <cell r="D604">
            <v>55</v>
          </cell>
          <cell r="E604">
            <v>9335</v>
          </cell>
          <cell r="F604" t="str">
            <v>BE INTERNATIONAL CORPORATION</v>
          </cell>
          <cell r="G604" t="str">
            <v>E</v>
          </cell>
          <cell r="H604" t="str">
            <v>ISHIKARIWAN SHINKO</v>
          </cell>
          <cell r="J604" t="str">
            <v>JAP</v>
          </cell>
          <cell r="K604" t="str">
            <v>BE INTERNATIONAL CORPORATION</v>
          </cell>
          <cell r="M604" t="str">
            <v>JAP</v>
          </cell>
          <cell r="N604" t="str">
            <v>D</v>
          </cell>
          <cell r="O604">
            <v>22060487</v>
          </cell>
          <cell r="P604" t="str">
            <v>V-BOR 1MT STEVEDORE STRAP FIBC</v>
          </cell>
          <cell r="Q604" t="str">
            <v>Penta</v>
          </cell>
          <cell r="R604">
            <v>11.2</v>
          </cell>
          <cell r="S604">
            <v>2642.37</v>
          </cell>
        </row>
        <row r="605">
          <cell r="A605" t="str">
            <v>Budget</v>
          </cell>
          <cell r="B605">
            <v>1</v>
          </cell>
          <cell r="C605" t="str">
            <v>Export</v>
          </cell>
          <cell r="D605">
            <v>55</v>
          </cell>
          <cell r="E605">
            <v>9344</v>
          </cell>
          <cell r="F605" t="str">
            <v>PT. RAHARDJA MITRA KIMIA</v>
          </cell>
          <cell r="G605" t="str">
            <v>E</v>
          </cell>
          <cell r="H605" t="str">
            <v>MEDAN</v>
          </cell>
          <cell r="J605" t="str">
            <v>INO</v>
          </cell>
          <cell r="K605" t="str">
            <v>PT. CHEMIFIN JAYA UTAMA</v>
          </cell>
          <cell r="M605" t="str">
            <v>INO</v>
          </cell>
          <cell r="N605" t="str">
            <v>C</v>
          </cell>
          <cell r="O605">
            <v>24090220</v>
          </cell>
          <cell r="P605" t="str">
            <v>BORIC ACID GRAN TECH 25KG BAG</v>
          </cell>
          <cell r="Q605" t="str">
            <v>Boric Acid</v>
          </cell>
          <cell r="R605">
            <v>11.18</v>
          </cell>
          <cell r="S605">
            <v>4421.2299999999996</v>
          </cell>
        </row>
        <row r="606">
          <cell r="A606" t="str">
            <v>Budget</v>
          </cell>
          <cell r="B606">
            <v>1</v>
          </cell>
          <cell r="C606" t="str">
            <v>Export</v>
          </cell>
          <cell r="D606">
            <v>55</v>
          </cell>
          <cell r="E606">
            <v>9345</v>
          </cell>
          <cell r="F606" t="str">
            <v>IWATANI ASIA PACIFIC PTE LTD</v>
          </cell>
          <cell r="G606" t="str">
            <v>E</v>
          </cell>
          <cell r="H606" t="str">
            <v>SINGAPORE</v>
          </cell>
          <cell r="J606" t="str">
            <v>SIN</v>
          </cell>
          <cell r="K606" t="str">
            <v>BEHN MEYER INTERNATIONAL</v>
          </cell>
          <cell r="M606" t="str">
            <v>SIN</v>
          </cell>
          <cell r="N606" t="str">
            <v>D</v>
          </cell>
          <cell r="O606">
            <v>24850249</v>
          </cell>
          <cell r="P606" t="str">
            <v>BORIC ACID GRAN, 1 MT FIBC</v>
          </cell>
          <cell r="Q606" t="str">
            <v>Boric Acid</v>
          </cell>
          <cell r="R606">
            <v>29.88</v>
          </cell>
          <cell r="S606">
            <v>14177.69</v>
          </cell>
        </row>
        <row r="607">
          <cell r="A607" t="str">
            <v>Budget</v>
          </cell>
          <cell r="B607">
            <v>1</v>
          </cell>
          <cell r="C607" t="str">
            <v>Export</v>
          </cell>
          <cell r="D607">
            <v>55</v>
          </cell>
          <cell r="E607">
            <v>9347</v>
          </cell>
          <cell r="F607" t="str">
            <v>KING-BAR INDUSTRIAL Co., LTD.</v>
          </cell>
          <cell r="G607" t="str">
            <v>E</v>
          </cell>
          <cell r="H607" t="str">
            <v>KEELUNG</v>
          </cell>
          <cell r="J607" t="str">
            <v>TWN</v>
          </cell>
          <cell r="K607" t="str">
            <v>HLC INTERNATIONAL CORPORATION</v>
          </cell>
          <cell r="M607" t="str">
            <v>TWN</v>
          </cell>
          <cell r="N607" t="str">
            <v>D</v>
          </cell>
          <cell r="O607">
            <v>20150228</v>
          </cell>
          <cell r="P607" t="str">
            <v>PYROBOR COARSE 25KG (002) WOOD</v>
          </cell>
          <cell r="Q607" t="str">
            <v>Pyrobor</v>
          </cell>
          <cell r="R607">
            <v>7.45</v>
          </cell>
          <cell r="S607">
            <v>5012.8500000000004</v>
          </cell>
        </row>
        <row r="608">
          <cell r="A608" t="str">
            <v>Budget</v>
          </cell>
          <cell r="B608">
            <v>1</v>
          </cell>
          <cell r="C608" t="str">
            <v>Export</v>
          </cell>
          <cell r="D608">
            <v>55</v>
          </cell>
          <cell r="E608">
            <v>9347</v>
          </cell>
          <cell r="F608" t="str">
            <v>KING-BAR INDUSTRIAL Co., LTD.</v>
          </cell>
          <cell r="G608" t="str">
            <v>E</v>
          </cell>
          <cell r="H608" t="str">
            <v>KEELUNG</v>
          </cell>
          <cell r="J608" t="str">
            <v>TWN</v>
          </cell>
          <cell r="K608" t="str">
            <v>HLC INTERNATIONAL CORPORATION</v>
          </cell>
          <cell r="M608" t="str">
            <v>TWN</v>
          </cell>
          <cell r="N608" t="str">
            <v>D</v>
          </cell>
          <cell r="O608">
            <v>23060228</v>
          </cell>
          <cell r="P608" t="str">
            <v>DECA BORAX STD 25KG BAG, WOOD</v>
          </cell>
          <cell r="Q608" t="str">
            <v>Deca</v>
          </cell>
          <cell r="R608">
            <v>18.63</v>
          </cell>
          <cell r="S608">
            <v>6160.78</v>
          </cell>
        </row>
        <row r="609">
          <cell r="A609" t="str">
            <v>Budget</v>
          </cell>
          <cell r="B609">
            <v>1</v>
          </cell>
          <cell r="C609" t="str">
            <v>Export</v>
          </cell>
          <cell r="D609">
            <v>55</v>
          </cell>
          <cell r="E609">
            <v>9347</v>
          </cell>
          <cell r="F609" t="str">
            <v>KING-BAR INDUSTRIAL Co., LTD.</v>
          </cell>
          <cell r="G609" t="str">
            <v>E</v>
          </cell>
          <cell r="H609" t="str">
            <v>KEELUNG</v>
          </cell>
          <cell r="J609" t="str">
            <v>TWN</v>
          </cell>
          <cell r="K609" t="str">
            <v>HLC INTERNATIONAL CORPORATION</v>
          </cell>
          <cell r="M609" t="str">
            <v>TWN</v>
          </cell>
          <cell r="N609" t="str">
            <v>D</v>
          </cell>
          <cell r="O609">
            <v>23160228</v>
          </cell>
          <cell r="P609" t="str">
            <v>DECA BORAX X CRS 25KG BAG WOOD</v>
          </cell>
          <cell r="Q609" t="str">
            <v>Deca</v>
          </cell>
          <cell r="R609">
            <v>44.7</v>
          </cell>
          <cell r="S609">
            <v>15202.7</v>
          </cell>
        </row>
        <row r="610">
          <cell r="A610" t="str">
            <v>Budget</v>
          </cell>
          <cell r="B610">
            <v>1</v>
          </cell>
          <cell r="C610" t="str">
            <v>Export</v>
          </cell>
          <cell r="D610">
            <v>55</v>
          </cell>
          <cell r="E610">
            <v>9349</v>
          </cell>
          <cell r="F610" t="str">
            <v>DREAM CHEM Co.</v>
          </cell>
          <cell r="G610" t="str">
            <v>E</v>
          </cell>
          <cell r="H610" t="str">
            <v>BUSAN</v>
          </cell>
          <cell r="J610" t="str">
            <v>KOS</v>
          </cell>
          <cell r="K610" t="str">
            <v>SHIN SEUNG HICHEM Co., LTD.</v>
          </cell>
          <cell r="M610" t="str">
            <v>KOS</v>
          </cell>
          <cell r="N610" t="str">
            <v>D</v>
          </cell>
          <cell r="O610">
            <v>22060455</v>
          </cell>
          <cell r="P610" t="str">
            <v>V-BOR 1 MT FIBC (004)</v>
          </cell>
          <cell r="Q610" t="str">
            <v>Penta</v>
          </cell>
          <cell r="R610">
            <v>18.670000000000002</v>
          </cell>
          <cell r="S610">
            <v>5598.97</v>
          </cell>
        </row>
        <row r="611">
          <cell r="A611" t="str">
            <v>Budget</v>
          </cell>
          <cell r="B611">
            <v>1</v>
          </cell>
          <cell r="C611" t="str">
            <v>Export</v>
          </cell>
          <cell r="D611">
            <v>55</v>
          </cell>
          <cell r="E611">
            <v>9350</v>
          </cell>
          <cell r="F611" t="str">
            <v>BE INTERNATIONAL CORPORATION</v>
          </cell>
          <cell r="G611" t="str">
            <v>E</v>
          </cell>
          <cell r="H611" t="str">
            <v>YOKOHAMA</v>
          </cell>
          <cell r="J611" t="str">
            <v>JAP</v>
          </cell>
          <cell r="K611" t="str">
            <v>BE INTERNATIONAL CORPORATION</v>
          </cell>
          <cell r="M611" t="str">
            <v>JAP</v>
          </cell>
          <cell r="N611" t="str">
            <v>D</v>
          </cell>
          <cell r="O611">
            <v>22060428</v>
          </cell>
          <cell r="P611" t="str">
            <v>V-BOR 25KG BAG (004), WOOD</v>
          </cell>
          <cell r="Q611" t="str">
            <v>Penta</v>
          </cell>
          <cell r="R611">
            <v>14.9</v>
          </cell>
          <cell r="S611">
            <v>4117.92</v>
          </cell>
        </row>
        <row r="612">
          <cell r="A612" t="str">
            <v>Budget</v>
          </cell>
          <cell r="B612">
            <v>1</v>
          </cell>
          <cell r="C612" t="str">
            <v>Export</v>
          </cell>
          <cell r="D612">
            <v>55</v>
          </cell>
          <cell r="E612">
            <v>9350</v>
          </cell>
          <cell r="F612" t="str">
            <v>BE INTERNATIONAL CORPORATION</v>
          </cell>
          <cell r="G612" t="str">
            <v>E</v>
          </cell>
          <cell r="H612" t="str">
            <v>YOKOHAMA</v>
          </cell>
          <cell r="J612" t="str">
            <v>JAP</v>
          </cell>
          <cell r="K612" t="str">
            <v>BE INTERNATIONAL CORPORATION</v>
          </cell>
          <cell r="M612" t="str">
            <v>JAP</v>
          </cell>
          <cell r="N612" t="str">
            <v>D</v>
          </cell>
          <cell r="O612">
            <v>24850228</v>
          </cell>
          <cell r="P612" t="str">
            <v>BORIC ACID GRAN 25KG BAG, WOOD</v>
          </cell>
          <cell r="Q612" t="str">
            <v>Boric Acid</v>
          </cell>
          <cell r="R612">
            <v>3.73</v>
          </cell>
          <cell r="S612">
            <v>1672.98</v>
          </cell>
        </row>
        <row r="613">
          <cell r="A613" t="str">
            <v>Budget</v>
          </cell>
          <cell r="B613">
            <v>1</v>
          </cell>
          <cell r="C613" t="str">
            <v>Export</v>
          </cell>
          <cell r="D613">
            <v>55</v>
          </cell>
          <cell r="E613">
            <v>9365</v>
          </cell>
          <cell r="F613" t="str">
            <v>BE INTERNATIONAL CORPORATION</v>
          </cell>
          <cell r="G613" t="str">
            <v>E</v>
          </cell>
          <cell r="H613" t="str">
            <v>MOJI</v>
          </cell>
          <cell r="J613" t="str">
            <v>JAP</v>
          </cell>
          <cell r="K613" t="str">
            <v>BE INTERNATIONAL CORPORATION</v>
          </cell>
          <cell r="M613" t="str">
            <v>JAP</v>
          </cell>
          <cell r="N613" t="str">
            <v>D</v>
          </cell>
          <cell r="O613" t="str">
            <v>230602B8</v>
          </cell>
          <cell r="P613" t="str">
            <v>DECA STD 25KG POLYBAG, WOOD</v>
          </cell>
          <cell r="Q613" t="str">
            <v>Deca</v>
          </cell>
          <cell r="R613">
            <v>1.76</v>
          </cell>
          <cell r="S613">
            <v>495.87</v>
          </cell>
        </row>
        <row r="614">
          <cell r="A614" t="str">
            <v>Budget</v>
          </cell>
          <cell r="B614">
            <v>1</v>
          </cell>
          <cell r="C614" t="str">
            <v>Export</v>
          </cell>
          <cell r="D614">
            <v>55</v>
          </cell>
          <cell r="E614">
            <v>9368</v>
          </cell>
          <cell r="F614" t="str">
            <v>ALWAYS STAR CO., LTD.</v>
          </cell>
          <cell r="G614" t="str">
            <v>E</v>
          </cell>
          <cell r="H614" t="str">
            <v>SANSHUI</v>
          </cell>
          <cell r="J614" t="str">
            <v>CHN</v>
          </cell>
          <cell r="K614" t="str">
            <v>ALWAYS STAR CO., LTD.</v>
          </cell>
          <cell r="M614" t="str">
            <v>TWN</v>
          </cell>
          <cell r="N614" t="str">
            <v>D</v>
          </cell>
          <cell r="O614">
            <v>22060455</v>
          </cell>
          <cell r="P614" t="str">
            <v>V-BOR 1 MT FIBC (004)</v>
          </cell>
          <cell r="Q614" t="str">
            <v>Penta</v>
          </cell>
          <cell r="R614">
            <v>14.94</v>
          </cell>
          <cell r="S614">
            <v>3450.83</v>
          </cell>
        </row>
        <row r="615">
          <cell r="A615" t="str">
            <v>Budget</v>
          </cell>
          <cell r="B615">
            <v>1</v>
          </cell>
          <cell r="C615" t="str">
            <v>Export</v>
          </cell>
          <cell r="D615">
            <v>55</v>
          </cell>
          <cell r="E615">
            <v>9369</v>
          </cell>
          <cell r="F615" t="str">
            <v>GLASS WORK Co., LTD., TAIPEI</v>
          </cell>
          <cell r="G615" t="str">
            <v>E</v>
          </cell>
          <cell r="H615" t="str">
            <v>TAO YUAN</v>
          </cell>
          <cell r="J615" t="str">
            <v>TWN</v>
          </cell>
          <cell r="K615" t="str">
            <v>HLC INTERNATIONAL CORPORATION</v>
          </cell>
          <cell r="M615" t="str">
            <v>TWN</v>
          </cell>
          <cell r="N615" t="str">
            <v>C</v>
          </cell>
          <cell r="O615">
            <v>23060228</v>
          </cell>
          <cell r="P615" t="str">
            <v>DECA BORAX STD 25KG BAG, WOOD</v>
          </cell>
          <cell r="Q615" t="str">
            <v>Deca</v>
          </cell>
          <cell r="R615">
            <v>7.45</v>
          </cell>
          <cell r="S615">
            <v>2441.7199999999998</v>
          </cell>
        </row>
        <row r="616">
          <cell r="A616" t="str">
            <v>Budget</v>
          </cell>
          <cell r="B616">
            <v>1</v>
          </cell>
          <cell r="C616" t="str">
            <v>Export</v>
          </cell>
          <cell r="D616">
            <v>55</v>
          </cell>
          <cell r="E616">
            <v>9372</v>
          </cell>
          <cell r="F616" t="str">
            <v>BE INTERNATIONAL CORPORATION</v>
          </cell>
          <cell r="G616" t="str">
            <v>E</v>
          </cell>
          <cell r="H616" t="str">
            <v>NAGOYA</v>
          </cell>
          <cell r="J616" t="str">
            <v>JAP</v>
          </cell>
          <cell r="K616" t="str">
            <v>BE INTERNATIONAL CORPORATION</v>
          </cell>
          <cell r="M616" t="str">
            <v>JAP</v>
          </cell>
          <cell r="N616" t="str">
            <v>D</v>
          </cell>
          <cell r="O616">
            <v>22060428</v>
          </cell>
          <cell r="P616" t="str">
            <v>V-BOR 25KG BAG (004), WOOD</v>
          </cell>
          <cell r="Q616" t="str">
            <v>Penta</v>
          </cell>
          <cell r="R616">
            <v>1.76</v>
          </cell>
          <cell r="S616">
            <v>477.96</v>
          </cell>
        </row>
        <row r="617">
          <cell r="A617" t="str">
            <v>Budget</v>
          </cell>
          <cell r="B617">
            <v>1</v>
          </cell>
          <cell r="C617" t="str">
            <v>Export</v>
          </cell>
          <cell r="D617">
            <v>55</v>
          </cell>
          <cell r="E617">
            <v>9378</v>
          </cell>
          <cell r="F617" t="str">
            <v>ALWAYS STAR CO., LTD.</v>
          </cell>
          <cell r="G617" t="str">
            <v>E</v>
          </cell>
          <cell r="H617" t="str">
            <v>CHIWAN</v>
          </cell>
          <cell r="J617" t="str">
            <v>CHN</v>
          </cell>
          <cell r="K617" t="str">
            <v>ALWAYS STAR CO., LTD.</v>
          </cell>
          <cell r="M617" t="str">
            <v>TWN</v>
          </cell>
          <cell r="N617" t="str">
            <v>D</v>
          </cell>
          <cell r="O617">
            <v>22060428</v>
          </cell>
          <cell r="P617" t="str">
            <v>V-BOR 25KG BAG (004), WOOD</v>
          </cell>
          <cell r="Q617" t="str">
            <v>Penta</v>
          </cell>
          <cell r="R617">
            <v>7.45</v>
          </cell>
          <cell r="S617">
            <v>1695.01</v>
          </cell>
        </row>
        <row r="618">
          <cell r="A618" t="str">
            <v>Budget</v>
          </cell>
          <cell r="B618">
            <v>1</v>
          </cell>
          <cell r="C618" t="str">
            <v>Export</v>
          </cell>
          <cell r="D618">
            <v>55</v>
          </cell>
          <cell r="E618">
            <v>9378</v>
          </cell>
          <cell r="F618" t="str">
            <v>ALWAYS STAR CO., LTD.</v>
          </cell>
          <cell r="G618" t="str">
            <v>E</v>
          </cell>
          <cell r="H618" t="str">
            <v>CHIWAN</v>
          </cell>
          <cell r="J618" t="str">
            <v>CHN</v>
          </cell>
          <cell r="K618" t="str">
            <v>ALWAYS STAR CO., LTD.</v>
          </cell>
          <cell r="M618" t="str">
            <v>TWN</v>
          </cell>
          <cell r="N618" t="str">
            <v>D</v>
          </cell>
          <cell r="O618">
            <v>24090228</v>
          </cell>
          <cell r="P618" t="str">
            <v>BORIC ACID GRAN 25KG BAG, WOOD</v>
          </cell>
          <cell r="Q618" t="str">
            <v>Boric Acid</v>
          </cell>
          <cell r="R618">
            <v>48.43</v>
          </cell>
          <cell r="S618">
            <v>18095.490000000002</v>
          </cell>
        </row>
        <row r="619">
          <cell r="A619" t="str">
            <v>Budget</v>
          </cell>
          <cell r="B619">
            <v>1</v>
          </cell>
          <cell r="C619" t="str">
            <v>Export</v>
          </cell>
          <cell r="D619">
            <v>55</v>
          </cell>
          <cell r="E619">
            <v>9383</v>
          </cell>
          <cell r="F619" t="str">
            <v>TAIWAN FRIT GLASS FACTORY</v>
          </cell>
          <cell r="G619" t="str">
            <v>E</v>
          </cell>
          <cell r="H619" t="str">
            <v>TAO YUAN</v>
          </cell>
          <cell r="J619" t="str">
            <v>TWN</v>
          </cell>
          <cell r="K619" t="str">
            <v>HLC INTERNATIONAL CORPORATION</v>
          </cell>
          <cell r="M619" t="str">
            <v>TWN</v>
          </cell>
          <cell r="N619" t="str">
            <v>C</v>
          </cell>
          <cell r="O619">
            <v>22060428</v>
          </cell>
          <cell r="P619" t="str">
            <v>V-BOR 25KG BAG (004), WOOD</v>
          </cell>
          <cell r="Q619" t="str">
            <v>Penta</v>
          </cell>
          <cell r="R619">
            <v>7.45</v>
          </cell>
          <cell r="S619">
            <v>2036.17</v>
          </cell>
        </row>
        <row r="620">
          <cell r="A620" t="str">
            <v>Budget</v>
          </cell>
          <cell r="B620">
            <v>1</v>
          </cell>
          <cell r="C620" t="str">
            <v>Export</v>
          </cell>
          <cell r="D620">
            <v>55</v>
          </cell>
          <cell r="E620">
            <v>9386</v>
          </cell>
          <cell r="F620" t="str">
            <v>DNTNTM TRUONG PHAT</v>
          </cell>
          <cell r="G620" t="str">
            <v>E</v>
          </cell>
          <cell r="H620" t="str">
            <v>HO CHI MINH CITY</v>
          </cell>
          <cell r="J620" t="str">
            <v>VIE</v>
          </cell>
          <cell r="K620" t="str">
            <v>BEHN MEYER INTERNATIONAL</v>
          </cell>
          <cell r="M620" t="str">
            <v>SIN</v>
          </cell>
          <cell r="N620" t="str">
            <v>C</v>
          </cell>
          <cell r="O620">
            <v>22060420</v>
          </cell>
          <cell r="P620" t="str">
            <v>V-BOR 25KG BAG (004)</v>
          </cell>
          <cell r="Q620" t="str">
            <v>Penta</v>
          </cell>
          <cell r="R620">
            <v>93.13</v>
          </cell>
          <cell r="S620">
            <v>24365.66</v>
          </cell>
        </row>
        <row r="621">
          <cell r="A621" t="str">
            <v>Budget</v>
          </cell>
          <cell r="B621">
            <v>1</v>
          </cell>
          <cell r="C621" t="str">
            <v>Export</v>
          </cell>
          <cell r="D621">
            <v>55</v>
          </cell>
          <cell r="E621">
            <v>9402</v>
          </cell>
          <cell r="F621" t="str">
            <v>BE INTERNATIONAL CORPORATION</v>
          </cell>
          <cell r="G621" t="str">
            <v>E</v>
          </cell>
          <cell r="H621" t="str">
            <v>YOKOHAMA</v>
          </cell>
          <cell r="J621" t="str">
            <v>JAP</v>
          </cell>
          <cell r="K621" t="str">
            <v>BE INTERNATIONAL CORPORATION</v>
          </cell>
          <cell r="M621" t="str">
            <v>JAP</v>
          </cell>
          <cell r="N621" t="str">
            <v>D</v>
          </cell>
          <cell r="O621">
            <v>24850255</v>
          </cell>
          <cell r="P621" t="str">
            <v>BORIC ACID GRN TECH 1MT FIBC</v>
          </cell>
          <cell r="Q621" t="str">
            <v>Boric Acid</v>
          </cell>
          <cell r="R621">
            <v>33.61</v>
          </cell>
          <cell r="S621">
            <v>13175.08</v>
          </cell>
        </row>
        <row r="622">
          <cell r="A622" t="str">
            <v>Budget</v>
          </cell>
          <cell r="B622">
            <v>1</v>
          </cell>
          <cell r="C622" t="str">
            <v>Export</v>
          </cell>
          <cell r="D622">
            <v>55</v>
          </cell>
          <cell r="E622">
            <v>9406</v>
          </cell>
          <cell r="F622" t="str">
            <v>SHIN CERAMIC CO., LTD</v>
          </cell>
          <cell r="G622" t="str">
            <v>E</v>
          </cell>
          <cell r="H622" t="str">
            <v>BUSAN</v>
          </cell>
          <cell r="J622" t="str">
            <v>KOS</v>
          </cell>
          <cell r="K622" t="str">
            <v>SHIN SEUNG HICHEM Co., LTD.</v>
          </cell>
          <cell r="M622" t="str">
            <v>KOS</v>
          </cell>
          <cell r="N622" t="str">
            <v>D</v>
          </cell>
          <cell r="O622">
            <v>24090228</v>
          </cell>
          <cell r="P622" t="str">
            <v>BORIC ACID GRAN 25KG BAG, WOOD</v>
          </cell>
          <cell r="Q622" t="str">
            <v>Boric Acid</v>
          </cell>
          <cell r="R622">
            <v>3.14</v>
          </cell>
          <cell r="S622">
            <v>1258.3</v>
          </cell>
        </row>
        <row r="623">
          <cell r="A623" t="str">
            <v>Budget</v>
          </cell>
          <cell r="B623">
            <v>1</v>
          </cell>
          <cell r="C623" t="str">
            <v>Export</v>
          </cell>
          <cell r="D623">
            <v>55</v>
          </cell>
          <cell r="E623">
            <v>9415</v>
          </cell>
          <cell r="F623" t="str">
            <v>ALWAYS STAR CO., LTD.</v>
          </cell>
          <cell r="G623" t="str">
            <v>E</v>
          </cell>
          <cell r="H623" t="str">
            <v>SANSHUI</v>
          </cell>
          <cell r="J623" t="str">
            <v>CHN</v>
          </cell>
          <cell r="K623" t="str">
            <v>ALWAYS STAR CO., LTD.</v>
          </cell>
          <cell r="M623" t="str">
            <v>TWN</v>
          </cell>
          <cell r="N623" t="str">
            <v>D</v>
          </cell>
          <cell r="O623">
            <v>24090228</v>
          </cell>
          <cell r="P623" t="str">
            <v>BORIC ACID GRAN 25KG BAG, WOOD</v>
          </cell>
          <cell r="Q623" t="str">
            <v>Boric Acid</v>
          </cell>
          <cell r="R623">
            <v>74.5</v>
          </cell>
          <cell r="S623">
            <v>27514.62</v>
          </cell>
        </row>
        <row r="624">
          <cell r="A624" t="str">
            <v>Budget</v>
          </cell>
          <cell r="B624">
            <v>1</v>
          </cell>
          <cell r="C624" t="str">
            <v>Export</v>
          </cell>
          <cell r="D624">
            <v>55</v>
          </cell>
          <cell r="E624">
            <v>9427</v>
          </cell>
          <cell r="F624" t="str">
            <v>BE INTERNATIONAL CORPORATION</v>
          </cell>
          <cell r="G624" t="str">
            <v>E</v>
          </cell>
          <cell r="H624" t="str">
            <v>ISHIKARIWAN SHINKO</v>
          </cell>
          <cell r="J624" t="str">
            <v>JAP</v>
          </cell>
          <cell r="K624" t="str">
            <v>BE INTERNATIONAL CORPORATION</v>
          </cell>
          <cell r="M624" t="str">
            <v>JAP</v>
          </cell>
          <cell r="N624" t="str">
            <v>D</v>
          </cell>
          <cell r="O624">
            <v>22060487</v>
          </cell>
          <cell r="P624" t="str">
            <v>V-BOR 1MT STEVEDORE STRAP FIBC</v>
          </cell>
          <cell r="Q624" t="str">
            <v>Penta</v>
          </cell>
          <cell r="R624">
            <v>3.73</v>
          </cell>
          <cell r="S624">
            <v>911.03</v>
          </cell>
        </row>
        <row r="625">
          <cell r="A625" t="str">
            <v>Budget</v>
          </cell>
          <cell r="B625">
            <v>1</v>
          </cell>
          <cell r="C625" t="str">
            <v>Export</v>
          </cell>
          <cell r="D625">
            <v>55</v>
          </cell>
          <cell r="E625">
            <v>9453</v>
          </cell>
          <cell r="F625" t="str">
            <v>BE INTERNATIONAL CORPORATION</v>
          </cell>
          <cell r="G625" t="str">
            <v>E</v>
          </cell>
          <cell r="H625" t="str">
            <v>OSAKA</v>
          </cell>
          <cell r="J625" t="str">
            <v>JAP</v>
          </cell>
          <cell r="K625" t="str">
            <v>BE INTERNATIONAL CORPORATION</v>
          </cell>
          <cell r="M625" t="str">
            <v>JAP</v>
          </cell>
          <cell r="N625" t="str">
            <v>D</v>
          </cell>
          <cell r="O625">
            <v>22060428</v>
          </cell>
          <cell r="P625" t="str">
            <v>V-BOR 25KG BAG (004), WOOD</v>
          </cell>
          <cell r="Q625" t="str">
            <v>Penta</v>
          </cell>
          <cell r="R625">
            <v>1.76</v>
          </cell>
          <cell r="S625">
            <v>477.96</v>
          </cell>
        </row>
        <row r="626">
          <cell r="A626" t="str">
            <v>Budget</v>
          </cell>
          <cell r="B626">
            <v>1</v>
          </cell>
          <cell r="C626" t="str">
            <v>Export</v>
          </cell>
          <cell r="D626">
            <v>55</v>
          </cell>
          <cell r="E626">
            <v>9457</v>
          </cell>
          <cell r="F626" t="str">
            <v>KING-BAR INDUSTRIAL CO., LTD.</v>
          </cell>
          <cell r="G626" t="str">
            <v>E</v>
          </cell>
          <cell r="H626" t="str">
            <v>TAO YUAN</v>
          </cell>
          <cell r="J626" t="str">
            <v>TWN</v>
          </cell>
          <cell r="K626" t="str">
            <v>HLC INTERNATIONAL CORPORATION</v>
          </cell>
          <cell r="M626" t="str">
            <v>TWN</v>
          </cell>
          <cell r="N626" t="str">
            <v>D</v>
          </cell>
          <cell r="O626">
            <v>22060428</v>
          </cell>
          <cell r="P626" t="str">
            <v>V-BOR 25KG BAG (004), WOOD</v>
          </cell>
          <cell r="Q626" t="str">
            <v>Penta</v>
          </cell>
          <cell r="R626">
            <v>11.18</v>
          </cell>
          <cell r="S626">
            <v>3050.54</v>
          </cell>
        </row>
        <row r="627">
          <cell r="A627" t="str">
            <v>Budget</v>
          </cell>
          <cell r="B627">
            <v>1</v>
          </cell>
          <cell r="C627" t="str">
            <v>Export</v>
          </cell>
          <cell r="D627">
            <v>55</v>
          </cell>
          <cell r="E627">
            <v>9457</v>
          </cell>
          <cell r="F627" t="str">
            <v>KING-BAR INDUSTRIAL CO., LTD.</v>
          </cell>
          <cell r="G627" t="str">
            <v>E</v>
          </cell>
          <cell r="H627" t="str">
            <v>TAO YUAN</v>
          </cell>
          <cell r="J627" t="str">
            <v>TWN</v>
          </cell>
          <cell r="K627" t="str">
            <v>HLC INTERNATIONAL CORPORATION</v>
          </cell>
          <cell r="M627" t="str">
            <v>TWN</v>
          </cell>
          <cell r="N627" t="str">
            <v>D</v>
          </cell>
          <cell r="O627">
            <v>24090228</v>
          </cell>
          <cell r="P627" t="str">
            <v>BORIC ACID GRAN 25KG BAG, WOOD</v>
          </cell>
          <cell r="Q627" t="str">
            <v>Boric Acid</v>
          </cell>
          <cell r="R627">
            <v>7.45</v>
          </cell>
          <cell r="S627">
            <v>3320.39</v>
          </cell>
        </row>
        <row r="628">
          <cell r="A628" t="str">
            <v>Budget</v>
          </cell>
          <cell r="B628">
            <v>1</v>
          </cell>
          <cell r="C628" t="str">
            <v>Export</v>
          </cell>
          <cell r="D628">
            <v>55</v>
          </cell>
          <cell r="E628">
            <v>9458</v>
          </cell>
          <cell r="F628" t="str">
            <v>ALWAYS STAR CO., LTD.</v>
          </cell>
          <cell r="G628" t="str">
            <v>E</v>
          </cell>
          <cell r="H628" t="str">
            <v>YANTIAN</v>
          </cell>
          <cell r="J628" t="str">
            <v>CHN</v>
          </cell>
          <cell r="K628" t="str">
            <v>ALWAYS STAR CO., LTD.</v>
          </cell>
          <cell r="M628" t="str">
            <v>TWN</v>
          </cell>
          <cell r="N628" t="str">
            <v>D</v>
          </cell>
          <cell r="O628">
            <v>20150220</v>
          </cell>
          <cell r="P628" t="str">
            <v>PYROBOR COARSE 25KG BAG (002)</v>
          </cell>
          <cell r="Q628" t="str">
            <v>Pyrobor</v>
          </cell>
          <cell r="R628">
            <v>11.18</v>
          </cell>
          <cell r="S628">
            <v>6700.23</v>
          </cell>
        </row>
        <row r="629">
          <cell r="A629" t="str">
            <v>Budget</v>
          </cell>
          <cell r="B629">
            <v>1</v>
          </cell>
          <cell r="C629" t="str">
            <v>Export</v>
          </cell>
          <cell r="D629">
            <v>55</v>
          </cell>
          <cell r="E629">
            <v>9461</v>
          </cell>
          <cell r="F629" t="str">
            <v>SHIONOGI/KEIWAROZAI/OSAKA</v>
          </cell>
          <cell r="G629" t="str">
            <v>E</v>
          </cell>
          <cell r="H629" t="str">
            <v>OSAKA</v>
          </cell>
          <cell r="J629" t="str">
            <v>JAP</v>
          </cell>
          <cell r="K629" t="str">
            <v>SHIONOGI &amp; COMPANY LTD</v>
          </cell>
          <cell r="M629" t="str">
            <v>JAP</v>
          </cell>
          <cell r="N629" t="str">
            <v>C</v>
          </cell>
          <cell r="O629" t="str">
            <v>230602B8</v>
          </cell>
          <cell r="P629" t="str">
            <v>DECA STD 25KG POLYBAG, WOOD</v>
          </cell>
          <cell r="Q629" t="str">
            <v>Deca</v>
          </cell>
          <cell r="R629">
            <v>7.45</v>
          </cell>
          <cell r="S629">
            <v>2255.8000000000002</v>
          </cell>
        </row>
        <row r="630">
          <cell r="A630" t="str">
            <v>Budget</v>
          </cell>
          <cell r="B630">
            <v>1</v>
          </cell>
          <cell r="C630" t="str">
            <v>Export</v>
          </cell>
          <cell r="D630">
            <v>55</v>
          </cell>
          <cell r="E630">
            <v>9464</v>
          </cell>
          <cell r="F630" t="str">
            <v>PT. MUSTIKA BAHANA JAYA</v>
          </cell>
          <cell r="G630" t="str">
            <v>E</v>
          </cell>
          <cell r="H630" t="str">
            <v>LUMAJANG - JAWA TIMUR</v>
          </cell>
          <cell r="J630" t="str">
            <v>INO</v>
          </cell>
          <cell r="K630" t="str">
            <v>PT. CHEMIFIN JAYA UTAMA</v>
          </cell>
          <cell r="M630" t="str">
            <v>INO</v>
          </cell>
          <cell r="N630" t="str">
            <v>C</v>
          </cell>
          <cell r="O630">
            <v>23060220</v>
          </cell>
          <cell r="P630" t="str">
            <v>DECA BORAX STD 25KG BAG</v>
          </cell>
          <cell r="Q630" t="str">
            <v>Deca</v>
          </cell>
          <cell r="R630">
            <v>3.73</v>
          </cell>
          <cell r="S630">
            <v>1014.45</v>
          </cell>
        </row>
        <row r="631">
          <cell r="A631" t="str">
            <v>Budget</v>
          </cell>
          <cell r="B631">
            <v>1</v>
          </cell>
          <cell r="C631" t="str">
            <v>Export</v>
          </cell>
          <cell r="D631">
            <v>55</v>
          </cell>
          <cell r="E631">
            <v>9466</v>
          </cell>
          <cell r="F631" t="str">
            <v>PT. EVER AGE VALVES METALS</v>
          </cell>
          <cell r="G631" t="str">
            <v>E</v>
          </cell>
          <cell r="H631" t="str">
            <v>JATIM</v>
          </cell>
          <cell r="J631" t="str">
            <v>INO</v>
          </cell>
          <cell r="K631" t="str">
            <v>PT. CHEMIFIN JAYA UTAMA</v>
          </cell>
          <cell r="M631" t="str">
            <v>INO</v>
          </cell>
          <cell r="N631" t="str">
            <v>D</v>
          </cell>
          <cell r="O631">
            <v>23060228</v>
          </cell>
          <cell r="P631" t="str">
            <v>DECA BORAX STD 25KG BAG, WOOD</v>
          </cell>
          <cell r="Q631" t="str">
            <v>Deca</v>
          </cell>
          <cell r="R631">
            <v>6.91</v>
          </cell>
          <cell r="S631">
            <v>2708.37</v>
          </cell>
        </row>
        <row r="632">
          <cell r="A632" t="str">
            <v>Budget</v>
          </cell>
          <cell r="B632">
            <v>1</v>
          </cell>
          <cell r="C632" t="str">
            <v>Export</v>
          </cell>
          <cell r="D632">
            <v>55</v>
          </cell>
          <cell r="E632">
            <v>9483</v>
          </cell>
          <cell r="F632" t="str">
            <v>SHIONOGI/NITTO DENKO/OSAKA</v>
          </cell>
          <cell r="G632" t="str">
            <v>E</v>
          </cell>
          <cell r="H632" t="str">
            <v>OSAKA</v>
          </cell>
          <cell r="J632" t="str">
            <v>JAP</v>
          </cell>
          <cell r="K632" t="str">
            <v>SHIONOGI &amp; COMPANY LTD</v>
          </cell>
          <cell r="M632" t="str">
            <v>JAP</v>
          </cell>
          <cell r="N632" t="str">
            <v>C</v>
          </cell>
          <cell r="O632">
            <v>24090228</v>
          </cell>
          <cell r="P632" t="str">
            <v>BORIC ACID GRAN 25KG BAG, WOOD</v>
          </cell>
          <cell r="Q632" t="str">
            <v>Boric Acid</v>
          </cell>
          <cell r="R632">
            <v>7.45</v>
          </cell>
          <cell r="S632">
            <v>3678.92</v>
          </cell>
        </row>
        <row r="633">
          <cell r="A633" t="str">
            <v>Budget</v>
          </cell>
          <cell r="B633">
            <v>1</v>
          </cell>
          <cell r="C633" t="str">
            <v>Export</v>
          </cell>
          <cell r="D633">
            <v>55</v>
          </cell>
          <cell r="E633">
            <v>9498</v>
          </cell>
          <cell r="F633" t="str">
            <v>CHEMSETTER MARKETING</v>
          </cell>
          <cell r="G633" t="str">
            <v>E</v>
          </cell>
          <cell r="H633" t="str">
            <v>MANILA</v>
          </cell>
          <cell r="J633" t="str">
            <v>PHI</v>
          </cell>
          <cell r="K633" t="str">
            <v>CHEMSETTER MARKETING</v>
          </cell>
          <cell r="M633" t="str">
            <v>PHI</v>
          </cell>
          <cell r="O633">
            <v>23060220</v>
          </cell>
          <cell r="P633" t="str">
            <v>DECA BORAX STD 25KG BAG</v>
          </cell>
          <cell r="Q633" t="str">
            <v>Deca</v>
          </cell>
          <cell r="R633">
            <v>11.18</v>
          </cell>
          <cell r="S633">
            <v>3061</v>
          </cell>
        </row>
        <row r="634">
          <cell r="A634" t="str">
            <v>Budget</v>
          </cell>
          <cell r="B634">
            <v>1</v>
          </cell>
          <cell r="C634" t="str">
            <v>Export</v>
          </cell>
          <cell r="D634">
            <v>55</v>
          </cell>
          <cell r="E634">
            <v>9500</v>
          </cell>
          <cell r="F634" t="str">
            <v>SHIONOGI/UBEKOHSAN</v>
          </cell>
          <cell r="G634" t="str">
            <v>E</v>
          </cell>
          <cell r="H634" t="str">
            <v>MOJI</v>
          </cell>
          <cell r="J634" t="str">
            <v>JAP</v>
          </cell>
          <cell r="K634" t="str">
            <v>SHIONOGI &amp; COMPANY LTD</v>
          </cell>
          <cell r="M634" t="str">
            <v>JAP</v>
          </cell>
          <cell r="N634" t="str">
            <v>C</v>
          </cell>
          <cell r="O634">
            <v>22060428</v>
          </cell>
          <cell r="P634" t="str">
            <v>V-BOR 25KG BAG (004), WOOD</v>
          </cell>
          <cell r="Q634" t="str">
            <v>Penta</v>
          </cell>
          <cell r="R634">
            <v>3.73</v>
          </cell>
          <cell r="S634">
            <v>1094.06</v>
          </cell>
        </row>
        <row r="635">
          <cell r="A635" t="str">
            <v>Budget</v>
          </cell>
          <cell r="B635">
            <v>1</v>
          </cell>
          <cell r="C635" t="str">
            <v>Export</v>
          </cell>
          <cell r="D635">
            <v>55</v>
          </cell>
          <cell r="E635">
            <v>9510</v>
          </cell>
          <cell r="F635" t="str">
            <v>ALWAYS STAR CO., LTD.</v>
          </cell>
          <cell r="G635" t="str">
            <v>E</v>
          </cell>
          <cell r="H635" t="str">
            <v>XIAMEN</v>
          </cell>
          <cell r="J635" t="str">
            <v>CHN</v>
          </cell>
          <cell r="K635" t="str">
            <v>ALWAYS STAR CO., LTD.</v>
          </cell>
          <cell r="M635" t="str">
            <v>TWN</v>
          </cell>
          <cell r="N635" t="str">
            <v>D</v>
          </cell>
          <cell r="O635">
            <v>20150228</v>
          </cell>
          <cell r="P635" t="str">
            <v>PYROBOR COARSE 25KG (002) WOOD</v>
          </cell>
          <cell r="Q635" t="str">
            <v>Pyrobor</v>
          </cell>
          <cell r="R635">
            <v>14.9</v>
          </cell>
          <cell r="S635">
            <v>8943.58</v>
          </cell>
        </row>
        <row r="636">
          <cell r="A636" t="str">
            <v>Budget</v>
          </cell>
          <cell r="B636">
            <v>1</v>
          </cell>
          <cell r="C636" t="str">
            <v>Export</v>
          </cell>
          <cell r="D636">
            <v>57</v>
          </cell>
          <cell r="E636">
            <v>5014</v>
          </cell>
          <cell r="F636" t="str">
            <v>ORICA CHEMNET</v>
          </cell>
          <cell r="G636" t="str">
            <v>E</v>
          </cell>
          <cell r="H636" t="str">
            <v>MOUNT MAUNGANUI</v>
          </cell>
          <cell r="J636" t="str">
            <v>NZL</v>
          </cell>
          <cell r="K636" t="str">
            <v>ORICA CHEMNET</v>
          </cell>
          <cell r="M636" t="str">
            <v>NZL</v>
          </cell>
          <cell r="N636" t="str">
            <v>C</v>
          </cell>
          <cell r="O636">
            <v>40060400</v>
          </cell>
          <cell r="P636" t="str">
            <v>SODIUM SULFATE STANDARD BULK</v>
          </cell>
          <cell r="Q636" t="str">
            <v>Sodium Sulfate</v>
          </cell>
          <cell r="R636">
            <v>1508.77</v>
          </cell>
          <cell r="S636">
            <v>76160.399999999994</v>
          </cell>
        </row>
        <row r="637">
          <cell r="A637" t="str">
            <v>Budget</v>
          </cell>
          <cell r="B637">
            <v>1</v>
          </cell>
          <cell r="C637" t="str">
            <v>Export</v>
          </cell>
          <cell r="D637">
            <v>57</v>
          </cell>
          <cell r="E637">
            <v>6305</v>
          </cell>
          <cell r="F637" t="str">
            <v>SWIFT/STOCK SYDNEY</v>
          </cell>
          <cell r="G637" t="str">
            <v>E</v>
          </cell>
          <cell r="H637" t="str">
            <v>SYDNEY</v>
          </cell>
          <cell r="J637" t="str">
            <v>AUS</v>
          </cell>
          <cell r="K637" t="str">
            <v>SWIFT AND COMPANY LIMITED</v>
          </cell>
          <cell r="M637" t="str">
            <v>AUS</v>
          </cell>
          <cell r="N637" t="str">
            <v>C</v>
          </cell>
          <cell r="O637">
            <v>22060420</v>
          </cell>
          <cell r="P637" t="str">
            <v>V-BOR 25KG BAG (004)</v>
          </cell>
          <cell r="Q637" t="str">
            <v>Penta</v>
          </cell>
          <cell r="R637">
            <v>4.3099999999999996</v>
          </cell>
          <cell r="S637">
            <v>1449.53</v>
          </cell>
        </row>
        <row r="638">
          <cell r="A638" t="str">
            <v>Budget</v>
          </cell>
          <cell r="B638">
            <v>1</v>
          </cell>
          <cell r="C638" t="str">
            <v>Export</v>
          </cell>
          <cell r="D638">
            <v>57</v>
          </cell>
          <cell r="E638">
            <v>6305</v>
          </cell>
          <cell r="F638" t="str">
            <v>SWIFT/STOCK SYDNEY</v>
          </cell>
          <cell r="G638" t="str">
            <v>E</v>
          </cell>
          <cell r="H638" t="str">
            <v>SYDNEY</v>
          </cell>
          <cell r="J638" t="str">
            <v>AUS</v>
          </cell>
          <cell r="K638" t="str">
            <v>SWIFT AND COMPANY LIMITED</v>
          </cell>
          <cell r="M638" t="str">
            <v>AUS</v>
          </cell>
          <cell r="N638" t="str">
            <v>C</v>
          </cell>
          <cell r="O638">
            <v>23060220</v>
          </cell>
          <cell r="P638" t="str">
            <v>DECA BORAX STD 25KG BAG</v>
          </cell>
          <cell r="Q638" t="str">
            <v>Deca</v>
          </cell>
          <cell r="R638">
            <v>5.29</v>
          </cell>
          <cell r="S638">
            <v>1301.17</v>
          </cell>
        </row>
        <row r="639">
          <cell r="A639" t="str">
            <v>Budget</v>
          </cell>
          <cell r="B639">
            <v>1</v>
          </cell>
          <cell r="C639" t="str">
            <v>Export</v>
          </cell>
          <cell r="D639">
            <v>57</v>
          </cell>
          <cell r="E639">
            <v>6305</v>
          </cell>
          <cell r="F639" t="str">
            <v>SWIFT/STOCK SYDNEY</v>
          </cell>
          <cell r="G639" t="str">
            <v>E</v>
          </cell>
          <cell r="H639" t="str">
            <v>SYDNEY</v>
          </cell>
          <cell r="J639" t="str">
            <v>AUS</v>
          </cell>
          <cell r="K639" t="str">
            <v>SWIFT AND COMPANY LIMITED</v>
          </cell>
          <cell r="M639" t="str">
            <v>AUS</v>
          </cell>
          <cell r="N639" t="str">
            <v>C</v>
          </cell>
          <cell r="O639">
            <v>24090220</v>
          </cell>
          <cell r="P639" t="str">
            <v>BORIC ACID GRAN TECH 25KG BAG</v>
          </cell>
          <cell r="Q639" t="str">
            <v>Boric Acid</v>
          </cell>
          <cell r="R639">
            <v>1.57</v>
          </cell>
          <cell r="S639">
            <v>724.15</v>
          </cell>
        </row>
        <row r="640">
          <cell r="A640" t="str">
            <v>Budget</v>
          </cell>
          <cell r="B640">
            <v>1</v>
          </cell>
          <cell r="C640" t="str">
            <v>Export</v>
          </cell>
          <cell r="D640">
            <v>57</v>
          </cell>
          <cell r="E640">
            <v>6311</v>
          </cell>
          <cell r="F640" t="str">
            <v>SWIFT/STOCK FREMANTLE</v>
          </cell>
          <cell r="G640" t="str">
            <v>E</v>
          </cell>
          <cell r="H640" t="str">
            <v>FREMANTLE</v>
          </cell>
          <cell r="J640" t="str">
            <v>AUS</v>
          </cell>
          <cell r="K640" t="str">
            <v>SWIFT AND COMPANY LIMITED</v>
          </cell>
          <cell r="M640" t="str">
            <v>AUS</v>
          </cell>
          <cell r="N640" t="str">
            <v>C</v>
          </cell>
          <cell r="O640">
            <v>20150220</v>
          </cell>
          <cell r="P640" t="str">
            <v>PYROBOR COARSE 25KG BAG (002)</v>
          </cell>
          <cell r="Q640" t="str">
            <v>Pyrobor</v>
          </cell>
          <cell r="R640">
            <v>31.76</v>
          </cell>
          <cell r="S640">
            <v>15963.34</v>
          </cell>
        </row>
        <row r="641">
          <cell r="A641" t="str">
            <v>Budget</v>
          </cell>
          <cell r="B641">
            <v>1</v>
          </cell>
          <cell r="C641" t="str">
            <v>Export</v>
          </cell>
          <cell r="D641">
            <v>57</v>
          </cell>
          <cell r="E641">
            <v>6311</v>
          </cell>
          <cell r="F641" t="str">
            <v>SWIFT/STOCK FREMANTLE</v>
          </cell>
          <cell r="G641" t="str">
            <v>E</v>
          </cell>
          <cell r="H641" t="str">
            <v>FREMANTLE</v>
          </cell>
          <cell r="J641" t="str">
            <v>AUS</v>
          </cell>
          <cell r="K641" t="str">
            <v>SWIFT AND COMPANY LIMITED</v>
          </cell>
          <cell r="M641" t="str">
            <v>AUS</v>
          </cell>
          <cell r="N641" t="str">
            <v>C</v>
          </cell>
          <cell r="O641">
            <v>23060220</v>
          </cell>
          <cell r="P641" t="str">
            <v>DECA BORAX STD 25KG BAG</v>
          </cell>
          <cell r="Q641" t="str">
            <v>Deca</v>
          </cell>
          <cell r="R641">
            <v>1.57</v>
          </cell>
          <cell r="S641">
            <v>292.77</v>
          </cell>
        </row>
        <row r="642">
          <cell r="A642" t="str">
            <v>Budget</v>
          </cell>
          <cell r="B642">
            <v>1</v>
          </cell>
          <cell r="C642" t="str">
            <v>Export</v>
          </cell>
          <cell r="D642">
            <v>57</v>
          </cell>
          <cell r="E642">
            <v>6313</v>
          </cell>
          <cell r="F642" t="str">
            <v>SWIFT/STOCK BRISBANE</v>
          </cell>
          <cell r="G642" t="str">
            <v>E</v>
          </cell>
          <cell r="H642" t="str">
            <v>BRISBANE</v>
          </cell>
          <cell r="J642" t="str">
            <v>AUS</v>
          </cell>
          <cell r="K642" t="str">
            <v>SWIFT AND COMPANY LIMITED</v>
          </cell>
          <cell r="M642" t="str">
            <v>AUS</v>
          </cell>
          <cell r="N642" t="str">
            <v>C</v>
          </cell>
          <cell r="O642">
            <v>24090220</v>
          </cell>
          <cell r="P642" t="str">
            <v>BORIC ACID GRAN TECH 25KG BAG</v>
          </cell>
          <cell r="Q642" t="str">
            <v>Boric Acid</v>
          </cell>
          <cell r="R642">
            <v>3.73</v>
          </cell>
          <cell r="S642">
            <v>1470.38</v>
          </cell>
        </row>
        <row r="643">
          <cell r="A643" t="str">
            <v>Budget</v>
          </cell>
          <cell r="B643">
            <v>1</v>
          </cell>
          <cell r="C643" t="str">
            <v>Export</v>
          </cell>
          <cell r="D643">
            <v>57</v>
          </cell>
          <cell r="E643">
            <v>6316</v>
          </cell>
          <cell r="F643" t="str">
            <v>SWIFT/STOCK MELBOURNE</v>
          </cell>
          <cell r="G643" t="str">
            <v>E</v>
          </cell>
          <cell r="H643" t="str">
            <v>MELBOURNE</v>
          </cell>
          <cell r="J643" t="str">
            <v>AUS</v>
          </cell>
          <cell r="K643" t="str">
            <v>SWIFT AND COMPANY LIMITED</v>
          </cell>
          <cell r="M643" t="str">
            <v>AUS</v>
          </cell>
          <cell r="N643" t="str">
            <v>C</v>
          </cell>
          <cell r="O643">
            <v>22060420</v>
          </cell>
          <cell r="P643" t="str">
            <v>V-BOR 25KG BAG (004)</v>
          </cell>
          <cell r="Q643" t="str">
            <v>Penta</v>
          </cell>
          <cell r="R643">
            <v>2.94</v>
          </cell>
          <cell r="S643">
            <v>959.66</v>
          </cell>
        </row>
        <row r="644">
          <cell r="A644" t="str">
            <v>Budget</v>
          </cell>
          <cell r="B644">
            <v>1</v>
          </cell>
          <cell r="C644" t="str">
            <v>Export</v>
          </cell>
          <cell r="D644">
            <v>57</v>
          </cell>
          <cell r="E644">
            <v>6316</v>
          </cell>
          <cell r="F644" t="str">
            <v>SWIFT/STOCK MELBOURNE</v>
          </cell>
          <cell r="G644" t="str">
            <v>E</v>
          </cell>
          <cell r="H644" t="str">
            <v>MELBOURNE</v>
          </cell>
          <cell r="J644" t="str">
            <v>AUS</v>
          </cell>
          <cell r="K644" t="str">
            <v>SWIFT AND COMPANY LIMITED</v>
          </cell>
          <cell r="M644" t="str">
            <v>AUS</v>
          </cell>
          <cell r="N644" t="str">
            <v>C</v>
          </cell>
          <cell r="O644">
            <v>24030223</v>
          </cell>
          <cell r="P644" t="str">
            <v>BORIC ACID PWD 50LB BAG (INTL)</v>
          </cell>
          <cell r="Q644" t="str">
            <v>Boric Acid</v>
          </cell>
          <cell r="R644">
            <v>0.71</v>
          </cell>
          <cell r="S644">
            <v>451.58</v>
          </cell>
        </row>
        <row r="645">
          <cell r="A645" t="str">
            <v>Budget</v>
          </cell>
          <cell r="B645">
            <v>1</v>
          </cell>
          <cell r="C645" t="str">
            <v>Export</v>
          </cell>
          <cell r="D645">
            <v>57</v>
          </cell>
          <cell r="E645">
            <v>6486</v>
          </cell>
          <cell r="F645" t="str">
            <v>ESVIMEX, S.A. DE C.V.</v>
          </cell>
          <cell r="G645" t="str">
            <v>E</v>
          </cell>
          <cell r="H645" t="str">
            <v>LAREDO</v>
          </cell>
          <cell r="J645" t="str">
            <v>MEX</v>
          </cell>
          <cell r="K645" t="str">
            <v>PROVEEDORA DE PRODUCTOS</v>
          </cell>
          <cell r="M645" t="str">
            <v>MEX</v>
          </cell>
          <cell r="N645" t="str">
            <v>C</v>
          </cell>
          <cell r="O645">
            <v>20060271</v>
          </cell>
          <cell r="P645" t="str">
            <v>PYROBOR 1 MT FIBC (002)</v>
          </cell>
          <cell r="Q645" t="str">
            <v>Pyrobor</v>
          </cell>
          <cell r="R645">
            <v>22.41</v>
          </cell>
          <cell r="S645">
            <v>9893.36</v>
          </cell>
        </row>
        <row r="646">
          <cell r="A646" t="str">
            <v>Budget</v>
          </cell>
          <cell r="B646">
            <v>1</v>
          </cell>
          <cell r="C646" t="str">
            <v>Export</v>
          </cell>
          <cell r="D646">
            <v>57</v>
          </cell>
          <cell r="E646">
            <v>6561</v>
          </cell>
          <cell r="F646" t="str">
            <v>BRENNTAG LATIN AMERICA, INC.</v>
          </cell>
          <cell r="G646" t="str">
            <v>E</v>
          </cell>
          <cell r="H646" t="str">
            <v>PUERTO QUETZAL</v>
          </cell>
          <cell r="J646" t="str">
            <v>GUA</v>
          </cell>
          <cell r="K646" t="str">
            <v>BRENNTAG LATIN AMERICA, INC.</v>
          </cell>
          <cell r="L646" t="str">
            <v>TX</v>
          </cell>
          <cell r="M646" t="str">
            <v>USA</v>
          </cell>
          <cell r="N646" t="str">
            <v>C</v>
          </cell>
          <cell r="O646">
            <v>40060400</v>
          </cell>
          <cell r="P646" t="str">
            <v>SODIUM SULFATE STANDARD BULK</v>
          </cell>
          <cell r="Q646" t="str">
            <v>Sodium Sulfate</v>
          </cell>
          <cell r="R646">
            <v>2257.5500000000002</v>
          </cell>
          <cell r="S646">
            <v>75308.56</v>
          </cell>
        </row>
        <row r="647">
          <cell r="A647" t="str">
            <v>Budget</v>
          </cell>
          <cell r="B647">
            <v>1</v>
          </cell>
          <cell r="C647" t="str">
            <v>Export</v>
          </cell>
          <cell r="D647">
            <v>57</v>
          </cell>
          <cell r="E647">
            <v>6655</v>
          </cell>
          <cell r="F647" t="str">
            <v>OSCAR PENA JR.</v>
          </cell>
          <cell r="G647" t="str">
            <v>E</v>
          </cell>
          <cell r="H647" t="str">
            <v>MONTERREY</v>
          </cell>
          <cell r="J647" t="str">
            <v>MEX</v>
          </cell>
          <cell r="K647" t="str">
            <v>PROVEEDORA DE PRODUCTOS</v>
          </cell>
          <cell r="M647" t="str">
            <v>MEX</v>
          </cell>
          <cell r="N647" t="str">
            <v>C</v>
          </cell>
          <cell r="O647">
            <v>22060428</v>
          </cell>
          <cell r="P647" t="str">
            <v>V-BOR 25KG BAG (004), WOOD</v>
          </cell>
          <cell r="Q647" t="str">
            <v>Penta</v>
          </cell>
          <cell r="R647">
            <v>37.25</v>
          </cell>
          <cell r="S647">
            <v>10456.040000000001</v>
          </cell>
        </row>
        <row r="648">
          <cell r="A648" t="str">
            <v>Budget</v>
          </cell>
          <cell r="B648">
            <v>1</v>
          </cell>
          <cell r="C648" t="str">
            <v>Export</v>
          </cell>
          <cell r="D648">
            <v>57</v>
          </cell>
          <cell r="E648">
            <v>6895</v>
          </cell>
          <cell r="F648" t="str">
            <v>MET MEX PENOLES, S.A. DE C.V.</v>
          </cell>
          <cell r="G648" t="str">
            <v>E</v>
          </cell>
          <cell r="H648" t="str">
            <v>LAREDO</v>
          </cell>
          <cell r="I648" t="str">
            <v>TX</v>
          </cell>
          <cell r="J648" t="str">
            <v>MEX</v>
          </cell>
          <cell r="K648" t="str">
            <v>MET MEX PENOLES S.A. DE CV</v>
          </cell>
          <cell r="M648" t="str">
            <v>MEX</v>
          </cell>
          <cell r="N648" t="str">
            <v>C</v>
          </cell>
          <cell r="O648">
            <v>20060255</v>
          </cell>
          <cell r="P648" t="str">
            <v>PYROBOR 1 MT FIBC (002)</v>
          </cell>
          <cell r="Q648" t="str">
            <v>Pyrobor</v>
          </cell>
          <cell r="R648">
            <v>46.12</v>
          </cell>
          <cell r="S648">
            <v>23809.57</v>
          </cell>
        </row>
        <row r="649">
          <cell r="A649" t="str">
            <v>Budget</v>
          </cell>
          <cell r="B649">
            <v>1</v>
          </cell>
          <cell r="C649" t="str">
            <v>Export</v>
          </cell>
          <cell r="D649">
            <v>57</v>
          </cell>
          <cell r="E649">
            <v>7097</v>
          </cell>
          <cell r="F649" t="str">
            <v>UNILEVER BRASIL LTDA.</v>
          </cell>
          <cell r="G649" t="str">
            <v>E</v>
          </cell>
          <cell r="H649" t="str">
            <v>VESPASIANO - MG</v>
          </cell>
          <cell r="J649" t="str">
            <v>BRZ</v>
          </cell>
          <cell r="K649" t="str">
            <v>UNILEVER BRASIL LTDA.</v>
          </cell>
          <cell r="M649" t="str">
            <v>BRZ</v>
          </cell>
          <cell r="N649" t="str">
            <v>C</v>
          </cell>
          <cell r="O649">
            <v>40060400</v>
          </cell>
          <cell r="P649" t="str">
            <v>SODIUM SULFATE STANDARD BULK</v>
          </cell>
          <cell r="Q649" t="str">
            <v>Sodium Sulfate</v>
          </cell>
          <cell r="R649">
            <v>4953.37</v>
          </cell>
          <cell r="S649">
            <v>144886.04999999999</v>
          </cell>
        </row>
        <row r="650">
          <cell r="A650" t="str">
            <v>Budget</v>
          </cell>
          <cell r="B650">
            <v>1</v>
          </cell>
          <cell r="C650" t="str">
            <v>Export</v>
          </cell>
          <cell r="D650">
            <v>57</v>
          </cell>
          <cell r="E650">
            <v>7326</v>
          </cell>
          <cell r="F650" t="str">
            <v>T.C. INTERNATIONAL</v>
          </cell>
          <cell r="G650" t="str">
            <v>E</v>
          </cell>
          <cell r="H650" t="str">
            <v>LAREDO</v>
          </cell>
          <cell r="J650" t="str">
            <v>MEX</v>
          </cell>
          <cell r="K650" t="str">
            <v>PROVEEDORA DE PRODUCTOS</v>
          </cell>
          <cell r="M650" t="str">
            <v>MEX</v>
          </cell>
          <cell r="N650" t="str">
            <v>C</v>
          </cell>
          <cell r="O650">
            <v>22060428</v>
          </cell>
          <cell r="P650" t="str">
            <v>V-BOR 25KG BAG (004), WOOD</v>
          </cell>
          <cell r="Q650" t="str">
            <v>Penta</v>
          </cell>
          <cell r="R650">
            <v>18.63</v>
          </cell>
          <cell r="S650">
            <v>4478.0600000000004</v>
          </cell>
        </row>
        <row r="651">
          <cell r="A651" t="str">
            <v>Budget</v>
          </cell>
          <cell r="B651">
            <v>1</v>
          </cell>
          <cell r="C651" t="str">
            <v>Export</v>
          </cell>
          <cell r="D651">
            <v>57</v>
          </cell>
          <cell r="E651">
            <v>7343</v>
          </cell>
          <cell r="F651" t="str">
            <v>IMPORTADORA QUIMICA DEL NORTE</v>
          </cell>
          <cell r="G651" t="str">
            <v>E</v>
          </cell>
          <cell r="H651" t="str">
            <v>LA URUCA</v>
          </cell>
          <cell r="J651" t="str">
            <v>COS</v>
          </cell>
          <cell r="K651" t="str">
            <v>REUBEN SOTO CORP S.A.</v>
          </cell>
          <cell r="M651" t="str">
            <v>COS</v>
          </cell>
          <cell r="N651" t="str">
            <v>C</v>
          </cell>
          <cell r="O651">
            <v>23160240</v>
          </cell>
          <cell r="P651" t="str">
            <v>DECA BORAX EX CRS 50KG BAG</v>
          </cell>
          <cell r="Q651" t="str">
            <v>Deca</v>
          </cell>
          <cell r="R651">
            <v>5.04</v>
          </cell>
          <cell r="S651">
            <v>1538.04</v>
          </cell>
        </row>
        <row r="652">
          <cell r="A652" t="str">
            <v>Budget</v>
          </cell>
          <cell r="B652">
            <v>1</v>
          </cell>
          <cell r="C652" t="str">
            <v>Export</v>
          </cell>
          <cell r="D652">
            <v>57</v>
          </cell>
          <cell r="E652">
            <v>7343</v>
          </cell>
          <cell r="F652" t="str">
            <v>IMPORTADORA QUIMICA DEL NORTE</v>
          </cell>
          <cell r="G652" t="str">
            <v>E</v>
          </cell>
          <cell r="H652" t="str">
            <v>LA URUCA</v>
          </cell>
          <cell r="J652" t="str">
            <v>COS</v>
          </cell>
          <cell r="K652" t="str">
            <v>REUBEN SOTO CORP S.A.</v>
          </cell>
          <cell r="M652" t="str">
            <v>COS</v>
          </cell>
          <cell r="N652" t="str">
            <v>C</v>
          </cell>
          <cell r="O652">
            <v>24030223</v>
          </cell>
          <cell r="P652" t="str">
            <v>BORIC ACID PWD 50LB BAG (INTL)</v>
          </cell>
          <cell r="Q652" t="str">
            <v>Boric Acid</v>
          </cell>
          <cell r="R652">
            <v>5.87</v>
          </cell>
          <cell r="S652">
            <v>3863.23</v>
          </cell>
        </row>
        <row r="653">
          <cell r="A653" t="str">
            <v>Budget</v>
          </cell>
          <cell r="B653">
            <v>1</v>
          </cell>
          <cell r="C653" t="str">
            <v>Export</v>
          </cell>
          <cell r="D653">
            <v>57</v>
          </cell>
          <cell r="E653">
            <v>7343</v>
          </cell>
          <cell r="F653" t="str">
            <v>IMPORTADORA QUIMICA DEL NORTE</v>
          </cell>
          <cell r="G653" t="str">
            <v>E</v>
          </cell>
          <cell r="H653" t="str">
            <v>LA URUCA</v>
          </cell>
          <cell r="J653" t="str">
            <v>COS</v>
          </cell>
          <cell r="K653" t="str">
            <v>REUBEN SOTO CORP S.A.</v>
          </cell>
          <cell r="M653" t="str">
            <v>COS</v>
          </cell>
          <cell r="N653" t="str">
            <v>C</v>
          </cell>
          <cell r="O653">
            <v>24090240</v>
          </cell>
          <cell r="P653" t="str">
            <v>BORIC ACID GRAN TECH 50KG BAG</v>
          </cell>
          <cell r="Q653" t="str">
            <v>Boric Acid</v>
          </cell>
          <cell r="R653">
            <v>4.1100000000000003</v>
          </cell>
          <cell r="S653">
            <v>1998.49</v>
          </cell>
        </row>
        <row r="654">
          <cell r="A654" t="str">
            <v>Budget</v>
          </cell>
          <cell r="B654">
            <v>1</v>
          </cell>
          <cell r="C654" t="str">
            <v>Export</v>
          </cell>
          <cell r="D654">
            <v>57</v>
          </cell>
          <cell r="E654">
            <v>7343</v>
          </cell>
          <cell r="F654" t="str">
            <v>IMPORTADORA QUIMICA DEL NORTE</v>
          </cell>
          <cell r="G654" t="str">
            <v>E</v>
          </cell>
          <cell r="H654" t="str">
            <v>LA URUCA</v>
          </cell>
          <cell r="J654" t="str">
            <v>COS</v>
          </cell>
          <cell r="K654" t="str">
            <v>REUBEN SOTO CORP S.A.</v>
          </cell>
          <cell r="M654" t="str">
            <v>COS</v>
          </cell>
          <cell r="N654" t="str">
            <v>C</v>
          </cell>
          <cell r="O654">
            <v>40060430</v>
          </cell>
          <cell r="P654" t="str">
            <v>SODIUM SULFATE STD 100LB BAG</v>
          </cell>
          <cell r="Q654" t="str">
            <v>Sodium Sulfate</v>
          </cell>
          <cell r="R654">
            <v>26.26</v>
          </cell>
          <cell r="S654">
            <v>3128.96</v>
          </cell>
        </row>
        <row r="655">
          <cell r="A655" t="str">
            <v>Budget</v>
          </cell>
          <cell r="B655">
            <v>1</v>
          </cell>
          <cell r="C655" t="str">
            <v>Export</v>
          </cell>
          <cell r="D655">
            <v>57</v>
          </cell>
          <cell r="E655">
            <v>7426</v>
          </cell>
          <cell r="F655" t="str">
            <v>SWIFT &amp; CO/COOL &amp; COSY</v>
          </cell>
          <cell r="G655" t="str">
            <v>E</v>
          </cell>
          <cell r="H655" t="str">
            <v>BRISBANE</v>
          </cell>
          <cell r="J655" t="str">
            <v>AUS</v>
          </cell>
          <cell r="K655" t="str">
            <v>SWIFT AND COMPANY LIMITED</v>
          </cell>
          <cell r="M655" t="str">
            <v>AUS</v>
          </cell>
          <cell r="N655" t="str">
            <v>C</v>
          </cell>
          <cell r="O655">
            <v>23060220</v>
          </cell>
          <cell r="P655" t="str">
            <v>DECA BORAX STD 25KG BAG</v>
          </cell>
          <cell r="Q655" t="str">
            <v>Deca</v>
          </cell>
          <cell r="R655">
            <v>3.73</v>
          </cell>
          <cell r="S655">
            <v>805.86</v>
          </cell>
        </row>
        <row r="656">
          <cell r="A656" t="str">
            <v>Budget</v>
          </cell>
          <cell r="B656">
            <v>1</v>
          </cell>
          <cell r="C656" t="str">
            <v>Export</v>
          </cell>
          <cell r="D656">
            <v>57</v>
          </cell>
          <cell r="E656">
            <v>7491</v>
          </cell>
          <cell r="F656" t="str">
            <v>GMP PRODUCTOS QUIMICOS S.A.</v>
          </cell>
          <cell r="G656" t="str">
            <v>E</v>
          </cell>
          <cell r="H656" t="str">
            <v>MEDELLIN</v>
          </cell>
          <cell r="J656" t="str">
            <v>COL</v>
          </cell>
          <cell r="K656" t="str">
            <v>AQUITECNO LTDA</v>
          </cell>
          <cell r="M656" t="str">
            <v>COL</v>
          </cell>
          <cell r="N656" t="str">
            <v>C</v>
          </cell>
          <cell r="O656">
            <v>22060428</v>
          </cell>
          <cell r="P656" t="str">
            <v>V-BOR 25KG BAG (004), WOOD</v>
          </cell>
          <cell r="Q656" t="str">
            <v>Penta</v>
          </cell>
          <cell r="R656">
            <v>0.98</v>
          </cell>
          <cell r="S656">
            <v>283.87</v>
          </cell>
        </row>
        <row r="657">
          <cell r="A657" t="str">
            <v>Budget</v>
          </cell>
          <cell r="B657">
            <v>1</v>
          </cell>
          <cell r="C657" t="str">
            <v>Export</v>
          </cell>
          <cell r="D657">
            <v>57</v>
          </cell>
          <cell r="E657">
            <v>7491</v>
          </cell>
          <cell r="F657" t="str">
            <v>GMP PRODUCTOS QUIMICOS S.A.</v>
          </cell>
          <cell r="G657" t="str">
            <v>E</v>
          </cell>
          <cell r="H657" t="str">
            <v>MEDELLIN</v>
          </cell>
          <cell r="J657" t="str">
            <v>COL</v>
          </cell>
          <cell r="K657" t="str">
            <v>AQUITECNO LTDA</v>
          </cell>
          <cell r="M657" t="str">
            <v>COL</v>
          </cell>
          <cell r="N657" t="str">
            <v>C</v>
          </cell>
          <cell r="O657">
            <v>23060228</v>
          </cell>
          <cell r="P657" t="str">
            <v>DECA BORAX STD 25KG BAG, WOOD</v>
          </cell>
          <cell r="Q657" t="str">
            <v>Deca</v>
          </cell>
          <cell r="R657">
            <v>2.75</v>
          </cell>
          <cell r="S657">
            <v>720.16</v>
          </cell>
        </row>
        <row r="658">
          <cell r="A658" t="str">
            <v>Budget</v>
          </cell>
          <cell r="B658">
            <v>1</v>
          </cell>
          <cell r="C658" t="str">
            <v>Export</v>
          </cell>
          <cell r="D658">
            <v>57</v>
          </cell>
          <cell r="E658">
            <v>7606</v>
          </cell>
          <cell r="F658" t="str">
            <v>SWIFT &amp; CO./BORAL/MELBOURNE</v>
          </cell>
          <cell r="G658" t="str">
            <v>E</v>
          </cell>
          <cell r="H658" t="str">
            <v>MELBOURNE</v>
          </cell>
          <cell r="J658" t="str">
            <v>AUS</v>
          </cell>
          <cell r="K658" t="str">
            <v>SWIFT AND COMPANY LIMITED</v>
          </cell>
          <cell r="M658" t="str">
            <v>AUS</v>
          </cell>
          <cell r="N658" t="str">
            <v>C</v>
          </cell>
          <cell r="O658">
            <v>24090220</v>
          </cell>
          <cell r="P658" t="str">
            <v>BORIC ACID GRAN TECH 25KG BAG</v>
          </cell>
          <cell r="Q658" t="str">
            <v>Boric Acid</v>
          </cell>
          <cell r="R658">
            <v>3.73</v>
          </cell>
          <cell r="S658">
            <v>1271.3399999999999</v>
          </cell>
        </row>
        <row r="659">
          <cell r="A659" t="str">
            <v>Budget</v>
          </cell>
          <cell r="B659">
            <v>1</v>
          </cell>
          <cell r="C659" t="str">
            <v>Export</v>
          </cell>
          <cell r="D659">
            <v>57</v>
          </cell>
          <cell r="E659">
            <v>7640</v>
          </cell>
          <cell r="F659" t="str">
            <v>MIGUEZ Y CIA, S.A.</v>
          </cell>
          <cell r="G659" t="str">
            <v>E</v>
          </cell>
          <cell r="H659" t="str">
            <v>PANAMA REP. DE PANAMA</v>
          </cell>
          <cell r="J659" t="str">
            <v>PAN</v>
          </cell>
          <cell r="K659" t="str">
            <v>MIGUEZ Y CIA, S.A.</v>
          </cell>
          <cell r="M659" t="str">
            <v>PAN</v>
          </cell>
          <cell r="N659" t="str">
            <v>C</v>
          </cell>
          <cell r="O659">
            <v>22060420</v>
          </cell>
          <cell r="P659" t="str">
            <v>V-BOR 25KG BAG (004)</v>
          </cell>
          <cell r="Q659" t="str">
            <v>Penta</v>
          </cell>
          <cell r="R659">
            <v>3.53</v>
          </cell>
          <cell r="S659">
            <v>1343.31</v>
          </cell>
        </row>
        <row r="660">
          <cell r="A660" t="str">
            <v>Budget</v>
          </cell>
          <cell r="B660">
            <v>1</v>
          </cell>
          <cell r="C660" t="str">
            <v>Export</v>
          </cell>
          <cell r="D660">
            <v>57</v>
          </cell>
          <cell r="E660">
            <v>7640</v>
          </cell>
          <cell r="F660" t="str">
            <v>MIGUEZ Y CIA, S.A.</v>
          </cell>
          <cell r="G660" t="str">
            <v>E</v>
          </cell>
          <cell r="H660" t="str">
            <v>PANAMA REP. DE PANAMA</v>
          </cell>
          <cell r="J660" t="str">
            <v>PAN</v>
          </cell>
          <cell r="K660" t="str">
            <v>MIGUEZ Y CIA, S.A.</v>
          </cell>
          <cell r="M660" t="str">
            <v>PAN</v>
          </cell>
          <cell r="N660" t="str">
            <v>C</v>
          </cell>
          <cell r="O660">
            <v>24090220</v>
          </cell>
          <cell r="P660" t="str">
            <v>BORIC ACID GRAN TECH 25KG BAG</v>
          </cell>
          <cell r="Q660" t="str">
            <v>Boric Acid</v>
          </cell>
          <cell r="R660">
            <v>0.2</v>
          </cell>
          <cell r="S660">
            <v>96.88</v>
          </cell>
        </row>
        <row r="661">
          <cell r="A661" t="str">
            <v>Budget</v>
          </cell>
          <cell r="B661">
            <v>1</v>
          </cell>
          <cell r="C661" t="str">
            <v>Export</v>
          </cell>
          <cell r="D661">
            <v>57</v>
          </cell>
          <cell r="E661">
            <v>7670</v>
          </cell>
          <cell r="F661" t="str">
            <v>KOPRIMO S.A. DE C.V.</v>
          </cell>
          <cell r="G661" t="str">
            <v>E</v>
          </cell>
          <cell r="H661" t="str">
            <v>LAREDO</v>
          </cell>
          <cell r="J661" t="str">
            <v>MEX</v>
          </cell>
          <cell r="K661" t="str">
            <v>KOPRIMO S.A. DE C.V.</v>
          </cell>
          <cell r="M661" t="str">
            <v>MEX</v>
          </cell>
          <cell r="N661" t="str">
            <v>C</v>
          </cell>
          <cell r="O661">
            <v>20060228</v>
          </cell>
          <cell r="P661" t="str">
            <v>PYROBOR 25KG BAG (002), WOOD</v>
          </cell>
          <cell r="Q661" t="str">
            <v>Pyrobor</v>
          </cell>
          <cell r="R661">
            <v>1.37</v>
          </cell>
          <cell r="S661">
            <v>759.2</v>
          </cell>
        </row>
        <row r="662">
          <cell r="A662" t="str">
            <v>Budget</v>
          </cell>
          <cell r="B662">
            <v>1</v>
          </cell>
          <cell r="C662" t="str">
            <v>Export</v>
          </cell>
          <cell r="D662">
            <v>57</v>
          </cell>
          <cell r="E662">
            <v>7670</v>
          </cell>
          <cell r="F662" t="str">
            <v>KOPRIMO S.A. DE C.V.</v>
          </cell>
          <cell r="G662" t="str">
            <v>E</v>
          </cell>
          <cell r="H662" t="str">
            <v>LAREDO</v>
          </cell>
          <cell r="J662" t="str">
            <v>MEX</v>
          </cell>
          <cell r="K662" t="str">
            <v>KOPRIMO S.A. DE C.V.</v>
          </cell>
          <cell r="M662" t="str">
            <v>MEX</v>
          </cell>
          <cell r="N662" t="str">
            <v>C</v>
          </cell>
          <cell r="O662">
            <v>22060400</v>
          </cell>
          <cell r="P662" t="str">
            <v>V-BOR STD BULK (004)</v>
          </cell>
          <cell r="Q662" t="str">
            <v>Penta</v>
          </cell>
          <cell r="R662">
            <v>86.38</v>
          </cell>
          <cell r="S662">
            <v>25165.279999999999</v>
          </cell>
        </row>
        <row r="663">
          <cell r="A663" t="str">
            <v>Budget</v>
          </cell>
          <cell r="B663">
            <v>1</v>
          </cell>
          <cell r="C663" t="str">
            <v>Export</v>
          </cell>
          <cell r="D663">
            <v>57</v>
          </cell>
          <cell r="E663">
            <v>7670</v>
          </cell>
          <cell r="F663" t="str">
            <v>KOPRIMO S.A. DE C.V.</v>
          </cell>
          <cell r="G663" t="str">
            <v>E</v>
          </cell>
          <cell r="H663" t="str">
            <v>LAREDO</v>
          </cell>
          <cell r="J663" t="str">
            <v>MEX</v>
          </cell>
          <cell r="K663" t="str">
            <v>KOPRIMO S.A. DE C.V.</v>
          </cell>
          <cell r="M663" t="str">
            <v>MEX</v>
          </cell>
          <cell r="N663" t="str">
            <v>C</v>
          </cell>
          <cell r="O663">
            <v>22060428</v>
          </cell>
          <cell r="P663" t="str">
            <v>V-BOR 25KG BAG (004), WOOD</v>
          </cell>
          <cell r="Q663" t="str">
            <v>Penta</v>
          </cell>
          <cell r="R663">
            <v>28.04</v>
          </cell>
          <cell r="S663">
            <v>8177.24</v>
          </cell>
        </row>
        <row r="664">
          <cell r="A664" t="str">
            <v>Budget</v>
          </cell>
          <cell r="B664">
            <v>1</v>
          </cell>
          <cell r="C664" t="str">
            <v>Export</v>
          </cell>
          <cell r="D664">
            <v>57</v>
          </cell>
          <cell r="E664">
            <v>7670</v>
          </cell>
          <cell r="F664" t="str">
            <v>KOPRIMO S.A. DE C.V.</v>
          </cell>
          <cell r="G664" t="str">
            <v>E</v>
          </cell>
          <cell r="H664" t="str">
            <v>LAREDO</v>
          </cell>
          <cell r="J664" t="str">
            <v>MEX</v>
          </cell>
          <cell r="K664" t="str">
            <v>KOPRIMO S.A. DE C.V.</v>
          </cell>
          <cell r="M664" t="str">
            <v>MEX</v>
          </cell>
          <cell r="N664" t="str">
            <v>C</v>
          </cell>
          <cell r="O664">
            <v>22060455</v>
          </cell>
          <cell r="P664" t="str">
            <v>V-BOR 1 MT FIBC (004)</v>
          </cell>
          <cell r="Q664" t="str">
            <v>Penta</v>
          </cell>
          <cell r="R664">
            <v>29.88</v>
          </cell>
          <cell r="S664">
            <v>8179.55</v>
          </cell>
        </row>
        <row r="665">
          <cell r="A665" t="str">
            <v>Budget</v>
          </cell>
          <cell r="B665">
            <v>1</v>
          </cell>
          <cell r="C665" t="str">
            <v>Export</v>
          </cell>
          <cell r="D665">
            <v>57</v>
          </cell>
          <cell r="E665">
            <v>7670</v>
          </cell>
          <cell r="F665" t="str">
            <v>KOPRIMO S.A. DE C.V.</v>
          </cell>
          <cell r="G665" t="str">
            <v>E</v>
          </cell>
          <cell r="H665" t="str">
            <v>LAREDO</v>
          </cell>
          <cell r="J665" t="str">
            <v>MEX</v>
          </cell>
          <cell r="K665" t="str">
            <v>KOPRIMO S.A. DE C.V.</v>
          </cell>
          <cell r="M665" t="str">
            <v>MEX</v>
          </cell>
          <cell r="N665" t="str">
            <v>C</v>
          </cell>
          <cell r="O665">
            <v>23060224</v>
          </cell>
          <cell r="P665" t="str">
            <v>DECA BORAX STD 25KG BG SPECIAL</v>
          </cell>
          <cell r="Q665" t="str">
            <v>Deca</v>
          </cell>
          <cell r="R665">
            <v>2.16</v>
          </cell>
          <cell r="S665">
            <v>283.98</v>
          </cell>
        </row>
        <row r="666">
          <cell r="A666" t="str">
            <v>Budget</v>
          </cell>
          <cell r="B666">
            <v>1</v>
          </cell>
          <cell r="C666" t="str">
            <v>Export</v>
          </cell>
          <cell r="D666">
            <v>57</v>
          </cell>
          <cell r="E666">
            <v>7670</v>
          </cell>
          <cell r="F666" t="str">
            <v>KOPRIMO S.A. DE C.V.</v>
          </cell>
          <cell r="G666" t="str">
            <v>E</v>
          </cell>
          <cell r="H666" t="str">
            <v>LAREDO</v>
          </cell>
          <cell r="J666" t="str">
            <v>MEX</v>
          </cell>
          <cell r="K666" t="str">
            <v>KOPRIMO S.A. DE C.V.</v>
          </cell>
          <cell r="M666" t="str">
            <v>MEX</v>
          </cell>
          <cell r="N666" t="str">
            <v>C</v>
          </cell>
          <cell r="O666">
            <v>23060228</v>
          </cell>
          <cell r="P666" t="str">
            <v>DECA BORAX STD 25KG BAG, WOOD</v>
          </cell>
          <cell r="Q666" t="str">
            <v>Deca</v>
          </cell>
          <cell r="R666">
            <v>50.98</v>
          </cell>
          <cell r="S666">
            <v>12093.99</v>
          </cell>
        </row>
        <row r="667">
          <cell r="A667" t="str">
            <v>Budget</v>
          </cell>
          <cell r="B667">
            <v>1</v>
          </cell>
          <cell r="C667" t="str">
            <v>Export</v>
          </cell>
          <cell r="D667">
            <v>57</v>
          </cell>
          <cell r="E667">
            <v>7670</v>
          </cell>
          <cell r="F667" t="str">
            <v>KOPRIMO S.A. DE C.V.</v>
          </cell>
          <cell r="G667" t="str">
            <v>E</v>
          </cell>
          <cell r="H667" t="str">
            <v>LAREDO</v>
          </cell>
          <cell r="J667" t="str">
            <v>MEX</v>
          </cell>
          <cell r="K667" t="str">
            <v>KOPRIMO S.A. DE C.V.</v>
          </cell>
          <cell r="M667" t="str">
            <v>MEX</v>
          </cell>
          <cell r="N667" t="str">
            <v>C</v>
          </cell>
          <cell r="O667">
            <v>23060255</v>
          </cell>
          <cell r="P667" t="str">
            <v>DECA BORAX STD 1MT FIBC</v>
          </cell>
          <cell r="Q667" t="str">
            <v>Deca</v>
          </cell>
          <cell r="R667">
            <v>1.68</v>
          </cell>
          <cell r="S667">
            <v>221.31</v>
          </cell>
        </row>
        <row r="668">
          <cell r="A668" t="str">
            <v>Budget</v>
          </cell>
          <cell r="B668">
            <v>1</v>
          </cell>
          <cell r="C668" t="str">
            <v>Export</v>
          </cell>
          <cell r="D668">
            <v>57</v>
          </cell>
          <cell r="E668">
            <v>7670</v>
          </cell>
          <cell r="F668" t="str">
            <v>KOPRIMO S.A. DE C.V.</v>
          </cell>
          <cell r="G668" t="str">
            <v>E</v>
          </cell>
          <cell r="H668" t="str">
            <v>LAREDO</v>
          </cell>
          <cell r="J668" t="str">
            <v>MEX</v>
          </cell>
          <cell r="K668" t="str">
            <v>KOPRIMO S.A. DE C.V.</v>
          </cell>
          <cell r="M668" t="str">
            <v>MEX</v>
          </cell>
          <cell r="N668" t="str">
            <v>C</v>
          </cell>
          <cell r="O668">
            <v>24030223</v>
          </cell>
          <cell r="P668" t="str">
            <v>BORIC ACID PWD 50LB BAG (INTL)</v>
          </cell>
          <cell r="Q668" t="str">
            <v>Boric Acid</v>
          </cell>
          <cell r="R668">
            <v>6.58</v>
          </cell>
          <cell r="S668">
            <v>3570.97</v>
          </cell>
        </row>
        <row r="669">
          <cell r="A669" t="str">
            <v>Budget</v>
          </cell>
          <cell r="B669">
            <v>1</v>
          </cell>
          <cell r="C669" t="str">
            <v>Export</v>
          </cell>
          <cell r="D669">
            <v>57</v>
          </cell>
          <cell r="E669">
            <v>7670</v>
          </cell>
          <cell r="F669" t="str">
            <v>KOPRIMO S.A. DE C.V.</v>
          </cell>
          <cell r="G669" t="str">
            <v>E</v>
          </cell>
          <cell r="H669" t="str">
            <v>LAREDO</v>
          </cell>
          <cell r="J669" t="str">
            <v>MEX</v>
          </cell>
          <cell r="K669" t="str">
            <v>KOPRIMO S.A. DE C.V.</v>
          </cell>
          <cell r="M669" t="str">
            <v>MEX</v>
          </cell>
          <cell r="N669" t="str">
            <v>C</v>
          </cell>
          <cell r="O669">
            <v>24090228</v>
          </cell>
          <cell r="P669" t="str">
            <v>BORIC ACID GRAN 25KG BAG, WOOD</v>
          </cell>
          <cell r="Q669" t="str">
            <v>Boric Acid</v>
          </cell>
          <cell r="R669">
            <v>37.25</v>
          </cell>
          <cell r="S669">
            <v>16865.189999999999</v>
          </cell>
        </row>
        <row r="670">
          <cell r="A670" t="str">
            <v>Budget</v>
          </cell>
          <cell r="B670">
            <v>1</v>
          </cell>
          <cell r="C670" t="str">
            <v>Export</v>
          </cell>
          <cell r="D670">
            <v>57</v>
          </cell>
          <cell r="E670">
            <v>7670</v>
          </cell>
          <cell r="F670" t="str">
            <v>KOPRIMO S.A. DE C.V.</v>
          </cell>
          <cell r="G670" t="str">
            <v>E</v>
          </cell>
          <cell r="H670" t="str">
            <v>LAREDO</v>
          </cell>
          <cell r="J670" t="str">
            <v>MEX</v>
          </cell>
          <cell r="K670" t="str">
            <v>KOPRIMO S.A. DE C.V.</v>
          </cell>
          <cell r="M670" t="str">
            <v>MEX</v>
          </cell>
          <cell r="N670" t="str">
            <v>C</v>
          </cell>
          <cell r="O670">
            <v>24090283</v>
          </cell>
          <cell r="P670" t="str">
            <v>BORIC ACID GRN TCH 2500LB FIBC</v>
          </cell>
          <cell r="Q670" t="str">
            <v>Boric Acid</v>
          </cell>
          <cell r="R670">
            <v>0.64</v>
          </cell>
          <cell r="S670">
            <v>227.75</v>
          </cell>
        </row>
        <row r="671">
          <cell r="A671" t="str">
            <v>Budget</v>
          </cell>
          <cell r="B671">
            <v>1</v>
          </cell>
          <cell r="C671" t="str">
            <v>Export</v>
          </cell>
          <cell r="D671">
            <v>57</v>
          </cell>
          <cell r="E671">
            <v>7670</v>
          </cell>
          <cell r="F671" t="str">
            <v>KOPRIMO S.A. DE C.V.</v>
          </cell>
          <cell r="G671" t="str">
            <v>E</v>
          </cell>
          <cell r="H671" t="str">
            <v>LAREDO</v>
          </cell>
          <cell r="J671" t="str">
            <v>MEX</v>
          </cell>
          <cell r="K671" t="str">
            <v>KOPRIMO S.A. DE C.V.</v>
          </cell>
          <cell r="M671" t="str">
            <v>MEX</v>
          </cell>
          <cell r="N671" t="str">
            <v>C</v>
          </cell>
          <cell r="O671">
            <v>24850249</v>
          </cell>
          <cell r="P671" t="str">
            <v>BORIC ACID GRAN, 1 MT FIBC</v>
          </cell>
          <cell r="Q671" t="str">
            <v>Boric Acid</v>
          </cell>
          <cell r="R671">
            <v>1.31</v>
          </cell>
          <cell r="S671">
            <v>468.57</v>
          </cell>
        </row>
        <row r="672">
          <cell r="A672" t="str">
            <v>Budget</v>
          </cell>
          <cell r="B672">
            <v>1</v>
          </cell>
          <cell r="C672" t="str">
            <v>Export</v>
          </cell>
          <cell r="D672">
            <v>57</v>
          </cell>
          <cell r="E672">
            <v>7670</v>
          </cell>
          <cell r="F672" t="str">
            <v>KOPRIMO S.A. DE C.V.</v>
          </cell>
          <cell r="G672" t="str">
            <v>E</v>
          </cell>
          <cell r="H672" t="str">
            <v>LAREDO</v>
          </cell>
          <cell r="J672" t="str">
            <v>MEX</v>
          </cell>
          <cell r="K672" t="str">
            <v>KOPRIMO S.A. DE C.V.</v>
          </cell>
          <cell r="M672" t="str">
            <v>MEX</v>
          </cell>
          <cell r="N672" t="str">
            <v>C</v>
          </cell>
          <cell r="O672">
            <v>24850277</v>
          </cell>
          <cell r="P672" t="str">
            <v>BORIC ACID GRN TECH 775KG FIBC</v>
          </cell>
          <cell r="Q672" t="str">
            <v>Boric Acid</v>
          </cell>
          <cell r="R672">
            <v>2.89</v>
          </cell>
          <cell r="S672">
            <v>1037.49</v>
          </cell>
        </row>
        <row r="673">
          <cell r="A673" t="str">
            <v>Budget</v>
          </cell>
          <cell r="B673">
            <v>1</v>
          </cell>
          <cell r="C673" t="str">
            <v>Export</v>
          </cell>
          <cell r="D673">
            <v>57</v>
          </cell>
          <cell r="E673">
            <v>7670</v>
          </cell>
          <cell r="F673" t="str">
            <v>KOPRIMO S.A. DE C.V.</v>
          </cell>
          <cell r="G673" t="str">
            <v>E</v>
          </cell>
          <cell r="H673" t="str">
            <v>LAREDO</v>
          </cell>
          <cell r="J673" t="str">
            <v>MEX</v>
          </cell>
          <cell r="K673" t="str">
            <v>KOPRIMO S.A. DE C.V.</v>
          </cell>
          <cell r="M673" t="str">
            <v>MEX</v>
          </cell>
          <cell r="N673" t="str">
            <v>C</v>
          </cell>
          <cell r="O673">
            <v>40060400</v>
          </cell>
          <cell r="P673" t="str">
            <v>SODIUM SULFATE STANDARD BULK</v>
          </cell>
          <cell r="Q673" t="str">
            <v>Sodium Sulfate</v>
          </cell>
          <cell r="R673">
            <v>367.5</v>
          </cell>
          <cell r="S673">
            <v>19535.580000000002</v>
          </cell>
        </row>
        <row r="674">
          <cell r="A674" t="str">
            <v>Budget</v>
          </cell>
          <cell r="B674">
            <v>1</v>
          </cell>
          <cell r="C674" t="str">
            <v>Export</v>
          </cell>
          <cell r="D674">
            <v>57</v>
          </cell>
          <cell r="E674">
            <v>7972</v>
          </cell>
          <cell r="F674" t="str">
            <v>FERRO MEXICANA</v>
          </cell>
          <cell r="G674" t="str">
            <v>E</v>
          </cell>
          <cell r="H674" t="str">
            <v>LAREDO</v>
          </cell>
          <cell r="J674" t="str">
            <v>MEX</v>
          </cell>
          <cell r="K674" t="str">
            <v>FERRO MEXICANA</v>
          </cell>
          <cell r="M674" t="str">
            <v>MEX</v>
          </cell>
          <cell r="N674" t="str">
            <v>C</v>
          </cell>
          <cell r="O674">
            <v>20060200</v>
          </cell>
          <cell r="P674" t="str">
            <v>PYROBOR ANHY BORAX BULK (002)</v>
          </cell>
          <cell r="Q674" t="str">
            <v>Pyrobor</v>
          </cell>
          <cell r="R674">
            <v>54.28</v>
          </cell>
          <cell r="S674">
            <v>23597.08</v>
          </cell>
        </row>
        <row r="675">
          <cell r="A675" t="str">
            <v>Budget</v>
          </cell>
          <cell r="B675">
            <v>1</v>
          </cell>
          <cell r="C675" t="str">
            <v>Export</v>
          </cell>
          <cell r="D675">
            <v>57</v>
          </cell>
          <cell r="E675">
            <v>7972</v>
          </cell>
          <cell r="F675" t="str">
            <v>FERRO MEXICANA</v>
          </cell>
          <cell r="G675" t="str">
            <v>E</v>
          </cell>
          <cell r="H675" t="str">
            <v>LAREDO</v>
          </cell>
          <cell r="J675" t="str">
            <v>MEX</v>
          </cell>
          <cell r="K675" t="str">
            <v>FERRO MEXICANA</v>
          </cell>
          <cell r="M675" t="str">
            <v>MEX</v>
          </cell>
          <cell r="N675" t="str">
            <v>C</v>
          </cell>
          <cell r="O675">
            <v>22060400</v>
          </cell>
          <cell r="P675" t="str">
            <v>V-BOR STD BULK (004)</v>
          </cell>
          <cell r="Q675" t="str">
            <v>Penta</v>
          </cell>
          <cell r="R675">
            <v>179.75</v>
          </cell>
          <cell r="S675">
            <v>39069.68</v>
          </cell>
        </row>
        <row r="676">
          <cell r="A676" t="str">
            <v>Budget</v>
          </cell>
          <cell r="B676">
            <v>1</v>
          </cell>
          <cell r="C676" t="str">
            <v>Export</v>
          </cell>
          <cell r="D676">
            <v>57</v>
          </cell>
          <cell r="E676">
            <v>7996</v>
          </cell>
          <cell r="F676" t="str">
            <v>ORIENT GLASS LAMPSHADE FACTORY</v>
          </cell>
          <cell r="G676" t="str">
            <v>E</v>
          </cell>
          <cell r="H676" t="str">
            <v>SONG GANG</v>
          </cell>
          <cell r="J676" t="str">
            <v>CHN</v>
          </cell>
          <cell r="K676" t="str">
            <v>CFA INDUSTRIAL CORP.</v>
          </cell>
          <cell r="L676" t="str">
            <v>CA</v>
          </cell>
          <cell r="M676" t="str">
            <v>USA</v>
          </cell>
          <cell r="N676" t="str">
            <v>C</v>
          </cell>
          <cell r="O676">
            <v>22060440</v>
          </cell>
          <cell r="P676" t="str">
            <v>V-BOR 50KG BAG (004)</v>
          </cell>
          <cell r="Q676" t="str">
            <v>Penta</v>
          </cell>
          <cell r="R676">
            <v>3.73</v>
          </cell>
          <cell r="S676">
            <v>849.03</v>
          </cell>
        </row>
        <row r="677">
          <cell r="A677" t="str">
            <v>Budget</v>
          </cell>
          <cell r="B677">
            <v>1</v>
          </cell>
          <cell r="C677" t="str">
            <v>Export</v>
          </cell>
          <cell r="D677">
            <v>57</v>
          </cell>
          <cell r="E677">
            <v>8164</v>
          </cell>
          <cell r="F677" t="str">
            <v>S. &amp; A. ABAHSAIN CO., LTD.</v>
          </cell>
          <cell r="G677" t="str">
            <v>E</v>
          </cell>
          <cell r="H677" t="str">
            <v>JEDDAH 31952</v>
          </cell>
          <cell r="J677" t="str">
            <v>SAU</v>
          </cell>
          <cell r="K677" t="str">
            <v>S. &amp; A. ABAHSAIN CO., LTD.</v>
          </cell>
          <cell r="M677" t="str">
            <v>SAU</v>
          </cell>
          <cell r="N677" t="str">
            <v>D</v>
          </cell>
          <cell r="O677">
            <v>22060428</v>
          </cell>
          <cell r="P677" t="str">
            <v>V-BOR 25KG BAG (004), WOOD</v>
          </cell>
          <cell r="Q677" t="str">
            <v>Penta</v>
          </cell>
          <cell r="R677">
            <v>3.33</v>
          </cell>
          <cell r="S677">
            <v>980.9</v>
          </cell>
        </row>
        <row r="678">
          <cell r="A678" t="str">
            <v>Budget</v>
          </cell>
          <cell r="B678">
            <v>1</v>
          </cell>
          <cell r="C678" t="str">
            <v>Export</v>
          </cell>
          <cell r="D678">
            <v>57</v>
          </cell>
          <cell r="E678">
            <v>8266</v>
          </cell>
          <cell r="F678" t="str">
            <v>DEXIMA S.A.</v>
          </cell>
          <cell r="G678" t="str">
            <v>E</v>
          </cell>
          <cell r="H678" t="str">
            <v>SANTIAGO</v>
          </cell>
          <cell r="J678" t="str">
            <v>CHI</v>
          </cell>
          <cell r="K678" t="str">
            <v>DEXIMA S.A.</v>
          </cell>
          <cell r="M678" t="str">
            <v>CHI</v>
          </cell>
          <cell r="N678" t="str">
            <v>C</v>
          </cell>
          <cell r="O678">
            <v>20060255</v>
          </cell>
          <cell r="P678" t="str">
            <v>PYROBOR 1 MT FIBC (002)</v>
          </cell>
          <cell r="Q678" t="str">
            <v>Pyrobor</v>
          </cell>
          <cell r="R678">
            <v>7.47</v>
          </cell>
          <cell r="S678">
            <v>3704.84</v>
          </cell>
        </row>
        <row r="679">
          <cell r="A679" t="str">
            <v>Budget</v>
          </cell>
          <cell r="B679">
            <v>1</v>
          </cell>
          <cell r="C679" t="str">
            <v>Export</v>
          </cell>
          <cell r="D679">
            <v>57</v>
          </cell>
          <cell r="E679">
            <v>8317</v>
          </cell>
          <cell r="F679" t="str">
            <v>RAJ INDUSTRIES</v>
          </cell>
          <cell r="G679" t="str">
            <v>E</v>
          </cell>
          <cell r="H679" t="str">
            <v>GUJARAT</v>
          </cell>
          <cell r="J679" t="str">
            <v>IND</v>
          </cell>
          <cell r="K679" t="str">
            <v>RAJ INDUSTRIES</v>
          </cell>
          <cell r="M679" t="str">
            <v>IND</v>
          </cell>
          <cell r="N679" t="str">
            <v>C</v>
          </cell>
          <cell r="O679" t="str">
            <v>220604B8</v>
          </cell>
          <cell r="P679" t="str">
            <v>V-BOR 25KG POLYBAG,WOOD (004)</v>
          </cell>
          <cell r="Q679" t="str">
            <v>Penta</v>
          </cell>
          <cell r="R679">
            <v>70.78</v>
          </cell>
          <cell r="S679">
            <v>16756.77</v>
          </cell>
        </row>
        <row r="680">
          <cell r="A680" t="str">
            <v>Budget</v>
          </cell>
          <cell r="B680">
            <v>1</v>
          </cell>
          <cell r="C680" t="str">
            <v>Export</v>
          </cell>
          <cell r="D680">
            <v>57</v>
          </cell>
          <cell r="E680">
            <v>8344</v>
          </cell>
          <cell r="F680" t="str">
            <v>RISHI ENTERPRISES</v>
          </cell>
          <cell r="G680" t="str">
            <v>E</v>
          </cell>
          <cell r="H680" t="str">
            <v>BHIWANDI, DIST-THANE</v>
          </cell>
          <cell r="J680" t="str">
            <v>IND</v>
          </cell>
          <cell r="K680" t="str">
            <v>RISHI ENTERPRISES</v>
          </cell>
          <cell r="M680" t="str">
            <v>IND</v>
          </cell>
          <cell r="N680" t="str">
            <v>C</v>
          </cell>
          <cell r="O680" t="str">
            <v>220604B8</v>
          </cell>
          <cell r="P680" t="str">
            <v>V-BOR 25KG POLYBAG,WOOD (004)</v>
          </cell>
          <cell r="Q680" t="str">
            <v>Penta</v>
          </cell>
          <cell r="R680">
            <v>127.05</v>
          </cell>
          <cell r="S680">
            <v>30086.94</v>
          </cell>
        </row>
        <row r="681">
          <cell r="A681" t="str">
            <v>Budget</v>
          </cell>
          <cell r="B681">
            <v>1</v>
          </cell>
          <cell r="C681" t="str">
            <v>Export</v>
          </cell>
          <cell r="D681">
            <v>57</v>
          </cell>
          <cell r="E681">
            <v>8344</v>
          </cell>
          <cell r="F681" t="str">
            <v>RISHI ENTERPRISES</v>
          </cell>
          <cell r="G681" t="str">
            <v>E</v>
          </cell>
          <cell r="H681" t="str">
            <v>BHIWANDI, DIST-THANE</v>
          </cell>
          <cell r="J681" t="str">
            <v>IND</v>
          </cell>
          <cell r="K681" t="str">
            <v>RISHI ENTERPRISES</v>
          </cell>
          <cell r="M681" t="str">
            <v>IND</v>
          </cell>
          <cell r="N681" t="str">
            <v>C</v>
          </cell>
          <cell r="O681" t="str">
            <v>231602B8</v>
          </cell>
          <cell r="P681" t="str">
            <v>DECA EX CRS 25KG POLYBAG, WOOD</v>
          </cell>
          <cell r="Q681" t="str">
            <v>Deca</v>
          </cell>
          <cell r="R681">
            <v>44.7</v>
          </cell>
          <cell r="S681">
            <v>8761.82</v>
          </cell>
        </row>
        <row r="682">
          <cell r="A682" t="str">
            <v>Budget</v>
          </cell>
          <cell r="B682">
            <v>1</v>
          </cell>
          <cell r="C682" t="str">
            <v>Export</v>
          </cell>
          <cell r="D682">
            <v>57</v>
          </cell>
          <cell r="E682">
            <v>8344</v>
          </cell>
          <cell r="F682" t="str">
            <v>RISHI ENTERPRISES</v>
          </cell>
          <cell r="G682" t="str">
            <v>E</v>
          </cell>
          <cell r="H682" t="str">
            <v>BHIWANDI, DIST-THANE</v>
          </cell>
          <cell r="J682" t="str">
            <v>IND</v>
          </cell>
          <cell r="K682" t="str">
            <v>RISHI ENTERPRISES</v>
          </cell>
          <cell r="M682" t="str">
            <v>IND</v>
          </cell>
          <cell r="N682" t="str">
            <v>C</v>
          </cell>
          <cell r="O682">
            <v>24090228</v>
          </cell>
          <cell r="P682" t="str">
            <v>BORIC ACID GRAN 25KG BAG, WOOD</v>
          </cell>
          <cell r="Q682" t="str">
            <v>Boric Acid</v>
          </cell>
          <cell r="R682">
            <v>40.98</v>
          </cell>
          <cell r="S682">
            <v>13798.39</v>
          </cell>
        </row>
        <row r="683">
          <cell r="A683" t="str">
            <v>Budget</v>
          </cell>
          <cell r="B683">
            <v>1</v>
          </cell>
          <cell r="C683" t="str">
            <v>Export</v>
          </cell>
          <cell r="D683">
            <v>57</v>
          </cell>
          <cell r="E683">
            <v>8526</v>
          </cell>
          <cell r="F683" t="str">
            <v>INACTIVE-PRODUCTOS QUIMICOS MA</v>
          </cell>
          <cell r="G683" t="str">
            <v>E</v>
          </cell>
          <cell r="H683" t="str">
            <v>LAREDO</v>
          </cell>
          <cell r="J683" t="str">
            <v>MEX</v>
          </cell>
          <cell r="K683" t="str">
            <v>INACTIVE-KOPRIMO S.A. DE C.V.</v>
          </cell>
          <cell r="M683" t="str">
            <v>MEX</v>
          </cell>
          <cell r="N683" t="str">
            <v>C</v>
          </cell>
          <cell r="O683">
            <v>40060400</v>
          </cell>
          <cell r="P683" t="str">
            <v>SODIUM SULFATE STANDARD BULK</v>
          </cell>
          <cell r="Q683" t="str">
            <v>Sodium Sulfate</v>
          </cell>
          <cell r="R683">
            <v>18.32</v>
          </cell>
          <cell r="S683">
            <v>1004.43</v>
          </cell>
        </row>
        <row r="684">
          <cell r="A684" t="str">
            <v>Budget</v>
          </cell>
          <cell r="B684">
            <v>1</v>
          </cell>
          <cell r="C684" t="str">
            <v>Export</v>
          </cell>
          <cell r="D684">
            <v>57</v>
          </cell>
          <cell r="E684">
            <v>8580</v>
          </cell>
          <cell r="F684" t="str">
            <v>FEVISA INDUSTRIAL S.A. DE C.V.</v>
          </cell>
          <cell r="G684" t="str">
            <v>E</v>
          </cell>
          <cell r="H684" t="str">
            <v>CALEXICO</v>
          </cell>
          <cell r="J684" t="str">
            <v>MEX</v>
          </cell>
          <cell r="K684" t="str">
            <v>FEVISA INDUSTRIAL S.A. DE C.V.</v>
          </cell>
          <cell r="M684" t="str">
            <v>MEX</v>
          </cell>
          <cell r="N684" t="str">
            <v>C</v>
          </cell>
          <cell r="O684">
            <v>40060400</v>
          </cell>
          <cell r="P684" t="str">
            <v>SODIUM SULFATE STANDARD BULK</v>
          </cell>
          <cell r="Q684" t="str">
            <v>Sodium Sulfate</v>
          </cell>
          <cell r="R684">
            <v>38.28</v>
          </cell>
          <cell r="S684">
            <v>5069.8599999999997</v>
          </cell>
        </row>
        <row r="685">
          <cell r="A685" t="str">
            <v>Budget</v>
          </cell>
          <cell r="B685">
            <v>1</v>
          </cell>
          <cell r="C685" t="str">
            <v>Export</v>
          </cell>
          <cell r="D685">
            <v>57</v>
          </cell>
          <cell r="E685">
            <v>8659</v>
          </cell>
          <cell r="F685" t="str">
            <v>SULATLANTICA IMPORTADORA E</v>
          </cell>
          <cell r="G685" t="str">
            <v>E</v>
          </cell>
          <cell r="H685" t="str">
            <v>RIO DE JANEIRO</v>
          </cell>
          <cell r="J685" t="str">
            <v>BRZ</v>
          </cell>
          <cell r="K685" t="str">
            <v>SULATLANTICA IMPORTADORA E</v>
          </cell>
          <cell r="M685" t="str">
            <v>BRZ</v>
          </cell>
          <cell r="N685" t="str">
            <v>D</v>
          </cell>
          <cell r="O685" t="str">
            <v>200602B8</v>
          </cell>
          <cell r="P685" t="str">
            <v>PYROBOR 25KG POLYBAG, WOOD</v>
          </cell>
          <cell r="Q685" t="str">
            <v>Pyrobor</v>
          </cell>
          <cell r="R685">
            <v>1.96</v>
          </cell>
          <cell r="S685">
            <v>1015.91</v>
          </cell>
        </row>
        <row r="686">
          <cell r="A686" t="str">
            <v>Budget</v>
          </cell>
          <cell r="B686">
            <v>1</v>
          </cell>
          <cell r="C686" t="str">
            <v>Export</v>
          </cell>
          <cell r="D686">
            <v>57</v>
          </cell>
          <cell r="E686">
            <v>8659</v>
          </cell>
          <cell r="F686" t="str">
            <v>SULATLANTICA IMPORTADORA E</v>
          </cell>
          <cell r="G686" t="str">
            <v>E</v>
          </cell>
          <cell r="H686" t="str">
            <v>RIO DE JANEIRO</v>
          </cell>
          <cell r="J686" t="str">
            <v>BRZ</v>
          </cell>
          <cell r="K686" t="str">
            <v>SULATLANTICA IMPORTADORA E</v>
          </cell>
          <cell r="M686" t="str">
            <v>BRZ</v>
          </cell>
          <cell r="N686" t="str">
            <v>D</v>
          </cell>
          <cell r="O686" t="str">
            <v>230602B8</v>
          </cell>
          <cell r="P686" t="str">
            <v>DECA STD 25KG POLYBAG, WOOD</v>
          </cell>
          <cell r="Q686" t="str">
            <v>Deca</v>
          </cell>
          <cell r="R686">
            <v>9.2200000000000006</v>
          </cell>
          <cell r="S686">
            <v>1932.39</v>
          </cell>
        </row>
        <row r="687">
          <cell r="A687" t="str">
            <v>Budget</v>
          </cell>
          <cell r="B687">
            <v>1</v>
          </cell>
          <cell r="C687" t="str">
            <v>Export</v>
          </cell>
          <cell r="D687">
            <v>57</v>
          </cell>
          <cell r="E687">
            <v>8664</v>
          </cell>
          <cell r="F687" t="str">
            <v>INACTIVE-SAINT GOBAIN VIDROS S</v>
          </cell>
          <cell r="G687" t="str">
            <v>E</v>
          </cell>
          <cell r="H687" t="str">
            <v>SAO PAULO - SP</v>
          </cell>
          <cell r="J687" t="str">
            <v>BRZ</v>
          </cell>
          <cell r="K687" t="str">
            <v>INACTIVE-TCN / CONSULTORIA E</v>
          </cell>
          <cell r="M687" t="str">
            <v>BRZ</v>
          </cell>
          <cell r="N687" t="str">
            <v>C</v>
          </cell>
          <cell r="O687">
            <v>20060228</v>
          </cell>
          <cell r="P687" t="str">
            <v>PYROBOR 25KG BAG (002), WOOD</v>
          </cell>
          <cell r="Q687" t="str">
            <v>Pyrobor</v>
          </cell>
          <cell r="R687">
            <v>186.26</v>
          </cell>
          <cell r="S687">
            <v>88529.82</v>
          </cell>
        </row>
        <row r="688">
          <cell r="A688" t="str">
            <v>Budget</v>
          </cell>
          <cell r="B688">
            <v>1</v>
          </cell>
          <cell r="C688" t="str">
            <v>Export</v>
          </cell>
          <cell r="D688">
            <v>57</v>
          </cell>
          <cell r="E688">
            <v>8757</v>
          </cell>
          <cell r="F688" t="str">
            <v>EDALBRAS INDUSTRIA E</v>
          </cell>
          <cell r="G688" t="str">
            <v>E</v>
          </cell>
          <cell r="H688" t="str">
            <v>GUARULHOS - SAO PAULO</v>
          </cell>
          <cell r="J688" t="str">
            <v>BRZ</v>
          </cell>
          <cell r="K688" t="str">
            <v>TCN - CONSULTORIA E</v>
          </cell>
          <cell r="M688" t="str">
            <v>BRZ</v>
          </cell>
          <cell r="O688">
            <v>40060400</v>
          </cell>
          <cell r="P688" t="str">
            <v>SODIUM SULFATE STANDARD BULK</v>
          </cell>
          <cell r="Q688" t="str">
            <v>Sodium Sulfate</v>
          </cell>
          <cell r="R688">
            <v>932.71</v>
          </cell>
          <cell r="S688">
            <v>20071.61</v>
          </cell>
        </row>
        <row r="689">
          <cell r="A689" t="str">
            <v>Budget</v>
          </cell>
          <cell r="B689">
            <v>1</v>
          </cell>
          <cell r="C689" t="str">
            <v>Export</v>
          </cell>
          <cell r="D689">
            <v>57</v>
          </cell>
          <cell r="E689">
            <v>8930</v>
          </cell>
          <cell r="F689" t="str">
            <v>ANDESIA QUIMICOS INDUSTRIALES</v>
          </cell>
          <cell r="G689" t="str">
            <v>E</v>
          </cell>
          <cell r="H689" t="str">
            <v>BOGOTA</v>
          </cell>
          <cell r="J689" t="str">
            <v>COL</v>
          </cell>
          <cell r="K689" t="str">
            <v>AQUITECNO LTDA.</v>
          </cell>
          <cell r="M689" t="str">
            <v>COL</v>
          </cell>
          <cell r="N689" t="str">
            <v>C</v>
          </cell>
          <cell r="O689">
            <v>22060428</v>
          </cell>
          <cell r="P689" t="str">
            <v>V-BOR 25KG BAG (004), WOOD</v>
          </cell>
          <cell r="Q689" t="str">
            <v>Penta</v>
          </cell>
          <cell r="R689">
            <v>7.45</v>
          </cell>
          <cell r="S689">
            <v>2144.5500000000002</v>
          </cell>
        </row>
        <row r="690">
          <cell r="A690" t="str">
            <v>Budget</v>
          </cell>
          <cell r="B690">
            <v>1</v>
          </cell>
          <cell r="C690" t="str">
            <v>Export</v>
          </cell>
          <cell r="D690">
            <v>57</v>
          </cell>
          <cell r="E690">
            <v>8930</v>
          </cell>
          <cell r="F690" t="str">
            <v>ANDESIA QUIMICOS INDUSTRIALES</v>
          </cell>
          <cell r="G690" t="str">
            <v>E</v>
          </cell>
          <cell r="H690" t="str">
            <v>BOGOTA</v>
          </cell>
          <cell r="J690" t="str">
            <v>COL</v>
          </cell>
          <cell r="K690" t="str">
            <v>AQUITECNO LTDA.</v>
          </cell>
          <cell r="M690" t="str">
            <v>COL</v>
          </cell>
          <cell r="N690" t="str">
            <v>C</v>
          </cell>
          <cell r="O690">
            <v>23060228</v>
          </cell>
          <cell r="P690" t="str">
            <v>DECA BORAX STD 25KG BAG, WOOD</v>
          </cell>
          <cell r="Q690" t="str">
            <v>Deca</v>
          </cell>
          <cell r="R690">
            <v>3.73</v>
          </cell>
          <cell r="S690">
            <v>972.39</v>
          </cell>
        </row>
        <row r="691">
          <cell r="A691" t="str">
            <v>Budget</v>
          </cell>
          <cell r="B691">
            <v>1</v>
          </cell>
          <cell r="C691" t="str">
            <v>Export</v>
          </cell>
          <cell r="D691">
            <v>57</v>
          </cell>
          <cell r="E691">
            <v>8965</v>
          </cell>
          <cell r="F691" t="str">
            <v>JORGAL LTDA</v>
          </cell>
          <cell r="G691" t="str">
            <v>E</v>
          </cell>
          <cell r="H691" t="str">
            <v>MEDELLIN</v>
          </cell>
          <cell r="J691" t="str">
            <v>COL</v>
          </cell>
          <cell r="K691" t="str">
            <v>AQUITECNO LTDA</v>
          </cell>
          <cell r="M691" t="str">
            <v>COL</v>
          </cell>
          <cell r="N691" t="str">
            <v>C</v>
          </cell>
          <cell r="O691">
            <v>22060428</v>
          </cell>
          <cell r="P691" t="str">
            <v>V-BOR 25KG BAG (004), WOOD</v>
          </cell>
          <cell r="Q691" t="str">
            <v>Penta</v>
          </cell>
          <cell r="R691">
            <v>3.14</v>
          </cell>
          <cell r="S691">
            <v>905.27</v>
          </cell>
        </row>
        <row r="692">
          <cell r="A692" t="str">
            <v>Budget</v>
          </cell>
          <cell r="B692">
            <v>1</v>
          </cell>
          <cell r="C692" t="str">
            <v>Export</v>
          </cell>
          <cell r="D692">
            <v>57</v>
          </cell>
          <cell r="E692">
            <v>8965</v>
          </cell>
          <cell r="F692" t="str">
            <v>JORGAL LTDA</v>
          </cell>
          <cell r="G692" t="str">
            <v>E</v>
          </cell>
          <cell r="H692" t="str">
            <v>MEDELLIN</v>
          </cell>
          <cell r="J692" t="str">
            <v>COL</v>
          </cell>
          <cell r="K692" t="str">
            <v>AQUITECNO LTDA</v>
          </cell>
          <cell r="M692" t="str">
            <v>COL</v>
          </cell>
          <cell r="N692" t="str">
            <v>C</v>
          </cell>
          <cell r="O692">
            <v>23060228</v>
          </cell>
          <cell r="P692" t="str">
            <v>DECA BORAX STD 25KG BAG, WOOD</v>
          </cell>
          <cell r="Q692" t="str">
            <v>Deca</v>
          </cell>
          <cell r="R692">
            <v>0.59</v>
          </cell>
          <cell r="S692">
            <v>153.72999999999999</v>
          </cell>
        </row>
        <row r="693">
          <cell r="A693" t="str">
            <v>Budget</v>
          </cell>
          <cell r="B693">
            <v>1</v>
          </cell>
          <cell r="C693" t="str">
            <v>Export</v>
          </cell>
          <cell r="D693">
            <v>57</v>
          </cell>
          <cell r="E693">
            <v>9010</v>
          </cell>
          <cell r="F693" t="str">
            <v>FERRO ENAMEL ARGENTINA</v>
          </cell>
          <cell r="G693" t="str">
            <v>E</v>
          </cell>
          <cell r="H693" t="str">
            <v>BUENOS AIRES</v>
          </cell>
          <cell r="J693" t="str">
            <v>ARG</v>
          </cell>
          <cell r="K693" t="str">
            <v>FERRO ENAMEL ARGENTINA</v>
          </cell>
          <cell r="M693" t="str">
            <v>ARG</v>
          </cell>
          <cell r="N693" t="str">
            <v>D</v>
          </cell>
          <cell r="O693">
            <v>20060228</v>
          </cell>
          <cell r="P693" t="str">
            <v>PYROBOR 25KG BAG (002), WOOD</v>
          </cell>
          <cell r="Q693" t="str">
            <v>Pyrobor</v>
          </cell>
          <cell r="R693">
            <v>7.45</v>
          </cell>
          <cell r="S693">
            <v>3995.61</v>
          </cell>
        </row>
        <row r="694">
          <cell r="A694" t="str">
            <v>Budget</v>
          </cell>
          <cell r="B694">
            <v>1</v>
          </cell>
          <cell r="C694" t="str">
            <v>Export</v>
          </cell>
          <cell r="D694">
            <v>57</v>
          </cell>
          <cell r="E694">
            <v>9036</v>
          </cell>
          <cell r="F694" t="str">
            <v>AMSERVE CHEMICALS PTY LTD</v>
          </cell>
          <cell r="G694" t="str">
            <v>E</v>
          </cell>
          <cell r="H694" t="str">
            <v>GAUTENG</v>
          </cell>
          <cell r="J694" t="str">
            <v>SAE</v>
          </cell>
          <cell r="K694" t="str">
            <v>AMSERVE CHEMICALS PTY LTD</v>
          </cell>
          <cell r="M694" t="str">
            <v>SAE</v>
          </cell>
          <cell r="N694" t="str">
            <v>C</v>
          </cell>
          <cell r="O694">
            <v>20060220</v>
          </cell>
          <cell r="P694" t="str">
            <v>PYROBOR 25KG BAG (002)</v>
          </cell>
          <cell r="Q694" t="str">
            <v>Pyrobor</v>
          </cell>
          <cell r="R694">
            <v>14.34</v>
          </cell>
          <cell r="S694">
            <v>8115.11</v>
          </cell>
        </row>
        <row r="695">
          <cell r="A695" t="str">
            <v>Budget</v>
          </cell>
          <cell r="B695">
            <v>1</v>
          </cell>
          <cell r="C695" t="str">
            <v>Export</v>
          </cell>
          <cell r="D695">
            <v>57</v>
          </cell>
          <cell r="E695">
            <v>9036</v>
          </cell>
          <cell r="F695" t="str">
            <v>AMSERVE CHEMICALS PTY LTD</v>
          </cell>
          <cell r="G695" t="str">
            <v>E</v>
          </cell>
          <cell r="H695" t="str">
            <v>GAUTENG</v>
          </cell>
          <cell r="J695" t="str">
            <v>SAE</v>
          </cell>
          <cell r="K695" t="str">
            <v>AMSERVE CHEMICALS PTY LTD</v>
          </cell>
          <cell r="M695" t="str">
            <v>SAE</v>
          </cell>
          <cell r="N695" t="str">
            <v>C</v>
          </cell>
          <cell r="O695">
            <v>21310228</v>
          </cell>
          <cell r="P695" t="str">
            <v>BORAX GLASS 25KG BAG, WOOD</v>
          </cell>
          <cell r="Q695" t="str">
            <v>Pyrobor</v>
          </cell>
          <cell r="R695">
            <v>7.45</v>
          </cell>
          <cell r="S695">
            <v>3374.39</v>
          </cell>
        </row>
        <row r="696">
          <cell r="A696" t="str">
            <v>Budget</v>
          </cell>
          <cell r="B696">
            <v>1</v>
          </cell>
          <cell r="C696" t="str">
            <v>Export</v>
          </cell>
          <cell r="D696">
            <v>57</v>
          </cell>
          <cell r="E696">
            <v>9200</v>
          </cell>
          <cell r="F696" t="str">
            <v>TEORQUIMICA-COMERCIO E</v>
          </cell>
          <cell r="G696" t="str">
            <v>E</v>
          </cell>
          <cell r="H696" t="str">
            <v>SAO PAULO</v>
          </cell>
          <cell r="J696" t="str">
            <v>BRZ</v>
          </cell>
          <cell r="K696" t="str">
            <v>TCN - CONSULTORIA E</v>
          </cell>
          <cell r="M696" t="str">
            <v>BRZ</v>
          </cell>
          <cell r="N696" t="str">
            <v>C</v>
          </cell>
          <cell r="O696">
            <v>20060228</v>
          </cell>
          <cell r="P696" t="str">
            <v>PYROBOR 25KG BAG (002), WOOD</v>
          </cell>
          <cell r="Q696" t="str">
            <v>Pyrobor</v>
          </cell>
          <cell r="R696">
            <v>13.14</v>
          </cell>
          <cell r="S696">
            <v>6807.49</v>
          </cell>
        </row>
        <row r="697">
          <cell r="A697" t="str">
            <v>Budget</v>
          </cell>
          <cell r="B697">
            <v>1</v>
          </cell>
          <cell r="C697" t="str">
            <v>Export</v>
          </cell>
          <cell r="D697">
            <v>57</v>
          </cell>
          <cell r="E697">
            <v>9200</v>
          </cell>
          <cell r="F697" t="str">
            <v>TEORQUIMICA-COMERCIO E</v>
          </cell>
          <cell r="G697" t="str">
            <v>E</v>
          </cell>
          <cell r="H697" t="str">
            <v>SAO PAULO</v>
          </cell>
          <cell r="J697" t="str">
            <v>BRZ</v>
          </cell>
          <cell r="K697" t="str">
            <v>TCN - CONSULTORIA E</v>
          </cell>
          <cell r="M697" t="str">
            <v>BRZ</v>
          </cell>
          <cell r="N697" t="str">
            <v>C</v>
          </cell>
          <cell r="O697">
            <v>22060428</v>
          </cell>
          <cell r="P697" t="str">
            <v>V-BOR 25KG BAG (004), WOOD</v>
          </cell>
          <cell r="Q697" t="str">
            <v>Penta</v>
          </cell>
          <cell r="R697">
            <v>9.2200000000000006</v>
          </cell>
          <cell r="S697">
            <v>2351.3200000000002</v>
          </cell>
        </row>
        <row r="698">
          <cell r="A698" t="str">
            <v>Budget</v>
          </cell>
          <cell r="B698">
            <v>1</v>
          </cell>
          <cell r="C698" t="str">
            <v>Export</v>
          </cell>
          <cell r="D698">
            <v>57</v>
          </cell>
          <cell r="E698">
            <v>9200</v>
          </cell>
          <cell r="F698" t="str">
            <v>TEORQUIMICA-COMERCIO E</v>
          </cell>
          <cell r="G698" t="str">
            <v>E</v>
          </cell>
          <cell r="H698" t="str">
            <v>SAO PAULO</v>
          </cell>
          <cell r="J698" t="str">
            <v>BRZ</v>
          </cell>
          <cell r="K698" t="str">
            <v>TCN - CONSULTORIA E</v>
          </cell>
          <cell r="M698" t="str">
            <v>BRZ</v>
          </cell>
          <cell r="N698" t="str">
            <v>C</v>
          </cell>
          <cell r="O698">
            <v>23060228</v>
          </cell>
          <cell r="P698" t="str">
            <v>DECA BORAX STD 25KG BAG, WOOD</v>
          </cell>
          <cell r="Q698" t="str">
            <v>Deca</v>
          </cell>
          <cell r="R698">
            <v>40.98</v>
          </cell>
          <cell r="S698">
            <v>8593.9500000000007</v>
          </cell>
        </row>
        <row r="699">
          <cell r="A699" t="str">
            <v>Budget</v>
          </cell>
          <cell r="B699">
            <v>1</v>
          </cell>
          <cell r="C699" t="str">
            <v>Export</v>
          </cell>
          <cell r="D699">
            <v>57</v>
          </cell>
          <cell r="E699">
            <v>9203</v>
          </cell>
          <cell r="F699" t="str">
            <v>LANG/WASHINGTON FORWARDING</v>
          </cell>
          <cell r="G699" t="str">
            <v>E</v>
          </cell>
          <cell r="H699" t="str">
            <v>LAREDO</v>
          </cell>
          <cell r="J699" t="str">
            <v>MEX</v>
          </cell>
          <cell r="K699" t="str">
            <v>NUEVA GENERACION MANUFACTURAS</v>
          </cell>
          <cell r="M699" t="str">
            <v>MEX</v>
          </cell>
          <cell r="N699" t="str">
            <v>C</v>
          </cell>
          <cell r="O699">
            <v>28069792</v>
          </cell>
          <cell r="P699" t="str">
            <v>AMMONIUM PENTABORATE 150KG DRM</v>
          </cell>
          <cell r="Q699" t="str">
            <v>Boric Salt (SCL)</v>
          </cell>
          <cell r="R699">
            <v>3.36</v>
          </cell>
          <cell r="S699">
            <v>7697.16</v>
          </cell>
        </row>
        <row r="700">
          <cell r="A700" t="str">
            <v>Budget</v>
          </cell>
          <cell r="B700">
            <v>1</v>
          </cell>
          <cell r="C700" t="str">
            <v>Export</v>
          </cell>
          <cell r="D700">
            <v>57</v>
          </cell>
          <cell r="E700">
            <v>9222</v>
          </cell>
          <cell r="F700" t="str">
            <v>AISLANTES VOLCAN S.A.</v>
          </cell>
          <cell r="G700" t="str">
            <v>E</v>
          </cell>
          <cell r="H700" t="str">
            <v>SANTIAGO</v>
          </cell>
          <cell r="J700" t="str">
            <v>CHI</v>
          </cell>
          <cell r="K700" t="str">
            <v>DEXIMA S.A.</v>
          </cell>
          <cell r="M700" t="str">
            <v>CHI</v>
          </cell>
          <cell r="N700" t="str">
            <v>C</v>
          </cell>
          <cell r="O700">
            <v>22060455</v>
          </cell>
          <cell r="P700" t="str">
            <v>V-BOR 1 MT FIBC (004)</v>
          </cell>
          <cell r="Q700" t="str">
            <v>Penta</v>
          </cell>
          <cell r="R700">
            <v>41.08</v>
          </cell>
          <cell r="S700">
            <v>13775.43</v>
          </cell>
        </row>
        <row r="701">
          <cell r="A701" t="str">
            <v>Budget</v>
          </cell>
          <cell r="B701">
            <v>1</v>
          </cell>
          <cell r="C701" t="str">
            <v>Export</v>
          </cell>
          <cell r="D701">
            <v>57</v>
          </cell>
          <cell r="E701">
            <v>9275</v>
          </cell>
          <cell r="F701" t="str">
            <v>SWIFT/FERRO MELBOURNE</v>
          </cell>
          <cell r="G701" t="str">
            <v>E</v>
          </cell>
          <cell r="H701" t="str">
            <v>MELBOURNE</v>
          </cell>
          <cell r="J701" t="str">
            <v>AUS</v>
          </cell>
          <cell r="K701" t="str">
            <v>SWIFT AND COMPANY LIMITED</v>
          </cell>
          <cell r="M701" t="str">
            <v>AUS</v>
          </cell>
          <cell r="N701" t="str">
            <v>C</v>
          </cell>
          <cell r="O701">
            <v>20060255</v>
          </cell>
          <cell r="P701" t="str">
            <v>PYROBOR 1 MT FIBC (002)</v>
          </cell>
          <cell r="Q701" t="str">
            <v>Pyrobor</v>
          </cell>
          <cell r="R701">
            <v>56.02</v>
          </cell>
          <cell r="S701">
            <v>25349.7</v>
          </cell>
        </row>
        <row r="702">
          <cell r="A702" t="str">
            <v>Budget</v>
          </cell>
          <cell r="B702">
            <v>1</v>
          </cell>
          <cell r="C702" t="str">
            <v>Export</v>
          </cell>
          <cell r="D702">
            <v>57</v>
          </cell>
          <cell r="E702">
            <v>9307</v>
          </cell>
          <cell r="F702" t="str">
            <v>INACTIVE-COLORMINAS COLORIFICO</v>
          </cell>
          <cell r="G702" t="str">
            <v>E</v>
          </cell>
          <cell r="H702" t="str">
            <v>SANTA CATARINA</v>
          </cell>
          <cell r="J702" t="str">
            <v>BRZ</v>
          </cell>
          <cell r="K702" t="str">
            <v>INACTIVE-TCN/CONSULTORIA E</v>
          </cell>
          <cell r="M702" t="str">
            <v>BRZ</v>
          </cell>
          <cell r="N702" t="str">
            <v>C</v>
          </cell>
          <cell r="O702">
            <v>22060428</v>
          </cell>
          <cell r="P702" t="str">
            <v>V-BOR 25KG BAG (004), WOOD</v>
          </cell>
          <cell r="Q702" t="str">
            <v>Penta</v>
          </cell>
          <cell r="R702">
            <v>14.9</v>
          </cell>
          <cell r="S702">
            <v>3937.68</v>
          </cell>
        </row>
        <row r="703">
          <cell r="A703" t="str">
            <v>Budget</v>
          </cell>
          <cell r="B703">
            <v>1</v>
          </cell>
          <cell r="C703" t="str">
            <v>Export</v>
          </cell>
          <cell r="D703">
            <v>57</v>
          </cell>
          <cell r="E703">
            <v>9338</v>
          </cell>
          <cell r="F703" t="str">
            <v>DETERGENTES Y JABONES SASIL</v>
          </cell>
          <cell r="G703" t="str">
            <v>E</v>
          </cell>
          <cell r="H703" t="str">
            <v>LAREDO</v>
          </cell>
          <cell r="J703" t="str">
            <v>MEX</v>
          </cell>
          <cell r="K703" t="str">
            <v>DETERGENTES Y JABONES SASIL SA</v>
          </cell>
          <cell r="M703" t="str">
            <v>USA</v>
          </cell>
          <cell r="N703" t="str">
            <v>C</v>
          </cell>
          <cell r="O703">
            <v>40060400</v>
          </cell>
          <cell r="P703" t="str">
            <v>SODIUM SULFATE STANDARD BULK</v>
          </cell>
          <cell r="Q703" t="str">
            <v>Sodium Sulfate</v>
          </cell>
          <cell r="R703">
            <v>367.36</v>
          </cell>
          <cell r="S703">
            <v>15474.88</v>
          </cell>
        </row>
        <row r="704">
          <cell r="A704" t="str">
            <v>Budget</v>
          </cell>
          <cell r="B704">
            <v>1</v>
          </cell>
          <cell r="C704" t="str">
            <v>Export</v>
          </cell>
          <cell r="D704">
            <v>57</v>
          </cell>
          <cell r="E704">
            <v>9400</v>
          </cell>
          <cell r="F704" t="str">
            <v>MICROFERTISA WF Y CIA LTDA</v>
          </cell>
          <cell r="G704" t="str">
            <v>E</v>
          </cell>
          <cell r="H704" t="str">
            <v>BOGOTA</v>
          </cell>
          <cell r="J704" t="str">
            <v>USA</v>
          </cell>
          <cell r="K704" t="str">
            <v>AQUITECNO LTDA</v>
          </cell>
          <cell r="M704" t="str">
            <v>COL</v>
          </cell>
          <cell r="N704" t="str">
            <v>C</v>
          </cell>
          <cell r="O704">
            <v>22060420</v>
          </cell>
          <cell r="P704" t="str">
            <v>V-BOR 25KG BAG (004)</v>
          </cell>
          <cell r="Q704" t="str">
            <v>Penta</v>
          </cell>
          <cell r="R704">
            <v>3.73</v>
          </cell>
          <cell r="S704">
            <v>1071.96</v>
          </cell>
        </row>
        <row r="705">
          <cell r="A705" t="str">
            <v>Budget</v>
          </cell>
          <cell r="B705">
            <v>1</v>
          </cell>
          <cell r="C705" t="str">
            <v>Export</v>
          </cell>
          <cell r="D705">
            <v>57</v>
          </cell>
          <cell r="E705">
            <v>9438</v>
          </cell>
          <cell r="F705" t="str">
            <v>SWIFT &amp; Co. / COOL &amp; COSY</v>
          </cell>
          <cell r="G705" t="str">
            <v>E</v>
          </cell>
          <cell r="H705" t="str">
            <v>MELBOURNE</v>
          </cell>
          <cell r="J705" t="str">
            <v>AUS</v>
          </cell>
          <cell r="K705" t="str">
            <v>SWIFT AND COMPANY LIMITED</v>
          </cell>
          <cell r="M705" t="str">
            <v>AUS</v>
          </cell>
          <cell r="N705" t="str">
            <v>C</v>
          </cell>
          <cell r="O705">
            <v>23060220</v>
          </cell>
          <cell r="P705" t="str">
            <v>DECA BORAX STD 25KG BAG</v>
          </cell>
          <cell r="Q705" t="str">
            <v>Deca</v>
          </cell>
          <cell r="R705">
            <v>5.88</v>
          </cell>
          <cell r="S705">
            <v>1286.82</v>
          </cell>
        </row>
        <row r="706">
          <cell r="A706" t="str">
            <v>Budget</v>
          </cell>
          <cell r="B706">
            <v>1</v>
          </cell>
          <cell r="C706" t="str">
            <v>Export</v>
          </cell>
          <cell r="D706">
            <v>57</v>
          </cell>
          <cell r="E706">
            <v>9438</v>
          </cell>
          <cell r="F706" t="str">
            <v>SWIFT &amp; Co. / COOL &amp; COSY</v>
          </cell>
          <cell r="G706" t="str">
            <v>E</v>
          </cell>
          <cell r="H706" t="str">
            <v>MELBOURNE</v>
          </cell>
          <cell r="J706" t="str">
            <v>AUS</v>
          </cell>
          <cell r="K706" t="str">
            <v>SWIFT AND COMPANY LIMITED</v>
          </cell>
          <cell r="M706" t="str">
            <v>AUS</v>
          </cell>
          <cell r="N706" t="str">
            <v>C</v>
          </cell>
          <cell r="O706">
            <v>24090220</v>
          </cell>
          <cell r="P706" t="str">
            <v>BORIC ACID GRAN TECH 25KG BAG</v>
          </cell>
          <cell r="Q706" t="str">
            <v>Boric Acid</v>
          </cell>
          <cell r="R706">
            <v>5.29</v>
          </cell>
          <cell r="S706">
            <v>1796.84</v>
          </cell>
        </row>
        <row r="707">
          <cell r="A707" t="str">
            <v>Budget</v>
          </cell>
          <cell r="B707">
            <v>1</v>
          </cell>
          <cell r="C707" t="str">
            <v>Export</v>
          </cell>
          <cell r="D707">
            <v>57</v>
          </cell>
          <cell r="E707">
            <v>9446</v>
          </cell>
          <cell r="F707" t="str">
            <v>PROTEA CHEMICALS (INLAND)</v>
          </cell>
          <cell r="G707" t="str">
            <v>E</v>
          </cell>
          <cell r="H707" t="str">
            <v>GAUTENG, RSA</v>
          </cell>
          <cell r="J707" t="str">
            <v>SAE</v>
          </cell>
          <cell r="K707" t="str">
            <v>AMSERV CHEMICALS PTY LTD</v>
          </cell>
          <cell r="M707" t="str">
            <v>SAE</v>
          </cell>
          <cell r="N707" t="str">
            <v>C</v>
          </cell>
          <cell r="O707">
            <v>20060220</v>
          </cell>
          <cell r="P707" t="str">
            <v>PYROBOR 25KG BAG (002)</v>
          </cell>
          <cell r="Q707" t="str">
            <v>Pyrobor</v>
          </cell>
          <cell r="R707">
            <v>14.34</v>
          </cell>
          <cell r="S707">
            <v>8468.9699999999993</v>
          </cell>
        </row>
        <row r="708">
          <cell r="A708" t="str">
            <v>Budget</v>
          </cell>
          <cell r="B708">
            <v>1</v>
          </cell>
          <cell r="C708" t="str">
            <v>Export</v>
          </cell>
          <cell r="D708">
            <v>57</v>
          </cell>
          <cell r="E708">
            <v>9446</v>
          </cell>
          <cell r="F708" t="str">
            <v>PROTEA CHEMICALS (INLAND)</v>
          </cell>
          <cell r="G708" t="str">
            <v>E</v>
          </cell>
          <cell r="H708" t="str">
            <v>GAUTENG, RSA</v>
          </cell>
          <cell r="J708" t="str">
            <v>SAE</v>
          </cell>
          <cell r="K708" t="str">
            <v>AMSERV CHEMICALS PTY LTD</v>
          </cell>
          <cell r="M708" t="str">
            <v>SAE</v>
          </cell>
          <cell r="N708" t="str">
            <v>C</v>
          </cell>
          <cell r="O708">
            <v>20060228</v>
          </cell>
          <cell r="P708" t="str">
            <v>PYROBOR 25KG BAG (002), WOOD</v>
          </cell>
          <cell r="Q708" t="str">
            <v>Pyrobor</v>
          </cell>
          <cell r="R708">
            <v>3.73</v>
          </cell>
          <cell r="S708">
            <v>1835.01</v>
          </cell>
        </row>
        <row r="709">
          <cell r="A709" t="str">
            <v>Budget</v>
          </cell>
          <cell r="B709">
            <v>1</v>
          </cell>
          <cell r="C709" t="str">
            <v>Export</v>
          </cell>
          <cell r="D709">
            <v>57</v>
          </cell>
          <cell r="E709">
            <v>9450</v>
          </cell>
          <cell r="F709" t="str">
            <v>FERRO MEXICANA</v>
          </cell>
          <cell r="G709" t="str">
            <v>E</v>
          </cell>
          <cell r="H709" t="str">
            <v>LAREDO</v>
          </cell>
          <cell r="J709" t="str">
            <v>MEX</v>
          </cell>
          <cell r="K709" t="str">
            <v>FERRO MEXICANA</v>
          </cell>
          <cell r="M709" t="str">
            <v>MEX</v>
          </cell>
          <cell r="N709" t="str">
            <v>C</v>
          </cell>
          <cell r="O709">
            <v>20060200</v>
          </cell>
          <cell r="P709" t="str">
            <v>PYROBOR ANHY BORAX BULK (002)</v>
          </cell>
          <cell r="Q709" t="str">
            <v>Pyrobor</v>
          </cell>
          <cell r="R709">
            <v>16.79</v>
          </cell>
          <cell r="S709">
            <v>7251.25</v>
          </cell>
        </row>
        <row r="710">
          <cell r="A710" t="str">
            <v>Budget</v>
          </cell>
          <cell r="B710">
            <v>1</v>
          </cell>
          <cell r="C710" t="str">
            <v>Export</v>
          </cell>
          <cell r="D710">
            <v>57</v>
          </cell>
          <cell r="E710">
            <v>9475</v>
          </cell>
          <cell r="F710" t="str">
            <v>ABONOS COLOMBIANOS S.A.</v>
          </cell>
          <cell r="G710" t="str">
            <v>E</v>
          </cell>
          <cell r="H710" t="str">
            <v>CARTAGENA</v>
          </cell>
          <cell r="J710" t="str">
            <v>COL</v>
          </cell>
          <cell r="K710" t="str">
            <v>AQUITECNO LTDA</v>
          </cell>
          <cell r="M710" t="str">
            <v>COL</v>
          </cell>
          <cell r="N710" t="str">
            <v>C</v>
          </cell>
          <cell r="O710">
            <v>22060428</v>
          </cell>
          <cell r="P710" t="str">
            <v>V-BOR 25KG BAG (004), WOOD</v>
          </cell>
          <cell r="Q710" t="str">
            <v>Penta</v>
          </cell>
          <cell r="R710">
            <v>7.45</v>
          </cell>
          <cell r="S710">
            <v>1735.92</v>
          </cell>
        </row>
        <row r="711">
          <cell r="A711" t="str">
            <v>Budget</v>
          </cell>
          <cell r="B711">
            <v>1</v>
          </cell>
          <cell r="C711" t="str">
            <v>Export</v>
          </cell>
          <cell r="D711">
            <v>57</v>
          </cell>
          <cell r="E711">
            <v>9485</v>
          </cell>
          <cell r="F711" t="str">
            <v>NORTHERN BORATES PVT. LTD.</v>
          </cell>
          <cell r="G711" t="str">
            <v>E</v>
          </cell>
          <cell r="H711" t="str">
            <v>KANPUR</v>
          </cell>
          <cell r="J711" t="str">
            <v>IND</v>
          </cell>
          <cell r="K711" t="str">
            <v>RISHI ENTERPRISES</v>
          </cell>
          <cell r="M711" t="str">
            <v>IND</v>
          </cell>
          <cell r="N711" t="str">
            <v>C</v>
          </cell>
          <cell r="O711" t="str">
            <v>220604B8</v>
          </cell>
          <cell r="P711" t="str">
            <v>V-BOR 25KG POLYBAG,WOOD (004)</v>
          </cell>
          <cell r="Q711" t="str">
            <v>Penta</v>
          </cell>
          <cell r="R711">
            <v>22.35</v>
          </cell>
          <cell r="S711">
            <v>5391.29</v>
          </cell>
        </row>
        <row r="712">
          <cell r="A712" t="str">
            <v>Budget</v>
          </cell>
          <cell r="B712">
            <v>1</v>
          </cell>
          <cell r="C712" t="str">
            <v>Export</v>
          </cell>
          <cell r="D712">
            <v>57</v>
          </cell>
          <cell r="E712">
            <v>9489</v>
          </cell>
          <cell r="F712" t="str">
            <v>EDALBRAS INDUSTRIA E COMERCIO</v>
          </cell>
          <cell r="G712" t="str">
            <v>E</v>
          </cell>
          <cell r="H712" t="str">
            <v>PARANAGUA-PR</v>
          </cell>
          <cell r="J712" t="str">
            <v>BRZ</v>
          </cell>
          <cell r="K712" t="str">
            <v>TCN - CONSULTORIA E</v>
          </cell>
          <cell r="M712" t="str">
            <v>BRZ</v>
          </cell>
          <cell r="N712" t="str">
            <v>C</v>
          </cell>
          <cell r="O712">
            <v>40060400</v>
          </cell>
          <cell r="P712" t="str">
            <v>SODIUM SULFATE STANDARD BULK</v>
          </cell>
          <cell r="Q712" t="str">
            <v>Sodium Sulfate</v>
          </cell>
          <cell r="R712">
            <v>932.71</v>
          </cell>
          <cell r="S712">
            <v>20071.61</v>
          </cell>
        </row>
        <row r="713">
          <cell r="A713" t="str">
            <v>Budget</v>
          </cell>
          <cell r="B713">
            <v>1</v>
          </cell>
          <cell r="C713" t="str">
            <v>Export</v>
          </cell>
          <cell r="D713">
            <v>57</v>
          </cell>
          <cell r="E713">
            <v>9493</v>
          </cell>
          <cell r="F713" t="str">
            <v>HINDALCO INDUSTRIES LIMITED</v>
          </cell>
          <cell r="G713" t="str">
            <v>E</v>
          </cell>
          <cell r="H713" t="str">
            <v>DISTRICT SONBHADRA (U.P),</v>
          </cell>
          <cell r="J713" t="str">
            <v>IND</v>
          </cell>
          <cell r="K713" t="str">
            <v>RISHI ENTERPRISES</v>
          </cell>
          <cell r="M713" t="str">
            <v>IND</v>
          </cell>
          <cell r="N713" t="str">
            <v>C</v>
          </cell>
          <cell r="O713" t="str">
            <v>220604B8</v>
          </cell>
          <cell r="P713" t="str">
            <v>V-BOR 25KG POLYBAG,WOOD (004)</v>
          </cell>
          <cell r="Q713" t="str">
            <v>Penta</v>
          </cell>
          <cell r="R713">
            <v>3.73</v>
          </cell>
          <cell r="S713">
            <v>920.94</v>
          </cell>
        </row>
        <row r="714">
          <cell r="A714" t="str">
            <v>Budget</v>
          </cell>
          <cell r="B714">
            <v>1</v>
          </cell>
          <cell r="C714" t="str">
            <v>Export</v>
          </cell>
          <cell r="D714">
            <v>57</v>
          </cell>
          <cell r="E714">
            <v>9504</v>
          </cell>
          <cell r="F714" t="str">
            <v>SWIFT/STOCK FREMANTLE</v>
          </cell>
          <cell r="G714" t="str">
            <v>E</v>
          </cell>
          <cell r="H714" t="str">
            <v>FREMANTLE</v>
          </cell>
          <cell r="J714" t="str">
            <v>AUS</v>
          </cell>
          <cell r="K714" t="str">
            <v>SWIFT AND COMPANY LIMITED</v>
          </cell>
          <cell r="M714" t="str">
            <v>AUS</v>
          </cell>
          <cell r="N714" t="str">
            <v>C</v>
          </cell>
          <cell r="O714">
            <v>20150220</v>
          </cell>
          <cell r="P714" t="str">
            <v>PYROBOR COARSE 25KG BAG (002)</v>
          </cell>
          <cell r="Q714" t="str">
            <v>Pyrobor</v>
          </cell>
          <cell r="R714">
            <v>3.73</v>
          </cell>
          <cell r="S714">
            <v>1778.69</v>
          </cell>
        </row>
        <row r="715">
          <cell r="A715" t="str">
            <v>Budget</v>
          </cell>
          <cell r="B715">
            <v>1</v>
          </cell>
          <cell r="C715" t="str">
            <v>Export</v>
          </cell>
          <cell r="D715">
            <v>57</v>
          </cell>
          <cell r="E715">
            <v>9516</v>
          </cell>
          <cell r="F715" t="str">
            <v>SWIFT AND CO./COOL &amp; COSY</v>
          </cell>
          <cell r="G715" t="str">
            <v>E</v>
          </cell>
          <cell r="H715" t="str">
            <v>ADELAIDE</v>
          </cell>
          <cell r="J715" t="str">
            <v>AUS</v>
          </cell>
          <cell r="K715" t="str">
            <v>SWIFT AND COMPANY LIMITED</v>
          </cell>
          <cell r="M715" t="str">
            <v>AUS</v>
          </cell>
          <cell r="N715" t="str">
            <v>C</v>
          </cell>
          <cell r="O715">
            <v>23060220</v>
          </cell>
          <cell r="P715" t="str">
            <v>DECA BORAX STD 25KG BAG</v>
          </cell>
          <cell r="Q715" t="str">
            <v>Deca</v>
          </cell>
          <cell r="R715">
            <v>3.73</v>
          </cell>
          <cell r="S715">
            <v>805.86</v>
          </cell>
        </row>
        <row r="716">
          <cell r="A716" t="str">
            <v>Budget</v>
          </cell>
          <cell r="B716">
            <v>1</v>
          </cell>
          <cell r="C716" t="str">
            <v>House</v>
          </cell>
          <cell r="D716">
            <v>21</v>
          </cell>
          <cell r="E716">
            <v>7971</v>
          </cell>
          <cell r="F716" t="str">
            <v>SOCIETA CHIMICA LARDERELLO</v>
          </cell>
          <cell r="G716" t="str">
            <v>E</v>
          </cell>
          <cell r="H716" t="str">
            <v>LARDERELLO-PISA</v>
          </cell>
          <cell r="J716" t="str">
            <v>ITA</v>
          </cell>
          <cell r="K716" t="str">
            <v>SOCIETA CHIMICA LARDERELLO</v>
          </cell>
          <cell r="M716" t="str">
            <v>ITA</v>
          </cell>
          <cell r="N716" t="str">
            <v>C</v>
          </cell>
          <cell r="O716">
            <v>20060228</v>
          </cell>
          <cell r="P716" t="str">
            <v>PYROBOR 25KG BAG (002), WOOD</v>
          </cell>
          <cell r="Q716" t="str">
            <v>Pyrobor</v>
          </cell>
          <cell r="R716">
            <v>11.18</v>
          </cell>
          <cell r="S716">
            <v>7019.21</v>
          </cell>
        </row>
        <row r="717">
          <cell r="A717" t="str">
            <v>Budget</v>
          </cell>
          <cell r="B717">
            <v>1</v>
          </cell>
          <cell r="C717" t="str">
            <v>House</v>
          </cell>
          <cell r="D717">
            <v>21</v>
          </cell>
          <cell r="E717">
            <v>8787</v>
          </cell>
          <cell r="F717" t="str">
            <v>FERRO (THAILAND) CO., LTD.</v>
          </cell>
          <cell r="G717" t="str">
            <v>E</v>
          </cell>
          <cell r="H717" t="str">
            <v>BANGKOK</v>
          </cell>
          <cell r="J717" t="str">
            <v>THA</v>
          </cell>
          <cell r="K717" t="str">
            <v>FERRO (THAILAND) CO., LTD.</v>
          </cell>
          <cell r="M717" t="str">
            <v>THA</v>
          </cell>
          <cell r="N717" t="str">
            <v>C</v>
          </cell>
          <cell r="O717">
            <v>22060428</v>
          </cell>
          <cell r="P717" t="str">
            <v>V-BOR 25KG BAG (004), WOOD</v>
          </cell>
          <cell r="Q717" t="str">
            <v>Penta</v>
          </cell>
          <cell r="R717">
            <v>44.7</v>
          </cell>
          <cell r="S717">
            <v>10631.48</v>
          </cell>
        </row>
        <row r="718">
          <cell r="A718" t="str">
            <v>Budget</v>
          </cell>
          <cell r="B718">
            <v>1</v>
          </cell>
          <cell r="C718" t="str">
            <v>House</v>
          </cell>
          <cell r="D718">
            <v>21</v>
          </cell>
          <cell r="E718">
            <v>9141</v>
          </cell>
          <cell r="F718" t="str">
            <v>SOCIETA CHIMICA LARDERELLO SPA</v>
          </cell>
          <cell r="G718" t="str">
            <v>E</v>
          </cell>
          <cell r="H718" t="str">
            <v>LARDERELLO-PISA</v>
          </cell>
          <cell r="J718" t="str">
            <v>ITA</v>
          </cell>
          <cell r="K718" t="str">
            <v>SOCIETA CHIMICA LARDERELLO SPA</v>
          </cell>
          <cell r="M718" t="str">
            <v>ITA</v>
          </cell>
          <cell r="N718" t="str">
            <v>C</v>
          </cell>
          <cell r="O718">
            <v>22060428</v>
          </cell>
          <cell r="P718" t="str">
            <v>V-BOR 25KG BAG (004), WOOD</v>
          </cell>
          <cell r="Q718" t="str">
            <v>Penta</v>
          </cell>
          <cell r="R718">
            <v>42.35</v>
          </cell>
          <cell r="S718">
            <v>8469.9500000000007</v>
          </cell>
        </row>
        <row r="719">
          <cell r="A719" t="str">
            <v>Budget</v>
          </cell>
          <cell r="B719">
            <v>1</v>
          </cell>
          <cell r="C719" t="str">
            <v>House</v>
          </cell>
          <cell r="D719">
            <v>21</v>
          </cell>
          <cell r="E719">
            <v>9141</v>
          </cell>
          <cell r="F719" t="str">
            <v>SOCIETA CHIMICA LARDERELLO SPA</v>
          </cell>
          <cell r="G719" t="str">
            <v>E</v>
          </cell>
          <cell r="H719" t="str">
            <v>LARDERELLO-PISA</v>
          </cell>
          <cell r="J719" t="str">
            <v>ITA</v>
          </cell>
          <cell r="K719" t="str">
            <v>SOCIETA CHIMICA LARDERELLO SPA</v>
          </cell>
          <cell r="M719" t="str">
            <v>ITA</v>
          </cell>
          <cell r="N719" t="str">
            <v>C</v>
          </cell>
          <cell r="O719">
            <v>22060481</v>
          </cell>
          <cell r="P719" t="str">
            <v>V-BOR 1 MT FIBC</v>
          </cell>
          <cell r="Q719" t="str">
            <v>Penta</v>
          </cell>
          <cell r="R719">
            <v>333.33</v>
          </cell>
          <cell r="S719">
            <v>66666.67</v>
          </cell>
        </row>
        <row r="720">
          <cell r="A720" t="str">
            <v>Budget</v>
          </cell>
          <cell r="B720">
            <v>1</v>
          </cell>
          <cell r="C720" t="str">
            <v>House</v>
          </cell>
          <cell r="D720">
            <v>21</v>
          </cell>
          <cell r="E720">
            <v>9141</v>
          </cell>
          <cell r="F720" t="str">
            <v>SOCIETA CHIMICA LARDERELLO SPA</v>
          </cell>
          <cell r="G720" t="str">
            <v>E</v>
          </cell>
          <cell r="H720" t="str">
            <v>LARDERELLO-PISA</v>
          </cell>
          <cell r="J720" t="str">
            <v>ITA</v>
          </cell>
          <cell r="K720" t="str">
            <v>SOCIETA CHIMICA LARDERELLO SPA</v>
          </cell>
          <cell r="M720" t="str">
            <v>ITA</v>
          </cell>
          <cell r="N720" t="str">
            <v>C</v>
          </cell>
          <cell r="O720" t="str">
            <v>220604B8</v>
          </cell>
          <cell r="P720" t="str">
            <v>V-BOR 25KG POLYBAG,WOOD (004)</v>
          </cell>
          <cell r="Q720" t="str">
            <v>Penta</v>
          </cell>
          <cell r="R720">
            <v>42.35</v>
          </cell>
          <cell r="S720">
            <v>8469.9500000000007</v>
          </cell>
        </row>
        <row r="721">
          <cell r="A721" t="str">
            <v>Budget</v>
          </cell>
          <cell r="B721">
            <v>1</v>
          </cell>
          <cell r="C721" t="str">
            <v>House</v>
          </cell>
          <cell r="D721">
            <v>21</v>
          </cell>
          <cell r="E721">
            <v>9141</v>
          </cell>
          <cell r="F721" t="str">
            <v>SOCIETA CHIMICA LARDERELLO SPA</v>
          </cell>
          <cell r="G721" t="str">
            <v>E</v>
          </cell>
          <cell r="H721" t="str">
            <v>LARDERELLO-PISA</v>
          </cell>
          <cell r="J721" t="str">
            <v>ITA</v>
          </cell>
          <cell r="K721" t="str">
            <v>SOCIETA CHIMICA LARDERELLO SPA</v>
          </cell>
          <cell r="M721" t="str">
            <v>ITA</v>
          </cell>
          <cell r="N721" t="str">
            <v>C</v>
          </cell>
          <cell r="O721">
            <v>23060281</v>
          </cell>
          <cell r="P721" t="str">
            <v>DECA BORAX 1 MT (SCL) FIBC</v>
          </cell>
          <cell r="Q721" t="str">
            <v>Deca</v>
          </cell>
          <cell r="R721">
            <v>104.38</v>
          </cell>
          <cell r="S721">
            <v>24529.58</v>
          </cell>
        </row>
        <row r="722">
          <cell r="A722" t="str">
            <v>Budget</v>
          </cell>
          <cell r="B722">
            <v>1</v>
          </cell>
          <cell r="C722" t="str">
            <v>House</v>
          </cell>
          <cell r="D722">
            <v>21</v>
          </cell>
          <cell r="E722">
            <v>9141</v>
          </cell>
          <cell r="F722" t="str">
            <v>SOCIETA CHIMICA LARDERELLO SPA</v>
          </cell>
          <cell r="G722" t="str">
            <v>E</v>
          </cell>
          <cell r="H722" t="str">
            <v>LARDERELLO-PISA</v>
          </cell>
          <cell r="J722" t="str">
            <v>ITA</v>
          </cell>
          <cell r="K722" t="str">
            <v>SOCIETA CHIMICA LARDERELLO SPA</v>
          </cell>
          <cell r="M722" t="str">
            <v>ITA</v>
          </cell>
          <cell r="N722" t="str">
            <v>C</v>
          </cell>
          <cell r="O722">
            <v>23160228</v>
          </cell>
          <cell r="P722" t="str">
            <v>DECA BORAX X CRS 25KG BAG WOOD</v>
          </cell>
          <cell r="Q722" t="str">
            <v>Deca</v>
          </cell>
          <cell r="R722">
            <v>93.13</v>
          </cell>
          <cell r="S722">
            <v>21885.35</v>
          </cell>
        </row>
        <row r="723">
          <cell r="A723" t="str">
            <v>Budget</v>
          </cell>
          <cell r="B723">
            <v>1</v>
          </cell>
          <cell r="C723" t="str">
            <v>House</v>
          </cell>
          <cell r="D723">
            <v>22</v>
          </cell>
          <cell r="E723">
            <v>6888</v>
          </cell>
          <cell r="F723" t="str">
            <v>PACIFIC SALT &amp; CHEM CO</v>
          </cell>
          <cell r="G723" t="str">
            <v>D</v>
          </cell>
          <cell r="H723" t="str">
            <v>ENCINO</v>
          </cell>
          <cell r="I723" t="str">
            <v>CA</v>
          </cell>
          <cell r="J723" t="str">
            <v>USA</v>
          </cell>
          <cell r="K723" t="str">
            <v>PACIFIC SALT &amp; CHEM CO</v>
          </cell>
          <cell r="L723" t="str">
            <v>CA</v>
          </cell>
          <cell r="M723" t="str">
            <v>USA</v>
          </cell>
          <cell r="N723" t="str">
            <v>C</v>
          </cell>
          <cell r="O723">
            <v>71060200</v>
          </cell>
          <cell r="P723" t="str">
            <v>SURFACE SALT BULK</v>
          </cell>
          <cell r="Q723" t="str">
            <v>Surface Salt</v>
          </cell>
          <cell r="R723">
            <v>10000</v>
          </cell>
          <cell r="S723">
            <v>35000</v>
          </cell>
        </row>
        <row r="724">
          <cell r="A724" t="str">
            <v>Budget</v>
          </cell>
          <cell r="B724">
            <v>1</v>
          </cell>
          <cell r="C724" t="str">
            <v>House</v>
          </cell>
          <cell r="D724">
            <v>23</v>
          </cell>
          <cell r="E724">
            <v>5072</v>
          </cell>
          <cell r="F724" t="str">
            <v>SAINT-GOBAIN CONTAINER</v>
          </cell>
          <cell r="G724" t="str">
            <v>D</v>
          </cell>
          <cell r="H724" t="str">
            <v>EL MONTE</v>
          </cell>
          <cell r="I724" t="str">
            <v>CA</v>
          </cell>
          <cell r="J724" t="str">
            <v>USA</v>
          </cell>
          <cell r="K724" t="str">
            <v>SAINT-GOBAIN CONTAINER</v>
          </cell>
          <cell r="L724" t="str">
            <v>CA</v>
          </cell>
          <cell r="M724" t="str">
            <v>USA</v>
          </cell>
          <cell r="N724" t="str">
            <v>C</v>
          </cell>
          <cell r="O724">
            <v>30210100</v>
          </cell>
          <cell r="P724" t="str">
            <v>SODA ASH DENSE BULK</v>
          </cell>
          <cell r="Q724" t="str">
            <v>Soda Ash</v>
          </cell>
          <cell r="R724">
            <v>1914.08</v>
          </cell>
          <cell r="S724">
            <v>135899.92000000001</v>
          </cell>
        </row>
        <row r="725">
          <cell r="A725" t="str">
            <v>Budget</v>
          </cell>
          <cell r="B725">
            <v>1</v>
          </cell>
          <cell r="C725" t="str">
            <v>House</v>
          </cell>
          <cell r="D725">
            <v>23</v>
          </cell>
          <cell r="E725">
            <v>5072</v>
          </cell>
          <cell r="F725" t="str">
            <v>SAINT-GOBAIN CONTAINER</v>
          </cell>
          <cell r="G725" t="str">
            <v>D</v>
          </cell>
          <cell r="H725" t="str">
            <v>EL MONTE</v>
          </cell>
          <cell r="I725" t="str">
            <v>CA</v>
          </cell>
          <cell r="J725" t="str">
            <v>USA</v>
          </cell>
          <cell r="K725" t="str">
            <v>SAINT-GOBAIN CONTAINER</v>
          </cell>
          <cell r="L725" t="str">
            <v>CA</v>
          </cell>
          <cell r="M725" t="str">
            <v>USA</v>
          </cell>
          <cell r="N725" t="str">
            <v>C</v>
          </cell>
          <cell r="O725">
            <v>40060400</v>
          </cell>
          <cell r="P725" t="str">
            <v>SODIUM SULFATE STANDARD BULK</v>
          </cell>
          <cell r="Q725" t="str">
            <v>Sodium Sulfate</v>
          </cell>
          <cell r="R725">
            <v>40.93</v>
          </cell>
          <cell r="S725">
            <v>5300.46</v>
          </cell>
        </row>
        <row r="726">
          <cell r="A726" t="str">
            <v>Budget</v>
          </cell>
          <cell r="B726">
            <v>1</v>
          </cell>
          <cell r="C726" t="str">
            <v>House</v>
          </cell>
          <cell r="D726">
            <v>23</v>
          </cell>
          <cell r="E726">
            <v>5187</v>
          </cell>
          <cell r="F726" t="str">
            <v>SAINT-GOBAIN CONTAINER</v>
          </cell>
          <cell r="G726" t="str">
            <v>D</v>
          </cell>
          <cell r="H726" t="str">
            <v>LOS ANGELES</v>
          </cell>
          <cell r="I726" t="str">
            <v>CA</v>
          </cell>
          <cell r="J726" t="str">
            <v>USA</v>
          </cell>
          <cell r="K726" t="str">
            <v>SAINT-GOBAIN CONTAINER</v>
          </cell>
          <cell r="L726" t="str">
            <v>CA</v>
          </cell>
          <cell r="M726" t="str">
            <v>USA</v>
          </cell>
          <cell r="N726" t="str">
            <v>C</v>
          </cell>
          <cell r="O726">
            <v>30210100</v>
          </cell>
          <cell r="P726" t="str">
            <v>SODA ASH DENSE BULK</v>
          </cell>
          <cell r="Q726" t="str">
            <v>Soda Ash</v>
          </cell>
          <cell r="R726">
            <v>722</v>
          </cell>
          <cell r="S726">
            <v>49839.66</v>
          </cell>
        </row>
        <row r="727">
          <cell r="A727" t="str">
            <v>Budget</v>
          </cell>
          <cell r="B727">
            <v>1</v>
          </cell>
          <cell r="C727" t="str">
            <v>House</v>
          </cell>
          <cell r="D727">
            <v>23</v>
          </cell>
          <cell r="E727">
            <v>5187</v>
          </cell>
          <cell r="F727" t="str">
            <v>SAINT-GOBAIN CONTAINER</v>
          </cell>
          <cell r="G727" t="str">
            <v>D</v>
          </cell>
          <cell r="H727" t="str">
            <v>LOS ANGELES</v>
          </cell>
          <cell r="I727" t="str">
            <v>CA</v>
          </cell>
          <cell r="J727" t="str">
            <v>USA</v>
          </cell>
          <cell r="K727" t="str">
            <v>SAINT-GOBAIN CONTAINER</v>
          </cell>
          <cell r="L727" t="str">
            <v>CA</v>
          </cell>
          <cell r="M727" t="str">
            <v>USA</v>
          </cell>
          <cell r="N727" t="str">
            <v>C</v>
          </cell>
          <cell r="O727">
            <v>40060450</v>
          </cell>
          <cell r="P727" t="str">
            <v>SODIUM SULFATE STD 1TN FIBC</v>
          </cell>
          <cell r="Q727" t="str">
            <v>Sodium Sulfate</v>
          </cell>
          <cell r="R727">
            <v>18.63</v>
          </cell>
          <cell r="S727">
            <v>2347.92</v>
          </cell>
        </row>
        <row r="728">
          <cell r="A728" t="str">
            <v>Budget</v>
          </cell>
          <cell r="B728">
            <v>1</v>
          </cell>
          <cell r="C728" t="str">
            <v>House</v>
          </cell>
          <cell r="D728">
            <v>23</v>
          </cell>
          <cell r="E728">
            <v>5303</v>
          </cell>
          <cell r="F728" t="str">
            <v>OWENS-BROCKWAY GLASS CONTAINER</v>
          </cell>
          <cell r="G728" t="str">
            <v>D</v>
          </cell>
          <cell r="H728" t="str">
            <v>TRACY</v>
          </cell>
          <cell r="I728" t="str">
            <v>CA</v>
          </cell>
          <cell r="J728" t="str">
            <v>USA</v>
          </cell>
          <cell r="K728" t="str">
            <v>OWENS-BROCKWAY GLASS CONTAINER</v>
          </cell>
          <cell r="L728" t="str">
            <v>CA</v>
          </cell>
          <cell r="M728" t="str">
            <v>USA</v>
          </cell>
          <cell r="N728" t="str">
            <v>C</v>
          </cell>
          <cell r="O728">
            <v>30210100</v>
          </cell>
          <cell r="P728" t="str">
            <v>SODA ASH DENSE BULK</v>
          </cell>
          <cell r="Q728" t="str">
            <v>Soda Ash</v>
          </cell>
          <cell r="R728">
            <v>2761.92</v>
          </cell>
          <cell r="S728">
            <v>189191.43</v>
          </cell>
        </row>
        <row r="729">
          <cell r="A729" t="str">
            <v>Budget</v>
          </cell>
          <cell r="B729">
            <v>1</v>
          </cell>
          <cell r="C729" t="str">
            <v>House</v>
          </cell>
          <cell r="D729">
            <v>23</v>
          </cell>
          <cell r="E729">
            <v>5305</v>
          </cell>
          <cell r="F729" t="str">
            <v>OWENS-BROCKWAY GLASS CONTAINER</v>
          </cell>
          <cell r="G729" t="str">
            <v>D</v>
          </cell>
          <cell r="H729" t="str">
            <v>OAKLAND</v>
          </cell>
          <cell r="I729" t="str">
            <v>CA</v>
          </cell>
          <cell r="J729" t="str">
            <v>USA</v>
          </cell>
          <cell r="K729" t="str">
            <v>OWENS-BROCKWAY GLASS CONTAINER</v>
          </cell>
          <cell r="L729" t="str">
            <v>CA</v>
          </cell>
          <cell r="M729" t="str">
            <v>USA</v>
          </cell>
          <cell r="N729" t="str">
            <v>C</v>
          </cell>
          <cell r="O729">
            <v>30210100</v>
          </cell>
          <cell r="P729" t="str">
            <v>SODA ASH DENSE BULK</v>
          </cell>
          <cell r="Q729" t="str">
            <v>Soda Ash</v>
          </cell>
          <cell r="R729">
            <v>2667.65</v>
          </cell>
          <cell r="S729">
            <v>182733.79</v>
          </cell>
        </row>
        <row r="730">
          <cell r="A730" t="str">
            <v>Budget</v>
          </cell>
          <cell r="B730">
            <v>1</v>
          </cell>
          <cell r="C730" t="str">
            <v>House</v>
          </cell>
          <cell r="D730">
            <v>23</v>
          </cell>
          <cell r="E730">
            <v>5308</v>
          </cell>
          <cell r="F730" t="str">
            <v>OWENS-BROCKWAY GLASS CONTAINER</v>
          </cell>
          <cell r="G730" t="str">
            <v>D</v>
          </cell>
          <cell r="H730" t="str">
            <v>VERNON</v>
          </cell>
          <cell r="I730" t="str">
            <v>CA</v>
          </cell>
          <cell r="J730" t="str">
            <v>USA</v>
          </cell>
          <cell r="K730" t="str">
            <v>OWENS-BROCKWAY GLASS CONTAINER</v>
          </cell>
          <cell r="L730" t="str">
            <v>CA</v>
          </cell>
          <cell r="M730" t="str">
            <v>USA</v>
          </cell>
          <cell r="N730" t="str">
            <v>C</v>
          </cell>
          <cell r="O730">
            <v>30210100</v>
          </cell>
          <cell r="P730" t="str">
            <v>SODA ASH DENSE BULK</v>
          </cell>
          <cell r="Q730" t="str">
            <v>Soda Ash</v>
          </cell>
          <cell r="R730">
            <v>2232.84</v>
          </cell>
          <cell r="S730">
            <v>169695.86</v>
          </cell>
        </row>
        <row r="731">
          <cell r="A731" t="str">
            <v>Budget</v>
          </cell>
          <cell r="B731">
            <v>1</v>
          </cell>
          <cell r="C731" t="str">
            <v>House</v>
          </cell>
          <cell r="D731">
            <v>23</v>
          </cell>
          <cell r="E731">
            <v>5671</v>
          </cell>
          <cell r="F731" t="str">
            <v>OWENS-ILLINOIS GLASS CONTAINER</v>
          </cell>
          <cell r="G731" t="str">
            <v>D</v>
          </cell>
          <cell r="H731" t="str">
            <v>MUSKOGEE</v>
          </cell>
          <cell r="I731" t="str">
            <v>OK</v>
          </cell>
          <cell r="J731" t="str">
            <v>USA</v>
          </cell>
          <cell r="K731" t="str">
            <v>OWENS-BROCKWAY GLASS CONTAINER</v>
          </cell>
          <cell r="L731" t="str">
            <v>OK</v>
          </cell>
          <cell r="M731" t="str">
            <v>USA</v>
          </cell>
          <cell r="N731" t="str">
            <v>C</v>
          </cell>
          <cell r="O731">
            <v>30218800</v>
          </cell>
          <cell r="P731" t="str">
            <v>SODA ASH DENSE BULK (088)</v>
          </cell>
          <cell r="Q731" t="str">
            <v>Soda Ash</v>
          </cell>
          <cell r="R731">
            <v>2540.98</v>
          </cell>
          <cell r="S731">
            <v>165163.93</v>
          </cell>
        </row>
        <row r="732">
          <cell r="A732" t="str">
            <v>Budget</v>
          </cell>
          <cell r="B732">
            <v>1</v>
          </cell>
          <cell r="C732" t="str">
            <v>House</v>
          </cell>
          <cell r="D732">
            <v>23</v>
          </cell>
          <cell r="E732">
            <v>6042</v>
          </cell>
          <cell r="F732" t="str">
            <v>INACTIVE-OWENS-BROCKWAY GLASS</v>
          </cell>
          <cell r="G732" t="str">
            <v>D</v>
          </cell>
          <cell r="H732" t="str">
            <v>HAYWARD</v>
          </cell>
          <cell r="I732" t="str">
            <v>CA</v>
          </cell>
          <cell r="J732" t="str">
            <v>USA</v>
          </cell>
          <cell r="K732" t="str">
            <v>INACTIVE-OWENS-BROCKWAY GLASS</v>
          </cell>
          <cell r="L732" t="str">
            <v>CA</v>
          </cell>
          <cell r="M732" t="str">
            <v>USA</v>
          </cell>
          <cell r="N732" t="str">
            <v>C</v>
          </cell>
          <cell r="O732">
            <v>30210100</v>
          </cell>
          <cell r="P732" t="str">
            <v>SODA ASH DENSE BULK</v>
          </cell>
          <cell r="Q732" t="str">
            <v>Soda Ash</v>
          </cell>
          <cell r="R732">
            <v>689.49</v>
          </cell>
          <cell r="S732">
            <v>46906.18</v>
          </cell>
        </row>
        <row r="733">
          <cell r="A733" t="str">
            <v>Budget</v>
          </cell>
          <cell r="B733">
            <v>1</v>
          </cell>
          <cell r="C733" t="str">
            <v>House</v>
          </cell>
          <cell r="D733">
            <v>23</v>
          </cell>
          <cell r="E733">
            <v>7139</v>
          </cell>
          <cell r="F733" t="str">
            <v>DURAND GLASS MANUFACTURING CO</v>
          </cell>
          <cell r="G733" t="str">
            <v>D</v>
          </cell>
          <cell r="H733" t="str">
            <v>MILLVILLE</v>
          </cell>
          <cell r="I733" t="str">
            <v>NJ</v>
          </cell>
          <cell r="J733" t="str">
            <v>USA</v>
          </cell>
          <cell r="K733" t="str">
            <v>DURAND GLASS MFG CO</v>
          </cell>
          <cell r="L733" t="str">
            <v>NJ</v>
          </cell>
          <cell r="M733" t="str">
            <v>USA</v>
          </cell>
          <cell r="N733" t="str">
            <v>C</v>
          </cell>
          <cell r="O733">
            <v>30219100</v>
          </cell>
          <cell r="P733" t="str">
            <v>SODA ASH DENSE BULK (091)</v>
          </cell>
          <cell r="Q733" t="str">
            <v>Soda Ash</v>
          </cell>
          <cell r="R733">
            <v>982.08</v>
          </cell>
          <cell r="S733">
            <v>71731.37</v>
          </cell>
        </row>
        <row r="734">
          <cell r="A734" t="str">
            <v>Budget</v>
          </cell>
          <cell r="B734">
            <v>1</v>
          </cell>
          <cell r="C734" t="str">
            <v>House</v>
          </cell>
          <cell r="D734">
            <v>23</v>
          </cell>
          <cell r="E734">
            <v>8261</v>
          </cell>
          <cell r="F734" t="str">
            <v>NUTRIUS INCORPORATED</v>
          </cell>
          <cell r="G734" t="str">
            <v>D</v>
          </cell>
          <cell r="H734" t="str">
            <v>KINGSBURG</v>
          </cell>
          <cell r="I734" t="str">
            <v>CA</v>
          </cell>
          <cell r="J734" t="str">
            <v>USA</v>
          </cell>
          <cell r="K734" t="str">
            <v>NUTRIUS INCORPORATED</v>
          </cell>
          <cell r="L734" t="str">
            <v>CA</v>
          </cell>
          <cell r="M734" t="str">
            <v>USA</v>
          </cell>
          <cell r="N734" t="str">
            <v>C</v>
          </cell>
          <cell r="O734">
            <v>50060100</v>
          </cell>
          <cell r="P734" t="str">
            <v>BIO-CARB, BULK</v>
          </cell>
          <cell r="Q734" t="str">
            <v>Sodium Bicarb</v>
          </cell>
          <cell r="R734">
            <v>833.33</v>
          </cell>
          <cell r="S734">
            <v>75000</v>
          </cell>
        </row>
        <row r="735">
          <cell r="A735" t="str">
            <v>Budget</v>
          </cell>
          <cell r="B735">
            <v>1</v>
          </cell>
          <cell r="C735" t="str">
            <v>House</v>
          </cell>
          <cell r="D735">
            <v>23</v>
          </cell>
          <cell r="E735">
            <v>8928</v>
          </cell>
          <cell r="F735" t="str">
            <v>OWENS-BROCKWAY GLASS CONTAINER</v>
          </cell>
          <cell r="G735" t="str">
            <v>D</v>
          </cell>
          <cell r="H735" t="str">
            <v>STREATOR</v>
          </cell>
          <cell r="I735" t="str">
            <v>IL</v>
          </cell>
          <cell r="J735" t="str">
            <v>USA</v>
          </cell>
          <cell r="K735" t="str">
            <v>OWENS-BROCKWAY GLASS CONTAINER</v>
          </cell>
          <cell r="L735" t="str">
            <v>IL</v>
          </cell>
          <cell r="M735" t="str">
            <v>USA</v>
          </cell>
          <cell r="N735" t="str">
            <v>C</v>
          </cell>
          <cell r="O735">
            <v>30218800</v>
          </cell>
          <cell r="P735" t="str">
            <v>SODA ASH DENSE BULK (088)</v>
          </cell>
          <cell r="Q735" t="str">
            <v>Soda Ash</v>
          </cell>
          <cell r="R735">
            <v>4776.63</v>
          </cell>
          <cell r="S735">
            <v>310480.67</v>
          </cell>
        </row>
        <row r="736">
          <cell r="A736" t="str">
            <v>Budget</v>
          </cell>
          <cell r="B736">
            <v>1</v>
          </cell>
          <cell r="C736" t="str">
            <v>House</v>
          </cell>
          <cell r="D736">
            <v>23</v>
          </cell>
          <cell r="E736">
            <v>9191</v>
          </cell>
          <cell r="F736" t="str">
            <v>O-I CANADA CORP.</v>
          </cell>
          <cell r="G736" t="str">
            <v>D</v>
          </cell>
          <cell r="H736" t="str">
            <v>VERNON LAVINGTON</v>
          </cell>
          <cell r="I736" t="str">
            <v>BC</v>
          </cell>
          <cell r="J736" t="str">
            <v>CAN</v>
          </cell>
          <cell r="K736" t="str">
            <v>O-I CANADA CORP.</v>
          </cell>
          <cell r="L736" t="str">
            <v>BC</v>
          </cell>
          <cell r="M736" t="str">
            <v>CAN</v>
          </cell>
          <cell r="N736" t="str">
            <v>C</v>
          </cell>
          <cell r="O736">
            <v>30218800</v>
          </cell>
          <cell r="P736" t="str">
            <v>SODA ASH DENSE BULK (088)</v>
          </cell>
          <cell r="Q736" t="str">
            <v>Soda Ash</v>
          </cell>
          <cell r="R736">
            <v>2117.4899999999998</v>
          </cell>
          <cell r="S736">
            <v>137636.60999999999</v>
          </cell>
        </row>
        <row r="737">
          <cell r="A737" t="str">
            <v>Budget</v>
          </cell>
          <cell r="B737">
            <v>1</v>
          </cell>
          <cell r="C737" t="str">
            <v>Domestic</v>
          </cell>
          <cell r="D737">
            <v>3</v>
          </cell>
          <cell r="E737">
            <v>9567</v>
          </cell>
          <cell r="F737" t="str">
            <v>GUARDIAN FIBERGLASS</v>
          </cell>
          <cell r="G737" t="str">
            <v>D</v>
          </cell>
          <cell r="H737" t="str">
            <v>ALBION</v>
          </cell>
          <cell r="I737" t="str">
            <v>MI</v>
          </cell>
          <cell r="J737" t="str">
            <v>USA</v>
          </cell>
          <cell r="K737" t="str">
            <v>GUARDIAN FIBERGLASS</v>
          </cell>
          <cell r="L737" t="str">
            <v>MI</v>
          </cell>
          <cell r="M737" t="str">
            <v>USA</v>
          </cell>
          <cell r="N737" t="str">
            <v>C</v>
          </cell>
          <cell r="O737">
            <v>22060400</v>
          </cell>
          <cell r="P737" t="str">
            <v>V-BOR STD BULK (004)</v>
          </cell>
          <cell r="Q737" t="str">
            <v>Penta</v>
          </cell>
          <cell r="R737">
            <v>914.75409999999999</v>
          </cell>
          <cell r="S737">
            <v>214967.2</v>
          </cell>
        </row>
        <row r="738">
          <cell r="A738" t="str">
            <v>Budget</v>
          </cell>
          <cell r="B738">
            <v>1</v>
          </cell>
          <cell r="C738" t="str">
            <v>Domestic</v>
          </cell>
          <cell r="D738">
            <v>3</v>
          </cell>
          <cell r="E738">
            <v>5210</v>
          </cell>
          <cell r="F738" t="str">
            <v>GUARDIAN FIBERGLASS</v>
          </cell>
          <cell r="G738" t="str">
            <v>D</v>
          </cell>
          <cell r="H738" t="str">
            <v>MINERAL WELLS</v>
          </cell>
          <cell r="I738" t="str">
            <v>MS</v>
          </cell>
          <cell r="J738" t="str">
            <v>USA</v>
          </cell>
          <cell r="K738" t="str">
            <v>GUARDIAN FIBERGLASS</v>
          </cell>
          <cell r="L738" t="str">
            <v>MS</v>
          </cell>
          <cell r="M738" t="str">
            <v>USA</v>
          </cell>
          <cell r="N738" t="str">
            <v>C</v>
          </cell>
          <cell r="O738">
            <v>22060400</v>
          </cell>
          <cell r="P738" t="str">
            <v>V-BOR STD BULK (004)</v>
          </cell>
          <cell r="Q738" t="str">
            <v>Penta</v>
          </cell>
          <cell r="R738">
            <v>406.55739999999997</v>
          </cell>
          <cell r="S738">
            <v>94321.31</v>
          </cell>
        </row>
        <row r="739">
          <cell r="A739" t="str">
            <v>Budget</v>
          </cell>
          <cell r="B739">
            <v>1</v>
          </cell>
          <cell r="C739" t="str">
            <v>Domestic</v>
          </cell>
          <cell r="D739">
            <v>3</v>
          </cell>
          <cell r="E739">
            <v>8227</v>
          </cell>
          <cell r="F739" t="str">
            <v>GUARDIAN FIBERGLASS</v>
          </cell>
          <cell r="G739" t="str">
            <v>D</v>
          </cell>
          <cell r="H739" t="str">
            <v>INWOOD</v>
          </cell>
          <cell r="I739" t="str">
            <v>WV</v>
          </cell>
          <cell r="J739" t="str">
            <v>USA</v>
          </cell>
          <cell r="K739" t="str">
            <v>GUARDIAN FIBERGLASS</v>
          </cell>
          <cell r="L739" t="str">
            <v>WV</v>
          </cell>
          <cell r="M739" t="str">
            <v>USA</v>
          </cell>
          <cell r="N739" t="str">
            <v>C</v>
          </cell>
          <cell r="O739">
            <v>22060400</v>
          </cell>
          <cell r="P739" t="str">
            <v>V-BOR STD BULK (004)</v>
          </cell>
          <cell r="Q739" t="str">
            <v>Penta</v>
          </cell>
          <cell r="R739">
            <v>406.55739999999997</v>
          </cell>
          <cell r="S739">
            <v>94727.87</v>
          </cell>
        </row>
        <row r="740">
          <cell r="A740" t="str">
            <v>Budget</v>
          </cell>
          <cell r="B740">
            <v>1</v>
          </cell>
          <cell r="C740" t="str">
            <v>Domestic</v>
          </cell>
          <cell r="D740">
            <v>3</v>
          </cell>
          <cell r="E740">
            <v>9568</v>
          </cell>
          <cell r="F740" t="str">
            <v>GUARDIAN FIBERGLASS</v>
          </cell>
          <cell r="G740" t="str">
            <v>D</v>
          </cell>
          <cell r="H740" t="str">
            <v>ERIN</v>
          </cell>
          <cell r="I740" t="str">
            <v>ONTARIO</v>
          </cell>
          <cell r="J740" t="str">
            <v>CAN</v>
          </cell>
          <cell r="K740" t="str">
            <v>GUARDIAN FIBERGLASS</v>
          </cell>
          <cell r="L740" t="str">
            <v>ONTARIO</v>
          </cell>
          <cell r="M740" t="str">
            <v>CAN</v>
          </cell>
          <cell r="N740" t="str">
            <v>C</v>
          </cell>
          <cell r="O740">
            <v>22060400</v>
          </cell>
          <cell r="P740" t="str">
            <v>V-BOR STD BULK (004)</v>
          </cell>
          <cell r="Q740" t="str">
            <v>Penta</v>
          </cell>
          <cell r="R740">
            <v>304.91800000000001</v>
          </cell>
          <cell r="S740">
            <v>74095.08</v>
          </cell>
        </row>
        <row r="741">
          <cell r="A741" t="str">
            <v>Budget</v>
          </cell>
          <cell r="B741">
            <v>1</v>
          </cell>
          <cell r="C741" t="str">
            <v>House</v>
          </cell>
          <cell r="D741">
            <v>24</v>
          </cell>
          <cell r="E741">
            <v>7351</v>
          </cell>
          <cell r="F741" t="str">
            <v>INACTIVE-NEW CUSTOMERS FOR</v>
          </cell>
          <cell r="G741" t="str">
            <v>D</v>
          </cell>
          <cell r="H741" t="str">
            <v>OVERLAND PARK</v>
          </cell>
          <cell r="I741" t="str">
            <v>KS</v>
          </cell>
          <cell r="J741" t="str">
            <v>USA</v>
          </cell>
          <cell r="K741" t="str">
            <v>INACTIVE-NEW CUSTOMERS FOR</v>
          </cell>
          <cell r="L741" t="str">
            <v>KS</v>
          </cell>
          <cell r="M741" t="str">
            <v>USA</v>
          </cell>
          <cell r="N741" t="str">
            <v>C</v>
          </cell>
          <cell r="O741">
            <v>26069755</v>
          </cell>
          <cell r="P741" t="str">
            <v>SODIUM OCTABORATE 1MT FIBC</v>
          </cell>
          <cell r="Q741" t="str">
            <v>Foliarel (SCL)</v>
          </cell>
          <cell r="R741">
            <v>5.08</v>
          </cell>
          <cell r="S741">
            <v>6098.36</v>
          </cell>
        </row>
        <row r="742">
          <cell r="A742" t="str">
            <v>Budget</v>
          </cell>
          <cell r="B742">
            <v>1</v>
          </cell>
          <cell r="C742" t="str">
            <v>House</v>
          </cell>
          <cell r="D742">
            <v>24</v>
          </cell>
          <cell r="E742">
            <v>7351</v>
          </cell>
          <cell r="F742" t="str">
            <v>INACTIVE-NEW CUSTOMERS FOR</v>
          </cell>
          <cell r="G742" t="str">
            <v>D</v>
          </cell>
          <cell r="H742" t="str">
            <v>OVERLAND PARK</v>
          </cell>
          <cell r="I742" t="str">
            <v>KS</v>
          </cell>
          <cell r="J742" t="str">
            <v>USA</v>
          </cell>
          <cell r="K742" t="str">
            <v>INACTIVE-NEW CUSTOMERS FOR</v>
          </cell>
          <cell r="L742" t="str">
            <v>KS</v>
          </cell>
          <cell r="M742" t="str">
            <v>USA</v>
          </cell>
          <cell r="N742" t="str">
            <v>C</v>
          </cell>
          <cell r="O742">
            <v>30210100</v>
          </cell>
          <cell r="P742" t="str">
            <v>SODA ASH DENSE BULK</v>
          </cell>
          <cell r="Q742" t="str">
            <v>Soda Ash</v>
          </cell>
          <cell r="R742">
            <v>39319.82</v>
          </cell>
          <cell r="S742">
            <v>3118974.35</v>
          </cell>
        </row>
        <row r="743">
          <cell r="A743" t="str">
            <v>Budget</v>
          </cell>
          <cell r="B743">
            <v>1</v>
          </cell>
          <cell r="C743" t="str">
            <v>House</v>
          </cell>
          <cell r="D743">
            <v>24</v>
          </cell>
          <cell r="E743">
            <v>7351</v>
          </cell>
          <cell r="F743" t="str">
            <v>INACTIVE-NEW CUSTOMERS FOR</v>
          </cell>
          <cell r="G743" t="str">
            <v>D</v>
          </cell>
          <cell r="H743" t="str">
            <v>OVERLAND PARK</v>
          </cell>
          <cell r="I743" t="str">
            <v>KS</v>
          </cell>
          <cell r="J743" t="str">
            <v>USA</v>
          </cell>
          <cell r="K743" t="str">
            <v>INACTIVE-NEW CUSTOMERS FOR</v>
          </cell>
          <cell r="L743" t="str">
            <v>KS</v>
          </cell>
          <cell r="M743" t="str">
            <v>USA</v>
          </cell>
          <cell r="N743" t="str">
            <v>C</v>
          </cell>
          <cell r="O743">
            <v>30218800</v>
          </cell>
          <cell r="P743" t="str">
            <v>SODA ASH DENSE BULK (088)</v>
          </cell>
          <cell r="Q743" t="str">
            <v>Soda Ash</v>
          </cell>
          <cell r="R743">
            <v>211.75</v>
          </cell>
          <cell r="S743">
            <v>16039.96</v>
          </cell>
        </row>
        <row r="744">
          <cell r="A744" t="str">
            <v>Budget</v>
          </cell>
          <cell r="B744">
            <v>1</v>
          </cell>
          <cell r="C744" t="str">
            <v>House</v>
          </cell>
          <cell r="D744">
            <v>24</v>
          </cell>
          <cell r="E744">
            <v>7351</v>
          </cell>
          <cell r="F744" t="str">
            <v>INACTIVE-NEW CUSTOMERS FOR</v>
          </cell>
          <cell r="G744" t="str">
            <v>D</v>
          </cell>
          <cell r="H744" t="str">
            <v>OVERLAND PARK</v>
          </cell>
          <cell r="I744" t="str">
            <v>KS</v>
          </cell>
          <cell r="J744" t="str">
            <v>USA</v>
          </cell>
          <cell r="K744" t="str">
            <v>INACTIVE-NEW CUSTOMERS FOR</v>
          </cell>
          <cell r="L744" t="str">
            <v>KS</v>
          </cell>
          <cell r="M744" t="str">
            <v>USA</v>
          </cell>
          <cell r="N744" t="str">
            <v>C</v>
          </cell>
          <cell r="O744">
            <v>40060400</v>
          </cell>
          <cell r="P744" t="str">
            <v>SODIUM SULFATE STANDARD BULK</v>
          </cell>
          <cell r="Q744" t="str">
            <v>Sodium Sulfate</v>
          </cell>
          <cell r="R744">
            <v>84.7</v>
          </cell>
          <cell r="S744">
            <v>7622.95</v>
          </cell>
        </row>
        <row r="745">
          <cell r="A745" t="str">
            <v>Budget</v>
          </cell>
          <cell r="B745">
            <v>1</v>
          </cell>
          <cell r="C745" t="str">
            <v>House</v>
          </cell>
          <cell r="D745">
            <v>24</v>
          </cell>
          <cell r="E745">
            <v>7351</v>
          </cell>
          <cell r="F745" t="str">
            <v>INACTIVE-NEW CUSTOMERS FOR</v>
          </cell>
          <cell r="G745" t="str">
            <v>D</v>
          </cell>
          <cell r="H745" t="str">
            <v>OVERLAND PARK</v>
          </cell>
          <cell r="I745" t="str">
            <v>KS</v>
          </cell>
          <cell r="J745" t="str">
            <v>USA</v>
          </cell>
          <cell r="K745" t="str">
            <v>INACTIVE-NEW CUSTOMERS FOR</v>
          </cell>
          <cell r="L745" t="str">
            <v>KS</v>
          </cell>
          <cell r="M745" t="str">
            <v>USA</v>
          </cell>
          <cell r="N745" t="str">
            <v>C</v>
          </cell>
          <cell r="O745">
            <v>40060410</v>
          </cell>
          <cell r="P745" t="str">
            <v>SODIUM SULFATE STD 50LB BAG</v>
          </cell>
          <cell r="Q745" t="str">
            <v>Sodium Sulfate</v>
          </cell>
          <cell r="R745">
            <v>16.940000000000001</v>
          </cell>
          <cell r="S745">
            <v>1524.59</v>
          </cell>
        </row>
        <row r="746">
          <cell r="A746" t="str">
            <v>Budget</v>
          </cell>
          <cell r="B746">
            <v>1</v>
          </cell>
          <cell r="C746" t="str">
            <v>House</v>
          </cell>
          <cell r="D746">
            <v>130</v>
          </cell>
          <cell r="E746">
            <v>5090</v>
          </cell>
          <cell r="F746" t="str">
            <v>SAINT-GOBAIN CONTAINERS</v>
          </cell>
          <cell r="G746" t="str">
            <v>D</v>
          </cell>
          <cell r="H746" t="str">
            <v>BRADENTON</v>
          </cell>
          <cell r="I746" t="str">
            <v>FL</v>
          </cell>
          <cell r="J746" t="str">
            <v>USA</v>
          </cell>
          <cell r="K746" t="str">
            <v>SAINT-GOBAIN CONTAINERS</v>
          </cell>
          <cell r="L746" t="str">
            <v>FL</v>
          </cell>
          <cell r="M746" t="str">
            <v>USA</v>
          </cell>
          <cell r="N746" t="str">
            <v>C</v>
          </cell>
          <cell r="O746">
            <v>40160400</v>
          </cell>
          <cell r="P746" t="str">
            <v>SODIUM SULFATE PREMIUM BULK</v>
          </cell>
          <cell r="Q746" t="str">
            <v>Sodium Sulfate</v>
          </cell>
          <cell r="R746">
            <v>16.55</v>
          </cell>
          <cell r="S746">
            <v>525.52</v>
          </cell>
        </row>
        <row r="747">
          <cell r="A747" t="str">
            <v>Budget</v>
          </cell>
          <cell r="B747">
            <v>1</v>
          </cell>
          <cell r="C747" t="str">
            <v>House</v>
          </cell>
          <cell r="D747">
            <v>130</v>
          </cell>
          <cell r="E747">
            <v>7484</v>
          </cell>
          <cell r="F747" t="str">
            <v>OWENS-BROCKWAY GLASS CONTAINER</v>
          </cell>
          <cell r="G747" t="str">
            <v>D</v>
          </cell>
          <cell r="H747" t="str">
            <v>PORTLAND</v>
          </cell>
          <cell r="I747" t="str">
            <v>OR</v>
          </cell>
          <cell r="J747" t="str">
            <v>USA</v>
          </cell>
          <cell r="K747" t="str">
            <v>OWENS-BROCKWAY GLASS CONTAINER</v>
          </cell>
          <cell r="L747" t="str">
            <v>OR</v>
          </cell>
          <cell r="M747" t="str">
            <v>USA</v>
          </cell>
          <cell r="N747" t="str">
            <v>C</v>
          </cell>
          <cell r="O747">
            <v>40150400</v>
          </cell>
          <cell r="P747" t="str">
            <v>SODIUM SULFATE COARSE BULK</v>
          </cell>
          <cell r="Q747" t="str">
            <v>Sodium Sulfate</v>
          </cell>
          <cell r="R747">
            <v>30.13</v>
          </cell>
          <cell r="S747">
            <v>2548.7800000000002</v>
          </cell>
        </row>
        <row r="748">
          <cell r="A748" t="str">
            <v>Budget</v>
          </cell>
          <cell r="B748">
            <v>1</v>
          </cell>
          <cell r="C748" t="str">
            <v>House</v>
          </cell>
          <cell r="D748">
            <v>130</v>
          </cell>
          <cell r="E748">
            <v>7546</v>
          </cell>
          <cell r="F748" t="str">
            <v>SAINT GOBAIN CONTAINERS</v>
          </cell>
          <cell r="G748" t="str">
            <v>D</v>
          </cell>
          <cell r="H748" t="str">
            <v>SEATTLE</v>
          </cell>
          <cell r="I748" t="str">
            <v>WA</v>
          </cell>
          <cell r="J748" t="str">
            <v>USA</v>
          </cell>
          <cell r="K748" t="str">
            <v>SAINT GOBAIN CONTAINERS</v>
          </cell>
          <cell r="L748" t="str">
            <v>WA</v>
          </cell>
          <cell r="M748" t="str">
            <v>USA</v>
          </cell>
          <cell r="N748" t="str">
            <v>C</v>
          </cell>
          <cell r="O748">
            <v>40160410</v>
          </cell>
          <cell r="P748" t="str">
            <v>SODIUM SULFATE PREMIUM 50LB BG</v>
          </cell>
          <cell r="Q748" t="str">
            <v>Sodium Sulfate</v>
          </cell>
          <cell r="R748">
            <v>11.43</v>
          </cell>
          <cell r="S748">
            <v>1258.25</v>
          </cell>
        </row>
        <row r="749">
          <cell r="A749" t="str">
            <v>Budget</v>
          </cell>
          <cell r="B749">
            <v>1</v>
          </cell>
          <cell r="C749" t="str">
            <v>House</v>
          </cell>
          <cell r="D749">
            <v>130</v>
          </cell>
          <cell r="E749">
            <v>8848</v>
          </cell>
          <cell r="F749" t="str">
            <v>OWENS-BROCKWAY GLASS CONTAINER</v>
          </cell>
          <cell r="G749" t="str">
            <v>D</v>
          </cell>
          <cell r="H749" t="str">
            <v>VERNON</v>
          </cell>
          <cell r="I749" t="str">
            <v>CA</v>
          </cell>
          <cell r="J749" t="str">
            <v>USA</v>
          </cell>
          <cell r="K749" t="str">
            <v>OWENS-BROCKWAY GLASS CONTAINER</v>
          </cell>
          <cell r="L749" t="str">
            <v>CA</v>
          </cell>
          <cell r="M749" t="str">
            <v>USA</v>
          </cell>
          <cell r="N749" t="str">
            <v>C</v>
          </cell>
          <cell r="O749">
            <v>40150400</v>
          </cell>
          <cell r="P749" t="str">
            <v>SODIUM SULFATE COARSE BULK</v>
          </cell>
          <cell r="Q749" t="str">
            <v>Sodium Sulfate</v>
          </cell>
          <cell r="R749">
            <v>41.5</v>
          </cell>
          <cell r="S749">
            <v>4805.4399999999996</v>
          </cell>
        </row>
        <row r="750">
          <cell r="A750" t="str">
            <v>Budget</v>
          </cell>
          <cell r="B750">
            <v>1</v>
          </cell>
          <cell r="C750" t="str">
            <v>House</v>
          </cell>
          <cell r="D750">
            <v>130</v>
          </cell>
          <cell r="E750">
            <v>8849</v>
          </cell>
          <cell r="F750" t="str">
            <v>OWENS-BROCKWAY GLASS CONTAINER</v>
          </cell>
          <cell r="G750" t="str">
            <v>D</v>
          </cell>
          <cell r="H750" t="str">
            <v>OAKLAND</v>
          </cell>
          <cell r="I750" t="str">
            <v>CA</v>
          </cell>
          <cell r="J750" t="str">
            <v>USA</v>
          </cell>
          <cell r="K750" t="str">
            <v>OWENS-BROCKWAY GLASS CONTAINER</v>
          </cell>
          <cell r="L750" t="str">
            <v>CA</v>
          </cell>
          <cell r="M750" t="str">
            <v>USA</v>
          </cell>
          <cell r="N750" t="str">
            <v>C</v>
          </cell>
          <cell r="O750">
            <v>40150400</v>
          </cell>
          <cell r="P750" t="str">
            <v>SODIUM SULFATE COARSE BULK</v>
          </cell>
          <cell r="Q750" t="str">
            <v>Sodium Sulfate</v>
          </cell>
          <cell r="R750">
            <v>69.540000000000006</v>
          </cell>
          <cell r="S750">
            <v>6799.54</v>
          </cell>
        </row>
        <row r="751">
          <cell r="A751" t="str">
            <v>Budget</v>
          </cell>
          <cell r="B751">
            <v>1</v>
          </cell>
          <cell r="C751" t="str">
            <v>House</v>
          </cell>
          <cell r="D751">
            <v>130</v>
          </cell>
          <cell r="E751">
            <v>8850</v>
          </cell>
          <cell r="F751" t="str">
            <v>OWENS-BROCKWAY GLASS CONTAINER</v>
          </cell>
          <cell r="G751" t="str">
            <v>D</v>
          </cell>
          <cell r="H751" t="str">
            <v>TRACY</v>
          </cell>
          <cell r="I751" t="str">
            <v>CA</v>
          </cell>
          <cell r="J751" t="str">
            <v>USA</v>
          </cell>
          <cell r="K751" t="str">
            <v>OWENS-BROCKWAY GLASS CONTAINER</v>
          </cell>
          <cell r="L751" t="str">
            <v>CA</v>
          </cell>
          <cell r="M751" t="str">
            <v>USA</v>
          </cell>
          <cell r="N751" t="str">
            <v>C</v>
          </cell>
          <cell r="O751">
            <v>40150400</v>
          </cell>
          <cell r="P751" t="str">
            <v>SODIUM SULFATE COARSE BULK</v>
          </cell>
          <cell r="Q751" t="str">
            <v>Sodium Sulfate</v>
          </cell>
          <cell r="R751">
            <v>68.91</v>
          </cell>
          <cell r="S751">
            <v>7182.77</v>
          </cell>
        </row>
        <row r="752">
          <cell r="A752" t="str">
            <v>Budget</v>
          </cell>
          <cell r="B752">
            <v>1</v>
          </cell>
          <cell r="C752" t="str">
            <v>House</v>
          </cell>
          <cell r="D752">
            <v>130</v>
          </cell>
          <cell r="E752">
            <v>8851</v>
          </cell>
          <cell r="F752" t="str">
            <v>OWENS-BROCKWAY GLASS CONTAINER</v>
          </cell>
          <cell r="G752" t="str">
            <v>D</v>
          </cell>
          <cell r="H752" t="str">
            <v>HAYWARD</v>
          </cell>
          <cell r="I752" t="str">
            <v>CA</v>
          </cell>
          <cell r="J752" t="str">
            <v>USA</v>
          </cell>
          <cell r="K752" t="str">
            <v>OWENS-BROCKWAY GLASS CONTAINER</v>
          </cell>
          <cell r="L752" t="str">
            <v>CA</v>
          </cell>
          <cell r="M752" t="str">
            <v>USA</v>
          </cell>
          <cell r="N752" t="str">
            <v>C</v>
          </cell>
          <cell r="O752">
            <v>40150400</v>
          </cell>
          <cell r="P752" t="str">
            <v>SODIUM SULFATE COARSE BULK</v>
          </cell>
          <cell r="Q752" t="str">
            <v>Sodium Sulfate</v>
          </cell>
          <cell r="R752">
            <v>18.36</v>
          </cell>
          <cell r="S752">
            <v>1780.81</v>
          </cell>
        </row>
        <row r="753">
          <cell r="A753" t="str">
            <v>Budget</v>
          </cell>
          <cell r="B753">
            <v>1</v>
          </cell>
          <cell r="C753" t="str">
            <v>House</v>
          </cell>
          <cell r="D753">
            <v>130</v>
          </cell>
          <cell r="E753">
            <v>9155</v>
          </cell>
          <cell r="F753" t="str">
            <v>FEVISA INDUSTRIAL S.A. DE C.V.</v>
          </cell>
          <cell r="G753" t="str">
            <v>E</v>
          </cell>
          <cell r="H753" t="str">
            <v>MEXICALI</v>
          </cell>
          <cell r="J753" t="str">
            <v>MEX</v>
          </cell>
          <cell r="K753" t="str">
            <v>FEVISA INDUSTRIAL S.A. DE C.V.</v>
          </cell>
          <cell r="M753" t="str">
            <v>MEX</v>
          </cell>
          <cell r="N753" t="str">
            <v>C</v>
          </cell>
          <cell r="O753">
            <v>30210100</v>
          </cell>
          <cell r="P753" t="str">
            <v>SODA ASH DENSE BULK</v>
          </cell>
          <cell r="Q753" t="str">
            <v>Soda Ash</v>
          </cell>
          <cell r="R753">
            <v>2388.33</v>
          </cell>
          <cell r="S753">
            <v>192834.03</v>
          </cell>
        </row>
        <row r="754">
          <cell r="A754" t="str">
            <v>Budget</v>
          </cell>
          <cell r="B754">
            <v>2</v>
          </cell>
          <cell r="C754" t="str">
            <v>Domestic</v>
          </cell>
          <cell r="D754">
            <v>1</v>
          </cell>
          <cell r="E754">
            <v>5316</v>
          </cell>
          <cell r="F754" t="str">
            <v>GLADDING MCBEAN &amp; CO</v>
          </cell>
          <cell r="G754" t="str">
            <v>D</v>
          </cell>
          <cell r="H754" t="str">
            <v>LINCOLN</v>
          </cell>
          <cell r="I754" t="str">
            <v>CA</v>
          </cell>
          <cell r="J754" t="str">
            <v>USA</v>
          </cell>
          <cell r="K754" t="str">
            <v>GLADDING MCBEAN &amp; CO</v>
          </cell>
          <cell r="L754" t="str">
            <v>CA</v>
          </cell>
          <cell r="M754" t="str">
            <v>USA</v>
          </cell>
          <cell r="N754" t="str">
            <v>C</v>
          </cell>
          <cell r="O754">
            <v>30210130</v>
          </cell>
          <cell r="P754" t="str">
            <v>SODA ASH DENSE 100LB BAG</v>
          </cell>
          <cell r="Q754" t="str">
            <v>Soda Ash</v>
          </cell>
          <cell r="R754">
            <v>3.76</v>
          </cell>
          <cell r="S754">
            <v>891.99</v>
          </cell>
        </row>
        <row r="755">
          <cell r="A755" t="str">
            <v>Budget</v>
          </cell>
          <cell r="B755">
            <v>2</v>
          </cell>
          <cell r="C755" t="str">
            <v>Domestic</v>
          </cell>
          <cell r="D755">
            <v>1</v>
          </cell>
          <cell r="E755">
            <v>5380</v>
          </cell>
          <cell r="F755" t="str">
            <v>U.S. BORAX INC.</v>
          </cell>
          <cell r="G755" t="str">
            <v>D</v>
          </cell>
          <cell r="H755" t="str">
            <v>BORON</v>
          </cell>
          <cell r="I755" t="str">
            <v>CA</v>
          </cell>
          <cell r="J755" t="str">
            <v>USA</v>
          </cell>
          <cell r="K755" t="str">
            <v>U.S. BORAX INC.</v>
          </cell>
          <cell r="L755" t="str">
            <v>CA</v>
          </cell>
          <cell r="M755" t="str">
            <v>USA</v>
          </cell>
          <cell r="N755" t="str">
            <v>C</v>
          </cell>
          <cell r="O755">
            <v>30210100</v>
          </cell>
          <cell r="P755" t="str">
            <v>SODA ASH DENSE BULK</v>
          </cell>
          <cell r="Q755" t="str">
            <v>Soda Ash</v>
          </cell>
          <cell r="R755">
            <v>213.8</v>
          </cell>
          <cell r="S755">
            <v>19146.189999999999</v>
          </cell>
        </row>
        <row r="756">
          <cell r="A756" t="str">
            <v>Budget</v>
          </cell>
          <cell r="B756">
            <v>2</v>
          </cell>
          <cell r="C756" t="str">
            <v>Domestic</v>
          </cell>
          <cell r="D756">
            <v>1</v>
          </cell>
          <cell r="E756">
            <v>5390</v>
          </cell>
          <cell r="F756" t="str">
            <v>UNIVAR USA</v>
          </cell>
          <cell r="G756" t="str">
            <v>D</v>
          </cell>
          <cell r="H756" t="str">
            <v>CITY OF COMMERCE</v>
          </cell>
          <cell r="I756" t="str">
            <v>CA</v>
          </cell>
          <cell r="J756" t="str">
            <v>USA</v>
          </cell>
          <cell r="K756" t="str">
            <v>UNIVAR USA</v>
          </cell>
          <cell r="L756" t="str">
            <v>CA</v>
          </cell>
          <cell r="M756" t="str">
            <v>USA</v>
          </cell>
          <cell r="N756" t="str">
            <v>D</v>
          </cell>
          <cell r="O756">
            <v>22060410</v>
          </cell>
          <cell r="P756" t="str">
            <v>V-BOR 50LB BAG (004)</v>
          </cell>
          <cell r="Q756" t="str">
            <v>Penta</v>
          </cell>
          <cell r="R756">
            <v>0.39</v>
          </cell>
          <cell r="S756">
            <v>161.12</v>
          </cell>
        </row>
        <row r="757">
          <cell r="A757" t="str">
            <v>Budget</v>
          </cell>
          <cell r="B757">
            <v>2</v>
          </cell>
          <cell r="C757" t="str">
            <v>Domestic</v>
          </cell>
          <cell r="D757">
            <v>1</v>
          </cell>
          <cell r="E757">
            <v>5390</v>
          </cell>
          <cell r="F757" t="str">
            <v>UNIVAR USA</v>
          </cell>
          <cell r="G757" t="str">
            <v>D</v>
          </cell>
          <cell r="H757" t="str">
            <v>CITY OF COMMERCE</v>
          </cell>
          <cell r="I757" t="str">
            <v>CA</v>
          </cell>
          <cell r="J757" t="str">
            <v>USA</v>
          </cell>
          <cell r="K757" t="str">
            <v>UNIVAR USA</v>
          </cell>
          <cell r="L757" t="str">
            <v>CA</v>
          </cell>
          <cell r="M757" t="str">
            <v>USA</v>
          </cell>
          <cell r="N757" t="str">
            <v>D</v>
          </cell>
          <cell r="O757">
            <v>30210110</v>
          </cell>
          <cell r="P757" t="str">
            <v>SODA ASH DENSE 50LB BAG</v>
          </cell>
          <cell r="Q757" t="str">
            <v>Soda Ash</v>
          </cell>
          <cell r="R757">
            <v>59.01</v>
          </cell>
          <cell r="S757">
            <v>9482.99</v>
          </cell>
        </row>
        <row r="758">
          <cell r="A758" t="str">
            <v>Budget</v>
          </cell>
          <cell r="B758">
            <v>2</v>
          </cell>
          <cell r="C758" t="str">
            <v>Domestic</v>
          </cell>
          <cell r="D758">
            <v>1</v>
          </cell>
          <cell r="E758">
            <v>5390</v>
          </cell>
          <cell r="F758" t="str">
            <v>UNIVAR USA</v>
          </cell>
          <cell r="G758" t="str">
            <v>D</v>
          </cell>
          <cell r="H758" t="str">
            <v>CITY OF COMMERCE</v>
          </cell>
          <cell r="I758" t="str">
            <v>CA</v>
          </cell>
          <cell r="J758" t="str">
            <v>USA</v>
          </cell>
          <cell r="K758" t="str">
            <v>UNIVAR USA</v>
          </cell>
          <cell r="L758" t="str">
            <v>CA</v>
          </cell>
          <cell r="M758" t="str">
            <v>USA</v>
          </cell>
          <cell r="N758" t="str">
            <v>D</v>
          </cell>
          <cell r="O758">
            <v>40060410</v>
          </cell>
          <cell r="P758" t="str">
            <v>SODIUM SULFATE STD 50LB BAG</v>
          </cell>
          <cell r="Q758" t="str">
            <v>Sodium Sulfate</v>
          </cell>
          <cell r="R758">
            <v>277.12</v>
          </cell>
          <cell r="S758">
            <v>48931.28</v>
          </cell>
        </row>
        <row r="759">
          <cell r="A759" t="str">
            <v>Budget</v>
          </cell>
          <cell r="B759">
            <v>2</v>
          </cell>
          <cell r="C759" t="str">
            <v>Domestic</v>
          </cell>
          <cell r="D759">
            <v>1</v>
          </cell>
          <cell r="E759">
            <v>5390</v>
          </cell>
          <cell r="F759" t="str">
            <v>UNIVAR USA</v>
          </cell>
          <cell r="G759" t="str">
            <v>D</v>
          </cell>
          <cell r="H759" t="str">
            <v>CITY OF COMMERCE</v>
          </cell>
          <cell r="I759" t="str">
            <v>CA</v>
          </cell>
          <cell r="J759" t="str">
            <v>USA</v>
          </cell>
          <cell r="K759" t="str">
            <v>UNIVAR USA</v>
          </cell>
          <cell r="L759" t="str">
            <v>CA</v>
          </cell>
          <cell r="M759" t="str">
            <v>USA</v>
          </cell>
          <cell r="N759" t="str">
            <v>D</v>
          </cell>
          <cell r="O759">
            <v>40060430</v>
          </cell>
          <cell r="P759" t="str">
            <v>SODIUM SULFATE STD 100LB BAG</v>
          </cell>
          <cell r="Q759" t="str">
            <v>Sodium Sulfate</v>
          </cell>
          <cell r="R759">
            <v>13.07</v>
          </cell>
          <cell r="S759">
            <v>2414.69</v>
          </cell>
        </row>
        <row r="760">
          <cell r="A760" t="str">
            <v>Budget</v>
          </cell>
          <cell r="B760">
            <v>2</v>
          </cell>
          <cell r="C760" t="str">
            <v>Domestic</v>
          </cell>
          <cell r="D760">
            <v>1</v>
          </cell>
          <cell r="E760">
            <v>5429</v>
          </cell>
          <cell r="F760" t="str">
            <v>UNIVAR USA</v>
          </cell>
          <cell r="G760" t="str">
            <v>D</v>
          </cell>
          <cell r="H760" t="str">
            <v>SAN JOSE</v>
          </cell>
          <cell r="I760" t="str">
            <v>CA</v>
          </cell>
          <cell r="J760" t="str">
            <v>USA</v>
          </cell>
          <cell r="K760" t="str">
            <v>UNIVAR USA</v>
          </cell>
          <cell r="L760" t="str">
            <v>CA</v>
          </cell>
          <cell r="M760" t="str">
            <v>USA</v>
          </cell>
          <cell r="N760" t="str">
            <v>D</v>
          </cell>
          <cell r="O760">
            <v>30210110</v>
          </cell>
          <cell r="P760" t="str">
            <v>SODA ASH DENSE 50LB BAG</v>
          </cell>
          <cell r="Q760" t="str">
            <v>Soda Ash</v>
          </cell>
          <cell r="R760">
            <v>11.07</v>
          </cell>
          <cell r="S760">
            <v>1663.43</v>
          </cell>
        </row>
        <row r="761">
          <cell r="A761" t="str">
            <v>Budget</v>
          </cell>
          <cell r="B761">
            <v>2</v>
          </cell>
          <cell r="C761" t="str">
            <v>Domestic</v>
          </cell>
          <cell r="D761">
            <v>1</v>
          </cell>
          <cell r="E761">
            <v>5429</v>
          </cell>
          <cell r="F761" t="str">
            <v>UNIVAR USA</v>
          </cell>
          <cell r="G761" t="str">
            <v>D</v>
          </cell>
          <cell r="H761" t="str">
            <v>SAN JOSE</v>
          </cell>
          <cell r="I761" t="str">
            <v>CA</v>
          </cell>
          <cell r="J761" t="str">
            <v>USA</v>
          </cell>
          <cell r="K761" t="str">
            <v>UNIVAR USA</v>
          </cell>
          <cell r="L761" t="str">
            <v>CA</v>
          </cell>
          <cell r="M761" t="str">
            <v>USA</v>
          </cell>
          <cell r="N761" t="str">
            <v>D</v>
          </cell>
          <cell r="O761">
            <v>40060410</v>
          </cell>
          <cell r="P761" t="str">
            <v>SODIUM SULFATE STD 50LB BAG</v>
          </cell>
          <cell r="Q761" t="str">
            <v>Sodium Sulfate</v>
          </cell>
          <cell r="R761">
            <v>11.29</v>
          </cell>
          <cell r="S761">
            <v>2111.41</v>
          </cell>
        </row>
        <row r="762">
          <cell r="A762" t="str">
            <v>Budget</v>
          </cell>
          <cell r="B762">
            <v>2</v>
          </cell>
          <cell r="C762" t="str">
            <v>Domestic</v>
          </cell>
          <cell r="D762">
            <v>1</v>
          </cell>
          <cell r="E762">
            <v>5430</v>
          </cell>
          <cell r="F762" t="str">
            <v>VALUE PRODUCTS</v>
          </cell>
          <cell r="G762" t="str">
            <v>D</v>
          </cell>
          <cell r="H762" t="str">
            <v>STOCKTON</v>
          </cell>
          <cell r="I762" t="str">
            <v>CA</v>
          </cell>
          <cell r="J762" t="str">
            <v>USA</v>
          </cell>
          <cell r="K762" t="str">
            <v>UNIVAR USA</v>
          </cell>
          <cell r="L762" t="str">
            <v>CA</v>
          </cell>
          <cell r="M762" t="str">
            <v>USA</v>
          </cell>
          <cell r="N762" t="str">
            <v>D</v>
          </cell>
          <cell r="O762">
            <v>40060410</v>
          </cell>
          <cell r="P762" t="str">
            <v>SODIUM SULFATE STD 50LB BAG</v>
          </cell>
          <cell r="Q762" t="str">
            <v>Sodium Sulfate</v>
          </cell>
          <cell r="R762">
            <v>11.09</v>
          </cell>
          <cell r="S762">
            <v>2074.37</v>
          </cell>
        </row>
        <row r="763">
          <cell r="A763" t="str">
            <v>Budget</v>
          </cell>
          <cell r="B763">
            <v>2</v>
          </cell>
          <cell r="C763" t="str">
            <v>Domestic</v>
          </cell>
          <cell r="D763">
            <v>1</v>
          </cell>
          <cell r="E763">
            <v>5628</v>
          </cell>
          <cell r="F763" t="str">
            <v>U.S. DYE</v>
          </cell>
          <cell r="G763" t="str">
            <v>D</v>
          </cell>
          <cell r="H763" t="str">
            <v>GARDEN GROVE</v>
          </cell>
          <cell r="I763" t="str">
            <v>CA</v>
          </cell>
          <cell r="J763" t="str">
            <v>USA</v>
          </cell>
          <cell r="K763" t="str">
            <v>BRENNTAG WEST, INC.</v>
          </cell>
          <cell r="L763" t="str">
            <v>CA</v>
          </cell>
          <cell r="M763" t="str">
            <v>USA</v>
          </cell>
          <cell r="N763" t="str">
            <v>D</v>
          </cell>
          <cell r="O763">
            <v>40150410</v>
          </cell>
          <cell r="P763" t="str">
            <v>SODIUM SULFATE CRS 50LB BAG</v>
          </cell>
          <cell r="Q763" t="str">
            <v>Sodium Sulfate</v>
          </cell>
          <cell r="R763">
            <v>56.45</v>
          </cell>
          <cell r="S763">
            <v>8769.33</v>
          </cell>
        </row>
        <row r="764">
          <cell r="A764" t="str">
            <v>Budget</v>
          </cell>
          <cell r="B764">
            <v>2</v>
          </cell>
          <cell r="C764" t="str">
            <v>Domestic</v>
          </cell>
          <cell r="D764">
            <v>1</v>
          </cell>
          <cell r="E764">
            <v>5650</v>
          </cell>
          <cell r="F764" t="str">
            <v>HUISH DETERGENTS INC</v>
          </cell>
          <cell r="G764" t="str">
            <v>D</v>
          </cell>
          <cell r="H764" t="str">
            <v>SALT LAKE CITY</v>
          </cell>
          <cell r="I764" t="str">
            <v>UT</v>
          </cell>
          <cell r="J764" t="str">
            <v>USA</v>
          </cell>
          <cell r="K764" t="str">
            <v>HUISH DETERGENTS INC</v>
          </cell>
          <cell r="L764" t="str">
            <v>UT</v>
          </cell>
          <cell r="M764" t="str">
            <v>USA</v>
          </cell>
          <cell r="N764" t="str">
            <v>C</v>
          </cell>
          <cell r="O764">
            <v>40060400</v>
          </cell>
          <cell r="P764" t="str">
            <v>SODIUM SULFATE STANDARD BULK</v>
          </cell>
          <cell r="Q764" t="str">
            <v>Sodium Sulfate</v>
          </cell>
          <cell r="R764">
            <v>594.26</v>
          </cell>
          <cell r="S764">
            <v>39958.129999999997</v>
          </cell>
        </row>
        <row r="765">
          <cell r="A765" t="str">
            <v>Budget</v>
          </cell>
          <cell r="B765">
            <v>2</v>
          </cell>
          <cell r="C765" t="str">
            <v>Domestic</v>
          </cell>
          <cell r="D765">
            <v>1</v>
          </cell>
          <cell r="E765">
            <v>6056</v>
          </cell>
          <cell r="F765" t="str">
            <v>CELITE</v>
          </cell>
          <cell r="G765" t="str">
            <v>D</v>
          </cell>
          <cell r="H765" t="str">
            <v>LOMPOC</v>
          </cell>
          <cell r="I765" t="str">
            <v>CA</v>
          </cell>
          <cell r="J765" t="str">
            <v>USA</v>
          </cell>
          <cell r="K765" t="str">
            <v>CELITE</v>
          </cell>
          <cell r="L765" t="str">
            <v>CA</v>
          </cell>
          <cell r="M765" t="str">
            <v>USA</v>
          </cell>
          <cell r="N765" t="str">
            <v>C</v>
          </cell>
          <cell r="O765">
            <v>30210100</v>
          </cell>
          <cell r="P765" t="str">
            <v>SODA ASH DENSE BULK</v>
          </cell>
          <cell r="Q765" t="str">
            <v>Soda Ash</v>
          </cell>
          <cell r="R765">
            <v>792.35</v>
          </cell>
          <cell r="S765">
            <v>66850.55</v>
          </cell>
        </row>
        <row r="766">
          <cell r="A766" t="str">
            <v>Budget</v>
          </cell>
          <cell r="B766">
            <v>2</v>
          </cell>
          <cell r="C766" t="str">
            <v>Domestic</v>
          </cell>
          <cell r="D766">
            <v>1</v>
          </cell>
          <cell r="E766">
            <v>6090</v>
          </cell>
          <cell r="F766" t="str">
            <v>IN-CIDE TECHNOLOGIES</v>
          </cell>
          <cell r="G766" t="str">
            <v>D</v>
          </cell>
          <cell r="H766" t="str">
            <v>PHOENIX</v>
          </cell>
          <cell r="I766" t="str">
            <v>AZ</v>
          </cell>
          <cell r="J766" t="str">
            <v>USA</v>
          </cell>
          <cell r="K766" t="str">
            <v>IN-CIDE TECHNOLOGIES</v>
          </cell>
          <cell r="L766" t="str">
            <v>AZ</v>
          </cell>
          <cell r="M766" t="str">
            <v>USA</v>
          </cell>
          <cell r="N766" t="str">
            <v>C</v>
          </cell>
          <cell r="O766">
            <v>22060400</v>
          </cell>
          <cell r="P766" t="str">
            <v>V-BOR STD BULK (004)</v>
          </cell>
          <cell r="Q766" t="str">
            <v>Penta</v>
          </cell>
          <cell r="R766">
            <v>362.98</v>
          </cell>
          <cell r="S766">
            <v>90995.74</v>
          </cell>
        </row>
        <row r="767">
          <cell r="A767" t="str">
            <v>Budget</v>
          </cell>
          <cell r="B767">
            <v>2</v>
          </cell>
          <cell r="C767" t="str">
            <v>Domestic</v>
          </cell>
          <cell r="D767">
            <v>1</v>
          </cell>
          <cell r="E767">
            <v>6090</v>
          </cell>
          <cell r="F767" t="str">
            <v>IN-CIDE TECHNOLOGIES</v>
          </cell>
          <cell r="G767" t="str">
            <v>D</v>
          </cell>
          <cell r="H767" t="str">
            <v>PHOENIX</v>
          </cell>
          <cell r="I767" t="str">
            <v>AZ</v>
          </cell>
          <cell r="J767" t="str">
            <v>USA</v>
          </cell>
          <cell r="K767" t="str">
            <v>IN-CIDE TECHNOLOGIES</v>
          </cell>
          <cell r="L767" t="str">
            <v>AZ</v>
          </cell>
          <cell r="M767" t="str">
            <v>USA</v>
          </cell>
          <cell r="N767" t="str">
            <v>C</v>
          </cell>
          <cell r="O767">
            <v>24090250</v>
          </cell>
          <cell r="P767" t="str">
            <v>BORIC ACID GRAN TECH 1TN FIBC</v>
          </cell>
          <cell r="Q767" t="str">
            <v>Boric Acid</v>
          </cell>
          <cell r="R767">
            <v>20.92</v>
          </cell>
          <cell r="S767">
            <v>8602.35</v>
          </cell>
        </row>
        <row r="768">
          <cell r="A768" t="str">
            <v>Budget</v>
          </cell>
          <cell r="B768">
            <v>2</v>
          </cell>
          <cell r="C768" t="str">
            <v>Domestic</v>
          </cell>
          <cell r="D768">
            <v>1</v>
          </cell>
          <cell r="E768">
            <v>6090</v>
          </cell>
          <cell r="F768" t="str">
            <v>IN-CIDE TECHNOLOGIES</v>
          </cell>
          <cell r="G768" t="str">
            <v>D</v>
          </cell>
          <cell r="H768" t="str">
            <v>PHOENIX</v>
          </cell>
          <cell r="I768" t="str">
            <v>AZ</v>
          </cell>
          <cell r="J768" t="str">
            <v>USA</v>
          </cell>
          <cell r="K768" t="str">
            <v>IN-CIDE TECHNOLOGIES</v>
          </cell>
          <cell r="L768" t="str">
            <v>AZ</v>
          </cell>
          <cell r="M768" t="str">
            <v>USA</v>
          </cell>
          <cell r="N768" t="str">
            <v>C</v>
          </cell>
          <cell r="O768">
            <v>24090251</v>
          </cell>
          <cell r="P768" t="str">
            <v>BORIC ACID GRN TCH 2200LB FIBC</v>
          </cell>
          <cell r="Q768" t="str">
            <v>Boric Acid</v>
          </cell>
          <cell r="R768">
            <v>27.89</v>
          </cell>
          <cell r="S768">
            <v>11414.92</v>
          </cell>
        </row>
        <row r="769">
          <cell r="A769" t="str">
            <v>Budget</v>
          </cell>
          <cell r="B769">
            <v>2</v>
          </cell>
          <cell r="C769" t="str">
            <v>Domestic</v>
          </cell>
          <cell r="D769">
            <v>1</v>
          </cell>
          <cell r="E769">
            <v>6090</v>
          </cell>
          <cell r="F769" t="str">
            <v>IN-CIDE TECHNOLOGIES</v>
          </cell>
          <cell r="G769" t="str">
            <v>D</v>
          </cell>
          <cell r="H769" t="str">
            <v>PHOENIX</v>
          </cell>
          <cell r="I769" t="str">
            <v>AZ</v>
          </cell>
          <cell r="J769" t="str">
            <v>USA</v>
          </cell>
          <cell r="K769" t="str">
            <v>IN-CIDE TECHNOLOGIES</v>
          </cell>
          <cell r="L769" t="str">
            <v>AZ</v>
          </cell>
          <cell r="M769" t="str">
            <v>USA</v>
          </cell>
          <cell r="N769" t="str">
            <v>C</v>
          </cell>
          <cell r="O769">
            <v>24099455</v>
          </cell>
          <cell r="P769" t="str">
            <v>BOR boric acid, 1MT FIBC</v>
          </cell>
          <cell r="Q769" t="str">
            <v>Boric Acid</v>
          </cell>
          <cell r="R769">
            <v>47.16</v>
          </cell>
          <cell r="S769">
            <v>19808.47</v>
          </cell>
        </row>
        <row r="770">
          <cell r="A770" t="str">
            <v>Budget</v>
          </cell>
          <cell r="B770">
            <v>2</v>
          </cell>
          <cell r="C770" t="str">
            <v>Domestic</v>
          </cell>
          <cell r="D770">
            <v>1</v>
          </cell>
          <cell r="E770">
            <v>6090</v>
          </cell>
          <cell r="F770" t="str">
            <v>IN-CIDE TECHNOLOGIES</v>
          </cell>
          <cell r="G770" t="str">
            <v>D</v>
          </cell>
          <cell r="H770" t="str">
            <v>PHOENIX</v>
          </cell>
          <cell r="I770" t="str">
            <v>AZ</v>
          </cell>
          <cell r="J770" t="str">
            <v>USA</v>
          </cell>
          <cell r="K770" t="str">
            <v>IN-CIDE TECHNOLOGIES</v>
          </cell>
          <cell r="L770" t="str">
            <v>AZ</v>
          </cell>
          <cell r="M770" t="str">
            <v>USA</v>
          </cell>
          <cell r="N770" t="str">
            <v>C</v>
          </cell>
          <cell r="O770">
            <v>26069710</v>
          </cell>
          <cell r="P770" t="str">
            <v>SOLUBLE BORON-21 50LB BAG</v>
          </cell>
          <cell r="Q770" t="str">
            <v>Foliarel (SCL)</v>
          </cell>
          <cell r="R770">
            <v>0.87</v>
          </cell>
          <cell r="S770">
            <v>927.98</v>
          </cell>
        </row>
        <row r="771">
          <cell r="A771" t="str">
            <v>Budget</v>
          </cell>
          <cell r="B771">
            <v>2</v>
          </cell>
          <cell r="C771" t="str">
            <v>Domestic</v>
          </cell>
          <cell r="D771">
            <v>1</v>
          </cell>
          <cell r="E771">
            <v>6090</v>
          </cell>
          <cell r="F771" t="str">
            <v>IN-CIDE TECHNOLOGIES</v>
          </cell>
          <cell r="G771" t="str">
            <v>D</v>
          </cell>
          <cell r="H771" t="str">
            <v>PHOENIX</v>
          </cell>
          <cell r="I771" t="str">
            <v>AZ</v>
          </cell>
          <cell r="J771" t="str">
            <v>USA</v>
          </cell>
          <cell r="K771" t="str">
            <v>IN-CIDE TECHNOLOGIES</v>
          </cell>
          <cell r="L771" t="str">
            <v>AZ</v>
          </cell>
          <cell r="M771" t="str">
            <v>USA</v>
          </cell>
          <cell r="N771" t="str">
            <v>C</v>
          </cell>
          <cell r="O771">
            <v>26769710</v>
          </cell>
          <cell r="P771" t="str">
            <v>SOD OCTABORATE PEST 50LB BAG</v>
          </cell>
          <cell r="Q771" t="str">
            <v>Foliarel (SCL)</v>
          </cell>
          <cell r="R771">
            <v>3.42</v>
          </cell>
          <cell r="S771">
            <v>3561.49</v>
          </cell>
        </row>
        <row r="772">
          <cell r="A772" t="str">
            <v>Budget</v>
          </cell>
          <cell r="B772">
            <v>2</v>
          </cell>
          <cell r="C772" t="str">
            <v>Domestic</v>
          </cell>
          <cell r="D772">
            <v>1</v>
          </cell>
          <cell r="E772">
            <v>6090</v>
          </cell>
          <cell r="F772" t="str">
            <v>IN-CIDE TECHNOLOGIES</v>
          </cell>
          <cell r="G772" t="str">
            <v>D</v>
          </cell>
          <cell r="H772" t="str">
            <v>PHOENIX</v>
          </cell>
          <cell r="I772" t="str">
            <v>AZ</v>
          </cell>
          <cell r="J772" t="str">
            <v>USA</v>
          </cell>
          <cell r="K772" t="str">
            <v>IN-CIDE TECHNOLOGIES</v>
          </cell>
          <cell r="L772" t="str">
            <v>AZ</v>
          </cell>
          <cell r="M772" t="str">
            <v>USA</v>
          </cell>
          <cell r="N772" t="str">
            <v>C</v>
          </cell>
          <cell r="O772">
            <v>26769755</v>
          </cell>
          <cell r="P772" t="str">
            <v>SODIUM OCTABORATE PEST 1MT</v>
          </cell>
          <cell r="Q772" t="str">
            <v>Foliarel (SCL)</v>
          </cell>
          <cell r="R772">
            <v>2.79</v>
          </cell>
          <cell r="S772">
            <v>3011.09</v>
          </cell>
        </row>
        <row r="773">
          <cell r="A773" t="str">
            <v>Budget</v>
          </cell>
          <cell r="B773">
            <v>2</v>
          </cell>
          <cell r="C773" t="str">
            <v>Domestic</v>
          </cell>
          <cell r="D773">
            <v>1</v>
          </cell>
          <cell r="E773">
            <v>6090</v>
          </cell>
          <cell r="F773" t="str">
            <v>IN-CIDE TECHNOLOGIES</v>
          </cell>
          <cell r="G773" t="str">
            <v>D</v>
          </cell>
          <cell r="H773" t="str">
            <v>PHOENIX</v>
          </cell>
          <cell r="I773" t="str">
            <v>AZ</v>
          </cell>
          <cell r="J773" t="str">
            <v>USA</v>
          </cell>
          <cell r="K773" t="str">
            <v>IN-CIDE TECHNOLOGIES</v>
          </cell>
          <cell r="L773" t="str">
            <v>AZ</v>
          </cell>
          <cell r="M773" t="str">
            <v>USA</v>
          </cell>
          <cell r="N773" t="str">
            <v>C</v>
          </cell>
          <cell r="O773">
            <v>26769785</v>
          </cell>
          <cell r="P773" t="str">
            <v>SODIUM OCTABORATE PEST 500KG</v>
          </cell>
          <cell r="Q773" t="str">
            <v>Foliarel (SCL)</v>
          </cell>
          <cell r="R773">
            <v>3.14</v>
          </cell>
          <cell r="S773">
            <v>3608.23</v>
          </cell>
        </row>
        <row r="774">
          <cell r="A774" t="str">
            <v>Budget</v>
          </cell>
          <cell r="B774">
            <v>2</v>
          </cell>
          <cell r="C774" t="str">
            <v>Domestic</v>
          </cell>
          <cell r="D774">
            <v>1</v>
          </cell>
          <cell r="E774">
            <v>6104</v>
          </cell>
          <cell r="F774" t="str">
            <v>PACIFIC COAST CHEMICALS, INC.</v>
          </cell>
          <cell r="G774" t="str">
            <v>D</v>
          </cell>
          <cell r="H774" t="str">
            <v>BERKELEY</v>
          </cell>
          <cell r="I774" t="str">
            <v>CA</v>
          </cell>
          <cell r="J774" t="str">
            <v>USA</v>
          </cell>
          <cell r="K774" t="str">
            <v>PACIFIC COAST CHEMICALS, INC.</v>
          </cell>
          <cell r="L774" t="str">
            <v>CA</v>
          </cell>
          <cell r="M774" t="str">
            <v>USA</v>
          </cell>
          <cell r="N774" t="str">
            <v>D</v>
          </cell>
          <cell r="O774">
            <v>24030210</v>
          </cell>
          <cell r="P774" t="str">
            <v>BORIC ACID PWD TECH 50LB BAG</v>
          </cell>
          <cell r="Q774" t="str">
            <v>Boric Acid</v>
          </cell>
          <cell r="R774">
            <v>2.4700000000000002</v>
          </cell>
          <cell r="S774">
            <v>2212.56</v>
          </cell>
        </row>
        <row r="775">
          <cell r="A775" t="str">
            <v>Budget</v>
          </cell>
          <cell r="B775">
            <v>2</v>
          </cell>
          <cell r="C775" t="str">
            <v>Domestic</v>
          </cell>
          <cell r="D775">
            <v>1</v>
          </cell>
          <cell r="E775">
            <v>6104</v>
          </cell>
          <cell r="F775" t="str">
            <v>PACIFIC COAST CHEMICALS, INC.</v>
          </cell>
          <cell r="G775" t="str">
            <v>D</v>
          </cell>
          <cell r="H775" t="str">
            <v>BERKELEY</v>
          </cell>
          <cell r="I775" t="str">
            <v>CA</v>
          </cell>
          <cell r="J775" t="str">
            <v>USA</v>
          </cell>
          <cell r="K775" t="str">
            <v>PACIFIC COAST CHEMICALS, INC.</v>
          </cell>
          <cell r="L775" t="str">
            <v>CA</v>
          </cell>
          <cell r="M775" t="str">
            <v>USA</v>
          </cell>
          <cell r="N775" t="str">
            <v>D</v>
          </cell>
          <cell r="O775">
            <v>24090210</v>
          </cell>
          <cell r="P775" t="str">
            <v>BORIC ACID GRAN TECH 50LB BAG</v>
          </cell>
          <cell r="Q775" t="str">
            <v>Boric Acid</v>
          </cell>
          <cell r="R775">
            <v>0.39</v>
          </cell>
          <cell r="S775">
            <v>312.14999999999998</v>
          </cell>
        </row>
        <row r="776">
          <cell r="A776" t="str">
            <v>Budget</v>
          </cell>
          <cell r="B776">
            <v>2</v>
          </cell>
          <cell r="C776" t="str">
            <v>Domestic</v>
          </cell>
          <cell r="D776">
            <v>1</v>
          </cell>
          <cell r="E776">
            <v>6104</v>
          </cell>
          <cell r="F776" t="str">
            <v>PACIFIC COAST CHEMICALS, INC.</v>
          </cell>
          <cell r="G776" t="str">
            <v>D</v>
          </cell>
          <cell r="H776" t="str">
            <v>BERKELEY</v>
          </cell>
          <cell r="I776" t="str">
            <v>CA</v>
          </cell>
          <cell r="J776" t="str">
            <v>USA</v>
          </cell>
          <cell r="K776" t="str">
            <v>PACIFIC COAST CHEMICALS, INC.</v>
          </cell>
          <cell r="L776" t="str">
            <v>CA</v>
          </cell>
          <cell r="M776" t="str">
            <v>USA</v>
          </cell>
          <cell r="N776" t="str">
            <v>D</v>
          </cell>
          <cell r="O776">
            <v>40060410</v>
          </cell>
          <cell r="P776" t="str">
            <v>SODIUM SULFATE STD 50LB BAG</v>
          </cell>
          <cell r="Q776" t="str">
            <v>Sodium Sulfate</v>
          </cell>
          <cell r="R776">
            <v>0.59</v>
          </cell>
          <cell r="S776">
            <v>121.82</v>
          </cell>
        </row>
        <row r="777">
          <cell r="A777" t="str">
            <v>Budget</v>
          </cell>
          <cell r="B777">
            <v>2</v>
          </cell>
          <cell r="C777" t="str">
            <v>Domestic</v>
          </cell>
          <cell r="D777">
            <v>1</v>
          </cell>
          <cell r="E777">
            <v>6396</v>
          </cell>
          <cell r="F777" t="str">
            <v>OIL DRY CORPORATION</v>
          </cell>
          <cell r="G777" t="str">
            <v>D</v>
          </cell>
          <cell r="H777" t="str">
            <v>OCHLOCKNEE</v>
          </cell>
          <cell r="I777" t="str">
            <v>GA</v>
          </cell>
          <cell r="J777" t="str">
            <v>USA</v>
          </cell>
          <cell r="K777" t="str">
            <v>THE CLOROX CO.</v>
          </cell>
          <cell r="L777" t="str">
            <v>CA</v>
          </cell>
          <cell r="M777" t="str">
            <v>USA</v>
          </cell>
          <cell r="N777" t="str">
            <v>C</v>
          </cell>
          <cell r="O777">
            <v>22060410</v>
          </cell>
          <cell r="P777" t="str">
            <v>V-BOR 50LB BAG (004)</v>
          </cell>
          <cell r="Q777" t="str">
            <v>Penta</v>
          </cell>
          <cell r="R777">
            <v>6.99</v>
          </cell>
          <cell r="S777">
            <v>1904.72</v>
          </cell>
        </row>
        <row r="778">
          <cell r="A778" t="str">
            <v>Budget</v>
          </cell>
          <cell r="B778">
            <v>2</v>
          </cell>
          <cell r="C778" t="str">
            <v>Domestic</v>
          </cell>
          <cell r="D778">
            <v>1</v>
          </cell>
          <cell r="E778">
            <v>6396</v>
          </cell>
          <cell r="F778" t="str">
            <v>OIL DRY CORPORATION</v>
          </cell>
          <cell r="G778" t="str">
            <v>D</v>
          </cell>
          <cell r="H778" t="str">
            <v>OCHLOCKNEE</v>
          </cell>
          <cell r="I778" t="str">
            <v>GA</v>
          </cell>
          <cell r="J778" t="str">
            <v>USA</v>
          </cell>
          <cell r="K778" t="str">
            <v>THE CLOROX CO.</v>
          </cell>
          <cell r="L778" t="str">
            <v>CA</v>
          </cell>
          <cell r="M778" t="str">
            <v>USA</v>
          </cell>
          <cell r="N778" t="str">
            <v>C</v>
          </cell>
          <cell r="O778">
            <v>24790210</v>
          </cell>
          <cell r="P778" t="str">
            <v>BORIC ACID GRN TCH 50LB PEST</v>
          </cell>
          <cell r="Q778" t="str">
            <v>Boric Acid</v>
          </cell>
          <cell r="R778">
            <v>34.94</v>
          </cell>
          <cell r="S778">
            <v>17025.45</v>
          </cell>
        </row>
        <row r="779">
          <cell r="A779" t="str">
            <v>Budget</v>
          </cell>
          <cell r="B779">
            <v>2</v>
          </cell>
          <cell r="C779" t="str">
            <v>Domestic</v>
          </cell>
          <cell r="D779">
            <v>1</v>
          </cell>
          <cell r="E779">
            <v>6541</v>
          </cell>
          <cell r="F779" t="str">
            <v>GALLADE CHEMICAL COMPANY</v>
          </cell>
          <cell r="G779" t="str">
            <v>D</v>
          </cell>
          <cell r="H779" t="str">
            <v>FONTANA</v>
          </cell>
          <cell r="I779" t="str">
            <v>CA</v>
          </cell>
          <cell r="J779" t="str">
            <v>USA</v>
          </cell>
          <cell r="K779" t="str">
            <v>GALLADE CHEMICAL CO</v>
          </cell>
          <cell r="L779" t="str">
            <v>CA</v>
          </cell>
          <cell r="M779" t="str">
            <v>USA</v>
          </cell>
          <cell r="N779" t="str">
            <v>D</v>
          </cell>
          <cell r="O779">
            <v>20060230</v>
          </cell>
          <cell r="P779" t="str">
            <v>PYROBOR 100LB BAG (002)</v>
          </cell>
          <cell r="Q779" t="str">
            <v>Pyrobor</v>
          </cell>
          <cell r="R779">
            <v>0.2</v>
          </cell>
          <cell r="S779">
            <v>161.63999999999999</v>
          </cell>
        </row>
        <row r="780">
          <cell r="A780" t="str">
            <v>Budget</v>
          </cell>
          <cell r="B780">
            <v>2</v>
          </cell>
          <cell r="C780" t="str">
            <v>Domestic</v>
          </cell>
          <cell r="D780">
            <v>1</v>
          </cell>
          <cell r="E780">
            <v>6541</v>
          </cell>
          <cell r="F780" t="str">
            <v>GALLADE CHEMICAL COMPANY</v>
          </cell>
          <cell r="G780" t="str">
            <v>D</v>
          </cell>
          <cell r="H780" t="str">
            <v>FONTANA</v>
          </cell>
          <cell r="I780" t="str">
            <v>CA</v>
          </cell>
          <cell r="J780" t="str">
            <v>USA</v>
          </cell>
          <cell r="K780" t="str">
            <v>GALLADE CHEMICAL CO</v>
          </cell>
          <cell r="L780" t="str">
            <v>CA</v>
          </cell>
          <cell r="M780" t="str">
            <v>USA</v>
          </cell>
          <cell r="N780" t="str">
            <v>D</v>
          </cell>
          <cell r="O780">
            <v>23060210</v>
          </cell>
          <cell r="P780" t="str">
            <v>DECA BORAX STD 50LB BAG</v>
          </cell>
          <cell r="Q780" t="str">
            <v>Deca</v>
          </cell>
          <cell r="R780">
            <v>1.75</v>
          </cell>
          <cell r="S780">
            <v>641.20000000000005</v>
          </cell>
        </row>
        <row r="781">
          <cell r="A781" t="str">
            <v>Budget</v>
          </cell>
          <cell r="B781">
            <v>2</v>
          </cell>
          <cell r="C781" t="str">
            <v>Domestic</v>
          </cell>
          <cell r="D781">
            <v>1</v>
          </cell>
          <cell r="E781">
            <v>6541</v>
          </cell>
          <cell r="F781" t="str">
            <v>GALLADE CHEMICAL COMPANY</v>
          </cell>
          <cell r="G781" t="str">
            <v>D</v>
          </cell>
          <cell r="H781" t="str">
            <v>FONTANA</v>
          </cell>
          <cell r="I781" t="str">
            <v>CA</v>
          </cell>
          <cell r="J781" t="str">
            <v>USA</v>
          </cell>
          <cell r="K781" t="str">
            <v>GALLADE CHEMICAL CO</v>
          </cell>
          <cell r="L781" t="str">
            <v>CA</v>
          </cell>
          <cell r="M781" t="str">
            <v>USA</v>
          </cell>
          <cell r="N781" t="str">
            <v>D</v>
          </cell>
          <cell r="O781">
            <v>24030210</v>
          </cell>
          <cell r="P781" t="str">
            <v>BORIC ACID PWD TECH 50LB BAG</v>
          </cell>
          <cell r="Q781" t="str">
            <v>Boric Acid</v>
          </cell>
          <cell r="R781">
            <v>0.38</v>
          </cell>
          <cell r="S781">
            <v>340.39</v>
          </cell>
        </row>
        <row r="782">
          <cell r="A782" t="str">
            <v>Budget</v>
          </cell>
          <cell r="B782">
            <v>2</v>
          </cell>
          <cell r="C782" t="str">
            <v>Domestic</v>
          </cell>
          <cell r="D782">
            <v>1</v>
          </cell>
          <cell r="E782">
            <v>6541</v>
          </cell>
          <cell r="F782" t="str">
            <v>GALLADE CHEMICAL COMPANY</v>
          </cell>
          <cell r="G782" t="str">
            <v>D</v>
          </cell>
          <cell r="H782" t="str">
            <v>FONTANA</v>
          </cell>
          <cell r="I782" t="str">
            <v>CA</v>
          </cell>
          <cell r="J782" t="str">
            <v>USA</v>
          </cell>
          <cell r="K782" t="str">
            <v>GALLADE CHEMICAL CO</v>
          </cell>
          <cell r="L782" t="str">
            <v>CA</v>
          </cell>
          <cell r="M782" t="str">
            <v>USA</v>
          </cell>
          <cell r="N782" t="str">
            <v>D</v>
          </cell>
          <cell r="O782">
            <v>24090210</v>
          </cell>
          <cell r="P782" t="str">
            <v>BORIC ACID GRAN TECH 50LB BAG</v>
          </cell>
          <cell r="Q782" t="str">
            <v>Boric Acid</v>
          </cell>
          <cell r="R782">
            <v>6.99</v>
          </cell>
          <cell r="S782">
            <v>5230.91</v>
          </cell>
        </row>
        <row r="783">
          <cell r="A783" t="str">
            <v>Budget</v>
          </cell>
          <cell r="B783">
            <v>2</v>
          </cell>
          <cell r="C783" t="str">
            <v>Domestic</v>
          </cell>
          <cell r="D783">
            <v>1</v>
          </cell>
          <cell r="E783">
            <v>6541</v>
          </cell>
          <cell r="F783" t="str">
            <v>GALLADE CHEMICAL COMPANY</v>
          </cell>
          <cell r="G783" t="str">
            <v>D</v>
          </cell>
          <cell r="H783" t="str">
            <v>FONTANA</v>
          </cell>
          <cell r="I783" t="str">
            <v>CA</v>
          </cell>
          <cell r="J783" t="str">
            <v>USA</v>
          </cell>
          <cell r="K783" t="str">
            <v>GALLADE CHEMICAL CO</v>
          </cell>
          <cell r="L783" t="str">
            <v>CA</v>
          </cell>
          <cell r="M783" t="str">
            <v>USA</v>
          </cell>
          <cell r="N783" t="str">
            <v>D</v>
          </cell>
          <cell r="O783">
            <v>40060410</v>
          </cell>
          <cell r="P783" t="str">
            <v>SODIUM SULFATE STD 50LB BAG</v>
          </cell>
          <cell r="Q783" t="str">
            <v>Sodium Sulfate</v>
          </cell>
          <cell r="R783">
            <v>8.32</v>
          </cell>
          <cell r="S783">
            <v>1622.34</v>
          </cell>
        </row>
        <row r="784">
          <cell r="A784" t="str">
            <v>Budget</v>
          </cell>
          <cell r="B784">
            <v>2</v>
          </cell>
          <cell r="C784" t="str">
            <v>Domestic</v>
          </cell>
          <cell r="D784">
            <v>1</v>
          </cell>
          <cell r="E784">
            <v>6717</v>
          </cell>
          <cell r="F784" t="str">
            <v>NEVADA POWER COMPANY</v>
          </cell>
          <cell r="G784" t="str">
            <v>D</v>
          </cell>
          <cell r="H784" t="str">
            <v>MOAPA</v>
          </cell>
          <cell r="I784" t="str">
            <v>NV</v>
          </cell>
          <cell r="J784" t="str">
            <v>USA</v>
          </cell>
          <cell r="K784" t="str">
            <v>NEVADA POWER COMPANY</v>
          </cell>
          <cell r="L784" t="str">
            <v>NV</v>
          </cell>
          <cell r="M784" t="str">
            <v>USA</v>
          </cell>
          <cell r="N784" t="str">
            <v>C</v>
          </cell>
          <cell r="O784">
            <v>30210100</v>
          </cell>
          <cell r="P784" t="str">
            <v>SODA ASH DENSE BULK</v>
          </cell>
          <cell r="Q784" t="str">
            <v>Soda Ash</v>
          </cell>
          <cell r="R784">
            <v>1454.69</v>
          </cell>
          <cell r="S784">
            <v>109974.86</v>
          </cell>
        </row>
        <row r="785">
          <cell r="A785" t="str">
            <v>Budget</v>
          </cell>
          <cell r="B785">
            <v>2</v>
          </cell>
          <cell r="C785" t="str">
            <v>Domestic</v>
          </cell>
          <cell r="D785">
            <v>1</v>
          </cell>
          <cell r="E785">
            <v>6933</v>
          </cell>
          <cell r="F785" t="str">
            <v>NORTH MIDWAY STEAM PLANT</v>
          </cell>
          <cell r="G785" t="str">
            <v>D</v>
          </cell>
          <cell r="H785" t="str">
            <v>FELLOWS</v>
          </cell>
          <cell r="I785" t="str">
            <v>CA</v>
          </cell>
          <cell r="J785" t="str">
            <v>USA</v>
          </cell>
          <cell r="K785" t="str">
            <v>TEXACO</v>
          </cell>
          <cell r="L785" t="str">
            <v>CA</v>
          </cell>
          <cell r="M785" t="str">
            <v>USA</v>
          </cell>
          <cell r="N785" t="str">
            <v>C</v>
          </cell>
          <cell r="O785">
            <v>30210100</v>
          </cell>
          <cell r="P785" t="str">
            <v>SODA ASH DENSE BULK</v>
          </cell>
          <cell r="Q785" t="str">
            <v>Soda Ash</v>
          </cell>
          <cell r="R785">
            <v>70.5</v>
          </cell>
          <cell r="S785">
            <v>7819.16</v>
          </cell>
        </row>
        <row r="786">
          <cell r="A786" t="str">
            <v>Budget</v>
          </cell>
          <cell r="B786">
            <v>2</v>
          </cell>
          <cell r="C786" t="str">
            <v>Domestic</v>
          </cell>
          <cell r="D786">
            <v>1</v>
          </cell>
          <cell r="E786">
            <v>6956</v>
          </cell>
          <cell r="F786" t="str">
            <v>BLUE CROSS LABS</v>
          </cell>
          <cell r="G786" t="str">
            <v>D</v>
          </cell>
          <cell r="H786" t="str">
            <v>SAUGUS</v>
          </cell>
          <cell r="I786" t="str">
            <v>CA</v>
          </cell>
          <cell r="J786" t="str">
            <v>USA</v>
          </cell>
          <cell r="K786" t="str">
            <v>BRENNTAG WEST, INC.</v>
          </cell>
          <cell r="L786" t="str">
            <v>CA</v>
          </cell>
          <cell r="M786" t="str">
            <v>USA</v>
          </cell>
          <cell r="N786" t="str">
            <v>D</v>
          </cell>
          <cell r="O786">
            <v>40150410</v>
          </cell>
          <cell r="P786" t="str">
            <v>SODIUM SULFATE CRS 50LB BAG</v>
          </cell>
          <cell r="Q786" t="str">
            <v>Sodium Sulfate</v>
          </cell>
          <cell r="R786">
            <v>3.76</v>
          </cell>
          <cell r="S786">
            <v>633.57000000000005</v>
          </cell>
        </row>
        <row r="787">
          <cell r="A787" t="str">
            <v>Budget</v>
          </cell>
          <cell r="B787">
            <v>2</v>
          </cell>
          <cell r="C787" t="str">
            <v>Domestic</v>
          </cell>
          <cell r="D787">
            <v>1</v>
          </cell>
          <cell r="E787">
            <v>6960</v>
          </cell>
          <cell r="F787" t="str">
            <v>BRENNTAG WEST, INC.</v>
          </cell>
          <cell r="G787" t="str">
            <v>D</v>
          </cell>
          <cell r="H787" t="str">
            <v>SANTA FE SPRINGS</v>
          </cell>
          <cell r="I787" t="str">
            <v>CA</v>
          </cell>
          <cell r="J787" t="str">
            <v>USA</v>
          </cell>
          <cell r="K787" t="str">
            <v>BRENNTAG WEST, INC.</v>
          </cell>
          <cell r="L787" t="str">
            <v>CA</v>
          </cell>
          <cell r="M787" t="str">
            <v>USA</v>
          </cell>
          <cell r="N787" t="str">
            <v>D</v>
          </cell>
          <cell r="O787">
            <v>22060450</v>
          </cell>
          <cell r="P787" t="str">
            <v>V-BOR 1TN FIBC (004)</v>
          </cell>
          <cell r="Q787" t="str">
            <v>Penta</v>
          </cell>
          <cell r="R787">
            <v>3.49</v>
          </cell>
          <cell r="S787">
            <v>1267.76</v>
          </cell>
        </row>
        <row r="788">
          <cell r="A788" t="str">
            <v>Budget</v>
          </cell>
          <cell r="B788">
            <v>2</v>
          </cell>
          <cell r="C788" t="str">
            <v>Domestic</v>
          </cell>
          <cell r="D788">
            <v>1</v>
          </cell>
          <cell r="E788">
            <v>6960</v>
          </cell>
          <cell r="F788" t="str">
            <v>BRENNTAG WEST, INC.</v>
          </cell>
          <cell r="G788" t="str">
            <v>D</v>
          </cell>
          <cell r="H788" t="str">
            <v>SANTA FE SPRINGS</v>
          </cell>
          <cell r="I788" t="str">
            <v>CA</v>
          </cell>
          <cell r="J788" t="str">
            <v>USA</v>
          </cell>
          <cell r="K788" t="str">
            <v>BRENNTAG WEST, INC.</v>
          </cell>
          <cell r="L788" t="str">
            <v>CA</v>
          </cell>
          <cell r="M788" t="str">
            <v>USA</v>
          </cell>
          <cell r="N788" t="str">
            <v>D</v>
          </cell>
          <cell r="O788">
            <v>24090210</v>
          </cell>
          <cell r="P788" t="str">
            <v>BORIC ACID GRAN TECH 50LB BAG</v>
          </cell>
          <cell r="Q788" t="str">
            <v>Boric Acid</v>
          </cell>
          <cell r="R788">
            <v>5.24</v>
          </cell>
          <cell r="S788">
            <v>3810.49</v>
          </cell>
        </row>
        <row r="789">
          <cell r="A789" t="str">
            <v>Budget</v>
          </cell>
          <cell r="B789">
            <v>2</v>
          </cell>
          <cell r="C789" t="str">
            <v>Domestic</v>
          </cell>
          <cell r="D789">
            <v>1</v>
          </cell>
          <cell r="E789">
            <v>6960</v>
          </cell>
          <cell r="F789" t="str">
            <v>BRENNTAG WEST, INC.</v>
          </cell>
          <cell r="G789" t="str">
            <v>D</v>
          </cell>
          <cell r="H789" t="str">
            <v>SANTA FE SPRINGS</v>
          </cell>
          <cell r="I789" t="str">
            <v>CA</v>
          </cell>
          <cell r="J789" t="str">
            <v>USA</v>
          </cell>
          <cell r="K789" t="str">
            <v>BRENNTAG WEST, INC.</v>
          </cell>
          <cell r="L789" t="str">
            <v>CA</v>
          </cell>
          <cell r="M789" t="str">
            <v>USA</v>
          </cell>
          <cell r="N789" t="str">
            <v>D</v>
          </cell>
          <cell r="O789">
            <v>30210110</v>
          </cell>
          <cell r="P789" t="str">
            <v>SODA ASH DENSE 50LB BAG</v>
          </cell>
          <cell r="Q789" t="str">
            <v>Soda Ash</v>
          </cell>
          <cell r="R789">
            <v>112.98</v>
          </cell>
          <cell r="S789">
            <v>13552.09</v>
          </cell>
        </row>
        <row r="790">
          <cell r="A790" t="str">
            <v>Budget</v>
          </cell>
          <cell r="B790">
            <v>2</v>
          </cell>
          <cell r="C790" t="str">
            <v>Domestic</v>
          </cell>
          <cell r="D790">
            <v>1</v>
          </cell>
          <cell r="E790">
            <v>6960</v>
          </cell>
          <cell r="F790" t="str">
            <v>BRENNTAG WEST, INC.</v>
          </cell>
          <cell r="G790" t="str">
            <v>D</v>
          </cell>
          <cell r="H790" t="str">
            <v>SANTA FE SPRINGS</v>
          </cell>
          <cell r="I790" t="str">
            <v>CA</v>
          </cell>
          <cell r="J790" t="str">
            <v>USA</v>
          </cell>
          <cell r="K790" t="str">
            <v>BRENNTAG WEST, INC.</v>
          </cell>
          <cell r="L790" t="str">
            <v>CA</v>
          </cell>
          <cell r="M790" t="str">
            <v>USA</v>
          </cell>
          <cell r="N790" t="str">
            <v>D</v>
          </cell>
          <cell r="O790">
            <v>40150410</v>
          </cell>
          <cell r="P790" t="str">
            <v>SODIUM SULFATE CRS 50LB BAG</v>
          </cell>
          <cell r="Q790" t="str">
            <v>Sodium Sulfate</v>
          </cell>
          <cell r="R790">
            <v>188.58</v>
          </cell>
          <cell r="S790">
            <v>25095.16</v>
          </cell>
        </row>
        <row r="791">
          <cell r="A791" t="str">
            <v>Budget</v>
          </cell>
          <cell r="B791">
            <v>2</v>
          </cell>
          <cell r="C791" t="str">
            <v>Domestic</v>
          </cell>
          <cell r="D791">
            <v>1</v>
          </cell>
          <cell r="E791">
            <v>6960</v>
          </cell>
          <cell r="F791" t="str">
            <v>BRENNTAG WEST, INC.</v>
          </cell>
          <cell r="G791" t="str">
            <v>D</v>
          </cell>
          <cell r="H791" t="str">
            <v>SANTA FE SPRINGS</v>
          </cell>
          <cell r="I791" t="str">
            <v>CA</v>
          </cell>
          <cell r="J791" t="str">
            <v>USA</v>
          </cell>
          <cell r="K791" t="str">
            <v>BRENNTAG WEST, INC.</v>
          </cell>
          <cell r="L791" t="str">
            <v>CA</v>
          </cell>
          <cell r="M791" t="str">
            <v>USA</v>
          </cell>
          <cell r="N791" t="str">
            <v>D</v>
          </cell>
          <cell r="O791">
            <v>40150430</v>
          </cell>
          <cell r="P791" t="str">
            <v>SODIUM SULFATE CRS 100LB BG</v>
          </cell>
          <cell r="Q791" t="str">
            <v>Sodium Sulfate</v>
          </cell>
          <cell r="R791">
            <v>3.57</v>
          </cell>
          <cell r="S791">
            <v>677.46</v>
          </cell>
        </row>
        <row r="792">
          <cell r="A792" t="str">
            <v>Budget</v>
          </cell>
          <cell r="B792">
            <v>2</v>
          </cell>
          <cell r="C792" t="str">
            <v>Domestic</v>
          </cell>
          <cell r="D792">
            <v>1</v>
          </cell>
          <cell r="E792">
            <v>7020</v>
          </cell>
          <cell r="F792" t="str">
            <v>ISP ALGINATES</v>
          </cell>
          <cell r="G792" t="str">
            <v>D</v>
          </cell>
          <cell r="H792" t="str">
            <v>SAN DIEGO</v>
          </cell>
          <cell r="I792" t="str">
            <v>CA</v>
          </cell>
          <cell r="J792" t="str">
            <v>USA</v>
          </cell>
          <cell r="K792" t="str">
            <v>UNIVAR USA</v>
          </cell>
          <cell r="L792" t="str">
            <v>CA</v>
          </cell>
          <cell r="M792" t="str">
            <v>USA</v>
          </cell>
          <cell r="N792" t="str">
            <v>D</v>
          </cell>
          <cell r="O792">
            <v>30210100</v>
          </cell>
          <cell r="P792" t="str">
            <v>SODA ASH DENSE BULK</v>
          </cell>
          <cell r="Q792" t="str">
            <v>Soda Ash</v>
          </cell>
          <cell r="R792">
            <v>157.75</v>
          </cell>
          <cell r="S792">
            <v>15353.81</v>
          </cell>
        </row>
        <row r="793">
          <cell r="A793" t="str">
            <v>Budget</v>
          </cell>
          <cell r="B793">
            <v>2</v>
          </cell>
          <cell r="C793" t="str">
            <v>Domestic</v>
          </cell>
          <cell r="D793">
            <v>1</v>
          </cell>
          <cell r="E793">
            <v>7029</v>
          </cell>
          <cell r="F793" t="str">
            <v>UNIVAR USA</v>
          </cell>
          <cell r="G793" t="str">
            <v>D</v>
          </cell>
          <cell r="H793" t="str">
            <v>SALT LAKE CITY</v>
          </cell>
          <cell r="I793" t="str">
            <v>UT</v>
          </cell>
          <cell r="J793" t="str">
            <v>USA</v>
          </cell>
          <cell r="K793" t="str">
            <v>UNIVAR USA</v>
          </cell>
          <cell r="L793" t="str">
            <v>CA</v>
          </cell>
          <cell r="M793" t="str">
            <v>USA</v>
          </cell>
          <cell r="N793" t="str">
            <v>D</v>
          </cell>
          <cell r="O793">
            <v>22060410</v>
          </cell>
          <cell r="P793" t="str">
            <v>V-BOR 50LB BAG (004)</v>
          </cell>
          <cell r="Q793" t="str">
            <v>Penta</v>
          </cell>
          <cell r="R793">
            <v>15.85</v>
          </cell>
          <cell r="S793">
            <v>5709.97</v>
          </cell>
        </row>
        <row r="794">
          <cell r="A794" t="str">
            <v>Budget</v>
          </cell>
          <cell r="B794">
            <v>2</v>
          </cell>
          <cell r="C794" t="str">
            <v>Domestic</v>
          </cell>
          <cell r="D794">
            <v>1</v>
          </cell>
          <cell r="E794">
            <v>7041</v>
          </cell>
          <cell r="F794" t="str">
            <v>UNIVAR USA</v>
          </cell>
          <cell r="G794" t="str">
            <v>D</v>
          </cell>
          <cell r="H794" t="str">
            <v>FRESNO</v>
          </cell>
          <cell r="I794" t="str">
            <v>CA</v>
          </cell>
          <cell r="J794" t="str">
            <v>USA</v>
          </cell>
          <cell r="K794" t="str">
            <v>UNIVAR USA</v>
          </cell>
          <cell r="L794" t="str">
            <v>CA</v>
          </cell>
          <cell r="M794" t="str">
            <v>USA</v>
          </cell>
          <cell r="N794" t="str">
            <v>D</v>
          </cell>
          <cell r="O794">
            <v>30210110</v>
          </cell>
          <cell r="P794" t="str">
            <v>SODA ASH DENSE 50LB BAG</v>
          </cell>
          <cell r="Q794" t="str">
            <v>Soda Ash</v>
          </cell>
          <cell r="R794">
            <v>11.07</v>
          </cell>
          <cell r="S794">
            <v>1878.42</v>
          </cell>
        </row>
        <row r="795">
          <cell r="A795" t="str">
            <v>Budget</v>
          </cell>
          <cell r="B795">
            <v>2</v>
          </cell>
          <cell r="C795" t="str">
            <v>Domestic</v>
          </cell>
          <cell r="D795">
            <v>1</v>
          </cell>
          <cell r="E795">
            <v>7048</v>
          </cell>
          <cell r="F795" t="str">
            <v>SUPER BRANDS INC.</v>
          </cell>
          <cell r="G795" t="str">
            <v>D</v>
          </cell>
          <cell r="H795" t="str">
            <v>HENDERSON</v>
          </cell>
          <cell r="I795" t="str">
            <v>NV</v>
          </cell>
          <cell r="J795" t="str">
            <v>USA</v>
          </cell>
          <cell r="K795" t="str">
            <v>UNIVAR USA</v>
          </cell>
          <cell r="L795" t="str">
            <v>CA</v>
          </cell>
          <cell r="M795" t="str">
            <v>USA</v>
          </cell>
          <cell r="N795" t="str">
            <v>D</v>
          </cell>
          <cell r="O795">
            <v>40070410</v>
          </cell>
          <cell r="P795" t="str">
            <v>SODIUM SULFATE MEDIUM 50LB BAG</v>
          </cell>
          <cell r="Q795" t="str">
            <v>Sodium Sulfate</v>
          </cell>
          <cell r="R795">
            <v>17.829999999999998</v>
          </cell>
          <cell r="S795">
            <v>2842.55</v>
          </cell>
        </row>
        <row r="796">
          <cell r="A796" t="str">
            <v>Budget</v>
          </cell>
          <cell r="B796">
            <v>2</v>
          </cell>
          <cell r="C796" t="str">
            <v>Domestic</v>
          </cell>
          <cell r="D796">
            <v>1</v>
          </cell>
          <cell r="E796">
            <v>7076</v>
          </cell>
          <cell r="F796" t="str">
            <v>TUCSON ELECTRIC</v>
          </cell>
          <cell r="G796" t="str">
            <v>D</v>
          </cell>
          <cell r="H796" t="str">
            <v>SPRINGERVILLE</v>
          </cell>
          <cell r="I796" t="str">
            <v>AZ</v>
          </cell>
          <cell r="J796" t="str">
            <v>USA</v>
          </cell>
          <cell r="K796" t="str">
            <v>UNIVAR USA</v>
          </cell>
          <cell r="L796" t="str">
            <v>NM</v>
          </cell>
          <cell r="M796" t="str">
            <v>USA</v>
          </cell>
          <cell r="N796" t="str">
            <v>D</v>
          </cell>
          <cell r="O796">
            <v>30210100</v>
          </cell>
          <cell r="P796" t="str">
            <v>SODA ASH DENSE BULK</v>
          </cell>
          <cell r="Q796" t="str">
            <v>Soda Ash</v>
          </cell>
          <cell r="R796">
            <v>364.31</v>
          </cell>
          <cell r="S796">
            <v>28576.33</v>
          </cell>
        </row>
        <row r="797">
          <cell r="A797" t="str">
            <v>Budget</v>
          </cell>
          <cell r="B797">
            <v>2</v>
          </cell>
          <cell r="C797" t="str">
            <v>Domestic</v>
          </cell>
          <cell r="D797">
            <v>1</v>
          </cell>
          <cell r="E797">
            <v>7269</v>
          </cell>
          <cell r="F797" t="str">
            <v>PABCO GYPSUM</v>
          </cell>
          <cell r="G797" t="str">
            <v>D</v>
          </cell>
          <cell r="H797" t="str">
            <v>LAS VEGAS</v>
          </cell>
          <cell r="I797" t="str">
            <v>NV</v>
          </cell>
          <cell r="J797" t="str">
            <v>USA</v>
          </cell>
          <cell r="K797" t="str">
            <v>BRENNTAG WEST, INC.</v>
          </cell>
          <cell r="L797" t="str">
            <v>CA</v>
          </cell>
          <cell r="M797" t="str">
            <v>USA</v>
          </cell>
          <cell r="N797" t="str">
            <v>D</v>
          </cell>
          <cell r="O797">
            <v>24090210</v>
          </cell>
          <cell r="P797" t="str">
            <v>BORIC ACID GRAN TECH 50LB BAG</v>
          </cell>
          <cell r="Q797" t="str">
            <v>Boric Acid</v>
          </cell>
          <cell r="R797">
            <v>13.98</v>
          </cell>
          <cell r="S797">
            <v>7564.91</v>
          </cell>
        </row>
        <row r="798">
          <cell r="A798" t="str">
            <v>Budget</v>
          </cell>
          <cell r="B798">
            <v>2</v>
          </cell>
          <cell r="C798" t="str">
            <v>Domestic</v>
          </cell>
          <cell r="D798">
            <v>1</v>
          </cell>
          <cell r="E798">
            <v>7338</v>
          </cell>
          <cell r="F798" t="str">
            <v>PACIFICA CHEMICAL</v>
          </cell>
          <cell r="G798" t="str">
            <v>D</v>
          </cell>
          <cell r="H798" t="str">
            <v>CARSON</v>
          </cell>
          <cell r="I798" t="str">
            <v>CA</v>
          </cell>
          <cell r="J798" t="str">
            <v>USA</v>
          </cell>
          <cell r="K798" t="str">
            <v>UNIVAR USA</v>
          </cell>
          <cell r="L798" t="str">
            <v>CA</v>
          </cell>
          <cell r="M798" t="str">
            <v>USA</v>
          </cell>
          <cell r="N798" t="str">
            <v>D</v>
          </cell>
          <cell r="O798">
            <v>40060410</v>
          </cell>
          <cell r="P798" t="str">
            <v>SODIUM SULFATE STD 50LB BAG</v>
          </cell>
          <cell r="Q798" t="str">
            <v>Sodium Sulfate</v>
          </cell>
          <cell r="R798">
            <v>71.11</v>
          </cell>
          <cell r="S798">
            <v>13298.2</v>
          </cell>
        </row>
        <row r="799">
          <cell r="A799" t="str">
            <v>Budget</v>
          </cell>
          <cell r="B799">
            <v>2</v>
          </cell>
          <cell r="C799" t="str">
            <v>Domestic</v>
          </cell>
          <cell r="D799">
            <v>1</v>
          </cell>
          <cell r="E799">
            <v>7420</v>
          </cell>
          <cell r="F799" t="str">
            <v>MID CONTINENT PACKAGING</v>
          </cell>
          <cell r="G799" t="str">
            <v>D</v>
          </cell>
          <cell r="H799" t="str">
            <v>ENID</v>
          </cell>
          <cell r="I799" t="str">
            <v>OK</v>
          </cell>
          <cell r="J799" t="str">
            <v>USA</v>
          </cell>
          <cell r="K799" t="str">
            <v>MID CONTINENT PACKAGING</v>
          </cell>
          <cell r="L799" t="str">
            <v>OK</v>
          </cell>
          <cell r="M799" t="str">
            <v>USA</v>
          </cell>
          <cell r="N799" t="str">
            <v>C</v>
          </cell>
          <cell r="O799">
            <v>24090210</v>
          </cell>
          <cell r="P799" t="str">
            <v>BORIC ACID GRAN TECH 50LB BAG</v>
          </cell>
          <cell r="Q799" t="str">
            <v>Boric Acid</v>
          </cell>
          <cell r="R799">
            <v>34.94</v>
          </cell>
          <cell r="S799">
            <v>17801.21</v>
          </cell>
        </row>
        <row r="800">
          <cell r="A800" t="str">
            <v>Budget</v>
          </cell>
          <cell r="B800">
            <v>2</v>
          </cell>
          <cell r="C800" t="str">
            <v>Domestic</v>
          </cell>
          <cell r="D800">
            <v>1</v>
          </cell>
          <cell r="E800">
            <v>7483</v>
          </cell>
          <cell r="F800" t="str">
            <v>NORTHERN CALIFORNIA PWR AGENCY</v>
          </cell>
          <cell r="G800" t="str">
            <v>D</v>
          </cell>
          <cell r="H800" t="str">
            <v>MIDDLETOWN</v>
          </cell>
          <cell r="I800" t="str">
            <v>CA</v>
          </cell>
          <cell r="J800" t="str">
            <v>USA</v>
          </cell>
          <cell r="K800" t="str">
            <v>UNIVAR USA</v>
          </cell>
          <cell r="L800" t="str">
            <v>CA</v>
          </cell>
          <cell r="M800" t="str">
            <v>USA</v>
          </cell>
          <cell r="N800" t="str">
            <v>D</v>
          </cell>
          <cell r="O800">
            <v>30210110</v>
          </cell>
          <cell r="P800" t="str">
            <v>SODA ASH DENSE 50LB BAG</v>
          </cell>
          <cell r="Q800" t="str">
            <v>Soda Ash</v>
          </cell>
          <cell r="R800">
            <v>6.99</v>
          </cell>
          <cell r="S800">
            <v>963.09</v>
          </cell>
        </row>
        <row r="801">
          <cell r="A801" t="str">
            <v>Budget</v>
          </cell>
          <cell r="B801">
            <v>2</v>
          </cell>
          <cell r="C801" t="str">
            <v>Domestic</v>
          </cell>
          <cell r="D801">
            <v>1</v>
          </cell>
          <cell r="E801">
            <v>7684</v>
          </cell>
          <cell r="F801" t="str">
            <v>BASIC FOODS</v>
          </cell>
          <cell r="G801" t="str">
            <v>D</v>
          </cell>
          <cell r="H801" t="str">
            <v>N. LAS VEGAS</v>
          </cell>
          <cell r="I801" t="str">
            <v>NV</v>
          </cell>
          <cell r="J801" t="str">
            <v>USA</v>
          </cell>
          <cell r="K801" t="str">
            <v>BRENNTAG WEST, INC.</v>
          </cell>
          <cell r="L801" t="str">
            <v>CA</v>
          </cell>
          <cell r="M801" t="str">
            <v>USA</v>
          </cell>
          <cell r="N801" t="str">
            <v>D</v>
          </cell>
          <cell r="O801">
            <v>30210100</v>
          </cell>
          <cell r="P801" t="str">
            <v>SODA ASH DENSE BULK</v>
          </cell>
          <cell r="Q801" t="str">
            <v>Soda Ash</v>
          </cell>
          <cell r="R801">
            <v>106.42</v>
          </cell>
          <cell r="S801">
            <v>8801.7199999999993</v>
          </cell>
        </row>
        <row r="802">
          <cell r="A802" t="str">
            <v>Budget</v>
          </cell>
          <cell r="B802">
            <v>2</v>
          </cell>
          <cell r="C802" t="str">
            <v>Domestic</v>
          </cell>
          <cell r="D802">
            <v>1</v>
          </cell>
          <cell r="E802">
            <v>7780</v>
          </cell>
          <cell r="F802" t="str">
            <v>LORBER INDUSTRIES</v>
          </cell>
          <cell r="G802" t="str">
            <v>D</v>
          </cell>
          <cell r="H802" t="str">
            <v>GARDENA</v>
          </cell>
          <cell r="I802" t="str">
            <v>CA</v>
          </cell>
          <cell r="J802" t="str">
            <v>USA</v>
          </cell>
          <cell r="K802" t="str">
            <v>UNIVAR USA</v>
          </cell>
          <cell r="L802" t="str">
            <v>CA</v>
          </cell>
          <cell r="M802" t="str">
            <v>USA</v>
          </cell>
          <cell r="N802" t="str">
            <v>D</v>
          </cell>
          <cell r="O802">
            <v>40060410</v>
          </cell>
          <cell r="P802" t="str">
            <v>SODIUM SULFATE STD 50LB BAG</v>
          </cell>
          <cell r="Q802" t="str">
            <v>Sodium Sulfate</v>
          </cell>
          <cell r="R802">
            <v>60.22</v>
          </cell>
          <cell r="S802">
            <v>9936.07</v>
          </cell>
        </row>
        <row r="803">
          <cell r="A803" t="str">
            <v>Budget</v>
          </cell>
          <cell r="B803">
            <v>2</v>
          </cell>
          <cell r="C803" t="str">
            <v>Domestic</v>
          </cell>
          <cell r="D803">
            <v>1</v>
          </cell>
          <cell r="E803">
            <v>7832</v>
          </cell>
          <cell r="F803" t="str">
            <v>ANACHEMIA SCIENCE</v>
          </cell>
          <cell r="G803" t="str">
            <v>D</v>
          </cell>
          <cell r="H803" t="str">
            <v>SPARKS</v>
          </cell>
          <cell r="I803" t="str">
            <v>NV</v>
          </cell>
          <cell r="J803" t="str">
            <v>USA</v>
          </cell>
          <cell r="K803" t="str">
            <v>UNIVAR USA</v>
          </cell>
          <cell r="L803" t="str">
            <v>CA</v>
          </cell>
          <cell r="M803" t="str">
            <v>USA</v>
          </cell>
          <cell r="N803" t="str">
            <v>D</v>
          </cell>
          <cell r="O803">
            <v>20060210</v>
          </cell>
          <cell r="P803" t="str">
            <v>PYROBOR 50LB BAG (002)</v>
          </cell>
          <cell r="Q803" t="str">
            <v>Pyrobor</v>
          </cell>
          <cell r="R803">
            <v>6.21</v>
          </cell>
          <cell r="S803">
            <v>4949.75</v>
          </cell>
        </row>
        <row r="804">
          <cell r="A804" t="str">
            <v>Budget</v>
          </cell>
          <cell r="B804">
            <v>2</v>
          </cell>
          <cell r="C804" t="str">
            <v>Domestic</v>
          </cell>
          <cell r="D804">
            <v>1</v>
          </cell>
          <cell r="E804">
            <v>7832</v>
          </cell>
          <cell r="F804" t="str">
            <v>ANACHEMIA SCIENCE</v>
          </cell>
          <cell r="G804" t="str">
            <v>D</v>
          </cell>
          <cell r="H804" t="str">
            <v>SPARKS</v>
          </cell>
          <cell r="I804" t="str">
            <v>NV</v>
          </cell>
          <cell r="J804" t="str">
            <v>USA</v>
          </cell>
          <cell r="K804" t="str">
            <v>UNIVAR USA</v>
          </cell>
          <cell r="L804" t="str">
            <v>CA</v>
          </cell>
          <cell r="M804" t="str">
            <v>USA</v>
          </cell>
          <cell r="N804" t="str">
            <v>D</v>
          </cell>
          <cell r="O804">
            <v>30210110</v>
          </cell>
          <cell r="P804" t="str">
            <v>SODA ASH DENSE 50LB BAG</v>
          </cell>
          <cell r="Q804" t="str">
            <v>Soda Ash</v>
          </cell>
          <cell r="R804">
            <v>11.45</v>
          </cell>
          <cell r="S804">
            <v>1700.14</v>
          </cell>
        </row>
        <row r="805">
          <cell r="A805" t="str">
            <v>Budget</v>
          </cell>
          <cell r="B805">
            <v>2</v>
          </cell>
          <cell r="C805" t="str">
            <v>Domestic</v>
          </cell>
          <cell r="D805">
            <v>1</v>
          </cell>
          <cell r="E805">
            <v>7939</v>
          </cell>
          <cell r="F805" t="str">
            <v>G.P. GYPSUM</v>
          </cell>
          <cell r="G805" t="str">
            <v>D</v>
          </cell>
          <cell r="H805" t="str">
            <v>ANTIOCH</v>
          </cell>
          <cell r="I805" t="str">
            <v>CA</v>
          </cell>
          <cell r="J805" t="str">
            <v>USA</v>
          </cell>
          <cell r="K805" t="str">
            <v>UNIVAR USA</v>
          </cell>
          <cell r="L805" t="str">
            <v>CA</v>
          </cell>
          <cell r="M805" t="str">
            <v>USA</v>
          </cell>
          <cell r="N805" t="str">
            <v>D</v>
          </cell>
          <cell r="O805">
            <v>24090250</v>
          </cell>
          <cell r="P805" t="str">
            <v>BORIC ACID GRAN TECH 1TN FIBC</v>
          </cell>
          <cell r="Q805" t="str">
            <v>Boric Acid</v>
          </cell>
          <cell r="R805">
            <v>10.46</v>
          </cell>
          <cell r="S805">
            <v>6009.09</v>
          </cell>
        </row>
        <row r="806">
          <cell r="A806" t="str">
            <v>Budget</v>
          </cell>
          <cell r="B806">
            <v>2</v>
          </cell>
          <cell r="C806" t="str">
            <v>Domestic</v>
          </cell>
          <cell r="D806">
            <v>1</v>
          </cell>
          <cell r="E806">
            <v>7984</v>
          </cell>
          <cell r="F806" t="str">
            <v>WESTCO CHEMICALS, INC.</v>
          </cell>
          <cell r="G806" t="str">
            <v>D</v>
          </cell>
          <cell r="H806" t="str">
            <v>NORTH HOLLYWOOD</v>
          </cell>
          <cell r="I806" t="str">
            <v>CA</v>
          </cell>
          <cell r="J806" t="str">
            <v>USA</v>
          </cell>
          <cell r="K806" t="str">
            <v>WESTCO CHEMICALS, INC.</v>
          </cell>
          <cell r="L806" t="str">
            <v>CA</v>
          </cell>
          <cell r="M806" t="str">
            <v>USA</v>
          </cell>
          <cell r="N806" t="str">
            <v>D</v>
          </cell>
          <cell r="O806">
            <v>40060410</v>
          </cell>
          <cell r="P806" t="str">
            <v>SODIUM SULFATE STD 50LB BAG</v>
          </cell>
          <cell r="Q806" t="str">
            <v>Sodium Sulfate</v>
          </cell>
          <cell r="R806">
            <v>3.57</v>
          </cell>
          <cell r="S806">
            <v>687.73</v>
          </cell>
        </row>
        <row r="807">
          <cell r="A807" t="str">
            <v>Budget</v>
          </cell>
          <cell r="B807">
            <v>2</v>
          </cell>
          <cell r="C807" t="str">
            <v>Domestic</v>
          </cell>
          <cell r="D807">
            <v>1</v>
          </cell>
          <cell r="E807">
            <v>8135</v>
          </cell>
          <cell r="F807" t="str">
            <v>PACIFIC CONTINENTAL TEXTILE</v>
          </cell>
          <cell r="G807" t="str">
            <v>D</v>
          </cell>
          <cell r="H807" t="str">
            <v>COMPTON</v>
          </cell>
          <cell r="I807" t="str">
            <v>CA</v>
          </cell>
          <cell r="J807" t="str">
            <v>USA</v>
          </cell>
          <cell r="K807" t="str">
            <v>BRENNTAG WEST, INC.</v>
          </cell>
          <cell r="L807" t="str">
            <v>CA</v>
          </cell>
          <cell r="M807" t="str">
            <v>USA</v>
          </cell>
          <cell r="N807" t="str">
            <v>D</v>
          </cell>
          <cell r="O807">
            <v>40150410</v>
          </cell>
          <cell r="P807" t="str">
            <v>SODIUM SULFATE CRS 50LB BAG</v>
          </cell>
          <cell r="Q807" t="str">
            <v>Sodium Sulfate</v>
          </cell>
          <cell r="R807">
            <v>26.35</v>
          </cell>
          <cell r="S807">
            <v>4610.4799999999996</v>
          </cell>
        </row>
        <row r="808">
          <cell r="A808" t="str">
            <v>Budget</v>
          </cell>
          <cell r="B808">
            <v>2</v>
          </cell>
          <cell r="C808" t="str">
            <v>Domestic</v>
          </cell>
          <cell r="D808">
            <v>1</v>
          </cell>
          <cell r="E808">
            <v>8173</v>
          </cell>
          <cell r="F808" t="str">
            <v>CHEM LAB PRODUCTS</v>
          </cell>
          <cell r="G808" t="str">
            <v>D</v>
          </cell>
          <cell r="H808" t="str">
            <v>ONTARIO</v>
          </cell>
          <cell r="I808" t="str">
            <v>CA</v>
          </cell>
          <cell r="J808" t="str">
            <v>USA</v>
          </cell>
          <cell r="K808" t="str">
            <v>BRENNTAG WEST, INC.</v>
          </cell>
          <cell r="L808" t="str">
            <v>CA</v>
          </cell>
          <cell r="M808" t="str">
            <v>USA</v>
          </cell>
          <cell r="N808" t="str">
            <v>D</v>
          </cell>
          <cell r="O808">
            <v>24090250</v>
          </cell>
          <cell r="P808" t="str">
            <v>BORIC ACID GRAN TECH 1TN FIBC</v>
          </cell>
          <cell r="Q808" t="str">
            <v>Boric Acid</v>
          </cell>
          <cell r="R808">
            <v>27.89</v>
          </cell>
          <cell r="S808">
            <v>17447.03</v>
          </cell>
        </row>
        <row r="809">
          <cell r="A809" t="str">
            <v>Budget</v>
          </cell>
          <cell r="B809">
            <v>2</v>
          </cell>
          <cell r="C809" t="str">
            <v>Domestic</v>
          </cell>
          <cell r="D809">
            <v>1</v>
          </cell>
          <cell r="E809">
            <v>8173</v>
          </cell>
          <cell r="F809" t="str">
            <v>CHEM LAB PRODUCTS</v>
          </cell>
          <cell r="G809" t="str">
            <v>D</v>
          </cell>
          <cell r="H809" t="str">
            <v>ONTARIO</v>
          </cell>
          <cell r="I809" t="str">
            <v>CA</v>
          </cell>
          <cell r="J809" t="str">
            <v>USA</v>
          </cell>
          <cell r="K809" t="str">
            <v>BRENNTAG WEST, INC.</v>
          </cell>
          <cell r="L809" t="str">
            <v>CA</v>
          </cell>
          <cell r="M809" t="str">
            <v>USA</v>
          </cell>
          <cell r="N809" t="str">
            <v>D</v>
          </cell>
          <cell r="O809">
            <v>30210150</v>
          </cell>
          <cell r="P809" t="str">
            <v>SODA ASH DENSE 1TN FIBC</v>
          </cell>
          <cell r="Q809" t="str">
            <v>Soda Ash</v>
          </cell>
          <cell r="R809">
            <v>15.85</v>
          </cell>
          <cell r="S809">
            <v>2749.45</v>
          </cell>
        </row>
        <row r="810">
          <cell r="A810" t="str">
            <v>Budget</v>
          </cell>
          <cell r="B810">
            <v>2</v>
          </cell>
          <cell r="C810" t="str">
            <v>Domestic</v>
          </cell>
          <cell r="D810">
            <v>1</v>
          </cell>
          <cell r="E810">
            <v>8219</v>
          </cell>
          <cell r="F810" t="str">
            <v>UNIVAR USA</v>
          </cell>
          <cell r="G810" t="str">
            <v>D</v>
          </cell>
          <cell r="H810" t="str">
            <v>NATIONAL CITY</v>
          </cell>
          <cell r="I810" t="str">
            <v>CA</v>
          </cell>
          <cell r="J810" t="str">
            <v>USA</v>
          </cell>
          <cell r="K810" t="str">
            <v>UNIVAR USA</v>
          </cell>
          <cell r="L810" t="str">
            <v>CA</v>
          </cell>
          <cell r="M810" t="str">
            <v>USA</v>
          </cell>
          <cell r="N810" t="str">
            <v>D</v>
          </cell>
          <cell r="O810">
            <v>30210110</v>
          </cell>
          <cell r="P810" t="str">
            <v>SODA ASH DENSE 50LB BAG</v>
          </cell>
          <cell r="Q810" t="str">
            <v>Soda Ash</v>
          </cell>
          <cell r="R810">
            <v>10.48</v>
          </cell>
          <cell r="S810">
            <v>1322.3</v>
          </cell>
        </row>
        <row r="811">
          <cell r="A811" t="str">
            <v>Budget</v>
          </cell>
          <cell r="B811">
            <v>2</v>
          </cell>
          <cell r="C811" t="str">
            <v>Domestic</v>
          </cell>
          <cell r="D811">
            <v>1</v>
          </cell>
          <cell r="E811">
            <v>8220</v>
          </cell>
          <cell r="F811" t="str">
            <v>NEVADA POWER COMPANY</v>
          </cell>
          <cell r="G811" t="str">
            <v>D</v>
          </cell>
          <cell r="H811" t="str">
            <v>MOAPA</v>
          </cell>
          <cell r="I811" t="str">
            <v>NV</v>
          </cell>
          <cell r="J811" t="str">
            <v>USA</v>
          </cell>
          <cell r="K811" t="str">
            <v>NEVADA POWER COMPANY</v>
          </cell>
          <cell r="L811" t="str">
            <v>NV</v>
          </cell>
          <cell r="M811" t="str">
            <v>USA</v>
          </cell>
          <cell r="N811" t="str">
            <v>C</v>
          </cell>
          <cell r="O811">
            <v>30210100</v>
          </cell>
          <cell r="P811" t="str">
            <v>SODA ASH DENSE BULK</v>
          </cell>
          <cell r="Q811" t="str">
            <v>Soda Ash</v>
          </cell>
          <cell r="R811">
            <v>1187.54</v>
          </cell>
          <cell r="S811">
            <v>89362.3</v>
          </cell>
        </row>
        <row r="812">
          <cell r="A812" t="str">
            <v>Budget</v>
          </cell>
          <cell r="B812">
            <v>2</v>
          </cell>
          <cell r="C812" t="str">
            <v>Domestic</v>
          </cell>
          <cell r="D812">
            <v>1</v>
          </cell>
          <cell r="E812">
            <v>8221</v>
          </cell>
          <cell r="F812" t="str">
            <v>NEVADA POWER COMPANY</v>
          </cell>
          <cell r="G812" t="str">
            <v>D</v>
          </cell>
          <cell r="H812" t="str">
            <v>MOAPA</v>
          </cell>
          <cell r="I812" t="str">
            <v>NV</v>
          </cell>
          <cell r="J812" t="str">
            <v>USA</v>
          </cell>
          <cell r="K812" t="str">
            <v>NEVADA POWER COMPANY</v>
          </cell>
          <cell r="L812" t="str">
            <v>NV</v>
          </cell>
          <cell r="M812" t="str">
            <v>USA</v>
          </cell>
          <cell r="N812" t="str">
            <v>C</v>
          </cell>
          <cell r="O812">
            <v>30210100</v>
          </cell>
          <cell r="P812" t="str">
            <v>SODA ASH DENSE BULK</v>
          </cell>
          <cell r="Q812" t="str">
            <v>Soda Ash</v>
          </cell>
          <cell r="R812">
            <v>275.66000000000003</v>
          </cell>
          <cell r="S812">
            <v>20809.939999999999</v>
          </cell>
        </row>
        <row r="813">
          <cell r="A813" t="str">
            <v>Budget</v>
          </cell>
          <cell r="B813">
            <v>2</v>
          </cell>
          <cell r="C813" t="str">
            <v>Domestic</v>
          </cell>
          <cell r="D813">
            <v>1</v>
          </cell>
          <cell r="E813">
            <v>8229</v>
          </cell>
          <cell r="F813" t="str">
            <v>SOUTHERN CALIFORNIA EDISON</v>
          </cell>
          <cell r="G813" t="str">
            <v>D</v>
          </cell>
          <cell r="H813" t="str">
            <v>LAUGHLIN</v>
          </cell>
          <cell r="I813" t="str">
            <v>NV</v>
          </cell>
          <cell r="J813" t="str">
            <v>USA</v>
          </cell>
          <cell r="K813" t="str">
            <v>UNIVAR USA</v>
          </cell>
          <cell r="L813" t="str">
            <v>CA</v>
          </cell>
          <cell r="M813" t="str">
            <v>USA</v>
          </cell>
          <cell r="N813" t="str">
            <v>D</v>
          </cell>
          <cell r="O813">
            <v>30210100</v>
          </cell>
          <cell r="P813" t="str">
            <v>SODA ASH DENSE BULK</v>
          </cell>
          <cell r="Q813" t="str">
            <v>Soda Ash</v>
          </cell>
          <cell r="R813">
            <v>163.51</v>
          </cell>
          <cell r="S813">
            <v>15947.22</v>
          </cell>
        </row>
        <row r="814">
          <cell r="A814" t="str">
            <v>Budget</v>
          </cell>
          <cell r="B814">
            <v>2</v>
          </cell>
          <cell r="C814" t="str">
            <v>Domestic</v>
          </cell>
          <cell r="D814">
            <v>1</v>
          </cell>
          <cell r="E814">
            <v>8321</v>
          </cell>
          <cell r="F814" t="str">
            <v>GEORGIA PACIFIC</v>
          </cell>
          <cell r="G814" t="str">
            <v>D</v>
          </cell>
          <cell r="H814" t="str">
            <v>N LAS VEGAS</v>
          </cell>
          <cell r="I814" t="str">
            <v>NV</v>
          </cell>
          <cell r="J814" t="str">
            <v>USA</v>
          </cell>
          <cell r="K814" t="str">
            <v>UNIVAR USA</v>
          </cell>
          <cell r="L814" t="str">
            <v>CA</v>
          </cell>
          <cell r="M814" t="str">
            <v>USA</v>
          </cell>
          <cell r="N814" t="str">
            <v>D</v>
          </cell>
          <cell r="O814">
            <v>24090253</v>
          </cell>
          <cell r="P814" t="str">
            <v>BORIC ACID GRN TCH 2500LB FIBC</v>
          </cell>
          <cell r="Q814" t="str">
            <v>Boric Acid</v>
          </cell>
          <cell r="R814">
            <v>10.7</v>
          </cell>
          <cell r="S814">
            <v>6159.41</v>
          </cell>
        </row>
        <row r="815">
          <cell r="A815" t="str">
            <v>Budget</v>
          </cell>
          <cell r="B815">
            <v>2</v>
          </cell>
          <cell r="C815" t="str">
            <v>Domestic</v>
          </cell>
          <cell r="D815">
            <v>1</v>
          </cell>
          <cell r="E815">
            <v>8433</v>
          </cell>
          <cell r="F815" t="str">
            <v>BRENNTAG WEST</v>
          </cell>
          <cell r="G815" t="str">
            <v>D</v>
          </cell>
          <cell r="H815" t="str">
            <v>CHULA VISTA</v>
          </cell>
          <cell r="I815" t="str">
            <v>CA</v>
          </cell>
          <cell r="J815" t="str">
            <v>USA</v>
          </cell>
          <cell r="K815" t="str">
            <v>BRENNTAG WEST, INC.</v>
          </cell>
          <cell r="L815" t="str">
            <v>CA</v>
          </cell>
          <cell r="M815" t="str">
            <v>USA</v>
          </cell>
          <cell r="N815" t="str">
            <v>D</v>
          </cell>
          <cell r="O815">
            <v>30210110</v>
          </cell>
          <cell r="P815" t="str">
            <v>SODA ASH DENSE 50LB BAG</v>
          </cell>
          <cell r="Q815" t="str">
            <v>Soda Ash</v>
          </cell>
          <cell r="R815">
            <v>41.93</v>
          </cell>
          <cell r="S815">
            <v>6362.63</v>
          </cell>
        </row>
        <row r="816">
          <cell r="A816" t="str">
            <v>Budget</v>
          </cell>
          <cell r="B816">
            <v>2</v>
          </cell>
          <cell r="C816" t="str">
            <v>Domestic</v>
          </cell>
          <cell r="D816">
            <v>1</v>
          </cell>
          <cell r="E816">
            <v>8493</v>
          </cell>
          <cell r="F816" t="str">
            <v>LORBER INDUSTRIES</v>
          </cell>
          <cell r="G816" t="str">
            <v>D</v>
          </cell>
          <cell r="H816" t="str">
            <v>GARDENA</v>
          </cell>
          <cell r="I816" t="str">
            <v>CA</v>
          </cell>
          <cell r="J816" t="str">
            <v>USA</v>
          </cell>
          <cell r="K816" t="str">
            <v>BRENNTAG WEST, INC.</v>
          </cell>
          <cell r="L816" t="str">
            <v>CA</v>
          </cell>
          <cell r="M816" t="str">
            <v>USA</v>
          </cell>
          <cell r="N816" t="str">
            <v>D</v>
          </cell>
          <cell r="O816">
            <v>40150410</v>
          </cell>
          <cell r="P816" t="str">
            <v>SODIUM SULFATE CRS 50LB BAG</v>
          </cell>
          <cell r="Q816" t="str">
            <v>Sodium Sulfate</v>
          </cell>
          <cell r="R816">
            <v>22.58</v>
          </cell>
          <cell r="S816">
            <v>3726.02</v>
          </cell>
        </row>
        <row r="817">
          <cell r="A817" t="str">
            <v>Budget</v>
          </cell>
          <cell r="B817">
            <v>2</v>
          </cell>
          <cell r="C817" t="str">
            <v>Domestic</v>
          </cell>
          <cell r="D817">
            <v>1</v>
          </cell>
          <cell r="E817">
            <v>8495</v>
          </cell>
          <cell r="F817" t="str">
            <v>SWISSTEX</v>
          </cell>
          <cell r="G817" t="str">
            <v>D</v>
          </cell>
          <cell r="H817" t="str">
            <v>LOS ANGELES</v>
          </cell>
          <cell r="I817" t="str">
            <v>CA</v>
          </cell>
          <cell r="J817" t="str">
            <v>USA</v>
          </cell>
          <cell r="K817" t="str">
            <v>BRENNTAG WEST, INC.</v>
          </cell>
          <cell r="L817" t="str">
            <v>CA</v>
          </cell>
          <cell r="M817" t="str">
            <v>USA</v>
          </cell>
          <cell r="N817" t="str">
            <v>D</v>
          </cell>
          <cell r="O817">
            <v>40150410</v>
          </cell>
          <cell r="P817" t="str">
            <v>SODIUM SULFATE CRS 50LB BAG</v>
          </cell>
          <cell r="Q817" t="str">
            <v>Sodium Sulfate</v>
          </cell>
          <cell r="R817">
            <v>207</v>
          </cell>
          <cell r="S817">
            <v>39330.26</v>
          </cell>
        </row>
        <row r="818">
          <cell r="A818" t="str">
            <v>Budget</v>
          </cell>
          <cell r="B818">
            <v>2</v>
          </cell>
          <cell r="C818" t="str">
            <v>Domestic</v>
          </cell>
          <cell r="D818">
            <v>1</v>
          </cell>
          <cell r="E818">
            <v>8498</v>
          </cell>
          <cell r="F818" t="str">
            <v>E &amp; J DYE</v>
          </cell>
          <cell r="G818" t="str">
            <v>D</v>
          </cell>
          <cell r="H818" t="str">
            <v>HAWTHORNE</v>
          </cell>
          <cell r="I818" t="str">
            <v>CA</v>
          </cell>
          <cell r="J818" t="str">
            <v>USA</v>
          </cell>
          <cell r="K818" t="str">
            <v>BRENNTAG WEST, INC.</v>
          </cell>
          <cell r="L818" t="str">
            <v>CA</v>
          </cell>
          <cell r="M818" t="str">
            <v>USA</v>
          </cell>
          <cell r="N818" t="str">
            <v>D</v>
          </cell>
          <cell r="O818">
            <v>40150410</v>
          </cell>
          <cell r="P818" t="str">
            <v>SODIUM SULFATE CRS 50LB BAG</v>
          </cell>
          <cell r="Q818" t="str">
            <v>Sodium Sulfate</v>
          </cell>
          <cell r="R818">
            <v>37.44</v>
          </cell>
          <cell r="S818">
            <v>6851.25</v>
          </cell>
        </row>
        <row r="819">
          <cell r="A819" t="str">
            <v>Budget</v>
          </cell>
          <cell r="B819">
            <v>2</v>
          </cell>
          <cell r="C819" t="str">
            <v>Domestic</v>
          </cell>
          <cell r="D819">
            <v>1</v>
          </cell>
          <cell r="E819">
            <v>8569</v>
          </cell>
          <cell r="F819" t="str">
            <v>CHEMCOR CHEMICAL CORP</v>
          </cell>
          <cell r="G819" t="str">
            <v>D</v>
          </cell>
          <cell r="H819" t="str">
            <v>CHINO</v>
          </cell>
          <cell r="I819" t="str">
            <v>CA</v>
          </cell>
          <cell r="J819" t="str">
            <v>USA</v>
          </cell>
          <cell r="K819" t="str">
            <v>CHEMCOR CHEMICAL CORP</v>
          </cell>
          <cell r="L819" t="str">
            <v>CA</v>
          </cell>
          <cell r="M819" t="str">
            <v>USA</v>
          </cell>
          <cell r="N819" t="str">
            <v>D</v>
          </cell>
          <cell r="O819">
            <v>23060210</v>
          </cell>
          <cell r="P819" t="str">
            <v>DECA BORAX STD 50LB BAG</v>
          </cell>
          <cell r="Q819" t="str">
            <v>Deca</v>
          </cell>
          <cell r="R819">
            <v>2.33</v>
          </cell>
          <cell r="S819">
            <v>913.58</v>
          </cell>
        </row>
        <row r="820">
          <cell r="A820" t="str">
            <v>Budget</v>
          </cell>
          <cell r="B820">
            <v>2</v>
          </cell>
          <cell r="C820" t="str">
            <v>Domestic</v>
          </cell>
          <cell r="D820">
            <v>1</v>
          </cell>
          <cell r="E820">
            <v>8569</v>
          </cell>
          <cell r="F820" t="str">
            <v>CHEMCOR CHEMICAL CORP</v>
          </cell>
          <cell r="G820" t="str">
            <v>D</v>
          </cell>
          <cell r="H820" t="str">
            <v>CHINO</v>
          </cell>
          <cell r="I820" t="str">
            <v>CA</v>
          </cell>
          <cell r="J820" t="str">
            <v>USA</v>
          </cell>
          <cell r="K820" t="str">
            <v>CHEMCOR CHEMICAL CORP</v>
          </cell>
          <cell r="L820" t="str">
            <v>CA</v>
          </cell>
          <cell r="M820" t="str">
            <v>USA</v>
          </cell>
          <cell r="N820" t="str">
            <v>D</v>
          </cell>
          <cell r="O820">
            <v>30210110</v>
          </cell>
          <cell r="P820" t="str">
            <v>SODA ASH DENSE 50LB BAG</v>
          </cell>
          <cell r="Q820" t="str">
            <v>Soda Ash</v>
          </cell>
          <cell r="R820">
            <v>18.440000000000001</v>
          </cell>
          <cell r="S820">
            <v>2501.46</v>
          </cell>
        </row>
        <row r="821">
          <cell r="A821" t="str">
            <v>Budget</v>
          </cell>
          <cell r="B821">
            <v>2</v>
          </cell>
          <cell r="C821" t="str">
            <v>Domestic</v>
          </cell>
          <cell r="D821">
            <v>1</v>
          </cell>
          <cell r="E821">
            <v>8569</v>
          </cell>
          <cell r="F821" t="str">
            <v>CHEMCOR CHEMICAL CORP</v>
          </cell>
          <cell r="G821" t="str">
            <v>D</v>
          </cell>
          <cell r="H821" t="str">
            <v>CHINO</v>
          </cell>
          <cell r="I821" t="str">
            <v>CA</v>
          </cell>
          <cell r="J821" t="str">
            <v>USA</v>
          </cell>
          <cell r="K821" t="str">
            <v>CHEMCOR CHEMICAL CORP</v>
          </cell>
          <cell r="L821" t="str">
            <v>CA</v>
          </cell>
          <cell r="M821" t="str">
            <v>USA</v>
          </cell>
          <cell r="N821" t="str">
            <v>D</v>
          </cell>
          <cell r="O821">
            <v>40070410</v>
          </cell>
          <cell r="P821" t="str">
            <v>SODIUM SULFATE MEDIUM 50LB BAG</v>
          </cell>
          <cell r="Q821" t="str">
            <v>Sodium Sulfate</v>
          </cell>
          <cell r="R821">
            <v>1.19</v>
          </cell>
          <cell r="S821">
            <v>216.21</v>
          </cell>
        </row>
        <row r="822">
          <cell r="A822" t="str">
            <v>Budget</v>
          </cell>
          <cell r="B822">
            <v>2</v>
          </cell>
          <cell r="C822" t="str">
            <v>Domestic</v>
          </cell>
          <cell r="D822">
            <v>1</v>
          </cell>
          <cell r="E822">
            <v>8569</v>
          </cell>
          <cell r="F822" t="str">
            <v>CHEMCOR CHEMICAL CORP</v>
          </cell>
          <cell r="G822" t="str">
            <v>D</v>
          </cell>
          <cell r="H822" t="str">
            <v>CHINO</v>
          </cell>
          <cell r="I822" t="str">
            <v>CA</v>
          </cell>
          <cell r="J822" t="str">
            <v>USA</v>
          </cell>
          <cell r="K822" t="str">
            <v>CHEMCOR CHEMICAL CORP</v>
          </cell>
          <cell r="L822" t="str">
            <v>CA</v>
          </cell>
          <cell r="M822" t="str">
            <v>USA</v>
          </cell>
          <cell r="N822" t="str">
            <v>D</v>
          </cell>
          <cell r="O822">
            <v>40150410</v>
          </cell>
          <cell r="P822" t="str">
            <v>SODIUM SULFATE CRS 50LB BAG</v>
          </cell>
          <cell r="Q822" t="str">
            <v>Sodium Sulfate</v>
          </cell>
          <cell r="R822">
            <v>9.7100000000000009</v>
          </cell>
          <cell r="S822">
            <v>1769.32</v>
          </cell>
        </row>
        <row r="823">
          <cell r="A823" t="str">
            <v>Budget</v>
          </cell>
          <cell r="B823">
            <v>2</v>
          </cell>
          <cell r="C823" t="str">
            <v>Domestic</v>
          </cell>
          <cell r="D823">
            <v>1</v>
          </cell>
          <cell r="E823">
            <v>8621</v>
          </cell>
          <cell r="F823" t="str">
            <v>ALSTYLE DYEING &amp; FINISHING</v>
          </cell>
          <cell r="G823" t="str">
            <v>D</v>
          </cell>
          <cell r="H823" t="str">
            <v>ANAHEIM</v>
          </cell>
          <cell r="I823" t="str">
            <v>CA</v>
          </cell>
          <cell r="J823" t="str">
            <v>USA</v>
          </cell>
          <cell r="K823" t="str">
            <v>BRENNTAG WEST, INC.</v>
          </cell>
          <cell r="L823" t="str">
            <v>CA</v>
          </cell>
          <cell r="M823" t="str">
            <v>USA</v>
          </cell>
          <cell r="N823" t="str">
            <v>D</v>
          </cell>
          <cell r="O823">
            <v>40150410</v>
          </cell>
          <cell r="P823" t="str">
            <v>SODIUM SULFATE CRS 50LB BAG</v>
          </cell>
          <cell r="Q823" t="str">
            <v>Sodium Sulfate</v>
          </cell>
          <cell r="R823">
            <v>500.57</v>
          </cell>
          <cell r="S823">
            <v>78615.360000000001</v>
          </cell>
        </row>
        <row r="824">
          <cell r="A824" t="str">
            <v>Budget</v>
          </cell>
          <cell r="B824">
            <v>2</v>
          </cell>
          <cell r="C824" t="str">
            <v>Domestic</v>
          </cell>
          <cell r="D824">
            <v>1</v>
          </cell>
          <cell r="E824">
            <v>8682</v>
          </cell>
          <cell r="F824" t="str">
            <v>CITY OF LAS VEGAS</v>
          </cell>
          <cell r="G824" t="str">
            <v>D</v>
          </cell>
          <cell r="H824" t="str">
            <v>LAS VEGAS</v>
          </cell>
          <cell r="I824" t="str">
            <v>NV</v>
          </cell>
          <cell r="J824" t="str">
            <v>USA</v>
          </cell>
          <cell r="K824" t="str">
            <v>BRENNTAG WEST, INC.</v>
          </cell>
          <cell r="L824" t="str">
            <v>CA</v>
          </cell>
          <cell r="M824" t="str">
            <v>USA</v>
          </cell>
          <cell r="N824" t="str">
            <v>D</v>
          </cell>
          <cell r="O824">
            <v>30210100</v>
          </cell>
          <cell r="P824" t="str">
            <v>SODA ASH DENSE BULK</v>
          </cell>
          <cell r="Q824" t="str">
            <v>Soda Ash</v>
          </cell>
          <cell r="R824">
            <v>88.5</v>
          </cell>
          <cell r="S824">
            <v>7575.6</v>
          </cell>
        </row>
        <row r="825">
          <cell r="A825" t="str">
            <v>Budget</v>
          </cell>
          <cell r="B825">
            <v>2</v>
          </cell>
          <cell r="C825" t="str">
            <v>Domestic</v>
          </cell>
          <cell r="D825">
            <v>1</v>
          </cell>
          <cell r="E825">
            <v>8683</v>
          </cell>
          <cell r="F825" t="str">
            <v>CITY OF LAS VEGAS</v>
          </cell>
          <cell r="G825" t="str">
            <v>D</v>
          </cell>
          <cell r="H825" t="str">
            <v>LAS VEGAS</v>
          </cell>
          <cell r="I825" t="str">
            <v>NV</v>
          </cell>
          <cell r="J825" t="str">
            <v>USA</v>
          </cell>
          <cell r="K825" t="str">
            <v>BRENNTAG WEST, INC.</v>
          </cell>
          <cell r="L825" t="str">
            <v>CA</v>
          </cell>
          <cell r="M825" t="str">
            <v>USA</v>
          </cell>
          <cell r="N825" t="str">
            <v>D</v>
          </cell>
          <cell r="O825">
            <v>30210100</v>
          </cell>
          <cell r="P825" t="str">
            <v>SODA ASH DENSE BULK</v>
          </cell>
          <cell r="Q825" t="str">
            <v>Soda Ash</v>
          </cell>
          <cell r="R825">
            <v>89.08</v>
          </cell>
          <cell r="S825">
            <v>7616.63</v>
          </cell>
        </row>
        <row r="826">
          <cell r="A826" t="str">
            <v>Budget</v>
          </cell>
          <cell r="B826">
            <v>2</v>
          </cell>
          <cell r="C826" t="str">
            <v>Domestic</v>
          </cell>
          <cell r="D826">
            <v>1</v>
          </cell>
          <cell r="E826">
            <v>8688</v>
          </cell>
          <cell r="F826" t="str">
            <v>CALPINE CORP.</v>
          </cell>
          <cell r="G826" t="str">
            <v>D</v>
          </cell>
          <cell r="H826" t="str">
            <v>MIDDLETOWN</v>
          </cell>
          <cell r="I826" t="str">
            <v>CA</v>
          </cell>
          <cell r="J826" t="str">
            <v>USA</v>
          </cell>
          <cell r="K826" t="str">
            <v>UNIVAR USA</v>
          </cell>
          <cell r="L826" t="str">
            <v>CA</v>
          </cell>
          <cell r="M826" t="str">
            <v>USA</v>
          </cell>
          <cell r="N826" t="str">
            <v>D</v>
          </cell>
          <cell r="O826">
            <v>30210110</v>
          </cell>
          <cell r="P826" t="str">
            <v>SODA ASH DENSE 50LB BAG</v>
          </cell>
          <cell r="Q826" t="str">
            <v>Soda Ash</v>
          </cell>
          <cell r="R826">
            <v>15.53</v>
          </cell>
          <cell r="S826">
            <v>2189.12</v>
          </cell>
        </row>
        <row r="827">
          <cell r="A827" t="str">
            <v>Budget</v>
          </cell>
          <cell r="B827">
            <v>2</v>
          </cell>
          <cell r="C827" t="str">
            <v>Domestic</v>
          </cell>
          <cell r="D827">
            <v>1</v>
          </cell>
          <cell r="E827">
            <v>8749</v>
          </cell>
          <cell r="F827" t="str">
            <v>A &amp; M PRODUCTS MANUFACTURING</v>
          </cell>
          <cell r="G827" t="str">
            <v>D</v>
          </cell>
          <cell r="H827" t="str">
            <v>SPRING HILL</v>
          </cell>
          <cell r="I827" t="str">
            <v>KS</v>
          </cell>
          <cell r="J827" t="str">
            <v>USA</v>
          </cell>
          <cell r="K827" t="str">
            <v>A &amp; M PRODUCTS MANUFACTURING</v>
          </cell>
          <cell r="L827" t="str">
            <v>KS</v>
          </cell>
          <cell r="M827" t="str">
            <v>USA</v>
          </cell>
          <cell r="N827" t="str">
            <v>C</v>
          </cell>
          <cell r="O827">
            <v>22760450</v>
          </cell>
          <cell r="P827" t="str">
            <v>V-BOR PEST 1TN FIBC (004)</v>
          </cell>
          <cell r="Q827" t="str">
            <v>Penta</v>
          </cell>
          <cell r="R827">
            <v>125.51</v>
          </cell>
          <cell r="S827">
            <v>37873.230000000003</v>
          </cell>
        </row>
        <row r="828">
          <cell r="A828" t="str">
            <v>Budget</v>
          </cell>
          <cell r="B828">
            <v>2</v>
          </cell>
          <cell r="C828" t="str">
            <v>Domestic</v>
          </cell>
          <cell r="D828">
            <v>1</v>
          </cell>
          <cell r="E828">
            <v>8782</v>
          </cell>
          <cell r="F828" t="str">
            <v>BLUE CROSS LABS</v>
          </cell>
          <cell r="G828" t="str">
            <v>D</v>
          </cell>
          <cell r="H828" t="str">
            <v>SAUGUS</v>
          </cell>
          <cell r="I828" t="str">
            <v>CA</v>
          </cell>
          <cell r="J828" t="str">
            <v>USA</v>
          </cell>
          <cell r="K828" t="str">
            <v>UNIVAR USA</v>
          </cell>
          <cell r="L828" t="str">
            <v>CA</v>
          </cell>
          <cell r="M828" t="str">
            <v>USA</v>
          </cell>
          <cell r="N828" t="str">
            <v>D</v>
          </cell>
          <cell r="O828">
            <v>40060410</v>
          </cell>
          <cell r="P828" t="str">
            <v>SODIUM SULFATE STD 50LB BAG</v>
          </cell>
          <cell r="Q828" t="str">
            <v>Sodium Sulfate</v>
          </cell>
          <cell r="R828">
            <v>3.76</v>
          </cell>
          <cell r="S828">
            <v>676.33</v>
          </cell>
        </row>
        <row r="829">
          <cell r="A829" t="str">
            <v>Budget</v>
          </cell>
          <cell r="B829">
            <v>2</v>
          </cell>
          <cell r="C829" t="str">
            <v>Domestic</v>
          </cell>
          <cell r="D829">
            <v>1</v>
          </cell>
          <cell r="E829">
            <v>8862</v>
          </cell>
          <cell r="F829" t="str">
            <v>NGS MAIN WAREHOUSE</v>
          </cell>
          <cell r="G829" t="str">
            <v>D</v>
          </cell>
          <cell r="H829" t="str">
            <v>PAGE</v>
          </cell>
          <cell r="I829" t="str">
            <v>AZ</v>
          </cell>
          <cell r="J829" t="str">
            <v>USA</v>
          </cell>
          <cell r="K829" t="str">
            <v>SRP</v>
          </cell>
          <cell r="L829" t="str">
            <v>AZ</v>
          </cell>
          <cell r="M829" t="str">
            <v>USA</v>
          </cell>
          <cell r="N829" t="str">
            <v>C</v>
          </cell>
          <cell r="O829">
            <v>30210100</v>
          </cell>
          <cell r="P829" t="str">
            <v>SODA ASH DENSE BULK</v>
          </cell>
          <cell r="Q829" t="str">
            <v>Soda Ash</v>
          </cell>
          <cell r="R829">
            <v>263.75</v>
          </cell>
          <cell r="S829">
            <v>17615.86</v>
          </cell>
        </row>
        <row r="830">
          <cell r="A830" t="str">
            <v>Budget</v>
          </cell>
          <cell r="B830">
            <v>2</v>
          </cell>
          <cell r="C830" t="str">
            <v>Domestic</v>
          </cell>
          <cell r="D830">
            <v>1</v>
          </cell>
          <cell r="E830">
            <v>8901</v>
          </cell>
          <cell r="F830" t="str">
            <v>CGS MAIN WAREHOUSE</v>
          </cell>
          <cell r="G830" t="str">
            <v>D</v>
          </cell>
          <cell r="H830" t="str">
            <v>ST. JOHNS</v>
          </cell>
          <cell r="I830" t="str">
            <v>AZ</v>
          </cell>
          <cell r="J830" t="str">
            <v>USA</v>
          </cell>
          <cell r="K830" t="str">
            <v>CGS MAIN WAREHOUSE</v>
          </cell>
          <cell r="L830" t="str">
            <v>AZ</v>
          </cell>
          <cell r="M830" t="str">
            <v>USA</v>
          </cell>
          <cell r="N830" t="str">
            <v>C</v>
          </cell>
          <cell r="O830">
            <v>30210100</v>
          </cell>
          <cell r="P830" t="str">
            <v>SODA ASH DENSE BULK</v>
          </cell>
          <cell r="Q830" t="str">
            <v>Soda Ash</v>
          </cell>
          <cell r="R830">
            <v>132.56</v>
          </cell>
          <cell r="S830">
            <v>8597.85</v>
          </cell>
        </row>
        <row r="831">
          <cell r="A831" t="str">
            <v>Budget</v>
          </cell>
          <cell r="B831">
            <v>2</v>
          </cell>
          <cell r="C831" t="str">
            <v>Domestic</v>
          </cell>
          <cell r="D831">
            <v>1</v>
          </cell>
          <cell r="E831">
            <v>8906</v>
          </cell>
          <cell r="F831" t="str">
            <v>LUSEAUX LABORATORIES</v>
          </cell>
          <cell r="G831" t="str">
            <v>D</v>
          </cell>
          <cell r="H831" t="str">
            <v>KINGMAN</v>
          </cell>
          <cell r="I831" t="str">
            <v>AZ</v>
          </cell>
          <cell r="J831" t="str">
            <v>USA</v>
          </cell>
          <cell r="K831" t="str">
            <v>UNIVAR USA</v>
          </cell>
          <cell r="L831" t="str">
            <v>AZ</v>
          </cell>
          <cell r="M831" t="str">
            <v>USA</v>
          </cell>
          <cell r="N831" t="str">
            <v>D</v>
          </cell>
          <cell r="O831">
            <v>40060410</v>
          </cell>
          <cell r="P831" t="str">
            <v>SODIUM SULFATE STD 50LB BAG</v>
          </cell>
          <cell r="Q831" t="str">
            <v>Sodium Sulfate</v>
          </cell>
          <cell r="R831">
            <v>3.57</v>
          </cell>
          <cell r="S831">
            <v>532.39</v>
          </cell>
        </row>
        <row r="832">
          <cell r="A832" t="str">
            <v>Budget</v>
          </cell>
          <cell r="B832">
            <v>2</v>
          </cell>
          <cell r="C832" t="str">
            <v>Domestic</v>
          </cell>
          <cell r="D832">
            <v>1</v>
          </cell>
          <cell r="E832">
            <v>8981</v>
          </cell>
          <cell r="F832" t="str">
            <v>ARIZONA PUBLIC SERVICE</v>
          </cell>
          <cell r="G832" t="str">
            <v>D</v>
          </cell>
          <cell r="H832" t="str">
            <v>TONOPAH</v>
          </cell>
          <cell r="I832" t="str">
            <v>AZ</v>
          </cell>
          <cell r="J832" t="str">
            <v>USA</v>
          </cell>
          <cell r="K832" t="str">
            <v>UNIVAR USA</v>
          </cell>
          <cell r="L832" t="str">
            <v>AZ</v>
          </cell>
          <cell r="M832" t="str">
            <v>USA</v>
          </cell>
          <cell r="N832" t="str">
            <v>D</v>
          </cell>
          <cell r="O832">
            <v>30210100</v>
          </cell>
          <cell r="P832" t="str">
            <v>SODA ASH DENSE BULK</v>
          </cell>
          <cell r="Q832" t="str">
            <v>Soda Ash</v>
          </cell>
          <cell r="R832">
            <v>475.41</v>
          </cell>
          <cell r="S832">
            <v>33017.21</v>
          </cell>
        </row>
        <row r="833">
          <cell r="A833" t="str">
            <v>Budget</v>
          </cell>
          <cell r="B833">
            <v>2</v>
          </cell>
          <cell r="C833" t="str">
            <v>Domestic</v>
          </cell>
          <cell r="D833">
            <v>1</v>
          </cell>
          <cell r="E833">
            <v>9002</v>
          </cell>
          <cell r="F833" t="str">
            <v>BRENNTAG WEST, INC.</v>
          </cell>
          <cell r="G833" t="str">
            <v>D</v>
          </cell>
          <cell r="H833" t="str">
            <v>OGDEN</v>
          </cell>
          <cell r="I833" t="str">
            <v>UT</v>
          </cell>
          <cell r="J833" t="str">
            <v>USA</v>
          </cell>
          <cell r="K833" t="str">
            <v>BRENNTAG WEST, INC.</v>
          </cell>
          <cell r="L833" t="str">
            <v>UT</v>
          </cell>
          <cell r="M833" t="str">
            <v>USA</v>
          </cell>
          <cell r="N833" t="str">
            <v>D</v>
          </cell>
          <cell r="O833">
            <v>28069792</v>
          </cell>
          <cell r="P833" t="str">
            <v>AMMONIUM PENTABORATE 150KG DRM</v>
          </cell>
          <cell r="Q833" t="str">
            <v>Boric Salt (SCL)</v>
          </cell>
          <cell r="R833">
            <v>1.07</v>
          </cell>
          <cell r="S833">
            <v>3009.71</v>
          </cell>
        </row>
        <row r="834">
          <cell r="A834" t="str">
            <v>Budget</v>
          </cell>
          <cell r="B834">
            <v>2</v>
          </cell>
          <cell r="C834" t="str">
            <v>Domestic</v>
          </cell>
          <cell r="D834">
            <v>1</v>
          </cell>
          <cell r="E834">
            <v>9042</v>
          </cell>
          <cell r="F834" t="str">
            <v>RELIANT ENERGY</v>
          </cell>
          <cell r="G834" t="str">
            <v>D</v>
          </cell>
          <cell r="H834" t="str">
            <v>CASA GRANDE</v>
          </cell>
          <cell r="I834" t="str">
            <v>AZ</v>
          </cell>
          <cell r="J834" t="str">
            <v>USA</v>
          </cell>
          <cell r="K834" t="str">
            <v>UNIVAR USA</v>
          </cell>
          <cell r="L834" t="str">
            <v>AZ</v>
          </cell>
          <cell r="M834" t="str">
            <v>USA</v>
          </cell>
          <cell r="N834" t="str">
            <v>D</v>
          </cell>
          <cell r="O834">
            <v>30210100</v>
          </cell>
          <cell r="P834" t="str">
            <v>SODA ASH DENSE BULK</v>
          </cell>
          <cell r="Q834" t="str">
            <v>Soda Ash</v>
          </cell>
          <cell r="R834">
            <v>22.08</v>
          </cell>
          <cell r="S834">
            <v>3043.75</v>
          </cell>
        </row>
        <row r="835">
          <cell r="A835" t="str">
            <v>Budget</v>
          </cell>
          <cell r="B835">
            <v>2</v>
          </cell>
          <cell r="C835" t="str">
            <v>Domestic</v>
          </cell>
          <cell r="D835">
            <v>1</v>
          </cell>
          <cell r="E835">
            <v>9051</v>
          </cell>
          <cell r="F835" t="str">
            <v>U.S. DYE</v>
          </cell>
          <cell r="G835" t="str">
            <v>D</v>
          </cell>
          <cell r="H835" t="str">
            <v>GARDEN GROVE</v>
          </cell>
          <cell r="I835" t="str">
            <v>CA</v>
          </cell>
          <cell r="J835" t="str">
            <v>USA</v>
          </cell>
          <cell r="K835" t="str">
            <v>UNIVAR USA</v>
          </cell>
          <cell r="L835" t="str">
            <v>CA</v>
          </cell>
          <cell r="M835" t="str">
            <v>USA</v>
          </cell>
          <cell r="N835" t="str">
            <v>D</v>
          </cell>
          <cell r="O835">
            <v>40060410</v>
          </cell>
          <cell r="P835" t="str">
            <v>SODIUM SULFATE STD 50LB BAG</v>
          </cell>
          <cell r="Q835" t="str">
            <v>Sodium Sulfate</v>
          </cell>
          <cell r="R835">
            <v>105.18</v>
          </cell>
          <cell r="S835">
            <v>17355.43</v>
          </cell>
        </row>
        <row r="836">
          <cell r="A836" t="str">
            <v>Budget</v>
          </cell>
          <cell r="B836">
            <v>2</v>
          </cell>
          <cell r="C836" t="str">
            <v>Domestic</v>
          </cell>
          <cell r="D836">
            <v>1</v>
          </cell>
          <cell r="E836">
            <v>9065</v>
          </cell>
          <cell r="F836" t="str">
            <v>ALSTYLE DYEING &amp; FINISHING</v>
          </cell>
          <cell r="G836" t="str">
            <v>D</v>
          </cell>
          <cell r="H836" t="str">
            <v>ANAHEIM</v>
          </cell>
          <cell r="I836" t="str">
            <v>CA</v>
          </cell>
          <cell r="J836" t="str">
            <v>USA</v>
          </cell>
          <cell r="K836" t="str">
            <v>UNIVAR USA</v>
          </cell>
          <cell r="L836" t="str">
            <v>CA</v>
          </cell>
          <cell r="M836" t="str">
            <v>USA</v>
          </cell>
          <cell r="N836" t="str">
            <v>D</v>
          </cell>
          <cell r="O836">
            <v>40060410</v>
          </cell>
          <cell r="P836" t="str">
            <v>SODIUM SULFATE STD 50LB BAG</v>
          </cell>
          <cell r="Q836" t="str">
            <v>Sodium Sulfate</v>
          </cell>
          <cell r="R836">
            <v>11.29</v>
          </cell>
          <cell r="S836">
            <v>1885.59</v>
          </cell>
        </row>
        <row r="837">
          <cell r="A837" t="str">
            <v>Budget</v>
          </cell>
          <cell r="B837">
            <v>2</v>
          </cell>
          <cell r="C837" t="str">
            <v>Domestic</v>
          </cell>
          <cell r="D837">
            <v>1</v>
          </cell>
          <cell r="E837">
            <v>9066</v>
          </cell>
          <cell r="F837" t="str">
            <v>L.A. CHEMICAL</v>
          </cell>
          <cell r="G837" t="str">
            <v>D</v>
          </cell>
          <cell r="H837" t="str">
            <v>FRESNO</v>
          </cell>
          <cell r="I837" t="str">
            <v>CA</v>
          </cell>
          <cell r="J837" t="str">
            <v>USA</v>
          </cell>
          <cell r="K837" t="str">
            <v>L.A. CHEMICAL</v>
          </cell>
          <cell r="L837" t="str">
            <v>CA</v>
          </cell>
          <cell r="M837" t="str">
            <v>USA</v>
          </cell>
          <cell r="N837" t="str">
            <v>D</v>
          </cell>
          <cell r="O837">
            <v>20060210</v>
          </cell>
          <cell r="P837" t="str">
            <v>PYROBOR 50LB BAG (002)</v>
          </cell>
          <cell r="Q837" t="str">
            <v>Pyrobor</v>
          </cell>
          <cell r="R837">
            <v>3.49</v>
          </cell>
          <cell r="S837">
            <v>2756.56</v>
          </cell>
        </row>
        <row r="838">
          <cell r="A838" t="str">
            <v>Budget</v>
          </cell>
          <cell r="B838">
            <v>2</v>
          </cell>
          <cell r="C838" t="str">
            <v>Domestic</v>
          </cell>
          <cell r="D838">
            <v>1</v>
          </cell>
          <cell r="E838">
            <v>9066</v>
          </cell>
          <cell r="F838" t="str">
            <v>L.A. CHEMICAL</v>
          </cell>
          <cell r="G838" t="str">
            <v>D</v>
          </cell>
          <cell r="H838" t="str">
            <v>FRESNO</v>
          </cell>
          <cell r="I838" t="str">
            <v>CA</v>
          </cell>
          <cell r="J838" t="str">
            <v>USA</v>
          </cell>
          <cell r="K838" t="str">
            <v>L.A. CHEMICAL</v>
          </cell>
          <cell r="L838" t="str">
            <v>CA</v>
          </cell>
          <cell r="M838" t="str">
            <v>USA</v>
          </cell>
          <cell r="N838" t="str">
            <v>D</v>
          </cell>
          <cell r="O838">
            <v>30210110</v>
          </cell>
          <cell r="P838" t="str">
            <v>SODA ASH DENSE 50LB BAG</v>
          </cell>
          <cell r="Q838" t="str">
            <v>Soda Ash</v>
          </cell>
          <cell r="R838">
            <v>3.49</v>
          </cell>
          <cell r="S838">
            <v>570.65</v>
          </cell>
        </row>
        <row r="839">
          <cell r="A839" t="str">
            <v>Budget</v>
          </cell>
          <cell r="B839">
            <v>2</v>
          </cell>
          <cell r="C839" t="str">
            <v>Domestic</v>
          </cell>
          <cell r="D839">
            <v>1</v>
          </cell>
          <cell r="E839">
            <v>9083</v>
          </cell>
          <cell r="F839" t="str">
            <v>L.A. CHEMICAL</v>
          </cell>
          <cell r="G839" t="str">
            <v>D</v>
          </cell>
          <cell r="H839" t="str">
            <v>RICHMOND</v>
          </cell>
          <cell r="I839" t="str">
            <v>CA</v>
          </cell>
          <cell r="J839" t="str">
            <v>USA</v>
          </cell>
          <cell r="K839" t="str">
            <v>L.A. CHEMICAL</v>
          </cell>
          <cell r="L839" t="str">
            <v>CA</v>
          </cell>
          <cell r="M839" t="str">
            <v>USA</v>
          </cell>
          <cell r="N839" t="str">
            <v>D</v>
          </cell>
          <cell r="O839">
            <v>20060210</v>
          </cell>
          <cell r="P839" t="str">
            <v>PYROBOR 50LB BAG (002)</v>
          </cell>
          <cell r="Q839" t="str">
            <v>Pyrobor</v>
          </cell>
          <cell r="R839">
            <v>3.11</v>
          </cell>
          <cell r="S839">
            <v>2460.23</v>
          </cell>
        </row>
        <row r="840">
          <cell r="A840" t="str">
            <v>Budget</v>
          </cell>
          <cell r="B840">
            <v>2</v>
          </cell>
          <cell r="C840" t="str">
            <v>Domestic</v>
          </cell>
          <cell r="D840">
            <v>1</v>
          </cell>
          <cell r="E840">
            <v>9083</v>
          </cell>
          <cell r="F840" t="str">
            <v>L.A. CHEMICAL</v>
          </cell>
          <cell r="G840" t="str">
            <v>D</v>
          </cell>
          <cell r="H840" t="str">
            <v>RICHMOND</v>
          </cell>
          <cell r="I840" t="str">
            <v>CA</v>
          </cell>
          <cell r="J840" t="str">
            <v>USA</v>
          </cell>
          <cell r="K840" t="str">
            <v>L.A. CHEMICAL</v>
          </cell>
          <cell r="L840" t="str">
            <v>CA</v>
          </cell>
          <cell r="M840" t="str">
            <v>USA</v>
          </cell>
          <cell r="N840" t="str">
            <v>D</v>
          </cell>
          <cell r="O840">
            <v>24090210</v>
          </cell>
          <cell r="P840" t="str">
            <v>BORIC ACID GRAN TECH 50LB BAG</v>
          </cell>
          <cell r="Q840" t="str">
            <v>Boric Acid</v>
          </cell>
          <cell r="R840">
            <v>0.57999999999999996</v>
          </cell>
          <cell r="S840">
            <v>467.65</v>
          </cell>
        </row>
        <row r="841">
          <cell r="A841" t="str">
            <v>Budget</v>
          </cell>
          <cell r="B841">
            <v>2</v>
          </cell>
          <cell r="C841" t="str">
            <v>Domestic</v>
          </cell>
          <cell r="D841">
            <v>1</v>
          </cell>
          <cell r="E841">
            <v>9083</v>
          </cell>
          <cell r="F841" t="str">
            <v>L.A. CHEMICAL</v>
          </cell>
          <cell r="G841" t="str">
            <v>D</v>
          </cell>
          <cell r="H841" t="str">
            <v>RICHMOND</v>
          </cell>
          <cell r="I841" t="str">
            <v>CA</v>
          </cell>
          <cell r="J841" t="str">
            <v>USA</v>
          </cell>
          <cell r="K841" t="str">
            <v>L.A. CHEMICAL</v>
          </cell>
          <cell r="L841" t="str">
            <v>CA</v>
          </cell>
          <cell r="M841" t="str">
            <v>USA</v>
          </cell>
          <cell r="N841" t="str">
            <v>D</v>
          </cell>
          <cell r="O841">
            <v>40060410</v>
          </cell>
          <cell r="P841" t="str">
            <v>SODIUM SULFATE STD 50LB BAG</v>
          </cell>
          <cell r="Q841" t="str">
            <v>Sodium Sulfate</v>
          </cell>
          <cell r="R841">
            <v>14.06</v>
          </cell>
          <cell r="S841">
            <v>2738.35</v>
          </cell>
        </row>
        <row r="842">
          <cell r="A842" t="str">
            <v>Budget</v>
          </cell>
          <cell r="B842">
            <v>2</v>
          </cell>
          <cell r="C842" t="str">
            <v>Domestic</v>
          </cell>
          <cell r="D842">
            <v>1</v>
          </cell>
          <cell r="E842">
            <v>9100</v>
          </cell>
          <cell r="F842" t="str">
            <v>L.A. CHEMICAL</v>
          </cell>
          <cell r="G842" t="str">
            <v>D</v>
          </cell>
          <cell r="H842" t="str">
            <v>SALT LAKE CITY</v>
          </cell>
          <cell r="I842" t="str">
            <v>UT</v>
          </cell>
          <cell r="J842" t="str">
            <v>USA</v>
          </cell>
          <cell r="K842" t="str">
            <v>L.A. CHEMICAL</v>
          </cell>
          <cell r="L842" t="str">
            <v>UT</v>
          </cell>
          <cell r="M842" t="str">
            <v>USA</v>
          </cell>
          <cell r="N842" t="str">
            <v>D</v>
          </cell>
          <cell r="O842">
            <v>20060210</v>
          </cell>
          <cell r="P842" t="str">
            <v>PYROBOR 50LB BAG (002)</v>
          </cell>
          <cell r="Q842" t="str">
            <v>Pyrobor</v>
          </cell>
          <cell r="R842">
            <v>1.75</v>
          </cell>
          <cell r="S842">
            <v>1328.89</v>
          </cell>
        </row>
        <row r="843">
          <cell r="A843" t="str">
            <v>Budget</v>
          </cell>
          <cell r="B843">
            <v>2</v>
          </cell>
          <cell r="C843" t="str">
            <v>Domestic</v>
          </cell>
          <cell r="D843">
            <v>1</v>
          </cell>
          <cell r="E843">
            <v>9100</v>
          </cell>
          <cell r="F843" t="str">
            <v>L.A. CHEMICAL</v>
          </cell>
          <cell r="G843" t="str">
            <v>D</v>
          </cell>
          <cell r="H843" t="str">
            <v>SALT LAKE CITY</v>
          </cell>
          <cell r="I843" t="str">
            <v>UT</v>
          </cell>
          <cell r="J843" t="str">
            <v>USA</v>
          </cell>
          <cell r="K843" t="str">
            <v>L.A. CHEMICAL</v>
          </cell>
          <cell r="L843" t="str">
            <v>UT</v>
          </cell>
          <cell r="M843" t="str">
            <v>USA</v>
          </cell>
          <cell r="N843" t="str">
            <v>D</v>
          </cell>
          <cell r="O843">
            <v>22060410</v>
          </cell>
          <cell r="P843" t="str">
            <v>V-BOR 50LB BAG (004)</v>
          </cell>
          <cell r="Q843" t="str">
            <v>Penta</v>
          </cell>
          <cell r="R843">
            <v>15.85</v>
          </cell>
          <cell r="S843">
            <v>5816.18</v>
          </cell>
        </row>
        <row r="844">
          <cell r="A844" t="str">
            <v>Budget</v>
          </cell>
          <cell r="B844">
            <v>2</v>
          </cell>
          <cell r="C844" t="str">
            <v>Domestic</v>
          </cell>
          <cell r="D844">
            <v>1</v>
          </cell>
          <cell r="E844">
            <v>9101</v>
          </cell>
          <cell r="F844" t="str">
            <v>KENNECOTT RAWHIDE</v>
          </cell>
          <cell r="G844" t="str">
            <v>D</v>
          </cell>
          <cell r="H844" t="str">
            <v>FALLON</v>
          </cell>
          <cell r="I844" t="str">
            <v>NV</v>
          </cell>
          <cell r="J844" t="str">
            <v>USA</v>
          </cell>
          <cell r="K844" t="str">
            <v>L.A. CHEMICAL</v>
          </cell>
          <cell r="L844" t="str">
            <v>UT</v>
          </cell>
          <cell r="M844" t="str">
            <v>USA</v>
          </cell>
          <cell r="N844" t="str">
            <v>D</v>
          </cell>
          <cell r="O844">
            <v>20060210</v>
          </cell>
          <cell r="P844" t="str">
            <v>PYROBOR 50LB BAG (002)</v>
          </cell>
          <cell r="Q844" t="str">
            <v>Pyrobor</v>
          </cell>
          <cell r="R844">
            <v>3.49</v>
          </cell>
          <cell r="S844">
            <v>2651.75</v>
          </cell>
        </row>
        <row r="845">
          <cell r="A845" t="str">
            <v>Budget</v>
          </cell>
          <cell r="B845">
            <v>2</v>
          </cell>
          <cell r="C845" t="str">
            <v>Domestic</v>
          </cell>
          <cell r="D845">
            <v>1</v>
          </cell>
          <cell r="E845">
            <v>9149</v>
          </cell>
          <cell r="F845" t="str">
            <v>THATCHER COMPANY</v>
          </cell>
          <cell r="G845" t="str">
            <v>D</v>
          </cell>
          <cell r="H845" t="str">
            <v>SALT LAKE CITY</v>
          </cell>
          <cell r="I845" t="str">
            <v>UT</v>
          </cell>
          <cell r="J845" t="str">
            <v>USA</v>
          </cell>
          <cell r="K845" t="str">
            <v>THATCHER COMPANY</v>
          </cell>
          <cell r="L845" t="str">
            <v>UT</v>
          </cell>
          <cell r="M845" t="str">
            <v>USA</v>
          </cell>
          <cell r="N845" t="str">
            <v>D</v>
          </cell>
          <cell r="O845">
            <v>20060210</v>
          </cell>
          <cell r="P845" t="str">
            <v>PYROBOR 50LB BAG (002)</v>
          </cell>
          <cell r="Q845" t="str">
            <v>Pyrobor</v>
          </cell>
          <cell r="R845">
            <v>1.94</v>
          </cell>
          <cell r="S845">
            <v>1653.95</v>
          </cell>
        </row>
        <row r="846">
          <cell r="A846" t="str">
            <v>Budget</v>
          </cell>
          <cell r="B846">
            <v>2</v>
          </cell>
          <cell r="C846" t="str">
            <v>Domestic</v>
          </cell>
          <cell r="D846">
            <v>1</v>
          </cell>
          <cell r="E846">
            <v>9149</v>
          </cell>
          <cell r="F846" t="str">
            <v>THATCHER COMPANY</v>
          </cell>
          <cell r="G846" t="str">
            <v>D</v>
          </cell>
          <cell r="H846" t="str">
            <v>SALT LAKE CITY</v>
          </cell>
          <cell r="I846" t="str">
            <v>UT</v>
          </cell>
          <cell r="J846" t="str">
            <v>USA</v>
          </cell>
          <cell r="K846" t="str">
            <v>THATCHER COMPANY</v>
          </cell>
          <cell r="L846" t="str">
            <v>UT</v>
          </cell>
          <cell r="M846" t="str">
            <v>USA</v>
          </cell>
          <cell r="N846" t="str">
            <v>D</v>
          </cell>
          <cell r="O846">
            <v>22060410</v>
          </cell>
          <cell r="P846" t="str">
            <v>V-BOR 50LB BAG (004)</v>
          </cell>
          <cell r="Q846" t="str">
            <v>Penta</v>
          </cell>
          <cell r="R846">
            <v>0.57999999999999996</v>
          </cell>
          <cell r="S846">
            <v>251.59</v>
          </cell>
        </row>
        <row r="847">
          <cell r="A847" t="str">
            <v>Budget</v>
          </cell>
          <cell r="B847">
            <v>2</v>
          </cell>
          <cell r="C847" t="str">
            <v>Domestic</v>
          </cell>
          <cell r="D847">
            <v>1</v>
          </cell>
          <cell r="E847">
            <v>9149</v>
          </cell>
          <cell r="F847" t="str">
            <v>THATCHER COMPANY</v>
          </cell>
          <cell r="G847" t="str">
            <v>D</v>
          </cell>
          <cell r="H847" t="str">
            <v>SALT LAKE CITY</v>
          </cell>
          <cell r="I847" t="str">
            <v>UT</v>
          </cell>
          <cell r="J847" t="str">
            <v>USA</v>
          </cell>
          <cell r="K847" t="str">
            <v>THATCHER COMPANY</v>
          </cell>
          <cell r="L847" t="str">
            <v>UT</v>
          </cell>
          <cell r="M847" t="str">
            <v>USA</v>
          </cell>
          <cell r="N847" t="str">
            <v>D</v>
          </cell>
          <cell r="O847">
            <v>23060210</v>
          </cell>
          <cell r="P847" t="str">
            <v>DECA BORAX STD 50LB BAG</v>
          </cell>
          <cell r="Q847" t="str">
            <v>Deca</v>
          </cell>
          <cell r="R847">
            <v>0.97</v>
          </cell>
          <cell r="S847">
            <v>365.93</v>
          </cell>
        </row>
        <row r="848">
          <cell r="A848" t="str">
            <v>Budget</v>
          </cell>
          <cell r="B848">
            <v>2</v>
          </cell>
          <cell r="C848" t="str">
            <v>Domestic</v>
          </cell>
          <cell r="D848">
            <v>1</v>
          </cell>
          <cell r="E848">
            <v>9215</v>
          </cell>
          <cell r="F848" t="str">
            <v>GALLO GLASS</v>
          </cell>
          <cell r="G848" t="str">
            <v>D</v>
          </cell>
          <cell r="H848" t="str">
            <v>MODESTO</v>
          </cell>
          <cell r="I848" t="str">
            <v>CA</v>
          </cell>
          <cell r="J848" t="str">
            <v>USA</v>
          </cell>
          <cell r="K848" t="str">
            <v>BRENNTAG WEST, INC.</v>
          </cell>
          <cell r="L848" t="str">
            <v>CA</v>
          </cell>
          <cell r="M848" t="str">
            <v>USA</v>
          </cell>
          <cell r="N848" t="str">
            <v>D</v>
          </cell>
          <cell r="O848">
            <v>40150400</v>
          </cell>
          <cell r="P848" t="str">
            <v>SODIUM SULFATE COARSE BULK</v>
          </cell>
          <cell r="Q848" t="str">
            <v>Sodium Sulfate</v>
          </cell>
          <cell r="R848">
            <v>8.4600000000000009</v>
          </cell>
          <cell r="S848">
            <v>887.88</v>
          </cell>
        </row>
        <row r="849">
          <cell r="A849" t="str">
            <v>Budget</v>
          </cell>
          <cell r="B849">
            <v>2</v>
          </cell>
          <cell r="C849" t="str">
            <v>Domestic</v>
          </cell>
          <cell r="D849">
            <v>1</v>
          </cell>
          <cell r="E849">
            <v>9215</v>
          </cell>
          <cell r="F849" t="str">
            <v>GALLO GLASS</v>
          </cell>
          <cell r="G849" t="str">
            <v>D</v>
          </cell>
          <cell r="H849" t="str">
            <v>MODESTO</v>
          </cell>
          <cell r="I849" t="str">
            <v>CA</v>
          </cell>
          <cell r="J849" t="str">
            <v>USA</v>
          </cell>
          <cell r="K849" t="str">
            <v>BRENNTAG WEST, INC.</v>
          </cell>
          <cell r="L849" t="str">
            <v>CA</v>
          </cell>
          <cell r="M849" t="str">
            <v>USA</v>
          </cell>
          <cell r="N849" t="str">
            <v>D</v>
          </cell>
          <cell r="O849">
            <v>40150430</v>
          </cell>
          <cell r="P849" t="str">
            <v>SODIUM SULFATE CRS 100LB BG</v>
          </cell>
          <cell r="Q849" t="str">
            <v>Sodium Sulfate</v>
          </cell>
          <cell r="R849">
            <v>43.38</v>
          </cell>
          <cell r="S849">
            <v>4988.83</v>
          </cell>
        </row>
        <row r="850">
          <cell r="A850" t="str">
            <v>Budget</v>
          </cell>
          <cell r="B850">
            <v>2</v>
          </cell>
          <cell r="C850" t="str">
            <v>Domestic</v>
          </cell>
          <cell r="D850">
            <v>1</v>
          </cell>
          <cell r="E850">
            <v>9217</v>
          </cell>
          <cell r="F850" t="str">
            <v>BRENNTAG WEST, INC.</v>
          </cell>
          <cell r="G850" t="str">
            <v>D</v>
          </cell>
          <cell r="H850" t="str">
            <v>FRESNO</v>
          </cell>
          <cell r="I850" t="str">
            <v>CA</v>
          </cell>
          <cell r="J850" t="str">
            <v>USA</v>
          </cell>
          <cell r="K850" t="str">
            <v>BRENNTAG WEST, INC.</v>
          </cell>
          <cell r="L850" t="str">
            <v>CA</v>
          </cell>
          <cell r="M850" t="str">
            <v>USA</v>
          </cell>
          <cell r="N850" t="str">
            <v>D</v>
          </cell>
          <cell r="O850">
            <v>22060410</v>
          </cell>
          <cell r="P850" t="str">
            <v>V-BOR 50LB BAG (004)</v>
          </cell>
          <cell r="Q850" t="str">
            <v>Penta</v>
          </cell>
          <cell r="R850">
            <v>3.49</v>
          </cell>
          <cell r="S850">
            <v>1472.62</v>
          </cell>
        </row>
        <row r="851">
          <cell r="A851" t="str">
            <v>Budget</v>
          </cell>
          <cell r="B851">
            <v>2</v>
          </cell>
          <cell r="C851" t="str">
            <v>Domestic</v>
          </cell>
          <cell r="D851">
            <v>1</v>
          </cell>
          <cell r="E851">
            <v>9217</v>
          </cell>
          <cell r="F851" t="str">
            <v>BRENNTAG WEST, INC.</v>
          </cell>
          <cell r="G851" t="str">
            <v>D</v>
          </cell>
          <cell r="H851" t="str">
            <v>FRESNO</v>
          </cell>
          <cell r="I851" t="str">
            <v>CA</v>
          </cell>
          <cell r="J851" t="str">
            <v>USA</v>
          </cell>
          <cell r="K851" t="str">
            <v>BRENNTAG WEST, INC.</v>
          </cell>
          <cell r="L851" t="str">
            <v>CA</v>
          </cell>
          <cell r="M851" t="str">
            <v>USA</v>
          </cell>
          <cell r="N851" t="str">
            <v>D</v>
          </cell>
          <cell r="O851">
            <v>23060210</v>
          </cell>
          <cell r="P851" t="str">
            <v>DECA BORAX STD 50LB BAG</v>
          </cell>
          <cell r="Q851" t="str">
            <v>Deca</v>
          </cell>
          <cell r="R851">
            <v>1.94</v>
          </cell>
          <cell r="S851">
            <v>712.44</v>
          </cell>
        </row>
        <row r="852">
          <cell r="A852" t="str">
            <v>Budget</v>
          </cell>
          <cell r="B852">
            <v>2</v>
          </cell>
          <cell r="C852" t="str">
            <v>Domestic</v>
          </cell>
          <cell r="D852">
            <v>1</v>
          </cell>
          <cell r="E852">
            <v>9217</v>
          </cell>
          <cell r="F852" t="str">
            <v>BRENNTAG WEST, INC.</v>
          </cell>
          <cell r="G852" t="str">
            <v>D</v>
          </cell>
          <cell r="H852" t="str">
            <v>FRESNO</v>
          </cell>
          <cell r="I852" t="str">
            <v>CA</v>
          </cell>
          <cell r="J852" t="str">
            <v>USA</v>
          </cell>
          <cell r="K852" t="str">
            <v>BRENNTAG WEST, INC.</v>
          </cell>
          <cell r="L852" t="str">
            <v>CA</v>
          </cell>
          <cell r="M852" t="str">
            <v>USA</v>
          </cell>
          <cell r="N852" t="str">
            <v>D</v>
          </cell>
          <cell r="O852">
            <v>30210100</v>
          </cell>
          <cell r="P852" t="str">
            <v>SODA ASH DENSE BULK</v>
          </cell>
          <cell r="Q852" t="str">
            <v>Soda Ash</v>
          </cell>
          <cell r="R852">
            <v>13.17</v>
          </cell>
          <cell r="S852">
            <v>1503.37</v>
          </cell>
        </row>
        <row r="853">
          <cell r="A853" t="str">
            <v>Budget</v>
          </cell>
          <cell r="B853">
            <v>2</v>
          </cell>
          <cell r="C853" t="str">
            <v>Domestic</v>
          </cell>
          <cell r="D853">
            <v>1</v>
          </cell>
          <cell r="E853">
            <v>9217</v>
          </cell>
          <cell r="F853" t="str">
            <v>BRENNTAG WEST, INC.</v>
          </cell>
          <cell r="G853" t="str">
            <v>D</v>
          </cell>
          <cell r="H853" t="str">
            <v>FRESNO</v>
          </cell>
          <cell r="I853" t="str">
            <v>CA</v>
          </cell>
          <cell r="J853" t="str">
            <v>USA</v>
          </cell>
          <cell r="K853" t="str">
            <v>BRENNTAG WEST, INC.</v>
          </cell>
          <cell r="L853" t="str">
            <v>CA</v>
          </cell>
          <cell r="M853" t="str">
            <v>USA</v>
          </cell>
          <cell r="N853" t="str">
            <v>D</v>
          </cell>
          <cell r="O853">
            <v>30210110</v>
          </cell>
          <cell r="P853" t="str">
            <v>SODA ASH DENSE 50LB BAG</v>
          </cell>
          <cell r="Q853" t="str">
            <v>Soda Ash</v>
          </cell>
          <cell r="R853">
            <v>19.41</v>
          </cell>
          <cell r="S853">
            <v>3007.01</v>
          </cell>
        </row>
        <row r="854">
          <cell r="A854" t="str">
            <v>Budget</v>
          </cell>
          <cell r="B854">
            <v>2</v>
          </cell>
          <cell r="C854" t="str">
            <v>Domestic</v>
          </cell>
          <cell r="D854">
            <v>1</v>
          </cell>
          <cell r="E854">
            <v>9217</v>
          </cell>
          <cell r="F854" t="str">
            <v>BRENNTAG WEST, INC.</v>
          </cell>
          <cell r="G854" t="str">
            <v>D</v>
          </cell>
          <cell r="H854" t="str">
            <v>FRESNO</v>
          </cell>
          <cell r="I854" t="str">
            <v>CA</v>
          </cell>
          <cell r="J854" t="str">
            <v>USA</v>
          </cell>
          <cell r="K854" t="str">
            <v>BRENNTAG WEST, INC.</v>
          </cell>
          <cell r="L854" t="str">
            <v>CA</v>
          </cell>
          <cell r="M854" t="str">
            <v>USA</v>
          </cell>
          <cell r="N854" t="str">
            <v>D</v>
          </cell>
          <cell r="O854">
            <v>40150410</v>
          </cell>
          <cell r="P854" t="str">
            <v>SODIUM SULFATE CRS 50LB BAG</v>
          </cell>
          <cell r="Q854" t="str">
            <v>Sodium Sulfate</v>
          </cell>
          <cell r="R854">
            <v>21.79</v>
          </cell>
          <cell r="S854">
            <v>4140.03</v>
          </cell>
        </row>
        <row r="855">
          <cell r="A855" t="str">
            <v>Budget</v>
          </cell>
          <cell r="B855">
            <v>2</v>
          </cell>
          <cell r="C855" t="str">
            <v>Domestic</v>
          </cell>
          <cell r="D855">
            <v>1</v>
          </cell>
          <cell r="E855">
            <v>9236</v>
          </cell>
          <cell r="F855" t="str">
            <v>DUKE ENERGY</v>
          </cell>
          <cell r="G855" t="str">
            <v>D</v>
          </cell>
          <cell r="H855" t="str">
            <v>ARLINGTON</v>
          </cell>
          <cell r="I855" t="str">
            <v>AZ</v>
          </cell>
          <cell r="J855" t="str">
            <v>USA</v>
          </cell>
          <cell r="K855" t="str">
            <v>UNIVAR USA</v>
          </cell>
          <cell r="L855" t="str">
            <v>AZ</v>
          </cell>
          <cell r="M855" t="str">
            <v>USA</v>
          </cell>
          <cell r="N855" t="str">
            <v>D</v>
          </cell>
          <cell r="O855">
            <v>30210100</v>
          </cell>
          <cell r="P855" t="str">
            <v>SODA ASH DENSE BULK</v>
          </cell>
          <cell r="Q855" t="str">
            <v>Soda Ash</v>
          </cell>
          <cell r="R855">
            <v>26.5</v>
          </cell>
          <cell r="S855">
            <v>2181.75</v>
          </cell>
        </row>
        <row r="856">
          <cell r="A856" t="str">
            <v>Budget</v>
          </cell>
          <cell r="B856">
            <v>2</v>
          </cell>
          <cell r="C856" t="str">
            <v>Domestic</v>
          </cell>
          <cell r="D856">
            <v>1</v>
          </cell>
          <cell r="E856">
            <v>9287</v>
          </cell>
          <cell r="F856" t="str">
            <v>PABCO GYPSUM COMPANY</v>
          </cell>
          <cell r="G856" t="str">
            <v>D</v>
          </cell>
          <cell r="H856" t="str">
            <v>NEWARK</v>
          </cell>
          <cell r="I856" t="str">
            <v>CA</v>
          </cell>
          <cell r="J856" t="str">
            <v>USA</v>
          </cell>
          <cell r="K856" t="str">
            <v>BRENNTAG WEST, INC.</v>
          </cell>
          <cell r="L856" t="str">
            <v>CA</v>
          </cell>
          <cell r="M856" t="str">
            <v>USA</v>
          </cell>
          <cell r="N856" t="str">
            <v>D</v>
          </cell>
          <cell r="O856">
            <v>24090210</v>
          </cell>
          <cell r="P856" t="str">
            <v>BORIC ACID GRAN TECH 50LB BAG</v>
          </cell>
          <cell r="Q856" t="str">
            <v>Boric Acid</v>
          </cell>
          <cell r="R856">
            <v>3.49</v>
          </cell>
          <cell r="S856">
            <v>1886.9</v>
          </cell>
        </row>
        <row r="857">
          <cell r="A857" t="str">
            <v>Budget</v>
          </cell>
          <cell r="B857">
            <v>2</v>
          </cell>
          <cell r="C857" t="str">
            <v>Domestic</v>
          </cell>
          <cell r="D857">
            <v>1</v>
          </cell>
          <cell r="E857">
            <v>9292</v>
          </cell>
          <cell r="F857" t="str">
            <v>LAFAYETTE TEXTILE</v>
          </cell>
          <cell r="G857" t="str">
            <v>D</v>
          </cell>
          <cell r="H857" t="str">
            <v>LOS ANGELES</v>
          </cell>
          <cell r="I857" t="str">
            <v>CA</v>
          </cell>
          <cell r="J857" t="str">
            <v>USA</v>
          </cell>
          <cell r="K857" t="str">
            <v>UNIVAR USA</v>
          </cell>
          <cell r="L857" t="str">
            <v>CA</v>
          </cell>
          <cell r="M857" t="str">
            <v>USA</v>
          </cell>
          <cell r="N857" t="str">
            <v>D</v>
          </cell>
          <cell r="O857">
            <v>40060410</v>
          </cell>
          <cell r="P857" t="str">
            <v>SODIUM SULFATE STD 50LB BAG</v>
          </cell>
          <cell r="Q857" t="str">
            <v>Sodium Sulfate</v>
          </cell>
          <cell r="R857">
            <v>67.75</v>
          </cell>
          <cell r="S857">
            <v>12856.67</v>
          </cell>
        </row>
        <row r="858">
          <cell r="A858" t="str">
            <v>Budget</v>
          </cell>
          <cell r="B858">
            <v>2</v>
          </cell>
          <cell r="C858" t="str">
            <v>Domestic</v>
          </cell>
          <cell r="D858">
            <v>1</v>
          </cell>
          <cell r="E858">
            <v>9332</v>
          </cell>
          <cell r="F858" t="str">
            <v>KINGSFORD COMPANY</v>
          </cell>
          <cell r="G858" t="str">
            <v>D</v>
          </cell>
          <cell r="H858" t="str">
            <v>PARSONS</v>
          </cell>
          <cell r="I858" t="str">
            <v>WV</v>
          </cell>
          <cell r="J858" t="str">
            <v>USA</v>
          </cell>
          <cell r="K858" t="str">
            <v>KINGSFORD COMPANY</v>
          </cell>
          <cell r="L858" t="str">
            <v>WV</v>
          </cell>
          <cell r="M858" t="str">
            <v>USA</v>
          </cell>
          <cell r="N858" t="str">
            <v>C</v>
          </cell>
          <cell r="O858">
            <v>22060410</v>
          </cell>
          <cell r="P858" t="str">
            <v>V-BOR 50LB BAG (004)</v>
          </cell>
          <cell r="Q858" t="str">
            <v>Penta</v>
          </cell>
          <cell r="R858">
            <v>17.47</v>
          </cell>
          <cell r="S858">
            <v>4748.3999999999996</v>
          </cell>
        </row>
        <row r="859">
          <cell r="A859" t="str">
            <v>Budget</v>
          </cell>
          <cell r="B859">
            <v>2</v>
          </cell>
          <cell r="C859" t="str">
            <v>Domestic</v>
          </cell>
          <cell r="D859">
            <v>1</v>
          </cell>
          <cell r="E859">
            <v>9333</v>
          </cell>
          <cell r="F859" t="str">
            <v>L.A. CHEMICAL</v>
          </cell>
          <cell r="G859" t="str">
            <v>D</v>
          </cell>
          <cell r="H859" t="str">
            <v>SOUTHGATE</v>
          </cell>
          <cell r="I859" t="str">
            <v>CA</v>
          </cell>
          <cell r="J859" t="str">
            <v>USA</v>
          </cell>
          <cell r="K859" t="str">
            <v>L.A. CHEMICAL</v>
          </cell>
          <cell r="L859" t="str">
            <v>CA</v>
          </cell>
          <cell r="M859" t="str">
            <v>USA</v>
          </cell>
          <cell r="N859" t="str">
            <v>D</v>
          </cell>
          <cell r="O859">
            <v>22060450</v>
          </cell>
          <cell r="P859" t="str">
            <v>V-BOR 1TN FIBC (004)</v>
          </cell>
          <cell r="Q859" t="str">
            <v>Penta</v>
          </cell>
          <cell r="R859">
            <v>10.46</v>
          </cell>
          <cell r="S859">
            <v>3815.01</v>
          </cell>
        </row>
        <row r="860">
          <cell r="A860" t="str">
            <v>Budget</v>
          </cell>
          <cell r="B860">
            <v>2</v>
          </cell>
          <cell r="C860" t="str">
            <v>Domestic</v>
          </cell>
          <cell r="D860">
            <v>1</v>
          </cell>
          <cell r="E860">
            <v>9362</v>
          </cell>
          <cell r="F860" t="str">
            <v>CHEMICAL COMPOUNDING</v>
          </cell>
          <cell r="G860" t="str">
            <v>D</v>
          </cell>
          <cell r="H860" t="str">
            <v>OAKLAND</v>
          </cell>
          <cell r="I860" t="str">
            <v>CA</v>
          </cell>
          <cell r="J860" t="str">
            <v>USA</v>
          </cell>
          <cell r="K860" t="str">
            <v>BRENNTAG WEST, INC.</v>
          </cell>
          <cell r="L860" t="str">
            <v>CA</v>
          </cell>
          <cell r="M860" t="str">
            <v>USA</v>
          </cell>
          <cell r="N860" t="str">
            <v>D</v>
          </cell>
          <cell r="O860">
            <v>40150410</v>
          </cell>
          <cell r="P860" t="str">
            <v>SODIUM SULFATE CRS 50LB BAG</v>
          </cell>
          <cell r="Q860" t="str">
            <v>Sodium Sulfate</v>
          </cell>
          <cell r="R860">
            <v>1.98</v>
          </cell>
          <cell r="S860">
            <v>386.27</v>
          </cell>
        </row>
        <row r="861">
          <cell r="A861" t="str">
            <v>Budget</v>
          </cell>
          <cell r="B861">
            <v>2</v>
          </cell>
          <cell r="C861" t="str">
            <v>Domestic</v>
          </cell>
          <cell r="D861">
            <v>1</v>
          </cell>
          <cell r="E861">
            <v>9432</v>
          </cell>
          <cell r="F861" t="str">
            <v>KINGSFORD MANUFACTURING</v>
          </cell>
          <cell r="G861" t="str">
            <v>D</v>
          </cell>
          <cell r="H861" t="str">
            <v>BURNSIDE</v>
          </cell>
          <cell r="I861" t="str">
            <v>KY</v>
          </cell>
          <cell r="J861" t="str">
            <v>USA</v>
          </cell>
          <cell r="K861" t="str">
            <v>KINGSFORD MANUFACTURING</v>
          </cell>
          <cell r="L861" t="str">
            <v>KY</v>
          </cell>
          <cell r="M861" t="str">
            <v>USA</v>
          </cell>
          <cell r="N861" t="str">
            <v>C</v>
          </cell>
          <cell r="O861">
            <v>22060450</v>
          </cell>
          <cell r="P861" t="str">
            <v>V-BOR 1TN FIBC (004)</v>
          </cell>
          <cell r="Q861" t="str">
            <v>Penta</v>
          </cell>
          <cell r="R861">
            <v>52.3</v>
          </cell>
          <cell r="S861">
            <v>15654.26</v>
          </cell>
        </row>
        <row r="862">
          <cell r="A862" t="str">
            <v>Budget</v>
          </cell>
          <cell r="B862">
            <v>2</v>
          </cell>
          <cell r="C862" t="str">
            <v>Domestic</v>
          </cell>
          <cell r="D862">
            <v>1</v>
          </cell>
          <cell r="E862">
            <v>9435</v>
          </cell>
          <cell r="F862" t="str">
            <v>HIGH DESERT POWER TRUST</v>
          </cell>
          <cell r="G862" t="str">
            <v>D</v>
          </cell>
          <cell r="H862" t="str">
            <v>VICTORVILLE</v>
          </cell>
          <cell r="I862" t="str">
            <v>CA</v>
          </cell>
          <cell r="J862" t="str">
            <v>USA</v>
          </cell>
          <cell r="K862" t="str">
            <v>BRENNTAG WEST, INC.</v>
          </cell>
          <cell r="L862" t="str">
            <v>CA</v>
          </cell>
          <cell r="M862" t="str">
            <v>USA</v>
          </cell>
          <cell r="N862" t="str">
            <v>D</v>
          </cell>
          <cell r="O862">
            <v>30210100</v>
          </cell>
          <cell r="P862" t="str">
            <v>SODA ASH DENSE BULK</v>
          </cell>
          <cell r="Q862" t="str">
            <v>Soda Ash</v>
          </cell>
          <cell r="R862">
            <v>26.17</v>
          </cell>
          <cell r="S862">
            <v>2943.23</v>
          </cell>
        </row>
        <row r="863">
          <cell r="A863" t="str">
            <v>Budget</v>
          </cell>
          <cell r="B863">
            <v>2</v>
          </cell>
          <cell r="C863" t="str">
            <v>Domestic</v>
          </cell>
          <cell r="D863">
            <v>1</v>
          </cell>
          <cell r="E863">
            <v>9437</v>
          </cell>
          <cell r="F863" t="str">
            <v>KINGSFORD MANUFACTURING</v>
          </cell>
          <cell r="G863" t="str">
            <v>D</v>
          </cell>
          <cell r="H863" t="str">
            <v>SPRINGFIELD</v>
          </cell>
          <cell r="I863" t="str">
            <v>OR</v>
          </cell>
          <cell r="J863" t="str">
            <v>USA</v>
          </cell>
          <cell r="K863" t="str">
            <v>KINGSFORD MANUFACTURING</v>
          </cell>
          <cell r="L863" t="str">
            <v>OR</v>
          </cell>
          <cell r="M863" t="str">
            <v>USA</v>
          </cell>
          <cell r="N863" t="str">
            <v>C</v>
          </cell>
          <cell r="O863">
            <v>22060450</v>
          </cell>
          <cell r="P863" t="str">
            <v>V-BOR 1TN FIBC (004)</v>
          </cell>
          <cell r="Q863" t="str">
            <v>Penta</v>
          </cell>
          <cell r="R863">
            <v>6.97</v>
          </cell>
          <cell r="S863">
            <v>2083.2800000000002</v>
          </cell>
        </row>
        <row r="864">
          <cell r="A864" t="str">
            <v>Budget</v>
          </cell>
          <cell r="B864">
            <v>2</v>
          </cell>
          <cell r="C864" t="str">
            <v>Domestic</v>
          </cell>
          <cell r="D864">
            <v>1</v>
          </cell>
          <cell r="E864">
            <v>9437</v>
          </cell>
          <cell r="F864" t="str">
            <v>KINGSFORD MANUFACTURING</v>
          </cell>
          <cell r="G864" t="str">
            <v>D</v>
          </cell>
          <cell r="H864" t="str">
            <v>SPRINGFIELD</v>
          </cell>
          <cell r="I864" t="str">
            <v>OR</v>
          </cell>
          <cell r="J864" t="str">
            <v>USA</v>
          </cell>
          <cell r="K864" t="str">
            <v>KINGSFORD MANUFACTURING</v>
          </cell>
          <cell r="L864" t="str">
            <v>OR</v>
          </cell>
          <cell r="M864" t="str">
            <v>USA</v>
          </cell>
          <cell r="N864" t="str">
            <v>C</v>
          </cell>
          <cell r="O864">
            <v>22060453</v>
          </cell>
          <cell r="P864" t="str">
            <v>V-BOR 2500LB FIBC (004)</v>
          </cell>
          <cell r="Q864" t="str">
            <v>Penta</v>
          </cell>
          <cell r="R864">
            <v>38.83</v>
          </cell>
          <cell r="S864">
            <v>11829.16</v>
          </cell>
        </row>
        <row r="865">
          <cell r="A865" t="str">
            <v>Budget</v>
          </cell>
          <cell r="B865">
            <v>2</v>
          </cell>
          <cell r="C865" t="str">
            <v>Domestic</v>
          </cell>
          <cell r="D865">
            <v>1</v>
          </cell>
          <cell r="E865">
            <v>9441</v>
          </cell>
          <cell r="F865" t="str">
            <v>HARQUAHALA GENERATING</v>
          </cell>
          <cell r="G865" t="str">
            <v>D</v>
          </cell>
          <cell r="H865" t="str">
            <v>TONOPAH</v>
          </cell>
          <cell r="I865" t="str">
            <v>AZ</v>
          </cell>
          <cell r="J865" t="str">
            <v>USA</v>
          </cell>
          <cell r="K865" t="str">
            <v>UNIVAR USA</v>
          </cell>
          <cell r="L865" t="str">
            <v>AZ</v>
          </cell>
          <cell r="M865" t="str">
            <v>USA</v>
          </cell>
          <cell r="N865" t="str">
            <v>D</v>
          </cell>
          <cell r="O865">
            <v>30210100</v>
          </cell>
          <cell r="P865" t="str">
            <v>SODA ASH DENSE BULK</v>
          </cell>
          <cell r="Q865" t="str">
            <v>Soda Ash</v>
          </cell>
          <cell r="R865">
            <v>40.950000000000003</v>
          </cell>
          <cell r="S865">
            <v>3746.54</v>
          </cell>
        </row>
        <row r="866">
          <cell r="A866" t="str">
            <v>Budget</v>
          </cell>
          <cell r="B866">
            <v>2</v>
          </cell>
          <cell r="C866" t="str">
            <v>Domestic</v>
          </cell>
          <cell r="D866">
            <v>1</v>
          </cell>
          <cell r="E866">
            <v>9444</v>
          </cell>
          <cell r="F866" t="str">
            <v>PACIFICA CHEMICAL</v>
          </cell>
          <cell r="G866" t="str">
            <v>D</v>
          </cell>
          <cell r="H866" t="str">
            <v>COMPTON</v>
          </cell>
          <cell r="I866" t="str">
            <v>CA</v>
          </cell>
          <cell r="J866" t="str">
            <v>USA</v>
          </cell>
          <cell r="K866" t="str">
            <v>BRENNTAG WEST, INC.</v>
          </cell>
          <cell r="L866" t="str">
            <v>CA</v>
          </cell>
          <cell r="M866" t="str">
            <v>USA</v>
          </cell>
          <cell r="N866" t="str">
            <v>D</v>
          </cell>
          <cell r="O866">
            <v>40150410</v>
          </cell>
          <cell r="P866" t="str">
            <v>SODIUM SULFATE CRS 50LB BAG</v>
          </cell>
          <cell r="Q866" t="str">
            <v>Sodium Sulfate</v>
          </cell>
          <cell r="R866">
            <v>26.35</v>
          </cell>
          <cell r="S866">
            <v>5137.3999999999996</v>
          </cell>
        </row>
        <row r="867">
          <cell r="A867" t="str">
            <v>Budget</v>
          </cell>
          <cell r="B867">
            <v>2</v>
          </cell>
          <cell r="C867" t="str">
            <v>Domestic</v>
          </cell>
          <cell r="D867">
            <v>1</v>
          </cell>
          <cell r="E867">
            <v>9451</v>
          </cell>
          <cell r="F867" t="str">
            <v>KINGSFORD MANUFACTURING</v>
          </cell>
          <cell r="G867" t="str">
            <v>D</v>
          </cell>
          <cell r="H867" t="str">
            <v>SUMMER SHADE</v>
          </cell>
          <cell r="I867" t="str">
            <v>KY</v>
          </cell>
          <cell r="J867" t="str">
            <v>USA</v>
          </cell>
          <cell r="K867" t="str">
            <v>KINGSFORD MANUFACTURING</v>
          </cell>
          <cell r="L867" t="str">
            <v>KY</v>
          </cell>
          <cell r="M867" t="str">
            <v>USA</v>
          </cell>
          <cell r="N867" t="str">
            <v>C</v>
          </cell>
          <cell r="O867">
            <v>22060453</v>
          </cell>
          <cell r="P867" t="str">
            <v>V-BOR 2500LB FIBC (004)</v>
          </cell>
          <cell r="Q867" t="str">
            <v>Penta</v>
          </cell>
          <cell r="R867">
            <v>14.26</v>
          </cell>
          <cell r="S867">
            <v>3915.08</v>
          </cell>
        </row>
        <row r="868">
          <cell r="A868" t="str">
            <v>Budget</v>
          </cell>
          <cell r="B868">
            <v>2</v>
          </cell>
          <cell r="C868" t="str">
            <v>Domestic</v>
          </cell>
          <cell r="D868">
            <v>1</v>
          </cell>
          <cell r="E868">
            <v>9454</v>
          </cell>
          <cell r="F868" t="str">
            <v>WESTCO CHEMICALS, INC.</v>
          </cell>
          <cell r="G868" t="str">
            <v>D</v>
          </cell>
          <cell r="H868" t="str">
            <v>SALT LAKE CITY</v>
          </cell>
          <cell r="I868" t="str">
            <v>UT</v>
          </cell>
          <cell r="J868" t="str">
            <v>USA</v>
          </cell>
          <cell r="K868" t="str">
            <v>WESTCO CHEMICALS, INC.</v>
          </cell>
          <cell r="L868" t="str">
            <v>CA</v>
          </cell>
          <cell r="M868" t="str">
            <v>USA</v>
          </cell>
          <cell r="N868" t="str">
            <v>D</v>
          </cell>
          <cell r="O868">
            <v>24629720</v>
          </cell>
          <cell r="P868" t="str">
            <v>BORIC ACID EP GRAN 25KG BAG</v>
          </cell>
          <cell r="Q868" t="str">
            <v>HP Boric Acid (SCL)</v>
          </cell>
          <cell r="R868">
            <v>0.17</v>
          </cell>
          <cell r="S868">
            <v>237.3</v>
          </cell>
        </row>
        <row r="869">
          <cell r="A869" t="str">
            <v>Budget</v>
          </cell>
          <cell r="B869">
            <v>2</v>
          </cell>
          <cell r="C869" t="str">
            <v>Domestic</v>
          </cell>
          <cell r="D869">
            <v>1</v>
          </cell>
          <cell r="E869">
            <v>9455</v>
          </cell>
          <cell r="F869" t="str">
            <v>KINGSFORD MANUFACTURING</v>
          </cell>
          <cell r="G869" t="str">
            <v>D</v>
          </cell>
          <cell r="H869" t="str">
            <v>BELLE</v>
          </cell>
          <cell r="I869" t="str">
            <v>MO</v>
          </cell>
          <cell r="J869" t="str">
            <v>USA</v>
          </cell>
          <cell r="K869" t="str">
            <v>KINGSFORD MANUFACTURING</v>
          </cell>
          <cell r="L869" t="str">
            <v>MO</v>
          </cell>
          <cell r="M869" t="str">
            <v>USA</v>
          </cell>
          <cell r="N869" t="str">
            <v>C</v>
          </cell>
          <cell r="O869">
            <v>22060410</v>
          </cell>
          <cell r="P869" t="str">
            <v>V-BOR 50LB BAG (004)</v>
          </cell>
          <cell r="Q869" t="str">
            <v>Penta</v>
          </cell>
          <cell r="R869">
            <v>6.99</v>
          </cell>
          <cell r="S869">
            <v>2088.46</v>
          </cell>
        </row>
        <row r="870">
          <cell r="A870" t="str">
            <v>Budget</v>
          </cell>
          <cell r="B870">
            <v>2</v>
          </cell>
          <cell r="C870" t="str">
            <v>Domestic</v>
          </cell>
          <cell r="D870">
            <v>1</v>
          </cell>
          <cell r="E870">
            <v>9455</v>
          </cell>
          <cell r="F870" t="str">
            <v>KINGSFORD MANUFACTURING</v>
          </cell>
          <cell r="G870" t="str">
            <v>D</v>
          </cell>
          <cell r="H870" t="str">
            <v>BELLE</v>
          </cell>
          <cell r="I870" t="str">
            <v>MO</v>
          </cell>
          <cell r="J870" t="str">
            <v>USA</v>
          </cell>
          <cell r="K870" t="str">
            <v>KINGSFORD MANUFACTURING</v>
          </cell>
          <cell r="L870" t="str">
            <v>MO</v>
          </cell>
          <cell r="M870" t="str">
            <v>USA</v>
          </cell>
          <cell r="N870" t="str">
            <v>C</v>
          </cell>
          <cell r="O870">
            <v>22060450</v>
          </cell>
          <cell r="P870" t="str">
            <v>V-BOR 1TN FIBC (004)</v>
          </cell>
          <cell r="Q870" t="str">
            <v>Penta</v>
          </cell>
          <cell r="R870">
            <v>38.19</v>
          </cell>
          <cell r="S870">
            <v>11440.95</v>
          </cell>
        </row>
        <row r="871">
          <cell r="A871" t="str">
            <v>Budget</v>
          </cell>
          <cell r="B871">
            <v>2</v>
          </cell>
          <cell r="C871" t="str">
            <v>Domestic</v>
          </cell>
          <cell r="D871">
            <v>1</v>
          </cell>
          <cell r="E871">
            <v>9468</v>
          </cell>
          <cell r="F871" t="str">
            <v>BRENNTAG WEST, INC.</v>
          </cell>
          <cell r="G871" t="str">
            <v>D</v>
          </cell>
          <cell r="H871" t="str">
            <v>OAKLAND</v>
          </cell>
          <cell r="I871" t="str">
            <v>CA</v>
          </cell>
          <cell r="J871" t="str">
            <v>USA</v>
          </cell>
          <cell r="K871" t="str">
            <v>BRENNTAG WEST, INC.</v>
          </cell>
          <cell r="L871" t="str">
            <v>CA</v>
          </cell>
          <cell r="M871" t="str">
            <v>USA</v>
          </cell>
          <cell r="N871" t="str">
            <v>D</v>
          </cell>
          <cell r="O871">
            <v>20060210</v>
          </cell>
          <cell r="P871" t="str">
            <v>PYROBOR 50LB BAG (002)</v>
          </cell>
          <cell r="Q871" t="str">
            <v>Pyrobor</v>
          </cell>
          <cell r="R871">
            <v>0.78</v>
          </cell>
          <cell r="S871">
            <v>633.63</v>
          </cell>
        </row>
        <row r="872">
          <cell r="A872" t="str">
            <v>Budget</v>
          </cell>
          <cell r="B872">
            <v>2</v>
          </cell>
          <cell r="C872" t="str">
            <v>Domestic</v>
          </cell>
          <cell r="D872">
            <v>1</v>
          </cell>
          <cell r="E872">
            <v>9468</v>
          </cell>
          <cell r="F872" t="str">
            <v>BRENNTAG WEST, INC.</v>
          </cell>
          <cell r="G872" t="str">
            <v>D</v>
          </cell>
          <cell r="H872" t="str">
            <v>OAKLAND</v>
          </cell>
          <cell r="I872" t="str">
            <v>CA</v>
          </cell>
          <cell r="J872" t="str">
            <v>USA</v>
          </cell>
          <cell r="K872" t="str">
            <v>BRENNTAG WEST, INC.</v>
          </cell>
          <cell r="L872" t="str">
            <v>CA</v>
          </cell>
          <cell r="M872" t="str">
            <v>USA</v>
          </cell>
          <cell r="N872" t="str">
            <v>D</v>
          </cell>
          <cell r="O872">
            <v>30210110</v>
          </cell>
          <cell r="P872" t="str">
            <v>SODA ASH DENSE 50LB BAG</v>
          </cell>
          <cell r="Q872" t="str">
            <v>Soda Ash</v>
          </cell>
          <cell r="R872">
            <v>0.57999999999999996</v>
          </cell>
          <cell r="S872">
            <v>97.84</v>
          </cell>
        </row>
        <row r="873">
          <cell r="A873" t="str">
            <v>Budget</v>
          </cell>
          <cell r="B873">
            <v>2</v>
          </cell>
          <cell r="C873" t="str">
            <v>Domestic</v>
          </cell>
          <cell r="D873">
            <v>1</v>
          </cell>
          <cell r="E873">
            <v>9476</v>
          </cell>
          <cell r="F873" t="str">
            <v>SPRECKELS SUGAR COMPANY</v>
          </cell>
          <cell r="G873" t="str">
            <v>D</v>
          </cell>
          <cell r="H873" t="str">
            <v>MENDOTA</v>
          </cell>
          <cell r="I873" t="str">
            <v>CA</v>
          </cell>
          <cell r="J873" t="str">
            <v>USA</v>
          </cell>
          <cell r="K873" t="str">
            <v>BRENNTAG WEST, INC.</v>
          </cell>
          <cell r="L873" t="str">
            <v>CA</v>
          </cell>
          <cell r="M873" t="str">
            <v>USA</v>
          </cell>
          <cell r="N873" t="str">
            <v>D</v>
          </cell>
          <cell r="O873">
            <v>30210110</v>
          </cell>
          <cell r="P873" t="str">
            <v>SODA ASH DENSE 50LB BAG</v>
          </cell>
          <cell r="Q873" t="str">
            <v>Soda Ash</v>
          </cell>
          <cell r="R873">
            <v>24.23</v>
          </cell>
          <cell r="S873">
            <v>3718.34</v>
          </cell>
        </row>
        <row r="874">
          <cell r="A874" t="str">
            <v>Budget</v>
          </cell>
          <cell r="B874">
            <v>2</v>
          </cell>
          <cell r="C874" t="str">
            <v>Domestic</v>
          </cell>
          <cell r="D874">
            <v>1</v>
          </cell>
          <cell r="E874">
            <v>9490</v>
          </cell>
          <cell r="F874" t="str">
            <v>IONICS</v>
          </cell>
          <cell r="G874" t="str">
            <v>D</v>
          </cell>
          <cell r="H874" t="str">
            <v>HINKLEY</v>
          </cell>
          <cell r="I874" t="str">
            <v>CA</v>
          </cell>
          <cell r="J874" t="str">
            <v>USA</v>
          </cell>
          <cell r="K874" t="str">
            <v>BRENNTAG WEST, INC.</v>
          </cell>
          <cell r="L874" t="str">
            <v>CA</v>
          </cell>
          <cell r="M874" t="str">
            <v>USA</v>
          </cell>
          <cell r="N874" t="str">
            <v>D</v>
          </cell>
          <cell r="O874">
            <v>30210100</v>
          </cell>
          <cell r="P874" t="str">
            <v>SODA ASH DENSE BULK</v>
          </cell>
          <cell r="Q874" t="str">
            <v>Soda Ash</v>
          </cell>
          <cell r="R874">
            <v>28.52</v>
          </cell>
          <cell r="S874">
            <v>3186.48</v>
          </cell>
        </row>
        <row r="875">
          <cell r="A875" t="str">
            <v>Budget</v>
          </cell>
          <cell r="B875">
            <v>2</v>
          </cell>
          <cell r="C875" t="str">
            <v>Domestic</v>
          </cell>
          <cell r="D875">
            <v>1</v>
          </cell>
          <cell r="E875">
            <v>9491</v>
          </cell>
          <cell r="F875" t="str">
            <v>E &amp; J DYE HOUSE INC.</v>
          </cell>
          <cell r="G875" t="str">
            <v>D</v>
          </cell>
          <cell r="H875" t="str">
            <v>HAWTHORNE</v>
          </cell>
          <cell r="I875" t="str">
            <v>CA</v>
          </cell>
          <cell r="J875" t="str">
            <v>USA</v>
          </cell>
          <cell r="K875" t="str">
            <v>UNIVAR USA</v>
          </cell>
          <cell r="L875" t="str">
            <v>CA</v>
          </cell>
          <cell r="M875" t="str">
            <v>USA</v>
          </cell>
          <cell r="N875" t="str">
            <v>D</v>
          </cell>
          <cell r="O875">
            <v>40060410</v>
          </cell>
          <cell r="P875" t="str">
            <v>SODIUM SULFATE STD 50LB BAG</v>
          </cell>
          <cell r="Q875" t="str">
            <v>Sodium Sulfate</v>
          </cell>
          <cell r="R875">
            <v>3.76</v>
          </cell>
          <cell r="S875">
            <v>707.57</v>
          </cell>
        </row>
        <row r="876">
          <cell r="A876" t="str">
            <v>Budget</v>
          </cell>
          <cell r="B876">
            <v>2</v>
          </cell>
          <cell r="C876" t="str">
            <v>Domestic</v>
          </cell>
          <cell r="D876">
            <v>1</v>
          </cell>
          <cell r="E876">
            <v>9508</v>
          </cell>
          <cell r="F876" t="str">
            <v>CITY OF LAS VEGAS</v>
          </cell>
          <cell r="G876" t="str">
            <v>D</v>
          </cell>
          <cell r="H876" t="str">
            <v>LAS VEGAS</v>
          </cell>
          <cell r="I876" t="str">
            <v>NV</v>
          </cell>
          <cell r="J876" t="str">
            <v>USA</v>
          </cell>
          <cell r="K876" t="str">
            <v>BRENNTAG WEST, INC.</v>
          </cell>
          <cell r="L876" t="str">
            <v>CA</v>
          </cell>
          <cell r="M876" t="str">
            <v>USA</v>
          </cell>
          <cell r="N876" t="str">
            <v>D</v>
          </cell>
          <cell r="O876">
            <v>30210100</v>
          </cell>
          <cell r="P876" t="str">
            <v>SODA ASH DENSE BULK</v>
          </cell>
          <cell r="Q876" t="str">
            <v>Soda Ash</v>
          </cell>
          <cell r="R876">
            <v>4.2</v>
          </cell>
          <cell r="S876">
            <v>369.13</v>
          </cell>
        </row>
        <row r="877">
          <cell r="A877" t="str">
            <v>Budget</v>
          </cell>
          <cell r="B877">
            <v>2</v>
          </cell>
          <cell r="C877" t="str">
            <v>Domestic</v>
          </cell>
          <cell r="D877">
            <v>2</v>
          </cell>
          <cell r="E877">
            <v>5097</v>
          </cell>
          <cell r="F877" t="str">
            <v>CASCADE COLUMBIA DIST. CO.</v>
          </cell>
          <cell r="G877" t="str">
            <v>D</v>
          </cell>
          <cell r="H877" t="str">
            <v>SEATTLE</v>
          </cell>
          <cell r="I877" t="str">
            <v>WA</v>
          </cell>
          <cell r="J877" t="str">
            <v>USA</v>
          </cell>
          <cell r="K877" t="str">
            <v>CASCADE COLUMBIA DIST. CO.</v>
          </cell>
          <cell r="L877" t="str">
            <v>WA</v>
          </cell>
          <cell r="M877" t="str">
            <v>USA</v>
          </cell>
          <cell r="N877" t="str">
            <v>D</v>
          </cell>
          <cell r="O877">
            <v>22060410</v>
          </cell>
          <cell r="P877" t="str">
            <v>V-BOR 50LB BAG (004)</v>
          </cell>
          <cell r="Q877" t="str">
            <v>Penta</v>
          </cell>
          <cell r="R877">
            <v>7.96</v>
          </cell>
          <cell r="S877">
            <v>3271.21</v>
          </cell>
        </row>
        <row r="878">
          <cell r="A878" t="str">
            <v>Budget</v>
          </cell>
          <cell r="B878">
            <v>2</v>
          </cell>
          <cell r="C878" t="str">
            <v>Domestic</v>
          </cell>
          <cell r="D878">
            <v>2</v>
          </cell>
          <cell r="E878">
            <v>5097</v>
          </cell>
          <cell r="F878" t="str">
            <v>CASCADE COLUMBIA DIST. CO.</v>
          </cell>
          <cell r="G878" t="str">
            <v>D</v>
          </cell>
          <cell r="H878" t="str">
            <v>SEATTLE</v>
          </cell>
          <cell r="I878" t="str">
            <v>WA</v>
          </cell>
          <cell r="J878" t="str">
            <v>USA</v>
          </cell>
          <cell r="K878" t="str">
            <v>CASCADE COLUMBIA DIST. CO.</v>
          </cell>
          <cell r="L878" t="str">
            <v>WA</v>
          </cell>
          <cell r="M878" t="str">
            <v>USA</v>
          </cell>
          <cell r="N878" t="str">
            <v>D</v>
          </cell>
          <cell r="O878">
            <v>22060460</v>
          </cell>
          <cell r="P878" t="str">
            <v>V-BOR 1800LB FIBC (004)</v>
          </cell>
          <cell r="Q878" t="str">
            <v>Penta</v>
          </cell>
          <cell r="R878">
            <v>1.85</v>
          </cell>
          <cell r="S878">
            <v>762.03</v>
          </cell>
        </row>
        <row r="879">
          <cell r="A879" t="str">
            <v>Budget</v>
          </cell>
          <cell r="B879">
            <v>2</v>
          </cell>
          <cell r="C879" t="str">
            <v>Domestic</v>
          </cell>
          <cell r="D879">
            <v>2</v>
          </cell>
          <cell r="E879">
            <v>5097</v>
          </cell>
          <cell r="F879" t="str">
            <v>CASCADE COLUMBIA DIST. CO.</v>
          </cell>
          <cell r="G879" t="str">
            <v>D</v>
          </cell>
          <cell r="H879" t="str">
            <v>SEATTLE</v>
          </cell>
          <cell r="I879" t="str">
            <v>WA</v>
          </cell>
          <cell r="J879" t="str">
            <v>USA</v>
          </cell>
          <cell r="K879" t="str">
            <v>CASCADE COLUMBIA DIST. CO.</v>
          </cell>
          <cell r="L879" t="str">
            <v>WA</v>
          </cell>
          <cell r="M879" t="str">
            <v>USA</v>
          </cell>
          <cell r="N879" t="str">
            <v>D</v>
          </cell>
          <cell r="O879">
            <v>24090210</v>
          </cell>
          <cell r="P879" t="str">
            <v>BORIC ACID GRAN TECH 50LB BAG</v>
          </cell>
          <cell r="Q879" t="str">
            <v>Boric Acid</v>
          </cell>
          <cell r="R879">
            <v>2.38</v>
          </cell>
          <cell r="S879">
            <v>1663.93</v>
          </cell>
        </row>
        <row r="880">
          <cell r="A880" t="str">
            <v>Budget</v>
          </cell>
          <cell r="B880">
            <v>2</v>
          </cell>
          <cell r="C880" t="str">
            <v>Domestic</v>
          </cell>
          <cell r="D880">
            <v>2</v>
          </cell>
          <cell r="E880">
            <v>5097</v>
          </cell>
          <cell r="F880" t="str">
            <v>CASCADE COLUMBIA DIST. CO.</v>
          </cell>
          <cell r="G880" t="str">
            <v>D</v>
          </cell>
          <cell r="H880" t="str">
            <v>SEATTLE</v>
          </cell>
          <cell r="I880" t="str">
            <v>WA</v>
          </cell>
          <cell r="J880" t="str">
            <v>USA</v>
          </cell>
          <cell r="K880" t="str">
            <v>CASCADE COLUMBIA DIST. CO.</v>
          </cell>
          <cell r="L880" t="str">
            <v>WA</v>
          </cell>
          <cell r="M880" t="str">
            <v>USA</v>
          </cell>
          <cell r="N880" t="str">
            <v>D</v>
          </cell>
          <cell r="O880">
            <v>40060410</v>
          </cell>
          <cell r="P880" t="str">
            <v>SODIUM SULFATE STD 50LB BAG</v>
          </cell>
          <cell r="Q880" t="str">
            <v>Sodium Sulfate</v>
          </cell>
          <cell r="R880">
            <v>5.55</v>
          </cell>
          <cell r="S880">
            <v>1039.96</v>
          </cell>
        </row>
        <row r="881">
          <cell r="A881" t="str">
            <v>Budget</v>
          </cell>
          <cell r="B881">
            <v>2</v>
          </cell>
          <cell r="C881" t="str">
            <v>Domestic</v>
          </cell>
          <cell r="D881">
            <v>2</v>
          </cell>
          <cell r="E881">
            <v>5219</v>
          </cell>
          <cell r="F881" t="str">
            <v>HARCROS CHEMICAL INC</v>
          </cell>
          <cell r="G881" t="str">
            <v>D</v>
          </cell>
          <cell r="H881" t="str">
            <v>ST LOUIS</v>
          </cell>
          <cell r="I881" t="str">
            <v>MO</v>
          </cell>
          <cell r="J881" t="str">
            <v>USA</v>
          </cell>
          <cell r="K881" t="str">
            <v>HARCROS CHEMICAL INC</v>
          </cell>
          <cell r="L881" t="str">
            <v>MO</v>
          </cell>
          <cell r="M881" t="str">
            <v>USA</v>
          </cell>
          <cell r="N881" t="str">
            <v>D</v>
          </cell>
          <cell r="O881">
            <v>40060410</v>
          </cell>
          <cell r="P881" t="str">
            <v>SODIUM SULFATE STD 50LB BAG</v>
          </cell>
          <cell r="Q881" t="str">
            <v>Sodium Sulfate</v>
          </cell>
          <cell r="R881">
            <v>6.54</v>
          </cell>
          <cell r="S881">
            <v>1042.46</v>
          </cell>
        </row>
        <row r="882">
          <cell r="A882" t="str">
            <v>Budget</v>
          </cell>
          <cell r="B882">
            <v>2</v>
          </cell>
          <cell r="C882" t="str">
            <v>Domestic</v>
          </cell>
          <cell r="D882">
            <v>2</v>
          </cell>
          <cell r="E882">
            <v>5219</v>
          </cell>
          <cell r="F882" t="str">
            <v>HARCROS CHEMICAL INC</v>
          </cell>
          <cell r="G882" t="str">
            <v>D</v>
          </cell>
          <cell r="H882" t="str">
            <v>ST LOUIS</v>
          </cell>
          <cell r="I882" t="str">
            <v>MO</v>
          </cell>
          <cell r="J882" t="str">
            <v>USA</v>
          </cell>
          <cell r="K882" t="str">
            <v>HARCROS CHEMICAL INC</v>
          </cell>
          <cell r="L882" t="str">
            <v>MO</v>
          </cell>
          <cell r="M882" t="str">
            <v>USA</v>
          </cell>
          <cell r="N882" t="str">
            <v>D</v>
          </cell>
          <cell r="O882">
            <v>40150410</v>
          </cell>
          <cell r="P882" t="str">
            <v>SODIUM SULFATE CRS 50LB BAG</v>
          </cell>
          <cell r="Q882" t="str">
            <v>Sodium Sulfate</v>
          </cell>
          <cell r="R882">
            <v>0.2</v>
          </cell>
          <cell r="S882">
            <v>31.87</v>
          </cell>
        </row>
        <row r="883">
          <cell r="A883" t="str">
            <v>Budget</v>
          </cell>
          <cell r="B883">
            <v>2</v>
          </cell>
          <cell r="C883" t="str">
            <v>Domestic</v>
          </cell>
          <cell r="D883">
            <v>2</v>
          </cell>
          <cell r="E883">
            <v>5232</v>
          </cell>
          <cell r="F883" t="str">
            <v>IDEAL CHEMICAL &amp; SUPPLY CO</v>
          </cell>
          <cell r="G883" t="str">
            <v>D</v>
          </cell>
          <cell r="H883" t="str">
            <v>MEMPHIS</v>
          </cell>
          <cell r="I883" t="str">
            <v>TN</v>
          </cell>
          <cell r="J883" t="str">
            <v>USA</v>
          </cell>
          <cell r="K883" t="str">
            <v>IDEAL CHEMICAL &amp; SUPPLY CO</v>
          </cell>
          <cell r="L883" t="str">
            <v>TN</v>
          </cell>
          <cell r="M883" t="str">
            <v>USA</v>
          </cell>
          <cell r="N883" t="str">
            <v>D</v>
          </cell>
          <cell r="O883">
            <v>22060410</v>
          </cell>
          <cell r="P883" t="str">
            <v>V-BOR 50LB BAG (004)</v>
          </cell>
          <cell r="Q883" t="str">
            <v>Penta</v>
          </cell>
          <cell r="R883">
            <v>6.99</v>
          </cell>
          <cell r="S883">
            <v>1772.78</v>
          </cell>
        </row>
        <row r="884">
          <cell r="A884" t="str">
            <v>Budget</v>
          </cell>
          <cell r="B884">
            <v>2</v>
          </cell>
          <cell r="C884" t="str">
            <v>Domestic</v>
          </cell>
          <cell r="D884">
            <v>2</v>
          </cell>
          <cell r="E884">
            <v>5232</v>
          </cell>
          <cell r="F884" t="str">
            <v>IDEAL CHEMICAL &amp; SUPPLY CO</v>
          </cell>
          <cell r="G884" t="str">
            <v>D</v>
          </cell>
          <cell r="H884" t="str">
            <v>MEMPHIS</v>
          </cell>
          <cell r="I884" t="str">
            <v>TN</v>
          </cell>
          <cell r="J884" t="str">
            <v>USA</v>
          </cell>
          <cell r="K884" t="str">
            <v>IDEAL CHEMICAL &amp; SUPPLY CO</v>
          </cell>
          <cell r="L884" t="str">
            <v>TN</v>
          </cell>
          <cell r="M884" t="str">
            <v>USA</v>
          </cell>
          <cell r="N884" t="str">
            <v>D</v>
          </cell>
          <cell r="O884">
            <v>24090210</v>
          </cell>
          <cell r="P884" t="str">
            <v>BORIC ACID GRAN TECH 50LB BAG</v>
          </cell>
          <cell r="Q884" t="str">
            <v>Boric Acid</v>
          </cell>
          <cell r="R884">
            <v>2.38</v>
          </cell>
          <cell r="S884">
            <v>1822.36</v>
          </cell>
        </row>
        <row r="885">
          <cell r="A885" t="str">
            <v>Budget</v>
          </cell>
          <cell r="B885">
            <v>2</v>
          </cell>
          <cell r="C885" t="str">
            <v>Domestic</v>
          </cell>
          <cell r="D885">
            <v>2</v>
          </cell>
          <cell r="E885">
            <v>5333</v>
          </cell>
          <cell r="F885" t="str">
            <v>G.S. ROBINS &amp; CO.</v>
          </cell>
          <cell r="G885" t="str">
            <v>D</v>
          </cell>
          <cell r="H885" t="str">
            <v>ST LOUIS</v>
          </cell>
          <cell r="I885" t="str">
            <v>MO</v>
          </cell>
          <cell r="J885" t="str">
            <v>USA</v>
          </cell>
          <cell r="K885" t="str">
            <v>G.S. ROBINS &amp; CO.</v>
          </cell>
          <cell r="L885" t="str">
            <v>MO</v>
          </cell>
          <cell r="M885" t="str">
            <v>USA</v>
          </cell>
          <cell r="N885" t="str">
            <v>D</v>
          </cell>
          <cell r="O885">
            <v>22060410</v>
          </cell>
          <cell r="P885" t="str">
            <v>V-BOR 50LB BAG (004)</v>
          </cell>
          <cell r="Q885" t="str">
            <v>Penta</v>
          </cell>
          <cell r="R885">
            <v>3.11</v>
          </cell>
          <cell r="S885">
            <v>1110.54</v>
          </cell>
        </row>
        <row r="886">
          <cell r="A886" t="str">
            <v>Budget</v>
          </cell>
          <cell r="B886">
            <v>2</v>
          </cell>
          <cell r="C886" t="str">
            <v>Domestic</v>
          </cell>
          <cell r="D886">
            <v>2</v>
          </cell>
          <cell r="E886">
            <v>5333</v>
          </cell>
          <cell r="F886" t="str">
            <v>G.S. ROBINS &amp; CO.</v>
          </cell>
          <cell r="G886" t="str">
            <v>D</v>
          </cell>
          <cell r="H886" t="str">
            <v>ST LOUIS</v>
          </cell>
          <cell r="I886" t="str">
            <v>MO</v>
          </cell>
          <cell r="J886" t="str">
            <v>USA</v>
          </cell>
          <cell r="K886" t="str">
            <v>G.S. ROBINS &amp; CO.</v>
          </cell>
          <cell r="L886" t="str">
            <v>MO</v>
          </cell>
          <cell r="M886" t="str">
            <v>USA</v>
          </cell>
          <cell r="N886" t="str">
            <v>D</v>
          </cell>
          <cell r="O886">
            <v>24030210</v>
          </cell>
          <cell r="P886" t="str">
            <v>BORIC ACID PWD TECH 50LB BAG</v>
          </cell>
          <cell r="Q886" t="str">
            <v>Boric Acid</v>
          </cell>
          <cell r="R886">
            <v>0.38</v>
          </cell>
          <cell r="S886">
            <v>267.95999999999998</v>
          </cell>
        </row>
        <row r="887">
          <cell r="A887" t="str">
            <v>Budget</v>
          </cell>
          <cell r="B887">
            <v>2</v>
          </cell>
          <cell r="C887" t="str">
            <v>Domestic</v>
          </cell>
          <cell r="D887">
            <v>2</v>
          </cell>
          <cell r="E887">
            <v>5544</v>
          </cell>
          <cell r="F887" t="str">
            <v>JONES FIBER PRODUCTS INC</v>
          </cell>
          <cell r="G887" t="str">
            <v>D</v>
          </cell>
          <cell r="H887" t="str">
            <v>MEMPHIS</v>
          </cell>
          <cell r="I887" t="str">
            <v>TN</v>
          </cell>
          <cell r="J887" t="str">
            <v>USA</v>
          </cell>
          <cell r="K887" t="str">
            <v>UNIVAR USA</v>
          </cell>
          <cell r="L887" t="str">
            <v>TN</v>
          </cell>
          <cell r="M887" t="str">
            <v>USA</v>
          </cell>
          <cell r="N887" t="str">
            <v>D</v>
          </cell>
          <cell r="O887">
            <v>24090283</v>
          </cell>
          <cell r="P887" t="str">
            <v>BORIC ACID GRN TCH 2500LB FIBC</v>
          </cell>
          <cell r="Q887" t="str">
            <v>Boric Acid</v>
          </cell>
          <cell r="R887">
            <v>27.73</v>
          </cell>
          <cell r="S887">
            <v>12696.65</v>
          </cell>
        </row>
        <row r="888">
          <cell r="A888" t="str">
            <v>Budget</v>
          </cell>
          <cell r="B888">
            <v>2</v>
          </cell>
          <cell r="C888" t="str">
            <v>Domestic</v>
          </cell>
          <cell r="D888">
            <v>2</v>
          </cell>
          <cell r="E888">
            <v>5556</v>
          </cell>
          <cell r="F888" t="str">
            <v>WOLF CREEK GENERATING STATION</v>
          </cell>
          <cell r="G888" t="str">
            <v>D</v>
          </cell>
          <cell r="H888" t="str">
            <v>BURLINGTON</v>
          </cell>
          <cell r="I888" t="str">
            <v>KS</v>
          </cell>
          <cell r="J888" t="str">
            <v>USA</v>
          </cell>
          <cell r="K888" t="str">
            <v>WOLF CREEK NUCLEAR OPERATING</v>
          </cell>
          <cell r="L888" t="str">
            <v>KS</v>
          </cell>
          <cell r="M888" t="str">
            <v>USA</v>
          </cell>
          <cell r="N888" t="str">
            <v>C</v>
          </cell>
          <cell r="O888">
            <v>24609792</v>
          </cell>
          <cell r="P888" t="str">
            <v>BORIC ACID NS 150KG DRUM</v>
          </cell>
          <cell r="Q888" t="str">
            <v>HP Boric Acid (SCL)</v>
          </cell>
          <cell r="R888">
            <v>2.1</v>
          </cell>
          <cell r="S888">
            <v>3375.79</v>
          </cell>
        </row>
        <row r="889">
          <cell r="A889" t="str">
            <v>Budget</v>
          </cell>
          <cell r="B889">
            <v>2</v>
          </cell>
          <cell r="C889" t="str">
            <v>Domestic</v>
          </cell>
          <cell r="D889">
            <v>2</v>
          </cell>
          <cell r="E889">
            <v>6365</v>
          </cell>
          <cell r="F889" t="str">
            <v>SPECTRUM GLASS</v>
          </cell>
          <cell r="G889" t="str">
            <v>D</v>
          </cell>
          <cell r="H889" t="str">
            <v>WOODINVILLE</v>
          </cell>
          <cell r="I889" t="str">
            <v>WA</v>
          </cell>
          <cell r="J889" t="str">
            <v>USA</v>
          </cell>
          <cell r="K889" t="str">
            <v>CASCADE COLUMBIA DIST. CO.</v>
          </cell>
          <cell r="L889" t="str">
            <v>WA</v>
          </cell>
          <cell r="M889" t="str">
            <v>USA</v>
          </cell>
          <cell r="N889" t="str">
            <v>D</v>
          </cell>
          <cell r="O889">
            <v>20310250</v>
          </cell>
          <cell r="P889" t="str">
            <v>PYROBOR 30/100 1TN FIBC (002)</v>
          </cell>
          <cell r="Q889" t="str">
            <v>Pyrobor</v>
          </cell>
          <cell r="R889">
            <v>41.84</v>
          </cell>
          <cell r="S889">
            <v>26224.91</v>
          </cell>
        </row>
        <row r="890">
          <cell r="A890" t="str">
            <v>Budget</v>
          </cell>
          <cell r="B890">
            <v>2</v>
          </cell>
          <cell r="C890" t="str">
            <v>Domestic</v>
          </cell>
          <cell r="D890">
            <v>2</v>
          </cell>
          <cell r="E890">
            <v>6564</v>
          </cell>
          <cell r="F890" t="str">
            <v>DOMTAR INC</v>
          </cell>
          <cell r="G890" t="str">
            <v>D</v>
          </cell>
          <cell r="H890" t="str">
            <v>ASHDOWN</v>
          </cell>
          <cell r="I890" t="str">
            <v>AR</v>
          </cell>
          <cell r="J890" t="str">
            <v>USA</v>
          </cell>
          <cell r="K890" t="str">
            <v>HARCROS CHEMICAL INC</v>
          </cell>
          <cell r="L890" t="str">
            <v>AR</v>
          </cell>
          <cell r="M890" t="str">
            <v>USA</v>
          </cell>
          <cell r="N890" t="str">
            <v>D</v>
          </cell>
          <cell r="O890">
            <v>40060410</v>
          </cell>
          <cell r="P890" t="str">
            <v>SODIUM SULFATE STD 50LB BAG</v>
          </cell>
          <cell r="Q890" t="str">
            <v>Sodium Sulfate</v>
          </cell>
          <cell r="R890">
            <v>124.6</v>
          </cell>
          <cell r="S890">
            <v>11213.73</v>
          </cell>
        </row>
        <row r="891">
          <cell r="A891" t="str">
            <v>Budget</v>
          </cell>
          <cell r="B891">
            <v>2</v>
          </cell>
          <cell r="C891" t="str">
            <v>Domestic</v>
          </cell>
          <cell r="D891">
            <v>2</v>
          </cell>
          <cell r="E891">
            <v>6565</v>
          </cell>
          <cell r="F891" t="str">
            <v>HARCROS CHEMICAL INC.</v>
          </cell>
          <cell r="G891" t="str">
            <v>D</v>
          </cell>
          <cell r="H891" t="str">
            <v>LITTLE ROCK</v>
          </cell>
          <cell r="I891" t="str">
            <v>AR</v>
          </cell>
          <cell r="J891" t="str">
            <v>USA</v>
          </cell>
          <cell r="K891" t="str">
            <v>HARCROS CHEMICAL INC</v>
          </cell>
          <cell r="L891" t="str">
            <v>AR</v>
          </cell>
          <cell r="M891" t="str">
            <v>USA</v>
          </cell>
          <cell r="N891" t="str">
            <v>D</v>
          </cell>
          <cell r="O891">
            <v>40060410</v>
          </cell>
          <cell r="P891" t="str">
            <v>SODIUM SULFATE STD 50LB BAG</v>
          </cell>
          <cell r="Q891" t="str">
            <v>Sodium Sulfate</v>
          </cell>
          <cell r="R891">
            <v>7.13</v>
          </cell>
          <cell r="S891">
            <v>551.79999999999995</v>
          </cell>
        </row>
        <row r="892">
          <cell r="A892" t="str">
            <v>Budget</v>
          </cell>
          <cell r="B892">
            <v>2</v>
          </cell>
          <cell r="C892" t="str">
            <v>Domestic</v>
          </cell>
          <cell r="D892">
            <v>2</v>
          </cell>
          <cell r="E892">
            <v>6565</v>
          </cell>
          <cell r="F892" t="str">
            <v>HARCROS CHEMICAL INC.</v>
          </cell>
          <cell r="G892" t="str">
            <v>D</v>
          </cell>
          <cell r="H892" t="str">
            <v>LITTLE ROCK</v>
          </cell>
          <cell r="I892" t="str">
            <v>AR</v>
          </cell>
          <cell r="J892" t="str">
            <v>USA</v>
          </cell>
          <cell r="K892" t="str">
            <v>HARCROS CHEMICAL INC</v>
          </cell>
          <cell r="L892" t="str">
            <v>AR</v>
          </cell>
          <cell r="M892" t="str">
            <v>USA</v>
          </cell>
          <cell r="N892" t="str">
            <v>D</v>
          </cell>
          <cell r="O892">
            <v>40060459</v>
          </cell>
          <cell r="P892" t="str">
            <v>SODIUM SULFATE STD FIBC GEN</v>
          </cell>
          <cell r="Q892" t="str">
            <v>Sodium Sulfate</v>
          </cell>
          <cell r="R892">
            <v>21.16</v>
          </cell>
          <cell r="S892">
            <v>1623.38</v>
          </cell>
        </row>
        <row r="893">
          <cell r="A893" t="str">
            <v>Budget</v>
          </cell>
          <cell r="B893">
            <v>2</v>
          </cell>
          <cell r="C893" t="str">
            <v>Domestic</v>
          </cell>
          <cell r="D893">
            <v>2</v>
          </cell>
          <cell r="E893">
            <v>6574</v>
          </cell>
          <cell r="F893" t="str">
            <v>ALCOA ALUMINUM CO OF AMERICA</v>
          </cell>
          <cell r="G893" t="str">
            <v>D</v>
          </cell>
          <cell r="H893" t="str">
            <v>BAUXITE</v>
          </cell>
          <cell r="I893" t="str">
            <v>AR</v>
          </cell>
          <cell r="J893" t="str">
            <v>USA</v>
          </cell>
          <cell r="K893" t="str">
            <v>HEARTLAND SUPPLY, INC.</v>
          </cell>
          <cell r="L893" t="str">
            <v>AR</v>
          </cell>
          <cell r="M893" t="str">
            <v>USA</v>
          </cell>
          <cell r="N893" t="str">
            <v>D</v>
          </cell>
          <cell r="O893">
            <v>24090210</v>
          </cell>
          <cell r="P893" t="str">
            <v>BORIC ACID GRAN TECH 50LB BAG</v>
          </cell>
          <cell r="Q893" t="str">
            <v>Boric Acid</v>
          </cell>
          <cell r="R893">
            <v>3.49</v>
          </cell>
          <cell r="S893">
            <v>2113.6799999999998</v>
          </cell>
        </row>
        <row r="894">
          <cell r="A894" t="str">
            <v>Budget</v>
          </cell>
          <cell r="B894">
            <v>2</v>
          </cell>
          <cell r="C894" t="str">
            <v>Domestic</v>
          </cell>
          <cell r="D894">
            <v>2</v>
          </cell>
          <cell r="E894">
            <v>7016</v>
          </cell>
          <cell r="F894" t="str">
            <v>GEORGIA PACIFIC</v>
          </cell>
          <cell r="G894" t="str">
            <v>D</v>
          </cell>
          <cell r="H894" t="str">
            <v>ALBANY</v>
          </cell>
          <cell r="I894" t="str">
            <v>OR</v>
          </cell>
          <cell r="J894" t="str">
            <v>USA</v>
          </cell>
          <cell r="K894" t="str">
            <v>UNIVAR USA</v>
          </cell>
          <cell r="L894" t="str">
            <v>CA</v>
          </cell>
          <cell r="M894" t="str">
            <v>USA</v>
          </cell>
          <cell r="N894" t="str">
            <v>D</v>
          </cell>
          <cell r="O894">
            <v>40060410</v>
          </cell>
          <cell r="P894" t="str">
            <v>SODIUM SULFATE STD 50LB BAG</v>
          </cell>
          <cell r="Q894" t="str">
            <v>Sodium Sulfate</v>
          </cell>
          <cell r="R894">
            <v>28.52</v>
          </cell>
          <cell r="S894">
            <v>4720.82</v>
          </cell>
        </row>
        <row r="895">
          <cell r="A895" t="str">
            <v>Budget</v>
          </cell>
          <cell r="B895">
            <v>2</v>
          </cell>
          <cell r="C895" t="str">
            <v>Domestic</v>
          </cell>
          <cell r="D895">
            <v>2</v>
          </cell>
          <cell r="E895">
            <v>7215</v>
          </cell>
          <cell r="F895" t="str">
            <v>UNIVAR USA</v>
          </cell>
          <cell r="G895" t="str">
            <v>D</v>
          </cell>
          <cell r="H895" t="str">
            <v>SPOKANE</v>
          </cell>
          <cell r="I895" t="str">
            <v>WA</v>
          </cell>
          <cell r="J895" t="str">
            <v>USA</v>
          </cell>
          <cell r="K895" t="str">
            <v>UNIVAR USA</v>
          </cell>
          <cell r="L895" t="str">
            <v>WA</v>
          </cell>
          <cell r="M895" t="str">
            <v>USA</v>
          </cell>
          <cell r="N895" t="str">
            <v>D</v>
          </cell>
          <cell r="O895">
            <v>24609720</v>
          </cell>
          <cell r="P895" t="str">
            <v>BORIC ACID NS 25KG BAG</v>
          </cell>
          <cell r="Q895" t="str">
            <v>HP Boric Acid (SCL)</v>
          </cell>
          <cell r="R895">
            <v>4.9400000000000004</v>
          </cell>
          <cell r="S895">
            <v>9419.8700000000008</v>
          </cell>
        </row>
        <row r="896">
          <cell r="A896" t="str">
            <v>Budget</v>
          </cell>
          <cell r="B896">
            <v>2</v>
          </cell>
          <cell r="C896" t="str">
            <v>Domestic</v>
          </cell>
          <cell r="D896">
            <v>2</v>
          </cell>
          <cell r="E896">
            <v>7324</v>
          </cell>
          <cell r="F896" t="str">
            <v>COUNTRY SAVE</v>
          </cell>
          <cell r="G896" t="str">
            <v>D</v>
          </cell>
          <cell r="H896" t="str">
            <v>ARLINGTON</v>
          </cell>
          <cell r="I896" t="str">
            <v>WA</v>
          </cell>
          <cell r="J896" t="str">
            <v>USA</v>
          </cell>
          <cell r="K896" t="str">
            <v>UNIVAR USA</v>
          </cell>
          <cell r="L896" t="str">
            <v>WA</v>
          </cell>
          <cell r="M896" t="str">
            <v>USA</v>
          </cell>
          <cell r="N896" t="str">
            <v>D</v>
          </cell>
          <cell r="O896">
            <v>40150400</v>
          </cell>
          <cell r="P896" t="str">
            <v>SODIUM SULFATE COARSE BULK</v>
          </cell>
          <cell r="Q896" t="str">
            <v>Sodium Sulfate</v>
          </cell>
          <cell r="R896">
            <v>36.700000000000003</v>
          </cell>
          <cell r="S896">
            <v>3532.58</v>
          </cell>
        </row>
        <row r="897">
          <cell r="A897" t="str">
            <v>Budget</v>
          </cell>
          <cell r="B897">
            <v>2</v>
          </cell>
          <cell r="C897" t="str">
            <v>Domestic</v>
          </cell>
          <cell r="D897">
            <v>2</v>
          </cell>
          <cell r="E897">
            <v>7376</v>
          </cell>
          <cell r="F897" t="str">
            <v>GEORGIA PACIFIC</v>
          </cell>
          <cell r="G897" t="str">
            <v>D</v>
          </cell>
          <cell r="H897" t="str">
            <v>LOVELL</v>
          </cell>
          <cell r="I897" t="str">
            <v>WY</v>
          </cell>
          <cell r="J897" t="str">
            <v>USA</v>
          </cell>
          <cell r="K897" t="str">
            <v>UNIVAR USA</v>
          </cell>
          <cell r="L897" t="str">
            <v>CO</v>
          </cell>
          <cell r="M897" t="str">
            <v>USA</v>
          </cell>
          <cell r="N897" t="str">
            <v>D</v>
          </cell>
          <cell r="O897">
            <v>24090213</v>
          </cell>
          <cell r="P897" t="str">
            <v>BORIC ACD GRN 50LB PULPABLE BG</v>
          </cell>
          <cell r="Q897" t="str">
            <v>Boric Acid</v>
          </cell>
          <cell r="R897">
            <v>24.46</v>
          </cell>
          <cell r="S897">
            <v>12627.27</v>
          </cell>
        </row>
        <row r="898">
          <cell r="A898" t="str">
            <v>Budget</v>
          </cell>
          <cell r="B898">
            <v>2</v>
          </cell>
          <cell r="C898" t="str">
            <v>Domestic</v>
          </cell>
          <cell r="D898">
            <v>2</v>
          </cell>
          <cell r="E898">
            <v>7428</v>
          </cell>
          <cell r="F898" t="str">
            <v>CASCADE COLUMBIA DIST</v>
          </cell>
          <cell r="G898" t="str">
            <v>D</v>
          </cell>
          <cell r="H898" t="str">
            <v>SHERWOOD</v>
          </cell>
          <cell r="I898" t="str">
            <v>OR</v>
          </cell>
          <cell r="J898" t="str">
            <v>USA</v>
          </cell>
          <cell r="K898" t="str">
            <v>CASCADE COLUMBIA DIST. CO.</v>
          </cell>
          <cell r="L898" t="str">
            <v>WA</v>
          </cell>
          <cell r="M898" t="str">
            <v>USA</v>
          </cell>
          <cell r="N898" t="str">
            <v>D</v>
          </cell>
          <cell r="O898">
            <v>20060210</v>
          </cell>
          <cell r="P898" t="str">
            <v>PYROBOR 50LB BAG (002)</v>
          </cell>
          <cell r="Q898" t="str">
            <v>Pyrobor</v>
          </cell>
          <cell r="R898">
            <v>0.78</v>
          </cell>
          <cell r="S898">
            <v>645.27</v>
          </cell>
        </row>
        <row r="899">
          <cell r="A899" t="str">
            <v>Budget</v>
          </cell>
          <cell r="B899">
            <v>2</v>
          </cell>
          <cell r="C899" t="str">
            <v>Domestic</v>
          </cell>
          <cell r="D899">
            <v>2</v>
          </cell>
          <cell r="E899">
            <v>7428</v>
          </cell>
          <cell r="F899" t="str">
            <v>CASCADE COLUMBIA DIST</v>
          </cell>
          <cell r="G899" t="str">
            <v>D</v>
          </cell>
          <cell r="H899" t="str">
            <v>SHERWOOD</v>
          </cell>
          <cell r="I899" t="str">
            <v>OR</v>
          </cell>
          <cell r="J899" t="str">
            <v>USA</v>
          </cell>
          <cell r="K899" t="str">
            <v>CASCADE COLUMBIA DIST. CO.</v>
          </cell>
          <cell r="L899" t="str">
            <v>WA</v>
          </cell>
          <cell r="M899" t="str">
            <v>USA</v>
          </cell>
          <cell r="N899" t="str">
            <v>D</v>
          </cell>
          <cell r="O899">
            <v>22060410</v>
          </cell>
          <cell r="P899" t="str">
            <v>V-BOR 50LB BAG (004)</v>
          </cell>
          <cell r="Q899" t="str">
            <v>Penta</v>
          </cell>
          <cell r="R899">
            <v>2.72</v>
          </cell>
          <cell r="S899">
            <v>1117</v>
          </cell>
        </row>
        <row r="900">
          <cell r="A900" t="str">
            <v>Budget</v>
          </cell>
          <cell r="B900">
            <v>2</v>
          </cell>
          <cell r="C900" t="str">
            <v>Domestic</v>
          </cell>
          <cell r="D900">
            <v>2</v>
          </cell>
          <cell r="E900">
            <v>7428</v>
          </cell>
          <cell r="F900" t="str">
            <v>CASCADE COLUMBIA DIST</v>
          </cell>
          <cell r="G900" t="str">
            <v>D</v>
          </cell>
          <cell r="H900" t="str">
            <v>SHERWOOD</v>
          </cell>
          <cell r="I900" t="str">
            <v>OR</v>
          </cell>
          <cell r="J900" t="str">
            <v>USA</v>
          </cell>
          <cell r="K900" t="str">
            <v>CASCADE COLUMBIA DIST. CO.</v>
          </cell>
          <cell r="L900" t="str">
            <v>WA</v>
          </cell>
          <cell r="M900" t="str">
            <v>USA</v>
          </cell>
          <cell r="N900" t="str">
            <v>D</v>
          </cell>
          <cell r="O900">
            <v>22060460</v>
          </cell>
          <cell r="P900" t="str">
            <v>V-BOR 1800LB FIBC (004)</v>
          </cell>
          <cell r="Q900" t="str">
            <v>Penta</v>
          </cell>
          <cell r="R900">
            <v>4.5599999999999996</v>
          </cell>
          <cell r="S900">
            <v>1875.78</v>
          </cell>
        </row>
        <row r="901">
          <cell r="A901" t="str">
            <v>Budget</v>
          </cell>
          <cell r="B901">
            <v>2</v>
          </cell>
          <cell r="C901" t="str">
            <v>Domestic</v>
          </cell>
          <cell r="D901">
            <v>2</v>
          </cell>
          <cell r="E901">
            <v>7428</v>
          </cell>
          <cell r="F901" t="str">
            <v>CASCADE COLUMBIA DIST</v>
          </cell>
          <cell r="G901" t="str">
            <v>D</v>
          </cell>
          <cell r="H901" t="str">
            <v>SHERWOOD</v>
          </cell>
          <cell r="I901" t="str">
            <v>OR</v>
          </cell>
          <cell r="J901" t="str">
            <v>USA</v>
          </cell>
          <cell r="K901" t="str">
            <v>CASCADE COLUMBIA DIST. CO.</v>
          </cell>
          <cell r="L901" t="str">
            <v>WA</v>
          </cell>
          <cell r="M901" t="str">
            <v>USA</v>
          </cell>
          <cell r="N901" t="str">
            <v>D</v>
          </cell>
          <cell r="O901">
            <v>23060210</v>
          </cell>
          <cell r="P901" t="str">
            <v>DECA BORAX STD 50LB BAG</v>
          </cell>
          <cell r="Q901" t="str">
            <v>Deca</v>
          </cell>
          <cell r="R901">
            <v>4.66</v>
          </cell>
          <cell r="S901">
            <v>1709.86</v>
          </cell>
        </row>
        <row r="902">
          <cell r="A902" t="str">
            <v>Budget</v>
          </cell>
          <cell r="B902">
            <v>2</v>
          </cell>
          <cell r="C902" t="str">
            <v>Domestic</v>
          </cell>
          <cell r="D902">
            <v>2</v>
          </cell>
          <cell r="E902">
            <v>7428</v>
          </cell>
          <cell r="F902" t="str">
            <v>CASCADE COLUMBIA DIST</v>
          </cell>
          <cell r="G902" t="str">
            <v>D</v>
          </cell>
          <cell r="H902" t="str">
            <v>SHERWOOD</v>
          </cell>
          <cell r="I902" t="str">
            <v>OR</v>
          </cell>
          <cell r="J902" t="str">
            <v>USA</v>
          </cell>
          <cell r="K902" t="str">
            <v>CASCADE COLUMBIA DIST. CO.</v>
          </cell>
          <cell r="L902" t="str">
            <v>WA</v>
          </cell>
          <cell r="M902" t="str">
            <v>USA</v>
          </cell>
          <cell r="N902" t="str">
            <v>D</v>
          </cell>
          <cell r="O902">
            <v>24090210</v>
          </cell>
          <cell r="P902" t="str">
            <v>BORIC ACID GRAN TECH 50LB BAG</v>
          </cell>
          <cell r="Q902" t="str">
            <v>Boric Acid</v>
          </cell>
          <cell r="R902">
            <v>79.23</v>
          </cell>
          <cell r="S902">
            <v>41994.54</v>
          </cell>
        </row>
        <row r="903">
          <cell r="A903" t="str">
            <v>Budget</v>
          </cell>
          <cell r="B903">
            <v>2</v>
          </cell>
          <cell r="C903" t="str">
            <v>Domestic</v>
          </cell>
          <cell r="D903">
            <v>2</v>
          </cell>
          <cell r="E903">
            <v>7428</v>
          </cell>
          <cell r="F903" t="str">
            <v>CASCADE COLUMBIA DIST</v>
          </cell>
          <cell r="G903" t="str">
            <v>D</v>
          </cell>
          <cell r="H903" t="str">
            <v>SHERWOOD</v>
          </cell>
          <cell r="I903" t="str">
            <v>OR</v>
          </cell>
          <cell r="J903" t="str">
            <v>USA</v>
          </cell>
          <cell r="K903" t="str">
            <v>CASCADE COLUMBIA DIST. CO.</v>
          </cell>
          <cell r="L903" t="str">
            <v>WA</v>
          </cell>
          <cell r="M903" t="str">
            <v>USA</v>
          </cell>
          <cell r="N903" t="str">
            <v>D</v>
          </cell>
          <cell r="O903">
            <v>40060410</v>
          </cell>
          <cell r="P903" t="str">
            <v>SODIUM SULFATE STD 50LB BAG</v>
          </cell>
          <cell r="Q903" t="str">
            <v>Sodium Sulfate</v>
          </cell>
          <cell r="R903">
            <v>10.7</v>
          </cell>
          <cell r="S903">
            <v>1921.45</v>
          </cell>
        </row>
        <row r="904">
          <cell r="A904" t="str">
            <v>Budget</v>
          </cell>
          <cell r="B904">
            <v>2</v>
          </cell>
          <cell r="C904" t="str">
            <v>Domestic</v>
          </cell>
          <cell r="D904">
            <v>2</v>
          </cell>
          <cell r="E904">
            <v>7494</v>
          </cell>
          <cell r="F904" t="str">
            <v>HARCROS ORGANICS</v>
          </cell>
          <cell r="G904" t="str">
            <v>D</v>
          </cell>
          <cell r="H904" t="str">
            <v>KANSAS CITY</v>
          </cell>
          <cell r="I904" t="str">
            <v>KS</v>
          </cell>
          <cell r="J904" t="str">
            <v>USA</v>
          </cell>
          <cell r="K904" t="str">
            <v>HARCROS ORGANICS</v>
          </cell>
          <cell r="L904" t="str">
            <v>KS</v>
          </cell>
          <cell r="M904" t="str">
            <v>USA</v>
          </cell>
          <cell r="N904" t="str">
            <v>C</v>
          </cell>
          <cell r="O904">
            <v>24090253</v>
          </cell>
          <cell r="P904" t="str">
            <v>BORIC ACID GRN TCH 2500LB FIBC</v>
          </cell>
          <cell r="Q904" t="str">
            <v>Boric Acid</v>
          </cell>
          <cell r="R904">
            <v>7.13</v>
          </cell>
          <cell r="S904">
            <v>5579.1</v>
          </cell>
        </row>
        <row r="905">
          <cell r="A905" t="str">
            <v>Budget</v>
          </cell>
          <cell r="B905">
            <v>2</v>
          </cell>
          <cell r="C905" t="str">
            <v>Domestic</v>
          </cell>
          <cell r="D905">
            <v>2</v>
          </cell>
          <cell r="E905">
            <v>7497</v>
          </cell>
          <cell r="F905" t="str">
            <v>UNIVAR USA</v>
          </cell>
          <cell r="G905" t="str">
            <v>D</v>
          </cell>
          <cell r="H905" t="str">
            <v>KANSAS CITY</v>
          </cell>
          <cell r="I905" t="str">
            <v>MO</v>
          </cell>
          <cell r="J905" t="str">
            <v>USA</v>
          </cell>
          <cell r="K905" t="str">
            <v>UNIVAR USA</v>
          </cell>
          <cell r="L905" t="str">
            <v>IL</v>
          </cell>
          <cell r="M905" t="str">
            <v>USA</v>
          </cell>
          <cell r="N905" t="str">
            <v>D</v>
          </cell>
          <cell r="O905">
            <v>22060410</v>
          </cell>
          <cell r="P905" t="str">
            <v>V-BOR 50LB BAG (004)</v>
          </cell>
          <cell r="Q905" t="str">
            <v>Penta</v>
          </cell>
          <cell r="R905">
            <v>5.44</v>
          </cell>
          <cell r="S905">
            <v>1861.66</v>
          </cell>
        </row>
        <row r="906">
          <cell r="A906" t="str">
            <v>Budget</v>
          </cell>
          <cell r="B906">
            <v>2</v>
          </cell>
          <cell r="C906" t="str">
            <v>Domestic</v>
          </cell>
          <cell r="D906">
            <v>2</v>
          </cell>
          <cell r="E906">
            <v>7497</v>
          </cell>
          <cell r="F906" t="str">
            <v>UNIVAR USA</v>
          </cell>
          <cell r="G906" t="str">
            <v>D</v>
          </cell>
          <cell r="H906" t="str">
            <v>KANSAS CITY</v>
          </cell>
          <cell r="I906" t="str">
            <v>MO</v>
          </cell>
          <cell r="J906" t="str">
            <v>USA</v>
          </cell>
          <cell r="K906" t="str">
            <v>UNIVAR USA</v>
          </cell>
          <cell r="L906" t="str">
            <v>IL</v>
          </cell>
          <cell r="M906" t="str">
            <v>USA</v>
          </cell>
          <cell r="N906" t="str">
            <v>D</v>
          </cell>
          <cell r="O906">
            <v>22060430</v>
          </cell>
          <cell r="P906" t="str">
            <v>V-BOR STD 100LB BAG (004)</v>
          </cell>
          <cell r="Q906" t="str">
            <v>Penta</v>
          </cell>
          <cell r="R906">
            <v>0.99</v>
          </cell>
          <cell r="S906">
            <v>339.57</v>
          </cell>
        </row>
        <row r="907">
          <cell r="A907" t="str">
            <v>Budget</v>
          </cell>
          <cell r="B907">
            <v>2</v>
          </cell>
          <cell r="C907" t="str">
            <v>Domestic</v>
          </cell>
          <cell r="D907">
            <v>2</v>
          </cell>
          <cell r="E907">
            <v>7497</v>
          </cell>
          <cell r="F907" t="str">
            <v>UNIVAR USA</v>
          </cell>
          <cell r="G907" t="str">
            <v>D</v>
          </cell>
          <cell r="H907" t="str">
            <v>KANSAS CITY</v>
          </cell>
          <cell r="I907" t="str">
            <v>MO</v>
          </cell>
          <cell r="J907" t="str">
            <v>USA</v>
          </cell>
          <cell r="K907" t="str">
            <v>UNIVAR USA</v>
          </cell>
          <cell r="L907" t="str">
            <v>IL</v>
          </cell>
          <cell r="M907" t="str">
            <v>USA</v>
          </cell>
          <cell r="N907" t="str">
            <v>D</v>
          </cell>
          <cell r="O907">
            <v>24030210</v>
          </cell>
          <cell r="P907" t="str">
            <v>BORIC ACID PWD TECH 50LB BAG</v>
          </cell>
          <cell r="Q907" t="str">
            <v>Boric Acid</v>
          </cell>
          <cell r="R907">
            <v>0.56999999999999995</v>
          </cell>
          <cell r="S907">
            <v>400.16</v>
          </cell>
        </row>
        <row r="908">
          <cell r="A908" t="str">
            <v>Budget</v>
          </cell>
          <cell r="B908">
            <v>2</v>
          </cell>
          <cell r="C908" t="str">
            <v>Domestic</v>
          </cell>
          <cell r="D908">
            <v>2</v>
          </cell>
          <cell r="E908">
            <v>7497</v>
          </cell>
          <cell r="F908" t="str">
            <v>UNIVAR USA</v>
          </cell>
          <cell r="G908" t="str">
            <v>D</v>
          </cell>
          <cell r="H908" t="str">
            <v>KANSAS CITY</v>
          </cell>
          <cell r="I908" t="str">
            <v>MO</v>
          </cell>
          <cell r="J908" t="str">
            <v>USA</v>
          </cell>
          <cell r="K908" t="str">
            <v>UNIVAR USA</v>
          </cell>
          <cell r="L908" t="str">
            <v>IL</v>
          </cell>
          <cell r="M908" t="str">
            <v>USA</v>
          </cell>
          <cell r="N908" t="str">
            <v>D</v>
          </cell>
          <cell r="O908">
            <v>24090210</v>
          </cell>
          <cell r="P908" t="str">
            <v>BORIC ACID GRAN TECH 50LB BAG</v>
          </cell>
          <cell r="Q908" t="str">
            <v>Boric Acid</v>
          </cell>
          <cell r="R908">
            <v>2.52</v>
          </cell>
          <cell r="S908">
            <v>1453.91</v>
          </cell>
        </row>
        <row r="909">
          <cell r="A909" t="str">
            <v>Budget</v>
          </cell>
          <cell r="B909">
            <v>2</v>
          </cell>
          <cell r="C909" t="str">
            <v>Domestic</v>
          </cell>
          <cell r="D909">
            <v>2</v>
          </cell>
          <cell r="E909">
            <v>7497</v>
          </cell>
          <cell r="F909" t="str">
            <v>UNIVAR USA</v>
          </cell>
          <cell r="G909" t="str">
            <v>D</v>
          </cell>
          <cell r="H909" t="str">
            <v>KANSAS CITY</v>
          </cell>
          <cell r="I909" t="str">
            <v>MO</v>
          </cell>
          <cell r="J909" t="str">
            <v>USA</v>
          </cell>
          <cell r="K909" t="str">
            <v>UNIVAR USA</v>
          </cell>
          <cell r="L909" t="str">
            <v>IL</v>
          </cell>
          <cell r="M909" t="str">
            <v>USA</v>
          </cell>
          <cell r="N909" t="str">
            <v>D</v>
          </cell>
          <cell r="O909">
            <v>40060410</v>
          </cell>
          <cell r="P909" t="str">
            <v>SODIUM SULFATE STD 50LB BAG</v>
          </cell>
          <cell r="Q909" t="str">
            <v>Sodium Sulfate</v>
          </cell>
          <cell r="R909">
            <v>3.57</v>
          </cell>
          <cell r="S909">
            <v>522.72</v>
          </cell>
        </row>
        <row r="910">
          <cell r="A910" t="str">
            <v>Budget</v>
          </cell>
          <cell r="B910">
            <v>2</v>
          </cell>
          <cell r="C910" t="str">
            <v>Domestic</v>
          </cell>
          <cell r="D910">
            <v>2</v>
          </cell>
          <cell r="E910">
            <v>7525</v>
          </cell>
          <cell r="F910" t="str">
            <v>GEORGIA PACIFIC CORP.</v>
          </cell>
          <cell r="G910" t="str">
            <v>D</v>
          </cell>
          <cell r="H910" t="str">
            <v>FT DODGE</v>
          </cell>
          <cell r="I910" t="str">
            <v>IA</v>
          </cell>
          <cell r="J910" t="str">
            <v>USA</v>
          </cell>
          <cell r="K910" t="str">
            <v>UNIVAR USA</v>
          </cell>
          <cell r="L910" t="str">
            <v>NE</v>
          </cell>
          <cell r="M910" t="str">
            <v>USA</v>
          </cell>
          <cell r="N910" t="str">
            <v>D</v>
          </cell>
          <cell r="O910">
            <v>24090250</v>
          </cell>
          <cell r="P910" t="str">
            <v>BORIC ACID GRAN TECH 1TN FIBC</v>
          </cell>
          <cell r="Q910" t="str">
            <v>Boric Acid</v>
          </cell>
          <cell r="R910">
            <v>10.3</v>
          </cell>
          <cell r="S910">
            <v>5357.51</v>
          </cell>
        </row>
        <row r="911">
          <cell r="A911" t="str">
            <v>Budget</v>
          </cell>
          <cell r="B911">
            <v>2</v>
          </cell>
          <cell r="C911" t="str">
            <v>Domestic</v>
          </cell>
          <cell r="D911">
            <v>2</v>
          </cell>
          <cell r="E911">
            <v>7673</v>
          </cell>
          <cell r="F911" t="str">
            <v>G.S. ROBINS &amp; CO.</v>
          </cell>
          <cell r="G911" t="str">
            <v>D</v>
          </cell>
          <cell r="H911" t="str">
            <v>ST LOUIS</v>
          </cell>
          <cell r="I911" t="str">
            <v>MO</v>
          </cell>
          <cell r="J911" t="str">
            <v>USA</v>
          </cell>
          <cell r="K911" t="str">
            <v>G.S. ROBINS &amp; CO.</v>
          </cell>
          <cell r="L911" t="str">
            <v>MO</v>
          </cell>
          <cell r="M911" t="str">
            <v>USA</v>
          </cell>
          <cell r="N911" t="str">
            <v>D</v>
          </cell>
          <cell r="O911">
            <v>22060410</v>
          </cell>
          <cell r="P911" t="str">
            <v>V-BOR 50LB BAG (004)</v>
          </cell>
          <cell r="Q911" t="str">
            <v>Penta</v>
          </cell>
          <cell r="R911">
            <v>3.88</v>
          </cell>
          <cell r="S911">
            <v>1355.17</v>
          </cell>
        </row>
        <row r="912">
          <cell r="A912" t="str">
            <v>Budget</v>
          </cell>
          <cell r="B912">
            <v>2</v>
          </cell>
          <cell r="C912" t="str">
            <v>Domestic</v>
          </cell>
          <cell r="D912">
            <v>2</v>
          </cell>
          <cell r="E912">
            <v>7673</v>
          </cell>
          <cell r="F912" t="str">
            <v>G.S. ROBINS &amp; CO.</v>
          </cell>
          <cell r="G912" t="str">
            <v>D</v>
          </cell>
          <cell r="H912" t="str">
            <v>ST LOUIS</v>
          </cell>
          <cell r="I912" t="str">
            <v>MO</v>
          </cell>
          <cell r="J912" t="str">
            <v>USA</v>
          </cell>
          <cell r="K912" t="str">
            <v>G.S. ROBINS &amp; CO.</v>
          </cell>
          <cell r="L912" t="str">
            <v>MO</v>
          </cell>
          <cell r="M912" t="str">
            <v>USA</v>
          </cell>
          <cell r="N912" t="str">
            <v>D</v>
          </cell>
          <cell r="O912">
            <v>23060210</v>
          </cell>
          <cell r="P912" t="str">
            <v>DECA BORAX STD 50LB BAG</v>
          </cell>
          <cell r="Q912" t="str">
            <v>Deca</v>
          </cell>
          <cell r="R912">
            <v>1.94</v>
          </cell>
          <cell r="S912">
            <v>625.33000000000004</v>
          </cell>
        </row>
        <row r="913">
          <cell r="A913" t="str">
            <v>Budget</v>
          </cell>
          <cell r="B913">
            <v>2</v>
          </cell>
          <cell r="C913" t="str">
            <v>Domestic</v>
          </cell>
          <cell r="D913">
            <v>2</v>
          </cell>
          <cell r="E913">
            <v>7673</v>
          </cell>
          <cell r="F913" t="str">
            <v>G.S. ROBINS &amp; CO.</v>
          </cell>
          <cell r="G913" t="str">
            <v>D</v>
          </cell>
          <cell r="H913" t="str">
            <v>ST LOUIS</v>
          </cell>
          <cell r="I913" t="str">
            <v>MO</v>
          </cell>
          <cell r="J913" t="str">
            <v>USA</v>
          </cell>
          <cell r="K913" t="str">
            <v>G.S. ROBINS &amp; CO.</v>
          </cell>
          <cell r="L913" t="str">
            <v>MO</v>
          </cell>
          <cell r="M913" t="str">
            <v>USA</v>
          </cell>
          <cell r="N913" t="str">
            <v>D</v>
          </cell>
          <cell r="O913">
            <v>24030210</v>
          </cell>
          <cell r="P913" t="str">
            <v>BORIC ACID PWD TECH 50LB BAG</v>
          </cell>
          <cell r="Q913" t="str">
            <v>Boric Acid</v>
          </cell>
          <cell r="R913">
            <v>14.07</v>
          </cell>
          <cell r="S913">
            <v>9389.16</v>
          </cell>
        </row>
        <row r="914">
          <cell r="A914" t="str">
            <v>Budget</v>
          </cell>
          <cell r="B914">
            <v>2</v>
          </cell>
          <cell r="C914" t="str">
            <v>Domestic</v>
          </cell>
          <cell r="D914">
            <v>2</v>
          </cell>
          <cell r="E914">
            <v>7673</v>
          </cell>
          <cell r="F914" t="str">
            <v>G.S. ROBINS &amp; CO.</v>
          </cell>
          <cell r="G914" t="str">
            <v>D</v>
          </cell>
          <cell r="H914" t="str">
            <v>ST LOUIS</v>
          </cell>
          <cell r="I914" t="str">
            <v>MO</v>
          </cell>
          <cell r="J914" t="str">
            <v>USA</v>
          </cell>
          <cell r="K914" t="str">
            <v>G.S. ROBINS &amp; CO.</v>
          </cell>
          <cell r="L914" t="str">
            <v>MO</v>
          </cell>
          <cell r="M914" t="str">
            <v>USA</v>
          </cell>
          <cell r="N914" t="str">
            <v>D</v>
          </cell>
          <cell r="O914">
            <v>24090230</v>
          </cell>
          <cell r="P914" t="str">
            <v>BORIC ACID GRAN TECH 100LB BAG</v>
          </cell>
          <cell r="Q914" t="str">
            <v>Boric Acid</v>
          </cell>
          <cell r="R914">
            <v>0.4</v>
          </cell>
          <cell r="S914">
            <v>250.38</v>
          </cell>
        </row>
        <row r="915">
          <cell r="A915" t="str">
            <v>Budget</v>
          </cell>
          <cell r="B915">
            <v>2</v>
          </cell>
          <cell r="C915" t="str">
            <v>Domestic</v>
          </cell>
          <cell r="D915">
            <v>2</v>
          </cell>
          <cell r="E915">
            <v>7673</v>
          </cell>
          <cell r="F915" t="str">
            <v>G.S. ROBINS &amp; CO.</v>
          </cell>
          <cell r="G915" t="str">
            <v>D</v>
          </cell>
          <cell r="H915" t="str">
            <v>ST LOUIS</v>
          </cell>
          <cell r="I915" t="str">
            <v>MO</v>
          </cell>
          <cell r="J915" t="str">
            <v>USA</v>
          </cell>
          <cell r="K915" t="str">
            <v>G.S. ROBINS &amp; CO.</v>
          </cell>
          <cell r="L915" t="str">
            <v>MO</v>
          </cell>
          <cell r="M915" t="str">
            <v>USA</v>
          </cell>
          <cell r="N915" t="str">
            <v>D</v>
          </cell>
          <cell r="O915">
            <v>40060450</v>
          </cell>
          <cell r="P915" t="str">
            <v>SODIUM SULFATE STD 1TN FIBC</v>
          </cell>
          <cell r="Q915" t="str">
            <v>Sodium Sulfate</v>
          </cell>
          <cell r="R915">
            <v>4.75</v>
          </cell>
          <cell r="S915">
            <v>221.86</v>
          </cell>
        </row>
        <row r="916">
          <cell r="A916" t="str">
            <v>Budget</v>
          </cell>
          <cell r="B916">
            <v>2</v>
          </cell>
          <cell r="C916" t="str">
            <v>Domestic</v>
          </cell>
          <cell r="D916">
            <v>2</v>
          </cell>
          <cell r="E916">
            <v>7712</v>
          </cell>
          <cell r="F916" t="str">
            <v>JONES FIBER PRODUCTS INC</v>
          </cell>
          <cell r="G916" t="str">
            <v>D</v>
          </cell>
          <cell r="H916" t="str">
            <v>MORRISTOWN</v>
          </cell>
          <cell r="I916" t="str">
            <v>TN</v>
          </cell>
          <cell r="J916" t="str">
            <v>USA</v>
          </cell>
          <cell r="K916" t="str">
            <v>JONES FIBER PRODUCTS INC</v>
          </cell>
          <cell r="L916" t="str">
            <v>TN</v>
          </cell>
          <cell r="M916" t="str">
            <v>USA</v>
          </cell>
          <cell r="N916" t="str">
            <v>C</v>
          </cell>
          <cell r="O916">
            <v>24090253</v>
          </cell>
          <cell r="P916" t="str">
            <v>BORIC ACID GRN TCH 2500LB FIBC</v>
          </cell>
          <cell r="Q916" t="str">
            <v>Boric Acid</v>
          </cell>
          <cell r="R916">
            <v>31.69</v>
          </cell>
          <cell r="S916">
            <v>15213.11</v>
          </cell>
        </row>
        <row r="917">
          <cell r="A917" t="str">
            <v>Budget</v>
          </cell>
          <cell r="B917">
            <v>2</v>
          </cell>
          <cell r="C917" t="str">
            <v>Domestic</v>
          </cell>
          <cell r="D917">
            <v>2</v>
          </cell>
          <cell r="E917">
            <v>7938</v>
          </cell>
          <cell r="F917" t="str">
            <v>G.S. ROBINS &amp; CO.</v>
          </cell>
          <cell r="G917" t="str">
            <v>D</v>
          </cell>
          <cell r="H917" t="str">
            <v>KANSAS CITY</v>
          </cell>
          <cell r="I917" t="str">
            <v>KS</v>
          </cell>
          <cell r="J917" t="str">
            <v>USA</v>
          </cell>
          <cell r="K917" t="str">
            <v>G.S. ROBINS &amp; CO.</v>
          </cell>
          <cell r="L917" t="str">
            <v>MO</v>
          </cell>
          <cell r="M917" t="str">
            <v>USA</v>
          </cell>
          <cell r="N917" t="str">
            <v>D</v>
          </cell>
          <cell r="O917">
            <v>22060410</v>
          </cell>
          <cell r="P917" t="str">
            <v>V-BOR 50LB BAG (004)</v>
          </cell>
          <cell r="Q917" t="str">
            <v>Penta</v>
          </cell>
          <cell r="R917">
            <v>6.41</v>
          </cell>
          <cell r="S917">
            <v>2274.6999999999998</v>
          </cell>
        </row>
        <row r="918">
          <cell r="A918" t="str">
            <v>Budget</v>
          </cell>
          <cell r="B918">
            <v>2</v>
          </cell>
          <cell r="C918" t="str">
            <v>Domestic</v>
          </cell>
          <cell r="D918">
            <v>2</v>
          </cell>
          <cell r="E918">
            <v>7938</v>
          </cell>
          <cell r="F918" t="str">
            <v>G.S. ROBINS &amp; CO.</v>
          </cell>
          <cell r="G918" t="str">
            <v>D</v>
          </cell>
          <cell r="H918" t="str">
            <v>KANSAS CITY</v>
          </cell>
          <cell r="I918" t="str">
            <v>KS</v>
          </cell>
          <cell r="J918" t="str">
            <v>USA</v>
          </cell>
          <cell r="K918" t="str">
            <v>G.S. ROBINS &amp; CO.</v>
          </cell>
          <cell r="L918" t="str">
            <v>MO</v>
          </cell>
          <cell r="M918" t="str">
            <v>USA</v>
          </cell>
          <cell r="N918" t="str">
            <v>D</v>
          </cell>
          <cell r="O918">
            <v>23060210</v>
          </cell>
          <cell r="P918" t="str">
            <v>DECA BORAX STD 50LB BAG</v>
          </cell>
          <cell r="Q918" t="str">
            <v>Deca</v>
          </cell>
          <cell r="R918">
            <v>0.57999999999999996</v>
          </cell>
          <cell r="S918">
            <v>188.73</v>
          </cell>
        </row>
        <row r="919">
          <cell r="A919" t="str">
            <v>Budget</v>
          </cell>
          <cell r="B919">
            <v>2</v>
          </cell>
          <cell r="C919" t="str">
            <v>Domestic</v>
          </cell>
          <cell r="D919">
            <v>2</v>
          </cell>
          <cell r="E919">
            <v>8254</v>
          </cell>
          <cell r="F919" t="str">
            <v>WEYERHAEUSER COMPANY</v>
          </cell>
          <cell r="G919" t="str">
            <v>D</v>
          </cell>
          <cell r="H919" t="str">
            <v>ALBANY</v>
          </cell>
          <cell r="I919" t="str">
            <v>OR</v>
          </cell>
          <cell r="J919" t="str">
            <v>USA</v>
          </cell>
          <cell r="K919" t="str">
            <v>WEYERHAEUSER COMPANY</v>
          </cell>
          <cell r="L919" t="str">
            <v>OR</v>
          </cell>
          <cell r="M919" t="str">
            <v>USA</v>
          </cell>
          <cell r="N919" t="str">
            <v>C</v>
          </cell>
          <cell r="O919">
            <v>24150252</v>
          </cell>
          <cell r="P919" t="str">
            <v>BORIC ACID COARSE 2400LB FIBC</v>
          </cell>
          <cell r="Q919" t="str">
            <v>Boric Acid</v>
          </cell>
          <cell r="R919">
            <v>125</v>
          </cell>
          <cell r="S919">
            <v>77750</v>
          </cell>
        </row>
        <row r="920">
          <cell r="A920" t="str">
            <v>Budget</v>
          </cell>
          <cell r="B920">
            <v>2</v>
          </cell>
          <cell r="C920" t="str">
            <v>Domestic</v>
          </cell>
          <cell r="D920">
            <v>2</v>
          </cell>
          <cell r="E920">
            <v>8364</v>
          </cell>
          <cell r="F920" t="str">
            <v>CHEMI-CON MATERIAL CORP.</v>
          </cell>
          <cell r="G920" t="str">
            <v>D</v>
          </cell>
          <cell r="H920" t="str">
            <v>MOSES LAKE</v>
          </cell>
          <cell r="I920" t="str">
            <v>WA</v>
          </cell>
          <cell r="J920" t="str">
            <v>USA</v>
          </cell>
          <cell r="K920" t="str">
            <v>UNIVAR USA</v>
          </cell>
          <cell r="L920" t="str">
            <v>WA</v>
          </cell>
          <cell r="M920" t="str">
            <v>USA</v>
          </cell>
          <cell r="N920" t="str">
            <v>D</v>
          </cell>
          <cell r="O920">
            <v>28069792</v>
          </cell>
          <cell r="P920" t="str">
            <v>AMMONIUM PENTABORATE 150KG DRM</v>
          </cell>
          <cell r="Q920" t="str">
            <v>Boric Salt (SCL)</v>
          </cell>
          <cell r="R920">
            <v>0.21</v>
          </cell>
          <cell r="S920">
            <v>463.9</v>
          </cell>
        </row>
        <row r="921">
          <cell r="A921" t="str">
            <v>Budget</v>
          </cell>
          <cell r="B921">
            <v>2</v>
          </cell>
          <cell r="C921" t="str">
            <v>Domestic</v>
          </cell>
          <cell r="D921">
            <v>2</v>
          </cell>
          <cell r="E921">
            <v>8379</v>
          </cell>
          <cell r="F921" t="str">
            <v>PRO-SERVE INCORPORATE</v>
          </cell>
          <cell r="G921" t="str">
            <v>D</v>
          </cell>
          <cell r="H921" t="str">
            <v>MEMPHIS</v>
          </cell>
          <cell r="I921" t="str">
            <v>TN</v>
          </cell>
          <cell r="J921" t="str">
            <v>USA</v>
          </cell>
          <cell r="K921" t="str">
            <v>PRO-SERVE INCORPORATE</v>
          </cell>
          <cell r="L921" t="str">
            <v>TN</v>
          </cell>
          <cell r="M921" t="str">
            <v>USA</v>
          </cell>
          <cell r="N921" t="str">
            <v>C</v>
          </cell>
          <cell r="O921">
            <v>22060410</v>
          </cell>
          <cell r="P921" t="str">
            <v>V-BOR 50LB BAG (004)</v>
          </cell>
          <cell r="Q921" t="str">
            <v>Penta</v>
          </cell>
          <cell r="R921">
            <v>35.659999999999997</v>
          </cell>
          <cell r="S921">
            <v>11427.66</v>
          </cell>
        </row>
        <row r="922">
          <cell r="A922" t="str">
            <v>Budget</v>
          </cell>
          <cell r="B922">
            <v>2</v>
          </cell>
          <cell r="C922" t="str">
            <v>Domestic</v>
          </cell>
          <cell r="D922">
            <v>2</v>
          </cell>
          <cell r="E922">
            <v>8383</v>
          </cell>
          <cell r="F922" t="str">
            <v>UNION ELECTRIC D/B/A AMEREN-UE</v>
          </cell>
          <cell r="G922" t="str">
            <v>D</v>
          </cell>
          <cell r="H922" t="str">
            <v>FULTON</v>
          </cell>
          <cell r="I922" t="str">
            <v>MO</v>
          </cell>
          <cell r="J922" t="str">
            <v>USA</v>
          </cell>
          <cell r="K922" t="str">
            <v>UNION ELECTRIC D/B/A AMEREN-UE</v>
          </cell>
          <cell r="L922" t="str">
            <v>MO</v>
          </cell>
          <cell r="M922" t="str">
            <v>USA</v>
          </cell>
          <cell r="N922" t="str">
            <v>C</v>
          </cell>
          <cell r="O922">
            <v>24609792</v>
          </cell>
          <cell r="P922" t="str">
            <v>BORIC ACID NS 150KG DRUM</v>
          </cell>
          <cell r="Q922" t="str">
            <v>HP Boric Acid (SCL)</v>
          </cell>
          <cell r="R922">
            <v>2.1</v>
          </cell>
          <cell r="S922">
            <v>3297.18</v>
          </cell>
        </row>
        <row r="923">
          <cell r="A923" t="str">
            <v>Budget</v>
          </cell>
          <cell r="B923">
            <v>2</v>
          </cell>
          <cell r="C923" t="str">
            <v>Domestic</v>
          </cell>
          <cell r="D923">
            <v>2</v>
          </cell>
          <cell r="E923">
            <v>8388</v>
          </cell>
          <cell r="F923" t="str">
            <v>UNIVAR C/O GEORGIA PACIFIC</v>
          </cell>
          <cell r="G923" t="str">
            <v>D</v>
          </cell>
          <cell r="H923" t="str">
            <v>SURREY</v>
          </cell>
          <cell r="I923" t="str">
            <v>BC</v>
          </cell>
          <cell r="J923" t="str">
            <v>CAN</v>
          </cell>
          <cell r="K923" t="str">
            <v>UNIVAR CANADA LTD</v>
          </cell>
          <cell r="L923" t="str">
            <v>BC</v>
          </cell>
          <cell r="M923" t="str">
            <v>CAN</v>
          </cell>
          <cell r="N923" t="str">
            <v>D</v>
          </cell>
          <cell r="O923">
            <v>24090255</v>
          </cell>
          <cell r="P923" t="str">
            <v>BORIC ACID GRAN TECH 1 MT FIBC</v>
          </cell>
          <cell r="Q923" t="str">
            <v>Boric Acid</v>
          </cell>
          <cell r="R923">
            <v>6.99</v>
          </cell>
          <cell r="S923">
            <v>3717.31</v>
          </cell>
        </row>
        <row r="924">
          <cell r="A924" t="str">
            <v>Budget</v>
          </cell>
          <cell r="B924">
            <v>2</v>
          </cell>
          <cell r="C924" t="str">
            <v>Domestic</v>
          </cell>
          <cell r="D924">
            <v>2</v>
          </cell>
          <cell r="E924">
            <v>8447</v>
          </cell>
          <cell r="F924" t="str">
            <v>INACTIVE-G.S. ROBINS &amp; CO.</v>
          </cell>
          <cell r="G924" t="str">
            <v>D</v>
          </cell>
          <cell r="H924" t="str">
            <v>QUINCY</v>
          </cell>
          <cell r="I924" t="str">
            <v>IL</v>
          </cell>
          <cell r="J924" t="str">
            <v>USA</v>
          </cell>
          <cell r="K924" t="str">
            <v>G.S. ROBINS &amp; CO.</v>
          </cell>
          <cell r="L924" t="str">
            <v>MO</v>
          </cell>
          <cell r="M924" t="str">
            <v>USA</v>
          </cell>
          <cell r="N924" t="str">
            <v>D</v>
          </cell>
          <cell r="O924">
            <v>22060410</v>
          </cell>
          <cell r="P924" t="str">
            <v>V-BOR 50LB BAG (004)</v>
          </cell>
          <cell r="Q924" t="str">
            <v>Penta</v>
          </cell>
          <cell r="R924">
            <v>1.75</v>
          </cell>
          <cell r="S924">
            <v>608.9</v>
          </cell>
        </row>
        <row r="925">
          <cell r="A925" t="str">
            <v>Budget</v>
          </cell>
          <cell r="B925">
            <v>2</v>
          </cell>
          <cell r="C925" t="str">
            <v>Domestic</v>
          </cell>
          <cell r="D925">
            <v>2</v>
          </cell>
          <cell r="E925">
            <v>8447</v>
          </cell>
          <cell r="F925" t="str">
            <v>INACTIVE-G.S. ROBINS &amp; CO.</v>
          </cell>
          <cell r="G925" t="str">
            <v>D</v>
          </cell>
          <cell r="H925" t="str">
            <v>QUINCY</v>
          </cell>
          <cell r="I925" t="str">
            <v>IL</v>
          </cell>
          <cell r="J925" t="str">
            <v>USA</v>
          </cell>
          <cell r="K925" t="str">
            <v>G.S. ROBINS &amp; CO.</v>
          </cell>
          <cell r="L925" t="str">
            <v>MO</v>
          </cell>
          <cell r="M925" t="str">
            <v>USA</v>
          </cell>
          <cell r="N925" t="str">
            <v>D</v>
          </cell>
          <cell r="O925">
            <v>23060210</v>
          </cell>
          <cell r="P925" t="str">
            <v>DECA BORAX STD 50LB BAG</v>
          </cell>
          <cell r="Q925" t="str">
            <v>Deca</v>
          </cell>
          <cell r="R925">
            <v>0.19</v>
          </cell>
          <cell r="S925">
            <v>61.65</v>
          </cell>
        </row>
        <row r="926">
          <cell r="A926" t="str">
            <v>Budget</v>
          </cell>
          <cell r="B926">
            <v>2</v>
          </cell>
          <cell r="C926" t="str">
            <v>Domestic</v>
          </cell>
          <cell r="D926">
            <v>2</v>
          </cell>
          <cell r="E926">
            <v>8447</v>
          </cell>
          <cell r="F926" t="str">
            <v>INACTIVE-G.S. ROBINS &amp; CO.</v>
          </cell>
          <cell r="G926" t="str">
            <v>D</v>
          </cell>
          <cell r="H926" t="str">
            <v>QUINCY</v>
          </cell>
          <cell r="I926" t="str">
            <v>IL</v>
          </cell>
          <cell r="J926" t="str">
            <v>USA</v>
          </cell>
          <cell r="K926" t="str">
            <v>G.S. ROBINS &amp; CO.</v>
          </cell>
          <cell r="L926" t="str">
            <v>MO</v>
          </cell>
          <cell r="M926" t="str">
            <v>USA</v>
          </cell>
          <cell r="N926" t="str">
            <v>D</v>
          </cell>
          <cell r="O926">
            <v>24030210</v>
          </cell>
          <cell r="P926" t="str">
            <v>BORIC ACID PWD TECH 50LB BAG</v>
          </cell>
          <cell r="Q926" t="str">
            <v>Boric Acid</v>
          </cell>
          <cell r="R926">
            <v>1.33</v>
          </cell>
          <cell r="S926">
            <v>885.89</v>
          </cell>
        </row>
        <row r="927">
          <cell r="A927" t="str">
            <v>Budget</v>
          </cell>
          <cell r="B927">
            <v>2</v>
          </cell>
          <cell r="C927" t="str">
            <v>Domestic</v>
          </cell>
          <cell r="D927">
            <v>2</v>
          </cell>
          <cell r="E927">
            <v>8517</v>
          </cell>
          <cell r="F927" t="str">
            <v>RANDALL INDUSTRIES</v>
          </cell>
          <cell r="G927" t="str">
            <v>D</v>
          </cell>
          <cell r="H927" t="str">
            <v>GRAND JUNCTION</v>
          </cell>
          <cell r="I927" t="str">
            <v>CO</v>
          </cell>
          <cell r="J927" t="str">
            <v>USA</v>
          </cell>
          <cell r="K927" t="str">
            <v>RANDALL INDUSTRIES</v>
          </cell>
          <cell r="L927" t="str">
            <v>CO</v>
          </cell>
          <cell r="M927" t="str">
            <v>USA</v>
          </cell>
          <cell r="N927" t="str">
            <v>C</v>
          </cell>
          <cell r="O927">
            <v>24030210</v>
          </cell>
          <cell r="P927" t="str">
            <v>BORIC ACID PWD TECH 50LB BAG</v>
          </cell>
          <cell r="Q927" t="str">
            <v>Boric Acid</v>
          </cell>
          <cell r="R927">
            <v>0.95</v>
          </cell>
          <cell r="S927">
            <v>841.48</v>
          </cell>
        </row>
        <row r="928">
          <cell r="A928" t="str">
            <v>Budget</v>
          </cell>
          <cell r="B928">
            <v>2</v>
          </cell>
          <cell r="C928" t="str">
            <v>Domestic</v>
          </cell>
          <cell r="D928">
            <v>2</v>
          </cell>
          <cell r="E928">
            <v>8517</v>
          </cell>
          <cell r="F928" t="str">
            <v>RANDALL INDUSTRIES</v>
          </cell>
          <cell r="G928" t="str">
            <v>D</v>
          </cell>
          <cell r="H928" t="str">
            <v>GRAND JUNCTION</v>
          </cell>
          <cell r="I928" t="str">
            <v>CO</v>
          </cell>
          <cell r="J928" t="str">
            <v>USA</v>
          </cell>
          <cell r="K928" t="str">
            <v>RANDALL INDUSTRIES</v>
          </cell>
          <cell r="L928" t="str">
            <v>CO</v>
          </cell>
          <cell r="M928" t="str">
            <v>USA</v>
          </cell>
          <cell r="N928" t="str">
            <v>C</v>
          </cell>
          <cell r="O928">
            <v>30210110</v>
          </cell>
          <cell r="P928" t="str">
            <v>SODA ASH DENSE 50LB BAG</v>
          </cell>
          <cell r="Q928" t="str">
            <v>Soda Ash</v>
          </cell>
          <cell r="R928">
            <v>1.1599999999999999</v>
          </cell>
          <cell r="S928">
            <v>206.16</v>
          </cell>
        </row>
        <row r="929">
          <cell r="A929" t="str">
            <v>Budget</v>
          </cell>
          <cell r="B929">
            <v>2</v>
          </cell>
          <cell r="C929" t="str">
            <v>Domestic</v>
          </cell>
          <cell r="D929">
            <v>2</v>
          </cell>
          <cell r="E929">
            <v>8634</v>
          </cell>
          <cell r="F929" t="str">
            <v>CENTRAL FIBER</v>
          </cell>
          <cell r="G929" t="str">
            <v>D</v>
          </cell>
          <cell r="H929" t="str">
            <v>WELLSVILLE</v>
          </cell>
          <cell r="I929" t="str">
            <v>KS</v>
          </cell>
          <cell r="J929" t="str">
            <v>USA</v>
          </cell>
          <cell r="K929" t="str">
            <v>CENTRAL FIBER</v>
          </cell>
          <cell r="L929" t="str">
            <v>KS</v>
          </cell>
          <cell r="M929" t="str">
            <v>USA</v>
          </cell>
          <cell r="O929">
            <v>22060410</v>
          </cell>
          <cell r="P929" t="str">
            <v>V-BOR 50LB BAG (004)</v>
          </cell>
          <cell r="Q929" t="str">
            <v>Penta</v>
          </cell>
          <cell r="R929">
            <v>3.49</v>
          </cell>
          <cell r="S929">
            <v>1166.78</v>
          </cell>
        </row>
        <row r="930">
          <cell r="A930" t="str">
            <v>Budget</v>
          </cell>
          <cell r="B930">
            <v>2</v>
          </cell>
          <cell r="C930" t="str">
            <v>Domestic</v>
          </cell>
          <cell r="D930">
            <v>2</v>
          </cell>
          <cell r="E930">
            <v>9056</v>
          </cell>
          <cell r="F930" t="str">
            <v>INACTIVE-BRENNTAG MID-SOUTH, I</v>
          </cell>
          <cell r="G930" t="str">
            <v>D</v>
          </cell>
          <cell r="H930" t="str">
            <v>MEMPHIS</v>
          </cell>
          <cell r="I930" t="str">
            <v>TN</v>
          </cell>
          <cell r="J930" t="str">
            <v>USA</v>
          </cell>
          <cell r="K930" t="str">
            <v>BRENNTAG MID-SOUTH, INC.</v>
          </cell>
          <cell r="L930" t="str">
            <v>KY</v>
          </cell>
          <cell r="M930" t="str">
            <v>USA</v>
          </cell>
          <cell r="N930" t="str">
            <v>D</v>
          </cell>
          <cell r="O930">
            <v>24090210</v>
          </cell>
          <cell r="P930" t="str">
            <v>BORIC ACID GRAN TECH 50LB BAG</v>
          </cell>
          <cell r="Q930" t="str">
            <v>Boric Acid</v>
          </cell>
          <cell r="R930">
            <v>7.92</v>
          </cell>
          <cell r="S930">
            <v>5229.51</v>
          </cell>
        </row>
        <row r="931">
          <cell r="A931" t="str">
            <v>Budget</v>
          </cell>
          <cell r="B931">
            <v>2</v>
          </cell>
          <cell r="C931" t="str">
            <v>Domestic</v>
          </cell>
          <cell r="D931">
            <v>2</v>
          </cell>
          <cell r="E931">
            <v>9057</v>
          </cell>
          <cell r="F931" t="str">
            <v>BRENNTAG MID-SOUTH, INC.</v>
          </cell>
          <cell r="G931" t="str">
            <v>D</v>
          </cell>
          <cell r="H931" t="str">
            <v>SPRINGFIELD</v>
          </cell>
          <cell r="I931" t="str">
            <v>MO</v>
          </cell>
          <cell r="J931" t="str">
            <v>USA</v>
          </cell>
          <cell r="K931" t="str">
            <v>BRENNTAG MID-SOUTH, INC.</v>
          </cell>
          <cell r="L931" t="str">
            <v>KY</v>
          </cell>
          <cell r="M931" t="str">
            <v>USA</v>
          </cell>
          <cell r="N931" t="str">
            <v>D</v>
          </cell>
          <cell r="O931">
            <v>23060210</v>
          </cell>
          <cell r="P931" t="str">
            <v>DECA BORAX STD 50LB BAG</v>
          </cell>
          <cell r="Q931" t="str">
            <v>Deca</v>
          </cell>
          <cell r="R931">
            <v>6.99</v>
          </cell>
          <cell r="S931">
            <v>2550.81</v>
          </cell>
        </row>
        <row r="932">
          <cell r="A932" t="str">
            <v>Budget</v>
          </cell>
          <cell r="B932">
            <v>2</v>
          </cell>
          <cell r="C932" t="str">
            <v>Domestic</v>
          </cell>
          <cell r="D932">
            <v>2</v>
          </cell>
          <cell r="E932">
            <v>9078</v>
          </cell>
          <cell r="F932" t="str">
            <v>QUADRA CHEMICAL WESTERN INC.</v>
          </cell>
          <cell r="G932" t="str">
            <v>D</v>
          </cell>
          <cell r="H932" t="str">
            <v>PORTLAND</v>
          </cell>
          <cell r="I932" t="str">
            <v>OR</v>
          </cell>
          <cell r="J932" t="str">
            <v>USA</v>
          </cell>
          <cell r="K932" t="str">
            <v>QUADRA CHEMICAL WESTERN INC.</v>
          </cell>
          <cell r="L932" t="str">
            <v>OR</v>
          </cell>
          <cell r="M932" t="str">
            <v>USA</v>
          </cell>
          <cell r="N932" t="str">
            <v>D</v>
          </cell>
          <cell r="O932">
            <v>22060410</v>
          </cell>
          <cell r="P932" t="str">
            <v>V-BOR 50LB BAG (004)</v>
          </cell>
          <cell r="Q932" t="str">
            <v>Penta</v>
          </cell>
          <cell r="R932">
            <v>1.94</v>
          </cell>
          <cell r="S932">
            <v>781.58</v>
          </cell>
        </row>
        <row r="933">
          <cell r="A933" t="str">
            <v>Budget</v>
          </cell>
          <cell r="B933">
            <v>2</v>
          </cell>
          <cell r="C933" t="str">
            <v>Domestic</v>
          </cell>
          <cell r="D933">
            <v>2</v>
          </cell>
          <cell r="E933">
            <v>9078</v>
          </cell>
          <cell r="F933" t="str">
            <v>QUADRA CHEMICAL WESTERN INC.</v>
          </cell>
          <cell r="G933" t="str">
            <v>D</v>
          </cell>
          <cell r="H933" t="str">
            <v>PORTLAND</v>
          </cell>
          <cell r="I933" t="str">
            <v>OR</v>
          </cell>
          <cell r="J933" t="str">
            <v>USA</v>
          </cell>
          <cell r="K933" t="str">
            <v>QUADRA CHEMICAL WESTERN INC.</v>
          </cell>
          <cell r="L933" t="str">
            <v>OR</v>
          </cell>
          <cell r="M933" t="str">
            <v>USA</v>
          </cell>
          <cell r="N933" t="str">
            <v>D</v>
          </cell>
          <cell r="O933">
            <v>23060210</v>
          </cell>
          <cell r="P933" t="str">
            <v>DECA BORAX STD 50LB BAG</v>
          </cell>
          <cell r="Q933" t="str">
            <v>Deca</v>
          </cell>
          <cell r="R933">
            <v>2.52</v>
          </cell>
          <cell r="S933">
            <v>921.26</v>
          </cell>
        </row>
        <row r="934">
          <cell r="A934" t="str">
            <v>Budget</v>
          </cell>
          <cell r="B934">
            <v>2</v>
          </cell>
          <cell r="C934" t="str">
            <v>Domestic</v>
          </cell>
          <cell r="D934">
            <v>2</v>
          </cell>
          <cell r="E934">
            <v>9421</v>
          </cell>
          <cell r="F934" t="str">
            <v>INACTIVE-LOVELAND INDUSTRIES I</v>
          </cell>
          <cell r="G934" t="str">
            <v>D</v>
          </cell>
          <cell r="H934" t="str">
            <v>ST. JOSEPH</v>
          </cell>
          <cell r="I934" t="str">
            <v>MO</v>
          </cell>
          <cell r="J934" t="str">
            <v>USA</v>
          </cell>
          <cell r="K934" t="str">
            <v>INACTIVE-LOVELAND INDUSTRIES I</v>
          </cell>
          <cell r="L934" t="str">
            <v>MO</v>
          </cell>
          <cell r="M934" t="str">
            <v>USA</v>
          </cell>
          <cell r="N934" t="str">
            <v>C</v>
          </cell>
          <cell r="O934">
            <v>24730210</v>
          </cell>
          <cell r="P934" t="str">
            <v>BORIC ACID PWD PEST 50LB BAG</v>
          </cell>
          <cell r="Q934" t="str">
            <v>Boric Acid</v>
          </cell>
          <cell r="R934">
            <v>7.92</v>
          </cell>
          <cell r="S934">
            <v>5903.01</v>
          </cell>
        </row>
        <row r="935">
          <cell r="A935" t="str">
            <v>Budget</v>
          </cell>
          <cell r="B935">
            <v>2</v>
          </cell>
          <cell r="C935" t="str">
            <v>Domestic</v>
          </cell>
          <cell r="D935">
            <v>2</v>
          </cell>
          <cell r="E935">
            <v>9428</v>
          </cell>
          <cell r="F935" t="str">
            <v>USG INTERIORS</v>
          </cell>
          <cell r="G935" t="str">
            <v>D</v>
          </cell>
          <cell r="H935" t="str">
            <v>GREENVILLE</v>
          </cell>
          <cell r="I935" t="str">
            <v>MS</v>
          </cell>
          <cell r="J935" t="str">
            <v>USA</v>
          </cell>
          <cell r="K935" t="str">
            <v>BRENNTAG MID-SOUTH, INC.</v>
          </cell>
          <cell r="L935" t="str">
            <v>KY</v>
          </cell>
          <cell r="M935" t="str">
            <v>USA</v>
          </cell>
          <cell r="N935" t="str">
            <v>D</v>
          </cell>
          <cell r="O935">
            <v>24090210</v>
          </cell>
          <cell r="P935" t="str">
            <v>BORIC ACID GRAN TECH 50LB BAG</v>
          </cell>
          <cell r="Q935" t="str">
            <v>Boric Acid</v>
          </cell>
          <cell r="R935">
            <v>7.92</v>
          </cell>
          <cell r="S935">
            <v>3567.13</v>
          </cell>
        </row>
        <row r="936">
          <cell r="A936" t="str">
            <v>Budget</v>
          </cell>
          <cell r="B936">
            <v>2</v>
          </cell>
          <cell r="C936" t="str">
            <v>Domestic</v>
          </cell>
          <cell r="D936">
            <v>2</v>
          </cell>
          <cell r="E936">
            <v>9514</v>
          </cell>
          <cell r="F936" t="str">
            <v>AMT LABS</v>
          </cell>
          <cell r="G936" t="str">
            <v>D</v>
          </cell>
          <cell r="H936" t="str">
            <v>NORTH SALT LAKE CITY</v>
          </cell>
          <cell r="I936" t="str">
            <v>UT</v>
          </cell>
          <cell r="J936" t="str">
            <v>USA</v>
          </cell>
          <cell r="K936" t="str">
            <v>QUADRA CHEMICAL WESTERN INC.</v>
          </cell>
          <cell r="L936" t="str">
            <v>OR</v>
          </cell>
          <cell r="M936" t="str">
            <v>USA</v>
          </cell>
          <cell r="N936" t="str">
            <v>D</v>
          </cell>
          <cell r="O936">
            <v>24629720</v>
          </cell>
          <cell r="P936" t="str">
            <v>BORIC ACID EP GRAN 25KG BAG</v>
          </cell>
          <cell r="Q936" t="str">
            <v>HP Boric Acid (SCL)</v>
          </cell>
          <cell r="R936">
            <v>0.15</v>
          </cell>
          <cell r="S936">
            <v>156.91</v>
          </cell>
        </row>
        <row r="937">
          <cell r="A937" t="str">
            <v>Budget</v>
          </cell>
          <cell r="B937">
            <v>2</v>
          </cell>
          <cell r="C937" t="str">
            <v>Domestic</v>
          </cell>
          <cell r="D937">
            <v>3</v>
          </cell>
          <cell r="E937">
            <v>5056</v>
          </cell>
          <cell r="F937" t="str">
            <v>ACCESS BUSINESS GROUP</v>
          </cell>
          <cell r="G937" t="str">
            <v>D</v>
          </cell>
          <cell r="H937" t="str">
            <v>ADA</v>
          </cell>
          <cell r="I937" t="str">
            <v>MI</v>
          </cell>
          <cell r="J937" t="str">
            <v>USA</v>
          </cell>
          <cell r="K937" t="str">
            <v>ACCESS BUSINESS GROUP</v>
          </cell>
          <cell r="L937" t="str">
            <v>MI</v>
          </cell>
          <cell r="M937" t="str">
            <v>USA</v>
          </cell>
          <cell r="N937" t="str">
            <v>C</v>
          </cell>
          <cell r="O937">
            <v>40060400</v>
          </cell>
          <cell r="P937" t="str">
            <v>SODIUM SULFATE STANDARD BULK</v>
          </cell>
          <cell r="Q937" t="str">
            <v>Sodium Sulfate</v>
          </cell>
          <cell r="R937">
            <v>15.76</v>
          </cell>
          <cell r="S937">
            <v>508.08</v>
          </cell>
        </row>
        <row r="938">
          <cell r="A938" t="str">
            <v>Budget</v>
          </cell>
          <cell r="B938">
            <v>2</v>
          </cell>
          <cell r="C938" t="str">
            <v>Domestic</v>
          </cell>
          <cell r="D938">
            <v>3</v>
          </cell>
          <cell r="E938">
            <v>5056</v>
          </cell>
          <cell r="F938" t="str">
            <v>ACCESS BUSINESS GROUP</v>
          </cell>
          <cell r="G938" t="str">
            <v>D</v>
          </cell>
          <cell r="H938" t="str">
            <v>ADA</v>
          </cell>
          <cell r="I938" t="str">
            <v>MI</v>
          </cell>
          <cell r="J938" t="str">
            <v>USA</v>
          </cell>
          <cell r="K938" t="str">
            <v>ACCESS BUSINESS GROUP</v>
          </cell>
          <cell r="L938" t="str">
            <v>MI</v>
          </cell>
          <cell r="M938" t="str">
            <v>USA</v>
          </cell>
          <cell r="N938" t="str">
            <v>C</v>
          </cell>
          <cell r="O938">
            <v>40150400</v>
          </cell>
          <cell r="P938" t="str">
            <v>SODIUM SULFATE COARSE BULK</v>
          </cell>
          <cell r="Q938" t="str">
            <v>Sodium Sulfate</v>
          </cell>
          <cell r="R938">
            <v>18.93</v>
          </cell>
          <cell r="S938">
            <v>870.91</v>
          </cell>
        </row>
        <row r="939">
          <cell r="A939" t="str">
            <v>Budget</v>
          </cell>
          <cell r="B939">
            <v>2</v>
          </cell>
          <cell r="C939" t="str">
            <v>Domestic</v>
          </cell>
          <cell r="D939">
            <v>3</v>
          </cell>
          <cell r="E939">
            <v>5196</v>
          </cell>
          <cell r="F939" t="str">
            <v>GENERAL ELECTRIC COMPANY</v>
          </cell>
          <cell r="G939" t="str">
            <v>D</v>
          </cell>
          <cell r="H939" t="str">
            <v>NILES</v>
          </cell>
          <cell r="I939" t="str">
            <v>OH</v>
          </cell>
          <cell r="J939" t="str">
            <v>USA</v>
          </cell>
          <cell r="K939" t="str">
            <v>GENERAL ELECTRIC COMPANY</v>
          </cell>
          <cell r="L939" t="str">
            <v>OH</v>
          </cell>
          <cell r="M939" t="str">
            <v>USA</v>
          </cell>
          <cell r="N939" t="str">
            <v>C</v>
          </cell>
          <cell r="O939">
            <v>24090200</v>
          </cell>
          <cell r="P939" t="str">
            <v>BORIC ACID GRAN TECH BULK</v>
          </cell>
          <cell r="Q939" t="str">
            <v>Boric Acid</v>
          </cell>
          <cell r="R939">
            <v>146.94999999999999</v>
          </cell>
          <cell r="S939">
            <v>65099.08</v>
          </cell>
        </row>
        <row r="940">
          <cell r="A940" t="str">
            <v>Budget</v>
          </cell>
          <cell r="B940">
            <v>2</v>
          </cell>
          <cell r="C940" t="str">
            <v>Domestic</v>
          </cell>
          <cell r="D940">
            <v>3</v>
          </cell>
          <cell r="E940">
            <v>5209</v>
          </cell>
          <cell r="F940" t="str">
            <v>GUARDIAN INDUSTRIES</v>
          </cell>
          <cell r="G940" t="str">
            <v>D</v>
          </cell>
          <cell r="H940" t="str">
            <v>KINGSBURG</v>
          </cell>
          <cell r="I940" t="str">
            <v>CA</v>
          </cell>
          <cell r="J940" t="str">
            <v>USA</v>
          </cell>
          <cell r="K940" t="str">
            <v>GUARDIAN INDUSTRIES</v>
          </cell>
          <cell r="L940" t="str">
            <v>CA</v>
          </cell>
          <cell r="M940" t="str">
            <v>USA</v>
          </cell>
          <cell r="N940" t="str">
            <v>C</v>
          </cell>
          <cell r="O940">
            <v>30210100</v>
          </cell>
          <cell r="P940" t="str">
            <v>SODA ASH DENSE BULK</v>
          </cell>
          <cell r="Q940" t="str">
            <v>Soda Ash</v>
          </cell>
          <cell r="R940">
            <v>1801.74</v>
          </cell>
          <cell r="S940">
            <v>140896.37</v>
          </cell>
        </row>
        <row r="941">
          <cell r="A941" t="str">
            <v>Budget</v>
          </cell>
          <cell r="B941">
            <v>2</v>
          </cell>
          <cell r="C941" t="str">
            <v>Domestic</v>
          </cell>
          <cell r="D941">
            <v>3</v>
          </cell>
          <cell r="E941">
            <v>5209</v>
          </cell>
          <cell r="F941" t="str">
            <v>GUARDIAN INDUSTRIES</v>
          </cell>
          <cell r="G941" t="str">
            <v>D</v>
          </cell>
          <cell r="H941" t="str">
            <v>KINGSBURG</v>
          </cell>
          <cell r="I941" t="str">
            <v>CA</v>
          </cell>
          <cell r="J941" t="str">
            <v>USA</v>
          </cell>
          <cell r="K941" t="str">
            <v>GUARDIAN INDUSTRIES</v>
          </cell>
          <cell r="L941" t="str">
            <v>CA</v>
          </cell>
          <cell r="M941" t="str">
            <v>USA</v>
          </cell>
          <cell r="N941" t="str">
            <v>C</v>
          </cell>
          <cell r="O941">
            <v>40150400</v>
          </cell>
          <cell r="P941" t="str">
            <v>SODIUM SULFATE COARSE BULK</v>
          </cell>
          <cell r="Q941" t="str">
            <v>Sodium Sulfate</v>
          </cell>
          <cell r="R941">
            <v>90.7</v>
          </cell>
          <cell r="S941">
            <v>10138.299999999999</v>
          </cell>
        </row>
        <row r="942">
          <cell r="A942" t="str">
            <v>Budget</v>
          </cell>
          <cell r="B942">
            <v>2</v>
          </cell>
          <cell r="C942" t="str">
            <v>Domestic</v>
          </cell>
          <cell r="D942">
            <v>3</v>
          </cell>
          <cell r="E942">
            <v>5249</v>
          </cell>
          <cell r="F942" t="str">
            <v>GUARDIAN INDUSTRIES</v>
          </cell>
          <cell r="G942" t="str">
            <v>D</v>
          </cell>
          <cell r="H942" t="str">
            <v>CORSICANA</v>
          </cell>
          <cell r="I942" t="str">
            <v>TX</v>
          </cell>
          <cell r="J942" t="str">
            <v>USA</v>
          </cell>
          <cell r="K942" t="str">
            <v>GUARDIAN INDUSTRIES</v>
          </cell>
          <cell r="L942" t="str">
            <v>TX</v>
          </cell>
          <cell r="M942" t="str">
            <v>USA</v>
          </cell>
          <cell r="N942" t="str">
            <v>C</v>
          </cell>
          <cell r="O942">
            <v>30210100</v>
          </cell>
          <cell r="P942" t="str">
            <v>SODA ASH DENSE BULK</v>
          </cell>
          <cell r="Q942" t="str">
            <v>Soda Ash</v>
          </cell>
          <cell r="R942">
            <v>2600.6799999999998</v>
          </cell>
          <cell r="S942">
            <v>171202.58</v>
          </cell>
        </row>
        <row r="943">
          <cell r="A943" t="str">
            <v>Budget</v>
          </cell>
          <cell r="B943">
            <v>2</v>
          </cell>
          <cell r="C943" t="str">
            <v>Domestic</v>
          </cell>
          <cell r="D943">
            <v>3</v>
          </cell>
          <cell r="E943">
            <v>5278</v>
          </cell>
          <cell r="F943" t="str">
            <v>MILPORT ENTERPRISES INC</v>
          </cell>
          <cell r="G943" t="str">
            <v>D</v>
          </cell>
          <cell r="H943" t="str">
            <v>MILWAUKEE</v>
          </cell>
          <cell r="I943" t="str">
            <v>WI</v>
          </cell>
          <cell r="J943" t="str">
            <v>USA</v>
          </cell>
          <cell r="K943" t="str">
            <v>MILPORT ENTERPRISES INC</v>
          </cell>
          <cell r="L943" t="str">
            <v>WI</v>
          </cell>
          <cell r="M943" t="str">
            <v>USA</v>
          </cell>
          <cell r="N943" t="str">
            <v>D</v>
          </cell>
          <cell r="O943">
            <v>22060410</v>
          </cell>
          <cell r="P943" t="str">
            <v>V-BOR 50LB BAG (004)</v>
          </cell>
          <cell r="Q943" t="str">
            <v>Penta</v>
          </cell>
          <cell r="R943">
            <v>2.33</v>
          </cell>
          <cell r="S943">
            <v>1006.67</v>
          </cell>
        </row>
        <row r="944">
          <cell r="A944" t="str">
            <v>Budget</v>
          </cell>
          <cell r="B944">
            <v>2</v>
          </cell>
          <cell r="C944" t="str">
            <v>Domestic</v>
          </cell>
          <cell r="D944">
            <v>3</v>
          </cell>
          <cell r="E944">
            <v>5278</v>
          </cell>
          <cell r="F944" t="str">
            <v>MILPORT ENTERPRISES INC</v>
          </cell>
          <cell r="G944" t="str">
            <v>D</v>
          </cell>
          <cell r="H944" t="str">
            <v>MILWAUKEE</v>
          </cell>
          <cell r="I944" t="str">
            <v>WI</v>
          </cell>
          <cell r="J944" t="str">
            <v>USA</v>
          </cell>
          <cell r="K944" t="str">
            <v>MILPORT ENTERPRISES INC</v>
          </cell>
          <cell r="L944" t="str">
            <v>WI</v>
          </cell>
          <cell r="M944" t="str">
            <v>USA</v>
          </cell>
          <cell r="N944" t="str">
            <v>D</v>
          </cell>
          <cell r="O944">
            <v>24090210</v>
          </cell>
          <cell r="P944" t="str">
            <v>BORIC ACID GRAN TECH 50LB BAG</v>
          </cell>
          <cell r="Q944" t="str">
            <v>Boric Acid</v>
          </cell>
          <cell r="R944">
            <v>4.75</v>
          </cell>
          <cell r="S944">
            <v>3928.98</v>
          </cell>
        </row>
        <row r="945">
          <cell r="A945" t="str">
            <v>Budget</v>
          </cell>
          <cell r="B945">
            <v>2</v>
          </cell>
          <cell r="C945" t="str">
            <v>Domestic</v>
          </cell>
          <cell r="D945">
            <v>3</v>
          </cell>
          <cell r="E945">
            <v>5278</v>
          </cell>
          <cell r="F945" t="str">
            <v>MILPORT ENTERPRISES INC</v>
          </cell>
          <cell r="G945" t="str">
            <v>D</v>
          </cell>
          <cell r="H945" t="str">
            <v>MILWAUKEE</v>
          </cell>
          <cell r="I945" t="str">
            <v>WI</v>
          </cell>
          <cell r="J945" t="str">
            <v>USA</v>
          </cell>
          <cell r="K945" t="str">
            <v>MILPORT ENTERPRISES INC</v>
          </cell>
          <cell r="L945" t="str">
            <v>WI</v>
          </cell>
          <cell r="M945" t="str">
            <v>USA</v>
          </cell>
          <cell r="N945" t="str">
            <v>D</v>
          </cell>
          <cell r="O945">
            <v>40060410</v>
          </cell>
          <cell r="P945" t="str">
            <v>SODIUM SULFATE STD 50LB BAG</v>
          </cell>
          <cell r="Q945" t="str">
            <v>Sodium Sulfate</v>
          </cell>
          <cell r="R945">
            <v>7.53</v>
          </cell>
          <cell r="S945">
            <v>1197.72</v>
          </cell>
        </row>
        <row r="946">
          <cell r="A946" t="str">
            <v>Budget</v>
          </cell>
          <cell r="B946">
            <v>2</v>
          </cell>
          <cell r="C946" t="str">
            <v>Domestic</v>
          </cell>
          <cell r="D946">
            <v>3</v>
          </cell>
          <cell r="E946">
            <v>5310</v>
          </cell>
          <cell r="F946" t="str">
            <v>LIBBEY GLASS, INC.</v>
          </cell>
          <cell r="G946" t="str">
            <v>D</v>
          </cell>
          <cell r="H946" t="str">
            <v>CITY OF INDUSTRY</v>
          </cell>
          <cell r="I946" t="str">
            <v>CA</v>
          </cell>
          <cell r="J946" t="str">
            <v>USA</v>
          </cell>
          <cell r="K946" t="str">
            <v>LIBBEY GLASS, INC.</v>
          </cell>
          <cell r="L946" t="str">
            <v>CA</v>
          </cell>
          <cell r="M946" t="str">
            <v>USA</v>
          </cell>
          <cell r="N946" t="str">
            <v>C</v>
          </cell>
          <cell r="O946">
            <v>30210100</v>
          </cell>
          <cell r="P946" t="str">
            <v>SODA ASH DENSE BULK</v>
          </cell>
          <cell r="Q946" t="str">
            <v>Soda Ash</v>
          </cell>
          <cell r="R946">
            <v>340.42</v>
          </cell>
          <cell r="S946">
            <v>33789.760000000002</v>
          </cell>
        </row>
        <row r="947">
          <cell r="A947" t="str">
            <v>Budget</v>
          </cell>
          <cell r="B947">
            <v>2</v>
          </cell>
          <cell r="C947" t="str">
            <v>Domestic</v>
          </cell>
          <cell r="D947">
            <v>3</v>
          </cell>
          <cell r="E947">
            <v>5310</v>
          </cell>
          <cell r="F947" t="str">
            <v>LIBBEY GLASS, INC.</v>
          </cell>
          <cell r="G947" t="str">
            <v>D</v>
          </cell>
          <cell r="H947" t="str">
            <v>CITY OF INDUSTRY</v>
          </cell>
          <cell r="I947" t="str">
            <v>CA</v>
          </cell>
          <cell r="J947" t="str">
            <v>USA</v>
          </cell>
          <cell r="K947" t="str">
            <v>LIBBEY GLASS, INC.</v>
          </cell>
          <cell r="L947" t="str">
            <v>CA</v>
          </cell>
          <cell r="M947" t="str">
            <v>USA</v>
          </cell>
          <cell r="N947" t="str">
            <v>C</v>
          </cell>
          <cell r="O947">
            <v>40150450</v>
          </cell>
          <cell r="P947" t="str">
            <v>SODIUM SULFATE CRS 1TN FIBC</v>
          </cell>
          <cell r="Q947" t="str">
            <v>Sodium Sulfate</v>
          </cell>
          <cell r="R947">
            <v>0.63</v>
          </cell>
          <cell r="S947">
            <v>123.13</v>
          </cell>
        </row>
        <row r="948">
          <cell r="A948" t="str">
            <v>Budget</v>
          </cell>
          <cell r="B948">
            <v>2</v>
          </cell>
          <cell r="C948" t="str">
            <v>Domestic</v>
          </cell>
          <cell r="D948">
            <v>3</v>
          </cell>
          <cell r="E948">
            <v>5310</v>
          </cell>
          <cell r="F948" t="str">
            <v>LIBBEY GLASS, INC.</v>
          </cell>
          <cell r="G948" t="str">
            <v>D</v>
          </cell>
          <cell r="H948" t="str">
            <v>CITY OF INDUSTRY</v>
          </cell>
          <cell r="I948" t="str">
            <v>CA</v>
          </cell>
          <cell r="J948" t="str">
            <v>USA</v>
          </cell>
          <cell r="K948" t="str">
            <v>LIBBEY GLASS, INC.</v>
          </cell>
          <cell r="L948" t="str">
            <v>CA</v>
          </cell>
          <cell r="M948" t="str">
            <v>USA</v>
          </cell>
          <cell r="N948" t="str">
            <v>C</v>
          </cell>
          <cell r="O948">
            <v>40150451</v>
          </cell>
          <cell r="P948" t="str">
            <v>SODIUM SULFATE CRS 2200LB FIBC</v>
          </cell>
          <cell r="Q948" t="str">
            <v>Sodium Sulfate</v>
          </cell>
          <cell r="R948">
            <v>9.76</v>
          </cell>
          <cell r="S948">
            <v>1902.78</v>
          </cell>
        </row>
        <row r="949">
          <cell r="A949" t="str">
            <v>Budget</v>
          </cell>
          <cell r="B949">
            <v>2</v>
          </cell>
          <cell r="C949" t="str">
            <v>Domestic</v>
          </cell>
          <cell r="D949">
            <v>3</v>
          </cell>
          <cell r="E949">
            <v>5383</v>
          </cell>
          <cell r="F949" t="str">
            <v>ULRICH CHEMICAL, INC.</v>
          </cell>
          <cell r="G949" t="str">
            <v>D</v>
          </cell>
          <cell r="H949" t="str">
            <v>INDIANAPOLIS</v>
          </cell>
          <cell r="I949" t="str">
            <v>IN</v>
          </cell>
          <cell r="J949" t="str">
            <v>USA</v>
          </cell>
          <cell r="K949" t="str">
            <v>ULRICH CHEMICAL, INC.</v>
          </cell>
          <cell r="L949" t="str">
            <v>IN</v>
          </cell>
          <cell r="M949" t="str">
            <v>USA</v>
          </cell>
          <cell r="N949" t="str">
            <v>D</v>
          </cell>
          <cell r="O949">
            <v>22060410</v>
          </cell>
          <cell r="P949" t="str">
            <v>V-BOR 50LB BAG (004)</v>
          </cell>
          <cell r="Q949" t="str">
            <v>Penta</v>
          </cell>
          <cell r="R949">
            <v>2.91</v>
          </cell>
          <cell r="S949">
            <v>1191.77</v>
          </cell>
        </row>
        <row r="950">
          <cell r="A950" t="str">
            <v>Budget</v>
          </cell>
          <cell r="B950">
            <v>2</v>
          </cell>
          <cell r="C950" t="str">
            <v>Domestic</v>
          </cell>
          <cell r="D950">
            <v>3</v>
          </cell>
          <cell r="E950">
            <v>5383</v>
          </cell>
          <cell r="F950" t="str">
            <v>ULRICH CHEMICAL, INC.</v>
          </cell>
          <cell r="G950" t="str">
            <v>D</v>
          </cell>
          <cell r="H950" t="str">
            <v>INDIANAPOLIS</v>
          </cell>
          <cell r="I950" t="str">
            <v>IN</v>
          </cell>
          <cell r="J950" t="str">
            <v>USA</v>
          </cell>
          <cell r="K950" t="str">
            <v>ULRICH CHEMICAL, INC.</v>
          </cell>
          <cell r="L950" t="str">
            <v>IN</v>
          </cell>
          <cell r="M950" t="str">
            <v>USA</v>
          </cell>
          <cell r="N950" t="str">
            <v>D</v>
          </cell>
          <cell r="O950">
            <v>24090210</v>
          </cell>
          <cell r="P950" t="str">
            <v>BORIC ACID GRAN TECH 50LB BAG</v>
          </cell>
          <cell r="Q950" t="str">
            <v>Boric Acid</v>
          </cell>
          <cell r="R950">
            <v>7.38</v>
          </cell>
          <cell r="S950">
            <v>5768.18</v>
          </cell>
        </row>
        <row r="951">
          <cell r="A951" t="str">
            <v>Budget</v>
          </cell>
          <cell r="B951">
            <v>2</v>
          </cell>
          <cell r="C951" t="str">
            <v>Domestic</v>
          </cell>
          <cell r="D951">
            <v>3</v>
          </cell>
          <cell r="E951">
            <v>5383</v>
          </cell>
          <cell r="F951" t="str">
            <v>ULRICH CHEMICAL, INC.</v>
          </cell>
          <cell r="G951" t="str">
            <v>D</v>
          </cell>
          <cell r="H951" t="str">
            <v>INDIANAPOLIS</v>
          </cell>
          <cell r="I951" t="str">
            <v>IN</v>
          </cell>
          <cell r="J951" t="str">
            <v>USA</v>
          </cell>
          <cell r="K951" t="str">
            <v>ULRICH CHEMICAL, INC.</v>
          </cell>
          <cell r="L951" t="str">
            <v>IN</v>
          </cell>
          <cell r="M951" t="str">
            <v>USA</v>
          </cell>
          <cell r="N951" t="str">
            <v>D</v>
          </cell>
          <cell r="O951">
            <v>28069710</v>
          </cell>
          <cell r="P951" t="str">
            <v>AMMONIUM PENTABORATE 50LB BAG</v>
          </cell>
          <cell r="Q951" t="str">
            <v>Boric Salt (SCL)</v>
          </cell>
          <cell r="R951">
            <v>1.07</v>
          </cell>
          <cell r="S951">
            <v>3036.87</v>
          </cell>
        </row>
        <row r="952">
          <cell r="A952" t="str">
            <v>Budget</v>
          </cell>
          <cell r="B952">
            <v>2</v>
          </cell>
          <cell r="C952" t="str">
            <v>Domestic</v>
          </cell>
          <cell r="D952">
            <v>3</v>
          </cell>
          <cell r="E952">
            <v>5412</v>
          </cell>
          <cell r="F952" t="str">
            <v>WAUSAU CHEMICAL COMPANY</v>
          </cell>
          <cell r="G952" t="str">
            <v>D</v>
          </cell>
          <cell r="H952" t="str">
            <v>WAUSAU</v>
          </cell>
          <cell r="I952" t="str">
            <v>WI</v>
          </cell>
          <cell r="J952" t="str">
            <v>USA</v>
          </cell>
          <cell r="K952" t="str">
            <v>WAUSAU CHEMICAL COMPANY</v>
          </cell>
          <cell r="L952" t="str">
            <v>WI</v>
          </cell>
          <cell r="M952" t="str">
            <v>USA</v>
          </cell>
          <cell r="N952" t="str">
            <v>D</v>
          </cell>
          <cell r="O952">
            <v>23060210</v>
          </cell>
          <cell r="P952" t="str">
            <v>DECA BORAX STD 50LB BAG</v>
          </cell>
          <cell r="Q952" t="str">
            <v>Deca</v>
          </cell>
          <cell r="R952">
            <v>1.36</v>
          </cell>
          <cell r="S952">
            <v>512.29999999999995</v>
          </cell>
        </row>
        <row r="953">
          <cell r="A953" t="str">
            <v>Budget</v>
          </cell>
          <cell r="B953">
            <v>2</v>
          </cell>
          <cell r="C953" t="str">
            <v>Domestic</v>
          </cell>
          <cell r="D953">
            <v>3</v>
          </cell>
          <cell r="E953">
            <v>5458</v>
          </cell>
          <cell r="F953" t="str">
            <v>BONDED CHEMICALS INCORPORATED</v>
          </cell>
          <cell r="G953" t="str">
            <v>D</v>
          </cell>
          <cell r="H953" t="str">
            <v>COLUMBUS</v>
          </cell>
          <cell r="I953" t="str">
            <v>OH</v>
          </cell>
          <cell r="J953" t="str">
            <v>USA</v>
          </cell>
          <cell r="K953" t="str">
            <v>BONDED CHEMICALS INCORPORATED</v>
          </cell>
          <cell r="L953" t="str">
            <v>OH</v>
          </cell>
          <cell r="M953" t="str">
            <v>USA</v>
          </cell>
          <cell r="N953" t="str">
            <v>D</v>
          </cell>
          <cell r="O953">
            <v>22060410</v>
          </cell>
          <cell r="P953" t="str">
            <v>V-BOR 50LB BAG (004)</v>
          </cell>
          <cell r="Q953" t="str">
            <v>Penta</v>
          </cell>
          <cell r="R953">
            <v>0.97</v>
          </cell>
          <cell r="S953">
            <v>410.33</v>
          </cell>
        </row>
        <row r="954">
          <cell r="A954" t="str">
            <v>Budget</v>
          </cell>
          <cell r="B954">
            <v>2</v>
          </cell>
          <cell r="C954" t="str">
            <v>Domestic</v>
          </cell>
          <cell r="D954">
            <v>3</v>
          </cell>
          <cell r="E954">
            <v>5458</v>
          </cell>
          <cell r="F954" t="str">
            <v>BONDED CHEMICALS INCORPORATED</v>
          </cell>
          <cell r="G954" t="str">
            <v>D</v>
          </cell>
          <cell r="H954" t="str">
            <v>COLUMBUS</v>
          </cell>
          <cell r="I954" t="str">
            <v>OH</v>
          </cell>
          <cell r="J954" t="str">
            <v>USA</v>
          </cell>
          <cell r="K954" t="str">
            <v>BONDED CHEMICALS INCORPORATED</v>
          </cell>
          <cell r="L954" t="str">
            <v>OH</v>
          </cell>
          <cell r="M954" t="str">
            <v>USA</v>
          </cell>
          <cell r="N954" t="str">
            <v>D</v>
          </cell>
          <cell r="O954">
            <v>40150410</v>
          </cell>
          <cell r="P954" t="str">
            <v>SODIUM SULFATE CRS 50LB BAG</v>
          </cell>
          <cell r="Q954" t="str">
            <v>Sodium Sulfate</v>
          </cell>
          <cell r="R954">
            <v>5.74</v>
          </cell>
          <cell r="S954">
            <v>853.16</v>
          </cell>
        </row>
        <row r="955">
          <cell r="A955" t="str">
            <v>Budget</v>
          </cell>
          <cell r="B955">
            <v>2</v>
          </cell>
          <cell r="C955" t="str">
            <v>Domestic</v>
          </cell>
          <cell r="D955">
            <v>3</v>
          </cell>
          <cell r="E955">
            <v>5472</v>
          </cell>
          <cell r="F955" t="str">
            <v>UNIVAR USA</v>
          </cell>
          <cell r="G955" t="str">
            <v>D</v>
          </cell>
          <cell r="H955" t="str">
            <v>LOUISVILLE</v>
          </cell>
          <cell r="I955" t="str">
            <v>KY</v>
          </cell>
          <cell r="J955" t="str">
            <v>USA</v>
          </cell>
          <cell r="K955" t="str">
            <v>UNIVAR USA</v>
          </cell>
          <cell r="L955" t="str">
            <v>KY</v>
          </cell>
          <cell r="M955" t="str">
            <v>USA</v>
          </cell>
          <cell r="N955" t="str">
            <v>D</v>
          </cell>
          <cell r="O955">
            <v>40060410</v>
          </cell>
          <cell r="P955" t="str">
            <v>SODIUM SULFATE STD 50LB BAG</v>
          </cell>
          <cell r="Q955" t="str">
            <v>Sodium Sulfate</v>
          </cell>
          <cell r="R955">
            <v>1.19</v>
          </cell>
          <cell r="S955">
            <v>134.46</v>
          </cell>
        </row>
        <row r="956">
          <cell r="A956" t="str">
            <v>Budget</v>
          </cell>
          <cell r="B956">
            <v>2</v>
          </cell>
          <cell r="C956" t="str">
            <v>Domestic</v>
          </cell>
          <cell r="D956">
            <v>3</v>
          </cell>
          <cell r="E956">
            <v>5472</v>
          </cell>
          <cell r="F956" t="str">
            <v>UNIVAR USA</v>
          </cell>
          <cell r="G956" t="str">
            <v>D</v>
          </cell>
          <cell r="H956" t="str">
            <v>LOUISVILLE</v>
          </cell>
          <cell r="I956" t="str">
            <v>KY</v>
          </cell>
          <cell r="J956" t="str">
            <v>USA</v>
          </cell>
          <cell r="K956" t="str">
            <v>UNIVAR USA</v>
          </cell>
          <cell r="L956" t="str">
            <v>KY</v>
          </cell>
          <cell r="M956" t="str">
            <v>USA</v>
          </cell>
          <cell r="N956" t="str">
            <v>D</v>
          </cell>
          <cell r="O956">
            <v>40060450</v>
          </cell>
          <cell r="P956" t="str">
            <v>SODIUM SULFATE STD 1TN FIBC</v>
          </cell>
          <cell r="Q956" t="str">
            <v>Sodium Sulfate</v>
          </cell>
          <cell r="R956">
            <v>5.55</v>
          </cell>
          <cell r="S956">
            <v>650.74</v>
          </cell>
        </row>
        <row r="957">
          <cell r="A957" t="str">
            <v>Budget</v>
          </cell>
          <cell r="B957">
            <v>2</v>
          </cell>
          <cell r="C957" t="str">
            <v>Domestic</v>
          </cell>
          <cell r="D957">
            <v>3</v>
          </cell>
          <cell r="E957">
            <v>5695</v>
          </cell>
          <cell r="F957" t="str">
            <v>SAINT-GOBAIN CONTAINERS</v>
          </cell>
          <cell r="G957" t="str">
            <v>D</v>
          </cell>
          <cell r="H957" t="str">
            <v>LINCOLN</v>
          </cell>
          <cell r="I957" t="str">
            <v>IL</v>
          </cell>
          <cell r="J957" t="str">
            <v>USA</v>
          </cell>
          <cell r="K957" t="str">
            <v>SAINT-GOBAIN CONTAINERS</v>
          </cell>
          <cell r="L957" t="str">
            <v>IL</v>
          </cell>
          <cell r="M957" t="str">
            <v>USA</v>
          </cell>
          <cell r="N957" t="str">
            <v>C</v>
          </cell>
          <cell r="O957">
            <v>40160400</v>
          </cell>
          <cell r="P957" t="str">
            <v>SODIUM SULFATE PREMIUM BULK</v>
          </cell>
          <cell r="Q957" t="str">
            <v>Sodium Sulfate</v>
          </cell>
          <cell r="R957">
            <v>67.61</v>
          </cell>
          <cell r="S957">
            <v>2784.24</v>
          </cell>
        </row>
        <row r="958">
          <cell r="A958" t="str">
            <v>Budget</v>
          </cell>
          <cell r="B958">
            <v>2</v>
          </cell>
          <cell r="C958" t="str">
            <v>Domestic</v>
          </cell>
          <cell r="D958">
            <v>3</v>
          </cell>
          <cell r="E958">
            <v>6041</v>
          </cell>
          <cell r="F958" t="str">
            <v>AMERICAN PORCELAIN &amp; ENAMEL</v>
          </cell>
          <cell r="G958" t="str">
            <v>D</v>
          </cell>
          <cell r="H958" t="str">
            <v>MUSKEGON</v>
          </cell>
          <cell r="I958" t="str">
            <v>MI</v>
          </cell>
          <cell r="J958" t="str">
            <v>USA</v>
          </cell>
          <cell r="K958" t="str">
            <v>AMERICAN PORCELAIN &amp; ENAMEL</v>
          </cell>
          <cell r="L958" t="str">
            <v>MI</v>
          </cell>
          <cell r="M958" t="str">
            <v>USA</v>
          </cell>
          <cell r="N958" t="str">
            <v>C</v>
          </cell>
          <cell r="O958">
            <v>20060200</v>
          </cell>
          <cell r="P958" t="str">
            <v>PYROBOR ANHY BORAX BULK (002)</v>
          </cell>
          <cell r="Q958" t="str">
            <v>Pyrobor</v>
          </cell>
          <cell r="R958">
            <v>12.64</v>
          </cell>
          <cell r="S958">
            <v>7336.37</v>
          </cell>
        </row>
        <row r="959">
          <cell r="A959" t="str">
            <v>Budget</v>
          </cell>
          <cell r="B959">
            <v>2</v>
          </cell>
          <cell r="C959" t="str">
            <v>Domestic</v>
          </cell>
          <cell r="D959">
            <v>3</v>
          </cell>
          <cell r="E959">
            <v>6041</v>
          </cell>
          <cell r="F959" t="str">
            <v>AMERICAN PORCELAIN &amp; ENAMEL</v>
          </cell>
          <cell r="G959" t="str">
            <v>D</v>
          </cell>
          <cell r="H959" t="str">
            <v>MUSKEGON</v>
          </cell>
          <cell r="I959" t="str">
            <v>MI</v>
          </cell>
          <cell r="J959" t="str">
            <v>USA</v>
          </cell>
          <cell r="K959" t="str">
            <v>AMERICAN PORCELAIN &amp; ENAMEL</v>
          </cell>
          <cell r="L959" t="str">
            <v>MI</v>
          </cell>
          <cell r="M959" t="str">
            <v>USA</v>
          </cell>
          <cell r="N959" t="str">
            <v>C</v>
          </cell>
          <cell r="O959">
            <v>20060400</v>
          </cell>
          <cell r="P959" t="str">
            <v>PYROBOR BULK (004)</v>
          </cell>
          <cell r="Q959" t="str">
            <v>Pyrobor</v>
          </cell>
          <cell r="R959">
            <v>43.58</v>
          </cell>
          <cell r="S959">
            <v>25287.68</v>
          </cell>
        </row>
        <row r="960">
          <cell r="A960" t="str">
            <v>Budget</v>
          </cell>
          <cell r="B960">
            <v>2</v>
          </cell>
          <cell r="C960" t="str">
            <v>Domestic</v>
          </cell>
          <cell r="D960">
            <v>3</v>
          </cell>
          <cell r="E960">
            <v>6074</v>
          </cell>
          <cell r="F960" t="str">
            <v>GENERAL ELECTRIC COMPANY</v>
          </cell>
          <cell r="G960" t="str">
            <v>D</v>
          </cell>
          <cell r="H960" t="str">
            <v>SOMERSET</v>
          </cell>
          <cell r="I960" t="str">
            <v>KY</v>
          </cell>
          <cell r="J960" t="str">
            <v>USA</v>
          </cell>
          <cell r="K960" t="str">
            <v>GENERAL ELECTRIC COMPANY</v>
          </cell>
          <cell r="L960" t="str">
            <v>KY</v>
          </cell>
          <cell r="M960" t="str">
            <v>USA</v>
          </cell>
          <cell r="N960" t="str">
            <v>C</v>
          </cell>
          <cell r="O960">
            <v>24150200</v>
          </cell>
          <cell r="P960" t="str">
            <v>BORIC ACID CRS BULK</v>
          </cell>
          <cell r="Q960" t="str">
            <v>Boric Acid</v>
          </cell>
          <cell r="R960">
            <v>59.43</v>
          </cell>
          <cell r="S960">
            <v>26325.82</v>
          </cell>
        </row>
        <row r="961">
          <cell r="A961" t="str">
            <v>Budget</v>
          </cell>
          <cell r="B961">
            <v>2</v>
          </cell>
          <cell r="C961" t="str">
            <v>Domestic</v>
          </cell>
          <cell r="D961">
            <v>3</v>
          </cell>
          <cell r="E961">
            <v>6109</v>
          </cell>
          <cell r="F961" t="str">
            <v>PROCTER &amp; GAMBLE MFG.</v>
          </cell>
          <cell r="G961" t="str">
            <v>D</v>
          </cell>
          <cell r="H961" t="str">
            <v>ST LOUIS</v>
          </cell>
          <cell r="I961" t="str">
            <v>MO</v>
          </cell>
          <cell r="J961" t="str">
            <v>USA</v>
          </cell>
          <cell r="K961" t="str">
            <v>PROCTER &amp; GAMBLE MFG.</v>
          </cell>
          <cell r="L961" t="str">
            <v>MO</v>
          </cell>
          <cell r="M961" t="str">
            <v>USA</v>
          </cell>
          <cell r="N961" t="str">
            <v>C</v>
          </cell>
          <cell r="O961">
            <v>40060400</v>
          </cell>
          <cell r="P961" t="str">
            <v>SODIUM SULFATE STANDARD BULK</v>
          </cell>
          <cell r="Q961" t="str">
            <v>Sodium Sulfate</v>
          </cell>
          <cell r="R961">
            <v>2456.2800000000002</v>
          </cell>
          <cell r="S961">
            <v>74084.649999999994</v>
          </cell>
        </row>
        <row r="962">
          <cell r="A962" t="str">
            <v>Budget</v>
          </cell>
          <cell r="B962">
            <v>2</v>
          </cell>
          <cell r="C962" t="str">
            <v>Domestic</v>
          </cell>
          <cell r="D962">
            <v>3</v>
          </cell>
          <cell r="E962">
            <v>6110</v>
          </cell>
          <cell r="F962" t="str">
            <v>STAR PACIFIC</v>
          </cell>
          <cell r="G962" t="str">
            <v>D</v>
          </cell>
          <cell r="H962" t="str">
            <v>UNION CITY</v>
          </cell>
          <cell r="I962" t="str">
            <v>CA</v>
          </cell>
          <cell r="J962" t="str">
            <v>USA</v>
          </cell>
          <cell r="K962" t="str">
            <v>STAR PACIFIC</v>
          </cell>
          <cell r="L962" t="str">
            <v>CA</v>
          </cell>
          <cell r="M962" t="str">
            <v>USA</v>
          </cell>
          <cell r="N962" t="str">
            <v>C</v>
          </cell>
          <cell r="O962">
            <v>40070400</v>
          </cell>
          <cell r="P962" t="str">
            <v>SODIUM SULFATE MEDIUM BULK</v>
          </cell>
          <cell r="Q962" t="str">
            <v>Sodium Sulfate</v>
          </cell>
          <cell r="R962">
            <v>267.04000000000002</v>
          </cell>
          <cell r="S962">
            <v>16810.91</v>
          </cell>
        </row>
        <row r="963">
          <cell r="A963" t="str">
            <v>Budget</v>
          </cell>
          <cell r="B963">
            <v>2</v>
          </cell>
          <cell r="C963" t="str">
            <v>Domestic</v>
          </cell>
          <cell r="D963">
            <v>3</v>
          </cell>
          <cell r="E963">
            <v>6516</v>
          </cell>
          <cell r="F963" t="str">
            <v>FERRO CORPORATION</v>
          </cell>
          <cell r="G963" t="str">
            <v>D</v>
          </cell>
          <cell r="H963" t="str">
            <v>CLEVELAND</v>
          </cell>
          <cell r="I963" t="str">
            <v>OH</v>
          </cell>
          <cell r="J963" t="str">
            <v>USA</v>
          </cell>
          <cell r="K963" t="str">
            <v>FERRO CORPORATION</v>
          </cell>
          <cell r="L963" t="str">
            <v>OH</v>
          </cell>
          <cell r="M963" t="str">
            <v>USA</v>
          </cell>
          <cell r="N963" t="str">
            <v>C</v>
          </cell>
          <cell r="O963">
            <v>20060200</v>
          </cell>
          <cell r="P963" t="str">
            <v>PYROBOR ANHY BORAX BULK (002)</v>
          </cell>
          <cell r="Q963" t="str">
            <v>Pyrobor</v>
          </cell>
          <cell r="R963">
            <v>356.56</v>
          </cell>
          <cell r="S963">
            <v>156429.01999999999</v>
          </cell>
        </row>
        <row r="964">
          <cell r="A964" t="str">
            <v>Budget</v>
          </cell>
          <cell r="B964">
            <v>2</v>
          </cell>
          <cell r="C964" t="str">
            <v>Domestic</v>
          </cell>
          <cell r="D964">
            <v>3</v>
          </cell>
          <cell r="E964">
            <v>6516</v>
          </cell>
          <cell r="F964" t="str">
            <v>FERRO CORPORATION</v>
          </cell>
          <cell r="G964" t="str">
            <v>D</v>
          </cell>
          <cell r="H964" t="str">
            <v>CLEVELAND</v>
          </cell>
          <cell r="I964" t="str">
            <v>OH</v>
          </cell>
          <cell r="J964" t="str">
            <v>USA</v>
          </cell>
          <cell r="K964" t="str">
            <v>FERRO CORPORATION</v>
          </cell>
          <cell r="L964" t="str">
            <v>OH</v>
          </cell>
          <cell r="M964" t="str">
            <v>USA</v>
          </cell>
          <cell r="N964" t="str">
            <v>C</v>
          </cell>
          <cell r="O964">
            <v>20060400</v>
          </cell>
          <cell r="P964" t="str">
            <v>PYROBOR BULK (004)</v>
          </cell>
          <cell r="Q964" t="str">
            <v>Pyrobor</v>
          </cell>
          <cell r="R964">
            <v>33.01</v>
          </cell>
          <cell r="S964">
            <v>14481.08</v>
          </cell>
        </row>
        <row r="965">
          <cell r="A965" t="str">
            <v>Budget</v>
          </cell>
          <cell r="B965">
            <v>2</v>
          </cell>
          <cell r="C965" t="str">
            <v>Domestic</v>
          </cell>
          <cell r="D965">
            <v>3</v>
          </cell>
          <cell r="E965">
            <v>6516</v>
          </cell>
          <cell r="F965" t="str">
            <v>FERRO CORPORATION</v>
          </cell>
          <cell r="G965" t="str">
            <v>D</v>
          </cell>
          <cell r="H965" t="str">
            <v>CLEVELAND</v>
          </cell>
          <cell r="I965" t="str">
            <v>OH</v>
          </cell>
          <cell r="J965" t="str">
            <v>USA</v>
          </cell>
          <cell r="K965" t="str">
            <v>FERRO CORPORATION</v>
          </cell>
          <cell r="L965" t="str">
            <v>OH</v>
          </cell>
          <cell r="M965" t="str">
            <v>USA</v>
          </cell>
          <cell r="N965" t="str">
            <v>C</v>
          </cell>
          <cell r="O965">
            <v>25060252</v>
          </cell>
          <cell r="P965" t="str">
            <v>ANHYDROUS BORIC ACID 2400 FIBC</v>
          </cell>
          <cell r="Q965" t="str">
            <v>ABA</v>
          </cell>
          <cell r="R965">
            <v>13.87</v>
          </cell>
          <cell r="S965">
            <v>21295.87</v>
          </cell>
        </row>
        <row r="966">
          <cell r="A966" t="str">
            <v>Budget</v>
          </cell>
          <cell r="B966">
            <v>2</v>
          </cell>
          <cell r="C966" t="str">
            <v>Domestic</v>
          </cell>
          <cell r="D966">
            <v>3</v>
          </cell>
          <cell r="E966">
            <v>6516</v>
          </cell>
          <cell r="F966" t="str">
            <v>FERRO CORPORATION</v>
          </cell>
          <cell r="G966" t="str">
            <v>D</v>
          </cell>
          <cell r="H966" t="str">
            <v>CLEVELAND</v>
          </cell>
          <cell r="I966" t="str">
            <v>OH</v>
          </cell>
          <cell r="J966" t="str">
            <v>USA</v>
          </cell>
          <cell r="K966" t="str">
            <v>FERRO CORPORATION</v>
          </cell>
          <cell r="L966" t="str">
            <v>OH</v>
          </cell>
          <cell r="M966" t="str">
            <v>USA</v>
          </cell>
          <cell r="N966" t="str">
            <v>C</v>
          </cell>
          <cell r="O966">
            <v>30210100</v>
          </cell>
          <cell r="P966" t="str">
            <v>SODA ASH DENSE BULK</v>
          </cell>
          <cell r="Q966" t="str">
            <v>Soda Ash</v>
          </cell>
          <cell r="R966">
            <v>202.25</v>
          </cell>
          <cell r="S966">
            <v>18833.52</v>
          </cell>
        </row>
        <row r="967">
          <cell r="A967" t="str">
            <v>Budget</v>
          </cell>
          <cell r="B967">
            <v>2</v>
          </cell>
          <cell r="C967" t="str">
            <v>Domestic</v>
          </cell>
          <cell r="D967">
            <v>3</v>
          </cell>
          <cell r="E967">
            <v>6560</v>
          </cell>
          <cell r="F967" t="str">
            <v>GUARDIAN INDUSTRIES</v>
          </cell>
          <cell r="G967" t="str">
            <v>D</v>
          </cell>
          <cell r="H967" t="str">
            <v>FULLERTON</v>
          </cell>
          <cell r="I967" t="str">
            <v>CA</v>
          </cell>
          <cell r="J967" t="str">
            <v>USA</v>
          </cell>
          <cell r="K967" t="str">
            <v>GUARDIAN INDUSTRIES</v>
          </cell>
          <cell r="L967" t="str">
            <v>CA</v>
          </cell>
          <cell r="M967" t="str">
            <v>USA</v>
          </cell>
          <cell r="N967" t="str">
            <v>C</v>
          </cell>
          <cell r="O967">
            <v>30210100</v>
          </cell>
          <cell r="P967" t="str">
            <v>SODA ASH DENSE BULK</v>
          </cell>
          <cell r="Q967" t="str">
            <v>Soda Ash</v>
          </cell>
          <cell r="R967">
            <v>307.56</v>
          </cell>
          <cell r="S967">
            <v>24700.53</v>
          </cell>
        </row>
        <row r="968">
          <cell r="A968" t="str">
            <v>Budget</v>
          </cell>
          <cell r="B968">
            <v>2</v>
          </cell>
          <cell r="C968" t="str">
            <v>Domestic</v>
          </cell>
          <cell r="D968">
            <v>3</v>
          </cell>
          <cell r="E968">
            <v>6560</v>
          </cell>
          <cell r="F968" t="str">
            <v>GUARDIAN INDUSTRIES</v>
          </cell>
          <cell r="G968" t="str">
            <v>D</v>
          </cell>
          <cell r="H968" t="str">
            <v>FULLERTON</v>
          </cell>
          <cell r="I968" t="str">
            <v>CA</v>
          </cell>
          <cell r="J968" t="str">
            <v>USA</v>
          </cell>
          <cell r="K968" t="str">
            <v>GUARDIAN INDUSTRIES</v>
          </cell>
          <cell r="L968" t="str">
            <v>CA</v>
          </cell>
          <cell r="M968" t="str">
            <v>USA</v>
          </cell>
          <cell r="N968" t="str">
            <v>C</v>
          </cell>
          <cell r="O968">
            <v>40160400</v>
          </cell>
          <cell r="P968" t="str">
            <v>SODIUM SULFATE PREMIUM BULK</v>
          </cell>
          <cell r="Q968" t="str">
            <v>Sodium Sulfate</v>
          </cell>
          <cell r="R968">
            <v>8.49</v>
          </cell>
          <cell r="S968">
            <v>954.1</v>
          </cell>
        </row>
        <row r="969">
          <cell r="A969" t="str">
            <v>Budget</v>
          </cell>
          <cell r="B969">
            <v>2</v>
          </cell>
          <cell r="C969" t="str">
            <v>Domestic</v>
          </cell>
          <cell r="D969">
            <v>3</v>
          </cell>
          <cell r="E969">
            <v>6676</v>
          </cell>
          <cell r="F969" t="str">
            <v>3 M COMPANY</v>
          </cell>
          <cell r="G969" t="str">
            <v>D</v>
          </cell>
          <cell r="H969" t="str">
            <v>COTTAGE GROVE</v>
          </cell>
          <cell r="I969" t="str">
            <v>MN</v>
          </cell>
          <cell r="J969" t="str">
            <v>USA</v>
          </cell>
          <cell r="K969" t="str">
            <v>3 M COMPANY</v>
          </cell>
          <cell r="L969" t="str">
            <v>MN</v>
          </cell>
          <cell r="M969" t="str">
            <v>USA</v>
          </cell>
          <cell r="N969" t="str">
            <v>C</v>
          </cell>
          <cell r="O969">
            <v>20310210</v>
          </cell>
          <cell r="P969" t="str">
            <v>PYROBOR 30/100 50LB BAG (002)</v>
          </cell>
          <cell r="Q969" t="str">
            <v>Pyrobor</v>
          </cell>
          <cell r="R969">
            <v>68.14</v>
          </cell>
          <cell r="S969">
            <v>36926.39</v>
          </cell>
        </row>
        <row r="970">
          <cell r="A970" t="str">
            <v>Budget</v>
          </cell>
          <cell r="B970">
            <v>2</v>
          </cell>
          <cell r="C970" t="str">
            <v>Domestic</v>
          </cell>
          <cell r="D970">
            <v>3</v>
          </cell>
          <cell r="E970">
            <v>7245</v>
          </cell>
          <cell r="F970" t="str">
            <v>UNIVAR USA</v>
          </cell>
          <cell r="G970" t="str">
            <v>D</v>
          </cell>
          <cell r="H970" t="str">
            <v>TWINSBURG</v>
          </cell>
          <cell r="I970" t="str">
            <v>OH</v>
          </cell>
          <cell r="J970" t="str">
            <v>USA</v>
          </cell>
          <cell r="K970" t="str">
            <v>UNIVAR USA</v>
          </cell>
          <cell r="L970" t="str">
            <v>IL</v>
          </cell>
          <cell r="M970" t="str">
            <v>USA</v>
          </cell>
          <cell r="N970" t="str">
            <v>D</v>
          </cell>
          <cell r="O970">
            <v>24030210</v>
          </cell>
          <cell r="P970" t="str">
            <v>BORIC ACID PWD TECH 50LB BAG</v>
          </cell>
          <cell r="Q970" t="str">
            <v>Boric Acid</v>
          </cell>
          <cell r="R970">
            <v>2.4700000000000002</v>
          </cell>
          <cell r="S970">
            <v>2203.89</v>
          </cell>
        </row>
        <row r="971">
          <cell r="A971" t="str">
            <v>Budget</v>
          </cell>
          <cell r="B971">
            <v>2</v>
          </cell>
          <cell r="C971" t="str">
            <v>Domestic</v>
          </cell>
          <cell r="D971">
            <v>3</v>
          </cell>
          <cell r="E971">
            <v>7245</v>
          </cell>
          <cell r="F971" t="str">
            <v>UNIVAR USA</v>
          </cell>
          <cell r="G971" t="str">
            <v>D</v>
          </cell>
          <cell r="H971" t="str">
            <v>TWINSBURG</v>
          </cell>
          <cell r="I971" t="str">
            <v>OH</v>
          </cell>
          <cell r="J971" t="str">
            <v>USA</v>
          </cell>
          <cell r="K971" t="str">
            <v>UNIVAR USA</v>
          </cell>
          <cell r="L971" t="str">
            <v>IL</v>
          </cell>
          <cell r="M971" t="str">
            <v>USA</v>
          </cell>
          <cell r="N971" t="str">
            <v>D</v>
          </cell>
          <cell r="O971">
            <v>24090210</v>
          </cell>
          <cell r="P971" t="str">
            <v>BORIC ACID GRAN TECH 50LB BAG</v>
          </cell>
          <cell r="Q971" t="str">
            <v>Boric Acid</v>
          </cell>
          <cell r="R971">
            <v>31.64</v>
          </cell>
          <cell r="S971">
            <v>18359.21</v>
          </cell>
        </row>
        <row r="972">
          <cell r="A972" t="str">
            <v>Budget</v>
          </cell>
          <cell r="B972">
            <v>2</v>
          </cell>
          <cell r="C972" t="str">
            <v>Domestic</v>
          </cell>
          <cell r="D972">
            <v>3</v>
          </cell>
          <cell r="E972">
            <v>7245</v>
          </cell>
          <cell r="F972" t="str">
            <v>UNIVAR USA</v>
          </cell>
          <cell r="G972" t="str">
            <v>D</v>
          </cell>
          <cell r="H972" t="str">
            <v>TWINSBURG</v>
          </cell>
          <cell r="I972" t="str">
            <v>OH</v>
          </cell>
          <cell r="J972" t="str">
            <v>USA</v>
          </cell>
          <cell r="K972" t="str">
            <v>UNIVAR USA</v>
          </cell>
          <cell r="L972" t="str">
            <v>IL</v>
          </cell>
          <cell r="M972" t="str">
            <v>USA</v>
          </cell>
          <cell r="N972" t="str">
            <v>D</v>
          </cell>
          <cell r="O972">
            <v>40060410</v>
          </cell>
          <cell r="P972" t="str">
            <v>SODIUM SULFATE STD 50LB BAG</v>
          </cell>
          <cell r="Q972" t="str">
            <v>Sodium Sulfate</v>
          </cell>
          <cell r="R972">
            <v>16.05</v>
          </cell>
          <cell r="S972">
            <v>1390.08</v>
          </cell>
        </row>
        <row r="973">
          <cell r="A973" t="str">
            <v>Budget</v>
          </cell>
          <cell r="B973">
            <v>2</v>
          </cell>
          <cell r="C973" t="str">
            <v>Domestic</v>
          </cell>
          <cell r="D973">
            <v>3</v>
          </cell>
          <cell r="E973">
            <v>7246</v>
          </cell>
          <cell r="F973" t="str">
            <v>UNIVAR USA</v>
          </cell>
          <cell r="G973" t="str">
            <v>D</v>
          </cell>
          <cell r="H973" t="str">
            <v>WALBRIDGE</v>
          </cell>
          <cell r="I973" t="str">
            <v>OH</v>
          </cell>
          <cell r="J973" t="str">
            <v>USA</v>
          </cell>
          <cell r="K973" t="str">
            <v>UNIVAR USA</v>
          </cell>
          <cell r="L973" t="str">
            <v>IL</v>
          </cell>
          <cell r="M973" t="str">
            <v>USA</v>
          </cell>
          <cell r="N973" t="str">
            <v>D</v>
          </cell>
          <cell r="O973">
            <v>22060410</v>
          </cell>
          <cell r="P973" t="str">
            <v>V-BOR 50LB BAG (004)</v>
          </cell>
          <cell r="Q973" t="str">
            <v>Penta</v>
          </cell>
          <cell r="R973">
            <v>10.48</v>
          </cell>
          <cell r="S973">
            <v>4054.2</v>
          </cell>
        </row>
        <row r="974">
          <cell r="A974" t="str">
            <v>Budget</v>
          </cell>
          <cell r="B974">
            <v>2</v>
          </cell>
          <cell r="C974" t="str">
            <v>Domestic</v>
          </cell>
          <cell r="D974">
            <v>3</v>
          </cell>
          <cell r="E974">
            <v>7273</v>
          </cell>
          <cell r="F974" t="str">
            <v>YOUNG CHEMICAL COMPANY</v>
          </cell>
          <cell r="G974" t="str">
            <v>D</v>
          </cell>
          <cell r="H974" t="str">
            <v>BROOK PARK</v>
          </cell>
          <cell r="I974" t="str">
            <v>OH</v>
          </cell>
          <cell r="J974" t="str">
            <v>USA</v>
          </cell>
          <cell r="K974" t="str">
            <v>YOUNG CHEMICAL COMPANY</v>
          </cell>
          <cell r="L974" t="str">
            <v>OH</v>
          </cell>
          <cell r="M974" t="str">
            <v>USA</v>
          </cell>
          <cell r="N974" t="str">
            <v>D</v>
          </cell>
          <cell r="O974">
            <v>20060210</v>
          </cell>
          <cell r="P974" t="str">
            <v>PYROBOR 50LB BAG (002)</v>
          </cell>
          <cell r="Q974" t="str">
            <v>Pyrobor</v>
          </cell>
          <cell r="R974">
            <v>2.91</v>
          </cell>
          <cell r="S974">
            <v>2141.11</v>
          </cell>
        </row>
        <row r="975">
          <cell r="A975" t="str">
            <v>Budget</v>
          </cell>
          <cell r="B975">
            <v>2</v>
          </cell>
          <cell r="C975" t="str">
            <v>Domestic</v>
          </cell>
          <cell r="D975">
            <v>3</v>
          </cell>
          <cell r="E975">
            <v>7273</v>
          </cell>
          <cell r="F975" t="str">
            <v>YOUNG CHEMICAL COMPANY</v>
          </cell>
          <cell r="G975" t="str">
            <v>D</v>
          </cell>
          <cell r="H975" t="str">
            <v>BROOK PARK</v>
          </cell>
          <cell r="I975" t="str">
            <v>OH</v>
          </cell>
          <cell r="J975" t="str">
            <v>USA</v>
          </cell>
          <cell r="K975" t="str">
            <v>YOUNG CHEMICAL COMPANY</v>
          </cell>
          <cell r="L975" t="str">
            <v>OH</v>
          </cell>
          <cell r="M975" t="str">
            <v>USA</v>
          </cell>
          <cell r="N975" t="str">
            <v>D</v>
          </cell>
          <cell r="O975">
            <v>22060410</v>
          </cell>
          <cell r="P975" t="str">
            <v>V-BOR 50LB BAG (004)</v>
          </cell>
          <cell r="Q975" t="str">
            <v>Penta</v>
          </cell>
          <cell r="R975">
            <v>17.28</v>
          </cell>
          <cell r="S975">
            <v>6522.97</v>
          </cell>
        </row>
        <row r="976">
          <cell r="A976" t="str">
            <v>Budget</v>
          </cell>
          <cell r="B976">
            <v>2</v>
          </cell>
          <cell r="C976" t="str">
            <v>Domestic</v>
          </cell>
          <cell r="D976">
            <v>3</v>
          </cell>
          <cell r="E976">
            <v>7273</v>
          </cell>
          <cell r="F976" t="str">
            <v>YOUNG CHEMICAL COMPANY</v>
          </cell>
          <cell r="G976" t="str">
            <v>D</v>
          </cell>
          <cell r="H976" t="str">
            <v>BROOK PARK</v>
          </cell>
          <cell r="I976" t="str">
            <v>OH</v>
          </cell>
          <cell r="J976" t="str">
            <v>USA</v>
          </cell>
          <cell r="K976" t="str">
            <v>YOUNG CHEMICAL COMPANY</v>
          </cell>
          <cell r="L976" t="str">
            <v>OH</v>
          </cell>
          <cell r="M976" t="str">
            <v>USA</v>
          </cell>
          <cell r="N976" t="str">
            <v>D</v>
          </cell>
          <cell r="O976">
            <v>23060210</v>
          </cell>
          <cell r="P976" t="str">
            <v>DECA BORAX STD 50LB BAG</v>
          </cell>
          <cell r="Q976" t="str">
            <v>Deca</v>
          </cell>
          <cell r="R976">
            <v>0.57999999999999996</v>
          </cell>
          <cell r="S976">
            <v>218.47</v>
          </cell>
        </row>
        <row r="977">
          <cell r="A977" t="str">
            <v>Budget</v>
          </cell>
          <cell r="B977">
            <v>2</v>
          </cell>
          <cell r="C977" t="str">
            <v>Domestic</v>
          </cell>
          <cell r="D977">
            <v>3</v>
          </cell>
          <cell r="E977">
            <v>7273</v>
          </cell>
          <cell r="F977" t="str">
            <v>YOUNG CHEMICAL COMPANY</v>
          </cell>
          <cell r="G977" t="str">
            <v>D</v>
          </cell>
          <cell r="H977" t="str">
            <v>BROOK PARK</v>
          </cell>
          <cell r="I977" t="str">
            <v>OH</v>
          </cell>
          <cell r="J977" t="str">
            <v>USA</v>
          </cell>
          <cell r="K977" t="str">
            <v>YOUNG CHEMICAL COMPANY</v>
          </cell>
          <cell r="L977" t="str">
            <v>OH</v>
          </cell>
          <cell r="M977" t="str">
            <v>USA</v>
          </cell>
          <cell r="N977" t="str">
            <v>D</v>
          </cell>
          <cell r="O977">
            <v>24090210</v>
          </cell>
          <cell r="P977" t="str">
            <v>BORIC ACID GRAN TECH 50LB BAG</v>
          </cell>
          <cell r="Q977" t="str">
            <v>Boric Acid</v>
          </cell>
          <cell r="R977">
            <v>1.94</v>
          </cell>
          <cell r="S977">
            <v>1233.17</v>
          </cell>
        </row>
        <row r="978">
          <cell r="A978" t="str">
            <v>Budget</v>
          </cell>
          <cell r="B978">
            <v>2</v>
          </cell>
          <cell r="C978" t="str">
            <v>Domestic</v>
          </cell>
          <cell r="D978">
            <v>3</v>
          </cell>
          <cell r="E978">
            <v>7273</v>
          </cell>
          <cell r="F978" t="str">
            <v>YOUNG CHEMICAL COMPANY</v>
          </cell>
          <cell r="G978" t="str">
            <v>D</v>
          </cell>
          <cell r="H978" t="str">
            <v>BROOK PARK</v>
          </cell>
          <cell r="I978" t="str">
            <v>OH</v>
          </cell>
          <cell r="J978" t="str">
            <v>USA</v>
          </cell>
          <cell r="K978" t="str">
            <v>YOUNG CHEMICAL COMPANY</v>
          </cell>
          <cell r="L978" t="str">
            <v>OH</v>
          </cell>
          <cell r="M978" t="str">
            <v>USA</v>
          </cell>
          <cell r="N978" t="str">
            <v>D</v>
          </cell>
          <cell r="O978">
            <v>78099792</v>
          </cell>
          <cell r="P978" t="str">
            <v>POTASSIUM PENTABORATE 150KG DR</v>
          </cell>
          <cell r="Q978" t="str">
            <v>Boric Salt (SCL)</v>
          </cell>
          <cell r="R978">
            <v>0.1</v>
          </cell>
          <cell r="S978">
            <v>373.75</v>
          </cell>
        </row>
        <row r="979">
          <cell r="A979" t="str">
            <v>Budget</v>
          </cell>
          <cell r="B979">
            <v>2</v>
          </cell>
          <cell r="C979" t="str">
            <v>Domestic</v>
          </cell>
          <cell r="D979">
            <v>3</v>
          </cell>
          <cell r="E979">
            <v>7273</v>
          </cell>
          <cell r="F979" t="str">
            <v>YOUNG CHEMICAL COMPANY</v>
          </cell>
          <cell r="G979" t="str">
            <v>D</v>
          </cell>
          <cell r="H979" t="str">
            <v>BROOK PARK</v>
          </cell>
          <cell r="I979" t="str">
            <v>OH</v>
          </cell>
          <cell r="J979" t="str">
            <v>USA</v>
          </cell>
          <cell r="K979" t="str">
            <v>YOUNG CHEMICAL COMPANY</v>
          </cell>
          <cell r="L979" t="str">
            <v>OH</v>
          </cell>
          <cell r="M979" t="str">
            <v>USA</v>
          </cell>
          <cell r="N979" t="str">
            <v>D</v>
          </cell>
          <cell r="O979">
            <v>79099720</v>
          </cell>
          <cell r="P979" t="str">
            <v>POTASSIUM TETRABORATE 25KG BAG</v>
          </cell>
          <cell r="Q979" t="str">
            <v>Boric Salt (SCL)</v>
          </cell>
          <cell r="R979">
            <v>0.17</v>
          </cell>
          <cell r="S979">
            <v>659.69</v>
          </cell>
        </row>
        <row r="980">
          <cell r="A980" t="str">
            <v>Budget</v>
          </cell>
          <cell r="B980">
            <v>2</v>
          </cell>
          <cell r="C980" t="str">
            <v>Domestic</v>
          </cell>
          <cell r="D980">
            <v>3</v>
          </cell>
          <cell r="E980">
            <v>7365</v>
          </cell>
          <cell r="F980" t="str">
            <v>UNIVAR USA</v>
          </cell>
          <cell r="G980" t="str">
            <v>D</v>
          </cell>
          <cell r="H980" t="str">
            <v>ST PAUL</v>
          </cell>
          <cell r="I980" t="str">
            <v>MN</v>
          </cell>
          <cell r="J980" t="str">
            <v>USA</v>
          </cell>
          <cell r="K980" t="str">
            <v>UNIVAR USA</v>
          </cell>
          <cell r="L980" t="str">
            <v>MN</v>
          </cell>
          <cell r="M980" t="str">
            <v>USA</v>
          </cell>
          <cell r="N980" t="str">
            <v>D</v>
          </cell>
          <cell r="O980">
            <v>22060410</v>
          </cell>
          <cell r="P980" t="str">
            <v>V-BOR 50LB BAG (004)</v>
          </cell>
          <cell r="Q980" t="str">
            <v>Penta</v>
          </cell>
          <cell r="R980">
            <v>3.49</v>
          </cell>
          <cell r="S980">
            <v>1349.69</v>
          </cell>
        </row>
        <row r="981">
          <cell r="A981" t="str">
            <v>Budget</v>
          </cell>
          <cell r="B981">
            <v>2</v>
          </cell>
          <cell r="C981" t="str">
            <v>Domestic</v>
          </cell>
          <cell r="D981">
            <v>3</v>
          </cell>
          <cell r="E981">
            <v>7365</v>
          </cell>
          <cell r="F981" t="str">
            <v>UNIVAR USA</v>
          </cell>
          <cell r="G981" t="str">
            <v>D</v>
          </cell>
          <cell r="H981" t="str">
            <v>ST PAUL</v>
          </cell>
          <cell r="I981" t="str">
            <v>MN</v>
          </cell>
          <cell r="J981" t="str">
            <v>USA</v>
          </cell>
          <cell r="K981" t="str">
            <v>UNIVAR USA</v>
          </cell>
          <cell r="L981" t="str">
            <v>MN</v>
          </cell>
          <cell r="M981" t="str">
            <v>USA</v>
          </cell>
          <cell r="N981" t="str">
            <v>D</v>
          </cell>
          <cell r="O981">
            <v>40070414</v>
          </cell>
          <cell r="P981" t="str">
            <v>SODIUM SULFAT MED 50LB SPECIAL</v>
          </cell>
          <cell r="Q981" t="str">
            <v>Sodium Sulfate</v>
          </cell>
          <cell r="R981">
            <v>14.26</v>
          </cell>
          <cell r="S981">
            <v>2510.17</v>
          </cell>
        </row>
        <row r="982">
          <cell r="A982" t="str">
            <v>Budget</v>
          </cell>
          <cell r="B982">
            <v>2</v>
          </cell>
          <cell r="C982" t="str">
            <v>Domestic</v>
          </cell>
          <cell r="D982">
            <v>3</v>
          </cell>
          <cell r="E982">
            <v>7377</v>
          </cell>
          <cell r="F982" t="str">
            <v>CHEMCENTRAL CHICAGO</v>
          </cell>
          <cell r="G982" t="str">
            <v>D</v>
          </cell>
          <cell r="H982" t="str">
            <v>BEDFORD PARK</v>
          </cell>
          <cell r="I982" t="str">
            <v>IL</v>
          </cell>
          <cell r="J982" t="str">
            <v>USA</v>
          </cell>
          <cell r="K982" t="str">
            <v>CHEMCENTRAL CHICAGO</v>
          </cell>
          <cell r="L982" t="str">
            <v>IL</v>
          </cell>
          <cell r="M982" t="str">
            <v>USA</v>
          </cell>
          <cell r="N982" t="str">
            <v>D</v>
          </cell>
          <cell r="O982">
            <v>22060410</v>
          </cell>
          <cell r="P982" t="str">
            <v>V-BOR 50LB BAG (004)</v>
          </cell>
          <cell r="Q982" t="str">
            <v>Penta</v>
          </cell>
          <cell r="R982">
            <v>6.02</v>
          </cell>
          <cell r="S982">
            <v>2459.15</v>
          </cell>
        </row>
        <row r="983">
          <cell r="A983" t="str">
            <v>Budget</v>
          </cell>
          <cell r="B983">
            <v>2</v>
          </cell>
          <cell r="C983" t="str">
            <v>Domestic</v>
          </cell>
          <cell r="D983">
            <v>3</v>
          </cell>
          <cell r="E983">
            <v>7377</v>
          </cell>
          <cell r="F983" t="str">
            <v>CHEMCENTRAL CHICAGO</v>
          </cell>
          <cell r="G983" t="str">
            <v>D</v>
          </cell>
          <cell r="H983" t="str">
            <v>BEDFORD PARK</v>
          </cell>
          <cell r="I983" t="str">
            <v>IL</v>
          </cell>
          <cell r="J983" t="str">
            <v>USA</v>
          </cell>
          <cell r="K983" t="str">
            <v>CHEMCENTRAL CHICAGO</v>
          </cell>
          <cell r="L983" t="str">
            <v>IL</v>
          </cell>
          <cell r="M983" t="str">
            <v>USA</v>
          </cell>
          <cell r="N983" t="str">
            <v>D</v>
          </cell>
          <cell r="O983">
            <v>23060210</v>
          </cell>
          <cell r="P983" t="str">
            <v>DECA BORAX STD 50LB BAG</v>
          </cell>
          <cell r="Q983" t="str">
            <v>Deca</v>
          </cell>
          <cell r="R983">
            <v>2.33</v>
          </cell>
          <cell r="S983">
            <v>825.82</v>
          </cell>
        </row>
        <row r="984">
          <cell r="A984" t="str">
            <v>Budget</v>
          </cell>
          <cell r="B984">
            <v>2</v>
          </cell>
          <cell r="C984" t="str">
            <v>Domestic</v>
          </cell>
          <cell r="D984">
            <v>3</v>
          </cell>
          <cell r="E984">
            <v>7377</v>
          </cell>
          <cell r="F984" t="str">
            <v>CHEMCENTRAL CHICAGO</v>
          </cell>
          <cell r="G984" t="str">
            <v>D</v>
          </cell>
          <cell r="H984" t="str">
            <v>BEDFORD PARK</v>
          </cell>
          <cell r="I984" t="str">
            <v>IL</v>
          </cell>
          <cell r="J984" t="str">
            <v>USA</v>
          </cell>
          <cell r="K984" t="str">
            <v>CHEMCENTRAL CHICAGO</v>
          </cell>
          <cell r="L984" t="str">
            <v>IL</v>
          </cell>
          <cell r="M984" t="str">
            <v>USA</v>
          </cell>
          <cell r="N984" t="str">
            <v>D</v>
          </cell>
          <cell r="O984">
            <v>24090210</v>
          </cell>
          <cell r="P984" t="str">
            <v>BORIC ACID GRAN TECH 50LB BAG</v>
          </cell>
          <cell r="Q984" t="str">
            <v>Boric Acid</v>
          </cell>
          <cell r="R984">
            <v>2.14</v>
          </cell>
          <cell r="S984">
            <v>1618.82</v>
          </cell>
        </row>
        <row r="985">
          <cell r="A985" t="str">
            <v>Budget</v>
          </cell>
          <cell r="B985">
            <v>2</v>
          </cell>
          <cell r="C985" t="str">
            <v>Domestic</v>
          </cell>
          <cell r="D985">
            <v>3</v>
          </cell>
          <cell r="E985">
            <v>7379</v>
          </cell>
          <cell r="F985" t="str">
            <v>CARDINAL FG</v>
          </cell>
          <cell r="G985" t="str">
            <v>D</v>
          </cell>
          <cell r="H985" t="str">
            <v>MENOMONIE</v>
          </cell>
          <cell r="I985" t="str">
            <v>WI</v>
          </cell>
          <cell r="J985" t="str">
            <v>USA</v>
          </cell>
          <cell r="K985" t="str">
            <v>CARDINAL FG</v>
          </cell>
          <cell r="L985" t="str">
            <v>WI</v>
          </cell>
          <cell r="M985" t="str">
            <v>USA</v>
          </cell>
          <cell r="N985" t="str">
            <v>C</v>
          </cell>
          <cell r="O985">
            <v>40160400</v>
          </cell>
          <cell r="P985" t="str">
            <v>SODIUM SULFATE PREMIUM BULK</v>
          </cell>
          <cell r="Q985" t="str">
            <v>Sodium Sulfate</v>
          </cell>
          <cell r="R985">
            <v>50.73</v>
          </cell>
          <cell r="S985">
            <v>2779.79</v>
          </cell>
        </row>
        <row r="986">
          <cell r="A986" t="str">
            <v>Budget</v>
          </cell>
          <cell r="B986">
            <v>2</v>
          </cell>
          <cell r="C986" t="str">
            <v>Domestic</v>
          </cell>
          <cell r="D986">
            <v>3</v>
          </cell>
          <cell r="E986">
            <v>7464</v>
          </cell>
          <cell r="F986" t="str">
            <v>DOVER CHEMICAL CORPORATION</v>
          </cell>
          <cell r="G986" t="str">
            <v>D</v>
          </cell>
          <cell r="H986" t="str">
            <v>HAMMOND</v>
          </cell>
          <cell r="I986" t="str">
            <v>IN</v>
          </cell>
          <cell r="J986" t="str">
            <v>USA</v>
          </cell>
          <cell r="K986" t="str">
            <v>DOVER CHEMICAL CORPORATION</v>
          </cell>
          <cell r="L986" t="str">
            <v>IN</v>
          </cell>
          <cell r="M986" t="str">
            <v>USA</v>
          </cell>
          <cell r="N986" t="str">
            <v>C</v>
          </cell>
          <cell r="O986">
            <v>24090210</v>
          </cell>
          <cell r="P986" t="str">
            <v>BORIC ACID GRAN TECH 50LB BAG</v>
          </cell>
          <cell r="Q986" t="str">
            <v>Boric Acid</v>
          </cell>
          <cell r="R986">
            <v>17.86</v>
          </cell>
          <cell r="S986">
            <v>7427.8</v>
          </cell>
        </row>
        <row r="987">
          <cell r="A987" t="str">
            <v>Budget</v>
          </cell>
          <cell r="B987">
            <v>2</v>
          </cell>
          <cell r="C987" t="str">
            <v>Domestic</v>
          </cell>
          <cell r="D987">
            <v>3</v>
          </cell>
          <cell r="E987">
            <v>7473</v>
          </cell>
          <cell r="F987" t="str">
            <v>PROCTER &amp; GAMBLE MFG</v>
          </cell>
          <cell r="G987" t="str">
            <v>D</v>
          </cell>
          <cell r="H987" t="str">
            <v>ALEXANDRIA</v>
          </cell>
          <cell r="I987" t="str">
            <v>LA</v>
          </cell>
          <cell r="J987" t="str">
            <v>USA</v>
          </cell>
          <cell r="K987" t="str">
            <v>PROCTER &amp; GAMBLE MFG</v>
          </cell>
          <cell r="L987" t="str">
            <v>LA</v>
          </cell>
          <cell r="M987" t="str">
            <v>USA</v>
          </cell>
          <cell r="N987" t="str">
            <v>C</v>
          </cell>
          <cell r="O987">
            <v>40060400</v>
          </cell>
          <cell r="P987" t="str">
            <v>SODIUM SULFATE STANDARD BULK</v>
          </cell>
          <cell r="Q987" t="str">
            <v>Sodium Sulfate</v>
          </cell>
          <cell r="R987">
            <v>1413.41</v>
          </cell>
          <cell r="S987">
            <v>43089.22</v>
          </cell>
        </row>
        <row r="988">
          <cell r="A988" t="str">
            <v>Budget</v>
          </cell>
          <cell r="B988">
            <v>2</v>
          </cell>
          <cell r="C988" t="str">
            <v>Domestic</v>
          </cell>
          <cell r="D988">
            <v>3</v>
          </cell>
          <cell r="E988">
            <v>7521</v>
          </cell>
          <cell r="F988" t="str">
            <v>PILKINGTON NORTH AMERICA</v>
          </cell>
          <cell r="G988" t="str">
            <v>D</v>
          </cell>
          <cell r="H988" t="str">
            <v>LATHROP</v>
          </cell>
          <cell r="I988" t="str">
            <v>CA</v>
          </cell>
          <cell r="J988" t="str">
            <v>USA</v>
          </cell>
          <cell r="K988" t="str">
            <v>PILKINGTON NORTH AMERICA</v>
          </cell>
          <cell r="L988" t="str">
            <v>CA</v>
          </cell>
          <cell r="M988" t="str">
            <v>USA</v>
          </cell>
          <cell r="N988" t="str">
            <v>C</v>
          </cell>
          <cell r="O988">
            <v>30210100</v>
          </cell>
          <cell r="P988" t="str">
            <v>SODA ASH DENSE BULK</v>
          </cell>
          <cell r="Q988" t="str">
            <v>Soda Ash</v>
          </cell>
          <cell r="R988">
            <v>3349.25</v>
          </cell>
          <cell r="S988">
            <v>254543</v>
          </cell>
        </row>
        <row r="989">
          <cell r="A989" t="str">
            <v>Budget</v>
          </cell>
          <cell r="B989">
            <v>2</v>
          </cell>
          <cell r="C989" t="str">
            <v>Domestic</v>
          </cell>
          <cell r="D989">
            <v>3</v>
          </cell>
          <cell r="E989">
            <v>7521</v>
          </cell>
          <cell r="F989" t="str">
            <v>PILKINGTON NORTH AMERICA</v>
          </cell>
          <cell r="G989" t="str">
            <v>D</v>
          </cell>
          <cell r="H989" t="str">
            <v>LATHROP</v>
          </cell>
          <cell r="I989" t="str">
            <v>CA</v>
          </cell>
          <cell r="J989" t="str">
            <v>USA</v>
          </cell>
          <cell r="K989" t="str">
            <v>PILKINGTON NORTH AMERICA</v>
          </cell>
          <cell r="L989" t="str">
            <v>CA</v>
          </cell>
          <cell r="M989" t="str">
            <v>USA</v>
          </cell>
          <cell r="N989" t="str">
            <v>C</v>
          </cell>
          <cell r="O989">
            <v>40160400</v>
          </cell>
          <cell r="P989" t="str">
            <v>SODIUM SULFATE PREMIUM BULK</v>
          </cell>
          <cell r="Q989" t="str">
            <v>Sodium Sulfate</v>
          </cell>
          <cell r="R989">
            <v>102.97</v>
          </cell>
          <cell r="S989">
            <v>10517.58</v>
          </cell>
        </row>
        <row r="990">
          <cell r="A990" t="str">
            <v>Budget</v>
          </cell>
          <cell r="B990">
            <v>2</v>
          </cell>
          <cell r="C990" t="str">
            <v>Domestic</v>
          </cell>
          <cell r="D990">
            <v>3</v>
          </cell>
          <cell r="E990">
            <v>7536</v>
          </cell>
          <cell r="F990" t="str">
            <v>ASHLAND CHEMICAL, INC.</v>
          </cell>
          <cell r="G990" t="str">
            <v>D</v>
          </cell>
          <cell r="H990" t="str">
            <v>WILLOW SPRINGS</v>
          </cell>
          <cell r="I990" t="str">
            <v>IL</v>
          </cell>
          <cell r="J990" t="str">
            <v>USA</v>
          </cell>
          <cell r="K990" t="str">
            <v>ASHLAND CHEMICAL, INC.</v>
          </cell>
          <cell r="L990" t="str">
            <v>IL</v>
          </cell>
          <cell r="M990" t="str">
            <v>USA</v>
          </cell>
          <cell r="N990" t="str">
            <v>D</v>
          </cell>
          <cell r="O990">
            <v>22060410</v>
          </cell>
          <cell r="P990" t="str">
            <v>V-BOR 50LB BAG (004)</v>
          </cell>
          <cell r="Q990" t="str">
            <v>Penta</v>
          </cell>
          <cell r="R990">
            <v>0.78</v>
          </cell>
          <cell r="S990">
            <v>265.39</v>
          </cell>
        </row>
        <row r="991">
          <cell r="A991" t="str">
            <v>Budget</v>
          </cell>
          <cell r="B991">
            <v>2</v>
          </cell>
          <cell r="C991" t="str">
            <v>Domestic</v>
          </cell>
          <cell r="D991">
            <v>3</v>
          </cell>
          <cell r="E991">
            <v>7536</v>
          </cell>
          <cell r="F991" t="str">
            <v>ASHLAND CHEMICAL, INC.</v>
          </cell>
          <cell r="G991" t="str">
            <v>D</v>
          </cell>
          <cell r="H991" t="str">
            <v>WILLOW SPRINGS</v>
          </cell>
          <cell r="I991" t="str">
            <v>IL</v>
          </cell>
          <cell r="J991" t="str">
            <v>USA</v>
          </cell>
          <cell r="K991" t="str">
            <v>ASHLAND CHEMICAL, INC.</v>
          </cell>
          <cell r="L991" t="str">
            <v>IL</v>
          </cell>
          <cell r="M991" t="str">
            <v>USA</v>
          </cell>
          <cell r="N991" t="str">
            <v>D</v>
          </cell>
          <cell r="O991">
            <v>22060430</v>
          </cell>
          <cell r="P991" t="str">
            <v>V-BOR STD 100LB BAG (004)</v>
          </cell>
          <cell r="Q991" t="str">
            <v>Penta</v>
          </cell>
          <cell r="R991">
            <v>4.16</v>
          </cell>
          <cell r="S991">
            <v>1711.19</v>
          </cell>
        </row>
        <row r="992">
          <cell r="A992" t="str">
            <v>Budget</v>
          </cell>
          <cell r="B992">
            <v>2</v>
          </cell>
          <cell r="C992" t="str">
            <v>Domestic</v>
          </cell>
          <cell r="D992">
            <v>3</v>
          </cell>
          <cell r="E992">
            <v>7536</v>
          </cell>
          <cell r="F992" t="str">
            <v>ASHLAND CHEMICAL, INC.</v>
          </cell>
          <cell r="G992" t="str">
            <v>D</v>
          </cell>
          <cell r="H992" t="str">
            <v>WILLOW SPRINGS</v>
          </cell>
          <cell r="I992" t="str">
            <v>IL</v>
          </cell>
          <cell r="J992" t="str">
            <v>USA</v>
          </cell>
          <cell r="K992" t="str">
            <v>ASHLAND CHEMICAL, INC.</v>
          </cell>
          <cell r="L992" t="str">
            <v>IL</v>
          </cell>
          <cell r="M992" t="str">
            <v>USA</v>
          </cell>
          <cell r="N992" t="str">
            <v>D</v>
          </cell>
          <cell r="O992">
            <v>24090210</v>
          </cell>
          <cell r="P992" t="str">
            <v>BORIC ACID GRAN TECH 50LB BAG</v>
          </cell>
          <cell r="Q992" t="str">
            <v>Boric Acid</v>
          </cell>
          <cell r="R992">
            <v>18.829999999999998</v>
          </cell>
          <cell r="S992">
            <v>14729.58</v>
          </cell>
        </row>
        <row r="993">
          <cell r="A993" t="str">
            <v>Budget</v>
          </cell>
          <cell r="B993">
            <v>2</v>
          </cell>
          <cell r="C993" t="str">
            <v>Domestic</v>
          </cell>
          <cell r="D993">
            <v>3</v>
          </cell>
          <cell r="E993">
            <v>7536</v>
          </cell>
          <cell r="F993" t="str">
            <v>ASHLAND CHEMICAL, INC.</v>
          </cell>
          <cell r="G993" t="str">
            <v>D</v>
          </cell>
          <cell r="H993" t="str">
            <v>WILLOW SPRINGS</v>
          </cell>
          <cell r="I993" t="str">
            <v>IL</v>
          </cell>
          <cell r="J993" t="str">
            <v>USA</v>
          </cell>
          <cell r="K993" t="str">
            <v>ASHLAND CHEMICAL, INC.</v>
          </cell>
          <cell r="L993" t="str">
            <v>IL</v>
          </cell>
          <cell r="M993" t="str">
            <v>USA</v>
          </cell>
          <cell r="N993" t="str">
            <v>D</v>
          </cell>
          <cell r="O993">
            <v>79099720</v>
          </cell>
          <cell r="P993" t="str">
            <v>POTASSIUM TETRABORATE 25KG BAG</v>
          </cell>
          <cell r="Q993" t="str">
            <v>Boric Salt (SCL)</v>
          </cell>
          <cell r="R993">
            <v>0.18</v>
          </cell>
          <cell r="S993">
            <v>497.16</v>
          </cell>
        </row>
        <row r="994">
          <cell r="A994" t="str">
            <v>Budget</v>
          </cell>
          <cell r="B994">
            <v>2</v>
          </cell>
          <cell r="C994" t="str">
            <v>Domestic</v>
          </cell>
          <cell r="D994">
            <v>3</v>
          </cell>
          <cell r="E994">
            <v>7728</v>
          </cell>
          <cell r="F994" t="str">
            <v>HAVILAND PRODUCTS COMPANY</v>
          </cell>
          <cell r="G994" t="str">
            <v>D</v>
          </cell>
          <cell r="H994" t="str">
            <v>GRAND RAPIDS</v>
          </cell>
          <cell r="I994" t="str">
            <v>MI</v>
          </cell>
          <cell r="J994" t="str">
            <v>USA</v>
          </cell>
          <cell r="K994" t="str">
            <v>HAVILAND PRODUCTS COMPANY</v>
          </cell>
          <cell r="L994" t="str">
            <v>MI</v>
          </cell>
          <cell r="M994" t="str">
            <v>USA</v>
          </cell>
          <cell r="N994" t="str">
            <v>D</v>
          </cell>
          <cell r="O994">
            <v>22060453</v>
          </cell>
          <cell r="P994" t="str">
            <v>V-BOR 2500LB FIBC (004)</v>
          </cell>
          <cell r="Q994" t="str">
            <v>Penta</v>
          </cell>
          <cell r="R994">
            <v>13.87</v>
          </cell>
          <cell r="S994">
            <v>4827.7</v>
          </cell>
        </row>
        <row r="995">
          <cell r="A995" t="str">
            <v>Budget</v>
          </cell>
          <cell r="B995">
            <v>2</v>
          </cell>
          <cell r="C995" t="str">
            <v>Domestic</v>
          </cell>
          <cell r="D995">
            <v>3</v>
          </cell>
          <cell r="E995">
            <v>7951</v>
          </cell>
          <cell r="F995" t="str">
            <v>PVS NOLWOOD CHEMICAL INC</v>
          </cell>
          <cell r="G995" t="str">
            <v>D</v>
          </cell>
          <cell r="H995" t="str">
            <v>DETROIT</v>
          </cell>
          <cell r="I995" t="str">
            <v>MI</v>
          </cell>
          <cell r="J995" t="str">
            <v>USA</v>
          </cell>
          <cell r="K995" t="str">
            <v>PVS NOLWOOD CHEMICAL INC</v>
          </cell>
          <cell r="L995" t="str">
            <v>MI</v>
          </cell>
          <cell r="M995" t="str">
            <v>USA</v>
          </cell>
          <cell r="N995" t="str">
            <v>D</v>
          </cell>
          <cell r="O995">
            <v>22060410</v>
          </cell>
          <cell r="P995" t="str">
            <v>V-BOR 50LB BAG (004)</v>
          </cell>
          <cell r="Q995" t="str">
            <v>Penta</v>
          </cell>
          <cell r="R995">
            <v>9.7100000000000009</v>
          </cell>
          <cell r="S995">
            <v>4111.74</v>
          </cell>
        </row>
        <row r="996">
          <cell r="A996" t="str">
            <v>Budget</v>
          </cell>
          <cell r="B996">
            <v>2</v>
          </cell>
          <cell r="C996" t="str">
            <v>Domestic</v>
          </cell>
          <cell r="D996">
            <v>3</v>
          </cell>
          <cell r="E996">
            <v>7951</v>
          </cell>
          <cell r="F996" t="str">
            <v>PVS NOLWOOD CHEMICAL INC</v>
          </cell>
          <cell r="G996" t="str">
            <v>D</v>
          </cell>
          <cell r="H996" t="str">
            <v>DETROIT</v>
          </cell>
          <cell r="I996" t="str">
            <v>MI</v>
          </cell>
          <cell r="J996" t="str">
            <v>USA</v>
          </cell>
          <cell r="K996" t="str">
            <v>PVS NOLWOOD CHEMICAL INC</v>
          </cell>
          <cell r="L996" t="str">
            <v>MI</v>
          </cell>
          <cell r="M996" t="str">
            <v>USA</v>
          </cell>
          <cell r="N996" t="str">
            <v>D</v>
          </cell>
          <cell r="O996">
            <v>23060210</v>
          </cell>
          <cell r="P996" t="str">
            <v>DECA BORAX STD 50LB BAG</v>
          </cell>
          <cell r="Q996" t="str">
            <v>Deca</v>
          </cell>
          <cell r="R996">
            <v>0.19</v>
          </cell>
          <cell r="S996">
            <v>71.69</v>
          </cell>
        </row>
        <row r="997">
          <cell r="A997" t="str">
            <v>Budget</v>
          </cell>
          <cell r="B997">
            <v>2</v>
          </cell>
          <cell r="C997" t="str">
            <v>Domestic</v>
          </cell>
          <cell r="D997">
            <v>3</v>
          </cell>
          <cell r="E997">
            <v>7951</v>
          </cell>
          <cell r="F997" t="str">
            <v>PVS NOLWOOD CHEMICAL INC</v>
          </cell>
          <cell r="G997" t="str">
            <v>D</v>
          </cell>
          <cell r="H997" t="str">
            <v>DETROIT</v>
          </cell>
          <cell r="I997" t="str">
            <v>MI</v>
          </cell>
          <cell r="J997" t="str">
            <v>USA</v>
          </cell>
          <cell r="K997" t="str">
            <v>PVS NOLWOOD CHEMICAL INC</v>
          </cell>
          <cell r="L997" t="str">
            <v>MI</v>
          </cell>
          <cell r="M997" t="str">
            <v>USA</v>
          </cell>
          <cell r="N997" t="str">
            <v>D</v>
          </cell>
          <cell r="O997">
            <v>24090210</v>
          </cell>
          <cell r="P997" t="str">
            <v>BORIC ACID GRAN TECH 50LB BAG</v>
          </cell>
          <cell r="Q997" t="str">
            <v>Boric Acid</v>
          </cell>
          <cell r="R997">
            <v>7.38</v>
          </cell>
          <cell r="S997">
            <v>4802.49</v>
          </cell>
        </row>
        <row r="998">
          <cell r="A998" t="str">
            <v>Budget</v>
          </cell>
          <cell r="B998">
            <v>2</v>
          </cell>
          <cell r="C998" t="str">
            <v>Domestic</v>
          </cell>
          <cell r="D998">
            <v>3</v>
          </cell>
          <cell r="E998">
            <v>7951</v>
          </cell>
          <cell r="F998" t="str">
            <v>PVS NOLWOOD CHEMICAL INC</v>
          </cell>
          <cell r="G998" t="str">
            <v>D</v>
          </cell>
          <cell r="H998" t="str">
            <v>DETROIT</v>
          </cell>
          <cell r="I998" t="str">
            <v>MI</v>
          </cell>
          <cell r="J998" t="str">
            <v>USA</v>
          </cell>
          <cell r="K998" t="str">
            <v>PVS NOLWOOD CHEMICAL INC</v>
          </cell>
          <cell r="L998" t="str">
            <v>MI</v>
          </cell>
          <cell r="M998" t="str">
            <v>USA</v>
          </cell>
          <cell r="N998" t="str">
            <v>D</v>
          </cell>
          <cell r="O998">
            <v>40060410</v>
          </cell>
          <cell r="P998" t="str">
            <v>SODIUM SULFATE STD 50LB BAG</v>
          </cell>
          <cell r="Q998" t="str">
            <v>Sodium Sulfate</v>
          </cell>
          <cell r="R998">
            <v>10.1</v>
          </cell>
          <cell r="S998">
            <v>1061.27</v>
          </cell>
        </row>
        <row r="999">
          <cell r="A999" t="str">
            <v>Budget</v>
          </cell>
          <cell r="B999">
            <v>2</v>
          </cell>
          <cell r="C999" t="str">
            <v>Domestic</v>
          </cell>
          <cell r="D999">
            <v>3</v>
          </cell>
          <cell r="E999">
            <v>8007</v>
          </cell>
          <cell r="F999" t="str">
            <v>BLACHFORD CORPORATION</v>
          </cell>
          <cell r="G999" t="str">
            <v>D</v>
          </cell>
          <cell r="H999" t="str">
            <v>FRANKFORT</v>
          </cell>
          <cell r="I999" t="str">
            <v>IL</v>
          </cell>
          <cell r="J999" t="str">
            <v>USA</v>
          </cell>
          <cell r="K999" t="str">
            <v>UNIVAR USA</v>
          </cell>
          <cell r="L999" t="str">
            <v>IL</v>
          </cell>
          <cell r="M999" t="str">
            <v>USA</v>
          </cell>
          <cell r="N999" t="str">
            <v>D</v>
          </cell>
          <cell r="O999">
            <v>22060410</v>
          </cell>
          <cell r="P999" t="str">
            <v>V-BOR 50LB BAG (004)</v>
          </cell>
          <cell r="Q999" t="str">
            <v>Penta</v>
          </cell>
          <cell r="R999">
            <v>20.58</v>
          </cell>
          <cell r="S999">
            <v>7850.84</v>
          </cell>
        </row>
        <row r="1000">
          <cell r="A1000" t="str">
            <v>Budget</v>
          </cell>
          <cell r="B1000">
            <v>2</v>
          </cell>
          <cell r="C1000" t="str">
            <v>Domestic</v>
          </cell>
          <cell r="D1000">
            <v>3</v>
          </cell>
          <cell r="E1000">
            <v>8007</v>
          </cell>
          <cell r="F1000" t="str">
            <v>BLACHFORD CORPORATION</v>
          </cell>
          <cell r="G1000" t="str">
            <v>D</v>
          </cell>
          <cell r="H1000" t="str">
            <v>FRANKFORT</v>
          </cell>
          <cell r="I1000" t="str">
            <v>IL</v>
          </cell>
          <cell r="J1000" t="str">
            <v>USA</v>
          </cell>
          <cell r="K1000" t="str">
            <v>UNIVAR USA</v>
          </cell>
          <cell r="L1000" t="str">
            <v>IL</v>
          </cell>
          <cell r="M1000" t="str">
            <v>USA</v>
          </cell>
          <cell r="N1000" t="str">
            <v>D</v>
          </cell>
          <cell r="O1000">
            <v>40150410</v>
          </cell>
          <cell r="P1000" t="str">
            <v>SODIUM SULFATE CRS 50LB BAG</v>
          </cell>
          <cell r="Q1000" t="str">
            <v>Sodium Sulfate</v>
          </cell>
          <cell r="R1000">
            <v>3.57</v>
          </cell>
          <cell r="S1000">
            <v>480.59</v>
          </cell>
        </row>
        <row r="1001">
          <cell r="A1001" t="str">
            <v>Budget</v>
          </cell>
          <cell r="B1001">
            <v>2</v>
          </cell>
          <cell r="C1001" t="str">
            <v>Domestic</v>
          </cell>
          <cell r="D1001">
            <v>3</v>
          </cell>
          <cell r="E1001">
            <v>8106</v>
          </cell>
          <cell r="F1001" t="str">
            <v>UNIVAR USA</v>
          </cell>
          <cell r="G1001" t="str">
            <v>D</v>
          </cell>
          <cell r="H1001" t="str">
            <v>BEDFORD PARK</v>
          </cell>
          <cell r="I1001" t="str">
            <v>IL</v>
          </cell>
          <cell r="J1001" t="str">
            <v>USA</v>
          </cell>
          <cell r="K1001" t="str">
            <v>UNIVAR USA</v>
          </cell>
          <cell r="L1001" t="str">
            <v>IL</v>
          </cell>
          <cell r="M1001" t="str">
            <v>USA</v>
          </cell>
          <cell r="N1001" t="str">
            <v>D</v>
          </cell>
          <cell r="O1001">
            <v>22060410</v>
          </cell>
          <cell r="P1001" t="str">
            <v>V-BOR 50LB BAG (004)</v>
          </cell>
          <cell r="Q1001" t="str">
            <v>Penta</v>
          </cell>
          <cell r="R1001">
            <v>9.7100000000000009</v>
          </cell>
          <cell r="S1001">
            <v>3964.16</v>
          </cell>
        </row>
        <row r="1002">
          <cell r="A1002" t="str">
            <v>Budget</v>
          </cell>
          <cell r="B1002">
            <v>2</v>
          </cell>
          <cell r="C1002" t="str">
            <v>Domestic</v>
          </cell>
          <cell r="D1002">
            <v>3</v>
          </cell>
          <cell r="E1002">
            <v>8106</v>
          </cell>
          <cell r="F1002" t="str">
            <v>UNIVAR USA</v>
          </cell>
          <cell r="G1002" t="str">
            <v>D</v>
          </cell>
          <cell r="H1002" t="str">
            <v>BEDFORD PARK</v>
          </cell>
          <cell r="I1002" t="str">
            <v>IL</v>
          </cell>
          <cell r="J1002" t="str">
            <v>USA</v>
          </cell>
          <cell r="K1002" t="str">
            <v>UNIVAR USA</v>
          </cell>
          <cell r="L1002" t="str">
            <v>IL</v>
          </cell>
          <cell r="M1002" t="str">
            <v>USA</v>
          </cell>
          <cell r="N1002" t="str">
            <v>D</v>
          </cell>
          <cell r="O1002">
            <v>23060210</v>
          </cell>
          <cell r="P1002" t="str">
            <v>DECA BORAX STD 50LB BAG</v>
          </cell>
          <cell r="Q1002" t="str">
            <v>Deca</v>
          </cell>
          <cell r="R1002">
            <v>5.24</v>
          </cell>
          <cell r="S1002">
            <v>1854.89</v>
          </cell>
        </row>
        <row r="1003">
          <cell r="A1003" t="str">
            <v>Budget</v>
          </cell>
          <cell r="B1003">
            <v>2</v>
          </cell>
          <cell r="C1003" t="str">
            <v>Domestic</v>
          </cell>
          <cell r="D1003">
            <v>3</v>
          </cell>
          <cell r="E1003">
            <v>8106</v>
          </cell>
          <cell r="F1003" t="str">
            <v>UNIVAR USA</v>
          </cell>
          <cell r="G1003" t="str">
            <v>D</v>
          </cell>
          <cell r="H1003" t="str">
            <v>BEDFORD PARK</v>
          </cell>
          <cell r="I1003" t="str">
            <v>IL</v>
          </cell>
          <cell r="J1003" t="str">
            <v>USA</v>
          </cell>
          <cell r="K1003" t="str">
            <v>UNIVAR USA</v>
          </cell>
          <cell r="L1003" t="str">
            <v>IL</v>
          </cell>
          <cell r="M1003" t="str">
            <v>USA</v>
          </cell>
          <cell r="N1003" t="str">
            <v>D</v>
          </cell>
          <cell r="O1003">
            <v>24090210</v>
          </cell>
          <cell r="P1003" t="str">
            <v>BORIC ACID GRAN TECH 50LB BAG</v>
          </cell>
          <cell r="Q1003" t="str">
            <v>Boric Acid</v>
          </cell>
          <cell r="R1003">
            <v>5.24</v>
          </cell>
          <cell r="S1003">
            <v>4007.95</v>
          </cell>
        </row>
        <row r="1004">
          <cell r="A1004" t="str">
            <v>Budget</v>
          </cell>
          <cell r="B1004">
            <v>2</v>
          </cell>
          <cell r="C1004" t="str">
            <v>Domestic</v>
          </cell>
          <cell r="D1004">
            <v>3</v>
          </cell>
          <cell r="E1004">
            <v>8174</v>
          </cell>
          <cell r="F1004" t="str">
            <v>CHEMICALS, INC.</v>
          </cell>
          <cell r="G1004" t="str">
            <v>D</v>
          </cell>
          <cell r="H1004" t="str">
            <v>FAIRFIELD</v>
          </cell>
          <cell r="I1004" t="str">
            <v>OH</v>
          </cell>
          <cell r="J1004" t="str">
            <v>USA</v>
          </cell>
          <cell r="K1004" t="str">
            <v>CHEMICALS, INC.</v>
          </cell>
          <cell r="L1004" t="str">
            <v>OH</v>
          </cell>
          <cell r="M1004" t="str">
            <v>USA</v>
          </cell>
          <cell r="N1004" t="str">
            <v>C</v>
          </cell>
          <cell r="O1004">
            <v>23060210</v>
          </cell>
          <cell r="P1004" t="str">
            <v>DECA BORAX STD 50LB BAG</v>
          </cell>
          <cell r="Q1004" t="str">
            <v>Deca</v>
          </cell>
          <cell r="R1004">
            <v>4.46</v>
          </cell>
          <cell r="S1004">
            <v>1636.36</v>
          </cell>
        </row>
        <row r="1005">
          <cell r="A1005" t="str">
            <v>Budget</v>
          </cell>
          <cell r="B1005">
            <v>2</v>
          </cell>
          <cell r="C1005" t="str">
            <v>Domestic</v>
          </cell>
          <cell r="D1005">
            <v>3</v>
          </cell>
          <cell r="E1005">
            <v>8174</v>
          </cell>
          <cell r="F1005" t="str">
            <v>CHEMICALS, INC.</v>
          </cell>
          <cell r="G1005" t="str">
            <v>D</v>
          </cell>
          <cell r="H1005" t="str">
            <v>FAIRFIELD</v>
          </cell>
          <cell r="I1005" t="str">
            <v>OH</v>
          </cell>
          <cell r="J1005" t="str">
            <v>USA</v>
          </cell>
          <cell r="K1005" t="str">
            <v>CHEMICALS, INC.</v>
          </cell>
          <cell r="L1005" t="str">
            <v>OH</v>
          </cell>
          <cell r="M1005" t="str">
            <v>USA</v>
          </cell>
          <cell r="N1005" t="str">
            <v>C</v>
          </cell>
          <cell r="O1005">
            <v>24090210</v>
          </cell>
          <cell r="P1005" t="str">
            <v>BORIC ACID GRAN TECH 50LB BAG</v>
          </cell>
          <cell r="Q1005" t="str">
            <v>Boric Acid</v>
          </cell>
          <cell r="R1005">
            <v>6.02</v>
          </cell>
          <cell r="S1005">
            <v>4452.07</v>
          </cell>
        </row>
        <row r="1006">
          <cell r="A1006" t="str">
            <v>Budget</v>
          </cell>
          <cell r="B1006">
            <v>2</v>
          </cell>
          <cell r="C1006" t="str">
            <v>Domestic</v>
          </cell>
          <cell r="D1006">
            <v>3</v>
          </cell>
          <cell r="E1006">
            <v>8530</v>
          </cell>
          <cell r="F1006" t="str">
            <v>GOJO INDUSTRIES</v>
          </cell>
          <cell r="G1006" t="str">
            <v>D</v>
          </cell>
          <cell r="H1006" t="str">
            <v>CUYAHOGA FALLS</v>
          </cell>
          <cell r="I1006" t="str">
            <v>OH</v>
          </cell>
          <cell r="J1006" t="str">
            <v>USA</v>
          </cell>
          <cell r="K1006" t="str">
            <v>UNIVAR USA</v>
          </cell>
          <cell r="L1006" t="str">
            <v>OH</v>
          </cell>
          <cell r="M1006" t="str">
            <v>USA</v>
          </cell>
          <cell r="N1006" t="str">
            <v>C</v>
          </cell>
          <cell r="O1006">
            <v>40060410</v>
          </cell>
          <cell r="P1006" t="str">
            <v>SODIUM SULFATE STD 50LB BAG</v>
          </cell>
          <cell r="Q1006" t="str">
            <v>Sodium Sulfate</v>
          </cell>
          <cell r="R1006">
            <v>40.409999999999997</v>
          </cell>
          <cell r="S1006">
            <v>3265.11</v>
          </cell>
        </row>
        <row r="1007">
          <cell r="A1007" t="str">
            <v>Budget</v>
          </cell>
          <cell r="B1007">
            <v>2</v>
          </cell>
          <cell r="C1007" t="str">
            <v>Domestic</v>
          </cell>
          <cell r="D1007">
            <v>3</v>
          </cell>
          <cell r="E1007">
            <v>8546</v>
          </cell>
          <cell r="F1007" t="str">
            <v>MODERN INSULATION</v>
          </cell>
          <cell r="G1007" t="str">
            <v>D</v>
          </cell>
          <cell r="H1007" t="str">
            <v>SPENCER</v>
          </cell>
          <cell r="I1007" t="str">
            <v>WI</v>
          </cell>
          <cell r="J1007" t="str">
            <v>USA</v>
          </cell>
          <cell r="K1007" t="str">
            <v>MODERN INSULATION</v>
          </cell>
          <cell r="L1007" t="str">
            <v>WI</v>
          </cell>
          <cell r="M1007" t="str">
            <v>USA</v>
          </cell>
          <cell r="N1007" t="str">
            <v>C</v>
          </cell>
          <cell r="O1007">
            <v>24090200</v>
          </cell>
          <cell r="P1007" t="str">
            <v>BORIC ACID GRAN TECH BULK</v>
          </cell>
          <cell r="Q1007" t="str">
            <v>Boric Acid</v>
          </cell>
          <cell r="R1007">
            <v>182.24</v>
          </cell>
          <cell r="S1007">
            <v>78910.11</v>
          </cell>
        </row>
        <row r="1008">
          <cell r="A1008" t="str">
            <v>Budget</v>
          </cell>
          <cell r="B1008">
            <v>2</v>
          </cell>
          <cell r="C1008" t="str">
            <v>Domestic</v>
          </cell>
          <cell r="D1008">
            <v>3</v>
          </cell>
          <cell r="E1008">
            <v>8548</v>
          </cell>
          <cell r="F1008" t="str">
            <v>YOUNG CHEMICAL COMPANY</v>
          </cell>
          <cell r="G1008" t="str">
            <v>D</v>
          </cell>
          <cell r="H1008" t="str">
            <v>TOLEDO</v>
          </cell>
          <cell r="I1008" t="str">
            <v>OH</v>
          </cell>
          <cell r="J1008" t="str">
            <v>USA</v>
          </cell>
          <cell r="K1008" t="str">
            <v>YOUNG CHEMICAL COMPANY</v>
          </cell>
          <cell r="L1008" t="str">
            <v>OH</v>
          </cell>
          <cell r="M1008" t="str">
            <v>USA</v>
          </cell>
          <cell r="N1008" t="str">
            <v>D</v>
          </cell>
          <cell r="O1008">
            <v>40060410</v>
          </cell>
          <cell r="P1008" t="str">
            <v>SODIUM SULFATE STD 50LB BAG</v>
          </cell>
          <cell r="Q1008" t="str">
            <v>Sodium Sulfate</v>
          </cell>
          <cell r="R1008">
            <v>3.37</v>
          </cell>
          <cell r="S1008">
            <v>306.48</v>
          </cell>
        </row>
        <row r="1009">
          <cell r="A1009" t="str">
            <v>Budget</v>
          </cell>
          <cell r="B1009">
            <v>2</v>
          </cell>
          <cell r="C1009" t="str">
            <v>Domestic</v>
          </cell>
          <cell r="D1009">
            <v>3</v>
          </cell>
          <cell r="E1009">
            <v>8652</v>
          </cell>
          <cell r="F1009" t="str">
            <v>BRENNTAG MID SOUTH, INC.</v>
          </cell>
          <cell r="G1009" t="str">
            <v>D</v>
          </cell>
          <cell r="H1009" t="str">
            <v>SAINT ALBANS</v>
          </cell>
          <cell r="I1009" t="str">
            <v>WV</v>
          </cell>
          <cell r="J1009" t="str">
            <v>USA</v>
          </cell>
          <cell r="K1009" t="str">
            <v>BRENNTAG MID-SOUTH, INC.</v>
          </cell>
          <cell r="L1009" t="str">
            <v>KY</v>
          </cell>
          <cell r="M1009" t="str">
            <v>USA</v>
          </cell>
          <cell r="N1009" t="str">
            <v>D</v>
          </cell>
          <cell r="O1009">
            <v>24030210</v>
          </cell>
          <cell r="P1009" t="str">
            <v>BORIC ACID PWD TECH 50LB BAG</v>
          </cell>
          <cell r="Q1009" t="str">
            <v>Boric Acid</v>
          </cell>
          <cell r="R1009">
            <v>6.66</v>
          </cell>
          <cell r="S1009">
            <v>4779.7700000000004</v>
          </cell>
        </row>
        <row r="1010">
          <cell r="A1010" t="str">
            <v>Budget</v>
          </cell>
          <cell r="B1010">
            <v>2</v>
          </cell>
          <cell r="C1010" t="str">
            <v>Domestic</v>
          </cell>
          <cell r="D1010">
            <v>3</v>
          </cell>
          <cell r="E1010">
            <v>8652</v>
          </cell>
          <cell r="F1010" t="str">
            <v>BRENNTAG MID SOUTH, INC.</v>
          </cell>
          <cell r="G1010" t="str">
            <v>D</v>
          </cell>
          <cell r="H1010" t="str">
            <v>SAINT ALBANS</v>
          </cell>
          <cell r="I1010" t="str">
            <v>WV</v>
          </cell>
          <cell r="J1010" t="str">
            <v>USA</v>
          </cell>
          <cell r="K1010" t="str">
            <v>BRENNTAG MID-SOUTH, INC.</v>
          </cell>
          <cell r="L1010" t="str">
            <v>KY</v>
          </cell>
          <cell r="M1010" t="str">
            <v>USA</v>
          </cell>
          <cell r="N1010" t="str">
            <v>D</v>
          </cell>
          <cell r="O1010">
            <v>40060410</v>
          </cell>
          <cell r="P1010" t="str">
            <v>SODIUM SULFATE STD 50LB BAG</v>
          </cell>
          <cell r="Q1010" t="str">
            <v>Sodium Sulfate</v>
          </cell>
          <cell r="R1010">
            <v>0.2</v>
          </cell>
          <cell r="S1010">
            <v>18.3</v>
          </cell>
        </row>
        <row r="1011">
          <cell r="A1011" t="str">
            <v>Budget</v>
          </cell>
          <cell r="B1011">
            <v>2</v>
          </cell>
          <cell r="C1011" t="str">
            <v>Domestic</v>
          </cell>
          <cell r="D1011">
            <v>3</v>
          </cell>
          <cell r="E1011">
            <v>8699</v>
          </cell>
          <cell r="F1011" t="str">
            <v>LIBBEY GLASS SHREVEPORT</v>
          </cell>
          <cell r="G1011" t="str">
            <v>D</v>
          </cell>
          <cell r="H1011" t="str">
            <v>SHREVEPORT</v>
          </cell>
          <cell r="I1011" t="str">
            <v>LA</v>
          </cell>
          <cell r="J1011" t="str">
            <v>USA</v>
          </cell>
          <cell r="K1011" t="str">
            <v>LIBBEY GLASS SHREVEPORT</v>
          </cell>
          <cell r="L1011" t="str">
            <v>LA</v>
          </cell>
          <cell r="M1011" t="str">
            <v>USA</v>
          </cell>
          <cell r="N1011" t="str">
            <v>C</v>
          </cell>
          <cell r="O1011">
            <v>40150400</v>
          </cell>
          <cell r="P1011" t="str">
            <v>SODIUM SULFATE COARSE BULK</v>
          </cell>
          <cell r="Q1011" t="str">
            <v>Sodium Sulfate</v>
          </cell>
          <cell r="R1011">
            <v>46.57</v>
          </cell>
          <cell r="S1011">
            <v>3482.69</v>
          </cell>
        </row>
        <row r="1012">
          <cell r="A1012" t="str">
            <v>Budget</v>
          </cell>
          <cell r="B1012">
            <v>2</v>
          </cell>
          <cell r="C1012" t="str">
            <v>Domestic</v>
          </cell>
          <cell r="D1012">
            <v>3</v>
          </cell>
          <cell r="E1012">
            <v>8750</v>
          </cell>
          <cell r="F1012" t="str">
            <v>GUARDIAN FIBERGLASS</v>
          </cell>
          <cell r="G1012" t="str">
            <v>D</v>
          </cell>
          <cell r="H1012" t="str">
            <v>KINGMAN</v>
          </cell>
          <cell r="I1012" t="str">
            <v>AZ</v>
          </cell>
          <cell r="J1012" t="str">
            <v>USA</v>
          </cell>
          <cell r="K1012" t="str">
            <v>GUARDIAN FIBERGLASS</v>
          </cell>
          <cell r="L1012" t="str">
            <v>AZ</v>
          </cell>
          <cell r="M1012" t="str">
            <v>USA</v>
          </cell>
          <cell r="N1012" t="str">
            <v>C</v>
          </cell>
          <cell r="O1012">
            <v>22060400</v>
          </cell>
          <cell r="P1012" t="str">
            <v>V-BOR STD BULK (004)</v>
          </cell>
          <cell r="Q1012" t="str">
            <v>Penta</v>
          </cell>
          <cell r="R1012">
            <v>380.33</v>
          </cell>
          <cell r="S1012">
            <v>91756.77</v>
          </cell>
        </row>
        <row r="1013">
          <cell r="A1013" t="str">
            <v>Budget</v>
          </cell>
          <cell r="B1013">
            <v>2</v>
          </cell>
          <cell r="C1013" t="str">
            <v>Domestic</v>
          </cell>
          <cell r="D1013">
            <v>3</v>
          </cell>
          <cell r="E1013">
            <v>8823</v>
          </cell>
          <cell r="F1013" t="str">
            <v>GP GYPSUM</v>
          </cell>
          <cell r="G1013" t="str">
            <v>D</v>
          </cell>
          <cell r="H1013" t="str">
            <v>WHEATFIELD</v>
          </cell>
          <cell r="I1013" t="str">
            <v>IN</v>
          </cell>
          <cell r="J1013" t="str">
            <v>USA</v>
          </cell>
          <cell r="K1013" t="str">
            <v>UNIVAR USA</v>
          </cell>
          <cell r="L1013" t="str">
            <v>IN</v>
          </cell>
          <cell r="M1013" t="str">
            <v>USA</v>
          </cell>
          <cell r="N1013" t="str">
            <v>D</v>
          </cell>
          <cell r="O1013">
            <v>24090250</v>
          </cell>
          <cell r="P1013" t="str">
            <v>BORIC ACID GRAN TECH 1TN FIBC</v>
          </cell>
          <cell r="Q1013" t="str">
            <v>Boric Acid</v>
          </cell>
          <cell r="R1013">
            <v>6.81</v>
          </cell>
          <cell r="S1013">
            <v>3517.7</v>
          </cell>
        </row>
        <row r="1014">
          <cell r="A1014" t="str">
            <v>Budget</v>
          </cell>
          <cell r="B1014">
            <v>2</v>
          </cell>
          <cell r="C1014" t="str">
            <v>Domestic</v>
          </cell>
          <cell r="D1014">
            <v>3</v>
          </cell>
          <cell r="E1014">
            <v>9029</v>
          </cell>
          <cell r="F1014" t="str">
            <v>CAMCO</v>
          </cell>
          <cell r="G1014" t="str">
            <v>D</v>
          </cell>
          <cell r="H1014" t="str">
            <v>FLORENCE</v>
          </cell>
          <cell r="I1014" t="str">
            <v>KY</v>
          </cell>
          <cell r="J1014" t="str">
            <v>USA</v>
          </cell>
          <cell r="K1014" t="str">
            <v>GMZ</v>
          </cell>
          <cell r="L1014" t="str">
            <v>OH</v>
          </cell>
          <cell r="M1014" t="str">
            <v>USA</v>
          </cell>
          <cell r="N1014" t="str">
            <v>D</v>
          </cell>
          <cell r="O1014">
            <v>40060450</v>
          </cell>
          <cell r="P1014" t="str">
            <v>SODIUM SULFATE STD 1TN FIBC</v>
          </cell>
          <cell r="Q1014" t="str">
            <v>Sodium Sulfate</v>
          </cell>
          <cell r="R1014">
            <v>17.43</v>
          </cell>
          <cell r="S1014">
            <v>1777.83</v>
          </cell>
        </row>
        <row r="1015">
          <cell r="A1015" t="str">
            <v>Budget</v>
          </cell>
          <cell r="B1015">
            <v>2</v>
          </cell>
          <cell r="C1015" t="str">
            <v>Domestic</v>
          </cell>
          <cell r="D1015">
            <v>3</v>
          </cell>
          <cell r="E1015">
            <v>9098</v>
          </cell>
          <cell r="F1015" t="str">
            <v>UNIVAR USA</v>
          </cell>
          <cell r="G1015" t="str">
            <v>D</v>
          </cell>
          <cell r="H1015" t="str">
            <v>CINCINNATI</v>
          </cell>
          <cell r="I1015" t="str">
            <v>OH</v>
          </cell>
          <cell r="J1015" t="str">
            <v>USA</v>
          </cell>
          <cell r="K1015" t="str">
            <v>UNIVAR USA</v>
          </cell>
          <cell r="L1015" t="str">
            <v>OH</v>
          </cell>
          <cell r="M1015" t="str">
            <v>USA</v>
          </cell>
          <cell r="N1015" t="str">
            <v>D</v>
          </cell>
          <cell r="O1015">
            <v>22060410</v>
          </cell>
          <cell r="P1015" t="str">
            <v>V-BOR 50LB BAG (004)</v>
          </cell>
          <cell r="Q1015" t="str">
            <v>Penta</v>
          </cell>
          <cell r="R1015">
            <v>14.17</v>
          </cell>
          <cell r="S1015">
            <v>5435.01</v>
          </cell>
        </row>
        <row r="1016">
          <cell r="A1016" t="str">
            <v>Budget</v>
          </cell>
          <cell r="B1016">
            <v>2</v>
          </cell>
          <cell r="C1016" t="str">
            <v>Domestic</v>
          </cell>
          <cell r="D1016">
            <v>3</v>
          </cell>
          <cell r="E1016">
            <v>9098</v>
          </cell>
          <cell r="F1016" t="str">
            <v>UNIVAR USA</v>
          </cell>
          <cell r="G1016" t="str">
            <v>D</v>
          </cell>
          <cell r="H1016" t="str">
            <v>CINCINNATI</v>
          </cell>
          <cell r="I1016" t="str">
            <v>OH</v>
          </cell>
          <cell r="J1016" t="str">
            <v>USA</v>
          </cell>
          <cell r="K1016" t="str">
            <v>UNIVAR USA</v>
          </cell>
          <cell r="L1016" t="str">
            <v>OH</v>
          </cell>
          <cell r="M1016" t="str">
            <v>USA</v>
          </cell>
          <cell r="N1016" t="str">
            <v>D</v>
          </cell>
          <cell r="O1016">
            <v>24099753</v>
          </cell>
          <cell r="P1016" t="str">
            <v>BORIC ACD GRN TCH IT 2500LB FI</v>
          </cell>
          <cell r="Q1016" t="str">
            <v>Boric Acid (SCL)</v>
          </cell>
          <cell r="R1016">
            <v>9.51</v>
          </cell>
          <cell r="S1016">
            <v>5705.41</v>
          </cell>
        </row>
        <row r="1017">
          <cell r="A1017" t="str">
            <v>Budget</v>
          </cell>
          <cell r="B1017">
            <v>2</v>
          </cell>
          <cell r="C1017" t="str">
            <v>Domestic</v>
          </cell>
          <cell r="D1017">
            <v>3</v>
          </cell>
          <cell r="E1017">
            <v>9098</v>
          </cell>
          <cell r="F1017" t="str">
            <v>UNIVAR USA</v>
          </cell>
          <cell r="G1017" t="str">
            <v>D</v>
          </cell>
          <cell r="H1017" t="str">
            <v>CINCINNATI</v>
          </cell>
          <cell r="I1017" t="str">
            <v>OH</v>
          </cell>
          <cell r="J1017" t="str">
            <v>USA</v>
          </cell>
          <cell r="K1017" t="str">
            <v>UNIVAR USA</v>
          </cell>
          <cell r="L1017" t="str">
            <v>OH</v>
          </cell>
          <cell r="M1017" t="str">
            <v>USA</v>
          </cell>
          <cell r="N1017" t="str">
            <v>D</v>
          </cell>
          <cell r="O1017">
            <v>40060410</v>
          </cell>
          <cell r="P1017" t="str">
            <v>SODIUM SULFATE STD 50LB BAG</v>
          </cell>
          <cell r="Q1017" t="str">
            <v>Sodium Sulfate</v>
          </cell>
          <cell r="R1017">
            <v>2.97</v>
          </cell>
          <cell r="S1017">
            <v>349.41</v>
          </cell>
        </row>
        <row r="1018">
          <cell r="A1018" t="str">
            <v>Budget</v>
          </cell>
          <cell r="B1018">
            <v>2</v>
          </cell>
          <cell r="C1018" t="str">
            <v>Domestic</v>
          </cell>
          <cell r="D1018">
            <v>3</v>
          </cell>
          <cell r="E1018">
            <v>9174</v>
          </cell>
          <cell r="F1018" t="str">
            <v>HARRIS &amp; FORD</v>
          </cell>
          <cell r="G1018" t="str">
            <v>D</v>
          </cell>
          <cell r="H1018" t="str">
            <v>INDIANAPOLIS</v>
          </cell>
          <cell r="I1018" t="str">
            <v>IN</v>
          </cell>
          <cell r="J1018" t="str">
            <v>USA</v>
          </cell>
          <cell r="K1018" t="str">
            <v>HARRIS &amp; FORD</v>
          </cell>
          <cell r="L1018" t="str">
            <v>IN</v>
          </cell>
          <cell r="M1018" t="str">
            <v>USA</v>
          </cell>
          <cell r="N1018" t="str">
            <v>D</v>
          </cell>
          <cell r="O1018">
            <v>22060410</v>
          </cell>
          <cell r="P1018" t="str">
            <v>V-BOR 50LB BAG (004)</v>
          </cell>
          <cell r="Q1018" t="str">
            <v>Penta</v>
          </cell>
          <cell r="R1018">
            <v>36.69</v>
          </cell>
          <cell r="S1018">
            <v>15670.77</v>
          </cell>
        </row>
        <row r="1019">
          <cell r="A1019" t="str">
            <v>Budget</v>
          </cell>
          <cell r="B1019">
            <v>2</v>
          </cell>
          <cell r="C1019" t="str">
            <v>Domestic</v>
          </cell>
          <cell r="D1019">
            <v>3</v>
          </cell>
          <cell r="E1019">
            <v>9174</v>
          </cell>
          <cell r="F1019" t="str">
            <v>HARRIS &amp; FORD</v>
          </cell>
          <cell r="G1019" t="str">
            <v>D</v>
          </cell>
          <cell r="H1019" t="str">
            <v>INDIANAPOLIS</v>
          </cell>
          <cell r="I1019" t="str">
            <v>IN</v>
          </cell>
          <cell r="J1019" t="str">
            <v>USA</v>
          </cell>
          <cell r="K1019" t="str">
            <v>HARRIS &amp; FORD</v>
          </cell>
          <cell r="L1019" t="str">
            <v>IN</v>
          </cell>
          <cell r="M1019" t="str">
            <v>USA</v>
          </cell>
          <cell r="N1019" t="str">
            <v>D</v>
          </cell>
          <cell r="O1019">
            <v>22060453</v>
          </cell>
          <cell r="P1019" t="str">
            <v>V-BOR 2500LB FIBC (004)</v>
          </cell>
          <cell r="Q1019" t="str">
            <v>Penta</v>
          </cell>
          <cell r="R1019">
            <v>2.77</v>
          </cell>
          <cell r="S1019">
            <v>1188.31</v>
          </cell>
        </row>
        <row r="1020">
          <cell r="A1020" t="str">
            <v>Budget</v>
          </cell>
          <cell r="B1020">
            <v>2</v>
          </cell>
          <cell r="C1020" t="str">
            <v>Domestic</v>
          </cell>
          <cell r="D1020">
            <v>3</v>
          </cell>
          <cell r="E1020">
            <v>9174</v>
          </cell>
          <cell r="F1020" t="str">
            <v>HARRIS &amp; FORD</v>
          </cell>
          <cell r="G1020" t="str">
            <v>D</v>
          </cell>
          <cell r="H1020" t="str">
            <v>INDIANAPOLIS</v>
          </cell>
          <cell r="I1020" t="str">
            <v>IN</v>
          </cell>
          <cell r="J1020" t="str">
            <v>USA</v>
          </cell>
          <cell r="K1020" t="str">
            <v>HARRIS &amp; FORD</v>
          </cell>
          <cell r="L1020" t="str">
            <v>IN</v>
          </cell>
          <cell r="M1020" t="str">
            <v>USA</v>
          </cell>
          <cell r="N1020" t="str">
            <v>D</v>
          </cell>
          <cell r="O1020">
            <v>23060210</v>
          </cell>
          <cell r="P1020" t="str">
            <v>DECA BORAX STD 50LB BAG</v>
          </cell>
          <cell r="Q1020" t="str">
            <v>Deca</v>
          </cell>
          <cell r="R1020">
            <v>1.94</v>
          </cell>
          <cell r="S1020">
            <v>726.56</v>
          </cell>
        </row>
        <row r="1021">
          <cell r="A1021" t="str">
            <v>Budget</v>
          </cell>
          <cell r="B1021">
            <v>2</v>
          </cell>
          <cell r="C1021" t="str">
            <v>Domestic</v>
          </cell>
          <cell r="D1021">
            <v>3</v>
          </cell>
          <cell r="E1021">
            <v>9184</v>
          </cell>
          <cell r="F1021" t="str">
            <v>PILKINGTON NORTH AMERICA INC</v>
          </cell>
          <cell r="G1021" t="str">
            <v>D</v>
          </cell>
          <cell r="H1021" t="str">
            <v>OTTAWA</v>
          </cell>
          <cell r="I1021" t="str">
            <v>IL</v>
          </cell>
          <cell r="J1021" t="str">
            <v>USA</v>
          </cell>
          <cell r="K1021" t="str">
            <v>PILKINGTON NORTH AMERICA INC</v>
          </cell>
          <cell r="L1021" t="str">
            <v>IL</v>
          </cell>
          <cell r="M1021" t="str">
            <v>USA</v>
          </cell>
          <cell r="N1021" t="str">
            <v>C</v>
          </cell>
          <cell r="O1021">
            <v>30210100</v>
          </cell>
          <cell r="P1021" t="str">
            <v>SODA ASH DENSE BULK</v>
          </cell>
          <cell r="Q1021" t="str">
            <v>Soda Ash</v>
          </cell>
          <cell r="R1021">
            <v>2394.67</v>
          </cell>
          <cell r="S1021">
            <v>149187.73000000001</v>
          </cell>
        </row>
        <row r="1022">
          <cell r="A1022" t="str">
            <v>Budget</v>
          </cell>
          <cell r="B1022">
            <v>2</v>
          </cell>
          <cell r="C1022" t="str">
            <v>Domestic</v>
          </cell>
          <cell r="D1022">
            <v>3</v>
          </cell>
          <cell r="E1022">
            <v>9184</v>
          </cell>
          <cell r="F1022" t="str">
            <v>PILKINGTON NORTH AMERICA INC</v>
          </cell>
          <cell r="G1022" t="str">
            <v>D</v>
          </cell>
          <cell r="H1022" t="str">
            <v>OTTAWA</v>
          </cell>
          <cell r="I1022" t="str">
            <v>IL</v>
          </cell>
          <cell r="J1022" t="str">
            <v>USA</v>
          </cell>
          <cell r="K1022" t="str">
            <v>PILKINGTON NORTH AMERICA INC</v>
          </cell>
          <cell r="L1022" t="str">
            <v>IL</v>
          </cell>
          <cell r="M1022" t="str">
            <v>USA</v>
          </cell>
          <cell r="N1022" t="str">
            <v>C</v>
          </cell>
          <cell r="O1022">
            <v>30218800</v>
          </cell>
          <cell r="P1022" t="str">
            <v>SODA ASH DENSE BULK (088)</v>
          </cell>
          <cell r="Q1022" t="str">
            <v>Soda Ash</v>
          </cell>
          <cell r="R1022">
            <v>20</v>
          </cell>
          <cell r="S1022">
            <v>1277.05</v>
          </cell>
        </row>
        <row r="1023">
          <cell r="A1023" t="str">
            <v>Budget</v>
          </cell>
          <cell r="B1023">
            <v>2</v>
          </cell>
          <cell r="C1023" t="str">
            <v>Domestic</v>
          </cell>
          <cell r="D1023">
            <v>3</v>
          </cell>
          <cell r="E1023">
            <v>9279</v>
          </cell>
          <cell r="F1023" t="str">
            <v>GUARDIAN FIBERGLASS</v>
          </cell>
          <cell r="G1023" t="str">
            <v>D</v>
          </cell>
          <cell r="H1023" t="str">
            <v>KINGMAN</v>
          </cell>
          <cell r="I1023" t="str">
            <v>AZ</v>
          </cell>
          <cell r="J1023" t="str">
            <v>USA</v>
          </cell>
          <cell r="K1023" t="str">
            <v>GUARDIAN FIBERGLASS</v>
          </cell>
          <cell r="L1023" t="str">
            <v>AZ</v>
          </cell>
          <cell r="M1023" t="str">
            <v>USA</v>
          </cell>
          <cell r="O1023">
            <v>30210100</v>
          </cell>
          <cell r="P1023" t="str">
            <v>SODA ASH DENSE BULK</v>
          </cell>
          <cell r="Q1023" t="str">
            <v>Soda Ash</v>
          </cell>
          <cell r="R1023">
            <v>342.4</v>
          </cell>
          <cell r="S1023">
            <v>24653</v>
          </cell>
        </row>
        <row r="1024">
          <cell r="A1024" t="str">
            <v>Budget</v>
          </cell>
          <cell r="B1024">
            <v>2</v>
          </cell>
          <cell r="C1024" t="str">
            <v>Domestic</v>
          </cell>
          <cell r="D1024">
            <v>3</v>
          </cell>
          <cell r="E1024">
            <v>9312</v>
          </cell>
          <cell r="F1024" t="str">
            <v>ASHLAND DISTRIBUTION COMPANY</v>
          </cell>
          <cell r="G1024" t="str">
            <v>D</v>
          </cell>
          <cell r="H1024" t="str">
            <v>ST PAUL</v>
          </cell>
          <cell r="I1024" t="str">
            <v>MN</v>
          </cell>
          <cell r="J1024" t="str">
            <v>USA</v>
          </cell>
          <cell r="K1024" t="str">
            <v>ASHLAND CHEMICAL, INC.</v>
          </cell>
          <cell r="L1024" t="str">
            <v>IL</v>
          </cell>
          <cell r="M1024" t="str">
            <v>USA</v>
          </cell>
          <cell r="N1024" t="str">
            <v>D</v>
          </cell>
          <cell r="O1024">
            <v>22060410</v>
          </cell>
          <cell r="P1024" t="str">
            <v>V-BOR 50LB BAG (004)</v>
          </cell>
          <cell r="Q1024" t="str">
            <v>Penta</v>
          </cell>
          <cell r="R1024">
            <v>1.75</v>
          </cell>
          <cell r="S1024">
            <v>475.25</v>
          </cell>
        </row>
        <row r="1025">
          <cell r="A1025" t="str">
            <v>Budget</v>
          </cell>
          <cell r="B1025">
            <v>2</v>
          </cell>
          <cell r="C1025" t="str">
            <v>Domestic</v>
          </cell>
          <cell r="D1025">
            <v>3</v>
          </cell>
          <cell r="E1025">
            <v>9312</v>
          </cell>
          <cell r="F1025" t="str">
            <v>ASHLAND DISTRIBUTION COMPANY</v>
          </cell>
          <cell r="G1025" t="str">
            <v>D</v>
          </cell>
          <cell r="H1025" t="str">
            <v>ST PAUL</v>
          </cell>
          <cell r="I1025" t="str">
            <v>MN</v>
          </cell>
          <cell r="J1025" t="str">
            <v>USA</v>
          </cell>
          <cell r="K1025" t="str">
            <v>ASHLAND CHEMICAL, INC.</v>
          </cell>
          <cell r="L1025" t="str">
            <v>IL</v>
          </cell>
          <cell r="M1025" t="str">
            <v>USA</v>
          </cell>
          <cell r="N1025" t="str">
            <v>D</v>
          </cell>
          <cell r="O1025">
            <v>24090210</v>
          </cell>
          <cell r="P1025" t="str">
            <v>BORIC ACID GRAN TECH 50LB BAG</v>
          </cell>
          <cell r="Q1025" t="str">
            <v>Boric Acid</v>
          </cell>
          <cell r="R1025">
            <v>1.75</v>
          </cell>
          <cell r="S1025">
            <v>1279.6199999999999</v>
          </cell>
        </row>
        <row r="1026">
          <cell r="A1026" t="str">
            <v>Budget</v>
          </cell>
          <cell r="B1026">
            <v>2</v>
          </cell>
          <cell r="C1026" t="str">
            <v>Domestic</v>
          </cell>
          <cell r="D1026">
            <v>3</v>
          </cell>
          <cell r="E1026">
            <v>9388</v>
          </cell>
          <cell r="F1026" t="str">
            <v>UNION CARBIDE</v>
          </cell>
          <cell r="G1026" t="str">
            <v>D</v>
          </cell>
          <cell r="H1026" t="str">
            <v>S. CHARLESTON</v>
          </cell>
          <cell r="I1026" t="str">
            <v>WV</v>
          </cell>
          <cell r="J1026" t="str">
            <v>USA</v>
          </cell>
          <cell r="K1026" t="str">
            <v>UNIVAR USA</v>
          </cell>
          <cell r="L1026" t="str">
            <v>OH</v>
          </cell>
          <cell r="M1026" t="str">
            <v>USA</v>
          </cell>
          <cell r="N1026" t="str">
            <v>D</v>
          </cell>
          <cell r="O1026">
            <v>24090210</v>
          </cell>
          <cell r="P1026" t="str">
            <v>BORIC ACID GRAN TECH 50LB BAG</v>
          </cell>
          <cell r="Q1026" t="str">
            <v>Boric Acid</v>
          </cell>
          <cell r="R1026">
            <v>2.91</v>
          </cell>
          <cell r="S1026">
            <v>2065.1999999999998</v>
          </cell>
        </row>
        <row r="1027">
          <cell r="A1027" t="str">
            <v>Budget</v>
          </cell>
          <cell r="B1027">
            <v>2</v>
          </cell>
          <cell r="C1027" t="str">
            <v>Domestic</v>
          </cell>
          <cell r="D1027">
            <v>3</v>
          </cell>
          <cell r="E1027">
            <v>9430</v>
          </cell>
          <cell r="F1027" t="str">
            <v>KOHLER COMPANY</v>
          </cell>
          <cell r="G1027" t="str">
            <v>D</v>
          </cell>
          <cell r="H1027" t="str">
            <v>KOHLER</v>
          </cell>
          <cell r="I1027" t="str">
            <v>WI</v>
          </cell>
          <cell r="J1027" t="str">
            <v>USA</v>
          </cell>
          <cell r="K1027" t="str">
            <v>KOHLER COMPANY</v>
          </cell>
          <cell r="L1027" t="str">
            <v>WI</v>
          </cell>
          <cell r="M1027" t="str">
            <v>USA</v>
          </cell>
          <cell r="N1027" t="str">
            <v>C</v>
          </cell>
          <cell r="O1027">
            <v>20310200</v>
          </cell>
          <cell r="P1027" t="str">
            <v>PYROBOR 30/100 BULK (002)</v>
          </cell>
          <cell r="Q1027" t="str">
            <v>Pyrobor</v>
          </cell>
          <cell r="R1027">
            <v>79.23</v>
          </cell>
          <cell r="S1027">
            <v>39530.31</v>
          </cell>
        </row>
        <row r="1028">
          <cell r="A1028" t="str">
            <v>Budget</v>
          </cell>
          <cell r="B1028">
            <v>2</v>
          </cell>
          <cell r="C1028" t="str">
            <v>Domestic</v>
          </cell>
          <cell r="D1028">
            <v>4</v>
          </cell>
          <cell r="E1028">
            <v>5021</v>
          </cell>
          <cell r="F1028" t="str">
            <v>GULF CHEMICAL &amp; METALLURGICAL</v>
          </cell>
          <cell r="G1028" t="str">
            <v>D</v>
          </cell>
          <cell r="H1028" t="str">
            <v>FREEPORT</v>
          </cell>
          <cell r="I1028" t="str">
            <v>TX</v>
          </cell>
          <cell r="J1028" t="str">
            <v>USA</v>
          </cell>
          <cell r="K1028" t="str">
            <v>GULF CHEMICAL &amp; METALLURGICAL</v>
          </cell>
          <cell r="L1028" t="str">
            <v>TX</v>
          </cell>
          <cell r="M1028" t="str">
            <v>USA</v>
          </cell>
          <cell r="N1028" t="str">
            <v>C</v>
          </cell>
          <cell r="O1028">
            <v>30210100</v>
          </cell>
          <cell r="P1028" t="str">
            <v>SODA ASH DENSE BULK</v>
          </cell>
          <cell r="Q1028" t="str">
            <v>Soda Ash</v>
          </cell>
          <cell r="R1028">
            <v>950.82</v>
          </cell>
          <cell r="S1028">
            <v>94131.15</v>
          </cell>
        </row>
        <row r="1029">
          <cell r="A1029" t="str">
            <v>Budget</v>
          </cell>
          <cell r="B1029">
            <v>2</v>
          </cell>
          <cell r="C1029" t="str">
            <v>Domestic</v>
          </cell>
          <cell r="D1029">
            <v>4</v>
          </cell>
          <cell r="E1029">
            <v>5025</v>
          </cell>
          <cell r="F1029" t="str">
            <v>QUEMETCO, INC.</v>
          </cell>
          <cell r="G1029" t="str">
            <v>D</v>
          </cell>
          <cell r="H1029" t="str">
            <v>CITY OF INDUSTRY</v>
          </cell>
          <cell r="I1029" t="str">
            <v>CA</v>
          </cell>
          <cell r="J1029" t="str">
            <v>USA</v>
          </cell>
          <cell r="K1029" t="str">
            <v>QUEMETCO, INC.</v>
          </cell>
          <cell r="L1029" t="str">
            <v>CA</v>
          </cell>
          <cell r="M1029" t="str">
            <v>USA</v>
          </cell>
          <cell r="N1029" t="str">
            <v>C</v>
          </cell>
          <cell r="O1029">
            <v>30210100</v>
          </cell>
          <cell r="P1029" t="str">
            <v>SODA ASH DENSE BULK</v>
          </cell>
          <cell r="Q1029" t="str">
            <v>Soda Ash</v>
          </cell>
          <cell r="R1029">
            <v>1663.93</v>
          </cell>
          <cell r="S1029">
            <v>147557.70000000001</v>
          </cell>
        </row>
        <row r="1030">
          <cell r="A1030" t="str">
            <v>Budget</v>
          </cell>
          <cell r="B1030">
            <v>2</v>
          </cell>
          <cell r="C1030" t="str">
            <v>Domestic</v>
          </cell>
          <cell r="D1030">
            <v>4</v>
          </cell>
          <cell r="E1030">
            <v>5037</v>
          </cell>
          <cell r="F1030" t="str">
            <v>TRAYLOR CHEMICAL</v>
          </cell>
          <cell r="G1030" t="str">
            <v>D</v>
          </cell>
          <cell r="H1030" t="str">
            <v>ORLANDO</v>
          </cell>
          <cell r="I1030" t="str">
            <v>FL</v>
          </cell>
          <cell r="J1030" t="str">
            <v>USA</v>
          </cell>
          <cell r="K1030" t="str">
            <v>TRAYLOR CHEMICAL</v>
          </cell>
          <cell r="L1030" t="str">
            <v>FL</v>
          </cell>
          <cell r="M1030" t="str">
            <v>USA</v>
          </cell>
          <cell r="N1030" t="str">
            <v>C</v>
          </cell>
          <cell r="O1030">
            <v>22060410</v>
          </cell>
          <cell r="P1030" t="str">
            <v>V-BOR 50LB BAG (004)</v>
          </cell>
          <cell r="Q1030" t="str">
            <v>Penta</v>
          </cell>
          <cell r="R1030">
            <v>4.75</v>
          </cell>
          <cell r="S1030">
            <v>1645.42</v>
          </cell>
        </row>
        <row r="1031">
          <cell r="A1031" t="str">
            <v>Budget</v>
          </cell>
          <cell r="B1031">
            <v>2</v>
          </cell>
          <cell r="C1031" t="str">
            <v>Domestic</v>
          </cell>
          <cell r="D1031">
            <v>4</v>
          </cell>
          <cell r="E1031">
            <v>5037</v>
          </cell>
          <cell r="F1031" t="str">
            <v>TRAYLOR CHEMICAL</v>
          </cell>
          <cell r="G1031" t="str">
            <v>D</v>
          </cell>
          <cell r="H1031" t="str">
            <v>ORLANDO</v>
          </cell>
          <cell r="I1031" t="str">
            <v>FL</v>
          </cell>
          <cell r="J1031" t="str">
            <v>USA</v>
          </cell>
          <cell r="K1031" t="str">
            <v>TRAYLOR CHEMICAL</v>
          </cell>
          <cell r="L1031" t="str">
            <v>FL</v>
          </cell>
          <cell r="M1031" t="str">
            <v>USA</v>
          </cell>
          <cell r="N1031" t="str">
            <v>C</v>
          </cell>
          <cell r="O1031">
            <v>23060210</v>
          </cell>
          <cell r="P1031" t="str">
            <v>DECA BORAX STD 50LB BAG</v>
          </cell>
          <cell r="Q1031" t="str">
            <v>Deca</v>
          </cell>
          <cell r="R1031">
            <v>2.85</v>
          </cell>
          <cell r="S1031">
            <v>856.1</v>
          </cell>
        </row>
        <row r="1032">
          <cell r="A1032" t="str">
            <v>Budget</v>
          </cell>
          <cell r="B1032">
            <v>2</v>
          </cell>
          <cell r="C1032" t="str">
            <v>Domestic</v>
          </cell>
          <cell r="D1032">
            <v>4</v>
          </cell>
          <cell r="E1032">
            <v>5045</v>
          </cell>
          <cell r="F1032" t="str">
            <v>AFG VICTORVILLE PLANT</v>
          </cell>
          <cell r="G1032" t="str">
            <v>D</v>
          </cell>
          <cell r="H1032" t="str">
            <v>VICTORVILLE</v>
          </cell>
          <cell r="I1032" t="str">
            <v>CA</v>
          </cell>
          <cell r="J1032" t="str">
            <v>USA</v>
          </cell>
          <cell r="K1032" t="str">
            <v>AFG VICTORVILLE PLANT</v>
          </cell>
          <cell r="L1032" t="str">
            <v>CA</v>
          </cell>
          <cell r="M1032" t="str">
            <v>USA</v>
          </cell>
          <cell r="N1032" t="str">
            <v>C</v>
          </cell>
          <cell r="O1032">
            <v>40150400</v>
          </cell>
          <cell r="P1032" t="str">
            <v>SODIUM SULFATE COARSE BULK</v>
          </cell>
          <cell r="Q1032" t="str">
            <v>Sodium Sulfate</v>
          </cell>
          <cell r="R1032">
            <v>95.08</v>
          </cell>
          <cell r="S1032">
            <v>10148.99</v>
          </cell>
        </row>
        <row r="1033">
          <cell r="A1033" t="str">
            <v>Budget</v>
          </cell>
          <cell r="B1033">
            <v>2</v>
          </cell>
          <cell r="C1033" t="str">
            <v>Domestic</v>
          </cell>
          <cell r="D1033">
            <v>4</v>
          </cell>
          <cell r="E1033">
            <v>5098</v>
          </cell>
          <cell r="F1033" t="str">
            <v>HOOVER TREATED WOOD PRODUCTS</v>
          </cell>
          <cell r="G1033" t="str">
            <v>D</v>
          </cell>
          <cell r="H1033" t="str">
            <v>PINE BLUFF</v>
          </cell>
          <cell r="I1033" t="str">
            <v>AR</v>
          </cell>
          <cell r="J1033" t="str">
            <v>USA</v>
          </cell>
          <cell r="K1033" t="str">
            <v>HOOVER TREATED WOOD PRODUCTS</v>
          </cell>
          <cell r="L1033" t="str">
            <v>AR</v>
          </cell>
          <cell r="M1033" t="str">
            <v>USA</v>
          </cell>
          <cell r="N1033" t="str">
            <v>C</v>
          </cell>
          <cell r="O1033">
            <v>23060210</v>
          </cell>
          <cell r="P1033" t="str">
            <v>DECA BORAX STD 50LB BAG</v>
          </cell>
          <cell r="Q1033" t="str">
            <v>Deca</v>
          </cell>
          <cell r="R1033">
            <v>1.75</v>
          </cell>
          <cell r="S1033">
            <v>480.23</v>
          </cell>
        </row>
        <row r="1034">
          <cell r="A1034" t="str">
            <v>Budget</v>
          </cell>
          <cell r="B1034">
            <v>2</v>
          </cell>
          <cell r="C1034" t="str">
            <v>Domestic</v>
          </cell>
          <cell r="D1034">
            <v>4</v>
          </cell>
          <cell r="E1034">
            <v>5098</v>
          </cell>
          <cell r="F1034" t="str">
            <v>HOOVER TREATED WOOD PRODUCTS</v>
          </cell>
          <cell r="G1034" t="str">
            <v>D</v>
          </cell>
          <cell r="H1034" t="str">
            <v>PINE BLUFF</v>
          </cell>
          <cell r="I1034" t="str">
            <v>AR</v>
          </cell>
          <cell r="J1034" t="str">
            <v>USA</v>
          </cell>
          <cell r="K1034" t="str">
            <v>HOOVER TREATED WOOD PRODUCTS</v>
          </cell>
          <cell r="L1034" t="str">
            <v>AR</v>
          </cell>
          <cell r="M1034" t="str">
            <v>USA</v>
          </cell>
          <cell r="N1034" t="str">
            <v>C</v>
          </cell>
          <cell r="O1034">
            <v>24090210</v>
          </cell>
          <cell r="P1034" t="str">
            <v>BORIC ACID GRAN TECH 50LB BAG</v>
          </cell>
          <cell r="Q1034" t="str">
            <v>Boric Acid</v>
          </cell>
          <cell r="R1034">
            <v>1.75</v>
          </cell>
          <cell r="S1034">
            <v>1018.35</v>
          </cell>
        </row>
        <row r="1035">
          <cell r="A1035" t="str">
            <v>Budget</v>
          </cell>
          <cell r="B1035">
            <v>2</v>
          </cell>
          <cell r="C1035" t="str">
            <v>Domestic</v>
          </cell>
          <cell r="D1035">
            <v>4</v>
          </cell>
          <cell r="E1035">
            <v>5443</v>
          </cell>
          <cell r="F1035" t="str">
            <v>TUSCALOOSA WAREHOUSE</v>
          </cell>
          <cell r="G1035" t="str">
            <v>D</v>
          </cell>
          <cell r="H1035" t="str">
            <v>TUSCALOOSA</v>
          </cell>
          <cell r="I1035" t="str">
            <v>AL</v>
          </cell>
          <cell r="J1035" t="str">
            <v>USA</v>
          </cell>
          <cell r="K1035" t="str">
            <v>TUSCALOOSA WAREHOUSE</v>
          </cell>
          <cell r="L1035" t="str">
            <v>AL</v>
          </cell>
          <cell r="M1035" t="str">
            <v>USA</v>
          </cell>
          <cell r="N1035" t="str">
            <v>C</v>
          </cell>
          <cell r="O1035">
            <v>20310200</v>
          </cell>
          <cell r="P1035" t="str">
            <v>PYROBOR 30/100 BULK (002)</v>
          </cell>
          <cell r="Q1035" t="str">
            <v>Pyrobor</v>
          </cell>
          <cell r="R1035">
            <v>55.46</v>
          </cell>
          <cell r="S1035">
            <v>27956.83</v>
          </cell>
        </row>
        <row r="1036">
          <cell r="A1036" t="str">
            <v>Budget</v>
          </cell>
          <cell r="B1036">
            <v>2</v>
          </cell>
          <cell r="C1036" t="str">
            <v>Domestic</v>
          </cell>
          <cell r="D1036">
            <v>4</v>
          </cell>
          <cell r="E1036">
            <v>5545</v>
          </cell>
          <cell r="F1036" t="str">
            <v>UNIVAR USA</v>
          </cell>
          <cell r="G1036" t="str">
            <v>D</v>
          </cell>
          <cell r="H1036" t="str">
            <v>NORCROSS</v>
          </cell>
          <cell r="I1036" t="str">
            <v>GA</v>
          </cell>
          <cell r="J1036" t="str">
            <v>USA</v>
          </cell>
          <cell r="K1036" t="str">
            <v>UNIVAR USA</v>
          </cell>
          <cell r="L1036" t="str">
            <v>GA</v>
          </cell>
          <cell r="M1036" t="str">
            <v>USA</v>
          </cell>
          <cell r="N1036" t="str">
            <v>D</v>
          </cell>
          <cell r="O1036">
            <v>22060410</v>
          </cell>
          <cell r="P1036" t="str">
            <v>V-BOR 50LB BAG (004)</v>
          </cell>
          <cell r="Q1036" t="str">
            <v>Penta</v>
          </cell>
          <cell r="R1036">
            <v>19.02</v>
          </cell>
          <cell r="S1036">
            <v>6299.17</v>
          </cell>
        </row>
        <row r="1037">
          <cell r="A1037" t="str">
            <v>Budget</v>
          </cell>
          <cell r="B1037">
            <v>2</v>
          </cell>
          <cell r="C1037" t="str">
            <v>Domestic</v>
          </cell>
          <cell r="D1037">
            <v>4</v>
          </cell>
          <cell r="E1037">
            <v>5545</v>
          </cell>
          <cell r="F1037" t="str">
            <v>UNIVAR USA</v>
          </cell>
          <cell r="G1037" t="str">
            <v>D</v>
          </cell>
          <cell r="H1037" t="str">
            <v>NORCROSS</v>
          </cell>
          <cell r="I1037" t="str">
            <v>GA</v>
          </cell>
          <cell r="J1037" t="str">
            <v>USA</v>
          </cell>
          <cell r="K1037" t="str">
            <v>UNIVAR USA</v>
          </cell>
          <cell r="L1037" t="str">
            <v>GA</v>
          </cell>
          <cell r="M1037" t="str">
            <v>USA</v>
          </cell>
          <cell r="N1037" t="str">
            <v>D</v>
          </cell>
          <cell r="O1037">
            <v>24090210</v>
          </cell>
          <cell r="P1037" t="str">
            <v>BORIC ACID GRAN TECH 50LB BAG</v>
          </cell>
          <cell r="Q1037" t="str">
            <v>Boric Acid</v>
          </cell>
          <cell r="R1037">
            <v>4.75</v>
          </cell>
          <cell r="S1037">
            <v>2721.6</v>
          </cell>
        </row>
        <row r="1038">
          <cell r="A1038" t="str">
            <v>Budget</v>
          </cell>
          <cell r="B1038">
            <v>2</v>
          </cell>
          <cell r="C1038" t="str">
            <v>Domestic</v>
          </cell>
          <cell r="D1038">
            <v>4</v>
          </cell>
          <cell r="E1038">
            <v>5545</v>
          </cell>
          <cell r="F1038" t="str">
            <v>UNIVAR USA</v>
          </cell>
          <cell r="G1038" t="str">
            <v>D</v>
          </cell>
          <cell r="H1038" t="str">
            <v>NORCROSS</v>
          </cell>
          <cell r="I1038" t="str">
            <v>GA</v>
          </cell>
          <cell r="J1038" t="str">
            <v>USA</v>
          </cell>
          <cell r="K1038" t="str">
            <v>UNIVAR USA</v>
          </cell>
          <cell r="L1038" t="str">
            <v>GA</v>
          </cell>
          <cell r="M1038" t="str">
            <v>USA</v>
          </cell>
          <cell r="N1038" t="str">
            <v>D</v>
          </cell>
          <cell r="O1038">
            <v>40160450</v>
          </cell>
          <cell r="P1038" t="str">
            <v>SODIUM SULFATE PREM 1TN FIBC</v>
          </cell>
          <cell r="Q1038" t="str">
            <v>Sodium Sulfate</v>
          </cell>
          <cell r="R1038">
            <v>15.85</v>
          </cell>
          <cell r="S1038">
            <v>2006.88</v>
          </cell>
        </row>
        <row r="1039">
          <cell r="A1039" t="str">
            <v>Budget</v>
          </cell>
          <cell r="B1039">
            <v>2</v>
          </cell>
          <cell r="C1039" t="str">
            <v>Domestic</v>
          </cell>
          <cell r="D1039">
            <v>4</v>
          </cell>
          <cell r="E1039">
            <v>5550</v>
          </cell>
          <cell r="F1039" t="str">
            <v>TEXAS INDUSTRIES, INC.</v>
          </cell>
          <cell r="G1039" t="str">
            <v>D</v>
          </cell>
          <cell r="H1039" t="str">
            <v>MIDLOTHIAN</v>
          </cell>
          <cell r="I1039" t="str">
            <v>TX</v>
          </cell>
          <cell r="J1039" t="str">
            <v>USA</v>
          </cell>
          <cell r="K1039" t="str">
            <v>TEXAS INDUSTRIES, INC.</v>
          </cell>
          <cell r="L1039" t="str">
            <v>TX</v>
          </cell>
          <cell r="M1039" t="str">
            <v>USA</v>
          </cell>
          <cell r="N1039" t="str">
            <v>C</v>
          </cell>
          <cell r="O1039">
            <v>30210100</v>
          </cell>
          <cell r="P1039" t="str">
            <v>SODA ASH DENSE BULK</v>
          </cell>
          <cell r="Q1039" t="str">
            <v>Soda Ash</v>
          </cell>
          <cell r="R1039">
            <v>142.62</v>
          </cell>
          <cell r="S1039">
            <v>11645.16</v>
          </cell>
        </row>
        <row r="1040">
          <cell r="A1040" t="str">
            <v>Budget</v>
          </cell>
          <cell r="B1040">
            <v>2</v>
          </cell>
          <cell r="C1040" t="str">
            <v>Domestic</v>
          </cell>
          <cell r="D1040">
            <v>4</v>
          </cell>
          <cell r="E1040">
            <v>5565</v>
          </cell>
          <cell r="F1040" t="str">
            <v>DOMINION VIRGINIA POWER</v>
          </cell>
          <cell r="G1040" t="str">
            <v>D</v>
          </cell>
          <cell r="H1040" t="str">
            <v>MINERAL</v>
          </cell>
          <cell r="I1040" t="str">
            <v>VA</v>
          </cell>
          <cell r="J1040" t="str">
            <v>USA</v>
          </cell>
          <cell r="K1040" t="str">
            <v>DOMINION VIRGINIA POWER</v>
          </cell>
          <cell r="L1040" t="str">
            <v>VA</v>
          </cell>
          <cell r="M1040" t="str">
            <v>USA</v>
          </cell>
          <cell r="N1040" t="str">
            <v>C</v>
          </cell>
          <cell r="O1040">
            <v>24609720</v>
          </cell>
          <cell r="P1040" t="str">
            <v>BORIC ACID NS 25KG BAG</v>
          </cell>
          <cell r="Q1040" t="str">
            <v>HP Boric Acid (SCL)</v>
          </cell>
          <cell r="R1040">
            <v>2.85</v>
          </cell>
          <cell r="S1040">
            <v>4235.3500000000004</v>
          </cell>
        </row>
        <row r="1041">
          <cell r="A1041" t="str">
            <v>Budget</v>
          </cell>
          <cell r="B1041">
            <v>2</v>
          </cell>
          <cell r="C1041" t="str">
            <v>Domestic</v>
          </cell>
          <cell r="D1041">
            <v>4</v>
          </cell>
          <cell r="E1041">
            <v>5699</v>
          </cell>
          <cell r="F1041" t="str">
            <v>UNIVAR USA</v>
          </cell>
          <cell r="G1041" t="str">
            <v>D</v>
          </cell>
          <cell r="H1041" t="str">
            <v>TAMPA</v>
          </cell>
          <cell r="I1041" t="str">
            <v>FL</v>
          </cell>
          <cell r="J1041" t="str">
            <v>USA</v>
          </cell>
          <cell r="K1041" t="str">
            <v>UNIVAR USA</v>
          </cell>
          <cell r="L1041" t="str">
            <v>GA</v>
          </cell>
          <cell r="M1041" t="str">
            <v>USA</v>
          </cell>
          <cell r="N1041" t="str">
            <v>D</v>
          </cell>
          <cell r="O1041">
            <v>22060410</v>
          </cell>
          <cell r="P1041" t="str">
            <v>V-BOR 50LB BAG (004)</v>
          </cell>
          <cell r="Q1041" t="str">
            <v>Penta</v>
          </cell>
          <cell r="R1041">
            <v>9.51</v>
          </cell>
          <cell r="S1041">
            <v>3476.16</v>
          </cell>
        </row>
        <row r="1042">
          <cell r="A1042" t="str">
            <v>Budget</v>
          </cell>
          <cell r="B1042">
            <v>2</v>
          </cell>
          <cell r="C1042" t="str">
            <v>Domestic</v>
          </cell>
          <cell r="D1042">
            <v>4</v>
          </cell>
          <cell r="E1042">
            <v>5699</v>
          </cell>
          <cell r="F1042" t="str">
            <v>UNIVAR USA</v>
          </cell>
          <cell r="G1042" t="str">
            <v>D</v>
          </cell>
          <cell r="H1042" t="str">
            <v>TAMPA</v>
          </cell>
          <cell r="I1042" t="str">
            <v>FL</v>
          </cell>
          <cell r="J1042" t="str">
            <v>USA</v>
          </cell>
          <cell r="K1042" t="str">
            <v>UNIVAR USA</v>
          </cell>
          <cell r="L1042" t="str">
            <v>GA</v>
          </cell>
          <cell r="M1042" t="str">
            <v>USA</v>
          </cell>
          <cell r="N1042" t="str">
            <v>D</v>
          </cell>
          <cell r="O1042">
            <v>23060210</v>
          </cell>
          <cell r="P1042" t="str">
            <v>DECA BORAX STD 50LB BAG</v>
          </cell>
          <cell r="Q1042" t="str">
            <v>Deca</v>
          </cell>
          <cell r="R1042">
            <v>1.43</v>
          </cell>
          <cell r="S1042">
            <v>491.47</v>
          </cell>
        </row>
        <row r="1043">
          <cell r="A1043" t="str">
            <v>Budget</v>
          </cell>
          <cell r="B1043">
            <v>2</v>
          </cell>
          <cell r="C1043" t="str">
            <v>Domestic</v>
          </cell>
          <cell r="D1043">
            <v>4</v>
          </cell>
          <cell r="E1043">
            <v>6119</v>
          </cell>
          <cell r="F1043" t="str">
            <v>INACTIVE-SPECIALTY CHEMICAL CO</v>
          </cell>
          <cell r="G1043" t="str">
            <v>D</v>
          </cell>
          <cell r="H1043" t="str">
            <v>CLEVELAND</v>
          </cell>
          <cell r="I1043" t="str">
            <v>TN</v>
          </cell>
          <cell r="J1043" t="str">
            <v>USA</v>
          </cell>
          <cell r="K1043" t="str">
            <v>INACTIVE-SPECIALTY CHEMICAL CO</v>
          </cell>
          <cell r="L1043" t="str">
            <v>TN</v>
          </cell>
          <cell r="M1043" t="str">
            <v>USA</v>
          </cell>
          <cell r="N1043" t="str">
            <v>D</v>
          </cell>
          <cell r="O1043">
            <v>22060410</v>
          </cell>
          <cell r="P1043" t="str">
            <v>V-BOR 50LB BAG (004)</v>
          </cell>
          <cell r="Q1043" t="str">
            <v>Penta</v>
          </cell>
          <cell r="R1043">
            <v>0.95</v>
          </cell>
          <cell r="S1043">
            <v>392.99</v>
          </cell>
        </row>
        <row r="1044">
          <cell r="A1044" t="str">
            <v>Budget</v>
          </cell>
          <cell r="B1044">
            <v>2</v>
          </cell>
          <cell r="C1044" t="str">
            <v>Domestic</v>
          </cell>
          <cell r="D1044">
            <v>4</v>
          </cell>
          <cell r="E1044">
            <v>6119</v>
          </cell>
          <cell r="F1044" t="str">
            <v>INACTIVE-SPECIALTY CHEMICAL CO</v>
          </cell>
          <cell r="G1044" t="str">
            <v>D</v>
          </cell>
          <cell r="H1044" t="str">
            <v>CLEVELAND</v>
          </cell>
          <cell r="I1044" t="str">
            <v>TN</v>
          </cell>
          <cell r="J1044" t="str">
            <v>USA</v>
          </cell>
          <cell r="K1044" t="str">
            <v>INACTIVE-SPECIALTY CHEMICAL CO</v>
          </cell>
          <cell r="L1044" t="str">
            <v>TN</v>
          </cell>
          <cell r="M1044" t="str">
            <v>USA</v>
          </cell>
          <cell r="N1044" t="str">
            <v>D</v>
          </cell>
          <cell r="O1044">
            <v>23060210</v>
          </cell>
          <cell r="P1044" t="str">
            <v>DECA BORAX STD 50LB BAG</v>
          </cell>
          <cell r="Q1044" t="str">
            <v>Deca</v>
          </cell>
          <cell r="R1044">
            <v>1.9</v>
          </cell>
          <cell r="S1044">
            <v>685.23</v>
          </cell>
        </row>
        <row r="1045">
          <cell r="A1045" t="str">
            <v>Budget</v>
          </cell>
          <cell r="B1045">
            <v>2</v>
          </cell>
          <cell r="C1045" t="str">
            <v>Domestic</v>
          </cell>
          <cell r="D1045">
            <v>4</v>
          </cell>
          <cell r="E1045">
            <v>6119</v>
          </cell>
          <cell r="F1045" t="str">
            <v>INACTIVE-SPECIALTY CHEMICAL CO</v>
          </cell>
          <cell r="G1045" t="str">
            <v>D</v>
          </cell>
          <cell r="H1045" t="str">
            <v>CLEVELAND</v>
          </cell>
          <cell r="I1045" t="str">
            <v>TN</v>
          </cell>
          <cell r="J1045" t="str">
            <v>USA</v>
          </cell>
          <cell r="K1045" t="str">
            <v>INACTIVE-SPECIALTY CHEMICAL CO</v>
          </cell>
          <cell r="L1045" t="str">
            <v>TN</v>
          </cell>
          <cell r="M1045" t="str">
            <v>USA</v>
          </cell>
          <cell r="N1045" t="str">
            <v>D</v>
          </cell>
          <cell r="O1045">
            <v>24090210</v>
          </cell>
          <cell r="P1045" t="str">
            <v>BORIC ACID GRAN TECH 50LB BAG</v>
          </cell>
          <cell r="Q1045" t="str">
            <v>Boric Acid</v>
          </cell>
          <cell r="R1045">
            <v>1.43</v>
          </cell>
          <cell r="S1045">
            <v>1174.24</v>
          </cell>
        </row>
        <row r="1046">
          <cell r="A1046" t="str">
            <v>Budget</v>
          </cell>
          <cell r="B1046">
            <v>2</v>
          </cell>
          <cell r="C1046" t="str">
            <v>Domestic</v>
          </cell>
          <cell r="D1046">
            <v>4</v>
          </cell>
          <cell r="E1046">
            <v>6119</v>
          </cell>
          <cell r="F1046" t="str">
            <v>INACTIVE-SPECIALTY CHEMICAL CO</v>
          </cell>
          <cell r="G1046" t="str">
            <v>D</v>
          </cell>
          <cell r="H1046" t="str">
            <v>CLEVELAND</v>
          </cell>
          <cell r="I1046" t="str">
            <v>TN</v>
          </cell>
          <cell r="J1046" t="str">
            <v>USA</v>
          </cell>
          <cell r="K1046" t="str">
            <v>INACTIVE-SPECIALTY CHEMICAL CO</v>
          </cell>
          <cell r="L1046" t="str">
            <v>TN</v>
          </cell>
          <cell r="M1046" t="str">
            <v>USA</v>
          </cell>
          <cell r="N1046" t="str">
            <v>D</v>
          </cell>
          <cell r="O1046">
            <v>24150250</v>
          </cell>
          <cell r="P1046" t="str">
            <v>BORIC ACID CRS 1TN FIBC</v>
          </cell>
          <cell r="Q1046" t="str">
            <v>Boric Acid</v>
          </cell>
          <cell r="R1046">
            <v>0.16</v>
          </cell>
          <cell r="S1046">
            <v>138.49</v>
          </cell>
        </row>
        <row r="1047">
          <cell r="A1047" t="str">
            <v>Budget</v>
          </cell>
          <cell r="B1047">
            <v>2</v>
          </cell>
          <cell r="C1047" t="str">
            <v>Domestic</v>
          </cell>
          <cell r="D1047">
            <v>4</v>
          </cell>
          <cell r="E1047">
            <v>6537</v>
          </cell>
          <cell r="F1047" t="str">
            <v>IMC PHOSPHATES MP INC</v>
          </cell>
          <cell r="G1047" t="str">
            <v>D</v>
          </cell>
          <cell r="H1047" t="str">
            <v>FOUR CORNERS</v>
          </cell>
          <cell r="I1047" t="str">
            <v>FL</v>
          </cell>
          <cell r="J1047" t="str">
            <v>USA</v>
          </cell>
          <cell r="K1047" t="str">
            <v>IMC PHOSPHATES MP INC</v>
          </cell>
          <cell r="L1047" t="str">
            <v>FL</v>
          </cell>
          <cell r="M1047" t="str">
            <v>USA</v>
          </cell>
          <cell r="N1047" t="str">
            <v>C</v>
          </cell>
          <cell r="O1047">
            <v>30210100</v>
          </cell>
          <cell r="P1047" t="str">
            <v>SODA ASH DENSE BULK</v>
          </cell>
          <cell r="Q1047" t="str">
            <v>Soda Ash</v>
          </cell>
          <cell r="R1047">
            <v>1426.23</v>
          </cell>
          <cell r="S1047">
            <v>104779.24</v>
          </cell>
        </row>
        <row r="1048">
          <cell r="A1048" t="str">
            <v>Budget</v>
          </cell>
          <cell r="B1048">
            <v>2</v>
          </cell>
          <cell r="C1048" t="str">
            <v>Domestic</v>
          </cell>
          <cell r="D1048">
            <v>4</v>
          </cell>
          <cell r="E1048">
            <v>6538</v>
          </cell>
          <cell r="F1048" t="str">
            <v>IMC PHOSPHATES MP INC</v>
          </cell>
          <cell r="G1048" t="str">
            <v>D</v>
          </cell>
          <cell r="H1048" t="str">
            <v>PIERCE</v>
          </cell>
          <cell r="I1048" t="str">
            <v>FL</v>
          </cell>
          <cell r="J1048" t="str">
            <v>USA</v>
          </cell>
          <cell r="K1048" t="str">
            <v>IMC PHOSPHATES MP INC</v>
          </cell>
          <cell r="L1048" t="str">
            <v>FL</v>
          </cell>
          <cell r="M1048" t="str">
            <v>USA</v>
          </cell>
          <cell r="N1048" t="str">
            <v>C</v>
          </cell>
          <cell r="O1048">
            <v>30210100</v>
          </cell>
          <cell r="P1048" t="str">
            <v>SODA ASH DENSE BULK</v>
          </cell>
          <cell r="Q1048" t="str">
            <v>Soda Ash</v>
          </cell>
          <cell r="R1048">
            <v>475.41</v>
          </cell>
          <cell r="S1048">
            <v>34787.64</v>
          </cell>
        </row>
        <row r="1049">
          <cell r="A1049" t="str">
            <v>Budget</v>
          </cell>
          <cell r="B1049">
            <v>2</v>
          </cell>
          <cell r="C1049" t="str">
            <v>Domestic</v>
          </cell>
          <cell r="D1049">
            <v>4</v>
          </cell>
          <cell r="E1049">
            <v>6549</v>
          </cell>
          <cell r="F1049" t="str">
            <v>EXIDE CORPORATION</v>
          </cell>
          <cell r="G1049" t="str">
            <v>D</v>
          </cell>
          <cell r="H1049" t="str">
            <v>LOS ANGELES</v>
          </cell>
          <cell r="I1049" t="str">
            <v>CA</v>
          </cell>
          <cell r="J1049" t="str">
            <v>USA</v>
          </cell>
          <cell r="K1049" t="str">
            <v>EXIDE CORPORATION</v>
          </cell>
          <cell r="L1049" t="str">
            <v>CA</v>
          </cell>
          <cell r="M1049" t="str">
            <v>USA</v>
          </cell>
          <cell r="N1049" t="str">
            <v>C</v>
          </cell>
          <cell r="O1049">
            <v>30210100</v>
          </cell>
          <cell r="P1049" t="str">
            <v>SODA ASH DENSE BULK</v>
          </cell>
          <cell r="Q1049" t="str">
            <v>Soda Ash</v>
          </cell>
          <cell r="R1049">
            <v>1030.05</v>
          </cell>
          <cell r="S1049">
            <v>89975.27</v>
          </cell>
        </row>
        <row r="1050">
          <cell r="A1050" t="str">
            <v>Budget</v>
          </cell>
          <cell r="B1050">
            <v>2</v>
          </cell>
          <cell r="C1050" t="str">
            <v>Domestic</v>
          </cell>
          <cell r="D1050">
            <v>4</v>
          </cell>
          <cell r="E1050">
            <v>6577</v>
          </cell>
          <cell r="F1050" t="str">
            <v>HOOVER TREATED WOOD PRODUCTS</v>
          </cell>
          <cell r="G1050" t="str">
            <v>D</v>
          </cell>
          <cell r="H1050" t="str">
            <v>DILLARD</v>
          </cell>
          <cell r="I1050" t="str">
            <v>OR</v>
          </cell>
          <cell r="J1050" t="str">
            <v>USA</v>
          </cell>
          <cell r="K1050" t="str">
            <v>HOOVER TREATED WOOD PRODUCTS</v>
          </cell>
          <cell r="L1050" t="str">
            <v>OR</v>
          </cell>
          <cell r="M1050" t="str">
            <v>USA</v>
          </cell>
          <cell r="N1050" t="str">
            <v>C</v>
          </cell>
          <cell r="O1050">
            <v>23060210</v>
          </cell>
          <cell r="P1050" t="str">
            <v>DECA BORAX STD 50LB BAG</v>
          </cell>
          <cell r="Q1050" t="str">
            <v>Deca</v>
          </cell>
          <cell r="R1050">
            <v>1.75</v>
          </cell>
          <cell r="S1050">
            <v>471.99</v>
          </cell>
        </row>
        <row r="1051">
          <cell r="A1051" t="str">
            <v>Budget</v>
          </cell>
          <cell r="B1051">
            <v>2</v>
          </cell>
          <cell r="C1051" t="str">
            <v>Domestic</v>
          </cell>
          <cell r="D1051">
            <v>4</v>
          </cell>
          <cell r="E1051">
            <v>6577</v>
          </cell>
          <cell r="F1051" t="str">
            <v>HOOVER TREATED WOOD PRODUCTS</v>
          </cell>
          <cell r="G1051" t="str">
            <v>D</v>
          </cell>
          <cell r="H1051" t="str">
            <v>DILLARD</v>
          </cell>
          <cell r="I1051" t="str">
            <v>OR</v>
          </cell>
          <cell r="J1051" t="str">
            <v>USA</v>
          </cell>
          <cell r="K1051" t="str">
            <v>HOOVER TREATED WOOD PRODUCTS</v>
          </cell>
          <cell r="L1051" t="str">
            <v>OR</v>
          </cell>
          <cell r="M1051" t="str">
            <v>USA</v>
          </cell>
          <cell r="N1051" t="str">
            <v>C</v>
          </cell>
          <cell r="O1051">
            <v>24090210</v>
          </cell>
          <cell r="P1051" t="str">
            <v>BORIC ACID GRAN TECH 50LB BAG</v>
          </cell>
          <cell r="Q1051" t="str">
            <v>Boric Acid</v>
          </cell>
          <cell r="R1051">
            <v>1.75</v>
          </cell>
          <cell r="S1051">
            <v>1010.11</v>
          </cell>
        </row>
        <row r="1052">
          <cell r="A1052" t="str">
            <v>Budget</v>
          </cell>
          <cell r="B1052">
            <v>2</v>
          </cell>
          <cell r="C1052" t="str">
            <v>Domestic</v>
          </cell>
          <cell r="D1052">
            <v>4</v>
          </cell>
          <cell r="E1052">
            <v>6587</v>
          </cell>
          <cell r="F1052" t="str">
            <v>INDUSTRIAL CHEMICAL COMPANY</v>
          </cell>
          <cell r="G1052" t="str">
            <v>D</v>
          </cell>
          <cell r="H1052" t="str">
            <v>BIRMINGHAM</v>
          </cell>
          <cell r="I1052" t="str">
            <v>AL</v>
          </cell>
          <cell r="J1052" t="str">
            <v>USA</v>
          </cell>
          <cell r="K1052" t="str">
            <v>INDUSTRIAL CHEMICAL COMPANY</v>
          </cell>
          <cell r="L1052" t="str">
            <v>AL</v>
          </cell>
          <cell r="M1052" t="str">
            <v>USA</v>
          </cell>
          <cell r="N1052" t="str">
            <v>D</v>
          </cell>
          <cell r="O1052">
            <v>30210100</v>
          </cell>
          <cell r="P1052" t="str">
            <v>SODA ASH DENSE BULK</v>
          </cell>
          <cell r="Q1052" t="str">
            <v>Soda Ash</v>
          </cell>
          <cell r="R1052">
            <v>475.41</v>
          </cell>
          <cell r="S1052">
            <v>40290.980000000003</v>
          </cell>
        </row>
        <row r="1053">
          <cell r="A1053" t="str">
            <v>Budget</v>
          </cell>
          <cell r="B1053">
            <v>2</v>
          </cell>
          <cell r="C1053" t="str">
            <v>Domestic</v>
          </cell>
          <cell r="D1053">
            <v>4</v>
          </cell>
          <cell r="E1053">
            <v>6587</v>
          </cell>
          <cell r="F1053" t="str">
            <v>INDUSTRIAL CHEMICAL COMPANY</v>
          </cell>
          <cell r="G1053" t="str">
            <v>D</v>
          </cell>
          <cell r="H1053" t="str">
            <v>BIRMINGHAM</v>
          </cell>
          <cell r="I1053" t="str">
            <v>AL</v>
          </cell>
          <cell r="J1053" t="str">
            <v>USA</v>
          </cell>
          <cell r="K1053" t="str">
            <v>INDUSTRIAL CHEMICAL COMPANY</v>
          </cell>
          <cell r="L1053" t="str">
            <v>AL</v>
          </cell>
          <cell r="M1053" t="str">
            <v>USA</v>
          </cell>
          <cell r="N1053" t="str">
            <v>D</v>
          </cell>
          <cell r="O1053">
            <v>40060400</v>
          </cell>
          <cell r="P1053" t="str">
            <v>SODIUM SULFATE STANDARD BULK</v>
          </cell>
          <cell r="Q1053" t="str">
            <v>Sodium Sulfate</v>
          </cell>
          <cell r="R1053">
            <v>95.08</v>
          </cell>
          <cell r="S1053">
            <v>4133.21</v>
          </cell>
        </row>
        <row r="1054">
          <cell r="A1054" t="str">
            <v>Budget</v>
          </cell>
          <cell r="B1054">
            <v>2</v>
          </cell>
          <cell r="C1054" t="str">
            <v>Domestic</v>
          </cell>
          <cell r="D1054">
            <v>4</v>
          </cell>
          <cell r="E1054">
            <v>6601</v>
          </cell>
          <cell r="F1054" t="str">
            <v>INTERNATIONAL CELLULOSE CORP</v>
          </cell>
          <cell r="G1054" t="str">
            <v>D</v>
          </cell>
          <cell r="H1054" t="str">
            <v>ALMEDA</v>
          </cell>
          <cell r="I1054" t="str">
            <v>TX</v>
          </cell>
          <cell r="J1054" t="str">
            <v>USA</v>
          </cell>
          <cell r="K1054" t="str">
            <v>INTERNATIONAL CELLULOSE CORP.</v>
          </cell>
          <cell r="L1054" t="str">
            <v>TX</v>
          </cell>
          <cell r="M1054" t="str">
            <v>USA</v>
          </cell>
          <cell r="N1054" t="str">
            <v>C</v>
          </cell>
          <cell r="O1054">
            <v>22060400</v>
          </cell>
          <cell r="P1054" t="str">
            <v>V-BOR STD BULK (004)</v>
          </cell>
          <cell r="Q1054" t="str">
            <v>Penta</v>
          </cell>
          <cell r="R1054">
            <v>11.11</v>
          </cell>
          <cell r="S1054">
            <v>3003.69</v>
          </cell>
        </row>
        <row r="1055">
          <cell r="A1055" t="str">
            <v>Budget</v>
          </cell>
          <cell r="B1055">
            <v>2</v>
          </cell>
          <cell r="C1055" t="str">
            <v>Domestic</v>
          </cell>
          <cell r="D1055">
            <v>4</v>
          </cell>
          <cell r="E1055">
            <v>6601</v>
          </cell>
          <cell r="F1055" t="str">
            <v>INTERNATIONAL CELLULOSE CORP</v>
          </cell>
          <cell r="G1055" t="str">
            <v>D</v>
          </cell>
          <cell r="H1055" t="str">
            <v>ALMEDA</v>
          </cell>
          <cell r="I1055" t="str">
            <v>TX</v>
          </cell>
          <cell r="J1055" t="str">
            <v>USA</v>
          </cell>
          <cell r="K1055" t="str">
            <v>INTERNATIONAL CELLULOSE CORP.</v>
          </cell>
          <cell r="L1055" t="str">
            <v>TX</v>
          </cell>
          <cell r="M1055" t="str">
            <v>USA</v>
          </cell>
          <cell r="N1055" t="str">
            <v>C</v>
          </cell>
          <cell r="O1055">
            <v>22060450</v>
          </cell>
          <cell r="P1055" t="str">
            <v>V-BOR 1TN FIBC (004)</v>
          </cell>
          <cell r="Q1055" t="str">
            <v>Penta</v>
          </cell>
          <cell r="R1055">
            <v>3.8</v>
          </cell>
          <cell r="S1055">
            <v>1148.18</v>
          </cell>
        </row>
        <row r="1056">
          <cell r="A1056" t="str">
            <v>Budget</v>
          </cell>
          <cell r="B1056">
            <v>2</v>
          </cell>
          <cell r="C1056" t="str">
            <v>Domestic</v>
          </cell>
          <cell r="D1056">
            <v>4</v>
          </cell>
          <cell r="E1056">
            <v>6601</v>
          </cell>
          <cell r="F1056" t="str">
            <v>INTERNATIONAL CELLULOSE CORP</v>
          </cell>
          <cell r="G1056" t="str">
            <v>D</v>
          </cell>
          <cell r="H1056" t="str">
            <v>ALMEDA</v>
          </cell>
          <cell r="I1056" t="str">
            <v>TX</v>
          </cell>
          <cell r="J1056" t="str">
            <v>USA</v>
          </cell>
          <cell r="K1056" t="str">
            <v>INTERNATIONAL CELLULOSE CORP.</v>
          </cell>
          <cell r="L1056" t="str">
            <v>TX</v>
          </cell>
          <cell r="M1056" t="str">
            <v>USA</v>
          </cell>
          <cell r="N1056" t="str">
            <v>C</v>
          </cell>
          <cell r="O1056">
            <v>24230200</v>
          </cell>
          <cell r="P1056" t="str">
            <v>BORIC ACID GRAN TECH BULK</v>
          </cell>
          <cell r="Q1056" t="str">
            <v>Boric Acid</v>
          </cell>
          <cell r="R1056">
            <v>31.69</v>
          </cell>
          <cell r="S1056">
            <v>14718.37</v>
          </cell>
        </row>
        <row r="1057">
          <cell r="A1057" t="str">
            <v>Budget</v>
          </cell>
          <cell r="B1057">
            <v>2</v>
          </cell>
          <cell r="C1057" t="str">
            <v>Domestic</v>
          </cell>
          <cell r="D1057">
            <v>4</v>
          </cell>
          <cell r="E1057">
            <v>6703</v>
          </cell>
          <cell r="F1057" t="str">
            <v>ROHM &amp; HAAS</v>
          </cell>
          <cell r="G1057" t="str">
            <v>D</v>
          </cell>
          <cell r="H1057" t="str">
            <v>ELMA</v>
          </cell>
          <cell r="I1057" t="str">
            <v>WA</v>
          </cell>
          <cell r="J1057" t="str">
            <v>USA</v>
          </cell>
          <cell r="K1057" t="str">
            <v>ROHM &amp; HAAS</v>
          </cell>
          <cell r="L1057" t="str">
            <v>WA</v>
          </cell>
          <cell r="M1057" t="str">
            <v>USA</v>
          </cell>
          <cell r="N1057" t="str">
            <v>C</v>
          </cell>
          <cell r="O1057">
            <v>24850200</v>
          </cell>
          <cell r="P1057" t="str">
            <v>BORIC ACID GR TECH PREM BULK</v>
          </cell>
          <cell r="Q1057" t="str">
            <v>Boric Acid</v>
          </cell>
          <cell r="R1057">
            <v>554.64</v>
          </cell>
          <cell r="S1057">
            <v>203104.27</v>
          </cell>
        </row>
        <row r="1058">
          <cell r="A1058" t="str">
            <v>Budget</v>
          </cell>
          <cell r="B1058">
            <v>2</v>
          </cell>
          <cell r="C1058" t="str">
            <v>Domestic</v>
          </cell>
          <cell r="D1058">
            <v>4</v>
          </cell>
          <cell r="E1058">
            <v>6975</v>
          </cell>
          <cell r="F1058" t="str">
            <v>BRENNTAG SOUTHWEST, INC.</v>
          </cell>
          <cell r="G1058" t="str">
            <v>D</v>
          </cell>
          <cell r="H1058" t="str">
            <v>ELMENDORF</v>
          </cell>
          <cell r="I1058" t="str">
            <v>TX</v>
          </cell>
          <cell r="J1058" t="str">
            <v>USA</v>
          </cell>
          <cell r="K1058" t="str">
            <v>BRENNTAG SOUTHWEST, INC.</v>
          </cell>
          <cell r="L1058" t="str">
            <v>TX</v>
          </cell>
          <cell r="M1058" t="str">
            <v>USA</v>
          </cell>
          <cell r="N1058" t="str">
            <v>D</v>
          </cell>
          <cell r="O1058">
            <v>23060210</v>
          </cell>
          <cell r="P1058" t="str">
            <v>DECA BORAX STD 50LB BAG</v>
          </cell>
          <cell r="Q1058" t="str">
            <v>Deca</v>
          </cell>
          <cell r="R1058">
            <v>5.7</v>
          </cell>
          <cell r="S1058">
            <v>2150.7600000000002</v>
          </cell>
        </row>
        <row r="1059">
          <cell r="A1059" t="str">
            <v>Budget</v>
          </cell>
          <cell r="B1059">
            <v>2</v>
          </cell>
          <cell r="C1059" t="str">
            <v>Domestic</v>
          </cell>
          <cell r="D1059">
            <v>4</v>
          </cell>
          <cell r="E1059">
            <v>6975</v>
          </cell>
          <cell r="F1059" t="str">
            <v>BRENNTAG SOUTHWEST, INC.</v>
          </cell>
          <cell r="G1059" t="str">
            <v>D</v>
          </cell>
          <cell r="H1059" t="str">
            <v>ELMENDORF</v>
          </cell>
          <cell r="I1059" t="str">
            <v>TX</v>
          </cell>
          <cell r="J1059" t="str">
            <v>USA</v>
          </cell>
          <cell r="K1059" t="str">
            <v>BRENNTAG SOUTHWEST, INC.</v>
          </cell>
          <cell r="L1059" t="str">
            <v>TX</v>
          </cell>
          <cell r="M1059" t="str">
            <v>USA</v>
          </cell>
          <cell r="N1059" t="str">
            <v>D</v>
          </cell>
          <cell r="O1059">
            <v>24090210</v>
          </cell>
          <cell r="P1059" t="str">
            <v>BORIC ACID GRAN TECH 50LB BAG</v>
          </cell>
          <cell r="Q1059" t="str">
            <v>Boric Acid</v>
          </cell>
          <cell r="R1059">
            <v>9.51</v>
          </cell>
          <cell r="S1059">
            <v>5170.45</v>
          </cell>
        </row>
        <row r="1060">
          <cell r="A1060" t="str">
            <v>Budget</v>
          </cell>
          <cell r="B1060">
            <v>2</v>
          </cell>
          <cell r="C1060" t="str">
            <v>Domestic</v>
          </cell>
          <cell r="D1060">
            <v>4</v>
          </cell>
          <cell r="E1060">
            <v>6975</v>
          </cell>
          <cell r="F1060" t="str">
            <v>BRENNTAG SOUTHWEST, INC.</v>
          </cell>
          <cell r="G1060" t="str">
            <v>D</v>
          </cell>
          <cell r="H1060" t="str">
            <v>ELMENDORF</v>
          </cell>
          <cell r="I1060" t="str">
            <v>TX</v>
          </cell>
          <cell r="J1060" t="str">
            <v>USA</v>
          </cell>
          <cell r="K1060" t="str">
            <v>BRENNTAG SOUTHWEST, INC.</v>
          </cell>
          <cell r="L1060" t="str">
            <v>TX</v>
          </cell>
          <cell r="M1060" t="str">
            <v>USA</v>
          </cell>
          <cell r="N1060" t="str">
            <v>D</v>
          </cell>
          <cell r="O1060">
            <v>24090251</v>
          </cell>
          <cell r="P1060" t="str">
            <v>BORIC ACID GRN TCH 2200LB FIBC</v>
          </cell>
          <cell r="Q1060" t="str">
            <v>Boric Acid</v>
          </cell>
          <cell r="R1060">
            <v>39.619999999999997</v>
          </cell>
          <cell r="S1060">
            <v>19760.39</v>
          </cell>
        </row>
        <row r="1061">
          <cell r="A1061" t="str">
            <v>Budget</v>
          </cell>
          <cell r="B1061">
            <v>2</v>
          </cell>
          <cell r="C1061" t="str">
            <v>Domestic</v>
          </cell>
          <cell r="D1061">
            <v>4</v>
          </cell>
          <cell r="E1061">
            <v>7094</v>
          </cell>
          <cell r="F1061" t="str">
            <v>IMC PHOSPHATES MP INC</v>
          </cell>
          <cell r="G1061" t="str">
            <v>D</v>
          </cell>
          <cell r="H1061" t="str">
            <v>NEW WALES</v>
          </cell>
          <cell r="I1061" t="str">
            <v>FL</v>
          </cell>
          <cell r="J1061" t="str">
            <v>USA</v>
          </cell>
          <cell r="K1061" t="str">
            <v>IMC PHOSPHATES MP INC</v>
          </cell>
          <cell r="L1061" t="str">
            <v>FL</v>
          </cell>
          <cell r="M1061" t="str">
            <v>USA</v>
          </cell>
          <cell r="N1061" t="str">
            <v>C</v>
          </cell>
          <cell r="O1061">
            <v>30210100</v>
          </cell>
          <cell r="P1061" t="str">
            <v>SODA ASH DENSE BULK</v>
          </cell>
          <cell r="Q1061" t="str">
            <v>Soda Ash</v>
          </cell>
          <cell r="R1061">
            <v>1743.17</v>
          </cell>
          <cell r="S1061">
            <v>127885.41</v>
          </cell>
        </row>
        <row r="1062">
          <cell r="A1062" t="str">
            <v>Budget</v>
          </cell>
          <cell r="B1062">
            <v>2</v>
          </cell>
          <cell r="C1062" t="str">
            <v>Domestic</v>
          </cell>
          <cell r="D1062">
            <v>4</v>
          </cell>
          <cell r="E1062">
            <v>7441</v>
          </cell>
          <cell r="F1062" t="str">
            <v>UNIVAR USA</v>
          </cell>
          <cell r="G1062" t="str">
            <v>D</v>
          </cell>
          <cell r="H1062" t="str">
            <v>JACKSONVILLE</v>
          </cell>
          <cell r="I1062" t="str">
            <v>FL</v>
          </cell>
          <cell r="J1062" t="str">
            <v>USA</v>
          </cell>
          <cell r="K1062" t="str">
            <v>UNIVAR USA</v>
          </cell>
          <cell r="L1062" t="str">
            <v>FL</v>
          </cell>
          <cell r="M1062" t="str">
            <v>USA</v>
          </cell>
          <cell r="N1062" t="str">
            <v>D</v>
          </cell>
          <cell r="O1062">
            <v>22060410</v>
          </cell>
          <cell r="P1062" t="str">
            <v>V-BOR 50LB BAG (004)</v>
          </cell>
          <cell r="Q1062" t="str">
            <v>Penta</v>
          </cell>
          <cell r="R1062">
            <v>6.99</v>
          </cell>
          <cell r="S1062">
            <v>2338.8200000000002</v>
          </cell>
        </row>
        <row r="1063">
          <cell r="A1063" t="str">
            <v>Budget</v>
          </cell>
          <cell r="B1063">
            <v>2</v>
          </cell>
          <cell r="C1063" t="str">
            <v>Domestic</v>
          </cell>
          <cell r="D1063">
            <v>4</v>
          </cell>
          <cell r="E1063">
            <v>7442</v>
          </cell>
          <cell r="F1063" t="str">
            <v>GEORGIA PACIFIC</v>
          </cell>
          <cell r="G1063" t="str">
            <v>D</v>
          </cell>
          <cell r="H1063" t="str">
            <v>BRUNSWICK</v>
          </cell>
          <cell r="I1063" t="str">
            <v>GA</v>
          </cell>
          <cell r="J1063" t="str">
            <v>USA</v>
          </cell>
          <cell r="K1063" t="str">
            <v>UNIVAR USA</v>
          </cell>
          <cell r="L1063" t="str">
            <v>FL</v>
          </cell>
          <cell r="M1063" t="str">
            <v>USA</v>
          </cell>
          <cell r="N1063" t="str">
            <v>D</v>
          </cell>
          <cell r="O1063">
            <v>24090213</v>
          </cell>
          <cell r="P1063" t="str">
            <v>BORIC ACD GRN 50LB PULPABLE BG</v>
          </cell>
          <cell r="Q1063" t="str">
            <v>Boric Acid</v>
          </cell>
          <cell r="R1063">
            <v>23.77</v>
          </cell>
          <cell r="S1063">
            <v>10017.93</v>
          </cell>
        </row>
        <row r="1064">
          <cell r="A1064" t="str">
            <v>Budget</v>
          </cell>
          <cell r="B1064">
            <v>2</v>
          </cell>
          <cell r="C1064" t="str">
            <v>Domestic</v>
          </cell>
          <cell r="D1064">
            <v>4</v>
          </cell>
          <cell r="E1064">
            <v>7633</v>
          </cell>
          <cell r="F1064" t="str">
            <v>DUKE ENERGY CORPORATION</v>
          </cell>
          <cell r="G1064" t="str">
            <v>D</v>
          </cell>
          <cell r="H1064" t="str">
            <v>CHARLOTTE</v>
          </cell>
          <cell r="I1064" t="str">
            <v>NC</v>
          </cell>
          <cell r="J1064" t="str">
            <v>USA</v>
          </cell>
          <cell r="K1064" t="str">
            <v>BRENNTAG SOUTHEAST</v>
          </cell>
          <cell r="L1064" t="str">
            <v>NC</v>
          </cell>
          <cell r="M1064" t="str">
            <v>USA</v>
          </cell>
          <cell r="N1064" t="str">
            <v>D</v>
          </cell>
          <cell r="O1064">
            <v>24609791</v>
          </cell>
          <cell r="P1064" t="str">
            <v>BORIC ACID NS 100KG DRUM</v>
          </cell>
          <cell r="Q1064" t="str">
            <v>HP Boric Acid (SCL)</v>
          </cell>
          <cell r="R1064">
            <v>4.75</v>
          </cell>
          <cell r="S1064">
            <v>7631.01</v>
          </cell>
        </row>
        <row r="1065">
          <cell r="A1065" t="str">
            <v>Budget</v>
          </cell>
          <cell r="B1065">
            <v>2</v>
          </cell>
          <cell r="C1065" t="str">
            <v>Domestic</v>
          </cell>
          <cell r="D1065">
            <v>4</v>
          </cell>
          <cell r="E1065">
            <v>7646</v>
          </cell>
          <cell r="F1065" t="str">
            <v>DYCHO COMPANY INC.</v>
          </cell>
          <cell r="G1065" t="str">
            <v>D</v>
          </cell>
          <cell r="H1065" t="str">
            <v>NIOTA</v>
          </cell>
          <cell r="I1065" t="str">
            <v>TN</v>
          </cell>
          <cell r="J1065" t="str">
            <v>USA</v>
          </cell>
          <cell r="K1065" t="str">
            <v>DYCHO COMPANY INC.</v>
          </cell>
          <cell r="L1065" t="str">
            <v>TN</v>
          </cell>
          <cell r="M1065" t="str">
            <v>USA</v>
          </cell>
          <cell r="N1065" t="str">
            <v>D</v>
          </cell>
          <cell r="O1065">
            <v>22060410</v>
          </cell>
          <cell r="P1065" t="str">
            <v>V-BOR 50LB BAG (004)</v>
          </cell>
          <cell r="Q1065" t="str">
            <v>Penta</v>
          </cell>
          <cell r="R1065">
            <v>2.85</v>
          </cell>
          <cell r="S1065">
            <v>1110.05</v>
          </cell>
        </row>
        <row r="1066">
          <cell r="A1066" t="str">
            <v>Budget</v>
          </cell>
          <cell r="B1066">
            <v>2</v>
          </cell>
          <cell r="C1066" t="str">
            <v>Domestic</v>
          </cell>
          <cell r="D1066">
            <v>4</v>
          </cell>
          <cell r="E1066">
            <v>7646</v>
          </cell>
          <cell r="F1066" t="str">
            <v>DYCHO COMPANY INC.</v>
          </cell>
          <cell r="G1066" t="str">
            <v>D</v>
          </cell>
          <cell r="H1066" t="str">
            <v>NIOTA</v>
          </cell>
          <cell r="I1066" t="str">
            <v>TN</v>
          </cell>
          <cell r="J1066" t="str">
            <v>USA</v>
          </cell>
          <cell r="K1066" t="str">
            <v>DYCHO COMPANY INC.</v>
          </cell>
          <cell r="L1066" t="str">
            <v>TN</v>
          </cell>
          <cell r="M1066" t="str">
            <v>USA</v>
          </cell>
          <cell r="N1066" t="str">
            <v>D</v>
          </cell>
          <cell r="O1066">
            <v>30210110</v>
          </cell>
          <cell r="P1066" t="str">
            <v>SODA ASH DENSE 50LB BAG</v>
          </cell>
          <cell r="Q1066" t="str">
            <v>Soda Ash</v>
          </cell>
          <cell r="R1066">
            <v>15.05</v>
          </cell>
          <cell r="S1066">
            <v>1961.32</v>
          </cell>
        </row>
        <row r="1067">
          <cell r="A1067" t="str">
            <v>Budget</v>
          </cell>
          <cell r="B1067">
            <v>2</v>
          </cell>
          <cell r="C1067" t="str">
            <v>Domestic</v>
          </cell>
          <cell r="D1067">
            <v>4</v>
          </cell>
          <cell r="E1067">
            <v>7646</v>
          </cell>
          <cell r="F1067" t="str">
            <v>DYCHO COMPANY INC.</v>
          </cell>
          <cell r="G1067" t="str">
            <v>D</v>
          </cell>
          <cell r="H1067" t="str">
            <v>NIOTA</v>
          </cell>
          <cell r="I1067" t="str">
            <v>TN</v>
          </cell>
          <cell r="J1067" t="str">
            <v>USA</v>
          </cell>
          <cell r="K1067" t="str">
            <v>DYCHO COMPANY INC.</v>
          </cell>
          <cell r="L1067" t="str">
            <v>TN</v>
          </cell>
          <cell r="M1067" t="str">
            <v>USA</v>
          </cell>
          <cell r="N1067" t="str">
            <v>D</v>
          </cell>
          <cell r="O1067">
            <v>40060410</v>
          </cell>
          <cell r="P1067" t="str">
            <v>SODIUM SULFATE STD 50LB BAG</v>
          </cell>
          <cell r="Q1067" t="str">
            <v>Sodium Sulfate</v>
          </cell>
          <cell r="R1067">
            <v>1.9</v>
          </cell>
          <cell r="S1067">
            <v>180.25</v>
          </cell>
        </row>
        <row r="1068">
          <cell r="A1068" t="str">
            <v>Budget</v>
          </cell>
          <cell r="B1068">
            <v>2</v>
          </cell>
          <cell r="C1068" t="str">
            <v>Domestic</v>
          </cell>
          <cell r="D1068">
            <v>4</v>
          </cell>
          <cell r="E1068">
            <v>7749</v>
          </cell>
          <cell r="F1068" t="str">
            <v>G.P. GYPSUM</v>
          </cell>
          <cell r="G1068" t="str">
            <v>D</v>
          </cell>
          <cell r="H1068" t="str">
            <v>SWEETWATER</v>
          </cell>
          <cell r="I1068" t="str">
            <v>TX</v>
          </cell>
          <cell r="J1068" t="str">
            <v>USA</v>
          </cell>
          <cell r="K1068" t="str">
            <v>UNIVAR USA</v>
          </cell>
          <cell r="L1068" t="str">
            <v>TX</v>
          </cell>
          <cell r="M1068" t="str">
            <v>USA</v>
          </cell>
          <cell r="N1068" t="str">
            <v>D</v>
          </cell>
          <cell r="O1068">
            <v>24090213</v>
          </cell>
          <cell r="P1068" t="str">
            <v>BORIC ACD GRN 50LB PULPABLE BG</v>
          </cell>
          <cell r="Q1068" t="str">
            <v>Boric Acid</v>
          </cell>
          <cell r="R1068">
            <v>13.87</v>
          </cell>
          <cell r="S1068">
            <v>6375.18</v>
          </cell>
        </row>
        <row r="1069">
          <cell r="A1069" t="str">
            <v>Budget</v>
          </cell>
          <cell r="B1069">
            <v>2</v>
          </cell>
          <cell r="C1069" t="str">
            <v>Domestic</v>
          </cell>
          <cell r="D1069">
            <v>4</v>
          </cell>
          <cell r="E1069">
            <v>7798</v>
          </cell>
          <cell r="F1069" t="str">
            <v>CARL AKEY C.S. 5022</v>
          </cell>
          <cell r="G1069" t="str">
            <v>D</v>
          </cell>
          <cell r="H1069" t="str">
            <v>LEWISBURG</v>
          </cell>
          <cell r="I1069" t="str">
            <v>OH</v>
          </cell>
          <cell r="J1069" t="str">
            <v>USA</v>
          </cell>
          <cell r="K1069" t="str">
            <v>INTERNATIONAL STOCK FOOD</v>
          </cell>
          <cell r="L1069" t="str">
            <v>GA</v>
          </cell>
          <cell r="M1069" t="str">
            <v>USA</v>
          </cell>
          <cell r="N1069" t="str">
            <v>C</v>
          </cell>
          <cell r="O1069">
            <v>40150410</v>
          </cell>
          <cell r="P1069" t="str">
            <v>SODIUM SULFATE CRS 50LB BAG</v>
          </cell>
          <cell r="Q1069" t="str">
            <v>Sodium Sulfate</v>
          </cell>
          <cell r="R1069">
            <v>21.2</v>
          </cell>
          <cell r="S1069">
            <v>4679.1899999999996</v>
          </cell>
        </row>
        <row r="1070">
          <cell r="A1070" t="str">
            <v>Budget</v>
          </cell>
          <cell r="B1070">
            <v>2</v>
          </cell>
          <cell r="C1070" t="str">
            <v>Domestic</v>
          </cell>
          <cell r="D1070">
            <v>4</v>
          </cell>
          <cell r="E1070">
            <v>7837</v>
          </cell>
          <cell r="F1070" t="str">
            <v>ATOTECH USA, INC.</v>
          </cell>
          <cell r="G1070" t="str">
            <v>D</v>
          </cell>
          <cell r="H1070" t="str">
            <v>ROCKHILL</v>
          </cell>
          <cell r="I1070" t="str">
            <v>SC</v>
          </cell>
          <cell r="J1070" t="str">
            <v>USA</v>
          </cell>
          <cell r="K1070" t="str">
            <v>ATOTECH USA, INC.</v>
          </cell>
          <cell r="L1070" t="str">
            <v>SC</v>
          </cell>
          <cell r="M1070" t="str">
            <v>USA</v>
          </cell>
          <cell r="N1070" t="str">
            <v>C</v>
          </cell>
          <cell r="O1070">
            <v>24099720</v>
          </cell>
          <cell r="P1070" t="str">
            <v>BORIC ACID GRN TCH IT 25KG BAG</v>
          </cell>
          <cell r="Q1070" t="str">
            <v>Boric Acid (SCL)</v>
          </cell>
          <cell r="R1070">
            <v>0.35</v>
          </cell>
          <cell r="S1070">
            <v>220.42</v>
          </cell>
        </row>
        <row r="1071">
          <cell r="A1071" t="str">
            <v>Budget</v>
          </cell>
          <cell r="B1071">
            <v>2</v>
          </cell>
          <cell r="C1071" t="str">
            <v>Domestic</v>
          </cell>
          <cell r="D1071">
            <v>4</v>
          </cell>
          <cell r="E1071">
            <v>7924</v>
          </cell>
          <cell r="F1071" t="str">
            <v>FLORIDA POWER &amp; LIGHT COMPANY</v>
          </cell>
          <cell r="G1071" t="str">
            <v>D</v>
          </cell>
          <cell r="H1071" t="str">
            <v>FLORIDA CITY</v>
          </cell>
          <cell r="I1071" t="str">
            <v>FL</v>
          </cell>
          <cell r="J1071" t="str">
            <v>USA</v>
          </cell>
          <cell r="K1071" t="str">
            <v>FLORIDA POWER &amp; LIGHT COMPANY</v>
          </cell>
          <cell r="L1071" t="str">
            <v>FL</v>
          </cell>
          <cell r="M1071" t="str">
            <v>USA</v>
          </cell>
          <cell r="N1071" t="str">
            <v>C</v>
          </cell>
          <cell r="O1071">
            <v>24609792</v>
          </cell>
          <cell r="P1071" t="str">
            <v>BORIC ACID NS 150KG DRUM</v>
          </cell>
          <cell r="Q1071" t="str">
            <v>HP Boric Acid (SCL)</v>
          </cell>
          <cell r="R1071">
            <v>3.8</v>
          </cell>
          <cell r="S1071">
            <v>6568.33</v>
          </cell>
        </row>
        <row r="1072">
          <cell r="A1072" t="str">
            <v>Budget</v>
          </cell>
          <cell r="B1072">
            <v>2</v>
          </cell>
          <cell r="C1072" t="str">
            <v>Domestic</v>
          </cell>
          <cell r="D1072">
            <v>4</v>
          </cell>
          <cell r="E1072">
            <v>8047</v>
          </cell>
          <cell r="F1072" t="str">
            <v>CHEMICAL DYNAMICS</v>
          </cell>
          <cell r="G1072" t="str">
            <v>D</v>
          </cell>
          <cell r="H1072" t="str">
            <v>PLANT CITY</v>
          </cell>
          <cell r="I1072" t="str">
            <v>FL</v>
          </cell>
          <cell r="J1072" t="str">
            <v>USA</v>
          </cell>
          <cell r="K1072" t="str">
            <v>FRIT INDUSTRIES, INC</v>
          </cell>
          <cell r="L1072" t="str">
            <v>AL</v>
          </cell>
          <cell r="M1072" t="str">
            <v>USA</v>
          </cell>
          <cell r="N1072" t="str">
            <v>C</v>
          </cell>
          <cell r="O1072">
            <v>26069710</v>
          </cell>
          <cell r="P1072" t="str">
            <v>SOLUBLE BORON-21 50LB BAG</v>
          </cell>
          <cell r="Q1072" t="str">
            <v>Foliarel (SCL)</v>
          </cell>
          <cell r="R1072">
            <v>1.58</v>
          </cell>
          <cell r="S1072">
            <v>1537.35</v>
          </cell>
        </row>
        <row r="1073">
          <cell r="A1073" t="str">
            <v>Budget</v>
          </cell>
          <cell r="B1073">
            <v>2</v>
          </cell>
          <cell r="C1073" t="str">
            <v>Domestic</v>
          </cell>
          <cell r="D1073">
            <v>4</v>
          </cell>
          <cell r="E1073">
            <v>8054</v>
          </cell>
          <cell r="F1073" t="str">
            <v>GOODPASTURE</v>
          </cell>
          <cell r="G1073" t="str">
            <v>D</v>
          </cell>
          <cell r="H1073" t="str">
            <v>DIMMIT</v>
          </cell>
          <cell r="I1073" t="str">
            <v>TX</v>
          </cell>
          <cell r="J1073" t="str">
            <v>USA</v>
          </cell>
          <cell r="K1073" t="str">
            <v>GOODPASTURE</v>
          </cell>
          <cell r="L1073" t="str">
            <v>TX</v>
          </cell>
          <cell r="M1073" t="str">
            <v>USA</v>
          </cell>
          <cell r="N1073" t="str">
            <v>C</v>
          </cell>
          <cell r="O1073">
            <v>30210100</v>
          </cell>
          <cell r="P1073" t="str">
            <v>SODA ASH DENSE BULK</v>
          </cell>
          <cell r="Q1073" t="str">
            <v>Soda Ash</v>
          </cell>
          <cell r="R1073">
            <v>47.54</v>
          </cell>
          <cell r="S1073">
            <v>4109.92</v>
          </cell>
        </row>
        <row r="1074">
          <cell r="A1074" t="str">
            <v>Budget</v>
          </cell>
          <cell r="B1074">
            <v>2</v>
          </cell>
          <cell r="C1074" t="str">
            <v>Domestic</v>
          </cell>
          <cell r="D1074">
            <v>4</v>
          </cell>
          <cell r="E1074">
            <v>8182</v>
          </cell>
          <cell r="F1074" t="str">
            <v>EXIDE CORPORATION</v>
          </cell>
          <cell r="G1074" t="str">
            <v>D</v>
          </cell>
          <cell r="H1074" t="str">
            <v>FRISCO</v>
          </cell>
          <cell r="I1074" t="str">
            <v>TX</v>
          </cell>
          <cell r="J1074" t="str">
            <v>USA</v>
          </cell>
          <cell r="K1074" t="str">
            <v>EXIDE CORPORATION</v>
          </cell>
          <cell r="L1074" t="str">
            <v>TX</v>
          </cell>
          <cell r="M1074" t="str">
            <v>USA</v>
          </cell>
          <cell r="N1074" t="str">
            <v>C</v>
          </cell>
          <cell r="O1074">
            <v>30210100</v>
          </cell>
          <cell r="P1074" t="str">
            <v>SODA ASH DENSE BULK</v>
          </cell>
          <cell r="Q1074" t="str">
            <v>Soda Ash</v>
          </cell>
          <cell r="R1074">
            <v>633.88</v>
          </cell>
          <cell r="S1074">
            <v>51375.96</v>
          </cell>
        </row>
        <row r="1075">
          <cell r="A1075" t="str">
            <v>Budget</v>
          </cell>
          <cell r="B1075">
            <v>2</v>
          </cell>
          <cell r="C1075" t="str">
            <v>Domestic</v>
          </cell>
          <cell r="D1075">
            <v>4</v>
          </cell>
          <cell r="E1075">
            <v>8209</v>
          </cell>
          <cell r="F1075" t="str">
            <v>HARCROS CHEMICAL INC.</v>
          </cell>
          <cell r="G1075" t="str">
            <v>D</v>
          </cell>
          <cell r="H1075" t="str">
            <v>BESSEMER</v>
          </cell>
          <cell r="I1075" t="str">
            <v>AL</v>
          </cell>
          <cell r="J1075" t="str">
            <v>USA</v>
          </cell>
          <cell r="K1075" t="str">
            <v>HARCROS CHEMICAL INC.</v>
          </cell>
          <cell r="L1075" t="str">
            <v>AL</v>
          </cell>
          <cell r="M1075" t="str">
            <v>USA</v>
          </cell>
          <cell r="N1075" t="str">
            <v>D</v>
          </cell>
          <cell r="O1075">
            <v>22060410</v>
          </cell>
          <cell r="P1075" t="str">
            <v>V-BOR 50LB BAG (004)</v>
          </cell>
          <cell r="Q1075" t="str">
            <v>Penta</v>
          </cell>
          <cell r="R1075">
            <v>7.61</v>
          </cell>
          <cell r="S1075">
            <v>2610.08</v>
          </cell>
        </row>
        <row r="1076">
          <cell r="A1076" t="str">
            <v>Budget</v>
          </cell>
          <cell r="B1076">
            <v>2</v>
          </cell>
          <cell r="C1076" t="str">
            <v>Domestic</v>
          </cell>
          <cell r="D1076">
            <v>4</v>
          </cell>
          <cell r="E1076">
            <v>8209</v>
          </cell>
          <cell r="F1076" t="str">
            <v>HARCROS CHEMICAL INC.</v>
          </cell>
          <cell r="G1076" t="str">
            <v>D</v>
          </cell>
          <cell r="H1076" t="str">
            <v>BESSEMER</v>
          </cell>
          <cell r="I1076" t="str">
            <v>AL</v>
          </cell>
          <cell r="J1076" t="str">
            <v>USA</v>
          </cell>
          <cell r="K1076" t="str">
            <v>HARCROS CHEMICAL INC.</v>
          </cell>
          <cell r="L1076" t="str">
            <v>AL</v>
          </cell>
          <cell r="M1076" t="str">
            <v>USA</v>
          </cell>
          <cell r="N1076" t="str">
            <v>D</v>
          </cell>
          <cell r="O1076">
            <v>23060210</v>
          </cell>
          <cell r="P1076" t="str">
            <v>DECA BORAX STD 50LB BAG</v>
          </cell>
          <cell r="Q1076" t="str">
            <v>Deca</v>
          </cell>
          <cell r="R1076">
            <v>0.48</v>
          </cell>
          <cell r="S1076">
            <v>149.61000000000001</v>
          </cell>
        </row>
        <row r="1077">
          <cell r="A1077" t="str">
            <v>Budget</v>
          </cell>
          <cell r="B1077">
            <v>2</v>
          </cell>
          <cell r="C1077" t="str">
            <v>Domestic</v>
          </cell>
          <cell r="D1077">
            <v>4</v>
          </cell>
          <cell r="E1077">
            <v>8209</v>
          </cell>
          <cell r="F1077" t="str">
            <v>HARCROS CHEMICAL INC.</v>
          </cell>
          <cell r="G1077" t="str">
            <v>D</v>
          </cell>
          <cell r="H1077" t="str">
            <v>BESSEMER</v>
          </cell>
          <cell r="I1077" t="str">
            <v>AL</v>
          </cell>
          <cell r="J1077" t="str">
            <v>USA</v>
          </cell>
          <cell r="K1077" t="str">
            <v>HARCROS CHEMICAL INC.</v>
          </cell>
          <cell r="L1077" t="str">
            <v>AL</v>
          </cell>
          <cell r="M1077" t="str">
            <v>USA</v>
          </cell>
          <cell r="N1077" t="str">
            <v>D</v>
          </cell>
          <cell r="O1077">
            <v>24030210</v>
          </cell>
          <cell r="P1077" t="str">
            <v>BORIC ACID PWD TECH 50LB BAG</v>
          </cell>
          <cell r="Q1077" t="str">
            <v>Boric Acid</v>
          </cell>
          <cell r="R1077">
            <v>0.95</v>
          </cell>
          <cell r="S1077">
            <v>839.57</v>
          </cell>
        </row>
        <row r="1078">
          <cell r="A1078" t="str">
            <v>Budget</v>
          </cell>
          <cell r="B1078">
            <v>2</v>
          </cell>
          <cell r="C1078" t="str">
            <v>Domestic</v>
          </cell>
          <cell r="D1078">
            <v>4</v>
          </cell>
          <cell r="E1078">
            <v>8209</v>
          </cell>
          <cell r="F1078" t="str">
            <v>HARCROS CHEMICAL INC.</v>
          </cell>
          <cell r="G1078" t="str">
            <v>D</v>
          </cell>
          <cell r="H1078" t="str">
            <v>BESSEMER</v>
          </cell>
          <cell r="I1078" t="str">
            <v>AL</v>
          </cell>
          <cell r="J1078" t="str">
            <v>USA</v>
          </cell>
          <cell r="K1078" t="str">
            <v>HARCROS CHEMICAL INC.</v>
          </cell>
          <cell r="L1078" t="str">
            <v>AL</v>
          </cell>
          <cell r="M1078" t="str">
            <v>USA</v>
          </cell>
          <cell r="N1078" t="str">
            <v>D</v>
          </cell>
          <cell r="O1078">
            <v>24090210</v>
          </cell>
          <cell r="P1078" t="str">
            <v>BORIC ACID GRAN TECH 50LB BAG</v>
          </cell>
          <cell r="Q1078" t="str">
            <v>Boric Acid</v>
          </cell>
          <cell r="R1078">
            <v>2.85</v>
          </cell>
          <cell r="S1078">
            <v>1706.04</v>
          </cell>
        </row>
        <row r="1079">
          <cell r="A1079" t="str">
            <v>Budget</v>
          </cell>
          <cell r="B1079">
            <v>2</v>
          </cell>
          <cell r="C1079" t="str">
            <v>Domestic</v>
          </cell>
          <cell r="D1079">
            <v>4</v>
          </cell>
          <cell r="E1079">
            <v>8390</v>
          </cell>
          <cell r="F1079" t="str">
            <v>RSR</v>
          </cell>
          <cell r="G1079" t="str">
            <v>D</v>
          </cell>
          <cell r="H1079" t="str">
            <v>MIDDLETOWN</v>
          </cell>
          <cell r="I1079" t="str">
            <v>NY</v>
          </cell>
          <cell r="J1079" t="str">
            <v>USA</v>
          </cell>
          <cell r="K1079" t="str">
            <v>QUEMETCO, INC.</v>
          </cell>
          <cell r="L1079" t="str">
            <v>CA</v>
          </cell>
          <cell r="M1079" t="str">
            <v>USA</v>
          </cell>
          <cell r="N1079" t="str">
            <v>C</v>
          </cell>
          <cell r="O1079">
            <v>30219100</v>
          </cell>
          <cell r="P1079" t="str">
            <v>SODA ASH DENSE BULK (091)</v>
          </cell>
          <cell r="Q1079" t="str">
            <v>Soda Ash</v>
          </cell>
          <cell r="R1079">
            <v>1584.7</v>
          </cell>
          <cell r="S1079">
            <v>93671.58</v>
          </cell>
        </row>
        <row r="1080">
          <cell r="A1080" t="str">
            <v>Budget</v>
          </cell>
          <cell r="B1080">
            <v>2</v>
          </cell>
          <cell r="C1080" t="str">
            <v>Domestic</v>
          </cell>
          <cell r="D1080">
            <v>4</v>
          </cell>
          <cell r="E1080">
            <v>8395</v>
          </cell>
          <cell r="F1080" t="str">
            <v>RSR CORPORATION</v>
          </cell>
          <cell r="G1080" t="str">
            <v>D</v>
          </cell>
          <cell r="H1080" t="str">
            <v>INDIANAPOLIS</v>
          </cell>
          <cell r="I1080" t="str">
            <v>IN</v>
          </cell>
          <cell r="J1080" t="str">
            <v>USA</v>
          </cell>
          <cell r="K1080" t="str">
            <v>RSR CORPORATION</v>
          </cell>
          <cell r="L1080" t="str">
            <v>IN</v>
          </cell>
          <cell r="M1080" t="str">
            <v>USA</v>
          </cell>
          <cell r="N1080" t="str">
            <v>C</v>
          </cell>
          <cell r="O1080">
            <v>30219100</v>
          </cell>
          <cell r="P1080" t="str">
            <v>SODA ASH DENSE BULK (091)</v>
          </cell>
          <cell r="Q1080" t="str">
            <v>Soda Ash</v>
          </cell>
          <cell r="R1080">
            <v>1901.64</v>
          </cell>
          <cell r="S1080">
            <v>95557.38</v>
          </cell>
        </row>
        <row r="1081">
          <cell r="A1081" t="str">
            <v>Budget</v>
          </cell>
          <cell r="B1081">
            <v>2</v>
          </cell>
          <cell r="C1081" t="str">
            <v>Domestic</v>
          </cell>
          <cell r="D1081">
            <v>4</v>
          </cell>
          <cell r="E1081">
            <v>8429</v>
          </cell>
          <cell r="F1081" t="str">
            <v>PHELPS DODGE REFINING</v>
          </cell>
          <cell r="G1081" t="str">
            <v>D</v>
          </cell>
          <cell r="H1081" t="str">
            <v>EL PASO</v>
          </cell>
          <cell r="I1081" t="str">
            <v>TX</v>
          </cell>
          <cell r="J1081" t="str">
            <v>USA</v>
          </cell>
          <cell r="K1081" t="str">
            <v>PHELPS DODGE REFINING</v>
          </cell>
          <cell r="L1081" t="str">
            <v>TX</v>
          </cell>
          <cell r="M1081" t="str">
            <v>USA</v>
          </cell>
          <cell r="N1081" t="str">
            <v>D</v>
          </cell>
          <cell r="O1081">
            <v>30210100</v>
          </cell>
          <cell r="P1081" t="str">
            <v>SODA ASH DENSE BULK</v>
          </cell>
          <cell r="Q1081" t="str">
            <v>Soda Ash</v>
          </cell>
          <cell r="R1081">
            <v>39.619999999999997</v>
          </cell>
          <cell r="S1081">
            <v>4296.5200000000004</v>
          </cell>
        </row>
        <row r="1082">
          <cell r="A1082" t="str">
            <v>Budget</v>
          </cell>
          <cell r="B1082">
            <v>2</v>
          </cell>
          <cell r="C1082" t="str">
            <v>Domestic</v>
          </cell>
          <cell r="D1082">
            <v>4</v>
          </cell>
          <cell r="E1082">
            <v>8475</v>
          </cell>
          <cell r="F1082" t="str">
            <v>3 M COMPANY</v>
          </cell>
          <cell r="G1082" t="str">
            <v>D</v>
          </cell>
          <cell r="H1082" t="str">
            <v>BROWNWOOD</v>
          </cell>
          <cell r="I1082" t="str">
            <v>TX</v>
          </cell>
          <cell r="J1082" t="str">
            <v>USA</v>
          </cell>
          <cell r="K1082" t="str">
            <v>3 M COMPANY</v>
          </cell>
          <cell r="L1082" t="str">
            <v>TX</v>
          </cell>
          <cell r="M1082" t="str">
            <v>USA</v>
          </cell>
          <cell r="N1082" t="str">
            <v>C</v>
          </cell>
          <cell r="O1082">
            <v>20310210</v>
          </cell>
          <cell r="P1082" t="str">
            <v>PYROBOR 30/100 50LB BAG (002)</v>
          </cell>
          <cell r="Q1082" t="str">
            <v>Pyrobor</v>
          </cell>
          <cell r="R1082">
            <v>9.83</v>
          </cell>
          <cell r="S1082">
            <v>6710.57</v>
          </cell>
        </row>
        <row r="1083">
          <cell r="A1083" t="str">
            <v>Budget</v>
          </cell>
          <cell r="B1083">
            <v>2</v>
          </cell>
          <cell r="C1083" t="str">
            <v>Domestic</v>
          </cell>
          <cell r="D1083">
            <v>4</v>
          </cell>
          <cell r="E1083">
            <v>8475</v>
          </cell>
          <cell r="F1083" t="str">
            <v>3 M COMPANY</v>
          </cell>
          <cell r="G1083" t="str">
            <v>D</v>
          </cell>
          <cell r="H1083" t="str">
            <v>BROWNWOOD</v>
          </cell>
          <cell r="I1083" t="str">
            <v>TX</v>
          </cell>
          <cell r="J1083" t="str">
            <v>USA</v>
          </cell>
          <cell r="K1083" t="str">
            <v>3 M COMPANY</v>
          </cell>
          <cell r="L1083" t="str">
            <v>TX</v>
          </cell>
          <cell r="M1083" t="str">
            <v>USA</v>
          </cell>
          <cell r="N1083" t="str">
            <v>C</v>
          </cell>
          <cell r="O1083">
            <v>30210110</v>
          </cell>
          <cell r="P1083" t="str">
            <v>SODA ASH DENSE 50LB BAG</v>
          </cell>
          <cell r="Q1083" t="str">
            <v>Soda Ash</v>
          </cell>
          <cell r="R1083">
            <v>5.7</v>
          </cell>
          <cell r="S1083">
            <v>996.14</v>
          </cell>
        </row>
        <row r="1084">
          <cell r="A1084" t="str">
            <v>Budget</v>
          </cell>
          <cell r="B1084">
            <v>2</v>
          </cell>
          <cell r="C1084" t="str">
            <v>Domestic</v>
          </cell>
          <cell r="D1084">
            <v>4</v>
          </cell>
          <cell r="E1084">
            <v>8488</v>
          </cell>
          <cell r="F1084" t="str">
            <v>UNIVAR USA</v>
          </cell>
          <cell r="G1084" t="str">
            <v>D</v>
          </cell>
          <cell r="H1084" t="str">
            <v>MURFREESBORO</v>
          </cell>
          <cell r="I1084" t="str">
            <v>TN</v>
          </cell>
          <cell r="J1084" t="str">
            <v>USA</v>
          </cell>
          <cell r="K1084" t="str">
            <v>UNIVAR USA</v>
          </cell>
          <cell r="L1084" t="str">
            <v>TN</v>
          </cell>
          <cell r="M1084" t="str">
            <v>USA</v>
          </cell>
          <cell r="N1084" t="str">
            <v>D</v>
          </cell>
          <cell r="O1084">
            <v>22060410</v>
          </cell>
          <cell r="P1084" t="str">
            <v>V-BOR 50LB BAG (004)</v>
          </cell>
          <cell r="Q1084" t="str">
            <v>Penta</v>
          </cell>
          <cell r="R1084">
            <v>13.31</v>
          </cell>
          <cell r="S1084">
            <v>4476.03</v>
          </cell>
        </row>
        <row r="1085">
          <cell r="A1085" t="str">
            <v>Budget</v>
          </cell>
          <cell r="B1085">
            <v>2</v>
          </cell>
          <cell r="C1085" t="str">
            <v>Domestic</v>
          </cell>
          <cell r="D1085">
            <v>4</v>
          </cell>
          <cell r="E1085">
            <v>8676</v>
          </cell>
          <cell r="F1085" t="str">
            <v>PERMA-CHINK SYSTEMS, INC.</v>
          </cell>
          <cell r="G1085" t="str">
            <v>D</v>
          </cell>
          <cell r="H1085" t="str">
            <v>KNOXVILLE</v>
          </cell>
          <cell r="I1085" t="str">
            <v>TN</v>
          </cell>
          <cell r="J1085" t="str">
            <v>USA</v>
          </cell>
          <cell r="K1085" t="str">
            <v>PERMA-CHINK SYSTEMS, INC.</v>
          </cell>
          <cell r="L1085" t="str">
            <v>TN</v>
          </cell>
          <cell r="M1085" t="str">
            <v>USA</v>
          </cell>
          <cell r="N1085" t="str">
            <v>C</v>
          </cell>
          <cell r="O1085">
            <v>26769710</v>
          </cell>
          <cell r="P1085" t="str">
            <v>SOD OCTABORATE PEST 50LB BAG</v>
          </cell>
          <cell r="Q1085" t="str">
            <v>Foliarel (SCL)</v>
          </cell>
          <cell r="R1085">
            <v>3.42</v>
          </cell>
          <cell r="S1085">
            <v>3934.21</v>
          </cell>
        </row>
        <row r="1086">
          <cell r="A1086" t="str">
            <v>Budget</v>
          </cell>
          <cell r="B1086">
            <v>2</v>
          </cell>
          <cell r="C1086" t="str">
            <v>Domestic</v>
          </cell>
          <cell r="D1086">
            <v>4</v>
          </cell>
          <cell r="E1086">
            <v>8681</v>
          </cell>
          <cell r="F1086" t="str">
            <v>EKA CHEMICALS-ROME</v>
          </cell>
          <cell r="G1086" t="str">
            <v>D</v>
          </cell>
          <cell r="H1086" t="str">
            <v>ROME</v>
          </cell>
          <cell r="I1086" t="str">
            <v>GA</v>
          </cell>
          <cell r="J1086" t="str">
            <v>USA</v>
          </cell>
          <cell r="K1086" t="str">
            <v>UNIVAR USA</v>
          </cell>
          <cell r="L1086" t="str">
            <v>GA</v>
          </cell>
          <cell r="M1086" t="str">
            <v>USA</v>
          </cell>
          <cell r="N1086" t="str">
            <v>D</v>
          </cell>
          <cell r="O1086">
            <v>30210150</v>
          </cell>
          <cell r="P1086" t="str">
            <v>SODA ASH DENSE 1TN FIBC</v>
          </cell>
          <cell r="Q1086" t="str">
            <v>Soda Ash</v>
          </cell>
          <cell r="R1086">
            <v>13.95</v>
          </cell>
          <cell r="S1086">
            <v>1774.13</v>
          </cell>
        </row>
        <row r="1087">
          <cell r="A1087" t="str">
            <v>Budget</v>
          </cell>
          <cell r="B1087">
            <v>2</v>
          </cell>
          <cell r="C1087" t="str">
            <v>Domestic</v>
          </cell>
          <cell r="D1087">
            <v>4</v>
          </cell>
          <cell r="E1087">
            <v>8798</v>
          </cell>
          <cell r="F1087" t="str">
            <v>CHEVRON ORONITE CO LLC</v>
          </cell>
          <cell r="G1087" t="str">
            <v>D</v>
          </cell>
          <cell r="H1087" t="str">
            <v>BELLE CHASSE</v>
          </cell>
          <cell r="I1087" t="str">
            <v>LA</v>
          </cell>
          <cell r="J1087" t="str">
            <v>USA</v>
          </cell>
          <cell r="K1087" t="str">
            <v>CHEVRON ORONITE CO LLC</v>
          </cell>
          <cell r="L1087" t="str">
            <v>LA</v>
          </cell>
          <cell r="M1087" t="str">
            <v>USA</v>
          </cell>
          <cell r="N1087" t="str">
            <v>C</v>
          </cell>
          <cell r="O1087">
            <v>24090254</v>
          </cell>
          <cell r="P1087" t="str">
            <v>BORIC ACID GRN TCH 2800LB FIBC</v>
          </cell>
          <cell r="Q1087" t="str">
            <v>Boric Acid</v>
          </cell>
          <cell r="R1087">
            <v>62.44</v>
          </cell>
          <cell r="S1087">
            <v>34340.44</v>
          </cell>
        </row>
        <row r="1088">
          <cell r="A1088" t="str">
            <v>Budget</v>
          </cell>
          <cell r="B1088">
            <v>2</v>
          </cell>
          <cell r="C1088" t="str">
            <v>Domestic</v>
          </cell>
          <cell r="D1088">
            <v>4</v>
          </cell>
          <cell r="E1088">
            <v>8798</v>
          </cell>
          <cell r="F1088" t="str">
            <v>CHEVRON ORONITE CO LLC</v>
          </cell>
          <cell r="G1088" t="str">
            <v>D</v>
          </cell>
          <cell r="H1088" t="str">
            <v>BELLE CHASSE</v>
          </cell>
          <cell r="I1088" t="str">
            <v>LA</v>
          </cell>
          <cell r="J1088" t="str">
            <v>USA</v>
          </cell>
          <cell r="K1088" t="str">
            <v>CHEVRON ORONITE CO LLC</v>
          </cell>
          <cell r="L1088" t="str">
            <v>LA</v>
          </cell>
          <cell r="M1088" t="str">
            <v>USA</v>
          </cell>
          <cell r="N1088" t="str">
            <v>C</v>
          </cell>
          <cell r="O1088">
            <v>24090282</v>
          </cell>
          <cell r="P1088" t="str">
            <v>BORIC ACID GRN TCH 2500LB FIBC</v>
          </cell>
          <cell r="Q1088" t="str">
            <v>Boric Acid</v>
          </cell>
          <cell r="R1088">
            <v>26.15</v>
          </cell>
          <cell r="S1088">
            <v>14381.15</v>
          </cell>
        </row>
        <row r="1089">
          <cell r="A1089" t="str">
            <v>Budget</v>
          </cell>
          <cell r="B1089">
            <v>2</v>
          </cell>
          <cell r="C1089" t="str">
            <v>Domestic</v>
          </cell>
          <cell r="D1089">
            <v>4</v>
          </cell>
          <cell r="E1089">
            <v>8798</v>
          </cell>
          <cell r="F1089" t="str">
            <v>CHEVRON ORONITE CO LLC</v>
          </cell>
          <cell r="G1089" t="str">
            <v>D</v>
          </cell>
          <cell r="H1089" t="str">
            <v>BELLE CHASSE</v>
          </cell>
          <cell r="I1089" t="str">
            <v>LA</v>
          </cell>
          <cell r="J1089" t="str">
            <v>USA</v>
          </cell>
          <cell r="K1089" t="str">
            <v>CHEVRON ORONITE CO LLC</v>
          </cell>
          <cell r="L1089" t="str">
            <v>LA</v>
          </cell>
          <cell r="M1089" t="str">
            <v>USA</v>
          </cell>
          <cell r="N1089" t="str">
            <v>C</v>
          </cell>
          <cell r="O1089">
            <v>24090288</v>
          </cell>
          <cell r="P1089" t="str">
            <v>BORIC ACID GRN TCH 1000LB FIBC</v>
          </cell>
          <cell r="Q1089" t="str">
            <v>Boric Acid</v>
          </cell>
          <cell r="R1089">
            <v>10.46</v>
          </cell>
          <cell r="S1089">
            <v>5752.46</v>
          </cell>
        </row>
        <row r="1090">
          <cell r="A1090" t="str">
            <v>Budget</v>
          </cell>
          <cell r="B1090">
            <v>2</v>
          </cell>
          <cell r="C1090" t="str">
            <v>Domestic</v>
          </cell>
          <cell r="D1090">
            <v>4</v>
          </cell>
          <cell r="E1090">
            <v>8825</v>
          </cell>
          <cell r="F1090" t="str">
            <v>UNIVAR USA</v>
          </cell>
          <cell r="G1090" t="str">
            <v>D</v>
          </cell>
          <cell r="H1090" t="str">
            <v>LADSON</v>
          </cell>
          <cell r="I1090" t="str">
            <v>SC</v>
          </cell>
          <cell r="J1090" t="str">
            <v>USA</v>
          </cell>
          <cell r="K1090" t="str">
            <v>UNIVAR USA</v>
          </cell>
          <cell r="L1090" t="str">
            <v>SC</v>
          </cell>
          <cell r="M1090" t="str">
            <v>USA</v>
          </cell>
          <cell r="N1090" t="str">
            <v>D</v>
          </cell>
          <cell r="O1090">
            <v>22060410</v>
          </cell>
          <cell r="P1090" t="str">
            <v>V-BOR 50LB BAG (004)</v>
          </cell>
          <cell r="Q1090" t="str">
            <v>Penta</v>
          </cell>
          <cell r="R1090">
            <v>14.26</v>
          </cell>
          <cell r="S1090">
            <v>4373.95</v>
          </cell>
        </row>
        <row r="1091">
          <cell r="A1091" t="str">
            <v>Budget</v>
          </cell>
          <cell r="B1091">
            <v>2</v>
          </cell>
          <cell r="C1091" t="str">
            <v>Domestic</v>
          </cell>
          <cell r="D1091">
            <v>4</v>
          </cell>
          <cell r="E1091">
            <v>8825</v>
          </cell>
          <cell r="F1091" t="str">
            <v>UNIVAR USA</v>
          </cell>
          <cell r="G1091" t="str">
            <v>D</v>
          </cell>
          <cell r="H1091" t="str">
            <v>LADSON</v>
          </cell>
          <cell r="I1091" t="str">
            <v>SC</v>
          </cell>
          <cell r="J1091" t="str">
            <v>USA</v>
          </cell>
          <cell r="K1091" t="str">
            <v>UNIVAR USA</v>
          </cell>
          <cell r="L1091" t="str">
            <v>SC</v>
          </cell>
          <cell r="M1091" t="str">
            <v>USA</v>
          </cell>
          <cell r="N1091" t="str">
            <v>D</v>
          </cell>
          <cell r="O1091">
            <v>24090210</v>
          </cell>
          <cell r="P1091" t="str">
            <v>BORIC ACID GRAN TECH 50LB BAG</v>
          </cell>
          <cell r="Q1091" t="str">
            <v>Boric Acid</v>
          </cell>
          <cell r="R1091">
            <v>2.85</v>
          </cell>
          <cell r="S1091">
            <v>1629.52</v>
          </cell>
        </row>
        <row r="1092">
          <cell r="A1092" t="str">
            <v>Budget</v>
          </cell>
          <cell r="B1092">
            <v>2</v>
          </cell>
          <cell r="C1092" t="str">
            <v>Domestic</v>
          </cell>
          <cell r="D1092">
            <v>4</v>
          </cell>
          <cell r="E1092">
            <v>8840</v>
          </cell>
          <cell r="F1092" t="str">
            <v>KAY CHEMICAL COMPANY</v>
          </cell>
          <cell r="G1092" t="str">
            <v>D</v>
          </cell>
          <cell r="H1092" t="str">
            <v>GREENSBORO</v>
          </cell>
          <cell r="I1092" t="str">
            <v>NC</v>
          </cell>
          <cell r="J1092" t="str">
            <v>USA</v>
          </cell>
          <cell r="K1092" t="str">
            <v>KAY CHEMICAL COMPANY</v>
          </cell>
          <cell r="L1092" t="str">
            <v>NC</v>
          </cell>
          <cell r="M1092" t="str">
            <v>USA</v>
          </cell>
          <cell r="N1092" t="str">
            <v>C</v>
          </cell>
          <cell r="O1092">
            <v>40060410</v>
          </cell>
          <cell r="P1092" t="str">
            <v>SODIUM SULFATE STD 50LB BAG</v>
          </cell>
          <cell r="Q1092" t="str">
            <v>Sodium Sulfate</v>
          </cell>
          <cell r="R1092">
            <v>190.16</v>
          </cell>
          <cell r="S1092">
            <v>12999.03</v>
          </cell>
        </row>
        <row r="1093">
          <cell r="A1093" t="str">
            <v>Budget</v>
          </cell>
          <cell r="B1093">
            <v>2</v>
          </cell>
          <cell r="C1093" t="str">
            <v>Domestic</v>
          </cell>
          <cell r="D1093">
            <v>4</v>
          </cell>
          <cell r="E1093">
            <v>8902</v>
          </cell>
          <cell r="F1093" t="str">
            <v>HARCROS CHEMICAL INC</v>
          </cell>
          <cell r="G1093" t="str">
            <v>D</v>
          </cell>
          <cell r="H1093" t="str">
            <v>DALLAS</v>
          </cell>
          <cell r="I1093" t="str">
            <v>TX</v>
          </cell>
          <cell r="J1093" t="str">
            <v>USA</v>
          </cell>
          <cell r="K1093" t="str">
            <v>HARCROS CHEMICAL INC</v>
          </cell>
          <cell r="L1093" t="str">
            <v>TX</v>
          </cell>
          <cell r="M1093" t="str">
            <v>USA</v>
          </cell>
          <cell r="N1093" t="str">
            <v>D</v>
          </cell>
          <cell r="O1093">
            <v>22060410</v>
          </cell>
          <cell r="P1093" t="str">
            <v>V-BOR 50LB BAG (004)</v>
          </cell>
          <cell r="Q1093" t="str">
            <v>Penta</v>
          </cell>
          <cell r="R1093">
            <v>1.9</v>
          </cell>
          <cell r="S1093">
            <v>703.09</v>
          </cell>
        </row>
        <row r="1094">
          <cell r="A1094" t="str">
            <v>Budget</v>
          </cell>
          <cell r="B1094">
            <v>2</v>
          </cell>
          <cell r="C1094" t="str">
            <v>Domestic</v>
          </cell>
          <cell r="D1094">
            <v>4</v>
          </cell>
          <cell r="E1094">
            <v>8902</v>
          </cell>
          <cell r="F1094" t="str">
            <v>HARCROS CHEMICAL INC</v>
          </cell>
          <cell r="G1094" t="str">
            <v>D</v>
          </cell>
          <cell r="H1094" t="str">
            <v>DALLAS</v>
          </cell>
          <cell r="I1094" t="str">
            <v>TX</v>
          </cell>
          <cell r="J1094" t="str">
            <v>USA</v>
          </cell>
          <cell r="K1094" t="str">
            <v>HARCROS CHEMICAL INC</v>
          </cell>
          <cell r="L1094" t="str">
            <v>TX</v>
          </cell>
          <cell r="M1094" t="str">
            <v>USA</v>
          </cell>
          <cell r="N1094" t="str">
            <v>D</v>
          </cell>
          <cell r="O1094">
            <v>40060410</v>
          </cell>
          <cell r="P1094" t="str">
            <v>SODIUM SULFATE STD 50LB BAG</v>
          </cell>
          <cell r="Q1094" t="str">
            <v>Sodium Sulfate</v>
          </cell>
          <cell r="R1094">
            <v>15.85</v>
          </cell>
          <cell r="S1094">
            <v>1474.78</v>
          </cell>
        </row>
        <row r="1095">
          <cell r="A1095" t="str">
            <v>Budget</v>
          </cell>
          <cell r="B1095">
            <v>2</v>
          </cell>
          <cell r="C1095" t="str">
            <v>Domestic</v>
          </cell>
          <cell r="D1095">
            <v>4</v>
          </cell>
          <cell r="E1095">
            <v>9035</v>
          </cell>
          <cell r="F1095" t="str">
            <v>TIME PRODUCTS</v>
          </cell>
          <cell r="G1095" t="str">
            <v>D</v>
          </cell>
          <cell r="H1095" t="str">
            <v>ATLANTA</v>
          </cell>
          <cell r="I1095" t="str">
            <v>GA</v>
          </cell>
          <cell r="J1095" t="str">
            <v>USA</v>
          </cell>
          <cell r="K1095" t="str">
            <v>INDUSTRIAL CHEMICAL COMPANY</v>
          </cell>
          <cell r="L1095" t="str">
            <v>AL</v>
          </cell>
          <cell r="M1095" t="str">
            <v>USA</v>
          </cell>
          <cell r="N1095" t="str">
            <v>D</v>
          </cell>
          <cell r="O1095">
            <v>30210100</v>
          </cell>
          <cell r="P1095" t="str">
            <v>SODA ASH DENSE BULK</v>
          </cell>
          <cell r="Q1095" t="str">
            <v>Soda Ash</v>
          </cell>
          <cell r="R1095">
            <v>79.23</v>
          </cell>
          <cell r="S1095">
            <v>5801.58</v>
          </cell>
        </row>
        <row r="1096">
          <cell r="A1096" t="str">
            <v>Budget</v>
          </cell>
          <cell r="B1096">
            <v>2</v>
          </cell>
          <cell r="C1096" t="str">
            <v>Domestic</v>
          </cell>
          <cell r="D1096">
            <v>4</v>
          </cell>
          <cell r="E1096">
            <v>9116</v>
          </cell>
          <cell r="F1096" t="str">
            <v>DOMINION VIRGINIA POWER</v>
          </cell>
          <cell r="G1096" t="str">
            <v>D</v>
          </cell>
          <cell r="H1096" t="str">
            <v>SURRY</v>
          </cell>
          <cell r="I1096" t="str">
            <v>VA</v>
          </cell>
          <cell r="J1096" t="str">
            <v>USA</v>
          </cell>
          <cell r="K1096" t="str">
            <v>DOMINION VIRGINIA POWER</v>
          </cell>
          <cell r="L1096" t="str">
            <v>VA</v>
          </cell>
          <cell r="M1096" t="str">
            <v>USA</v>
          </cell>
          <cell r="N1096" t="str">
            <v>C</v>
          </cell>
          <cell r="O1096">
            <v>24609720</v>
          </cell>
          <cell r="P1096" t="str">
            <v>BORIC ACID NS 25KG BAG</v>
          </cell>
          <cell r="Q1096" t="str">
            <v>HP Boric Acid (SCL)</v>
          </cell>
          <cell r="R1096">
            <v>2.85</v>
          </cell>
          <cell r="S1096">
            <v>4234.8</v>
          </cell>
        </row>
        <row r="1097">
          <cell r="A1097" t="str">
            <v>Budget</v>
          </cell>
          <cell r="B1097">
            <v>2</v>
          </cell>
          <cell r="C1097" t="str">
            <v>Domestic</v>
          </cell>
          <cell r="D1097">
            <v>4</v>
          </cell>
          <cell r="E1097">
            <v>9198</v>
          </cell>
          <cell r="F1097" t="str">
            <v>BRENNTAG SOUTHEAST, INC.</v>
          </cell>
          <cell r="G1097" t="str">
            <v>D</v>
          </cell>
          <cell r="H1097" t="str">
            <v>CHARLOTTE</v>
          </cell>
          <cell r="I1097" t="str">
            <v>NC</v>
          </cell>
          <cell r="J1097" t="str">
            <v>USA</v>
          </cell>
          <cell r="K1097" t="str">
            <v>BRENNTAG SOUTHEAST, INC.</v>
          </cell>
          <cell r="L1097" t="str">
            <v>NC</v>
          </cell>
          <cell r="M1097" t="str">
            <v>USA</v>
          </cell>
          <cell r="N1097" t="str">
            <v>D</v>
          </cell>
          <cell r="O1097">
            <v>22060410</v>
          </cell>
          <cell r="P1097" t="str">
            <v>V-BOR 50LB BAG (004)</v>
          </cell>
          <cell r="Q1097" t="str">
            <v>Penta</v>
          </cell>
          <cell r="R1097">
            <v>3.49</v>
          </cell>
          <cell r="S1097">
            <v>1253.17</v>
          </cell>
        </row>
        <row r="1098">
          <cell r="A1098" t="str">
            <v>Budget</v>
          </cell>
          <cell r="B1098">
            <v>2</v>
          </cell>
          <cell r="C1098" t="str">
            <v>Domestic</v>
          </cell>
          <cell r="D1098">
            <v>4</v>
          </cell>
          <cell r="E1098">
            <v>9439</v>
          </cell>
          <cell r="F1098" t="str">
            <v>STP NUCLEAR OPERATING COMPANY</v>
          </cell>
          <cell r="G1098" t="str">
            <v>D</v>
          </cell>
          <cell r="H1098" t="str">
            <v>WADSWORTH</v>
          </cell>
          <cell r="I1098" t="str">
            <v>TX</v>
          </cell>
          <cell r="J1098" t="str">
            <v>USA</v>
          </cell>
          <cell r="K1098" t="str">
            <v>STP NUCLEAR OPERATING COMPANY</v>
          </cell>
          <cell r="L1098" t="str">
            <v>TX</v>
          </cell>
          <cell r="M1098" t="str">
            <v>USA</v>
          </cell>
          <cell r="O1098">
            <v>24609792</v>
          </cell>
          <cell r="P1098" t="str">
            <v>BORIC ACID NS 150KG DRUM</v>
          </cell>
          <cell r="Q1098" t="str">
            <v>HP Boric Acid (SCL)</v>
          </cell>
          <cell r="R1098">
            <v>4.75</v>
          </cell>
          <cell r="S1098">
            <v>7402.91</v>
          </cell>
        </row>
        <row r="1099">
          <cell r="A1099" t="str">
            <v>Budget</v>
          </cell>
          <cell r="B1099">
            <v>2</v>
          </cell>
          <cell r="C1099" t="str">
            <v>Domestic</v>
          </cell>
          <cell r="D1099">
            <v>4</v>
          </cell>
          <cell r="E1099">
            <v>9440</v>
          </cell>
          <cell r="F1099" t="str">
            <v>HARCROS CHEMICAL INC</v>
          </cell>
          <cell r="G1099" t="str">
            <v>D</v>
          </cell>
          <cell r="H1099" t="str">
            <v>PASADENA</v>
          </cell>
          <cell r="I1099" t="str">
            <v>TX</v>
          </cell>
          <cell r="J1099" t="str">
            <v>USA</v>
          </cell>
          <cell r="K1099" t="str">
            <v>HARCROS CHEMICAL INC</v>
          </cell>
          <cell r="L1099" t="str">
            <v>TX</v>
          </cell>
          <cell r="M1099" t="str">
            <v>USA</v>
          </cell>
          <cell r="N1099" t="str">
            <v>D</v>
          </cell>
          <cell r="O1099">
            <v>40060410</v>
          </cell>
          <cell r="P1099" t="str">
            <v>SODIUM SULFATE STD 50LB BAG</v>
          </cell>
          <cell r="Q1099" t="str">
            <v>Sodium Sulfate</v>
          </cell>
          <cell r="R1099">
            <v>10.1</v>
          </cell>
          <cell r="S1099">
            <v>982.29</v>
          </cell>
        </row>
        <row r="1100">
          <cell r="A1100" t="str">
            <v>Budget</v>
          </cell>
          <cell r="B1100">
            <v>2</v>
          </cell>
          <cell r="C1100" t="str">
            <v>Domestic</v>
          </cell>
          <cell r="D1100">
            <v>4</v>
          </cell>
          <cell r="E1100">
            <v>9452</v>
          </cell>
          <cell r="F1100" t="str">
            <v>FLG INC</v>
          </cell>
          <cell r="G1100" t="str">
            <v>D</v>
          </cell>
          <cell r="H1100" t="str">
            <v>MOULTON</v>
          </cell>
          <cell r="I1100" t="str">
            <v>AL</v>
          </cell>
          <cell r="J1100" t="str">
            <v>USA</v>
          </cell>
          <cell r="K1100" t="str">
            <v>INDUSTRIAL CHEMICAL COMPANY</v>
          </cell>
          <cell r="L1100" t="str">
            <v>AL</v>
          </cell>
          <cell r="M1100" t="str">
            <v>USA</v>
          </cell>
          <cell r="N1100" t="str">
            <v>D</v>
          </cell>
          <cell r="O1100">
            <v>24230250</v>
          </cell>
          <cell r="P1100" t="str">
            <v>BORIC ACID GRAN TECH 1TN FIBC</v>
          </cell>
          <cell r="Q1100" t="str">
            <v>Boric Acid</v>
          </cell>
          <cell r="R1100">
            <v>59.43</v>
          </cell>
          <cell r="S1100">
            <v>24442.639999999999</v>
          </cell>
        </row>
        <row r="1101">
          <cell r="A1101" t="str">
            <v>Budget</v>
          </cell>
          <cell r="B1101">
            <v>2</v>
          </cell>
          <cell r="C1101" t="str">
            <v>Domestic</v>
          </cell>
          <cell r="D1101">
            <v>4</v>
          </cell>
          <cell r="E1101">
            <v>9459</v>
          </cell>
          <cell r="F1101" t="str">
            <v>FRITZ INDUSTRIES INC.</v>
          </cell>
          <cell r="G1101" t="str">
            <v>D</v>
          </cell>
          <cell r="H1101" t="str">
            <v>MESQUITE</v>
          </cell>
          <cell r="I1101" t="str">
            <v>TX</v>
          </cell>
          <cell r="J1101" t="str">
            <v>USA</v>
          </cell>
          <cell r="K1101" t="str">
            <v>FRITZ INDUSTRIES INC.</v>
          </cell>
          <cell r="L1101" t="str">
            <v>TX</v>
          </cell>
          <cell r="M1101" t="str">
            <v>USA</v>
          </cell>
          <cell r="N1101" t="str">
            <v>D</v>
          </cell>
          <cell r="O1101">
            <v>24090210</v>
          </cell>
          <cell r="P1101" t="str">
            <v>BORIC ACID GRAN TECH 50LB BAG</v>
          </cell>
          <cell r="Q1101" t="str">
            <v>Boric Acid</v>
          </cell>
          <cell r="R1101">
            <v>0.95</v>
          </cell>
          <cell r="S1101">
            <v>831.97</v>
          </cell>
        </row>
        <row r="1102">
          <cell r="A1102" t="str">
            <v>Budget</v>
          </cell>
          <cell r="B1102">
            <v>2</v>
          </cell>
          <cell r="C1102" t="str">
            <v>Domestic</v>
          </cell>
          <cell r="D1102">
            <v>4</v>
          </cell>
          <cell r="E1102">
            <v>9459</v>
          </cell>
          <cell r="F1102" t="str">
            <v>FRITZ INDUSTRIES INC.</v>
          </cell>
          <cell r="G1102" t="str">
            <v>D</v>
          </cell>
          <cell r="H1102" t="str">
            <v>MESQUITE</v>
          </cell>
          <cell r="I1102" t="str">
            <v>TX</v>
          </cell>
          <cell r="J1102" t="str">
            <v>USA</v>
          </cell>
          <cell r="K1102" t="str">
            <v>FRITZ INDUSTRIES INC.</v>
          </cell>
          <cell r="L1102" t="str">
            <v>TX</v>
          </cell>
          <cell r="M1102" t="str">
            <v>USA</v>
          </cell>
          <cell r="N1102" t="str">
            <v>D</v>
          </cell>
          <cell r="O1102">
            <v>24150252</v>
          </cell>
          <cell r="P1102" t="str">
            <v>BORIC ACID COARSE 2400LB FIBC</v>
          </cell>
          <cell r="Q1102" t="str">
            <v>Boric Acid</v>
          </cell>
          <cell r="R1102">
            <v>0.95</v>
          </cell>
          <cell r="S1102">
            <v>850.98</v>
          </cell>
        </row>
        <row r="1103">
          <cell r="A1103" t="str">
            <v>Budget</v>
          </cell>
          <cell r="B1103">
            <v>2</v>
          </cell>
          <cell r="C1103" t="str">
            <v>Domestic</v>
          </cell>
          <cell r="D1103">
            <v>4</v>
          </cell>
          <cell r="E1103">
            <v>9519</v>
          </cell>
          <cell r="F1103" t="str">
            <v>NATIONAL GYPSUM</v>
          </cell>
          <cell r="G1103" t="str">
            <v>D</v>
          </cell>
          <cell r="H1103" t="str">
            <v>GARDEN CITY</v>
          </cell>
          <cell r="I1103" t="str">
            <v>GA</v>
          </cell>
          <cell r="J1103" t="str">
            <v>USA</v>
          </cell>
          <cell r="K1103" t="str">
            <v>UNIVAR USA</v>
          </cell>
          <cell r="L1103" t="str">
            <v>GA</v>
          </cell>
          <cell r="M1103" t="str">
            <v>USA</v>
          </cell>
          <cell r="N1103" t="str">
            <v>D</v>
          </cell>
          <cell r="O1103">
            <v>24090210</v>
          </cell>
          <cell r="P1103" t="str">
            <v>BORIC ACID GRAN TECH 50LB BAG</v>
          </cell>
          <cell r="Q1103" t="str">
            <v>Boric Acid</v>
          </cell>
          <cell r="R1103">
            <v>3.49</v>
          </cell>
          <cell r="S1103">
            <v>1947.01</v>
          </cell>
        </row>
        <row r="1104">
          <cell r="A1104" t="str">
            <v>Budget</v>
          </cell>
          <cell r="B1104">
            <v>2</v>
          </cell>
          <cell r="C1104" t="str">
            <v>Domestic</v>
          </cell>
          <cell r="D1104">
            <v>5</v>
          </cell>
          <cell r="E1104">
            <v>5061</v>
          </cell>
          <cell r="F1104" t="str">
            <v>CLINTON UNIVERSAL WAREHOUSE</v>
          </cell>
          <cell r="G1104" t="str">
            <v>D</v>
          </cell>
          <cell r="H1104" t="str">
            <v>NEWARK</v>
          </cell>
          <cell r="I1104" t="str">
            <v>NJ</v>
          </cell>
          <cell r="J1104" t="str">
            <v>USA</v>
          </cell>
          <cell r="K1104" t="str">
            <v>ACS CHEMICAL INC</v>
          </cell>
          <cell r="L1104" t="str">
            <v>NJ</v>
          </cell>
          <cell r="M1104" t="str">
            <v>USA</v>
          </cell>
          <cell r="N1104" t="str">
            <v>C</v>
          </cell>
          <cell r="O1104">
            <v>23619792</v>
          </cell>
          <cell r="P1104" t="str">
            <v>DECA BORAX NS GRAN 150KG DRUM</v>
          </cell>
          <cell r="Q1104" t="str">
            <v>Boric Salt (SCL)</v>
          </cell>
          <cell r="R1104">
            <v>0.16</v>
          </cell>
          <cell r="S1104">
            <v>389.43</v>
          </cell>
        </row>
        <row r="1105">
          <cell r="A1105" t="str">
            <v>Budget</v>
          </cell>
          <cell r="B1105">
            <v>2</v>
          </cell>
          <cell r="C1105" t="str">
            <v>Domestic</v>
          </cell>
          <cell r="D1105">
            <v>5</v>
          </cell>
          <cell r="E1105">
            <v>5101</v>
          </cell>
          <cell r="F1105" t="str">
            <v>CERTAIN-TEED CORP.</v>
          </cell>
          <cell r="G1105" t="str">
            <v>D</v>
          </cell>
          <cell r="H1105" t="str">
            <v>CHOWCHILLA</v>
          </cell>
          <cell r="I1105" t="str">
            <v>CA</v>
          </cell>
          <cell r="J1105" t="str">
            <v>USA</v>
          </cell>
          <cell r="K1105" t="str">
            <v>CERTAIN-TEED CORP.</v>
          </cell>
          <cell r="L1105" t="str">
            <v>CA</v>
          </cell>
          <cell r="M1105" t="str">
            <v>USA</v>
          </cell>
          <cell r="N1105" t="str">
            <v>C</v>
          </cell>
          <cell r="O1105">
            <v>30210100</v>
          </cell>
          <cell r="P1105" t="str">
            <v>SODA ASH DENSE BULK</v>
          </cell>
          <cell r="Q1105" t="str">
            <v>Soda Ash</v>
          </cell>
          <cell r="R1105">
            <v>593.16999999999996</v>
          </cell>
          <cell r="S1105">
            <v>41978.41</v>
          </cell>
        </row>
        <row r="1106">
          <cell r="A1106" t="str">
            <v>Budget</v>
          </cell>
          <cell r="B1106">
            <v>2</v>
          </cell>
          <cell r="C1106" t="str">
            <v>Domestic</v>
          </cell>
          <cell r="D1106">
            <v>5</v>
          </cell>
          <cell r="E1106">
            <v>5101</v>
          </cell>
          <cell r="F1106" t="str">
            <v>CERTAIN-TEED CORP.</v>
          </cell>
          <cell r="G1106" t="str">
            <v>D</v>
          </cell>
          <cell r="H1106" t="str">
            <v>CHOWCHILLA</v>
          </cell>
          <cell r="I1106" t="str">
            <v>CA</v>
          </cell>
          <cell r="J1106" t="str">
            <v>USA</v>
          </cell>
          <cell r="K1106" t="str">
            <v>CERTAIN-TEED CORP.</v>
          </cell>
          <cell r="L1106" t="str">
            <v>CA</v>
          </cell>
          <cell r="M1106" t="str">
            <v>USA</v>
          </cell>
          <cell r="N1106" t="str">
            <v>C</v>
          </cell>
          <cell r="O1106">
            <v>40150400</v>
          </cell>
          <cell r="P1106" t="str">
            <v>SODIUM SULFATE COARSE BULK</v>
          </cell>
          <cell r="Q1106" t="str">
            <v>Sodium Sulfate</v>
          </cell>
          <cell r="R1106">
            <v>21.66</v>
          </cell>
          <cell r="S1106">
            <v>3020.19</v>
          </cell>
        </row>
        <row r="1107">
          <cell r="A1107" t="str">
            <v>Budget</v>
          </cell>
          <cell r="B1107">
            <v>2</v>
          </cell>
          <cell r="C1107" t="str">
            <v>Domestic</v>
          </cell>
          <cell r="D1107">
            <v>5</v>
          </cell>
          <cell r="E1107">
            <v>5111</v>
          </cell>
          <cell r="F1107" t="str">
            <v>MALLINCKRODT BAKER, INC.</v>
          </cell>
          <cell r="G1107" t="str">
            <v>D</v>
          </cell>
          <cell r="H1107" t="str">
            <v>PARIS</v>
          </cell>
          <cell r="I1107" t="str">
            <v>KY</v>
          </cell>
          <cell r="J1107" t="str">
            <v>USA</v>
          </cell>
          <cell r="K1107" t="str">
            <v>MALLINCKRODT BAKER, INC</v>
          </cell>
          <cell r="L1107" t="str">
            <v>KY</v>
          </cell>
          <cell r="M1107" t="str">
            <v>USA</v>
          </cell>
          <cell r="N1107" t="str">
            <v>C</v>
          </cell>
          <cell r="O1107">
            <v>24629792</v>
          </cell>
          <cell r="P1107" t="str">
            <v>BORIC ACID EP GRAN 150KG DRUM</v>
          </cell>
          <cell r="Q1107" t="str">
            <v>HP Boric Acid (SCL)</v>
          </cell>
          <cell r="R1107">
            <v>9.11</v>
          </cell>
          <cell r="S1107">
            <v>5244.61</v>
          </cell>
        </row>
        <row r="1108">
          <cell r="A1108" t="str">
            <v>Budget</v>
          </cell>
          <cell r="B1108">
            <v>2</v>
          </cell>
          <cell r="C1108" t="str">
            <v>Domestic</v>
          </cell>
          <cell r="D1108">
            <v>5</v>
          </cell>
          <cell r="E1108">
            <v>5194</v>
          </cell>
          <cell r="F1108" t="str">
            <v>ALDEN LEEDS</v>
          </cell>
          <cell r="G1108" t="str">
            <v>D</v>
          </cell>
          <cell r="H1108" t="str">
            <v>SOUTH KEARNY</v>
          </cell>
          <cell r="I1108" t="str">
            <v>NJ</v>
          </cell>
          <cell r="J1108" t="str">
            <v>USA</v>
          </cell>
          <cell r="K1108" t="str">
            <v>VECKRIDGE CHEMICAL COMPANY</v>
          </cell>
          <cell r="L1108" t="str">
            <v>NJ</v>
          </cell>
          <cell r="M1108" t="str">
            <v>USA</v>
          </cell>
          <cell r="N1108" t="str">
            <v>D</v>
          </cell>
          <cell r="O1108">
            <v>22060410</v>
          </cell>
          <cell r="P1108" t="str">
            <v>V-BOR 50LB BAG (004)</v>
          </cell>
          <cell r="Q1108" t="str">
            <v>Penta</v>
          </cell>
          <cell r="R1108">
            <v>3.49</v>
          </cell>
          <cell r="S1108">
            <v>1127.73</v>
          </cell>
        </row>
        <row r="1109">
          <cell r="A1109" t="str">
            <v>Budget</v>
          </cell>
          <cell r="B1109">
            <v>2</v>
          </cell>
          <cell r="C1109" t="str">
            <v>Domestic</v>
          </cell>
          <cell r="D1109">
            <v>5</v>
          </cell>
          <cell r="E1109">
            <v>5194</v>
          </cell>
          <cell r="F1109" t="str">
            <v>ALDEN LEEDS</v>
          </cell>
          <cell r="G1109" t="str">
            <v>D</v>
          </cell>
          <cell r="H1109" t="str">
            <v>SOUTH KEARNY</v>
          </cell>
          <cell r="I1109" t="str">
            <v>NJ</v>
          </cell>
          <cell r="J1109" t="str">
            <v>USA</v>
          </cell>
          <cell r="K1109" t="str">
            <v>VECKRIDGE CHEMICAL COMPANY</v>
          </cell>
          <cell r="L1109" t="str">
            <v>NJ</v>
          </cell>
          <cell r="M1109" t="str">
            <v>USA</v>
          </cell>
          <cell r="N1109" t="str">
            <v>D</v>
          </cell>
          <cell r="O1109">
            <v>24030210</v>
          </cell>
          <cell r="P1109" t="str">
            <v>BORIC ACID PWD TECH 50LB BAG</v>
          </cell>
          <cell r="Q1109" t="str">
            <v>Boric Acid</v>
          </cell>
          <cell r="R1109">
            <v>1.33</v>
          </cell>
          <cell r="S1109">
            <v>735.8</v>
          </cell>
        </row>
        <row r="1110">
          <cell r="A1110" t="str">
            <v>Budget</v>
          </cell>
          <cell r="B1110">
            <v>2</v>
          </cell>
          <cell r="C1110" t="str">
            <v>Domestic</v>
          </cell>
          <cell r="D1110">
            <v>5</v>
          </cell>
          <cell r="E1110">
            <v>5194</v>
          </cell>
          <cell r="F1110" t="str">
            <v>ALDEN LEEDS</v>
          </cell>
          <cell r="G1110" t="str">
            <v>D</v>
          </cell>
          <cell r="H1110" t="str">
            <v>SOUTH KEARNY</v>
          </cell>
          <cell r="I1110" t="str">
            <v>NJ</v>
          </cell>
          <cell r="J1110" t="str">
            <v>USA</v>
          </cell>
          <cell r="K1110" t="str">
            <v>VECKRIDGE CHEMICAL COMPANY</v>
          </cell>
          <cell r="L1110" t="str">
            <v>NJ</v>
          </cell>
          <cell r="M1110" t="str">
            <v>USA</v>
          </cell>
          <cell r="N1110" t="str">
            <v>D</v>
          </cell>
          <cell r="O1110">
            <v>24090210</v>
          </cell>
          <cell r="P1110" t="str">
            <v>BORIC ACID GRAN TECH 50LB BAG</v>
          </cell>
          <cell r="Q1110" t="str">
            <v>Boric Acid</v>
          </cell>
          <cell r="R1110">
            <v>2.14</v>
          </cell>
          <cell r="S1110">
            <v>1003.1</v>
          </cell>
        </row>
        <row r="1111">
          <cell r="A1111" t="str">
            <v>Budget</v>
          </cell>
          <cell r="B1111">
            <v>2</v>
          </cell>
          <cell r="C1111" t="str">
            <v>Domestic</v>
          </cell>
          <cell r="D1111">
            <v>5</v>
          </cell>
          <cell r="E1111">
            <v>5324</v>
          </cell>
          <cell r="F1111" t="str">
            <v>PPG INDUSTRIES, INC.</v>
          </cell>
          <cell r="G1111" t="str">
            <v>D</v>
          </cell>
          <cell r="H1111" t="str">
            <v>FRESNO</v>
          </cell>
          <cell r="I1111" t="str">
            <v>CA</v>
          </cell>
          <cell r="J1111" t="str">
            <v>USA</v>
          </cell>
          <cell r="K1111" t="str">
            <v>PPG INDUSTRIES, INC.</v>
          </cell>
          <cell r="L1111" t="str">
            <v>CA</v>
          </cell>
          <cell r="M1111" t="str">
            <v>USA</v>
          </cell>
          <cell r="N1111" t="str">
            <v>C</v>
          </cell>
          <cell r="O1111">
            <v>40160400</v>
          </cell>
          <cell r="P1111" t="str">
            <v>SODIUM SULFATE PREMIUM BULK</v>
          </cell>
          <cell r="Q1111" t="str">
            <v>Sodium Sulfate</v>
          </cell>
          <cell r="R1111">
            <v>30</v>
          </cell>
          <cell r="S1111">
            <v>2935.65</v>
          </cell>
        </row>
        <row r="1112">
          <cell r="A1112" t="str">
            <v>Budget</v>
          </cell>
          <cell r="B1112">
            <v>2</v>
          </cell>
          <cell r="C1112" t="str">
            <v>Domestic</v>
          </cell>
          <cell r="D1112">
            <v>5</v>
          </cell>
          <cell r="E1112">
            <v>5374</v>
          </cell>
          <cell r="F1112" t="str">
            <v>BRENNTAG NORTHEAST, INC.</v>
          </cell>
          <cell r="G1112" t="str">
            <v>D</v>
          </cell>
          <cell r="H1112" t="str">
            <v>READING</v>
          </cell>
          <cell r="I1112" t="str">
            <v>PA</v>
          </cell>
          <cell r="J1112" t="str">
            <v>USA</v>
          </cell>
          <cell r="K1112" t="str">
            <v>BRENNTAG NORTHEAST, INC.</v>
          </cell>
          <cell r="L1112" t="str">
            <v>PA</v>
          </cell>
          <cell r="M1112" t="str">
            <v>USA</v>
          </cell>
          <cell r="N1112" t="str">
            <v>D</v>
          </cell>
          <cell r="O1112">
            <v>22060410</v>
          </cell>
          <cell r="P1112" t="str">
            <v>V-BOR 50LB BAG (004)</v>
          </cell>
          <cell r="Q1112" t="str">
            <v>Penta</v>
          </cell>
          <cell r="R1112">
            <v>19.809999999999999</v>
          </cell>
          <cell r="S1112">
            <v>6933.06</v>
          </cell>
        </row>
        <row r="1113">
          <cell r="A1113" t="str">
            <v>Budget</v>
          </cell>
          <cell r="B1113">
            <v>2</v>
          </cell>
          <cell r="C1113" t="str">
            <v>Domestic</v>
          </cell>
          <cell r="D1113">
            <v>5</v>
          </cell>
          <cell r="E1113">
            <v>5374</v>
          </cell>
          <cell r="F1113" t="str">
            <v>BRENNTAG NORTHEAST, INC.</v>
          </cell>
          <cell r="G1113" t="str">
            <v>D</v>
          </cell>
          <cell r="H1113" t="str">
            <v>READING</v>
          </cell>
          <cell r="I1113" t="str">
            <v>PA</v>
          </cell>
          <cell r="J1113" t="str">
            <v>USA</v>
          </cell>
          <cell r="K1113" t="str">
            <v>BRENNTAG NORTHEAST, INC.</v>
          </cell>
          <cell r="L1113" t="str">
            <v>PA</v>
          </cell>
          <cell r="M1113" t="str">
            <v>USA</v>
          </cell>
          <cell r="N1113" t="str">
            <v>D</v>
          </cell>
          <cell r="O1113">
            <v>24090210</v>
          </cell>
          <cell r="P1113" t="str">
            <v>BORIC ACID GRAN TECH 50LB BAG</v>
          </cell>
          <cell r="Q1113" t="str">
            <v>Boric Acid</v>
          </cell>
          <cell r="R1113">
            <v>19.809999999999999</v>
          </cell>
          <cell r="S1113">
            <v>13172.81</v>
          </cell>
        </row>
        <row r="1114">
          <cell r="A1114" t="str">
            <v>Budget</v>
          </cell>
          <cell r="B1114">
            <v>2</v>
          </cell>
          <cell r="C1114" t="str">
            <v>Domestic</v>
          </cell>
          <cell r="D1114">
            <v>5</v>
          </cell>
          <cell r="E1114">
            <v>5399</v>
          </cell>
          <cell r="F1114" t="str">
            <v>VECKRIDGE CHEMICAL COMPANY</v>
          </cell>
          <cell r="G1114" t="str">
            <v>D</v>
          </cell>
          <cell r="H1114" t="str">
            <v>SOUTH KEARNY</v>
          </cell>
          <cell r="I1114" t="str">
            <v>NJ</v>
          </cell>
          <cell r="J1114" t="str">
            <v>USA</v>
          </cell>
          <cell r="K1114" t="str">
            <v>VECKRIDGE CHEMICAL COMPANY</v>
          </cell>
          <cell r="L1114" t="str">
            <v>NJ</v>
          </cell>
          <cell r="M1114" t="str">
            <v>USA</v>
          </cell>
          <cell r="N1114" t="str">
            <v>D</v>
          </cell>
          <cell r="O1114">
            <v>22060410</v>
          </cell>
          <cell r="P1114" t="str">
            <v>V-BOR 50LB BAG (004)</v>
          </cell>
          <cell r="Q1114" t="str">
            <v>Penta</v>
          </cell>
          <cell r="R1114">
            <v>1.94</v>
          </cell>
          <cell r="S1114">
            <v>717.74</v>
          </cell>
        </row>
        <row r="1115">
          <cell r="A1115" t="str">
            <v>Budget</v>
          </cell>
          <cell r="B1115">
            <v>2</v>
          </cell>
          <cell r="C1115" t="str">
            <v>Domestic</v>
          </cell>
          <cell r="D1115">
            <v>5</v>
          </cell>
          <cell r="E1115">
            <v>5399</v>
          </cell>
          <cell r="F1115" t="str">
            <v>VECKRIDGE CHEMICAL COMPANY</v>
          </cell>
          <cell r="G1115" t="str">
            <v>D</v>
          </cell>
          <cell r="H1115" t="str">
            <v>SOUTH KEARNY</v>
          </cell>
          <cell r="I1115" t="str">
            <v>NJ</v>
          </cell>
          <cell r="J1115" t="str">
            <v>USA</v>
          </cell>
          <cell r="K1115" t="str">
            <v>VECKRIDGE CHEMICAL COMPANY</v>
          </cell>
          <cell r="L1115" t="str">
            <v>NJ</v>
          </cell>
          <cell r="M1115" t="str">
            <v>USA</v>
          </cell>
          <cell r="N1115" t="str">
            <v>D</v>
          </cell>
          <cell r="O1115">
            <v>23060210</v>
          </cell>
          <cell r="P1115" t="str">
            <v>DECA BORAX STD 50LB BAG</v>
          </cell>
          <cell r="Q1115" t="str">
            <v>Deca</v>
          </cell>
          <cell r="R1115">
            <v>3.11</v>
          </cell>
          <cell r="S1115">
            <v>1046.21</v>
          </cell>
        </row>
        <row r="1116">
          <cell r="A1116" t="str">
            <v>Budget</v>
          </cell>
          <cell r="B1116">
            <v>2</v>
          </cell>
          <cell r="C1116" t="str">
            <v>Domestic</v>
          </cell>
          <cell r="D1116">
            <v>5</v>
          </cell>
          <cell r="E1116">
            <v>5399</v>
          </cell>
          <cell r="F1116" t="str">
            <v>VECKRIDGE CHEMICAL COMPANY</v>
          </cell>
          <cell r="G1116" t="str">
            <v>D</v>
          </cell>
          <cell r="H1116" t="str">
            <v>SOUTH KEARNY</v>
          </cell>
          <cell r="I1116" t="str">
            <v>NJ</v>
          </cell>
          <cell r="J1116" t="str">
            <v>USA</v>
          </cell>
          <cell r="K1116" t="str">
            <v>VECKRIDGE CHEMICAL COMPANY</v>
          </cell>
          <cell r="L1116" t="str">
            <v>NJ</v>
          </cell>
          <cell r="M1116" t="str">
            <v>USA</v>
          </cell>
          <cell r="N1116" t="str">
            <v>D</v>
          </cell>
          <cell r="O1116">
            <v>24090210</v>
          </cell>
          <cell r="P1116" t="str">
            <v>BORIC ACID GRAN TECH 50LB BAG</v>
          </cell>
          <cell r="Q1116" t="str">
            <v>Boric Acid</v>
          </cell>
          <cell r="R1116">
            <v>5.44</v>
          </cell>
          <cell r="S1116">
            <v>2879.08</v>
          </cell>
        </row>
        <row r="1117">
          <cell r="A1117" t="str">
            <v>Budget</v>
          </cell>
          <cell r="B1117">
            <v>2</v>
          </cell>
          <cell r="C1117" t="str">
            <v>Domestic</v>
          </cell>
          <cell r="D1117">
            <v>5</v>
          </cell>
          <cell r="E1117">
            <v>5521</v>
          </cell>
          <cell r="F1117" t="str">
            <v>MID-CONTINENT PACKAGI</v>
          </cell>
          <cell r="G1117" t="str">
            <v>D</v>
          </cell>
          <cell r="H1117" t="str">
            <v>ENID</v>
          </cell>
          <cell r="I1117" t="str">
            <v>OK</v>
          </cell>
          <cell r="J1117" t="str">
            <v>USA</v>
          </cell>
          <cell r="K1117" t="str">
            <v>VECKRIDGE CHEMICAL COMPANY</v>
          </cell>
          <cell r="L1117" t="str">
            <v>NJ</v>
          </cell>
          <cell r="M1117" t="str">
            <v>USA</v>
          </cell>
          <cell r="N1117" t="str">
            <v>D</v>
          </cell>
          <cell r="O1117">
            <v>22060410</v>
          </cell>
          <cell r="P1117" t="str">
            <v>V-BOR 50LB BAG (004)</v>
          </cell>
          <cell r="Q1117" t="str">
            <v>Penta</v>
          </cell>
          <cell r="R1117">
            <v>3.49</v>
          </cell>
          <cell r="S1117">
            <v>1188.3</v>
          </cell>
        </row>
        <row r="1118">
          <cell r="A1118" t="str">
            <v>Budget</v>
          </cell>
          <cell r="B1118">
            <v>2</v>
          </cell>
          <cell r="C1118" t="str">
            <v>Domestic</v>
          </cell>
          <cell r="D1118">
            <v>5</v>
          </cell>
          <cell r="E1118">
            <v>5549</v>
          </cell>
          <cell r="F1118" t="str">
            <v>FUSION CERAMICS</v>
          </cell>
          <cell r="G1118" t="str">
            <v>D</v>
          </cell>
          <cell r="H1118" t="str">
            <v>CARROLLTON</v>
          </cell>
          <cell r="I1118" t="str">
            <v>OH</v>
          </cell>
          <cell r="J1118" t="str">
            <v>USA</v>
          </cell>
          <cell r="K1118" t="str">
            <v>UNIVAR USA</v>
          </cell>
          <cell r="L1118" t="str">
            <v>PA</v>
          </cell>
          <cell r="M1118" t="str">
            <v>USA</v>
          </cell>
          <cell r="N1118" t="str">
            <v>D</v>
          </cell>
          <cell r="O1118">
            <v>20060210</v>
          </cell>
          <cell r="P1118" t="str">
            <v>PYROBOR 50LB BAG (002)</v>
          </cell>
          <cell r="Q1118" t="str">
            <v>Pyrobor</v>
          </cell>
          <cell r="R1118">
            <v>20.190000000000001</v>
          </cell>
          <cell r="S1118">
            <v>10810.03</v>
          </cell>
        </row>
        <row r="1119">
          <cell r="A1119" t="str">
            <v>Budget</v>
          </cell>
          <cell r="B1119">
            <v>2</v>
          </cell>
          <cell r="C1119" t="str">
            <v>Domestic</v>
          </cell>
          <cell r="D1119">
            <v>5</v>
          </cell>
          <cell r="E1119">
            <v>5591</v>
          </cell>
          <cell r="F1119" t="str">
            <v>WYNCO, LLC</v>
          </cell>
          <cell r="G1119" t="str">
            <v>D</v>
          </cell>
          <cell r="H1119" t="str">
            <v>NACOGDOCHES</v>
          </cell>
          <cell r="I1119" t="str">
            <v>TX</v>
          </cell>
          <cell r="J1119" t="str">
            <v>USA</v>
          </cell>
          <cell r="K1119" t="str">
            <v>SCHERING-PLOUGH ANIMAL HEALTH</v>
          </cell>
          <cell r="L1119" t="str">
            <v>NE</v>
          </cell>
          <cell r="M1119" t="str">
            <v>USA</v>
          </cell>
          <cell r="N1119" t="str">
            <v>D</v>
          </cell>
          <cell r="O1119">
            <v>24740211</v>
          </cell>
          <cell r="P1119" t="str">
            <v>BORIC ACID PWD PEST W/TCP SAFE</v>
          </cell>
          <cell r="Q1119" t="str">
            <v>Boric Acid</v>
          </cell>
          <cell r="R1119">
            <v>3.57</v>
          </cell>
          <cell r="S1119">
            <v>2852.46</v>
          </cell>
        </row>
        <row r="1120">
          <cell r="A1120" t="str">
            <v>Budget</v>
          </cell>
          <cell r="B1120">
            <v>2</v>
          </cell>
          <cell r="C1120" t="str">
            <v>Domestic</v>
          </cell>
          <cell r="D1120">
            <v>5</v>
          </cell>
          <cell r="E1120">
            <v>6050</v>
          </cell>
          <cell r="F1120" t="str">
            <v>ATLANTIC METALS CORPORATION</v>
          </cell>
          <cell r="G1120" t="str">
            <v>D</v>
          </cell>
          <cell r="H1120" t="str">
            <v>PHILADELPHIA</v>
          </cell>
          <cell r="I1120" t="str">
            <v>PA</v>
          </cell>
          <cell r="J1120" t="str">
            <v>USA</v>
          </cell>
          <cell r="K1120" t="str">
            <v>ATLANTIC METALS CORPORATION</v>
          </cell>
          <cell r="L1120" t="str">
            <v>PA</v>
          </cell>
          <cell r="M1120" t="str">
            <v>USA</v>
          </cell>
          <cell r="N1120" t="str">
            <v>C</v>
          </cell>
          <cell r="O1120">
            <v>20060254</v>
          </cell>
          <cell r="P1120" t="str">
            <v>PYROBOR 2800LB FIBC (002)</v>
          </cell>
          <cell r="Q1120" t="str">
            <v>Pyrobor</v>
          </cell>
          <cell r="R1120">
            <v>3.55</v>
          </cell>
          <cell r="S1120">
            <v>2477.63</v>
          </cell>
        </row>
        <row r="1121">
          <cell r="A1121" t="str">
            <v>Budget</v>
          </cell>
          <cell r="B1121">
            <v>2</v>
          </cell>
          <cell r="C1121" t="str">
            <v>Domestic</v>
          </cell>
          <cell r="D1121">
            <v>5</v>
          </cell>
          <cell r="E1121">
            <v>6092</v>
          </cell>
          <cell r="F1121" t="str">
            <v>QUADRA CHEMICALS (WESTERN) LTD</v>
          </cell>
          <cell r="G1121" t="str">
            <v>D</v>
          </cell>
          <cell r="H1121" t="str">
            <v>DELTA</v>
          </cell>
          <cell r="I1121" t="str">
            <v>BC</v>
          </cell>
          <cell r="J1121" t="str">
            <v>CAN</v>
          </cell>
          <cell r="K1121" t="str">
            <v>QUADRA CHEMICALS (WESTERN) LTD</v>
          </cell>
          <cell r="L1121" t="str">
            <v>BC</v>
          </cell>
          <cell r="M1121" t="str">
            <v>CAN</v>
          </cell>
          <cell r="N1121" t="str">
            <v>D</v>
          </cell>
          <cell r="O1121">
            <v>20060210</v>
          </cell>
          <cell r="P1121" t="str">
            <v>PYROBOR 50LB BAG (002)</v>
          </cell>
          <cell r="Q1121" t="str">
            <v>Pyrobor</v>
          </cell>
          <cell r="R1121">
            <v>5.05</v>
          </cell>
          <cell r="S1121">
            <v>3944.25</v>
          </cell>
        </row>
        <row r="1122">
          <cell r="A1122" t="str">
            <v>Budget</v>
          </cell>
          <cell r="B1122">
            <v>2</v>
          </cell>
          <cell r="C1122" t="str">
            <v>Domestic</v>
          </cell>
          <cell r="D1122">
            <v>5</v>
          </cell>
          <cell r="E1122">
            <v>6092</v>
          </cell>
          <cell r="F1122" t="str">
            <v>QUADRA CHEMICALS (WESTERN) LTD</v>
          </cell>
          <cell r="G1122" t="str">
            <v>D</v>
          </cell>
          <cell r="H1122" t="str">
            <v>DELTA</v>
          </cell>
          <cell r="I1122" t="str">
            <v>BC</v>
          </cell>
          <cell r="J1122" t="str">
            <v>CAN</v>
          </cell>
          <cell r="K1122" t="str">
            <v>QUADRA CHEMICALS (WESTERN) LTD</v>
          </cell>
          <cell r="L1122" t="str">
            <v>BC</v>
          </cell>
          <cell r="M1122" t="str">
            <v>CAN</v>
          </cell>
          <cell r="N1122" t="str">
            <v>D</v>
          </cell>
          <cell r="O1122">
            <v>22060410</v>
          </cell>
          <cell r="P1122" t="str">
            <v>V-BOR 50LB BAG (004)</v>
          </cell>
          <cell r="Q1122" t="str">
            <v>Penta</v>
          </cell>
          <cell r="R1122">
            <v>8.5399999999999991</v>
          </cell>
          <cell r="S1122">
            <v>2904.12</v>
          </cell>
        </row>
        <row r="1123">
          <cell r="A1123" t="str">
            <v>Budget</v>
          </cell>
          <cell r="B1123">
            <v>2</v>
          </cell>
          <cell r="C1123" t="str">
            <v>Domestic</v>
          </cell>
          <cell r="D1123">
            <v>5</v>
          </cell>
          <cell r="E1123">
            <v>6092</v>
          </cell>
          <cell r="F1123" t="str">
            <v>QUADRA CHEMICALS (WESTERN) LTD</v>
          </cell>
          <cell r="G1123" t="str">
            <v>D</v>
          </cell>
          <cell r="H1123" t="str">
            <v>DELTA</v>
          </cell>
          <cell r="I1123" t="str">
            <v>BC</v>
          </cell>
          <cell r="J1123" t="str">
            <v>CAN</v>
          </cell>
          <cell r="K1123" t="str">
            <v>QUADRA CHEMICALS (WESTERN) LTD</v>
          </cell>
          <cell r="L1123" t="str">
            <v>BC</v>
          </cell>
          <cell r="M1123" t="str">
            <v>CAN</v>
          </cell>
          <cell r="N1123" t="str">
            <v>D</v>
          </cell>
          <cell r="O1123">
            <v>40060410</v>
          </cell>
          <cell r="P1123" t="str">
            <v>SODIUM SULFATE STD 50LB BAG</v>
          </cell>
          <cell r="Q1123" t="str">
            <v>Sodium Sulfate</v>
          </cell>
          <cell r="R1123">
            <v>0.4</v>
          </cell>
          <cell r="S1123">
            <v>101.02</v>
          </cell>
        </row>
        <row r="1124">
          <cell r="A1124" t="str">
            <v>Budget</v>
          </cell>
          <cell r="B1124">
            <v>2</v>
          </cell>
          <cell r="C1124" t="str">
            <v>Domestic</v>
          </cell>
          <cell r="D1124">
            <v>5</v>
          </cell>
          <cell r="E1124">
            <v>6093</v>
          </cell>
          <cell r="F1124" t="str">
            <v>PEMCO CORPORATION</v>
          </cell>
          <cell r="G1124" t="str">
            <v>D</v>
          </cell>
          <cell r="H1124" t="str">
            <v>BALTIMORE</v>
          </cell>
          <cell r="I1124" t="str">
            <v>MD</v>
          </cell>
          <cell r="J1124" t="str">
            <v>USA</v>
          </cell>
          <cell r="K1124" t="str">
            <v>PEMCO CORPORATION</v>
          </cell>
          <cell r="L1124" t="str">
            <v>MD</v>
          </cell>
          <cell r="M1124" t="str">
            <v>USA</v>
          </cell>
          <cell r="N1124" t="str">
            <v>C</v>
          </cell>
          <cell r="O1124">
            <v>20060200</v>
          </cell>
          <cell r="P1124" t="str">
            <v>PYROBOR ANHY BORAX BULK (002)</v>
          </cell>
          <cell r="Q1124" t="str">
            <v>Pyrobor</v>
          </cell>
          <cell r="R1124">
            <v>314.93</v>
          </cell>
          <cell r="S1124">
            <v>146648.9</v>
          </cell>
        </row>
        <row r="1125">
          <cell r="A1125" t="str">
            <v>Budget</v>
          </cell>
          <cell r="B1125">
            <v>2</v>
          </cell>
          <cell r="C1125" t="str">
            <v>Domestic</v>
          </cell>
          <cell r="D1125">
            <v>5</v>
          </cell>
          <cell r="E1125">
            <v>6129</v>
          </cell>
          <cell r="F1125" t="str">
            <v>GAF CORPORATION</v>
          </cell>
          <cell r="G1125" t="str">
            <v>D</v>
          </cell>
          <cell r="H1125" t="str">
            <v>NASHVILLE</v>
          </cell>
          <cell r="I1125" t="str">
            <v>TN</v>
          </cell>
          <cell r="J1125" t="str">
            <v>USA</v>
          </cell>
          <cell r="K1125" t="str">
            <v>GAF CORPORATION</v>
          </cell>
          <cell r="L1125" t="str">
            <v>TN</v>
          </cell>
          <cell r="M1125" t="str">
            <v>USA</v>
          </cell>
          <cell r="N1125" t="str">
            <v>C</v>
          </cell>
          <cell r="O1125">
            <v>24090200</v>
          </cell>
          <cell r="P1125" t="str">
            <v>BORIC ACID GRAN TECH BULK</v>
          </cell>
          <cell r="Q1125" t="str">
            <v>Boric Acid</v>
          </cell>
          <cell r="R1125">
            <v>396.17</v>
          </cell>
          <cell r="S1125">
            <v>138661.20000000001</v>
          </cell>
        </row>
        <row r="1126">
          <cell r="A1126" t="str">
            <v>Budget</v>
          </cell>
          <cell r="B1126">
            <v>2</v>
          </cell>
          <cell r="C1126" t="str">
            <v>Domestic</v>
          </cell>
          <cell r="D1126">
            <v>5</v>
          </cell>
          <cell r="E1126">
            <v>6219</v>
          </cell>
          <cell r="F1126" t="str">
            <v>ASTRO CHEMICALS INC</v>
          </cell>
          <cell r="G1126" t="str">
            <v>D</v>
          </cell>
          <cell r="H1126" t="str">
            <v>SPRINGFIELD</v>
          </cell>
          <cell r="I1126" t="str">
            <v>MA</v>
          </cell>
          <cell r="J1126" t="str">
            <v>USA</v>
          </cell>
          <cell r="K1126" t="str">
            <v>ASTRO CHEMICALS INC</v>
          </cell>
          <cell r="L1126" t="str">
            <v>MA</v>
          </cell>
          <cell r="M1126" t="str">
            <v>USA</v>
          </cell>
          <cell r="N1126" t="str">
            <v>D</v>
          </cell>
          <cell r="O1126">
            <v>22060410</v>
          </cell>
          <cell r="P1126" t="str">
            <v>V-BOR 50LB BAG (004)</v>
          </cell>
          <cell r="Q1126" t="str">
            <v>Penta</v>
          </cell>
          <cell r="R1126">
            <v>7.96</v>
          </cell>
          <cell r="S1126">
            <v>2978.42</v>
          </cell>
        </row>
        <row r="1127">
          <cell r="A1127" t="str">
            <v>Budget</v>
          </cell>
          <cell r="B1127">
            <v>2</v>
          </cell>
          <cell r="C1127" t="str">
            <v>Domestic</v>
          </cell>
          <cell r="D1127">
            <v>5</v>
          </cell>
          <cell r="E1127">
            <v>6219</v>
          </cell>
          <cell r="F1127" t="str">
            <v>ASTRO CHEMICALS INC</v>
          </cell>
          <cell r="G1127" t="str">
            <v>D</v>
          </cell>
          <cell r="H1127" t="str">
            <v>SPRINGFIELD</v>
          </cell>
          <cell r="I1127" t="str">
            <v>MA</v>
          </cell>
          <cell r="J1127" t="str">
            <v>USA</v>
          </cell>
          <cell r="K1127" t="str">
            <v>ASTRO CHEMICALS INC</v>
          </cell>
          <cell r="L1127" t="str">
            <v>MA</v>
          </cell>
          <cell r="M1127" t="str">
            <v>USA</v>
          </cell>
          <cell r="N1127" t="str">
            <v>D</v>
          </cell>
          <cell r="O1127">
            <v>23060210</v>
          </cell>
          <cell r="P1127" t="str">
            <v>DECA BORAX STD 50LB BAG</v>
          </cell>
          <cell r="Q1127" t="str">
            <v>Deca</v>
          </cell>
          <cell r="R1127">
            <v>5.24</v>
          </cell>
          <cell r="S1127">
            <v>1697.14</v>
          </cell>
        </row>
        <row r="1128">
          <cell r="A1128" t="str">
            <v>Budget</v>
          </cell>
          <cell r="B1128">
            <v>2</v>
          </cell>
          <cell r="C1128" t="str">
            <v>Domestic</v>
          </cell>
          <cell r="D1128">
            <v>5</v>
          </cell>
          <cell r="E1128">
            <v>6219</v>
          </cell>
          <cell r="F1128" t="str">
            <v>ASTRO CHEMICALS INC</v>
          </cell>
          <cell r="G1128" t="str">
            <v>D</v>
          </cell>
          <cell r="H1128" t="str">
            <v>SPRINGFIELD</v>
          </cell>
          <cell r="I1128" t="str">
            <v>MA</v>
          </cell>
          <cell r="J1128" t="str">
            <v>USA</v>
          </cell>
          <cell r="K1128" t="str">
            <v>ASTRO CHEMICALS INC</v>
          </cell>
          <cell r="L1128" t="str">
            <v>MA</v>
          </cell>
          <cell r="M1128" t="str">
            <v>USA</v>
          </cell>
          <cell r="N1128" t="str">
            <v>D</v>
          </cell>
          <cell r="O1128">
            <v>24030210</v>
          </cell>
          <cell r="P1128" t="str">
            <v>BORIC ACID PWD TECH 50LB BAG</v>
          </cell>
          <cell r="Q1128" t="str">
            <v>Boric Acid</v>
          </cell>
          <cell r="R1128">
            <v>1.52</v>
          </cell>
          <cell r="S1128">
            <v>1197.47</v>
          </cell>
        </row>
        <row r="1129">
          <cell r="A1129" t="str">
            <v>Budget</v>
          </cell>
          <cell r="B1129">
            <v>2</v>
          </cell>
          <cell r="C1129" t="str">
            <v>Domestic</v>
          </cell>
          <cell r="D1129">
            <v>5</v>
          </cell>
          <cell r="E1129">
            <v>6219</v>
          </cell>
          <cell r="F1129" t="str">
            <v>ASTRO CHEMICALS INC</v>
          </cell>
          <cell r="G1129" t="str">
            <v>D</v>
          </cell>
          <cell r="H1129" t="str">
            <v>SPRINGFIELD</v>
          </cell>
          <cell r="I1129" t="str">
            <v>MA</v>
          </cell>
          <cell r="J1129" t="str">
            <v>USA</v>
          </cell>
          <cell r="K1129" t="str">
            <v>ASTRO CHEMICALS INC</v>
          </cell>
          <cell r="L1129" t="str">
            <v>MA</v>
          </cell>
          <cell r="M1129" t="str">
            <v>USA</v>
          </cell>
          <cell r="N1129" t="str">
            <v>D</v>
          </cell>
          <cell r="O1129">
            <v>24090210</v>
          </cell>
          <cell r="P1129" t="str">
            <v>BORIC ACID GRAN TECH 50LB BAG</v>
          </cell>
          <cell r="Q1129" t="str">
            <v>Boric Acid</v>
          </cell>
          <cell r="R1129">
            <v>6.41</v>
          </cell>
          <cell r="S1129">
            <v>4120.6400000000003</v>
          </cell>
        </row>
        <row r="1130">
          <cell r="A1130" t="str">
            <v>Budget</v>
          </cell>
          <cell r="B1130">
            <v>2</v>
          </cell>
          <cell r="C1130" t="str">
            <v>Domestic</v>
          </cell>
          <cell r="D1130">
            <v>5</v>
          </cell>
          <cell r="E1130">
            <v>6219</v>
          </cell>
          <cell r="F1130" t="str">
            <v>ASTRO CHEMICALS INC</v>
          </cell>
          <cell r="G1130" t="str">
            <v>D</v>
          </cell>
          <cell r="H1130" t="str">
            <v>SPRINGFIELD</v>
          </cell>
          <cell r="I1130" t="str">
            <v>MA</v>
          </cell>
          <cell r="J1130" t="str">
            <v>USA</v>
          </cell>
          <cell r="K1130" t="str">
            <v>ASTRO CHEMICALS INC</v>
          </cell>
          <cell r="L1130" t="str">
            <v>MA</v>
          </cell>
          <cell r="M1130" t="str">
            <v>USA</v>
          </cell>
          <cell r="N1130" t="str">
            <v>D</v>
          </cell>
          <cell r="O1130">
            <v>28069710</v>
          </cell>
          <cell r="P1130" t="str">
            <v>AMMONIUM PENTABORATE 50LB BAG</v>
          </cell>
          <cell r="Q1130" t="str">
            <v>Boric Salt (SCL)</v>
          </cell>
          <cell r="R1130">
            <v>0</v>
          </cell>
          <cell r="S1130">
            <v>12.19</v>
          </cell>
        </row>
        <row r="1131">
          <cell r="A1131" t="str">
            <v>Budget</v>
          </cell>
          <cell r="B1131">
            <v>2</v>
          </cell>
          <cell r="C1131" t="str">
            <v>Domestic</v>
          </cell>
          <cell r="D1131">
            <v>5</v>
          </cell>
          <cell r="E1131">
            <v>6219</v>
          </cell>
          <cell r="F1131" t="str">
            <v>ASTRO CHEMICALS INC</v>
          </cell>
          <cell r="G1131" t="str">
            <v>D</v>
          </cell>
          <cell r="H1131" t="str">
            <v>SPRINGFIELD</v>
          </cell>
          <cell r="I1131" t="str">
            <v>MA</v>
          </cell>
          <cell r="J1131" t="str">
            <v>USA</v>
          </cell>
          <cell r="K1131" t="str">
            <v>ASTRO CHEMICALS INC</v>
          </cell>
          <cell r="L1131" t="str">
            <v>MA</v>
          </cell>
          <cell r="M1131" t="str">
            <v>USA</v>
          </cell>
          <cell r="N1131" t="str">
            <v>D</v>
          </cell>
          <cell r="O1131">
            <v>78099792</v>
          </cell>
          <cell r="P1131" t="str">
            <v>POTASSIUM PENTABORATE 150KG DR</v>
          </cell>
          <cell r="Q1131" t="str">
            <v>Boric Salt (SCL)</v>
          </cell>
          <cell r="R1131">
            <v>0.6</v>
          </cell>
          <cell r="S1131">
            <v>2078.09</v>
          </cell>
        </row>
        <row r="1132">
          <cell r="A1132" t="str">
            <v>Budget</v>
          </cell>
          <cell r="B1132">
            <v>2</v>
          </cell>
          <cell r="C1132" t="str">
            <v>Domestic</v>
          </cell>
          <cell r="D1132">
            <v>5</v>
          </cell>
          <cell r="E1132">
            <v>6359</v>
          </cell>
          <cell r="F1132" t="str">
            <v>CANADA COLORS &amp; CHEMICAL LTD</v>
          </cell>
          <cell r="G1132" t="str">
            <v>D</v>
          </cell>
          <cell r="H1132" t="str">
            <v>BRAMPTON</v>
          </cell>
          <cell r="I1132" t="str">
            <v>ON</v>
          </cell>
          <cell r="J1132" t="str">
            <v>CAN</v>
          </cell>
          <cell r="K1132" t="str">
            <v>CANADA COLORS &amp; CHEMICAL LTD</v>
          </cell>
          <cell r="L1132" t="str">
            <v>ON</v>
          </cell>
          <cell r="M1132" t="str">
            <v>CAN</v>
          </cell>
          <cell r="N1132" t="str">
            <v>D</v>
          </cell>
          <cell r="O1132">
            <v>22060400</v>
          </cell>
          <cell r="P1132" t="str">
            <v>V-BOR STD BULK (004)</v>
          </cell>
          <cell r="Q1132" t="str">
            <v>Penta</v>
          </cell>
          <cell r="R1132">
            <v>15.19</v>
          </cell>
          <cell r="S1132">
            <v>4919.17</v>
          </cell>
        </row>
        <row r="1133">
          <cell r="A1133" t="str">
            <v>Budget</v>
          </cell>
          <cell r="B1133">
            <v>2</v>
          </cell>
          <cell r="C1133" t="str">
            <v>Domestic</v>
          </cell>
          <cell r="D1133">
            <v>5</v>
          </cell>
          <cell r="E1133">
            <v>6359</v>
          </cell>
          <cell r="F1133" t="str">
            <v>CANADA COLORS &amp; CHEMICAL LTD</v>
          </cell>
          <cell r="G1133" t="str">
            <v>D</v>
          </cell>
          <cell r="H1133" t="str">
            <v>BRAMPTON</v>
          </cell>
          <cell r="I1133" t="str">
            <v>ON</v>
          </cell>
          <cell r="J1133" t="str">
            <v>CAN</v>
          </cell>
          <cell r="K1133" t="str">
            <v>CANADA COLORS &amp; CHEMICAL LTD</v>
          </cell>
          <cell r="L1133" t="str">
            <v>ON</v>
          </cell>
          <cell r="M1133" t="str">
            <v>CAN</v>
          </cell>
          <cell r="N1133" t="str">
            <v>D</v>
          </cell>
          <cell r="O1133">
            <v>24090200</v>
          </cell>
          <cell r="P1133" t="str">
            <v>BORIC ACID GRAN TECH BULK</v>
          </cell>
          <cell r="Q1133" t="str">
            <v>Boric Acid</v>
          </cell>
          <cell r="R1133">
            <v>20.73</v>
          </cell>
          <cell r="S1133">
            <v>10811.39</v>
          </cell>
        </row>
        <row r="1134">
          <cell r="A1134" t="str">
            <v>Budget</v>
          </cell>
          <cell r="B1134">
            <v>2</v>
          </cell>
          <cell r="C1134" t="str">
            <v>Domestic</v>
          </cell>
          <cell r="D1134">
            <v>5</v>
          </cell>
          <cell r="E1134">
            <v>6359</v>
          </cell>
          <cell r="F1134" t="str">
            <v>CANADA COLORS &amp; CHEMICAL LTD</v>
          </cell>
          <cell r="G1134" t="str">
            <v>D</v>
          </cell>
          <cell r="H1134" t="str">
            <v>BRAMPTON</v>
          </cell>
          <cell r="I1134" t="str">
            <v>ON</v>
          </cell>
          <cell r="J1134" t="str">
            <v>CAN</v>
          </cell>
          <cell r="K1134" t="str">
            <v>CANADA COLORS &amp; CHEMICAL LTD</v>
          </cell>
          <cell r="L1134" t="str">
            <v>ON</v>
          </cell>
          <cell r="M1134" t="str">
            <v>CAN</v>
          </cell>
          <cell r="N1134" t="str">
            <v>D</v>
          </cell>
          <cell r="O1134">
            <v>24230200</v>
          </cell>
          <cell r="P1134" t="str">
            <v>BORIC ACID GRAN TECH BULK</v>
          </cell>
          <cell r="Q1134" t="str">
            <v>Boric Acid</v>
          </cell>
          <cell r="R1134">
            <v>31.37</v>
          </cell>
          <cell r="S1134">
            <v>10606.85</v>
          </cell>
        </row>
        <row r="1135">
          <cell r="A1135" t="str">
            <v>Budget</v>
          </cell>
          <cell r="B1135">
            <v>2</v>
          </cell>
          <cell r="C1135" t="str">
            <v>Domestic</v>
          </cell>
          <cell r="D1135">
            <v>5</v>
          </cell>
          <cell r="E1135">
            <v>6359</v>
          </cell>
          <cell r="F1135" t="str">
            <v>CANADA COLORS &amp; CHEMICAL LTD</v>
          </cell>
          <cell r="G1135" t="str">
            <v>D</v>
          </cell>
          <cell r="H1135" t="str">
            <v>BRAMPTON</v>
          </cell>
          <cell r="I1135" t="str">
            <v>ON</v>
          </cell>
          <cell r="J1135" t="str">
            <v>CAN</v>
          </cell>
          <cell r="K1135" t="str">
            <v>CANADA COLORS &amp; CHEMICAL LTD</v>
          </cell>
          <cell r="L1135" t="str">
            <v>ON</v>
          </cell>
          <cell r="M1135" t="str">
            <v>CAN</v>
          </cell>
          <cell r="N1135" t="str">
            <v>D</v>
          </cell>
          <cell r="O1135">
            <v>30210100</v>
          </cell>
          <cell r="P1135" t="str">
            <v>SODA ASH DENSE BULK</v>
          </cell>
          <cell r="Q1135" t="str">
            <v>Soda Ash</v>
          </cell>
          <cell r="R1135">
            <v>15.85</v>
          </cell>
          <cell r="S1135">
            <v>1220.22</v>
          </cell>
        </row>
        <row r="1136">
          <cell r="A1136" t="str">
            <v>Budget</v>
          </cell>
          <cell r="B1136">
            <v>2</v>
          </cell>
          <cell r="C1136" t="str">
            <v>Domestic</v>
          </cell>
          <cell r="D1136">
            <v>5</v>
          </cell>
          <cell r="E1136">
            <v>6598</v>
          </cell>
          <cell r="F1136" t="str">
            <v>INTERSTATE CHEMICAL COMPANY</v>
          </cell>
          <cell r="G1136" t="str">
            <v>D</v>
          </cell>
          <cell r="H1136" t="str">
            <v>WAYNE</v>
          </cell>
          <cell r="I1136" t="str">
            <v>MI</v>
          </cell>
          <cell r="J1136" t="str">
            <v>USA</v>
          </cell>
          <cell r="K1136" t="str">
            <v>INTERSTATE CHEMICAL COMPANY</v>
          </cell>
          <cell r="L1136" t="str">
            <v>PA</v>
          </cell>
          <cell r="M1136" t="str">
            <v>USA</v>
          </cell>
          <cell r="N1136" t="str">
            <v>D</v>
          </cell>
          <cell r="O1136">
            <v>22060410</v>
          </cell>
          <cell r="P1136" t="str">
            <v>V-BOR 50LB BAG (004)</v>
          </cell>
          <cell r="Q1136" t="str">
            <v>Penta</v>
          </cell>
          <cell r="R1136">
            <v>7.77</v>
          </cell>
          <cell r="S1136">
            <v>2874.19</v>
          </cell>
        </row>
        <row r="1137">
          <cell r="A1137" t="str">
            <v>Budget</v>
          </cell>
          <cell r="B1137">
            <v>2</v>
          </cell>
          <cell r="C1137" t="str">
            <v>Domestic</v>
          </cell>
          <cell r="D1137">
            <v>5</v>
          </cell>
          <cell r="E1137">
            <v>6598</v>
          </cell>
          <cell r="F1137" t="str">
            <v>INTERSTATE CHEMICAL COMPANY</v>
          </cell>
          <cell r="G1137" t="str">
            <v>D</v>
          </cell>
          <cell r="H1137" t="str">
            <v>WAYNE</v>
          </cell>
          <cell r="I1137" t="str">
            <v>MI</v>
          </cell>
          <cell r="J1137" t="str">
            <v>USA</v>
          </cell>
          <cell r="K1137" t="str">
            <v>INTERSTATE CHEMICAL COMPANY</v>
          </cell>
          <cell r="L1137" t="str">
            <v>PA</v>
          </cell>
          <cell r="M1137" t="str">
            <v>USA</v>
          </cell>
          <cell r="N1137" t="str">
            <v>D</v>
          </cell>
          <cell r="O1137">
            <v>23060210</v>
          </cell>
          <cell r="P1137" t="str">
            <v>DECA BORAX STD 50LB BAG</v>
          </cell>
          <cell r="Q1137" t="str">
            <v>Deca</v>
          </cell>
          <cell r="R1137">
            <v>0.39</v>
          </cell>
          <cell r="S1137">
            <v>132.57</v>
          </cell>
        </row>
        <row r="1138">
          <cell r="A1138" t="str">
            <v>Budget</v>
          </cell>
          <cell r="B1138">
            <v>2</v>
          </cell>
          <cell r="C1138" t="str">
            <v>Domestic</v>
          </cell>
          <cell r="D1138">
            <v>5</v>
          </cell>
          <cell r="E1138">
            <v>6598</v>
          </cell>
          <cell r="F1138" t="str">
            <v>INTERSTATE CHEMICAL COMPANY</v>
          </cell>
          <cell r="G1138" t="str">
            <v>D</v>
          </cell>
          <cell r="H1138" t="str">
            <v>WAYNE</v>
          </cell>
          <cell r="I1138" t="str">
            <v>MI</v>
          </cell>
          <cell r="J1138" t="str">
            <v>USA</v>
          </cell>
          <cell r="K1138" t="str">
            <v>INTERSTATE CHEMICAL COMPANY</v>
          </cell>
          <cell r="L1138" t="str">
            <v>PA</v>
          </cell>
          <cell r="M1138" t="str">
            <v>USA</v>
          </cell>
          <cell r="N1138" t="str">
            <v>D</v>
          </cell>
          <cell r="O1138">
            <v>24090210</v>
          </cell>
          <cell r="P1138" t="str">
            <v>BORIC ACID GRAN TECH 50LB BAG</v>
          </cell>
          <cell r="Q1138" t="str">
            <v>Boric Acid</v>
          </cell>
          <cell r="R1138">
            <v>5.82</v>
          </cell>
          <cell r="S1138">
            <v>3569.73</v>
          </cell>
        </row>
        <row r="1139">
          <cell r="A1139" t="str">
            <v>Budget</v>
          </cell>
          <cell r="B1139">
            <v>2</v>
          </cell>
          <cell r="C1139" t="str">
            <v>Domestic</v>
          </cell>
          <cell r="D1139">
            <v>5</v>
          </cell>
          <cell r="E1139">
            <v>6598</v>
          </cell>
          <cell r="F1139" t="str">
            <v>INTERSTATE CHEMICAL COMPANY</v>
          </cell>
          <cell r="G1139" t="str">
            <v>D</v>
          </cell>
          <cell r="H1139" t="str">
            <v>WAYNE</v>
          </cell>
          <cell r="I1139" t="str">
            <v>MI</v>
          </cell>
          <cell r="J1139" t="str">
            <v>USA</v>
          </cell>
          <cell r="K1139" t="str">
            <v>INTERSTATE CHEMICAL COMPANY</v>
          </cell>
          <cell r="L1139" t="str">
            <v>PA</v>
          </cell>
          <cell r="M1139" t="str">
            <v>USA</v>
          </cell>
          <cell r="N1139" t="str">
            <v>D</v>
          </cell>
          <cell r="O1139">
            <v>78099720</v>
          </cell>
          <cell r="P1139" t="str">
            <v>POTASSIUM PENTABORATE 25KG BAG</v>
          </cell>
          <cell r="Q1139" t="str">
            <v>Boric Salt (SCL)</v>
          </cell>
          <cell r="R1139">
            <v>0.09</v>
          </cell>
          <cell r="S1139">
            <v>327.39</v>
          </cell>
        </row>
        <row r="1140">
          <cell r="A1140" t="str">
            <v>Budget</v>
          </cell>
          <cell r="B1140">
            <v>2</v>
          </cell>
          <cell r="C1140" t="str">
            <v>Domestic</v>
          </cell>
          <cell r="D1140">
            <v>5</v>
          </cell>
          <cell r="E1140">
            <v>6600</v>
          </cell>
          <cell r="F1140" t="str">
            <v>INTERSTATE CHEMICAL COMPANY</v>
          </cell>
          <cell r="G1140" t="str">
            <v>D</v>
          </cell>
          <cell r="H1140" t="str">
            <v>PUEBLO WEST</v>
          </cell>
          <cell r="I1140" t="str">
            <v>CO</v>
          </cell>
          <cell r="J1140" t="str">
            <v>USA</v>
          </cell>
          <cell r="K1140" t="str">
            <v>INTERSTATE CHEMICAL COMPANY</v>
          </cell>
          <cell r="L1140" t="str">
            <v>PA</v>
          </cell>
          <cell r="M1140" t="str">
            <v>USA</v>
          </cell>
          <cell r="N1140" t="str">
            <v>D</v>
          </cell>
          <cell r="O1140">
            <v>22060410</v>
          </cell>
          <cell r="P1140" t="str">
            <v>V-BOR 50LB BAG (004)</v>
          </cell>
          <cell r="Q1140" t="str">
            <v>Penta</v>
          </cell>
          <cell r="R1140">
            <v>6.02</v>
          </cell>
          <cell r="S1140">
            <v>2448.79</v>
          </cell>
        </row>
        <row r="1141">
          <cell r="A1141" t="str">
            <v>Budget</v>
          </cell>
          <cell r="B1141">
            <v>2</v>
          </cell>
          <cell r="C1141" t="str">
            <v>Domestic</v>
          </cell>
          <cell r="D1141">
            <v>5</v>
          </cell>
          <cell r="E1141">
            <v>6600</v>
          </cell>
          <cell r="F1141" t="str">
            <v>INTERSTATE CHEMICAL COMPANY</v>
          </cell>
          <cell r="G1141" t="str">
            <v>D</v>
          </cell>
          <cell r="H1141" t="str">
            <v>PUEBLO WEST</v>
          </cell>
          <cell r="I1141" t="str">
            <v>CO</v>
          </cell>
          <cell r="J1141" t="str">
            <v>USA</v>
          </cell>
          <cell r="K1141" t="str">
            <v>INTERSTATE CHEMICAL COMPANY</v>
          </cell>
          <cell r="L1141" t="str">
            <v>PA</v>
          </cell>
          <cell r="M1141" t="str">
            <v>USA</v>
          </cell>
          <cell r="N1141" t="str">
            <v>D</v>
          </cell>
          <cell r="O1141">
            <v>23060230</v>
          </cell>
          <cell r="P1141" t="str">
            <v>DECA BORAX STD 100LB BAG</v>
          </cell>
          <cell r="Q1141" t="str">
            <v>Deca</v>
          </cell>
          <cell r="R1141">
            <v>0.79</v>
          </cell>
          <cell r="S1141">
            <v>285</v>
          </cell>
        </row>
        <row r="1142">
          <cell r="A1142" t="str">
            <v>Budget</v>
          </cell>
          <cell r="B1142">
            <v>2</v>
          </cell>
          <cell r="C1142" t="str">
            <v>Domestic</v>
          </cell>
          <cell r="D1142">
            <v>5</v>
          </cell>
          <cell r="E1142">
            <v>6600</v>
          </cell>
          <cell r="F1142" t="str">
            <v>INTERSTATE CHEMICAL COMPANY</v>
          </cell>
          <cell r="G1142" t="str">
            <v>D</v>
          </cell>
          <cell r="H1142" t="str">
            <v>PUEBLO WEST</v>
          </cell>
          <cell r="I1142" t="str">
            <v>CO</v>
          </cell>
          <cell r="J1142" t="str">
            <v>USA</v>
          </cell>
          <cell r="K1142" t="str">
            <v>INTERSTATE CHEMICAL COMPANY</v>
          </cell>
          <cell r="L1142" t="str">
            <v>PA</v>
          </cell>
          <cell r="M1142" t="str">
            <v>USA</v>
          </cell>
          <cell r="N1142" t="str">
            <v>D</v>
          </cell>
          <cell r="O1142">
            <v>24030210</v>
          </cell>
          <cell r="P1142" t="str">
            <v>BORIC ACID PWD TECH 50LB BAG</v>
          </cell>
          <cell r="Q1142" t="str">
            <v>Boric Acid</v>
          </cell>
          <cell r="R1142">
            <v>0.19</v>
          </cell>
          <cell r="S1142">
            <v>163.38</v>
          </cell>
        </row>
        <row r="1143">
          <cell r="A1143" t="str">
            <v>Budget</v>
          </cell>
          <cell r="B1143">
            <v>2</v>
          </cell>
          <cell r="C1143" t="str">
            <v>Domestic</v>
          </cell>
          <cell r="D1143">
            <v>5</v>
          </cell>
          <cell r="E1143">
            <v>6600</v>
          </cell>
          <cell r="F1143" t="str">
            <v>INTERSTATE CHEMICAL COMPANY</v>
          </cell>
          <cell r="G1143" t="str">
            <v>D</v>
          </cell>
          <cell r="H1143" t="str">
            <v>PUEBLO WEST</v>
          </cell>
          <cell r="I1143" t="str">
            <v>CO</v>
          </cell>
          <cell r="J1143" t="str">
            <v>USA</v>
          </cell>
          <cell r="K1143" t="str">
            <v>INTERSTATE CHEMICAL COMPANY</v>
          </cell>
          <cell r="L1143" t="str">
            <v>PA</v>
          </cell>
          <cell r="M1143" t="str">
            <v>USA</v>
          </cell>
          <cell r="N1143" t="str">
            <v>D</v>
          </cell>
          <cell r="O1143">
            <v>24090210</v>
          </cell>
          <cell r="P1143" t="str">
            <v>BORIC ACID GRAN TECH 50LB BAG</v>
          </cell>
          <cell r="Q1143" t="str">
            <v>Boric Acid</v>
          </cell>
          <cell r="R1143">
            <v>9.32</v>
          </cell>
          <cell r="S1143">
            <v>4839.45</v>
          </cell>
        </row>
        <row r="1144">
          <cell r="A1144" t="str">
            <v>Budget</v>
          </cell>
          <cell r="B1144">
            <v>2</v>
          </cell>
          <cell r="C1144" t="str">
            <v>Domestic</v>
          </cell>
          <cell r="D1144">
            <v>5</v>
          </cell>
          <cell r="E1144">
            <v>6600</v>
          </cell>
          <cell r="F1144" t="str">
            <v>INTERSTATE CHEMICAL COMPANY</v>
          </cell>
          <cell r="G1144" t="str">
            <v>D</v>
          </cell>
          <cell r="H1144" t="str">
            <v>PUEBLO WEST</v>
          </cell>
          <cell r="I1144" t="str">
            <v>CO</v>
          </cell>
          <cell r="J1144" t="str">
            <v>USA</v>
          </cell>
          <cell r="K1144" t="str">
            <v>INTERSTATE CHEMICAL COMPANY</v>
          </cell>
          <cell r="L1144" t="str">
            <v>PA</v>
          </cell>
          <cell r="M1144" t="str">
            <v>USA</v>
          </cell>
          <cell r="N1144" t="str">
            <v>D</v>
          </cell>
          <cell r="O1144">
            <v>24090261</v>
          </cell>
          <cell r="P1144" t="str">
            <v>BORIC ACID GRN TCH 1000LB FIBC</v>
          </cell>
          <cell r="Q1144" t="str">
            <v>Boric Acid</v>
          </cell>
          <cell r="R1144">
            <v>3.96</v>
          </cell>
          <cell r="S1144">
            <v>2621.98</v>
          </cell>
        </row>
        <row r="1145">
          <cell r="A1145" t="str">
            <v>Budget</v>
          </cell>
          <cell r="B1145">
            <v>2</v>
          </cell>
          <cell r="C1145" t="str">
            <v>Domestic</v>
          </cell>
          <cell r="D1145">
            <v>5</v>
          </cell>
          <cell r="E1145">
            <v>6989</v>
          </cell>
          <cell r="F1145" t="str">
            <v>ABITIBI CONSOLIDATED</v>
          </cell>
          <cell r="G1145" t="str">
            <v>D</v>
          </cell>
          <cell r="H1145" t="str">
            <v>SNOWFLAKE</v>
          </cell>
          <cell r="I1145" t="str">
            <v>AZ</v>
          </cell>
          <cell r="J1145" t="str">
            <v>USA</v>
          </cell>
          <cell r="K1145" t="str">
            <v>ABITIBI</v>
          </cell>
          <cell r="L1145" t="str">
            <v>AZ</v>
          </cell>
          <cell r="M1145" t="str">
            <v>USA</v>
          </cell>
          <cell r="N1145" t="str">
            <v>C</v>
          </cell>
          <cell r="O1145">
            <v>30210100</v>
          </cell>
          <cell r="P1145" t="str">
            <v>SODA ASH DENSE BULK</v>
          </cell>
          <cell r="Q1145" t="str">
            <v>Soda Ash</v>
          </cell>
          <cell r="R1145">
            <v>130.25</v>
          </cell>
          <cell r="S1145">
            <v>14197.25</v>
          </cell>
        </row>
        <row r="1146">
          <cell r="A1146" t="str">
            <v>Budget</v>
          </cell>
          <cell r="B1146">
            <v>2</v>
          </cell>
          <cell r="C1146" t="str">
            <v>Domestic</v>
          </cell>
          <cell r="D1146">
            <v>5</v>
          </cell>
          <cell r="E1146">
            <v>7448</v>
          </cell>
          <cell r="F1146" t="str">
            <v>WYNCO, LLC</v>
          </cell>
          <cell r="G1146" t="str">
            <v>D</v>
          </cell>
          <cell r="H1146" t="str">
            <v>FRUITLAND</v>
          </cell>
          <cell r="I1146" t="str">
            <v>MD</v>
          </cell>
          <cell r="J1146" t="str">
            <v>USA</v>
          </cell>
          <cell r="K1146" t="str">
            <v>SCHERING-PLOUGH ANIMAL HEALTH</v>
          </cell>
          <cell r="L1146" t="str">
            <v>NE</v>
          </cell>
          <cell r="M1146" t="str">
            <v>USA</v>
          </cell>
          <cell r="N1146" t="str">
            <v>C</v>
          </cell>
          <cell r="O1146">
            <v>24740211</v>
          </cell>
          <cell r="P1146" t="str">
            <v>BORIC ACID PWD PEST W/TCP SAFE</v>
          </cell>
          <cell r="Q1146" t="str">
            <v>Boric Acid</v>
          </cell>
          <cell r="R1146">
            <v>3.57</v>
          </cell>
          <cell r="S1146">
            <v>2852.46</v>
          </cell>
        </row>
        <row r="1147">
          <cell r="A1147" t="str">
            <v>Budget</v>
          </cell>
          <cell r="B1147">
            <v>2</v>
          </cell>
          <cell r="C1147" t="str">
            <v>Domestic</v>
          </cell>
          <cell r="D1147">
            <v>5</v>
          </cell>
          <cell r="E1147">
            <v>7574</v>
          </cell>
          <cell r="F1147" t="str">
            <v>WYNCO LLC</v>
          </cell>
          <cell r="G1147" t="str">
            <v>D</v>
          </cell>
          <cell r="H1147" t="str">
            <v>SPRINGDALE</v>
          </cell>
          <cell r="I1147" t="str">
            <v>AR</v>
          </cell>
          <cell r="J1147" t="str">
            <v>USA</v>
          </cell>
          <cell r="K1147" t="str">
            <v>SCHERING-PLOUGH ANIMAL HEALTH</v>
          </cell>
          <cell r="L1147" t="str">
            <v>NE</v>
          </cell>
          <cell r="M1147" t="str">
            <v>USA</v>
          </cell>
          <cell r="N1147" t="str">
            <v>C</v>
          </cell>
          <cell r="O1147">
            <v>24740211</v>
          </cell>
          <cell r="P1147" t="str">
            <v>BORIC ACID PWD PEST W/TCP SAFE</v>
          </cell>
          <cell r="Q1147" t="str">
            <v>Boric Acid</v>
          </cell>
          <cell r="R1147">
            <v>3.57</v>
          </cell>
          <cell r="S1147">
            <v>2852.46</v>
          </cell>
        </row>
        <row r="1148">
          <cell r="A1148" t="str">
            <v>Budget</v>
          </cell>
          <cell r="B1148">
            <v>2</v>
          </cell>
          <cell r="C1148" t="str">
            <v>Domestic</v>
          </cell>
          <cell r="D1148">
            <v>5</v>
          </cell>
          <cell r="E1148">
            <v>7855</v>
          </cell>
          <cell r="F1148" t="str">
            <v>QUADRA CHEMICAL</v>
          </cell>
          <cell r="G1148" t="str">
            <v>D</v>
          </cell>
          <cell r="H1148" t="str">
            <v>BURLINGTON</v>
          </cell>
          <cell r="I1148" t="str">
            <v>ON</v>
          </cell>
          <cell r="J1148" t="str">
            <v>CAN</v>
          </cell>
          <cell r="K1148" t="str">
            <v>QUADRA CHEMICAL</v>
          </cell>
          <cell r="L1148" t="str">
            <v>PQ</v>
          </cell>
          <cell r="M1148" t="str">
            <v>CAN</v>
          </cell>
          <cell r="N1148" t="str">
            <v>D</v>
          </cell>
          <cell r="O1148">
            <v>20060210</v>
          </cell>
          <cell r="P1148" t="str">
            <v>PYROBOR 50LB BAG (002)</v>
          </cell>
          <cell r="Q1148" t="str">
            <v>Pyrobor</v>
          </cell>
          <cell r="R1148">
            <v>5.63</v>
          </cell>
          <cell r="S1148">
            <v>4290.07</v>
          </cell>
        </row>
        <row r="1149">
          <cell r="A1149" t="str">
            <v>Budget</v>
          </cell>
          <cell r="B1149">
            <v>2</v>
          </cell>
          <cell r="C1149" t="str">
            <v>Domestic</v>
          </cell>
          <cell r="D1149">
            <v>5</v>
          </cell>
          <cell r="E1149">
            <v>7855</v>
          </cell>
          <cell r="F1149" t="str">
            <v>QUADRA CHEMICAL</v>
          </cell>
          <cell r="G1149" t="str">
            <v>D</v>
          </cell>
          <cell r="H1149" t="str">
            <v>BURLINGTON</v>
          </cell>
          <cell r="I1149" t="str">
            <v>ON</v>
          </cell>
          <cell r="J1149" t="str">
            <v>CAN</v>
          </cell>
          <cell r="K1149" t="str">
            <v>QUADRA CHEMICAL</v>
          </cell>
          <cell r="L1149" t="str">
            <v>PQ</v>
          </cell>
          <cell r="M1149" t="str">
            <v>CAN</v>
          </cell>
          <cell r="N1149" t="str">
            <v>D</v>
          </cell>
          <cell r="O1149">
            <v>23060210</v>
          </cell>
          <cell r="P1149" t="str">
            <v>DECA BORAX STD 50LB BAG</v>
          </cell>
          <cell r="Q1149" t="str">
            <v>Deca</v>
          </cell>
          <cell r="R1149">
            <v>0.78</v>
          </cell>
          <cell r="S1149">
            <v>275.95999999999998</v>
          </cell>
        </row>
        <row r="1150">
          <cell r="A1150" t="str">
            <v>Budget</v>
          </cell>
          <cell r="B1150">
            <v>2</v>
          </cell>
          <cell r="C1150" t="str">
            <v>Domestic</v>
          </cell>
          <cell r="D1150">
            <v>5</v>
          </cell>
          <cell r="E1150">
            <v>7855</v>
          </cell>
          <cell r="F1150" t="str">
            <v>QUADRA CHEMICAL</v>
          </cell>
          <cell r="G1150" t="str">
            <v>D</v>
          </cell>
          <cell r="H1150" t="str">
            <v>BURLINGTON</v>
          </cell>
          <cell r="I1150" t="str">
            <v>ON</v>
          </cell>
          <cell r="J1150" t="str">
            <v>CAN</v>
          </cell>
          <cell r="K1150" t="str">
            <v>QUADRA CHEMICAL</v>
          </cell>
          <cell r="L1150" t="str">
            <v>PQ</v>
          </cell>
          <cell r="M1150" t="str">
            <v>CAN</v>
          </cell>
          <cell r="N1150" t="str">
            <v>D</v>
          </cell>
          <cell r="O1150">
            <v>24090210</v>
          </cell>
          <cell r="P1150" t="str">
            <v>BORIC ACID GRAN TECH 50LB BAG</v>
          </cell>
          <cell r="Q1150" t="str">
            <v>Boric Acid</v>
          </cell>
          <cell r="R1150">
            <v>5.63</v>
          </cell>
          <cell r="S1150">
            <v>2966.24</v>
          </cell>
        </row>
        <row r="1151">
          <cell r="A1151" t="str">
            <v>Budget</v>
          </cell>
          <cell r="B1151">
            <v>2</v>
          </cell>
          <cell r="C1151" t="str">
            <v>Domestic</v>
          </cell>
          <cell r="D1151">
            <v>5</v>
          </cell>
          <cell r="E1151">
            <v>8066</v>
          </cell>
          <cell r="F1151" t="str">
            <v>SAFEGUARD INC</v>
          </cell>
          <cell r="G1151" t="str">
            <v>D</v>
          </cell>
          <cell r="H1151" t="str">
            <v>WADING RIVER</v>
          </cell>
          <cell r="I1151" t="str">
            <v>NY</v>
          </cell>
          <cell r="J1151" t="str">
            <v>USA</v>
          </cell>
          <cell r="K1151" t="str">
            <v>SAFEGUARD INC</v>
          </cell>
          <cell r="L1151" t="str">
            <v>NY</v>
          </cell>
          <cell r="M1151" t="str">
            <v>USA</v>
          </cell>
          <cell r="N1151" t="str">
            <v>C</v>
          </cell>
          <cell r="O1151">
            <v>26069718</v>
          </cell>
          <cell r="P1151" t="str">
            <v>SODIUM OCTABORATE 20KG BAG</v>
          </cell>
          <cell r="Q1151" t="str">
            <v>Foliarel (SCL)</v>
          </cell>
          <cell r="R1151">
            <v>0.68</v>
          </cell>
          <cell r="S1151">
            <v>1083.0899999999999</v>
          </cell>
        </row>
        <row r="1152">
          <cell r="A1152" t="str">
            <v>Budget</v>
          </cell>
          <cell r="B1152">
            <v>2</v>
          </cell>
          <cell r="C1152" t="str">
            <v>Domestic</v>
          </cell>
          <cell r="D1152">
            <v>5</v>
          </cell>
          <cell r="E1152">
            <v>8104</v>
          </cell>
          <cell r="F1152" t="str">
            <v>OWENS CORNING</v>
          </cell>
          <cell r="G1152" t="str">
            <v>D</v>
          </cell>
          <cell r="H1152" t="str">
            <v>FAIRBURN</v>
          </cell>
          <cell r="I1152" t="str">
            <v>GA</v>
          </cell>
          <cell r="J1152" t="str">
            <v>USA</v>
          </cell>
          <cell r="K1152" t="str">
            <v>OWENS CORNING</v>
          </cell>
          <cell r="L1152" t="str">
            <v>GA</v>
          </cell>
          <cell r="M1152" t="str">
            <v>USA</v>
          </cell>
          <cell r="N1152" t="str">
            <v>C</v>
          </cell>
          <cell r="O1152">
            <v>30210100</v>
          </cell>
          <cell r="P1152" t="str">
            <v>SODA ASH DENSE BULK</v>
          </cell>
          <cell r="Q1152" t="str">
            <v>Soda Ash</v>
          </cell>
          <cell r="R1152">
            <v>322.8</v>
          </cell>
          <cell r="S1152">
            <v>23487.279999999999</v>
          </cell>
        </row>
        <row r="1153">
          <cell r="A1153" t="str">
            <v>Budget</v>
          </cell>
          <cell r="B1153">
            <v>2</v>
          </cell>
          <cell r="C1153" t="str">
            <v>Domestic</v>
          </cell>
          <cell r="D1153">
            <v>5</v>
          </cell>
          <cell r="E1153">
            <v>8587</v>
          </cell>
          <cell r="F1153" t="str">
            <v>GEHRING MONTGOMERY COMPANY</v>
          </cell>
          <cell r="G1153" t="str">
            <v>D</v>
          </cell>
          <cell r="H1153" t="str">
            <v>WARMINSTER</v>
          </cell>
          <cell r="I1153" t="str">
            <v>PA</v>
          </cell>
          <cell r="J1153" t="str">
            <v>USA</v>
          </cell>
          <cell r="K1153" t="str">
            <v>GEHRING MONTGOMERY COMPANY</v>
          </cell>
          <cell r="L1153" t="str">
            <v>PA</v>
          </cell>
          <cell r="M1153" t="str">
            <v>USA</v>
          </cell>
          <cell r="N1153" t="str">
            <v>C</v>
          </cell>
          <cell r="O1153">
            <v>22060410</v>
          </cell>
          <cell r="P1153" t="str">
            <v>V-BOR 50LB BAG (004)</v>
          </cell>
          <cell r="Q1153" t="str">
            <v>Penta</v>
          </cell>
          <cell r="R1153">
            <v>3.49</v>
          </cell>
          <cell r="S1153">
            <v>1355.27</v>
          </cell>
        </row>
        <row r="1154">
          <cell r="A1154" t="str">
            <v>Budget</v>
          </cell>
          <cell r="B1154">
            <v>2</v>
          </cell>
          <cell r="C1154" t="str">
            <v>Domestic</v>
          </cell>
          <cell r="D1154">
            <v>5</v>
          </cell>
          <cell r="E1154">
            <v>8587</v>
          </cell>
          <cell r="F1154" t="str">
            <v>GEHRING MONTGOMERY COMPANY</v>
          </cell>
          <cell r="G1154" t="str">
            <v>D</v>
          </cell>
          <cell r="H1154" t="str">
            <v>WARMINSTER</v>
          </cell>
          <cell r="I1154" t="str">
            <v>PA</v>
          </cell>
          <cell r="J1154" t="str">
            <v>USA</v>
          </cell>
          <cell r="K1154" t="str">
            <v>GEHRING MONTGOMERY COMPANY</v>
          </cell>
          <cell r="L1154" t="str">
            <v>PA</v>
          </cell>
          <cell r="M1154" t="str">
            <v>USA</v>
          </cell>
          <cell r="N1154" t="str">
            <v>C</v>
          </cell>
          <cell r="O1154">
            <v>23060210</v>
          </cell>
          <cell r="P1154" t="str">
            <v>DECA BORAX STD 50LB BAG</v>
          </cell>
          <cell r="Q1154" t="str">
            <v>Deca</v>
          </cell>
          <cell r="R1154">
            <v>10.09</v>
          </cell>
          <cell r="S1154">
            <v>3227.96</v>
          </cell>
        </row>
        <row r="1155">
          <cell r="A1155" t="str">
            <v>Budget</v>
          </cell>
          <cell r="B1155">
            <v>2</v>
          </cell>
          <cell r="C1155" t="str">
            <v>Domestic</v>
          </cell>
          <cell r="D1155">
            <v>5</v>
          </cell>
          <cell r="E1155">
            <v>8587</v>
          </cell>
          <cell r="F1155" t="str">
            <v>GEHRING MONTGOMERY COMPANY</v>
          </cell>
          <cell r="G1155" t="str">
            <v>D</v>
          </cell>
          <cell r="H1155" t="str">
            <v>WARMINSTER</v>
          </cell>
          <cell r="I1155" t="str">
            <v>PA</v>
          </cell>
          <cell r="J1155" t="str">
            <v>USA</v>
          </cell>
          <cell r="K1155" t="str">
            <v>GEHRING MONTGOMERY COMPANY</v>
          </cell>
          <cell r="L1155" t="str">
            <v>PA</v>
          </cell>
          <cell r="M1155" t="str">
            <v>USA</v>
          </cell>
          <cell r="N1155" t="str">
            <v>C</v>
          </cell>
          <cell r="O1155">
            <v>23060250</v>
          </cell>
          <cell r="P1155" t="str">
            <v>DECA BORAX STD 1TN FIBC</v>
          </cell>
          <cell r="Q1155" t="str">
            <v>Deca</v>
          </cell>
          <cell r="R1155">
            <v>11.89</v>
          </cell>
          <cell r="S1155">
            <v>3565.57</v>
          </cell>
        </row>
        <row r="1156">
          <cell r="A1156" t="str">
            <v>Budget</v>
          </cell>
          <cell r="B1156">
            <v>2</v>
          </cell>
          <cell r="C1156" t="str">
            <v>Domestic</v>
          </cell>
          <cell r="D1156">
            <v>5</v>
          </cell>
          <cell r="E1156">
            <v>8587</v>
          </cell>
          <cell r="F1156" t="str">
            <v>GEHRING MONTGOMERY COMPANY</v>
          </cell>
          <cell r="G1156" t="str">
            <v>D</v>
          </cell>
          <cell r="H1156" t="str">
            <v>WARMINSTER</v>
          </cell>
          <cell r="I1156" t="str">
            <v>PA</v>
          </cell>
          <cell r="J1156" t="str">
            <v>USA</v>
          </cell>
          <cell r="K1156" t="str">
            <v>GEHRING MONTGOMERY COMPANY</v>
          </cell>
          <cell r="L1156" t="str">
            <v>PA</v>
          </cell>
          <cell r="M1156" t="str">
            <v>USA</v>
          </cell>
          <cell r="N1156" t="str">
            <v>C</v>
          </cell>
          <cell r="O1156">
            <v>24030210</v>
          </cell>
          <cell r="P1156" t="str">
            <v>BORIC ACID PWD TECH 50LB BAG</v>
          </cell>
          <cell r="Q1156" t="str">
            <v>Boric Acid</v>
          </cell>
          <cell r="R1156">
            <v>0.38</v>
          </cell>
          <cell r="S1156">
            <v>297.26</v>
          </cell>
        </row>
        <row r="1157">
          <cell r="A1157" t="str">
            <v>Budget</v>
          </cell>
          <cell r="B1157">
            <v>2</v>
          </cell>
          <cell r="C1157" t="str">
            <v>Domestic</v>
          </cell>
          <cell r="D1157">
            <v>5</v>
          </cell>
          <cell r="E1157">
            <v>8599</v>
          </cell>
          <cell r="F1157" t="str">
            <v>EXELON GENERATION CO., LLC</v>
          </cell>
          <cell r="G1157" t="str">
            <v>D</v>
          </cell>
          <cell r="H1157" t="str">
            <v>BYRON</v>
          </cell>
          <cell r="I1157" t="str">
            <v>IL</v>
          </cell>
          <cell r="J1157" t="str">
            <v>USA</v>
          </cell>
          <cell r="K1157" t="str">
            <v>EXELON GENERATION CO., LLC</v>
          </cell>
          <cell r="L1157" t="str">
            <v>IL</v>
          </cell>
          <cell r="M1157" t="str">
            <v>USA</v>
          </cell>
          <cell r="N1157" t="str">
            <v>C</v>
          </cell>
          <cell r="O1157">
            <v>24609720</v>
          </cell>
          <cell r="P1157" t="str">
            <v>BORIC ACID NS 25KG BAG</v>
          </cell>
          <cell r="Q1157" t="str">
            <v>HP Boric Acid (SCL)</v>
          </cell>
          <cell r="R1157">
            <v>6.6</v>
          </cell>
          <cell r="S1157">
            <v>9902.4599999999991</v>
          </cell>
        </row>
        <row r="1158">
          <cell r="A1158" t="str">
            <v>Budget</v>
          </cell>
          <cell r="B1158">
            <v>2</v>
          </cell>
          <cell r="C1158" t="str">
            <v>Domestic</v>
          </cell>
          <cell r="D1158">
            <v>5</v>
          </cell>
          <cell r="E1158">
            <v>8600</v>
          </cell>
          <cell r="F1158" t="str">
            <v>INACTIVE-EXELON GENERATION COM</v>
          </cell>
          <cell r="G1158" t="str">
            <v>D</v>
          </cell>
          <cell r="H1158" t="str">
            <v>MORRIS</v>
          </cell>
          <cell r="I1158" t="str">
            <v>IL</v>
          </cell>
          <cell r="J1158" t="str">
            <v>USA</v>
          </cell>
          <cell r="K1158" t="str">
            <v>INACTIVE-EXELON GENERATION COM</v>
          </cell>
          <cell r="L1158" t="str">
            <v>IL</v>
          </cell>
          <cell r="M1158" t="str">
            <v>USA</v>
          </cell>
          <cell r="N1158" t="str">
            <v>C</v>
          </cell>
          <cell r="O1158">
            <v>24609792</v>
          </cell>
          <cell r="P1158" t="str">
            <v>BORIC ACID NS 150KG DRUM</v>
          </cell>
          <cell r="Q1158" t="str">
            <v>HP Boric Acid (SCL)</v>
          </cell>
          <cell r="R1158">
            <v>0.03</v>
          </cell>
          <cell r="S1158">
            <v>42.31</v>
          </cell>
        </row>
        <row r="1159">
          <cell r="A1159" t="str">
            <v>Budget</v>
          </cell>
          <cell r="B1159">
            <v>2</v>
          </cell>
          <cell r="C1159" t="str">
            <v>Domestic</v>
          </cell>
          <cell r="D1159">
            <v>5</v>
          </cell>
          <cell r="E1159">
            <v>8839</v>
          </cell>
          <cell r="F1159" t="str">
            <v>HARCROS CHEMICAL INC</v>
          </cell>
          <cell r="G1159" t="str">
            <v>D</v>
          </cell>
          <cell r="H1159" t="str">
            <v>NASHUA</v>
          </cell>
          <cell r="I1159" t="str">
            <v>NH</v>
          </cell>
          <cell r="J1159" t="str">
            <v>USA</v>
          </cell>
          <cell r="K1159" t="str">
            <v>HARCROS CHEMICAL INC</v>
          </cell>
          <cell r="L1159" t="str">
            <v>NH</v>
          </cell>
          <cell r="M1159" t="str">
            <v>USA</v>
          </cell>
          <cell r="N1159" t="str">
            <v>D</v>
          </cell>
          <cell r="O1159">
            <v>20060210</v>
          </cell>
          <cell r="P1159" t="str">
            <v>PYROBOR 50LB BAG (002)</v>
          </cell>
          <cell r="Q1159" t="str">
            <v>Pyrobor</v>
          </cell>
          <cell r="R1159">
            <v>0.97</v>
          </cell>
          <cell r="S1159">
            <v>718.05</v>
          </cell>
        </row>
        <row r="1160">
          <cell r="A1160" t="str">
            <v>Budget</v>
          </cell>
          <cell r="B1160">
            <v>2</v>
          </cell>
          <cell r="C1160" t="str">
            <v>Domestic</v>
          </cell>
          <cell r="D1160">
            <v>5</v>
          </cell>
          <cell r="E1160">
            <v>8839</v>
          </cell>
          <cell r="F1160" t="str">
            <v>HARCROS CHEMICAL INC</v>
          </cell>
          <cell r="G1160" t="str">
            <v>D</v>
          </cell>
          <cell r="H1160" t="str">
            <v>NASHUA</v>
          </cell>
          <cell r="I1160" t="str">
            <v>NH</v>
          </cell>
          <cell r="J1160" t="str">
            <v>USA</v>
          </cell>
          <cell r="K1160" t="str">
            <v>HARCROS CHEMICAL INC</v>
          </cell>
          <cell r="L1160" t="str">
            <v>NH</v>
          </cell>
          <cell r="M1160" t="str">
            <v>USA</v>
          </cell>
          <cell r="N1160" t="str">
            <v>D</v>
          </cell>
          <cell r="O1160">
            <v>22060410</v>
          </cell>
          <cell r="P1160" t="str">
            <v>V-BOR 50LB BAG (004)</v>
          </cell>
          <cell r="Q1160" t="str">
            <v>Penta</v>
          </cell>
          <cell r="R1160">
            <v>8.15</v>
          </cell>
          <cell r="S1160">
            <v>2938.17</v>
          </cell>
        </row>
        <row r="1161">
          <cell r="A1161" t="str">
            <v>Budget</v>
          </cell>
          <cell r="B1161">
            <v>2</v>
          </cell>
          <cell r="C1161" t="str">
            <v>Domestic</v>
          </cell>
          <cell r="D1161">
            <v>5</v>
          </cell>
          <cell r="E1161">
            <v>8839</v>
          </cell>
          <cell r="F1161" t="str">
            <v>HARCROS CHEMICAL INC</v>
          </cell>
          <cell r="G1161" t="str">
            <v>D</v>
          </cell>
          <cell r="H1161" t="str">
            <v>NASHUA</v>
          </cell>
          <cell r="I1161" t="str">
            <v>NH</v>
          </cell>
          <cell r="J1161" t="str">
            <v>USA</v>
          </cell>
          <cell r="K1161" t="str">
            <v>HARCROS CHEMICAL INC</v>
          </cell>
          <cell r="L1161" t="str">
            <v>NH</v>
          </cell>
          <cell r="M1161" t="str">
            <v>USA</v>
          </cell>
          <cell r="N1161" t="str">
            <v>D</v>
          </cell>
          <cell r="O1161">
            <v>23060210</v>
          </cell>
          <cell r="P1161" t="str">
            <v>DECA BORAX STD 50LB BAG</v>
          </cell>
          <cell r="Q1161" t="str">
            <v>Deca</v>
          </cell>
          <cell r="R1161">
            <v>1.36</v>
          </cell>
          <cell r="S1161">
            <v>445.27</v>
          </cell>
        </row>
        <row r="1162">
          <cell r="A1162" t="str">
            <v>Budget</v>
          </cell>
          <cell r="B1162">
            <v>2</v>
          </cell>
          <cell r="C1162" t="str">
            <v>Domestic</v>
          </cell>
          <cell r="D1162">
            <v>5</v>
          </cell>
          <cell r="E1162">
            <v>8857</v>
          </cell>
          <cell r="F1162" t="str">
            <v>OWENS CORNING</v>
          </cell>
          <cell r="G1162" t="str">
            <v>D</v>
          </cell>
          <cell r="H1162" t="str">
            <v>NEWARK</v>
          </cell>
          <cell r="I1162" t="str">
            <v>OH</v>
          </cell>
          <cell r="J1162" t="str">
            <v>USA</v>
          </cell>
          <cell r="K1162" t="str">
            <v>OWENS CORNING</v>
          </cell>
          <cell r="L1162" t="str">
            <v>OH</v>
          </cell>
          <cell r="M1162" t="str">
            <v>USA</v>
          </cell>
          <cell r="N1162" t="str">
            <v>C</v>
          </cell>
          <cell r="O1162">
            <v>30210100</v>
          </cell>
          <cell r="P1162" t="str">
            <v>SODA ASH DENSE BULK</v>
          </cell>
          <cell r="Q1162" t="str">
            <v>Soda Ash</v>
          </cell>
          <cell r="R1162">
            <v>1608.96</v>
          </cell>
          <cell r="S1162">
            <v>111710.12</v>
          </cell>
        </row>
        <row r="1163">
          <cell r="A1163" t="str">
            <v>Budget</v>
          </cell>
          <cell r="B1163">
            <v>2</v>
          </cell>
          <cell r="C1163" t="str">
            <v>Domestic</v>
          </cell>
          <cell r="D1163">
            <v>5</v>
          </cell>
          <cell r="E1163">
            <v>8857</v>
          </cell>
          <cell r="F1163" t="str">
            <v>OWENS CORNING</v>
          </cell>
          <cell r="G1163" t="str">
            <v>D</v>
          </cell>
          <cell r="H1163" t="str">
            <v>NEWARK</v>
          </cell>
          <cell r="I1163" t="str">
            <v>OH</v>
          </cell>
          <cell r="J1163" t="str">
            <v>USA</v>
          </cell>
          <cell r="K1163" t="str">
            <v>OWENS CORNING</v>
          </cell>
          <cell r="L1163" t="str">
            <v>OH</v>
          </cell>
          <cell r="M1163" t="str">
            <v>USA</v>
          </cell>
          <cell r="N1163" t="str">
            <v>C</v>
          </cell>
          <cell r="O1163">
            <v>30218800</v>
          </cell>
          <cell r="P1163" t="str">
            <v>SODA ASH DENSE BULK (088)</v>
          </cell>
          <cell r="Q1163" t="str">
            <v>Soda Ash</v>
          </cell>
          <cell r="R1163">
            <v>17.75</v>
          </cell>
          <cell r="S1163">
            <v>1153.75</v>
          </cell>
        </row>
        <row r="1164">
          <cell r="A1164" t="str">
            <v>Budget</v>
          </cell>
          <cell r="B1164">
            <v>2</v>
          </cell>
          <cell r="C1164" t="str">
            <v>Domestic</v>
          </cell>
          <cell r="D1164">
            <v>5</v>
          </cell>
          <cell r="E1164">
            <v>8858</v>
          </cell>
          <cell r="F1164" t="str">
            <v>OWENS CORNING</v>
          </cell>
          <cell r="G1164" t="str">
            <v>D</v>
          </cell>
          <cell r="H1164" t="str">
            <v>SELKIRK</v>
          </cell>
          <cell r="I1164" t="str">
            <v>NY</v>
          </cell>
          <cell r="J1164" t="str">
            <v>USA</v>
          </cell>
          <cell r="K1164" t="str">
            <v>OWENS CORNING</v>
          </cell>
          <cell r="L1164" t="str">
            <v>NY</v>
          </cell>
          <cell r="M1164" t="str">
            <v>USA</v>
          </cell>
          <cell r="N1164" t="str">
            <v>C</v>
          </cell>
          <cell r="O1164">
            <v>30210100</v>
          </cell>
          <cell r="P1164" t="str">
            <v>SODA ASH DENSE BULK</v>
          </cell>
          <cell r="Q1164" t="str">
            <v>Soda Ash</v>
          </cell>
          <cell r="R1164">
            <v>1897.92</v>
          </cell>
          <cell r="S1164">
            <v>131051.27</v>
          </cell>
        </row>
        <row r="1165">
          <cell r="A1165" t="str">
            <v>Budget</v>
          </cell>
          <cell r="B1165">
            <v>2</v>
          </cell>
          <cell r="C1165" t="str">
            <v>Domestic</v>
          </cell>
          <cell r="D1165">
            <v>5</v>
          </cell>
          <cell r="E1165">
            <v>8937</v>
          </cell>
          <cell r="F1165" t="str">
            <v>KLEEN-TEST</v>
          </cell>
          <cell r="G1165" t="str">
            <v>D</v>
          </cell>
          <cell r="H1165" t="str">
            <v>PORT WASHINGTON</v>
          </cell>
          <cell r="I1165" t="str">
            <v>WI</v>
          </cell>
          <cell r="J1165" t="str">
            <v>USA</v>
          </cell>
          <cell r="K1165" t="str">
            <v>UNILEVER HPC</v>
          </cell>
          <cell r="L1165" t="str">
            <v>CT</v>
          </cell>
          <cell r="M1165" t="str">
            <v>USA</v>
          </cell>
          <cell r="N1165" t="str">
            <v>C</v>
          </cell>
          <cell r="O1165">
            <v>40060410</v>
          </cell>
          <cell r="P1165" t="str">
            <v>SODIUM SULFATE STD 50LB BAG</v>
          </cell>
          <cell r="Q1165" t="str">
            <v>Sodium Sulfate</v>
          </cell>
          <cell r="R1165">
            <v>10.1</v>
          </cell>
          <cell r="S1165">
            <v>1503.47</v>
          </cell>
        </row>
        <row r="1166">
          <cell r="A1166" t="str">
            <v>Budget</v>
          </cell>
          <cell r="B1166">
            <v>2</v>
          </cell>
          <cell r="C1166" t="str">
            <v>Domestic</v>
          </cell>
          <cell r="D1166">
            <v>5</v>
          </cell>
          <cell r="E1166">
            <v>9008</v>
          </cell>
          <cell r="F1166" t="str">
            <v>CITY CHEMICAL LLC</v>
          </cell>
          <cell r="G1166" t="str">
            <v>D</v>
          </cell>
          <cell r="H1166" t="str">
            <v>WEST HAVEN</v>
          </cell>
          <cell r="I1166" t="str">
            <v>CT</v>
          </cell>
          <cell r="J1166" t="str">
            <v>USA</v>
          </cell>
          <cell r="K1166" t="str">
            <v>CITY CHEMICAL LLC</v>
          </cell>
          <cell r="L1166" t="str">
            <v>CT</v>
          </cell>
          <cell r="M1166" t="str">
            <v>USA</v>
          </cell>
          <cell r="N1166" t="str">
            <v>C</v>
          </cell>
          <cell r="O1166">
            <v>78099720</v>
          </cell>
          <cell r="P1166" t="str">
            <v>POTASSIUM PENTABORATE 25KG BAG</v>
          </cell>
          <cell r="Q1166" t="str">
            <v>Boric Salt (SCL)</v>
          </cell>
          <cell r="R1166">
            <v>0.08</v>
          </cell>
          <cell r="S1166">
            <v>309.3</v>
          </cell>
        </row>
        <row r="1167">
          <cell r="A1167" t="str">
            <v>Budget</v>
          </cell>
          <cell r="B1167">
            <v>2</v>
          </cell>
          <cell r="C1167" t="str">
            <v>Domestic</v>
          </cell>
          <cell r="D1167">
            <v>5</v>
          </cell>
          <cell r="E1167">
            <v>9025</v>
          </cell>
          <cell r="F1167" t="str">
            <v>PEMCO CORPORATION</v>
          </cell>
          <cell r="G1167" t="str">
            <v>D</v>
          </cell>
          <cell r="H1167" t="str">
            <v>LEESBURG</v>
          </cell>
          <cell r="I1167" t="str">
            <v>AL</v>
          </cell>
          <cell r="J1167" t="str">
            <v>USA</v>
          </cell>
          <cell r="K1167" t="str">
            <v>PEMCO CORPORATION</v>
          </cell>
          <cell r="L1167" t="str">
            <v>AL</v>
          </cell>
          <cell r="M1167" t="str">
            <v>USA</v>
          </cell>
          <cell r="N1167" t="str">
            <v>C</v>
          </cell>
          <cell r="O1167">
            <v>20060200</v>
          </cell>
          <cell r="P1167" t="str">
            <v>PYROBOR ANHY BORAX BULK (002)</v>
          </cell>
          <cell r="Q1167" t="str">
            <v>Pyrobor</v>
          </cell>
          <cell r="R1167">
            <v>175.86</v>
          </cell>
          <cell r="S1167">
            <v>81238.02</v>
          </cell>
        </row>
        <row r="1168">
          <cell r="A1168" t="str">
            <v>Budget</v>
          </cell>
          <cell r="B1168">
            <v>2</v>
          </cell>
          <cell r="C1168" t="str">
            <v>Domestic</v>
          </cell>
          <cell r="D1168">
            <v>5</v>
          </cell>
          <cell r="E1168">
            <v>9048</v>
          </cell>
          <cell r="F1168" t="str">
            <v>UNIVAR USA</v>
          </cell>
          <cell r="G1168" t="str">
            <v>D</v>
          </cell>
          <cell r="H1168" t="str">
            <v>BUNOLA</v>
          </cell>
          <cell r="I1168" t="str">
            <v>PA</v>
          </cell>
          <cell r="J1168" t="str">
            <v>USA</v>
          </cell>
          <cell r="K1168" t="str">
            <v>UNIVAR USA</v>
          </cell>
          <cell r="L1168" t="str">
            <v>IL</v>
          </cell>
          <cell r="M1168" t="str">
            <v>USA</v>
          </cell>
          <cell r="N1168" t="str">
            <v>D</v>
          </cell>
          <cell r="O1168">
            <v>20060210</v>
          </cell>
          <cell r="P1168" t="str">
            <v>PYROBOR 50LB BAG (002)</v>
          </cell>
          <cell r="Q1168" t="str">
            <v>Pyrobor</v>
          </cell>
          <cell r="R1168">
            <v>17.47</v>
          </cell>
          <cell r="S1168">
            <v>9497.68</v>
          </cell>
        </row>
        <row r="1169">
          <cell r="A1169" t="str">
            <v>Budget</v>
          </cell>
          <cell r="B1169">
            <v>2</v>
          </cell>
          <cell r="C1169" t="str">
            <v>Domestic</v>
          </cell>
          <cell r="D1169">
            <v>5</v>
          </cell>
          <cell r="E1169">
            <v>9048</v>
          </cell>
          <cell r="F1169" t="str">
            <v>UNIVAR USA</v>
          </cell>
          <cell r="G1169" t="str">
            <v>D</v>
          </cell>
          <cell r="H1169" t="str">
            <v>BUNOLA</v>
          </cell>
          <cell r="I1169" t="str">
            <v>PA</v>
          </cell>
          <cell r="J1169" t="str">
            <v>USA</v>
          </cell>
          <cell r="K1169" t="str">
            <v>UNIVAR USA</v>
          </cell>
          <cell r="L1169" t="str">
            <v>IL</v>
          </cell>
          <cell r="M1169" t="str">
            <v>USA</v>
          </cell>
          <cell r="N1169" t="str">
            <v>D</v>
          </cell>
          <cell r="O1169">
            <v>22060410</v>
          </cell>
          <cell r="P1169" t="str">
            <v>V-BOR 50LB BAG (004)</v>
          </cell>
          <cell r="Q1169" t="str">
            <v>Penta</v>
          </cell>
          <cell r="R1169">
            <v>7.18</v>
          </cell>
          <cell r="S1169">
            <v>2040.23</v>
          </cell>
        </row>
        <row r="1170">
          <cell r="A1170" t="str">
            <v>Budget</v>
          </cell>
          <cell r="B1170">
            <v>2</v>
          </cell>
          <cell r="C1170" t="str">
            <v>Domestic</v>
          </cell>
          <cell r="D1170">
            <v>5</v>
          </cell>
          <cell r="E1170">
            <v>9048</v>
          </cell>
          <cell r="F1170" t="str">
            <v>UNIVAR USA</v>
          </cell>
          <cell r="G1170" t="str">
            <v>D</v>
          </cell>
          <cell r="H1170" t="str">
            <v>BUNOLA</v>
          </cell>
          <cell r="I1170" t="str">
            <v>PA</v>
          </cell>
          <cell r="J1170" t="str">
            <v>USA</v>
          </cell>
          <cell r="K1170" t="str">
            <v>UNIVAR USA</v>
          </cell>
          <cell r="L1170" t="str">
            <v>IL</v>
          </cell>
          <cell r="M1170" t="str">
            <v>USA</v>
          </cell>
          <cell r="N1170" t="str">
            <v>D</v>
          </cell>
          <cell r="O1170">
            <v>22060450</v>
          </cell>
          <cell r="P1170" t="str">
            <v>V-BOR 1TN FIBC (004)</v>
          </cell>
          <cell r="Q1170" t="str">
            <v>Penta</v>
          </cell>
          <cell r="R1170">
            <v>7.77</v>
          </cell>
          <cell r="S1170">
            <v>2905.97</v>
          </cell>
        </row>
        <row r="1171">
          <cell r="A1171" t="str">
            <v>Budget</v>
          </cell>
          <cell r="B1171">
            <v>2</v>
          </cell>
          <cell r="C1171" t="str">
            <v>Domestic</v>
          </cell>
          <cell r="D1171">
            <v>5</v>
          </cell>
          <cell r="E1171">
            <v>9048</v>
          </cell>
          <cell r="F1171" t="str">
            <v>UNIVAR USA</v>
          </cell>
          <cell r="G1171" t="str">
            <v>D</v>
          </cell>
          <cell r="H1171" t="str">
            <v>BUNOLA</v>
          </cell>
          <cell r="I1171" t="str">
            <v>PA</v>
          </cell>
          <cell r="J1171" t="str">
            <v>USA</v>
          </cell>
          <cell r="K1171" t="str">
            <v>UNIVAR USA</v>
          </cell>
          <cell r="L1171" t="str">
            <v>IL</v>
          </cell>
          <cell r="M1171" t="str">
            <v>USA</v>
          </cell>
          <cell r="N1171" t="str">
            <v>D</v>
          </cell>
          <cell r="O1171">
            <v>24090210</v>
          </cell>
          <cell r="P1171" t="str">
            <v>BORIC ACID GRAN TECH 50LB BAG</v>
          </cell>
          <cell r="Q1171" t="str">
            <v>Boric Acid</v>
          </cell>
          <cell r="R1171">
            <v>12.42</v>
          </cell>
          <cell r="S1171">
            <v>5340.25</v>
          </cell>
        </row>
        <row r="1172">
          <cell r="A1172" t="str">
            <v>Budget</v>
          </cell>
          <cell r="B1172">
            <v>2</v>
          </cell>
          <cell r="C1172" t="str">
            <v>Domestic</v>
          </cell>
          <cell r="D1172">
            <v>5</v>
          </cell>
          <cell r="E1172">
            <v>9067</v>
          </cell>
          <cell r="F1172" t="str">
            <v>EXELON GENERATION COMPANY LLC</v>
          </cell>
          <cell r="G1172" t="str">
            <v>D</v>
          </cell>
          <cell r="H1172" t="str">
            <v>BRAIDWOOD</v>
          </cell>
          <cell r="I1172" t="str">
            <v>IL</v>
          </cell>
          <cell r="J1172" t="str">
            <v>USA</v>
          </cell>
          <cell r="K1172" t="str">
            <v>EXELON GENERATION COMPANY LLC</v>
          </cell>
          <cell r="L1172" t="str">
            <v>IL</v>
          </cell>
          <cell r="M1172" t="str">
            <v>USA</v>
          </cell>
          <cell r="N1172" t="str">
            <v>C</v>
          </cell>
          <cell r="O1172">
            <v>24609720</v>
          </cell>
          <cell r="P1172" t="str">
            <v>BORIC ACID NS 25KG BAG</v>
          </cell>
          <cell r="Q1172" t="str">
            <v>HP Boric Acid (SCL)</v>
          </cell>
          <cell r="R1172">
            <v>4.59</v>
          </cell>
          <cell r="S1172">
            <v>6847.38</v>
          </cell>
        </row>
        <row r="1173">
          <cell r="A1173" t="str">
            <v>Budget</v>
          </cell>
          <cell r="B1173">
            <v>2</v>
          </cell>
          <cell r="C1173" t="str">
            <v>Domestic</v>
          </cell>
          <cell r="D1173">
            <v>5</v>
          </cell>
          <cell r="E1173">
            <v>9093</v>
          </cell>
          <cell r="F1173" t="str">
            <v>UNIVAR USA</v>
          </cell>
          <cell r="G1173" t="str">
            <v>D</v>
          </cell>
          <cell r="H1173" t="str">
            <v>PROVIDENCE</v>
          </cell>
          <cell r="I1173" t="str">
            <v>RI</v>
          </cell>
          <cell r="J1173" t="str">
            <v>USA</v>
          </cell>
          <cell r="K1173" t="str">
            <v>UNIVAR USA</v>
          </cell>
          <cell r="L1173" t="str">
            <v>RI</v>
          </cell>
          <cell r="M1173" t="str">
            <v>USA</v>
          </cell>
          <cell r="N1173" t="str">
            <v>D</v>
          </cell>
          <cell r="O1173">
            <v>22060410</v>
          </cell>
          <cell r="P1173" t="str">
            <v>V-BOR 50LB BAG (004)</v>
          </cell>
          <cell r="Q1173" t="str">
            <v>Penta</v>
          </cell>
          <cell r="R1173">
            <v>4.2699999999999996</v>
          </cell>
          <cell r="S1173">
            <v>1402.98</v>
          </cell>
        </row>
        <row r="1174">
          <cell r="A1174" t="str">
            <v>Budget</v>
          </cell>
          <cell r="B1174">
            <v>2</v>
          </cell>
          <cell r="C1174" t="str">
            <v>Domestic</v>
          </cell>
          <cell r="D1174">
            <v>5</v>
          </cell>
          <cell r="E1174">
            <v>9093</v>
          </cell>
          <cell r="F1174" t="str">
            <v>UNIVAR USA</v>
          </cell>
          <cell r="G1174" t="str">
            <v>D</v>
          </cell>
          <cell r="H1174" t="str">
            <v>PROVIDENCE</v>
          </cell>
          <cell r="I1174" t="str">
            <v>RI</v>
          </cell>
          <cell r="J1174" t="str">
            <v>USA</v>
          </cell>
          <cell r="K1174" t="str">
            <v>UNIVAR USA</v>
          </cell>
          <cell r="L1174" t="str">
            <v>RI</v>
          </cell>
          <cell r="M1174" t="str">
            <v>USA</v>
          </cell>
          <cell r="N1174" t="str">
            <v>D</v>
          </cell>
          <cell r="O1174">
            <v>23060210</v>
          </cell>
          <cell r="P1174" t="str">
            <v>DECA BORAX STD 50LB BAG</v>
          </cell>
          <cell r="Q1174" t="str">
            <v>Deca</v>
          </cell>
          <cell r="R1174">
            <v>1.1599999999999999</v>
          </cell>
          <cell r="S1174">
            <v>365.81</v>
          </cell>
        </row>
        <row r="1175">
          <cell r="A1175" t="str">
            <v>Budget</v>
          </cell>
          <cell r="B1175">
            <v>2</v>
          </cell>
          <cell r="C1175" t="str">
            <v>Domestic</v>
          </cell>
          <cell r="D1175">
            <v>5</v>
          </cell>
          <cell r="E1175">
            <v>9093</v>
          </cell>
          <cell r="F1175" t="str">
            <v>UNIVAR USA</v>
          </cell>
          <cell r="G1175" t="str">
            <v>D</v>
          </cell>
          <cell r="H1175" t="str">
            <v>PROVIDENCE</v>
          </cell>
          <cell r="I1175" t="str">
            <v>RI</v>
          </cell>
          <cell r="J1175" t="str">
            <v>USA</v>
          </cell>
          <cell r="K1175" t="str">
            <v>UNIVAR USA</v>
          </cell>
          <cell r="L1175" t="str">
            <v>RI</v>
          </cell>
          <cell r="M1175" t="str">
            <v>USA</v>
          </cell>
          <cell r="N1175" t="str">
            <v>D</v>
          </cell>
          <cell r="O1175">
            <v>24090210</v>
          </cell>
          <cell r="P1175" t="str">
            <v>BORIC ACID GRAN TECH 50LB BAG</v>
          </cell>
          <cell r="Q1175" t="str">
            <v>Boric Acid</v>
          </cell>
          <cell r="R1175">
            <v>1.36</v>
          </cell>
          <cell r="S1175">
            <v>856.79</v>
          </cell>
        </row>
        <row r="1176">
          <cell r="A1176" t="str">
            <v>Budget</v>
          </cell>
          <cell r="B1176">
            <v>2</v>
          </cell>
          <cell r="C1176" t="str">
            <v>Domestic</v>
          </cell>
          <cell r="D1176">
            <v>5</v>
          </cell>
          <cell r="E1176">
            <v>9094</v>
          </cell>
          <cell r="F1176" t="str">
            <v>CHEMICAL SALES &amp; SERVICE</v>
          </cell>
          <cell r="G1176" t="str">
            <v>D</v>
          </cell>
          <cell r="H1176" t="str">
            <v>WORCESTER</v>
          </cell>
          <cell r="I1176" t="str">
            <v>MA</v>
          </cell>
          <cell r="J1176" t="str">
            <v>USA</v>
          </cell>
          <cell r="K1176" t="str">
            <v>UNIVAR USA</v>
          </cell>
          <cell r="L1176" t="str">
            <v>RI</v>
          </cell>
          <cell r="M1176" t="str">
            <v>USA</v>
          </cell>
          <cell r="N1176" t="str">
            <v>D</v>
          </cell>
          <cell r="O1176">
            <v>22060410</v>
          </cell>
          <cell r="P1176" t="str">
            <v>V-BOR 50LB BAG (004)</v>
          </cell>
          <cell r="Q1176" t="str">
            <v>Penta</v>
          </cell>
          <cell r="R1176">
            <v>5.63</v>
          </cell>
          <cell r="S1176">
            <v>1849.65</v>
          </cell>
        </row>
        <row r="1177">
          <cell r="A1177" t="str">
            <v>Budget</v>
          </cell>
          <cell r="B1177">
            <v>2</v>
          </cell>
          <cell r="C1177" t="str">
            <v>Domestic</v>
          </cell>
          <cell r="D1177">
            <v>5</v>
          </cell>
          <cell r="E1177">
            <v>9094</v>
          </cell>
          <cell r="F1177" t="str">
            <v>CHEMICAL SALES &amp; SERVICE</v>
          </cell>
          <cell r="G1177" t="str">
            <v>D</v>
          </cell>
          <cell r="H1177" t="str">
            <v>WORCESTER</v>
          </cell>
          <cell r="I1177" t="str">
            <v>MA</v>
          </cell>
          <cell r="J1177" t="str">
            <v>USA</v>
          </cell>
          <cell r="K1177" t="str">
            <v>UNIVAR USA</v>
          </cell>
          <cell r="L1177" t="str">
            <v>RI</v>
          </cell>
          <cell r="M1177" t="str">
            <v>USA</v>
          </cell>
          <cell r="N1177" t="str">
            <v>D</v>
          </cell>
          <cell r="O1177">
            <v>23060210</v>
          </cell>
          <cell r="P1177" t="str">
            <v>DECA BORAX STD 50LB BAG</v>
          </cell>
          <cell r="Q1177" t="str">
            <v>Deca</v>
          </cell>
          <cell r="R1177">
            <v>4.8499999999999996</v>
          </cell>
          <cell r="S1177">
            <v>1499.21</v>
          </cell>
        </row>
        <row r="1178">
          <cell r="A1178" t="str">
            <v>Budget</v>
          </cell>
          <cell r="B1178">
            <v>2</v>
          </cell>
          <cell r="C1178" t="str">
            <v>Domestic</v>
          </cell>
          <cell r="D1178">
            <v>5</v>
          </cell>
          <cell r="E1178">
            <v>9119</v>
          </cell>
          <cell r="F1178" t="str">
            <v>UNIVAR USA</v>
          </cell>
          <cell r="G1178" t="str">
            <v>D</v>
          </cell>
          <cell r="H1178" t="str">
            <v>MIDDLETOWN</v>
          </cell>
          <cell r="I1178" t="str">
            <v>PA</v>
          </cell>
          <cell r="J1178" t="str">
            <v>USA</v>
          </cell>
          <cell r="K1178" t="str">
            <v>UNIVAR USA</v>
          </cell>
          <cell r="L1178" t="str">
            <v>PA</v>
          </cell>
          <cell r="M1178" t="str">
            <v>USA</v>
          </cell>
          <cell r="N1178" t="str">
            <v>D</v>
          </cell>
          <cell r="O1178">
            <v>22060410</v>
          </cell>
          <cell r="P1178" t="str">
            <v>V-BOR 50LB BAG (004)</v>
          </cell>
          <cell r="Q1178" t="str">
            <v>Penta</v>
          </cell>
          <cell r="R1178">
            <v>6.99</v>
          </cell>
          <cell r="S1178">
            <v>2430.06</v>
          </cell>
        </row>
        <row r="1179">
          <cell r="A1179" t="str">
            <v>Budget</v>
          </cell>
          <cell r="B1179">
            <v>2</v>
          </cell>
          <cell r="C1179" t="str">
            <v>Domestic</v>
          </cell>
          <cell r="D1179">
            <v>5</v>
          </cell>
          <cell r="E1179">
            <v>9205</v>
          </cell>
          <cell r="F1179" t="str">
            <v>MANHATTAN PRODUCTS INC</v>
          </cell>
          <cell r="G1179" t="str">
            <v>D</v>
          </cell>
          <cell r="H1179" t="str">
            <v>CARLSTADT</v>
          </cell>
          <cell r="I1179" t="str">
            <v>NJ</v>
          </cell>
          <cell r="J1179" t="str">
            <v>USA</v>
          </cell>
          <cell r="K1179" t="str">
            <v>VECKRIDGE CHEMICAL COMPANY</v>
          </cell>
          <cell r="L1179" t="str">
            <v>NJ</v>
          </cell>
          <cell r="M1179" t="str">
            <v>USA</v>
          </cell>
          <cell r="N1179" t="str">
            <v>D</v>
          </cell>
          <cell r="O1179">
            <v>23060210</v>
          </cell>
          <cell r="P1179" t="str">
            <v>DECA BORAX STD 50LB BAG</v>
          </cell>
          <cell r="Q1179" t="str">
            <v>Deca</v>
          </cell>
          <cell r="R1179">
            <v>7.92</v>
          </cell>
          <cell r="S1179">
            <v>2060.11</v>
          </cell>
        </row>
        <row r="1180">
          <cell r="A1180" t="str">
            <v>Budget</v>
          </cell>
          <cell r="B1180">
            <v>2</v>
          </cell>
          <cell r="C1180" t="str">
            <v>Domestic</v>
          </cell>
          <cell r="D1180">
            <v>5</v>
          </cell>
          <cell r="E1180">
            <v>9261</v>
          </cell>
          <cell r="F1180" t="str">
            <v>OWENS CORNING</v>
          </cell>
          <cell r="G1180" t="str">
            <v>D</v>
          </cell>
          <cell r="H1180" t="str">
            <v>SANTA CLARA</v>
          </cell>
          <cell r="I1180" t="str">
            <v>CA</v>
          </cell>
          <cell r="J1180" t="str">
            <v>USA</v>
          </cell>
          <cell r="K1180" t="str">
            <v>OWENS CORNING</v>
          </cell>
          <cell r="L1180" t="str">
            <v>CA</v>
          </cell>
          <cell r="M1180" t="str">
            <v>USA</v>
          </cell>
          <cell r="N1180" t="str">
            <v>C</v>
          </cell>
          <cell r="O1180">
            <v>30210100</v>
          </cell>
          <cell r="P1180" t="str">
            <v>SODA ASH DENSE BULK</v>
          </cell>
          <cell r="Q1180" t="str">
            <v>Soda Ash</v>
          </cell>
          <cell r="R1180">
            <v>594.29999999999995</v>
          </cell>
          <cell r="S1180">
            <v>55674.28</v>
          </cell>
        </row>
        <row r="1181">
          <cell r="A1181" t="str">
            <v>Budget</v>
          </cell>
          <cell r="B1181">
            <v>2</v>
          </cell>
          <cell r="C1181" t="str">
            <v>Domestic</v>
          </cell>
          <cell r="D1181">
            <v>5</v>
          </cell>
          <cell r="E1181">
            <v>9263</v>
          </cell>
          <cell r="F1181" t="str">
            <v>OWENS CORNING</v>
          </cell>
          <cell r="G1181" t="str">
            <v>D</v>
          </cell>
          <cell r="H1181" t="str">
            <v>ELOY</v>
          </cell>
          <cell r="I1181" t="str">
            <v>AZ</v>
          </cell>
          <cell r="J1181" t="str">
            <v>USA</v>
          </cell>
          <cell r="K1181" t="str">
            <v>OWENS CORNING</v>
          </cell>
          <cell r="L1181" t="str">
            <v>AZ</v>
          </cell>
          <cell r="M1181" t="str">
            <v>USA</v>
          </cell>
          <cell r="N1181" t="str">
            <v>C</v>
          </cell>
          <cell r="O1181">
            <v>30210100</v>
          </cell>
          <cell r="P1181" t="str">
            <v>SODA ASH DENSE BULK</v>
          </cell>
          <cell r="Q1181" t="str">
            <v>Soda Ash</v>
          </cell>
          <cell r="R1181">
            <v>124.83</v>
          </cell>
          <cell r="S1181">
            <v>9188.67</v>
          </cell>
        </row>
        <row r="1182">
          <cell r="A1182" t="str">
            <v>Budget</v>
          </cell>
          <cell r="B1182">
            <v>2</v>
          </cell>
          <cell r="C1182" t="str">
            <v>Domestic</v>
          </cell>
          <cell r="D1182">
            <v>5</v>
          </cell>
          <cell r="E1182">
            <v>9264</v>
          </cell>
          <cell r="F1182" t="str">
            <v>OWENS CORNING CANADA INC.</v>
          </cell>
          <cell r="G1182" t="str">
            <v>D</v>
          </cell>
          <cell r="H1182" t="str">
            <v>AGINCOURT</v>
          </cell>
          <cell r="I1182" t="str">
            <v>ON</v>
          </cell>
          <cell r="J1182" t="str">
            <v>CAN</v>
          </cell>
          <cell r="K1182" t="str">
            <v>OWENS CORNING CANADA INC.</v>
          </cell>
          <cell r="L1182" t="str">
            <v>ON</v>
          </cell>
          <cell r="M1182" t="str">
            <v>CAN</v>
          </cell>
          <cell r="N1182" t="str">
            <v>C</v>
          </cell>
          <cell r="O1182">
            <v>30210100</v>
          </cell>
          <cell r="P1182" t="str">
            <v>SODA ASH DENSE BULK</v>
          </cell>
          <cell r="Q1182" t="str">
            <v>Soda Ash</v>
          </cell>
          <cell r="R1182">
            <v>255.62</v>
          </cell>
          <cell r="S1182">
            <v>19427.3</v>
          </cell>
        </row>
        <row r="1183">
          <cell r="A1183" t="str">
            <v>Budget</v>
          </cell>
          <cell r="B1183">
            <v>2</v>
          </cell>
          <cell r="C1183" t="str">
            <v>Domestic</v>
          </cell>
          <cell r="D1183">
            <v>5</v>
          </cell>
          <cell r="E1183">
            <v>9265</v>
          </cell>
          <cell r="F1183" t="str">
            <v>OWENS CORNING</v>
          </cell>
          <cell r="G1183" t="str">
            <v>D</v>
          </cell>
          <cell r="H1183" t="str">
            <v>CANDIAC</v>
          </cell>
          <cell r="I1183" t="str">
            <v>PQ</v>
          </cell>
          <cell r="J1183" t="str">
            <v>CAN</v>
          </cell>
          <cell r="K1183" t="str">
            <v>OWENS CORNING</v>
          </cell>
          <cell r="L1183" t="str">
            <v>PQ</v>
          </cell>
          <cell r="M1183" t="str">
            <v>CAN</v>
          </cell>
          <cell r="N1183" t="str">
            <v>C</v>
          </cell>
          <cell r="O1183">
            <v>30210100</v>
          </cell>
          <cell r="P1183" t="str">
            <v>SODA ASH DENSE BULK</v>
          </cell>
          <cell r="Q1183" t="str">
            <v>Soda Ash</v>
          </cell>
          <cell r="R1183">
            <v>139.68</v>
          </cell>
          <cell r="S1183">
            <v>10266.379999999999</v>
          </cell>
        </row>
        <row r="1184">
          <cell r="A1184" t="str">
            <v>Budget</v>
          </cell>
          <cell r="B1184">
            <v>2</v>
          </cell>
          <cell r="C1184" t="str">
            <v>Domestic</v>
          </cell>
          <cell r="D1184">
            <v>5</v>
          </cell>
          <cell r="E1184">
            <v>9270</v>
          </cell>
          <cell r="F1184" t="str">
            <v>JEMPAK CANADA</v>
          </cell>
          <cell r="G1184" t="str">
            <v>D</v>
          </cell>
          <cell r="H1184" t="str">
            <v>OAKVILLE</v>
          </cell>
          <cell r="I1184" t="str">
            <v>ON</v>
          </cell>
          <cell r="J1184" t="str">
            <v>CAN</v>
          </cell>
          <cell r="K1184" t="str">
            <v>QUADRA CHEMICAL</v>
          </cell>
          <cell r="L1184" t="str">
            <v>PQ</v>
          </cell>
          <cell r="M1184" t="str">
            <v>CAN</v>
          </cell>
          <cell r="N1184" t="str">
            <v>D</v>
          </cell>
          <cell r="O1184">
            <v>23060210</v>
          </cell>
          <cell r="P1184" t="str">
            <v>DECA BORAX STD 50LB BAG</v>
          </cell>
          <cell r="Q1184" t="str">
            <v>Deca</v>
          </cell>
          <cell r="R1184">
            <v>3.49</v>
          </cell>
          <cell r="S1184">
            <v>1094.32</v>
          </cell>
        </row>
        <row r="1185">
          <cell r="A1185" t="str">
            <v>Budget</v>
          </cell>
          <cell r="B1185">
            <v>2</v>
          </cell>
          <cell r="C1185" t="str">
            <v>Domestic</v>
          </cell>
          <cell r="D1185">
            <v>5</v>
          </cell>
          <cell r="E1185">
            <v>9377</v>
          </cell>
          <cell r="F1185" t="str">
            <v>CANADA COLORS &amp; CHEMICAL LTD</v>
          </cell>
          <cell r="G1185" t="str">
            <v>D</v>
          </cell>
          <cell r="H1185" t="str">
            <v>MORDEN</v>
          </cell>
          <cell r="I1185" t="str">
            <v>MB</v>
          </cell>
          <cell r="J1185" t="str">
            <v>CAN</v>
          </cell>
          <cell r="K1185" t="str">
            <v>CANADA COLORS &amp; CHEMICAL LTD</v>
          </cell>
          <cell r="L1185" t="str">
            <v>ON</v>
          </cell>
          <cell r="M1185" t="str">
            <v>CAN</v>
          </cell>
          <cell r="N1185" t="str">
            <v>D</v>
          </cell>
          <cell r="O1185">
            <v>24230250</v>
          </cell>
          <cell r="P1185" t="str">
            <v>BORIC ACID GRAN TECH 1TN FIBC</v>
          </cell>
          <cell r="Q1185" t="str">
            <v>Boric Acid</v>
          </cell>
          <cell r="R1185">
            <v>6.97</v>
          </cell>
          <cell r="S1185">
            <v>3186.52</v>
          </cell>
        </row>
        <row r="1186">
          <cell r="A1186" t="str">
            <v>Budget</v>
          </cell>
          <cell r="B1186">
            <v>2</v>
          </cell>
          <cell r="C1186" t="str">
            <v>Domestic</v>
          </cell>
          <cell r="D1186">
            <v>5</v>
          </cell>
          <cell r="E1186">
            <v>9405</v>
          </cell>
          <cell r="F1186" t="str">
            <v>PFIZER PHARMACEUTICAL, INC.</v>
          </cell>
          <cell r="G1186" t="str">
            <v>E</v>
          </cell>
          <cell r="H1186" t="str">
            <v>VEGA BAJA</v>
          </cell>
          <cell r="J1186" t="str">
            <v>PRC</v>
          </cell>
          <cell r="K1186" t="str">
            <v>PFIZER PHARMACEUTICAL, INC.</v>
          </cell>
          <cell r="L1186" t="str">
            <v>NJ</v>
          </cell>
          <cell r="M1186" t="str">
            <v>USA</v>
          </cell>
          <cell r="N1186" t="str">
            <v>C</v>
          </cell>
          <cell r="O1186">
            <v>40060430</v>
          </cell>
          <cell r="P1186" t="str">
            <v>SODIUM SULFATE STD 100LB BAG</v>
          </cell>
          <cell r="Q1186" t="str">
            <v>Sodium Sulfate</v>
          </cell>
          <cell r="R1186">
            <v>6.34</v>
          </cell>
          <cell r="S1186">
            <v>1362.84</v>
          </cell>
        </row>
        <row r="1187">
          <cell r="A1187" t="str">
            <v>Budget</v>
          </cell>
          <cell r="B1187">
            <v>2</v>
          </cell>
          <cell r="C1187" t="str">
            <v>Domestic</v>
          </cell>
          <cell r="D1187">
            <v>5</v>
          </cell>
          <cell r="E1187">
            <v>9419</v>
          </cell>
          <cell r="F1187" t="str">
            <v>LORD'S ADDITIVES LLC</v>
          </cell>
          <cell r="G1187" t="str">
            <v>D</v>
          </cell>
          <cell r="H1187" t="str">
            <v>SEWELL</v>
          </cell>
          <cell r="I1187" t="str">
            <v>NJ</v>
          </cell>
          <cell r="J1187" t="str">
            <v>USA</v>
          </cell>
          <cell r="K1187" t="str">
            <v>LORD'S ADDITIVES LLC</v>
          </cell>
          <cell r="L1187" t="str">
            <v>NJ</v>
          </cell>
          <cell r="M1187" t="str">
            <v>USA</v>
          </cell>
          <cell r="N1187" t="str">
            <v>C</v>
          </cell>
          <cell r="O1187">
            <v>27069720</v>
          </cell>
          <cell r="P1187" t="str">
            <v>ZINC BORATE, STD 25KG BAGS</v>
          </cell>
          <cell r="Q1187" t="str">
            <v>Boric Salt (SCL)</v>
          </cell>
          <cell r="R1187">
            <v>0.17</v>
          </cell>
          <cell r="S1187">
            <v>272</v>
          </cell>
        </row>
        <row r="1188">
          <cell r="A1188" t="str">
            <v>Budget</v>
          </cell>
          <cell r="B1188">
            <v>2</v>
          </cell>
          <cell r="C1188" t="str">
            <v>Domestic</v>
          </cell>
          <cell r="D1188">
            <v>5</v>
          </cell>
          <cell r="E1188">
            <v>9419</v>
          </cell>
          <cell r="F1188" t="str">
            <v>LORD'S ADDITIVES LLC</v>
          </cell>
          <cell r="G1188" t="str">
            <v>D</v>
          </cell>
          <cell r="H1188" t="str">
            <v>SEWELL</v>
          </cell>
          <cell r="I1188" t="str">
            <v>NJ</v>
          </cell>
          <cell r="J1188" t="str">
            <v>USA</v>
          </cell>
          <cell r="K1188" t="str">
            <v>LORD'S ADDITIVES LLC</v>
          </cell>
          <cell r="L1188" t="str">
            <v>NJ</v>
          </cell>
          <cell r="M1188" t="str">
            <v>USA</v>
          </cell>
          <cell r="N1188" t="str">
            <v>C</v>
          </cell>
          <cell r="O1188">
            <v>27069753</v>
          </cell>
          <cell r="P1188" t="str">
            <v>ZINC BORATE STD., 2500LB FIBC</v>
          </cell>
          <cell r="Q1188" t="str">
            <v>Boric Salt (SCL)</v>
          </cell>
          <cell r="R1188">
            <v>7.92</v>
          </cell>
          <cell r="S1188">
            <v>12341.39</v>
          </cell>
        </row>
        <row r="1189">
          <cell r="A1189" t="str">
            <v>Budget</v>
          </cell>
          <cell r="B1189">
            <v>2</v>
          </cell>
          <cell r="C1189" t="str">
            <v>Domestic</v>
          </cell>
          <cell r="D1189">
            <v>5</v>
          </cell>
          <cell r="E1189">
            <v>9467</v>
          </cell>
          <cell r="F1189" t="str">
            <v>CERTAIN-TEED CORP</v>
          </cell>
          <cell r="G1189" t="str">
            <v>D</v>
          </cell>
          <cell r="H1189" t="str">
            <v>MOUNTAIN TOP</v>
          </cell>
          <cell r="I1189" t="str">
            <v>PA</v>
          </cell>
          <cell r="J1189" t="str">
            <v>USA</v>
          </cell>
          <cell r="K1189" t="str">
            <v>CERTAIN-TEED CORP</v>
          </cell>
          <cell r="L1189" t="str">
            <v>PA</v>
          </cell>
          <cell r="M1189" t="str">
            <v>USA</v>
          </cell>
          <cell r="N1189" t="str">
            <v>C</v>
          </cell>
          <cell r="O1189">
            <v>22060400</v>
          </cell>
          <cell r="P1189" t="str">
            <v>V-BOR STD BULK (004)</v>
          </cell>
          <cell r="Q1189" t="str">
            <v>Penta</v>
          </cell>
          <cell r="R1189">
            <v>673.5</v>
          </cell>
          <cell r="S1189">
            <v>148169.4</v>
          </cell>
        </row>
        <row r="1190">
          <cell r="A1190" t="str">
            <v>Budget</v>
          </cell>
          <cell r="B1190">
            <v>2</v>
          </cell>
          <cell r="C1190" t="str">
            <v>Domestic</v>
          </cell>
          <cell r="D1190">
            <v>5</v>
          </cell>
          <cell r="E1190">
            <v>9531</v>
          </cell>
          <cell r="F1190" t="str">
            <v>DOMINION NUCLEAR CONNECTICUT</v>
          </cell>
          <cell r="G1190" t="str">
            <v>D</v>
          </cell>
          <cell r="H1190" t="str">
            <v>WATERFORD</v>
          </cell>
          <cell r="I1190" t="str">
            <v>CT</v>
          </cell>
          <cell r="J1190" t="str">
            <v>USA</v>
          </cell>
          <cell r="K1190" t="str">
            <v>DOMINION NUCLEAR CONNECTICUT</v>
          </cell>
          <cell r="L1190" t="str">
            <v>CT</v>
          </cell>
          <cell r="M1190" t="str">
            <v>USA</v>
          </cell>
          <cell r="N1190" t="str">
            <v>C</v>
          </cell>
          <cell r="O1190">
            <v>24609720</v>
          </cell>
          <cell r="P1190" t="str">
            <v>BORIC ACID NS 25KG BAG</v>
          </cell>
          <cell r="Q1190" t="str">
            <v>HP Boric Acid (SCL)</v>
          </cell>
          <cell r="R1190">
            <v>3.33</v>
          </cell>
          <cell r="S1190">
            <v>5807.13</v>
          </cell>
        </row>
        <row r="1191">
          <cell r="A1191" t="str">
            <v>Budget</v>
          </cell>
          <cell r="B1191">
            <v>2</v>
          </cell>
          <cell r="C1191" t="str">
            <v>Export</v>
          </cell>
          <cell r="D1191">
            <v>50</v>
          </cell>
          <cell r="E1191">
            <v>6425</v>
          </cell>
          <cell r="F1191" t="str">
            <v>VERRERIES DU COURVAL</v>
          </cell>
          <cell r="G1191" t="str">
            <v>E</v>
          </cell>
          <cell r="H1191" t="str">
            <v>BLANGY SUR BRESLE</v>
          </cell>
          <cell r="J1191" t="str">
            <v>FRA</v>
          </cell>
          <cell r="K1191" t="str">
            <v>IMC CHEMICALS EUROPE</v>
          </cell>
          <cell r="M1191" t="str">
            <v>FRA</v>
          </cell>
          <cell r="N1191" t="str">
            <v>C</v>
          </cell>
          <cell r="O1191">
            <v>20060200</v>
          </cell>
          <cell r="P1191" t="str">
            <v>PYROBOR ANHY BORAX BULK (002)</v>
          </cell>
          <cell r="Q1191" t="str">
            <v>Pyrobor</v>
          </cell>
          <cell r="R1191">
            <v>13.07</v>
          </cell>
          <cell r="S1191">
            <v>6824.51</v>
          </cell>
        </row>
        <row r="1192">
          <cell r="A1192" t="str">
            <v>Budget</v>
          </cell>
          <cell r="B1192">
            <v>2</v>
          </cell>
          <cell r="C1192" t="str">
            <v>Export</v>
          </cell>
          <cell r="D1192">
            <v>50</v>
          </cell>
          <cell r="E1192">
            <v>6426</v>
          </cell>
          <cell r="F1192" t="str">
            <v>MSX-CLAL</v>
          </cell>
          <cell r="G1192" t="str">
            <v>E</v>
          </cell>
          <cell r="H1192" t="str">
            <v>BORNEL</v>
          </cell>
          <cell r="J1192" t="str">
            <v>FRA</v>
          </cell>
          <cell r="K1192" t="str">
            <v>IMC CHEMICALS EUROPE</v>
          </cell>
          <cell r="M1192" t="str">
            <v>FRA</v>
          </cell>
          <cell r="N1192" t="str">
            <v>C</v>
          </cell>
          <cell r="O1192">
            <v>20060220</v>
          </cell>
          <cell r="P1192" t="str">
            <v>PYROBOR 25KG BAG (002)</v>
          </cell>
          <cell r="Q1192" t="str">
            <v>Pyrobor</v>
          </cell>
          <cell r="R1192">
            <v>0.48</v>
          </cell>
          <cell r="S1192">
            <v>330.41</v>
          </cell>
        </row>
        <row r="1193">
          <cell r="A1193" t="str">
            <v>Budget</v>
          </cell>
          <cell r="B1193">
            <v>2</v>
          </cell>
          <cell r="C1193" t="str">
            <v>Export</v>
          </cell>
          <cell r="D1193">
            <v>50</v>
          </cell>
          <cell r="E1193">
            <v>8159</v>
          </cell>
          <cell r="F1193" t="str">
            <v>INACTIVE-G. ALT &amp; COMPANY</v>
          </cell>
          <cell r="G1193" t="str">
            <v>E</v>
          </cell>
          <cell r="H1193" t="str">
            <v>.</v>
          </cell>
          <cell r="J1193" t="str">
            <v>AUT</v>
          </cell>
          <cell r="K1193" t="str">
            <v>IMC CHEMICALS EUROPE</v>
          </cell>
          <cell r="M1193" t="str">
            <v>FRA</v>
          </cell>
          <cell r="N1193" t="str">
            <v>D</v>
          </cell>
          <cell r="O1193">
            <v>20060220</v>
          </cell>
          <cell r="P1193" t="str">
            <v>PYROBOR 25KG BAG (002)</v>
          </cell>
          <cell r="Q1193" t="str">
            <v>Pyrobor</v>
          </cell>
          <cell r="R1193">
            <v>0.86</v>
          </cell>
          <cell r="S1193">
            <v>774.24</v>
          </cell>
        </row>
        <row r="1194">
          <cell r="A1194" t="str">
            <v>Budget</v>
          </cell>
          <cell r="B1194">
            <v>2</v>
          </cell>
          <cell r="C1194" t="str">
            <v>Export</v>
          </cell>
          <cell r="D1194">
            <v>50</v>
          </cell>
          <cell r="E1194">
            <v>8797</v>
          </cell>
          <cell r="F1194" t="str">
            <v>SKLARNY KAVALIER, A.S.</v>
          </cell>
          <cell r="G1194" t="str">
            <v>E</v>
          </cell>
          <cell r="H1194" t="str">
            <v>SAZAVA</v>
          </cell>
          <cell r="J1194" t="str">
            <v>CZE</v>
          </cell>
          <cell r="K1194" t="str">
            <v>IMC CHEMICALS EUROPE</v>
          </cell>
          <cell r="M1194" t="str">
            <v>FRA</v>
          </cell>
          <cell r="N1194" t="str">
            <v>C</v>
          </cell>
          <cell r="O1194">
            <v>20060255</v>
          </cell>
          <cell r="P1194" t="str">
            <v>PYROBOR 1 MT FIBC (002)</v>
          </cell>
          <cell r="Q1194" t="str">
            <v>Pyrobor</v>
          </cell>
          <cell r="R1194">
            <v>21.87</v>
          </cell>
          <cell r="S1194">
            <v>10081.540000000001</v>
          </cell>
        </row>
        <row r="1195">
          <cell r="A1195" t="str">
            <v>Budget</v>
          </cell>
          <cell r="B1195">
            <v>2</v>
          </cell>
          <cell r="C1195" t="str">
            <v>Export</v>
          </cell>
          <cell r="D1195">
            <v>50</v>
          </cell>
          <cell r="E1195">
            <v>8837</v>
          </cell>
          <cell r="F1195" t="str">
            <v>TDG LOGISTICS OMYA NDC</v>
          </cell>
          <cell r="G1195" t="str">
            <v>E</v>
          </cell>
          <cell r="H1195" t="str">
            <v>ENGLAND</v>
          </cell>
          <cell r="J1195" t="str">
            <v>ENG</v>
          </cell>
          <cell r="K1195" t="str">
            <v>IMC CHEMICALS EUROPE</v>
          </cell>
          <cell r="M1195" t="str">
            <v>FRA</v>
          </cell>
          <cell r="N1195" t="str">
            <v>C</v>
          </cell>
          <cell r="O1195">
            <v>20060220</v>
          </cell>
          <cell r="P1195" t="str">
            <v>PYROBOR 25KG BAG (002)</v>
          </cell>
          <cell r="Q1195" t="str">
            <v>Pyrobor</v>
          </cell>
          <cell r="R1195">
            <v>8.7200000000000006</v>
          </cell>
          <cell r="S1195">
            <v>6397.43</v>
          </cell>
        </row>
        <row r="1196">
          <cell r="A1196" t="str">
            <v>Budget</v>
          </cell>
          <cell r="B1196">
            <v>2</v>
          </cell>
          <cell r="C1196" t="str">
            <v>Export</v>
          </cell>
          <cell r="D1196">
            <v>50</v>
          </cell>
          <cell r="E1196">
            <v>8875</v>
          </cell>
          <cell r="F1196" t="str">
            <v>PROQUIM, C.A.</v>
          </cell>
          <cell r="G1196" t="str">
            <v>E</v>
          </cell>
          <cell r="H1196" t="str">
            <v>CARACAS</v>
          </cell>
          <cell r="J1196" t="str">
            <v>VEN</v>
          </cell>
          <cell r="K1196" t="str">
            <v>YAKY PRODUCTS, C.A.</v>
          </cell>
          <cell r="M1196" t="str">
            <v>VEN</v>
          </cell>
          <cell r="O1196">
            <v>22060448</v>
          </cell>
          <cell r="P1196" t="str">
            <v>V-BOR 50KG BAG (004), WOOD</v>
          </cell>
          <cell r="Q1196" t="str">
            <v>Penta</v>
          </cell>
          <cell r="R1196">
            <v>3.49</v>
          </cell>
          <cell r="S1196">
            <v>1009.22</v>
          </cell>
        </row>
        <row r="1197">
          <cell r="A1197" t="str">
            <v>Budget</v>
          </cell>
          <cell r="B1197">
            <v>2</v>
          </cell>
          <cell r="C1197" t="str">
            <v>Export</v>
          </cell>
          <cell r="D1197">
            <v>50</v>
          </cell>
          <cell r="E1197">
            <v>8891</v>
          </cell>
          <cell r="F1197" t="str">
            <v>INACTIVE-CENTONZE</v>
          </cell>
          <cell r="G1197" t="str">
            <v>E</v>
          </cell>
          <cell r="H1197" t="str">
            <v>CHIASSO</v>
          </cell>
          <cell r="J1197" t="str">
            <v>SWI</v>
          </cell>
          <cell r="K1197" t="str">
            <v>IMC CHEMICALS EUROPE</v>
          </cell>
          <cell r="M1197" t="str">
            <v>FRA</v>
          </cell>
          <cell r="N1197" t="str">
            <v>C</v>
          </cell>
          <cell r="O1197">
            <v>20060220</v>
          </cell>
          <cell r="P1197" t="str">
            <v>PYROBOR 25KG BAG (002)</v>
          </cell>
          <cell r="Q1197" t="str">
            <v>Pyrobor</v>
          </cell>
          <cell r="R1197">
            <v>0.63</v>
          </cell>
          <cell r="S1197">
            <v>473.51</v>
          </cell>
        </row>
        <row r="1198">
          <cell r="A1198" t="str">
            <v>Budget</v>
          </cell>
          <cell r="B1198">
            <v>2</v>
          </cell>
          <cell r="C1198" t="str">
            <v>Export</v>
          </cell>
          <cell r="D1198">
            <v>50</v>
          </cell>
          <cell r="E1198">
            <v>8892</v>
          </cell>
          <cell r="F1198" t="str">
            <v>PROCHIMIE/SCHWEIZERHALL CHEMIE</v>
          </cell>
          <cell r="G1198" t="str">
            <v>E</v>
          </cell>
          <cell r="H1198" t="str">
            <v>AVENCHES</v>
          </cell>
          <cell r="J1198" t="str">
            <v>SWI</v>
          </cell>
          <cell r="K1198" t="str">
            <v>IMC CHEMICALS EUROPE</v>
          </cell>
          <cell r="M1198" t="str">
            <v>FRA</v>
          </cell>
          <cell r="N1198" t="str">
            <v>C</v>
          </cell>
          <cell r="O1198">
            <v>20060220</v>
          </cell>
          <cell r="P1198" t="str">
            <v>PYROBOR 25KG BAG (002)</v>
          </cell>
          <cell r="Q1198" t="str">
            <v>Pyrobor</v>
          </cell>
          <cell r="R1198">
            <v>2.1</v>
          </cell>
          <cell r="S1198">
            <v>1565.82</v>
          </cell>
        </row>
        <row r="1199">
          <cell r="A1199" t="str">
            <v>Budget</v>
          </cell>
          <cell r="B1199">
            <v>2</v>
          </cell>
          <cell r="C1199" t="str">
            <v>Export</v>
          </cell>
          <cell r="D1199">
            <v>50</v>
          </cell>
          <cell r="E1199">
            <v>8893</v>
          </cell>
          <cell r="F1199" t="str">
            <v>WHEATON FRANCE</v>
          </cell>
          <cell r="G1199" t="str">
            <v>E</v>
          </cell>
          <cell r="H1199" t="str">
            <v>AUMALE</v>
          </cell>
          <cell r="J1199" t="str">
            <v>FRA</v>
          </cell>
          <cell r="K1199" t="str">
            <v>IMC CHEMICALS EUROPE</v>
          </cell>
          <cell r="M1199" t="str">
            <v>FRA</v>
          </cell>
          <cell r="N1199" t="str">
            <v>D</v>
          </cell>
          <cell r="O1199">
            <v>20060200</v>
          </cell>
          <cell r="P1199" t="str">
            <v>PYROBOR ANHY BORAX BULK (002)</v>
          </cell>
          <cell r="Q1199" t="str">
            <v>Pyrobor</v>
          </cell>
          <cell r="R1199">
            <v>174.63</v>
          </cell>
          <cell r="S1199">
            <v>83474.990000000005</v>
          </cell>
        </row>
        <row r="1200">
          <cell r="A1200" t="str">
            <v>Budget</v>
          </cell>
          <cell r="B1200">
            <v>2</v>
          </cell>
          <cell r="C1200" t="str">
            <v>Export</v>
          </cell>
          <cell r="D1200">
            <v>50</v>
          </cell>
          <cell r="E1200">
            <v>8893</v>
          </cell>
          <cell r="F1200" t="str">
            <v>WHEATON FRANCE</v>
          </cell>
          <cell r="G1200" t="str">
            <v>E</v>
          </cell>
          <cell r="H1200" t="str">
            <v>AUMALE</v>
          </cell>
          <cell r="J1200" t="str">
            <v>FRA</v>
          </cell>
          <cell r="K1200" t="str">
            <v>IMC CHEMICALS EUROPE</v>
          </cell>
          <cell r="M1200" t="str">
            <v>FRA</v>
          </cell>
          <cell r="N1200" t="str">
            <v>D</v>
          </cell>
          <cell r="O1200">
            <v>20060220</v>
          </cell>
          <cell r="P1200" t="str">
            <v>PYROBOR 25KG BAG (002)</v>
          </cell>
          <cell r="Q1200" t="str">
            <v>Pyrobor</v>
          </cell>
          <cell r="R1200">
            <v>8.7200000000000006</v>
          </cell>
          <cell r="S1200">
            <v>4166.17</v>
          </cell>
        </row>
        <row r="1201">
          <cell r="A1201" t="str">
            <v>Budget</v>
          </cell>
          <cell r="B1201">
            <v>2</v>
          </cell>
          <cell r="C1201" t="str">
            <v>Export</v>
          </cell>
          <cell r="D1201">
            <v>50</v>
          </cell>
          <cell r="E1201">
            <v>8895</v>
          </cell>
          <cell r="F1201" t="str">
            <v>SCHOTT ROHRGLASS</v>
          </cell>
          <cell r="G1201" t="str">
            <v>E</v>
          </cell>
          <cell r="H1201" t="str">
            <v>ESSEN</v>
          </cell>
          <cell r="J1201" t="str">
            <v>GER</v>
          </cell>
          <cell r="K1201" t="str">
            <v>IMC CHEMICALS EUROPE</v>
          </cell>
          <cell r="M1201" t="str">
            <v>FRA</v>
          </cell>
          <cell r="N1201" t="str">
            <v>C</v>
          </cell>
          <cell r="O1201">
            <v>20060200</v>
          </cell>
          <cell r="P1201" t="str">
            <v>PYROBOR ANHY BORAX BULK (002)</v>
          </cell>
          <cell r="Q1201" t="str">
            <v>Pyrobor</v>
          </cell>
          <cell r="R1201">
            <v>148.41</v>
          </cell>
          <cell r="S1201">
            <v>72422.67</v>
          </cell>
        </row>
        <row r="1202">
          <cell r="A1202" t="str">
            <v>Budget</v>
          </cell>
          <cell r="B1202">
            <v>2</v>
          </cell>
          <cell r="C1202" t="str">
            <v>Export</v>
          </cell>
          <cell r="D1202">
            <v>50</v>
          </cell>
          <cell r="E1202">
            <v>8896</v>
          </cell>
          <cell r="F1202" t="str">
            <v>GLASHUTTE LIMBURG</v>
          </cell>
          <cell r="G1202" t="str">
            <v>E</v>
          </cell>
          <cell r="H1202" t="str">
            <v>6250 LIMBURG 1</v>
          </cell>
          <cell r="J1202" t="str">
            <v>GER</v>
          </cell>
          <cell r="K1202" t="str">
            <v>IMC CHEMICALS EUROPE</v>
          </cell>
          <cell r="M1202" t="str">
            <v>FRA</v>
          </cell>
          <cell r="N1202" t="str">
            <v>C</v>
          </cell>
          <cell r="O1202">
            <v>20060220</v>
          </cell>
          <cell r="P1202" t="str">
            <v>PYROBOR 25KG BAG (002)</v>
          </cell>
          <cell r="Q1202" t="str">
            <v>Pyrobor</v>
          </cell>
          <cell r="R1202">
            <v>0.87</v>
          </cell>
          <cell r="S1202">
            <v>661.16</v>
          </cell>
        </row>
        <row r="1203">
          <cell r="A1203" t="str">
            <v>Budget</v>
          </cell>
          <cell r="B1203">
            <v>2</v>
          </cell>
          <cell r="C1203" t="str">
            <v>Export</v>
          </cell>
          <cell r="D1203">
            <v>50</v>
          </cell>
          <cell r="E1203">
            <v>8896</v>
          </cell>
          <cell r="F1203" t="str">
            <v>GLASHUTTE LIMBURG</v>
          </cell>
          <cell r="G1203" t="str">
            <v>E</v>
          </cell>
          <cell r="H1203" t="str">
            <v>6250 LIMBURG 1</v>
          </cell>
          <cell r="J1203" t="str">
            <v>GER</v>
          </cell>
          <cell r="K1203" t="str">
            <v>IMC CHEMICALS EUROPE</v>
          </cell>
          <cell r="M1203" t="str">
            <v>FRA</v>
          </cell>
          <cell r="N1203" t="str">
            <v>C</v>
          </cell>
          <cell r="O1203">
            <v>20060255</v>
          </cell>
          <cell r="P1203" t="str">
            <v>PYROBOR 1 MT FIBC (002)</v>
          </cell>
          <cell r="Q1203" t="str">
            <v>Pyrobor</v>
          </cell>
          <cell r="R1203">
            <v>0.87</v>
          </cell>
          <cell r="S1203">
            <v>661.17</v>
          </cell>
        </row>
        <row r="1204">
          <cell r="A1204" t="str">
            <v>Budget</v>
          </cell>
          <cell r="B1204">
            <v>2</v>
          </cell>
          <cell r="C1204" t="str">
            <v>Export</v>
          </cell>
          <cell r="D1204">
            <v>50</v>
          </cell>
          <cell r="E1204">
            <v>8898</v>
          </cell>
          <cell r="F1204" t="str">
            <v>ARC INTERNATIONAL</v>
          </cell>
          <cell r="G1204" t="str">
            <v>E</v>
          </cell>
          <cell r="H1204" t="str">
            <v>ARQUES</v>
          </cell>
          <cell r="J1204" t="str">
            <v>FRA</v>
          </cell>
          <cell r="K1204" t="str">
            <v>IMC CHEMICALS EUROPE</v>
          </cell>
          <cell r="M1204" t="str">
            <v>FRA</v>
          </cell>
          <cell r="N1204" t="str">
            <v>C</v>
          </cell>
          <cell r="O1204">
            <v>20060200</v>
          </cell>
          <cell r="P1204" t="str">
            <v>PYROBOR ANHY BORAX BULK (002)</v>
          </cell>
          <cell r="Q1204" t="str">
            <v>Pyrobor</v>
          </cell>
          <cell r="R1204">
            <v>145.4</v>
          </cell>
          <cell r="S1204">
            <v>73570.460000000006</v>
          </cell>
        </row>
        <row r="1205">
          <cell r="A1205" t="str">
            <v>Budget</v>
          </cell>
          <cell r="B1205">
            <v>2</v>
          </cell>
          <cell r="C1205" t="str">
            <v>Export</v>
          </cell>
          <cell r="D1205">
            <v>50</v>
          </cell>
          <cell r="E1205">
            <v>8907</v>
          </cell>
          <cell r="F1205" t="str">
            <v>NACHTMANN GMBH</v>
          </cell>
          <cell r="G1205" t="str">
            <v>E</v>
          </cell>
          <cell r="H1205" t="str">
            <v>NEUSTADT</v>
          </cell>
          <cell r="J1205" t="str">
            <v>GER</v>
          </cell>
          <cell r="K1205" t="str">
            <v>IMC CHEMICALS EUROPE</v>
          </cell>
          <cell r="M1205" t="str">
            <v>FRA</v>
          </cell>
          <cell r="N1205" t="str">
            <v>C</v>
          </cell>
          <cell r="O1205">
            <v>20060200</v>
          </cell>
          <cell r="P1205" t="str">
            <v>PYROBOR ANHY BORAX BULK (002)</v>
          </cell>
          <cell r="Q1205" t="str">
            <v>Pyrobor</v>
          </cell>
          <cell r="R1205">
            <v>2.2200000000000002</v>
          </cell>
          <cell r="S1205">
            <v>1229.24</v>
          </cell>
        </row>
        <row r="1206">
          <cell r="A1206" t="str">
            <v>Budget</v>
          </cell>
          <cell r="B1206">
            <v>2</v>
          </cell>
          <cell r="C1206" t="str">
            <v>Export</v>
          </cell>
          <cell r="D1206">
            <v>50</v>
          </cell>
          <cell r="E1206">
            <v>8911</v>
          </cell>
          <cell r="F1206" t="str">
            <v>FERRO FRANCE</v>
          </cell>
          <cell r="G1206" t="str">
            <v>E</v>
          </cell>
          <cell r="H1206" t="str">
            <v>ST DIZIER</v>
          </cell>
          <cell r="J1206" t="str">
            <v>FRA</v>
          </cell>
          <cell r="K1206" t="str">
            <v>IMC CHEMICALS EUROPE</v>
          </cell>
          <cell r="M1206" t="str">
            <v>FRA</v>
          </cell>
          <cell r="N1206" t="str">
            <v>D</v>
          </cell>
          <cell r="O1206">
            <v>20060200</v>
          </cell>
          <cell r="P1206" t="str">
            <v>PYROBOR ANHY BORAX BULK (002)</v>
          </cell>
          <cell r="Q1206" t="str">
            <v>Pyrobor</v>
          </cell>
          <cell r="R1206">
            <v>56.73</v>
          </cell>
          <cell r="S1206">
            <v>25586.240000000002</v>
          </cell>
        </row>
        <row r="1207">
          <cell r="A1207" t="str">
            <v>Budget</v>
          </cell>
          <cell r="B1207">
            <v>2</v>
          </cell>
          <cell r="C1207" t="str">
            <v>Export</v>
          </cell>
          <cell r="D1207">
            <v>50</v>
          </cell>
          <cell r="E1207">
            <v>8913</v>
          </cell>
          <cell r="F1207" t="str">
            <v>FERRO HOLLAND B.V.</v>
          </cell>
          <cell r="G1207" t="str">
            <v>E</v>
          </cell>
          <cell r="H1207" t="str">
            <v>BA ROTTERDAM</v>
          </cell>
          <cell r="J1207" t="str">
            <v>NET</v>
          </cell>
          <cell r="K1207" t="str">
            <v>IMC CHEMICALS EUROPE</v>
          </cell>
          <cell r="M1207" t="str">
            <v>FRA</v>
          </cell>
          <cell r="N1207" t="str">
            <v>D</v>
          </cell>
          <cell r="O1207">
            <v>20060200</v>
          </cell>
          <cell r="P1207" t="str">
            <v>PYROBOR ANHY BORAX BULK (002)</v>
          </cell>
          <cell r="Q1207" t="str">
            <v>Pyrobor</v>
          </cell>
          <cell r="R1207">
            <v>109.19</v>
          </cell>
          <cell r="S1207">
            <v>49679.54</v>
          </cell>
        </row>
        <row r="1208">
          <cell r="A1208" t="str">
            <v>Budget</v>
          </cell>
          <cell r="B1208">
            <v>2</v>
          </cell>
          <cell r="C1208" t="str">
            <v>Export</v>
          </cell>
          <cell r="D1208">
            <v>50</v>
          </cell>
          <cell r="E1208">
            <v>8918</v>
          </cell>
          <cell r="F1208" t="str">
            <v>AFFILIPS</v>
          </cell>
          <cell r="G1208" t="str">
            <v>E</v>
          </cell>
          <cell r="H1208" t="str">
            <v>TIENEN</v>
          </cell>
          <cell r="J1208" t="str">
            <v>BEL</v>
          </cell>
          <cell r="K1208" t="str">
            <v>IMC CHEMICALS EUROPE</v>
          </cell>
          <cell r="M1208" t="str">
            <v>FRA</v>
          </cell>
          <cell r="N1208" t="str">
            <v>C</v>
          </cell>
          <cell r="O1208">
            <v>20060220</v>
          </cell>
          <cell r="P1208" t="str">
            <v>PYROBOR 25KG BAG (002)</v>
          </cell>
          <cell r="Q1208" t="str">
            <v>Pyrobor</v>
          </cell>
          <cell r="R1208">
            <v>12.6</v>
          </cell>
          <cell r="S1208">
            <v>8264.52</v>
          </cell>
        </row>
        <row r="1209">
          <cell r="A1209" t="str">
            <v>Budget</v>
          </cell>
          <cell r="B1209">
            <v>2</v>
          </cell>
          <cell r="C1209" t="str">
            <v>Export</v>
          </cell>
          <cell r="D1209">
            <v>50</v>
          </cell>
          <cell r="E1209">
            <v>8920</v>
          </cell>
          <cell r="F1209" t="str">
            <v>FERRO GREAT BRITAIN LTD.</v>
          </cell>
          <cell r="G1209" t="str">
            <v>E</v>
          </cell>
          <cell r="H1209" t="str">
            <v>STOKE-ON-TRENT</v>
          </cell>
          <cell r="J1209" t="str">
            <v>ENG</v>
          </cell>
          <cell r="K1209" t="str">
            <v>IMC CHEMICALS EUROPE</v>
          </cell>
          <cell r="M1209" t="str">
            <v>FRA</v>
          </cell>
          <cell r="N1209" t="str">
            <v>C</v>
          </cell>
          <cell r="O1209">
            <v>20060220</v>
          </cell>
          <cell r="P1209" t="str">
            <v>PYROBOR 25KG BAG (002)</v>
          </cell>
          <cell r="Q1209" t="str">
            <v>Pyrobor</v>
          </cell>
          <cell r="R1209">
            <v>3.72</v>
          </cell>
          <cell r="S1209">
            <v>1847.13</v>
          </cell>
        </row>
        <row r="1210">
          <cell r="A1210" t="str">
            <v>Budget</v>
          </cell>
          <cell r="B1210">
            <v>2</v>
          </cell>
          <cell r="C1210" t="str">
            <v>Export</v>
          </cell>
          <cell r="D1210">
            <v>50</v>
          </cell>
          <cell r="E1210">
            <v>8922</v>
          </cell>
          <cell r="F1210" t="str">
            <v>SAINT GOBAIN DESJONQUERES</v>
          </cell>
          <cell r="G1210" t="str">
            <v>E</v>
          </cell>
          <cell r="H1210" t="str">
            <v>MERS-LES-BAINS</v>
          </cell>
          <cell r="J1210" t="str">
            <v>FRA</v>
          </cell>
          <cell r="K1210" t="str">
            <v>IMC CHEMICALS EUROPE</v>
          </cell>
          <cell r="M1210" t="str">
            <v>FRA</v>
          </cell>
          <cell r="N1210" t="str">
            <v>C</v>
          </cell>
          <cell r="O1210">
            <v>20060200</v>
          </cell>
          <cell r="P1210" t="str">
            <v>PYROBOR ANHY BORAX BULK (002)</v>
          </cell>
          <cell r="Q1210" t="str">
            <v>Pyrobor</v>
          </cell>
          <cell r="R1210">
            <v>174.63</v>
          </cell>
          <cell r="S1210">
            <v>83824.259999999995</v>
          </cell>
        </row>
        <row r="1211">
          <cell r="A1211" t="str">
            <v>Budget</v>
          </cell>
          <cell r="B1211">
            <v>2</v>
          </cell>
          <cell r="C1211" t="str">
            <v>Export</v>
          </cell>
          <cell r="D1211">
            <v>50</v>
          </cell>
          <cell r="E1211">
            <v>8925</v>
          </cell>
          <cell r="F1211" t="str">
            <v>WISTHOFF GmbH &amp; Co.</v>
          </cell>
          <cell r="G1211" t="str">
            <v>E</v>
          </cell>
          <cell r="H1211" t="str">
            <v>ESSEN</v>
          </cell>
          <cell r="J1211" t="str">
            <v>GER</v>
          </cell>
          <cell r="K1211" t="str">
            <v>IMC CHEMICALS EUROPE</v>
          </cell>
          <cell r="M1211" t="str">
            <v>FRA</v>
          </cell>
          <cell r="N1211" t="str">
            <v>C</v>
          </cell>
          <cell r="O1211">
            <v>20060220</v>
          </cell>
          <cell r="P1211" t="str">
            <v>PYROBOR 25KG BAG (002)</v>
          </cell>
          <cell r="Q1211" t="str">
            <v>Pyrobor</v>
          </cell>
          <cell r="R1211">
            <v>13.07</v>
          </cell>
          <cell r="S1211">
            <v>9426.19</v>
          </cell>
        </row>
        <row r="1212">
          <cell r="A1212" t="str">
            <v>Budget</v>
          </cell>
          <cell r="B1212">
            <v>2</v>
          </cell>
          <cell r="C1212" t="str">
            <v>Export</v>
          </cell>
          <cell r="D1212">
            <v>50</v>
          </cell>
          <cell r="E1212">
            <v>8973</v>
          </cell>
          <cell r="F1212" t="str">
            <v>VITKOVICE S.R.O.</v>
          </cell>
          <cell r="G1212" t="str">
            <v>E</v>
          </cell>
          <cell r="H1212" t="str">
            <v>OSTRAVA</v>
          </cell>
          <cell r="J1212" t="str">
            <v>CZE</v>
          </cell>
          <cell r="K1212" t="str">
            <v>IMC CHEMICALS EUROPE</v>
          </cell>
          <cell r="M1212" t="str">
            <v>FRA</v>
          </cell>
          <cell r="N1212" t="str">
            <v>C</v>
          </cell>
          <cell r="O1212">
            <v>20060220</v>
          </cell>
          <cell r="P1212" t="str">
            <v>PYROBOR 25KG BAG (002)</v>
          </cell>
          <cell r="Q1212" t="str">
            <v>Pyrobor</v>
          </cell>
          <cell r="R1212">
            <v>0.42</v>
          </cell>
          <cell r="S1212">
            <v>355.55</v>
          </cell>
        </row>
        <row r="1213">
          <cell r="A1213" t="str">
            <v>Budget</v>
          </cell>
          <cell r="B1213">
            <v>2</v>
          </cell>
          <cell r="C1213" t="str">
            <v>Export</v>
          </cell>
          <cell r="D1213">
            <v>50</v>
          </cell>
          <cell r="E1213">
            <v>8985</v>
          </cell>
          <cell r="F1213" t="str">
            <v>PILKINGTON SPECIAL GLASS</v>
          </cell>
          <cell r="G1213" t="str">
            <v>E</v>
          </cell>
          <cell r="H1213" t="str">
            <v>DENBIGHSHIRE</v>
          </cell>
          <cell r="J1213" t="str">
            <v>ENG</v>
          </cell>
          <cell r="K1213" t="str">
            <v>IMC CHEMICALS EUROPE</v>
          </cell>
          <cell r="M1213" t="str">
            <v>FRA</v>
          </cell>
          <cell r="N1213" t="str">
            <v>D</v>
          </cell>
          <cell r="O1213">
            <v>20060220</v>
          </cell>
          <cell r="P1213" t="str">
            <v>PYROBOR 25KG BAG (002)</v>
          </cell>
          <cell r="Q1213" t="str">
            <v>Pyrobor</v>
          </cell>
          <cell r="R1213">
            <v>4.1900000000000004</v>
          </cell>
          <cell r="S1213">
            <v>2402.17</v>
          </cell>
        </row>
        <row r="1214">
          <cell r="A1214" t="str">
            <v>Budget</v>
          </cell>
          <cell r="B1214">
            <v>2</v>
          </cell>
          <cell r="C1214" t="str">
            <v>Export</v>
          </cell>
          <cell r="D1214">
            <v>50</v>
          </cell>
          <cell r="E1214">
            <v>9050</v>
          </cell>
          <cell r="F1214" t="str">
            <v>INDUSTRIAL PRODUCTS COOREMAN</v>
          </cell>
          <cell r="G1214" t="str">
            <v>E</v>
          </cell>
          <cell r="H1214" t="str">
            <v>LEBBEKE (DENDERMONDE)</v>
          </cell>
          <cell r="J1214" t="str">
            <v>BEL</v>
          </cell>
          <cell r="K1214" t="str">
            <v>IMC CHEMICALS EUROPE</v>
          </cell>
          <cell r="M1214" t="str">
            <v>FRA</v>
          </cell>
          <cell r="N1214" t="str">
            <v>D</v>
          </cell>
          <cell r="O1214">
            <v>20060220</v>
          </cell>
          <cell r="P1214" t="str">
            <v>PYROBOR 25KG BAG (002)</v>
          </cell>
          <cell r="Q1214" t="str">
            <v>Pyrobor</v>
          </cell>
          <cell r="R1214">
            <v>0.63</v>
          </cell>
          <cell r="S1214">
            <v>470.34</v>
          </cell>
        </row>
        <row r="1215">
          <cell r="A1215" t="str">
            <v>Budget</v>
          </cell>
          <cell r="B1215">
            <v>2</v>
          </cell>
          <cell r="C1215" t="str">
            <v>Export</v>
          </cell>
          <cell r="D1215">
            <v>50</v>
          </cell>
          <cell r="E1215">
            <v>9194</v>
          </cell>
          <cell r="F1215" t="str">
            <v>PITTSBURGH CORNING EUROPE N.V.</v>
          </cell>
          <cell r="G1215" t="str">
            <v>E</v>
          </cell>
          <cell r="H1215" t="str">
            <v>TESSENDERLO</v>
          </cell>
          <cell r="J1215" t="str">
            <v>BEL</v>
          </cell>
          <cell r="K1215" t="str">
            <v>IMC CHEMICALS EUROPE</v>
          </cell>
          <cell r="M1215" t="str">
            <v>FRA</v>
          </cell>
          <cell r="N1215" t="str">
            <v>C</v>
          </cell>
          <cell r="O1215">
            <v>30210100</v>
          </cell>
          <cell r="P1215" t="str">
            <v>SODA ASH DENSE BULK</v>
          </cell>
          <cell r="Q1215" t="str">
            <v>Soda Ash</v>
          </cell>
          <cell r="R1215">
            <v>83.59</v>
          </cell>
          <cell r="S1215">
            <v>6903.1</v>
          </cell>
        </row>
        <row r="1216">
          <cell r="A1216" t="str">
            <v>Budget</v>
          </cell>
          <cell r="B1216">
            <v>2</v>
          </cell>
          <cell r="C1216" t="str">
            <v>Export</v>
          </cell>
          <cell r="D1216">
            <v>50</v>
          </cell>
          <cell r="E1216">
            <v>9305</v>
          </cell>
          <cell r="F1216" t="str">
            <v>FERRO ENAMEL DO BRASIL IND.</v>
          </cell>
          <cell r="G1216" t="str">
            <v>E</v>
          </cell>
          <cell r="H1216" t="str">
            <v>AMERICANA - SP</v>
          </cell>
          <cell r="J1216" t="str">
            <v>BRZ</v>
          </cell>
          <cell r="K1216" t="str">
            <v>TCN - CONSULTORIA E</v>
          </cell>
          <cell r="M1216" t="str">
            <v>BRZ</v>
          </cell>
          <cell r="N1216" t="str">
            <v>C</v>
          </cell>
          <cell r="O1216">
            <v>22060428</v>
          </cell>
          <cell r="P1216" t="str">
            <v>V-BOR 25KG BAG (004), WOOD</v>
          </cell>
          <cell r="Q1216" t="str">
            <v>Penta</v>
          </cell>
          <cell r="R1216">
            <v>20.91</v>
          </cell>
          <cell r="S1216">
            <v>5615.07</v>
          </cell>
        </row>
        <row r="1217">
          <cell r="A1217" t="str">
            <v>Budget</v>
          </cell>
          <cell r="B1217">
            <v>2</v>
          </cell>
          <cell r="C1217" t="str">
            <v>Export</v>
          </cell>
          <cell r="D1217">
            <v>50</v>
          </cell>
          <cell r="E1217">
            <v>9358</v>
          </cell>
          <cell r="F1217" t="str">
            <v>FERRO GERMANY Gmbh.</v>
          </cell>
          <cell r="G1217" t="str">
            <v>E</v>
          </cell>
          <cell r="H1217" t="str">
            <v>FRANKFURT</v>
          </cell>
          <cell r="J1217" t="str">
            <v>GER</v>
          </cell>
          <cell r="K1217" t="str">
            <v>IMC CHEMICALS EUROPE</v>
          </cell>
          <cell r="M1217" t="str">
            <v>FRA</v>
          </cell>
          <cell r="N1217" t="str">
            <v>D</v>
          </cell>
          <cell r="O1217">
            <v>20060255</v>
          </cell>
          <cell r="P1217" t="str">
            <v>PYROBOR 1 MT FIBC (002)</v>
          </cell>
          <cell r="Q1217" t="str">
            <v>Pyrobor</v>
          </cell>
          <cell r="R1217">
            <v>6.29</v>
          </cell>
          <cell r="S1217">
            <v>2917.88</v>
          </cell>
        </row>
        <row r="1218">
          <cell r="A1218" t="str">
            <v>Budget</v>
          </cell>
          <cell r="B1218">
            <v>2</v>
          </cell>
          <cell r="C1218" t="str">
            <v>Export</v>
          </cell>
          <cell r="D1218">
            <v>50</v>
          </cell>
          <cell r="E1218">
            <v>9379</v>
          </cell>
          <cell r="F1218" t="str">
            <v>ZALAKERAMIA RT.</v>
          </cell>
          <cell r="G1218" t="str">
            <v>E</v>
          </cell>
          <cell r="H1218" t="str">
            <v>TOFEJ</v>
          </cell>
          <cell r="J1218" t="str">
            <v>HUN</v>
          </cell>
          <cell r="K1218" t="str">
            <v>IMC CHEMICALS EUROPE</v>
          </cell>
          <cell r="M1218" t="str">
            <v>FRA</v>
          </cell>
          <cell r="N1218" t="str">
            <v>C</v>
          </cell>
          <cell r="O1218">
            <v>20060220</v>
          </cell>
          <cell r="P1218" t="str">
            <v>PYROBOR 25KG BAG (002)</v>
          </cell>
          <cell r="Q1218" t="str">
            <v>Pyrobor</v>
          </cell>
          <cell r="R1218">
            <v>3.98</v>
          </cell>
          <cell r="S1218">
            <v>2582.86</v>
          </cell>
        </row>
        <row r="1219">
          <cell r="A1219" t="str">
            <v>Budget</v>
          </cell>
          <cell r="B1219">
            <v>2</v>
          </cell>
          <cell r="C1219" t="str">
            <v>Export</v>
          </cell>
          <cell r="D1219">
            <v>50</v>
          </cell>
          <cell r="E1219">
            <v>9403</v>
          </cell>
          <cell r="F1219" t="str">
            <v>IMC CHEMICALS EUROPE</v>
          </cell>
          <cell r="G1219" t="str">
            <v>E</v>
          </cell>
          <cell r="H1219" t="str">
            <v>ANTWERP</v>
          </cell>
          <cell r="J1219" t="str">
            <v>BEL</v>
          </cell>
          <cell r="K1219" t="str">
            <v>IMC CHEMICALS EUROPE</v>
          </cell>
          <cell r="M1219" t="str">
            <v>FRA</v>
          </cell>
          <cell r="N1219" t="str">
            <v>C</v>
          </cell>
          <cell r="O1219" t="str">
            <v>220604B8</v>
          </cell>
          <cell r="P1219" t="str">
            <v>V-BOR 25KG POLYBAG,WOOD (004)</v>
          </cell>
          <cell r="Q1219" t="str">
            <v>Penta</v>
          </cell>
          <cell r="R1219">
            <v>10.45</v>
          </cell>
          <cell r="S1219">
            <v>2927.26</v>
          </cell>
        </row>
        <row r="1220">
          <cell r="A1220" t="str">
            <v>Budget</v>
          </cell>
          <cell r="B1220">
            <v>2</v>
          </cell>
          <cell r="C1220" t="str">
            <v>Export</v>
          </cell>
          <cell r="D1220">
            <v>50</v>
          </cell>
          <cell r="E1220">
            <v>9497</v>
          </cell>
          <cell r="F1220" t="str">
            <v>NORKEM LTD</v>
          </cell>
          <cell r="G1220" t="str">
            <v>E</v>
          </cell>
          <cell r="H1220" t="str">
            <v>KNUTSFORD CHESCHIRE</v>
          </cell>
          <cell r="J1220" t="str">
            <v>ENG</v>
          </cell>
          <cell r="K1220" t="str">
            <v>IMC CHEMICALS EUROPE</v>
          </cell>
          <cell r="M1220" t="str">
            <v>FRA</v>
          </cell>
          <cell r="N1220" t="str">
            <v>D</v>
          </cell>
          <cell r="O1220">
            <v>20060220</v>
          </cell>
          <cell r="P1220" t="str">
            <v>PYROBOR 25KG BAG (002)</v>
          </cell>
          <cell r="Q1220" t="str">
            <v>Pyrobor</v>
          </cell>
          <cell r="R1220">
            <v>2.14</v>
          </cell>
          <cell r="S1220">
            <v>1572.76</v>
          </cell>
        </row>
        <row r="1221">
          <cell r="A1221" t="str">
            <v>Budget</v>
          </cell>
          <cell r="B1221">
            <v>2</v>
          </cell>
          <cell r="C1221" t="str">
            <v>Export</v>
          </cell>
          <cell r="D1221">
            <v>55</v>
          </cell>
          <cell r="E1221">
            <v>5350</v>
          </cell>
          <cell r="F1221" t="str">
            <v>SHIONOGI/NAGOYA</v>
          </cell>
          <cell r="G1221" t="str">
            <v>E</v>
          </cell>
          <cell r="H1221" t="str">
            <v>NAGOYA</v>
          </cell>
          <cell r="J1221" t="str">
            <v>JAP</v>
          </cell>
          <cell r="K1221" t="str">
            <v>SHIONOGI &amp; COMPANY LTD</v>
          </cell>
          <cell r="M1221" t="str">
            <v>JAP</v>
          </cell>
          <cell r="N1221" t="str">
            <v>C</v>
          </cell>
          <cell r="O1221">
            <v>22060455</v>
          </cell>
          <cell r="P1221" t="str">
            <v>V-BOR 1 MT FIBC (004)</v>
          </cell>
          <cell r="Q1221" t="str">
            <v>Penta</v>
          </cell>
          <cell r="R1221">
            <v>5.41</v>
          </cell>
          <cell r="S1221">
            <v>1950.13</v>
          </cell>
        </row>
        <row r="1222">
          <cell r="A1222" t="str">
            <v>Budget</v>
          </cell>
          <cell r="B1222">
            <v>2</v>
          </cell>
          <cell r="C1222" t="str">
            <v>Export</v>
          </cell>
          <cell r="D1222">
            <v>55</v>
          </cell>
          <cell r="E1222">
            <v>5350</v>
          </cell>
          <cell r="F1222" t="str">
            <v>SHIONOGI/NAGOYA</v>
          </cell>
          <cell r="G1222" t="str">
            <v>E</v>
          </cell>
          <cell r="H1222" t="str">
            <v>NAGOYA</v>
          </cell>
          <cell r="J1222" t="str">
            <v>JAP</v>
          </cell>
          <cell r="K1222" t="str">
            <v>SHIONOGI &amp; COMPANY LTD</v>
          </cell>
          <cell r="M1222" t="str">
            <v>JAP</v>
          </cell>
          <cell r="N1222" t="str">
            <v>C</v>
          </cell>
          <cell r="O1222" t="str">
            <v>230602B8</v>
          </cell>
          <cell r="P1222" t="str">
            <v>DECA STD 25KG POLYBAG, WOOD</v>
          </cell>
          <cell r="Q1222" t="str">
            <v>Deca</v>
          </cell>
          <cell r="R1222">
            <v>3.85</v>
          </cell>
          <cell r="S1222">
            <v>1257.68</v>
          </cell>
        </row>
        <row r="1223">
          <cell r="A1223" t="str">
            <v>Budget</v>
          </cell>
          <cell r="B1223">
            <v>2</v>
          </cell>
          <cell r="C1223" t="str">
            <v>Export</v>
          </cell>
          <cell r="D1223">
            <v>55</v>
          </cell>
          <cell r="E1223">
            <v>5350</v>
          </cell>
          <cell r="F1223" t="str">
            <v>SHIONOGI/NAGOYA</v>
          </cell>
          <cell r="G1223" t="str">
            <v>E</v>
          </cell>
          <cell r="H1223" t="str">
            <v>NAGOYA</v>
          </cell>
          <cell r="J1223" t="str">
            <v>JAP</v>
          </cell>
          <cell r="K1223" t="str">
            <v>SHIONOGI &amp; COMPANY LTD</v>
          </cell>
          <cell r="M1223" t="str">
            <v>JAP</v>
          </cell>
          <cell r="N1223" t="str">
            <v>C</v>
          </cell>
          <cell r="O1223">
            <v>24090228</v>
          </cell>
          <cell r="P1223" t="str">
            <v>BORIC ACID GRAN 25KG BAG, WOOD</v>
          </cell>
          <cell r="Q1223" t="str">
            <v>Boric Acid</v>
          </cell>
          <cell r="R1223">
            <v>4.4000000000000004</v>
          </cell>
          <cell r="S1223">
            <v>2298.83</v>
          </cell>
        </row>
        <row r="1224">
          <cell r="A1224" t="str">
            <v>Budget</v>
          </cell>
          <cell r="B1224">
            <v>2</v>
          </cell>
          <cell r="C1224" t="str">
            <v>Export</v>
          </cell>
          <cell r="D1224">
            <v>55</v>
          </cell>
          <cell r="E1224">
            <v>5352</v>
          </cell>
          <cell r="F1224" t="str">
            <v>SHIONOGI/YOKOHAMA</v>
          </cell>
          <cell r="G1224" t="str">
            <v>E</v>
          </cell>
          <cell r="H1224" t="str">
            <v>YOKOHAMA</v>
          </cell>
          <cell r="J1224" t="str">
            <v>JAP</v>
          </cell>
          <cell r="K1224" t="str">
            <v>SHIONOGI &amp; COMPANY LTD</v>
          </cell>
          <cell r="M1224" t="str">
            <v>JAP</v>
          </cell>
          <cell r="N1224" t="str">
            <v>C</v>
          </cell>
          <cell r="O1224">
            <v>20060228</v>
          </cell>
          <cell r="P1224" t="str">
            <v>PYROBOR 25KG BAG (002), WOOD</v>
          </cell>
          <cell r="Q1224" t="str">
            <v>Pyrobor</v>
          </cell>
          <cell r="R1224">
            <v>4.59</v>
          </cell>
          <cell r="S1224">
            <v>3013.48</v>
          </cell>
        </row>
        <row r="1225">
          <cell r="A1225" t="str">
            <v>Budget</v>
          </cell>
          <cell r="B1225">
            <v>2</v>
          </cell>
          <cell r="C1225" t="str">
            <v>Export</v>
          </cell>
          <cell r="D1225">
            <v>55</v>
          </cell>
          <cell r="E1225">
            <v>5352</v>
          </cell>
          <cell r="F1225" t="str">
            <v>SHIONOGI/YOKOHAMA</v>
          </cell>
          <cell r="G1225" t="str">
            <v>E</v>
          </cell>
          <cell r="H1225" t="str">
            <v>YOKOHAMA</v>
          </cell>
          <cell r="J1225" t="str">
            <v>JAP</v>
          </cell>
          <cell r="K1225" t="str">
            <v>SHIONOGI &amp; COMPANY LTD</v>
          </cell>
          <cell r="M1225" t="str">
            <v>JAP</v>
          </cell>
          <cell r="N1225" t="str">
            <v>C</v>
          </cell>
          <cell r="O1225">
            <v>22060428</v>
          </cell>
          <cell r="P1225" t="str">
            <v>V-BOR 25KG BAG (004), WOOD</v>
          </cell>
          <cell r="Q1225" t="str">
            <v>Penta</v>
          </cell>
          <cell r="R1225">
            <v>5.32</v>
          </cell>
          <cell r="S1225">
            <v>1827.93</v>
          </cell>
        </row>
        <row r="1226">
          <cell r="A1226" t="str">
            <v>Budget</v>
          </cell>
          <cell r="B1226">
            <v>2</v>
          </cell>
          <cell r="C1226" t="str">
            <v>Export</v>
          </cell>
          <cell r="D1226">
            <v>55</v>
          </cell>
          <cell r="E1226">
            <v>5352</v>
          </cell>
          <cell r="F1226" t="str">
            <v>SHIONOGI/YOKOHAMA</v>
          </cell>
          <cell r="G1226" t="str">
            <v>E</v>
          </cell>
          <cell r="H1226" t="str">
            <v>YOKOHAMA</v>
          </cell>
          <cell r="J1226" t="str">
            <v>JAP</v>
          </cell>
          <cell r="K1226" t="str">
            <v>SHIONOGI &amp; COMPANY LTD</v>
          </cell>
          <cell r="M1226" t="str">
            <v>JAP</v>
          </cell>
          <cell r="N1226" t="str">
            <v>C</v>
          </cell>
          <cell r="O1226" t="str">
            <v>230602B8</v>
          </cell>
          <cell r="P1226" t="str">
            <v>DECA STD 25KG POLYBAG, WOOD</v>
          </cell>
          <cell r="Q1226" t="str">
            <v>Deca</v>
          </cell>
          <cell r="R1226">
            <v>1.1000000000000001</v>
          </cell>
          <cell r="S1226">
            <v>310.48</v>
          </cell>
        </row>
        <row r="1227">
          <cell r="A1227" t="str">
            <v>Budget</v>
          </cell>
          <cell r="B1227">
            <v>2</v>
          </cell>
          <cell r="C1227" t="str">
            <v>Export</v>
          </cell>
          <cell r="D1227">
            <v>55</v>
          </cell>
          <cell r="E1227">
            <v>5352</v>
          </cell>
          <cell r="F1227" t="str">
            <v>SHIONOGI/YOKOHAMA</v>
          </cell>
          <cell r="G1227" t="str">
            <v>E</v>
          </cell>
          <cell r="H1227" t="str">
            <v>YOKOHAMA</v>
          </cell>
          <cell r="J1227" t="str">
            <v>JAP</v>
          </cell>
          <cell r="K1227" t="str">
            <v>SHIONOGI &amp; COMPANY LTD</v>
          </cell>
          <cell r="M1227" t="str">
            <v>JAP</v>
          </cell>
          <cell r="N1227" t="str">
            <v>C</v>
          </cell>
          <cell r="O1227">
            <v>24090228</v>
          </cell>
          <cell r="P1227" t="str">
            <v>BORIC ACID GRAN 25KG BAG, WOOD</v>
          </cell>
          <cell r="Q1227" t="str">
            <v>Boric Acid</v>
          </cell>
          <cell r="R1227">
            <v>9.9</v>
          </cell>
          <cell r="S1227">
            <v>5262.12</v>
          </cell>
        </row>
        <row r="1228">
          <cell r="A1228" t="str">
            <v>Budget</v>
          </cell>
          <cell r="B1228">
            <v>2</v>
          </cell>
          <cell r="C1228" t="str">
            <v>Export</v>
          </cell>
          <cell r="D1228">
            <v>55</v>
          </cell>
          <cell r="E1228">
            <v>5361</v>
          </cell>
          <cell r="F1228" t="str">
            <v>SHIONOGI/OSAKA</v>
          </cell>
          <cell r="G1228" t="str">
            <v>E</v>
          </cell>
          <cell r="H1228" t="str">
            <v>OSAKA</v>
          </cell>
          <cell r="J1228" t="str">
            <v>JAP</v>
          </cell>
          <cell r="K1228" t="str">
            <v>SHIONOGI &amp; COMPANY LTD</v>
          </cell>
          <cell r="M1228" t="str">
            <v>JAP</v>
          </cell>
          <cell r="N1228" t="str">
            <v>C</v>
          </cell>
          <cell r="O1228">
            <v>20060228</v>
          </cell>
          <cell r="P1228" t="str">
            <v>PYROBOR 25KG BAG (002), WOOD</v>
          </cell>
          <cell r="Q1228" t="str">
            <v>Pyrobor</v>
          </cell>
          <cell r="R1228">
            <v>8.44</v>
          </cell>
          <cell r="S1228">
            <v>5194.03</v>
          </cell>
        </row>
        <row r="1229">
          <cell r="A1229" t="str">
            <v>Budget</v>
          </cell>
          <cell r="B1229">
            <v>2</v>
          </cell>
          <cell r="C1229" t="str">
            <v>Export</v>
          </cell>
          <cell r="D1229">
            <v>55</v>
          </cell>
          <cell r="E1229">
            <v>5361</v>
          </cell>
          <cell r="F1229" t="str">
            <v>SHIONOGI/OSAKA</v>
          </cell>
          <cell r="G1229" t="str">
            <v>E</v>
          </cell>
          <cell r="H1229" t="str">
            <v>OSAKA</v>
          </cell>
          <cell r="J1229" t="str">
            <v>JAP</v>
          </cell>
          <cell r="K1229" t="str">
            <v>SHIONOGI &amp; COMPANY LTD</v>
          </cell>
          <cell r="M1229" t="str">
            <v>JAP</v>
          </cell>
          <cell r="N1229" t="str">
            <v>C</v>
          </cell>
          <cell r="O1229">
            <v>20060255</v>
          </cell>
          <cell r="P1229" t="str">
            <v>PYROBOR 1 MT FIBC (002)</v>
          </cell>
          <cell r="Q1229" t="str">
            <v>Pyrobor</v>
          </cell>
          <cell r="R1229">
            <v>4.0199999999999996</v>
          </cell>
          <cell r="S1229">
            <v>2563.73</v>
          </cell>
        </row>
        <row r="1230">
          <cell r="A1230" t="str">
            <v>Budget</v>
          </cell>
          <cell r="B1230">
            <v>2</v>
          </cell>
          <cell r="C1230" t="str">
            <v>Export</v>
          </cell>
          <cell r="D1230">
            <v>55</v>
          </cell>
          <cell r="E1230">
            <v>5361</v>
          </cell>
          <cell r="F1230" t="str">
            <v>SHIONOGI/OSAKA</v>
          </cell>
          <cell r="G1230" t="str">
            <v>E</v>
          </cell>
          <cell r="H1230" t="str">
            <v>OSAKA</v>
          </cell>
          <cell r="J1230" t="str">
            <v>JAP</v>
          </cell>
          <cell r="K1230" t="str">
            <v>SHIONOGI &amp; COMPANY LTD</v>
          </cell>
          <cell r="M1230" t="str">
            <v>JAP</v>
          </cell>
          <cell r="N1230" t="str">
            <v>C</v>
          </cell>
          <cell r="O1230">
            <v>22060428</v>
          </cell>
          <cell r="P1230" t="str">
            <v>V-BOR 25KG BAG (004), WOOD</v>
          </cell>
          <cell r="Q1230" t="str">
            <v>Penta</v>
          </cell>
          <cell r="R1230">
            <v>3.67</v>
          </cell>
          <cell r="S1230">
            <v>1202.55</v>
          </cell>
        </row>
        <row r="1231">
          <cell r="A1231" t="str">
            <v>Budget</v>
          </cell>
          <cell r="B1231">
            <v>2</v>
          </cell>
          <cell r="C1231" t="str">
            <v>Export</v>
          </cell>
          <cell r="D1231">
            <v>55</v>
          </cell>
          <cell r="E1231">
            <v>5361</v>
          </cell>
          <cell r="F1231" t="str">
            <v>SHIONOGI/OSAKA</v>
          </cell>
          <cell r="G1231" t="str">
            <v>E</v>
          </cell>
          <cell r="H1231" t="str">
            <v>OSAKA</v>
          </cell>
          <cell r="J1231" t="str">
            <v>JAP</v>
          </cell>
          <cell r="K1231" t="str">
            <v>SHIONOGI &amp; COMPANY LTD</v>
          </cell>
          <cell r="M1231" t="str">
            <v>JAP</v>
          </cell>
          <cell r="N1231" t="str">
            <v>C</v>
          </cell>
          <cell r="O1231" t="str">
            <v>230602B8</v>
          </cell>
          <cell r="P1231" t="str">
            <v>DECA STD 25KG POLYBAG, WOOD</v>
          </cell>
          <cell r="Q1231" t="str">
            <v>Deca</v>
          </cell>
          <cell r="R1231">
            <v>30.63</v>
          </cell>
          <cell r="S1231">
            <v>9592.76</v>
          </cell>
        </row>
        <row r="1232">
          <cell r="A1232" t="str">
            <v>Budget</v>
          </cell>
          <cell r="B1232">
            <v>2</v>
          </cell>
          <cell r="C1232" t="str">
            <v>Export</v>
          </cell>
          <cell r="D1232">
            <v>55</v>
          </cell>
          <cell r="E1232">
            <v>5361</v>
          </cell>
          <cell r="F1232" t="str">
            <v>SHIONOGI/OSAKA</v>
          </cell>
          <cell r="G1232" t="str">
            <v>E</v>
          </cell>
          <cell r="H1232" t="str">
            <v>OSAKA</v>
          </cell>
          <cell r="J1232" t="str">
            <v>JAP</v>
          </cell>
          <cell r="K1232" t="str">
            <v>SHIONOGI &amp; COMPANY LTD</v>
          </cell>
          <cell r="M1232" t="str">
            <v>JAP</v>
          </cell>
          <cell r="N1232" t="str">
            <v>C</v>
          </cell>
          <cell r="O1232">
            <v>24090228</v>
          </cell>
          <cell r="P1232" t="str">
            <v>BORIC ACID GRAN 25KG BAG, WOOD</v>
          </cell>
          <cell r="Q1232" t="str">
            <v>Boric Acid</v>
          </cell>
          <cell r="R1232">
            <v>33.93</v>
          </cell>
          <cell r="S1232">
            <v>17791.099999999999</v>
          </cell>
        </row>
        <row r="1233">
          <cell r="A1233" t="str">
            <v>Budget</v>
          </cell>
          <cell r="B1233">
            <v>2</v>
          </cell>
          <cell r="C1233" t="str">
            <v>Export</v>
          </cell>
          <cell r="D1233">
            <v>55</v>
          </cell>
          <cell r="E1233">
            <v>5375</v>
          </cell>
          <cell r="F1233" t="str">
            <v>SHIONOGI/KANTO HORO/NAGOYA</v>
          </cell>
          <cell r="G1233" t="str">
            <v>E</v>
          </cell>
          <cell r="H1233" t="str">
            <v>NAGOYA</v>
          </cell>
          <cell r="J1233" t="str">
            <v>JAP</v>
          </cell>
          <cell r="K1233" t="str">
            <v>SHIONOGI &amp; COMPANY LTD</v>
          </cell>
          <cell r="M1233" t="str">
            <v>JAP</v>
          </cell>
          <cell r="N1233" t="str">
            <v>C</v>
          </cell>
          <cell r="O1233">
            <v>20060228</v>
          </cell>
          <cell r="P1233" t="str">
            <v>PYROBOR 25KG BAG (002), WOOD</v>
          </cell>
          <cell r="Q1233" t="str">
            <v>Pyrobor</v>
          </cell>
          <cell r="R1233">
            <v>2.2000000000000002</v>
          </cell>
          <cell r="S1233">
            <v>1309.1500000000001</v>
          </cell>
        </row>
        <row r="1234">
          <cell r="A1234" t="str">
            <v>Budget</v>
          </cell>
          <cell r="B1234">
            <v>2</v>
          </cell>
          <cell r="C1234" t="str">
            <v>Export</v>
          </cell>
          <cell r="D1234">
            <v>55</v>
          </cell>
          <cell r="E1234">
            <v>5386</v>
          </cell>
          <cell r="F1234" t="str">
            <v>SHIONOGI/NIHON FRIT/NAGOYA</v>
          </cell>
          <cell r="G1234" t="str">
            <v>E</v>
          </cell>
          <cell r="H1234" t="str">
            <v>NAGOYA</v>
          </cell>
          <cell r="J1234" t="str">
            <v>JAP</v>
          </cell>
          <cell r="K1234" t="str">
            <v>SHIONOGI &amp; COMPANY LTD</v>
          </cell>
          <cell r="M1234" t="str">
            <v>JAP</v>
          </cell>
          <cell r="N1234" t="str">
            <v>C</v>
          </cell>
          <cell r="O1234">
            <v>20060255</v>
          </cell>
          <cell r="P1234" t="str">
            <v>PYROBOR 1 MT FIBC (002)</v>
          </cell>
          <cell r="Q1234" t="str">
            <v>Pyrobor</v>
          </cell>
          <cell r="R1234">
            <v>1.57</v>
          </cell>
          <cell r="S1234">
            <v>892.82</v>
          </cell>
        </row>
        <row r="1235">
          <cell r="A1235" t="str">
            <v>Budget</v>
          </cell>
          <cell r="B1235">
            <v>2</v>
          </cell>
          <cell r="C1235" t="str">
            <v>Export</v>
          </cell>
          <cell r="D1235">
            <v>55</v>
          </cell>
          <cell r="E1235">
            <v>5393</v>
          </cell>
          <cell r="F1235" t="str">
            <v>MITSUI/OSAKA</v>
          </cell>
          <cell r="G1235" t="str">
            <v>E</v>
          </cell>
          <cell r="H1235" t="str">
            <v>OSAKA</v>
          </cell>
          <cell r="J1235" t="str">
            <v>JAP</v>
          </cell>
          <cell r="K1235" t="str">
            <v>MITSUI &amp; COMPANY (EXPORT)</v>
          </cell>
          <cell r="L1235" t="str">
            <v>NY</v>
          </cell>
          <cell r="M1235" t="str">
            <v>USA</v>
          </cell>
          <cell r="N1235" t="str">
            <v>C</v>
          </cell>
          <cell r="O1235">
            <v>23060228</v>
          </cell>
          <cell r="P1235" t="str">
            <v>DECA BORAX STD 25KG BAG, WOOD</v>
          </cell>
          <cell r="Q1235" t="str">
            <v>Deca</v>
          </cell>
          <cell r="R1235">
            <v>5.69</v>
          </cell>
          <cell r="S1235">
            <v>2034.87</v>
          </cell>
        </row>
        <row r="1236">
          <cell r="A1236" t="str">
            <v>Budget</v>
          </cell>
          <cell r="B1236">
            <v>2</v>
          </cell>
          <cell r="C1236" t="str">
            <v>Export</v>
          </cell>
          <cell r="D1236">
            <v>55</v>
          </cell>
          <cell r="E1236">
            <v>5393</v>
          </cell>
          <cell r="F1236" t="str">
            <v>MITSUI/OSAKA</v>
          </cell>
          <cell r="G1236" t="str">
            <v>E</v>
          </cell>
          <cell r="H1236" t="str">
            <v>OSAKA</v>
          </cell>
          <cell r="J1236" t="str">
            <v>JAP</v>
          </cell>
          <cell r="K1236" t="str">
            <v>MITSUI &amp; COMPANY (EXPORT)</v>
          </cell>
          <cell r="L1236" t="str">
            <v>NY</v>
          </cell>
          <cell r="M1236" t="str">
            <v>USA</v>
          </cell>
          <cell r="N1236" t="str">
            <v>C</v>
          </cell>
          <cell r="O1236">
            <v>24090228</v>
          </cell>
          <cell r="P1236" t="str">
            <v>BORIC ACID GRAN 25KG BAG, WOOD</v>
          </cell>
          <cell r="Q1236" t="str">
            <v>Boric Acid</v>
          </cell>
          <cell r="R1236">
            <v>1.28</v>
          </cell>
          <cell r="S1236">
            <v>753.07</v>
          </cell>
        </row>
        <row r="1237">
          <cell r="A1237" t="str">
            <v>Budget</v>
          </cell>
          <cell r="B1237">
            <v>2</v>
          </cell>
          <cell r="C1237" t="str">
            <v>Export</v>
          </cell>
          <cell r="D1237">
            <v>55</v>
          </cell>
          <cell r="E1237">
            <v>5394</v>
          </cell>
          <cell r="F1237" t="str">
            <v>MITSUI/NAGOYA</v>
          </cell>
          <cell r="G1237" t="str">
            <v>E</v>
          </cell>
          <cell r="H1237" t="str">
            <v>NAGOYA</v>
          </cell>
          <cell r="J1237" t="str">
            <v>JAP</v>
          </cell>
          <cell r="K1237" t="str">
            <v>MITSUI &amp; COMPANY (EXPORT)</v>
          </cell>
          <cell r="L1237" t="str">
            <v>NY</v>
          </cell>
          <cell r="M1237" t="str">
            <v>USA</v>
          </cell>
          <cell r="N1237" t="str">
            <v>C</v>
          </cell>
          <cell r="O1237">
            <v>22060428</v>
          </cell>
          <cell r="P1237" t="str">
            <v>V-BOR 25KG BAG (004), WOOD</v>
          </cell>
          <cell r="Q1237" t="str">
            <v>Penta</v>
          </cell>
          <cell r="R1237">
            <v>0.92</v>
          </cell>
          <cell r="S1237">
            <v>309.63</v>
          </cell>
        </row>
        <row r="1238">
          <cell r="A1238" t="str">
            <v>Budget</v>
          </cell>
          <cell r="B1238">
            <v>2</v>
          </cell>
          <cell r="C1238" t="str">
            <v>Export</v>
          </cell>
          <cell r="D1238">
            <v>55</v>
          </cell>
          <cell r="E1238">
            <v>5395</v>
          </cell>
          <cell r="F1238" t="str">
            <v>MITSUI/HAKATA</v>
          </cell>
          <cell r="G1238" t="str">
            <v>E</v>
          </cell>
          <cell r="H1238" t="str">
            <v>HAKATA</v>
          </cell>
          <cell r="J1238" t="str">
            <v>JAP</v>
          </cell>
          <cell r="K1238" t="str">
            <v>MITSUI &amp; COMPANY (EXPORT)</v>
          </cell>
          <cell r="L1238" t="str">
            <v>NY</v>
          </cell>
          <cell r="M1238" t="str">
            <v>USA</v>
          </cell>
          <cell r="N1238" t="str">
            <v>C</v>
          </cell>
          <cell r="O1238" t="str">
            <v>230602B8</v>
          </cell>
          <cell r="P1238" t="str">
            <v>DECA STD 25KG POLYBAG, WOOD</v>
          </cell>
          <cell r="Q1238" t="str">
            <v>Deca</v>
          </cell>
          <cell r="R1238">
            <v>2.75</v>
          </cell>
          <cell r="S1238">
            <v>1027.69</v>
          </cell>
        </row>
        <row r="1239">
          <cell r="A1239" t="str">
            <v>Budget</v>
          </cell>
          <cell r="B1239">
            <v>2</v>
          </cell>
          <cell r="C1239" t="str">
            <v>Export</v>
          </cell>
          <cell r="D1239">
            <v>55</v>
          </cell>
          <cell r="E1239">
            <v>5395</v>
          </cell>
          <cell r="F1239" t="str">
            <v>MITSUI/HAKATA</v>
          </cell>
          <cell r="G1239" t="str">
            <v>E</v>
          </cell>
          <cell r="H1239" t="str">
            <v>HAKATA</v>
          </cell>
          <cell r="J1239" t="str">
            <v>JAP</v>
          </cell>
          <cell r="K1239" t="str">
            <v>MITSUI &amp; COMPANY (EXPORT)</v>
          </cell>
          <cell r="L1239" t="str">
            <v>NY</v>
          </cell>
          <cell r="M1239" t="str">
            <v>USA</v>
          </cell>
          <cell r="N1239" t="str">
            <v>C</v>
          </cell>
          <cell r="O1239">
            <v>24090228</v>
          </cell>
          <cell r="P1239" t="str">
            <v>BORIC ACID GRAN 25KG BAG, WOOD</v>
          </cell>
          <cell r="Q1239" t="str">
            <v>Boric Acid</v>
          </cell>
          <cell r="R1239">
            <v>4.22</v>
          </cell>
          <cell r="S1239">
            <v>2544.71</v>
          </cell>
        </row>
        <row r="1240">
          <cell r="A1240" t="str">
            <v>Budget</v>
          </cell>
          <cell r="B1240">
            <v>2</v>
          </cell>
          <cell r="C1240" t="str">
            <v>Export</v>
          </cell>
          <cell r="D1240">
            <v>55</v>
          </cell>
          <cell r="E1240">
            <v>5396</v>
          </cell>
          <cell r="F1240" t="str">
            <v>MITSUI/YOKOHAMA</v>
          </cell>
          <cell r="G1240" t="str">
            <v>E</v>
          </cell>
          <cell r="H1240" t="str">
            <v>YOKOHAMA</v>
          </cell>
          <cell r="J1240" t="str">
            <v>JAP</v>
          </cell>
          <cell r="K1240" t="str">
            <v>MITSUI &amp; COMPANY (EXPORT)</v>
          </cell>
          <cell r="L1240" t="str">
            <v>NY</v>
          </cell>
          <cell r="M1240" t="str">
            <v>USA</v>
          </cell>
          <cell r="N1240" t="str">
            <v>C</v>
          </cell>
          <cell r="O1240">
            <v>22060428</v>
          </cell>
          <cell r="P1240" t="str">
            <v>V-BOR 25KG BAG (004), WOOD</v>
          </cell>
          <cell r="Q1240" t="str">
            <v>Penta</v>
          </cell>
          <cell r="R1240">
            <v>0.55000000000000004</v>
          </cell>
          <cell r="S1240">
            <v>186.69</v>
          </cell>
        </row>
        <row r="1241">
          <cell r="A1241" t="str">
            <v>Budget</v>
          </cell>
          <cell r="B1241">
            <v>2</v>
          </cell>
          <cell r="C1241" t="str">
            <v>Export</v>
          </cell>
          <cell r="D1241">
            <v>55</v>
          </cell>
          <cell r="E1241">
            <v>5396</v>
          </cell>
          <cell r="F1241" t="str">
            <v>MITSUI/YOKOHAMA</v>
          </cell>
          <cell r="G1241" t="str">
            <v>E</v>
          </cell>
          <cell r="H1241" t="str">
            <v>YOKOHAMA</v>
          </cell>
          <cell r="J1241" t="str">
            <v>JAP</v>
          </cell>
          <cell r="K1241" t="str">
            <v>MITSUI &amp; COMPANY (EXPORT)</v>
          </cell>
          <cell r="L1241" t="str">
            <v>NY</v>
          </cell>
          <cell r="M1241" t="str">
            <v>USA</v>
          </cell>
          <cell r="N1241" t="str">
            <v>C</v>
          </cell>
          <cell r="O1241">
            <v>23060228</v>
          </cell>
          <cell r="P1241" t="str">
            <v>DECA BORAX STD 25KG BAG, WOOD</v>
          </cell>
          <cell r="Q1241" t="str">
            <v>Deca</v>
          </cell>
          <cell r="R1241">
            <v>8.99</v>
          </cell>
          <cell r="S1241">
            <v>3215.58</v>
          </cell>
        </row>
        <row r="1242">
          <cell r="A1242" t="str">
            <v>Budget</v>
          </cell>
          <cell r="B1242">
            <v>2</v>
          </cell>
          <cell r="C1242" t="str">
            <v>Export</v>
          </cell>
          <cell r="D1242">
            <v>55</v>
          </cell>
          <cell r="E1242">
            <v>5396</v>
          </cell>
          <cell r="F1242" t="str">
            <v>MITSUI/YOKOHAMA</v>
          </cell>
          <cell r="G1242" t="str">
            <v>E</v>
          </cell>
          <cell r="H1242" t="str">
            <v>YOKOHAMA</v>
          </cell>
          <cell r="J1242" t="str">
            <v>JAP</v>
          </cell>
          <cell r="K1242" t="str">
            <v>MITSUI &amp; COMPANY (EXPORT)</v>
          </cell>
          <cell r="L1242" t="str">
            <v>NY</v>
          </cell>
          <cell r="M1242" t="str">
            <v>USA</v>
          </cell>
          <cell r="N1242" t="str">
            <v>C</v>
          </cell>
          <cell r="O1242">
            <v>24090228</v>
          </cell>
          <cell r="P1242" t="str">
            <v>BORIC ACID GRAN 25KG BAG, WOOD</v>
          </cell>
          <cell r="Q1242" t="str">
            <v>Boric Acid</v>
          </cell>
          <cell r="R1242">
            <v>4.4000000000000004</v>
          </cell>
          <cell r="S1242">
            <v>2595.13</v>
          </cell>
        </row>
        <row r="1243">
          <cell r="A1243" t="str">
            <v>Budget</v>
          </cell>
          <cell r="B1243">
            <v>2</v>
          </cell>
          <cell r="C1243" t="str">
            <v>Export</v>
          </cell>
          <cell r="D1243">
            <v>55</v>
          </cell>
          <cell r="E1243">
            <v>5397</v>
          </cell>
          <cell r="F1243" t="str">
            <v>MITSUI/NEG/YOKOHAMA</v>
          </cell>
          <cell r="G1243" t="str">
            <v>E</v>
          </cell>
          <cell r="H1243" t="str">
            <v>YOKOHAMA</v>
          </cell>
          <cell r="J1243" t="str">
            <v>JAP</v>
          </cell>
          <cell r="K1243" t="str">
            <v>MITSUI &amp; COMPANY (EXPORT)</v>
          </cell>
          <cell r="L1243" t="str">
            <v>NY</v>
          </cell>
          <cell r="M1243" t="str">
            <v>USA</v>
          </cell>
          <cell r="N1243" t="str">
            <v>C</v>
          </cell>
          <cell r="O1243">
            <v>20060255</v>
          </cell>
          <cell r="P1243" t="str">
            <v>PYROBOR 1 MT FIBC (002)</v>
          </cell>
          <cell r="Q1243" t="str">
            <v>Pyrobor</v>
          </cell>
          <cell r="R1243">
            <v>62.89</v>
          </cell>
          <cell r="S1243">
            <v>29969.84</v>
          </cell>
        </row>
        <row r="1244">
          <cell r="A1244" t="str">
            <v>Budget</v>
          </cell>
          <cell r="B1244">
            <v>2</v>
          </cell>
          <cell r="C1244" t="str">
            <v>Export</v>
          </cell>
          <cell r="D1244">
            <v>55</v>
          </cell>
          <cell r="E1244">
            <v>5398</v>
          </cell>
          <cell r="F1244" t="str">
            <v>MITSUI/NEG/NAGOYA</v>
          </cell>
          <cell r="G1244" t="str">
            <v>E</v>
          </cell>
          <cell r="H1244" t="str">
            <v>NAGOYA</v>
          </cell>
          <cell r="J1244" t="str">
            <v>JAP</v>
          </cell>
          <cell r="K1244" t="str">
            <v>MITSUI &amp; COMPANY (EXPORT)</v>
          </cell>
          <cell r="L1244" t="str">
            <v>NY</v>
          </cell>
          <cell r="M1244" t="str">
            <v>USA</v>
          </cell>
          <cell r="N1244" t="str">
            <v>C</v>
          </cell>
          <cell r="O1244">
            <v>20060228</v>
          </cell>
          <cell r="P1244" t="str">
            <v>PYROBOR 25KG BAG (002), WOOD</v>
          </cell>
          <cell r="Q1244" t="str">
            <v>Pyrobor</v>
          </cell>
          <cell r="R1244">
            <v>3.48</v>
          </cell>
          <cell r="S1244">
            <v>1669.27</v>
          </cell>
        </row>
        <row r="1245">
          <cell r="A1245" t="str">
            <v>Budget</v>
          </cell>
          <cell r="B1245">
            <v>2</v>
          </cell>
          <cell r="C1245" t="str">
            <v>Export</v>
          </cell>
          <cell r="D1245">
            <v>55</v>
          </cell>
          <cell r="E1245">
            <v>5418</v>
          </cell>
          <cell r="F1245" t="str">
            <v>TOKAN MATERIAL TECHNOLOGY CO.,</v>
          </cell>
          <cell r="G1245" t="str">
            <v>E</v>
          </cell>
          <cell r="H1245" t="str">
            <v>HAKATA</v>
          </cell>
          <cell r="J1245" t="str">
            <v>JAP</v>
          </cell>
          <cell r="K1245" t="str">
            <v>MITSUI &amp; COMPANY (EXPORT)</v>
          </cell>
          <cell r="L1245" t="str">
            <v>NY</v>
          </cell>
          <cell r="M1245" t="str">
            <v>USA</v>
          </cell>
          <cell r="N1245" t="str">
            <v>C</v>
          </cell>
          <cell r="O1245">
            <v>20060200</v>
          </cell>
          <cell r="P1245" t="str">
            <v>PYROBOR ANHY BORAX BULK (002)</v>
          </cell>
          <cell r="Q1245" t="str">
            <v>Pyrobor</v>
          </cell>
          <cell r="R1245">
            <v>24.57</v>
          </cell>
          <cell r="S1245">
            <v>13367.14</v>
          </cell>
        </row>
        <row r="1246">
          <cell r="A1246" t="str">
            <v>Budget</v>
          </cell>
          <cell r="B1246">
            <v>2</v>
          </cell>
          <cell r="C1246" t="str">
            <v>Export</v>
          </cell>
          <cell r="D1246">
            <v>55</v>
          </cell>
          <cell r="E1246">
            <v>5420</v>
          </cell>
          <cell r="F1246" t="str">
            <v>TOKAN MATERIAL TECHNOLOGY CO.,</v>
          </cell>
          <cell r="G1246" t="str">
            <v>E</v>
          </cell>
          <cell r="H1246" t="str">
            <v>NAGOYA</v>
          </cell>
          <cell r="J1246" t="str">
            <v>JAP</v>
          </cell>
          <cell r="K1246" t="str">
            <v>MITSUI &amp; COMPANY (EXPORT)</v>
          </cell>
          <cell r="L1246" t="str">
            <v>NY</v>
          </cell>
          <cell r="M1246" t="str">
            <v>USA</v>
          </cell>
          <cell r="N1246" t="str">
            <v>C</v>
          </cell>
          <cell r="O1246">
            <v>20310200</v>
          </cell>
          <cell r="P1246" t="str">
            <v>PYROBOR 30/100 BULK (002)</v>
          </cell>
          <cell r="Q1246" t="str">
            <v>Pyrobor</v>
          </cell>
          <cell r="R1246">
            <v>41.71</v>
          </cell>
          <cell r="S1246">
            <v>19589.87</v>
          </cell>
        </row>
        <row r="1247">
          <cell r="A1247" t="str">
            <v>Budget</v>
          </cell>
          <cell r="B1247">
            <v>2</v>
          </cell>
          <cell r="C1247" t="str">
            <v>Export</v>
          </cell>
          <cell r="D1247">
            <v>55</v>
          </cell>
          <cell r="E1247">
            <v>5425</v>
          </cell>
          <cell r="F1247" t="str">
            <v>MITSUI/NH TECHNO/NAGOYA</v>
          </cell>
          <cell r="G1247" t="str">
            <v>E</v>
          </cell>
          <cell r="H1247" t="str">
            <v>NAGOYA</v>
          </cell>
          <cell r="J1247" t="str">
            <v>JAP</v>
          </cell>
          <cell r="K1247" t="str">
            <v>MITSUI &amp; COMPANY (EXPORT)</v>
          </cell>
          <cell r="L1247" t="str">
            <v>NY</v>
          </cell>
          <cell r="M1247" t="str">
            <v>USA</v>
          </cell>
          <cell r="N1247" t="str">
            <v>C</v>
          </cell>
          <cell r="O1247">
            <v>24850249</v>
          </cell>
          <cell r="P1247" t="str">
            <v>BORIC ACID GRAN, 1 MT FIBC</v>
          </cell>
          <cell r="Q1247" t="str">
            <v>Boric Acid</v>
          </cell>
          <cell r="R1247">
            <v>37.380000000000003</v>
          </cell>
          <cell r="S1247">
            <v>17931.77</v>
          </cell>
        </row>
        <row r="1248">
          <cell r="A1248" t="str">
            <v>Budget</v>
          </cell>
          <cell r="B1248">
            <v>2</v>
          </cell>
          <cell r="C1248" t="str">
            <v>Export</v>
          </cell>
          <cell r="D1248">
            <v>55</v>
          </cell>
          <cell r="E1248">
            <v>5428</v>
          </cell>
          <cell r="F1248" t="str">
            <v>SHIONOGI/GLASS MIXING</v>
          </cell>
          <cell r="G1248" t="str">
            <v>E</v>
          </cell>
          <cell r="H1248" t="str">
            <v>YOKOHAMA</v>
          </cell>
          <cell r="J1248" t="str">
            <v>JAP</v>
          </cell>
          <cell r="K1248" t="str">
            <v>SHIONOGI &amp; COMPANY LTD</v>
          </cell>
          <cell r="M1248" t="str">
            <v>JAP</v>
          </cell>
          <cell r="N1248" t="str">
            <v>C</v>
          </cell>
          <cell r="O1248">
            <v>22060455</v>
          </cell>
          <cell r="P1248" t="str">
            <v>V-BOR 1 MT FIBC (004)</v>
          </cell>
          <cell r="Q1248" t="str">
            <v>Penta</v>
          </cell>
          <cell r="R1248">
            <v>10.48</v>
          </cell>
          <cell r="S1248">
            <v>2894.45</v>
          </cell>
        </row>
        <row r="1249">
          <cell r="A1249" t="str">
            <v>Budget</v>
          </cell>
          <cell r="B1249">
            <v>2</v>
          </cell>
          <cell r="C1249" t="str">
            <v>Export</v>
          </cell>
          <cell r="D1249">
            <v>55</v>
          </cell>
          <cell r="E1249">
            <v>5469</v>
          </cell>
          <cell r="F1249" t="str">
            <v>FERRO - TOYO</v>
          </cell>
          <cell r="G1249" t="str">
            <v>E</v>
          </cell>
          <cell r="H1249" t="str">
            <v>KAOHSIUNG</v>
          </cell>
          <cell r="J1249" t="str">
            <v>TWN</v>
          </cell>
          <cell r="K1249" t="str">
            <v>MITSUI &amp; COMPANY (EXPORT)</v>
          </cell>
          <cell r="L1249" t="str">
            <v>NY</v>
          </cell>
          <cell r="M1249" t="str">
            <v>USA</v>
          </cell>
          <cell r="N1249" t="str">
            <v>C</v>
          </cell>
          <cell r="O1249">
            <v>20060280</v>
          </cell>
          <cell r="P1249" t="str">
            <v>PYROBOR 1 MT FIBC (002)</v>
          </cell>
          <cell r="Q1249" t="str">
            <v>Pyrobor</v>
          </cell>
          <cell r="R1249">
            <v>80.349999999999994</v>
          </cell>
          <cell r="S1249">
            <v>38549.56</v>
          </cell>
        </row>
        <row r="1250">
          <cell r="A1250" t="str">
            <v>Budget</v>
          </cell>
          <cell r="B1250">
            <v>2</v>
          </cell>
          <cell r="C1250" t="str">
            <v>Export</v>
          </cell>
          <cell r="D1250">
            <v>55</v>
          </cell>
          <cell r="E1250">
            <v>7432</v>
          </cell>
          <cell r="F1250" t="str">
            <v>GUANGZHOU HUAPO GLASS CO. LTD.</v>
          </cell>
          <cell r="G1250" t="str">
            <v>E</v>
          </cell>
          <cell r="H1250" t="str">
            <v>HUANGPU GUANGZHOU</v>
          </cell>
          <cell r="J1250" t="str">
            <v>CHN</v>
          </cell>
          <cell r="K1250" t="str">
            <v>CFA INDUSTRIAL CORP.</v>
          </cell>
          <cell r="L1250" t="str">
            <v>CA</v>
          </cell>
          <cell r="M1250" t="str">
            <v>USA</v>
          </cell>
          <cell r="N1250" t="str">
            <v>C</v>
          </cell>
          <cell r="O1250">
            <v>20060240</v>
          </cell>
          <cell r="P1250" t="str">
            <v>PYROBOR 50KG BAG (002)</v>
          </cell>
          <cell r="Q1250" t="str">
            <v>Pyrobor</v>
          </cell>
          <cell r="R1250">
            <v>13.97</v>
          </cell>
          <cell r="S1250">
            <v>8188.46</v>
          </cell>
        </row>
        <row r="1251">
          <cell r="A1251" t="str">
            <v>Budget</v>
          </cell>
          <cell r="B1251">
            <v>2</v>
          </cell>
          <cell r="C1251" t="str">
            <v>Export</v>
          </cell>
          <cell r="D1251">
            <v>55</v>
          </cell>
          <cell r="E1251">
            <v>8214</v>
          </cell>
          <cell r="F1251" t="str">
            <v>BE INTERNATIONAL CORPORATION</v>
          </cell>
          <cell r="G1251" t="str">
            <v>E</v>
          </cell>
          <cell r="H1251" t="str">
            <v>OSAKA</v>
          </cell>
          <cell r="J1251" t="str">
            <v>JAP</v>
          </cell>
          <cell r="K1251" t="str">
            <v>BE INTERNATIONAL CORPORATION</v>
          </cell>
          <cell r="M1251" t="str">
            <v>JAP</v>
          </cell>
          <cell r="N1251" t="str">
            <v>D</v>
          </cell>
          <cell r="O1251" t="str">
            <v>200602B8</v>
          </cell>
          <cell r="P1251" t="str">
            <v>PYROBOR 25KG POLYBAG, WOOD</v>
          </cell>
          <cell r="Q1251" t="str">
            <v>Pyrobor</v>
          </cell>
          <cell r="R1251">
            <v>2.38</v>
          </cell>
          <cell r="S1251">
            <v>1296.1300000000001</v>
          </cell>
        </row>
        <row r="1252">
          <cell r="A1252" t="str">
            <v>Budget</v>
          </cell>
          <cell r="B1252">
            <v>2</v>
          </cell>
          <cell r="C1252" t="str">
            <v>Export</v>
          </cell>
          <cell r="D1252">
            <v>55</v>
          </cell>
          <cell r="E1252">
            <v>8214</v>
          </cell>
          <cell r="F1252" t="str">
            <v>BE INTERNATIONAL CORPORATION</v>
          </cell>
          <cell r="G1252" t="str">
            <v>E</v>
          </cell>
          <cell r="H1252" t="str">
            <v>OSAKA</v>
          </cell>
          <cell r="J1252" t="str">
            <v>JAP</v>
          </cell>
          <cell r="K1252" t="str">
            <v>BE INTERNATIONAL CORPORATION</v>
          </cell>
          <cell r="M1252" t="str">
            <v>JAP</v>
          </cell>
          <cell r="N1252" t="str">
            <v>D</v>
          </cell>
          <cell r="O1252" t="str">
            <v>230602B8</v>
          </cell>
          <cell r="P1252" t="str">
            <v>DECA STD 25KG POLYBAG, WOOD</v>
          </cell>
          <cell r="Q1252" t="str">
            <v>Deca</v>
          </cell>
          <cell r="R1252">
            <v>4.22</v>
          </cell>
          <cell r="S1252">
            <v>1293.67</v>
          </cell>
        </row>
        <row r="1253">
          <cell r="A1253" t="str">
            <v>Budget</v>
          </cell>
          <cell r="B1253">
            <v>2</v>
          </cell>
          <cell r="C1253" t="str">
            <v>Export</v>
          </cell>
          <cell r="D1253">
            <v>55</v>
          </cell>
          <cell r="E1253">
            <v>8214</v>
          </cell>
          <cell r="F1253" t="str">
            <v>BE INTERNATIONAL CORPORATION</v>
          </cell>
          <cell r="G1253" t="str">
            <v>E</v>
          </cell>
          <cell r="H1253" t="str">
            <v>OSAKA</v>
          </cell>
          <cell r="J1253" t="str">
            <v>JAP</v>
          </cell>
          <cell r="K1253" t="str">
            <v>BE INTERNATIONAL CORPORATION</v>
          </cell>
          <cell r="M1253" t="str">
            <v>JAP</v>
          </cell>
          <cell r="N1253" t="str">
            <v>D</v>
          </cell>
          <cell r="O1253" t="str">
            <v>231602B8</v>
          </cell>
          <cell r="P1253" t="str">
            <v>DECA EX CRS 25KG POLYBAG, WOOD</v>
          </cell>
          <cell r="Q1253" t="str">
            <v>Deca</v>
          </cell>
          <cell r="R1253">
            <v>3.48</v>
          </cell>
          <cell r="S1253">
            <v>1052.1600000000001</v>
          </cell>
        </row>
        <row r="1254">
          <cell r="A1254" t="str">
            <v>Budget</v>
          </cell>
          <cell r="B1254">
            <v>2</v>
          </cell>
          <cell r="C1254" t="str">
            <v>Export</v>
          </cell>
          <cell r="D1254">
            <v>55</v>
          </cell>
          <cell r="E1254">
            <v>8295</v>
          </cell>
          <cell r="F1254" t="str">
            <v>BE INTERNATIONAL CORPORATION</v>
          </cell>
          <cell r="G1254" t="str">
            <v>E</v>
          </cell>
          <cell r="H1254" t="str">
            <v>NAGOYA</v>
          </cell>
          <cell r="J1254" t="str">
            <v>JAP</v>
          </cell>
          <cell r="K1254" t="str">
            <v>BE INTERNATIONAL CORPORATION</v>
          </cell>
          <cell r="M1254" t="str">
            <v>JAP</v>
          </cell>
          <cell r="N1254" t="str">
            <v>C</v>
          </cell>
          <cell r="O1254" t="str">
            <v>200602B8</v>
          </cell>
          <cell r="P1254" t="str">
            <v>PYROBOR 25KG POLYBAG, WOOD</v>
          </cell>
          <cell r="Q1254" t="str">
            <v>Pyrobor</v>
          </cell>
          <cell r="R1254">
            <v>3.48</v>
          </cell>
          <cell r="S1254">
            <v>1929.05</v>
          </cell>
        </row>
        <row r="1255">
          <cell r="A1255" t="str">
            <v>Budget</v>
          </cell>
          <cell r="B1255">
            <v>2</v>
          </cell>
          <cell r="C1255" t="str">
            <v>Export</v>
          </cell>
          <cell r="D1255">
            <v>55</v>
          </cell>
          <cell r="E1255">
            <v>8295</v>
          </cell>
          <cell r="F1255" t="str">
            <v>BE INTERNATIONAL CORPORATION</v>
          </cell>
          <cell r="G1255" t="str">
            <v>E</v>
          </cell>
          <cell r="H1255" t="str">
            <v>NAGOYA</v>
          </cell>
          <cell r="J1255" t="str">
            <v>JAP</v>
          </cell>
          <cell r="K1255" t="str">
            <v>BE INTERNATIONAL CORPORATION</v>
          </cell>
          <cell r="M1255" t="str">
            <v>JAP</v>
          </cell>
          <cell r="N1255" t="str">
            <v>C</v>
          </cell>
          <cell r="O1255" t="str">
            <v>230602B8</v>
          </cell>
          <cell r="P1255" t="str">
            <v>DECA STD 25KG POLYBAG, WOOD</v>
          </cell>
          <cell r="Q1255" t="str">
            <v>Deca</v>
          </cell>
          <cell r="R1255">
            <v>4.4000000000000004</v>
          </cell>
          <cell r="S1255">
            <v>1279.8800000000001</v>
          </cell>
        </row>
        <row r="1256">
          <cell r="A1256" t="str">
            <v>Budget</v>
          </cell>
          <cell r="B1256">
            <v>2</v>
          </cell>
          <cell r="C1256" t="str">
            <v>Export</v>
          </cell>
          <cell r="D1256">
            <v>55</v>
          </cell>
          <cell r="E1256">
            <v>8295</v>
          </cell>
          <cell r="F1256" t="str">
            <v>BE INTERNATIONAL CORPORATION</v>
          </cell>
          <cell r="G1256" t="str">
            <v>E</v>
          </cell>
          <cell r="H1256" t="str">
            <v>NAGOYA</v>
          </cell>
          <cell r="J1256" t="str">
            <v>JAP</v>
          </cell>
          <cell r="K1256" t="str">
            <v>BE INTERNATIONAL CORPORATION</v>
          </cell>
          <cell r="M1256" t="str">
            <v>JAP</v>
          </cell>
          <cell r="N1256" t="str">
            <v>C</v>
          </cell>
          <cell r="O1256" t="str">
            <v>231602B8</v>
          </cell>
          <cell r="P1256" t="str">
            <v>DECA EX CRS 25KG POLYBAG, WOOD</v>
          </cell>
          <cell r="Q1256" t="str">
            <v>Deca</v>
          </cell>
          <cell r="R1256">
            <v>2.02</v>
          </cell>
          <cell r="S1256">
            <v>609.63</v>
          </cell>
        </row>
        <row r="1257">
          <cell r="A1257" t="str">
            <v>Budget</v>
          </cell>
          <cell r="B1257">
            <v>2</v>
          </cell>
          <cell r="C1257" t="str">
            <v>Export</v>
          </cell>
          <cell r="D1257">
            <v>55</v>
          </cell>
          <cell r="E1257">
            <v>8480</v>
          </cell>
          <cell r="F1257" t="str">
            <v>SHIONOGI/YOUNG VENUS/NAGOYA</v>
          </cell>
          <cell r="G1257" t="str">
            <v>E</v>
          </cell>
          <cell r="H1257" t="str">
            <v>NAGOYA</v>
          </cell>
          <cell r="J1257" t="str">
            <v>JAP</v>
          </cell>
          <cell r="K1257" t="str">
            <v>SHIONOGI &amp; COMPANY LTD</v>
          </cell>
          <cell r="M1257" t="str">
            <v>JAP</v>
          </cell>
          <cell r="N1257" t="str">
            <v>C</v>
          </cell>
          <cell r="O1257">
            <v>24090228</v>
          </cell>
          <cell r="P1257" t="str">
            <v>BORIC ACID GRAN 25KG BAG, WOOD</v>
          </cell>
          <cell r="Q1257" t="str">
            <v>Boric Acid</v>
          </cell>
          <cell r="R1257">
            <v>10.45</v>
          </cell>
          <cell r="S1257">
            <v>5398.57</v>
          </cell>
        </row>
        <row r="1258">
          <cell r="A1258" t="str">
            <v>Budget</v>
          </cell>
          <cell r="B1258">
            <v>2</v>
          </cell>
          <cell r="C1258" t="str">
            <v>Export</v>
          </cell>
          <cell r="D1258">
            <v>55</v>
          </cell>
          <cell r="E1258">
            <v>8482</v>
          </cell>
          <cell r="F1258" t="str">
            <v>SHIONOGI/KURARRAY/OSAKA</v>
          </cell>
          <cell r="G1258" t="str">
            <v>E</v>
          </cell>
          <cell r="H1258" t="str">
            <v>OSAKA</v>
          </cell>
          <cell r="J1258" t="str">
            <v>JAP</v>
          </cell>
          <cell r="K1258" t="str">
            <v>SHIONOGI &amp; COMPANY LTD</v>
          </cell>
          <cell r="M1258" t="str">
            <v>JAP</v>
          </cell>
          <cell r="N1258" t="str">
            <v>C</v>
          </cell>
          <cell r="O1258">
            <v>24090255</v>
          </cell>
          <cell r="P1258" t="str">
            <v>BORIC ACID GRAN TECH 1 MT FIBC</v>
          </cell>
          <cell r="Q1258" t="str">
            <v>Boric Acid</v>
          </cell>
          <cell r="R1258">
            <v>2.97</v>
          </cell>
          <cell r="S1258">
            <v>1405.31</v>
          </cell>
        </row>
        <row r="1259">
          <cell r="A1259" t="str">
            <v>Budget</v>
          </cell>
          <cell r="B1259">
            <v>2</v>
          </cell>
          <cell r="C1259" t="str">
            <v>Export</v>
          </cell>
          <cell r="D1259">
            <v>55</v>
          </cell>
          <cell r="E1259">
            <v>8662</v>
          </cell>
          <cell r="F1259" t="str">
            <v>BE INTERNATIONAL CORPORATION</v>
          </cell>
          <cell r="G1259" t="str">
            <v>E</v>
          </cell>
          <cell r="H1259" t="str">
            <v>YOKOHAMA</v>
          </cell>
          <cell r="J1259" t="str">
            <v>JAP</v>
          </cell>
          <cell r="K1259" t="str">
            <v>BE INTERNATIONAL CORPORATION</v>
          </cell>
          <cell r="M1259" t="str">
            <v>JAP</v>
          </cell>
          <cell r="N1259" t="str">
            <v>D</v>
          </cell>
          <cell r="O1259" t="str">
            <v>230602B8</v>
          </cell>
          <cell r="P1259" t="str">
            <v>DECA STD 25KG POLYBAG, WOOD</v>
          </cell>
          <cell r="Q1259" t="str">
            <v>Deca</v>
          </cell>
          <cell r="R1259">
            <v>10.45</v>
          </cell>
          <cell r="S1259">
            <v>3142.54</v>
          </cell>
        </row>
        <row r="1260">
          <cell r="A1260" t="str">
            <v>Budget</v>
          </cell>
          <cell r="B1260">
            <v>2</v>
          </cell>
          <cell r="C1260" t="str">
            <v>Export</v>
          </cell>
          <cell r="D1260">
            <v>55</v>
          </cell>
          <cell r="E1260">
            <v>8662</v>
          </cell>
          <cell r="F1260" t="str">
            <v>BE INTERNATIONAL CORPORATION</v>
          </cell>
          <cell r="G1260" t="str">
            <v>E</v>
          </cell>
          <cell r="H1260" t="str">
            <v>YOKOHAMA</v>
          </cell>
          <cell r="J1260" t="str">
            <v>JAP</v>
          </cell>
          <cell r="K1260" t="str">
            <v>BE INTERNATIONAL CORPORATION</v>
          </cell>
          <cell r="M1260" t="str">
            <v>JAP</v>
          </cell>
          <cell r="N1260" t="str">
            <v>D</v>
          </cell>
          <cell r="O1260" t="str">
            <v>231602B8</v>
          </cell>
          <cell r="P1260" t="str">
            <v>DECA EX CRS 25KG POLYBAG, WOOD</v>
          </cell>
          <cell r="Q1260" t="str">
            <v>Deca</v>
          </cell>
          <cell r="R1260">
            <v>10.45</v>
          </cell>
          <cell r="S1260">
            <v>3176.77</v>
          </cell>
        </row>
        <row r="1261">
          <cell r="A1261" t="str">
            <v>Budget</v>
          </cell>
          <cell r="B1261">
            <v>2</v>
          </cell>
          <cell r="C1261" t="str">
            <v>Export</v>
          </cell>
          <cell r="D1261">
            <v>55</v>
          </cell>
          <cell r="E1261">
            <v>8808</v>
          </cell>
          <cell r="F1261" t="str">
            <v>BE INTERNATIONAL CORPORATION</v>
          </cell>
          <cell r="G1261" t="str">
            <v>E</v>
          </cell>
          <cell r="H1261" t="str">
            <v>NAGOYA</v>
          </cell>
          <cell r="J1261" t="str">
            <v>JAP</v>
          </cell>
          <cell r="K1261" t="str">
            <v>BE INTERNATIONAL CORPORATION</v>
          </cell>
          <cell r="M1261" t="str">
            <v>JAP</v>
          </cell>
          <cell r="N1261" t="str">
            <v>C</v>
          </cell>
          <cell r="O1261" t="str">
            <v>200602B8</v>
          </cell>
          <cell r="P1261" t="str">
            <v>PYROBOR 25KG POLYBAG, WOOD</v>
          </cell>
          <cell r="Q1261" t="str">
            <v>Pyrobor</v>
          </cell>
          <cell r="R1261">
            <v>1.83</v>
          </cell>
          <cell r="S1261">
            <v>1021.18</v>
          </cell>
        </row>
        <row r="1262">
          <cell r="A1262" t="str">
            <v>Budget</v>
          </cell>
          <cell r="B1262">
            <v>2</v>
          </cell>
          <cell r="C1262" t="str">
            <v>Export</v>
          </cell>
          <cell r="D1262">
            <v>55</v>
          </cell>
          <cell r="E1262">
            <v>8816</v>
          </cell>
          <cell r="F1262" t="str">
            <v>BE INTERNATIONAL CORPORATION</v>
          </cell>
          <cell r="G1262" t="str">
            <v>E</v>
          </cell>
          <cell r="H1262" t="str">
            <v>SHIMIZU</v>
          </cell>
          <cell r="J1262" t="str">
            <v>JAP</v>
          </cell>
          <cell r="K1262" t="str">
            <v>BE INTERNATIONAL CORPORATION</v>
          </cell>
          <cell r="M1262" t="str">
            <v>JAP</v>
          </cell>
          <cell r="N1262" t="str">
            <v>D</v>
          </cell>
          <cell r="O1262">
            <v>24850277</v>
          </cell>
          <cell r="P1262" t="str">
            <v>BORIC ACID GRN TECH 775KG FIBC</v>
          </cell>
          <cell r="Q1262" t="str">
            <v>Boric Acid</v>
          </cell>
          <cell r="R1262">
            <v>8.1199999999999992</v>
          </cell>
          <cell r="S1262">
            <v>3871.9</v>
          </cell>
        </row>
        <row r="1263">
          <cell r="A1263" t="str">
            <v>Budget</v>
          </cell>
          <cell r="B1263">
            <v>2</v>
          </cell>
          <cell r="C1263" t="str">
            <v>Export</v>
          </cell>
          <cell r="D1263">
            <v>55</v>
          </cell>
          <cell r="E1263">
            <v>8818</v>
          </cell>
          <cell r="F1263" t="str">
            <v>BE INTERNATIONAL CORPORATION</v>
          </cell>
          <cell r="G1263" t="str">
            <v>E</v>
          </cell>
          <cell r="H1263" t="str">
            <v>YOKOHAMA</v>
          </cell>
          <cell r="J1263" t="str">
            <v>JAP</v>
          </cell>
          <cell r="K1263" t="str">
            <v>BE INTERNATIONAL CORPORATION</v>
          </cell>
          <cell r="M1263" t="str">
            <v>JAP</v>
          </cell>
          <cell r="N1263" t="str">
            <v>D</v>
          </cell>
          <cell r="O1263">
            <v>22060428</v>
          </cell>
          <cell r="P1263" t="str">
            <v>V-BOR 25KG BAG (004), WOOD</v>
          </cell>
          <cell r="Q1263" t="str">
            <v>Penta</v>
          </cell>
          <cell r="R1263">
            <v>3.48</v>
          </cell>
          <cell r="S1263">
            <v>964.37</v>
          </cell>
        </row>
        <row r="1264">
          <cell r="A1264" t="str">
            <v>Budget</v>
          </cell>
          <cell r="B1264">
            <v>2</v>
          </cell>
          <cell r="C1264" t="str">
            <v>Export</v>
          </cell>
          <cell r="D1264">
            <v>55</v>
          </cell>
          <cell r="E1264">
            <v>8818</v>
          </cell>
          <cell r="F1264" t="str">
            <v>BE INTERNATIONAL CORPORATION</v>
          </cell>
          <cell r="G1264" t="str">
            <v>E</v>
          </cell>
          <cell r="H1264" t="str">
            <v>YOKOHAMA</v>
          </cell>
          <cell r="J1264" t="str">
            <v>JAP</v>
          </cell>
          <cell r="K1264" t="str">
            <v>BE INTERNATIONAL CORPORATION</v>
          </cell>
          <cell r="M1264" t="str">
            <v>JAP</v>
          </cell>
          <cell r="N1264" t="str">
            <v>D</v>
          </cell>
          <cell r="O1264" t="str">
            <v>220604B8</v>
          </cell>
          <cell r="P1264" t="str">
            <v>V-BOR 25KG POLYBAG,WOOD (004)</v>
          </cell>
          <cell r="Q1264" t="str">
            <v>Penta</v>
          </cell>
          <cell r="R1264">
            <v>6.97</v>
          </cell>
          <cell r="S1264">
            <v>1891.42</v>
          </cell>
        </row>
        <row r="1265">
          <cell r="A1265" t="str">
            <v>Budget</v>
          </cell>
          <cell r="B1265">
            <v>2</v>
          </cell>
          <cell r="C1265" t="str">
            <v>Export</v>
          </cell>
          <cell r="D1265">
            <v>55</v>
          </cell>
          <cell r="E1265">
            <v>8818</v>
          </cell>
          <cell r="F1265" t="str">
            <v>BE INTERNATIONAL CORPORATION</v>
          </cell>
          <cell r="G1265" t="str">
            <v>E</v>
          </cell>
          <cell r="H1265" t="str">
            <v>YOKOHAMA</v>
          </cell>
          <cell r="J1265" t="str">
            <v>JAP</v>
          </cell>
          <cell r="K1265" t="str">
            <v>BE INTERNATIONAL CORPORATION</v>
          </cell>
          <cell r="M1265" t="str">
            <v>JAP</v>
          </cell>
          <cell r="N1265" t="str">
            <v>D</v>
          </cell>
          <cell r="O1265">
            <v>24850228</v>
          </cell>
          <cell r="P1265" t="str">
            <v>BORIC ACID GRAN 25KG BAG, WOOD</v>
          </cell>
          <cell r="Q1265" t="str">
            <v>Boric Acid</v>
          </cell>
          <cell r="R1265">
            <v>6.97</v>
          </cell>
          <cell r="S1265">
            <v>3188.1</v>
          </cell>
        </row>
        <row r="1266">
          <cell r="A1266" t="str">
            <v>Budget</v>
          </cell>
          <cell r="B1266">
            <v>2</v>
          </cell>
          <cell r="C1266" t="str">
            <v>Export</v>
          </cell>
          <cell r="D1266">
            <v>55</v>
          </cell>
          <cell r="E1266">
            <v>8819</v>
          </cell>
          <cell r="F1266" t="str">
            <v>BE INTERNATIONAL CORPORATION</v>
          </cell>
          <cell r="G1266" t="str">
            <v>E</v>
          </cell>
          <cell r="H1266" t="str">
            <v>YOKOHAMA</v>
          </cell>
          <cell r="J1266" t="str">
            <v>JAP</v>
          </cell>
          <cell r="K1266" t="str">
            <v>BE INTERNATIONAL CORPORATION</v>
          </cell>
          <cell r="M1266" t="str">
            <v>JAP</v>
          </cell>
          <cell r="N1266" t="str">
            <v>D</v>
          </cell>
          <cell r="O1266" t="str">
            <v>200602B8</v>
          </cell>
          <cell r="P1266" t="str">
            <v>PYROBOR 25KG POLYBAG, WOOD</v>
          </cell>
          <cell r="Q1266" t="str">
            <v>Pyrobor</v>
          </cell>
          <cell r="R1266">
            <v>6.97</v>
          </cell>
          <cell r="S1266">
            <v>3888.85</v>
          </cell>
        </row>
        <row r="1267">
          <cell r="A1267" t="str">
            <v>Budget</v>
          </cell>
          <cell r="B1267">
            <v>2</v>
          </cell>
          <cell r="C1267" t="str">
            <v>Export</v>
          </cell>
          <cell r="D1267">
            <v>55</v>
          </cell>
          <cell r="E1267">
            <v>8866</v>
          </cell>
          <cell r="F1267" t="str">
            <v>BE INTERNATIONAL CORPORATION</v>
          </cell>
          <cell r="G1267" t="str">
            <v>E</v>
          </cell>
          <cell r="H1267" t="str">
            <v>OSAKA</v>
          </cell>
          <cell r="J1267" t="str">
            <v>JAP</v>
          </cell>
          <cell r="K1267" t="str">
            <v>BE INTERNATIONAL CORPORATION</v>
          </cell>
          <cell r="M1267" t="str">
            <v>JAP</v>
          </cell>
          <cell r="N1267" t="str">
            <v>D</v>
          </cell>
          <cell r="O1267">
            <v>20060255</v>
          </cell>
          <cell r="P1267" t="str">
            <v>PYROBOR 1 MT FIBC (002)</v>
          </cell>
          <cell r="Q1267" t="str">
            <v>Pyrobor</v>
          </cell>
          <cell r="R1267">
            <v>1.05</v>
          </cell>
          <cell r="S1267">
            <v>544.9</v>
          </cell>
        </row>
        <row r="1268">
          <cell r="A1268" t="str">
            <v>Budget</v>
          </cell>
          <cell r="B1268">
            <v>2</v>
          </cell>
          <cell r="C1268" t="str">
            <v>Export</v>
          </cell>
          <cell r="D1268">
            <v>55</v>
          </cell>
          <cell r="E1268">
            <v>8866</v>
          </cell>
          <cell r="F1268" t="str">
            <v>BE INTERNATIONAL CORPORATION</v>
          </cell>
          <cell r="G1268" t="str">
            <v>E</v>
          </cell>
          <cell r="H1268" t="str">
            <v>OSAKA</v>
          </cell>
          <cell r="J1268" t="str">
            <v>JAP</v>
          </cell>
          <cell r="K1268" t="str">
            <v>BE INTERNATIONAL CORPORATION</v>
          </cell>
          <cell r="M1268" t="str">
            <v>JAP</v>
          </cell>
          <cell r="N1268" t="str">
            <v>D</v>
          </cell>
          <cell r="O1268" t="str">
            <v>200602B8</v>
          </cell>
          <cell r="P1268" t="str">
            <v>PYROBOR 25KG POLYBAG, WOOD</v>
          </cell>
          <cell r="Q1268" t="str">
            <v>Pyrobor</v>
          </cell>
          <cell r="R1268">
            <v>1.83</v>
          </cell>
          <cell r="S1268">
            <v>1021.18</v>
          </cell>
        </row>
        <row r="1269">
          <cell r="A1269" t="str">
            <v>Budget</v>
          </cell>
          <cell r="B1269">
            <v>2</v>
          </cell>
          <cell r="C1269" t="str">
            <v>Export</v>
          </cell>
          <cell r="D1269">
            <v>55</v>
          </cell>
          <cell r="E1269">
            <v>8866</v>
          </cell>
          <cell r="F1269" t="str">
            <v>BE INTERNATIONAL CORPORATION</v>
          </cell>
          <cell r="G1269" t="str">
            <v>E</v>
          </cell>
          <cell r="H1269" t="str">
            <v>OSAKA</v>
          </cell>
          <cell r="J1269" t="str">
            <v>JAP</v>
          </cell>
          <cell r="K1269" t="str">
            <v>BE INTERNATIONAL CORPORATION</v>
          </cell>
          <cell r="M1269" t="str">
            <v>JAP</v>
          </cell>
          <cell r="N1269" t="str">
            <v>D</v>
          </cell>
          <cell r="O1269">
            <v>22060455</v>
          </cell>
          <cell r="P1269" t="str">
            <v>V-BOR 1 MT FIBC (004)</v>
          </cell>
          <cell r="Q1269" t="str">
            <v>Penta</v>
          </cell>
          <cell r="R1269">
            <v>1.05</v>
          </cell>
          <cell r="S1269">
            <v>262.02</v>
          </cell>
        </row>
        <row r="1270">
          <cell r="A1270" t="str">
            <v>Budget</v>
          </cell>
          <cell r="B1270">
            <v>2</v>
          </cell>
          <cell r="C1270" t="str">
            <v>Export</v>
          </cell>
          <cell r="D1270">
            <v>55</v>
          </cell>
          <cell r="E1270">
            <v>8866</v>
          </cell>
          <cell r="F1270" t="str">
            <v>BE INTERNATIONAL CORPORATION</v>
          </cell>
          <cell r="G1270" t="str">
            <v>E</v>
          </cell>
          <cell r="H1270" t="str">
            <v>OSAKA</v>
          </cell>
          <cell r="J1270" t="str">
            <v>JAP</v>
          </cell>
          <cell r="K1270" t="str">
            <v>BE INTERNATIONAL CORPORATION</v>
          </cell>
          <cell r="M1270" t="str">
            <v>JAP</v>
          </cell>
          <cell r="N1270" t="str">
            <v>D</v>
          </cell>
          <cell r="O1270">
            <v>24850228</v>
          </cell>
          <cell r="P1270" t="str">
            <v>BORIC ACID GRAN 25KG BAG, WOOD</v>
          </cell>
          <cell r="Q1270" t="str">
            <v>Boric Acid</v>
          </cell>
          <cell r="R1270">
            <v>6.97</v>
          </cell>
          <cell r="S1270">
            <v>3167.81</v>
          </cell>
        </row>
        <row r="1271">
          <cell r="A1271" t="str">
            <v>Budget</v>
          </cell>
          <cell r="B1271">
            <v>2</v>
          </cell>
          <cell r="C1271" t="str">
            <v>Export</v>
          </cell>
          <cell r="D1271">
            <v>55</v>
          </cell>
          <cell r="E1271">
            <v>8933</v>
          </cell>
          <cell r="F1271" t="str">
            <v>ALWAYS STAR CO., LTD.</v>
          </cell>
          <cell r="G1271" t="str">
            <v>E</v>
          </cell>
          <cell r="H1271" t="str">
            <v>TAIPEI</v>
          </cell>
          <cell r="J1271" t="str">
            <v>TWN</v>
          </cell>
          <cell r="K1271" t="str">
            <v>ALWAYS STAR CO., LTD.</v>
          </cell>
          <cell r="M1271" t="str">
            <v>TWN</v>
          </cell>
          <cell r="N1271" t="str">
            <v>D</v>
          </cell>
          <cell r="O1271">
            <v>20150228</v>
          </cell>
          <cell r="P1271" t="str">
            <v>PYROBOR COARSE 25KG (002) WOOD</v>
          </cell>
          <cell r="Q1271" t="str">
            <v>Pyrobor</v>
          </cell>
          <cell r="R1271">
            <v>62.73</v>
          </cell>
          <cell r="S1271">
            <v>37608.639999999999</v>
          </cell>
        </row>
        <row r="1272">
          <cell r="A1272" t="str">
            <v>Budget</v>
          </cell>
          <cell r="B1272">
            <v>2</v>
          </cell>
          <cell r="C1272" t="str">
            <v>Export</v>
          </cell>
          <cell r="D1272">
            <v>55</v>
          </cell>
          <cell r="E1272">
            <v>8933</v>
          </cell>
          <cell r="F1272" t="str">
            <v>ALWAYS STAR CO., LTD.</v>
          </cell>
          <cell r="G1272" t="str">
            <v>E</v>
          </cell>
          <cell r="H1272" t="str">
            <v>TAIPEI</v>
          </cell>
          <cell r="J1272" t="str">
            <v>TWN</v>
          </cell>
          <cell r="K1272" t="str">
            <v>ALWAYS STAR CO., LTD.</v>
          </cell>
          <cell r="M1272" t="str">
            <v>TWN</v>
          </cell>
          <cell r="N1272" t="str">
            <v>D</v>
          </cell>
          <cell r="O1272">
            <v>22060428</v>
          </cell>
          <cell r="P1272" t="str">
            <v>V-BOR 25KG BAG (004), WOOD</v>
          </cell>
          <cell r="Q1272" t="str">
            <v>Penta</v>
          </cell>
          <cell r="R1272">
            <v>3.48</v>
          </cell>
          <cell r="S1272">
            <v>854.31</v>
          </cell>
        </row>
        <row r="1273">
          <cell r="A1273" t="str">
            <v>Budget</v>
          </cell>
          <cell r="B1273">
            <v>2</v>
          </cell>
          <cell r="C1273" t="str">
            <v>Export</v>
          </cell>
          <cell r="D1273">
            <v>55</v>
          </cell>
          <cell r="E1273">
            <v>8933</v>
          </cell>
          <cell r="F1273" t="str">
            <v>ALWAYS STAR CO., LTD.</v>
          </cell>
          <cell r="G1273" t="str">
            <v>E</v>
          </cell>
          <cell r="H1273" t="str">
            <v>TAIPEI</v>
          </cell>
          <cell r="J1273" t="str">
            <v>TWN</v>
          </cell>
          <cell r="K1273" t="str">
            <v>ALWAYS STAR CO., LTD.</v>
          </cell>
          <cell r="M1273" t="str">
            <v>TWN</v>
          </cell>
          <cell r="N1273" t="str">
            <v>D</v>
          </cell>
          <cell r="O1273">
            <v>23160228</v>
          </cell>
          <cell r="P1273" t="str">
            <v>DECA BORAX X CRS 25KG BAG WOOD</v>
          </cell>
          <cell r="Q1273" t="str">
            <v>Deca</v>
          </cell>
          <cell r="R1273">
            <v>13.76</v>
          </cell>
          <cell r="S1273">
            <v>3379.89</v>
          </cell>
        </row>
        <row r="1274">
          <cell r="A1274" t="str">
            <v>Budget</v>
          </cell>
          <cell r="B1274">
            <v>2</v>
          </cell>
          <cell r="C1274" t="str">
            <v>Export</v>
          </cell>
          <cell r="D1274">
            <v>55</v>
          </cell>
          <cell r="E1274">
            <v>8933</v>
          </cell>
          <cell r="F1274" t="str">
            <v>ALWAYS STAR CO., LTD.</v>
          </cell>
          <cell r="G1274" t="str">
            <v>E</v>
          </cell>
          <cell r="H1274" t="str">
            <v>TAIPEI</v>
          </cell>
          <cell r="J1274" t="str">
            <v>TWN</v>
          </cell>
          <cell r="K1274" t="str">
            <v>ALWAYS STAR CO., LTD.</v>
          </cell>
          <cell r="M1274" t="str">
            <v>TWN</v>
          </cell>
          <cell r="N1274" t="str">
            <v>D</v>
          </cell>
          <cell r="O1274">
            <v>24090228</v>
          </cell>
          <cell r="P1274" t="str">
            <v>BORIC ACID GRAN 25KG BAG, WOOD</v>
          </cell>
          <cell r="Q1274" t="str">
            <v>Boric Acid</v>
          </cell>
          <cell r="R1274">
            <v>13.94</v>
          </cell>
          <cell r="S1274">
            <v>5456.28</v>
          </cell>
        </row>
        <row r="1275">
          <cell r="A1275" t="str">
            <v>Budget</v>
          </cell>
          <cell r="B1275">
            <v>2</v>
          </cell>
          <cell r="C1275" t="str">
            <v>Export</v>
          </cell>
          <cell r="D1275">
            <v>55</v>
          </cell>
          <cell r="E1275">
            <v>8986</v>
          </cell>
          <cell r="F1275" t="str">
            <v>BEHN MEYER INTERNATIONAL</v>
          </cell>
          <cell r="G1275" t="str">
            <v>E</v>
          </cell>
          <cell r="H1275" t="str">
            <v>SINGAPORE</v>
          </cell>
          <cell r="J1275" t="str">
            <v>SIN</v>
          </cell>
          <cell r="K1275" t="str">
            <v>BEHN MEYER INTERNATIONAL</v>
          </cell>
          <cell r="M1275" t="str">
            <v>SIN</v>
          </cell>
          <cell r="N1275" t="str">
            <v>D</v>
          </cell>
          <cell r="O1275">
            <v>24090261</v>
          </cell>
          <cell r="P1275" t="str">
            <v>BORIC ACID GRN TCH 1000LB FIBC</v>
          </cell>
          <cell r="Q1275" t="str">
            <v>Boric Acid</v>
          </cell>
          <cell r="R1275">
            <v>1.58</v>
          </cell>
          <cell r="S1275">
            <v>897.4</v>
          </cell>
        </row>
        <row r="1276">
          <cell r="A1276" t="str">
            <v>Budget</v>
          </cell>
          <cell r="B1276">
            <v>2</v>
          </cell>
          <cell r="C1276" t="str">
            <v>Export</v>
          </cell>
          <cell r="D1276">
            <v>55</v>
          </cell>
          <cell r="E1276">
            <v>8988</v>
          </cell>
          <cell r="F1276" t="str">
            <v>NUFARM TECHNOLOGIES (M)SDN BHD</v>
          </cell>
          <cell r="G1276" t="str">
            <v>E</v>
          </cell>
          <cell r="H1276" t="str">
            <v>PETALING JAYA</v>
          </cell>
          <cell r="J1276" t="str">
            <v>MAL</v>
          </cell>
          <cell r="K1276" t="str">
            <v>BEHN MEYER INTERNATIONAL</v>
          </cell>
          <cell r="M1276" t="str">
            <v>SIN</v>
          </cell>
          <cell r="N1276" t="str">
            <v>C</v>
          </cell>
          <cell r="O1276">
            <v>22060420</v>
          </cell>
          <cell r="P1276" t="str">
            <v>V-BOR 25KG BAG (004)</v>
          </cell>
          <cell r="Q1276" t="str">
            <v>Penta</v>
          </cell>
          <cell r="R1276">
            <v>6.97</v>
          </cell>
          <cell r="S1276">
            <v>1648.56</v>
          </cell>
        </row>
        <row r="1277">
          <cell r="A1277" t="str">
            <v>Budget</v>
          </cell>
          <cell r="B1277">
            <v>2</v>
          </cell>
          <cell r="C1277" t="str">
            <v>Export</v>
          </cell>
          <cell r="D1277">
            <v>55</v>
          </cell>
          <cell r="E1277">
            <v>8988</v>
          </cell>
          <cell r="F1277" t="str">
            <v>NUFARM TECHNOLOGIES (M)SDN BHD</v>
          </cell>
          <cell r="G1277" t="str">
            <v>E</v>
          </cell>
          <cell r="H1277" t="str">
            <v>PETALING JAYA</v>
          </cell>
          <cell r="J1277" t="str">
            <v>MAL</v>
          </cell>
          <cell r="K1277" t="str">
            <v>BEHN MEYER INTERNATIONAL</v>
          </cell>
          <cell r="M1277" t="str">
            <v>SIN</v>
          </cell>
          <cell r="N1277" t="str">
            <v>C</v>
          </cell>
          <cell r="O1277" t="str">
            <v>220604B0</v>
          </cell>
          <cell r="P1277" t="str">
            <v>V-BOR 25 KG POLYBAG (004)</v>
          </cell>
          <cell r="Q1277" t="str">
            <v>Penta</v>
          </cell>
          <cell r="R1277">
            <v>20.91</v>
          </cell>
          <cell r="S1277">
            <v>4950.92</v>
          </cell>
        </row>
        <row r="1278">
          <cell r="A1278" t="str">
            <v>Budget</v>
          </cell>
          <cell r="B1278">
            <v>2</v>
          </cell>
          <cell r="C1278" t="str">
            <v>Export</v>
          </cell>
          <cell r="D1278">
            <v>55</v>
          </cell>
          <cell r="E1278">
            <v>8988</v>
          </cell>
          <cell r="F1278" t="str">
            <v>NUFARM TECHNOLOGIES (M)SDN BHD</v>
          </cell>
          <cell r="G1278" t="str">
            <v>E</v>
          </cell>
          <cell r="H1278" t="str">
            <v>PETALING JAYA</v>
          </cell>
          <cell r="J1278" t="str">
            <v>MAL</v>
          </cell>
          <cell r="K1278" t="str">
            <v>BEHN MEYER INTERNATIONAL</v>
          </cell>
          <cell r="M1278" t="str">
            <v>SIN</v>
          </cell>
          <cell r="N1278" t="str">
            <v>C</v>
          </cell>
          <cell r="O1278">
            <v>23060220</v>
          </cell>
          <cell r="P1278" t="str">
            <v>DECA BORAX STD 25KG BAG</v>
          </cell>
          <cell r="Q1278" t="str">
            <v>Deca</v>
          </cell>
          <cell r="R1278">
            <v>10.45</v>
          </cell>
          <cell r="S1278">
            <v>2474.59</v>
          </cell>
        </row>
        <row r="1279">
          <cell r="A1279" t="str">
            <v>Budget</v>
          </cell>
          <cell r="B1279">
            <v>2</v>
          </cell>
          <cell r="C1279" t="str">
            <v>Export</v>
          </cell>
          <cell r="D1279">
            <v>55</v>
          </cell>
          <cell r="E1279">
            <v>8988</v>
          </cell>
          <cell r="F1279" t="str">
            <v>NUFARM TECHNOLOGIES (M)SDN BHD</v>
          </cell>
          <cell r="G1279" t="str">
            <v>E</v>
          </cell>
          <cell r="H1279" t="str">
            <v>PETALING JAYA</v>
          </cell>
          <cell r="J1279" t="str">
            <v>MAL</v>
          </cell>
          <cell r="K1279" t="str">
            <v>BEHN MEYER INTERNATIONAL</v>
          </cell>
          <cell r="M1279" t="str">
            <v>SIN</v>
          </cell>
          <cell r="N1279" t="str">
            <v>C</v>
          </cell>
          <cell r="O1279">
            <v>24090220</v>
          </cell>
          <cell r="P1279" t="str">
            <v>BORIC ACID GRAN TECH 25KG BAG</v>
          </cell>
          <cell r="Q1279" t="str">
            <v>Boric Acid</v>
          </cell>
          <cell r="R1279">
            <v>20.91</v>
          </cell>
          <cell r="S1279">
            <v>7315.05</v>
          </cell>
        </row>
        <row r="1280">
          <cell r="A1280" t="str">
            <v>Budget</v>
          </cell>
          <cell r="B1280">
            <v>2</v>
          </cell>
          <cell r="C1280" t="str">
            <v>Export</v>
          </cell>
          <cell r="D1280">
            <v>55</v>
          </cell>
          <cell r="E1280">
            <v>8997</v>
          </cell>
          <cell r="F1280" t="str">
            <v>YUE HO GLASS., LTD</v>
          </cell>
          <cell r="G1280" t="str">
            <v>E</v>
          </cell>
          <cell r="H1280" t="str">
            <v>KEELUNG</v>
          </cell>
          <cell r="J1280" t="str">
            <v>TWN</v>
          </cell>
          <cell r="K1280" t="str">
            <v>HLC INTERNATIONAL CORPORATION</v>
          </cell>
          <cell r="M1280" t="str">
            <v>TWN</v>
          </cell>
          <cell r="N1280" t="str">
            <v>C</v>
          </cell>
          <cell r="O1280">
            <v>20150228</v>
          </cell>
          <cell r="P1280" t="str">
            <v>PYROBOR COARSE 25KG (002) WOOD</v>
          </cell>
          <cell r="Q1280" t="str">
            <v>Pyrobor</v>
          </cell>
          <cell r="R1280">
            <v>20.91</v>
          </cell>
          <cell r="S1280">
            <v>13955.66</v>
          </cell>
        </row>
        <row r="1281">
          <cell r="A1281" t="str">
            <v>Budget</v>
          </cell>
          <cell r="B1281">
            <v>2</v>
          </cell>
          <cell r="C1281" t="str">
            <v>Export</v>
          </cell>
          <cell r="D1281">
            <v>55</v>
          </cell>
          <cell r="E1281">
            <v>8997</v>
          </cell>
          <cell r="F1281" t="str">
            <v>YUE HO GLASS., LTD</v>
          </cell>
          <cell r="G1281" t="str">
            <v>E</v>
          </cell>
          <cell r="H1281" t="str">
            <v>KEELUNG</v>
          </cell>
          <cell r="J1281" t="str">
            <v>TWN</v>
          </cell>
          <cell r="K1281" t="str">
            <v>HLC INTERNATIONAL CORPORATION</v>
          </cell>
          <cell r="M1281" t="str">
            <v>TWN</v>
          </cell>
          <cell r="N1281" t="str">
            <v>C</v>
          </cell>
          <cell r="O1281">
            <v>24090228</v>
          </cell>
          <cell r="P1281" t="str">
            <v>BORIC ACID GRAN 25KG BAG, WOOD</v>
          </cell>
          <cell r="Q1281" t="str">
            <v>Boric Acid</v>
          </cell>
          <cell r="R1281">
            <v>3.48</v>
          </cell>
          <cell r="S1281">
            <v>1790.23</v>
          </cell>
        </row>
        <row r="1282">
          <cell r="A1282" t="str">
            <v>Budget</v>
          </cell>
          <cell r="B1282">
            <v>2</v>
          </cell>
          <cell r="C1282" t="str">
            <v>Export</v>
          </cell>
          <cell r="D1282">
            <v>55</v>
          </cell>
          <cell r="E1282">
            <v>8998</v>
          </cell>
          <cell r="F1282" t="str">
            <v>Le CHOU ENTERPRISE CO., LTD.</v>
          </cell>
          <cell r="G1282" t="str">
            <v>E</v>
          </cell>
          <cell r="H1282" t="str">
            <v>KAOHSIUNG</v>
          </cell>
          <cell r="J1282" t="str">
            <v>TWN</v>
          </cell>
          <cell r="K1282" t="str">
            <v>HLC INTERNATIONAL CORPORATION</v>
          </cell>
          <cell r="M1282" t="str">
            <v>TWN</v>
          </cell>
          <cell r="N1282" t="str">
            <v>C</v>
          </cell>
          <cell r="O1282">
            <v>23060220</v>
          </cell>
          <cell r="P1282" t="str">
            <v>DECA BORAX STD 25KG BAG</v>
          </cell>
          <cell r="Q1282" t="str">
            <v>Deca</v>
          </cell>
          <cell r="R1282">
            <v>3.48</v>
          </cell>
          <cell r="S1282">
            <v>1300.25</v>
          </cell>
        </row>
        <row r="1283">
          <cell r="A1283" t="str">
            <v>Budget</v>
          </cell>
          <cell r="B1283">
            <v>2</v>
          </cell>
          <cell r="C1283" t="str">
            <v>Export</v>
          </cell>
          <cell r="D1283">
            <v>55</v>
          </cell>
          <cell r="E1283">
            <v>9001</v>
          </cell>
          <cell r="F1283" t="str">
            <v>TAIWAN FLUORESCENT LAMP CO LTD</v>
          </cell>
          <cell r="G1283" t="str">
            <v>E</v>
          </cell>
          <cell r="H1283" t="str">
            <v>KEELUNG</v>
          </cell>
          <cell r="J1283" t="str">
            <v>TWN</v>
          </cell>
          <cell r="K1283" t="str">
            <v>HLC INTERNATIONAL CORPORATION</v>
          </cell>
          <cell r="M1283" t="str">
            <v>TWN</v>
          </cell>
          <cell r="N1283" t="str">
            <v>C</v>
          </cell>
          <cell r="O1283">
            <v>20310228</v>
          </cell>
          <cell r="P1283" t="str">
            <v>PYROBOR 30/100 25KG (002) WOOD</v>
          </cell>
          <cell r="Q1283" t="str">
            <v>Pyrobor</v>
          </cell>
          <cell r="R1283">
            <v>10.45</v>
          </cell>
          <cell r="S1283">
            <v>7614.32</v>
          </cell>
        </row>
        <row r="1284">
          <cell r="A1284" t="str">
            <v>Budget</v>
          </cell>
          <cell r="B1284">
            <v>2</v>
          </cell>
          <cell r="C1284" t="str">
            <v>Export</v>
          </cell>
          <cell r="D1284">
            <v>55</v>
          </cell>
          <cell r="E1284">
            <v>9005</v>
          </cell>
          <cell r="F1284" t="str">
            <v>LEN YIH TRADING Co., LTD.</v>
          </cell>
          <cell r="G1284" t="str">
            <v>E</v>
          </cell>
          <cell r="H1284" t="str">
            <v>TAIPEI</v>
          </cell>
          <cell r="J1284" t="str">
            <v>TWN</v>
          </cell>
          <cell r="K1284" t="str">
            <v>HLC INTERNATIONAL CORPORATION</v>
          </cell>
          <cell r="M1284" t="str">
            <v>TWN</v>
          </cell>
          <cell r="N1284" t="str">
            <v>C</v>
          </cell>
          <cell r="O1284">
            <v>23060228</v>
          </cell>
          <cell r="P1284" t="str">
            <v>DECA BORAX STD 25KG BAG, WOOD</v>
          </cell>
          <cell r="Q1284" t="str">
            <v>Deca</v>
          </cell>
          <cell r="R1284">
            <v>13.57</v>
          </cell>
          <cell r="S1284">
            <v>4631.2700000000004</v>
          </cell>
        </row>
        <row r="1285">
          <cell r="A1285" t="str">
            <v>Budget</v>
          </cell>
          <cell r="B1285">
            <v>2</v>
          </cell>
          <cell r="C1285" t="str">
            <v>Export</v>
          </cell>
          <cell r="D1285">
            <v>55</v>
          </cell>
          <cell r="E1285">
            <v>9005</v>
          </cell>
          <cell r="F1285" t="str">
            <v>LEN YIH TRADING Co., LTD.</v>
          </cell>
          <cell r="G1285" t="str">
            <v>E</v>
          </cell>
          <cell r="H1285" t="str">
            <v>TAIPEI</v>
          </cell>
          <cell r="J1285" t="str">
            <v>TWN</v>
          </cell>
          <cell r="K1285" t="str">
            <v>HLC INTERNATIONAL CORPORATION</v>
          </cell>
          <cell r="M1285" t="str">
            <v>TWN</v>
          </cell>
          <cell r="N1285" t="str">
            <v>C</v>
          </cell>
          <cell r="O1285">
            <v>24090228</v>
          </cell>
          <cell r="P1285" t="str">
            <v>BORIC ACID GRAN 25KG BAG, WOOD</v>
          </cell>
          <cell r="Q1285" t="str">
            <v>Boric Acid</v>
          </cell>
          <cell r="R1285">
            <v>0.37</v>
          </cell>
          <cell r="S1285">
            <v>198.42</v>
          </cell>
        </row>
        <row r="1286">
          <cell r="A1286" t="str">
            <v>Budget</v>
          </cell>
          <cell r="B1286">
            <v>2</v>
          </cell>
          <cell r="C1286" t="str">
            <v>Export</v>
          </cell>
          <cell r="D1286">
            <v>55</v>
          </cell>
          <cell r="E1286">
            <v>9007</v>
          </cell>
          <cell r="F1286" t="str">
            <v>LAN FONG COMPANY CO., LTD.</v>
          </cell>
          <cell r="G1286" t="str">
            <v>E</v>
          </cell>
          <cell r="H1286" t="str">
            <v>KAOHSIUNG</v>
          </cell>
          <cell r="J1286" t="str">
            <v>TWN</v>
          </cell>
          <cell r="K1286" t="str">
            <v>HLC INTERNATIONAL CORPORATION</v>
          </cell>
          <cell r="M1286" t="str">
            <v>TWN</v>
          </cell>
          <cell r="N1286" t="str">
            <v>C</v>
          </cell>
          <cell r="O1286">
            <v>23160228</v>
          </cell>
          <cell r="P1286" t="str">
            <v>DECA BORAX X CRS 25KG BAG WOOD</v>
          </cell>
          <cell r="Q1286" t="str">
            <v>Deca</v>
          </cell>
          <cell r="R1286">
            <v>3.48</v>
          </cell>
          <cell r="S1286">
            <v>1296.76</v>
          </cell>
        </row>
        <row r="1287">
          <cell r="A1287" t="str">
            <v>Budget</v>
          </cell>
          <cell r="B1287">
            <v>2</v>
          </cell>
          <cell r="C1287" t="str">
            <v>Export</v>
          </cell>
          <cell r="D1287">
            <v>55</v>
          </cell>
          <cell r="E1287">
            <v>9012</v>
          </cell>
          <cell r="F1287" t="str">
            <v>BE INTERNATIONAL CORPORATION</v>
          </cell>
          <cell r="G1287" t="str">
            <v>E</v>
          </cell>
          <cell r="H1287" t="str">
            <v>MOJI</v>
          </cell>
          <cell r="J1287" t="str">
            <v>JAP</v>
          </cell>
          <cell r="K1287" t="str">
            <v>BE INTERNATIONAL CORPORATION</v>
          </cell>
          <cell r="M1287" t="str">
            <v>JAP</v>
          </cell>
          <cell r="N1287" t="str">
            <v>D</v>
          </cell>
          <cell r="O1287">
            <v>24850228</v>
          </cell>
          <cell r="P1287" t="str">
            <v>BORIC ACID GRAN 25KG BAG, WOOD</v>
          </cell>
          <cell r="Q1287" t="str">
            <v>Boric Acid</v>
          </cell>
          <cell r="R1287">
            <v>1.83</v>
          </cell>
          <cell r="S1287">
            <v>809.98</v>
          </cell>
        </row>
        <row r="1288">
          <cell r="A1288" t="str">
            <v>Budget</v>
          </cell>
          <cell r="B1288">
            <v>2</v>
          </cell>
          <cell r="C1288" t="str">
            <v>Export</v>
          </cell>
          <cell r="D1288">
            <v>55</v>
          </cell>
          <cell r="E1288">
            <v>9013</v>
          </cell>
          <cell r="F1288" t="str">
            <v>MITSUI/NH TECHNO/YOKOHAMA</v>
          </cell>
          <cell r="G1288" t="str">
            <v>E</v>
          </cell>
          <cell r="H1288" t="str">
            <v>YOKOHAMA</v>
          </cell>
          <cell r="J1288" t="str">
            <v>JAP</v>
          </cell>
          <cell r="K1288" t="str">
            <v>MITSUI &amp; COMPANY (EXPORT)</v>
          </cell>
          <cell r="L1288" t="str">
            <v>NY</v>
          </cell>
          <cell r="M1288" t="str">
            <v>USA</v>
          </cell>
          <cell r="N1288" t="str">
            <v>C</v>
          </cell>
          <cell r="O1288">
            <v>24850229</v>
          </cell>
          <cell r="P1288" t="str">
            <v>BORIC ACID GRAN 25KG BAG WOOD</v>
          </cell>
          <cell r="Q1288" t="str">
            <v>Boric Acid</v>
          </cell>
          <cell r="R1288">
            <v>62.68</v>
          </cell>
          <cell r="S1288">
            <v>29871.11</v>
          </cell>
        </row>
        <row r="1289">
          <cell r="A1289" t="str">
            <v>Budget</v>
          </cell>
          <cell r="B1289">
            <v>2</v>
          </cell>
          <cell r="C1289" t="str">
            <v>Export</v>
          </cell>
          <cell r="D1289">
            <v>55</v>
          </cell>
          <cell r="E1289">
            <v>9021</v>
          </cell>
          <cell r="F1289" t="str">
            <v>MC INDUSTRIAL CHEMICAL CO. LTD</v>
          </cell>
          <cell r="G1289" t="str">
            <v>E</v>
          </cell>
          <cell r="H1289" t="str">
            <v>BANGKOK</v>
          </cell>
          <cell r="J1289" t="str">
            <v>THA</v>
          </cell>
          <cell r="K1289" t="str">
            <v>MC INDUSTRIAL CHEMICAL CO. LTD</v>
          </cell>
          <cell r="M1289" t="str">
            <v>THA</v>
          </cell>
          <cell r="N1289" t="str">
            <v>C</v>
          </cell>
          <cell r="O1289">
            <v>22060428</v>
          </cell>
          <cell r="P1289" t="str">
            <v>V-BOR 25KG BAG (004), WOOD</v>
          </cell>
          <cell r="Q1289" t="str">
            <v>Penta</v>
          </cell>
          <cell r="R1289">
            <v>97.58</v>
          </cell>
          <cell r="S1289">
            <v>28601.69</v>
          </cell>
        </row>
        <row r="1290">
          <cell r="A1290" t="str">
            <v>Budget</v>
          </cell>
          <cell r="B1290">
            <v>2</v>
          </cell>
          <cell r="C1290" t="str">
            <v>Export</v>
          </cell>
          <cell r="D1290">
            <v>55</v>
          </cell>
          <cell r="E1290">
            <v>9021</v>
          </cell>
          <cell r="F1290" t="str">
            <v>MC INDUSTRIAL CHEMICAL CO. LTD</v>
          </cell>
          <cell r="G1290" t="str">
            <v>E</v>
          </cell>
          <cell r="H1290" t="str">
            <v>BANGKOK</v>
          </cell>
          <cell r="J1290" t="str">
            <v>THA</v>
          </cell>
          <cell r="K1290" t="str">
            <v>MC INDUSTRIAL CHEMICAL CO. LTD</v>
          </cell>
          <cell r="M1290" t="str">
            <v>THA</v>
          </cell>
          <cell r="N1290" t="str">
            <v>C</v>
          </cell>
          <cell r="O1290">
            <v>23060228</v>
          </cell>
          <cell r="P1290" t="str">
            <v>DECA BORAX STD 25KG BAG, WOOD</v>
          </cell>
          <cell r="Q1290" t="str">
            <v>Deca</v>
          </cell>
          <cell r="R1290">
            <v>94.09</v>
          </cell>
          <cell r="S1290">
            <v>24544.74</v>
          </cell>
        </row>
        <row r="1291">
          <cell r="A1291" t="str">
            <v>Budget</v>
          </cell>
          <cell r="B1291">
            <v>2</v>
          </cell>
          <cell r="C1291" t="str">
            <v>Export</v>
          </cell>
          <cell r="D1291">
            <v>55</v>
          </cell>
          <cell r="E1291">
            <v>9021</v>
          </cell>
          <cell r="F1291" t="str">
            <v>MC INDUSTRIAL CHEMICAL CO. LTD</v>
          </cell>
          <cell r="G1291" t="str">
            <v>E</v>
          </cell>
          <cell r="H1291" t="str">
            <v>BANGKOK</v>
          </cell>
          <cell r="J1291" t="str">
            <v>THA</v>
          </cell>
          <cell r="K1291" t="str">
            <v>MC INDUSTRIAL CHEMICAL CO. LTD</v>
          </cell>
          <cell r="M1291" t="str">
            <v>THA</v>
          </cell>
          <cell r="N1291" t="str">
            <v>C</v>
          </cell>
          <cell r="O1291">
            <v>24090228</v>
          </cell>
          <cell r="P1291" t="str">
            <v>BORIC ACID GRAN 25KG BAG, WOOD</v>
          </cell>
          <cell r="Q1291" t="str">
            <v>Boric Acid</v>
          </cell>
          <cell r="R1291">
            <v>62.73</v>
          </cell>
          <cell r="S1291">
            <v>27982.31</v>
          </cell>
        </row>
        <row r="1292">
          <cell r="A1292" t="str">
            <v>Budget</v>
          </cell>
          <cell r="B1292">
            <v>2</v>
          </cell>
          <cell r="C1292" t="str">
            <v>Export</v>
          </cell>
          <cell r="D1292">
            <v>55</v>
          </cell>
          <cell r="E1292">
            <v>9022</v>
          </cell>
          <cell r="F1292" t="str">
            <v>THAI NOPARIN INTERTRADE CO.</v>
          </cell>
          <cell r="G1292" t="str">
            <v>E</v>
          </cell>
          <cell r="H1292" t="str">
            <v>BANGKOK</v>
          </cell>
          <cell r="J1292" t="str">
            <v>THA</v>
          </cell>
          <cell r="K1292" t="str">
            <v>MC INDUSTRIAL CHEMICAL CO. LTD</v>
          </cell>
          <cell r="M1292" t="str">
            <v>THA</v>
          </cell>
          <cell r="N1292" t="str">
            <v>D</v>
          </cell>
          <cell r="O1292">
            <v>24090224</v>
          </cell>
          <cell r="P1292" t="str">
            <v>BORIC ACID GRAN 25KG SPECIAL</v>
          </cell>
          <cell r="Q1292" t="str">
            <v>Boric Acid</v>
          </cell>
          <cell r="R1292">
            <v>20.91</v>
          </cell>
          <cell r="S1292">
            <v>9710.8799999999992</v>
          </cell>
        </row>
        <row r="1293">
          <cell r="A1293" t="str">
            <v>Budget</v>
          </cell>
          <cell r="B1293">
            <v>2</v>
          </cell>
          <cell r="C1293" t="str">
            <v>Export</v>
          </cell>
          <cell r="D1293">
            <v>55</v>
          </cell>
          <cell r="E1293">
            <v>9053</v>
          </cell>
          <cell r="F1293" t="str">
            <v>BE INTERNATIONAL CORPORATION</v>
          </cell>
          <cell r="G1293" t="str">
            <v>E</v>
          </cell>
          <cell r="H1293" t="str">
            <v>NAGOYA</v>
          </cell>
          <cell r="J1293" t="str">
            <v>JAP</v>
          </cell>
          <cell r="K1293" t="str">
            <v>BE INTERNATIONAL CORPORATION</v>
          </cell>
          <cell r="M1293" t="str">
            <v>JAP</v>
          </cell>
          <cell r="N1293" t="str">
            <v>D</v>
          </cell>
          <cell r="O1293">
            <v>24850228</v>
          </cell>
          <cell r="P1293" t="str">
            <v>BORIC ACID GRAN 25KG BAG, WOOD</v>
          </cell>
          <cell r="Q1293" t="str">
            <v>Boric Acid</v>
          </cell>
          <cell r="R1293">
            <v>6.97</v>
          </cell>
          <cell r="S1293">
            <v>3169.56</v>
          </cell>
        </row>
        <row r="1294">
          <cell r="A1294" t="str">
            <v>Budget</v>
          </cell>
          <cell r="B1294">
            <v>2</v>
          </cell>
          <cell r="C1294" t="str">
            <v>Export</v>
          </cell>
          <cell r="D1294">
            <v>55</v>
          </cell>
          <cell r="E1294">
            <v>9109</v>
          </cell>
          <cell r="F1294" t="str">
            <v>KWANGBOK RUBBER Co. (SHINWOO)</v>
          </cell>
          <cell r="G1294" t="str">
            <v>E</v>
          </cell>
          <cell r="H1294" t="str">
            <v>BUSAN</v>
          </cell>
          <cell r="J1294" t="str">
            <v>KOS</v>
          </cell>
          <cell r="K1294" t="str">
            <v>SHIN SEUNG HICHEM Co., LTD.</v>
          </cell>
          <cell r="M1294" t="str">
            <v>KOS</v>
          </cell>
          <cell r="N1294" t="str">
            <v>C</v>
          </cell>
          <cell r="O1294">
            <v>22060428</v>
          </cell>
          <cell r="P1294" t="str">
            <v>V-BOR 25KG BAG (004), WOOD</v>
          </cell>
          <cell r="Q1294" t="str">
            <v>Penta</v>
          </cell>
          <cell r="R1294">
            <v>20.91</v>
          </cell>
          <cell r="S1294">
            <v>6176.05</v>
          </cell>
        </row>
        <row r="1295">
          <cell r="A1295" t="str">
            <v>Budget</v>
          </cell>
          <cell r="B1295">
            <v>2</v>
          </cell>
          <cell r="C1295" t="str">
            <v>Export</v>
          </cell>
          <cell r="D1295">
            <v>55</v>
          </cell>
          <cell r="E1295">
            <v>9109</v>
          </cell>
          <cell r="F1295" t="str">
            <v>KWANGBOK RUBBER Co. (SHINWOO)</v>
          </cell>
          <cell r="G1295" t="str">
            <v>E</v>
          </cell>
          <cell r="H1295" t="str">
            <v>BUSAN</v>
          </cell>
          <cell r="J1295" t="str">
            <v>KOS</v>
          </cell>
          <cell r="K1295" t="str">
            <v>SHIN SEUNG HICHEM Co., LTD.</v>
          </cell>
          <cell r="M1295" t="str">
            <v>KOS</v>
          </cell>
          <cell r="N1295" t="str">
            <v>C</v>
          </cell>
          <cell r="O1295">
            <v>23060228</v>
          </cell>
          <cell r="P1295" t="str">
            <v>DECA BORAX STD 25KG BAG, WOOD</v>
          </cell>
          <cell r="Q1295" t="str">
            <v>Deca</v>
          </cell>
          <cell r="R1295">
            <v>17.420000000000002</v>
          </cell>
          <cell r="S1295">
            <v>4993.03</v>
          </cell>
        </row>
        <row r="1296">
          <cell r="A1296" t="str">
            <v>Budget</v>
          </cell>
          <cell r="B1296">
            <v>2</v>
          </cell>
          <cell r="C1296" t="str">
            <v>Export</v>
          </cell>
          <cell r="D1296">
            <v>55</v>
          </cell>
          <cell r="E1296">
            <v>9109</v>
          </cell>
          <cell r="F1296" t="str">
            <v>KWANGBOK RUBBER Co. (SHINWOO)</v>
          </cell>
          <cell r="G1296" t="str">
            <v>E</v>
          </cell>
          <cell r="H1296" t="str">
            <v>BUSAN</v>
          </cell>
          <cell r="J1296" t="str">
            <v>KOS</v>
          </cell>
          <cell r="K1296" t="str">
            <v>SHIN SEUNG HICHEM Co., LTD.</v>
          </cell>
          <cell r="M1296" t="str">
            <v>KOS</v>
          </cell>
          <cell r="N1296" t="str">
            <v>C</v>
          </cell>
          <cell r="O1296">
            <v>24090228</v>
          </cell>
          <cell r="P1296" t="str">
            <v>BORIC ACID GRAN 25KG BAG, WOOD</v>
          </cell>
          <cell r="Q1296" t="str">
            <v>Boric Acid</v>
          </cell>
          <cell r="R1296">
            <v>10.45</v>
          </cell>
          <cell r="S1296">
            <v>4224.45</v>
          </cell>
        </row>
        <row r="1297">
          <cell r="A1297" t="str">
            <v>Budget</v>
          </cell>
          <cell r="B1297">
            <v>2</v>
          </cell>
          <cell r="C1297" t="str">
            <v>Export</v>
          </cell>
          <cell r="D1297">
            <v>55</v>
          </cell>
          <cell r="E1297">
            <v>9110</v>
          </cell>
          <cell r="F1297" t="str">
            <v>JINSUNG CHEMICO</v>
          </cell>
          <cell r="G1297" t="str">
            <v>E</v>
          </cell>
          <cell r="H1297" t="str">
            <v>KWANGYANG PORT</v>
          </cell>
          <cell r="J1297" t="str">
            <v>KOS</v>
          </cell>
          <cell r="K1297" t="str">
            <v>SHIN SEUNG HICHEM Co., LTD.</v>
          </cell>
          <cell r="M1297" t="str">
            <v>KOS</v>
          </cell>
          <cell r="N1297" t="str">
            <v>C</v>
          </cell>
          <cell r="O1297">
            <v>22060428</v>
          </cell>
          <cell r="P1297" t="str">
            <v>V-BOR 25KG BAG (004), WOOD</v>
          </cell>
          <cell r="Q1297" t="str">
            <v>Penta</v>
          </cell>
          <cell r="R1297">
            <v>61.26</v>
          </cell>
          <cell r="S1297">
            <v>17460.36</v>
          </cell>
        </row>
        <row r="1298">
          <cell r="A1298" t="str">
            <v>Budget</v>
          </cell>
          <cell r="B1298">
            <v>2</v>
          </cell>
          <cell r="C1298" t="str">
            <v>Export</v>
          </cell>
          <cell r="D1298">
            <v>55</v>
          </cell>
          <cell r="E1298">
            <v>9110</v>
          </cell>
          <cell r="F1298" t="str">
            <v>JINSUNG CHEMICO</v>
          </cell>
          <cell r="G1298" t="str">
            <v>E</v>
          </cell>
          <cell r="H1298" t="str">
            <v>KWANGYANG PORT</v>
          </cell>
          <cell r="J1298" t="str">
            <v>KOS</v>
          </cell>
          <cell r="K1298" t="str">
            <v>SHIN SEUNG HICHEM Co., LTD.</v>
          </cell>
          <cell r="M1298" t="str">
            <v>KOS</v>
          </cell>
          <cell r="N1298" t="str">
            <v>C</v>
          </cell>
          <cell r="O1298">
            <v>23060228</v>
          </cell>
          <cell r="P1298" t="str">
            <v>DECA BORAX STD 25KG BAG, WOOD</v>
          </cell>
          <cell r="Q1298" t="str">
            <v>Deca</v>
          </cell>
          <cell r="R1298">
            <v>13.21</v>
          </cell>
          <cell r="S1298">
            <v>3642.32</v>
          </cell>
        </row>
        <row r="1299">
          <cell r="A1299" t="str">
            <v>Budget</v>
          </cell>
          <cell r="B1299">
            <v>2</v>
          </cell>
          <cell r="C1299" t="str">
            <v>Export</v>
          </cell>
          <cell r="D1299">
            <v>55</v>
          </cell>
          <cell r="E1299">
            <v>9110</v>
          </cell>
          <cell r="F1299" t="str">
            <v>JINSUNG CHEMICO</v>
          </cell>
          <cell r="G1299" t="str">
            <v>E</v>
          </cell>
          <cell r="H1299" t="str">
            <v>KWANGYANG PORT</v>
          </cell>
          <cell r="J1299" t="str">
            <v>KOS</v>
          </cell>
          <cell r="K1299" t="str">
            <v>SHIN SEUNG HICHEM Co., LTD.</v>
          </cell>
          <cell r="M1299" t="str">
            <v>KOS</v>
          </cell>
          <cell r="N1299" t="str">
            <v>C</v>
          </cell>
          <cell r="O1299">
            <v>24090228</v>
          </cell>
          <cell r="P1299" t="str">
            <v>BORIC ACID GRAN 25KG BAG, WOOD</v>
          </cell>
          <cell r="Q1299" t="str">
            <v>Boric Acid</v>
          </cell>
          <cell r="R1299">
            <v>13.57</v>
          </cell>
          <cell r="S1299">
            <v>5345.48</v>
          </cell>
        </row>
        <row r="1300">
          <cell r="A1300" t="str">
            <v>Budget</v>
          </cell>
          <cell r="B1300">
            <v>2</v>
          </cell>
          <cell r="C1300" t="str">
            <v>Export</v>
          </cell>
          <cell r="D1300">
            <v>55</v>
          </cell>
          <cell r="E1300">
            <v>9125</v>
          </cell>
          <cell r="F1300" t="str">
            <v>PT. CHEMIFIN JAYA UTAMA</v>
          </cell>
          <cell r="G1300" t="str">
            <v>E</v>
          </cell>
          <cell r="H1300" t="str">
            <v>JAKARTA</v>
          </cell>
          <cell r="J1300" t="str">
            <v>INO</v>
          </cell>
          <cell r="K1300" t="str">
            <v>PT. CHEMIFIN JAYA UTAMA</v>
          </cell>
          <cell r="M1300" t="str">
            <v>INO</v>
          </cell>
          <cell r="N1300" t="str">
            <v>C</v>
          </cell>
          <cell r="O1300">
            <v>23060228</v>
          </cell>
          <cell r="P1300" t="str">
            <v>DECA BORAX STD 25KG BAG, WOOD</v>
          </cell>
          <cell r="Q1300" t="str">
            <v>Deca</v>
          </cell>
          <cell r="R1300">
            <v>4.4000000000000004</v>
          </cell>
          <cell r="S1300">
            <v>1202.33</v>
          </cell>
        </row>
        <row r="1301">
          <cell r="A1301" t="str">
            <v>Budget</v>
          </cell>
          <cell r="B1301">
            <v>2</v>
          </cell>
          <cell r="C1301" t="str">
            <v>Export</v>
          </cell>
          <cell r="D1301">
            <v>55</v>
          </cell>
          <cell r="E1301">
            <v>9125</v>
          </cell>
          <cell r="F1301" t="str">
            <v>PT. CHEMIFIN JAYA UTAMA</v>
          </cell>
          <cell r="G1301" t="str">
            <v>E</v>
          </cell>
          <cell r="H1301" t="str">
            <v>JAKARTA</v>
          </cell>
          <cell r="J1301" t="str">
            <v>INO</v>
          </cell>
          <cell r="K1301" t="str">
            <v>PT. CHEMIFIN JAYA UTAMA</v>
          </cell>
          <cell r="M1301" t="str">
            <v>INO</v>
          </cell>
          <cell r="N1301" t="str">
            <v>C</v>
          </cell>
          <cell r="O1301">
            <v>24090220</v>
          </cell>
          <cell r="P1301" t="str">
            <v>BORIC ACID GRAN TECH 25KG BAG</v>
          </cell>
          <cell r="Q1301" t="str">
            <v>Boric Acid</v>
          </cell>
          <cell r="R1301">
            <v>34.85</v>
          </cell>
          <cell r="S1301">
            <v>13996.3</v>
          </cell>
        </row>
        <row r="1302">
          <cell r="A1302" t="str">
            <v>Budget</v>
          </cell>
          <cell r="B1302">
            <v>2</v>
          </cell>
          <cell r="C1302" t="str">
            <v>Export</v>
          </cell>
          <cell r="D1302">
            <v>55</v>
          </cell>
          <cell r="E1302">
            <v>9125</v>
          </cell>
          <cell r="F1302" t="str">
            <v>PT. CHEMIFIN JAYA UTAMA</v>
          </cell>
          <cell r="G1302" t="str">
            <v>E</v>
          </cell>
          <cell r="H1302" t="str">
            <v>JAKARTA</v>
          </cell>
          <cell r="J1302" t="str">
            <v>INO</v>
          </cell>
          <cell r="K1302" t="str">
            <v>PT. CHEMIFIN JAYA UTAMA</v>
          </cell>
          <cell r="M1302" t="str">
            <v>INO</v>
          </cell>
          <cell r="N1302" t="str">
            <v>C</v>
          </cell>
          <cell r="O1302">
            <v>24090228</v>
          </cell>
          <cell r="P1302" t="str">
            <v>BORIC ACID GRAN 25KG BAG, WOOD</v>
          </cell>
          <cell r="Q1302" t="str">
            <v>Boric Acid</v>
          </cell>
          <cell r="R1302">
            <v>2.57</v>
          </cell>
          <cell r="S1302">
            <v>886.33</v>
          </cell>
        </row>
        <row r="1303">
          <cell r="A1303" t="str">
            <v>Budget</v>
          </cell>
          <cell r="B1303">
            <v>2</v>
          </cell>
          <cell r="C1303" t="str">
            <v>Export</v>
          </cell>
          <cell r="D1303">
            <v>55</v>
          </cell>
          <cell r="E1303">
            <v>9126</v>
          </cell>
          <cell r="F1303" t="str">
            <v>BEHN MEYER AGRICARE (S)PTE.LTD</v>
          </cell>
          <cell r="G1303" t="str">
            <v>E</v>
          </cell>
          <cell r="H1303" t="str">
            <v>JOHOR BAHRU (PASIR GUDANG)</v>
          </cell>
          <cell r="J1303" t="str">
            <v>MAL</v>
          </cell>
          <cell r="K1303" t="str">
            <v>BEHN MEYER INTERNATIONAL</v>
          </cell>
          <cell r="M1303" t="str">
            <v>SIN</v>
          </cell>
          <cell r="N1303" t="str">
            <v>C</v>
          </cell>
          <cell r="O1303" t="str">
            <v>220604B0</v>
          </cell>
          <cell r="P1303" t="str">
            <v>V-BOR 25 KG POLYBAG (004)</v>
          </cell>
          <cell r="Q1303" t="str">
            <v>Penta</v>
          </cell>
          <cell r="R1303">
            <v>39.619999999999997</v>
          </cell>
          <cell r="S1303">
            <v>8750.98</v>
          </cell>
        </row>
        <row r="1304">
          <cell r="A1304" t="str">
            <v>Budget</v>
          </cell>
          <cell r="B1304">
            <v>2</v>
          </cell>
          <cell r="C1304" t="str">
            <v>Export</v>
          </cell>
          <cell r="D1304">
            <v>55</v>
          </cell>
          <cell r="E1304">
            <v>9145</v>
          </cell>
          <cell r="F1304" t="str">
            <v>RIFA INDUSTRIAL Co., LTD.</v>
          </cell>
          <cell r="G1304" t="str">
            <v>E</v>
          </cell>
          <cell r="H1304" t="str">
            <v>BUSAN</v>
          </cell>
          <cell r="J1304" t="str">
            <v>KOS</v>
          </cell>
          <cell r="K1304" t="str">
            <v>SHIN SEUNG HICHEM CO., LTD.</v>
          </cell>
          <cell r="M1304" t="str">
            <v>KOS</v>
          </cell>
          <cell r="N1304" t="str">
            <v>C</v>
          </cell>
          <cell r="O1304">
            <v>23060228</v>
          </cell>
          <cell r="P1304" t="str">
            <v>DECA BORAX STD 25KG BAG, WOOD</v>
          </cell>
          <cell r="Q1304" t="str">
            <v>Deca</v>
          </cell>
          <cell r="R1304">
            <v>16.510000000000002</v>
          </cell>
          <cell r="S1304">
            <v>4762.8900000000003</v>
          </cell>
        </row>
        <row r="1305">
          <cell r="A1305" t="str">
            <v>Budget</v>
          </cell>
          <cell r="B1305">
            <v>2</v>
          </cell>
          <cell r="C1305" t="str">
            <v>Export</v>
          </cell>
          <cell r="D1305">
            <v>55</v>
          </cell>
          <cell r="E1305">
            <v>9145</v>
          </cell>
          <cell r="F1305" t="str">
            <v>RIFA INDUSTRIAL Co., LTD.</v>
          </cell>
          <cell r="G1305" t="str">
            <v>E</v>
          </cell>
          <cell r="H1305" t="str">
            <v>BUSAN</v>
          </cell>
          <cell r="J1305" t="str">
            <v>KOS</v>
          </cell>
          <cell r="K1305" t="str">
            <v>SHIN SEUNG HICHEM CO., LTD.</v>
          </cell>
          <cell r="M1305" t="str">
            <v>KOS</v>
          </cell>
          <cell r="N1305" t="str">
            <v>C</v>
          </cell>
          <cell r="O1305">
            <v>24090228</v>
          </cell>
          <cell r="P1305" t="str">
            <v>BORIC ACID GRAN 25KG BAG, WOOD</v>
          </cell>
          <cell r="Q1305" t="str">
            <v>Boric Acid</v>
          </cell>
          <cell r="R1305">
            <v>11.74</v>
          </cell>
          <cell r="S1305">
            <v>4707.59</v>
          </cell>
        </row>
        <row r="1306">
          <cell r="A1306" t="str">
            <v>Budget</v>
          </cell>
          <cell r="B1306">
            <v>2</v>
          </cell>
          <cell r="C1306" t="str">
            <v>Export</v>
          </cell>
          <cell r="D1306">
            <v>55</v>
          </cell>
          <cell r="E1306">
            <v>9146</v>
          </cell>
          <cell r="F1306" t="str">
            <v>TREFILARBED KOREA Co., LTD.</v>
          </cell>
          <cell r="G1306" t="str">
            <v>E</v>
          </cell>
          <cell r="H1306" t="str">
            <v>KYUNGNAM</v>
          </cell>
          <cell r="J1306" t="str">
            <v>KOS</v>
          </cell>
          <cell r="K1306" t="str">
            <v>SHIN SEUNG HICHEM CO., LTD.</v>
          </cell>
          <cell r="M1306" t="str">
            <v>KOS</v>
          </cell>
          <cell r="N1306" t="str">
            <v>C</v>
          </cell>
          <cell r="O1306">
            <v>22060428</v>
          </cell>
          <cell r="P1306" t="str">
            <v>V-BOR 25KG BAG (004), WOOD</v>
          </cell>
          <cell r="Q1306" t="str">
            <v>Penta</v>
          </cell>
          <cell r="R1306">
            <v>11.74</v>
          </cell>
          <cell r="S1306">
            <v>3430.56</v>
          </cell>
        </row>
        <row r="1307">
          <cell r="A1307" t="str">
            <v>Budget</v>
          </cell>
          <cell r="B1307">
            <v>2</v>
          </cell>
          <cell r="C1307" t="str">
            <v>Export</v>
          </cell>
          <cell r="D1307">
            <v>55</v>
          </cell>
          <cell r="E1307">
            <v>9147</v>
          </cell>
          <cell r="F1307" t="str">
            <v>KISWIRE LTD.</v>
          </cell>
          <cell r="G1307" t="str">
            <v>E</v>
          </cell>
          <cell r="H1307" t="str">
            <v>BUSAN</v>
          </cell>
          <cell r="J1307" t="str">
            <v>KOS</v>
          </cell>
          <cell r="K1307" t="str">
            <v>SHIN SEUNG HICHEM CO., LTD.</v>
          </cell>
          <cell r="M1307" t="str">
            <v>KOS</v>
          </cell>
          <cell r="N1307" t="str">
            <v>C</v>
          </cell>
          <cell r="O1307">
            <v>22060428</v>
          </cell>
          <cell r="P1307" t="str">
            <v>V-BOR 25KG BAG (004), WOOD</v>
          </cell>
          <cell r="Q1307" t="str">
            <v>Penta</v>
          </cell>
          <cell r="R1307">
            <v>11.74</v>
          </cell>
          <cell r="S1307">
            <v>3401.4</v>
          </cell>
        </row>
        <row r="1308">
          <cell r="A1308" t="str">
            <v>Budget</v>
          </cell>
          <cell r="B1308">
            <v>2</v>
          </cell>
          <cell r="C1308" t="str">
            <v>Export</v>
          </cell>
          <cell r="D1308">
            <v>55</v>
          </cell>
          <cell r="E1308">
            <v>9148</v>
          </cell>
          <cell r="F1308" t="str">
            <v>HONGDUK INDUSTRIAL, LTD.</v>
          </cell>
          <cell r="G1308" t="str">
            <v>E</v>
          </cell>
          <cell r="H1308" t="str">
            <v>BUSAN</v>
          </cell>
          <cell r="J1308" t="str">
            <v>KOS</v>
          </cell>
          <cell r="K1308" t="str">
            <v>SHIN SEUNG HICHEM CO., LTD.</v>
          </cell>
          <cell r="M1308" t="str">
            <v>KOS</v>
          </cell>
          <cell r="N1308" t="str">
            <v>C</v>
          </cell>
          <cell r="O1308">
            <v>22060428</v>
          </cell>
          <cell r="P1308" t="str">
            <v>V-BOR 25KG BAG (004), WOOD</v>
          </cell>
          <cell r="Q1308" t="str">
            <v>Penta</v>
          </cell>
          <cell r="R1308">
            <v>5.87</v>
          </cell>
          <cell r="S1308">
            <v>1715.28</v>
          </cell>
        </row>
        <row r="1309">
          <cell r="A1309" t="str">
            <v>Budget</v>
          </cell>
          <cell r="B1309">
            <v>2</v>
          </cell>
          <cell r="C1309" t="str">
            <v>Export</v>
          </cell>
          <cell r="D1309">
            <v>55</v>
          </cell>
          <cell r="E1309">
            <v>9158</v>
          </cell>
          <cell r="F1309" t="str">
            <v>TONG YANG TRADING Co., LTD.</v>
          </cell>
          <cell r="G1309" t="str">
            <v>E</v>
          </cell>
          <cell r="H1309" t="str">
            <v>TAIWAN</v>
          </cell>
          <cell r="J1309" t="str">
            <v>TWN</v>
          </cell>
          <cell r="K1309" t="str">
            <v>HLC INTERNATIONAL CORPORATION</v>
          </cell>
          <cell r="M1309" t="str">
            <v>TWN</v>
          </cell>
          <cell r="O1309">
            <v>24090228</v>
          </cell>
          <cell r="P1309" t="str">
            <v>BORIC ACID GRAN 25KG BAG, WOOD</v>
          </cell>
          <cell r="Q1309" t="str">
            <v>Boric Acid</v>
          </cell>
          <cell r="R1309">
            <v>13.94</v>
          </cell>
          <cell r="S1309">
            <v>6585.06</v>
          </cell>
        </row>
        <row r="1310">
          <cell r="A1310" t="str">
            <v>Budget</v>
          </cell>
          <cell r="B1310">
            <v>2</v>
          </cell>
          <cell r="C1310" t="str">
            <v>Export</v>
          </cell>
          <cell r="D1310">
            <v>55</v>
          </cell>
          <cell r="E1310">
            <v>9160</v>
          </cell>
          <cell r="F1310" t="str">
            <v>PATA CHEMICALS &amp; MACHINERY Co.</v>
          </cell>
          <cell r="G1310" t="str">
            <v>E</v>
          </cell>
          <cell r="H1310" t="str">
            <v>BANGKOK</v>
          </cell>
          <cell r="J1310" t="str">
            <v>THA</v>
          </cell>
          <cell r="K1310" t="str">
            <v>MC INDUSTRIAL CHEMICAL CO. LTD</v>
          </cell>
          <cell r="M1310" t="str">
            <v>THA</v>
          </cell>
          <cell r="N1310" t="str">
            <v>C</v>
          </cell>
          <cell r="O1310">
            <v>24030223</v>
          </cell>
          <cell r="P1310" t="str">
            <v>BORIC ACID PWD 50LB BAG (INTL)</v>
          </cell>
          <cell r="Q1310" t="str">
            <v>Boric Acid</v>
          </cell>
          <cell r="R1310">
            <v>3.33</v>
          </cell>
          <cell r="S1310">
            <v>2013.2</v>
          </cell>
        </row>
        <row r="1311">
          <cell r="A1311" t="str">
            <v>Budget</v>
          </cell>
          <cell r="B1311">
            <v>2</v>
          </cell>
          <cell r="C1311" t="str">
            <v>Export</v>
          </cell>
          <cell r="D1311">
            <v>55</v>
          </cell>
          <cell r="E1311">
            <v>9162</v>
          </cell>
          <cell r="F1311" t="str">
            <v>TAI KOO TRADING</v>
          </cell>
          <cell r="G1311" t="str">
            <v>E</v>
          </cell>
          <cell r="H1311" t="str">
            <v>MANILA</v>
          </cell>
          <cell r="J1311" t="str">
            <v>PHI</v>
          </cell>
          <cell r="K1311" t="str">
            <v>CHEMSETTER</v>
          </cell>
          <cell r="M1311" t="str">
            <v>PHI</v>
          </cell>
          <cell r="N1311" t="str">
            <v>C</v>
          </cell>
          <cell r="O1311">
            <v>23060220</v>
          </cell>
          <cell r="P1311" t="str">
            <v>DECA BORAX STD 25KG BAG</v>
          </cell>
          <cell r="Q1311" t="str">
            <v>Deca</v>
          </cell>
          <cell r="R1311">
            <v>3.48</v>
          </cell>
          <cell r="S1311">
            <v>1045.94</v>
          </cell>
        </row>
        <row r="1312">
          <cell r="A1312" t="str">
            <v>Budget</v>
          </cell>
          <cell r="B1312">
            <v>2</v>
          </cell>
          <cell r="C1312" t="str">
            <v>Export</v>
          </cell>
          <cell r="D1312">
            <v>55</v>
          </cell>
          <cell r="E1312">
            <v>9164</v>
          </cell>
          <cell r="F1312" t="str">
            <v>SYTENGCO ENTERPRISES CORP</v>
          </cell>
          <cell r="G1312" t="str">
            <v>E</v>
          </cell>
          <cell r="H1312" t="str">
            <v>QUEZON CITY</v>
          </cell>
          <cell r="J1312" t="str">
            <v>PHI</v>
          </cell>
          <cell r="K1312" t="str">
            <v>CHEMSETTER</v>
          </cell>
          <cell r="M1312" t="str">
            <v>PHI</v>
          </cell>
          <cell r="N1312" t="str">
            <v>C</v>
          </cell>
          <cell r="O1312">
            <v>23060220</v>
          </cell>
          <cell r="P1312" t="str">
            <v>DECA BORAX STD 25KG BAG</v>
          </cell>
          <cell r="Q1312" t="str">
            <v>Deca</v>
          </cell>
          <cell r="R1312">
            <v>6.97</v>
          </cell>
          <cell r="S1312">
            <v>1974.26</v>
          </cell>
        </row>
        <row r="1313">
          <cell r="A1313" t="str">
            <v>Budget</v>
          </cell>
          <cell r="B1313">
            <v>2</v>
          </cell>
          <cell r="C1313" t="str">
            <v>Export</v>
          </cell>
          <cell r="D1313">
            <v>55</v>
          </cell>
          <cell r="E1313">
            <v>9169</v>
          </cell>
          <cell r="F1313" t="str">
            <v>LUCID CHEMICAL IMPORT EXPORT</v>
          </cell>
          <cell r="G1313" t="str">
            <v>E</v>
          </cell>
          <cell r="H1313" t="str">
            <v>MANILA</v>
          </cell>
          <cell r="J1313" t="str">
            <v>PHI</v>
          </cell>
          <cell r="K1313" t="str">
            <v>CHEMSETTER</v>
          </cell>
          <cell r="M1313" t="str">
            <v>PHI</v>
          </cell>
          <cell r="N1313" t="str">
            <v>C</v>
          </cell>
          <cell r="O1313">
            <v>23060220</v>
          </cell>
          <cell r="P1313" t="str">
            <v>DECA BORAX STD 25KG BAG</v>
          </cell>
          <cell r="Q1313" t="str">
            <v>Deca</v>
          </cell>
          <cell r="R1313">
            <v>6.97</v>
          </cell>
          <cell r="S1313">
            <v>1997.04</v>
          </cell>
        </row>
        <row r="1314">
          <cell r="A1314" t="str">
            <v>Budget</v>
          </cell>
          <cell r="B1314">
            <v>2</v>
          </cell>
          <cell r="C1314" t="str">
            <v>Export</v>
          </cell>
          <cell r="D1314">
            <v>55</v>
          </cell>
          <cell r="E1314">
            <v>9176</v>
          </cell>
          <cell r="F1314" t="str">
            <v>BEHN MEYER AGRICARE (S)PTE.LTD</v>
          </cell>
          <cell r="G1314" t="str">
            <v>E</v>
          </cell>
          <cell r="H1314" t="str">
            <v>PORT KLANG</v>
          </cell>
          <cell r="J1314" t="str">
            <v>MAL</v>
          </cell>
          <cell r="K1314" t="str">
            <v>BEHN MEYER INTERNATIONAL</v>
          </cell>
          <cell r="M1314" t="str">
            <v>SIN</v>
          </cell>
          <cell r="N1314" t="str">
            <v>C</v>
          </cell>
          <cell r="O1314" t="str">
            <v>220604B0</v>
          </cell>
          <cell r="P1314" t="str">
            <v>V-BOR 25 KG POLYBAG (004)</v>
          </cell>
          <cell r="Q1314" t="str">
            <v>Penta</v>
          </cell>
          <cell r="R1314">
            <v>69.7</v>
          </cell>
          <cell r="S1314">
            <v>16260.6</v>
          </cell>
        </row>
        <row r="1315">
          <cell r="A1315" t="str">
            <v>Budget</v>
          </cell>
          <cell r="B1315">
            <v>2</v>
          </cell>
          <cell r="C1315" t="str">
            <v>Export</v>
          </cell>
          <cell r="D1315">
            <v>55</v>
          </cell>
          <cell r="E1315">
            <v>9181</v>
          </cell>
          <cell r="F1315" t="str">
            <v>BE INTERNATIONAL CORPORATION</v>
          </cell>
          <cell r="G1315" t="str">
            <v>E</v>
          </cell>
          <cell r="H1315" t="str">
            <v>NAGOYA</v>
          </cell>
          <cell r="J1315" t="str">
            <v>JAP</v>
          </cell>
          <cell r="K1315" t="str">
            <v>BE INTERNATIONAL CORPORATION</v>
          </cell>
          <cell r="M1315" t="str">
            <v>JAP</v>
          </cell>
          <cell r="N1315" t="str">
            <v>D</v>
          </cell>
          <cell r="O1315">
            <v>22060455</v>
          </cell>
          <cell r="P1315" t="str">
            <v>V-BOR 1 MT FIBC (004)</v>
          </cell>
          <cell r="Q1315" t="str">
            <v>Penta</v>
          </cell>
          <cell r="R1315">
            <v>13.45</v>
          </cell>
          <cell r="S1315">
            <v>3634.51</v>
          </cell>
        </row>
        <row r="1316">
          <cell r="A1316" t="str">
            <v>Budget</v>
          </cell>
          <cell r="B1316">
            <v>2</v>
          </cell>
          <cell r="C1316" t="str">
            <v>Export</v>
          </cell>
          <cell r="D1316">
            <v>55</v>
          </cell>
          <cell r="E1316">
            <v>9181</v>
          </cell>
          <cell r="F1316" t="str">
            <v>BE INTERNATIONAL CORPORATION</v>
          </cell>
          <cell r="G1316" t="str">
            <v>E</v>
          </cell>
          <cell r="H1316" t="str">
            <v>NAGOYA</v>
          </cell>
          <cell r="J1316" t="str">
            <v>JAP</v>
          </cell>
          <cell r="K1316" t="str">
            <v>BE INTERNATIONAL CORPORATION</v>
          </cell>
          <cell r="M1316" t="str">
            <v>JAP</v>
          </cell>
          <cell r="N1316" t="str">
            <v>D</v>
          </cell>
          <cell r="O1316">
            <v>24850255</v>
          </cell>
          <cell r="P1316" t="str">
            <v>BORIC ACID GRN TECH 1MT FIBC</v>
          </cell>
          <cell r="Q1316" t="str">
            <v>Boric Acid</v>
          </cell>
          <cell r="R1316">
            <v>0.52</v>
          </cell>
          <cell r="S1316">
            <v>246.9</v>
          </cell>
        </row>
        <row r="1317">
          <cell r="A1317" t="str">
            <v>Budget</v>
          </cell>
          <cell r="B1317">
            <v>2</v>
          </cell>
          <cell r="C1317" t="str">
            <v>Export</v>
          </cell>
          <cell r="D1317">
            <v>55</v>
          </cell>
          <cell r="E1317">
            <v>9183</v>
          </cell>
          <cell r="F1317" t="str">
            <v>HYBRID MANUFACTURING CORP</v>
          </cell>
          <cell r="G1317" t="str">
            <v>E</v>
          </cell>
          <cell r="H1317" t="str">
            <v>MANILA</v>
          </cell>
          <cell r="J1317" t="str">
            <v>PHI</v>
          </cell>
          <cell r="K1317" t="str">
            <v>CHEMSETTER</v>
          </cell>
          <cell r="M1317" t="str">
            <v>PHI</v>
          </cell>
          <cell r="N1317" t="str">
            <v>C</v>
          </cell>
          <cell r="O1317">
            <v>23060220</v>
          </cell>
          <cell r="P1317" t="str">
            <v>DECA BORAX STD 25KG BAG</v>
          </cell>
          <cell r="Q1317" t="str">
            <v>Deca</v>
          </cell>
          <cell r="R1317">
            <v>41.82</v>
          </cell>
          <cell r="S1317">
            <v>11397.48</v>
          </cell>
        </row>
        <row r="1318">
          <cell r="A1318" t="str">
            <v>Budget</v>
          </cell>
          <cell r="B1318">
            <v>2</v>
          </cell>
          <cell r="C1318" t="str">
            <v>Export</v>
          </cell>
          <cell r="D1318">
            <v>55</v>
          </cell>
          <cell r="E1318">
            <v>9197</v>
          </cell>
          <cell r="F1318" t="str">
            <v>PT. LUCKY TOP METALS CORP.</v>
          </cell>
          <cell r="G1318" t="str">
            <v>E</v>
          </cell>
          <cell r="H1318" t="str">
            <v>SURABAYA</v>
          </cell>
          <cell r="J1318" t="str">
            <v>INO</v>
          </cell>
          <cell r="K1318" t="str">
            <v>PT. CHEMIFIN JAYA UTAMA</v>
          </cell>
          <cell r="M1318" t="str">
            <v>INO</v>
          </cell>
          <cell r="N1318" t="str">
            <v>C</v>
          </cell>
          <cell r="O1318">
            <v>23060228</v>
          </cell>
          <cell r="P1318" t="str">
            <v>DECA BORAX STD 25KG BAG, WOOD</v>
          </cell>
          <cell r="Q1318" t="str">
            <v>Deca</v>
          </cell>
          <cell r="R1318">
            <v>7.48</v>
          </cell>
          <cell r="S1318">
            <v>2951.49</v>
          </cell>
        </row>
        <row r="1319">
          <cell r="A1319" t="str">
            <v>Budget</v>
          </cell>
          <cell r="B1319">
            <v>2</v>
          </cell>
          <cell r="C1319" t="str">
            <v>Export</v>
          </cell>
          <cell r="D1319">
            <v>55</v>
          </cell>
          <cell r="E1319">
            <v>9204</v>
          </cell>
          <cell r="F1319" t="str">
            <v>SUNGPO CORP.</v>
          </cell>
          <cell r="G1319" t="str">
            <v>E</v>
          </cell>
          <cell r="H1319" t="str">
            <v>BUSAN</v>
          </cell>
          <cell r="J1319" t="str">
            <v>KOS</v>
          </cell>
          <cell r="K1319" t="str">
            <v>SHIN SEUNG HICHEM Co., LTD.</v>
          </cell>
          <cell r="M1319" t="str">
            <v>KOS</v>
          </cell>
          <cell r="N1319" t="str">
            <v>C</v>
          </cell>
          <cell r="O1319">
            <v>24090228</v>
          </cell>
          <cell r="P1319" t="str">
            <v>BORIC ACID GRAN 25KG BAG, WOOD</v>
          </cell>
          <cell r="Q1319" t="str">
            <v>Boric Acid</v>
          </cell>
          <cell r="R1319">
            <v>5.87</v>
          </cell>
          <cell r="S1319">
            <v>2353.36</v>
          </cell>
        </row>
        <row r="1320">
          <cell r="A1320" t="str">
            <v>Budget</v>
          </cell>
          <cell r="B1320">
            <v>2</v>
          </cell>
          <cell r="C1320" t="str">
            <v>Export</v>
          </cell>
          <cell r="D1320">
            <v>55</v>
          </cell>
          <cell r="E1320">
            <v>9209</v>
          </cell>
          <cell r="F1320" t="str">
            <v>ALWAYS STAR CO., LTD.</v>
          </cell>
          <cell r="G1320" t="str">
            <v>E</v>
          </cell>
          <cell r="H1320" t="str">
            <v>GUANGZHOU</v>
          </cell>
          <cell r="J1320" t="str">
            <v>CHN</v>
          </cell>
          <cell r="K1320" t="str">
            <v>ALWAYS STAR CO., LTD.</v>
          </cell>
          <cell r="M1320" t="str">
            <v>TWN</v>
          </cell>
          <cell r="N1320" t="str">
            <v>D</v>
          </cell>
          <cell r="O1320">
            <v>20150228</v>
          </cell>
          <cell r="P1320" t="str">
            <v>PYROBOR COARSE 25KG (002) WOOD</v>
          </cell>
          <cell r="Q1320" t="str">
            <v>Pyrobor</v>
          </cell>
          <cell r="R1320">
            <v>6.97</v>
          </cell>
          <cell r="S1320">
            <v>4182.42</v>
          </cell>
        </row>
        <row r="1321">
          <cell r="A1321" t="str">
            <v>Budget</v>
          </cell>
          <cell r="B1321">
            <v>2</v>
          </cell>
          <cell r="C1321" t="str">
            <v>Export</v>
          </cell>
          <cell r="D1321">
            <v>55</v>
          </cell>
          <cell r="E1321">
            <v>9209</v>
          </cell>
          <cell r="F1321" t="str">
            <v>ALWAYS STAR CO., LTD.</v>
          </cell>
          <cell r="G1321" t="str">
            <v>E</v>
          </cell>
          <cell r="H1321" t="str">
            <v>GUANGZHOU</v>
          </cell>
          <cell r="J1321" t="str">
            <v>CHN</v>
          </cell>
          <cell r="K1321" t="str">
            <v>ALWAYS STAR CO., LTD.</v>
          </cell>
          <cell r="M1321" t="str">
            <v>TWN</v>
          </cell>
          <cell r="N1321" t="str">
            <v>D</v>
          </cell>
          <cell r="O1321">
            <v>24090228</v>
          </cell>
          <cell r="P1321" t="str">
            <v>BORIC ACID GRAN 25KG BAG, WOOD</v>
          </cell>
          <cell r="Q1321" t="str">
            <v>Boric Acid</v>
          </cell>
          <cell r="R1321">
            <v>3.48</v>
          </cell>
          <cell r="S1321">
            <v>1253.8499999999999</v>
          </cell>
        </row>
        <row r="1322">
          <cell r="A1322" t="str">
            <v>Budget</v>
          </cell>
          <cell r="B1322">
            <v>2</v>
          </cell>
          <cell r="C1322" t="str">
            <v>Export</v>
          </cell>
          <cell r="D1322">
            <v>55</v>
          </cell>
          <cell r="E1322">
            <v>9214</v>
          </cell>
          <cell r="F1322" t="str">
            <v>CORNPAK LIMITED</v>
          </cell>
          <cell r="G1322" t="str">
            <v>E</v>
          </cell>
          <cell r="H1322" t="str">
            <v>KARACHI</v>
          </cell>
          <cell r="J1322" t="str">
            <v>PAK</v>
          </cell>
          <cell r="K1322" t="str">
            <v>FAROOQ INT'L EXPORT ENT</v>
          </cell>
          <cell r="M1322" t="str">
            <v>PAK</v>
          </cell>
          <cell r="N1322" t="str">
            <v>C</v>
          </cell>
          <cell r="O1322">
            <v>22060448</v>
          </cell>
          <cell r="P1322" t="str">
            <v>V-BOR 50KG BAG (004), WOOD</v>
          </cell>
          <cell r="Q1322" t="str">
            <v>Penta</v>
          </cell>
          <cell r="R1322">
            <v>20.96</v>
          </cell>
          <cell r="S1322">
            <v>6691.87</v>
          </cell>
        </row>
        <row r="1323">
          <cell r="A1323" t="str">
            <v>Budget</v>
          </cell>
          <cell r="B1323">
            <v>2</v>
          </cell>
          <cell r="C1323" t="str">
            <v>Export</v>
          </cell>
          <cell r="D1323">
            <v>55</v>
          </cell>
          <cell r="E1323">
            <v>9218</v>
          </cell>
          <cell r="F1323" t="str">
            <v>BE INTERNATIONAL CORPORATION</v>
          </cell>
          <cell r="G1323" t="str">
            <v>E</v>
          </cell>
          <cell r="H1323" t="str">
            <v>NAGOYA</v>
          </cell>
          <cell r="J1323" t="str">
            <v>JAP</v>
          </cell>
          <cell r="K1323" t="str">
            <v>BE INTERNATIONAL CORPORATION</v>
          </cell>
          <cell r="M1323" t="str">
            <v>JAP</v>
          </cell>
          <cell r="N1323" t="str">
            <v>D</v>
          </cell>
          <cell r="O1323" t="str">
            <v>220604B8</v>
          </cell>
          <cell r="P1323" t="str">
            <v>V-BOR 25KG POLYBAG,WOOD (004)</v>
          </cell>
          <cell r="Q1323" t="str">
            <v>Penta</v>
          </cell>
          <cell r="R1323">
            <v>6.24</v>
          </cell>
          <cell r="S1323">
            <v>1748.73</v>
          </cell>
        </row>
        <row r="1324">
          <cell r="A1324" t="str">
            <v>Budget</v>
          </cell>
          <cell r="B1324">
            <v>2</v>
          </cell>
          <cell r="C1324" t="str">
            <v>Export</v>
          </cell>
          <cell r="D1324">
            <v>55</v>
          </cell>
          <cell r="E1324">
            <v>9218</v>
          </cell>
          <cell r="F1324" t="str">
            <v>BE INTERNATIONAL CORPORATION</v>
          </cell>
          <cell r="G1324" t="str">
            <v>E</v>
          </cell>
          <cell r="H1324" t="str">
            <v>NAGOYA</v>
          </cell>
          <cell r="J1324" t="str">
            <v>JAP</v>
          </cell>
          <cell r="K1324" t="str">
            <v>BE INTERNATIONAL CORPORATION</v>
          </cell>
          <cell r="M1324" t="str">
            <v>JAP</v>
          </cell>
          <cell r="N1324" t="str">
            <v>D</v>
          </cell>
          <cell r="O1324">
            <v>24850228</v>
          </cell>
          <cell r="P1324" t="str">
            <v>BORIC ACID GRAN 25KG BAG, WOOD</v>
          </cell>
          <cell r="Q1324" t="str">
            <v>Boric Acid</v>
          </cell>
          <cell r="R1324">
            <v>4.22</v>
          </cell>
          <cell r="S1324">
            <v>1874.44</v>
          </cell>
        </row>
        <row r="1325">
          <cell r="A1325" t="str">
            <v>Budget</v>
          </cell>
          <cell r="B1325">
            <v>2</v>
          </cell>
          <cell r="C1325" t="str">
            <v>Export</v>
          </cell>
          <cell r="D1325">
            <v>55</v>
          </cell>
          <cell r="E1325">
            <v>9220</v>
          </cell>
          <cell r="F1325" t="str">
            <v>BE INTERNATIONAL CORPORATION</v>
          </cell>
          <cell r="G1325" t="str">
            <v>E</v>
          </cell>
          <cell r="H1325" t="str">
            <v>MOJI</v>
          </cell>
          <cell r="J1325" t="str">
            <v>JAP</v>
          </cell>
          <cell r="K1325" t="str">
            <v>BE INTERNATIONAL CORPORATION</v>
          </cell>
          <cell r="M1325" t="str">
            <v>JAP</v>
          </cell>
          <cell r="N1325" t="str">
            <v>D</v>
          </cell>
          <cell r="O1325">
            <v>20060255</v>
          </cell>
          <cell r="P1325" t="str">
            <v>PYROBOR 1 MT FIBC (002)</v>
          </cell>
          <cell r="Q1325" t="str">
            <v>Pyrobor</v>
          </cell>
          <cell r="R1325">
            <v>10.48</v>
          </cell>
          <cell r="S1325">
            <v>5072.07</v>
          </cell>
        </row>
        <row r="1326">
          <cell r="A1326" t="str">
            <v>Budget</v>
          </cell>
          <cell r="B1326">
            <v>2</v>
          </cell>
          <cell r="C1326" t="str">
            <v>Export</v>
          </cell>
          <cell r="D1326">
            <v>55</v>
          </cell>
          <cell r="E1326">
            <v>9225</v>
          </cell>
          <cell r="F1326" t="str">
            <v>HANJIN CHEMICALS CO., LTD.</v>
          </cell>
          <cell r="G1326" t="str">
            <v>E</v>
          </cell>
          <cell r="H1326" t="str">
            <v>BUSAN</v>
          </cell>
          <cell r="J1326" t="str">
            <v>KOS</v>
          </cell>
          <cell r="K1326" t="str">
            <v>SHIN SEUNG HICHEM Co., LTD.</v>
          </cell>
          <cell r="M1326" t="str">
            <v>KOS</v>
          </cell>
          <cell r="N1326" t="str">
            <v>C</v>
          </cell>
          <cell r="O1326">
            <v>24090228</v>
          </cell>
          <cell r="P1326" t="str">
            <v>BORIC ACID GRAN 25KG BAG, WOOD</v>
          </cell>
          <cell r="Q1326" t="str">
            <v>Boric Acid</v>
          </cell>
          <cell r="R1326">
            <v>14.67</v>
          </cell>
          <cell r="S1326">
            <v>5904.51</v>
          </cell>
        </row>
        <row r="1327">
          <cell r="A1327" t="str">
            <v>Budget</v>
          </cell>
          <cell r="B1327">
            <v>2</v>
          </cell>
          <cell r="C1327" t="str">
            <v>Export</v>
          </cell>
          <cell r="D1327">
            <v>55</v>
          </cell>
          <cell r="E1327">
            <v>9227</v>
          </cell>
          <cell r="F1327" t="str">
            <v>BIOCHEMIE TRADING</v>
          </cell>
          <cell r="G1327" t="str">
            <v>E</v>
          </cell>
          <cell r="H1327" t="str">
            <v>PENANG</v>
          </cell>
          <cell r="J1327" t="str">
            <v>MAL</v>
          </cell>
          <cell r="K1327" t="str">
            <v>BEHN MEYER INTERNATIONAL</v>
          </cell>
          <cell r="M1327" t="str">
            <v>MAL</v>
          </cell>
          <cell r="N1327" t="str">
            <v>C</v>
          </cell>
          <cell r="O1327" t="str">
            <v>230602T0</v>
          </cell>
          <cell r="P1327" t="str">
            <v>DECA BORAX 25KG BIOCHEMIE BAG</v>
          </cell>
          <cell r="Q1327" t="str">
            <v>Deca</v>
          </cell>
          <cell r="R1327">
            <v>41.82</v>
          </cell>
          <cell r="S1327">
            <v>10380.89</v>
          </cell>
        </row>
        <row r="1328">
          <cell r="A1328" t="str">
            <v>Budget</v>
          </cell>
          <cell r="B1328">
            <v>2</v>
          </cell>
          <cell r="C1328" t="str">
            <v>Export</v>
          </cell>
          <cell r="D1328">
            <v>55</v>
          </cell>
          <cell r="E1328">
            <v>9228</v>
          </cell>
          <cell r="F1328" t="str">
            <v>BE INTERNATIONAL CORPORATION</v>
          </cell>
          <cell r="G1328" t="str">
            <v>E</v>
          </cell>
          <cell r="H1328" t="str">
            <v>OSAKA</v>
          </cell>
          <cell r="J1328" t="str">
            <v>JAP</v>
          </cell>
          <cell r="K1328" t="str">
            <v>BE INTERNATIONAL CORPORATION</v>
          </cell>
          <cell r="M1328" t="str">
            <v>JAP</v>
          </cell>
          <cell r="N1328" t="str">
            <v>D</v>
          </cell>
          <cell r="O1328">
            <v>22060428</v>
          </cell>
          <cell r="P1328" t="str">
            <v>V-BOR 25KG BAG (004), WOOD</v>
          </cell>
          <cell r="Q1328" t="str">
            <v>Penta</v>
          </cell>
          <cell r="R1328">
            <v>1.65</v>
          </cell>
          <cell r="S1328">
            <v>461.23</v>
          </cell>
        </row>
        <row r="1329">
          <cell r="A1329" t="str">
            <v>Budget</v>
          </cell>
          <cell r="B1329">
            <v>2</v>
          </cell>
          <cell r="C1329" t="str">
            <v>Export</v>
          </cell>
          <cell r="D1329">
            <v>55</v>
          </cell>
          <cell r="E1329">
            <v>9229</v>
          </cell>
          <cell r="F1329" t="str">
            <v>KISWEL LTD.</v>
          </cell>
          <cell r="G1329" t="str">
            <v>E</v>
          </cell>
          <cell r="H1329" t="str">
            <v>BUSAN</v>
          </cell>
          <cell r="J1329" t="str">
            <v>KOS</v>
          </cell>
          <cell r="K1329" t="str">
            <v>SHIN SEUNG HICHEM CO., LTD.</v>
          </cell>
          <cell r="M1329" t="str">
            <v>KOS</v>
          </cell>
          <cell r="O1329">
            <v>22060428</v>
          </cell>
          <cell r="P1329" t="str">
            <v>V-BOR 25KG BAG (004), WOOD</v>
          </cell>
          <cell r="Q1329" t="str">
            <v>Penta</v>
          </cell>
          <cell r="R1329">
            <v>2.93</v>
          </cell>
          <cell r="S1329">
            <v>857.64</v>
          </cell>
        </row>
        <row r="1330">
          <cell r="A1330" t="str">
            <v>Budget</v>
          </cell>
          <cell r="B1330">
            <v>2</v>
          </cell>
          <cell r="C1330" t="str">
            <v>Export</v>
          </cell>
          <cell r="D1330">
            <v>55</v>
          </cell>
          <cell r="E1330">
            <v>9245</v>
          </cell>
          <cell r="F1330" t="str">
            <v>CHEMICAL &amp; ELECTRICAL</v>
          </cell>
          <cell r="G1330" t="str">
            <v>E</v>
          </cell>
          <cell r="H1330" t="str">
            <v>HAIPHONG CITY</v>
          </cell>
          <cell r="J1330" t="str">
            <v>SIN</v>
          </cell>
          <cell r="K1330" t="str">
            <v>BEHN MEYER INTERNATIONAL</v>
          </cell>
          <cell r="M1330" t="str">
            <v>SIN</v>
          </cell>
          <cell r="N1330" t="str">
            <v>C</v>
          </cell>
          <cell r="O1330">
            <v>22060420</v>
          </cell>
          <cell r="P1330" t="str">
            <v>V-BOR 25KG BAG (004)</v>
          </cell>
          <cell r="Q1330" t="str">
            <v>Penta</v>
          </cell>
          <cell r="R1330">
            <v>6.97</v>
          </cell>
          <cell r="S1330">
            <v>1799.71</v>
          </cell>
        </row>
        <row r="1331">
          <cell r="A1331" t="str">
            <v>Budget</v>
          </cell>
          <cell r="B1331">
            <v>2</v>
          </cell>
          <cell r="C1331" t="str">
            <v>Export</v>
          </cell>
          <cell r="D1331">
            <v>55</v>
          </cell>
          <cell r="E1331">
            <v>9248</v>
          </cell>
          <cell r="F1331" t="str">
            <v>BE INTERNATIONAL CORPORATION</v>
          </cell>
          <cell r="G1331" t="str">
            <v>E</v>
          </cell>
          <cell r="H1331" t="str">
            <v>NAGOYA</v>
          </cell>
          <cell r="J1331" t="str">
            <v>JAP</v>
          </cell>
          <cell r="K1331" t="str">
            <v>BE INTERNATIONAL CORPORATION</v>
          </cell>
          <cell r="M1331" t="str">
            <v>JAP</v>
          </cell>
          <cell r="N1331" t="str">
            <v>D</v>
          </cell>
          <cell r="O1331">
            <v>24090228</v>
          </cell>
          <cell r="P1331" t="str">
            <v>BORIC ACID GRAN 25KG BAG, WOOD</v>
          </cell>
          <cell r="Q1331" t="str">
            <v>Boric Acid</v>
          </cell>
          <cell r="R1331">
            <v>10.45</v>
          </cell>
          <cell r="S1331">
            <v>4835.63</v>
          </cell>
        </row>
        <row r="1332">
          <cell r="A1332" t="str">
            <v>Budget</v>
          </cell>
          <cell r="B1332">
            <v>2</v>
          </cell>
          <cell r="C1332" t="str">
            <v>Export</v>
          </cell>
          <cell r="D1332">
            <v>55</v>
          </cell>
          <cell r="E1332">
            <v>9250</v>
          </cell>
          <cell r="F1332" t="str">
            <v>SAM WHA FINE CHEMICAL CO. LTD.</v>
          </cell>
          <cell r="G1332" t="str">
            <v>E</v>
          </cell>
          <cell r="H1332" t="str">
            <v>BUSAN</v>
          </cell>
          <cell r="J1332" t="str">
            <v>KOS</v>
          </cell>
          <cell r="K1332" t="str">
            <v>SHIN SEUNG HICHEM Co., LTD.</v>
          </cell>
          <cell r="M1332" t="str">
            <v>KOS</v>
          </cell>
          <cell r="O1332">
            <v>23060228</v>
          </cell>
          <cell r="P1332" t="str">
            <v>DECA BORAX STD 25KG BAG, WOOD</v>
          </cell>
          <cell r="Q1332" t="str">
            <v>Deca</v>
          </cell>
          <cell r="R1332">
            <v>6.42</v>
          </cell>
          <cell r="S1332">
            <v>1811.47</v>
          </cell>
        </row>
        <row r="1333">
          <cell r="A1333" t="str">
            <v>Budget</v>
          </cell>
          <cell r="B1333">
            <v>2</v>
          </cell>
          <cell r="C1333" t="str">
            <v>Export</v>
          </cell>
          <cell r="D1333">
            <v>55</v>
          </cell>
          <cell r="E1333">
            <v>9250</v>
          </cell>
          <cell r="F1333" t="str">
            <v>SAM WHA FINE CHEMICAL CO. LTD.</v>
          </cell>
          <cell r="G1333" t="str">
            <v>E</v>
          </cell>
          <cell r="H1333" t="str">
            <v>BUSAN</v>
          </cell>
          <cell r="J1333" t="str">
            <v>KOS</v>
          </cell>
          <cell r="K1333" t="str">
            <v>SHIN SEUNG HICHEM Co., LTD.</v>
          </cell>
          <cell r="M1333" t="str">
            <v>KOS</v>
          </cell>
          <cell r="O1333">
            <v>24090228</v>
          </cell>
          <cell r="P1333" t="str">
            <v>BORIC ACID GRAN 25KG BAG, WOOD</v>
          </cell>
          <cell r="Q1333" t="str">
            <v>Boric Acid</v>
          </cell>
          <cell r="R1333">
            <v>5.32</v>
          </cell>
          <cell r="S1333">
            <v>2127.69</v>
          </cell>
        </row>
        <row r="1334">
          <cell r="A1334" t="str">
            <v>Budget</v>
          </cell>
          <cell r="B1334">
            <v>2</v>
          </cell>
          <cell r="C1334" t="str">
            <v>Export</v>
          </cell>
          <cell r="D1334">
            <v>55</v>
          </cell>
          <cell r="E1334">
            <v>9253</v>
          </cell>
          <cell r="F1334" t="str">
            <v>ALWAYS STAR CO., LTD.</v>
          </cell>
          <cell r="G1334" t="str">
            <v>E</v>
          </cell>
          <cell r="H1334" t="str">
            <v>TIANJIN</v>
          </cell>
          <cell r="J1334" t="str">
            <v>CHN</v>
          </cell>
          <cell r="K1334" t="str">
            <v>ALWAYS STAR CO., LTD.</v>
          </cell>
          <cell r="M1334" t="str">
            <v>TWN</v>
          </cell>
          <cell r="N1334" t="str">
            <v>C</v>
          </cell>
          <cell r="O1334">
            <v>20150228</v>
          </cell>
          <cell r="P1334" t="str">
            <v>PYROBOR COARSE 25KG (002) WOOD</v>
          </cell>
          <cell r="Q1334" t="str">
            <v>Pyrobor</v>
          </cell>
          <cell r="R1334">
            <v>3.48</v>
          </cell>
          <cell r="S1334">
            <v>2091.64</v>
          </cell>
        </row>
        <row r="1335">
          <cell r="A1335" t="str">
            <v>Budget</v>
          </cell>
          <cell r="B1335">
            <v>2</v>
          </cell>
          <cell r="C1335" t="str">
            <v>Export</v>
          </cell>
          <cell r="D1335">
            <v>55</v>
          </cell>
          <cell r="E1335">
            <v>9253</v>
          </cell>
          <cell r="F1335" t="str">
            <v>ALWAYS STAR CO., LTD.</v>
          </cell>
          <cell r="G1335" t="str">
            <v>E</v>
          </cell>
          <cell r="H1335" t="str">
            <v>TIANJIN</v>
          </cell>
          <cell r="J1335" t="str">
            <v>CHN</v>
          </cell>
          <cell r="K1335" t="str">
            <v>ALWAYS STAR CO., LTD.</v>
          </cell>
          <cell r="M1335" t="str">
            <v>TWN</v>
          </cell>
          <cell r="N1335" t="str">
            <v>C</v>
          </cell>
          <cell r="O1335" t="str">
            <v>220604B8</v>
          </cell>
          <cell r="P1335" t="str">
            <v>V-BOR 25KG POLYBAG,WOOD (004)</v>
          </cell>
          <cell r="Q1335" t="str">
            <v>Penta</v>
          </cell>
          <cell r="R1335">
            <v>118.85</v>
          </cell>
          <cell r="S1335">
            <v>27174.38</v>
          </cell>
        </row>
        <row r="1336">
          <cell r="A1336" t="str">
            <v>Budget</v>
          </cell>
          <cell r="B1336">
            <v>2</v>
          </cell>
          <cell r="C1336" t="str">
            <v>Export</v>
          </cell>
          <cell r="D1336">
            <v>55</v>
          </cell>
          <cell r="E1336">
            <v>9253</v>
          </cell>
          <cell r="F1336" t="str">
            <v>ALWAYS STAR CO., LTD.</v>
          </cell>
          <cell r="G1336" t="str">
            <v>E</v>
          </cell>
          <cell r="H1336" t="str">
            <v>TIANJIN</v>
          </cell>
          <cell r="J1336" t="str">
            <v>CHN</v>
          </cell>
          <cell r="K1336" t="str">
            <v>ALWAYS STAR CO., LTD.</v>
          </cell>
          <cell r="M1336" t="str">
            <v>TWN</v>
          </cell>
          <cell r="N1336" t="str">
            <v>C</v>
          </cell>
          <cell r="O1336">
            <v>24090228</v>
          </cell>
          <cell r="P1336" t="str">
            <v>BORIC ACID GRAN 25KG BAG, WOOD</v>
          </cell>
          <cell r="Q1336" t="str">
            <v>Boric Acid</v>
          </cell>
          <cell r="R1336">
            <v>76.67</v>
          </cell>
          <cell r="S1336">
            <v>24741.67</v>
          </cell>
        </row>
        <row r="1337">
          <cell r="A1337" t="str">
            <v>Budget</v>
          </cell>
          <cell r="B1337">
            <v>2</v>
          </cell>
          <cell r="C1337" t="str">
            <v>Export</v>
          </cell>
          <cell r="D1337">
            <v>55</v>
          </cell>
          <cell r="E1337">
            <v>9253</v>
          </cell>
          <cell r="F1337" t="str">
            <v>ALWAYS STAR CO., LTD.</v>
          </cell>
          <cell r="G1337" t="str">
            <v>E</v>
          </cell>
          <cell r="H1337" t="str">
            <v>TIANJIN</v>
          </cell>
          <cell r="J1337" t="str">
            <v>CHN</v>
          </cell>
          <cell r="K1337" t="str">
            <v>ALWAYS STAR CO., LTD.</v>
          </cell>
          <cell r="M1337" t="str">
            <v>TWN</v>
          </cell>
          <cell r="N1337" t="str">
            <v>C</v>
          </cell>
          <cell r="O1337" t="str">
            <v>240902B8</v>
          </cell>
          <cell r="P1337" t="str">
            <v>BORIC ACID GRAN 25KG POLY WOOD</v>
          </cell>
          <cell r="Q1337" t="str">
            <v>Boric Acid</v>
          </cell>
          <cell r="R1337">
            <v>27.88</v>
          </cell>
          <cell r="S1337">
            <v>8984.2999999999993</v>
          </cell>
        </row>
        <row r="1338">
          <cell r="A1338" t="str">
            <v>Budget</v>
          </cell>
          <cell r="B1338">
            <v>2</v>
          </cell>
          <cell r="C1338" t="str">
            <v>Export</v>
          </cell>
          <cell r="D1338">
            <v>55</v>
          </cell>
          <cell r="E1338">
            <v>9254</v>
          </cell>
          <cell r="F1338" t="str">
            <v>ALWAYS STAR CO., LTD.</v>
          </cell>
          <cell r="G1338" t="str">
            <v>E</v>
          </cell>
          <cell r="H1338" t="str">
            <v>SHANGHAI</v>
          </cell>
          <cell r="J1338" t="str">
            <v>CHN</v>
          </cell>
          <cell r="K1338" t="str">
            <v>ALWAYS STAR CO., LTD.</v>
          </cell>
          <cell r="M1338" t="str">
            <v>TWN</v>
          </cell>
          <cell r="N1338" t="str">
            <v>D</v>
          </cell>
          <cell r="O1338" t="str">
            <v>220604B8</v>
          </cell>
          <cell r="P1338" t="str">
            <v>V-BOR 25KG POLYBAG,WOOD (004)</v>
          </cell>
          <cell r="Q1338" t="str">
            <v>Penta</v>
          </cell>
          <cell r="R1338">
            <v>178.28</v>
          </cell>
          <cell r="S1338">
            <v>40614.21</v>
          </cell>
        </row>
        <row r="1339">
          <cell r="A1339" t="str">
            <v>Budget</v>
          </cell>
          <cell r="B1339">
            <v>2</v>
          </cell>
          <cell r="C1339" t="str">
            <v>Export</v>
          </cell>
          <cell r="D1339">
            <v>55</v>
          </cell>
          <cell r="E1339">
            <v>9254</v>
          </cell>
          <cell r="F1339" t="str">
            <v>ALWAYS STAR CO., LTD.</v>
          </cell>
          <cell r="G1339" t="str">
            <v>E</v>
          </cell>
          <cell r="H1339" t="str">
            <v>SHANGHAI</v>
          </cell>
          <cell r="J1339" t="str">
            <v>CHN</v>
          </cell>
          <cell r="K1339" t="str">
            <v>ALWAYS STAR CO., LTD.</v>
          </cell>
          <cell r="M1339" t="str">
            <v>TWN</v>
          </cell>
          <cell r="N1339" t="str">
            <v>D</v>
          </cell>
          <cell r="O1339">
            <v>24090228</v>
          </cell>
          <cell r="P1339" t="str">
            <v>BORIC ACID GRAN 25KG BAG, WOOD</v>
          </cell>
          <cell r="Q1339" t="str">
            <v>Boric Acid</v>
          </cell>
          <cell r="R1339">
            <v>83.64</v>
          </cell>
          <cell r="S1339">
            <v>27005.18</v>
          </cell>
        </row>
        <row r="1340">
          <cell r="A1340" t="str">
            <v>Budget</v>
          </cell>
          <cell r="B1340">
            <v>2</v>
          </cell>
          <cell r="C1340" t="str">
            <v>Export</v>
          </cell>
          <cell r="D1340">
            <v>55</v>
          </cell>
          <cell r="E1340">
            <v>9257</v>
          </cell>
          <cell r="F1340" t="str">
            <v>BYUCKSAN CORPORATION</v>
          </cell>
          <cell r="G1340" t="str">
            <v>E</v>
          </cell>
          <cell r="H1340" t="str">
            <v>SEOUL</v>
          </cell>
          <cell r="J1340" t="str">
            <v>KOS</v>
          </cell>
          <cell r="K1340" t="str">
            <v>SHIN SEUNG HICHEM CO., LTD.</v>
          </cell>
          <cell r="M1340" t="str">
            <v>KOS</v>
          </cell>
          <cell r="N1340" t="str">
            <v>C</v>
          </cell>
          <cell r="O1340">
            <v>22060455</v>
          </cell>
          <cell r="P1340" t="str">
            <v>V-BOR 1 MT FIBC (004)</v>
          </cell>
          <cell r="Q1340" t="str">
            <v>Penta</v>
          </cell>
          <cell r="R1340">
            <v>43.32</v>
          </cell>
          <cell r="S1340">
            <v>11790.48</v>
          </cell>
        </row>
        <row r="1341">
          <cell r="A1341" t="str">
            <v>Budget</v>
          </cell>
          <cell r="B1341">
            <v>2</v>
          </cell>
          <cell r="C1341" t="str">
            <v>Export</v>
          </cell>
          <cell r="D1341">
            <v>55</v>
          </cell>
          <cell r="E1341">
            <v>9260</v>
          </cell>
          <cell r="F1341" t="str">
            <v>HWA-CHIH</v>
          </cell>
          <cell r="G1341" t="str">
            <v>E</v>
          </cell>
          <cell r="H1341" t="str">
            <v>TAO YUAN</v>
          </cell>
          <cell r="J1341" t="str">
            <v>TWN</v>
          </cell>
          <cell r="K1341" t="str">
            <v>HLC INTERNATIONAL CORPORATION</v>
          </cell>
          <cell r="M1341" t="str">
            <v>TWN</v>
          </cell>
          <cell r="O1341">
            <v>22060428</v>
          </cell>
          <cell r="P1341" t="str">
            <v>V-BOR 25KG BAG (004), WOOD</v>
          </cell>
          <cell r="Q1341" t="str">
            <v>Penta</v>
          </cell>
          <cell r="R1341">
            <v>10.45</v>
          </cell>
          <cell r="S1341">
            <v>2682.42</v>
          </cell>
        </row>
        <row r="1342">
          <cell r="A1342" t="str">
            <v>Budget</v>
          </cell>
          <cell r="B1342">
            <v>2</v>
          </cell>
          <cell r="C1342" t="str">
            <v>Export</v>
          </cell>
          <cell r="D1342">
            <v>55</v>
          </cell>
          <cell r="E1342">
            <v>9271</v>
          </cell>
          <cell r="F1342" t="str">
            <v>ALWAYS STAR CO., LTD.</v>
          </cell>
          <cell r="G1342" t="str">
            <v>E</v>
          </cell>
          <cell r="H1342" t="str">
            <v>HONG KONG</v>
          </cell>
          <cell r="J1342" t="str">
            <v>CHN</v>
          </cell>
          <cell r="K1342" t="str">
            <v>ALWAYS STAR CO., LTD.</v>
          </cell>
          <cell r="M1342" t="str">
            <v>TWN</v>
          </cell>
          <cell r="O1342">
            <v>22060455</v>
          </cell>
          <cell r="P1342" t="str">
            <v>V-BOR 1 MT FIBC (004)</v>
          </cell>
          <cell r="Q1342" t="str">
            <v>Penta</v>
          </cell>
          <cell r="R1342">
            <v>31.44</v>
          </cell>
          <cell r="S1342">
            <v>7952.34</v>
          </cell>
        </row>
        <row r="1343">
          <cell r="A1343" t="str">
            <v>Budget</v>
          </cell>
          <cell r="B1343">
            <v>2</v>
          </cell>
          <cell r="C1343" t="str">
            <v>Export</v>
          </cell>
          <cell r="D1343">
            <v>55</v>
          </cell>
          <cell r="E1343">
            <v>9278</v>
          </cell>
          <cell r="F1343" t="str">
            <v>PT. FERRO MAS DINAMIKA</v>
          </cell>
          <cell r="G1343" t="str">
            <v>E</v>
          </cell>
          <cell r="H1343" t="str">
            <v>BEKASI</v>
          </cell>
          <cell r="J1343" t="str">
            <v>INO</v>
          </cell>
          <cell r="K1343" t="str">
            <v>PT. CHEMIFIN JAYA UTAMA</v>
          </cell>
          <cell r="M1343" t="str">
            <v>INO</v>
          </cell>
          <cell r="O1343">
            <v>22060428</v>
          </cell>
          <cell r="P1343" t="str">
            <v>V-BOR 25KG BAG (004), WOOD</v>
          </cell>
          <cell r="Q1343" t="str">
            <v>Penta</v>
          </cell>
          <cell r="R1343">
            <v>10.45</v>
          </cell>
          <cell r="S1343">
            <v>2894.3</v>
          </cell>
        </row>
        <row r="1344">
          <cell r="A1344" t="str">
            <v>Budget</v>
          </cell>
          <cell r="B1344">
            <v>2</v>
          </cell>
          <cell r="C1344" t="str">
            <v>Export</v>
          </cell>
          <cell r="D1344">
            <v>55</v>
          </cell>
          <cell r="E1344">
            <v>9282</v>
          </cell>
          <cell r="F1344" t="str">
            <v>THAI CENTRAL CHEMICAL PUBLIC</v>
          </cell>
          <cell r="G1344" t="str">
            <v>E</v>
          </cell>
          <cell r="H1344" t="str">
            <v>BANGKOK</v>
          </cell>
          <cell r="J1344" t="str">
            <v>THA</v>
          </cell>
          <cell r="K1344" t="str">
            <v>MC INDUSTRIAL CHEMICAL CO. LTD</v>
          </cell>
          <cell r="M1344" t="str">
            <v>USA</v>
          </cell>
          <cell r="N1344" t="str">
            <v>C</v>
          </cell>
          <cell r="O1344">
            <v>20060228</v>
          </cell>
          <cell r="P1344" t="str">
            <v>PYROBOR 25KG BAG (002), WOOD</v>
          </cell>
          <cell r="Q1344" t="str">
            <v>Pyrobor</v>
          </cell>
          <cell r="R1344">
            <v>10.45</v>
          </cell>
          <cell r="S1344">
            <v>6466.05</v>
          </cell>
        </row>
        <row r="1345">
          <cell r="A1345" t="str">
            <v>Budget</v>
          </cell>
          <cell r="B1345">
            <v>2</v>
          </cell>
          <cell r="C1345" t="str">
            <v>Export</v>
          </cell>
          <cell r="D1345">
            <v>55</v>
          </cell>
          <cell r="E1345">
            <v>9286</v>
          </cell>
          <cell r="F1345" t="str">
            <v>PT. PHILIPS-RALIN ELECTRONICS</v>
          </cell>
          <cell r="G1345" t="str">
            <v>E</v>
          </cell>
          <cell r="H1345" t="str">
            <v>SIDOARJO</v>
          </cell>
          <cell r="J1345" t="str">
            <v>INO</v>
          </cell>
          <cell r="K1345" t="str">
            <v>PT. CHEMIFIN JAYA UTAMA</v>
          </cell>
          <cell r="M1345" t="str">
            <v>INO</v>
          </cell>
          <cell r="N1345" t="str">
            <v>C</v>
          </cell>
          <cell r="O1345">
            <v>22060428</v>
          </cell>
          <cell r="P1345" t="str">
            <v>V-BOR 25KG BAG (004), WOOD</v>
          </cell>
          <cell r="Q1345" t="str">
            <v>Penta</v>
          </cell>
          <cell r="R1345">
            <v>10.45</v>
          </cell>
          <cell r="S1345">
            <v>2909.71</v>
          </cell>
        </row>
        <row r="1346">
          <cell r="A1346" t="str">
            <v>Budget</v>
          </cell>
          <cell r="B1346">
            <v>2</v>
          </cell>
          <cell r="C1346" t="str">
            <v>Export</v>
          </cell>
          <cell r="D1346">
            <v>55</v>
          </cell>
          <cell r="E1346">
            <v>9298</v>
          </cell>
          <cell r="F1346" t="str">
            <v>KINIK COMPANY</v>
          </cell>
          <cell r="G1346" t="str">
            <v>E</v>
          </cell>
          <cell r="H1346" t="str">
            <v>KEELUNG</v>
          </cell>
          <cell r="J1346" t="str">
            <v>TWN</v>
          </cell>
          <cell r="K1346" t="str">
            <v>HLC INTERNATIONAL CORPORATION</v>
          </cell>
          <cell r="M1346" t="str">
            <v>TWN</v>
          </cell>
          <cell r="N1346" t="str">
            <v>D</v>
          </cell>
          <cell r="O1346">
            <v>20150228</v>
          </cell>
          <cell r="P1346" t="str">
            <v>PYROBOR COARSE 25KG (002) WOOD</v>
          </cell>
          <cell r="Q1346" t="str">
            <v>Pyrobor</v>
          </cell>
          <cell r="R1346">
            <v>3.48</v>
          </cell>
          <cell r="S1346">
            <v>2882.62</v>
          </cell>
        </row>
        <row r="1347">
          <cell r="A1347" t="str">
            <v>Budget</v>
          </cell>
          <cell r="B1347">
            <v>2</v>
          </cell>
          <cell r="C1347" t="str">
            <v>Export</v>
          </cell>
          <cell r="D1347">
            <v>55</v>
          </cell>
          <cell r="E1347">
            <v>9299</v>
          </cell>
          <cell r="F1347" t="str">
            <v>SHIONOGI/HAKATA</v>
          </cell>
          <cell r="G1347" t="str">
            <v>E</v>
          </cell>
          <cell r="H1347" t="str">
            <v>HAKATA</v>
          </cell>
          <cell r="J1347" t="str">
            <v>JAP</v>
          </cell>
          <cell r="K1347" t="str">
            <v>SHIONOGI &amp; COMPANY LTD</v>
          </cell>
          <cell r="M1347" t="str">
            <v>JAP</v>
          </cell>
          <cell r="N1347" t="str">
            <v>C</v>
          </cell>
          <cell r="O1347">
            <v>20060228</v>
          </cell>
          <cell r="P1347" t="str">
            <v>PYROBOR 25KG BAG (002), WOOD</v>
          </cell>
          <cell r="Q1347" t="str">
            <v>Pyrobor</v>
          </cell>
          <cell r="R1347">
            <v>1.47</v>
          </cell>
          <cell r="S1347">
            <v>920.79</v>
          </cell>
        </row>
        <row r="1348">
          <cell r="A1348" t="str">
            <v>Budget</v>
          </cell>
          <cell r="B1348">
            <v>2</v>
          </cell>
          <cell r="C1348" t="str">
            <v>Export</v>
          </cell>
          <cell r="D1348">
            <v>55</v>
          </cell>
          <cell r="E1348">
            <v>9299</v>
          </cell>
          <cell r="F1348" t="str">
            <v>SHIONOGI/HAKATA</v>
          </cell>
          <cell r="G1348" t="str">
            <v>E</v>
          </cell>
          <cell r="H1348" t="str">
            <v>HAKATA</v>
          </cell>
          <cell r="J1348" t="str">
            <v>JAP</v>
          </cell>
          <cell r="K1348" t="str">
            <v>SHIONOGI &amp; COMPANY LTD</v>
          </cell>
          <cell r="M1348" t="str">
            <v>JAP</v>
          </cell>
          <cell r="N1348" t="str">
            <v>C</v>
          </cell>
          <cell r="O1348" t="str">
            <v>230602B8</v>
          </cell>
          <cell r="P1348" t="str">
            <v>DECA STD 25KG POLYBAG, WOOD</v>
          </cell>
          <cell r="Q1348" t="str">
            <v>Deca</v>
          </cell>
          <cell r="R1348">
            <v>6.6</v>
          </cell>
          <cell r="S1348">
            <v>1947</v>
          </cell>
        </row>
        <row r="1349">
          <cell r="A1349" t="str">
            <v>Budget</v>
          </cell>
          <cell r="B1349">
            <v>2</v>
          </cell>
          <cell r="C1349" t="str">
            <v>Export</v>
          </cell>
          <cell r="D1349">
            <v>55</v>
          </cell>
          <cell r="E1349">
            <v>9299</v>
          </cell>
          <cell r="F1349" t="str">
            <v>SHIONOGI/HAKATA</v>
          </cell>
          <cell r="G1349" t="str">
            <v>E</v>
          </cell>
          <cell r="H1349" t="str">
            <v>HAKATA</v>
          </cell>
          <cell r="J1349" t="str">
            <v>JAP</v>
          </cell>
          <cell r="K1349" t="str">
            <v>SHIONOGI &amp; COMPANY LTD</v>
          </cell>
          <cell r="M1349" t="str">
            <v>JAP</v>
          </cell>
          <cell r="N1349" t="str">
            <v>C</v>
          </cell>
          <cell r="O1349">
            <v>24090228</v>
          </cell>
          <cell r="P1349" t="str">
            <v>BORIC ACID GRAN 25KG BAG, WOOD</v>
          </cell>
          <cell r="Q1349" t="str">
            <v>Boric Acid</v>
          </cell>
          <cell r="R1349">
            <v>9.35</v>
          </cell>
          <cell r="S1349">
            <v>4912.45</v>
          </cell>
        </row>
        <row r="1350">
          <cell r="A1350" t="str">
            <v>Budget</v>
          </cell>
          <cell r="B1350">
            <v>2</v>
          </cell>
          <cell r="C1350" t="str">
            <v>Export</v>
          </cell>
          <cell r="D1350">
            <v>55</v>
          </cell>
          <cell r="E1350">
            <v>9300</v>
          </cell>
          <cell r="F1350" t="str">
            <v>INACTIVE-ALWAYS STAR CO., LTD.</v>
          </cell>
          <cell r="G1350" t="str">
            <v>E</v>
          </cell>
          <cell r="H1350" t="str">
            <v>HONG KONG</v>
          </cell>
          <cell r="J1350" t="str">
            <v>CHN</v>
          </cell>
          <cell r="K1350" t="str">
            <v>ALWAYS STAR CO., LTD.</v>
          </cell>
          <cell r="M1350" t="str">
            <v>TWN</v>
          </cell>
          <cell r="N1350" t="str">
            <v>D</v>
          </cell>
          <cell r="O1350">
            <v>20150220</v>
          </cell>
          <cell r="P1350" t="str">
            <v>PYROBOR COARSE 25KG BAG (002)</v>
          </cell>
          <cell r="Q1350" t="str">
            <v>Pyrobor</v>
          </cell>
          <cell r="R1350">
            <v>3.48</v>
          </cell>
          <cell r="S1350">
            <v>2091.64</v>
          </cell>
        </row>
        <row r="1351">
          <cell r="A1351" t="str">
            <v>Budget</v>
          </cell>
          <cell r="B1351">
            <v>2</v>
          </cell>
          <cell r="C1351" t="str">
            <v>Export</v>
          </cell>
          <cell r="D1351">
            <v>55</v>
          </cell>
          <cell r="E1351">
            <v>9302</v>
          </cell>
          <cell r="F1351" t="str">
            <v>PT. SAMAWOOD UTAMA WORKS IND.</v>
          </cell>
          <cell r="G1351" t="str">
            <v>E</v>
          </cell>
          <cell r="H1351" t="str">
            <v>MEDAN</v>
          </cell>
          <cell r="J1351" t="str">
            <v>INO</v>
          </cell>
          <cell r="K1351" t="str">
            <v>PT. CHEMIFIN JAYA UTAMA</v>
          </cell>
          <cell r="M1351" t="str">
            <v>INO</v>
          </cell>
          <cell r="N1351" t="str">
            <v>C</v>
          </cell>
          <cell r="O1351">
            <v>24090228</v>
          </cell>
          <cell r="P1351" t="str">
            <v>BORIC ACID GRAN 25KG BAG, WOOD</v>
          </cell>
          <cell r="Q1351" t="str">
            <v>Boric Acid</v>
          </cell>
          <cell r="R1351">
            <v>3.48</v>
          </cell>
          <cell r="S1351">
            <v>1391.02</v>
          </cell>
        </row>
        <row r="1352">
          <cell r="A1352" t="str">
            <v>Budget</v>
          </cell>
          <cell r="B1352">
            <v>2</v>
          </cell>
          <cell r="C1352" t="str">
            <v>Export</v>
          </cell>
          <cell r="D1352">
            <v>55</v>
          </cell>
          <cell r="E1352">
            <v>9303</v>
          </cell>
          <cell r="F1352" t="str">
            <v>ALWAYS STAR CO., LTD.</v>
          </cell>
          <cell r="G1352" t="str">
            <v>E</v>
          </cell>
          <cell r="H1352" t="str">
            <v>HONG KONG</v>
          </cell>
          <cell r="J1352" t="str">
            <v>CHN</v>
          </cell>
          <cell r="K1352" t="str">
            <v>ALWAYS STAR CO., LTD.</v>
          </cell>
          <cell r="M1352" t="str">
            <v>TWN</v>
          </cell>
          <cell r="N1352" t="str">
            <v>D</v>
          </cell>
          <cell r="O1352">
            <v>20150220</v>
          </cell>
          <cell r="P1352" t="str">
            <v>PYROBOR COARSE 25KG BAG (002)</v>
          </cell>
          <cell r="Q1352" t="str">
            <v>Pyrobor</v>
          </cell>
          <cell r="R1352">
            <v>6.97</v>
          </cell>
          <cell r="S1352">
            <v>4178.17</v>
          </cell>
        </row>
        <row r="1353">
          <cell r="A1353" t="str">
            <v>Budget</v>
          </cell>
          <cell r="B1353">
            <v>2</v>
          </cell>
          <cell r="C1353" t="str">
            <v>Export</v>
          </cell>
          <cell r="D1353">
            <v>55</v>
          </cell>
          <cell r="E1353">
            <v>9309</v>
          </cell>
          <cell r="F1353" t="str">
            <v>ALWAYS STAR CO., LTD.</v>
          </cell>
          <cell r="G1353" t="str">
            <v>E</v>
          </cell>
          <cell r="H1353" t="str">
            <v>GUANGZHOU</v>
          </cell>
          <cell r="J1353" t="str">
            <v>CHN</v>
          </cell>
          <cell r="K1353" t="str">
            <v>ALWAYS STAR CO., LTD.</v>
          </cell>
          <cell r="M1353" t="str">
            <v>TWN</v>
          </cell>
          <cell r="N1353" t="str">
            <v>D</v>
          </cell>
          <cell r="O1353">
            <v>22060455</v>
          </cell>
          <cell r="P1353" t="str">
            <v>V-BOR 1 MT FIBC (004)</v>
          </cell>
          <cell r="Q1353" t="str">
            <v>Penta</v>
          </cell>
          <cell r="R1353">
            <v>6.99</v>
          </cell>
          <cell r="S1353">
            <v>1768.05</v>
          </cell>
        </row>
        <row r="1354">
          <cell r="A1354" t="str">
            <v>Budget</v>
          </cell>
          <cell r="B1354">
            <v>2</v>
          </cell>
          <cell r="C1354" t="str">
            <v>Export</v>
          </cell>
          <cell r="D1354">
            <v>55</v>
          </cell>
          <cell r="E1354">
            <v>9326</v>
          </cell>
          <cell r="F1354" t="str">
            <v>PT. SINAR ENAMELINDO UTAMA</v>
          </cell>
          <cell r="G1354" t="str">
            <v>E</v>
          </cell>
          <cell r="H1354" t="str">
            <v>CURUG, TANGERANG</v>
          </cell>
          <cell r="J1354" t="str">
            <v>INO</v>
          </cell>
          <cell r="K1354" t="str">
            <v>PT. CHEMIFIN JAYA UTAMA</v>
          </cell>
          <cell r="M1354" t="str">
            <v>INO</v>
          </cell>
          <cell r="N1354" t="str">
            <v>C</v>
          </cell>
          <cell r="O1354">
            <v>22060428</v>
          </cell>
          <cell r="P1354" t="str">
            <v>V-BOR 25KG BAG (004), WOOD</v>
          </cell>
          <cell r="Q1354" t="str">
            <v>Penta</v>
          </cell>
          <cell r="R1354">
            <v>6.97</v>
          </cell>
          <cell r="S1354">
            <v>1786.19</v>
          </cell>
        </row>
        <row r="1355">
          <cell r="A1355" t="str">
            <v>Budget</v>
          </cell>
          <cell r="B1355">
            <v>2</v>
          </cell>
          <cell r="C1355" t="str">
            <v>Export</v>
          </cell>
          <cell r="D1355">
            <v>55</v>
          </cell>
          <cell r="E1355">
            <v>9327</v>
          </cell>
          <cell r="F1355" t="str">
            <v>HYOSUNG CORPORATION</v>
          </cell>
          <cell r="G1355" t="str">
            <v>E</v>
          </cell>
          <cell r="H1355" t="str">
            <v>SEOUL</v>
          </cell>
          <cell r="J1355" t="str">
            <v>KOS</v>
          </cell>
          <cell r="K1355" t="str">
            <v>SHIN SEUNG HICHEM CO., LTD.</v>
          </cell>
          <cell r="M1355" t="str">
            <v>KOS</v>
          </cell>
          <cell r="N1355" t="str">
            <v>C</v>
          </cell>
          <cell r="O1355">
            <v>22060428</v>
          </cell>
          <cell r="P1355" t="str">
            <v>V-BOR 25KG BAG (004), WOOD</v>
          </cell>
          <cell r="Q1355" t="str">
            <v>Penta</v>
          </cell>
          <cell r="R1355">
            <v>29.71</v>
          </cell>
          <cell r="S1355">
            <v>8445.58</v>
          </cell>
        </row>
        <row r="1356">
          <cell r="A1356" t="str">
            <v>Budget</v>
          </cell>
          <cell r="B1356">
            <v>2</v>
          </cell>
          <cell r="C1356" t="str">
            <v>Export</v>
          </cell>
          <cell r="D1356">
            <v>55</v>
          </cell>
          <cell r="E1356">
            <v>9335</v>
          </cell>
          <cell r="F1356" t="str">
            <v>BE INTERNATIONAL CORPORATION</v>
          </cell>
          <cell r="G1356" t="str">
            <v>E</v>
          </cell>
          <cell r="H1356" t="str">
            <v>ISHIKARIWAN SHINKO</v>
          </cell>
          <cell r="J1356" t="str">
            <v>JAP</v>
          </cell>
          <cell r="K1356" t="str">
            <v>BE INTERNATIONAL CORPORATION</v>
          </cell>
          <cell r="M1356" t="str">
            <v>JAP</v>
          </cell>
          <cell r="N1356" t="str">
            <v>D</v>
          </cell>
          <cell r="O1356">
            <v>22060487</v>
          </cell>
          <cell r="P1356" t="str">
            <v>V-BOR 1MT STEVEDORE STRAP FIBC</v>
          </cell>
          <cell r="Q1356" t="str">
            <v>Penta</v>
          </cell>
          <cell r="R1356">
            <v>10.48</v>
          </cell>
          <cell r="S1356">
            <v>2471.89</v>
          </cell>
        </row>
        <row r="1357">
          <cell r="A1357" t="str">
            <v>Budget</v>
          </cell>
          <cell r="B1357">
            <v>2</v>
          </cell>
          <cell r="C1357" t="str">
            <v>Export</v>
          </cell>
          <cell r="D1357">
            <v>55</v>
          </cell>
          <cell r="E1357">
            <v>9344</v>
          </cell>
          <cell r="F1357" t="str">
            <v>PT. RAHARDJA MITRA KIMIA</v>
          </cell>
          <cell r="G1357" t="str">
            <v>E</v>
          </cell>
          <cell r="H1357" t="str">
            <v>MEDAN</v>
          </cell>
          <cell r="J1357" t="str">
            <v>INO</v>
          </cell>
          <cell r="K1357" t="str">
            <v>PT. CHEMIFIN JAYA UTAMA</v>
          </cell>
          <cell r="M1357" t="str">
            <v>INO</v>
          </cell>
          <cell r="N1357" t="str">
            <v>C</v>
          </cell>
          <cell r="O1357">
            <v>24090220</v>
          </cell>
          <cell r="P1357" t="str">
            <v>BORIC ACID GRAN TECH 25KG BAG</v>
          </cell>
          <cell r="Q1357" t="str">
            <v>Boric Acid</v>
          </cell>
          <cell r="R1357">
            <v>10.45</v>
          </cell>
          <cell r="S1357">
            <v>4135.99</v>
          </cell>
        </row>
        <row r="1358">
          <cell r="A1358" t="str">
            <v>Budget</v>
          </cell>
          <cell r="B1358">
            <v>2</v>
          </cell>
          <cell r="C1358" t="str">
            <v>Export</v>
          </cell>
          <cell r="D1358">
            <v>55</v>
          </cell>
          <cell r="E1358">
            <v>9345</v>
          </cell>
          <cell r="F1358" t="str">
            <v>IWATANI ASIA PACIFIC PTE LTD</v>
          </cell>
          <cell r="G1358" t="str">
            <v>E</v>
          </cell>
          <cell r="H1358" t="str">
            <v>SINGAPORE</v>
          </cell>
          <cell r="J1358" t="str">
            <v>SIN</v>
          </cell>
          <cell r="K1358" t="str">
            <v>BEHN MEYER INTERNATIONAL</v>
          </cell>
          <cell r="M1358" t="str">
            <v>SIN</v>
          </cell>
          <cell r="N1358" t="str">
            <v>D</v>
          </cell>
          <cell r="O1358">
            <v>24850249</v>
          </cell>
          <cell r="P1358" t="str">
            <v>BORIC ACID GRAN, 1 MT FIBC</v>
          </cell>
          <cell r="Q1358" t="str">
            <v>Boric Acid</v>
          </cell>
          <cell r="R1358">
            <v>27.95</v>
          </cell>
          <cell r="S1358">
            <v>13263</v>
          </cell>
        </row>
        <row r="1359">
          <cell r="A1359" t="str">
            <v>Budget</v>
          </cell>
          <cell r="B1359">
            <v>2</v>
          </cell>
          <cell r="C1359" t="str">
            <v>Export</v>
          </cell>
          <cell r="D1359">
            <v>55</v>
          </cell>
          <cell r="E1359">
            <v>9347</v>
          </cell>
          <cell r="F1359" t="str">
            <v>KING-BAR INDUSTRIAL Co., LTD.</v>
          </cell>
          <cell r="G1359" t="str">
            <v>E</v>
          </cell>
          <cell r="H1359" t="str">
            <v>KEELUNG</v>
          </cell>
          <cell r="J1359" t="str">
            <v>TWN</v>
          </cell>
          <cell r="K1359" t="str">
            <v>HLC INTERNATIONAL CORPORATION</v>
          </cell>
          <cell r="M1359" t="str">
            <v>TWN</v>
          </cell>
          <cell r="N1359" t="str">
            <v>D</v>
          </cell>
          <cell r="O1359">
            <v>20150228</v>
          </cell>
          <cell r="P1359" t="str">
            <v>PYROBOR COARSE 25KG (002) WOOD</v>
          </cell>
          <cell r="Q1359" t="str">
            <v>Pyrobor</v>
          </cell>
          <cell r="R1359">
            <v>6.97</v>
          </cell>
          <cell r="S1359">
            <v>4689.4399999999996</v>
          </cell>
        </row>
        <row r="1360">
          <cell r="A1360" t="str">
            <v>Budget</v>
          </cell>
          <cell r="B1360">
            <v>2</v>
          </cell>
          <cell r="C1360" t="str">
            <v>Export</v>
          </cell>
          <cell r="D1360">
            <v>55</v>
          </cell>
          <cell r="E1360">
            <v>9347</v>
          </cell>
          <cell r="F1360" t="str">
            <v>KING-BAR INDUSTRIAL Co., LTD.</v>
          </cell>
          <cell r="G1360" t="str">
            <v>E</v>
          </cell>
          <cell r="H1360" t="str">
            <v>KEELUNG</v>
          </cell>
          <cell r="J1360" t="str">
            <v>TWN</v>
          </cell>
          <cell r="K1360" t="str">
            <v>HLC INTERNATIONAL CORPORATION</v>
          </cell>
          <cell r="M1360" t="str">
            <v>TWN</v>
          </cell>
          <cell r="N1360" t="str">
            <v>D</v>
          </cell>
          <cell r="O1360">
            <v>23060228</v>
          </cell>
          <cell r="P1360" t="str">
            <v>DECA BORAX STD 25KG BAG, WOOD</v>
          </cell>
          <cell r="Q1360" t="str">
            <v>Deca</v>
          </cell>
          <cell r="R1360">
            <v>17.420000000000002</v>
          </cell>
          <cell r="S1360">
            <v>5763.31</v>
          </cell>
        </row>
        <row r="1361">
          <cell r="A1361" t="str">
            <v>Budget</v>
          </cell>
          <cell r="B1361">
            <v>2</v>
          </cell>
          <cell r="C1361" t="str">
            <v>Export</v>
          </cell>
          <cell r="D1361">
            <v>55</v>
          </cell>
          <cell r="E1361">
            <v>9347</v>
          </cell>
          <cell r="F1361" t="str">
            <v>KING-BAR INDUSTRIAL Co., LTD.</v>
          </cell>
          <cell r="G1361" t="str">
            <v>E</v>
          </cell>
          <cell r="H1361" t="str">
            <v>KEELUNG</v>
          </cell>
          <cell r="J1361" t="str">
            <v>TWN</v>
          </cell>
          <cell r="K1361" t="str">
            <v>HLC INTERNATIONAL CORPORATION</v>
          </cell>
          <cell r="M1361" t="str">
            <v>TWN</v>
          </cell>
          <cell r="N1361" t="str">
            <v>D</v>
          </cell>
          <cell r="O1361">
            <v>23160228</v>
          </cell>
          <cell r="P1361" t="str">
            <v>DECA BORAX X CRS 25KG BAG WOOD</v>
          </cell>
          <cell r="Q1361" t="str">
            <v>Deca</v>
          </cell>
          <cell r="R1361">
            <v>41.82</v>
          </cell>
          <cell r="S1361">
            <v>14221.89</v>
          </cell>
        </row>
        <row r="1362">
          <cell r="A1362" t="str">
            <v>Budget</v>
          </cell>
          <cell r="B1362">
            <v>2</v>
          </cell>
          <cell r="C1362" t="str">
            <v>Export</v>
          </cell>
          <cell r="D1362">
            <v>55</v>
          </cell>
          <cell r="E1362">
            <v>9349</v>
          </cell>
          <cell r="F1362" t="str">
            <v>DREAM CHEM Co.</v>
          </cell>
          <cell r="G1362" t="str">
            <v>E</v>
          </cell>
          <cell r="H1362" t="str">
            <v>BUSAN</v>
          </cell>
          <cell r="J1362" t="str">
            <v>KOS</v>
          </cell>
          <cell r="K1362" t="str">
            <v>SHIN SEUNG HICHEM Co., LTD.</v>
          </cell>
          <cell r="M1362" t="str">
            <v>KOS</v>
          </cell>
          <cell r="N1362" t="str">
            <v>D</v>
          </cell>
          <cell r="O1362">
            <v>22060455</v>
          </cell>
          <cell r="P1362" t="str">
            <v>V-BOR 1 MT FIBC (004)</v>
          </cell>
          <cell r="Q1362" t="str">
            <v>Penta</v>
          </cell>
          <cell r="R1362">
            <v>17.47</v>
          </cell>
          <cell r="S1362">
            <v>5237.75</v>
          </cell>
        </row>
        <row r="1363">
          <cell r="A1363" t="str">
            <v>Budget</v>
          </cell>
          <cell r="B1363">
            <v>2</v>
          </cell>
          <cell r="C1363" t="str">
            <v>Export</v>
          </cell>
          <cell r="D1363">
            <v>55</v>
          </cell>
          <cell r="E1363">
            <v>9350</v>
          </cell>
          <cell r="F1363" t="str">
            <v>BE INTERNATIONAL CORPORATION</v>
          </cell>
          <cell r="G1363" t="str">
            <v>E</v>
          </cell>
          <cell r="H1363" t="str">
            <v>YOKOHAMA</v>
          </cell>
          <cell r="J1363" t="str">
            <v>JAP</v>
          </cell>
          <cell r="K1363" t="str">
            <v>BE INTERNATIONAL CORPORATION</v>
          </cell>
          <cell r="M1363" t="str">
            <v>JAP</v>
          </cell>
          <cell r="N1363" t="str">
            <v>D</v>
          </cell>
          <cell r="O1363">
            <v>22060428</v>
          </cell>
          <cell r="P1363" t="str">
            <v>V-BOR 25KG BAG (004), WOOD</v>
          </cell>
          <cell r="Q1363" t="str">
            <v>Penta</v>
          </cell>
          <cell r="R1363">
            <v>13.94</v>
          </cell>
          <cell r="S1363">
            <v>3852.25</v>
          </cell>
        </row>
        <row r="1364">
          <cell r="A1364" t="str">
            <v>Budget</v>
          </cell>
          <cell r="B1364">
            <v>2</v>
          </cell>
          <cell r="C1364" t="str">
            <v>Export</v>
          </cell>
          <cell r="D1364">
            <v>55</v>
          </cell>
          <cell r="E1364">
            <v>9350</v>
          </cell>
          <cell r="F1364" t="str">
            <v>BE INTERNATIONAL CORPORATION</v>
          </cell>
          <cell r="G1364" t="str">
            <v>E</v>
          </cell>
          <cell r="H1364" t="str">
            <v>YOKOHAMA</v>
          </cell>
          <cell r="J1364" t="str">
            <v>JAP</v>
          </cell>
          <cell r="K1364" t="str">
            <v>BE INTERNATIONAL CORPORATION</v>
          </cell>
          <cell r="M1364" t="str">
            <v>JAP</v>
          </cell>
          <cell r="N1364" t="str">
            <v>D</v>
          </cell>
          <cell r="O1364">
            <v>24850228</v>
          </cell>
          <cell r="P1364" t="str">
            <v>BORIC ACID GRAN 25KG BAG, WOOD</v>
          </cell>
          <cell r="Q1364" t="str">
            <v>Boric Acid</v>
          </cell>
          <cell r="R1364">
            <v>3.48</v>
          </cell>
          <cell r="S1364">
            <v>1565.05</v>
          </cell>
        </row>
        <row r="1365">
          <cell r="A1365" t="str">
            <v>Budget</v>
          </cell>
          <cell r="B1365">
            <v>2</v>
          </cell>
          <cell r="C1365" t="str">
            <v>Export</v>
          </cell>
          <cell r="D1365">
            <v>55</v>
          </cell>
          <cell r="E1365">
            <v>9365</v>
          </cell>
          <cell r="F1365" t="str">
            <v>BE INTERNATIONAL CORPORATION</v>
          </cell>
          <cell r="G1365" t="str">
            <v>E</v>
          </cell>
          <cell r="H1365" t="str">
            <v>MOJI</v>
          </cell>
          <cell r="J1365" t="str">
            <v>JAP</v>
          </cell>
          <cell r="K1365" t="str">
            <v>BE INTERNATIONAL CORPORATION</v>
          </cell>
          <cell r="M1365" t="str">
            <v>JAP</v>
          </cell>
          <cell r="N1365" t="str">
            <v>D</v>
          </cell>
          <cell r="O1365" t="str">
            <v>230602B8</v>
          </cell>
          <cell r="P1365" t="str">
            <v>DECA STD 25KG POLYBAG, WOOD</v>
          </cell>
          <cell r="Q1365" t="str">
            <v>Deca</v>
          </cell>
          <cell r="R1365">
            <v>1.65</v>
          </cell>
          <cell r="S1365">
            <v>463.88</v>
          </cell>
        </row>
        <row r="1366">
          <cell r="A1366" t="str">
            <v>Budget</v>
          </cell>
          <cell r="B1366">
            <v>2</v>
          </cell>
          <cell r="C1366" t="str">
            <v>Export</v>
          </cell>
          <cell r="D1366">
            <v>55</v>
          </cell>
          <cell r="E1366">
            <v>9368</v>
          </cell>
          <cell r="F1366" t="str">
            <v>ALWAYS STAR CO., LTD.</v>
          </cell>
          <cell r="G1366" t="str">
            <v>E</v>
          </cell>
          <cell r="H1366" t="str">
            <v>SANSHUI</v>
          </cell>
          <cell r="J1366" t="str">
            <v>CHN</v>
          </cell>
          <cell r="K1366" t="str">
            <v>ALWAYS STAR CO., LTD.</v>
          </cell>
          <cell r="M1366" t="str">
            <v>TWN</v>
          </cell>
          <cell r="N1366" t="str">
            <v>D</v>
          </cell>
          <cell r="O1366">
            <v>22060455</v>
          </cell>
          <cell r="P1366" t="str">
            <v>V-BOR 1 MT FIBC (004)</v>
          </cell>
          <cell r="Q1366" t="str">
            <v>Penta</v>
          </cell>
          <cell r="R1366">
            <v>13.97</v>
          </cell>
          <cell r="S1366">
            <v>3228.19</v>
          </cell>
        </row>
        <row r="1367">
          <cell r="A1367" t="str">
            <v>Budget</v>
          </cell>
          <cell r="B1367">
            <v>2</v>
          </cell>
          <cell r="C1367" t="str">
            <v>Export</v>
          </cell>
          <cell r="D1367">
            <v>55</v>
          </cell>
          <cell r="E1367">
            <v>9369</v>
          </cell>
          <cell r="F1367" t="str">
            <v>INACTIVE-GLASS WORK Co., LTD.,</v>
          </cell>
          <cell r="G1367" t="str">
            <v>E</v>
          </cell>
          <cell r="H1367" t="str">
            <v>TAO YUAN</v>
          </cell>
          <cell r="J1367" t="str">
            <v>TWN</v>
          </cell>
          <cell r="K1367" t="str">
            <v>HLC INTERNATIONAL CORPORATION</v>
          </cell>
          <cell r="M1367" t="str">
            <v>TWN</v>
          </cell>
          <cell r="N1367" t="str">
            <v>C</v>
          </cell>
          <cell r="O1367">
            <v>23060228</v>
          </cell>
          <cell r="P1367" t="str">
            <v>DECA BORAX STD 25KG BAG, WOOD</v>
          </cell>
          <cell r="Q1367" t="str">
            <v>Deca</v>
          </cell>
          <cell r="R1367">
            <v>6.97</v>
          </cell>
          <cell r="S1367">
            <v>2284.19</v>
          </cell>
        </row>
        <row r="1368">
          <cell r="A1368" t="str">
            <v>Budget</v>
          </cell>
          <cell r="B1368">
            <v>2</v>
          </cell>
          <cell r="C1368" t="str">
            <v>Export</v>
          </cell>
          <cell r="D1368">
            <v>55</v>
          </cell>
          <cell r="E1368">
            <v>9372</v>
          </cell>
          <cell r="F1368" t="str">
            <v>BE INTERNATIONAL CORPORATION</v>
          </cell>
          <cell r="G1368" t="str">
            <v>E</v>
          </cell>
          <cell r="H1368" t="str">
            <v>NAGOYA</v>
          </cell>
          <cell r="J1368" t="str">
            <v>JAP</v>
          </cell>
          <cell r="K1368" t="str">
            <v>BE INTERNATIONAL CORPORATION</v>
          </cell>
          <cell r="M1368" t="str">
            <v>JAP</v>
          </cell>
          <cell r="N1368" t="str">
            <v>D</v>
          </cell>
          <cell r="O1368">
            <v>22060428</v>
          </cell>
          <cell r="P1368" t="str">
            <v>V-BOR 25KG BAG (004), WOOD</v>
          </cell>
          <cell r="Q1368" t="str">
            <v>Penta</v>
          </cell>
          <cell r="R1368">
            <v>1.65</v>
          </cell>
          <cell r="S1368">
            <v>447.12</v>
          </cell>
        </row>
        <row r="1369">
          <cell r="A1369" t="str">
            <v>Budget</v>
          </cell>
          <cell r="B1369">
            <v>2</v>
          </cell>
          <cell r="C1369" t="str">
            <v>Export</v>
          </cell>
          <cell r="D1369">
            <v>55</v>
          </cell>
          <cell r="E1369">
            <v>9378</v>
          </cell>
          <cell r="F1369" t="str">
            <v>ALWAYS STAR CO., LTD.</v>
          </cell>
          <cell r="G1369" t="str">
            <v>E</v>
          </cell>
          <cell r="H1369" t="str">
            <v>CHIWAN</v>
          </cell>
          <cell r="J1369" t="str">
            <v>CHN</v>
          </cell>
          <cell r="K1369" t="str">
            <v>ALWAYS STAR CO., LTD.</v>
          </cell>
          <cell r="M1369" t="str">
            <v>TWN</v>
          </cell>
          <cell r="N1369" t="str">
            <v>D</v>
          </cell>
          <cell r="O1369">
            <v>22060428</v>
          </cell>
          <cell r="P1369" t="str">
            <v>V-BOR 25KG BAG (004), WOOD</v>
          </cell>
          <cell r="Q1369" t="str">
            <v>Penta</v>
          </cell>
          <cell r="R1369">
            <v>6.97</v>
          </cell>
          <cell r="S1369">
            <v>1585.65</v>
          </cell>
        </row>
        <row r="1370">
          <cell r="A1370" t="str">
            <v>Budget</v>
          </cell>
          <cell r="B1370">
            <v>2</v>
          </cell>
          <cell r="C1370" t="str">
            <v>Export</v>
          </cell>
          <cell r="D1370">
            <v>55</v>
          </cell>
          <cell r="E1370">
            <v>9378</v>
          </cell>
          <cell r="F1370" t="str">
            <v>ALWAYS STAR CO., LTD.</v>
          </cell>
          <cell r="G1370" t="str">
            <v>E</v>
          </cell>
          <cell r="H1370" t="str">
            <v>CHIWAN</v>
          </cell>
          <cell r="J1370" t="str">
            <v>CHN</v>
          </cell>
          <cell r="K1370" t="str">
            <v>ALWAYS STAR CO., LTD.</v>
          </cell>
          <cell r="M1370" t="str">
            <v>TWN</v>
          </cell>
          <cell r="N1370" t="str">
            <v>D</v>
          </cell>
          <cell r="O1370">
            <v>24090228</v>
          </cell>
          <cell r="P1370" t="str">
            <v>BORIC ACID GRAN 25KG BAG, WOOD</v>
          </cell>
          <cell r="Q1370" t="str">
            <v>Boric Acid</v>
          </cell>
          <cell r="R1370">
            <v>45.3</v>
          </cell>
          <cell r="S1370">
            <v>16928.04</v>
          </cell>
        </row>
        <row r="1371">
          <cell r="A1371" t="str">
            <v>Budget</v>
          </cell>
          <cell r="B1371">
            <v>2</v>
          </cell>
          <cell r="C1371" t="str">
            <v>Export</v>
          </cell>
          <cell r="D1371">
            <v>55</v>
          </cell>
          <cell r="E1371">
            <v>9383</v>
          </cell>
          <cell r="F1371" t="str">
            <v>INACTIVE-TAIWAN FRIT GLASS FAC</v>
          </cell>
          <cell r="G1371" t="str">
            <v>E</v>
          </cell>
          <cell r="H1371" t="str">
            <v>TAO YUAN</v>
          </cell>
          <cell r="J1371" t="str">
            <v>TWN</v>
          </cell>
          <cell r="K1371" t="str">
            <v>HLC INTERNATIONAL CORPORATION</v>
          </cell>
          <cell r="M1371" t="str">
            <v>TWN</v>
          </cell>
          <cell r="N1371" t="str">
            <v>C</v>
          </cell>
          <cell r="O1371">
            <v>22060428</v>
          </cell>
          <cell r="P1371" t="str">
            <v>V-BOR 25KG BAG (004), WOOD</v>
          </cell>
          <cell r="Q1371" t="str">
            <v>Penta</v>
          </cell>
          <cell r="R1371">
            <v>6.97</v>
          </cell>
          <cell r="S1371">
            <v>1904.81</v>
          </cell>
        </row>
        <row r="1372">
          <cell r="A1372" t="str">
            <v>Budget</v>
          </cell>
          <cell r="B1372">
            <v>2</v>
          </cell>
          <cell r="C1372" t="str">
            <v>Export</v>
          </cell>
          <cell r="D1372">
            <v>55</v>
          </cell>
          <cell r="E1372">
            <v>9386</v>
          </cell>
          <cell r="F1372" t="str">
            <v>DNTNTM TRUONG PHAT</v>
          </cell>
          <cell r="G1372" t="str">
            <v>E</v>
          </cell>
          <cell r="H1372" t="str">
            <v>HO CHI MINH CITY</v>
          </cell>
          <cell r="J1372" t="str">
            <v>VIE</v>
          </cell>
          <cell r="K1372" t="str">
            <v>BEHN MEYER INTERNATIONAL</v>
          </cell>
          <cell r="M1372" t="str">
            <v>SIN</v>
          </cell>
          <cell r="N1372" t="str">
            <v>C</v>
          </cell>
          <cell r="O1372">
            <v>22060420</v>
          </cell>
          <cell r="P1372" t="str">
            <v>V-BOR 25KG BAG (004)</v>
          </cell>
          <cell r="Q1372" t="str">
            <v>Penta</v>
          </cell>
          <cell r="R1372">
            <v>87.12</v>
          </cell>
          <cell r="S1372">
            <v>22793.68</v>
          </cell>
        </row>
        <row r="1373">
          <cell r="A1373" t="str">
            <v>Budget</v>
          </cell>
          <cell r="B1373">
            <v>2</v>
          </cell>
          <cell r="C1373" t="str">
            <v>Export</v>
          </cell>
          <cell r="D1373">
            <v>55</v>
          </cell>
          <cell r="E1373">
            <v>9402</v>
          </cell>
          <cell r="F1373" t="str">
            <v>BE INTERNATIONAL CORPORATION</v>
          </cell>
          <cell r="G1373" t="str">
            <v>E</v>
          </cell>
          <cell r="H1373" t="str">
            <v>YOKOHAMA</v>
          </cell>
          <cell r="J1373" t="str">
            <v>JAP</v>
          </cell>
          <cell r="K1373" t="str">
            <v>BE INTERNATIONAL CORPORATION</v>
          </cell>
          <cell r="M1373" t="str">
            <v>JAP</v>
          </cell>
          <cell r="N1373" t="str">
            <v>D</v>
          </cell>
          <cell r="O1373">
            <v>24850255</v>
          </cell>
          <cell r="P1373" t="str">
            <v>BORIC ACID GRN TECH 1MT FIBC</v>
          </cell>
          <cell r="Q1373" t="str">
            <v>Boric Acid</v>
          </cell>
          <cell r="R1373">
            <v>31.44</v>
          </cell>
          <cell r="S1373">
            <v>12325.08</v>
          </cell>
        </row>
        <row r="1374">
          <cell r="A1374" t="str">
            <v>Budget</v>
          </cell>
          <cell r="B1374">
            <v>2</v>
          </cell>
          <cell r="C1374" t="str">
            <v>Export</v>
          </cell>
          <cell r="D1374">
            <v>55</v>
          </cell>
          <cell r="E1374">
            <v>9406</v>
          </cell>
          <cell r="F1374" t="str">
            <v>SHIN CERAMIC CO., LTD</v>
          </cell>
          <cell r="G1374" t="str">
            <v>E</v>
          </cell>
          <cell r="H1374" t="str">
            <v>BUSAN</v>
          </cell>
          <cell r="J1374" t="str">
            <v>KOS</v>
          </cell>
          <cell r="K1374" t="str">
            <v>SHIN SEUNG HICHEM Co., LTD.</v>
          </cell>
          <cell r="M1374" t="str">
            <v>KOS</v>
          </cell>
          <cell r="N1374" t="str">
            <v>D</v>
          </cell>
          <cell r="O1374">
            <v>24090228</v>
          </cell>
          <cell r="P1374" t="str">
            <v>BORIC ACID GRAN 25KG BAG, WOOD</v>
          </cell>
          <cell r="Q1374" t="str">
            <v>Boric Acid</v>
          </cell>
          <cell r="R1374">
            <v>2.93</v>
          </cell>
          <cell r="S1374">
            <v>1177.1099999999999</v>
          </cell>
        </row>
        <row r="1375">
          <cell r="A1375" t="str">
            <v>Budget</v>
          </cell>
          <cell r="B1375">
            <v>2</v>
          </cell>
          <cell r="C1375" t="str">
            <v>Export</v>
          </cell>
          <cell r="D1375">
            <v>55</v>
          </cell>
          <cell r="E1375">
            <v>9415</v>
          </cell>
          <cell r="F1375" t="str">
            <v>INACTIVE-ALWAYS STAR CO., LTD.</v>
          </cell>
          <cell r="G1375" t="str">
            <v>E</v>
          </cell>
          <cell r="H1375" t="str">
            <v>SANSHUI</v>
          </cell>
          <cell r="J1375" t="str">
            <v>CHN</v>
          </cell>
          <cell r="K1375" t="str">
            <v>ALWAYS STAR CO., LTD.</v>
          </cell>
          <cell r="M1375" t="str">
            <v>TWN</v>
          </cell>
          <cell r="N1375" t="str">
            <v>D</v>
          </cell>
          <cell r="O1375">
            <v>24090228</v>
          </cell>
          <cell r="P1375" t="str">
            <v>BORIC ACID GRAN 25KG BAG, WOOD</v>
          </cell>
          <cell r="Q1375" t="str">
            <v>Boric Acid</v>
          </cell>
          <cell r="R1375">
            <v>69.7</v>
          </cell>
          <cell r="S1375">
            <v>25739.48</v>
          </cell>
        </row>
        <row r="1376">
          <cell r="A1376" t="str">
            <v>Budget</v>
          </cell>
          <cell r="B1376">
            <v>2</v>
          </cell>
          <cell r="C1376" t="str">
            <v>Export</v>
          </cell>
          <cell r="D1376">
            <v>55</v>
          </cell>
          <cell r="E1376">
            <v>9427</v>
          </cell>
          <cell r="F1376" t="str">
            <v>INACTIVE-BE INTERNATIONAL CORP</v>
          </cell>
          <cell r="G1376" t="str">
            <v>E</v>
          </cell>
          <cell r="H1376" t="str">
            <v>ISHIKARIWAN SHINKO</v>
          </cell>
          <cell r="J1376" t="str">
            <v>JAP</v>
          </cell>
          <cell r="K1376" t="str">
            <v>BE INTERNATIONAL CORPORATION</v>
          </cell>
          <cell r="M1376" t="str">
            <v>JAP</v>
          </cell>
          <cell r="N1376" t="str">
            <v>D</v>
          </cell>
          <cell r="O1376">
            <v>22060487</v>
          </cell>
          <cell r="P1376" t="str">
            <v>V-BOR 1MT STEVEDORE STRAP FIBC</v>
          </cell>
          <cell r="Q1376" t="str">
            <v>Penta</v>
          </cell>
          <cell r="R1376">
            <v>3.49</v>
          </cell>
          <cell r="S1376">
            <v>852.25</v>
          </cell>
        </row>
        <row r="1377">
          <cell r="A1377" t="str">
            <v>Budget</v>
          </cell>
          <cell r="B1377">
            <v>2</v>
          </cell>
          <cell r="C1377" t="str">
            <v>Export</v>
          </cell>
          <cell r="D1377">
            <v>55</v>
          </cell>
          <cell r="E1377">
            <v>9453</v>
          </cell>
          <cell r="F1377" t="str">
            <v>BE INTERNATIONAL CORPORATION</v>
          </cell>
          <cell r="G1377" t="str">
            <v>E</v>
          </cell>
          <cell r="H1377" t="str">
            <v>OSAKA</v>
          </cell>
          <cell r="J1377" t="str">
            <v>JAP</v>
          </cell>
          <cell r="K1377" t="str">
            <v>BE INTERNATIONAL CORPORATION</v>
          </cell>
          <cell r="M1377" t="str">
            <v>JAP</v>
          </cell>
          <cell r="N1377" t="str">
            <v>D</v>
          </cell>
          <cell r="O1377">
            <v>22060428</v>
          </cell>
          <cell r="P1377" t="str">
            <v>V-BOR 25KG BAG (004), WOOD</v>
          </cell>
          <cell r="Q1377" t="str">
            <v>Penta</v>
          </cell>
          <cell r="R1377">
            <v>1.65</v>
          </cell>
          <cell r="S1377">
            <v>447.12</v>
          </cell>
        </row>
        <row r="1378">
          <cell r="A1378" t="str">
            <v>Budget</v>
          </cell>
          <cell r="B1378">
            <v>2</v>
          </cell>
          <cell r="C1378" t="str">
            <v>Export</v>
          </cell>
          <cell r="D1378">
            <v>55</v>
          </cell>
          <cell r="E1378">
            <v>9457</v>
          </cell>
          <cell r="F1378" t="str">
            <v>KING-BAR INDUSTRIAL CO., LTD.</v>
          </cell>
          <cell r="G1378" t="str">
            <v>E</v>
          </cell>
          <cell r="H1378" t="str">
            <v>TAO YUAN</v>
          </cell>
          <cell r="J1378" t="str">
            <v>TWN</v>
          </cell>
          <cell r="K1378" t="str">
            <v>HLC INTERNATIONAL CORPORATION</v>
          </cell>
          <cell r="M1378" t="str">
            <v>TWN</v>
          </cell>
          <cell r="N1378" t="str">
            <v>D</v>
          </cell>
          <cell r="O1378">
            <v>22060428</v>
          </cell>
          <cell r="P1378" t="str">
            <v>V-BOR 25KG BAG (004), WOOD</v>
          </cell>
          <cell r="Q1378" t="str">
            <v>Penta</v>
          </cell>
          <cell r="R1378">
            <v>10.45</v>
          </cell>
          <cell r="S1378">
            <v>2853.73</v>
          </cell>
        </row>
        <row r="1379">
          <cell r="A1379" t="str">
            <v>Budget</v>
          </cell>
          <cell r="B1379">
            <v>2</v>
          </cell>
          <cell r="C1379" t="str">
            <v>Export</v>
          </cell>
          <cell r="D1379">
            <v>55</v>
          </cell>
          <cell r="E1379">
            <v>9457</v>
          </cell>
          <cell r="F1379" t="str">
            <v>KING-BAR INDUSTRIAL CO., LTD.</v>
          </cell>
          <cell r="G1379" t="str">
            <v>E</v>
          </cell>
          <cell r="H1379" t="str">
            <v>TAO YUAN</v>
          </cell>
          <cell r="J1379" t="str">
            <v>TWN</v>
          </cell>
          <cell r="K1379" t="str">
            <v>HLC INTERNATIONAL CORPORATION</v>
          </cell>
          <cell r="M1379" t="str">
            <v>TWN</v>
          </cell>
          <cell r="N1379" t="str">
            <v>D</v>
          </cell>
          <cell r="O1379">
            <v>24090228</v>
          </cell>
          <cell r="P1379" t="str">
            <v>BORIC ACID GRAN 25KG BAG, WOOD</v>
          </cell>
          <cell r="Q1379" t="str">
            <v>Boric Acid</v>
          </cell>
          <cell r="R1379">
            <v>6.97</v>
          </cell>
          <cell r="S1379">
            <v>3106.17</v>
          </cell>
        </row>
        <row r="1380">
          <cell r="A1380" t="str">
            <v>Budget</v>
          </cell>
          <cell r="B1380">
            <v>2</v>
          </cell>
          <cell r="C1380" t="str">
            <v>Export</v>
          </cell>
          <cell r="D1380">
            <v>55</v>
          </cell>
          <cell r="E1380">
            <v>9458</v>
          </cell>
          <cell r="F1380" t="str">
            <v>ALWAYS STAR CO., LTD.</v>
          </cell>
          <cell r="G1380" t="str">
            <v>E</v>
          </cell>
          <cell r="H1380" t="str">
            <v>YANTIAN</v>
          </cell>
          <cell r="J1380" t="str">
            <v>CHN</v>
          </cell>
          <cell r="K1380" t="str">
            <v>ALWAYS STAR CO., LTD.</v>
          </cell>
          <cell r="M1380" t="str">
            <v>TWN</v>
          </cell>
          <cell r="N1380" t="str">
            <v>D</v>
          </cell>
          <cell r="O1380">
            <v>20150220</v>
          </cell>
          <cell r="P1380" t="str">
            <v>PYROBOR COARSE 25KG BAG (002)</v>
          </cell>
          <cell r="Q1380" t="str">
            <v>Pyrobor</v>
          </cell>
          <cell r="R1380">
            <v>10.45</v>
          </cell>
          <cell r="S1380">
            <v>6267.96</v>
          </cell>
        </row>
        <row r="1381">
          <cell r="A1381" t="str">
            <v>Budget</v>
          </cell>
          <cell r="B1381">
            <v>2</v>
          </cell>
          <cell r="C1381" t="str">
            <v>Export</v>
          </cell>
          <cell r="D1381">
            <v>55</v>
          </cell>
          <cell r="E1381">
            <v>9461</v>
          </cell>
          <cell r="F1381" t="str">
            <v>SHIONOGI/KEIWAROZAI/OSAKA</v>
          </cell>
          <cell r="G1381" t="str">
            <v>E</v>
          </cell>
          <cell r="H1381" t="str">
            <v>OSAKA</v>
          </cell>
          <cell r="J1381" t="str">
            <v>JAP</v>
          </cell>
          <cell r="K1381" t="str">
            <v>SHIONOGI &amp; COMPANY LTD</v>
          </cell>
          <cell r="M1381" t="str">
            <v>JAP</v>
          </cell>
          <cell r="N1381" t="str">
            <v>C</v>
          </cell>
          <cell r="O1381" t="str">
            <v>230602B8</v>
          </cell>
          <cell r="P1381" t="str">
            <v>DECA STD 25KG POLYBAG, WOOD</v>
          </cell>
          <cell r="Q1381" t="str">
            <v>Deca</v>
          </cell>
          <cell r="R1381">
            <v>6.97</v>
          </cell>
          <cell r="S1381">
            <v>2110.27</v>
          </cell>
        </row>
        <row r="1382">
          <cell r="A1382" t="str">
            <v>Budget</v>
          </cell>
          <cell r="B1382">
            <v>2</v>
          </cell>
          <cell r="C1382" t="str">
            <v>Export</v>
          </cell>
          <cell r="D1382">
            <v>55</v>
          </cell>
          <cell r="E1382">
            <v>9464</v>
          </cell>
          <cell r="F1382" t="str">
            <v>PT. MUSTIKA BAHANA JAYA</v>
          </cell>
          <cell r="G1382" t="str">
            <v>E</v>
          </cell>
          <cell r="H1382" t="str">
            <v>LUMAJANG - JAWA TIMUR</v>
          </cell>
          <cell r="J1382" t="str">
            <v>INO</v>
          </cell>
          <cell r="K1382" t="str">
            <v>PT. CHEMIFIN JAYA UTAMA</v>
          </cell>
          <cell r="M1382" t="str">
            <v>INO</v>
          </cell>
          <cell r="N1382" t="str">
            <v>C</v>
          </cell>
          <cell r="O1382">
            <v>23060220</v>
          </cell>
          <cell r="P1382" t="str">
            <v>DECA BORAX STD 25KG BAG</v>
          </cell>
          <cell r="Q1382" t="str">
            <v>Deca</v>
          </cell>
          <cell r="R1382">
            <v>3.48</v>
          </cell>
          <cell r="S1382">
            <v>949</v>
          </cell>
        </row>
        <row r="1383">
          <cell r="A1383" t="str">
            <v>Budget</v>
          </cell>
          <cell r="B1383">
            <v>2</v>
          </cell>
          <cell r="C1383" t="str">
            <v>Export</v>
          </cell>
          <cell r="D1383">
            <v>55</v>
          </cell>
          <cell r="E1383">
            <v>9466</v>
          </cell>
          <cell r="F1383" t="str">
            <v>PT. EVER AGE VALVES METALS</v>
          </cell>
          <cell r="G1383" t="str">
            <v>E</v>
          </cell>
          <cell r="H1383" t="str">
            <v>JATIM</v>
          </cell>
          <cell r="J1383" t="str">
            <v>INO</v>
          </cell>
          <cell r="K1383" t="str">
            <v>PT. CHEMIFIN JAYA UTAMA</v>
          </cell>
          <cell r="M1383" t="str">
            <v>INO</v>
          </cell>
          <cell r="N1383" t="str">
            <v>D</v>
          </cell>
          <cell r="O1383">
            <v>23060228</v>
          </cell>
          <cell r="P1383" t="str">
            <v>DECA BORAX STD 25KG BAG, WOOD</v>
          </cell>
          <cell r="Q1383" t="str">
            <v>Deca</v>
          </cell>
          <cell r="R1383">
            <v>6.46</v>
          </cell>
          <cell r="S1383">
            <v>2533.63</v>
          </cell>
        </row>
        <row r="1384">
          <cell r="A1384" t="str">
            <v>Budget</v>
          </cell>
          <cell r="B1384">
            <v>2</v>
          </cell>
          <cell r="C1384" t="str">
            <v>Export</v>
          </cell>
          <cell r="D1384">
            <v>55</v>
          </cell>
          <cell r="E1384">
            <v>9483</v>
          </cell>
          <cell r="F1384" t="str">
            <v>SHIONOGI/NITTO DENKO/OSAKA</v>
          </cell>
          <cell r="G1384" t="str">
            <v>E</v>
          </cell>
          <cell r="H1384" t="str">
            <v>OSAKA</v>
          </cell>
          <cell r="J1384" t="str">
            <v>JAP</v>
          </cell>
          <cell r="K1384" t="str">
            <v>SHIONOGI &amp; COMPANY LTD</v>
          </cell>
          <cell r="M1384" t="str">
            <v>JAP</v>
          </cell>
          <cell r="N1384" t="str">
            <v>C</v>
          </cell>
          <cell r="O1384">
            <v>24090228</v>
          </cell>
          <cell r="P1384" t="str">
            <v>BORIC ACID GRAN 25KG BAG, WOOD</v>
          </cell>
          <cell r="Q1384" t="str">
            <v>Boric Acid</v>
          </cell>
          <cell r="R1384">
            <v>6.97</v>
          </cell>
          <cell r="S1384">
            <v>3441.57</v>
          </cell>
        </row>
        <row r="1385">
          <cell r="A1385" t="str">
            <v>Budget</v>
          </cell>
          <cell r="B1385">
            <v>2</v>
          </cell>
          <cell r="C1385" t="str">
            <v>Export</v>
          </cell>
          <cell r="D1385">
            <v>55</v>
          </cell>
          <cell r="E1385">
            <v>9498</v>
          </cell>
          <cell r="F1385" t="str">
            <v>CHEMSETTER MARKETING</v>
          </cell>
          <cell r="G1385" t="str">
            <v>E</v>
          </cell>
          <cell r="H1385" t="str">
            <v>MANILA</v>
          </cell>
          <cell r="J1385" t="str">
            <v>PHI</v>
          </cell>
          <cell r="K1385" t="str">
            <v>CHEMSETTER MARKETING</v>
          </cell>
          <cell r="M1385" t="str">
            <v>PHI</v>
          </cell>
          <cell r="O1385">
            <v>23060220</v>
          </cell>
          <cell r="P1385" t="str">
            <v>DECA BORAX STD 25KG BAG</v>
          </cell>
          <cell r="Q1385" t="str">
            <v>Deca</v>
          </cell>
          <cell r="R1385">
            <v>10.45</v>
          </cell>
          <cell r="S1385">
            <v>2863.51</v>
          </cell>
        </row>
        <row r="1386">
          <cell r="A1386" t="str">
            <v>Budget</v>
          </cell>
          <cell r="B1386">
            <v>2</v>
          </cell>
          <cell r="C1386" t="str">
            <v>Export</v>
          </cell>
          <cell r="D1386">
            <v>55</v>
          </cell>
          <cell r="E1386">
            <v>9500</v>
          </cell>
          <cell r="F1386" t="str">
            <v>SHIONOGI/UBEKOHSAN</v>
          </cell>
          <cell r="G1386" t="str">
            <v>E</v>
          </cell>
          <cell r="H1386" t="str">
            <v>MOJI</v>
          </cell>
          <cell r="J1386" t="str">
            <v>JAP</v>
          </cell>
          <cell r="K1386" t="str">
            <v>SHIONOGI &amp; COMPANY LTD</v>
          </cell>
          <cell r="M1386" t="str">
            <v>JAP</v>
          </cell>
          <cell r="N1386" t="str">
            <v>C</v>
          </cell>
          <cell r="O1386">
            <v>22060428</v>
          </cell>
          <cell r="P1386" t="str">
            <v>V-BOR 25KG BAG (004), WOOD</v>
          </cell>
          <cell r="Q1386" t="str">
            <v>Penta</v>
          </cell>
          <cell r="R1386">
            <v>3.48</v>
          </cell>
          <cell r="S1386">
            <v>1023.48</v>
          </cell>
        </row>
        <row r="1387">
          <cell r="A1387" t="str">
            <v>Budget</v>
          </cell>
          <cell r="B1387">
            <v>2</v>
          </cell>
          <cell r="C1387" t="str">
            <v>Export</v>
          </cell>
          <cell r="D1387">
            <v>55</v>
          </cell>
          <cell r="E1387">
            <v>9510</v>
          </cell>
          <cell r="F1387" t="str">
            <v>ALWAYS STAR CO., LTD.</v>
          </cell>
          <cell r="G1387" t="str">
            <v>E</v>
          </cell>
          <cell r="H1387" t="str">
            <v>XIAMEN</v>
          </cell>
          <cell r="J1387" t="str">
            <v>CHN</v>
          </cell>
          <cell r="K1387" t="str">
            <v>ALWAYS STAR CO., LTD.</v>
          </cell>
          <cell r="M1387" t="str">
            <v>TWN</v>
          </cell>
          <cell r="N1387" t="str">
            <v>D</v>
          </cell>
          <cell r="O1387">
            <v>20150228</v>
          </cell>
          <cell r="P1387" t="str">
            <v>PYROBOR COARSE 25KG (002) WOOD</v>
          </cell>
          <cell r="Q1387" t="str">
            <v>Pyrobor</v>
          </cell>
          <cell r="R1387">
            <v>13.94</v>
          </cell>
          <cell r="S1387">
            <v>8366.58</v>
          </cell>
        </row>
        <row r="1388">
          <cell r="A1388" t="str">
            <v>Budget</v>
          </cell>
          <cell r="B1388">
            <v>2</v>
          </cell>
          <cell r="C1388" t="str">
            <v>Export</v>
          </cell>
          <cell r="D1388">
            <v>57</v>
          </cell>
          <cell r="E1388">
            <v>5014</v>
          </cell>
          <cell r="F1388" t="str">
            <v>ORICA CHEMNET</v>
          </cell>
          <cell r="G1388" t="str">
            <v>E</v>
          </cell>
          <cell r="H1388" t="str">
            <v>MOUNT MAUNGANUI</v>
          </cell>
          <cell r="J1388" t="str">
            <v>NZL</v>
          </cell>
          <cell r="K1388" t="str">
            <v>ORICA CHEMNET</v>
          </cell>
          <cell r="M1388" t="str">
            <v>NZL</v>
          </cell>
          <cell r="N1388" t="str">
            <v>C</v>
          </cell>
          <cell r="O1388">
            <v>40060400</v>
          </cell>
          <cell r="P1388" t="str">
            <v>SODIUM SULFATE STANDARD BULK</v>
          </cell>
          <cell r="Q1388" t="str">
            <v>Sodium Sulfate</v>
          </cell>
          <cell r="R1388">
            <v>1411.43</v>
          </cell>
          <cell r="S1388">
            <v>71246.83</v>
          </cell>
        </row>
        <row r="1389">
          <cell r="A1389" t="str">
            <v>Budget</v>
          </cell>
          <cell r="B1389">
            <v>2</v>
          </cell>
          <cell r="C1389" t="str">
            <v>Export</v>
          </cell>
          <cell r="D1389">
            <v>57</v>
          </cell>
          <cell r="E1389">
            <v>6305</v>
          </cell>
          <cell r="F1389" t="str">
            <v>SWIFT/STOCK SYDNEY</v>
          </cell>
          <cell r="G1389" t="str">
            <v>E</v>
          </cell>
          <cell r="H1389" t="str">
            <v>SYDNEY</v>
          </cell>
          <cell r="J1389" t="str">
            <v>AUS</v>
          </cell>
          <cell r="K1389" t="str">
            <v>SWIFT AND COMPANY LIMITED</v>
          </cell>
          <cell r="M1389" t="str">
            <v>AUS</v>
          </cell>
          <cell r="N1389" t="str">
            <v>C</v>
          </cell>
          <cell r="O1389">
            <v>22060420</v>
          </cell>
          <cell r="P1389" t="str">
            <v>V-BOR 25KG BAG (004)</v>
          </cell>
          <cell r="Q1389" t="str">
            <v>Penta</v>
          </cell>
          <cell r="R1389">
            <v>4.04</v>
          </cell>
          <cell r="S1389">
            <v>1356.02</v>
          </cell>
        </row>
        <row r="1390">
          <cell r="A1390" t="str">
            <v>Budget</v>
          </cell>
          <cell r="B1390">
            <v>2</v>
          </cell>
          <cell r="C1390" t="str">
            <v>Export</v>
          </cell>
          <cell r="D1390">
            <v>57</v>
          </cell>
          <cell r="E1390">
            <v>6305</v>
          </cell>
          <cell r="F1390" t="str">
            <v>SWIFT/STOCK SYDNEY</v>
          </cell>
          <cell r="G1390" t="str">
            <v>E</v>
          </cell>
          <cell r="H1390" t="str">
            <v>SYDNEY</v>
          </cell>
          <cell r="J1390" t="str">
            <v>AUS</v>
          </cell>
          <cell r="K1390" t="str">
            <v>SWIFT AND COMPANY LIMITED</v>
          </cell>
          <cell r="M1390" t="str">
            <v>AUS</v>
          </cell>
          <cell r="N1390" t="str">
            <v>C</v>
          </cell>
          <cell r="O1390">
            <v>23060220</v>
          </cell>
          <cell r="P1390" t="str">
            <v>DECA BORAX STD 25KG BAG</v>
          </cell>
          <cell r="Q1390" t="str">
            <v>Deca</v>
          </cell>
          <cell r="R1390">
            <v>4.95</v>
          </cell>
          <cell r="S1390">
            <v>1217.22</v>
          </cell>
        </row>
        <row r="1391">
          <cell r="A1391" t="str">
            <v>Budget</v>
          </cell>
          <cell r="B1391">
            <v>2</v>
          </cell>
          <cell r="C1391" t="str">
            <v>Export</v>
          </cell>
          <cell r="D1391">
            <v>57</v>
          </cell>
          <cell r="E1391">
            <v>6305</v>
          </cell>
          <cell r="F1391" t="str">
            <v>SWIFT/STOCK SYDNEY</v>
          </cell>
          <cell r="G1391" t="str">
            <v>E</v>
          </cell>
          <cell r="H1391" t="str">
            <v>SYDNEY</v>
          </cell>
          <cell r="J1391" t="str">
            <v>AUS</v>
          </cell>
          <cell r="K1391" t="str">
            <v>SWIFT AND COMPANY LIMITED</v>
          </cell>
          <cell r="M1391" t="str">
            <v>AUS</v>
          </cell>
          <cell r="N1391" t="str">
            <v>C</v>
          </cell>
          <cell r="O1391">
            <v>24090220</v>
          </cell>
          <cell r="P1391" t="str">
            <v>BORIC ACID GRAN TECH 25KG BAG</v>
          </cell>
          <cell r="Q1391" t="str">
            <v>Boric Acid</v>
          </cell>
          <cell r="R1391">
            <v>1.47</v>
          </cell>
          <cell r="S1391">
            <v>677.43</v>
          </cell>
        </row>
        <row r="1392">
          <cell r="A1392" t="str">
            <v>Budget</v>
          </cell>
          <cell r="B1392">
            <v>2</v>
          </cell>
          <cell r="C1392" t="str">
            <v>Export</v>
          </cell>
          <cell r="D1392">
            <v>57</v>
          </cell>
          <cell r="E1392">
            <v>6311</v>
          </cell>
          <cell r="F1392" t="str">
            <v>SWIFT/STOCK FREMANTLE</v>
          </cell>
          <cell r="G1392" t="str">
            <v>E</v>
          </cell>
          <cell r="H1392" t="str">
            <v>FREMANTLE</v>
          </cell>
          <cell r="J1392" t="str">
            <v>AUS</v>
          </cell>
          <cell r="K1392" t="str">
            <v>SWIFT AND COMPANY LIMITED</v>
          </cell>
          <cell r="M1392" t="str">
            <v>AUS</v>
          </cell>
          <cell r="N1392" t="str">
            <v>C</v>
          </cell>
          <cell r="O1392">
            <v>20150220</v>
          </cell>
          <cell r="P1392" t="str">
            <v>PYROBOR COARSE 25KG BAG (002)</v>
          </cell>
          <cell r="Q1392" t="str">
            <v>Pyrobor</v>
          </cell>
          <cell r="R1392">
            <v>29.71</v>
          </cell>
          <cell r="S1392">
            <v>14933.45</v>
          </cell>
        </row>
        <row r="1393">
          <cell r="A1393" t="str">
            <v>Budget</v>
          </cell>
          <cell r="B1393">
            <v>2</v>
          </cell>
          <cell r="C1393" t="str">
            <v>Export</v>
          </cell>
          <cell r="D1393">
            <v>57</v>
          </cell>
          <cell r="E1393">
            <v>6311</v>
          </cell>
          <cell r="F1393" t="str">
            <v>SWIFT/STOCK FREMANTLE</v>
          </cell>
          <cell r="G1393" t="str">
            <v>E</v>
          </cell>
          <cell r="H1393" t="str">
            <v>FREMANTLE</v>
          </cell>
          <cell r="J1393" t="str">
            <v>AUS</v>
          </cell>
          <cell r="K1393" t="str">
            <v>SWIFT AND COMPANY LIMITED</v>
          </cell>
          <cell r="M1393" t="str">
            <v>AUS</v>
          </cell>
          <cell r="N1393" t="str">
            <v>C</v>
          </cell>
          <cell r="O1393">
            <v>23060220</v>
          </cell>
          <cell r="P1393" t="str">
            <v>DECA BORAX STD 25KG BAG</v>
          </cell>
          <cell r="Q1393" t="str">
            <v>Deca</v>
          </cell>
          <cell r="R1393">
            <v>1.47</v>
          </cell>
          <cell r="S1393">
            <v>273.88</v>
          </cell>
        </row>
        <row r="1394">
          <cell r="A1394" t="str">
            <v>Budget</v>
          </cell>
          <cell r="B1394">
            <v>2</v>
          </cell>
          <cell r="C1394" t="str">
            <v>Export</v>
          </cell>
          <cell r="D1394">
            <v>57</v>
          </cell>
          <cell r="E1394">
            <v>6313</v>
          </cell>
          <cell r="F1394" t="str">
            <v>SWIFT/STOCK BRISBANE</v>
          </cell>
          <cell r="G1394" t="str">
            <v>E</v>
          </cell>
          <cell r="H1394" t="str">
            <v>BRISBANE</v>
          </cell>
          <cell r="J1394" t="str">
            <v>AUS</v>
          </cell>
          <cell r="K1394" t="str">
            <v>SWIFT AND COMPANY LIMITED</v>
          </cell>
          <cell r="M1394" t="str">
            <v>AUS</v>
          </cell>
          <cell r="N1394" t="str">
            <v>C</v>
          </cell>
          <cell r="O1394">
            <v>24090220</v>
          </cell>
          <cell r="P1394" t="str">
            <v>BORIC ACID GRAN TECH 25KG BAG</v>
          </cell>
          <cell r="Q1394" t="str">
            <v>Boric Acid</v>
          </cell>
          <cell r="R1394">
            <v>3.48</v>
          </cell>
          <cell r="S1394">
            <v>1375.52</v>
          </cell>
        </row>
        <row r="1395">
          <cell r="A1395" t="str">
            <v>Budget</v>
          </cell>
          <cell r="B1395">
            <v>2</v>
          </cell>
          <cell r="C1395" t="str">
            <v>Export</v>
          </cell>
          <cell r="D1395">
            <v>57</v>
          </cell>
          <cell r="E1395">
            <v>6316</v>
          </cell>
          <cell r="F1395" t="str">
            <v>SWIFT/STOCK MELBOURNE</v>
          </cell>
          <cell r="G1395" t="str">
            <v>E</v>
          </cell>
          <cell r="H1395" t="str">
            <v>MELBOURNE</v>
          </cell>
          <cell r="J1395" t="str">
            <v>AUS</v>
          </cell>
          <cell r="K1395" t="str">
            <v>SWIFT AND COMPANY LIMITED</v>
          </cell>
          <cell r="M1395" t="str">
            <v>AUS</v>
          </cell>
          <cell r="N1395" t="str">
            <v>C</v>
          </cell>
          <cell r="O1395">
            <v>22060420</v>
          </cell>
          <cell r="P1395" t="str">
            <v>V-BOR 25KG BAG (004)</v>
          </cell>
          <cell r="Q1395" t="str">
            <v>Penta</v>
          </cell>
          <cell r="R1395">
            <v>2.75</v>
          </cell>
          <cell r="S1395">
            <v>897.75</v>
          </cell>
        </row>
        <row r="1396">
          <cell r="A1396" t="str">
            <v>Budget</v>
          </cell>
          <cell r="B1396">
            <v>2</v>
          </cell>
          <cell r="C1396" t="str">
            <v>Export</v>
          </cell>
          <cell r="D1396">
            <v>57</v>
          </cell>
          <cell r="E1396">
            <v>6316</v>
          </cell>
          <cell r="F1396" t="str">
            <v>SWIFT/STOCK MELBOURNE</v>
          </cell>
          <cell r="G1396" t="str">
            <v>E</v>
          </cell>
          <cell r="H1396" t="str">
            <v>MELBOURNE</v>
          </cell>
          <cell r="J1396" t="str">
            <v>AUS</v>
          </cell>
          <cell r="K1396" t="str">
            <v>SWIFT AND COMPANY LIMITED</v>
          </cell>
          <cell r="M1396" t="str">
            <v>AUS</v>
          </cell>
          <cell r="N1396" t="str">
            <v>C</v>
          </cell>
          <cell r="O1396">
            <v>24030223</v>
          </cell>
          <cell r="P1396" t="str">
            <v>BORIC ACID PWD 50LB BAG (INTL)</v>
          </cell>
          <cell r="Q1396" t="str">
            <v>Boric Acid</v>
          </cell>
          <cell r="R1396">
            <v>0.67</v>
          </cell>
          <cell r="S1396">
            <v>422.45</v>
          </cell>
        </row>
        <row r="1397">
          <cell r="A1397" t="str">
            <v>Budget</v>
          </cell>
          <cell r="B1397">
            <v>2</v>
          </cell>
          <cell r="C1397" t="str">
            <v>Export</v>
          </cell>
          <cell r="D1397">
            <v>57</v>
          </cell>
          <cell r="E1397">
            <v>6486</v>
          </cell>
          <cell r="F1397" t="str">
            <v>ESVIMEX, S.A. DE C.V.</v>
          </cell>
          <cell r="G1397" t="str">
            <v>E</v>
          </cell>
          <cell r="H1397" t="str">
            <v>LAREDO</v>
          </cell>
          <cell r="J1397" t="str">
            <v>MEX</v>
          </cell>
          <cell r="K1397" t="str">
            <v>PROVEEDORA DE PRODUCTOS</v>
          </cell>
          <cell r="M1397" t="str">
            <v>MEX</v>
          </cell>
          <cell r="N1397" t="str">
            <v>C</v>
          </cell>
          <cell r="O1397">
            <v>20060271</v>
          </cell>
          <cell r="P1397" t="str">
            <v>PYROBOR 1 MT FIBC (002)</v>
          </cell>
          <cell r="Q1397" t="str">
            <v>Pyrobor</v>
          </cell>
          <cell r="R1397">
            <v>20.96</v>
          </cell>
          <cell r="S1397">
            <v>9255.08</v>
          </cell>
        </row>
        <row r="1398">
          <cell r="A1398" t="str">
            <v>Budget</v>
          </cell>
          <cell r="B1398">
            <v>2</v>
          </cell>
          <cell r="C1398" t="str">
            <v>Export</v>
          </cell>
          <cell r="D1398">
            <v>57</v>
          </cell>
          <cell r="E1398">
            <v>6561</v>
          </cell>
          <cell r="F1398" t="str">
            <v>BRENNTAG LATIN AMERICA, INC.</v>
          </cell>
          <cell r="G1398" t="str">
            <v>E</v>
          </cell>
          <cell r="H1398" t="str">
            <v>PUERTO QUETZAL</v>
          </cell>
          <cell r="J1398" t="str">
            <v>GUA</v>
          </cell>
          <cell r="K1398" t="str">
            <v>BRENNTAG LATIN AMERICA, INC.</v>
          </cell>
          <cell r="L1398" t="str">
            <v>TX</v>
          </cell>
          <cell r="M1398" t="str">
            <v>USA</v>
          </cell>
          <cell r="N1398" t="str">
            <v>C</v>
          </cell>
          <cell r="O1398">
            <v>40060400</v>
          </cell>
          <cell r="P1398" t="str">
            <v>SODIUM SULFATE STANDARD BULK</v>
          </cell>
          <cell r="Q1398" t="str">
            <v>Sodium Sulfate</v>
          </cell>
          <cell r="R1398">
            <v>2111.9</v>
          </cell>
          <cell r="S1398">
            <v>70449.94</v>
          </cell>
        </row>
        <row r="1399">
          <cell r="A1399" t="str">
            <v>Budget</v>
          </cell>
          <cell r="B1399">
            <v>2</v>
          </cell>
          <cell r="C1399" t="str">
            <v>Export</v>
          </cell>
          <cell r="D1399">
            <v>57</v>
          </cell>
          <cell r="E1399">
            <v>6655</v>
          </cell>
          <cell r="F1399" t="str">
            <v>OSCAR PENA JR.</v>
          </cell>
          <cell r="G1399" t="str">
            <v>E</v>
          </cell>
          <cell r="H1399" t="str">
            <v>MONTERREY</v>
          </cell>
          <cell r="J1399" t="str">
            <v>MEX</v>
          </cell>
          <cell r="K1399" t="str">
            <v>PROVEEDORA DE PRODUCTOS</v>
          </cell>
          <cell r="M1399" t="str">
            <v>MEX</v>
          </cell>
          <cell r="N1399" t="str">
            <v>C</v>
          </cell>
          <cell r="O1399">
            <v>22060428</v>
          </cell>
          <cell r="P1399" t="str">
            <v>V-BOR 25KG BAG (004), WOOD</v>
          </cell>
          <cell r="Q1399" t="str">
            <v>Penta</v>
          </cell>
          <cell r="R1399">
            <v>34.85</v>
          </cell>
          <cell r="S1399">
            <v>9781.4500000000007</v>
          </cell>
        </row>
        <row r="1400">
          <cell r="A1400" t="str">
            <v>Budget</v>
          </cell>
          <cell r="B1400">
            <v>2</v>
          </cell>
          <cell r="C1400" t="str">
            <v>Export</v>
          </cell>
          <cell r="D1400">
            <v>57</v>
          </cell>
          <cell r="E1400">
            <v>6895</v>
          </cell>
          <cell r="F1400" t="str">
            <v>MET MEX PENOLES, S.A. DE C.V.</v>
          </cell>
          <cell r="G1400" t="str">
            <v>E</v>
          </cell>
          <cell r="H1400" t="str">
            <v>LAREDO</v>
          </cell>
          <cell r="I1400" t="str">
            <v>TX</v>
          </cell>
          <cell r="J1400" t="str">
            <v>MEX</v>
          </cell>
          <cell r="K1400" t="str">
            <v>MET MEX PENOLES S.A. DE CV</v>
          </cell>
          <cell r="M1400" t="str">
            <v>MEX</v>
          </cell>
          <cell r="N1400" t="str">
            <v>C</v>
          </cell>
          <cell r="O1400">
            <v>20060255</v>
          </cell>
          <cell r="P1400" t="str">
            <v>PYROBOR 1 MT FIBC (002)</v>
          </cell>
          <cell r="Q1400" t="str">
            <v>Pyrobor</v>
          </cell>
          <cell r="R1400">
            <v>43.15</v>
          </cell>
          <cell r="S1400">
            <v>22273.47</v>
          </cell>
        </row>
        <row r="1401">
          <cell r="A1401" t="str">
            <v>Budget</v>
          </cell>
          <cell r="B1401">
            <v>2</v>
          </cell>
          <cell r="C1401" t="str">
            <v>Export</v>
          </cell>
          <cell r="D1401">
            <v>57</v>
          </cell>
          <cell r="E1401">
            <v>7097</v>
          </cell>
          <cell r="F1401" t="str">
            <v>UNILEVER BRASIL LTDA.</v>
          </cell>
          <cell r="G1401" t="str">
            <v>E</v>
          </cell>
          <cell r="H1401" t="str">
            <v>VESPASIANO - MG</v>
          </cell>
          <cell r="J1401" t="str">
            <v>BRZ</v>
          </cell>
          <cell r="K1401" t="str">
            <v>UNILEVER BRASIL LTDA.</v>
          </cell>
          <cell r="M1401" t="str">
            <v>BRZ</v>
          </cell>
          <cell r="N1401" t="str">
            <v>C</v>
          </cell>
          <cell r="O1401">
            <v>40060400</v>
          </cell>
          <cell r="P1401" t="str">
            <v>SODIUM SULFATE STANDARD BULK</v>
          </cell>
          <cell r="Q1401" t="str">
            <v>Sodium Sulfate</v>
          </cell>
          <cell r="R1401">
            <v>4953.37</v>
          </cell>
          <cell r="S1401">
            <v>144886.04999999999</v>
          </cell>
        </row>
        <row r="1402">
          <cell r="A1402" t="str">
            <v>Budget</v>
          </cell>
          <cell r="B1402">
            <v>2</v>
          </cell>
          <cell r="C1402" t="str">
            <v>Export</v>
          </cell>
          <cell r="D1402">
            <v>57</v>
          </cell>
          <cell r="E1402">
            <v>7326</v>
          </cell>
          <cell r="F1402" t="str">
            <v>T.C. INTERNATIONAL</v>
          </cell>
          <cell r="G1402" t="str">
            <v>E</v>
          </cell>
          <cell r="H1402" t="str">
            <v>LAREDO</v>
          </cell>
          <cell r="J1402" t="str">
            <v>MEX</v>
          </cell>
          <cell r="K1402" t="str">
            <v>PROVEEDORA DE PRODUCTOS</v>
          </cell>
          <cell r="M1402" t="str">
            <v>MEX</v>
          </cell>
          <cell r="N1402" t="str">
            <v>C</v>
          </cell>
          <cell r="O1402">
            <v>22060428</v>
          </cell>
          <cell r="P1402" t="str">
            <v>V-BOR 25KG BAG (004), WOOD</v>
          </cell>
          <cell r="Q1402" t="str">
            <v>Penta</v>
          </cell>
          <cell r="R1402">
            <v>17.420000000000002</v>
          </cell>
          <cell r="S1402">
            <v>4189.1499999999996</v>
          </cell>
        </row>
        <row r="1403">
          <cell r="A1403" t="str">
            <v>Budget</v>
          </cell>
          <cell r="B1403">
            <v>2</v>
          </cell>
          <cell r="C1403" t="str">
            <v>Export</v>
          </cell>
          <cell r="D1403">
            <v>57</v>
          </cell>
          <cell r="E1403">
            <v>7343</v>
          </cell>
          <cell r="F1403" t="str">
            <v>IMPORTADORA QUIMICA DEL NORTE</v>
          </cell>
          <cell r="G1403" t="str">
            <v>E</v>
          </cell>
          <cell r="H1403" t="str">
            <v>LA URUCA</v>
          </cell>
          <cell r="J1403" t="str">
            <v>COS</v>
          </cell>
          <cell r="K1403" t="str">
            <v>REUBEN SOTO CORP S.A.</v>
          </cell>
          <cell r="M1403" t="str">
            <v>COS</v>
          </cell>
          <cell r="N1403" t="str">
            <v>C</v>
          </cell>
          <cell r="O1403">
            <v>23160240</v>
          </cell>
          <cell r="P1403" t="str">
            <v>DECA BORAX EX CRS 50KG BAG</v>
          </cell>
          <cell r="Q1403" t="str">
            <v>Deca</v>
          </cell>
          <cell r="R1403">
            <v>4.72</v>
          </cell>
          <cell r="S1403">
            <v>1438.82</v>
          </cell>
        </row>
        <row r="1404">
          <cell r="A1404" t="str">
            <v>Budget</v>
          </cell>
          <cell r="B1404">
            <v>2</v>
          </cell>
          <cell r="C1404" t="str">
            <v>Export</v>
          </cell>
          <cell r="D1404">
            <v>57</v>
          </cell>
          <cell r="E1404">
            <v>7343</v>
          </cell>
          <cell r="F1404" t="str">
            <v>IMPORTADORA QUIMICA DEL NORTE</v>
          </cell>
          <cell r="G1404" t="str">
            <v>E</v>
          </cell>
          <cell r="H1404" t="str">
            <v>LA URUCA</v>
          </cell>
          <cell r="J1404" t="str">
            <v>COS</v>
          </cell>
          <cell r="K1404" t="str">
            <v>REUBEN SOTO CORP S.A.</v>
          </cell>
          <cell r="M1404" t="str">
            <v>COS</v>
          </cell>
          <cell r="N1404" t="str">
            <v>C</v>
          </cell>
          <cell r="O1404">
            <v>24030223</v>
          </cell>
          <cell r="P1404" t="str">
            <v>BORIC ACID PWD 50LB BAG (INTL)</v>
          </cell>
          <cell r="Q1404" t="str">
            <v>Boric Acid</v>
          </cell>
          <cell r="R1404">
            <v>5.49</v>
          </cell>
          <cell r="S1404">
            <v>3613.99</v>
          </cell>
        </row>
        <row r="1405">
          <cell r="A1405" t="str">
            <v>Budget</v>
          </cell>
          <cell r="B1405">
            <v>2</v>
          </cell>
          <cell r="C1405" t="str">
            <v>Export</v>
          </cell>
          <cell r="D1405">
            <v>57</v>
          </cell>
          <cell r="E1405">
            <v>7343</v>
          </cell>
          <cell r="F1405" t="str">
            <v>IMPORTADORA QUIMICA DEL NORTE</v>
          </cell>
          <cell r="G1405" t="str">
            <v>E</v>
          </cell>
          <cell r="H1405" t="str">
            <v>LA URUCA</v>
          </cell>
          <cell r="J1405" t="str">
            <v>COS</v>
          </cell>
          <cell r="K1405" t="str">
            <v>REUBEN SOTO CORP S.A.</v>
          </cell>
          <cell r="M1405" t="str">
            <v>COS</v>
          </cell>
          <cell r="N1405" t="str">
            <v>C</v>
          </cell>
          <cell r="O1405">
            <v>24090240</v>
          </cell>
          <cell r="P1405" t="str">
            <v>BORIC ACID GRAN TECH 50KG BAG</v>
          </cell>
          <cell r="Q1405" t="str">
            <v>Boric Acid</v>
          </cell>
          <cell r="R1405">
            <v>3.84</v>
          </cell>
          <cell r="S1405">
            <v>1869.56</v>
          </cell>
        </row>
        <row r="1406">
          <cell r="A1406" t="str">
            <v>Budget</v>
          </cell>
          <cell r="B1406">
            <v>2</v>
          </cell>
          <cell r="C1406" t="str">
            <v>Export</v>
          </cell>
          <cell r="D1406">
            <v>57</v>
          </cell>
          <cell r="E1406">
            <v>7343</v>
          </cell>
          <cell r="F1406" t="str">
            <v>IMPORTADORA QUIMICA DEL NORTE</v>
          </cell>
          <cell r="G1406" t="str">
            <v>E</v>
          </cell>
          <cell r="H1406" t="str">
            <v>LA URUCA</v>
          </cell>
          <cell r="J1406" t="str">
            <v>COS</v>
          </cell>
          <cell r="K1406" t="str">
            <v>REUBEN SOTO CORP S.A.</v>
          </cell>
          <cell r="M1406" t="str">
            <v>COS</v>
          </cell>
          <cell r="N1406" t="str">
            <v>C</v>
          </cell>
          <cell r="O1406">
            <v>40060430</v>
          </cell>
          <cell r="P1406" t="str">
            <v>SODIUM SULFATE STD 100LB BAG</v>
          </cell>
          <cell r="Q1406" t="str">
            <v>Sodium Sulfate</v>
          </cell>
          <cell r="R1406">
            <v>24.56</v>
          </cell>
          <cell r="S1406">
            <v>2927.09</v>
          </cell>
        </row>
        <row r="1407">
          <cell r="A1407" t="str">
            <v>Budget</v>
          </cell>
          <cell r="B1407">
            <v>2</v>
          </cell>
          <cell r="C1407" t="str">
            <v>Export</v>
          </cell>
          <cell r="D1407">
            <v>57</v>
          </cell>
          <cell r="E1407">
            <v>7426</v>
          </cell>
          <cell r="F1407" t="str">
            <v>SWIFT &amp; CO/COOL &amp; COSY</v>
          </cell>
          <cell r="G1407" t="str">
            <v>E</v>
          </cell>
          <cell r="H1407" t="str">
            <v>BRISBANE</v>
          </cell>
          <cell r="J1407" t="str">
            <v>AUS</v>
          </cell>
          <cell r="K1407" t="str">
            <v>SWIFT AND COMPANY LIMITED</v>
          </cell>
          <cell r="M1407" t="str">
            <v>AUS</v>
          </cell>
          <cell r="N1407" t="str">
            <v>C</v>
          </cell>
          <cell r="O1407">
            <v>23060220</v>
          </cell>
          <cell r="P1407" t="str">
            <v>DECA BORAX STD 25KG BAG</v>
          </cell>
          <cell r="Q1407" t="str">
            <v>Deca</v>
          </cell>
          <cell r="R1407">
            <v>3.48</v>
          </cell>
          <cell r="S1407">
            <v>753.87</v>
          </cell>
        </row>
        <row r="1408">
          <cell r="A1408" t="str">
            <v>Budget</v>
          </cell>
          <cell r="B1408">
            <v>2</v>
          </cell>
          <cell r="C1408" t="str">
            <v>Export</v>
          </cell>
          <cell r="D1408">
            <v>57</v>
          </cell>
          <cell r="E1408">
            <v>7491</v>
          </cell>
          <cell r="F1408" t="str">
            <v>GMP PRODUCTOS QUIMICOS S.A.</v>
          </cell>
          <cell r="G1408" t="str">
            <v>E</v>
          </cell>
          <cell r="H1408" t="str">
            <v>MEDELLIN</v>
          </cell>
          <cell r="J1408" t="str">
            <v>COL</v>
          </cell>
          <cell r="K1408" t="str">
            <v>AQUITECNO LTDA</v>
          </cell>
          <cell r="M1408" t="str">
            <v>COL</v>
          </cell>
          <cell r="N1408" t="str">
            <v>C</v>
          </cell>
          <cell r="O1408">
            <v>22060428</v>
          </cell>
          <cell r="P1408" t="str">
            <v>V-BOR 25KG BAG (004), WOOD</v>
          </cell>
          <cell r="Q1408" t="str">
            <v>Penta</v>
          </cell>
          <cell r="R1408">
            <v>0.92</v>
          </cell>
          <cell r="S1408">
            <v>265.55</v>
          </cell>
        </row>
        <row r="1409">
          <cell r="A1409" t="str">
            <v>Budget</v>
          </cell>
          <cell r="B1409">
            <v>2</v>
          </cell>
          <cell r="C1409" t="str">
            <v>Export</v>
          </cell>
          <cell r="D1409">
            <v>57</v>
          </cell>
          <cell r="E1409">
            <v>7491</v>
          </cell>
          <cell r="F1409" t="str">
            <v>GMP PRODUCTOS QUIMICOS S.A.</v>
          </cell>
          <cell r="G1409" t="str">
            <v>E</v>
          </cell>
          <cell r="H1409" t="str">
            <v>MEDELLIN</v>
          </cell>
          <cell r="J1409" t="str">
            <v>COL</v>
          </cell>
          <cell r="K1409" t="str">
            <v>AQUITECNO LTDA</v>
          </cell>
          <cell r="M1409" t="str">
            <v>COL</v>
          </cell>
          <cell r="N1409" t="str">
            <v>C</v>
          </cell>
          <cell r="O1409">
            <v>23060228</v>
          </cell>
          <cell r="P1409" t="str">
            <v>DECA BORAX STD 25KG BAG, WOOD</v>
          </cell>
          <cell r="Q1409" t="str">
            <v>Deca</v>
          </cell>
          <cell r="R1409">
            <v>2.57</v>
          </cell>
          <cell r="S1409">
            <v>673.7</v>
          </cell>
        </row>
        <row r="1410">
          <cell r="A1410" t="str">
            <v>Budget</v>
          </cell>
          <cell r="B1410">
            <v>2</v>
          </cell>
          <cell r="C1410" t="str">
            <v>Export</v>
          </cell>
          <cell r="D1410">
            <v>57</v>
          </cell>
          <cell r="E1410">
            <v>7606</v>
          </cell>
          <cell r="F1410" t="str">
            <v>INACTIVE-SWIFT &amp; CO./BORAL/MEL</v>
          </cell>
          <cell r="G1410" t="str">
            <v>E</v>
          </cell>
          <cell r="H1410" t="str">
            <v>MELBOURNE</v>
          </cell>
          <cell r="J1410" t="str">
            <v>AUS</v>
          </cell>
          <cell r="K1410" t="str">
            <v>SWIFT AND COMPANY LIMITED</v>
          </cell>
          <cell r="M1410" t="str">
            <v>AUS</v>
          </cell>
          <cell r="N1410" t="str">
            <v>C</v>
          </cell>
          <cell r="O1410">
            <v>24090220</v>
          </cell>
          <cell r="P1410" t="str">
            <v>BORIC ACID GRAN TECH 25KG BAG</v>
          </cell>
          <cell r="Q1410" t="str">
            <v>Boric Acid</v>
          </cell>
          <cell r="R1410">
            <v>3.48</v>
          </cell>
          <cell r="S1410">
            <v>1189.32</v>
          </cell>
        </row>
        <row r="1411">
          <cell r="A1411" t="str">
            <v>Budget</v>
          </cell>
          <cell r="B1411">
            <v>2</v>
          </cell>
          <cell r="C1411" t="str">
            <v>Export</v>
          </cell>
          <cell r="D1411">
            <v>57</v>
          </cell>
          <cell r="E1411">
            <v>7640</v>
          </cell>
          <cell r="F1411" t="str">
            <v>MIGUEZ Y CIA, S.A.</v>
          </cell>
          <cell r="G1411" t="str">
            <v>E</v>
          </cell>
          <cell r="H1411" t="str">
            <v>PANAMA REP. DE PANAMA</v>
          </cell>
          <cell r="J1411" t="str">
            <v>PAN</v>
          </cell>
          <cell r="K1411" t="str">
            <v>MIGUEZ Y CIA, S.A.</v>
          </cell>
          <cell r="M1411" t="str">
            <v>PAN</v>
          </cell>
          <cell r="N1411" t="str">
            <v>C</v>
          </cell>
          <cell r="O1411">
            <v>22060420</v>
          </cell>
          <cell r="P1411" t="str">
            <v>V-BOR 25KG BAG (004)</v>
          </cell>
          <cell r="Q1411" t="str">
            <v>Penta</v>
          </cell>
          <cell r="R1411">
            <v>3.3</v>
          </cell>
          <cell r="S1411">
            <v>1256.6500000000001</v>
          </cell>
        </row>
        <row r="1412">
          <cell r="A1412" t="str">
            <v>Budget</v>
          </cell>
          <cell r="B1412">
            <v>2</v>
          </cell>
          <cell r="C1412" t="str">
            <v>Export</v>
          </cell>
          <cell r="D1412">
            <v>57</v>
          </cell>
          <cell r="E1412">
            <v>7640</v>
          </cell>
          <cell r="F1412" t="str">
            <v>MIGUEZ Y CIA, S.A.</v>
          </cell>
          <cell r="G1412" t="str">
            <v>E</v>
          </cell>
          <cell r="H1412" t="str">
            <v>PANAMA REP. DE PANAMA</v>
          </cell>
          <cell r="J1412" t="str">
            <v>PAN</v>
          </cell>
          <cell r="K1412" t="str">
            <v>MIGUEZ Y CIA, S.A.</v>
          </cell>
          <cell r="M1412" t="str">
            <v>PAN</v>
          </cell>
          <cell r="N1412" t="str">
            <v>C</v>
          </cell>
          <cell r="O1412">
            <v>24090220</v>
          </cell>
          <cell r="P1412" t="str">
            <v>BORIC ACID GRAN TECH 25KG BAG</v>
          </cell>
          <cell r="Q1412" t="str">
            <v>Boric Acid</v>
          </cell>
          <cell r="R1412">
            <v>0.18</v>
          </cell>
          <cell r="S1412">
            <v>90.63</v>
          </cell>
        </row>
        <row r="1413">
          <cell r="A1413" t="str">
            <v>Budget</v>
          </cell>
          <cell r="B1413">
            <v>2</v>
          </cell>
          <cell r="C1413" t="str">
            <v>Export</v>
          </cell>
          <cell r="D1413">
            <v>57</v>
          </cell>
          <cell r="E1413">
            <v>7670</v>
          </cell>
          <cell r="F1413" t="str">
            <v>KOPRIMO S.A. DE C.V.</v>
          </cell>
          <cell r="G1413" t="str">
            <v>E</v>
          </cell>
          <cell r="H1413" t="str">
            <v>LAREDO</v>
          </cell>
          <cell r="J1413" t="str">
            <v>MEX</v>
          </cell>
          <cell r="K1413" t="str">
            <v>KOPRIMO S.A. DE C.V.</v>
          </cell>
          <cell r="M1413" t="str">
            <v>MEX</v>
          </cell>
          <cell r="N1413" t="str">
            <v>C</v>
          </cell>
          <cell r="O1413">
            <v>20060228</v>
          </cell>
          <cell r="P1413" t="str">
            <v>PYROBOR 25KG BAG (002), WOOD</v>
          </cell>
          <cell r="Q1413" t="str">
            <v>Pyrobor</v>
          </cell>
          <cell r="R1413">
            <v>1.28</v>
          </cell>
          <cell r="S1413">
            <v>710.21</v>
          </cell>
        </row>
        <row r="1414">
          <cell r="A1414" t="str">
            <v>Budget</v>
          </cell>
          <cell r="B1414">
            <v>2</v>
          </cell>
          <cell r="C1414" t="str">
            <v>Export</v>
          </cell>
          <cell r="D1414">
            <v>57</v>
          </cell>
          <cell r="E1414">
            <v>7670</v>
          </cell>
          <cell r="F1414" t="str">
            <v>KOPRIMO S.A. DE C.V.</v>
          </cell>
          <cell r="G1414" t="str">
            <v>E</v>
          </cell>
          <cell r="H1414" t="str">
            <v>LAREDO</v>
          </cell>
          <cell r="J1414" t="str">
            <v>MEX</v>
          </cell>
          <cell r="K1414" t="str">
            <v>KOPRIMO S.A. DE C.V.</v>
          </cell>
          <cell r="M1414" t="str">
            <v>MEX</v>
          </cell>
          <cell r="N1414" t="str">
            <v>C</v>
          </cell>
          <cell r="O1414">
            <v>22060400</v>
          </cell>
          <cell r="P1414" t="str">
            <v>V-BOR STD BULK (004)</v>
          </cell>
          <cell r="Q1414" t="str">
            <v>Penta</v>
          </cell>
          <cell r="R1414">
            <v>80.81</v>
          </cell>
          <cell r="S1414">
            <v>23541.72</v>
          </cell>
        </row>
        <row r="1415">
          <cell r="A1415" t="str">
            <v>Budget</v>
          </cell>
          <cell r="B1415">
            <v>2</v>
          </cell>
          <cell r="C1415" t="str">
            <v>Export</v>
          </cell>
          <cell r="D1415">
            <v>57</v>
          </cell>
          <cell r="E1415">
            <v>7670</v>
          </cell>
          <cell r="F1415" t="str">
            <v>KOPRIMO S.A. DE C.V.</v>
          </cell>
          <cell r="G1415" t="str">
            <v>E</v>
          </cell>
          <cell r="H1415" t="str">
            <v>LAREDO</v>
          </cell>
          <cell r="J1415" t="str">
            <v>MEX</v>
          </cell>
          <cell r="K1415" t="str">
            <v>KOPRIMO S.A. DE C.V.</v>
          </cell>
          <cell r="M1415" t="str">
            <v>MEX</v>
          </cell>
          <cell r="N1415" t="str">
            <v>C</v>
          </cell>
          <cell r="O1415">
            <v>22060428</v>
          </cell>
          <cell r="P1415" t="str">
            <v>V-BOR 25KG BAG (004), WOOD</v>
          </cell>
          <cell r="Q1415" t="str">
            <v>Penta</v>
          </cell>
          <cell r="R1415">
            <v>26.23</v>
          </cell>
          <cell r="S1415">
            <v>7649.68</v>
          </cell>
        </row>
        <row r="1416">
          <cell r="A1416" t="str">
            <v>Budget</v>
          </cell>
          <cell r="B1416">
            <v>2</v>
          </cell>
          <cell r="C1416" t="str">
            <v>Export</v>
          </cell>
          <cell r="D1416">
            <v>57</v>
          </cell>
          <cell r="E1416">
            <v>7670</v>
          </cell>
          <cell r="F1416" t="str">
            <v>KOPRIMO S.A. DE C.V.</v>
          </cell>
          <cell r="G1416" t="str">
            <v>E</v>
          </cell>
          <cell r="H1416" t="str">
            <v>LAREDO</v>
          </cell>
          <cell r="J1416" t="str">
            <v>MEX</v>
          </cell>
          <cell r="K1416" t="str">
            <v>KOPRIMO S.A. DE C.V.</v>
          </cell>
          <cell r="M1416" t="str">
            <v>MEX</v>
          </cell>
          <cell r="N1416" t="str">
            <v>C</v>
          </cell>
          <cell r="O1416">
            <v>22060455</v>
          </cell>
          <cell r="P1416" t="str">
            <v>V-BOR 1 MT FIBC (004)</v>
          </cell>
          <cell r="Q1416" t="str">
            <v>Penta</v>
          </cell>
          <cell r="R1416">
            <v>27.95</v>
          </cell>
          <cell r="S1416">
            <v>7651.84</v>
          </cell>
        </row>
        <row r="1417">
          <cell r="A1417" t="str">
            <v>Budget</v>
          </cell>
          <cell r="B1417">
            <v>2</v>
          </cell>
          <cell r="C1417" t="str">
            <v>Export</v>
          </cell>
          <cell r="D1417">
            <v>57</v>
          </cell>
          <cell r="E1417">
            <v>7670</v>
          </cell>
          <cell r="F1417" t="str">
            <v>KOPRIMO S.A. DE C.V.</v>
          </cell>
          <cell r="G1417" t="str">
            <v>E</v>
          </cell>
          <cell r="H1417" t="str">
            <v>LAREDO</v>
          </cell>
          <cell r="J1417" t="str">
            <v>MEX</v>
          </cell>
          <cell r="K1417" t="str">
            <v>KOPRIMO S.A. DE C.V.</v>
          </cell>
          <cell r="M1417" t="str">
            <v>MEX</v>
          </cell>
          <cell r="N1417" t="str">
            <v>C</v>
          </cell>
          <cell r="O1417">
            <v>23060224</v>
          </cell>
          <cell r="P1417" t="str">
            <v>DECA BORAX STD 25KG BG SPECIAL</v>
          </cell>
          <cell r="Q1417" t="str">
            <v>Deca</v>
          </cell>
          <cell r="R1417">
            <v>2.02</v>
          </cell>
          <cell r="S1417">
            <v>265.66000000000003</v>
          </cell>
        </row>
        <row r="1418">
          <cell r="A1418" t="str">
            <v>Budget</v>
          </cell>
          <cell r="B1418">
            <v>2</v>
          </cell>
          <cell r="C1418" t="str">
            <v>Export</v>
          </cell>
          <cell r="D1418">
            <v>57</v>
          </cell>
          <cell r="E1418">
            <v>7670</v>
          </cell>
          <cell r="F1418" t="str">
            <v>KOPRIMO S.A. DE C.V.</v>
          </cell>
          <cell r="G1418" t="str">
            <v>E</v>
          </cell>
          <cell r="H1418" t="str">
            <v>LAREDO</v>
          </cell>
          <cell r="J1418" t="str">
            <v>MEX</v>
          </cell>
          <cell r="K1418" t="str">
            <v>KOPRIMO S.A. DE C.V.</v>
          </cell>
          <cell r="M1418" t="str">
            <v>MEX</v>
          </cell>
          <cell r="N1418" t="str">
            <v>C</v>
          </cell>
          <cell r="O1418">
            <v>23060228</v>
          </cell>
          <cell r="P1418" t="str">
            <v>DECA BORAX STD 25KG BAG, WOOD</v>
          </cell>
          <cell r="Q1418" t="str">
            <v>Deca</v>
          </cell>
          <cell r="R1418">
            <v>47.69</v>
          </cell>
          <cell r="S1418">
            <v>11313.73</v>
          </cell>
        </row>
        <row r="1419">
          <cell r="A1419" t="str">
            <v>Budget</v>
          </cell>
          <cell r="B1419">
            <v>2</v>
          </cell>
          <cell r="C1419" t="str">
            <v>Export</v>
          </cell>
          <cell r="D1419">
            <v>57</v>
          </cell>
          <cell r="E1419">
            <v>7670</v>
          </cell>
          <cell r="F1419" t="str">
            <v>KOPRIMO S.A. DE C.V.</v>
          </cell>
          <cell r="G1419" t="str">
            <v>E</v>
          </cell>
          <cell r="H1419" t="str">
            <v>LAREDO</v>
          </cell>
          <cell r="J1419" t="str">
            <v>MEX</v>
          </cell>
          <cell r="K1419" t="str">
            <v>KOPRIMO S.A. DE C.V.</v>
          </cell>
          <cell r="M1419" t="str">
            <v>MEX</v>
          </cell>
          <cell r="N1419" t="str">
            <v>C</v>
          </cell>
          <cell r="O1419">
            <v>23060255</v>
          </cell>
          <cell r="P1419" t="str">
            <v>DECA BORAX STD 1MT FIBC</v>
          </cell>
          <cell r="Q1419" t="str">
            <v>Deca</v>
          </cell>
          <cell r="R1419">
            <v>1.57</v>
          </cell>
          <cell r="S1419">
            <v>207.03</v>
          </cell>
        </row>
        <row r="1420">
          <cell r="A1420" t="str">
            <v>Budget</v>
          </cell>
          <cell r="B1420">
            <v>2</v>
          </cell>
          <cell r="C1420" t="str">
            <v>Export</v>
          </cell>
          <cell r="D1420">
            <v>57</v>
          </cell>
          <cell r="E1420">
            <v>7670</v>
          </cell>
          <cell r="F1420" t="str">
            <v>KOPRIMO S.A. DE C.V.</v>
          </cell>
          <cell r="G1420" t="str">
            <v>E</v>
          </cell>
          <cell r="H1420" t="str">
            <v>LAREDO</v>
          </cell>
          <cell r="J1420" t="str">
            <v>MEX</v>
          </cell>
          <cell r="K1420" t="str">
            <v>KOPRIMO S.A. DE C.V.</v>
          </cell>
          <cell r="M1420" t="str">
            <v>MEX</v>
          </cell>
          <cell r="N1420" t="str">
            <v>C</v>
          </cell>
          <cell r="O1420">
            <v>24030223</v>
          </cell>
          <cell r="P1420" t="str">
            <v>BORIC ACID PWD 50LB BAG (INTL)</v>
          </cell>
          <cell r="Q1420" t="str">
            <v>Boric Acid</v>
          </cell>
          <cell r="R1420">
            <v>6.16</v>
          </cell>
          <cell r="S1420">
            <v>3340.58</v>
          </cell>
        </row>
        <row r="1421">
          <cell r="A1421" t="str">
            <v>Budget</v>
          </cell>
          <cell r="B1421">
            <v>2</v>
          </cell>
          <cell r="C1421" t="str">
            <v>Export</v>
          </cell>
          <cell r="D1421">
            <v>57</v>
          </cell>
          <cell r="E1421">
            <v>7670</v>
          </cell>
          <cell r="F1421" t="str">
            <v>KOPRIMO S.A. DE C.V.</v>
          </cell>
          <cell r="G1421" t="str">
            <v>E</v>
          </cell>
          <cell r="H1421" t="str">
            <v>LAREDO</v>
          </cell>
          <cell r="J1421" t="str">
            <v>MEX</v>
          </cell>
          <cell r="K1421" t="str">
            <v>KOPRIMO S.A. DE C.V.</v>
          </cell>
          <cell r="M1421" t="str">
            <v>MEX</v>
          </cell>
          <cell r="N1421" t="str">
            <v>C</v>
          </cell>
          <cell r="O1421">
            <v>24090228</v>
          </cell>
          <cell r="P1421" t="str">
            <v>BORIC ACID GRAN 25KG BAG, WOOD</v>
          </cell>
          <cell r="Q1421" t="str">
            <v>Boric Acid</v>
          </cell>
          <cell r="R1421">
            <v>34.85</v>
          </cell>
          <cell r="S1421">
            <v>15777.12</v>
          </cell>
        </row>
        <row r="1422">
          <cell r="A1422" t="str">
            <v>Budget</v>
          </cell>
          <cell r="B1422">
            <v>2</v>
          </cell>
          <cell r="C1422" t="str">
            <v>Export</v>
          </cell>
          <cell r="D1422">
            <v>57</v>
          </cell>
          <cell r="E1422">
            <v>7670</v>
          </cell>
          <cell r="F1422" t="str">
            <v>KOPRIMO S.A. DE C.V.</v>
          </cell>
          <cell r="G1422" t="str">
            <v>E</v>
          </cell>
          <cell r="H1422" t="str">
            <v>LAREDO</v>
          </cell>
          <cell r="J1422" t="str">
            <v>MEX</v>
          </cell>
          <cell r="K1422" t="str">
            <v>KOPRIMO S.A. DE C.V.</v>
          </cell>
          <cell r="M1422" t="str">
            <v>MEX</v>
          </cell>
          <cell r="N1422" t="str">
            <v>C</v>
          </cell>
          <cell r="O1422">
            <v>24090283</v>
          </cell>
          <cell r="P1422" t="str">
            <v>BORIC ACID GRN TCH 2500LB FIBC</v>
          </cell>
          <cell r="Q1422" t="str">
            <v>Boric Acid</v>
          </cell>
          <cell r="R1422">
            <v>0.59</v>
          </cell>
          <cell r="S1422">
            <v>213.05</v>
          </cell>
        </row>
        <row r="1423">
          <cell r="A1423" t="str">
            <v>Budget</v>
          </cell>
          <cell r="B1423">
            <v>2</v>
          </cell>
          <cell r="C1423" t="str">
            <v>Export</v>
          </cell>
          <cell r="D1423">
            <v>57</v>
          </cell>
          <cell r="E1423">
            <v>7670</v>
          </cell>
          <cell r="F1423" t="str">
            <v>KOPRIMO S.A. DE C.V.</v>
          </cell>
          <cell r="G1423" t="str">
            <v>E</v>
          </cell>
          <cell r="H1423" t="str">
            <v>LAREDO</v>
          </cell>
          <cell r="J1423" t="str">
            <v>MEX</v>
          </cell>
          <cell r="K1423" t="str">
            <v>KOPRIMO S.A. DE C.V.</v>
          </cell>
          <cell r="M1423" t="str">
            <v>MEX</v>
          </cell>
          <cell r="N1423" t="str">
            <v>C</v>
          </cell>
          <cell r="O1423">
            <v>24850249</v>
          </cell>
          <cell r="P1423" t="str">
            <v>BORIC ACID GRAN, 1 MT FIBC</v>
          </cell>
          <cell r="Q1423" t="str">
            <v>Boric Acid</v>
          </cell>
          <cell r="R1423">
            <v>1.22</v>
          </cell>
          <cell r="S1423">
            <v>438.34</v>
          </cell>
        </row>
        <row r="1424">
          <cell r="A1424" t="str">
            <v>Budget</v>
          </cell>
          <cell r="B1424">
            <v>2</v>
          </cell>
          <cell r="C1424" t="str">
            <v>Export</v>
          </cell>
          <cell r="D1424">
            <v>57</v>
          </cell>
          <cell r="E1424">
            <v>7670</v>
          </cell>
          <cell r="F1424" t="str">
            <v>KOPRIMO S.A. DE C.V.</v>
          </cell>
          <cell r="G1424" t="str">
            <v>E</v>
          </cell>
          <cell r="H1424" t="str">
            <v>LAREDO</v>
          </cell>
          <cell r="J1424" t="str">
            <v>MEX</v>
          </cell>
          <cell r="K1424" t="str">
            <v>KOPRIMO S.A. DE C.V.</v>
          </cell>
          <cell r="M1424" t="str">
            <v>MEX</v>
          </cell>
          <cell r="N1424" t="str">
            <v>C</v>
          </cell>
          <cell r="O1424">
            <v>24850277</v>
          </cell>
          <cell r="P1424" t="str">
            <v>BORIC ACID GRN TECH 775KG FIBC</v>
          </cell>
          <cell r="Q1424" t="str">
            <v>Boric Acid</v>
          </cell>
          <cell r="R1424">
            <v>2.71</v>
          </cell>
          <cell r="S1424">
            <v>970.55</v>
          </cell>
        </row>
        <row r="1425">
          <cell r="A1425" t="str">
            <v>Budget</v>
          </cell>
          <cell r="B1425">
            <v>2</v>
          </cell>
          <cell r="C1425" t="str">
            <v>Export</v>
          </cell>
          <cell r="D1425">
            <v>57</v>
          </cell>
          <cell r="E1425">
            <v>7670</v>
          </cell>
          <cell r="F1425" t="str">
            <v>KOPRIMO S.A. DE C.V.</v>
          </cell>
          <cell r="G1425" t="str">
            <v>E</v>
          </cell>
          <cell r="H1425" t="str">
            <v>LAREDO</v>
          </cell>
          <cell r="J1425" t="str">
            <v>MEX</v>
          </cell>
          <cell r="K1425" t="str">
            <v>KOPRIMO S.A. DE C.V.</v>
          </cell>
          <cell r="M1425" t="str">
            <v>MEX</v>
          </cell>
          <cell r="N1425" t="str">
            <v>C</v>
          </cell>
          <cell r="O1425">
            <v>40060400</v>
          </cell>
          <cell r="P1425" t="str">
            <v>SODIUM SULFATE STANDARD BULK</v>
          </cell>
          <cell r="Q1425" t="str">
            <v>Sodium Sulfate</v>
          </cell>
          <cell r="R1425">
            <v>343.79</v>
          </cell>
          <cell r="S1425">
            <v>18275.22</v>
          </cell>
        </row>
        <row r="1426">
          <cell r="A1426" t="str">
            <v>Budget</v>
          </cell>
          <cell r="B1426">
            <v>2</v>
          </cell>
          <cell r="C1426" t="str">
            <v>Export</v>
          </cell>
          <cell r="D1426">
            <v>57</v>
          </cell>
          <cell r="E1426">
            <v>7972</v>
          </cell>
          <cell r="F1426" t="str">
            <v>FERRO MEXICANA</v>
          </cell>
          <cell r="G1426" t="str">
            <v>E</v>
          </cell>
          <cell r="H1426" t="str">
            <v>LAREDO</v>
          </cell>
          <cell r="J1426" t="str">
            <v>MEX</v>
          </cell>
          <cell r="K1426" t="str">
            <v>FERRO MEXICANA</v>
          </cell>
          <cell r="M1426" t="str">
            <v>MEX</v>
          </cell>
          <cell r="N1426" t="str">
            <v>C</v>
          </cell>
          <cell r="O1426">
            <v>20060200</v>
          </cell>
          <cell r="P1426" t="str">
            <v>PYROBOR ANHY BORAX BULK (002)</v>
          </cell>
          <cell r="Q1426" t="str">
            <v>Pyrobor</v>
          </cell>
          <cell r="R1426">
            <v>50.77</v>
          </cell>
          <cell r="S1426">
            <v>22074.69</v>
          </cell>
        </row>
        <row r="1427">
          <cell r="A1427" t="str">
            <v>Budget</v>
          </cell>
          <cell r="B1427">
            <v>2</v>
          </cell>
          <cell r="C1427" t="str">
            <v>Export</v>
          </cell>
          <cell r="D1427">
            <v>57</v>
          </cell>
          <cell r="E1427">
            <v>7972</v>
          </cell>
          <cell r="F1427" t="str">
            <v>FERRO MEXICANA</v>
          </cell>
          <cell r="G1427" t="str">
            <v>E</v>
          </cell>
          <cell r="H1427" t="str">
            <v>LAREDO</v>
          </cell>
          <cell r="J1427" t="str">
            <v>MEX</v>
          </cell>
          <cell r="K1427" t="str">
            <v>FERRO MEXICANA</v>
          </cell>
          <cell r="M1427" t="str">
            <v>MEX</v>
          </cell>
          <cell r="N1427" t="str">
            <v>C</v>
          </cell>
          <cell r="O1427">
            <v>22060400</v>
          </cell>
          <cell r="P1427" t="str">
            <v>V-BOR STD BULK (004)</v>
          </cell>
          <cell r="Q1427" t="str">
            <v>Penta</v>
          </cell>
          <cell r="R1427">
            <v>168.16</v>
          </cell>
          <cell r="S1427">
            <v>36549.050000000003</v>
          </cell>
        </row>
        <row r="1428">
          <cell r="A1428" t="str">
            <v>Budget</v>
          </cell>
          <cell r="B1428">
            <v>2</v>
          </cell>
          <cell r="C1428" t="str">
            <v>Export</v>
          </cell>
          <cell r="D1428">
            <v>57</v>
          </cell>
          <cell r="E1428">
            <v>7996</v>
          </cell>
          <cell r="F1428" t="str">
            <v>ORIENT GLASS LAMPSHADE FACTORY</v>
          </cell>
          <cell r="G1428" t="str">
            <v>E</v>
          </cell>
          <cell r="H1428" t="str">
            <v>SONG GANG</v>
          </cell>
          <cell r="J1428" t="str">
            <v>CHN</v>
          </cell>
          <cell r="K1428" t="str">
            <v>CFA INDUSTRIAL CORP.</v>
          </cell>
          <cell r="L1428" t="str">
            <v>CA</v>
          </cell>
          <cell r="M1428" t="str">
            <v>USA</v>
          </cell>
          <cell r="N1428" t="str">
            <v>C</v>
          </cell>
          <cell r="O1428">
            <v>22060440</v>
          </cell>
          <cell r="P1428" t="str">
            <v>V-BOR 50KG BAG (004)</v>
          </cell>
          <cell r="Q1428" t="str">
            <v>Penta</v>
          </cell>
          <cell r="R1428">
            <v>3.49</v>
          </cell>
          <cell r="S1428">
            <v>794.25</v>
          </cell>
        </row>
        <row r="1429">
          <cell r="A1429" t="str">
            <v>Budget</v>
          </cell>
          <cell r="B1429">
            <v>2</v>
          </cell>
          <cell r="C1429" t="str">
            <v>Export</v>
          </cell>
          <cell r="D1429">
            <v>57</v>
          </cell>
          <cell r="E1429">
            <v>8164</v>
          </cell>
          <cell r="F1429" t="str">
            <v>S. &amp; A. ABAHSAIN CO., LTD.</v>
          </cell>
          <cell r="G1429" t="str">
            <v>E</v>
          </cell>
          <cell r="H1429" t="str">
            <v>JEDDAH 31952</v>
          </cell>
          <cell r="J1429" t="str">
            <v>SAU</v>
          </cell>
          <cell r="K1429" t="str">
            <v>S. &amp; A. ABAHSAIN CO., LTD.</v>
          </cell>
          <cell r="M1429" t="str">
            <v>SAU</v>
          </cell>
          <cell r="N1429" t="str">
            <v>D</v>
          </cell>
          <cell r="O1429">
            <v>22060428</v>
          </cell>
          <cell r="P1429" t="str">
            <v>V-BOR 25KG BAG (004), WOOD</v>
          </cell>
          <cell r="Q1429" t="str">
            <v>Penta</v>
          </cell>
          <cell r="R1429">
            <v>3.12</v>
          </cell>
          <cell r="S1429">
            <v>917.62</v>
          </cell>
        </row>
        <row r="1430">
          <cell r="A1430" t="str">
            <v>Budget</v>
          </cell>
          <cell r="B1430">
            <v>2</v>
          </cell>
          <cell r="C1430" t="str">
            <v>Export</v>
          </cell>
          <cell r="D1430">
            <v>57</v>
          </cell>
          <cell r="E1430">
            <v>8266</v>
          </cell>
          <cell r="F1430" t="str">
            <v>DEXIMA S.A.</v>
          </cell>
          <cell r="G1430" t="str">
            <v>E</v>
          </cell>
          <cell r="H1430" t="str">
            <v>SANTIAGO</v>
          </cell>
          <cell r="J1430" t="str">
            <v>CHI</v>
          </cell>
          <cell r="K1430" t="str">
            <v>DEXIMA S.A.</v>
          </cell>
          <cell r="M1430" t="str">
            <v>CHI</v>
          </cell>
          <cell r="N1430" t="str">
            <v>C</v>
          </cell>
          <cell r="O1430">
            <v>20060255</v>
          </cell>
          <cell r="P1430" t="str">
            <v>PYROBOR 1 MT FIBC (002)</v>
          </cell>
          <cell r="Q1430" t="str">
            <v>Pyrobor</v>
          </cell>
          <cell r="R1430">
            <v>6.99</v>
          </cell>
          <cell r="S1430">
            <v>3465.82</v>
          </cell>
        </row>
        <row r="1431">
          <cell r="A1431" t="str">
            <v>Budget</v>
          </cell>
          <cell r="B1431">
            <v>2</v>
          </cell>
          <cell r="C1431" t="str">
            <v>Export</v>
          </cell>
          <cell r="D1431">
            <v>57</v>
          </cell>
          <cell r="E1431">
            <v>8317</v>
          </cell>
          <cell r="F1431" t="str">
            <v>RAJ INDUSTRIES</v>
          </cell>
          <cell r="G1431" t="str">
            <v>E</v>
          </cell>
          <cell r="H1431" t="str">
            <v>GUJARAT</v>
          </cell>
          <cell r="J1431" t="str">
            <v>IND</v>
          </cell>
          <cell r="K1431" t="str">
            <v>RAJ INDUSTRIES</v>
          </cell>
          <cell r="M1431" t="str">
            <v>IND</v>
          </cell>
          <cell r="N1431" t="str">
            <v>C</v>
          </cell>
          <cell r="O1431" t="str">
            <v>220604B8</v>
          </cell>
          <cell r="P1431" t="str">
            <v>V-BOR 25KG POLYBAG,WOOD (004)</v>
          </cell>
          <cell r="Q1431" t="str">
            <v>Penta</v>
          </cell>
          <cell r="R1431">
            <v>66.209999999999994</v>
          </cell>
          <cell r="S1431">
            <v>15675.69</v>
          </cell>
        </row>
        <row r="1432">
          <cell r="A1432" t="str">
            <v>Budget</v>
          </cell>
          <cell r="B1432">
            <v>2</v>
          </cell>
          <cell r="C1432" t="str">
            <v>Export</v>
          </cell>
          <cell r="D1432">
            <v>57</v>
          </cell>
          <cell r="E1432">
            <v>8344</v>
          </cell>
          <cell r="F1432" t="str">
            <v>RISHI ENTERPRISES</v>
          </cell>
          <cell r="G1432" t="str">
            <v>E</v>
          </cell>
          <cell r="H1432" t="str">
            <v>BHIWANDI, DIST-THANE</v>
          </cell>
          <cell r="J1432" t="str">
            <v>IND</v>
          </cell>
          <cell r="K1432" t="str">
            <v>RISHI ENTERPRISES</v>
          </cell>
          <cell r="M1432" t="str">
            <v>IND</v>
          </cell>
          <cell r="N1432" t="str">
            <v>C</v>
          </cell>
          <cell r="O1432" t="str">
            <v>220604B8</v>
          </cell>
          <cell r="P1432" t="str">
            <v>V-BOR 25KG POLYBAG,WOOD (004)</v>
          </cell>
          <cell r="Q1432" t="str">
            <v>Penta</v>
          </cell>
          <cell r="R1432">
            <v>118.85</v>
          </cell>
          <cell r="S1432">
            <v>28145.84</v>
          </cell>
        </row>
        <row r="1433">
          <cell r="A1433" t="str">
            <v>Budget</v>
          </cell>
          <cell r="B1433">
            <v>2</v>
          </cell>
          <cell r="C1433" t="str">
            <v>Export</v>
          </cell>
          <cell r="D1433">
            <v>57</v>
          </cell>
          <cell r="E1433">
            <v>8344</v>
          </cell>
          <cell r="F1433" t="str">
            <v>RISHI ENTERPRISES</v>
          </cell>
          <cell r="G1433" t="str">
            <v>E</v>
          </cell>
          <cell r="H1433" t="str">
            <v>BHIWANDI, DIST-THANE</v>
          </cell>
          <cell r="J1433" t="str">
            <v>IND</v>
          </cell>
          <cell r="K1433" t="str">
            <v>RISHI ENTERPRISES</v>
          </cell>
          <cell r="M1433" t="str">
            <v>IND</v>
          </cell>
          <cell r="N1433" t="str">
            <v>C</v>
          </cell>
          <cell r="O1433" t="str">
            <v>231602B8</v>
          </cell>
          <cell r="P1433" t="str">
            <v>DECA EX CRS 25KG POLYBAG, WOOD</v>
          </cell>
          <cell r="Q1433" t="str">
            <v>Deca</v>
          </cell>
          <cell r="R1433">
            <v>41.82</v>
          </cell>
          <cell r="S1433">
            <v>8196.5400000000009</v>
          </cell>
        </row>
        <row r="1434">
          <cell r="A1434" t="str">
            <v>Budget</v>
          </cell>
          <cell r="B1434">
            <v>2</v>
          </cell>
          <cell r="C1434" t="str">
            <v>Export</v>
          </cell>
          <cell r="D1434">
            <v>57</v>
          </cell>
          <cell r="E1434">
            <v>8344</v>
          </cell>
          <cell r="F1434" t="str">
            <v>RISHI ENTERPRISES</v>
          </cell>
          <cell r="G1434" t="str">
            <v>E</v>
          </cell>
          <cell r="H1434" t="str">
            <v>BHIWANDI, DIST-THANE</v>
          </cell>
          <cell r="J1434" t="str">
            <v>IND</v>
          </cell>
          <cell r="K1434" t="str">
            <v>RISHI ENTERPRISES</v>
          </cell>
          <cell r="M1434" t="str">
            <v>IND</v>
          </cell>
          <cell r="N1434" t="str">
            <v>C</v>
          </cell>
          <cell r="O1434">
            <v>24090228</v>
          </cell>
          <cell r="P1434" t="str">
            <v>BORIC ACID GRAN 25KG BAG, WOOD</v>
          </cell>
          <cell r="Q1434" t="str">
            <v>Boric Acid</v>
          </cell>
          <cell r="R1434">
            <v>38.33</v>
          </cell>
          <cell r="S1434">
            <v>12908.17</v>
          </cell>
        </row>
        <row r="1435">
          <cell r="A1435" t="str">
            <v>Budget</v>
          </cell>
          <cell r="B1435">
            <v>2</v>
          </cell>
          <cell r="C1435" t="str">
            <v>Export</v>
          </cell>
          <cell r="D1435">
            <v>57</v>
          </cell>
          <cell r="E1435">
            <v>8526</v>
          </cell>
          <cell r="F1435" t="str">
            <v>INACTIVE-PRODUCTOS QUIMICOS MA</v>
          </cell>
          <cell r="G1435" t="str">
            <v>E</v>
          </cell>
          <cell r="H1435" t="str">
            <v>LAREDO</v>
          </cell>
          <cell r="J1435" t="str">
            <v>MEX</v>
          </cell>
          <cell r="K1435" t="str">
            <v>INACTIVE-KOPRIMO S.A. DE C.V.</v>
          </cell>
          <cell r="M1435" t="str">
            <v>MEX</v>
          </cell>
          <cell r="N1435" t="str">
            <v>C</v>
          </cell>
          <cell r="O1435">
            <v>40060400</v>
          </cell>
          <cell r="P1435" t="str">
            <v>SODIUM SULFATE STANDARD BULK</v>
          </cell>
          <cell r="Q1435" t="str">
            <v>Sodium Sulfate</v>
          </cell>
          <cell r="R1435">
            <v>17.14</v>
          </cell>
          <cell r="S1435">
            <v>939.63</v>
          </cell>
        </row>
        <row r="1436">
          <cell r="A1436" t="str">
            <v>Budget</v>
          </cell>
          <cell r="B1436">
            <v>2</v>
          </cell>
          <cell r="C1436" t="str">
            <v>Export</v>
          </cell>
          <cell r="D1436">
            <v>57</v>
          </cell>
          <cell r="E1436">
            <v>8580</v>
          </cell>
          <cell r="F1436" t="str">
            <v>FEVISA INDUSTRIAL S.A. DE C.V.</v>
          </cell>
          <cell r="G1436" t="str">
            <v>E</v>
          </cell>
          <cell r="H1436" t="str">
            <v>CALEXICO</v>
          </cell>
          <cell r="J1436" t="str">
            <v>MEX</v>
          </cell>
          <cell r="K1436" t="str">
            <v>FEVISA INDUSTRIAL S.A. DE C.V.</v>
          </cell>
          <cell r="M1436" t="str">
            <v>MEX</v>
          </cell>
          <cell r="N1436" t="str">
            <v>C</v>
          </cell>
          <cell r="O1436">
            <v>40060400</v>
          </cell>
          <cell r="P1436" t="str">
            <v>SODIUM SULFATE STANDARD BULK</v>
          </cell>
          <cell r="Q1436" t="str">
            <v>Sodium Sulfate</v>
          </cell>
          <cell r="R1436">
            <v>35.81</v>
          </cell>
          <cell r="S1436">
            <v>4742.7700000000004</v>
          </cell>
        </row>
        <row r="1437">
          <cell r="A1437" t="str">
            <v>Budget</v>
          </cell>
          <cell r="B1437">
            <v>2</v>
          </cell>
          <cell r="C1437" t="str">
            <v>Export</v>
          </cell>
          <cell r="D1437">
            <v>57</v>
          </cell>
          <cell r="E1437">
            <v>8659</v>
          </cell>
          <cell r="F1437" t="str">
            <v>SULATLANTICA IMPORTADORA E</v>
          </cell>
          <cell r="G1437" t="str">
            <v>E</v>
          </cell>
          <cell r="H1437" t="str">
            <v>RIO DE JANEIRO</v>
          </cell>
          <cell r="J1437" t="str">
            <v>BRZ</v>
          </cell>
          <cell r="K1437" t="str">
            <v>SULATLANTICA IMPORTADORA E</v>
          </cell>
          <cell r="M1437" t="str">
            <v>BRZ</v>
          </cell>
          <cell r="N1437" t="str">
            <v>D</v>
          </cell>
          <cell r="O1437" t="str">
            <v>200602B8</v>
          </cell>
          <cell r="P1437" t="str">
            <v>PYROBOR 25KG POLYBAG, WOOD</v>
          </cell>
          <cell r="Q1437" t="str">
            <v>Pyrobor</v>
          </cell>
          <cell r="R1437">
            <v>1.83</v>
          </cell>
          <cell r="S1437">
            <v>950.37</v>
          </cell>
        </row>
        <row r="1438">
          <cell r="A1438" t="str">
            <v>Budget</v>
          </cell>
          <cell r="B1438">
            <v>2</v>
          </cell>
          <cell r="C1438" t="str">
            <v>Export</v>
          </cell>
          <cell r="D1438">
            <v>57</v>
          </cell>
          <cell r="E1438">
            <v>8659</v>
          </cell>
          <cell r="F1438" t="str">
            <v>SULATLANTICA IMPORTADORA E</v>
          </cell>
          <cell r="G1438" t="str">
            <v>E</v>
          </cell>
          <cell r="H1438" t="str">
            <v>RIO DE JANEIRO</v>
          </cell>
          <cell r="J1438" t="str">
            <v>BRZ</v>
          </cell>
          <cell r="K1438" t="str">
            <v>SULATLANTICA IMPORTADORA E</v>
          </cell>
          <cell r="M1438" t="str">
            <v>BRZ</v>
          </cell>
          <cell r="N1438" t="str">
            <v>D</v>
          </cell>
          <cell r="O1438" t="str">
            <v>230602B8</v>
          </cell>
          <cell r="P1438" t="str">
            <v>DECA STD 25KG POLYBAG, WOOD</v>
          </cell>
          <cell r="Q1438" t="str">
            <v>Deca</v>
          </cell>
          <cell r="R1438">
            <v>8.6199999999999992</v>
          </cell>
          <cell r="S1438">
            <v>1807.72</v>
          </cell>
        </row>
        <row r="1439">
          <cell r="A1439" t="str">
            <v>Budget</v>
          </cell>
          <cell r="B1439">
            <v>2</v>
          </cell>
          <cell r="C1439" t="str">
            <v>Export</v>
          </cell>
          <cell r="D1439">
            <v>57</v>
          </cell>
          <cell r="E1439">
            <v>8664</v>
          </cell>
          <cell r="F1439" t="str">
            <v>INACTIVE-SAINT GOBAIN VIDROS S</v>
          </cell>
          <cell r="G1439" t="str">
            <v>E</v>
          </cell>
          <cell r="H1439" t="str">
            <v>SAO PAULO - SP</v>
          </cell>
          <cell r="J1439" t="str">
            <v>BRZ</v>
          </cell>
          <cell r="K1439" t="str">
            <v>INACTIVE-TCN / CONSULTORIA E</v>
          </cell>
          <cell r="M1439" t="str">
            <v>BRZ</v>
          </cell>
          <cell r="N1439" t="str">
            <v>C</v>
          </cell>
          <cell r="O1439">
            <v>20060228</v>
          </cell>
          <cell r="P1439" t="str">
            <v>PYROBOR 25KG BAG (002), WOOD</v>
          </cell>
          <cell r="Q1439" t="str">
            <v>Pyrobor</v>
          </cell>
          <cell r="R1439">
            <v>174.24</v>
          </cell>
          <cell r="S1439">
            <v>82818.22</v>
          </cell>
        </row>
        <row r="1440">
          <cell r="A1440" t="str">
            <v>Budget</v>
          </cell>
          <cell r="B1440">
            <v>2</v>
          </cell>
          <cell r="C1440" t="str">
            <v>Export</v>
          </cell>
          <cell r="D1440">
            <v>57</v>
          </cell>
          <cell r="E1440">
            <v>8757</v>
          </cell>
          <cell r="F1440" t="str">
            <v>EDALBRAS INDUSTRIA E</v>
          </cell>
          <cell r="G1440" t="str">
            <v>E</v>
          </cell>
          <cell r="H1440" t="str">
            <v>GUARULHOS - SAO PAULO</v>
          </cell>
          <cell r="J1440" t="str">
            <v>BRZ</v>
          </cell>
          <cell r="K1440" t="str">
            <v>TCN - CONSULTORIA E</v>
          </cell>
          <cell r="M1440" t="str">
            <v>BRZ</v>
          </cell>
          <cell r="O1440">
            <v>40060400</v>
          </cell>
          <cell r="P1440" t="str">
            <v>SODIUM SULFATE STANDARD BULK</v>
          </cell>
          <cell r="Q1440" t="str">
            <v>Sodium Sulfate</v>
          </cell>
          <cell r="R1440">
            <v>872.53</v>
          </cell>
          <cell r="S1440">
            <v>18776.66</v>
          </cell>
        </row>
        <row r="1441">
          <cell r="A1441" t="str">
            <v>Budget</v>
          </cell>
          <cell r="B1441">
            <v>2</v>
          </cell>
          <cell r="C1441" t="str">
            <v>Export</v>
          </cell>
          <cell r="D1441">
            <v>57</v>
          </cell>
          <cell r="E1441">
            <v>8930</v>
          </cell>
          <cell r="F1441" t="str">
            <v>ANDESIA QUIMICOS INDUSTRIALES</v>
          </cell>
          <cell r="G1441" t="str">
            <v>E</v>
          </cell>
          <cell r="H1441" t="str">
            <v>BOGOTA</v>
          </cell>
          <cell r="J1441" t="str">
            <v>COL</v>
          </cell>
          <cell r="K1441" t="str">
            <v>AQUITECNO LTDA.</v>
          </cell>
          <cell r="M1441" t="str">
            <v>COL</v>
          </cell>
          <cell r="N1441" t="str">
            <v>C</v>
          </cell>
          <cell r="O1441">
            <v>22060428</v>
          </cell>
          <cell r="P1441" t="str">
            <v>V-BOR 25KG BAG (004), WOOD</v>
          </cell>
          <cell r="Q1441" t="str">
            <v>Penta</v>
          </cell>
          <cell r="R1441">
            <v>6.97</v>
          </cell>
          <cell r="S1441">
            <v>2006.19</v>
          </cell>
        </row>
        <row r="1442">
          <cell r="A1442" t="str">
            <v>Budget</v>
          </cell>
          <cell r="B1442">
            <v>2</v>
          </cell>
          <cell r="C1442" t="str">
            <v>Export</v>
          </cell>
          <cell r="D1442">
            <v>57</v>
          </cell>
          <cell r="E1442">
            <v>8930</v>
          </cell>
          <cell r="F1442" t="str">
            <v>ANDESIA QUIMICOS INDUSTRIALES</v>
          </cell>
          <cell r="G1442" t="str">
            <v>E</v>
          </cell>
          <cell r="H1442" t="str">
            <v>BOGOTA</v>
          </cell>
          <cell r="J1442" t="str">
            <v>COL</v>
          </cell>
          <cell r="K1442" t="str">
            <v>AQUITECNO LTDA.</v>
          </cell>
          <cell r="M1442" t="str">
            <v>COL</v>
          </cell>
          <cell r="N1442" t="str">
            <v>C</v>
          </cell>
          <cell r="O1442">
            <v>23060228</v>
          </cell>
          <cell r="P1442" t="str">
            <v>DECA BORAX STD 25KG BAG, WOOD</v>
          </cell>
          <cell r="Q1442" t="str">
            <v>Deca</v>
          </cell>
          <cell r="R1442">
            <v>3.48</v>
          </cell>
          <cell r="S1442">
            <v>909.66</v>
          </cell>
        </row>
        <row r="1443">
          <cell r="A1443" t="str">
            <v>Budget</v>
          </cell>
          <cell r="B1443">
            <v>2</v>
          </cell>
          <cell r="C1443" t="str">
            <v>Export</v>
          </cell>
          <cell r="D1443">
            <v>57</v>
          </cell>
          <cell r="E1443">
            <v>8965</v>
          </cell>
          <cell r="F1443" t="str">
            <v>JORGAL LTDA</v>
          </cell>
          <cell r="G1443" t="str">
            <v>E</v>
          </cell>
          <cell r="H1443" t="str">
            <v>MEDELLIN</v>
          </cell>
          <cell r="J1443" t="str">
            <v>COL</v>
          </cell>
          <cell r="K1443" t="str">
            <v>AQUITECNO LTDA</v>
          </cell>
          <cell r="M1443" t="str">
            <v>COL</v>
          </cell>
          <cell r="N1443" t="str">
            <v>C</v>
          </cell>
          <cell r="O1443">
            <v>22060428</v>
          </cell>
          <cell r="P1443" t="str">
            <v>V-BOR 25KG BAG (004), WOOD</v>
          </cell>
          <cell r="Q1443" t="str">
            <v>Penta</v>
          </cell>
          <cell r="R1443">
            <v>2.93</v>
          </cell>
          <cell r="S1443">
            <v>846.86</v>
          </cell>
        </row>
        <row r="1444">
          <cell r="A1444" t="str">
            <v>Budget</v>
          </cell>
          <cell r="B1444">
            <v>2</v>
          </cell>
          <cell r="C1444" t="str">
            <v>Export</v>
          </cell>
          <cell r="D1444">
            <v>57</v>
          </cell>
          <cell r="E1444">
            <v>8965</v>
          </cell>
          <cell r="F1444" t="str">
            <v>JORGAL LTDA</v>
          </cell>
          <cell r="G1444" t="str">
            <v>E</v>
          </cell>
          <cell r="H1444" t="str">
            <v>MEDELLIN</v>
          </cell>
          <cell r="J1444" t="str">
            <v>COL</v>
          </cell>
          <cell r="K1444" t="str">
            <v>AQUITECNO LTDA</v>
          </cell>
          <cell r="M1444" t="str">
            <v>COL</v>
          </cell>
          <cell r="N1444" t="str">
            <v>C</v>
          </cell>
          <cell r="O1444">
            <v>23060228</v>
          </cell>
          <cell r="P1444" t="str">
            <v>DECA BORAX STD 25KG BAG, WOOD</v>
          </cell>
          <cell r="Q1444" t="str">
            <v>Deca</v>
          </cell>
          <cell r="R1444">
            <v>0.55000000000000004</v>
          </cell>
          <cell r="S1444">
            <v>143.81</v>
          </cell>
        </row>
        <row r="1445">
          <cell r="A1445" t="str">
            <v>Budget</v>
          </cell>
          <cell r="B1445">
            <v>2</v>
          </cell>
          <cell r="C1445" t="str">
            <v>Export</v>
          </cell>
          <cell r="D1445">
            <v>57</v>
          </cell>
          <cell r="E1445">
            <v>9010</v>
          </cell>
          <cell r="F1445" t="str">
            <v>FERRO ENAMEL ARGENTINA</v>
          </cell>
          <cell r="G1445" t="str">
            <v>E</v>
          </cell>
          <cell r="H1445" t="str">
            <v>BUENOS AIRES</v>
          </cell>
          <cell r="J1445" t="str">
            <v>ARG</v>
          </cell>
          <cell r="K1445" t="str">
            <v>FERRO ENAMEL ARGENTINA</v>
          </cell>
          <cell r="M1445" t="str">
            <v>ARG</v>
          </cell>
          <cell r="N1445" t="str">
            <v>D</v>
          </cell>
          <cell r="O1445">
            <v>20060228</v>
          </cell>
          <cell r="P1445" t="str">
            <v>PYROBOR 25KG BAG (002), WOOD</v>
          </cell>
          <cell r="Q1445" t="str">
            <v>Pyrobor</v>
          </cell>
          <cell r="R1445">
            <v>6.97</v>
          </cell>
          <cell r="S1445">
            <v>3737.83</v>
          </cell>
        </row>
        <row r="1446">
          <cell r="A1446" t="str">
            <v>Budget</v>
          </cell>
          <cell r="B1446">
            <v>2</v>
          </cell>
          <cell r="C1446" t="str">
            <v>Export</v>
          </cell>
          <cell r="D1446">
            <v>57</v>
          </cell>
          <cell r="E1446">
            <v>9036</v>
          </cell>
          <cell r="F1446" t="str">
            <v>AMSERVE CHEMICALS PTY LTD</v>
          </cell>
          <cell r="G1446" t="str">
            <v>E</v>
          </cell>
          <cell r="H1446" t="str">
            <v>GAUTENG</v>
          </cell>
          <cell r="J1446" t="str">
            <v>SAE</v>
          </cell>
          <cell r="K1446" t="str">
            <v>AMSERVE CHEMICALS PTY LTD</v>
          </cell>
          <cell r="M1446" t="str">
            <v>SAE</v>
          </cell>
          <cell r="N1446" t="str">
            <v>C</v>
          </cell>
          <cell r="O1446">
            <v>20060220</v>
          </cell>
          <cell r="P1446" t="str">
            <v>PYROBOR 25KG BAG (002)</v>
          </cell>
          <cell r="Q1446" t="str">
            <v>Pyrobor</v>
          </cell>
          <cell r="R1446">
            <v>13.42</v>
          </cell>
          <cell r="S1446">
            <v>7591.55</v>
          </cell>
        </row>
        <row r="1447">
          <cell r="A1447" t="str">
            <v>Budget</v>
          </cell>
          <cell r="B1447">
            <v>2</v>
          </cell>
          <cell r="C1447" t="str">
            <v>Export</v>
          </cell>
          <cell r="D1447">
            <v>57</v>
          </cell>
          <cell r="E1447">
            <v>9036</v>
          </cell>
          <cell r="F1447" t="str">
            <v>AMSERVE CHEMICALS PTY LTD</v>
          </cell>
          <cell r="G1447" t="str">
            <v>E</v>
          </cell>
          <cell r="H1447" t="str">
            <v>GAUTENG</v>
          </cell>
          <cell r="J1447" t="str">
            <v>SAE</v>
          </cell>
          <cell r="K1447" t="str">
            <v>AMSERVE CHEMICALS PTY LTD</v>
          </cell>
          <cell r="M1447" t="str">
            <v>SAE</v>
          </cell>
          <cell r="N1447" t="str">
            <v>C</v>
          </cell>
          <cell r="O1447">
            <v>21310228</v>
          </cell>
          <cell r="P1447" t="str">
            <v>BORAX GLASS 25KG BAG, WOOD</v>
          </cell>
          <cell r="Q1447" t="str">
            <v>Pyrobor</v>
          </cell>
          <cell r="R1447">
            <v>6.97</v>
          </cell>
          <cell r="S1447">
            <v>3156.69</v>
          </cell>
        </row>
        <row r="1448">
          <cell r="A1448" t="str">
            <v>Budget</v>
          </cell>
          <cell r="B1448">
            <v>2</v>
          </cell>
          <cell r="C1448" t="str">
            <v>Export</v>
          </cell>
          <cell r="D1448">
            <v>57</v>
          </cell>
          <cell r="E1448">
            <v>9200</v>
          </cell>
          <cell r="F1448" t="str">
            <v>INACTIVE-TEORQUIMICA COMERCIO</v>
          </cell>
          <cell r="G1448" t="str">
            <v>E</v>
          </cell>
          <cell r="H1448" t="str">
            <v>SAO PAULO</v>
          </cell>
          <cell r="J1448" t="str">
            <v>BRZ</v>
          </cell>
          <cell r="K1448" t="str">
            <v>INACTIVE-TCN / CONSULTORIA E</v>
          </cell>
          <cell r="M1448" t="str">
            <v>BRZ</v>
          </cell>
          <cell r="N1448" t="str">
            <v>C</v>
          </cell>
          <cell r="O1448">
            <v>20060228</v>
          </cell>
          <cell r="P1448" t="str">
            <v>PYROBOR 25KG BAG (002), WOOD</v>
          </cell>
          <cell r="Q1448" t="str">
            <v>Pyrobor</v>
          </cell>
          <cell r="R1448">
            <v>12.29</v>
          </cell>
          <cell r="S1448">
            <v>6368.29</v>
          </cell>
        </row>
        <row r="1449">
          <cell r="A1449" t="str">
            <v>Budget</v>
          </cell>
          <cell r="B1449">
            <v>2</v>
          </cell>
          <cell r="C1449" t="str">
            <v>Export</v>
          </cell>
          <cell r="D1449">
            <v>57</v>
          </cell>
          <cell r="E1449">
            <v>9200</v>
          </cell>
          <cell r="F1449" t="str">
            <v>INACTIVE-TEORQUIMICA COMERCIO</v>
          </cell>
          <cell r="G1449" t="str">
            <v>E</v>
          </cell>
          <cell r="H1449" t="str">
            <v>SAO PAULO</v>
          </cell>
          <cell r="J1449" t="str">
            <v>BRZ</v>
          </cell>
          <cell r="K1449" t="str">
            <v>INACTIVE-TCN / CONSULTORIA E</v>
          </cell>
          <cell r="M1449" t="str">
            <v>BRZ</v>
          </cell>
          <cell r="N1449" t="str">
            <v>C</v>
          </cell>
          <cell r="O1449">
            <v>22060428</v>
          </cell>
          <cell r="P1449" t="str">
            <v>V-BOR 25KG BAG (004), WOOD</v>
          </cell>
          <cell r="Q1449" t="str">
            <v>Penta</v>
          </cell>
          <cell r="R1449">
            <v>8.6199999999999992</v>
          </cell>
          <cell r="S1449">
            <v>2199.62</v>
          </cell>
        </row>
        <row r="1450">
          <cell r="A1450" t="str">
            <v>Budget</v>
          </cell>
          <cell r="B1450">
            <v>2</v>
          </cell>
          <cell r="C1450" t="str">
            <v>Export</v>
          </cell>
          <cell r="D1450">
            <v>57</v>
          </cell>
          <cell r="E1450">
            <v>9200</v>
          </cell>
          <cell r="F1450" t="str">
            <v>INACTIVE-TEORQUIMICA COMERCIO</v>
          </cell>
          <cell r="G1450" t="str">
            <v>E</v>
          </cell>
          <cell r="H1450" t="str">
            <v>SAO PAULO</v>
          </cell>
          <cell r="J1450" t="str">
            <v>BRZ</v>
          </cell>
          <cell r="K1450" t="str">
            <v>INACTIVE-TCN / CONSULTORIA E</v>
          </cell>
          <cell r="M1450" t="str">
            <v>BRZ</v>
          </cell>
          <cell r="N1450" t="str">
            <v>C</v>
          </cell>
          <cell r="O1450">
            <v>23060228</v>
          </cell>
          <cell r="P1450" t="str">
            <v>DECA BORAX STD 25KG BAG, WOOD</v>
          </cell>
          <cell r="Q1450" t="str">
            <v>Deca</v>
          </cell>
          <cell r="R1450">
            <v>38.33</v>
          </cell>
          <cell r="S1450">
            <v>8039.5</v>
          </cell>
        </row>
        <row r="1451">
          <cell r="A1451" t="str">
            <v>Budget</v>
          </cell>
          <cell r="B1451">
            <v>2</v>
          </cell>
          <cell r="C1451" t="str">
            <v>Export</v>
          </cell>
          <cell r="D1451">
            <v>57</v>
          </cell>
          <cell r="E1451">
            <v>9203</v>
          </cell>
          <cell r="F1451" t="str">
            <v>LANG/WASHINGTON FORWARDING</v>
          </cell>
          <cell r="G1451" t="str">
            <v>E</v>
          </cell>
          <cell r="H1451" t="str">
            <v>LAREDO</v>
          </cell>
          <cell r="J1451" t="str">
            <v>MEX</v>
          </cell>
          <cell r="K1451" t="str">
            <v>NUEVA GENERACION MANUFACTURAS</v>
          </cell>
          <cell r="M1451" t="str">
            <v>MEX</v>
          </cell>
          <cell r="N1451" t="str">
            <v>C</v>
          </cell>
          <cell r="O1451">
            <v>28069792</v>
          </cell>
          <cell r="P1451" t="str">
            <v>AMMONIUM PENTABORATE 150KG DRM</v>
          </cell>
          <cell r="Q1451" t="str">
            <v>Boric Salt (SCL)</v>
          </cell>
          <cell r="R1451">
            <v>3.14</v>
          </cell>
          <cell r="S1451">
            <v>7200.57</v>
          </cell>
        </row>
        <row r="1452">
          <cell r="A1452" t="str">
            <v>Budget</v>
          </cell>
          <cell r="B1452">
            <v>2</v>
          </cell>
          <cell r="C1452" t="str">
            <v>Export</v>
          </cell>
          <cell r="D1452">
            <v>57</v>
          </cell>
          <cell r="E1452">
            <v>9222</v>
          </cell>
          <cell r="F1452" t="str">
            <v>AISLANTES VOLCAN S.A.</v>
          </cell>
          <cell r="G1452" t="str">
            <v>E</v>
          </cell>
          <cell r="H1452" t="str">
            <v>SANTIAGO</v>
          </cell>
          <cell r="J1452" t="str">
            <v>CHI</v>
          </cell>
          <cell r="K1452" t="str">
            <v>DEXIMA S.A.</v>
          </cell>
          <cell r="M1452" t="str">
            <v>CHI</v>
          </cell>
          <cell r="N1452" t="str">
            <v>C</v>
          </cell>
          <cell r="O1452">
            <v>22060455</v>
          </cell>
          <cell r="P1452" t="str">
            <v>V-BOR 1 MT FIBC (004)</v>
          </cell>
          <cell r="Q1452" t="str">
            <v>Penta</v>
          </cell>
          <cell r="R1452">
            <v>38.43</v>
          </cell>
          <cell r="S1452">
            <v>12886.7</v>
          </cell>
        </row>
        <row r="1453">
          <cell r="A1453" t="str">
            <v>Budget</v>
          </cell>
          <cell r="B1453">
            <v>2</v>
          </cell>
          <cell r="C1453" t="str">
            <v>Export</v>
          </cell>
          <cell r="D1453">
            <v>57</v>
          </cell>
          <cell r="E1453">
            <v>9275</v>
          </cell>
          <cell r="F1453" t="str">
            <v>SWIFT/FERRO MELBOURNE</v>
          </cell>
          <cell r="G1453" t="str">
            <v>E</v>
          </cell>
          <cell r="H1453" t="str">
            <v>MELBOURNE</v>
          </cell>
          <cell r="J1453" t="str">
            <v>AUS</v>
          </cell>
          <cell r="K1453" t="str">
            <v>SWIFT AND COMPANY LIMITED</v>
          </cell>
          <cell r="M1453" t="str">
            <v>AUS</v>
          </cell>
          <cell r="N1453" t="str">
            <v>C</v>
          </cell>
          <cell r="O1453">
            <v>20060255</v>
          </cell>
          <cell r="P1453" t="str">
            <v>PYROBOR 1 MT FIBC (002)</v>
          </cell>
          <cell r="Q1453" t="str">
            <v>Pyrobor</v>
          </cell>
          <cell r="R1453">
            <v>52.4</v>
          </cell>
          <cell r="S1453">
            <v>23714.23</v>
          </cell>
        </row>
        <row r="1454">
          <cell r="A1454" t="str">
            <v>Budget</v>
          </cell>
          <cell r="B1454">
            <v>2</v>
          </cell>
          <cell r="C1454" t="str">
            <v>Export</v>
          </cell>
          <cell r="D1454">
            <v>57</v>
          </cell>
          <cell r="E1454">
            <v>9307</v>
          </cell>
          <cell r="F1454" t="str">
            <v>INACTIVE-COLORMINAS COLORIFICO</v>
          </cell>
          <cell r="G1454" t="str">
            <v>E</v>
          </cell>
          <cell r="H1454" t="str">
            <v>SANTA CATARINA</v>
          </cell>
          <cell r="J1454" t="str">
            <v>BRZ</v>
          </cell>
          <cell r="K1454" t="str">
            <v>INACTIVE-TCN/CONSULTORIA E</v>
          </cell>
          <cell r="M1454" t="str">
            <v>BRZ</v>
          </cell>
          <cell r="N1454" t="str">
            <v>C</v>
          </cell>
          <cell r="O1454">
            <v>22060428</v>
          </cell>
          <cell r="P1454" t="str">
            <v>V-BOR 25KG BAG (004), WOOD</v>
          </cell>
          <cell r="Q1454" t="str">
            <v>Penta</v>
          </cell>
          <cell r="R1454">
            <v>13.94</v>
          </cell>
          <cell r="S1454">
            <v>3683.63</v>
          </cell>
        </row>
        <row r="1455">
          <cell r="A1455" t="str">
            <v>Budget</v>
          </cell>
          <cell r="B1455">
            <v>2</v>
          </cell>
          <cell r="C1455" t="str">
            <v>Export</v>
          </cell>
          <cell r="D1455">
            <v>57</v>
          </cell>
          <cell r="E1455">
            <v>9338</v>
          </cell>
          <cell r="F1455" t="str">
            <v>DETERGENTES Y JABONES SASIL</v>
          </cell>
          <cell r="G1455" t="str">
            <v>E</v>
          </cell>
          <cell r="H1455" t="str">
            <v>LAREDO</v>
          </cell>
          <cell r="J1455" t="str">
            <v>MEX</v>
          </cell>
          <cell r="K1455" t="str">
            <v>DETERGENTES Y JABONES SASIL SA</v>
          </cell>
          <cell r="M1455" t="str">
            <v>USA</v>
          </cell>
          <cell r="N1455" t="str">
            <v>C</v>
          </cell>
          <cell r="O1455">
            <v>40060400</v>
          </cell>
          <cell r="P1455" t="str">
            <v>SODIUM SULFATE STANDARD BULK</v>
          </cell>
          <cell r="Q1455" t="str">
            <v>Sodium Sulfate</v>
          </cell>
          <cell r="R1455">
            <v>343.66</v>
          </cell>
          <cell r="S1455">
            <v>14476.5</v>
          </cell>
        </row>
        <row r="1456">
          <cell r="A1456" t="str">
            <v>Budget</v>
          </cell>
          <cell r="B1456">
            <v>2</v>
          </cell>
          <cell r="C1456" t="str">
            <v>Export</v>
          </cell>
          <cell r="D1456">
            <v>57</v>
          </cell>
          <cell r="E1456">
            <v>9400</v>
          </cell>
          <cell r="F1456" t="str">
            <v>INACTIVE-MICROFERTISA WF Y CIA</v>
          </cell>
          <cell r="G1456" t="str">
            <v>E</v>
          </cell>
          <cell r="H1456" t="str">
            <v>BOGOTA</v>
          </cell>
          <cell r="J1456" t="str">
            <v>USA</v>
          </cell>
          <cell r="K1456" t="str">
            <v>INACTIVE-AQUITECNO LTDA</v>
          </cell>
          <cell r="M1456" t="str">
            <v>COL</v>
          </cell>
          <cell r="N1456" t="str">
            <v>C</v>
          </cell>
          <cell r="O1456">
            <v>22060420</v>
          </cell>
          <cell r="P1456" t="str">
            <v>V-BOR 25KG BAG (004)</v>
          </cell>
          <cell r="Q1456" t="str">
            <v>Penta</v>
          </cell>
          <cell r="R1456">
            <v>3.48</v>
          </cell>
          <cell r="S1456">
            <v>1002.8</v>
          </cell>
        </row>
        <row r="1457">
          <cell r="A1457" t="str">
            <v>Budget</v>
          </cell>
          <cell r="B1457">
            <v>2</v>
          </cell>
          <cell r="C1457" t="str">
            <v>Export</v>
          </cell>
          <cell r="D1457">
            <v>57</v>
          </cell>
          <cell r="E1457">
            <v>9438</v>
          </cell>
          <cell r="F1457" t="str">
            <v>SWIFT &amp; Co. / COOL &amp; COSY</v>
          </cell>
          <cell r="G1457" t="str">
            <v>E</v>
          </cell>
          <cell r="H1457" t="str">
            <v>MELBOURNE</v>
          </cell>
          <cell r="J1457" t="str">
            <v>AUS</v>
          </cell>
          <cell r="K1457" t="str">
            <v>SWIFT AND COMPANY LIMITED</v>
          </cell>
          <cell r="M1457" t="str">
            <v>AUS</v>
          </cell>
          <cell r="N1457" t="str">
            <v>C</v>
          </cell>
          <cell r="O1457">
            <v>23060220</v>
          </cell>
          <cell r="P1457" t="str">
            <v>DECA BORAX STD 25KG BAG</v>
          </cell>
          <cell r="Q1457" t="str">
            <v>Deca</v>
          </cell>
          <cell r="R1457">
            <v>5.5</v>
          </cell>
          <cell r="S1457">
            <v>1203.8</v>
          </cell>
        </row>
        <row r="1458">
          <cell r="A1458" t="str">
            <v>Budget</v>
          </cell>
          <cell r="B1458">
            <v>2</v>
          </cell>
          <cell r="C1458" t="str">
            <v>Export</v>
          </cell>
          <cell r="D1458">
            <v>57</v>
          </cell>
          <cell r="E1458">
            <v>9438</v>
          </cell>
          <cell r="F1458" t="str">
            <v>SWIFT &amp; Co. / COOL &amp; COSY</v>
          </cell>
          <cell r="G1458" t="str">
            <v>E</v>
          </cell>
          <cell r="H1458" t="str">
            <v>MELBOURNE</v>
          </cell>
          <cell r="J1458" t="str">
            <v>AUS</v>
          </cell>
          <cell r="K1458" t="str">
            <v>SWIFT AND COMPANY LIMITED</v>
          </cell>
          <cell r="M1458" t="str">
            <v>AUS</v>
          </cell>
          <cell r="N1458" t="str">
            <v>C</v>
          </cell>
          <cell r="O1458">
            <v>24090220</v>
          </cell>
          <cell r="P1458" t="str">
            <v>BORIC ACID GRAN TECH 25KG BAG</v>
          </cell>
          <cell r="Q1458" t="str">
            <v>Boric Acid</v>
          </cell>
          <cell r="R1458">
            <v>4.95</v>
          </cell>
          <cell r="S1458">
            <v>1680.91</v>
          </cell>
        </row>
        <row r="1459">
          <cell r="A1459" t="str">
            <v>Budget</v>
          </cell>
          <cell r="B1459">
            <v>2</v>
          </cell>
          <cell r="C1459" t="str">
            <v>Export</v>
          </cell>
          <cell r="D1459">
            <v>57</v>
          </cell>
          <cell r="E1459">
            <v>9446</v>
          </cell>
          <cell r="F1459" t="str">
            <v>PROTEA CHEMICALS (INLAND)</v>
          </cell>
          <cell r="G1459" t="str">
            <v>E</v>
          </cell>
          <cell r="H1459" t="str">
            <v>GAUTENG, RSA</v>
          </cell>
          <cell r="J1459" t="str">
            <v>SAE</v>
          </cell>
          <cell r="K1459" t="str">
            <v>AMSERV CHEMICALS PTY LTD</v>
          </cell>
          <cell r="M1459" t="str">
            <v>SAE</v>
          </cell>
          <cell r="N1459" t="str">
            <v>C</v>
          </cell>
          <cell r="O1459">
            <v>20060220</v>
          </cell>
          <cell r="P1459" t="str">
            <v>PYROBOR 25KG BAG (002)</v>
          </cell>
          <cell r="Q1459" t="str">
            <v>Pyrobor</v>
          </cell>
          <cell r="R1459">
            <v>13.42</v>
          </cell>
          <cell r="S1459">
            <v>7922.59</v>
          </cell>
        </row>
        <row r="1460">
          <cell r="A1460" t="str">
            <v>Budget</v>
          </cell>
          <cell r="B1460">
            <v>2</v>
          </cell>
          <cell r="C1460" t="str">
            <v>Export</v>
          </cell>
          <cell r="D1460">
            <v>57</v>
          </cell>
          <cell r="E1460">
            <v>9446</v>
          </cell>
          <cell r="F1460" t="str">
            <v>PROTEA CHEMICALS (INLAND)</v>
          </cell>
          <cell r="G1460" t="str">
            <v>E</v>
          </cell>
          <cell r="H1460" t="str">
            <v>GAUTENG, RSA</v>
          </cell>
          <cell r="J1460" t="str">
            <v>SAE</v>
          </cell>
          <cell r="K1460" t="str">
            <v>AMSERV CHEMICALS PTY LTD</v>
          </cell>
          <cell r="M1460" t="str">
            <v>SAE</v>
          </cell>
          <cell r="N1460" t="str">
            <v>C</v>
          </cell>
          <cell r="O1460">
            <v>20060228</v>
          </cell>
          <cell r="P1460" t="str">
            <v>PYROBOR 25KG BAG (002), WOOD</v>
          </cell>
          <cell r="Q1460" t="str">
            <v>Pyrobor</v>
          </cell>
          <cell r="R1460">
            <v>3.48</v>
          </cell>
          <cell r="S1460">
            <v>1716.63</v>
          </cell>
        </row>
        <row r="1461">
          <cell r="A1461" t="str">
            <v>Budget</v>
          </cell>
          <cell r="B1461">
            <v>2</v>
          </cell>
          <cell r="C1461" t="str">
            <v>Export</v>
          </cell>
          <cell r="D1461">
            <v>57</v>
          </cell>
          <cell r="E1461">
            <v>9450</v>
          </cell>
          <cell r="F1461" t="str">
            <v>FERRO MEXICANA</v>
          </cell>
          <cell r="G1461" t="str">
            <v>E</v>
          </cell>
          <cell r="H1461" t="str">
            <v>LAREDO</v>
          </cell>
          <cell r="J1461" t="str">
            <v>MEX</v>
          </cell>
          <cell r="K1461" t="str">
            <v>FERRO MEXICANA</v>
          </cell>
          <cell r="M1461" t="str">
            <v>MEX</v>
          </cell>
          <cell r="N1461" t="str">
            <v>C</v>
          </cell>
          <cell r="O1461">
            <v>20060200</v>
          </cell>
          <cell r="P1461" t="str">
            <v>PYROBOR ANHY BORAX BULK (002)</v>
          </cell>
          <cell r="Q1461" t="str">
            <v>Pyrobor</v>
          </cell>
          <cell r="R1461">
            <v>15.7</v>
          </cell>
          <cell r="S1461">
            <v>6783.43</v>
          </cell>
        </row>
        <row r="1462">
          <cell r="A1462" t="str">
            <v>Budget</v>
          </cell>
          <cell r="B1462">
            <v>2</v>
          </cell>
          <cell r="C1462" t="str">
            <v>Export</v>
          </cell>
          <cell r="D1462">
            <v>57</v>
          </cell>
          <cell r="E1462">
            <v>9475</v>
          </cell>
          <cell r="F1462" t="str">
            <v>ABONOS COLOMBIANOS S.A.</v>
          </cell>
          <cell r="G1462" t="str">
            <v>E</v>
          </cell>
          <cell r="H1462" t="str">
            <v>CARTAGENA</v>
          </cell>
          <cell r="J1462" t="str">
            <v>COL</v>
          </cell>
          <cell r="K1462" t="str">
            <v>AQUITECNO LTDA</v>
          </cell>
          <cell r="M1462" t="str">
            <v>COL</v>
          </cell>
          <cell r="N1462" t="str">
            <v>C</v>
          </cell>
          <cell r="O1462">
            <v>22060428</v>
          </cell>
          <cell r="P1462" t="str">
            <v>V-BOR 25KG BAG (004), WOOD</v>
          </cell>
          <cell r="Q1462" t="str">
            <v>Penta</v>
          </cell>
          <cell r="R1462">
            <v>6.97</v>
          </cell>
          <cell r="S1462">
            <v>1623.92</v>
          </cell>
        </row>
        <row r="1463">
          <cell r="A1463" t="str">
            <v>Budget</v>
          </cell>
          <cell r="B1463">
            <v>2</v>
          </cell>
          <cell r="C1463" t="str">
            <v>Export</v>
          </cell>
          <cell r="D1463">
            <v>57</v>
          </cell>
          <cell r="E1463">
            <v>9485</v>
          </cell>
          <cell r="F1463" t="str">
            <v>NORTHERN BORATES PVT. LTD.</v>
          </cell>
          <cell r="G1463" t="str">
            <v>E</v>
          </cell>
          <cell r="H1463" t="str">
            <v>KANPUR</v>
          </cell>
          <cell r="J1463" t="str">
            <v>IND</v>
          </cell>
          <cell r="K1463" t="str">
            <v>RISHI ENTERPRISES</v>
          </cell>
          <cell r="M1463" t="str">
            <v>IND</v>
          </cell>
          <cell r="N1463" t="str">
            <v>C</v>
          </cell>
          <cell r="O1463" t="str">
            <v>220604B8</v>
          </cell>
          <cell r="P1463" t="str">
            <v>V-BOR 25KG POLYBAG,WOOD (004)</v>
          </cell>
          <cell r="Q1463" t="str">
            <v>Penta</v>
          </cell>
          <cell r="R1463">
            <v>20.91</v>
          </cell>
          <cell r="S1463">
            <v>5043.46</v>
          </cell>
        </row>
        <row r="1464">
          <cell r="A1464" t="str">
            <v>Budget</v>
          </cell>
          <cell r="B1464">
            <v>2</v>
          </cell>
          <cell r="C1464" t="str">
            <v>Export</v>
          </cell>
          <cell r="D1464">
            <v>57</v>
          </cell>
          <cell r="E1464">
            <v>9489</v>
          </cell>
          <cell r="F1464" t="str">
            <v>EDALBRAS INDUSTRIA E COMERCIO</v>
          </cell>
          <cell r="G1464" t="str">
            <v>E</v>
          </cell>
          <cell r="H1464" t="str">
            <v>PARANAGUA-PR</v>
          </cell>
          <cell r="J1464" t="str">
            <v>BRZ</v>
          </cell>
          <cell r="K1464" t="str">
            <v>TCN - CONSULTORIA E</v>
          </cell>
          <cell r="M1464" t="str">
            <v>BRZ</v>
          </cell>
          <cell r="N1464" t="str">
            <v>C</v>
          </cell>
          <cell r="O1464">
            <v>40060400</v>
          </cell>
          <cell r="P1464" t="str">
            <v>SODIUM SULFATE STANDARD BULK</v>
          </cell>
          <cell r="Q1464" t="str">
            <v>Sodium Sulfate</v>
          </cell>
          <cell r="R1464">
            <v>872.53</v>
          </cell>
          <cell r="S1464">
            <v>18776.66</v>
          </cell>
        </row>
        <row r="1465">
          <cell r="A1465" t="str">
            <v>Budget</v>
          </cell>
          <cell r="B1465">
            <v>2</v>
          </cell>
          <cell r="C1465" t="str">
            <v>Export</v>
          </cell>
          <cell r="D1465">
            <v>57</v>
          </cell>
          <cell r="E1465">
            <v>9493</v>
          </cell>
          <cell r="F1465" t="str">
            <v>HINDALCO INDUSTRIES LIMITED</v>
          </cell>
          <cell r="G1465" t="str">
            <v>E</v>
          </cell>
          <cell r="H1465" t="str">
            <v>DISTRICT SONBHADRA (U.P),</v>
          </cell>
          <cell r="J1465" t="str">
            <v>IND</v>
          </cell>
          <cell r="K1465" t="str">
            <v>RISHI ENTERPRISES</v>
          </cell>
          <cell r="M1465" t="str">
            <v>IND</v>
          </cell>
          <cell r="N1465" t="str">
            <v>C</v>
          </cell>
          <cell r="O1465" t="str">
            <v>220604B8</v>
          </cell>
          <cell r="P1465" t="str">
            <v>V-BOR 25KG POLYBAG,WOOD (004)</v>
          </cell>
          <cell r="Q1465" t="str">
            <v>Penta</v>
          </cell>
          <cell r="R1465">
            <v>3.48</v>
          </cell>
          <cell r="S1465">
            <v>861.52</v>
          </cell>
        </row>
        <row r="1466">
          <cell r="A1466" t="str">
            <v>Budget</v>
          </cell>
          <cell r="B1466">
            <v>2</v>
          </cell>
          <cell r="C1466" t="str">
            <v>Export</v>
          </cell>
          <cell r="D1466">
            <v>57</v>
          </cell>
          <cell r="E1466">
            <v>9504</v>
          </cell>
          <cell r="F1466" t="str">
            <v>SWIFT/STOCK FREMANTLE</v>
          </cell>
          <cell r="G1466" t="str">
            <v>E</v>
          </cell>
          <cell r="H1466" t="str">
            <v>FREMANTLE</v>
          </cell>
          <cell r="J1466" t="str">
            <v>AUS</v>
          </cell>
          <cell r="K1466" t="str">
            <v>SWIFT AND COMPANY LIMITED</v>
          </cell>
          <cell r="M1466" t="str">
            <v>AUS</v>
          </cell>
          <cell r="N1466" t="str">
            <v>C</v>
          </cell>
          <cell r="O1466">
            <v>20150220</v>
          </cell>
          <cell r="P1466" t="str">
            <v>PYROBOR COARSE 25KG BAG (002)</v>
          </cell>
          <cell r="Q1466" t="str">
            <v>Pyrobor</v>
          </cell>
          <cell r="R1466">
            <v>3.48</v>
          </cell>
          <cell r="S1466">
            <v>1663.93</v>
          </cell>
        </row>
        <row r="1467">
          <cell r="A1467" t="str">
            <v>Budget</v>
          </cell>
          <cell r="B1467">
            <v>2</v>
          </cell>
          <cell r="C1467" t="str">
            <v>Export</v>
          </cell>
          <cell r="D1467">
            <v>57</v>
          </cell>
          <cell r="E1467">
            <v>9516</v>
          </cell>
          <cell r="F1467" t="str">
            <v>SWIFT AND CO./COOL &amp; COSY</v>
          </cell>
          <cell r="G1467" t="str">
            <v>E</v>
          </cell>
          <cell r="H1467" t="str">
            <v>ADELAIDE</v>
          </cell>
          <cell r="J1467" t="str">
            <v>AUS</v>
          </cell>
          <cell r="K1467" t="str">
            <v>SWIFT AND COMPANY LIMITED</v>
          </cell>
          <cell r="M1467" t="str">
            <v>AUS</v>
          </cell>
          <cell r="N1467" t="str">
            <v>C</v>
          </cell>
          <cell r="O1467">
            <v>23060220</v>
          </cell>
          <cell r="P1467" t="str">
            <v>DECA BORAX STD 25KG BAG</v>
          </cell>
          <cell r="Q1467" t="str">
            <v>Deca</v>
          </cell>
          <cell r="R1467">
            <v>3.48</v>
          </cell>
          <cell r="S1467">
            <v>753.87</v>
          </cell>
        </row>
        <row r="1468">
          <cell r="A1468" t="str">
            <v>Budget</v>
          </cell>
          <cell r="B1468">
            <v>2</v>
          </cell>
          <cell r="C1468" t="str">
            <v>House</v>
          </cell>
          <cell r="D1468">
            <v>21</v>
          </cell>
          <cell r="E1468">
            <v>7971</v>
          </cell>
          <cell r="F1468" t="str">
            <v>SOCIETA CHIMICA LARDERELLO</v>
          </cell>
          <cell r="G1468" t="str">
            <v>E</v>
          </cell>
          <cell r="H1468" t="str">
            <v>LARDERELLO-PISA</v>
          </cell>
          <cell r="J1468" t="str">
            <v>ITA</v>
          </cell>
          <cell r="K1468" t="str">
            <v>SOCIETA CHIMICA LARDERELLO</v>
          </cell>
          <cell r="M1468" t="str">
            <v>ITA</v>
          </cell>
          <cell r="N1468" t="str">
            <v>C</v>
          </cell>
          <cell r="O1468">
            <v>20060228</v>
          </cell>
          <cell r="P1468" t="str">
            <v>PYROBOR 25KG BAG (002), WOOD</v>
          </cell>
          <cell r="Q1468" t="str">
            <v>Pyrobor</v>
          </cell>
          <cell r="R1468">
            <v>10.45</v>
          </cell>
          <cell r="S1468">
            <v>6566.36</v>
          </cell>
        </row>
        <row r="1469">
          <cell r="A1469" t="str">
            <v>Budget</v>
          </cell>
          <cell r="B1469">
            <v>2</v>
          </cell>
          <cell r="C1469" t="str">
            <v>House</v>
          </cell>
          <cell r="D1469">
            <v>21</v>
          </cell>
          <cell r="E1469">
            <v>8787</v>
          </cell>
          <cell r="F1469" t="str">
            <v>FERRO (THAILAND) CO., LTD.</v>
          </cell>
          <cell r="G1469" t="str">
            <v>E</v>
          </cell>
          <cell r="H1469" t="str">
            <v>BANGKOK</v>
          </cell>
          <cell r="J1469" t="str">
            <v>THA</v>
          </cell>
          <cell r="K1469" t="str">
            <v>FERRO (THAILAND) CO., LTD.</v>
          </cell>
          <cell r="M1469" t="str">
            <v>THA</v>
          </cell>
          <cell r="N1469" t="str">
            <v>C</v>
          </cell>
          <cell r="O1469">
            <v>22060428</v>
          </cell>
          <cell r="P1469" t="str">
            <v>V-BOR 25KG BAG (004), WOOD</v>
          </cell>
          <cell r="Q1469" t="str">
            <v>Penta</v>
          </cell>
          <cell r="R1469">
            <v>41.82</v>
          </cell>
          <cell r="S1469">
            <v>9945.57</v>
          </cell>
        </row>
        <row r="1470">
          <cell r="A1470" t="str">
            <v>Budget</v>
          </cell>
          <cell r="B1470">
            <v>2</v>
          </cell>
          <cell r="C1470" t="str">
            <v>House</v>
          </cell>
          <cell r="D1470">
            <v>21</v>
          </cell>
          <cell r="E1470">
            <v>9141</v>
          </cell>
          <cell r="F1470" t="str">
            <v>SOCIETA CHIMICA LARDERELLO SPA</v>
          </cell>
          <cell r="G1470" t="str">
            <v>E</v>
          </cell>
          <cell r="H1470" t="str">
            <v>LARDERELLO-PISA</v>
          </cell>
          <cell r="J1470" t="str">
            <v>ITA</v>
          </cell>
          <cell r="K1470" t="str">
            <v>SOCIETA CHIMICA LARDERELLO SPA</v>
          </cell>
          <cell r="M1470" t="str">
            <v>ITA</v>
          </cell>
          <cell r="N1470" t="str">
            <v>C</v>
          </cell>
          <cell r="O1470">
            <v>22060428</v>
          </cell>
          <cell r="P1470" t="str">
            <v>V-BOR 25KG BAG (004), WOOD</v>
          </cell>
          <cell r="Q1470" t="str">
            <v>Penta</v>
          </cell>
          <cell r="R1470">
            <v>39.619999999999997</v>
          </cell>
          <cell r="S1470">
            <v>7923.5</v>
          </cell>
        </row>
        <row r="1471">
          <cell r="A1471" t="str">
            <v>Budget</v>
          </cell>
          <cell r="B1471">
            <v>2</v>
          </cell>
          <cell r="C1471" t="str">
            <v>House</v>
          </cell>
          <cell r="D1471">
            <v>21</v>
          </cell>
          <cell r="E1471">
            <v>9141</v>
          </cell>
          <cell r="F1471" t="str">
            <v>SOCIETA CHIMICA LARDERELLO SPA</v>
          </cell>
          <cell r="G1471" t="str">
            <v>E</v>
          </cell>
          <cell r="H1471" t="str">
            <v>LARDERELLO-PISA</v>
          </cell>
          <cell r="J1471" t="str">
            <v>ITA</v>
          </cell>
          <cell r="K1471" t="str">
            <v>SOCIETA CHIMICA LARDERELLO SPA</v>
          </cell>
          <cell r="M1471" t="str">
            <v>ITA</v>
          </cell>
          <cell r="N1471" t="str">
            <v>C</v>
          </cell>
          <cell r="O1471">
            <v>22060481</v>
          </cell>
          <cell r="P1471" t="str">
            <v>V-BOR 1 MT FIBC</v>
          </cell>
          <cell r="Q1471" t="str">
            <v>Penta</v>
          </cell>
          <cell r="R1471">
            <v>333.33</v>
          </cell>
          <cell r="S1471">
            <v>66666.67</v>
          </cell>
        </row>
        <row r="1472">
          <cell r="A1472" t="str">
            <v>Budget</v>
          </cell>
          <cell r="B1472">
            <v>2</v>
          </cell>
          <cell r="C1472" t="str">
            <v>House</v>
          </cell>
          <cell r="D1472">
            <v>21</v>
          </cell>
          <cell r="E1472">
            <v>9141</v>
          </cell>
          <cell r="F1472" t="str">
            <v>SOCIETA CHIMICA LARDERELLO SPA</v>
          </cell>
          <cell r="G1472" t="str">
            <v>E</v>
          </cell>
          <cell r="H1472" t="str">
            <v>LARDERELLO-PISA</v>
          </cell>
          <cell r="J1472" t="str">
            <v>ITA</v>
          </cell>
          <cell r="K1472" t="str">
            <v>SOCIETA CHIMICA LARDERELLO SPA</v>
          </cell>
          <cell r="M1472" t="str">
            <v>ITA</v>
          </cell>
          <cell r="N1472" t="str">
            <v>C</v>
          </cell>
          <cell r="O1472" t="str">
            <v>220604B8</v>
          </cell>
          <cell r="P1472" t="str">
            <v>V-BOR 25KG POLYBAG,WOOD (004)</v>
          </cell>
          <cell r="Q1472" t="str">
            <v>Penta</v>
          </cell>
          <cell r="R1472">
            <v>39.619999999999997</v>
          </cell>
          <cell r="S1472">
            <v>7923.5</v>
          </cell>
        </row>
        <row r="1473">
          <cell r="A1473" t="str">
            <v>Budget</v>
          </cell>
          <cell r="B1473">
            <v>2</v>
          </cell>
          <cell r="C1473" t="str">
            <v>House</v>
          </cell>
          <cell r="D1473">
            <v>21</v>
          </cell>
          <cell r="E1473">
            <v>9141</v>
          </cell>
          <cell r="F1473" t="str">
            <v>SOCIETA CHIMICA LARDERELLO SPA</v>
          </cell>
          <cell r="G1473" t="str">
            <v>E</v>
          </cell>
          <cell r="H1473" t="str">
            <v>LARDERELLO-PISA</v>
          </cell>
          <cell r="J1473" t="str">
            <v>ITA</v>
          </cell>
          <cell r="K1473" t="str">
            <v>SOCIETA CHIMICA LARDERELLO SPA</v>
          </cell>
          <cell r="M1473" t="str">
            <v>ITA</v>
          </cell>
          <cell r="N1473" t="str">
            <v>C</v>
          </cell>
          <cell r="O1473">
            <v>23060281</v>
          </cell>
          <cell r="P1473" t="str">
            <v>DECA BORAX 1 MT (SCL) FIBC</v>
          </cell>
          <cell r="Q1473" t="str">
            <v>Deca</v>
          </cell>
          <cell r="R1473">
            <v>97.65</v>
          </cell>
          <cell r="S1473">
            <v>22947.02</v>
          </cell>
        </row>
        <row r="1474">
          <cell r="A1474" t="str">
            <v>Budget</v>
          </cell>
          <cell r="B1474">
            <v>2</v>
          </cell>
          <cell r="C1474" t="str">
            <v>House</v>
          </cell>
          <cell r="D1474">
            <v>21</v>
          </cell>
          <cell r="E1474">
            <v>9141</v>
          </cell>
          <cell r="F1474" t="str">
            <v>SOCIETA CHIMICA LARDERELLO SPA</v>
          </cell>
          <cell r="G1474" t="str">
            <v>E</v>
          </cell>
          <cell r="H1474" t="str">
            <v>LARDERELLO-PISA</v>
          </cell>
          <cell r="J1474" t="str">
            <v>ITA</v>
          </cell>
          <cell r="K1474" t="str">
            <v>SOCIETA CHIMICA LARDERELLO SPA</v>
          </cell>
          <cell r="M1474" t="str">
            <v>ITA</v>
          </cell>
          <cell r="N1474" t="str">
            <v>C</v>
          </cell>
          <cell r="O1474">
            <v>23160228</v>
          </cell>
          <cell r="P1474" t="str">
            <v>DECA BORAX X CRS 25KG BAG WOOD</v>
          </cell>
          <cell r="Q1474" t="str">
            <v>Deca</v>
          </cell>
          <cell r="R1474">
            <v>87.12</v>
          </cell>
          <cell r="S1474">
            <v>20473.400000000001</v>
          </cell>
        </row>
        <row r="1475">
          <cell r="A1475" t="str">
            <v>Budget</v>
          </cell>
          <cell r="B1475">
            <v>2</v>
          </cell>
          <cell r="C1475" t="str">
            <v>House</v>
          </cell>
          <cell r="D1475">
            <v>22</v>
          </cell>
          <cell r="E1475">
            <v>6888</v>
          </cell>
          <cell r="F1475" t="str">
            <v>PACIFIC SALT &amp; CHEM CO</v>
          </cell>
          <cell r="G1475" t="str">
            <v>D</v>
          </cell>
          <cell r="H1475" t="str">
            <v>ENCINO</v>
          </cell>
          <cell r="I1475" t="str">
            <v>CA</v>
          </cell>
          <cell r="J1475" t="str">
            <v>USA</v>
          </cell>
          <cell r="K1475" t="str">
            <v>PACIFIC SALT &amp; CHEM CO</v>
          </cell>
          <cell r="L1475" t="str">
            <v>CA</v>
          </cell>
          <cell r="M1475" t="str">
            <v>USA</v>
          </cell>
          <cell r="N1475" t="str">
            <v>C</v>
          </cell>
          <cell r="O1475">
            <v>71060200</v>
          </cell>
          <cell r="P1475" t="str">
            <v>SURFACE SALT BULK</v>
          </cell>
          <cell r="Q1475" t="str">
            <v>Surface Salt</v>
          </cell>
          <cell r="R1475">
            <v>10000</v>
          </cell>
          <cell r="S1475">
            <v>35000</v>
          </cell>
        </row>
        <row r="1476">
          <cell r="A1476" t="str">
            <v>Budget</v>
          </cell>
          <cell r="B1476">
            <v>2</v>
          </cell>
          <cell r="C1476" t="str">
            <v>House</v>
          </cell>
          <cell r="D1476">
            <v>23</v>
          </cell>
          <cell r="E1476">
            <v>5072</v>
          </cell>
          <cell r="F1476" t="str">
            <v>SAINT-GOBAIN CONTAINER</v>
          </cell>
          <cell r="G1476" t="str">
            <v>D</v>
          </cell>
          <cell r="H1476" t="str">
            <v>EL MONTE</v>
          </cell>
          <cell r="I1476" t="str">
            <v>CA</v>
          </cell>
          <cell r="J1476" t="str">
            <v>USA</v>
          </cell>
          <cell r="K1476" t="str">
            <v>SAINT-GOBAIN CONTAINER</v>
          </cell>
          <cell r="L1476" t="str">
            <v>CA</v>
          </cell>
          <cell r="M1476" t="str">
            <v>USA</v>
          </cell>
          <cell r="N1476" t="str">
            <v>C</v>
          </cell>
          <cell r="O1476">
            <v>30210100</v>
          </cell>
          <cell r="P1476" t="str">
            <v>SODA ASH DENSE BULK</v>
          </cell>
          <cell r="Q1476" t="str">
            <v>Soda Ash</v>
          </cell>
          <cell r="R1476">
            <v>1914.08</v>
          </cell>
          <cell r="S1476">
            <v>135899.92000000001</v>
          </cell>
        </row>
        <row r="1477">
          <cell r="A1477" t="str">
            <v>Budget</v>
          </cell>
          <cell r="B1477">
            <v>2</v>
          </cell>
          <cell r="C1477" t="str">
            <v>House</v>
          </cell>
          <cell r="D1477">
            <v>23</v>
          </cell>
          <cell r="E1477">
            <v>5072</v>
          </cell>
          <cell r="F1477" t="str">
            <v>SAINT-GOBAIN CONTAINER</v>
          </cell>
          <cell r="G1477" t="str">
            <v>D</v>
          </cell>
          <cell r="H1477" t="str">
            <v>EL MONTE</v>
          </cell>
          <cell r="I1477" t="str">
            <v>CA</v>
          </cell>
          <cell r="J1477" t="str">
            <v>USA</v>
          </cell>
          <cell r="K1477" t="str">
            <v>SAINT-GOBAIN CONTAINER</v>
          </cell>
          <cell r="L1477" t="str">
            <v>CA</v>
          </cell>
          <cell r="M1477" t="str">
            <v>USA</v>
          </cell>
          <cell r="N1477" t="str">
            <v>C</v>
          </cell>
          <cell r="O1477">
            <v>40060400</v>
          </cell>
          <cell r="P1477" t="str">
            <v>SODIUM SULFATE STANDARD BULK</v>
          </cell>
          <cell r="Q1477" t="str">
            <v>Sodium Sulfate</v>
          </cell>
          <cell r="R1477">
            <v>38.29</v>
          </cell>
          <cell r="S1477">
            <v>4958.49</v>
          </cell>
        </row>
        <row r="1478">
          <cell r="A1478" t="str">
            <v>Budget</v>
          </cell>
          <cell r="B1478">
            <v>2</v>
          </cell>
          <cell r="C1478" t="str">
            <v>House</v>
          </cell>
          <cell r="D1478">
            <v>23</v>
          </cell>
          <cell r="E1478">
            <v>5187</v>
          </cell>
          <cell r="F1478" t="str">
            <v>SAINT-GOBAIN CONTAINER</v>
          </cell>
          <cell r="G1478" t="str">
            <v>D</v>
          </cell>
          <cell r="H1478" t="str">
            <v>LOS ANGELES</v>
          </cell>
          <cell r="I1478" t="str">
            <v>CA</v>
          </cell>
          <cell r="J1478" t="str">
            <v>USA</v>
          </cell>
          <cell r="K1478" t="str">
            <v>SAINT-GOBAIN CONTAINER</v>
          </cell>
          <cell r="L1478" t="str">
            <v>CA</v>
          </cell>
          <cell r="M1478" t="str">
            <v>USA</v>
          </cell>
          <cell r="N1478" t="str">
            <v>C</v>
          </cell>
          <cell r="O1478">
            <v>30210100</v>
          </cell>
          <cell r="P1478" t="str">
            <v>SODA ASH DENSE BULK</v>
          </cell>
          <cell r="Q1478" t="str">
            <v>Soda Ash</v>
          </cell>
          <cell r="R1478">
            <v>722</v>
          </cell>
          <cell r="S1478">
            <v>49839.66</v>
          </cell>
        </row>
        <row r="1479">
          <cell r="A1479" t="str">
            <v>Budget</v>
          </cell>
          <cell r="B1479">
            <v>2</v>
          </cell>
          <cell r="C1479" t="str">
            <v>House</v>
          </cell>
          <cell r="D1479">
            <v>23</v>
          </cell>
          <cell r="E1479">
            <v>5187</v>
          </cell>
          <cell r="F1479" t="str">
            <v>SAINT-GOBAIN CONTAINER</v>
          </cell>
          <cell r="G1479" t="str">
            <v>D</v>
          </cell>
          <cell r="H1479" t="str">
            <v>LOS ANGELES</v>
          </cell>
          <cell r="I1479" t="str">
            <v>CA</v>
          </cell>
          <cell r="J1479" t="str">
            <v>USA</v>
          </cell>
          <cell r="K1479" t="str">
            <v>SAINT-GOBAIN CONTAINER</v>
          </cell>
          <cell r="L1479" t="str">
            <v>CA</v>
          </cell>
          <cell r="M1479" t="str">
            <v>USA</v>
          </cell>
          <cell r="N1479" t="str">
            <v>C</v>
          </cell>
          <cell r="O1479">
            <v>40060450</v>
          </cell>
          <cell r="P1479" t="str">
            <v>SODIUM SULFATE STD 1TN FIBC</v>
          </cell>
          <cell r="Q1479" t="str">
            <v>Sodium Sulfate</v>
          </cell>
          <cell r="R1479">
            <v>17.43</v>
          </cell>
          <cell r="S1479">
            <v>2196.44</v>
          </cell>
        </row>
        <row r="1480">
          <cell r="A1480" t="str">
            <v>Budget</v>
          </cell>
          <cell r="B1480">
            <v>2</v>
          </cell>
          <cell r="C1480" t="str">
            <v>House</v>
          </cell>
          <cell r="D1480">
            <v>23</v>
          </cell>
          <cell r="E1480">
            <v>5303</v>
          </cell>
          <cell r="F1480" t="str">
            <v>OWENS-BROCKWAY GLASS CONTAINER</v>
          </cell>
          <cell r="G1480" t="str">
            <v>D</v>
          </cell>
          <cell r="H1480" t="str">
            <v>TRACY</v>
          </cell>
          <cell r="I1480" t="str">
            <v>CA</v>
          </cell>
          <cell r="J1480" t="str">
            <v>USA</v>
          </cell>
          <cell r="K1480" t="str">
            <v>OWENS-BROCKWAY GLASS CONTAINER</v>
          </cell>
          <cell r="L1480" t="str">
            <v>CA</v>
          </cell>
          <cell r="M1480" t="str">
            <v>USA</v>
          </cell>
          <cell r="N1480" t="str">
            <v>C</v>
          </cell>
          <cell r="O1480">
            <v>30210100</v>
          </cell>
          <cell r="P1480" t="str">
            <v>SODA ASH DENSE BULK</v>
          </cell>
          <cell r="Q1480" t="str">
            <v>Soda Ash</v>
          </cell>
          <cell r="R1480">
            <v>2583.73</v>
          </cell>
          <cell r="S1480">
            <v>176985.53</v>
          </cell>
        </row>
        <row r="1481">
          <cell r="A1481" t="str">
            <v>Budget</v>
          </cell>
          <cell r="B1481">
            <v>2</v>
          </cell>
          <cell r="C1481" t="str">
            <v>House</v>
          </cell>
          <cell r="D1481">
            <v>23</v>
          </cell>
          <cell r="E1481">
            <v>5305</v>
          </cell>
          <cell r="F1481" t="str">
            <v>OWENS-BROCKWAY GLASS CONTAINER</v>
          </cell>
          <cell r="G1481" t="str">
            <v>D</v>
          </cell>
          <cell r="H1481" t="str">
            <v>OAKLAND</v>
          </cell>
          <cell r="I1481" t="str">
            <v>CA</v>
          </cell>
          <cell r="J1481" t="str">
            <v>USA</v>
          </cell>
          <cell r="K1481" t="str">
            <v>OWENS-BROCKWAY GLASS CONTAINER</v>
          </cell>
          <cell r="L1481" t="str">
            <v>CA</v>
          </cell>
          <cell r="M1481" t="str">
            <v>USA</v>
          </cell>
          <cell r="N1481" t="str">
            <v>C</v>
          </cell>
          <cell r="O1481">
            <v>30210100</v>
          </cell>
          <cell r="P1481" t="str">
            <v>SODA ASH DENSE BULK</v>
          </cell>
          <cell r="Q1481" t="str">
            <v>Soda Ash</v>
          </cell>
          <cell r="R1481">
            <v>2495.54</v>
          </cell>
          <cell r="S1481">
            <v>170944.51</v>
          </cell>
        </row>
        <row r="1482">
          <cell r="A1482" t="str">
            <v>Budget</v>
          </cell>
          <cell r="B1482">
            <v>2</v>
          </cell>
          <cell r="C1482" t="str">
            <v>House</v>
          </cell>
          <cell r="D1482">
            <v>23</v>
          </cell>
          <cell r="E1482">
            <v>5308</v>
          </cell>
          <cell r="F1482" t="str">
            <v>OWENS-BROCKWAY GLASS CONTAINER</v>
          </cell>
          <cell r="G1482" t="str">
            <v>D</v>
          </cell>
          <cell r="H1482" t="str">
            <v>VERNON</v>
          </cell>
          <cell r="I1482" t="str">
            <v>CA</v>
          </cell>
          <cell r="J1482" t="str">
            <v>USA</v>
          </cell>
          <cell r="K1482" t="str">
            <v>OWENS-BROCKWAY GLASS CONTAINER</v>
          </cell>
          <cell r="L1482" t="str">
            <v>CA</v>
          </cell>
          <cell r="M1482" t="str">
            <v>USA</v>
          </cell>
          <cell r="N1482" t="str">
            <v>C</v>
          </cell>
          <cell r="O1482">
            <v>30210100</v>
          </cell>
          <cell r="P1482" t="str">
            <v>SODA ASH DENSE BULK</v>
          </cell>
          <cell r="Q1482" t="str">
            <v>Soda Ash</v>
          </cell>
          <cell r="R1482">
            <v>2088.79</v>
          </cell>
          <cell r="S1482">
            <v>158747.74</v>
          </cell>
        </row>
        <row r="1483">
          <cell r="A1483" t="str">
            <v>Budget</v>
          </cell>
          <cell r="B1483">
            <v>2</v>
          </cell>
          <cell r="C1483" t="str">
            <v>House</v>
          </cell>
          <cell r="D1483">
            <v>23</v>
          </cell>
          <cell r="E1483">
            <v>5671</v>
          </cell>
          <cell r="F1483" t="str">
            <v>OWENS-ILLINOIS GLASS CONTAINER</v>
          </cell>
          <cell r="G1483" t="str">
            <v>D</v>
          </cell>
          <cell r="H1483" t="str">
            <v>MUSKOGEE</v>
          </cell>
          <cell r="I1483" t="str">
            <v>OK</v>
          </cell>
          <cell r="J1483" t="str">
            <v>USA</v>
          </cell>
          <cell r="K1483" t="str">
            <v>OWENS-BROCKWAY GLASS CONTAINER</v>
          </cell>
          <cell r="L1483" t="str">
            <v>OK</v>
          </cell>
          <cell r="M1483" t="str">
            <v>USA</v>
          </cell>
          <cell r="N1483" t="str">
            <v>C</v>
          </cell>
          <cell r="O1483">
            <v>30218800</v>
          </cell>
          <cell r="P1483" t="str">
            <v>SODA ASH DENSE BULK (088)</v>
          </cell>
          <cell r="Q1483" t="str">
            <v>Soda Ash</v>
          </cell>
          <cell r="R1483">
            <v>2377.0500000000002</v>
          </cell>
          <cell r="S1483">
            <v>154508.20000000001</v>
          </cell>
        </row>
        <row r="1484">
          <cell r="A1484" t="str">
            <v>Budget</v>
          </cell>
          <cell r="B1484">
            <v>2</v>
          </cell>
          <cell r="C1484" t="str">
            <v>House</v>
          </cell>
          <cell r="D1484">
            <v>23</v>
          </cell>
          <cell r="E1484">
            <v>6042</v>
          </cell>
          <cell r="F1484" t="str">
            <v>INACTIVE-OWENS-BROCKWAY GLASS</v>
          </cell>
          <cell r="G1484" t="str">
            <v>D</v>
          </cell>
          <cell r="H1484" t="str">
            <v>HAYWARD</v>
          </cell>
          <cell r="I1484" t="str">
            <v>CA</v>
          </cell>
          <cell r="J1484" t="str">
            <v>USA</v>
          </cell>
          <cell r="K1484" t="str">
            <v>INACTIVE-OWENS-BROCKWAY GLASS</v>
          </cell>
          <cell r="L1484" t="str">
            <v>CA</v>
          </cell>
          <cell r="M1484" t="str">
            <v>USA</v>
          </cell>
          <cell r="N1484" t="str">
            <v>C</v>
          </cell>
          <cell r="O1484">
            <v>30210100</v>
          </cell>
          <cell r="P1484" t="str">
            <v>SODA ASH DENSE BULK</v>
          </cell>
          <cell r="Q1484" t="str">
            <v>Soda Ash</v>
          </cell>
          <cell r="R1484">
            <v>645.01</v>
          </cell>
          <cell r="S1484">
            <v>43879.97</v>
          </cell>
        </row>
        <row r="1485">
          <cell r="A1485" t="str">
            <v>Budget</v>
          </cell>
          <cell r="B1485">
            <v>2</v>
          </cell>
          <cell r="C1485" t="str">
            <v>House</v>
          </cell>
          <cell r="D1485">
            <v>23</v>
          </cell>
          <cell r="E1485">
            <v>7139</v>
          </cell>
          <cell r="F1485" t="str">
            <v>DURAND GLASS MANUFACTURING CO</v>
          </cell>
          <cell r="G1485" t="str">
            <v>D</v>
          </cell>
          <cell r="H1485" t="str">
            <v>MILLVILLE</v>
          </cell>
          <cell r="I1485" t="str">
            <v>NJ</v>
          </cell>
          <cell r="J1485" t="str">
            <v>USA</v>
          </cell>
          <cell r="K1485" t="str">
            <v>DURAND GLASS MFG CO</v>
          </cell>
          <cell r="L1485" t="str">
            <v>NJ</v>
          </cell>
          <cell r="M1485" t="str">
            <v>USA</v>
          </cell>
          <cell r="N1485" t="str">
            <v>C</v>
          </cell>
          <cell r="O1485">
            <v>30219100</v>
          </cell>
          <cell r="P1485" t="str">
            <v>SODA ASH DENSE BULK (091)</v>
          </cell>
          <cell r="Q1485" t="str">
            <v>Soda Ash</v>
          </cell>
          <cell r="R1485">
            <v>982.08</v>
          </cell>
          <cell r="S1485">
            <v>71731.37</v>
          </cell>
        </row>
        <row r="1486">
          <cell r="A1486" t="str">
            <v>Budget</v>
          </cell>
          <cell r="B1486">
            <v>2</v>
          </cell>
          <cell r="C1486" t="str">
            <v>House</v>
          </cell>
          <cell r="D1486">
            <v>23</v>
          </cell>
          <cell r="E1486">
            <v>8261</v>
          </cell>
          <cell r="F1486" t="str">
            <v>NUTRIUS INCORPORATED</v>
          </cell>
          <cell r="G1486" t="str">
            <v>D</v>
          </cell>
          <cell r="H1486" t="str">
            <v>KINGSBURG</v>
          </cell>
          <cell r="I1486" t="str">
            <v>CA</v>
          </cell>
          <cell r="J1486" t="str">
            <v>USA</v>
          </cell>
          <cell r="K1486" t="str">
            <v>NUTRIUS INCORPORATED</v>
          </cell>
          <cell r="L1486" t="str">
            <v>CA</v>
          </cell>
          <cell r="M1486" t="str">
            <v>USA</v>
          </cell>
          <cell r="N1486" t="str">
            <v>C</v>
          </cell>
          <cell r="O1486">
            <v>50060100</v>
          </cell>
          <cell r="P1486" t="str">
            <v>BIO-CARB, BULK</v>
          </cell>
          <cell r="Q1486" t="str">
            <v>Sodium Bicarb</v>
          </cell>
          <cell r="R1486">
            <v>833.33</v>
          </cell>
          <cell r="S1486">
            <v>75000</v>
          </cell>
        </row>
        <row r="1487">
          <cell r="A1487" t="str">
            <v>Budget</v>
          </cell>
          <cell r="B1487">
            <v>2</v>
          </cell>
          <cell r="C1487" t="str">
            <v>House</v>
          </cell>
          <cell r="D1487">
            <v>23</v>
          </cell>
          <cell r="E1487">
            <v>8928</v>
          </cell>
          <cell r="F1487" t="str">
            <v>OWENS-BROCKWAY GLASS CONTAINER</v>
          </cell>
          <cell r="G1487" t="str">
            <v>D</v>
          </cell>
          <cell r="H1487" t="str">
            <v>STREATOR</v>
          </cell>
          <cell r="I1487" t="str">
            <v>IL</v>
          </cell>
          <cell r="J1487" t="str">
            <v>USA</v>
          </cell>
          <cell r="K1487" t="str">
            <v>OWENS-BROCKWAY GLASS CONTAINER</v>
          </cell>
          <cell r="L1487" t="str">
            <v>IL</v>
          </cell>
          <cell r="M1487" t="str">
            <v>USA</v>
          </cell>
          <cell r="N1487" t="str">
            <v>C</v>
          </cell>
          <cell r="O1487">
            <v>30218800</v>
          </cell>
          <cell r="P1487" t="str">
            <v>SODA ASH DENSE BULK (088)</v>
          </cell>
          <cell r="Q1487" t="str">
            <v>Soda Ash</v>
          </cell>
          <cell r="R1487">
            <v>4468.46</v>
          </cell>
          <cell r="S1487">
            <v>290449.65999999997</v>
          </cell>
        </row>
        <row r="1488">
          <cell r="A1488" t="str">
            <v>Budget</v>
          </cell>
          <cell r="B1488">
            <v>2</v>
          </cell>
          <cell r="C1488" t="str">
            <v>House</v>
          </cell>
          <cell r="D1488">
            <v>23</v>
          </cell>
          <cell r="E1488">
            <v>9191</v>
          </cell>
          <cell r="F1488" t="str">
            <v>O-I CANADA CORP.</v>
          </cell>
          <cell r="G1488" t="str">
            <v>D</v>
          </cell>
          <cell r="H1488" t="str">
            <v>VERNON LAVINGTON</v>
          </cell>
          <cell r="I1488" t="str">
            <v>BC</v>
          </cell>
          <cell r="J1488" t="str">
            <v>CAN</v>
          </cell>
          <cell r="K1488" t="str">
            <v>O-I CANADA CORP.</v>
          </cell>
          <cell r="L1488" t="str">
            <v>BC</v>
          </cell>
          <cell r="M1488" t="str">
            <v>CAN</v>
          </cell>
          <cell r="N1488" t="str">
            <v>C</v>
          </cell>
          <cell r="O1488">
            <v>30218800</v>
          </cell>
          <cell r="P1488" t="str">
            <v>SODA ASH DENSE BULK (088)</v>
          </cell>
          <cell r="Q1488" t="str">
            <v>Soda Ash</v>
          </cell>
          <cell r="R1488">
            <v>1980.87</v>
          </cell>
          <cell r="S1488">
            <v>128756.83</v>
          </cell>
        </row>
        <row r="1489">
          <cell r="A1489" t="str">
            <v>Budget</v>
          </cell>
          <cell r="B1489">
            <v>2</v>
          </cell>
          <cell r="C1489" t="str">
            <v>House</v>
          </cell>
          <cell r="D1489">
            <v>24</v>
          </cell>
          <cell r="E1489">
            <v>7351</v>
          </cell>
          <cell r="F1489" t="str">
            <v>INACTIVE-NEW CUSTOMERS FOR</v>
          </cell>
          <cell r="G1489" t="str">
            <v>E</v>
          </cell>
          <cell r="H1489" t="str">
            <v>OVERLAND PARK</v>
          </cell>
          <cell r="I1489" t="str">
            <v>KS</v>
          </cell>
          <cell r="J1489" t="str">
            <v>USA</v>
          </cell>
          <cell r="K1489" t="str">
            <v>INACTIVE-NEW CUSTOMERS FOR</v>
          </cell>
          <cell r="L1489" t="str">
            <v>KS</v>
          </cell>
          <cell r="M1489" t="str">
            <v>USA</v>
          </cell>
          <cell r="N1489" t="str">
            <v>C</v>
          </cell>
          <cell r="O1489">
            <v>22060400</v>
          </cell>
          <cell r="P1489" t="str">
            <v>V-BOR STD BULK (004)</v>
          </cell>
          <cell r="Q1489" t="str">
            <v>Penta</v>
          </cell>
          <cell r="R1489">
            <v>1901.65</v>
          </cell>
          <cell r="S1489">
            <v>447265.57</v>
          </cell>
        </row>
        <row r="1490">
          <cell r="A1490" t="str">
            <v>Budget</v>
          </cell>
          <cell r="B1490">
            <v>2</v>
          </cell>
          <cell r="C1490" t="str">
            <v>House</v>
          </cell>
          <cell r="D1490">
            <v>24</v>
          </cell>
          <cell r="E1490">
            <v>7351</v>
          </cell>
          <cell r="F1490" t="str">
            <v>INACTIVE-NEW CUSTOMERS FOR</v>
          </cell>
          <cell r="G1490" t="str">
            <v>E</v>
          </cell>
          <cell r="H1490" t="str">
            <v>OVERLAND PARK</v>
          </cell>
          <cell r="I1490" t="str">
            <v>KS</v>
          </cell>
          <cell r="J1490" t="str">
            <v>USA</v>
          </cell>
          <cell r="K1490" t="str">
            <v>INACTIVE-NEW CUSTOMERS FOR</v>
          </cell>
          <cell r="L1490" t="str">
            <v>KS</v>
          </cell>
          <cell r="M1490" t="str">
            <v>USA</v>
          </cell>
          <cell r="N1490" t="str">
            <v>C</v>
          </cell>
          <cell r="O1490">
            <v>26069755</v>
          </cell>
          <cell r="P1490" t="str">
            <v>SODIUM OCTABORATE 1MT FIBC</v>
          </cell>
          <cell r="Q1490" t="str">
            <v>Foliarel (SCL)</v>
          </cell>
          <cell r="R1490">
            <v>4.75</v>
          </cell>
          <cell r="S1490">
            <v>5704.92</v>
          </cell>
        </row>
        <row r="1491">
          <cell r="A1491" t="str">
            <v>Budget</v>
          </cell>
          <cell r="B1491">
            <v>2</v>
          </cell>
          <cell r="C1491" t="str">
            <v>House</v>
          </cell>
          <cell r="D1491">
            <v>24</v>
          </cell>
          <cell r="E1491">
            <v>7351</v>
          </cell>
          <cell r="F1491" t="str">
            <v>INACTIVE-NEW CUSTOMERS FOR</v>
          </cell>
          <cell r="G1491" t="str">
            <v>E</v>
          </cell>
          <cell r="H1491" t="str">
            <v>OVERLAND PARK</v>
          </cell>
          <cell r="I1491" t="str">
            <v>KS</v>
          </cell>
          <cell r="J1491" t="str">
            <v>USA</v>
          </cell>
          <cell r="K1491" t="str">
            <v>INACTIVE-NEW CUSTOMERS FOR</v>
          </cell>
          <cell r="L1491" t="str">
            <v>KS</v>
          </cell>
          <cell r="M1491" t="str">
            <v>USA</v>
          </cell>
          <cell r="N1491" t="str">
            <v>C</v>
          </cell>
          <cell r="O1491">
            <v>30210100</v>
          </cell>
          <cell r="P1491" t="str">
            <v>SODA ASH DENSE BULK</v>
          </cell>
          <cell r="Q1491" t="str">
            <v>Soda Ash</v>
          </cell>
          <cell r="R1491">
            <v>38467.46</v>
          </cell>
          <cell r="S1491">
            <v>3053562.54</v>
          </cell>
        </row>
        <row r="1492">
          <cell r="A1492" t="str">
            <v>Budget</v>
          </cell>
          <cell r="B1492">
            <v>2</v>
          </cell>
          <cell r="C1492" t="str">
            <v>House</v>
          </cell>
          <cell r="D1492">
            <v>24</v>
          </cell>
          <cell r="E1492">
            <v>7351</v>
          </cell>
          <cell r="F1492" t="str">
            <v>INACTIVE-NEW CUSTOMERS FOR</v>
          </cell>
          <cell r="G1492" t="str">
            <v>E</v>
          </cell>
          <cell r="H1492" t="str">
            <v>OVERLAND PARK</v>
          </cell>
          <cell r="I1492" t="str">
            <v>KS</v>
          </cell>
          <cell r="J1492" t="str">
            <v>USA</v>
          </cell>
          <cell r="K1492" t="str">
            <v>INACTIVE-NEW CUSTOMERS FOR</v>
          </cell>
          <cell r="L1492" t="str">
            <v>KS</v>
          </cell>
          <cell r="M1492" t="str">
            <v>USA</v>
          </cell>
          <cell r="N1492" t="str">
            <v>C</v>
          </cell>
          <cell r="O1492">
            <v>30218800</v>
          </cell>
          <cell r="P1492" t="str">
            <v>SODA ASH DENSE BULK (088)</v>
          </cell>
          <cell r="Q1492" t="str">
            <v>Soda Ash</v>
          </cell>
          <cell r="R1492">
            <v>198.09</v>
          </cell>
          <cell r="S1492">
            <v>15005.12</v>
          </cell>
        </row>
        <row r="1493">
          <cell r="A1493" t="str">
            <v>Budget</v>
          </cell>
          <cell r="B1493">
            <v>2</v>
          </cell>
          <cell r="C1493" t="str">
            <v>House</v>
          </cell>
          <cell r="D1493">
            <v>24</v>
          </cell>
          <cell r="E1493">
            <v>7351</v>
          </cell>
          <cell r="F1493" t="str">
            <v>INACTIVE-NEW CUSTOMERS FOR</v>
          </cell>
          <cell r="G1493" t="str">
            <v>E</v>
          </cell>
          <cell r="H1493" t="str">
            <v>OVERLAND PARK</v>
          </cell>
          <cell r="I1493" t="str">
            <v>KS</v>
          </cell>
          <cell r="J1493" t="str">
            <v>USA</v>
          </cell>
          <cell r="K1493" t="str">
            <v>INACTIVE-NEW CUSTOMERS FOR</v>
          </cell>
          <cell r="L1493" t="str">
            <v>KS</v>
          </cell>
          <cell r="M1493" t="str">
            <v>USA</v>
          </cell>
          <cell r="N1493" t="str">
            <v>C</v>
          </cell>
          <cell r="O1493">
            <v>40060400</v>
          </cell>
          <cell r="P1493" t="str">
            <v>SODIUM SULFATE STANDARD BULK</v>
          </cell>
          <cell r="Q1493" t="str">
            <v>Sodium Sulfate</v>
          </cell>
          <cell r="R1493">
            <v>79.23</v>
          </cell>
          <cell r="S1493">
            <v>7131.15</v>
          </cell>
        </row>
        <row r="1494">
          <cell r="A1494" t="str">
            <v>Budget</v>
          </cell>
          <cell r="B1494">
            <v>2</v>
          </cell>
          <cell r="C1494" t="str">
            <v>House</v>
          </cell>
          <cell r="D1494">
            <v>24</v>
          </cell>
          <cell r="E1494">
            <v>7351</v>
          </cell>
          <cell r="F1494" t="str">
            <v>INACTIVE-NEW CUSTOMERS FOR</v>
          </cell>
          <cell r="G1494" t="str">
            <v>E</v>
          </cell>
          <cell r="H1494" t="str">
            <v>OVERLAND PARK</v>
          </cell>
          <cell r="I1494" t="str">
            <v>KS</v>
          </cell>
          <cell r="J1494" t="str">
            <v>USA</v>
          </cell>
          <cell r="K1494" t="str">
            <v>INACTIVE-NEW CUSTOMERS FOR</v>
          </cell>
          <cell r="L1494" t="str">
            <v>KS</v>
          </cell>
          <cell r="M1494" t="str">
            <v>USA</v>
          </cell>
          <cell r="N1494" t="str">
            <v>C</v>
          </cell>
          <cell r="O1494">
            <v>40060410</v>
          </cell>
          <cell r="P1494" t="str">
            <v>SODIUM SULFATE STD 50LB BAG</v>
          </cell>
          <cell r="Q1494" t="str">
            <v>Sodium Sulfate</v>
          </cell>
          <cell r="R1494">
            <v>15.85</v>
          </cell>
          <cell r="S1494">
            <v>1426.23</v>
          </cell>
        </row>
        <row r="1495">
          <cell r="A1495" t="str">
            <v>Budget</v>
          </cell>
          <cell r="B1495">
            <v>2</v>
          </cell>
          <cell r="C1495" t="str">
            <v>House</v>
          </cell>
          <cell r="D1495">
            <v>130</v>
          </cell>
          <cell r="E1495">
            <v>5090</v>
          </cell>
          <cell r="F1495" t="str">
            <v>INACTIVE-SAINT-GOBAIN CONTAINE</v>
          </cell>
          <cell r="G1495" t="str">
            <v>D</v>
          </cell>
          <cell r="H1495" t="str">
            <v>BRADENTON</v>
          </cell>
          <cell r="I1495" t="str">
            <v>FL</v>
          </cell>
          <cell r="J1495" t="str">
            <v>USA</v>
          </cell>
          <cell r="K1495" t="str">
            <v>INACTIVE-SAINT-GOBAIN CONTAINE</v>
          </cell>
          <cell r="L1495" t="str">
            <v>FL</v>
          </cell>
          <cell r="M1495" t="str">
            <v>USA</v>
          </cell>
          <cell r="N1495" t="str">
            <v>C</v>
          </cell>
          <cell r="O1495">
            <v>40160400</v>
          </cell>
          <cell r="P1495" t="str">
            <v>SODIUM SULFATE PREMIUM BULK</v>
          </cell>
          <cell r="Q1495" t="str">
            <v>Sodium Sulfate</v>
          </cell>
          <cell r="R1495">
            <v>15.48</v>
          </cell>
          <cell r="S1495">
            <v>491.62</v>
          </cell>
        </row>
        <row r="1496">
          <cell r="A1496" t="str">
            <v>Budget</v>
          </cell>
          <cell r="B1496">
            <v>2</v>
          </cell>
          <cell r="C1496" t="str">
            <v>House</v>
          </cell>
          <cell r="D1496">
            <v>130</v>
          </cell>
          <cell r="E1496">
            <v>7484</v>
          </cell>
          <cell r="F1496" t="str">
            <v>OWENS-BROCKWAY GLASS CONTAINER</v>
          </cell>
          <cell r="G1496" t="str">
            <v>D</v>
          </cell>
          <cell r="H1496" t="str">
            <v>PORTLAND</v>
          </cell>
          <cell r="I1496" t="str">
            <v>OR</v>
          </cell>
          <cell r="J1496" t="str">
            <v>USA</v>
          </cell>
          <cell r="K1496" t="str">
            <v>OWENS-BROCKWAY GLASS CONTAINER</v>
          </cell>
          <cell r="L1496" t="str">
            <v>OR</v>
          </cell>
          <cell r="M1496" t="str">
            <v>USA</v>
          </cell>
          <cell r="N1496" t="str">
            <v>C</v>
          </cell>
          <cell r="O1496">
            <v>40150400</v>
          </cell>
          <cell r="P1496" t="str">
            <v>SODIUM SULFATE COARSE BULK</v>
          </cell>
          <cell r="Q1496" t="str">
            <v>Sodium Sulfate</v>
          </cell>
          <cell r="R1496">
            <v>28.19</v>
          </cell>
          <cell r="S1496">
            <v>2384.34</v>
          </cell>
        </row>
        <row r="1497">
          <cell r="A1497" t="str">
            <v>Budget</v>
          </cell>
          <cell r="B1497">
            <v>2</v>
          </cell>
          <cell r="C1497" t="str">
            <v>House</v>
          </cell>
          <cell r="D1497">
            <v>130</v>
          </cell>
          <cell r="E1497">
            <v>7546</v>
          </cell>
          <cell r="F1497" t="str">
            <v>SAINT GOBAIN CONTAINERS</v>
          </cell>
          <cell r="G1497" t="str">
            <v>D</v>
          </cell>
          <cell r="H1497" t="str">
            <v>SEATTLE</v>
          </cell>
          <cell r="I1497" t="str">
            <v>WA</v>
          </cell>
          <cell r="J1497" t="str">
            <v>USA</v>
          </cell>
          <cell r="K1497" t="str">
            <v>SAINT GOBAIN CONTAINERS</v>
          </cell>
          <cell r="L1497" t="str">
            <v>WA</v>
          </cell>
          <cell r="M1497" t="str">
            <v>USA</v>
          </cell>
          <cell r="N1497" t="str">
            <v>C</v>
          </cell>
          <cell r="O1497">
            <v>40160410</v>
          </cell>
          <cell r="P1497" t="str">
            <v>SODIUM SULFATE PREMIUM 50LB BG</v>
          </cell>
          <cell r="Q1497" t="str">
            <v>Sodium Sulfate</v>
          </cell>
          <cell r="R1497">
            <v>10.7</v>
          </cell>
          <cell r="S1497">
            <v>1177.08</v>
          </cell>
        </row>
        <row r="1498">
          <cell r="A1498" t="str">
            <v>Budget</v>
          </cell>
          <cell r="B1498">
            <v>2</v>
          </cell>
          <cell r="C1498" t="str">
            <v>House</v>
          </cell>
          <cell r="D1498">
            <v>130</v>
          </cell>
          <cell r="E1498">
            <v>8848</v>
          </cell>
          <cell r="F1498" t="str">
            <v>OWENS-BROCKWAY GLASS CONTAINER</v>
          </cell>
          <cell r="G1498" t="str">
            <v>D</v>
          </cell>
          <cell r="H1498" t="str">
            <v>VERNON</v>
          </cell>
          <cell r="I1498" t="str">
            <v>CA</v>
          </cell>
          <cell r="J1498" t="str">
            <v>USA</v>
          </cell>
          <cell r="K1498" t="str">
            <v>OWENS-BROCKWAY GLASS CONTAINER</v>
          </cell>
          <cell r="L1498" t="str">
            <v>CA</v>
          </cell>
          <cell r="M1498" t="str">
            <v>USA</v>
          </cell>
          <cell r="N1498" t="str">
            <v>C</v>
          </cell>
          <cell r="O1498">
            <v>40150400</v>
          </cell>
          <cell r="P1498" t="str">
            <v>SODIUM SULFATE COARSE BULK</v>
          </cell>
          <cell r="Q1498" t="str">
            <v>Sodium Sulfate</v>
          </cell>
          <cell r="R1498">
            <v>38.83</v>
          </cell>
          <cell r="S1498">
            <v>4495.41</v>
          </cell>
        </row>
        <row r="1499">
          <cell r="A1499" t="str">
            <v>Budget</v>
          </cell>
          <cell r="B1499">
            <v>2</v>
          </cell>
          <cell r="C1499" t="str">
            <v>House</v>
          </cell>
          <cell r="D1499">
            <v>130</v>
          </cell>
          <cell r="E1499">
            <v>8849</v>
          </cell>
          <cell r="F1499" t="str">
            <v>OWENS-BROCKWAY GLASS CONTAINER</v>
          </cell>
          <cell r="G1499" t="str">
            <v>D</v>
          </cell>
          <cell r="H1499" t="str">
            <v>OAKLAND</v>
          </cell>
          <cell r="I1499" t="str">
            <v>CA</v>
          </cell>
          <cell r="J1499" t="str">
            <v>USA</v>
          </cell>
          <cell r="K1499" t="str">
            <v>OWENS-BROCKWAY GLASS CONTAINER</v>
          </cell>
          <cell r="L1499" t="str">
            <v>CA</v>
          </cell>
          <cell r="M1499" t="str">
            <v>USA</v>
          </cell>
          <cell r="N1499" t="str">
            <v>C</v>
          </cell>
          <cell r="O1499">
            <v>40150400</v>
          </cell>
          <cell r="P1499" t="str">
            <v>SODIUM SULFATE COARSE BULK</v>
          </cell>
          <cell r="Q1499" t="str">
            <v>Sodium Sulfate</v>
          </cell>
          <cell r="R1499">
            <v>65.06</v>
          </cell>
          <cell r="S1499">
            <v>6360.86</v>
          </cell>
        </row>
        <row r="1500">
          <cell r="A1500" t="str">
            <v>Budget</v>
          </cell>
          <cell r="B1500">
            <v>2</v>
          </cell>
          <cell r="C1500" t="str">
            <v>House</v>
          </cell>
          <cell r="D1500">
            <v>130</v>
          </cell>
          <cell r="E1500">
            <v>8850</v>
          </cell>
          <cell r="F1500" t="str">
            <v>OWENS-BROCKWAY GLASS CONTAINER</v>
          </cell>
          <cell r="G1500" t="str">
            <v>D</v>
          </cell>
          <cell r="H1500" t="str">
            <v>TRACY</v>
          </cell>
          <cell r="I1500" t="str">
            <v>CA</v>
          </cell>
          <cell r="J1500" t="str">
            <v>USA</v>
          </cell>
          <cell r="K1500" t="str">
            <v>OWENS-BROCKWAY GLASS CONTAINER</v>
          </cell>
          <cell r="L1500" t="str">
            <v>CA</v>
          </cell>
          <cell r="M1500" t="str">
            <v>USA</v>
          </cell>
          <cell r="N1500" t="str">
            <v>C</v>
          </cell>
          <cell r="O1500">
            <v>40150400</v>
          </cell>
          <cell r="P1500" t="str">
            <v>SODIUM SULFATE COARSE BULK</v>
          </cell>
          <cell r="Q1500" t="str">
            <v>Sodium Sulfate</v>
          </cell>
          <cell r="R1500">
            <v>64.459999999999994</v>
          </cell>
          <cell r="S1500">
            <v>6719.36</v>
          </cell>
        </row>
        <row r="1501">
          <cell r="A1501" t="str">
            <v>Budget</v>
          </cell>
          <cell r="B1501">
            <v>2</v>
          </cell>
          <cell r="C1501" t="str">
            <v>House</v>
          </cell>
          <cell r="D1501">
            <v>130</v>
          </cell>
          <cell r="E1501">
            <v>8851</v>
          </cell>
          <cell r="F1501" t="str">
            <v>OWENS-BROCKWAY GLASS CONTAINER</v>
          </cell>
          <cell r="G1501" t="str">
            <v>D</v>
          </cell>
          <cell r="H1501" t="str">
            <v>HAYWARD</v>
          </cell>
          <cell r="I1501" t="str">
            <v>CA</v>
          </cell>
          <cell r="J1501" t="str">
            <v>USA</v>
          </cell>
          <cell r="K1501" t="str">
            <v>OWENS-BROCKWAY GLASS CONTAINER</v>
          </cell>
          <cell r="L1501" t="str">
            <v>CA</v>
          </cell>
          <cell r="M1501" t="str">
            <v>USA</v>
          </cell>
          <cell r="N1501" t="str">
            <v>C</v>
          </cell>
          <cell r="O1501">
            <v>40150400</v>
          </cell>
          <cell r="P1501" t="str">
            <v>SODIUM SULFATE COARSE BULK</v>
          </cell>
          <cell r="Q1501" t="str">
            <v>Sodium Sulfate</v>
          </cell>
          <cell r="R1501">
            <v>17.18</v>
          </cell>
          <cell r="S1501">
            <v>1665.92</v>
          </cell>
        </row>
        <row r="1502">
          <cell r="A1502" t="str">
            <v>Budget</v>
          </cell>
          <cell r="B1502">
            <v>2</v>
          </cell>
          <cell r="C1502" t="str">
            <v>House</v>
          </cell>
          <cell r="D1502">
            <v>130</v>
          </cell>
          <cell r="E1502">
            <v>9155</v>
          </cell>
          <cell r="F1502" t="str">
            <v>FEVISA INDUSTRIAL S.A. DE C.V.</v>
          </cell>
          <cell r="G1502" t="str">
            <v>E</v>
          </cell>
          <cell r="H1502" t="str">
            <v>MEXICALI</v>
          </cell>
          <cell r="J1502" t="str">
            <v>MEX</v>
          </cell>
          <cell r="K1502" t="str">
            <v>FEVISA INDUSTRIAL S.A. DE C.V.</v>
          </cell>
          <cell r="M1502" t="str">
            <v>MEX</v>
          </cell>
          <cell r="N1502" t="str">
            <v>C</v>
          </cell>
          <cell r="O1502">
            <v>30210100</v>
          </cell>
          <cell r="P1502" t="str">
            <v>SODA ASH DENSE BULK</v>
          </cell>
          <cell r="Q1502" t="str">
            <v>Soda Ash</v>
          </cell>
          <cell r="R1502">
            <v>2388.33</v>
          </cell>
          <cell r="S1502">
            <v>192834.03</v>
          </cell>
        </row>
        <row r="1503">
          <cell r="A1503" t="str">
            <v>Actual</v>
          </cell>
          <cell r="B1503">
            <v>1</v>
          </cell>
          <cell r="C1503" t="str">
            <v>Domestic</v>
          </cell>
          <cell r="D1503">
            <v>1</v>
          </cell>
          <cell r="E1503">
            <v>5316</v>
          </cell>
          <cell r="F1503" t="str">
            <v>GLADDING MCBEAN &amp; CO</v>
          </cell>
          <cell r="G1503" t="str">
            <v>D</v>
          </cell>
          <cell r="H1503" t="str">
            <v>LINCOLN</v>
          </cell>
          <cell r="I1503" t="str">
            <v>CA</v>
          </cell>
          <cell r="J1503" t="str">
            <v>USA</v>
          </cell>
          <cell r="K1503" t="str">
            <v>GLADDING MCBEAN &amp; CO</v>
          </cell>
          <cell r="L1503" t="str">
            <v>CA</v>
          </cell>
          <cell r="M1503" t="str">
            <v>USA</v>
          </cell>
          <cell r="N1503" t="str">
            <v>C</v>
          </cell>
          <cell r="O1503">
            <v>30210130</v>
          </cell>
          <cell r="P1503" t="str">
            <v>SODA ASH DENSE 100LB BAG</v>
          </cell>
          <cell r="Q1503" t="str">
            <v>Soda Ash</v>
          </cell>
          <cell r="R1503">
            <v>22.5</v>
          </cell>
          <cell r="S1503">
            <v>5400</v>
          </cell>
        </row>
        <row r="1504">
          <cell r="A1504" t="str">
            <v>Actual</v>
          </cell>
          <cell r="B1504">
            <v>1</v>
          </cell>
          <cell r="C1504" t="str">
            <v>Domestic</v>
          </cell>
          <cell r="D1504">
            <v>1</v>
          </cell>
          <cell r="E1504">
            <v>5390</v>
          </cell>
          <cell r="F1504" t="str">
            <v>UNIVAR USA</v>
          </cell>
          <cell r="G1504" t="str">
            <v>D</v>
          </cell>
          <cell r="H1504" t="str">
            <v>CITY OF COMMERCE</v>
          </cell>
          <cell r="I1504" t="str">
            <v>CA</v>
          </cell>
          <cell r="J1504" t="str">
            <v>USA</v>
          </cell>
          <cell r="K1504" t="str">
            <v>UNIVAR USA</v>
          </cell>
          <cell r="L1504" t="str">
            <v>CA</v>
          </cell>
          <cell r="M1504" t="str">
            <v>USA</v>
          </cell>
          <cell r="N1504" t="str">
            <v>D</v>
          </cell>
          <cell r="O1504">
            <v>30210110</v>
          </cell>
          <cell r="P1504" t="str">
            <v>SODA ASH DENSE 50LB BAG</v>
          </cell>
          <cell r="Q1504" t="str">
            <v>Soda Ash</v>
          </cell>
          <cell r="R1504">
            <v>46.55</v>
          </cell>
          <cell r="S1504">
            <v>8029.4</v>
          </cell>
        </row>
        <row r="1505">
          <cell r="A1505" t="str">
            <v>Actual</v>
          </cell>
          <cell r="B1505">
            <v>1</v>
          </cell>
          <cell r="C1505" t="str">
            <v>Domestic</v>
          </cell>
          <cell r="D1505">
            <v>1</v>
          </cell>
          <cell r="E1505">
            <v>5390</v>
          </cell>
          <cell r="F1505" t="str">
            <v>UNIVAR USA</v>
          </cell>
          <cell r="G1505" t="str">
            <v>D</v>
          </cell>
          <cell r="H1505" t="str">
            <v>CITY OF COMMERCE</v>
          </cell>
          <cell r="I1505" t="str">
            <v>CA</v>
          </cell>
          <cell r="J1505" t="str">
            <v>USA</v>
          </cell>
          <cell r="K1505" t="str">
            <v>UNIVAR USA</v>
          </cell>
          <cell r="L1505" t="str">
            <v>CA</v>
          </cell>
          <cell r="M1505" t="str">
            <v>USA</v>
          </cell>
          <cell r="N1505" t="str">
            <v>D</v>
          </cell>
          <cell r="O1505">
            <v>40060410</v>
          </cell>
          <cell r="P1505" t="str">
            <v>SODIUM SULFATE STD 50LB BAG</v>
          </cell>
          <cell r="Q1505" t="str">
            <v>Sodium Sulfate</v>
          </cell>
          <cell r="R1505">
            <v>335</v>
          </cell>
          <cell r="S1505">
            <v>58424.75</v>
          </cell>
        </row>
        <row r="1506">
          <cell r="A1506" t="str">
            <v>Actual</v>
          </cell>
          <cell r="B1506">
            <v>1</v>
          </cell>
          <cell r="C1506" t="str">
            <v>Domestic</v>
          </cell>
          <cell r="D1506">
            <v>1</v>
          </cell>
          <cell r="E1506">
            <v>5390</v>
          </cell>
          <cell r="F1506" t="str">
            <v>UNIVAR USA</v>
          </cell>
          <cell r="G1506" t="str">
            <v>D</v>
          </cell>
          <cell r="H1506" t="str">
            <v>CITY OF COMMERCE</v>
          </cell>
          <cell r="I1506" t="str">
            <v>CA</v>
          </cell>
          <cell r="J1506" t="str">
            <v>USA</v>
          </cell>
          <cell r="K1506" t="str">
            <v>UNIVAR USA</v>
          </cell>
          <cell r="L1506" t="str">
            <v>CA</v>
          </cell>
          <cell r="M1506" t="str">
            <v>USA</v>
          </cell>
          <cell r="N1506" t="str">
            <v>D</v>
          </cell>
          <cell r="O1506">
            <v>40060430</v>
          </cell>
          <cell r="P1506" t="str">
            <v>SODIUM SULFATE STD 100LB BAG</v>
          </cell>
          <cell r="Q1506" t="str">
            <v>Sodium Sulfate</v>
          </cell>
          <cell r="R1506">
            <v>20</v>
          </cell>
          <cell r="S1506">
            <v>3740</v>
          </cell>
        </row>
        <row r="1507">
          <cell r="A1507" t="str">
            <v>Actual</v>
          </cell>
          <cell r="B1507">
            <v>1</v>
          </cell>
          <cell r="C1507" t="str">
            <v>Domestic</v>
          </cell>
          <cell r="D1507">
            <v>1</v>
          </cell>
          <cell r="E1507">
            <v>5429</v>
          </cell>
          <cell r="F1507" t="str">
            <v>UNIVAR USA</v>
          </cell>
          <cell r="G1507" t="str">
            <v>D</v>
          </cell>
          <cell r="H1507" t="str">
            <v>SAN JOSE</v>
          </cell>
          <cell r="I1507" t="str">
            <v>CA</v>
          </cell>
          <cell r="J1507" t="str">
            <v>USA</v>
          </cell>
          <cell r="K1507" t="str">
            <v>UNIVAR USA</v>
          </cell>
          <cell r="L1507" t="str">
            <v>CA</v>
          </cell>
          <cell r="M1507" t="str">
            <v>USA</v>
          </cell>
          <cell r="N1507" t="str">
            <v>D</v>
          </cell>
          <cell r="O1507">
            <v>40060410</v>
          </cell>
          <cell r="P1507" t="str">
            <v>SODIUM SULFATE STD 50LB BAG</v>
          </cell>
          <cell r="Q1507" t="str">
            <v>Sodium Sulfate</v>
          </cell>
          <cell r="R1507">
            <v>23.75</v>
          </cell>
          <cell r="S1507">
            <v>4441.25</v>
          </cell>
        </row>
        <row r="1508">
          <cell r="A1508" t="str">
            <v>Actual</v>
          </cell>
          <cell r="B1508">
            <v>1</v>
          </cell>
          <cell r="C1508" t="str">
            <v>Domestic</v>
          </cell>
          <cell r="D1508">
            <v>1</v>
          </cell>
          <cell r="E1508">
            <v>5628</v>
          </cell>
          <cell r="F1508" t="str">
            <v>U.S. DYE</v>
          </cell>
          <cell r="G1508" t="str">
            <v>D</v>
          </cell>
          <cell r="H1508" t="str">
            <v>GARDEN GROVE</v>
          </cell>
          <cell r="I1508" t="str">
            <v>CA</v>
          </cell>
          <cell r="J1508" t="str">
            <v>USA</v>
          </cell>
          <cell r="K1508" t="str">
            <v>BRENNTAG WEST, INC.</v>
          </cell>
          <cell r="L1508" t="str">
            <v>CA</v>
          </cell>
          <cell r="M1508" t="str">
            <v>USA</v>
          </cell>
          <cell r="N1508" t="str">
            <v>D</v>
          </cell>
          <cell r="O1508">
            <v>40150410</v>
          </cell>
          <cell r="P1508" t="str">
            <v>SODIUM SULFATE CRS 50LB BAG</v>
          </cell>
          <cell r="Q1508" t="str">
            <v>Sodium Sulfate</v>
          </cell>
          <cell r="R1508">
            <v>71.25</v>
          </cell>
          <cell r="S1508">
            <v>11043.75</v>
          </cell>
        </row>
        <row r="1509">
          <cell r="A1509" t="str">
            <v>Actual</v>
          </cell>
          <cell r="B1509">
            <v>1</v>
          </cell>
          <cell r="C1509" t="str">
            <v>Domestic</v>
          </cell>
          <cell r="D1509">
            <v>1</v>
          </cell>
          <cell r="E1509">
            <v>5650</v>
          </cell>
          <cell r="F1509" t="str">
            <v>HUISH DETERGENTS INC</v>
          </cell>
          <cell r="G1509" t="str">
            <v>D</v>
          </cell>
          <cell r="H1509" t="str">
            <v>SALT LAKE CITY</v>
          </cell>
          <cell r="I1509" t="str">
            <v>UT</v>
          </cell>
          <cell r="J1509" t="str">
            <v>USA</v>
          </cell>
          <cell r="K1509" t="str">
            <v>HUISH DETERGENTS INC</v>
          </cell>
          <cell r="L1509" t="str">
            <v>UT</v>
          </cell>
          <cell r="M1509" t="str">
            <v>USA</v>
          </cell>
          <cell r="N1509" t="str">
            <v>C</v>
          </cell>
          <cell r="O1509">
            <v>40060400</v>
          </cell>
          <cell r="P1509" t="str">
            <v>SODIUM SULFATE STANDARD BULK</v>
          </cell>
          <cell r="Q1509" t="str">
            <v>Sodium Sulfate</v>
          </cell>
          <cell r="R1509">
            <v>684.48</v>
          </cell>
          <cell r="S1509">
            <v>45538.42</v>
          </cell>
        </row>
        <row r="1510">
          <cell r="A1510" t="str">
            <v>Actual</v>
          </cell>
          <cell r="B1510">
            <v>1</v>
          </cell>
          <cell r="C1510" t="str">
            <v>Domestic</v>
          </cell>
          <cell r="D1510">
            <v>1</v>
          </cell>
          <cell r="E1510">
            <v>6056</v>
          </cell>
          <cell r="F1510" t="str">
            <v>CELITE</v>
          </cell>
          <cell r="G1510" t="str">
            <v>D</v>
          </cell>
          <cell r="H1510" t="str">
            <v>LOMPOC</v>
          </cell>
          <cell r="I1510" t="str">
            <v>CA</v>
          </cell>
          <cell r="J1510" t="str">
            <v>USA</v>
          </cell>
          <cell r="K1510" t="str">
            <v>CELITE</v>
          </cell>
          <cell r="L1510" t="str">
            <v>CA</v>
          </cell>
          <cell r="M1510" t="str">
            <v>USA</v>
          </cell>
          <cell r="N1510" t="str">
            <v>C</v>
          </cell>
          <cell r="O1510">
            <v>30210100</v>
          </cell>
          <cell r="P1510" t="str">
            <v>SODA ASH DENSE BULK</v>
          </cell>
          <cell r="Q1510" t="str">
            <v>Soda Ash</v>
          </cell>
          <cell r="R1510">
            <v>772.2</v>
          </cell>
          <cell r="S1510">
            <v>62130.23</v>
          </cell>
        </row>
        <row r="1511">
          <cell r="A1511" t="str">
            <v>Actual</v>
          </cell>
          <cell r="B1511">
            <v>1</v>
          </cell>
          <cell r="C1511" t="str">
            <v>Domestic</v>
          </cell>
          <cell r="D1511">
            <v>1</v>
          </cell>
          <cell r="E1511">
            <v>6090</v>
          </cell>
          <cell r="F1511" t="str">
            <v>IN-CIDE TECHNOLOGIES</v>
          </cell>
          <cell r="G1511" t="str">
            <v>D</v>
          </cell>
          <cell r="H1511" t="str">
            <v>PHOENIX</v>
          </cell>
          <cell r="I1511" t="str">
            <v>AZ</v>
          </cell>
          <cell r="J1511" t="str">
            <v>USA</v>
          </cell>
          <cell r="K1511" t="str">
            <v>IN-CIDE TECHNOLOGIES</v>
          </cell>
          <cell r="L1511" t="str">
            <v>AZ</v>
          </cell>
          <cell r="M1511" t="str">
            <v>USA</v>
          </cell>
          <cell r="N1511" t="str">
            <v>C</v>
          </cell>
          <cell r="O1511">
            <v>22060400</v>
          </cell>
          <cell r="P1511" t="str">
            <v>V-BOR STD BULK (004)</v>
          </cell>
          <cell r="Q1511" t="str">
            <v>Penta</v>
          </cell>
          <cell r="R1511">
            <v>618.6</v>
          </cell>
          <cell r="S1511">
            <v>154198.42000000001</v>
          </cell>
        </row>
        <row r="1512">
          <cell r="A1512" t="str">
            <v>Actual</v>
          </cell>
          <cell r="B1512">
            <v>1</v>
          </cell>
          <cell r="C1512" t="str">
            <v>Domestic</v>
          </cell>
          <cell r="D1512">
            <v>1</v>
          </cell>
          <cell r="E1512">
            <v>6090</v>
          </cell>
          <cell r="F1512" t="str">
            <v>IN-CIDE TECHNOLOGIES</v>
          </cell>
          <cell r="G1512" t="str">
            <v>D</v>
          </cell>
          <cell r="H1512" t="str">
            <v>PHOENIX</v>
          </cell>
          <cell r="I1512" t="str">
            <v>AZ</v>
          </cell>
          <cell r="J1512" t="str">
            <v>USA</v>
          </cell>
          <cell r="K1512" t="str">
            <v>IN-CIDE TECHNOLOGIES</v>
          </cell>
          <cell r="L1512" t="str">
            <v>AZ</v>
          </cell>
          <cell r="M1512" t="str">
            <v>USA</v>
          </cell>
          <cell r="N1512" t="str">
            <v>C</v>
          </cell>
          <cell r="O1512">
            <v>24099455</v>
          </cell>
          <cell r="P1512" t="str">
            <v>BOR boric acid, 1MT FIBC</v>
          </cell>
          <cell r="Q1512" t="str">
            <v>Boric Acid</v>
          </cell>
          <cell r="R1512">
            <v>79.365600000000001</v>
          </cell>
          <cell r="S1512">
            <v>33332.879999999997</v>
          </cell>
        </row>
        <row r="1513">
          <cell r="A1513" t="str">
            <v>Actual</v>
          </cell>
          <cell r="B1513">
            <v>1</v>
          </cell>
          <cell r="C1513" t="str">
            <v>Domestic</v>
          </cell>
          <cell r="D1513">
            <v>1</v>
          </cell>
          <cell r="E1513">
            <v>6396</v>
          </cell>
          <cell r="F1513" t="str">
            <v>OIL DRY CORPORATION</v>
          </cell>
          <cell r="G1513" t="str">
            <v>D</v>
          </cell>
          <cell r="H1513" t="str">
            <v>OCHLOCKNEE</v>
          </cell>
          <cell r="I1513" t="str">
            <v>GA</v>
          </cell>
          <cell r="J1513" t="str">
            <v>USA</v>
          </cell>
          <cell r="K1513" t="str">
            <v>THE CLOROX CO.</v>
          </cell>
          <cell r="L1513" t="str">
            <v>CA</v>
          </cell>
          <cell r="M1513" t="str">
            <v>USA</v>
          </cell>
          <cell r="N1513" t="str">
            <v>C</v>
          </cell>
          <cell r="O1513">
            <v>22060410</v>
          </cell>
          <cell r="P1513" t="str">
            <v>V-BOR 50LB BAG (004)</v>
          </cell>
          <cell r="Q1513" t="str">
            <v>Penta</v>
          </cell>
          <cell r="R1513">
            <v>44.1</v>
          </cell>
          <cell r="S1513">
            <v>11767.1</v>
          </cell>
        </row>
        <row r="1514">
          <cell r="A1514" t="str">
            <v>Actual</v>
          </cell>
          <cell r="B1514">
            <v>1</v>
          </cell>
          <cell r="C1514" t="str">
            <v>Domestic</v>
          </cell>
          <cell r="D1514">
            <v>1</v>
          </cell>
          <cell r="E1514">
            <v>6396</v>
          </cell>
          <cell r="F1514" t="str">
            <v>OIL DRY CORPORATION</v>
          </cell>
          <cell r="G1514" t="str">
            <v>D</v>
          </cell>
          <cell r="H1514" t="str">
            <v>OCHLOCKNEE</v>
          </cell>
          <cell r="I1514" t="str">
            <v>GA</v>
          </cell>
          <cell r="J1514" t="str">
            <v>USA</v>
          </cell>
          <cell r="K1514" t="str">
            <v>THE CLOROX CO.</v>
          </cell>
          <cell r="L1514" t="str">
            <v>CA</v>
          </cell>
          <cell r="M1514" t="str">
            <v>USA</v>
          </cell>
          <cell r="N1514" t="str">
            <v>C</v>
          </cell>
          <cell r="O1514">
            <v>24790210</v>
          </cell>
          <cell r="P1514" t="str">
            <v>BORIC ACID GRN TCH 50LB PEST</v>
          </cell>
          <cell r="Q1514" t="str">
            <v>Boric Acid</v>
          </cell>
          <cell r="R1514">
            <v>44.1</v>
          </cell>
          <cell r="S1514">
            <v>21375.96</v>
          </cell>
        </row>
        <row r="1515">
          <cell r="A1515" t="str">
            <v>Actual</v>
          </cell>
          <cell r="B1515">
            <v>1</v>
          </cell>
          <cell r="C1515" t="str">
            <v>Domestic</v>
          </cell>
          <cell r="D1515">
            <v>1</v>
          </cell>
          <cell r="E1515">
            <v>6717</v>
          </cell>
          <cell r="F1515" t="str">
            <v>NEVADA POWER COMPANY</v>
          </cell>
          <cell r="G1515" t="str">
            <v>D</v>
          </cell>
          <cell r="H1515" t="str">
            <v>MOAPA</v>
          </cell>
          <cell r="I1515" t="str">
            <v>NV</v>
          </cell>
          <cell r="J1515" t="str">
            <v>USA</v>
          </cell>
          <cell r="K1515" t="str">
            <v>NEVADA POWER COMPANY</v>
          </cell>
          <cell r="L1515" t="str">
            <v>NV</v>
          </cell>
          <cell r="M1515" t="str">
            <v>USA</v>
          </cell>
          <cell r="N1515" t="str">
            <v>C</v>
          </cell>
          <cell r="O1515">
            <v>30210100</v>
          </cell>
          <cell r="P1515" t="str">
            <v>SODA ASH DENSE BULK</v>
          </cell>
          <cell r="Q1515" t="str">
            <v>Soda Ash</v>
          </cell>
          <cell r="R1515">
            <v>1703.67</v>
          </cell>
          <cell r="S1515">
            <v>126863.31</v>
          </cell>
        </row>
        <row r="1516">
          <cell r="A1516" t="str">
            <v>Actual</v>
          </cell>
          <cell r="B1516">
            <v>1</v>
          </cell>
          <cell r="C1516" t="str">
            <v>Domestic</v>
          </cell>
          <cell r="D1516">
            <v>1</v>
          </cell>
          <cell r="E1516">
            <v>6960</v>
          </cell>
          <cell r="F1516" t="str">
            <v>BRENNTAG WEST, INC.</v>
          </cell>
          <cell r="G1516" t="str">
            <v>D</v>
          </cell>
          <cell r="H1516" t="str">
            <v>SANTA FE SPRINGS</v>
          </cell>
          <cell r="I1516" t="str">
            <v>CA</v>
          </cell>
          <cell r="J1516" t="str">
            <v>USA</v>
          </cell>
          <cell r="K1516" t="str">
            <v>BRENNTAG WEST, INC.</v>
          </cell>
          <cell r="L1516" t="str">
            <v>CA</v>
          </cell>
          <cell r="M1516" t="str">
            <v>USA</v>
          </cell>
          <cell r="N1516" t="str">
            <v>D</v>
          </cell>
          <cell r="O1516">
            <v>24090210</v>
          </cell>
          <cell r="P1516" t="str">
            <v>BORIC ACID GRAN TECH 50LB BAG</v>
          </cell>
          <cell r="Q1516" t="str">
            <v>Boric Acid</v>
          </cell>
          <cell r="R1516">
            <v>7.35</v>
          </cell>
          <cell r="S1516">
            <v>5511.1256000000003</v>
          </cell>
        </row>
        <row r="1517">
          <cell r="A1517" t="str">
            <v>Actual</v>
          </cell>
          <cell r="B1517">
            <v>1</v>
          </cell>
          <cell r="C1517" t="str">
            <v>Domestic</v>
          </cell>
          <cell r="D1517">
            <v>1</v>
          </cell>
          <cell r="E1517">
            <v>6960</v>
          </cell>
          <cell r="F1517" t="str">
            <v>BRENNTAG WEST, INC.</v>
          </cell>
          <cell r="G1517" t="str">
            <v>D</v>
          </cell>
          <cell r="H1517" t="str">
            <v>SANTA FE SPRINGS</v>
          </cell>
          <cell r="I1517" t="str">
            <v>CA</v>
          </cell>
          <cell r="J1517" t="str">
            <v>USA</v>
          </cell>
          <cell r="K1517" t="str">
            <v>BRENNTAG WEST, INC.</v>
          </cell>
          <cell r="L1517" t="str">
            <v>CA</v>
          </cell>
          <cell r="M1517" t="str">
            <v>USA</v>
          </cell>
          <cell r="N1517" t="str">
            <v>D</v>
          </cell>
          <cell r="O1517">
            <v>30210110</v>
          </cell>
          <cell r="P1517" t="str">
            <v>SODA ASH DENSE 50LB BAG</v>
          </cell>
          <cell r="Q1517" t="str">
            <v>Soda Ash</v>
          </cell>
          <cell r="R1517">
            <v>58.8</v>
          </cell>
          <cell r="S1517">
            <v>8726.8544000000002</v>
          </cell>
        </row>
        <row r="1518">
          <cell r="A1518" t="str">
            <v>Actual</v>
          </cell>
          <cell r="B1518">
            <v>1</v>
          </cell>
          <cell r="C1518" t="str">
            <v>Domestic</v>
          </cell>
          <cell r="D1518">
            <v>1</v>
          </cell>
          <cell r="E1518">
            <v>6960</v>
          </cell>
          <cell r="F1518" t="str">
            <v>BRENNTAG WEST, INC.</v>
          </cell>
          <cell r="G1518" t="str">
            <v>D</v>
          </cell>
          <cell r="H1518" t="str">
            <v>SANTA FE SPRINGS</v>
          </cell>
          <cell r="I1518" t="str">
            <v>CA</v>
          </cell>
          <cell r="J1518" t="str">
            <v>USA</v>
          </cell>
          <cell r="K1518" t="str">
            <v>BRENNTAG WEST, INC.</v>
          </cell>
          <cell r="L1518" t="str">
            <v>CA</v>
          </cell>
          <cell r="M1518" t="str">
            <v>USA</v>
          </cell>
          <cell r="N1518" t="str">
            <v>D</v>
          </cell>
          <cell r="O1518">
            <v>40150410</v>
          </cell>
          <cell r="P1518" t="str">
            <v>SODIUM SULFATE CRS 50LB BAG</v>
          </cell>
          <cell r="Q1518" t="str">
            <v>Sodium Sulfate</v>
          </cell>
          <cell r="R1518">
            <v>71.25</v>
          </cell>
          <cell r="S1518">
            <v>13071.75</v>
          </cell>
        </row>
        <row r="1519">
          <cell r="A1519" t="str">
            <v>Actual</v>
          </cell>
          <cell r="B1519">
            <v>1</v>
          </cell>
          <cell r="C1519" t="str">
            <v>Domestic</v>
          </cell>
          <cell r="D1519">
            <v>1</v>
          </cell>
          <cell r="E1519">
            <v>6960</v>
          </cell>
          <cell r="F1519" t="str">
            <v>BRENNTAG WEST, INC.</v>
          </cell>
          <cell r="G1519" t="str">
            <v>D</v>
          </cell>
          <cell r="H1519" t="str">
            <v>SANTA FE SPRINGS</v>
          </cell>
          <cell r="I1519" t="str">
            <v>CA</v>
          </cell>
          <cell r="J1519" t="str">
            <v>USA</v>
          </cell>
          <cell r="K1519" t="str">
            <v>BRENNTAG WEST, INC.</v>
          </cell>
          <cell r="L1519" t="str">
            <v>CA</v>
          </cell>
          <cell r="M1519" t="str">
            <v>USA</v>
          </cell>
          <cell r="N1519" t="str">
            <v>D</v>
          </cell>
          <cell r="O1519">
            <v>40150430</v>
          </cell>
          <cell r="P1519" t="str">
            <v>SODIUM SULFATE CRS 100LB BG</v>
          </cell>
          <cell r="Q1519" t="str">
            <v>Sodium Sulfate</v>
          </cell>
          <cell r="R1519">
            <v>25</v>
          </cell>
          <cell r="S1519">
            <v>4750</v>
          </cell>
        </row>
        <row r="1520">
          <cell r="A1520" t="str">
            <v>Actual</v>
          </cell>
          <cell r="B1520">
            <v>1</v>
          </cell>
          <cell r="C1520" t="str">
            <v>Domestic</v>
          </cell>
          <cell r="D1520">
            <v>1</v>
          </cell>
          <cell r="E1520">
            <v>7020</v>
          </cell>
          <cell r="F1520" t="str">
            <v>ISP ALGINATES</v>
          </cell>
          <cell r="G1520" t="str">
            <v>D</v>
          </cell>
          <cell r="H1520" t="str">
            <v>SAN DIEGO</v>
          </cell>
          <cell r="I1520" t="str">
            <v>CA</v>
          </cell>
          <cell r="J1520" t="str">
            <v>USA</v>
          </cell>
          <cell r="K1520" t="str">
            <v>UNIVAR USA</v>
          </cell>
          <cell r="L1520" t="str">
            <v>CA</v>
          </cell>
          <cell r="M1520" t="str">
            <v>USA</v>
          </cell>
          <cell r="N1520" t="str">
            <v>D</v>
          </cell>
          <cell r="O1520">
            <v>30210100</v>
          </cell>
          <cell r="P1520" t="str">
            <v>SODA ASH DENSE BULK</v>
          </cell>
          <cell r="Q1520" t="str">
            <v>Soda Ash</v>
          </cell>
          <cell r="R1520">
            <v>209.77</v>
          </cell>
          <cell r="S1520">
            <v>18879.3</v>
          </cell>
        </row>
        <row r="1521">
          <cell r="A1521" t="str">
            <v>Actual</v>
          </cell>
          <cell r="B1521">
            <v>1</v>
          </cell>
          <cell r="C1521" t="str">
            <v>Domestic</v>
          </cell>
          <cell r="D1521">
            <v>1</v>
          </cell>
          <cell r="E1521">
            <v>7048</v>
          </cell>
          <cell r="F1521" t="str">
            <v>SUPER BRANDS INC.</v>
          </cell>
          <cell r="G1521" t="str">
            <v>D</v>
          </cell>
          <cell r="H1521" t="str">
            <v>HENDERSON</v>
          </cell>
          <cell r="I1521" t="str">
            <v>NV</v>
          </cell>
          <cell r="J1521" t="str">
            <v>USA</v>
          </cell>
          <cell r="K1521" t="str">
            <v>UNIVAR USA</v>
          </cell>
          <cell r="L1521" t="str">
            <v>CA</v>
          </cell>
          <cell r="M1521" t="str">
            <v>USA</v>
          </cell>
          <cell r="N1521" t="str">
            <v>D</v>
          </cell>
          <cell r="O1521">
            <v>40070410</v>
          </cell>
          <cell r="P1521" t="str">
            <v>SODIUM SULFATE MEDIUM 50LB BAG</v>
          </cell>
          <cell r="Q1521" t="str">
            <v>Sodium Sulfate</v>
          </cell>
          <cell r="R1521">
            <v>45</v>
          </cell>
          <cell r="S1521">
            <v>7150</v>
          </cell>
        </row>
        <row r="1522">
          <cell r="A1522" t="str">
            <v>Actual</v>
          </cell>
          <cell r="B1522">
            <v>1</v>
          </cell>
          <cell r="C1522" t="str">
            <v>Domestic</v>
          </cell>
          <cell r="D1522">
            <v>1</v>
          </cell>
          <cell r="E1522">
            <v>7076</v>
          </cell>
          <cell r="F1522" t="str">
            <v>TUCSON ELECTRIC</v>
          </cell>
          <cell r="G1522" t="str">
            <v>D</v>
          </cell>
          <cell r="H1522" t="str">
            <v>SPRINGERVILLE</v>
          </cell>
          <cell r="I1522" t="str">
            <v>AZ</v>
          </cell>
          <cell r="J1522" t="str">
            <v>USA</v>
          </cell>
          <cell r="K1522" t="str">
            <v>UNIVAR USA</v>
          </cell>
          <cell r="L1522" t="str">
            <v>NM</v>
          </cell>
          <cell r="M1522" t="str">
            <v>USA</v>
          </cell>
          <cell r="N1522" t="str">
            <v>D</v>
          </cell>
          <cell r="O1522">
            <v>30210100</v>
          </cell>
          <cell r="P1522" t="str">
            <v>SODA ASH DENSE BULK</v>
          </cell>
          <cell r="Q1522" t="str">
            <v>Soda Ash</v>
          </cell>
          <cell r="R1522">
            <v>366.05</v>
          </cell>
          <cell r="S1522">
            <v>26246.47</v>
          </cell>
        </row>
        <row r="1523">
          <cell r="A1523" t="str">
            <v>Actual</v>
          </cell>
          <cell r="B1523">
            <v>1</v>
          </cell>
          <cell r="C1523" t="str">
            <v>Domestic</v>
          </cell>
          <cell r="D1523">
            <v>1</v>
          </cell>
          <cell r="E1523">
            <v>7269</v>
          </cell>
          <cell r="F1523" t="str">
            <v>PABCO GYPSUM</v>
          </cell>
          <cell r="G1523" t="str">
            <v>D</v>
          </cell>
          <cell r="H1523" t="str">
            <v>LAS VEGAS</v>
          </cell>
          <cell r="I1523" t="str">
            <v>NV</v>
          </cell>
          <cell r="J1523" t="str">
            <v>USA</v>
          </cell>
          <cell r="K1523" t="str">
            <v>BRENNTAG WEST, INC.</v>
          </cell>
          <cell r="L1523" t="str">
            <v>CA</v>
          </cell>
          <cell r="M1523" t="str">
            <v>USA</v>
          </cell>
          <cell r="N1523" t="str">
            <v>D</v>
          </cell>
          <cell r="O1523">
            <v>24090210</v>
          </cell>
          <cell r="P1523" t="str">
            <v>BORIC ACID GRAN TECH 50LB BAG</v>
          </cell>
          <cell r="Q1523" t="str">
            <v>Boric Acid</v>
          </cell>
          <cell r="R1523">
            <v>44.1</v>
          </cell>
          <cell r="S1523">
            <v>24706.1</v>
          </cell>
        </row>
        <row r="1524">
          <cell r="A1524" t="str">
            <v>Actual</v>
          </cell>
          <cell r="B1524">
            <v>1</v>
          </cell>
          <cell r="C1524" t="str">
            <v>Domestic</v>
          </cell>
          <cell r="D1524">
            <v>1</v>
          </cell>
          <cell r="E1524">
            <v>7338</v>
          </cell>
          <cell r="F1524" t="str">
            <v>PACIFICA CHEMICAL</v>
          </cell>
          <cell r="G1524" t="str">
            <v>D</v>
          </cell>
          <cell r="H1524" t="str">
            <v>CARSON</v>
          </cell>
          <cell r="I1524" t="str">
            <v>CA</v>
          </cell>
          <cell r="J1524" t="str">
            <v>USA</v>
          </cell>
          <cell r="K1524" t="str">
            <v>UNIVAR USA</v>
          </cell>
          <cell r="L1524" t="str">
            <v>CA</v>
          </cell>
          <cell r="M1524" t="str">
            <v>USA</v>
          </cell>
          <cell r="N1524" t="str">
            <v>D</v>
          </cell>
          <cell r="O1524">
            <v>40060410</v>
          </cell>
          <cell r="P1524" t="str">
            <v>SODIUM SULFATE STD 50LB BAG</v>
          </cell>
          <cell r="Q1524" t="str">
            <v>Sodium Sulfate</v>
          </cell>
          <cell r="R1524">
            <v>23.75</v>
          </cell>
          <cell r="S1524">
            <v>4441.25</v>
          </cell>
        </row>
        <row r="1525">
          <cell r="A1525" t="str">
            <v>Actual</v>
          </cell>
          <cell r="B1525">
            <v>1</v>
          </cell>
          <cell r="C1525" t="str">
            <v>Domestic</v>
          </cell>
          <cell r="D1525">
            <v>1</v>
          </cell>
          <cell r="E1525">
            <v>7483</v>
          </cell>
          <cell r="F1525" t="str">
            <v>NORTHERN CALIFORNIA PWR AGENCY</v>
          </cell>
          <cell r="G1525" t="str">
            <v>D</v>
          </cell>
          <cell r="H1525" t="str">
            <v>MIDDLETOWN</v>
          </cell>
          <cell r="I1525" t="str">
            <v>CA</v>
          </cell>
          <cell r="J1525" t="str">
            <v>USA</v>
          </cell>
          <cell r="K1525" t="str">
            <v>UNIVAR USA</v>
          </cell>
          <cell r="L1525" t="str">
            <v>CA</v>
          </cell>
          <cell r="M1525" t="str">
            <v>USA</v>
          </cell>
          <cell r="N1525" t="str">
            <v>D</v>
          </cell>
          <cell r="O1525">
            <v>30210110</v>
          </cell>
          <cell r="P1525" t="str">
            <v>SODA ASH DENSE 50LB BAG</v>
          </cell>
          <cell r="Q1525" t="str">
            <v>Soda Ash</v>
          </cell>
          <cell r="R1525">
            <v>44.1</v>
          </cell>
          <cell r="S1525">
            <v>6635.9</v>
          </cell>
        </row>
        <row r="1526">
          <cell r="A1526" t="str">
            <v>Actual</v>
          </cell>
          <cell r="B1526">
            <v>1</v>
          </cell>
          <cell r="C1526" t="str">
            <v>Domestic</v>
          </cell>
          <cell r="D1526">
            <v>1</v>
          </cell>
          <cell r="E1526">
            <v>7684</v>
          </cell>
          <cell r="F1526" t="str">
            <v>BASIC FOODS</v>
          </cell>
          <cell r="G1526" t="str">
            <v>D</v>
          </cell>
          <cell r="H1526" t="str">
            <v>N. LAS VEGAS</v>
          </cell>
          <cell r="I1526" t="str">
            <v>NV</v>
          </cell>
          <cell r="J1526" t="str">
            <v>USA</v>
          </cell>
          <cell r="K1526" t="str">
            <v>BRENNTAG WEST, INC.</v>
          </cell>
          <cell r="L1526" t="str">
            <v>CA</v>
          </cell>
          <cell r="M1526" t="str">
            <v>USA</v>
          </cell>
          <cell r="N1526" t="str">
            <v>D</v>
          </cell>
          <cell r="O1526">
            <v>30210100</v>
          </cell>
          <cell r="P1526" t="str">
            <v>SODA ASH DENSE BULK</v>
          </cell>
          <cell r="Q1526" t="str">
            <v>Soda Ash</v>
          </cell>
          <cell r="R1526">
            <v>54.19</v>
          </cell>
          <cell r="S1526">
            <v>4465.71</v>
          </cell>
        </row>
        <row r="1527">
          <cell r="A1527" t="str">
            <v>Actual</v>
          </cell>
          <cell r="B1527">
            <v>1</v>
          </cell>
          <cell r="C1527" t="str">
            <v>Domestic</v>
          </cell>
          <cell r="D1527">
            <v>1</v>
          </cell>
          <cell r="E1527">
            <v>7717</v>
          </cell>
          <cell r="F1527" t="str">
            <v>GP GYPSUM</v>
          </cell>
          <cell r="G1527" t="str">
            <v>D</v>
          </cell>
          <cell r="H1527" t="str">
            <v>LONG BEACH</v>
          </cell>
          <cell r="I1527" t="str">
            <v>CA</v>
          </cell>
          <cell r="J1527" t="str">
            <v>USA</v>
          </cell>
          <cell r="K1527" t="str">
            <v>UNIVAR USA</v>
          </cell>
          <cell r="L1527" t="str">
            <v>CA</v>
          </cell>
          <cell r="M1527" t="str">
            <v>USA</v>
          </cell>
          <cell r="N1527" t="str">
            <v>D</v>
          </cell>
          <cell r="O1527">
            <v>24090210</v>
          </cell>
          <cell r="P1527" t="str">
            <v>BORIC ACID GRAN TECH 50LB BAG</v>
          </cell>
          <cell r="Q1527" t="str">
            <v>Boric Acid</v>
          </cell>
          <cell r="R1527">
            <v>23.274999999999999</v>
          </cell>
          <cell r="S1527">
            <v>13485</v>
          </cell>
        </row>
        <row r="1528">
          <cell r="A1528" t="str">
            <v>Actual</v>
          </cell>
          <cell r="B1528">
            <v>1</v>
          </cell>
          <cell r="C1528" t="str">
            <v>Domestic</v>
          </cell>
          <cell r="D1528">
            <v>1</v>
          </cell>
          <cell r="E1528">
            <v>7780</v>
          </cell>
          <cell r="F1528" t="str">
            <v>LORBER INDUSTRIES</v>
          </cell>
          <cell r="G1528" t="str">
            <v>D</v>
          </cell>
          <cell r="H1528" t="str">
            <v>GARDENA</v>
          </cell>
          <cell r="I1528" t="str">
            <v>CA</v>
          </cell>
          <cell r="J1528" t="str">
            <v>USA</v>
          </cell>
          <cell r="K1528" t="str">
            <v>UNIVAR USA</v>
          </cell>
          <cell r="L1528" t="str">
            <v>CA</v>
          </cell>
          <cell r="M1528" t="str">
            <v>USA</v>
          </cell>
          <cell r="N1528" t="str">
            <v>D</v>
          </cell>
          <cell r="O1528">
            <v>40060410</v>
          </cell>
          <cell r="P1528" t="str">
            <v>SODIUM SULFATE STD 50LB BAG</v>
          </cell>
          <cell r="Q1528" t="str">
            <v>Sodium Sulfate</v>
          </cell>
          <cell r="R1528">
            <v>23.75</v>
          </cell>
          <cell r="S1528">
            <v>3918.75</v>
          </cell>
        </row>
        <row r="1529">
          <cell r="A1529" t="str">
            <v>Actual</v>
          </cell>
          <cell r="B1529">
            <v>1</v>
          </cell>
          <cell r="C1529" t="str">
            <v>Domestic</v>
          </cell>
          <cell r="D1529">
            <v>1</v>
          </cell>
          <cell r="E1529">
            <v>8135</v>
          </cell>
          <cell r="F1529" t="str">
            <v>PACIFIC CONTINENTAL TEXTILE</v>
          </cell>
          <cell r="G1529" t="str">
            <v>D</v>
          </cell>
          <cell r="H1529" t="str">
            <v>COMPTON</v>
          </cell>
          <cell r="I1529" t="str">
            <v>CA</v>
          </cell>
          <cell r="J1529" t="str">
            <v>USA</v>
          </cell>
          <cell r="K1529" t="str">
            <v>BRENNTAG WEST, INC.</v>
          </cell>
          <cell r="L1529" t="str">
            <v>CA</v>
          </cell>
          <cell r="M1529" t="str">
            <v>USA</v>
          </cell>
          <cell r="N1529" t="str">
            <v>D</v>
          </cell>
          <cell r="O1529">
            <v>40150410</v>
          </cell>
          <cell r="P1529" t="str">
            <v>SODIUM SULFATE CRS 50LB BAG</v>
          </cell>
          <cell r="Q1529" t="str">
            <v>Sodium Sulfate</v>
          </cell>
          <cell r="R1529">
            <v>142.5</v>
          </cell>
          <cell r="S1529">
            <v>24937.5</v>
          </cell>
        </row>
        <row r="1530">
          <cell r="A1530" t="str">
            <v>Actual</v>
          </cell>
          <cell r="B1530">
            <v>1</v>
          </cell>
          <cell r="C1530" t="str">
            <v>Domestic</v>
          </cell>
          <cell r="D1530">
            <v>1</v>
          </cell>
          <cell r="E1530">
            <v>8173</v>
          </cell>
          <cell r="F1530" t="str">
            <v>CHEM LAB PRODUCTS</v>
          </cell>
          <cell r="G1530" t="str">
            <v>D</v>
          </cell>
          <cell r="H1530" t="str">
            <v>ONTARIO</v>
          </cell>
          <cell r="I1530" t="str">
            <v>CA</v>
          </cell>
          <cell r="J1530" t="str">
            <v>USA</v>
          </cell>
          <cell r="K1530" t="str">
            <v>BRENNTAG WEST, INC.</v>
          </cell>
          <cell r="L1530" t="str">
            <v>CA</v>
          </cell>
          <cell r="M1530" t="str">
            <v>USA</v>
          </cell>
          <cell r="N1530" t="str">
            <v>D</v>
          </cell>
          <cell r="O1530">
            <v>30210150</v>
          </cell>
          <cell r="P1530" t="str">
            <v>SODA ASH DENSE 1TN FIBC</v>
          </cell>
          <cell r="Q1530" t="str">
            <v>Soda Ash</v>
          </cell>
          <cell r="R1530">
            <v>22</v>
          </cell>
          <cell r="S1530">
            <v>3796</v>
          </cell>
        </row>
        <row r="1531">
          <cell r="A1531" t="str">
            <v>Actual</v>
          </cell>
          <cell r="B1531">
            <v>1</v>
          </cell>
          <cell r="C1531" t="str">
            <v>Domestic</v>
          </cell>
          <cell r="D1531">
            <v>1</v>
          </cell>
          <cell r="E1531">
            <v>8219</v>
          </cell>
          <cell r="F1531" t="str">
            <v>UNIVAR USA</v>
          </cell>
          <cell r="G1531" t="str">
            <v>D</v>
          </cell>
          <cell r="H1531" t="str">
            <v>NATIONAL CITY</v>
          </cell>
          <cell r="I1531" t="str">
            <v>CA</v>
          </cell>
          <cell r="J1531" t="str">
            <v>USA</v>
          </cell>
          <cell r="K1531" t="str">
            <v>UNIVAR USA</v>
          </cell>
          <cell r="L1531" t="str">
            <v>CA</v>
          </cell>
          <cell r="M1531" t="str">
            <v>USA</v>
          </cell>
          <cell r="N1531" t="str">
            <v>D</v>
          </cell>
          <cell r="O1531">
            <v>30210110</v>
          </cell>
          <cell r="P1531" t="str">
            <v>SODA ASH DENSE 50LB BAG</v>
          </cell>
          <cell r="Q1531" t="str">
            <v>Soda Ash</v>
          </cell>
          <cell r="R1531">
            <v>22.05</v>
          </cell>
          <cell r="S1531">
            <v>3303.62</v>
          </cell>
        </row>
        <row r="1532">
          <cell r="A1532" t="str">
            <v>Actual</v>
          </cell>
          <cell r="B1532">
            <v>1</v>
          </cell>
          <cell r="C1532" t="str">
            <v>Domestic</v>
          </cell>
          <cell r="D1532">
            <v>1</v>
          </cell>
          <cell r="E1532">
            <v>8220</v>
          </cell>
          <cell r="F1532" t="str">
            <v>NEVADA POWER COMPANY</v>
          </cell>
          <cell r="G1532" t="str">
            <v>D</v>
          </cell>
          <cell r="H1532" t="str">
            <v>MOAPA</v>
          </cell>
          <cell r="I1532" t="str">
            <v>NV</v>
          </cell>
          <cell r="J1532" t="str">
            <v>USA</v>
          </cell>
          <cell r="K1532" t="str">
            <v>NEVADA POWER COMPANY</v>
          </cell>
          <cell r="L1532" t="str">
            <v>NV</v>
          </cell>
          <cell r="M1532" t="str">
            <v>USA</v>
          </cell>
          <cell r="N1532" t="str">
            <v>C</v>
          </cell>
          <cell r="O1532">
            <v>30210100</v>
          </cell>
          <cell r="P1532" t="str">
            <v>SODA ASH DENSE BULK</v>
          </cell>
          <cell r="Q1532" t="str">
            <v>Soda Ash</v>
          </cell>
          <cell r="R1532">
            <v>1027.73</v>
          </cell>
          <cell r="S1532">
            <v>74720.95</v>
          </cell>
        </row>
        <row r="1533">
          <cell r="A1533" t="str">
            <v>Actual</v>
          </cell>
          <cell r="B1533">
            <v>1</v>
          </cell>
          <cell r="C1533" t="str">
            <v>Domestic</v>
          </cell>
          <cell r="D1533">
            <v>1</v>
          </cell>
          <cell r="E1533">
            <v>8221</v>
          </cell>
          <cell r="F1533" t="str">
            <v>NEVADA POWER COMPANY</v>
          </cell>
          <cell r="G1533" t="str">
            <v>D</v>
          </cell>
          <cell r="H1533" t="str">
            <v>MOAPA</v>
          </cell>
          <cell r="I1533" t="str">
            <v>NV</v>
          </cell>
          <cell r="J1533" t="str">
            <v>USA</v>
          </cell>
          <cell r="K1533" t="str">
            <v>NEVADA POWER COMPANY</v>
          </cell>
          <cell r="L1533" t="str">
            <v>NV</v>
          </cell>
          <cell r="M1533" t="str">
            <v>USA</v>
          </cell>
          <cell r="N1533" t="str">
            <v>C</v>
          </cell>
          <cell r="O1533">
            <v>30210100</v>
          </cell>
          <cell r="P1533" t="str">
            <v>SODA ASH DENSE BULK</v>
          </cell>
          <cell r="Q1533" t="str">
            <v>Soda Ash</v>
          </cell>
          <cell r="R1533">
            <v>279.63</v>
          </cell>
          <cell r="S1533">
            <v>18948.22</v>
          </cell>
        </row>
        <row r="1534">
          <cell r="A1534" t="str">
            <v>Actual</v>
          </cell>
          <cell r="B1534">
            <v>1</v>
          </cell>
          <cell r="C1534" t="str">
            <v>Domestic</v>
          </cell>
          <cell r="D1534">
            <v>1</v>
          </cell>
          <cell r="E1534">
            <v>8229</v>
          </cell>
          <cell r="F1534" t="str">
            <v>SOUTHERN CALIFORNIA EDISON</v>
          </cell>
          <cell r="G1534" t="str">
            <v>D</v>
          </cell>
          <cell r="H1534" t="str">
            <v>LAUGHLIN</v>
          </cell>
          <cell r="I1534" t="str">
            <v>NV</v>
          </cell>
          <cell r="J1534" t="str">
            <v>USA</v>
          </cell>
          <cell r="K1534" t="str">
            <v>UNIVAR USA</v>
          </cell>
          <cell r="L1534" t="str">
            <v>CA</v>
          </cell>
          <cell r="M1534" t="str">
            <v>USA</v>
          </cell>
          <cell r="N1534" t="str">
            <v>D</v>
          </cell>
          <cell r="O1534">
            <v>30210100</v>
          </cell>
          <cell r="P1534" t="str">
            <v>SODA ASH DENSE BULK</v>
          </cell>
          <cell r="Q1534" t="str">
            <v>Soda Ash</v>
          </cell>
          <cell r="R1534">
            <v>182.46</v>
          </cell>
          <cell r="S1534">
            <v>18814.12</v>
          </cell>
        </row>
        <row r="1535">
          <cell r="A1535" t="str">
            <v>Actual</v>
          </cell>
          <cell r="B1535">
            <v>1</v>
          </cell>
          <cell r="C1535" t="str">
            <v>Domestic</v>
          </cell>
          <cell r="D1535">
            <v>1</v>
          </cell>
          <cell r="E1535">
            <v>8252</v>
          </cell>
          <cell r="F1535" t="str">
            <v>SUNCAL CHEMICAL</v>
          </cell>
          <cell r="G1535" t="str">
            <v>D</v>
          </cell>
          <cell r="H1535" t="str">
            <v>LOS ANGELES</v>
          </cell>
          <cell r="I1535" t="str">
            <v>CA</v>
          </cell>
          <cell r="J1535" t="str">
            <v>USA</v>
          </cell>
          <cell r="K1535" t="str">
            <v>UNIVAR USA</v>
          </cell>
          <cell r="L1535" t="str">
            <v>CA</v>
          </cell>
          <cell r="M1535" t="str">
            <v>USA</v>
          </cell>
          <cell r="N1535" t="str">
            <v>D</v>
          </cell>
          <cell r="O1535">
            <v>40060410</v>
          </cell>
          <cell r="P1535" t="str">
            <v>SODIUM SULFATE STD 50LB BAG</v>
          </cell>
          <cell r="Q1535" t="str">
            <v>Sodium Sulfate</v>
          </cell>
          <cell r="R1535">
            <v>23.75</v>
          </cell>
          <cell r="S1535">
            <v>4037.5</v>
          </cell>
        </row>
        <row r="1536">
          <cell r="A1536" t="str">
            <v>Actual</v>
          </cell>
          <cell r="B1536">
            <v>1</v>
          </cell>
          <cell r="C1536" t="str">
            <v>Domestic</v>
          </cell>
          <cell r="D1536">
            <v>1</v>
          </cell>
          <cell r="E1536">
            <v>8321</v>
          </cell>
          <cell r="F1536" t="str">
            <v>GEORGIA PACIFIC</v>
          </cell>
          <cell r="G1536" t="str">
            <v>D</v>
          </cell>
          <cell r="H1536" t="str">
            <v>N LAS VEGAS</v>
          </cell>
          <cell r="I1536" t="str">
            <v>NV</v>
          </cell>
          <cell r="J1536" t="str">
            <v>USA</v>
          </cell>
          <cell r="K1536" t="str">
            <v>UNIVAR USA</v>
          </cell>
          <cell r="L1536" t="str">
            <v>CA</v>
          </cell>
          <cell r="M1536" t="str">
            <v>USA</v>
          </cell>
          <cell r="N1536" t="str">
            <v>D</v>
          </cell>
          <cell r="O1536">
            <v>24090253</v>
          </cell>
          <cell r="P1536" t="str">
            <v>BORIC ACID GRN TCH 2500LB FIBC</v>
          </cell>
          <cell r="Q1536" t="str">
            <v>Boric Acid</v>
          </cell>
          <cell r="R1536">
            <v>22.5</v>
          </cell>
          <cell r="S1536">
            <v>13300</v>
          </cell>
        </row>
        <row r="1537">
          <cell r="A1537" t="str">
            <v>Actual</v>
          </cell>
          <cell r="B1537">
            <v>1</v>
          </cell>
          <cell r="C1537" t="str">
            <v>Domestic</v>
          </cell>
          <cell r="D1537">
            <v>1</v>
          </cell>
          <cell r="E1537">
            <v>8433</v>
          </cell>
          <cell r="F1537" t="str">
            <v>BRENNTAG WEST</v>
          </cell>
          <cell r="G1537" t="str">
            <v>D</v>
          </cell>
          <cell r="H1537" t="str">
            <v>CHULA VISTA</v>
          </cell>
          <cell r="I1537" t="str">
            <v>CA</v>
          </cell>
          <cell r="J1537" t="str">
            <v>USA</v>
          </cell>
          <cell r="K1537" t="str">
            <v>BRENNTAG WEST, INC.</v>
          </cell>
          <cell r="L1537" t="str">
            <v>CA</v>
          </cell>
          <cell r="M1537" t="str">
            <v>USA</v>
          </cell>
          <cell r="N1537" t="str">
            <v>D</v>
          </cell>
          <cell r="O1537">
            <v>30210110</v>
          </cell>
          <cell r="P1537" t="str">
            <v>SODA ASH DENSE 50LB BAG</v>
          </cell>
          <cell r="Q1537" t="str">
            <v>Soda Ash</v>
          </cell>
          <cell r="R1537">
            <v>22.05</v>
          </cell>
          <cell r="S1537">
            <v>3404.25</v>
          </cell>
        </row>
        <row r="1538">
          <cell r="A1538" t="str">
            <v>Actual</v>
          </cell>
          <cell r="B1538">
            <v>1</v>
          </cell>
          <cell r="C1538" t="str">
            <v>Domestic</v>
          </cell>
          <cell r="D1538">
            <v>1</v>
          </cell>
          <cell r="E1538">
            <v>8495</v>
          </cell>
          <cell r="F1538" t="str">
            <v>SWISSTEX</v>
          </cell>
          <cell r="G1538" t="str">
            <v>D</v>
          </cell>
          <cell r="H1538" t="str">
            <v>LOS ANGELES</v>
          </cell>
          <cell r="I1538" t="str">
            <v>CA</v>
          </cell>
          <cell r="J1538" t="str">
            <v>USA</v>
          </cell>
          <cell r="K1538" t="str">
            <v>BRENNTAG WEST, INC.</v>
          </cell>
          <cell r="L1538" t="str">
            <v>CA</v>
          </cell>
          <cell r="M1538" t="str">
            <v>USA</v>
          </cell>
          <cell r="N1538" t="str">
            <v>D</v>
          </cell>
          <cell r="O1538">
            <v>40150410</v>
          </cell>
          <cell r="P1538" t="str">
            <v>SODIUM SULFATE CRS 50LB BAG</v>
          </cell>
          <cell r="Q1538" t="str">
            <v>Sodium Sulfate</v>
          </cell>
          <cell r="R1538">
            <v>190</v>
          </cell>
          <cell r="S1538">
            <v>30542.5</v>
          </cell>
        </row>
        <row r="1539">
          <cell r="A1539" t="str">
            <v>Actual</v>
          </cell>
          <cell r="B1539">
            <v>1</v>
          </cell>
          <cell r="C1539" t="str">
            <v>Domestic</v>
          </cell>
          <cell r="D1539">
            <v>1</v>
          </cell>
          <cell r="E1539">
            <v>8498</v>
          </cell>
          <cell r="F1539" t="str">
            <v>E &amp; J DYE</v>
          </cell>
          <cell r="G1539" t="str">
            <v>D</v>
          </cell>
          <cell r="H1539" t="str">
            <v>HAWTHORNE</v>
          </cell>
          <cell r="I1539" t="str">
            <v>CA</v>
          </cell>
          <cell r="J1539" t="str">
            <v>USA</v>
          </cell>
          <cell r="K1539" t="str">
            <v>BRENNTAG WEST, INC.</v>
          </cell>
          <cell r="L1539" t="str">
            <v>CA</v>
          </cell>
          <cell r="M1539" t="str">
            <v>USA</v>
          </cell>
          <cell r="N1539" t="str">
            <v>D</v>
          </cell>
          <cell r="O1539">
            <v>40150410</v>
          </cell>
          <cell r="P1539" t="str">
            <v>SODIUM SULFATE CRS 50LB BAG</v>
          </cell>
          <cell r="Q1539" t="str">
            <v>Sodium Sulfate</v>
          </cell>
          <cell r="R1539">
            <v>95</v>
          </cell>
          <cell r="S1539">
            <v>12825</v>
          </cell>
        </row>
        <row r="1540">
          <cell r="A1540" t="str">
            <v>Actual</v>
          </cell>
          <cell r="B1540">
            <v>1</v>
          </cell>
          <cell r="C1540" t="str">
            <v>Domestic</v>
          </cell>
          <cell r="D1540">
            <v>1</v>
          </cell>
          <cell r="E1540">
            <v>8569</v>
          </cell>
          <cell r="F1540" t="str">
            <v>CHEMCOR CHEMICAL CORP</v>
          </cell>
          <cell r="G1540" t="str">
            <v>D</v>
          </cell>
          <cell r="H1540" t="str">
            <v>CHINO</v>
          </cell>
          <cell r="I1540" t="str">
            <v>CA</v>
          </cell>
          <cell r="J1540" t="str">
            <v>USA</v>
          </cell>
          <cell r="K1540" t="str">
            <v>CHEMCOR CHEMICAL CORP</v>
          </cell>
          <cell r="L1540" t="str">
            <v>CA</v>
          </cell>
          <cell r="M1540" t="str">
            <v>USA</v>
          </cell>
          <cell r="N1540" t="str">
            <v>D</v>
          </cell>
          <cell r="O1540">
            <v>23060210</v>
          </cell>
          <cell r="P1540" t="str">
            <v>DECA BORAX STD 50LB BAG</v>
          </cell>
          <cell r="Q1540" t="str">
            <v>Deca</v>
          </cell>
          <cell r="R1540">
            <v>1.2250000000000001</v>
          </cell>
          <cell r="S1540">
            <v>480.49200000000002</v>
          </cell>
        </row>
        <row r="1541">
          <cell r="A1541" t="str">
            <v>Actual</v>
          </cell>
          <cell r="B1541">
            <v>1</v>
          </cell>
          <cell r="C1541" t="str">
            <v>Domestic</v>
          </cell>
          <cell r="D1541">
            <v>1</v>
          </cell>
          <cell r="E1541">
            <v>8569</v>
          </cell>
          <cell r="F1541" t="str">
            <v>CHEMCOR CHEMICAL CORP</v>
          </cell>
          <cell r="G1541" t="str">
            <v>D</v>
          </cell>
          <cell r="H1541" t="str">
            <v>CHINO</v>
          </cell>
          <cell r="I1541" t="str">
            <v>CA</v>
          </cell>
          <cell r="J1541" t="str">
            <v>USA</v>
          </cell>
          <cell r="K1541" t="str">
            <v>CHEMCOR CHEMICAL CORP</v>
          </cell>
          <cell r="L1541" t="str">
            <v>CA</v>
          </cell>
          <cell r="M1541" t="str">
            <v>USA</v>
          </cell>
          <cell r="N1541" t="str">
            <v>D</v>
          </cell>
          <cell r="O1541">
            <v>30210110</v>
          </cell>
          <cell r="P1541" t="str">
            <v>SODA ASH DENSE 50LB BAG</v>
          </cell>
          <cell r="Q1541" t="str">
            <v>Soda Ash</v>
          </cell>
          <cell r="R1541">
            <v>15.925000000000001</v>
          </cell>
          <cell r="S1541">
            <v>2201.34</v>
          </cell>
        </row>
        <row r="1542">
          <cell r="A1542" t="str">
            <v>Actual</v>
          </cell>
          <cell r="B1542">
            <v>1</v>
          </cell>
          <cell r="C1542" t="str">
            <v>Domestic</v>
          </cell>
          <cell r="D1542">
            <v>1</v>
          </cell>
          <cell r="E1542">
            <v>8569</v>
          </cell>
          <cell r="F1542" t="str">
            <v>CHEMCOR CHEMICAL CORP</v>
          </cell>
          <cell r="G1542" t="str">
            <v>D</v>
          </cell>
          <cell r="H1542" t="str">
            <v>CHINO</v>
          </cell>
          <cell r="I1542" t="str">
            <v>CA</v>
          </cell>
          <cell r="J1542" t="str">
            <v>USA</v>
          </cell>
          <cell r="K1542" t="str">
            <v>CHEMCOR CHEMICAL CORP</v>
          </cell>
          <cell r="L1542" t="str">
            <v>CA</v>
          </cell>
          <cell r="M1542" t="str">
            <v>USA</v>
          </cell>
          <cell r="N1542" t="str">
            <v>D</v>
          </cell>
          <cell r="O1542">
            <v>40150410</v>
          </cell>
          <cell r="P1542" t="str">
            <v>SODIUM SULFATE CRS 50LB BAG</v>
          </cell>
          <cell r="Q1542" t="str">
            <v>Sodium Sulfate</v>
          </cell>
          <cell r="R1542">
            <v>5</v>
          </cell>
          <cell r="S1542">
            <v>911.178</v>
          </cell>
        </row>
        <row r="1543">
          <cell r="A1543" t="str">
            <v>Actual</v>
          </cell>
          <cell r="B1543">
            <v>1</v>
          </cell>
          <cell r="C1543" t="str">
            <v>Domestic</v>
          </cell>
          <cell r="D1543">
            <v>1</v>
          </cell>
          <cell r="E1543">
            <v>8621</v>
          </cell>
          <cell r="F1543" t="str">
            <v>ALSTYLE DYEING &amp; FINISHING</v>
          </cell>
          <cell r="G1543" t="str">
            <v>D</v>
          </cell>
          <cell r="H1543" t="str">
            <v>ANAHEIM</v>
          </cell>
          <cell r="I1543" t="str">
            <v>CA</v>
          </cell>
          <cell r="J1543" t="str">
            <v>USA</v>
          </cell>
          <cell r="K1543" t="str">
            <v>BRENNTAG WEST, INC.</v>
          </cell>
          <cell r="L1543" t="str">
            <v>CA</v>
          </cell>
          <cell r="M1543" t="str">
            <v>USA</v>
          </cell>
          <cell r="N1543" t="str">
            <v>D</v>
          </cell>
          <cell r="O1543">
            <v>40150410</v>
          </cell>
          <cell r="P1543" t="str">
            <v>SODIUM SULFATE CRS 50LB BAG</v>
          </cell>
          <cell r="Q1543" t="str">
            <v>Sodium Sulfate</v>
          </cell>
          <cell r="R1543">
            <v>736.25</v>
          </cell>
          <cell r="S1543">
            <v>113382.5</v>
          </cell>
        </row>
        <row r="1544">
          <cell r="A1544" t="str">
            <v>Actual</v>
          </cell>
          <cell r="B1544">
            <v>1</v>
          </cell>
          <cell r="C1544" t="str">
            <v>Domestic</v>
          </cell>
          <cell r="D1544">
            <v>1</v>
          </cell>
          <cell r="E1544">
            <v>8641</v>
          </cell>
          <cell r="F1544" t="str">
            <v>HARRY'S DYE &amp; WASH</v>
          </cell>
          <cell r="G1544" t="str">
            <v>D</v>
          </cell>
          <cell r="H1544" t="str">
            <v>ANAHEIM</v>
          </cell>
          <cell r="I1544" t="str">
            <v>CA</v>
          </cell>
          <cell r="J1544" t="str">
            <v>USA</v>
          </cell>
          <cell r="K1544" t="str">
            <v>UNIVAR USA</v>
          </cell>
          <cell r="L1544" t="str">
            <v>CA</v>
          </cell>
          <cell r="M1544" t="str">
            <v>USA</v>
          </cell>
          <cell r="N1544" t="str">
            <v>D</v>
          </cell>
          <cell r="O1544">
            <v>40060410</v>
          </cell>
          <cell r="P1544" t="str">
            <v>SODIUM SULFATE STD 50LB BAG</v>
          </cell>
          <cell r="Q1544" t="str">
            <v>Sodium Sulfate</v>
          </cell>
          <cell r="R1544">
            <v>23.75</v>
          </cell>
          <cell r="S1544">
            <v>4393.75</v>
          </cell>
        </row>
        <row r="1545">
          <cell r="A1545" t="str">
            <v>Actual</v>
          </cell>
          <cell r="B1545">
            <v>1</v>
          </cell>
          <cell r="C1545" t="str">
            <v>Domestic</v>
          </cell>
          <cell r="D1545">
            <v>1</v>
          </cell>
          <cell r="E1545">
            <v>8682</v>
          </cell>
          <cell r="F1545" t="str">
            <v>CITY OF LAS VEGAS</v>
          </cell>
          <cell r="G1545" t="str">
            <v>D</v>
          </cell>
          <cell r="H1545" t="str">
            <v>LAS VEGAS</v>
          </cell>
          <cell r="I1545" t="str">
            <v>NV</v>
          </cell>
          <cell r="J1545" t="str">
            <v>USA</v>
          </cell>
          <cell r="K1545" t="str">
            <v>BRENNTAG WEST, INC.</v>
          </cell>
          <cell r="L1545" t="str">
            <v>CA</v>
          </cell>
          <cell r="M1545" t="str">
            <v>USA</v>
          </cell>
          <cell r="N1545" t="str">
            <v>D</v>
          </cell>
          <cell r="O1545">
            <v>30210100</v>
          </cell>
          <cell r="P1545" t="str">
            <v>SODA ASH DENSE BULK</v>
          </cell>
          <cell r="Q1545" t="str">
            <v>Soda Ash</v>
          </cell>
          <cell r="R1545">
            <v>132.52000000000001</v>
          </cell>
          <cell r="S1545">
            <v>11007.51</v>
          </cell>
        </row>
        <row r="1546">
          <cell r="A1546" t="str">
            <v>Actual</v>
          </cell>
          <cell r="B1546">
            <v>1</v>
          </cell>
          <cell r="C1546" t="str">
            <v>Domestic</v>
          </cell>
          <cell r="D1546">
            <v>1</v>
          </cell>
          <cell r="E1546">
            <v>8683</v>
          </cell>
          <cell r="F1546" t="str">
            <v>CITY OF LAS VEGAS</v>
          </cell>
          <cell r="G1546" t="str">
            <v>D</v>
          </cell>
          <cell r="H1546" t="str">
            <v>LAS VEGAS</v>
          </cell>
          <cell r="I1546" t="str">
            <v>NV</v>
          </cell>
          <cell r="J1546" t="str">
            <v>USA</v>
          </cell>
          <cell r="K1546" t="str">
            <v>BRENNTAG WEST, INC.</v>
          </cell>
          <cell r="L1546" t="str">
            <v>CA</v>
          </cell>
          <cell r="M1546" t="str">
            <v>USA</v>
          </cell>
          <cell r="N1546" t="str">
            <v>D</v>
          </cell>
          <cell r="O1546">
            <v>30210100</v>
          </cell>
          <cell r="P1546" t="str">
            <v>SODA ASH DENSE BULK</v>
          </cell>
          <cell r="Q1546" t="str">
            <v>Soda Ash</v>
          </cell>
          <cell r="R1546">
            <v>107.29</v>
          </cell>
          <cell r="S1546">
            <v>8913.2199999999993</v>
          </cell>
        </row>
        <row r="1547">
          <cell r="A1547" t="str">
            <v>Actual</v>
          </cell>
          <cell r="B1547">
            <v>1</v>
          </cell>
          <cell r="C1547" t="str">
            <v>Domestic</v>
          </cell>
          <cell r="D1547">
            <v>1</v>
          </cell>
          <cell r="E1547">
            <v>8688</v>
          </cell>
          <cell r="F1547" t="str">
            <v>CALPINE CORP.</v>
          </cell>
          <cell r="G1547" t="str">
            <v>D</v>
          </cell>
          <cell r="H1547" t="str">
            <v>MIDDLETOWN</v>
          </cell>
          <cell r="I1547" t="str">
            <v>CA</v>
          </cell>
          <cell r="J1547" t="str">
            <v>USA</v>
          </cell>
          <cell r="K1547" t="str">
            <v>UNIVAR USA</v>
          </cell>
          <cell r="L1547" t="str">
            <v>CA</v>
          </cell>
          <cell r="M1547" t="str">
            <v>USA</v>
          </cell>
          <cell r="N1547" t="str">
            <v>D</v>
          </cell>
          <cell r="O1547">
            <v>30210110</v>
          </cell>
          <cell r="P1547" t="str">
            <v>SODA ASH DENSE 50LB BAG</v>
          </cell>
          <cell r="Q1547" t="str">
            <v>Soda Ash</v>
          </cell>
          <cell r="R1547">
            <v>24.5</v>
          </cell>
          <cell r="S1547">
            <v>3508.94</v>
          </cell>
        </row>
        <row r="1548">
          <cell r="A1548" t="str">
            <v>Actual</v>
          </cell>
          <cell r="B1548">
            <v>1</v>
          </cell>
          <cell r="C1548" t="str">
            <v>Domestic</v>
          </cell>
          <cell r="D1548">
            <v>1</v>
          </cell>
          <cell r="E1548">
            <v>8749</v>
          </cell>
          <cell r="F1548" t="str">
            <v>A &amp; M PRODUCTS MANUFACTURING</v>
          </cell>
          <cell r="G1548" t="str">
            <v>D</v>
          </cell>
          <cell r="H1548" t="str">
            <v>SPRING HILL</v>
          </cell>
          <cell r="I1548" t="str">
            <v>KS</v>
          </cell>
          <cell r="J1548" t="str">
            <v>USA</v>
          </cell>
          <cell r="K1548" t="str">
            <v>A &amp; M PRODUCTS MANUFACTURING</v>
          </cell>
          <cell r="L1548" t="str">
            <v>KS</v>
          </cell>
          <cell r="M1548" t="str">
            <v>USA</v>
          </cell>
          <cell r="N1548" t="str">
            <v>C</v>
          </cell>
          <cell r="O1548">
            <v>22760450</v>
          </cell>
          <cell r="P1548" t="str">
            <v>V-BOR PEST 1TN FIBC (004)</v>
          </cell>
          <cell r="Q1548" t="str">
            <v>Penta</v>
          </cell>
          <cell r="R1548">
            <v>110</v>
          </cell>
          <cell r="S1548">
            <v>29166.34</v>
          </cell>
        </row>
        <row r="1549">
          <cell r="A1549" t="str">
            <v>Actual</v>
          </cell>
          <cell r="B1549">
            <v>1</v>
          </cell>
          <cell r="C1549" t="str">
            <v>Domestic</v>
          </cell>
          <cell r="D1549">
            <v>1</v>
          </cell>
          <cell r="E1549">
            <v>8862</v>
          </cell>
          <cell r="F1549" t="str">
            <v>NGS MAIN WAREHOUSE</v>
          </cell>
          <cell r="G1549" t="str">
            <v>D</v>
          </cell>
          <cell r="H1549" t="str">
            <v>PAGE</v>
          </cell>
          <cell r="I1549" t="str">
            <v>AZ</v>
          </cell>
          <cell r="J1549" t="str">
            <v>USA</v>
          </cell>
          <cell r="K1549" t="str">
            <v>SRP</v>
          </cell>
          <cell r="L1549" t="str">
            <v>AZ</v>
          </cell>
          <cell r="M1549" t="str">
            <v>USA</v>
          </cell>
          <cell r="N1549" t="str">
            <v>C</v>
          </cell>
          <cell r="O1549">
            <v>30210100</v>
          </cell>
          <cell r="P1549" t="str">
            <v>SODA ASH DENSE BULK</v>
          </cell>
          <cell r="Q1549" t="str">
            <v>Soda Ash</v>
          </cell>
          <cell r="R1549">
            <v>305.38</v>
          </cell>
          <cell r="S1549">
            <v>20918.560000000001</v>
          </cell>
        </row>
        <row r="1550">
          <cell r="A1550" t="str">
            <v>Actual</v>
          </cell>
          <cell r="B1550">
            <v>1</v>
          </cell>
          <cell r="C1550" t="str">
            <v>Domestic</v>
          </cell>
          <cell r="D1550">
            <v>1</v>
          </cell>
          <cell r="E1550">
            <v>8901</v>
          </cell>
          <cell r="F1550" t="str">
            <v>CGS MAIN WAREHOUSE</v>
          </cell>
          <cell r="G1550" t="str">
            <v>D</v>
          </cell>
          <cell r="H1550" t="str">
            <v>ST. JOHNS</v>
          </cell>
          <cell r="I1550" t="str">
            <v>AZ</v>
          </cell>
          <cell r="J1550" t="str">
            <v>USA</v>
          </cell>
          <cell r="K1550" t="str">
            <v>CGS MAIN WAREHOUSE</v>
          </cell>
          <cell r="L1550" t="str">
            <v>AZ</v>
          </cell>
          <cell r="M1550" t="str">
            <v>USA</v>
          </cell>
          <cell r="N1550" t="str">
            <v>C</v>
          </cell>
          <cell r="O1550">
            <v>30210100</v>
          </cell>
          <cell r="P1550" t="str">
            <v>SODA ASH DENSE BULK</v>
          </cell>
          <cell r="Q1550" t="str">
            <v>Soda Ash</v>
          </cell>
          <cell r="R1550">
            <v>238.73</v>
          </cell>
          <cell r="S1550">
            <v>16157.69</v>
          </cell>
        </row>
        <row r="1551">
          <cell r="A1551" t="str">
            <v>Actual</v>
          </cell>
          <cell r="B1551">
            <v>1</v>
          </cell>
          <cell r="C1551" t="str">
            <v>Domestic</v>
          </cell>
          <cell r="D1551">
            <v>1</v>
          </cell>
          <cell r="E1551">
            <v>8981</v>
          </cell>
          <cell r="F1551" t="str">
            <v>ARIZONA PUBLIC SERVICE</v>
          </cell>
          <cell r="G1551" t="str">
            <v>D</v>
          </cell>
          <cell r="H1551" t="str">
            <v>TONOPAH</v>
          </cell>
          <cell r="I1551" t="str">
            <v>AZ</v>
          </cell>
          <cell r="J1551" t="str">
            <v>USA</v>
          </cell>
          <cell r="K1551" t="str">
            <v>UNIVAR USA</v>
          </cell>
          <cell r="L1551" t="str">
            <v>AZ</v>
          </cell>
          <cell r="M1551" t="str">
            <v>USA</v>
          </cell>
          <cell r="N1551" t="str">
            <v>D</v>
          </cell>
          <cell r="O1551">
            <v>30210100</v>
          </cell>
          <cell r="P1551" t="str">
            <v>SODA ASH DENSE BULK</v>
          </cell>
          <cell r="Q1551" t="str">
            <v>Soda Ash</v>
          </cell>
          <cell r="R1551">
            <v>989.85</v>
          </cell>
          <cell r="S1551">
            <v>67887.899999999994</v>
          </cell>
        </row>
        <row r="1552">
          <cell r="A1552" t="str">
            <v>Actual</v>
          </cell>
          <cell r="B1552">
            <v>1</v>
          </cell>
          <cell r="C1552" t="str">
            <v>Domestic</v>
          </cell>
          <cell r="D1552">
            <v>1</v>
          </cell>
          <cell r="E1552">
            <v>9066</v>
          </cell>
          <cell r="F1552" t="str">
            <v>L.A. CHEMICAL</v>
          </cell>
          <cell r="G1552" t="str">
            <v>D</v>
          </cell>
          <cell r="H1552" t="str">
            <v>FRESNO</v>
          </cell>
          <cell r="I1552" t="str">
            <v>CA</v>
          </cell>
          <cell r="J1552" t="str">
            <v>USA</v>
          </cell>
          <cell r="K1552" t="str">
            <v>L.A. CHEMICAL</v>
          </cell>
          <cell r="L1552" t="str">
            <v>CA</v>
          </cell>
          <cell r="M1552" t="str">
            <v>USA</v>
          </cell>
          <cell r="N1552" t="str">
            <v>D</v>
          </cell>
          <cell r="O1552">
            <v>20060210</v>
          </cell>
          <cell r="P1552" t="str">
            <v>PYROBOR 50LB BAG (002)</v>
          </cell>
          <cell r="Q1552" t="str">
            <v>Pyrobor</v>
          </cell>
          <cell r="R1552">
            <v>0</v>
          </cell>
          <cell r="S1552">
            <v>-19.420000000000002</v>
          </cell>
        </row>
        <row r="1553">
          <cell r="A1553" t="str">
            <v>Actual</v>
          </cell>
          <cell r="B1553">
            <v>1</v>
          </cell>
          <cell r="C1553" t="str">
            <v>Domestic</v>
          </cell>
          <cell r="D1553">
            <v>1</v>
          </cell>
          <cell r="E1553">
            <v>9100</v>
          </cell>
          <cell r="F1553" t="str">
            <v>L.A. CHEMICAL</v>
          </cell>
          <cell r="G1553" t="str">
            <v>D</v>
          </cell>
          <cell r="H1553" t="str">
            <v>SALT LAKE CITY</v>
          </cell>
          <cell r="I1553" t="str">
            <v>UT</v>
          </cell>
          <cell r="J1553" t="str">
            <v>USA</v>
          </cell>
          <cell r="K1553" t="str">
            <v>L.A. CHEMICAL</v>
          </cell>
          <cell r="L1553" t="str">
            <v>UT</v>
          </cell>
          <cell r="M1553" t="str">
            <v>USA</v>
          </cell>
          <cell r="N1553" t="str">
            <v>D</v>
          </cell>
          <cell r="O1553">
            <v>22060410</v>
          </cell>
          <cell r="P1553" t="str">
            <v>V-BOR 50LB BAG (004)</v>
          </cell>
          <cell r="Q1553" t="str">
            <v>Penta</v>
          </cell>
          <cell r="R1553">
            <v>66.150000000000006</v>
          </cell>
          <cell r="S1553">
            <v>24184.23</v>
          </cell>
        </row>
        <row r="1554">
          <cell r="A1554" t="str">
            <v>Actual</v>
          </cell>
          <cell r="B1554">
            <v>1</v>
          </cell>
          <cell r="C1554" t="str">
            <v>Domestic</v>
          </cell>
          <cell r="D1554">
            <v>1</v>
          </cell>
          <cell r="E1554">
            <v>9124</v>
          </cell>
          <cell r="F1554" t="str">
            <v>WEST AGRO</v>
          </cell>
          <cell r="G1554" t="str">
            <v>D</v>
          </cell>
          <cell r="H1554" t="str">
            <v>TURLOCK</v>
          </cell>
          <cell r="I1554" t="str">
            <v>CA</v>
          </cell>
          <cell r="J1554" t="str">
            <v>USA</v>
          </cell>
          <cell r="K1554" t="str">
            <v>BRENNTAG WEST, INC.</v>
          </cell>
          <cell r="L1554" t="str">
            <v>CA</v>
          </cell>
          <cell r="M1554" t="str">
            <v>USA</v>
          </cell>
          <cell r="N1554" t="str">
            <v>D</v>
          </cell>
          <cell r="O1554">
            <v>30210110</v>
          </cell>
          <cell r="P1554" t="str">
            <v>SODA ASH DENSE 50LB BAG</v>
          </cell>
          <cell r="Q1554" t="str">
            <v>Soda Ash</v>
          </cell>
          <cell r="R1554">
            <v>0</v>
          </cell>
          <cell r="S1554">
            <v>61.1312</v>
          </cell>
        </row>
        <row r="1555">
          <cell r="A1555" t="str">
            <v>Actual</v>
          </cell>
          <cell r="B1555">
            <v>1</v>
          </cell>
          <cell r="C1555" t="str">
            <v>Domestic</v>
          </cell>
          <cell r="D1555">
            <v>1</v>
          </cell>
          <cell r="E1555">
            <v>9124</v>
          </cell>
          <cell r="F1555" t="str">
            <v>WEST AGRO</v>
          </cell>
          <cell r="G1555" t="str">
            <v>D</v>
          </cell>
          <cell r="H1555" t="str">
            <v>TURLOCK</v>
          </cell>
          <cell r="I1555" t="str">
            <v>CA</v>
          </cell>
          <cell r="J1555" t="str">
            <v>USA</v>
          </cell>
          <cell r="K1555" t="str">
            <v>BRENNTAG WEST, INC.</v>
          </cell>
          <cell r="L1555" t="str">
            <v>CA</v>
          </cell>
          <cell r="M1555" t="str">
            <v>USA</v>
          </cell>
          <cell r="N1555" t="str">
            <v>D</v>
          </cell>
          <cell r="O1555">
            <v>30210150</v>
          </cell>
          <cell r="P1555" t="str">
            <v>SODA ASH DENSE 1TN FIBC</v>
          </cell>
          <cell r="Q1555" t="str">
            <v>Soda Ash</v>
          </cell>
          <cell r="R1555">
            <v>44</v>
          </cell>
          <cell r="S1555">
            <v>6700.3688000000002</v>
          </cell>
        </row>
        <row r="1556">
          <cell r="A1556" t="str">
            <v>Actual</v>
          </cell>
          <cell r="B1556">
            <v>1</v>
          </cell>
          <cell r="C1556" t="str">
            <v>Domestic</v>
          </cell>
          <cell r="D1556">
            <v>1</v>
          </cell>
          <cell r="E1556">
            <v>9215</v>
          </cell>
          <cell r="F1556" t="str">
            <v>GALLO GLASS</v>
          </cell>
          <cell r="G1556" t="str">
            <v>D</v>
          </cell>
          <cell r="H1556" t="str">
            <v>MODESTO</v>
          </cell>
          <cell r="I1556" t="str">
            <v>CA</v>
          </cell>
          <cell r="J1556" t="str">
            <v>USA</v>
          </cell>
          <cell r="K1556" t="str">
            <v>BRENNTAG WEST, INC.</v>
          </cell>
          <cell r="L1556" t="str">
            <v>CA</v>
          </cell>
          <cell r="M1556" t="str">
            <v>USA</v>
          </cell>
          <cell r="N1556" t="str">
            <v>D</v>
          </cell>
          <cell r="O1556">
            <v>40150400</v>
          </cell>
          <cell r="P1556" t="str">
            <v>SODIUM SULFATE COARSE BULK</v>
          </cell>
          <cell r="Q1556" t="str">
            <v>Sodium Sulfate</v>
          </cell>
          <cell r="R1556">
            <v>25.65</v>
          </cell>
          <cell r="S1556">
            <v>2693.25</v>
          </cell>
        </row>
        <row r="1557">
          <cell r="A1557" t="str">
            <v>Actual</v>
          </cell>
          <cell r="B1557">
            <v>1</v>
          </cell>
          <cell r="C1557" t="str">
            <v>Domestic</v>
          </cell>
          <cell r="D1557">
            <v>1</v>
          </cell>
          <cell r="E1557">
            <v>9215</v>
          </cell>
          <cell r="F1557" t="str">
            <v>GALLO GLASS</v>
          </cell>
          <cell r="G1557" t="str">
            <v>D</v>
          </cell>
          <cell r="H1557" t="str">
            <v>MODESTO</v>
          </cell>
          <cell r="I1557" t="str">
            <v>CA</v>
          </cell>
          <cell r="J1557" t="str">
            <v>USA</v>
          </cell>
          <cell r="K1557" t="str">
            <v>BRENNTAG WEST, INC.</v>
          </cell>
          <cell r="L1557" t="str">
            <v>CA</v>
          </cell>
          <cell r="M1557" t="str">
            <v>USA</v>
          </cell>
          <cell r="N1557" t="str">
            <v>D</v>
          </cell>
          <cell r="O1557">
            <v>40150430</v>
          </cell>
          <cell r="P1557" t="str">
            <v>SODIUM SULFATE CRS 100LB BG</v>
          </cell>
          <cell r="Q1557" t="str">
            <v>Sodium Sulfate</v>
          </cell>
          <cell r="R1557">
            <v>25</v>
          </cell>
          <cell r="S1557">
            <v>2875</v>
          </cell>
        </row>
        <row r="1558">
          <cell r="A1558" t="str">
            <v>Actual</v>
          </cell>
          <cell r="B1558">
            <v>1</v>
          </cell>
          <cell r="C1558" t="str">
            <v>Domestic</v>
          </cell>
          <cell r="D1558">
            <v>1</v>
          </cell>
          <cell r="E1558">
            <v>9217</v>
          </cell>
          <cell r="F1558" t="str">
            <v>BRENNTAG WEST, INC.</v>
          </cell>
          <cell r="G1558" t="str">
            <v>D</v>
          </cell>
          <cell r="H1558" t="str">
            <v>FRESNO</v>
          </cell>
          <cell r="I1558" t="str">
            <v>CA</v>
          </cell>
          <cell r="J1558" t="str">
            <v>USA</v>
          </cell>
          <cell r="K1558" t="str">
            <v>BRENNTAG WEST, INC.</v>
          </cell>
          <cell r="L1558" t="str">
            <v>CA</v>
          </cell>
          <cell r="M1558" t="str">
            <v>USA</v>
          </cell>
          <cell r="N1558" t="str">
            <v>D</v>
          </cell>
          <cell r="O1558">
            <v>22060410</v>
          </cell>
          <cell r="P1558" t="str">
            <v>V-BOR 50LB BAG (004)</v>
          </cell>
          <cell r="Q1558" t="str">
            <v>Penta</v>
          </cell>
          <cell r="R1558">
            <v>9.8000000000000007</v>
          </cell>
          <cell r="S1558">
            <v>4116</v>
          </cell>
        </row>
        <row r="1559">
          <cell r="A1559" t="str">
            <v>Actual</v>
          </cell>
          <cell r="B1559">
            <v>1</v>
          </cell>
          <cell r="C1559" t="str">
            <v>Domestic</v>
          </cell>
          <cell r="D1559">
            <v>1</v>
          </cell>
          <cell r="E1559">
            <v>9217</v>
          </cell>
          <cell r="F1559" t="str">
            <v>BRENNTAG WEST, INC.</v>
          </cell>
          <cell r="G1559" t="str">
            <v>D</v>
          </cell>
          <cell r="H1559" t="str">
            <v>FRESNO</v>
          </cell>
          <cell r="I1559" t="str">
            <v>CA</v>
          </cell>
          <cell r="J1559" t="str">
            <v>USA</v>
          </cell>
          <cell r="K1559" t="str">
            <v>BRENNTAG WEST, INC.</v>
          </cell>
          <cell r="L1559" t="str">
            <v>CA</v>
          </cell>
          <cell r="M1559" t="str">
            <v>USA</v>
          </cell>
          <cell r="N1559" t="str">
            <v>D</v>
          </cell>
          <cell r="O1559">
            <v>30210110</v>
          </cell>
          <cell r="P1559" t="str">
            <v>SODA ASH DENSE 50LB BAG</v>
          </cell>
          <cell r="Q1559" t="str">
            <v>Soda Ash</v>
          </cell>
          <cell r="R1559">
            <v>0</v>
          </cell>
          <cell r="S1559">
            <v>-19.420000000000002</v>
          </cell>
        </row>
        <row r="1560">
          <cell r="A1560" t="str">
            <v>Actual</v>
          </cell>
          <cell r="B1560">
            <v>1</v>
          </cell>
          <cell r="C1560" t="str">
            <v>Domestic</v>
          </cell>
          <cell r="D1560">
            <v>1</v>
          </cell>
          <cell r="E1560">
            <v>9217</v>
          </cell>
          <cell r="F1560" t="str">
            <v>BRENNTAG WEST, INC.</v>
          </cell>
          <cell r="G1560" t="str">
            <v>D</v>
          </cell>
          <cell r="H1560" t="str">
            <v>FRESNO</v>
          </cell>
          <cell r="I1560" t="str">
            <v>CA</v>
          </cell>
          <cell r="J1560" t="str">
            <v>USA</v>
          </cell>
          <cell r="K1560" t="str">
            <v>BRENNTAG WEST, INC.</v>
          </cell>
          <cell r="L1560" t="str">
            <v>CA</v>
          </cell>
          <cell r="M1560" t="str">
            <v>USA</v>
          </cell>
          <cell r="N1560" t="str">
            <v>D</v>
          </cell>
          <cell r="O1560">
            <v>40150450</v>
          </cell>
          <cell r="P1560" t="str">
            <v>SODIUM SULFATE CRS 1TN FIBC</v>
          </cell>
          <cell r="Q1560" t="str">
            <v>Sodium Sulfate</v>
          </cell>
          <cell r="R1560">
            <v>10</v>
          </cell>
          <cell r="S1560">
            <v>1950</v>
          </cell>
        </row>
        <row r="1561">
          <cell r="A1561" t="str">
            <v>Actual</v>
          </cell>
          <cell r="B1561">
            <v>1</v>
          </cell>
          <cell r="C1561" t="str">
            <v>Domestic</v>
          </cell>
          <cell r="D1561">
            <v>1</v>
          </cell>
          <cell r="E1561">
            <v>9236</v>
          </cell>
          <cell r="F1561" t="str">
            <v>DUKE ENERGY</v>
          </cell>
          <cell r="G1561" t="str">
            <v>D</v>
          </cell>
          <cell r="H1561" t="str">
            <v>ARLINGTON</v>
          </cell>
          <cell r="I1561" t="str">
            <v>AZ</v>
          </cell>
          <cell r="J1561" t="str">
            <v>USA</v>
          </cell>
          <cell r="K1561" t="str">
            <v>UNIVAR USA</v>
          </cell>
          <cell r="L1561" t="str">
            <v>AZ</v>
          </cell>
          <cell r="M1561" t="str">
            <v>USA</v>
          </cell>
          <cell r="N1561" t="str">
            <v>D</v>
          </cell>
          <cell r="O1561">
            <v>30210100</v>
          </cell>
          <cell r="P1561" t="str">
            <v>SODA ASH DENSE BULK</v>
          </cell>
          <cell r="Q1561" t="str">
            <v>Soda Ash</v>
          </cell>
          <cell r="R1561">
            <v>26.22</v>
          </cell>
          <cell r="S1561">
            <v>2155.2800000000002</v>
          </cell>
        </row>
        <row r="1562">
          <cell r="A1562" t="str">
            <v>Actual</v>
          </cell>
          <cell r="B1562">
            <v>1</v>
          </cell>
          <cell r="C1562" t="str">
            <v>Domestic</v>
          </cell>
          <cell r="D1562">
            <v>1</v>
          </cell>
          <cell r="E1562">
            <v>9292</v>
          </cell>
          <cell r="F1562" t="str">
            <v>LAFAYETTE TEXTILE</v>
          </cell>
          <cell r="G1562" t="str">
            <v>D</v>
          </cell>
          <cell r="H1562" t="str">
            <v>LOS ANGELES</v>
          </cell>
          <cell r="I1562" t="str">
            <v>CA</v>
          </cell>
          <cell r="J1562" t="str">
            <v>USA</v>
          </cell>
          <cell r="K1562" t="str">
            <v>UNIVAR USA</v>
          </cell>
          <cell r="L1562" t="str">
            <v>CA</v>
          </cell>
          <cell r="M1562" t="str">
            <v>USA</v>
          </cell>
          <cell r="N1562" t="str">
            <v>D</v>
          </cell>
          <cell r="O1562">
            <v>40060410</v>
          </cell>
          <cell r="P1562" t="str">
            <v>SODIUM SULFATE STD 50LB BAG</v>
          </cell>
          <cell r="Q1562" t="str">
            <v>Sodium Sulfate</v>
          </cell>
          <cell r="R1562">
            <v>70</v>
          </cell>
          <cell r="S1562">
            <v>13300</v>
          </cell>
        </row>
        <row r="1563">
          <cell r="A1563" t="str">
            <v>Actual</v>
          </cell>
          <cell r="B1563">
            <v>1</v>
          </cell>
          <cell r="C1563" t="str">
            <v>Domestic</v>
          </cell>
          <cell r="D1563">
            <v>1</v>
          </cell>
          <cell r="E1563">
            <v>9329</v>
          </cell>
          <cell r="F1563" t="str">
            <v>EL DORADO IRRIGATION</v>
          </cell>
          <cell r="G1563" t="str">
            <v>D</v>
          </cell>
          <cell r="H1563" t="str">
            <v>POLLACK PINE</v>
          </cell>
          <cell r="I1563" t="str">
            <v>CA</v>
          </cell>
          <cell r="J1563" t="str">
            <v>USA</v>
          </cell>
          <cell r="K1563" t="str">
            <v>BRENNTAG WEST, INC.</v>
          </cell>
          <cell r="L1563" t="str">
            <v>CA</v>
          </cell>
          <cell r="M1563" t="str">
            <v>USA</v>
          </cell>
          <cell r="N1563" t="str">
            <v>D</v>
          </cell>
          <cell r="O1563">
            <v>30210100</v>
          </cell>
          <cell r="P1563" t="str">
            <v>SODA ASH DENSE BULK</v>
          </cell>
          <cell r="Q1563" t="str">
            <v>Soda Ash</v>
          </cell>
          <cell r="R1563">
            <v>26.78</v>
          </cell>
          <cell r="S1563">
            <v>2904.76</v>
          </cell>
        </row>
        <row r="1564">
          <cell r="A1564" t="str">
            <v>Actual</v>
          </cell>
          <cell r="B1564">
            <v>1</v>
          </cell>
          <cell r="C1564" t="str">
            <v>Domestic</v>
          </cell>
          <cell r="D1564">
            <v>1</v>
          </cell>
          <cell r="E1564">
            <v>9332</v>
          </cell>
          <cell r="F1564" t="str">
            <v>KINGSFORD COMPANY</v>
          </cell>
          <cell r="G1564" t="str">
            <v>D</v>
          </cell>
          <cell r="H1564" t="str">
            <v>PARSONS</v>
          </cell>
          <cell r="I1564" t="str">
            <v>WV</v>
          </cell>
          <cell r="J1564" t="str">
            <v>USA</v>
          </cell>
          <cell r="K1564" t="str">
            <v>KINGSFORD COMPANY</v>
          </cell>
          <cell r="L1564" t="str">
            <v>WV</v>
          </cell>
          <cell r="M1564" t="str">
            <v>USA</v>
          </cell>
          <cell r="N1564" t="str">
            <v>C</v>
          </cell>
          <cell r="O1564">
            <v>22060410</v>
          </cell>
          <cell r="P1564" t="str">
            <v>V-BOR 50LB BAG (004)</v>
          </cell>
          <cell r="Q1564" t="str">
            <v>Penta</v>
          </cell>
          <cell r="R1564">
            <v>22.05</v>
          </cell>
          <cell r="S1564">
            <v>5728.07</v>
          </cell>
        </row>
        <row r="1565">
          <cell r="A1565" t="str">
            <v>Actual</v>
          </cell>
          <cell r="B1565">
            <v>1</v>
          </cell>
          <cell r="C1565" t="str">
            <v>Domestic</v>
          </cell>
          <cell r="D1565">
            <v>1</v>
          </cell>
          <cell r="E1565">
            <v>9333</v>
          </cell>
          <cell r="F1565" t="str">
            <v>L.A. CHEMICAL</v>
          </cell>
          <cell r="G1565" t="str">
            <v>D</v>
          </cell>
          <cell r="H1565" t="str">
            <v>SOUTHGATE</v>
          </cell>
          <cell r="I1565" t="str">
            <v>CA</v>
          </cell>
          <cell r="J1565" t="str">
            <v>USA</v>
          </cell>
          <cell r="K1565" t="str">
            <v>L.A. CHEMICAL</v>
          </cell>
          <cell r="L1565" t="str">
            <v>CA</v>
          </cell>
          <cell r="M1565" t="str">
            <v>USA</v>
          </cell>
          <cell r="N1565" t="str">
            <v>D</v>
          </cell>
          <cell r="O1565">
            <v>22060450</v>
          </cell>
          <cell r="P1565" t="str">
            <v>V-BOR 1TN FIBC (004)</v>
          </cell>
          <cell r="Q1565" t="str">
            <v>Penta</v>
          </cell>
          <cell r="R1565">
            <v>22</v>
          </cell>
          <cell r="S1565">
            <v>8002.55</v>
          </cell>
        </row>
        <row r="1566">
          <cell r="A1566" t="str">
            <v>Actual</v>
          </cell>
          <cell r="B1566">
            <v>1</v>
          </cell>
          <cell r="C1566" t="str">
            <v>Domestic</v>
          </cell>
          <cell r="D1566">
            <v>1</v>
          </cell>
          <cell r="E1566">
            <v>9367</v>
          </cell>
          <cell r="F1566" t="str">
            <v>TRACY OPERATORS</v>
          </cell>
          <cell r="G1566" t="str">
            <v>D</v>
          </cell>
          <cell r="H1566" t="str">
            <v>TRACY</v>
          </cell>
          <cell r="I1566" t="str">
            <v>CA</v>
          </cell>
          <cell r="J1566" t="str">
            <v>USA</v>
          </cell>
          <cell r="K1566" t="str">
            <v>PACIFIC COAST CHEMICALS, INC.</v>
          </cell>
          <cell r="L1566" t="str">
            <v>CA</v>
          </cell>
          <cell r="M1566" t="str">
            <v>USA</v>
          </cell>
          <cell r="N1566" t="str">
            <v>D</v>
          </cell>
          <cell r="O1566">
            <v>30210100</v>
          </cell>
          <cell r="P1566" t="str">
            <v>SODA ASH DENSE BULK</v>
          </cell>
          <cell r="Q1566" t="str">
            <v>Soda Ash</v>
          </cell>
          <cell r="R1566">
            <v>108.61</v>
          </cell>
          <cell r="S1566">
            <v>10573.21</v>
          </cell>
        </row>
        <row r="1567">
          <cell r="A1567" t="str">
            <v>Actual</v>
          </cell>
          <cell r="B1567">
            <v>1</v>
          </cell>
          <cell r="C1567" t="str">
            <v>Domestic</v>
          </cell>
          <cell r="D1567">
            <v>1</v>
          </cell>
          <cell r="E1567">
            <v>9432</v>
          </cell>
          <cell r="F1567" t="str">
            <v>KINGSFORD MANUFACTURING</v>
          </cell>
          <cell r="G1567" t="str">
            <v>D</v>
          </cell>
          <cell r="H1567" t="str">
            <v>BURNSIDE</v>
          </cell>
          <cell r="I1567" t="str">
            <v>KY</v>
          </cell>
          <cell r="J1567" t="str">
            <v>USA</v>
          </cell>
          <cell r="K1567" t="str">
            <v>KINGSFORD MANUFACTURING</v>
          </cell>
          <cell r="L1567" t="str">
            <v>KY</v>
          </cell>
          <cell r="M1567" t="str">
            <v>USA</v>
          </cell>
          <cell r="N1567" t="str">
            <v>C</v>
          </cell>
          <cell r="O1567">
            <v>22060450</v>
          </cell>
          <cell r="P1567" t="str">
            <v>V-BOR 1TN FIBC (004)</v>
          </cell>
          <cell r="Q1567" t="str">
            <v>Penta</v>
          </cell>
          <cell r="R1567">
            <v>44</v>
          </cell>
          <cell r="S1567">
            <v>13030.26</v>
          </cell>
        </row>
        <row r="1568">
          <cell r="A1568" t="str">
            <v>Actual</v>
          </cell>
          <cell r="B1568">
            <v>1</v>
          </cell>
          <cell r="C1568" t="str">
            <v>Domestic</v>
          </cell>
          <cell r="D1568">
            <v>1</v>
          </cell>
          <cell r="E1568">
            <v>9435</v>
          </cell>
          <cell r="F1568" t="str">
            <v>HIGH DESERT POWER TRUST</v>
          </cell>
          <cell r="G1568" t="str">
            <v>D</v>
          </cell>
          <cell r="H1568" t="str">
            <v>VICTORVILLE</v>
          </cell>
          <cell r="I1568" t="str">
            <v>CA</v>
          </cell>
          <cell r="J1568" t="str">
            <v>USA</v>
          </cell>
          <cell r="K1568" t="str">
            <v>BRENNTAG WEST, INC.</v>
          </cell>
          <cell r="L1568" t="str">
            <v>CA</v>
          </cell>
          <cell r="M1568" t="str">
            <v>USA</v>
          </cell>
          <cell r="N1568" t="str">
            <v>D</v>
          </cell>
          <cell r="O1568">
            <v>30210100</v>
          </cell>
          <cell r="P1568" t="str">
            <v>SODA ASH DENSE BULK</v>
          </cell>
          <cell r="Q1568" t="str">
            <v>Soda Ash</v>
          </cell>
          <cell r="R1568">
            <v>26.89</v>
          </cell>
          <cell r="S1568">
            <v>3007.45</v>
          </cell>
        </row>
        <row r="1569">
          <cell r="A1569" t="str">
            <v>Actual</v>
          </cell>
          <cell r="B1569">
            <v>1</v>
          </cell>
          <cell r="C1569" t="str">
            <v>Domestic</v>
          </cell>
          <cell r="D1569">
            <v>1</v>
          </cell>
          <cell r="E1569">
            <v>9437</v>
          </cell>
          <cell r="F1569" t="str">
            <v>KINGSFORD MANUFACTURING</v>
          </cell>
          <cell r="G1569" t="str">
            <v>D</v>
          </cell>
          <cell r="H1569" t="str">
            <v>SPRINGFIELD</v>
          </cell>
          <cell r="I1569" t="str">
            <v>OR</v>
          </cell>
          <cell r="J1569" t="str">
            <v>USA</v>
          </cell>
          <cell r="K1569" t="str">
            <v>KINGSFORD MANUFACTURING</v>
          </cell>
          <cell r="L1569" t="str">
            <v>OR</v>
          </cell>
          <cell r="M1569" t="str">
            <v>USA</v>
          </cell>
          <cell r="N1569" t="str">
            <v>C</v>
          </cell>
          <cell r="O1569">
            <v>22060453</v>
          </cell>
          <cell r="P1569" t="str">
            <v>V-BOR 2500LB FIBC (004)</v>
          </cell>
          <cell r="Q1569" t="str">
            <v>Penta</v>
          </cell>
          <cell r="R1569">
            <v>45</v>
          </cell>
          <cell r="S1569">
            <v>14040.66</v>
          </cell>
        </row>
        <row r="1570">
          <cell r="A1570" t="str">
            <v>Actual</v>
          </cell>
          <cell r="B1570">
            <v>1</v>
          </cell>
          <cell r="C1570" t="str">
            <v>Domestic</v>
          </cell>
          <cell r="D1570">
            <v>1</v>
          </cell>
          <cell r="E1570">
            <v>9441</v>
          </cell>
          <cell r="F1570" t="str">
            <v>HARQUAHALA GENERATING</v>
          </cell>
          <cell r="G1570" t="str">
            <v>D</v>
          </cell>
          <cell r="H1570" t="str">
            <v>TONOPAH</v>
          </cell>
          <cell r="I1570" t="str">
            <v>AZ</v>
          </cell>
          <cell r="J1570" t="str">
            <v>USA</v>
          </cell>
          <cell r="K1570" t="str">
            <v>UNIVAR USA</v>
          </cell>
          <cell r="L1570" t="str">
            <v>AZ</v>
          </cell>
          <cell r="M1570" t="str">
            <v>USA</v>
          </cell>
          <cell r="N1570" t="str">
            <v>D</v>
          </cell>
          <cell r="O1570">
            <v>30210100</v>
          </cell>
          <cell r="P1570" t="str">
            <v>SODA ASH DENSE BULK</v>
          </cell>
          <cell r="Q1570" t="str">
            <v>Soda Ash</v>
          </cell>
          <cell r="R1570">
            <v>76.62</v>
          </cell>
          <cell r="S1570">
            <v>6247.32</v>
          </cell>
        </row>
        <row r="1571">
          <cell r="A1571" t="str">
            <v>Actual</v>
          </cell>
          <cell r="B1571">
            <v>1</v>
          </cell>
          <cell r="C1571" t="str">
            <v>Domestic</v>
          </cell>
          <cell r="D1571">
            <v>1</v>
          </cell>
          <cell r="E1571">
            <v>9451</v>
          </cell>
          <cell r="F1571" t="str">
            <v>KINGSFORD MANUFACTURING</v>
          </cell>
          <cell r="G1571" t="str">
            <v>D</v>
          </cell>
          <cell r="H1571" t="str">
            <v>SUMMER SHADE</v>
          </cell>
          <cell r="I1571" t="str">
            <v>KY</v>
          </cell>
          <cell r="J1571" t="str">
            <v>USA</v>
          </cell>
          <cell r="K1571" t="str">
            <v>KINGSFORD MANUFACTURING</v>
          </cell>
          <cell r="L1571" t="str">
            <v>KY</v>
          </cell>
          <cell r="M1571" t="str">
            <v>USA</v>
          </cell>
          <cell r="N1571" t="str">
            <v>C</v>
          </cell>
          <cell r="O1571">
            <v>22060453</v>
          </cell>
          <cell r="P1571" t="str">
            <v>V-BOR 2500LB FIBC (004)</v>
          </cell>
          <cell r="Q1571" t="str">
            <v>Penta</v>
          </cell>
          <cell r="R1571">
            <v>43.75</v>
          </cell>
          <cell r="S1571">
            <v>11824.92</v>
          </cell>
        </row>
        <row r="1572">
          <cell r="A1572" t="str">
            <v>Actual</v>
          </cell>
          <cell r="B1572">
            <v>1</v>
          </cell>
          <cell r="C1572" t="str">
            <v>Domestic</v>
          </cell>
          <cell r="D1572">
            <v>1</v>
          </cell>
          <cell r="E1572">
            <v>9455</v>
          </cell>
          <cell r="F1572" t="str">
            <v>KINGSFORD MANUFACTURING</v>
          </cell>
          <cell r="G1572" t="str">
            <v>D</v>
          </cell>
          <cell r="H1572" t="str">
            <v>BELLE</v>
          </cell>
          <cell r="I1572" t="str">
            <v>MO</v>
          </cell>
          <cell r="J1572" t="str">
            <v>USA</v>
          </cell>
          <cell r="K1572" t="str">
            <v>KINGSFORD MANUFACTURING</v>
          </cell>
          <cell r="L1572" t="str">
            <v>MO</v>
          </cell>
          <cell r="M1572" t="str">
            <v>USA</v>
          </cell>
          <cell r="N1572" t="str">
            <v>C</v>
          </cell>
          <cell r="O1572">
            <v>22060450</v>
          </cell>
          <cell r="P1572" t="str">
            <v>V-BOR 1TN FIBC (004)</v>
          </cell>
          <cell r="Q1572" t="str">
            <v>Penta</v>
          </cell>
          <cell r="R1572">
            <v>88</v>
          </cell>
          <cell r="S1572">
            <v>25311.14</v>
          </cell>
        </row>
        <row r="1573">
          <cell r="A1573" t="str">
            <v>Actual</v>
          </cell>
          <cell r="B1573">
            <v>1</v>
          </cell>
          <cell r="C1573" t="str">
            <v>Domestic</v>
          </cell>
          <cell r="D1573">
            <v>1</v>
          </cell>
          <cell r="E1573">
            <v>9540</v>
          </cell>
          <cell r="F1573" t="str">
            <v>SUNGDO INTERNATIONAL</v>
          </cell>
          <cell r="G1573" t="str">
            <v>D</v>
          </cell>
          <cell r="H1573" t="str">
            <v>RANCHO DOMINGUEZ</v>
          </cell>
          <cell r="I1573" t="str">
            <v>CA</v>
          </cell>
          <cell r="J1573" t="str">
            <v>USA</v>
          </cell>
          <cell r="K1573" t="str">
            <v>BRENNTAG WEST, INC.</v>
          </cell>
          <cell r="L1573" t="str">
            <v>CA</v>
          </cell>
          <cell r="M1573" t="str">
            <v>USA</v>
          </cell>
          <cell r="N1573" t="str">
            <v>D</v>
          </cell>
          <cell r="O1573">
            <v>40150410</v>
          </cell>
          <cell r="P1573" t="str">
            <v>SODIUM SULFATE CRS 50LB BAG</v>
          </cell>
          <cell r="Q1573" t="str">
            <v>Sodium Sulfate</v>
          </cell>
          <cell r="R1573">
            <v>23.75</v>
          </cell>
          <cell r="S1573">
            <v>4631.25</v>
          </cell>
        </row>
        <row r="1574">
          <cell r="A1574" t="str">
            <v>Actual</v>
          </cell>
          <cell r="B1574">
            <v>1</v>
          </cell>
          <cell r="C1574" t="str">
            <v>Domestic</v>
          </cell>
          <cell r="D1574">
            <v>1</v>
          </cell>
          <cell r="E1574">
            <v>9577</v>
          </cell>
          <cell r="F1574" t="str">
            <v>APS-PALO VERDE</v>
          </cell>
          <cell r="G1574" t="str">
            <v>D</v>
          </cell>
          <cell r="H1574" t="str">
            <v>TONOPAH</v>
          </cell>
          <cell r="I1574" t="str">
            <v>AZ</v>
          </cell>
          <cell r="J1574" t="str">
            <v>USA</v>
          </cell>
          <cell r="K1574" t="str">
            <v>APS-PALO VERDE NUCLEAR</v>
          </cell>
          <cell r="L1574" t="str">
            <v>AZ</v>
          </cell>
          <cell r="M1574" t="str">
            <v>USA</v>
          </cell>
          <cell r="N1574" t="str">
            <v>C</v>
          </cell>
          <cell r="O1574">
            <v>24609792</v>
          </cell>
          <cell r="P1574" t="str">
            <v>BORIC ACID NS 150KG DRUM</v>
          </cell>
          <cell r="Q1574" t="str">
            <v>HP Boric Acid (SCL)</v>
          </cell>
          <cell r="R1574">
            <v>21.164200000000001</v>
          </cell>
          <cell r="S1574">
            <v>36210.28</v>
          </cell>
        </row>
        <row r="1575">
          <cell r="A1575" t="str">
            <v>Actual</v>
          </cell>
          <cell r="B1575">
            <v>1</v>
          </cell>
          <cell r="C1575" t="str">
            <v>Domestic</v>
          </cell>
          <cell r="D1575">
            <v>1</v>
          </cell>
          <cell r="E1575">
            <v>9610</v>
          </cell>
          <cell r="F1575" t="str">
            <v>AMPAC ENTERPRISES</v>
          </cell>
          <cell r="G1575" t="str">
            <v>D</v>
          </cell>
          <cell r="H1575" t="str">
            <v>LOS ANGELES</v>
          </cell>
          <cell r="I1575" t="str">
            <v>CA</v>
          </cell>
          <cell r="J1575" t="str">
            <v>USA</v>
          </cell>
          <cell r="K1575" t="str">
            <v>UNIVAR USA</v>
          </cell>
          <cell r="L1575" t="str">
            <v>CA</v>
          </cell>
          <cell r="M1575" t="str">
            <v>USA</v>
          </cell>
          <cell r="N1575" t="str">
            <v>D</v>
          </cell>
          <cell r="O1575">
            <v>40060410</v>
          </cell>
          <cell r="P1575" t="str">
            <v>SODIUM SULFATE STD 50LB BAG</v>
          </cell>
          <cell r="Q1575" t="str">
            <v>Sodium Sulfate</v>
          </cell>
          <cell r="R1575">
            <v>22.5</v>
          </cell>
          <cell r="S1575">
            <v>4107.5</v>
          </cell>
        </row>
        <row r="1576">
          <cell r="A1576" t="str">
            <v>Actual</v>
          </cell>
          <cell r="B1576">
            <v>1</v>
          </cell>
          <cell r="C1576" t="str">
            <v>Domestic</v>
          </cell>
          <cell r="D1576">
            <v>2</v>
          </cell>
          <cell r="E1576">
            <v>5097</v>
          </cell>
          <cell r="F1576" t="str">
            <v>CASCADE COLUMBIA DIST. CO.</v>
          </cell>
          <cell r="G1576" t="str">
            <v>D</v>
          </cell>
          <cell r="H1576" t="str">
            <v>SEATTLE</v>
          </cell>
          <cell r="I1576" t="str">
            <v>WA</v>
          </cell>
          <cell r="J1576" t="str">
            <v>USA</v>
          </cell>
          <cell r="K1576" t="str">
            <v>CASCADE COLUMBIA DIST. CO.</v>
          </cell>
          <cell r="L1576" t="str">
            <v>WA</v>
          </cell>
          <cell r="M1576" t="str">
            <v>USA</v>
          </cell>
          <cell r="N1576" t="str">
            <v>D</v>
          </cell>
          <cell r="O1576">
            <v>22060410</v>
          </cell>
          <cell r="P1576" t="str">
            <v>V-BOR 50LB BAG (004)</v>
          </cell>
          <cell r="Q1576" t="str">
            <v>Penta</v>
          </cell>
          <cell r="R1576">
            <v>9.8000000000000007</v>
          </cell>
          <cell r="S1576">
            <v>4027.8</v>
          </cell>
        </row>
        <row r="1577">
          <cell r="A1577" t="str">
            <v>Actual</v>
          </cell>
          <cell r="B1577">
            <v>1</v>
          </cell>
          <cell r="C1577" t="str">
            <v>Domestic</v>
          </cell>
          <cell r="D1577">
            <v>2</v>
          </cell>
          <cell r="E1577">
            <v>5097</v>
          </cell>
          <cell r="F1577" t="str">
            <v>CASCADE COLUMBIA DIST. CO.</v>
          </cell>
          <cell r="G1577" t="str">
            <v>D</v>
          </cell>
          <cell r="H1577" t="str">
            <v>SEATTLE</v>
          </cell>
          <cell r="I1577" t="str">
            <v>WA</v>
          </cell>
          <cell r="J1577" t="str">
            <v>USA</v>
          </cell>
          <cell r="K1577" t="str">
            <v>CASCADE COLUMBIA DIST. CO.</v>
          </cell>
          <cell r="L1577" t="str">
            <v>WA</v>
          </cell>
          <cell r="M1577" t="str">
            <v>USA</v>
          </cell>
          <cell r="N1577" t="str">
            <v>D</v>
          </cell>
          <cell r="O1577">
            <v>22060460</v>
          </cell>
          <cell r="P1577" t="str">
            <v>V-BOR 1800LB FIBC (004)</v>
          </cell>
          <cell r="Q1577" t="str">
            <v>Penta</v>
          </cell>
          <cell r="R1577">
            <v>8.1</v>
          </cell>
          <cell r="S1577">
            <v>3329.1</v>
          </cell>
        </row>
        <row r="1578">
          <cell r="A1578" t="str">
            <v>Actual</v>
          </cell>
          <cell r="B1578">
            <v>1</v>
          </cell>
          <cell r="C1578" t="str">
            <v>Domestic</v>
          </cell>
          <cell r="D1578">
            <v>2</v>
          </cell>
          <cell r="E1578">
            <v>5097</v>
          </cell>
          <cell r="F1578" t="str">
            <v>CASCADE COLUMBIA DIST. CO.</v>
          </cell>
          <cell r="G1578" t="str">
            <v>D</v>
          </cell>
          <cell r="H1578" t="str">
            <v>SEATTLE</v>
          </cell>
          <cell r="I1578" t="str">
            <v>WA</v>
          </cell>
          <cell r="J1578" t="str">
            <v>USA</v>
          </cell>
          <cell r="K1578" t="str">
            <v>CASCADE COLUMBIA DIST. CO.</v>
          </cell>
          <cell r="L1578" t="str">
            <v>WA</v>
          </cell>
          <cell r="M1578" t="str">
            <v>USA</v>
          </cell>
          <cell r="N1578" t="str">
            <v>D</v>
          </cell>
          <cell r="O1578">
            <v>24090210</v>
          </cell>
          <cell r="P1578" t="str">
            <v>BORIC ACID GRAN TECH 50LB BAG</v>
          </cell>
          <cell r="Q1578" t="str">
            <v>Boric Acid</v>
          </cell>
          <cell r="R1578">
            <v>2.4500000000000002</v>
          </cell>
          <cell r="S1578">
            <v>1781.15</v>
          </cell>
        </row>
        <row r="1579">
          <cell r="A1579" t="str">
            <v>Actual</v>
          </cell>
          <cell r="B1579">
            <v>1</v>
          </cell>
          <cell r="C1579" t="str">
            <v>Domestic</v>
          </cell>
          <cell r="D1579">
            <v>2</v>
          </cell>
          <cell r="E1579">
            <v>5544</v>
          </cell>
          <cell r="F1579" t="str">
            <v>JONES FIBER PRODUCTS INC</v>
          </cell>
          <cell r="G1579" t="str">
            <v>D</v>
          </cell>
          <cell r="H1579" t="str">
            <v>MEMPHIS</v>
          </cell>
          <cell r="I1579" t="str">
            <v>TN</v>
          </cell>
          <cell r="J1579" t="str">
            <v>USA</v>
          </cell>
          <cell r="K1579" t="str">
            <v>UNIVAR USA</v>
          </cell>
          <cell r="L1579" t="str">
            <v>TN</v>
          </cell>
          <cell r="M1579" t="str">
            <v>USA</v>
          </cell>
          <cell r="N1579" t="str">
            <v>D</v>
          </cell>
          <cell r="O1579">
            <v>24090253</v>
          </cell>
          <cell r="P1579" t="str">
            <v>BORIC ACID GRN TCH 2500LB FIBC</v>
          </cell>
          <cell r="Q1579" t="str">
            <v>Boric Acid</v>
          </cell>
          <cell r="R1579">
            <v>87.5</v>
          </cell>
          <cell r="S1579">
            <v>38988.879999999997</v>
          </cell>
        </row>
        <row r="1580">
          <cell r="A1580" t="str">
            <v>Actual</v>
          </cell>
          <cell r="B1580">
            <v>1</v>
          </cell>
          <cell r="C1580" t="str">
            <v>Domestic</v>
          </cell>
          <cell r="D1580">
            <v>2</v>
          </cell>
          <cell r="E1580">
            <v>6365</v>
          </cell>
          <cell r="F1580" t="str">
            <v>SPECTRUM GLASS</v>
          </cell>
          <cell r="G1580" t="str">
            <v>D</v>
          </cell>
          <cell r="H1580" t="str">
            <v>WOODINVILLE</v>
          </cell>
          <cell r="I1580" t="str">
            <v>WA</v>
          </cell>
          <cell r="J1580" t="str">
            <v>USA</v>
          </cell>
          <cell r="K1580" t="str">
            <v>CASCADE COLUMBIA DIST. CO.</v>
          </cell>
          <cell r="L1580" t="str">
            <v>WA</v>
          </cell>
          <cell r="M1580" t="str">
            <v>USA</v>
          </cell>
          <cell r="N1580" t="str">
            <v>D</v>
          </cell>
          <cell r="O1580">
            <v>20310250</v>
          </cell>
          <cell r="P1580" t="str">
            <v>PYROBOR 30/100 1TN FIBC (002)</v>
          </cell>
          <cell r="Q1580" t="str">
            <v>Pyrobor</v>
          </cell>
          <cell r="R1580">
            <v>21</v>
          </cell>
          <cell r="S1580">
            <v>13067.2</v>
          </cell>
        </row>
        <row r="1581">
          <cell r="A1581" t="str">
            <v>Actual</v>
          </cell>
          <cell r="B1581">
            <v>1</v>
          </cell>
          <cell r="C1581" t="str">
            <v>Domestic</v>
          </cell>
          <cell r="D1581">
            <v>2</v>
          </cell>
          <cell r="E1581">
            <v>6564</v>
          </cell>
          <cell r="F1581" t="str">
            <v>DOMTAR INC</v>
          </cell>
          <cell r="G1581" t="str">
            <v>D</v>
          </cell>
          <cell r="H1581" t="str">
            <v>ASHDOWN</v>
          </cell>
          <cell r="I1581" t="str">
            <v>AR</v>
          </cell>
          <cell r="J1581" t="str">
            <v>USA</v>
          </cell>
          <cell r="K1581" t="str">
            <v>HARCROS CHEMICAL INC</v>
          </cell>
          <cell r="L1581" t="str">
            <v>AR</v>
          </cell>
          <cell r="M1581" t="str">
            <v>USA</v>
          </cell>
          <cell r="N1581" t="str">
            <v>D</v>
          </cell>
          <cell r="O1581">
            <v>40060410</v>
          </cell>
          <cell r="P1581" t="str">
            <v>SODIUM SULFATE STD 50LB BAG</v>
          </cell>
          <cell r="Q1581" t="str">
            <v>Sodium Sulfate</v>
          </cell>
          <cell r="R1581">
            <v>121.25</v>
          </cell>
          <cell r="S1581">
            <v>9716.7900000000009</v>
          </cell>
        </row>
        <row r="1582">
          <cell r="A1582" t="str">
            <v>Actual</v>
          </cell>
          <cell r="B1582">
            <v>1</v>
          </cell>
          <cell r="C1582" t="str">
            <v>Domestic</v>
          </cell>
          <cell r="D1582">
            <v>2</v>
          </cell>
          <cell r="E1582">
            <v>6565</v>
          </cell>
          <cell r="F1582" t="str">
            <v>HARCROS CHEMICAL INC.</v>
          </cell>
          <cell r="G1582" t="str">
            <v>D</v>
          </cell>
          <cell r="H1582" t="str">
            <v>LITTLE ROCK</v>
          </cell>
          <cell r="I1582" t="str">
            <v>AR</v>
          </cell>
          <cell r="J1582" t="str">
            <v>USA</v>
          </cell>
          <cell r="K1582" t="str">
            <v>HARCROS CHEMICAL INC</v>
          </cell>
          <cell r="L1582" t="str">
            <v>AR</v>
          </cell>
          <cell r="M1582" t="str">
            <v>USA</v>
          </cell>
          <cell r="N1582" t="str">
            <v>D</v>
          </cell>
          <cell r="O1582">
            <v>40060410</v>
          </cell>
          <cell r="P1582" t="str">
            <v>SODIUM SULFATE STD 50LB BAG</v>
          </cell>
          <cell r="Q1582" t="str">
            <v>Sodium Sulfate</v>
          </cell>
          <cell r="R1582">
            <v>11.25</v>
          </cell>
          <cell r="S1582">
            <v>822.74</v>
          </cell>
        </row>
        <row r="1583">
          <cell r="A1583" t="str">
            <v>Actual</v>
          </cell>
          <cell r="B1583">
            <v>1</v>
          </cell>
          <cell r="C1583" t="str">
            <v>Domestic</v>
          </cell>
          <cell r="D1583">
            <v>2</v>
          </cell>
          <cell r="E1583">
            <v>6565</v>
          </cell>
          <cell r="F1583" t="str">
            <v>HARCROS CHEMICAL INC.</v>
          </cell>
          <cell r="G1583" t="str">
            <v>D</v>
          </cell>
          <cell r="H1583" t="str">
            <v>LITTLE ROCK</v>
          </cell>
          <cell r="I1583" t="str">
            <v>AR</v>
          </cell>
          <cell r="J1583" t="str">
            <v>USA</v>
          </cell>
          <cell r="K1583" t="str">
            <v>HARCROS CHEMICAL INC</v>
          </cell>
          <cell r="L1583" t="str">
            <v>AR</v>
          </cell>
          <cell r="M1583" t="str">
            <v>USA</v>
          </cell>
          <cell r="N1583" t="str">
            <v>D</v>
          </cell>
          <cell r="O1583">
            <v>40060459</v>
          </cell>
          <cell r="P1583" t="str">
            <v>SODIUM SULFATE STD FIBC GEN</v>
          </cell>
          <cell r="Q1583" t="str">
            <v>Sodium Sulfate</v>
          </cell>
          <cell r="R1583">
            <v>22.5</v>
          </cell>
          <cell r="S1583">
            <v>1694.25</v>
          </cell>
        </row>
        <row r="1584">
          <cell r="A1584" t="str">
            <v>Actual</v>
          </cell>
          <cell r="B1584">
            <v>1</v>
          </cell>
          <cell r="C1584" t="str">
            <v>Domestic</v>
          </cell>
          <cell r="D1584">
            <v>2</v>
          </cell>
          <cell r="E1584">
            <v>6574</v>
          </cell>
          <cell r="F1584" t="str">
            <v>ALCOA ALUMINUM CO OF AMERICA</v>
          </cell>
          <cell r="G1584" t="str">
            <v>D</v>
          </cell>
          <cell r="H1584" t="str">
            <v>BAUXITE</v>
          </cell>
          <cell r="I1584" t="str">
            <v>AR</v>
          </cell>
          <cell r="J1584" t="str">
            <v>USA</v>
          </cell>
          <cell r="K1584" t="str">
            <v>HEARTLAND SUPPLY, INC.</v>
          </cell>
          <cell r="L1584" t="str">
            <v>AR</v>
          </cell>
          <cell r="M1584" t="str">
            <v>USA</v>
          </cell>
          <cell r="N1584" t="str">
            <v>D</v>
          </cell>
          <cell r="O1584">
            <v>24090210</v>
          </cell>
          <cell r="P1584" t="str">
            <v>BORIC ACID GRAN TECH 50LB BAG</v>
          </cell>
          <cell r="Q1584" t="str">
            <v>Boric Acid</v>
          </cell>
          <cell r="R1584">
            <v>22.05</v>
          </cell>
          <cell r="S1584">
            <v>13908.72</v>
          </cell>
        </row>
        <row r="1585">
          <cell r="A1585" t="str">
            <v>Actual</v>
          </cell>
          <cell r="B1585">
            <v>1</v>
          </cell>
          <cell r="C1585" t="str">
            <v>Domestic</v>
          </cell>
          <cell r="D1585">
            <v>2</v>
          </cell>
          <cell r="E1585">
            <v>7016</v>
          </cell>
          <cell r="F1585" t="str">
            <v>GEORGIA PACIFIC</v>
          </cell>
          <cell r="G1585" t="str">
            <v>D</v>
          </cell>
          <cell r="H1585" t="str">
            <v>ALBANY</v>
          </cell>
          <cell r="I1585" t="str">
            <v>OR</v>
          </cell>
          <cell r="J1585" t="str">
            <v>USA</v>
          </cell>
          <cell r="K1585" t="str">
            <v>UNIVAR USA</v>
          </cell>
          <cell r="L1585" t="str">
            <v>CA</v>
          </cell>
          <cell r="M1585" t="str">
            <v>USA</v>
          </cell>
          <cell r="N1585" t="str">
            <v>D</v>
          </cell>
          <cell r="O1585">
            <v>40060410</v>
          </cell>
          <cell r="P1585" t="str">
            <v>SODIUM SULFATE STD 50LB BAG</v>
          </cell>
          <cell r="Q1585" t="str">
            <v>Sodium Sulfate</v>
          </cell>
          <cell r="R1585">
            <v>23.75</v>
          </cell>
          <cell r="S1585">
            <v>3930.63</v>
          </cell>
        </row>
        <row r="1586">
          <cell r="A1586" t="str">
            <v>Actual</v>
          </cell>
          <cell r="B1586">
            <v>1</v>
          </cell>
          <cell r="C1586" t="str">
            <v>Domestic</v>
          </cell>
          <cell r="D1586">
            <v>2</v>
          </cell>
          <cell r="E1586">
            <v>7215</v>
          </cell>
          <cell r="F1586" t="str">
            <v>UNIVAR USA</v>
          </cell>
          <cell r="G1586" t="str">
            <v>D</v>
          </cell>
          <cell r="H1586" t="str">
            <v>SPOKANE</v>
          </cell>
          <cell r="I1586" t="str">
            <v>WA</v>
          </cell>
          <cell r="J1586" t="str">
            <v>USA</v>
          </cell>
          <cell r="K1586" t="str">
            <v>UNIVAR USA</v>
          </cell>
          <cell r="L1586" t="str">
            <v>WA</v>
          </cell>
          <cell r="M1586" t="str">
            <v>USA</v>
          </cell>
          <cell r="N1586" t="str">
            <v>D</v>
          </cell>
          <cell r="O1586">
            <v>24609720</v>
          </cell>
          <cell r="P1586" t="str">
            <v>BORIC ACID NS 25KG BAG</v>
          </cell>
          <cell r="Q1586" t="str">
            <v>HP Boric Acid (SCL)</v>
          </cell>
          <cell r="R1586">
            <v>5.5114000000000001</v>
          </cell>
          <cell r="S1586">
            <v>9741.4</v>
          </cell>
        </row>
        <row r="1587">
          <cell r="A1587" t="str">
            <v>Actual</v>
          </cell>
          <cell r="B1587">
            <v>1</v>
          </cell>
          <cell r="C1587" t="str">
            <v>Domestic</v>
          </cell>
          <cell r="D1587">
            <v>2</v>
          </cell>
          <cell r="E1587">
            <v>7376</v>
          </cell>
          <cell r="F1587" t="str">
            <v>GEORGIA PACIFIC</v>
          </cell>
          <cell r="G1587" t="str">
            <v>D</v>
          </cell>
          <cell r="H1587" t="str">
            <v>LOVELL</v>
          </cell>
          <cell r="I1587" t="str">
            <v>WY</v>
          </cell>
          <cell r="J1587" t="str">
            <v>USA</v>
          </cell>
          <cell r="K1587" t="str">
            <v>UNIVAR USA</v>
          </cell>
          <cell r="L1587" t="str">
            <v>CO</v>
          </cell>
          <cell r="M1587" t="str">
            <v>USA</v>
          </cell>
          <cell r="N1587" t="str">
            <v>D</v>
          </cell>
          <cell r="O1587">
            <v>24090213</v>
          </cell>
          <cell r="P1587" t="str">
            <v>BORIC ACD GRN 50LB PULPABLE BG</v>
          </cell>
          <cell r="Q1587" t="str">
            <v>Boric Acid</v>
          </cell>
          <cell r="R1587">
            <v>0</v>
          </cell>
          <cell r="S1587">
            <v>-34.840000000000003</v>
          </cell>
        </row>
        <row r="1588">
          <cell r="A1588" t="str">
            <v>Actual</v>
          </cell>
          <cell r="B1588">
            <v>1</v>
          </cell>
          <cell r="C1588" t="str">
            <v>Domestic</v>
          </cell>
          <cell r="D1588">
            <v>2</v>
          </cell>
          <cell r="E1588">
            <v>7428</v>
          </cell>
          <cell r="F1588" t="str">
            <v>CASCADE COLUMBIA DIST</v>
          </cell>
          <cell r="G1588" t="str">
            <v>D</v>
          </cell>
          <cell r="H1588" t="str">
            <v>SHERWOOD</v>
          </cell>
          <cell r="I1588" t="str">
            <v>OR</v>
          </cell>
          <cell r="J1588" t="str">
            <v>USA</v>
          </cell>
          <cell r="K1588" t="str">
            <v>CASCADE COLUMBIA DIST. CO.</v>
          </cell>
          <cell r="L1588" t="str">
            <v>WA</v>
          </cell>
          <cell r="M1588" t="str">
            <v>USA</v>
          </cell>
          <cell r="N1588" t="str">
            <v>D</v>
          </cell>
          <cell r="O1588">
            <v>22060410</v>
          </cell>
          <cell r="P1588" t="str">
            <v>V-BOR 50LB BAG (004)</v>
          </cell>
          <cell r="Q1588" t="str">
            <v>Penta</v>
          </cell>
          <cell r="R1588">
            <v>9.8000000000000007</v>
          </cell>
          <cell r="S1588">
            <v>4027.8</v>
          </cell>
        </row>
        <row r="1589">
          <cell r="A1589" t="str">
            <v>Actual</v>
          </cell>
          <cell r="B1589">
            <v>1</v>
          </cell>
          <cell r="C1589" t="str">
            <v>Domestic</v>
          </cell>
          <cell r="D1589">
            <v>2</v>
          </cell>
          <cell r="E1589">
            <v>7428</v>
          </cell>
          <cell r="F1589" t="str">
            <v>CASCADE COLUMBIA DIST</v>
          </cell>
          <cell r="G1589" t="str">
            <v>D</v>
          </cell>
          <cell r="H1589" t="str">
            <v>SHERWOOD</v>
          </cell>
          <cell r="I1589" t="str">
            <v>OR</v>
          </cell>
          <cell r="J1589" t="str">
            <v>USA</v>
          </cell>
          <cell r="K1589" t="str">
            <v>CASCADE COLUMBIA DIST. CO.</v>
          </cell>
          <cell r="L1589" t="str">
            <v>WA</v>
          </cell>
          <cell r="M1589" t="str">
            <v>USA</v>
          </cell>
          <cell r="N1589" t="str">
            <v>D</v>
          </cell>
          <cell r="O1589">
            <v>22060460</v>
          </cell>
          <cell r="P1589" t="str">
            <v>V-BOR 1800LB FIBC (004)</v>
          </cell>
          <cell r="Q1589" t="str">
            <v>Penta</v>
          </cell>
          <cell r="R1589">
            <v>5.4</v>
          </cell>
          <cell r="S1589">
            <v>2219.4</v>
          </cell>
        </row>
        <row r="1590">
          <cell r="A1590" t="str">
            <v>Actual</v>
          </cell>
          <cell r="B1590">
            <v>1</v>
          </cell>
          <cell r="C1590" t="str">
            <v>Domestic</v>
          </cell>
          <cell r="D1590">
            <v>2</v>
          </cell>
          <cell r="E1590">
            <v>7428</v>
          </cell>
          <cell r="F1590" t="str">
            <v>CASCADE COLUMBIA DIST</v>
          </cell>
          <cell r="G1590" t="str">
            <v>D</v>
          </cell>
          <cell r="H1590" t="str">
            <v>SHERWOOD</v>
          </cell>
          <cell r="I1590" t="str">
            <v>OR</v>
          </cell>
          <cell r="J1590" t="str">
            <v>USA</v>
          </cell>
          <cell r="K1590" t="str">
            <v>CASCADE COLUMBIA DIST. CO.</v>
          </cell>
          <cell r="L1590" t="str">
            <v>WA</v>
          </cell>
          <cell r="M1590" t="str">
            <v>USA</v>
          </cell>
          <cell r="N1590" t="str">
            <v>D</v>
          </cell>
          <cell r="O1590">
            <v>23060210</v>
          </cell>
          <cell r="P1590" t="str">
            <v>DECA BORAX STD 50LB BAG</v>
          </cell>
          <cell r="Q1590" t="str">
            <v>Deca</v>
          </cell>
          <cell r="R1590">
            <v>4.9000000000000004</v>
          </cell>
          <cell r="S1590">
            <v>1798.3</v>
          </cell>
        </row>
        <row r="1591">
          <cell r="A1591" t="str">
            <v>Actual</v>
          </cell>
          <cell r="B1591">
            <v>1</v>
          </cell>
          <cell r="C1591" t="str">
            <v>Domestic</v>
          </cell>
          <cell r="D1591">
            <v>2</v>
          </cell>
          <cell r="E1591">
            <v>7428</v>
          </cell>
          <cell r="F1591" t="str">
            <v>CASCADE COLUMBIA DIST</v>
          </cell>
          <cell r="G1591" t="str">
            <v>D</v>
          </cell>
          <cell r="H1591" t="str">
            <v>SHERWOOD</v>
          </cell>
          <cell r="I1591" t="str">
            <v>OR</v>
          </cell>
          <cell r="J1591" t="str">
            <v>USA</v>
          </cell>
          <cell r="K1591" t="str">
            <v>CASCADE COLUMBIA DIST. CO.</v>
          </cell>
          <cell r="L1591" t="str">
            <v>WA</v>
          </cell>
          <cell r="M1591" t="str">
            <v>USA</v>
          </cell>
          <cell r="N1591" t="str">
            <v>D</v>
          </cell>
          <cell r="O1591">
            <v>40060410</v>
          </cell>
          <cell r="P1591" t="str">
            <v>SODIUM SULFATE STD 50LB BAG</v>
          </cell>
          <cell r="Q1591" t="str">
            <v>Sodium Sulfate</v>
          </cell>
          <cell r="R1591">
            <v>5</v>
          </cell>
          <cell r="S1591">
            <v>1709.18</v>
          </cell>
        </row>
        <row r="1592">
          <cell r="A1592" t="str">
            <v>Actual</v>
          </cell>
          <cell r="B1592">
            <v>1</v>
          </cell>
          <cell r="C1592" t="str">
            <v>Domestic</v>
          </cell>
          <cell r="D1592">
            <v>2</v>
          </cell>
          <cell r="E1592">
            <v>7428</v>
          </cell>
          <cell r="F1592" t="str">
            <v>CASCADE COLUMBIA DIST</v>
          </cell>
          <cell r="G1592" t="str">
            <v>D</v>
          </cell>
          <cell r="H1592" t="str">
            <v>SHERWOOD</v>
          </cell>
          <cell r="I1592" t="str">
            <v>OR</v>
          </cell>
          <cell r="J1592" t="str">
            <v>USA</v>
          </cell>
          <cell r="K1592" t="str">
            <v>CASCADE COLUMBIA DIST. CO.</v>
          </cell>
          <cell r="L1592" t="str">
            <v>WA</v>
          </cell>
          <cell r="M1592" t="str">
            <v>USA</v>
          </cell>
          <cell r="N1592" t="str">
            <v>D</v>
          </cell>
          <cell r="O1592">
            <v>40060450</v>
          </cell>
          <cell r="P1592" t="str">
            <v>SODIUM SULFATE STD 1TN FIBC</v>
          </cell>
          <cell r="Q1592" t="str">
            <v>Sodium Sulfate</v>
          </cell>
          <cell r="R1592">
            <v>18</v>
          </cell>
          <cell r="S1592">
            <v>3294</v>
          </cell>
        </row>
        <row r="1593">
          <cell r="A1593" t="str">
            <v>Actual</v>
          </cell>
          <cell r="B1593">
            <v>1</v>
          </cell>
          <cell r="C1593" t="str">
            <v>Domestic</v>
          </cell>
          <cell r="D1593">
            <v>2</v>
          </cell>
          <cell r="E1593">
            <v>7673</v>
          </cell>
          <cell r="F1593" t="str">
            <v>G.S. ROBINS &amp; CO.</v>
          </cell>
          <cell r="G1593" t="str">
            <v>D</v>
          </cell>
          <cell r="H1593" t="str">
            <v>ST LOUIS</v>
          </cell>
          <cell r="I1593" t="str">
            <v>MO</v>
          </cell>
          <cell r="J1593" t="str">
            <v>USA</v>
          </cell>
          <cell r="K1593" t="str">
            <v>G.S. ROBINS &amp; CO.</v>
          </cell>
          <cell r="L1593" t="str">
            <v>MO</v>
          </cell>
          <cell r="M1593" t="str">
            <v>USA</v>
          </cell>
          <cell r="N1593" t="str">
            <v>D</v>
          </cell>
          <cell r="O1593">
            <v>24030210</v>
          </cell>
          <cell r="P1593" t="str">
            <v>BORIC ACID PWD TECH 50LB BAG</v>
          </cell>
          <cell r="Q1593" t="str">
            <v>Boric Acid</v>
          </cell>
          <cell r="R1593">
            <v>21.6</v>
          </cell>
          <cell r="S1593">
            <v>14958</v>
          </cell>
        </row>
        <row r="1594">
          <cell r="A1594" t="str">
            <v>Actual</v>
          </cell>
          <cell r="B1594">
            <v>1</v>
          </cell>
          <cell r="C1594" t="str">
            <v>Domestic</v>
          </cell>
          <cell r="D1594">
            <v>2</v>
          </cell>
          <cell r="E1594">
            <v>7712</v>
          </cell>
          <cell r="F1594" t="str">
            <v>JONES FIBER PRODUCTS INC</v>
          </cell>
          <cell r="G1594" t="str">
            <v>D</v>
          </cell>
          <cell r="H1594" t="str">
            <v>MORRISTOWN</v>
          </cell>
          <cell r="I1594" t="str">
            <v>TN</v>
          </cell>
          <cell r="J1594" t="str">
            <v>USA</v>
          </cell>
          <cell r="K1594" t="str">
            <v>JONES FIBER PRODUCTS INC</v>
          </cell>
          <cell r="L1594" t="str">
            <v>TN</v>
          </cell>
          <cell r="M1594" t="str">
            <v>USA</v>
          </cell>
          <cell r="N1594" t="str">
            <v>C</v>
          </cell>
          <cell r="O1594">
            <v>24090253</v>
          </cell>
          <cell r="P1594" t="str">
            <v>BORIC ACID GRN TCH 2500LB FIBC</v>
          </cell>
          <cell r="Q1594" t="str">
            <v>Boric Acid</v>
          </cell>
          <cell r="R1594">
            <v>22.5</v>
          </cell>
          <cell r="S1594">
            <v>10140.879999999999</v>
          </cell>
        </row>
        <row r="1595">
          <cell r="A1595" t="str">
            <v>Actual</v>
          </cell>
          <cell r="B1595">
            <v>1</v>
          </cell>
          <cell r="C1595" t="str">
            <v>Domestic</v>
          </cell>
          <cell r="D1595">
            <v>2</v>
          </cell>
          <cell r="E1595">
            <v>7921</v>
          </cell>
          <cell r="F1595" t="str">
            <v>GP GYPSUM</v>
          </cell>
          <cell r="G1595" t="str">
            <v>D</v>
          </cell>
          <cell r="H1595" t="str">
            <v>TACOMA</v>
          </cell>
          <cell r="I1595" t="str">
            <v>WA</v>
          </cell>
          <cell r="J1595" t="str">
            <v>USA</v>
          </cell>
          <cell r="K1595" t="str">
            <v>UNIVAR USA</v>
          </cell>
          <cell r="L1595" t="str">
            <v>CA</v>
          </cell>
          <cell r="M1595" t="str">
            <v>USA</v>
          </cell>
          <cell r="N1595" t="str">
            <v>D</v>
          </cell>
          <cell r="O1595">
            <v>24090293</v>
          </cell>
          <cell r="P1595" t="str">
            <v>BORIC ACID GRAN TECH 1TN LINED</v>
          </cell>
          <cell r="Q1595" t="str">
            <v>Boric Acid</v>
          </cell>
          <cell r="R1595">
            <v>22</v>
          </cell>
          <cell r="S1595">
            <v>11506.8</v>
          </cell>
        </row>
        <row r="1596">
          <cell r="A1596" t="str">
            <v>Actual</v>
          </cell>
          <cell r="B1596">
            <v>1</v>
          </cell>
          <cell r="C1596" t="str">
            <v>Domestic</v>
          </cell>
          <cell r="D1596">
            <v>2</v>
          </cell>
          <cell r="E1596">
            <v>7938</v>
          </cell>
          <cell r="F1596" t="str">
            <v>G.S. ROBINS &amp; CO.</v>
          </cell>
          <cell r="G1596" t="str">
            <v>D</v>
          </cell>
          <cell r="H1596" t="str">
            <v>KANSAS CITY</v>
          </cell>
          <cell r="I1596" t="str">
            <v>KS</v>
          </cell>
          <cell r="J1596" t="str">
            <v>USA</v>
          </cell>
          <cell r="K1596" t="str">
            <v>G.S. ROBINS &amp; CO.</v>
          </cell>
          <cell r="L1596" t="str">
            <v>MO</v>
          </cell>
          <cell r="M1596" t="str">
            <v>USA</v>
          </cell>
          <cell r="N1596" t="str">
            <v>D</v>
          </cell>
          <cell r="O1596">
            <v>22060410</v>
          </cell>
          <cell r="P1596" t="str">
            <v>V-BOR 50LB BAG (004)</v>
          </cell>
          <cell r="Q1596" t="str">
            <v>Penta</v>
          </cell>
          <cell r="R1596">
            <v>19.600000000000001</v>
          </cell>
          <cell r="S1596">
            <v>6738.7377999999999</v>
          </cell>
        </row>
        <row r="1597">
          <cell r="A1597" t="str">
            <v>Actual</v>
          </cell>
          <cell r="B1597">
            <v>1</v>
          </cell>
          <cell r="C1597" t="str">
            <v>Domestic</v>
          </cell>
          <cell r="D1597">
            <v>2</v>
          </cell>
          <cell r="E1597">
            <v>7938</v>
          </cell>
          <cell r="F1597" t="str">
            <v>G.S. ROBINS &amp; CO.</v>
          </cell>
          <cell r="G1597" t="str">
            <v>D</v>
          </cell>
          <cell r="H1597" t="str">
            <v>KANSAS CITY</v>
          </cell>
          <cell r="I1597" t="str">
            <v>KS</v>
          </cell>
          <cell r="J1597" t="str">
            <v>USA</v>
          </cell>
          <cell r="K1597" t="str">
            <v>G.S. ROBINS &amp; CO.</v>
          </cell>
          <cell r="L1597" t="str">
            <v>MO</v>
          </cell>
          <cell r="M1597" t="str">
            <v>USA</v>
          </cell>
          <cell r="N1597" t="str">
            <v>D</v>
          </cell>
          <cell r="O1597">
            <v>23060210</v>
          </cell>
          <cell r="P1597" t="str">
            <v>DECA BORAX STD 50LB BAG</v>
          </cell>
          <cell r="Q1597" t="str">
            <v>Deca</v>
          </cell>
          <cell r="R1597">
            <v>2.4500000000000002</v>
          </cell>
          <cell r="S1597">
            <v>766.42219999999998</v>
          </cell>
        </row>
        <row r="1598">
          <cell r="A1598" t="str">
            <v>Actual</v>
          </cell>
          <cell r="B1598">
            <v>1</v>
          </cell>
          <cell r="C1598" t="str">
            <v>Domestic</v>
          </cell>
          <cell r="D1598">
            <v>2</v>
          </cell>
          <cell r="E1598">
            <v>8254</v>
          </cell>
          <cell r="F1598" t="str">
            <v>WEYERHAEUSER COMPANY</v>
          </cell>
          <cell r="G1598" t="str">
            <v>D</v>
          </cell>
          <cell r="H1598" t="str">
            <v>ALBANY</v>
          </cell>
          <cell r="I1598" t="str">
            <v>OR</v>
          </cell>
          <cell r="J1598" t="str">
            <v>USA</v>
          </cell>
          <cell r="K1598" t="str">
            <v>WEYERHAEUSER COMPANY</v>
          </cell>
          <cell r="L1598" t="str">
            <v>OR</v>
          </cell>
          <cell r="M1598" t="str">
            <v>USA</v>
          </cell>
          <cell r="N1598" t="str">
            <v>C</v>
          </cell>
          <cell r="O1598">
            <v>24150252</v>
          </cell>
          <cell r="P1598" t="str">
            <v>BORIC ACID COARSE 2400LB FIBC</v>
          </cell>
          <cell r="Q1598" t="str">
            <v>Boric Acid</v>
          </cell>
          <cell r="R1598">
            <v>192</v>
          </cell>
          <cell r="S1598">
            <v>118656</v>
          </cell>
        </row>
        <row r="1599">
          <cell r="A1599" t="str">
            <v>Actual</v>
          </cell>
          <cell r="B1599">
            <v>1</v>
          </cell>
          <cell r="C1599" t="str">
            <v>Domestic</v>
          </cell>
          <cell r="D1599">
            <v>2</v>
          </cell>
          <cell r="E1599">
            <v>8364</v>
          </cell>
          <cell r="F1599" t="str">
            <v>CHEMI-CON MATERIAL CORP.</v>
          </cell>
          <cell r="G1599" t="str">
            <v>D</v>
          </cell>
          <cell r="H1599" t="str">
            <v>MOSES LAKE</v>
          </cell>
          <cell r="I1599" t="str">
            <v>WA</v>
          </cell>
          <cell r="J1599" t="str">
            <v>USA</v>
          </cell>
          <cell r="K1599" t="str">
            <v>UNIVAR USA</v>
          </cell>
          <cell r="L1599" t="str">
            <v>WA</v>
          </cell>
          <cell r="M1599" t="str">
            <v>USA</v>
          </cell>
          <cell r="N1599" t="str">
            <v>D</v>
          </cell>
          <cell r="O1599">
            <v>28069792</v>
          </cell>
          <cell r="P1599" t="str">
            <v>AMMONIUM PENTABORATE 150KG DRM</v>
          </cell>
          <cell r="Q1599" t="str">
            <v>Boric Salt (SCL)</v>
          </cell>
          <cell r="R1599">
            <v>0.99209999999999998</v>
          </cell>
          <cell r="S1599">
            <v>2195.94</v>
          </cell>
        </row>
        <row r="1600">
          <cell r="A1600" t="str">
            <v>Actual</v>
          </cell>
          <cell r="B1600">
            <v>1</v>
          </cell>
          <cell r="C1600" t="str">
            <v>Domestic</v>
          </cell>
          <cell r="D1600">
            <v>2</v>
          </cell>
          <cell r="E1600">
            <v>8388</v>
          </cell>
          <cell r="F1600" t="str">
            <v>UNIVAR C/O GEORGIA PACIFIC</v>
          </cell>
          <cell r="G1600" t="str">
            <v>D</v>
          </cell>
          <cell r="H1600" t="str">
            <v>SURREY</v>
          </cell>
          <cell r="I1600" t="str">
            <v>BC</v>
          </cell>
          <cell r="J1600" t="str">
            <v>CAN</v>
          </cell>
          <cell r="K1600" t="str">
            <v>UNIVAR CANADA LTD</v>
          </cell>
          <cell r="L1600" t="str">
            <v>BC</v>
          </cell>
          <cell r="M1600" t="str">
            <v>CAN</v>
          </cell>
          <cell r="N1600" t="str">
            <v>D</v>
          </cell>
          <cell r="O1600">
            <v>24090255</v>
          </cell>
          <cell r="P1600" t="str">
            <v>BORIC ACID GRAN TECH 1 MT FIBC</v>
          </cell>
          <cell r="Q1600" t="str">
            <v>Boric Acid</v>
          </cell>
          <cell r="R1600">
            <v>0</v>
          </cell>
          <cell r="S1600">
            <v>-85.33</v>
          </cell>
        </row>
        <row r="1601">
          <cell r="A1601" t="str">
            <v>Actual</v>
          </cell>
          <cell r="B1601">
            <v>1</v>
          </cell>
          <cell r="C1601" t="str">
            <v>Domestic</v>
          </cell>
          <cell r="D1601">
            <v>2</v>
          </cell>
          <cell r="E1601">
            <v>8521</v>
          </cell>
          <cell r="F1601" t="str">
            <v>UNIVAR USA</v>
          </cell>
          <cell r="G1601" t="str">
            <v>D</v>
          </cell>
          <cell r="H1601" t="str">
            <v>MEMPHIS</v>
          </cell>
          <cell r="I1601" t="str">
            <v>TN</v>
          </cell>
          <cell r="J1601" t="str">
            <v>USA</v>
          </cell>
          <cell r="K1601" t="str">
            <v>UNIVAR USA</v>
          </cell>
          <cell r="L1601" t="str">
            <v>TN</v>
          </cell>
          <cell r="M1601" t="str">
            <v>USA</v>
          </cell>
          <cell r="O1601">
            <v>24090253</v>
          </cell>
          <cell r="P1601" t="str">
            <v>BORIC ACID GRN TCH 2500LB FIBC</v>
          </cell>
          <cell r="Q1601" t="str">
            <v>Boric Acid</v>
          </cell>
          <cell r="R1601">
            <v>43.75</v>
          </cell>
          <cell r="S1601">
            <v>18840.759999999998</v>
          </cell>
        </row>
        <row r="1602">
          <cell r="A1602" t="str">
            <v>Actual</v>
          </cell>
          <cell r="B1602">
            <v>1</v>
          </cell>
          <cell r="C1602" t="str">
            <v>Domestic</v>
          </cell>
          <cell r="D1602">
            <v>2</v>
          </cell>
          <cell r="E1602">
            <v>9078</v>
          </cell>
          <cell r="F1602" t="str">
            <v>QUADRA CHEMICAL WESTERN INC.</v>
          </cell>
          <cell r="G1602" t="str">
            <v>D</v>
          </cell>
          <cell r="H1602" t="str">
            <v>PORTLAND</v>
          </cell>
          <cell r="I1602" t="str">
            <v>OR</v>
          </cell>
          <cell r="J1602" t="str">
            <v>USA</v>
          </cell>
          <cell r="K1602" t="str">
            <v>QUADRA CHEMICAL WESTERN INC.</v>
          </cell>
          <cell r="L1602" t="str">
            <v>OR</v>
          </cell>
          <cell r="M1602" t="str">
            <v>USA</v>
          </cell>
          <cell r="N1602" t="str">
            <v>D</v>
          </cell>
          <cell r="O1602">
            <v>22060410</v>
          </cell>
          <cell r="P1602" t="str">
            <v>V-BOR 50LB BAG (004)</v>
          </cell>
          <cell r="Q1602" t="str">
            <v>Penta</v>
          </cell>
          <cell r="R1602">
            <v>13.475</v>
          </cell>
          <cell r="S1602">
            <v>5078.7794000000004</v>
          </cell>
        </row>
        <row r="1603">
          <cell r="A1603" t="str">
            <v>Actual</v>
          </cell>
          <cell r="B1603">
            <v>1</v>
          </cell>
          <cell r="C1603" t="str">
            <v>Domestic</v>
          </cell>
          <cell r="D1603">
            <v>2</v>
          </cell>
          <cell r="E1603">
            <v>9078</v>
          </cell>
          <cell r="F1603" t="str">
            <v>QUADRA CHEMICAL WESTERN INC.</v>
          </cell>
          <cell r="G1603" t="str">
            <v>D</v>
          </cell>
          <cell r="H1603" t="str">
            <v>PORTLAND</v>
          </cell>
          <cell r="I1603" t="str">
            <v>OR</v>
          </cell>
          <cell r="J1603" t="str">
            <v>USA</v>
          </cell>
          <cell r="K1603" t="str">
            <v>QUADRA CHEMICAL WESTERN INC.</v>
          </cell>
          <cell r="L1603" t="str">
            <v>OR</v>
          </cell>
          <cell r="M1603" t="str">
            <v>USA</v>
          </cell>
          <cell r="N1603" t="str">
            <v>D</v>
          </cell>
          <cell r="O1603">
            <v>23060210</v>
          </cell>
          <cell r="P1603" t="str">
            <v>DECA BORAX STD 50LB BAG</v>
          </cell>
          <cell r="Q1603" t="str">
            <v>Deca</v>
          </cell>
          <cell r="R1603">
            <v>2.4500000000000002</v>
          </cell>
          <cell r="S1603">
            <v>815.59690000000001</v>
          </cell>
        </row>
        <row r="1604">
          <cell r="A1604" t="str">
            <v>Actual</v>
          </cell>
          <cell r="B1604">
            <v>1</v>
          </cell>
          <cell r="C1604" t="str">
            <v>Domestic</v>
          </cell>
          <cell r="D1604">
            <v>2</v>
          </cell>
          <cell r="E1604">
            <v>9078</v>
          </cell>
          <cell r="F1604" t="str">
            <v>QUADRA CHEMICAL WESTERN INC.</v>
          </cell>
          <cell r="G1604" t="str">
            <v>D</v>
          </cell>
          <cell r="H1604" t="str">
            <v>PORTLAND</v>
          </cell>
          <cell r="I1604" t="str">
            <v>OR</v>
          </cell>
          <cell r="J1604" t="str">
            <v>USA</v>
          </cell>
          <cell r="K1604" t="str">
            <v>QUADRA CHEMICAL WESTERN INC.</v>
          </cell>
          <cell r="L1604" t="str">
            <v>OR</v>
          </cell>
          <cell r="M1604" t="str">
            <v>USA</v>
          </cell>
          <cell r="N1604" t="str">
            <v>D</v>
          </cell>
          <cell r="O1604">
            <v>40060410</v>
          </cell>
          <cell r="P1604" t="str">
            <v>SODIUM SULFATE STD 50LB BAG</v>
          </cell>
          <cell r="Q1604" t="str">
            <v>Sodium Sulfate</v>
          </cell>
          <cell r="R1604">
            <v>6.25</v>
          </cell>
          <cell r="S1604">
            <v>705.77369999999996</v>
          </cell>
        </row>
        <row r="1605">
          <cell r="A1605" t="str">
            <v>Actual</v>
          </cell>
          <cell r="B1605">
            <v>1</v>
          </cell>
          <cell r="C1605" t="str">
            <v>Domestic</v>
          </cell>
          <cell r="D1605">
            <v>2</v>
          </cell>
          <cell r="E1605">
            <v>9514</v>
          </cell>
          <cell r="F1605" t="str">
            <v>AMT LABS</v>
          </cell>
          <cell r="G1605" t="str">
            <v>D</v>
          </cell>
          <cell r="H1605" t="str">
            <v>NORTH SALT LAKE CITY</v>
          </cell>
          <cell r="I1605" t="str">
            <v>UT</v>
          </cell>
          <cell r="J1605" t="str">
            <v>USA</v>
          </cell>
          <cell r="K1605" t="str">
            <v>QUADRA CHEMICAL WESTERN INC.</v>
          </cell>
          <cell r="L1605" t="str">
            <v>OR</v>
          </cell>
          <cell r="M1605" t="str">
            <v>USA</v>
          </cell>
          <cell r="N1605" t="str">
            <v>D</v>
          </cell>
          <cell r="O1605">
            <v>24629720</v>
          </cell>
          <cell r="P1605" t="str">
            <v>BORIC ACID EP GRAN 25KG BAG</v>
          </cell>
          <cell r="Q1605" t="str">
            <v>HP Boric Acid (SCL)</v>
          </cell>
          <cell r="R1605">
            <v>1.1023000000000001</v>
          </cell>
          <cell r="S1605">
            <v>1721.3</v>
          </cell>
        </row>
        <row r="1606">
          <cell r="A1606" t="str">
            <v>Actual</v>
          </cell>
          <cell r="B1606">
            <v>1</v>
          </cell>
          <cell r="C1606" t="str">
            <v>Domestic</v>
          </cell>
          <cell r="D1606">
            <v>2</v>
          </cell>
          <cell r="E1606">
            <v>9560</v>
          </cell>
          <cell r="F1606" t="str">
            <v>BPB GYPSUM</v>
          </cell>
          <cell r="G1606" t="str">
            <v>D</v>
          </cell>
          <cell r="H1606" t="str">
            <v>NASHVILLE</v>
          </cell>
          <cell r="I1606" t="str">
            <v>AR</v>
          </cell>
          <cell r="J1606" t="str">
            <v>USA</v>
          </cell>
          <cell r="K1606" t="str">
            <v>UNIVAR USA</v>
          </cell>
          <cell r="L1606" t="str">
            <v>TN</v>
          </cell>
          <cell r="M1606" t="str">
            <v>USA</v>
          </cell>
          <cell r="N1606" t="str">
            <v>D</v>
          </cell>
          <cell r="O1606">
            <v>24090200</v>
          </cell>
          <cell r="P1606" t="str">
            <v>BORIC ACID GRAN TECH BULK</v>
          </cell>
          <cell r="Q1606" t="str">
            <v>Boric Acid</v>
          </cell>
          <cell r="R1606">
            <v>0</v>
          </cell>
          <cell r="S1606">
            <v>-184.76</v>
          </cell>
        </row>
        <row r="1607">
          <cell r="A1607" t="str">
            <v>Actual</v>
          </cell>
          <cell r="B1607">
            <v>1</v>
          </cell>
          <cell r="C1607" t="str">
            <v>Domestic</v>
          </cell>
          <cell r="D1607">
            <v>2</v>
          </cell>
          <cell r="E1607">
            <v>9582</v>
          </cell>
          <cell r="F1607" t="str">
            <v>QUADRA CHEMICAL WESTERN INC.</v>
          </cell>
          <cell r="G1607" t="str">
            <v>D</v>
          </cell>
          <cell r="H1607" t="str">
            <v>SPRINGFIELD</v>
          </cell>
          <cell r="I1607" t="str">
            <v>OR</v>
          </cell>
          <cell r="J1607" t="str">
            <v>USA</v>
          </cell>
          <cell r="K1607" t="str">
            <v>QUADRA CHEMICAL WESTERN INC.</v>
          </cell>
          <cell r="L1607" t="str">
            <v>OR</v>
          </cell>
          <cell r="M1607" t="str">
            <v>USA</v>
          </cell>
          <cell r="N1607" t="str">
            <v>D</v>
          </cell>
          <cell r="O1607">
            <v>40060410</v>
          </cell>
          <cell r="P1607" t="str">
            <v>SODIUM SULFATE STD 50LB BAG</v>
          </cell>
          <cell r="Q1607" t="str">
            <v>Sodium Sulfate</v>
          </cell>
          <cell r="R1607">
            <v>22.5</v>
          </cell>
          <cell r="S1607">
            <v>3508.14</v>
          </cell>
        </row>
        <row r="1608">
          <cell r="A1608" t="str">
            <v>Actual</v>
          </cell>
          <cell r="B1608">
            <v>1</v>
          </cell>
          <cell r="C1608" t="str">
            <v>Domestic</v>
          </cell>
          <cell r="D1608">
            <v>2</v>
          </cell>
          <cell r="E1608">
            <v>9593</v>
          </cell>
          <cell r="F1608" t="str">
            <v>WESTERN POLYMER</v>
          </cell>
          <cell r="G1608" t="str">
            <v>D</v>
          </cell>
          <cell r="H1608" t="str">
            <v>MOSES LAKE</v>
          </cell>
          <cell r="I1608" t="str">
            <v>WA</v>
          </cell>
          <cell r="J1608" t="str">
            <v>USA</v>
          </cell>
          <cell r="K1608" t="str">
            <v>CASCADE COLUMBIA DIST. CO.</v>
          </cell>
          <cell r="L1608" t="str">
            <v>WA</v>
          </cell>
          <cell r="M1608" t="str">
            <v>USA</v>
          </cell>
          <cell r="N1608" t="str">
            <v>D</v>
          </cell>
          <cell r="O1608">
            <v>40060450</v>
          </cell>
          <cell r="P1608" t="str">
            <v>SODIUM SULFATE STD 1TN FIBC</v>
          </cell>
          <cell r="Q1608" t="str">
            <v>Sodium Sulfate</v>
          </cell>
          <cell r="R1608">
            <v>0</v>
          </cell>
          <cell r="S1608">
            <v>-62.12</v>
          </cell>
        </row>
        <row r="1609">
          <cell r="A1609" t="str">
            <v>Actual</v>
          </cell>
          <cell r="B1609">
            <v>1</v>
          </cell>
          <cell r="C1609" t="str">
            <v>Domestic</v>
          </cell>
          <cell r="D1609">
            <v>2</v>
          </cell>
          <cell r="E1609">
            <v>9601</v>
          </cell>
          <cell r="F1609" t="str">
            <v>QUADRA CHEMICAL WESTERN INC.</v>
          </cell>
          <cell r="G1609" t="str">
            <v>D</v>
          </cell>
          <cell r="H1609" t="str">
            <v>ALBANY</v>
          </cell>
          <cell r="I1609" t="str">
            <v>OR</v>
          </cell>
          <cell r="J1609" t="str">
            <v>USA</v>
          </cell>
          <cell r="K1609" t="str">
            <v>QUADRA CHEMICAL WESTERN INC.</v>
          </cell>
          <cell r="L1609" t="str">
            <v>OR</v>
          </cell>
          <cell r="M1609" t="str">
            <v>USA</v>
          </cell>
          <cell r="N1609" t="str">
            <v>D</v>
          </cell>
          <cell r="O1609">
            <v>40060410</v>
          </cell>
          <cell r="P1609" t="str">
            <v>SODIUM SULFATE STD 50LB BAG</v>
          </cell>
          <cell r="Q1609" t="str">
            <v>Sodium Sulfate</v>
          </cell>
          <cell r="R1609">
            <v>21.25</v>
          </cell>
          <cell r="S1609">
            <v>3208.12</v>
          </cell>
        </row>
        <row r="1610">
          <cell r="A1610" t="str">
            <v>Actual</v>
          </cell>
          <cell r="B1610">
            <v>1</v>
          </cell>
          <cell r="C1610" t="str">
            <v>Domestic</v>
          </cell>
          <cell r="D1610">
            <v>3</v>
          </cell>
          <cell r="E1610">
            <v>5056</v>
          </cell>
          <cell r="F1610" t="str">
            <v>ACCESS BUSINESS GROUP</v>
          </cell>
          <cell r="G1610" t="str">
            <v>D</v>
          </cell>
          <cell r="H1610" t="str">
            <v>ADA</v>
          </cell>
          <cell r="I1610" t="str">
            <v>MI</v>
          </cell>
          <cell r="J1610" t="str">
            <v>USA</v>
          </cell>
          <cell r="K1610" t="str">
            <v>ACCESS BUSINESS GROUP</v>
          </cell>
          <cell r="L1610" t="str">
            <v>MI</v>
          </cell>
          <cell r="M1610" t="str">
            <v>USA</v>
          </cell>
          <cell r="N1610" t="str">
            <v>C</v>
          </cell>
          <cell r="O1610">
            <v>40060400</v>
          </cell>
          <cell r="P1610" t="str">
            <v>SODIUM SULFATE STANDARD BULK</v>
          </cell>
          <cell r="Q1610" t="str">
            <v>Sodium Sulfate</v>
          </cell>
          <cell r="R1610">
            <v>99.575000000000003</v>
          </cell>
          <cell r="S1610">
            <v>5977.49</v>
          </cell>
        </row>
        <row r="1611">
          <cell r="A1611" t="str">
            <v>Actual</v>
          </cell>
          <cell r="B1611">
            <v>1</v>
          </cell>
          <cell r="C1611" t="str">
            <v>Domestic</v>
          </cell>
          <cell r="D1611">
            <v>3</v>
          </cell>
          <cell r="E1611">
            <v>5196</v>
          </cell>
          <cell r="F1611" t="str">
            <v>GENERAL ELECTRIC COMPANY</v>
          </cell>
          <cell r="G1611" t="str">
            <v>D</v>
          </cell>
          <cell r="H1611" t="str">
            <v>NILES</v>
          </cell>
          <cell r="I1611" t="str">
            <v>OH</v>
          </cell>
          <cell r="J1611" t="str">
            <v>USA</v>
          </cell>
          <cell r="K1611" t="str">
            <v>GENERAL ELECTRIC COMPANY</v>
          </cell>
          <cell r="L1611" t="str">
            <v>OH</v>
          </cell>
          <cell r="M1611" t="str">
            <v>USA</v>
          </cell>
          <cell r="N1611" t="str">
            <v>C</v>
          </cell>
          <cell r="O1611">
            <v>22060400</v>
          </cell>
          <cell r="P1611" t="str">
            <v>V-BOR STD BULK (004)</v>
          </cell>
          <cell r="Q1611" t="str">
            <v>Penta</v>
          </cell>
          <cell r="R1611">
            <v>377.30399999999997</v>
          </cell>
          <cell r="S1611">
            <v>90666.15</v>
          </cell>
        </row>
        <row r="1612">
          <cell r="A1612" t="str">
            <v>Actual</v>
          </cell>
          <cell r="B1612">
            <v>1</v>
          </cell>
          <cell r="C1612" t="str">
            <v>Domestic</v>
          </cell>
          <cell r="D1612">
            <v>3</v>
          </cell>
          <cell r="E1612">
            <v>5196</v>
          </cell>
          <cell r="F1612" t="str">
            <v>GENERAL ELECTRIC COMPANY</v>
          </cell>
          <cell r="G1612" t="str">
            <v>D</v>
          </cell>
          <cell r="H1612" t="str">
            <v>NILES</v>
          </cell>
          <cell r="I1612" t="str">
            <v>OH</v>
          </cell>
          <cell r="J1612" t="str">
            <v>USA</v>
          </cell>
          <cell r="K1612" t="str">
            <v>GENERAL ELECTRIC COMPANY</v>
          </cell>
          <cell r="L1612" t="str">
            <v>OH</v>
          </cell>
          <cell r="M1612" t="str">
            <v>USA</v>
          </cell>
          <cell r="N1612" t="str">
            <v>C</v>
          </cell>
          <cell r="O1612">
            <v>24090200</v>
          </cell>
          <cell r="P1612" t="str">
            <v>BORIC ACID GRAN TECH BULK</v>
          </cell>
          <cell r="Q1612" t="str">
            <v>Boric Acid</v>
          </cell>
          <cell r="R1612">
            <v>167.23849999999999</v>
          </cell>
          <cell r="S1612">
            <v>74805.77</v>
          </cell>
        </row>
        <row r="1613">
          <cell r="A1613" t="str">
            <v>Actual</v>
          </cell>
          <cell r="B1613">
            <v>1</v>
          </cell>
          <cell r="C1613" t="str">
            <v>Domestic</v>
          </cell>
          <cell r="D1613">
            <v>3</v>
          </cell>
          <cell r="E1613">
            <v>5209</v>
          </cell>
          <cell r="F1613" t="str">
            <v>GUARDIAN INDUSTRIES</v>
          </cell>
          <cell r="G1613" t="str">
            <v>D</v>
          </cell>
          <cell r="H1613" t="str">
            <v>KINGSBURG</v>
          </cell>
          <cell r="I1613" t="str">
            <v>CA</v>
          </cell>
          <cell r="J1613" t="str">
            <v>USA</v>
          </cell>
          <cell r="K1613" t="str">
            <v>GUARDIAN INDUSTRIES</v>
          </cell>
          <cell r="L1613" t="str">
            <v>CA</v>
          </cell>
          <cell r="M1613" t="str">
            <v>USA</v>
          </cell>
          <cell r="N1613" t="str">
            <v>C</v>
          </cell>
          <cell r="O1613">
            <v>30210100</v>
          </cell>
          <cell r="P1613" t="str">
            <v>SODA ASH DENSE BULK</v>
          </cell>
          <cell r="Q1613" t="str">
            <v>Soda Ash</v>
          </cell>
          <cell r="R1613">
            <v>1212.3499999999999</v>
          </cell>
          <cell r="S1613">
            <v>90246.44</v>
          </cell>
        </row>
        <row r="1614">
          <cell r="A1614" t="str">
            <v>Actual</v>
          </cell>
          <cell r="B1614">
            <v>1</v>
          </cell>
          <cell r="C1614" t="str">
            <v>Domestic</v>
          </cell>
          <cell r="D1614">
            <v>3</v>
          </cell>
          <cell r="E1614">
            <v>5209</v>
          </cell>
          <cell r="F1614" t="str">
            <v>GUARDIAN INDUSTRIES</v>
          </cell>
          <cell r="G1614" t="str">
            <v>D</v>
          </cell>
          <cell r="H1614" t="str">
            <v>KINGSBURG</v>
          </cell>
          <cell r="I1614" t="str">
            <v>CA</v>
          </cell>
          <cell r="J1614" t="str">
            <v>USA</v>
          </cell>
          <cell r="K1614" t="str">
            <v>GUARDIAN INDUSTRIES</v>
          </cell>
          <cell r="L1614" t="str">
            <v>CA</v>
          </cell>
          <cell r="M1614" t="str">
            <v>USA</v>
          </cell>
          <cell r="N1614" t="str">
            <v>C</v>
          </cell>
          <cell r="O1614">
            <v>40150400</v>
          </cell>
          <cell r="P1614" t="str">
            <v>SODIUM SULFATE COARSE BULK</v>
          </cell>
          <cell r="Q1614" t="str">
            <v>Sodium Sulfate</v>
          </cell>
          <cell r="R1614">
            <v>109.04</v>
          </cell>
          <cell r="S1614">
            <v>12246.93</v>
          </cell>
        </row>
        <row r="1615">
          <cell r="A1615" t="str">
            <v>Actual</v>
          </cell>
          <cell r="B1615">
            <v>1</v>
          </cell>
          <cell r="C1615" t="str">
            <v>Domestic</v>
          </cell>
          <cell r="D1615">
            <v>3</v>
          </cell>
          <cell r="E1615">
            <v>5210</v>
          </cell>
          <cell r="F1615" t="str">
            <v>GUARDIAN FIBERGLASS</v>
          </cell>
          <cell r="G1615" t="str">
            <v>D</v>
          </cell>
          <cell r="H1615" t="str">
            <v>MINERAL WELLS</v>
          </cell>
          <cell r="I1615" t="str">
            <v>MS</v>
          </cell>
          <cell r="J1615" t="str">
            <v>USA</v>
          </cell>
          <cell r="K1615" t="str">
            <v>GUARDIAN FIBERGLASS</v>
          </cell>
          <cell r="L1615" t="str">
            <v>MS</v>
          </cell>
          <cell r="M1615" t="str">
            <v>USA</v>
          </cell>
          <cell r="N1615" t="str">
            <v>C</v>
          </cell>
          <cell r="O1615">
            <v>22060400</v>
          </cell>
          <cell r="P1615" t="str">
            <v>V-BOR STD BULK (004)</v>
          </cell>
          <cell r="Q1615" t="str">
            <v>Penta</v>
          </cell>
          <cell r="R1615">
            <v>431.52499999999998</v>
          </cell>
          <cell r="S1615">
            <v>104722.5</v>
          </cell>
        </row>
        <row r="1616">
          <cell r="A1616" t="str">
            <v>Actual</v>
          </cell>
          <cell r="B1616">
            <v>1</v>
          </cell>
          <cell r="C1616" t="str">
            <v>Domestic</v>
          </cell>
          <cell r="D1616">
            <v>3</v>
          </cell>
          <cell r="E1616">
            <v>5249</v>
          </cell>
          <cell r="F1616" t="str">
            <v>GUARDIAN INDUSTRIES</v>
          </cell>
          <cell r="G1616" t="str">
            <v>D</v>
          </cell>
          <cell r="H1616" t="str">
            <v>CORSICANA</v>
          </cell>
          <cell r="I1616" t="str">
            <v>TX</v>
          </cell>
          <cell r="J1616" t="str">
            <v>USA</v>
          </cell>
          <cell r="K1616" t="str">
            <v>GUARDIAN INDUSTRIES</v>
          </cell>
          <cell r="L1616" t="str">
            <v>TX</v>
          </cell>
          <cell r="M1616" t="str">
            <v>USA</v>
          </cell>
          <cell r="N1616" t="str">
            <v>C</v>
          </cell>
          <cell r="O1616">
            <v>30210100</v>
          </cell>
          <cell r="P1616" t="str">
            <v>SODA ASH DENSE BULK</v>
          </cell>
          <cell r="Q1616" t="str">
            <v>Soda Ash</v>
          </cell>
          <cell r="R1616">
            <v>3031.17</v>
          </cell>
          <cell r="S1616">
            <v>182690.39</v>
          </cell>
        </row>
        <row r="1617">
          <cell r="A1617" t="str">
            <v>Actual</v>
          </cell>
          <cell r="B1617">
            <v>1</v>
          </cell>
          <cell r="C1617" t="str">
            <v>Domestic</v>
          </cell>
          <cell r="D1617">
            <v>3</v>
          </cell>
          <cell r="E1617">
            <v>5278</v>
          </cell>
          <cell r="F1617" t="str">
            <v>MILPORT ENTERPRISES INC</v>
          </cell>
          <cell r="G1617" t="str">
            <v>D</v>
          </cell>
          <cell r="H1617" t="str">
            <v>MILWAUKEE</v>
          </cell>
          <cell r="I1617" t="str">
            <v>WI</v>
          </cell>
          <cell r="J1617" t="str">
            <v>USA</v>
          </cell>
          <cell r="K1617" t="str">
            <v>MILPORT ENTERPRISES INC</v>
          </cell>
          <cell r="L1617" t="str">
            <v>WI</v>
          </cell>
          <cell r="M1617" t="str">
            <v>USA</v>
          </cell>
          <cell r="N1617" t="str">
            <v>D</v>
          </cell>
          <cell r="O1617">
            <v>22060410</v>
          </cell>
          <cell r="P1617" t="str">
            <v>V-BOR 50LB BAG (004)</v>
          </cell>
          <cell r="Q1617" t="str">
            <v>Penta</v>
          </cell>
          <cell r="R1617">
            <v>4.9000000000000004</v>
          </cell>
          <cell r="S1617">
            <v>2079.4951000000001</v>
          </cell>
        </row>
        <row r="1618">
          <cell r="A1618" t="str">
            <v>Actual</v>
          </cell>
          <cell r="B1618">
            <v>1</v>
          </cell>
          <cell r="C1618" t="str">
            <v>Domestic</v>
          </cell>
          <cell r="D1618">
            <v>3</v>
          </cell>
          <cell r="E1618">
            <v>5278</v>
          </cell>
          <cell r="F1618" t="str">
            <v>MILPORT ENTERPRISES INC</v>
          </cell>
          <cell r="G1618" t="str">
            <v>D</v>
          </cell>
          <cell r="H1618" t="str">
            <v>MILWAUKEE</v>
          </cell>
          <cell r="I1618" t="str">
            <v>WI</v>
          </cell>
          <cell r="J1618" t="str">
            <v>USA</v>
          </cell>
          <cell r="K1618" t="str">
            <v>MILPORT ENTERPRISES INC</v>
          </cell>
          <cell r="L1618" t="str">
            <v>WI</v>
          </cell>
          <cell r="M1618" t="str">
            <v>USA</v>
          </cell>
          <cell r="N1618" t="str">
            <v>D</v>
          </cell>
          <cell r="O1618">
            <v>24090210</v>
          </cell>
          <cell r="P1618" t="str">
            <v>BORIC ACID GRAN TECH 50LB BAG</v>
          </cell>
          <cell r="Q1618" t="str">
            <v>Boric Acid</v>
          </cell>
          <cell r="R1618">
            <v>8.5749999999999993</v>
          </cell>
          <cell r="S1618">
            <v>7197.8990999999996</v>
          </cell>
        </row>
        <row r="1619">
          <cell r="A1619" t="str">
            <v>Actual</v>
          </cell>
          <cell r="B1619">
            <v>1</v>
          </cell>
          <cell r="C1619" t="str">
            <v>Domestic</v>
          </cell>
          <cell r="D1619">
            <v>3</v>
          </cell>
          <cell r="E1619">
            <v>5278</v>
          </cell>
          <cell r="F1619" t="str">
            <v>MILPORT ENTERPRISES INC</v>
          </cell>
          <cell r="G1619" t="str">
            <v>D</v>
          </cell>
          <cell r="H1619" t="str">
            <v>MILWAUKEE</v>
          </cell>
          <cell r="I1619" t="str">
            <v>WI</v>
          </cell>
          <cell r="J1619" t="str">
            <v>USA</v>
          </cell>
          <cell r="K1619" t="str">
            <v>MILPORT ENTERPRISES INC</v>
          </cell>
          <cell r="L1619" t="str">
            <v>WI</v>
          </cell>
          <cell r="M1619" t="str">
            <v>USA</v>
          </cell>
          <cell r="N1619" t="str">
            <v>D</v>
          </cell>
          <cell r="O1619">
            <v>40060410</v>
          </cell>
          <cell r="P1619" t="str">
            <v>SODIUM SULFATE STD 50LB BAG</v>
          </cell>
          <cell r="Q1619" t="str">
            <v>Sodium Sulfate</v>
          </cell>
          <cell r="R1619">
            <v>8.75</v>
          </cell>
          <cell r="S1619">
            <v>1342.2358999999999</v>
          </cell>
        </row>
        <row r="1620">
          <cell r="A1620" t="str">
            <v>Actual</v>
          </cell>
          <cell r="B1620">
            <v>1</v>
          </cell>
          <cell r="C1620" t="str">
            <v>Domestic</v>
          </cell>
          <cell r="D1620">
            <v>3</v>
          </cell>
          <cell r="E1620">
            <v>5310</v>
          </cell>
          <cell r="F1620" t="str">
            <v>LIBBEY GLASS, INC.</v>
          </cell>
          <cell r="G1620" t="str">
            <v>D</v>
          </cell>
          <cell r="H1620" t="str">
            <v>CITY OF INDUSTRY</v>
          </cell>
          <cell r="I1620" t="str">
            <v>CA</v>
          </cell>
          <cell r="J1620" t="str">
            <v>USA</v>
          </cell>
          <cell r="K1620" t="str">
            <v>LIBBEY GLASS, INC.</v>
          </cell>
          <cell r="L1620" t="str">
            <v>CA</v>
          </cell>
          <cell r="M1620" t="str">
            <v>USA</v>
          </cell>
          <cell r="N1620" t="str">
            <v>C</v>
          </cell>
          <cell r="O1620">
            <v>30210100</v>
          </cell>
          <cell r="P1620" t="str">
            <v>SODA ASH DENSE BULK</v>
          </cell>
          <cell r="Q1620" t="str">
            <v>Soda Ash</v>
          </cell>
          <cell r="R1620">
            <v>330.6</v>
          </cell>
          <cell r="S1620">
            <v>30771.24</v>
          </cell>
        </row>
        <row r="1621">
          <cell r="A1621" t="str">
            <v>Actual</v>
          </cell>
          <cell r="B1621">
            <v>1</v>
          </cell>
          <cell r="C1621" t="str">
            <v>Domestic</v>
          </cell>
          <cell r="D1621">
            <v>3</v>
          </cell>
          <cell r="E1621">
            <v>5383</v>
          </cell>
          <cell r="F1621" t="str">
            <v>ULRICH CHEMICAL, INC.</v>
          </cell>
          <cell r="G1621" t="str">
            <v>D</v>
          </cell>
          <cell r="H1621" t="str">
            <v>INDIANAPOLIS</v>
          </cell>
          <cell r="I1621" t="str">
            <v>IN</v>
          </cell>
          <cell r="J1621" t="str">
            <v>USA</v>
          </cell>
          <cell r="K1621" t="str">
            <v>ULRICH CHEMICAL, INC.</v>
          </cell>
          <cell r="L1621" t="str">
            <v>IN</v>
          </cell>
          <cell r="M1621" t="str">
            <v>USA</v>
          </cell>
          <cell r="N1621" t="str">
            <v>D</v>
          </cell>
          <cell r="O1621">
            <v>24090210</v>
          </cell>
          <cell r="P1621" t="str">
            <v>BORIC ACID GRAN TECH 50LB BAG</v>
          </cell>
          <cell r="Q1621" t="str">
            <v>Boric Acid</v>
          </cell>
          <cell r="R1621">
            <v>0</v>
          </cell>
          <cell r="S1621">
            <v>-80</v>
          </cell>
        </row>
        <row r="1622">
          <cell r="A1622" t="str">
            <v>Actual</v>
          </cell>
          <cell r="B1622">
            <v>1</v>
          </cell>
          <cell r="C1622" t="str">
            <v>Domestic</v>
          </cell>
          <cell r="D1622">
            <v>3</v>
          </cell>
          <cell r="E1622">
            <v>5458</v>
          </cell>
          <cell r="F1622" t="str">
            <v>BONDED CHEMICALS INCORPORATED</v>
          </cell>
          <cell r="G1622" t="str">
            <v>D</v>
          </cell>
          <cell r="H1622" t="str">
            <v>COLUMBUS</v>
          </cell>
          <cell r="I1622" t="str">
            <v>OH</v>
          </cell>
          <cell r="J1622" t="str">
            <v>USA</v>
          </cell>
          <cell r="K1622" t="str">
            <v>BONDED CHEMICALS INCORPORATED</v>
          </cell>
          <cell r="L1622" t="str">
            <v>OH</v>
          </cell>
          <cell r="M1622" t="str">
            <v>USA</v>
          </cell>
          <cell r="N1622" t="str">
            <v>D</v>
          </cell>
          <cell r="O1622">
            <v>22060410</v>
          </cell>
          <cell r="P1622" t="str">
            <v>V-BOR 50LB BAG (004)</v>
          </cell>
          <cell r="Q1622" t="str">
            <v>Penta</v>
          </cell>
          <cell r="R1622">
            <v>4.9000000000000004</v>
          </cell>
          <cell r="S1622">
            <v>2045.7372</v>
          </cell>
        </row>
        <row r="1623">
          <cell r="A1623" t="str">
            <v>Actual</v>
          </cell>
          <cell r="B1623">
            <v>1</v>
          </cell>
          <cell r="C1623" t="str">
            <v>Domestic</v>
          </cell>
          <cell r="D1623">
            <v>3</v>
          </cell>
          <cell r="E1623">
            <v>5458</v>
          </cell>
          <cell r="F1623" t="str">
            <v>BONDED CHEMICALS INCORPORATED</v>
          </cell>
          <cell r="G1623" t="str">
            <v>D</v>
          </cell>
          <cell r="H1623" t="str">
            <v>COLUMBUS</v>
          </cell>
          <cell r="I1623" t="str">
            <v>OH</v>
          </cell>
          <cell r="J1623" t="str">
            <v>USA</v>
          </cell>
          <cell r="K1623" t="str">
            <v>BONDED CHEMICALS INCORPORATED</v>
          </cell>
          <cell r="L1623" t="str">
            <v>OH</v>
          </cell>
          <cell r="M1623" t="str">
            <v>USA</v>
          </cell>
          <cell r="N1623" t="str">
            <v>D</v>
          </cell>
          <cell r="O1623">
            <v>23060210</v>
          </cell>
          <cell r="P1623" t="str">
            <v>DECA BORAX STD 50LB BAG</v>
          </cell>
          <cell r="Q1623" t="str">
            <v>Deca</v>
          </cell>
          <cell r="R1623">
            <v>8.5749999999999993</v>
          </cell>
          <cell r="S1623">
            <v>3108.5317</v>
          </cell>
        </row>
        <row r="1624">
          <cell r="A1624" t="str">
            <v>Actual</v>
          </cell>
          <cell r="B1624">
            <v>1</v>
          </cell>
          <cell r="C1624" t="str">
            <v>Domestic</v>
          </cell>
          <cell r="D1624">
            <v>3</v>
          </cell>
          <cell r="E1624">
            <v>5458</v>
          </cell>
          <cell r="F1624" t="str">
            <v>BONDED CHEMICALS INCORPORATED</v>
          </cell>
          <cell r="G1624" t="str">
            <v>D</v>
          </cell>
          <cell r="H1624" t="str">
            <v>COLUMBUS</v>
          </cell>
          <cell r="I1624" t="str">
            <v>OH</v>
          </cell>
          <cell r="J1624" t="str">
            <v>USA</v>
          </cell>
          <cell r="K1624" t="str">
            <v>BONDED CHEMICALS INCORPORATED</v>
          </cell>
          <cell r="L1624" t="str">
            <v>OH</v>
          </cell>
          <cell r="M1624" t="str">
            <v>USA</v>
          </cell>
          <cell r="N1624" t="str">
            <v>D</v>
          </cell>
          <cell r="O1624">
            <v>24090210</v>
          </cell>
          <cell r="P1624" t="str">
            <v>BORIC ACID GRAN TECH 50LB BAG</v>
          </cell>
          <cell r="Q1624" t="str">
            <v>Boric Acid</v>
          </cell>
          <cell r="R1624">
            <v>2.4500000000000002</v>
          </cell>
          <cell r="S1624">
            <v>2039.6186</v>
          </cell>
        </row>
        <row r="1625">
          <cell r="A1625" t="str">
            <v>Actual</v>
          </cell>
          <cell r="B1625">
            <v>1</v>
          </cell>
          <cell r="C1625" t="str">
            <v>Domestic</v>
          </cell>
          <cell r="D1625">
            <v>3</v>
          </cell>
          <cell r="E1625">
            <v>5458</v>
          </cell>
          <cell r="F1625" t="str">
            <v>BONDED CHEMICALS INCORPORATED</v>
          </cell>
          <cell r="G1625" t="str">
            <v>D</v>
          </cell>
          <cell r="H1625" t="str">
            <v>COLUMBUS</v>
          </cell>
          <cell r="I1625" t="str">
            <v>OH</v>
          </cell>
          <cell r="J1625" t="str">
            <v>USA</v>
          </cell>
          <cell r="K1625" t="str">
            <v>BONDED CHEMICALS INCORPORATED</v>
          </cell>
          <cell r="L1625" t="str">
            <v>OH</v>
          </cell>
          <cell r="M1625" t="str">
            <v>USA</v>
          </cell>
          <cell r="N1625" t="str">
            <v>D</v>
          </cell>
          <cell r="O1625">
            <v>40150410</v>
          </cell>
          <cell r="P1625" t="str">
            <v>SODIUM SULFATE CRS 50LB BAG</v>
          </cell>
          <cell r="Q1625" t="str">
            <v>Sodium Sulfate</v>
          </cell>
          <cell r="R1625">
            <v>5</v>
          </cell>
          <cell r="S1625">
            <v>717.67259999999999</v>
          </cell>
        </row>
        <row r="1626">
          <cell r="A1626" t="str">
            <v>Actual</v>
          </cell>
          <cell r="B1626">
            <v>1</v>
          </cell>
          <cell r="C1626" t="str">
            <v>Domestic</v>
          </cell>
          <cell r="D1626">
            <v>3</v>
          </cell>
          <cell r="E1626">
            <v>5695</v>
          </cell>
          <cell r="F1626" t="str">
            <v>SAINT-GOBAIN CONTAINERS</v>
          </cell>
          <cell r="G1626" t="str">
            <v>D</v>
          </cell>
          <cell r="H1626" t="str">
            <v>LINCOLN</v>
          </cell>
          <cell r="I1626" t="str">
            <v>IL</v>
          </cell>
          <cell r="J1626" t="str">
            <v>USA</v>
          </cell>
          <cell r="K1626" t="str">
            <v>SAINT-GOBAIN CONTAINERS</v>
          </cell>
          <cell r="L1626" t="str">
            <v>IL</v>
          </cell>
          <cell r="M1626" t="str">
            <v>USA</v>
          </cell>
          <cell r="N1626" t="str">
            <v>C</v>
          </cell>
          <cell r="O1626">
            <v>40160400</v>
          </cell>
          <cell r="P1626" t="str">
            <v>SODIUM SULFATE PREMIUM BULK</v>
          </cell>
          <cell r="Q1626" t="str">
            <v>Sodium Sulfate</v>
          </cell>
          <cell r="R1626">
            <v>23.92</v>
          </cell>
          <cell r="S1626">
            <v>909.2</v>
          </cell>
        </row>
        <row r="1627">
          <cell r="A1627" t="str">
            <v>Actual</v>
          </cell>
          <cell r="B1627">
            <v>1</v>
          </cell>
          <cell r="C1627" t="str">
            <v>Domestic</v>
          </cell>
          <cell r="D1627">
            <v>3</v>
          </cell>
          <cell r="E1627">
            <v>6041</v>
          </cell>
          <cell r="F1627" t="str">
            <v>AMERICAN PORCELAIN &amp; ENAMEL</v>
          </cell>
          <cell r="G1627" t="str">
            <v>D</v>
          </cell>
          <cell r="H1627" t="str">
            <v>MUSKEGON</v>
          </cell>
          <cell r="I1627" t="str">
            <v>MI</v>
          </cell>
          <cell r="J1627" t="str">
            <v>USA</v>
          </cell>
          <cell r="K1627" t="str">
            <v>AMERICAN PORCELAIN &amp; ENAMEL</v>
          </cell>
          <cell r="L1627" t="str">
            <v>MI</v>
          </cell>
          <cell r="M1627" t="str">
            <v>USA</v>
          </cell>
          <cell r="N1627" t="str">
            <v>C</v>
          </cell>
          <cell r="O1627">
            <v>20060200</v>
          </cell>
          <cell r="P1627" t="str">
            <v>PYROBOR ANHY BORAX BULK (002)</v>
          </cell>
          <cell r="Q1627" t="str">
            <v>Pyrobor</v>
          </cell>
          <cell r="R1627">
            <v>24.3</v>
          </cell>
          <cell r="S1627">
            <v>13915.14</v>
          </cell>
        </row>
        <row r="1628">
          <cell r="A1628" t="str">
            <v>Actual</v>
          </cell>
          <cell r="B1628">
            <v>1</v>
          </cell>
          <cell r="C1628" t="str">
            <v>Domestic</v>
          </cell>
          <cell r="D1628">
            <v>3</v>
          </cell>
          <cell r="E1628">
            <v>6074</v>
          </cell>
          <cell r="F1628" t="str">
            <v>GENERAL ELECTRIC COMPANY</v>
          </cell>
          <cell r="G1628" t="str">
            <v>D</v>
          </cell>
          <cell r="H1628" t="str">
            <v>SOMERSET</v>
          </cell>
          <cell r="I1628" t="str">
            <v>KY</v>
          </cell>
          <cell r="J1628" t="str">
            <v>USA</v>
          </cell>
          <cell r="K1628" t="str">
            <v>GENERAL ELECTRIC COMPANY</v>
          </cell>
          <cell r="L1628" t="str">
            <v>KY</v>
          </cell>
          <cell r="M1628" t="str">
            <v>USA</v>
          </cell>
          <cell r="N1628" t="str">
            <v>C</v>
          </cell>
          <cell r="O1628">
            <v>24150200</v>
          </cell>
          <cell r="P1628" t="str">
            <v>BORIC ACID CRS BULK</v>
          </cell>
          <cell r="Q1628" t="str">
            <v>Boric Acid</v>
          </cell>
          <cell r="R1628">
            <v>65.5565</v>
          </cell>
          <cell r="S1628">
            <v>29097.25</v>
          </cell>
        </row>
        <row r="1629">
          <cell r="A1629" t="str">
            <v>Actual</v>
          </cell>
          <cell r="B1629">
            <v>1</v>
          </cell>
          <cell r="C1629" t="str">
            <v>Domestic</v>
          </cell>
          <cell r="D1629">
            <v>3</v>
          </cell>
          <cell r="E1629">
            <v>6096</v>
          </cell>
          <cell r="F1629" t="str">
            <v>NU WOOL</v>
          </cell>
          <cell r="G1629" t="str">
            <v>D</v>
          </cell>
          <cell r="H1629" t="str">
            <v>JENISON</v>
          </cell>
          <cell r="I1629" t="str">
            <v>MI</v>
          </cell>
          <cell r="J1629" t="str">
            <v>USA</v>
          </cell>
          <cell r="K1629" t="str">
            <v>NU WOOL</v>
          </cell>
          <cell r="L1629" t="str">
            <v>MI</v>
          </cell>
          <cell r="M1629" t="str">
            <v>USA</v>
          </cell>
          <cell r="N1629" t="str">
            <v>C</v>
          </cell>
          <cell r="O1629">
            <v>24230250</v>
          </cell>
          <cell r="P1629" t="str">
            <v>BORIC ACID GRAN TECH 1TN FIBC</v>
          </cell>
          <cell r="Q1629" t="str">
            <v>Boric Acid</v>
          </cell>
          <cell r="R1629">
            <v>110</v>
          </cell>
          <cell r="S1629">
            <v>43607.9</v>
          </cell>
        </row>
        <row r="1630">
          <cell r="A1630" t="str">
            <v>Actual</v>
          </cell>
          <cell r="B1630">
            <v>1</v>
          </cell>
          <cell r="C1630" t="str">
            <v>Domestic</v>
          </cell>
          <cell r="D1630">
            <v>3</v>
          </cell>
          <cell r="E1630">
            <v>6109</v>
          </cell>
          <cell r="F1630" t="str">
            <v>PROCTER &amp; GAMBLE MFG.</v>
          </cell>
          <cell r="G1630" t="str">
            <v>D</v>
          </cell>
          <cell r="H1630" t="str">
            <v>ST LOUIS</v>
          </cell>
          <cell r="I1630" t="str">
            <v>MO</v>
          </cell>
          <cell r="J1630" t="str">
            <v>USA</v>
          </cell>
          <cell r="K1630" t="str">
            <v>PROCTER &amp; GAMBLE MFG.</v>
          </cell>
          <cell r="L1630" t="str">
            <v>MO</v>
          </cell>
          <cell r="M1630" t="str">
            <v>USA</v>
          </cell>
          <cell r="N1630" t="str">
            <v>C</v>
          </cell>
          <cell r="O1630">
            <v>40060400</v>
          </cell>
          <cell r="P1630" t="str">
            <v>SODIUM SULFATE STANDARD BULK</v>
          </cell>
          <cell r="Q1630" t="str">
            <v>Sodium Sulfate</v>
          </cell>
          <cell r="R1630">
            <v>3679.5250000000001</v>
          </cell>
          <cell r="S1630">
            <v>119307.69</v>
          </cell>
        </row>
        <row r="1631">
          <cell r="A1631" t="str">
            <v>Actual</v>
          </cell>
          <cell r="B1631">
            <v>1</v>
          </cell>
          <cell r="C1631" t="str">
            <v>Domestic</v>
          </cell>
          <cell r="D1631">
            <v>3</v>
          </cell>
          <cell r="E1631">
            <v>6110</v>
          </cell>
          <cell r="F1631" t="str">
            <v>STAR PACIFIC</v>
          </cell>
          <cell r="G1631" t="str">
            <v>D</v>
          </cell>
          <cell r="H1631" t="str">
            <v>UNION CITY</v>
          </cell>
          <cell r="I1631" t="str">
            <v>CA</v>
          </cell>
          <cell r="J1631" t="str">
            <v>USA</v>
          </cell>
          <cell r="K1631" t="str">
            <v>STAR PACIFIC</v>
          </cell>
          <cell r="L1631" t="str">
            <v>CA</v>
          </cell>
          <cell r="M1631" t="str">
            <v>USA</v>
          </cell>
          <cell r="N1631" t="str">
            <v>C</v>
          </cell>
          <cell r="O1631">
            <v>40070400</v>
          </cell>
          <cell r="P1631" t="str">
            <v>SODIUM SULFATE MEDIUM BULK</v>
          </cell>
          <cell r="Q1631" t="str">
            <v>Sodium Sulfate</v>
          </cell>
          <cell r="R1631">
            <v>271.39</v>
          </cell>
          <cell r="S1631">
            <v>17006.63</v>
          </cell>
        </row>
        <row r="1632">
          <cell r="A1632" t="str">
            <v>Actual</v>
          </cell>
          <cell r="B1632">
            <v>1</v>
          </cell>
          <cell r="C1632" t="str">
            <v>Domestic</v>
          </cell>
          <cell r="D1632">
            <v>3</v>
          </cell>
          <cell r="E1632">
            <v>6111</v>
          </cell>
          <cell r="F1632" t="str">
            <v>REGAL INDUSTRIES, INC</v>
          </cell>
          <cell r="G1632" t="str">
            <v>D</v>
          </cell>
          <cell r="H1632" t="str">
            <v>CROTHERSVILLE</v>
          </cell>
          <cell r="I1632" t="str">
            <v>IN</v>
          </cell>
          <cell r="J1632" t="str">
            <v>USA</v>
          </cell>
          <cell r="K1632" t="str">
            <v>REGAL INDUSTRIES, INC</v>
          </cell>
          <cell r="L1632" t="str">
            <v>IN</v>
          </cell>
          <cell r="M1632" t="str">
            <v>USA</v>
          </cell>
          <cell r="N1632" t="str">
            <v>C</v>
          </cell>
          <cell r="O1632">
            <v>24230250</v>
          </cell>
          <cell r="P1632" t="str">
            <v>BORIC ACID GRAN TECH 1TN FIBC</v>
          </cell>
          <cell r="Q1632" t="str">
            <v>Boric Acid</v>
          </cell>
          <cell r="R1632">
            <v>0</v>
          </cell>
          <cell r="S1632">
            <v>-72.28</v>
          </cell>
        </row>
        <row r="1633">
          <cell r="A1633" t="str">
            <v>Actual</v>
          </cell>
          <cell r="B1633">
            <v>1</v>
          </cell>
          <cell r="C1633" t="str">
            <v>Domestic</v>
          </cell>
          <cell r="D1633">
            <v>3</v>
          </cell>
          <cell r="E1633">
            <v>6516</v>
          </cell>
          <cell r="F1633" t="str">
            <v>FERRO CORPORATION</v>
          </cell>
          <cell r="G1633" t="str">
            <v>D</v>
          </cell>
          <cell r="H1633" t="str">
            <v>CLEVELAND</v>
          </cell>
          <cell r="I1633" t="str">
            <v>OH</v>
          </cell>
          <cell r="J1633" t="str">
            <v>USA</v>
          </cell>
          <cell r="K1633" t="str">
            <v>FERRO CORPORATION</v>
          </cell>
          <cell r="L1633" t="str">
            <v>OH</v>
          </cell>
          <cell r="M1633" t="str">
            <v>USA</v>
          </cell>
          <cell r="N1633" t="str">
            <v>C</v>
          </cell>
          <cell r="O1633">
            <v>30210100</v>
          </cell>
          <cell r="P1633" t="str">
            <v>SODA ASH DENSE BULK</v>
          </cell>
          <cell r="Q1633" t="str">
            <v>Soda Ash</v>
          </cell>
          <cell r="R1633">
            <v>220.875</v>
          </cell>
          <cell r="S1633">
            <v>19178.57</v>
          </cell>
        </row>
        <row r="1634">
          <cell r="A1634" t="str">
            <v>Actual</v>
          </cell>
          <cell r="B1634">
            <v>1</v>
          </cell>
          <cell r="C1634" t="str">
            <v>Domestic</v>
          </cell>
          <cell r="D1634">
            <v>3</v>
          </cell>
          <cell r="E1634">
            <v>6560</v>
          </cell>
          <cell r="F1634" t="str">
            <v>GUARDIAN INDUSTRIES</v>
          </cell>
          <cell r="G1634" t="str">
            <v>D</v>
          </cell>
          <cell r="H1634" t="str">
            <v>FULLERTON</v>
          </cell>
          <cell r="I1634" t="str">
            <v>CA</v>
          </cell>
          <cell r="J1634" t="str">
            <v>USA</v>
          </cell>
          <cell r="K1634" t="str">
            <v>GUARDIAN INDUSTRIES</v>
          </cell>
          <cell r="L1634" t="str">
            <v>CA</v>
          </cell>
          <cell r="M1634" t="str">
            <v>USA</v>
          </cell>
          <cell r="N1634" t="str">
            <v>C</v>
          </cell>
          <cell r="O1634">
            <v>30210100</v>
          </cell>
          <cell r="P1634" t="str">
            <v>SODA ASH DENSE BULK</v>
          </cell>
          <cell r="Q1634" t="str">
            <v>Soda Ash</v>
          </cell>
          <cell r="R1634">
            <v>463.38</v>
          </cell>
          <cell r="S1634">
            <v>35582.959999999999</v>
          </cell>
        </row>
        <row r="1635">
          <cell r="A1635" t="str">
            <v>Actual</v>
          </cell>
          <cell r="B1635">
            <v>1</v>
          </cell>
          <cell r="C1635" t="str">
            <v>Domestic</v>
          </cell>
          <cell r="D1635">
            <v>3</v>
          </cell>
          <cell r="E1635">
            <v>6560</v>
          </cell>
          <cell r="F1635" t="str">
            <v>GUARDIAN INDUSTRIES</v>
          </cell>
          <cell r="G1635" t="str">
            <v>D</v>
          </cell>
          <cell r="H1635" t="str">
            <v>FULLERTON</v>
          </cell>
          <cell r="I1635" t="str">
            <v>CA</v>
          </cell>
          <cell r="J1635" t="str">
            <v>USA</v>
          </cell>
          <cell r="K1635" t="str">
            <v>GUARDIAN INDUSTRIES</v>
          </cell>
          <cell r="L1635" t="str">
            <v>CA</v>
          </cell>
          <cell r="M1635" t="str">
            <v>USA</v>
          </cell>
          <cell r="N1635" t="str">
            <v>C</v>
          </cell>
          <cell r="O1635">
            <v>40160400</v>
          </cell>
          <cell r="P1635" t="str">
            <v>SODIUM SULFATE PREMIUM BULK</v>
          </cell>
          <cell r="Q1635" t="str">
            <v>Sodium Sulfate</v>
          </cell>
          <cell r="R1635">
            <v>26.69</v>
          </cell>
          <cell r="S1635">
            <v>2999.16</v>
          </cell>
        </row>
        <row r="1636">
          <cell r="A1636" t="str">
            <v>Actual</v>
          </cell>
          <cell r="B1636">
            <v>1</v>
          </cell>
          <cell r="C1636" t="str">
            <v>Domestic</v>
          </cell>
          <cell r="D1636">
            <v>3</v>
          </cell>
          <cell r="E1636">
            <v>6676</v>
          </cell>
          <cell r="F1636" t="str">
            <v>3 M COMPANY</v>
          </cell>
          <cell r="G1636" t="str">
            <v>D</v>
          </cell>
          <cell r="H1636" t="str">
            <v>COTTAGE GROVE</v>
          </cell>
          <cell r="I1636" t="str">
            <v>MN</v>
          </cell>
          <cell r="J1636" t="str">
            <v>USA</v>
          </cell>
          <cell r="K1636" t="str">
            <v>3 M COMPANY</v>
          </cell>
          <cell r="L1636" t="str">
            <v>MN</v>
          </cell>
          <cell r="M1636" t="str">
            <v>USA</v>
          </cell>
          <cell r="N1636" t="str">
            <v>C</v>
          </cell>
          <cell r="O1636">
            <v>20310210</v>
          </cell>
          <cell r="P1636" t="str">
            <v>PYROBOR 30/100 50LB BAG (002)</v>
          </cell>
          <cell r="Q1636" t="str">
            <v>Pyrobor</v>
          </cell>
          <cell r="R1636">
            <v>153.125</v>
          </cell>
          <cell r="S1636">
            <v>83300</v>
          </cell>
        </row>
        <row r="1637">
          <cell r="A1637" t="str">
            <v>Actual</v>
          </cell>
          <cell r="B1637">
            <v>1</v>
          </cell>
          <cell r="C1637" t="str">
            <v>Domestic</v>
          </cell>
          <cell r="D1637">
            <v>3</v>
          </cell>
          <cell r="E1637">
            <v>7245</v>
          </cell>
          <cell r="F1637" t="str">
            <v>UNIVAR USA</v>
          </cell>
          <cell r="G1637" t="str">
            <v>D</v>
          </cell>
          <cell r="H1637" t="str">
            <v>TWINSBURG</v>
          </cell>
          <cell r="I1637" t="str">
            <v>OH</v>
          </cell>
          <cell r="J1637" t="str">
            <v>USA</v>
          </cell>
          <cell r="K1637" t="str">
            <v>UNIVAR USA</v>
          </cell>
          <cell r="L1637" t="str">
            <v>IL</v>
          </cell>
          <cell r="M1637" t="str">
            <v>USA</v>
          </cell>
          <cell r="N1637" t="str">
            <v>D</v>
          </cell>
          <cell r="O1637">
            <v>24030210</v>
          </cell>
          <cell r="P1637" t="str">
            <v>BORIC ACID PWD TECH 50LB BAG</v>
          </cell>
          <cell r="Q1637" t="str">
            <v>Boric Acid</v>
          </cell>
          <cell r="R1637">
            <v>1.2</v>
          </cell>
          <cell r="S1637">
            <v>924.40319999999997</v>
          </cell>
        </row>
        <row r="1638">
          <cell r="A1638" t="str">
            <v>Actual</v>
          </cell>
          <cell r="B1638">
            <v>1</v>
          </cell>
          <cell r="C1638" t="str">
            <v>Domestic</v>
          </cell>
          <cell r="D1638">
            <v>3</v>
          </cell>
          <cell r="E1638">
            <v>7245</v>
          </cell>
          <cell r="F1638" t="str">
            <v>UNIVAR USA</v>
          </cell>
          <cell r="G1638" t="str">
            <v>D</v>
          </cell>
          <cell r="H1638" t="str">
            <v>TWINSBURG</v>
          </cell>
          <cell r="I1638" t="str">
            <v>OH</v>
          </cell>
          <cell r="J1638" t="str">
            <v>USA</v>
          </cell>
          <cell r="K1638" t="str">
            <v>UNIVAR USA</v>
          </cell>
          <cell r="L1638" t="str">
            <v>IL</v>
          </cell>
          <cell r="M1638" t="str">
            <v>USA</v>
          </cell>
          <cell r="N1638" t="str">
            <v>D</v>
          </cell>
          <cell r="O1638">
            <v>24090210</v>
          </cell>
          <cell r="P1638" t="str">
            <v>BORIC ACID GRAN TECH 50LB BAG</v>
          </cell>
          <cell r="Q1638" t="str">
            <v>Boric Acid</v>
          </cell>
          <cell r="R1638">
            <v>56.35</v>
          </cell>
          <cell r="S1638">
            <v>33415.003299999997</v>
          </cell>
        </row>
        <row r="1639">
          <cell r="A1639" t="str">
            <v>Actual</v>
          </cell>
          <cell r="B1639">
            <v>1</v>
          </cell>
          <cell r="C1639" t="str">
            <v>Domestic</v>
          </cell>
          <cell r="D1639">
            <v>3</v>
          </cell>
          <cell r="E1639">
            <v>7245</v>
          </cell>
          <cell r="F1639" t="str">
            <v>UNIVAR USA</v>
          </cell>
          <cell r="G1639" t="str">
            <v>D</v>
          </cell>
          <cell r="H1639" t="str">
            <v>TWINSBURG</v>
          </cell>
          <cell r="I1639" t="str">
            <v>OH</v>
          </cell>
          <cell r="J1639" t="str">
            <v>USA</v>
          </cell>
          <cell r="K1639" t="str">
            <v>UNIVAR USA</v>
          </cell>
          <cell r="L1639" t="str">
            <v>IL</v>
          </cell>
          <cell r="M1639" t="str">
            <v>USA</v>
          </cell>
          <cell r="N1639" t="str">
            <v>D</v>
          </cell>
          <cell r="O1639">
            <v>40060410</v>
          </cell>
          <cell r="P1639" t="str">
            <v>SODIUM SULFATE STD 50LB BAG</v>
          </cell>
          <cell r="Q1639" t="str">
            <v>Sodium Sulfate</v>
          </cell>
          <cell r="R1639">
            <v>5</v>
          </cell>
          <cell r="S1639">
            <v>413.77350000000001</v>
          </cell>
        </row>
        <row r="1640">
          <cell r="A1640" t="str">
            <v>Actual</v>
          </cell>
          <cell r="B1640">
            <v>1</v>
          </cell>
          <cell r="C1640" t="str">
            <v>Domestic</v>
          </cell>
          <cell r="D1640">
            <v>3</v>
          </cell>
          <cell r="E1640">
            <v>7273</v>
          </cell>
          <cell r="F1640" t="str">
            <v>YOUNG CHEMICAL COMPANY</v>
          </cell>
          <cell r="G1640" t="str">
            <v>D</v>
          </cell>
          <cell r="H1640" t="str">
            <v>BROOK PARK</v>
          </cell>
          <cell r="I1640" t="str">
            <v>OH</v>
          </cell>
          <cell r="J1640" t="str">
            <v>USA</v>
          </cell>
          <cell r="K1640" t="str">
            <v>YOUNG CHEMICAL COMPANY</v>
          </cell>
          <cell r="L1640" t="str">
            <v>OH</v>
          </cell>
          <cell r="M1640" t="str">
            <v>USA</v>
          </cell>
          <cell r="N1640" t="str">
            <v>D</v>
          </cell>
          <cell r="O1640">
            <v>20060210</v>
          </cell>
          <cell r="P1640" t="str">
            <v>PYROBOR 50LB BAG (002)</v>
          </cell>
          <cell r="Q1640" t="str">
            <v>Pyrobor</v>
          </cell>
          <cell r="R1640">
            <v>0</v>
          </cell>
          <cell r="S1640">
            <v>-30.9681</v>
          </cell>
        </row>
        <row r="1641">
          <cell r="A1641" t="str">
            <v>Actual</v>
          </cell>
          <cell r="B1641">
            <v>1</v>
          </cell>
          <cell r="C1641" t="str">
            <v>Domestic</v>
          </cell>
          <cell r="D1641">
            <v>3</v>
          </cell>
          <cell r="E1641">
            <v>7273</v>
          </cell>
          <cell r="F1641" t="str">
            <v>YOUNG CHEMICAL COMPANY</v>
          </cell>
          <cell r="G1641" t="str">
            <v>D</v>
          </cell>
          <cell r="H1641" t="str">
            <v>BROOK PARK</v>
          </cell>
          <cell r="I1641" t="str">
            <v>OH</v>
          </cell>
          <cell r="J1641" t="str">
            <v>USA</v>
          </cell>
          <cell r="K1641" t="str">
            <v>YOUNG CHEMICAL COMPANY</v>
          </cell>
          <cell r="L1641" t="str">
            <v>OH</v>
          </cell>
          <cell r="M1641" t="str">
            <v>USA</v>
          </cell>
          <cell r="N1641" t="str">
            <v>D</v>
          </cell>
          <cell r="O1641">
            <v>22060410</v>
          </cell>
          <cell r="P1641" t="str">
            <v>V-BOR 50LB BAG (004)</v>
          </cell>
          <cell r="Q1641" t="str">
            <v>Penta</v>
          </cell>
          <cell r="R1641">
            <v>9.8000000000000007</v>
          </cell>
          <cell r="S1641">
            <v>3951.9405000000002</v>
          </cell>
        </row>
        <row r="1642">
          <cell r="A1642" t="str">
            <v>Actual</v>
          </cell>
          <cell r="B1642">
            <v>1</v>
          </cell>
          <cell r="C1642" t="str">
            <v>Domestic</v>
          </cell>
          <cell r="D1642">
            <v>3</v>
          </cell>
          <cell r="E1642">
            <v>7273</v>
          </cell>
          <cell r="F1642" t="str">
            <v>YOUNG CHEMICAL COMPANY</v>
          </cell>
          <cell r="G1642" t="str">
            <v>D</v>
          </cell>
          <cell r="H1642" t="str">
            <v>BROOK PARK</v>
          </cell>
          <cell r="I1642" t="str">
            <v>OH</v>
          </cell>
          <cell r="J1642" t="str">
            <v>USA</v>
          </cell>
          <cell r="K1642" t="str">
            <v>YOUNG CHEMICAL COMPANY</v>
          </cell>
          <cell r="L1642" t="str">
            <v>OH</v>
          </cell>
          <cell r="M1642" t="str">
            <v>USA</v>
          </cell>
          <cell r="N1642" t="str">
            <v>D</v>
          </cell>
          <cell r="O1642">
            <v>23060210</v>
          </cell>
          <cell r="P1642" t="str">
            <v>DECA BORAX STD 50LB BAG</v>
          </cell>
          <cell r="Q1642" t="str">
            <v>Deca</v>
          </cell>
          <cell r="R1642">
            <v>2.4500000000000002</v>
          </cell>
          <cell r="S1642">
            <v>902.15060000000005</v>
          </cell>
        </row>
        <row r="1643">
          <cell r="A1643" t="str">
            <v>Actual</v>
          </cell>
          <cell r="B1643">
            <v>1</v>
          </cell>
          <cell r="C1643" t="str">
            <v>Domestic</v>
          </cell>
          <cell r="D1643">
            <v>3</v>
          </cell>
          <cell r="E1643">
            <v>7273</v>
          </cell>
          <cell r="F1643" t="str">
            <v>YOUNG CHEMICAL COMPANY</v>
          </cell>
          <cell r="G1643" t="str">
            <v>D</v>
          </cell>
          <cell r="H1643" t="str">
            <v>BROOK PARK</v>
          </cell>
          <cell r="I1643" t="str">
            <v>OH</v>
          </cell>
          <cell r="J1643" t="str">
            <v>USA</v>
          </cell>
          <cell r="K1643" t="str">
            <v>YOUNG CHEMICAL COMPANY</v>
          </cell>
          <cell r="L1643" t="str">
            <v>OH</v>
          </cell>
          <cell r="M1643" t="str">
            <v>USA</v>
          </cell>
          <cell r="N1643" t="str">
            <v>D</v>
          </cell>
          <cell r="O1643">
            <v>24090210</v>
          </cell>
          <cell r="P1643" t="str">
            <v>BORIC ACID GRAN TECH 50LB BAG</v>
          </cell>
          <cell r="Q1643" t="str">
            <v>Boric Acid</v>
          </cell>
          <cell r="R1643">
            <v>9.8000000000000007</v>
          </cell>
          <cell r="S1643">
            <v>6607.4023999999999</v>
          </cell>
        </row>
        <row r="1644">
          <cell r="A1644" t="str">
            <v>Actual</v>
          </cell>
          <cell r="B1644">
            <v>1</v>
          </cell>
          <cell r="C1644" t="str">
            <v>Domestic</v>
          </cell>
          <cell r="D1644">
            <v>3</v>
          </cell>
          <cell r="E1644">
            <v>7273</v>
          </cell>
          <cell r="F1644" t="str">
            <v>YOUNG CHEMICAL COMPANY</v>
          </cell>
          <cell r="G1644" t="str">
            <v>D</v>
          </cell>
          <cell r="H1644" t="str">
            <v>BROOK PARK</v>
          </cell>
          <cell r="I1644" t="str">
            <v>OH</v>
          </cell>
          <cell r="J1644" t="str">
            <v>USA</v>
          </cell>
          <cell r="K1644" t="str">
            <v>YOUNG CHEMICAL COMPANY</v>
          </cell>
          <cell r="L1644" t="str">
            <v>OH</v>
          </cell>
          <cell r="M1644" t="str">
            <v>USA</v>
          </cell>
          <cell r="N1644" t="str">
            <v>D</v>
          </cell>
          <cell r="O1644">
            <v>26069718</v>
          </cell>
          <cell r="P1644" t="str">
            <v>SODIUM OCTABORATE 20KG BAG</v>
          </cell>
          <cell r="Q1644" t="str">
            <v>Foliarel (SCL)</v>
          </cell>
          <cell r="R1644">
            <v>1.9841</v>
          </cell>
          <cell r="S1644">
            <v>2927.67</v>
          </cell>
        </row>
        <row r="1645">
          <cell r="A1645" t="str">
            <v>Actual</v>
          </cell>
          <cell r="B1645">
            <v>1</v>
          </cell>
          <cell r="C1645" t="str">
            <v>Domestic</v>
          </cell>
          <cell r="D1645">
            <v>3</v>
          </cell>
          <cell r="E1645">
            <v>7273</v>
          </cell>
          <cell r="F1645" t="str">
            <v>YOUNG CHEMICAL COMPANY</v>
          </cell>
          <cell r="G1645" t="str">
            <v>D</v>
          </cell>
          <cell r="H1645" t="str">
            <v>BROOK PARK</v>
          </cell>
          <cell r="I1645" t="str">
            <v>OH</v>
          </cell>
          <cell r="J1645" t="str">
            <v>USA</v>
          </cell>
          <cell r="K1645" t="str">
            <v>YOUNG CHEMICAL COMPANY</v>
          </cell>
          <cell r="L1645" t="str">
            <v>OH</v>
          </cell>
          <cell r="M1645" t="str">
            <v>USA</v>
          </cell>
          <cell r="N1645" t="str">
            <v>D</v>
          </cell>
          <cell r="O1645">
            <v>28069792</v>
          </cell>
          <cell r="P1645" t="str">
            <v>AMMONIUM PENTABORATE 150KG DRM</v>
          </cell>
          <cell r="Q1645" t="str">
            <v>Boric Salt (SCL)</v>
          </cell>
          <cell r="R1645">
            <v>0.496</v>
          </cell>
          <cell r="S1645">
            <v>1674.32</v>
          </cell>
        </row>
        <row r="1646">
          <cell r="A1646" t="str">
            <v>Actual</v>
          </cell>
          <cell r="B1646">
            <v>1</v>
          </cell>
          <cell r="C1646" t="str">
            <v>Domestic</v>
          </cell>
          <cell r="D1646">
            <v>3</v>
          </cell>
          <cell r="E1646">
            <v>7365</v>
          </cell>
          <cell r="F1646" t="str">
            <v>UNIVAR USA</v>
          </cell>
          <cell r="G1646" t="str">
            <v>D</v>
          </cell>
          <cell r="H1646" t="str">
            <v>ST PAUL</v>
          </cell>
          <cell r="I1646" t="str">
            <v>MN</v>
          </cell>
          <cell r="J1646" t="str">
            <v>USA</v>
          </cell>
          <cell r="K1646" t="str">
            <v>UNIVAR USA</v>
          </cell>
          <cell r="L1646" t="str">
            <v>MN</v>
          </cell>
          <cell r="M1646" t="str">
            <v>USA</v>
          </cell>
          <cell r="N1646" t="str">
            <v>D</v>
          </cell>
          <cell r="O1646">
            <v>40070414</v>
          </cell>
          <cell r="P1646" t="str">
            <v>SODIUM SULFAT MED 50LB SPECIAL</v>
          </cell>
          <cell r="Q1646" t="str">
            <v>Sodium Sulfate</v>
          </cell>
          <cell r="R1646">
            <v>22.5</v>
          </cell>
          <cell r="S1646">
            <v>3641.12</v>
          </cell>
        </row>
        <row r="1647">
          <cell r="A1647" t="str">
            <v>Actual</v>
          </cell>
          <cell r="B1647">
            <v>1</v>
          </cell>
          <cell r="C1647" t="str">
            <v>Domestic</v>
          </cell>
          <cell r="D1647">
            <v>3</v>
          </cell>
          <cell r="E1647">
            <v>7377</v>
          </cell>
          <cell r="F1647" t="str">
            <v>CHEMCENTRAL CHICAGO</v>
          </cell>
          <cell r="G1647" t="str">
            <v>D</v>
          </cell>
          <cell r="H1647" t="str">
            <v>BEDFORD PARK</v>
          </cell>
          <cell r="I1647" t="str">
            <v>IL</v>
          </cell>
          <cell r="J1647" t="str">
            <v>USA</v>
          </cell>
          <cell r="K1647" t="str">
            <v>CHEMCENTRAL CHICAGO</v>
          </cell>
          <cell r="L1647" t="str">
            <v>IL</v>
          </cell>
          <cell r="M1647" t="str">
            <v>USA</v>
          </cell>
          <cell r="N1647" t="str">
            <v>D</v>
          </cell>
          <cell r="O1647">
            <v>23060210</v>
          </cell>
          <cell r="P1647" t="str">
            <v>DECA BORAX STD 50LB BAG</v>
          </cell>
          <cell r="Q1647" t="str">
            <v>Deca</v>
          </cell>
          <cell r="R1647">
            <v>13.475</v>
          </cell>
          <cell r="S1647">
            <v>4832.7839999999997</v>
          </cell>
        </row>
        <row r="1648">
          <cell r="A1648" t="str">
            <v>Actual</v>
          </cell>
          <cell r="B1648">
            <v>1</v>
          </cell>
          <cell r="C1648" t="str">
            <v>Domestic</v>
          </cell>
          <cell r="D1648">
            <v>3</v>
          </cell>
          <cell r="E1648">
            <v>7377</v>
          </cell>
          <cell r="F1648" t="str">
            <v>CHEMCENTRAL CHICAGO</v>
          </cell>
          <cell r="G1648" t="str">
            <v>D</v>
          </cell>
          <cell r="H1648" t="str">
            <v>BEDFORD PARK</v>
          </cell>
          <cell r="I1648" t="str">
            <v>IL</v>
          </cell>
          <cell r="J1648" t="str">
            <v>USA</v>
          </cell>
          <cell r="K1648" t="str">
            <v>CHEMCENTRAL CHICAGO</v>
          </cell>
          <cell r="L1648" t="str">
            <v>IL</v>
          </cell>
          <cell r="M1648" t="str">
            <v>USA</v>
          </cell>
          <cell r="N1648" t="str">
            <v>D</v>
          </cell>
          <cell r="O1648">
            <v>24090210</v>
          </cell>
          <cell r="P1648" t="str">
            <v>BORIC ACID GRAN TECH 50LB BAG</v>
          </cell>
          <cell r="Q1648" t="str">
            <v>Boric Acid</v>
          </cell>
          <cell r="R1648">
            <v>8.5749999999999993</v>
          </cell>
          <cell r="S1648">
            <v>7054.1760000000004</v>
          </cell>
        </row>
        <row r="1649">
          <cell r="A1649" t="str">
            <v>Actual</v>
          </cell>
          <cell r="B1649">
            <v>1</v>
          </cell>
          <cell r="C1649" t="str">
            <v>Domestic</v>
          </cell>
          <cell r="D1649">
            <v>3</v>
          </cell>
          <cell r="E1649">
            <v>7379</v>
          </cell>
          <cell r="F1649" t="str">
            <v>CARDINAL FG</v>
          </cell>
          <cell r="G1649" t="str">
            <v>D</v>
          </cell>
          <cell r="H1649" t="str">
            <v>MENOMONIE</v>
          </cell>
          <cell r="I1649" t="str">
            <v>WI</v>
          </cell>
          <cell r="J1649" t="str">
            <v>USA</v>
          </cell>
          <cell r="K1649" t="str">
            <v>CARDINAL FG</v>
          </cell>
          <cell r="L1649" t="str">
            <v>WI</v>
          </cell>
          <cell r="M1649" t="str">
            <v>USA</v>
          </cell>
          <cell r="N1649" t="str">
            <v>C</v>
          </cell>
          <cell r="O1649">
            <v>40160400</v>
          </cell>
          <cell r="P1649" t="str">
            <v>SODIUM SULFATE PREMIUM BULK</v>
          </cell>
          <cell r="Q1649" t="str">
            <v>Sodium Sulfate</v>
          </cell>
          <cell r="R1649">
            <v>49.46</v>
          </cell>
          <cell r="S1649">
            <v>2440.13</v>
          </cell>
        </row>
        <row r="1650">
          <cell r="A1650" t="str">
            <v>Actual</v>
          </cell>
          <cell r="B1650">
            <v>1</v>
          </cell>
          <cell r="C1650" t="str">
            <v>Domestic</v>
          </cell>
          <cell r="D1650">
            <v>3</v>
          </cell>
          <cell r="E1650">
            <v>7464</v>
          </cell>
          <cell r="F1650" t="str">
            <v>DOVER CHEMICAL CORPORATION</v>
          </cell>
          <cell r="G1650" t="str">
            <v>D</v>
          </cell>
          <cell r="H1650" t="str">
            <v>HAMMOND</v>
          </cell>
          <cell r="I1650" t="str">
            <v>IN</v>
          </cell>
          <cell r="J1650" t="str">
            <v>USA</v>
          </cell>
          <cell r="K1650" t="str">
            <v>DOVER CHEMICAL CORPORATION</v>
          </cell>
          <cell r="L1650" t="str">
            <v>IN</v>
          </cell>
          <cell r="M1650" t="str">
            <v>USA</v>
          </cell>
          <cell r="N1650" t="str">
            <v>C</v>
          </cell>
          <cell r="O1650">
            <v>24090210</v>
          </cell>
          <cell r="P1650" t="str">
            <v>BORIC ACID GRAN TECH 50LB BAG</v>
          </cell>
          <cell r="Q1650" t="str">
            <v>Boric Acid</v>
          </cell>
          <cell r="R1650">
            <v>0</v>
          </cell>
          <cell r="S1650">
            <v>-177.21</v>
          </cell>
        </row>
        <row r="1651">
          <cell r="A1651" t="str">
            <v>Actual</v>
          </cell>
          <cell r="B1651">
            <v>1</v>
          </cell>
          <cell r="C1651" t="str">
            <v>Domestic</v>
          </cell>
          <cell r="D1651">
            <v>3</v>
          </cell>
          <cell r="E1651">
            <v>7473</v>
          </cell>
          <cell r="F1651" t="str">
            <v>PROCTER &amp; GAMBLE MFG</v>
          </cell>
          <cell r="G1651" t="str">
            <v>D</v>
          </cell>
          <cell r="H1651" t="str">
            <v>ALEXANDRIA</v>
          </cell>
          <cell r="I1651" t="str">
            <v>LA</v>
          </cell>
          <cell r="J1651" t="str">
            <v>USA</v>
          </cell>
          <cell r="K1651" t="str">
            <v>PROCTER &amp; GAMBLE MFG</v>
          </cell>
          <cell r="L1651" t="str">
            <v>LA</v>
          </cell>
          <cell r="M1651" t="str">
            <v>USA</v>
          </cell>
          <cell r="N1651" t="str">
            <v>C</v>
          </cell>
          <cell r="O1651">
            <v>40060400</v>
          </cell>
          <cell r="P1651" t="str">
            <v>SODIUM SULFATE STANDARD BULK</v>
          </cell>
          <cell r="Q1651" t="str">
            <v>Sodium Sulfate</v>
          </cell>
          <cell r="R1651">
            <v>1748.13</v>
          </cell>
          <cell r="S1651">
            <v>58840.57</v>
          </cell>
        </row>
        <row r="1652">
          <cell r="A1652" t="str">
            <v>Actual</v>
          </cell>
          <cell r="B1652">
            <v>1</v>
          </cell>
          <cell r="C1652" t="str">
            <v>Domestic</v>
          </cell>
          <cell r="D1652">
            <v>3</v>
          </cell>
          <cell r="E1652">
            <v>7473</v>
          </cell>
          <cell r="F1652" t="str">
            <v>PROCTER &amp; GAMBLE MFG</v>
          </cell>
          <cell r="G1652" t="str">
            <v>D</v>
          </cell>
          <cell r="H1652" t="str">
            <v>ALEXANDRIA</v>
          </cell>
          <cell r="I1652" t="str">
            <v>LA</v>
          </cell>
          <cell r="J1652" t="str">
            <v>USA</v>
          </cell>
          <cell r="K1652" t="str">
            <v>PROCTER &amp; GAMBLE MFG</v>
          </cell>
          <cell r="L1652" t="str">
            <v>LA</v>
          </cell>
          <cell r="M1652" t="str">
            <v>USA</v>
          </cell>
          <cell r="N1652" t="str">
            <v>C</v>
          </cell>
          <cell r="O1652">
            <v>40150400</v>
          </cell>
          <cell r="P1652" t="str">
            <v>SODIUM SULFATE COARSE BULK</v>
          </cell>
          <cell r="Q1652" t="str">
            <v>Sodium Sulfate</v>
          </cell>
          <cell r="R1652">
            <v>76.599999999999994</v>
          </cell>
          <cell r="S1652">
            <v>2873.46</v>
          </cell>
        </row>
        <row r="1653">
          <cell r="A1653" t="str">
            <v>Actual</v>
          </cell>
          <cell r="B1653">
            <v>1</v>
          </cell>
          <cell r="C1653" t="str">
            <v>Domestic</v>
          </cell>
          <cell r="D1653">
            <v>3</v>
          </cell>
          <cell r="E1653">
            <v>7521</v>
          </cell>
          <cell r="F1653" t="str">
            <v>PILKINGTON NORTH AMERICA</v>
          </cell>
          <cell r="G1653" t="str">
            <v>D</v>
          </cell>
          <cell r="H1653" t="str">
            <v>LATHROP</v>
          </cell>
          <cell r="I1653" t="str">
            <v>CA</v>
          </cell>
          <cell r="J1653" t="str">
            <v>USA</v>
          </cell>
          <cell r="K1653" t="str">
            <v>PILKINGTON NORTH AMERICA</v>
          </cell>
          <cell r="L1653" t="str">
            <v>CA</v>
          </cell>
          <cell r="M1653" t="str">
            <v>USA</v>
          </cell>
          <cell r="N1653" t="str">
            <v>C</v>
          </cell>
          <cell r="O1653">
            <v>30210100</v>
          </cell>
          <cell r="P1653" t="str">
            <v>SODA ASH DENSE BULK</v>
          </cell>
          <cell r="Q1653" t="str">
            <v>Soda Ash</v>
          </cell>
          <cell r="R1653">
            <v>1988</v>
          </cell>
          <cell r="S1653">
            <v>151421.20000000001</v>
          </cell>
        </row>
        <row r="1654">
          <cell r="A1654" t="str">
            <v>Actual</v>
          </cell>
          <cell r="B1654">
            <v>1</v>
          </cell>
          <cell r="C1654" t="str">
            <v>Domestic</v>
          </cell>
          <cell r="D1654">
            <v>3</v>
          </cell>
          <cell r="E1654">
            <v>7521</v>
          </cell>
          <cell r="F1654" t="str">
            <v>PILKINGTON NORTH AMERICA</v>
          </cell>
          <cell r="G1654" t="str">
            <v>D</v>
          </cell>
          <cell r="H1654" t="str">
            <v>LATHROP</v>
          </cell>
          <cell r="I1654" t="str">
            <v>CA</v>
          </cell>
          <cell r="J1654" t="str">
            <v>USA</v>
          </cell>
          <cell r="K1654" t="str">
            <v>PILKINGTON NORTH AMERICA</v>
          </cell>
          <cell r="L1654" t="str">
            <v>CA</v>
          </cell>
          <cell r="M1654" t="str">
            <v>USA</v>
          </cell>
          <cell r="N1654" t="str">
            <v>C</v>
          </cell>
          <cell r="O1654">
            <v>40160400</v>
          </cell>
          <cell r="P1654" t="str">
            <v>SODIUM SULFATE PREMIUM BULK</v>
          </cell>
          <cell r="Q1654" t="str">
            <v>Sodium Sulfate</v>
          </cell>
          <cell r="R1654">
            <v>53.96</v>
          </cell>
          <cell r="S1654">
            <v>5509.85</v>
          </cell>
        </row>
        <row r="1655">
          <cell r="A1655" t="str">
            <v>Actual</v>
          </cell>
          <cell r="B1655">
            <v>1</v>
          </cell>
          <cell r="C1655" t="str">
            <v>Domestic</v>
          </cell>
          <cell r="D1655">
            <v>3</v>
          </cell>
          <cell r="E1655">
            <v>7536</v>
          </cell>
          <cell r="F1655" t="str">
            <v>ASHLAND CHEMICAL, INC.</v>
          </cell>
          <cell r="G1655" t="str">
            <v>D</v>
          </cell>
          <cell r="H1655" t="str">
            <v>WILLOW SPRINGS</v>
          </cell>
          <cell r="I1655" t="str">
            <v>IL</v>
          </cell>
          <cell r="J1655" t="str">
            <v>USA</v>
          </cell>
          <cell r="K1655" t="str">
            <v>ASHLAND CHEMICAL, INC.</v>
          </cell>
          <cell r="L1655" t="str">
            <v>IL</v>
          </cell>
          <cell r="M1655" t="str">
            <v>USA</v>
          </cell>
          <cell r="N1655" t="str">
            <v>D</v>
          </cell>
          <cell r="O1655">
            <v>22060410</v>
          </cell>
          <cell r="P1655" t="str">
            <v>V-BOR 50LB BAG (004)</v>
          </cell>
          <cell r="Q1655" t="str">
            <v>Penta</v>
          </cell>
          <cell r="R1655">
            <v>3.6749999999999998</v>
          </cell>
          <cell r="S1655">
            <v>1480.98</v>
          </cell>
        </row>
        <row r="1656">
          <cell r="A1656" t="str">
            <v>Actual</v>
          </cell>
          <cell r="B1656">
            <v>1</v>
          </cell>
          <cell r="C1656" t="str">
            <v>Domestic</v>
          </cell>
          <cell r="D1656">
            <v>3</v>
          </cell>
          <cell r="E1656">
            <v>7536</v>
          </cell>
          <cell r="F1656" t="str">
            <v>ASHLAND CHEMICAL, INC.</v>
          </cell>
          <cell r="G1656" t="str">
            <v>D</v>
          </cell>
          <cell r="H1656" t="str">
            <v>WILLOW SPRINGS</v>
          </cell>
          <cell r="I1656" t="str">
            <v>IL</v>
          </cell>
          <cell r="J1656" t="str">
            <v>USA</v>
          </cell>
          <cell r="K1656" t="str">
            <v>ASHLAND CHEMICAL, INC.</v>
          </cell>
          <cell r="L1656" t="str">
            <v>IL</v>
          </cell>
          <cell r="M1656" t="str">
            <v>USA</v>
          </cell>
          <cell r="N1656" t="str">
            <v>D</v>
          </cell>
          <cell r="O1656">
            <v>22060430</v>
          </cell>
          <cell r="P1656" t="str">
            <v>V-BOR STD 100LB BAG (004)</v>
          </cell>
          <cell r="Q1656" t="str">
            <v>Penta</v>
          </cell>
          <cell r="R1656">
            <v>0</v>
          </cell>
          <cell r="S1656">
            <v>-29.179500000000001</v>
          </cell>
        </row>
        <row r="1657">
          <cell r="A1657" t="str">
            <v>Actual</v>
          </cell>
          <cell r="B1657">
            <v>1</v>
          </cell>
          <cell r="C1657" t="str">
            <v>Domestic</v>
          </cell>
          <cell r="D1657">
            <v>3</v>
          </cell>
          <cell r="E1657">
            <v>7536</v>
          </cell>
          <cell r="F1657" t="str">
            <v>ASHLAND CHEMICAL, INC.</v>
          </cell>
          <cell r="G1657" t="str">
            <v>D</v>
          </cell>
          <cell r="H1657" t="str">
            <v>WILLOW SPRINGS</v>
          </cell>
          <cell r="I1657" t="str">
            <v>IL</v>
          </cell>
          <cell r="J1657" t="str">
            <v>USA</v>
          </cell>
          <cell r="K1657" t="str">
            <v>ASHLAND CHEMICAL, INC.</v>
          </cell>
          <cell r="L1657" t="str">
            <v>IL</v>
          </cell>
          <cell r="M1657" t="str">
            <v>USA</v>
          </cell>
          <cell r="N1657" t="str">
            <v>D</v>
          </cell>
          <cell r="O1657">
            <v>24090210</v>
          </cell>
          <cell r="P1657" t="str">
            <v>BORIC ACID GRAN TECH 50LB BAG</v>
          </cell>
          <cell r="Q1657" t="str">
            <v>Boric Acid</v>
          </cell>
          <cell r="R1657">
            <v>12.25</v>
          </cell>
          <cell r="S1657">
            <v>9935.6294999999991</v>
          </cell>
        </row>
        <row r="1658">
          <cell r="A1658" t="str">
            <v>Actual</v>
          </cell>
          <cell r="B1658">
            <v>1</v>
          </cell>
          <cell r="C1658" t="str">
            <v>Domestic</v>
          </cell>
          <cell r="D1658">
            <v>3</v>
          </cell>
          <cell r="E1658">
            <v>7951</v>
          </cell>
          <cell r="F1658" t="str">
            <v>PVS NOLWOOD CHEMICAL INC</v>
          </cell>
          <cell r="G1658" t="str">
            <v>D</v>
          </cell>
          <cell r="H1658" t="str">
            <v>DETROIT</v>
          </cell>
          <cell r="I1658" t="str">
            <v>MI</v>
          </cell>
          <cell r="J1658" t="str">
            <v>USA</v>
          </cell>
          <cell r="K1658" t="str">
            <v>PVS NOLWOOD CHEMICAL INC</v>
          </cell>
          <cell r="L1658" t="str">
            <v>MI</v>
          </cell>
          <cell r="M1658" t="str">
            <v>USA</v>
          </cell>
          <cell r="N1658" t="str">
            <v>D</v>
          </cell>
          <cell r="O1658">
            <v>22060410</v>
          </cell>
          <cell r="P1658" t="str">
            <v>V-BOR 50LB BAG (004)</v>
          </cell>
          <cell r="Q1658" t="str">
            <v>Penta</v>
          </cell>
          <cell r="R1658">
            <v>6.125</v>
          </cell>
          <cell r="S1658">
            <v>2444.2327</v>
          </cell>
        </row>
        <row r="1659">
          <cell r="A1659" t="str">
            <v>Actual</v>
          </cell>
          <cell r="B1659">
            <v>1</v>
          </cell>
          <cell r="C1659" t="str">
            <v>Domestic</v>
          </cell>
          <cell r="D1659">
            <v>3</v>
          </cell>
          <cell r="E1659">
            <v>7951</v>
          </cell>
          <cell r="F1659" t="str">
            <v>PVS NOLWOOD CHEMICAL INC</v>
          </cell>
          <cell r="G1659" t="str">
            <v>D</v>
          </cell>
          <cell r="H1659" t="str">
            <v>DETROIT</v>
          </cell>
          <cell r="I1659" t="str">
            <v>MI</v>
          </cell>
          <cell r="J1659" t="str">
            <v>USA</v>
          </cell>
          <cell r="K1659" t="str">
            <v>PVS NOLWOOD CHEMICAL INC</v>
          </cell>
          <cell r="L1659" t="str">
            <v>MI</v>
          </cell>
          <cell r="M1659" t="str">
            <v>USA</v>
          </cell>
          <cell r="N1659" t="str">
            <v>D</v>
          </cell>
          <cell r="O1659">
            <v>23060210</v>
          </cell>
          <cell r="P1659" t="str">
            <v>DECA BORAX STD 50LB BAG</v>
          </cell>
          <cell r="Q1659" t="str">
            <v>Deca</v>
          </cell>
          <cell r="R1659">
            <v>0</v>
          </cell>
          <cell r="S1659">
            <v>-4.2366999999999999</v>
          </cell>
        </row>
        <row r="1660">
          <cell r="A1660" t="str">
            <v>Actual</v>
          </cell>
          <cell r="B1660">
            <v>1</v>
          </cell>
          <cell r="C1660" t="str">
            <v>Domestic</v>
          </cell>
          <cell r="D1660">
            <v>3</v>
          </cell>
          <cell r="E1660">
            <v>7951</v>
          </cell>
          <cell r="F1660" t="str">
            <v>PVS NOLWOOD CHEMICAL INC</v>
          </cell>
          <cell r="G1660" t="str">
            <v>D</v>
          </cell>
          <cell r="H1660" t="str">
            <v>DETROIT</v>
          </cell>
          <cell r="I1660" t="str">
            <v>MI</v>
          </cell>
          <cell r="J1660" t="str">
            <v>USA</v>
          </cell>
          <cell r="K1660" t="str">
            <v>PVS NOLWOOD CHEMICAL INC</v>
          </cell>
          <cell r="L1660" t="str">
            <v>MI</v>
          </cell>
          <cell r="M1660" t="str">
            <v>USA</v>
          </cell>
          <cell r="N1660" t="str">
            <v>D</v>
          </cell>
          <cell r="O1660">
            <v>24090210</v>
          </cell>
          <cell r="P1660" t="str">
            <v>BORIC ACID GRAN TECH 50LB BAG</v>
          </cell>
          <cell r="Q1660" t="str">
            <v>Boric Acid</v>
          </cell>
          <cell r="R1660">
            <v>15.925000000000001</v>
          </cell>
          <cell r="S1660">
            <v>10673.404</v>
          </cell>
        </row>
        <row r="1661">
          <cell r="A1661" t="str">
            <v>Actual</v>
          </cell>
          <cell r="B1661">
            <v>1</v>
          </cell>
          <cell r="C1661" t="str">
            <v>Domestic</v>
          </cell>
          <cell r="D1661">
            <v>3</v>
          </cell>
          <cell r="E1661">
            <v>7951</v>
          </cell>
          <cell r="F1661" t="str">
            <v>PVS NOLWOOD CHEMICAL INC</v>
          </cell>
          <cell r="G1661" t="str">
            <v>D</v>
          </cell>
          <cell r="H1661" t="str">
            <v>DETROIT</v>
          </cell>
          <cell r="I1661" t="str">
            <v>MI</v>
          </cell>
          <cell r="J1661" t="str">
            <v>USA</v>
          </cell>
          <cell r="K1661" t="str">
            <v>PVS NOLWOOD CHEMICAL INC</v>
          </cell>
          <cell r="L1661" t="str">
            <v>MI</v>
          </cell>
          <cell r="M1661" t="str">
            <v>USA</v>
          </cell>
          <cell r="N1661" t="str">
            <v>D</v>
          </cell>
          <cell r="O1661">
            <v>40060410</v>
          </cell>
          <cell r="P1661" t="str">
            <v>SODIUM SULFATE STD 50LB BAG</v>
          </cell>
          <cell r="Q1661" t="str">
            <v>Sodium Sulfate</v>
          </cell>
          <cell r="R1661">
            <v>21.25</v>
          </cell>
          <cell r="S1661">
            <v>2079.25</v>
          </cell>
        </row>
        <row r="1662">
          <cell r="A1662" t="str">
            <v>Actual</v>
          </cell>
          <cell r="B1662">
            <v>1</v>
          </cell>
          <cell r="C1662" t="str">
            <v>Domestic</v>
          </cell>
          <cell r="D1662">
            <v>3</v>
          </cell>
          <cell r="E1662">
            <v>8007</v>
          </cell>
          <cell r="F1662" t="str">
            <v>BLACHFORD CORPORATION</v>
          </cell>
          <cell r="G1662" t="str">
            <v>D</v>
          </cell>
          <cell r="H1662" t="str">
            <v>FRANKFORT</v>
          </cell>
          <cell r="I1662" t="str">
            <v>IL</v>
          </cell>
          <cell r="J1662" t="str">
            <v>USA</v>
          </cell>
          <cell r="K1662" t="str">
            <v>UNIVAR USA</v>
          </cell>
          <cell r="L1662" t="str">
            <v>IL</v>
          </cell>
          <cell r="M1662" t="str">
            <v>USA</v>
          </cell>
          <cell r="N1662" t="str">
            <v>D</v>
          </cell>
          <cell r="O1662">
            <v>22060410</v>
          </cell>
          <cell r="P1662" t="str">
            <v>V-BOR 50LB BAG (004)</v>
          </cell>
          <cell r="Q1662" t="str">
            <v>Penta</v>
          </cell>
          <cell r="R1662">
            <v>9.8000000000000007</v>
          </cell>
          <cell r="S1662">
            <v>3653.6617999999999</v>
          </cell>
        </row>
        <row r="1663">
          <cell r="A1663" t="str">
            <v>Actual</v>
          </cell>
          <cell r="B1663">
            <v>1</v>
          </cell>
          <cell r="C1663" t="str">
            <v>Domestic</v>
          </cell>
          <cell r="D1663">
            <v>3</v>
          </cell>
          <cell r="E1663">
            <v>8007</v>
          </cell>
          <cell r="F1663" t="str">
            <v>BLACHFORD CORPORATION</v>
          </cell>
          <cell r="G1663" t="str">
            <v>D</v>
          </cell>
          <cell r="H1663" t="str">
            <v>FRANKFORT</v>
          </cell>
          <cell r="I1663" t="str">
            <v>IL</v>
          </cell>
          <cell r="J1663" t="str">
            <v>USA</v>
          </cell>
          <cell r="K1663" t="str">
            <v>UNIVAR USA</v>
          </cell>
          <cell r="L1663" t="str">
            <v>IL</v>
          </cell>
          <cell r="M1663" t="str">
            <v>USA</v>
          </cell>
          <cell r="N1663" t="str">
            <v>D</v>
          </cell>
          <cell r="O1663">
            <v>40150410</v>
          </cell>
          <cell r="P1663" t="str">
            <v>SODIUM SULFATE CRS 50LB BAG</v>
          </cell>
          <cell r="Q1663" t="str">
            <v>Sodium Sulfate</v>
          </cell>
          <cell r="R1663">
            <v>11.25</v>
          </cell>
          <cell r="S1663">
            <v>1663.1882000000001</v>
          </cell>
        </row>
        <row r="1664">
          <cell r="A1664" t="str">
            <v>Actual</v>
          </cell>
          <cell r="B1664">
            <v>1</v>
          </cell>
          <cell r="C1664" t="str">
            <v>Domestic</v>
          </cell>
          <cell r="D1664">
            <v>3</v>
          </cell>
          <cell r="E1664">
            <v>8106</v>
          </cell>
          <cell r="F1664" t="str">
            <v>UNIVAR USA</v>
          </cell>
          <cell r="G1664" t="str">
            <v>D</v>
          </cell>
          <cell r="H1664" t="str">
            <v>BEDFORD PARK</v>
          </cell>
          <cell r="I1664" t="str">
            <v>IL</v>
          </cell>
          <cell r="J1664" t="str">
            <v>USA</v>
          </cell>
          <cell r="K1664" t="str">
            <v>UNIVAR USA</v>
          </cell>
          <cell r="L1664" t="str">
            <v>IL</v>
          </cell>
          <cell r="M1664" t="str">
            <v>USA</v>
          </cell>
          <cell r="N1664" t="str">
            <v>D</v>
          </cell>
          <cell r="O1664">
            <v>22060410</v>
          </cell>
          <cell r="P1664" t="str">
            <v>V-BOR 50LB BAG (004)</v>
          </cell>
          <cell r="Q1664" t="str">
            <v>Penta</v>
          </cell>
          <cell r="R1664">
            <v>20.824999999999999</v>
          </cell>
          <cell r="S1664">
            <v>8325.1887999999999</v>
          </cell>
        </row>
        <row r="1665">
          <cell r="A1665" t="str">
            <v>Actual</v>
          </cell>
          <cell r="B1665">
            <v>1</v>
          </cell>
          <cell r="C1665" t="str">
            <v>Domestic</v>
          </cell>
          <cell r="D1665">
            <v>3</v>
          </cell>
          <cell r="E1665">
            <v>8106</v>
          </cell>
          <cell r="F1665" t="str">
            <v>UNIVAR USA</v>
          </cell>
          <cell r="G1665" t="str">
            <v>D</v>
          </cell>
          <cell r="H1665" t="str">
            <v>BEDFORD PARK</v>
          </cell>
          <cell r="I1665" t="str">
            <v>IL</v>
          </cell>
          <cell r="J1665" t="str">
            <v>USA</v>
          </cell>
          <cell r="K1665" t="str">
            <v>UNIVAR USA</v>
          </cell>
          <cell r="L1665" t="str">
            <v>IL</v>
          </cell>
          <cell r="M1665" t="str">
            <v>USA</v>
          </cell>
          <cell r="N1665" t="str">
            <v>D</v>
          </cell>
          <cell r="O1665">
            <v>24090210</v>
          </cell>
          <cell r="P1665" t="str">
            <v>BORIC ACID GRAN TECH 50LB BAG</v>
          </cell>
          <cell r="Q1665" t="str">
            <v>Boric Acid</v>
          </cell>
          <cell r="R1665">
            <v>22.05</v>
          </cell>
          <cell r="S1665">
            <v>13925.681200000001</v>
          </cell>
        </row>
        <row r="1666">
          <cell r="A1666" t="str">
            <v>Actual</v>
          </cell>
          <cell r="B1666">
            <v>1</v>
          </cell>
          <cell r="C1666" t="str">
            <v>Domestic</v>
          </cell>
          <cell r="D1666">
            <v>3</v>
          </cell>
          <cell r="E1666">
            <v>8174</v>
          </cell>
          <cell r="F1666" t="str">
            <v>CHEMICALS, INC.</v>
          </cell>
          <cell r="G1666" t="str">
            <v>D</v>
          </cell>
          <cell r="H1666" t="str">
            <v>FAIRFIELD</v>
          </cell>
          <cell r="I1666" t="str">
            <v>OH</v>
          </cell>
          <cell r="J1666" t="str">
            <v>USA</v>
          </cell>
          <cell r="K1666" t="str">
            <v>CHEMICALS, INC.</v>
          </cell>
          <cell r="L1666" t="str">
            <v>OH</v>
          </cell>
          <cell r="M1666" t="str">
            <v>USA</v>
          </cell>
          <cell r="N1666" t="str">
            <v>C</v>
          </cell>
          <cell r="O1666">
            <v>23060210</v>
          </cell>
          <cell r="P1666" t="str">
            <v>DECA BORAX STD 50LB BAG</v>
          </cell>
          <cell r="Q1666" t="str">
            <v>Deca</v>
          </cell>
          <cell r="R1666">
            <v>8.5749999999999993</v>
          </cell>
          <cell r="S1666">
            <v>3096.6201000000001</v>
          </cell>
        </row>
        <row r="1667">
          <cell r="A1667" t="str">
            <v>Actual</v>
          </cell>
          <cell r="B1667">
            <v>1</v>
          </cell>
          <cell r="C1667" t="str">
            <v>Domestic</v>
          </cell>
          <cell r="D1667">
            <v>3</v>
          </cell>
          <cell r="E1667">
            <v>8174</v>
          </cell>
          <cell r="F1667" t="str">
            <v>CHEMICALS, INC.</v>
          </cell>
          <cell r="G1667" t="str">
            <v>D</v>
          </cell>
          <cell r="H1667" t="str">
            <v>FAIRFIELD</v>
          </cell>
          <cell r="I1667" t="str">
            <v>OH</v>
          </cell>
          <cell r="J1667" t="str">
            <v>USA</v>
          </cell>
          <cell r="K1667" t="str">
            <v>CHEMICALS, INC.</v>
          </cell>
          <cell r="L1667" t="str">
            <v>OH</v>
          </cell>
          <cell r="M1667" t="str">
            <v>USA</v>
          </cell>
          <cell r="N1667" t="str">
            <v>C</v>
          </cell>
          <cell r="O1667">
            <v>24090210</v>
          </cell>
          <cell r="P1667" t="str">
            <v>BORIC ACID GRAN TECH 50LB BAG</v>
          </cell>
          <cell r="Q1667" t="str">
            <v>Boric Acid</v>
          </cell>
          <cell r="R1667">
            <v>13.475</v>
          </cell>
          <cell r="S1667">
            <v>10213.2999</v>
          </cell>
        </row>
        <row r="1668">
          <cell r="A1668" t="str">
            <v>Actual</v>
          </cell>
          <cell r="B1668">
            <v>1</v>
          </cell>
          <cell r="C1668" t="str">
            <v>Domestic</v>
          </cell>
          <cell r="D1668">
            <v>3</v>
          </cell>
          <cell r="E1668">
            <v>8227</v>
          </cell>
          <cell r="F1668" t="str">
            <v>GUARDIAN FIBERGLASS</v>
          </cell>
          <cell r="G1668" t="str">
            <v>D</v>
          </cell>
          <cell r="H1668" t="str">
            <v>INWOOD</v>
          </cell>
          <cell r="I1668" t="str">
            <v>WV</v>
          </cell>
          <cell r="J1668" t="str">
            <v>USA</v>
          </cell>
          <cell r="K1668" t="str">
            <v>GUARDIAN FIBERGLASS</v>
          </cell>
          <cell r="L1668" t="str">
            <v>WV</v>
          </cell>
          <cell r="M1668" t="str">
            <v>USA</v>
          </cell>
          <cell r="N1668" t="str">
            <v>C</v>
          </cell>
          <cell r="O1668">
            <v>22060400</v>
          </cell>
          <cell r="P1668" t="str">
            <v>V-BOR STD BULK (004)</v>
          </cell>
          <cell r="Q1668" t="str">
            <v>Penta</v>
          </cell>
          <cell r="R1668">
            <v>434.02499999999998</v>
          </cell>
          <cell r="S1668">
            <v>103102.64</v>
          </cell>
        </row>
        <row r="1669">
          <cell r="A1669" t="str">
            <v>Actual</v>
          </cell>
          <cell r="B1669">
            <v>1</v>
          </cell>
          <cell r="C1669" t="str">
            <v>Domestic</v>
          </cell>
          <cell r="D1669">
            <v>3</v>
          </cell>
          <cell r="E1669">
            <v>8432</v>
          </cell>
          <cell r="F1669" t="str">
            <v>QUAKER CHEMICAL</v>
          </cell>
          <cell r="G1669" t="str">
            <v>D</v>
          </cell>
          <cell r="H1669" t="str">
            <v>DETROIT</v>
          </cell>
          <cell r="I1669" t="str">
            <v>MI</v>
          </cell>
          <cell r="J1669" t="str">
            <v>USA</v>
          </cell>
          <cell r="K1669" t="str">
            <v>PVS NOLWOOD CHEMICAL INC</v>
          </cell>
          <cell r="L1669" t="str">
            <v>MI</v>
          </cell>
          <cell r="M1669" t="str">
            <v>USA</v>
          </cell>
          <cell r="N1669" t="str">
            <v>D</v>
          </cell>
          <cell r="O1669">
            <v>24090210</v>
          </cell>
          <cell r="P1669" t="str">
            <v>BORIC ACID GRAN TECH 50LB BAG</v>
          </cell>
          <cell r="Q1669" t="str">
            <v>Boric Acid</v>
          </cell>
          <cell r="R1669">
            <v>0</v>
          </cell>
          <cell r="S1669">
            <v>-76.2</v>
          </cell>
        </row>
        <row r="1670">
          <cell r="A1670" t="str">
            <v>Actual</v>
          </cell>
          <cell r="B1670">
            <v>1</v>
          </cell>
          <cell r="C1670" t="str">
            <v>Domestic</v>
          </cell>
          <cell r="D1670">
            <v>3</v>
          </cell>
          <cell r="E1670">
            <v>8530</v>
          </cell>
          <cell r="F1670" t="str">
            <v>GOJO INDUSTRIES</v>
          </cell>
          <cell r="G1670" t="str">
            <v>D</v>
          </cell>
          <cell r="H1670" t="str">
            <v>CUYAHOGA FALLS</v>
          </cell>
          <cell r="I1670" t="str">
            <v>OH</v>
          </cell>
          <cell r="J1670" t="str">
            <v>USA</v>
          </cell>
          <cell r="K1670" t="str">
            <v>UNIVAR USA</v>
          </cell>
          <cell r="L1670" t="str">
            <v>OH</v>
          </cell>
          <cell r="M1670" t="str">
            <v>USA</v>
          </cell>
          <cell r="N1670" t="str">
            <v>C</v>
          </cell>
          <cell r="O1670">
            <v>40060410</v>
          </cell>
          <cell r="P1670" t="str">
            <v>SODIUM SULFATE STD 50LB BAG</v>
          </cell>
          <cell r="Q1670" t="str">
            <v>Sodium Sulfate</v>
          </cell>
          <cell r="R1670">
            <v>22.5</v>
          </cell>
          <cell r="S1670">
            <v>1633.74</v>
          </cell>
        </row>
        <row r="1671">
          <cell r="A1671" t="str">
            <v>Actual</v>
          </cell>
          <cell r="B1671">
            <v>1</v>
          </cell>
          <cell r="C1671" t="str">
            <v>Domestic</v>
          </cell>
          <cell r="D1671">
            <v>3</v>
          </cell>
          <cell r="E1671">
            <v>8546</v>
          </cell>
          <cell r="F1671" t="str">
            <v>MODERN INSULATION</v>
          </cell>
          <cell r="G1671" t="str">
            <v>D</v>
          </cell>
          <cell r="H1671" t="str">
            <v>SPENCER</v>
          </cell>
          <cell r="I1671" t="str">
            <v>WI</v>
          </cell>
          <cell r="J1671" t="str">
            <v>USA</v>
          </cell>
          <cell r="K1671" t="str">
            <v>MODERN INSULATION</v>
          </cell>
          <cell r="L1671" t="str">
            <v>WI</v>
          </cell>
          <cell r="M1671" t="str">
            <v>USA</v>
          </cell>
          <cell r="N1671" t="str">
            <v>C</v>
          </cell>
          <cell r="O1671">
            <v>24090200</v>
          </cell>
          <cell r="P1671" t="str">
            <v>BORIC ACID GRAN TECH BULK</v>
          </cell>
          <cell r="Q1671" t="str">
            <v>Boric Acid</v>
          </cell>
          <cell r="R1671">
            <v>179.6</v>
          </cell>
          <cell r="S1671">
            <v>77766.8</v>
          </cell>
        </row>
        <row r="1672">
          <cell r="A1672" t="str">
            <v>Actual</v>
          </cell>
          <cell r="B1672">
            <v>1</v>
          </cell>
          <cell r="C1672" t="str">
            <v>Domestic</v>
          </cell>
          <cell r="D1672">
            <v>3</v>
          </cell>
          <cell r="E1672">
            <v>8699</v>
          </cell>
          <cell r="F1672" t="str">
            <v>LIBBEY GLASS SHREVEPORT</v>
          </cell>
          <cell r="G1672" t="str">
            <v>D</v>
          </cell>
          <cell r="H1672" t="str">
            <v>SHREVEPORT</v>
          </cell>
          <cell r="I1672" t="str">
            <v>LA</v>
          </cell>
          <cell r="J1672" t="str">
            <v>USA</v>
          </cell>
          <cell r="K1672" t="str">
            <v>LIBBEY GLASS SHREVEPORT</v>
          </cell>
          <cell r="L1672" t="str">
            <v>LA</v>
          </cell>
          <cell r="M1672" t="str">
            <v>USA</v>
          </cell>
          <cell r="N1672" t="str">
            <v>C</v>
          </cell>
          <cell r="O1672">
            <v>40150400</v>
          </cell>
          <cell r="P1672" t="str">
            <v>SODIUM SULFATE COARSE BULK</v>
          </cell>
          <cell r="Q1672" t="str">
            <v>Sodium Sulfate</v>
          </cell>
          <cell r="R1672">
            <v>46.95</v>
          </cell>
          <cell r="S1672">
            <v>2649.86</v>
          </cell>
        </row>
        <row r="1673">
          <cell r="A1673" t="str">
            <v>Actual</v>
          </cell>
          <cell r="B1673">
            <v>1</v>
          </cell>
          <cell r="C1673" t="str">
            <v>Domestic</v>
          </cell>
          <cell r="D1673">
            <v>3</v>
          </cell>
          <cell r="E1673">
            <v>8750</v>
          </cell>
          <cell r="F1673" t="str">
            <v>GUARDIAN FIBERGLASS</v>
          </cell>
          <cell r="G1673" t="str">
            <v>D</v>
          </cell>
          <cell r="H1673" t="str">
            <v>KINGMAN</v>
          </cell>
          <cell r="I1673" t="str">
            <v>AZ</v>
          </cell>
          <cell r="J1673" t="str">
            <v>USA</v>
          </cell>
          <cell r="K1673" t="str">
            <v>GUARDIAN FIBERGLASS</v>
          </cell>
          <cell r="L1673" t="str">
            <v>AZ</v>
          </cell>
          <cell r="M1673" t="str">
            <v>USA</v>
          </cell>
          <cell r="N1673" t="str">
            <v>C</v>
          </cell>
          <cell r="O1673">
            <v>22060400</v>
          </cell>
          <cell r="P1673" t="str">
            <v>V-BOR STD BULK (004)</v>
          </cell>
          <cell r="Q1673" t="str">
            <v>Penta</v>
          </cell>
          <cell r="R1673">
            <v>415.94</v>
          </cell>
          <cell r="S1673">
            <v>99837.59</v>
          </cell>
        </row>
        <row r="1674">
          <cell r="A1674" t="str">
            <v>Actual</v>
          </cell>
          <cell r="B1674">
            <v>1</v>
          </cell>
          <cell r="C1674" t="str">
            <v>Domestic</v>
          </cell>
          <cell r="D1674">
            <v>3</v>
          </cell>
          <cell r="E1674">
            <v>9029</v>
          </cell>
          <cell r="F1674" t="str">
            <v>CAMCO</v>
          </cell>
          <cell r="G1674" t="str">
            <v>D</v>
          </cell>
          <cell r="H1674" t="str">
            <v>FLORENCE</v>
          </cell>
          <cell r="I1674" t="str">
            <v>KY</v>
          </cell>
          <cell r="J1674" t="str">
            <v>USA</v>
          </cell>
          <cell r="K1674" t="str">
            <v>GMZ</v>
          </cell>
          <cell r="L1674" t="str">
            <v>OH</v>
          </cell>
          <cell r="M1674" t="str">
            <v>USA</v>
          </cell>
          <cell r="N1674" t="str">
            <v>D</v>
          </cell>
          <cell r="O1674">
            <v>40060450</v>
          </cell>
          <cell r="P1674" t="str">
            <v>SODIUM SULFATE STD 1TN FIBC</v>
          </cell>
          <cell r="Q1674" t="str">
            <v>Sodium Sulfate</v>
          </cell>
          <cell r="R1674">
            <v>22</v>
          </cell>
          <cell r="S1674">
            <v>2437.4699999999998</v>
          </cell>
        </row>
        <row r="1675">
          <cell r="A1675" t="str">
            <v>Actual</v>
          </cell>
          <cell r="B1675">
            <v>1</v>
          </cell>
          <cell r="C1675" t="str">
            <v>Domestic</v>
          </cell>
          <cell r="D1675">
            <v>3</v>
          </cell>
          <cell r="E1675">
            <v>9098</v>
          </cell>
          <cell r="F1675" t="str">
            <v>UNIVAR USA</v>
          </cell>
          <cell r="G1675" t="str">
            <v>D</v>
          </cell>
          <cell r="H1675" t="str">
            <v>CINCINNATI</v>
          </cell>
          <cell r="I1675" t="str">
            <v>OH</v>
          </cell>
          <cell r="J1675" t="str">
            <v>USA</v>
          </cell>
          <cell r="K1675" t="str">
            <v>UNIVAR USA</v>
          </cell>
          <cell r="L1675" t="str">
            <v>OH</v>
          </cell>
          <cell r="M1675" t="str">
            <v>USA</v>
          </cell>
          <cell r="N1675" t="str">
            <v>D</v>
          </cell>
          <cell r="O1675">
            <v>22060410</v>
          </cell>
          <cell r="P1675" t="str">
            <v>V-BOR 50LB BAG (004)</v>
          </cell>
          <cell r="Q1675" t="str">
            <v>Penta</v>
          </cell>
          <cell r="R1675">
            <v>14.7</v>
          </cell>
          <cell r="S1675">
            <v>5643.6898000000001</v>
          </cell>
        </row>
        <row r="1676">
          <cell r="A1676" t="str">
            <v>Actual</v>
          </cell>
          <cell r="B1676">
            <v>1</v>
          </cell>
          <cell r="C1676" t="str">
            <v>Domestic</v>
          </cell>
          <cell r="D1676">
            <v>3</v>
          </cell>
          <cell r="E1676">
            <v>9098</v>
          </cell>
          <cell r="F1676" t="str">
            <v>UNIVAR USA</v>
          </cell>
          <cell r="G1676" t="str">
            <v>D</v>
          </cell>
          <cell r="H1676" t="str">
            <v>CINCINNATI</v>
          </cell>
          <cell r="I1676" t="str">
            <v>OH</v>
          </cell>
          <cell r="J1676" t="str">
            <v>USA</v>
          </cell>
          <cell r="K1676" t="str">
            <v>UNIVAR USA</v>
          </cell>
          <cell r="L1676" t="str">
            <v>OH</v>
          </cell>
          <cell r="M1676" t="str">
            <v>USA</v>
          </cell>
          <cell r="N1676" t="str">
            <v>D</v>
          </cell>
          <cell r="O1676">
            <v>24099753</v>
          </cell>
          <cell r="P1676" t="str">
            <v>BORIC ACD GRN TCH IT 2500LB FI</v>
          </cell>
          <cell r="Q1676" t="str">
            <v>Boric Acid (SCL)</v>
          </cell>
          <cell r="R1676">
            <v>20</v>
          </cell>
          <cell r="S1676">
            <v>11983.24</v>
          </cell>
        </row>
        <row r="1677">
          <cell r="A1677" t="str">
            <v>Actual</v>
          </cell>
          <cell r="B1677">
            <v>1</v>
          </cell>
          <cell r="C1677" t="str">
            <v>Domestic</v>
          </cell>
          <cell r="D1677">
            <v>3</v>
          </cell>
          <cell r="E1677">
            <v>9098</v>
          </cell>
          <cell r="F1677" t="str">
            <v>UNIVAR USA</v>
          </cell>
          <cell r="G1677" t="str">
            <v>D</v>
          </cell>
          <cell r="H1677" t="str">
            <v>CINCINNATI</v>
          </cell>
          <cell r="I1677" t="str">
            <v>OH</v>
          </cell>
          <cell r="J1677" t="str">
            <v>USA</v>
          </cell>
          <cell r="K1677" t="str">
            <v>UNIVAR USA</v>
          </cell>
          <cell r="L1677" t="str">
            <v>OH</v>
          </cell>
          <cell r="M1677" t="str">
            <v>USA</v>
          </cell>
          <cell r="N1677" t="str">
            <v>D</v>
          </cell>
          <cell r="O1677">
            <v>40060410</v>
          </cell>
          <cell r="P1677" t="str">
            <v>SODIUM SULFATE STD 50LB BAG</v>
          </cell>
          <cell r="Q1677" t="str">
            <v>Sodium Sulfate</v>
          </cell>
          <cell r="R1677">
            <v>6.25</v>
          </cell>
          <cell r="S1677">
            <v>556.85019999999997</v>
          </cell>
        </row>
        <row r="1678">
          <cell r="A1678" t="str">
            <v>Actual</v>
          </cell>
          <cell r="B1678">
            <v>1</v>
          </cell>
          <cell r="C1678" t="str">
            <v>Domestic</v>
          </cell>
          <cell r="D1678">
            <v>3</v>
          </cell>
          <cell r="E1678">
            <v>9165</v>
          </cell>
          <cell r="F1678" t="str">
            <v>ROYAL CHEMICAL COMPANY</v>
          </cell>
          <cell r="G1678" t="str">
            <v>D</v>
          </cell>
          <cell r="H1678" t="str">
            <v>MACEDONIA</v>
          </cell>
          <cell r="I1678" t="str">
            <v>OH</v>
          </cell>
          <cell r="J1678" t="str">
            <v>USA</v>
          </cell>
          <cell r="K1678" t="str">
            <v>YOUNG CHEMICAL COMPANY</v>
          </cell>
          <cell r="L1678" t="str">
            <v>OH</v>
          </cell>
          <cell r="M1678" t="str">
            <v>USA</v>
          </cell>
          <cell r="N1678" t="str">
            <v>D</v>
          </cell>
          <cell r="O1678">
            <v>40060410</v>
          </cell>
          <cell r="P1678" t="str">
            <v>SODIUM SULFATE STD 50LB BAG</v>
          </cell>
          <cell r="Q1678" t="str">
            <v>Sodium Sulfate</v>
          </cell>
          <cell r="R1678">
            <v>0</v>
          </cell>
          <cell r="S1678">
            <v>-40.08</v>
          </cell>
        </row>
        <row r="1679">
          <cell r="A1679" t="str">
            <v>Actual</v>
          </cell>
          <cell r="B1679">
            <v>1</v>
          </cell>
          <cell r="C1679" t="str">
            <v>Domestic</v>
          </cell>
          <cell r="D1679">
            <v>3</v>
          </cell>
          <cell r="E1679">
            <v>9174</v>
          </cell>
          <cell r="F1679" t="str">
            <v>HARRIS &amp; FORD</v>
          </cell>
          <cell r="G1679" t="str">
            <v>D</v>
          </cell>
          <cell r="H1679" t="str">
            <v>INDIANAPOLIS</v>
          </cell>
          <cell r="I1679" t="str">
            <v>IN</v>
          </cell>
          <cell r="J1679" t="str">
            <v>USA</v>
          </cell>
          <cell r="K1679" t="str">
            <v>HARRIS &amp; FORD</v>
          </cell>
          <cell r="L1679" t="str">
            <v>IN</v>
          </cell>
          <cell r="M1679" t="str">
            <v>USA</v>
          </cell>
          <cell r="N1679" t="str">
            <v>D</v>
          </cell>
          <cell r="O1679">
            <v>22060410</v>
          </cell>
          <cell r="P1679" t="str">
            <v>V-BOR 50LB BAG (004)</v>
          </cell>
          <cell r="Q1679" t="str">
            <v>Penta</v>
          </cell>
          <cell r="R1679">
            <v>34.299999999999997</v>
          </cell>
          <cell r="S1679">
            <v>14113.5915</v>
          </cell>
        </row>
        <row r="1680">
          <cell r="A1680" t="str">
            <v>Actual</v>
          </cell>
          <cell r="B1680">
            <v>1</v>
          </cell>
          <cell r="C1680" t="str">
            <v>Domestic</v>
          </cell>
          <cell r="D1680">
            <v>3</v>
          </cell>
          <cell r="E1680">
            <v>9174</v>
          </cell>
          <cell r="F1680" t="str">
            <v>HARRIS &amp; FORD</v>
          </cell>
          <cell r="G1680" t="str">
            <v>D</v>
          </cell>
          <cell r="H1680" t="str">
            <v>INDIANAPOLIS</v>
          </cell>
          <cell r="I1680" t="str">
            <v>IN</v>
          </cell>
          <cell r="J1680" t="str">
            <v>USA</v>
          </cell>
          <cell r="K1680" t="str">
            <v>HARRIS &amp; FORD</v>
          </cell>
          <cell r="L1680" t="str">
            <v>IN</v>
          </cell>
          <cell r="M1680" t="str">
            <v>USA</v>
          </cell>
          <cell r="N1680" t="str">
            <v>D</v>
          </cell>
          <cell r="O1680">
            <v>22060453</v>
          </cell>
          <cell r="P1680" t="str">
            <v>V-BOR 2500LB FIBC (004)</v>
          </cell>
          <cell r="Q1680" t="str">
            <v>Penta</v>
          </cell>
          <cell r="R1680">
            <v>5</v>
          </cell>
          <cell r="S1680">
            <v>2067.5727999999999</v>
          </cell>
        </row>
        <row r="1681">
          <cell r="A1681" t="str">
            <v>Actual</v>
          </cell>
          <cell r="B1681">
            <v>1</v>
          </cell>
          <cell r="C1681" t="str">
            <v>Domestic</v>
          </cell>
          <cell r="D1681">
            <v>3</v>
          </cell>
          <cell r="E1681">
            <v>9174</v>
          </cell>
          <cell r="F1681" t="str">
            <v>HARRIS &amp; FORD</v>
          </cell>
          <cell r="G1681" t="str">
            <v>D</v>
          </cell>
          <cell r="H1681" t="str">
            <v>INDIANAPOLIS</v>
          </cell>
          <cell r="I1681" t="str">
            <v>IN</v>
          </cell>
          <cell r="J1681" t="str">
            <v>USA</v>
          </cell>
          <cell r="K1681" t="str">
            <v>HARRIS &amp; FORD</v>
          </cell>
          <cell r="L1681" t="str">
            <v>IN</v>
          </cell>
          <cell r="M1681" t="str">
            <v>USA</v>
          </cell>
          <cell r="N1681" t="str">
            <v>D</v>
          </cell>
          <cell r="O1681">
            <v>23060210</v>
          </cell>
          <cell r="P1681" t="str">
            <v>DECA BORAX STD 50LB BAG</v>
          </cell>
          <cell r="Q1681" t="str">
            <v>Deca</v>
          </cell>
          <cell r="R1681">
            <v>2.4500000000000002</v>
          </cell>
          <cell r="S1681">
            <v>874.20129999999995</v>
          </cell>
        </row>
        <row r="1682">
          <cell r="A1682" t="str">
            <v>Actual</v>
          </cell>
          <cell r="B1682">
            <v>1</v>
          </cell>
          <cell r="C1682" t="str">
            <v>Domestic</v>
          </cell>
          <cell r="D1682">
            <v>3</v>
          </cell>
          <cell r="E1682">
            <v>9184</v>
          </cell>
          <cell r="F1682" t="str">
            <v>PILKINGTON NORTH AMERICA INC</v>
          </cell>
          <cell r="G1682" t="str">
            <v>D</v>
          </cell>
          <cell r="H1682" t="str">
            <v>OTTAWA</v>
          </cell>
          <cell r="I1682" t="str">
            <v>IL</v>
          </cell>
          <cell r="J1682" t="str">
            <v>USA</v>
          </cell>
          <cell r="K1682" t="str">
            <v>PILKINGTON NORTH AMERICA INC</v>
          </cell>
          <cell r="L1682" t="str">
            <v>IL</v>
          </cell>
          <cell r="M1682" t="str">
            <v>USA</v>
          </cell>
          <cell r="N1682" t="str">
            <v>C</v>
          </cell>
          <cell r="O1682">
            <v>30210100</v>
          </cell>
          <cell r="P1682" t="str">
            <v>SODA ASH DENSE BULK</v>
          </cell>
          <cell r="Q1682" t="str">
            <v>Soda Ash</v>
          </cell>
          <cell r="R1682">
            <v>2074.62</v>
          </cell>
          <cell r="S1682">
            <v>127475.27</v>
          </cell>
        </row>
        <row r="1683">
          <cell r="A1683" t="str">
            <v>Actual</v>
          </cell>
          <cell r="B1683">
            <v>1</v>
          </cell>
          <cell r="C1683" t="str">
            <v>Domestic</v>
          </cell>
          <cell r="D1683">
            <v>3</v>
          </cell>
          <cell r="E1683">
            <v>9184</v>
          </cell>
          <cell r="F1683" t="str">
            <v>PILKINGTON NORTH AMERICA INC</v>
          </cell>
          <cell r="G1683" t="str">
            <v>D</v>
          </cell>
          <cell r="H1683" t="str">
            <v>OTTAWA</v>
          </cell>
          <cell r="I1683" t="str">
            <v>IL</v>
          </cell>
          <cell r="J1683" t="str">
            <v>USA</v>
          </cell>
          <cell r="K1683" t="str">
            <v>PILKINGTON NORTH AMERICA INC</v>
          </cell>
          <cell r="L1683" t="str">
            <v>IL</v>
          </cell>
          <cell r="M1683" t="str">
            <v>USA</v>
          </cell>
          <cell r="N1683" t="str">
            <v>C</v>
          </cell>
          <cell r="O1683">
            <v>30218800</v>
          </cell>
          <cell r="P1683" t="str">
            <v>SODA ASH DENSE BULK (088)</v>
          </cell>
          <cell r="Q1683" t="str">
            <v>Soda Ash</v>
          </cell>
          <cell r="R1683">
            <v>100.93</v>
          </cell>
          <cell r="S1683">
            <v>2752.71</v>
          </cell>
        </row>
        <row r="1684">
          <cell r="A1684" t="str">
            <v>Actual</v>
          </cell>
          <cell r="B1684">
            <v>1</v>
          </cell>
          <cell r="C1684" t="str">
            <v>Domestic</v>
          </cell>
          <cell r="D1684">
            <v>3</v>
          </cell>
          <cell r="E1684">
            <v>9279</v>
          </cell>
          <cell r="F1684" t="str">
            <v>GUARDIAN FIBERGLASS</v>
          </cell>
          <cell r="G1684" t="str">
            <v>D</v>
          </cell>
          <cell r="H1684" t="str">
            <v>KINGMAN</v>
          </cell>
          <cell r="I1684" t="str">
            <v>AZ</v>
          </cell>
          <cell r="J1684" t="str">
            <v>USA</v>
          </cell>
          <cell r="K1684" t="str">
            <v>GUARDIAN FIBERGLASS</v>
          </cell>
          <cell r="L1684" t="str">
            <v>AZ</v>
          </cell>
          <cell r="M1684" t="str">
            <v>USA</v>
          </cell>
          <cell r="O1684">
            <v>30210100</v>
          </cell>
          <cell r="P1684" t="str">
            <v>SODA ASH DENSE BULK</v>
          </cell>
          <cell r="Q1684" t="str">
            <v>Soda Ash</v>
          </cell>
          <cell r="R1684">
            <v>469.32</v>
          </cell>
          <cell r="S1684">
            <v>31149.88</v>
          </cell>
        </row>
        <row r="1685">
          <cell r="A1685" t="str">
            <v>Actual</v>
          </cell>
          <cell r="B1685">
            <v>1</v>
          </cell>
          <cell r="C1685" t="str">
            <v>Domestic</v>
          </cell>
          <cell r="D1685">
            <v>3</v>
          </cell>
          <cell r="E1685">
            <v>9430</v>
          </cell>
          <cell r="F1685" t="str">
            <v>KOHLER COMPANY</v>
          </cell>
          <cell r="G1685" t="str">
            <v>D</v>
          </cell>
          <cell r="H1685" t="str">
            <v>KOHLER</v>
          </cell>
          <cell r="I1685" t="str">
            <v>WI</v>
          </cell>
          <cell r="J1685" t="str">
            <v>USA</v>
          </cell>
          <cell r="K1685" t="str">
            <v>KOHLER COMPANY</v>
          </cell>
          <cell r="L1685" t="str">
            <v>WI</v>
          </cell>
          <cell r="M1685" t="str">
            <v>USA</v>
          </cell>
          <cell r="N1685" t="str">
            <v>C</v>
          </cell>
          <cell r="O1685">
            <v>20310200</v>
          </cell>
          <cell r="P1685" t="str">
            <v>PYROBOR 30/100 BULK (002)</v>
          </cell>
          <cell r="Q1685" t="str">
            <v>Pyrobor</v>
          </cell>
          <cell r="R1685">
            <v>97.224999999999994</v>
          </cell>
          <cell r="S1685">
            <v>48475.9</v>
          </cell>
        </row>
        <row r="1686">
          <cell r="A1686" t="str">
            <v>Actual</v>
          </cell>
          <cell r="B1686">
            <v>1</v>
          </cell>
          <cell r="C1686" t="str">
            <v>Domestic</v>
          </cell>
          <cell r="D1686">
            <v>3</v>
          </cell>
          <cell r="E1686">
            <v>9529</v>
          </cell>
          <cell r="F1686" t="str">
            <v>PAK TECHNOLOGIES, CHEMICAL</v>
          </cell>
          <cell r="G1686" t="str">
            <v>D</v>
          </cell>
          <cell r="H1686" t="str">
            <v>MILWAUKEE</v>
          </cell>
          <cell r="I1686" t="str">
            <v>WI</v>
          </cell>
          <cell r="J1686" t="str">
            <v>USA</v>
          </cell>
          <cell r="K1686" t="str">
            <v>CHEMCENTRAL CHICAGO</v>
          </cell>
          <cell r="L1686" t="str">
            <v>IL</v>
          </cell>
          <cell r="M1686" t="str">
            <v>USA</v>
          </cell>
          <cell r="N1686" t="str">
            <v>D</v>
          </cell>
          <cell r="O1686">
            <v>22060410</v>
          </cell>
          <cell r="P1686" t="str">
            <v>V-BOR 50LB BAG (004)</v>
          </cell>
          <cell r="Q1686" t="str">
            <v>Penta</v>
          </cell>
          <cell r="R1686">
            <v>0</v>
          </cell>
          <cell r="S1686">
            <v>-68.849999999999994</v>
          </cell>
        </row>
        <row r="1687">
          <cell r="A1687" t="str">
            <v>Actual</v>
          </cell>
          <cell r="B1687">
            <v>1</v>
          </cell>
          <cell r="C1687" t="str">
            <v>Domestic</v>
          </cell>
          <cell r="D1687">
            <v>3</v>
          </cell>
          <cell r="E1687">
            <v>9567</v>
          </cell>
          <cell r="F1687" t="str">
            <v>GUARDIAN FIBERGLASS</v>
          </cell>
          <cell r="G1687" t="str">
            <v>D</v>
          </cell>
          <cell r="H1687" t="str">
            <v>ALBION</v>
          </cell>
          <cell r="I1687" t="str">
            <v>MI</v>
          </cell>
          <cell r="J1687" t="str">
            <v>USA</v>
          </cell>
          <cell r="K1687" t="str">
            <v>GUARDIAN FIBERGLASS</v>
          </cell>
          <cell r="L1687" t="str">
            <v>MI</v>
          </cell>
          <cell r="M1687" t="str">
            <v>USA</v>
          </cell>
          <cell r="N1687" t="str">
            <v>C</v>
          </cell>
          <cell r="O1687">
            <v>22060400</v>
          </cell>
          <cell r="P1687" t="str">
            <v>V-BOR STD BULK (004)</v>
          </cell>
          <cell r="Q1687" t="str">
            <v>Penta</v>
          </cell>
          <cell r="R1687">
            <v>862.85</v>
          </cell>
          <cell r="S1687">
            <v>276284.55</v>
          </cell>
        </row>
        <row r="1688">
          <cell r="A1688" t="str">
            <v>Actual</v>
          </cell>
          <cell r="B1688">
            <v>1</v>
          </cell>
          <cell r="C1688" t="str">
            <v>Domestic</v>
          </cell>
          <cell r="D1688">
            <v>3</v>
          </cell>
          <cell r="E1688">
            <v>9568</v>
          </cell>
          <cell r="F1688" t="str">
            <v>GUARDIAN FIBERGLASS</v>
          </cell>
          <cell r="G1688" t="str">
            <v>D</v>
          </cell>
          <cell r="H1688" t="str">
            <v>ERIN</v>
          </cell>
          <cell r="I1688" t="str">
            <v>ON</v>
          </cell>
          <cell r="J1688" t="str">
            <v>CAN</v>
          </cell>
          <cell r="K1688" t="str">
            <v>GUARDIAN FIBERGLASS</v>
          </cell>
          <cell r="L1688" t="str">
            <v>ON</v>
          </cell>
          <cell r="M1688" t="str">
            <v>CAN</v>
          </cell>
          <cell r="N1688" t="str">
            <v>C</v>
          </cell>
          <cell r="O1688">
            <v>22060400</v>
          </cell>
          <cell r="P1688" t="str">
            <v>V-BOR STD BULK (004)</v>
          </cell>
          <cell r="Q1688" t="str">
            <v>Penta</v>
          </cell>
          <cell r="R1688">
            <v>263.92</v>
          </cell>
          <cell r="S1688">
            <v>66518.38</v>
          </cell>
        </row>
        <row r="1689">
          <cell r="A1689" t="str">
            <v>Actual</v>
          </cell>
          <cell r="B1689">
            <v>1</v>
          </cell>
          <cell r="C1689" t="str">
            <v>Domestic</v>
          </cell>
          <cell r="D1689">
            <v>3</v>
          </cell>
          <cell r="E1689">
            <v>9579</v>
          </cell>
          <cell r="F1689" t="str">
            <v>SAINT GOBAIN CONTAINERS</v>
          </cell>
          <cell r="G1689" t="str">
            <v>D</v>
          </cell>
          <cell r="H1689" t="str">
            <v>BURLINGTON</v>
          </cell>
          <cell r="I1689" t="str">
            <v>WI</v>
          </cell>
          <cell r="J1689" t="str">
            <v>USA</v>
          </cell>
          <cell r="K1689" t="str">
            <v>SAINT GOBAIN CONTAINERS</v>
          </cell>
          <cell r="L1689" t="str">
            <v>WI</v>
          </cell>
          <cell r="M1689" t="str">
            <v>USA</v>
          </cell>
          <cell r="N1689" t="str">
            <v>C</v>
          </cell>
          <cell r="O1689">
            <v>40060410</v>
          </cell>
          <cell r="P1689" t="str">
            <v>SODIUM SULFATE STD 50LB BAG</v>
          </cell>
          <cell r="Q1689" t="str">
            <v>Sodium Sulfate</v>
          </cell>
          <cell r="R1689">
            <v>31.25</v>
          </cell>
          <cell r="S1689">
            <v>4632.3999999999996</v>
          </cell>
        </row>
        <row r="1690">
          <cell r="A1690" t="str">
            <v>Actual</v>
          </cell>
          <cell r="B1690">
            <v>1</v>
          </cell>
          <cell r="C1690" t="str">
            <v>Domestic</v>
          </cell>
          <cell r="D1690">
            <v>3</v>
          </cell>
          <cell r="E1690">
            <v>9579</v>
          </cell>
          <cell r="F1690" t="str">
            <v>SAINT GOBAIN CONTAINERS</v>
          </cell>
          <cell r="G1690" t="str">
            <v>D</v>
          </cell>
          <cell r="H1690" t="str">
            <v>BURLINGTON</v>
          </cell>
          <cell r="I1690" t="str">
            <v>WI</v>
          </cell>
          <cell r="J1690" t="str">
            <v>USA</v>
          </cell>
          <cell r="K1690" t="str">
            <v>SAINT GOBAIN CONTAINERS</v>
          </cell>
          <cell r="L1690" t="str">
            <v>WI</v>
          </cell>
          <cell r="M1690" t="str">
            <v>USA</v>
          </cell>
          <cell r="N1690" t="str">
            <v>C</v>
          </cell>
          <cell r="O1690">
            <v>40150400</v>
          </cell>
          <cell r="P1690" t="str">
            <v>SODIUM SULFATE COARSE BULK</v>
          </cell>
          <cell r="Q1690" t="str">
            <v>Sodium Sulfate</v>
          </cell>
          <cell r="R1690">
            <v>47.22</v>
          </cell>
          <cell r="S1690">
            <v>2412.71</v>
          </cell>
        </row>
        <row r="1691">
          <cell r="A1691" t="str">
            <v>Actual</v>
          </cell>
          <cell r="B1691">
            <v>1</v>
          </cell>
          <cell r="C1691" t="str">
            <v>Domestic</v>
          </cell>
          <cell r="D1691">
            <v>3</v>
          </cell>
          <cell r="E1691">
            <v>9603</v>
          </cell>
          <cell r="F1691" t="str">
            <v>KNAUF INSULATION</v>
          </cell>
          <cell r="G1691" t="str">
            <v>D</v>
          </cell>
          <cell r="H1691" t="str">
            <v>SHASTA LAKE</v>
          </cell>
          <cell r="I1691" t="str">
            <v>CA</v>
          </cell>
          <cell r="J1691" t="str">
            <v>USA</v>
          </cell>
          <cell r="K1691" t="str">
            <v>KNAUF INSULATION</v>
          </cell>
          <cell r="L1691" t="str">
            <v>CA</v>
          </cell>
          <cell r="M1691" t="str">
            <v>USA</v>
          </cell>
          <cell r="N1691" t="str">
            <v>D</v>
          </cell>
          <cell r="O1691">
            <v>30210100</v>
          </cell>
          <cell r="P1691" t="str">
            <v>SODA ASH DENSE BULK</v>
          </cell>
          <cell r="Q1691" t="str">
            <v>Soda Ash</v>
          </cell>
          <cell r="R1691">
            <v>108.07</v>
          </cell>
          <cell r="S1691">
            <v>8969.81</v>
          </cell>
        </row>
        <row r="1692">
          <cell r="A1692" t="str">
            <v>Actual</v>
          </cell>
          <cell r="B1692">
            <v>1</v>
          </cell>
          <cell r="C1692" t="str">
            <v>Domestic</v>
          </cell>
          <cell r="D1692">
            <v>4</v>
          </cell>
          <cell r="E1692">
            <v>5021</v>
          </cell>
          <cell r="F1692" t="str">
            <v>GULF CHEMICAL &amp; METALLURGICAL</v>
          </cell>
          <cell r="G1692" t="str">
            <v>D</v>
          </cell>
          <cell r="H1692" t="str">
            <v>FREEPORT</v>
          </cell>
          <cell r="I1692" t="str">
            <v>TX</v>
          </cell>
          <cell r="J1692" t="str">
            <v>USA</v>
          </cell>
          <cell r="K1692" t="str">
            <v>GULF CHEMICAL &amp; METALLURGICAL</v>
          </cell>
          <cell r="L1692" t="str">
            <v>TX</v>
          </cell>
          <cell r="M1692" t="str">
            <v>USA</v>
          </cell>
          <cell r="N1692" t="str">
            <v>C</v>
          </cell>
          <cell r="O1692">
            <v>30210100</v>
          </cell>
          <cell r="P1692" t="str">
            <v>SODA ASH DENSE BULK</v>
          </cell>
          <cell r="Q1692" t="str">
            <v>Soda Ash</v>
          </cell>
          <cell r="R1692">
            <v>715.31</v>
          </cell>
          <cell r="S1692">
            <v>71084.3</v>
          </cell>
        </row>
        <row r="1693">
          <cell r="A1693" t="str">
            <v>Actual</v>
          </cell>
          <cell r="B1693">
            <v>1</v>
          </cell>
          <cell r="C1693" t="str">
            <v>Domestic</v>
          </cell>
          <cell r="D1693">
            <v>4</v>
          </cell>
          <cell r="E1693">
            <v>5021</v>
          </cell>
          <cell r="F1693" t="str">
            <v>GULF CHEMICAL &amp; METALLURGICAL</v>
          </cell>
          <cell r="G1693" t="str">
            <v>D</v>
          </cell>
          <cell r="H1693" t="str">
            <v>FREEPORT</v>
          </cell>
          <cell r="I1693" t="str">
            <v>TX</v>
          </cell>
          <cell r="J1693" t="str">
            <v>USA</v>
          </cell>
          <cell r="K1693" t="str">
            <v>GULF CHEMICAL &amp; METALLURGICAL</v>
          </cell>
          <cell r="L1693" t="str">
            <v>TX</v>
          </cell>
          <cell r="M1693" t="str">
            <v>USA</v>
          </cell>
          <cell r="N1693" t="str">
            <v>C</v>
          </cell>
          <cell r="O1693">
            <v>30219100</v>
          </cell>
          <cell r="P1693" t="str">
            <v>SODA ASH DENSE BULK (091)</v>
          </cell>
          <cell r="Q1693" t="str">
            <v>Soda Ash</v>
          </cell>
          <cell r="R1693">
            <v>0</v>
          </cell>
          <cell r="S1693">
            <v>-426.74</v>
          </cell>
        </row>
        <row r="1694">
          <cell r="A1694" t="str">
            <v>Actual</v>
          </cell>
          <cell r="B1694">
            <v>1</v>
          </cell>
          <cell r="C1694" t="str">
            <v>Domestic</v>
          </cell>
          <cell r="D1694">
            <v>4</v>
          </cell>
          <cell r="E1694">
            <v>5025</v>
          </cell>
          <cell r="F1694" t="str">
            <v>QUEMETCO, INC.</v>
          </cell>
          <cell r="G1694" t="str">
            <v>D</v>
          </cell>
          <cell r="H1694" t="str">
            <v>CITY OF INDUSTRY</v>
          </cell>
          <cell r="I1694" t="str">
            <v>CA</v>
          </cell>
          <cell r="J1694" t="str">
            <v>USA</v>
          </cell>
          <cell r="K1694" t="str">
            <v>QUEMETCO, INC.</v>
          </cell>
          <cell r="L1694" t="str">
            <v>CA</v>
          </cell>
          <cell r="M1694" t="str">
            <v>USA</v>
          </cell>
          <cell r="N1694" t="str">
            <v>C</v>
          </cell>
          <cell r="O1694">
            <v>30210100</v>
          </cell>
          <cell r="P1694" t="str">
            <v>SODA ASH DENSE BULK</v>
          </cell>
          <cell r="Q1694" t="str">
            <v>Soda Ash</v>
          </cell>
          <cell r="R1694">
            <v>1792.47</v>
          </cell>
          <cell r="S1694">
            <v>153309.5</v>
          </cell>
        </row>
        <row r="1695">
          <cell r="A1695" t="str">
            <v>Actual</v>
          </cell>
          <cell r="B1695">
            <v>1</v>
          </cell>
          <cell r="C1695" t="str">
            <v>Domestic</v>
          </cell>
          <cell r="D1695">
            <v>4</v>
          </cell>
          <cell r="E1695">
            <v>5045</v>
          </cell>
          <cell r="F1695" t="str">
            <v>AFG VICTORVILLE PLANT</v>
          </cell>
          <cell r="G1695" t="str">
            <v>D</v>
          </cell>
          <cell r="H1695" t="str">
            <v>VICTORVILLE</v>
          </cell>
          <cell r="I1695" t="str">
            <v>CA</v>
          </cell>
          <cell r="J1695" t="str">
            <v>USA</v>
          </cell>
          <cell r="K1695" t="str">
            <v>AFG VICTORVILLE PLANT</v>
          </cell>
          <cell r="L1695" t="str">
            <v>CA</v>
          </cell>
          <cell r="M1695" t="str">
            <v>USA</v>
          </cell>
          <cell r="N1695" t="str">
            <v>C</v>
          </cell>
          <cell r="O1695">
            <v>40150400</v>
          </cell>
          <cell r="P1695" t="str">
            <v>SODIUM SULFATE COARSE BULK</v>
          </cell>
          <cell r="Q1695" t="str">
            <v>Sodium Sulfate</v>
          </cell>
          <cell r="R1695">
            <v>26.05</v>
          </cell>
          <cell r="S1695">
            <v>2550.77</v>
          </cell>
        </row>
        <row r="1696">
          <cell r="A1696" t="str">
            <v>Actual</v>
          </cell>
          <cell r="B1696">
            <v>1</v>
          </cell>
          <cell r="C1696" t="str">
            <v>Domestic</v>
          </cell>
          <cell r="D1696">
            <v>4</v>
          </cell>
          <cell r="E1696">
            <v>5405</v>
          </cell>
          <cell r="F1696" t="str">
            <v>GREIF BROTHERS CORPORATION</v>
          </cell>
          <cell r="G1696" t="str">
            <v>D</v>
          </cell>
          <cell r="H1696" t="str">
            <v>RIVERVILLE</v>
          </cell>
          <cell r="I1696" t="str">
            <v>VA</v>
          </cell>
          <cell r="J1696" t="str">
            <v>USA</v>
          </cell>
          <cell r="K1696" t="str">
            <v>GREIF BROTHERS CORPORATION</v>
          </cell>
          <cell r="L1696" t="str">
            <v>VA</v>
          </cell>
          <cell r="M1696" t="str">
            <v>USA</v>
          </cell>
          <cell r="N1696" t="str">
            <v>C</v>
          </cell>
          <cell r="O1696">
            <v>30219100</v>
          </cell>
          <cell r="P1696" t="str">
            <v>SODA ASH DENSE BULK (091)</v>
          </cell>
          <cell r="Q1696" t="str">
            <v>Soda Ash</v>
          </cell>
          <cell r="R1696">
            <v>0</v>
          </cell>
          <cell r="S1696">
            <v>8.75</v>
          </cell>
        </row>
        <row r="1697">
          <cell r="A1697" t="str">
            <v>Actual</v>
          </cell>
          <cell r="B1697">
            <v>1</v>
          </cell>
          <cell r="C1697" t="str">
            <v>Domestic</v>
          </cell>
          <cell r="D1697">
            <v>4</v>
          </cell>
          <cell r="E1697">
            <v>5545</v>
          </cell>
          <cell r="F1697" t="str">
            <v>UNIVAR USA</v>
          </cell>
          <cell r="G1697" t="str">
            <v>D</v>
          </cell>
          <cell r="H1697" t="str">
            <v>NORCROSS</v>
          </cell>
          <cell r="I1697" t="str">
            <v>GA</v>
          </cell>
          <cell r="J1697" t="str">
            <v>USA</v>
          </cell>
          <cell r="K1697" t="str">
            <v>UNIVAR USA</v>
          </cell>
          <cell r="L1697" t="str">
            <v>GA</v>
          </cell>
          <cell r="M1697" t="str">
            <v>USA</v>
          </cell>
          <cell r="N1697" t="str">
            <v>D</v>
          </cell>
          <cell r="O1697">
            <v>22060410</v>
          </cell>
          <cell r="P1697" t="str">
            <v>V-BOR 50LB BAG (004)</v>
          </cell>
          <cell r="Q1697" t="str">
            <v>Penta</v>
          </cell>
          <cell r="R1697">
            <v>7.35</v>
          </cell>
          <cell r="S1697">
            <v>2257.9038</v>
          </cell>
        </row>
        <row r="1698">
          <cell r="A1698" t="str">
            <v>Actual</v>
          </cell>
          <cell r="B1698">
            <v>1</v>
          </cell>
          <cell r="C1698" t="str">
            <v>Domestic</v>
          </cell>
          <cell r="D1698">
            <v>4</v>
          </cell>
          <cell r="E1698">
            <v>5545</v>
          </cell>
          <cell r="F1698" t="str">
            <v>UNIVAR USA</v>
          </cell>
          <cell r="G1698" t="str">
            <v>D</v>
          </cell>
          <cell r="H1698" t="str">
            <v>NORCROSS</v>
          </cell>
          <cell r="I1698" t="str">
            <v>GA</v>
          </cell>
          <cell r="J1698" t="str">
            <v>USA</v>
          </cell>
          <cell r="K1698" t="str">
            <v>UNIVAR USA</v>
          </cell>
          <cell r="L1698" t="str">
            <v>GA</v>
          </cell>
          <cell r="M1698" t="str">
            <v>USA</v>
          </cell>
          <cell r="N1698" t="str">
            <v>D</v>
          </cell>
          <cell r="O1698">
            <v>24090210</v>
          </cell>
          <cell r="P1698" t="str">
            <v>BORIC ACID GRAN TECH 50LB BAG</v>
          </cell>
          <cell r="Q1698" t="str">
            <v>Boric Acid</v>
          </cell>
          <cell r="R1698">
            <v>3.6749999999999998</v>
          </cell>
          <cell r="S1698">
            <v>2119.9935999999998</v>
          </cell>
        </row>
        <row r="1699">
          <cell r="A1699" t="str">
            <v>Actual</v>
          </cell>
          <cell r="B1699">
            <v>1</v>
          </cell>
          <cell r="C1699" t="str">
            <v>Domestic</v>
          </cell>
          <cell r="D1699">
            <v>4</v>
          </cell>
          <cell r="E1699">
            <v>5545</v>
          </cell>
          <cell r="F1699" t="str">
            <v>UNIVAR USA</v>
          </cell>
          <cell r="G1699" t="str">
            <v>D</v>
          </cell>
          <cell r="H1699" t="str">
            <v>NORCROSS</v>
          </cell>
          <cell r="I1699" t="str">
            <v>GA</v>
          </cell>
          <cell r="J1699" t="str">
            <v>USA</v>
          </cell>
          <cell r="K1699" t="str">
            <v>UNIVAR USA</v>
          </cell>
          <cell r="L1699" t="str">
            <v>GA</v>
          </cell>
          <cell r="M1699" t="str">
            <v>USA</v>
          </cell>
          <cell r="N1699" t="str">
            <v>D</v>
          </cell>
          <cell r="O1699">
            <v>40160450</v>
          </cell>
          <cell r="P1699" t="str">
            <v>SODIUM SULFATE PREM 1TN FIBC</v>
          </cell>
          <cell r="Q1699" t="str">
            <v>Sodium Sulfate</v>
          </cell>
          <cell r="R1699">
            <v>10</v>
          </cell>
          <cell r="S1699">
            <v>1073.7526</v>
          </cell>
        </row>
        <row r="1700">
          <cell r="A1700" t="str">
            <v>Actual</v>
          </cell>
          <cell r="B1700">
            <v>1</v>
          </cell>
          <cell r="C1700" t="str">
            <v>Domestic</v>
          </cell>
          <cell r="D1700">
            <v>4</v>
          </cell>
          <cell r="E1700">
            <v>5550</v>
          </cell>
          <cell r="F1700" t="str">
            <v>TEXAS INDUSTRIES, INC.</v>
          </cell>
          <cell r="G1700" t="str">
            <v>D</v>
          </cell>
          <cell r="H1700" t="str">
            <v>MIDLOTHIAN</v>
          </cell>
          <cell r="I1700" t="str">
            <v>TX</v>
          </cell>
          <cell r="J1700" t="str">
            <v>USA</v>
          </cell>
          <cell r="K1700" t="str">
            <v>TEXAS INDUSTRIES, INC.</v>
          </cell>
          <cell r="L1700" t="str">
            <v>TX</v>
          </cell>
          <cell r="M1700" t="str">
            <v>USA</v>
          </cell>
          <cell r="N1700" t="str">
            <v>C</v>
          </cell>
          <cell r="O1700">
            <v>30210100</v>
          </cell>
          <cell r="P1700" t="str">
            <v>SODA ASH DENSE BULK</v>
          </cell>
          <cell r="Q1700" t="str">
            <v>Soda Ash</v>
          </cell>
          <cell r="R1700">
            <v>176.29</v>
          </cell>
          <cell r="S1700">
            <v>14284.7</v>
          </cell>
        </row>
        <row r="1701">
          <cell r="A1701" t="str">
            <v>Actual</v>
          </cell>
          <cell r="B1701">
            <v>1</v>
          </cell>
          <cell r="C1701" t="str">
            <v>Domestic</v>
          </cell>
          <cell r="D1701">
            <v>4</v>
          </cell>
          <cell r="E1701">
            <v>6145</v>
          </cell>
          <cell r="F1701" t="str">
            <v>BRENNTAG SOUTHEAST, INC.</v>
          </cell>
          <cell r="G1701" t="str">
            <v>D</v>
          </cell>
          <cell r="H1701" t="str">
            <v>FLORENCE</v>
          </cell>
          <cell r="I1701" t="str">
            <v>SC</v>
          </cell>
          <cell r="J1701" t="str">
            <v>USA</v>
          </cell>
          <cell r="K1701" t="str">
            <v>BRENNTAG SOUTHEAST, INC.</v>
          </cell>
          <cell r="L1701" t="str">
            <v>NC</v>
          </cell>
          <cell r="M1701" t="str">
            <v>USA</v>
          </cell>
          <cell r="N1701" t="str">
            <v>D</v>
          </cell>
          <cell r="O1701">
            <v>24629792</v>
          </cell>
          <cell r="P1701" t="str">
            <v>BORIC ACID EP GRAN 150KG DRUM</v>
          </cell>
          <cell r="Q1701" t="str">
            <v>HP Boric Acid (SCL)</v>
          </cell>
          <cell r="R1701">
            <v>5.2910000000000004</v>
          </cell>
          <cell r="S1701">
            <v>8802.26</v>
          </cell>
        </row>
        <row r="1702">
          <cell r="A1702" t="str">
            <v>Actual</v>
          </cell>
          <cell r="B1702">
            <v>1</v>
          </cell>
          <cell r="C1702" t="str">
            <v>Domestic</v>
          </cell>
          <cell r="D1702">
            <v>4</v>
          </cell>
          <cell r="E1702">
            <v>6146</v>
          </cell>
          <cell r="F1702" t="str">
            <v>BRENNTAG SOUTHEAST, INC.</v>
          </cell>
          <cell r="G1702" t="str">
            <v>D</v>
          </cell>
          <cell r="H1702" t="str">
            <v>DURHAM</v>
          </cell>
          <cell r="I1702" t="str">
            <v>NC</v>
          </cell>
          <cell r="J1702" t="str">
            <v>USA</v>
          </cell>
          <cell r="K1702" t="str">
            <v>BRENNTAG SOUTHEAST, INC.</v>
          </cell>
          <cell r="L1702" t="str">
            <v>NC</v>
          </cell>
          <cell r="M1702" t="str">
            <v>USA</v>
          </cell>
          <cell r="N1702" t="str">
            <v>D</v>
          </cell>
          <cell r="O1702">
            <v>24090210</v>
          </cell>
          <cell r="P1702" t="str">
            <v>BORIC ACID GRAN TECH 50LB BAG</v>
          </cell>
          <cell r="Q1702" t="str">
            <v>Boric Acid</v>
          </cell>
          <cell r="R1702">
            <v>0</v>
          </cell>
          <cell r="S1702">
            <v>-92.68</v>
          </cell>
        </row>
        <row r="1703">
          <cell r="A1703" t="str">
            <v>Actual</v>
          </cell>
          <cell r="B1703">
            <v>1</v>
          </cell>
          <cell r="C1703" t="str">
            <v>Domestic</v>
          </cell>
          <cell r="D1703">
            <v>4</v>
          </cell>
          <cell r="E1703">
            <v>6537</v>
          </cell>
          <cell r="F1703" t="str">
            <v>IMC PHOSPHATES MP INC</v>
          </cell>
          <cell r="G1703" t="str">
            <v>D</v>
          </cell>
          <cell r="H1703" t="str">
            <v>FOUR CORNERS</v>
          </cell>
          <cell r="I1703" t="str">
            <v>FL</v>
          </cell>
          <cell r="J1703" t="str">
            <v>USA</v>
          </cell>
          <cell r="K1703" t="str">
            <v>IMC PHOSPHATES MP INC</v>
          </cell>
          <cell r="L1703" t="str">
            <v>FL</v>
          </cell>
          <cell r="M1703" t="str">
            <v>USA</v>
          </cell>
          <cell r="N1703" t="str">
            <v>C</v>
          </cell>
          <cell r="O1703">
            <v>30210100</v>
          </cell>
          <cell r="P1703" t="str">
            <v>SODA ASH DENSE BULK</v>
          </cell>
          <cell r="Q1703" t="str">
            <v>Soda Ash</v>
          </cell>
          <cell r="R1703">
            <v>882.05</v>
          </cell>
          <cell r="S1703">
            <v>48694.63</v>
          </cell>
        </row>
        <row r="1704">
          <cell r="A1704" t="str">
            <v>Actual</v>
          </cell>
          <cell r="B1704">
            <v>1</v>
          </cell>
          <cell r="C1704" t="str">
            <v>Domestic</v>
          </cell>
          <cell r="D1704">
            <v>4</v>
          </cell>
          <cell r="E1704">
            <v>6538</v>
          </cell>
          <cell r="F1704" t="str">
            <v>IMC PHOSPHATES MP INC</v>
          </cell>
          <cell r="G1704" t="str">
            <v>D</v>
          </cell>
          <cell r="H1704" t="str">
            <v>PIERCE</v>
          </cell>
          <cell r="I1704" t="str">
            <v>FL</v>
          </cell>
          <cell r="J1704" t="str">
            <v>USA</v>
          </cell>
          <cell r="K1704" t="str">
            <v>IMC PHOSPHATES MP INC</v>
          </cell>
          <cell r="L1704" t="str">
            <v>FL</v>
          </cell>
          <cell r="M1704" t="str">
            <v>USA</v>
          </cell>
          <cell r="N1704" t="str">
            <v>C</v>
          </cell>
          <cell r="O1704">
            <v>30210100</v>
          </cell>
          <cell r="P1704" t="str">
            <v>SODA ASH DENSE BULK</v>
          </cell>
          <cell r="Q1704" t="str">
            <v>Soda Ash</v>
          </cell>
          <cell r="R1704">
            <v>331.32499999999999</v>
          </cell>
          <cell r="S1704">
            <v>21010.74</v>
          </cell>
        </row>
        <row r="1705">
          <cell r="A1705" t="str">
            <v>Actual</v>
          </cell>
          <cell r="B1705">
            <v>1</v>
          </cell>
          <cell r="C1705" t="str">
            <v>Domestic</v>
          </cell>
          <cell r="D1705">
            <v>4</v>
          </cell>
          <cell r="E1705">
            <v>6549</v>
          </cell>
          <cell r="F1705" t="str">
            <v>EXIDE CORPORATION</v>
          </cell>
          <cell r="G1705" t="str">
            <v>D</v>
          </cell>
          <cell r="H1705" t="str">
            <v>LOS ANGELES</v>
          </cell>
          <cell r="I1705" t="str">
            <v>CA</v>
          </cell>
          <cell r="J1705" t="str">
            <v>USA</v>
          </cell>
          <cell r="K1705" t="str">
            <v>EXIDE CORPORATION</v>
          </cell>
          <cell r="L1705" t="str">
            <v>CA</v>
          </cell>
          <cell r="M1705" t="str">
            <v>USA</v>
          </cell>
          <cell r="N1705" t="str">
            <v>C</v>
          </cell>
          <cell r="O1705">
            <v>30210100</v>
          </cell>
          <cell r="P1705" t="str">
            <v>SODA ASH DENSE BULK</v>
          </cell>
          <cell r="Q1705" t="str">
            <v>Soda Ash</v>
          </cell>
          <cell r="R1705">
            <v>1402.57</v>
          </cell>
          <cell r="S1705">
            <v>116610.14</v>
          </cell>
        </row>
        <row r="1706">
          <cell r="A1706" t="str">
            <v>Actual</v>
          </cell>
          <cell r="B1706">
            <v>1</v>
          </cell>
          <cell r="C1706" t="str">
            <v>Domestic</v>
          </cell>
          <cell r="D1706">
            <v>4</v>
          </cell>
          <cell r="E1706">
            <v>6577</v>
          </cell>
          <cell r="F1706" t="str">
            <v>HOOVER TREATED WOOD PRODUCTS</v>
          </cell>
          <cell r="G1706" t="str">
            <v>D</v>
          </cell>
          <cell r="H1706" t="str">
            <v>DILLARD</v>
          </cell>
          <cell r="I1706" t="str">
            <v>OR</v>
          </cell>
          <cell r="J1706" t="str">
            <v>USA</v>
          </cell>
          <cell r="K1706" t="str">
            <v>HOOVER TREATED WOOD PRODUCTS</v>
          </cell>
          <cell r="L1706" t="str">
            <v>OR</v>
          </cell>
          <cell r="M1706" t="str">
            <v>USA</v>
          </cell>
          <cell r="N1706" t="str">
            <v>C</v>
          </cell>
          <cell r="O1706">
            <v>23060210</v>
          </cell>
          <cell r="P1706" t="str">
            <v>DECA BORAX STD 50LB BAG</v>
          </cell>
          <cell r="Q1706" t="str">
            <v>Deca</v>
          </cell>
          <cell r="R1706">
            <v>11.025</v>
          </cell>
          <cell r="S1706">
            <v>2987.78</v>
          </cell>
        </row>
        <row r="1707">
          <cell r="A1707" t="str">
            <v>Actual</v>
          </cell>
          <cell r="B1707">
            <v>1</v>
          </cell>
          <cell r="C1707" t="str">
            <v>Domestic</v>
          </cell>
          <cell r="D1707">
            <v>4</v>
          </cell>
          <cell r="E1707">
            <v>6577</v>
          </cell>
          <cell r="F1707" t="str">
            <v>HOOVER TREATED WOOD PRODUCTS</v>
          </cell>
          <cell r="G1707" t="str">
            <v>D</v>
          </cell>
          <cell r="H1707" t="str">
            <v>DILLARD</v>
          </cell>
          <cell r="I1707" t="str">
            <v>OR</v>
          </cell>
          <cell r="J1707" t="str">
            <v>USA</v>
          </cell>
          <cell r="K1707" t="str">
            <v>HOOVER TREATED WOOD PRODUCTS</v>
          </cell>
          <cell r="L1707" t="str">
            <v>OR</v>
          </cell>
          <cell r="M1707" t="str">
            <v>USA</v>
          </cell>
          <cell r="N1707" t="str">
            <v>C</v>
          </cell>
          <cell r="O1707">
            <v>24090210</v>
          </cell>
          <cell r="P1707" t="str">
            <v>BORIC ACID GRAN TECH 50LB BAG</v>
          </cell>
          <cell r="Q1707" t="str">
            <v>Boric Acid</v>
          </cell>
          <cell r="R1707">
            <v>11.025</v>
          </cell>
          <cell r="S1707">
            <v>6383.48</v>
          </cell>
        </row>
        <row r="1708">
          <cell r="A1708" t="str">
            <v>Actual</v>
          </cell>
          <cell r="B1708">
            <v>1</v>
          </cell>
          <cell r="C1708" t="str">
            <v>Domestic</v>
          </cell>
          <cell r="D1708">
            <v>4</v>
          </cell>
          <cell r="E1708">
            <v>6587</v>
          </cell>
          <cell r="F1708" t="str">
            <v>INDUSTRIAL CHEMICAL COMPANY</v>
          </cell>
          <cell r="G1708" t="str">
            <v>D</v>
          </cell>
          <cell r="H1708" t="str">
            <v>BIRMINGHAM</v>
          </cell>
          <cell r="I1708" t="str">
            <v>AL</v>
          </cell>
          <cell r="J1708" t="str">
            <v>USA</v>
          </cell>
          <cell r="K1708" t="str">
            <v>INDUSTRIAL CHEMICAL COMPANY</v>
          </cell>
          <cell r="L1708" t="str">
            <v>AL</v>
          </cell>
          <cell r="M1708" t="str">
            <v>USA</v>
          </cell>
          <cell r="N1708" t="str">
            <v>D</v>
          </cell>
          <cell r="O1708">
            <v>24230250</v>
          </cell>
          <cell r="P1708" t="str">
            <v>BORIC ACID GRAN TECH 1TN FIBC</v>
          </cell>
          <cell r="Q1708" t="str">
            <v>Boric Acid</v>
          </cell>
          <cell r="R1708">
            <v>110</v>
          </cell>
          <cell r="S1708">
            <v>45572.71</v>
          </cell>
        </row>
        <row r="1709">
          <cell r="A1709" t="str">
            <v>Actual</v>
          </cell>
          <cell r="B1709">
            <v>1</v>
          </cell>
          <cell r="C1709" t="str">
            <v>Domestic</v>
          </cell>
          <cell r="D1709">
            <v>4</v>
          </cell>
          <cell r="E1709">
            <v>6587</v>
          </cell>
          <cell r="F1709" t="str">
            <v>INDUSTRIAL CHEMICAL COMPANY</v>
          </cell>
          <cell r="G1709" t="str">
            <v>D</v>
          </cell>
          <cell r="H1709" t="str">
            <v>BIRMINGHAM</v>
          </cell>
          <cell r="I1709" t="str">
            <v>AL</v>
          </cell>
          <cell r="J1709" t="str">
            <v>USA</v>
          </cell>
          <cell r="K1709" t="str">
            <v>INDUSTRIAL CHEMICAL COMPANY</v>
          </cell>
          <cell r="L1709" t="str">
            <v>AL</v>
          </cell>
          <cell r="M1709" t="str">
            <v>USA</v>
          </cell>
          <cell r="N1709" t="str">
            <v>D</v>
          </cell>
          <cell r="O1709">
            <v>30210100</v>
          </cell>
          <cell r="P1709" t="str">
            <v>SODA ASH DENSE BULK</v>
          </cell>
          <cell r="Q1709" t="str">
            <v>Soda Ash</v>
          </cell>
          <cell r="R1709">
            <v>417.56</v>
          </cell>
          <cell r="S1709">
            <v>33433.949999999997</v>
          </cell>
        </row>
        <row r="1710">
          <cell r="A1710" t="str">
            <v>Actual</v>
          </cell>
          <cell r="B1710">
            <v>1</v>
          </cell>
          <cell r="C1710" t="str">
            <v>Domestic</v>
          </cell>
          <cell r="D1710">
            <v>4</v>
          </cell>
          <cell r="E1710">
            <v>6587</v>
          </cell>
          <cell r="F1710" t="str">
            <v>INDUSTRIAL CHEMICAL COMPANY</v>
          </cell>
          <cell r="G1710" t="str">
            <v>D</v>
          </cell>
          <cell r="H1710" t="str">
            <v>BIRMINGHAM</v>
          </cell>
          <cell r="I1710" t="str">
            <v>AL</v>
          </cell>
          <cell r="J1710" t="str">
            <v>USA</v>
          </cell>
          <cell r="K1710" t="str">
            <v>INDUSTRIAL CHEMICAL COMPANY</v>
          </cell>
          <cell r="L1710" t="str">
            <v>AL</v>
          </cell>
          <cell r="M1710" t="str">
            <v>USA</v>
          </cell>
          <cell r="N1710" t="str">
            <v>D</v>
          </cell>
          <cell r="O1710">
            <v>40060400</v>
          </cell>
          <cell r="P1710" t="str">
            <v>SODIUM SULFATE STANDARD BULK</v>
          </cell>
          <cell r="Q1710" t="str">
            <v>Sodium Sulfate</v>
          </cell>
          <cell r="R1710">
            <v>218.6</v>
          </cell>
          <cell r="S1710">
            <v>9233.67</v>
          </cell>
        </row>
        <row r="1711">
          <cell r="A1711" t="str">
            <v>Actual</v>
          </cell>
          <cell r="B1711">
            <v>1</v>
          </cell>
          <cell r="C1711" t="str">
            <v>Domestic</v>
          </cell>
          <cell r="D1711">
            <v>4</v>
          </cell>
          <cell r="E1711">
            <v>6601</v>
          </cell>
          <cell r="F1711" t="str">
            <v>INTERNATIONAL CELLULOSE CORP</v>
          </cell>
          <cell r="G1711" t="str">
            <v>D</v>
          </cell>
          <cell r="H1711" t="str">
            <v>ALMEDA</v>
          </cell>
          <cell r="I1711" t="str">
            <v>TX</v>
          </cell>
          <cell r="J1711" t="str">
            <v>USA</v>
          </cell>
          <cell r="K1711" t="str">
            <v>INTERNATIONAL CELLULOSE CORP.</v>
          </cell>
          <cell r="L1711" t="str">
            <v>TX</v>
          </cell>
          <cell r="M1711" t="str">
            <v>USA</v>
          </cell>
          <cell r="N1711" t="str">
            <v>C</v>
          </cell>
          <cell r="O1711">
            <v>22060450</v>
          </cell>
          <cell r="P1711" t="str">
            <v>V-BOR 1TN FIBC (004)</v>
          </cell>
          <cell r="Q1711" t="str">
            <v>Penta</v>
          </cell>
          <cell r="R1711">
            <v>22</v>
          </cell>
          <cell r="S1711">
            <v>6625.2</v>
          </cell>
        </row>
        <row r="1712">
          <cell r="A1712" t="str">
            <v>Actual</v>
          </cell>
          <cell r="B1712">
            <v>1</v>
          </cell>
          <cell r="C1712" t="str">
            <v>Domestic</v>
          </cell>
          <cell r="D1712">
            <v>4</v>
          </cell>
          <cell r="E1712">
            <v>6601</v>
          </cell>
          <cell r="F1712" t="str">
            <v>INTERNATIONAL CELLULOSE CORP</v>
          </cell>
          <cell r="G1712" t="str">
            <v>D</v>
          </cell>
          <cell r="H1712" t="str">
            <v>ALMEDA</v>
          </cell>
          <cell r="I1712" t="str">
            <v>TX</v>
          </cell>
          <cell r="J1712" t="str">
            <v>USA</v>
          </cell>
          <cell r="K1712" t="str">
            <v>INTERNATIONAL CELLULOSE CORP.</v>
          </cell>
          <cell r="L1712" t="str">
            <v>TX</v>
          </cell>
          <cell r="M1712" t="str">
            <v>USA</v>
          </cell>
          <cell r="N1712" t="str">
            <v>C</v>
          </cell>
          <cell r="O1712">
            <v>24230250</v>
          </cell>
          <cell r="P1712" t="str">
            <v>BORIC ACID GRAN TECH 1TN FIBC</v>
          </cell>
          <cell r="Q1712" t="str">
            <v>Boric Acid</v>
          </cell>
          <cell r="R1712">
            <v>0</v>
          </cell>
          <cell r="S1712">
            <v>498.33</v>
          </cell>
        </row>
        <row r="1713">
          <cell r="A1713" t="str">
            <v>Actual</v>
          </cell>
          <cell r="B1713">
            <v>1</v>
          </cell>
          <cell r="C1713" t="str">
            <v>Domestic</v>
          </cell>
          <cell r="D1713">
            <v>4</v>
          </cell>
          <cell r="E1713">
            <v>6703</v>
          </cell>
          <cell r="F1713" t="str">
            <v>ROHM &amp; HAAS</v>
          </cell>
          <cell r="G1713" t="str">
            <v>D</v>
          </cell>
          <cell r="H1713" t="str">
            <v>ELMA</v>
          </cell>
          <cell r="I1713" t="str">
            <v>WA</v>
          </cell>
          <cell r="J1713" t="str">
            <v>USA</v>
          </cell>
          <cell r="K1713" t="str">
            <v>ROHM &amp; HAAS</v>
          </cell>
          <cell r="L1713" t="str">
            <v>WA</v>
          </cell>
          <cell r="M1713" t="str">
            <v>USA</v>
          </cell>
          <cell r="N1713" t="str">
            <v>C</v>
          </cell>
          <cell r="O1713">
            <v>24850200</v>
          </cell>
          <cell r="P1713" t="str">
            <v>BORIC ACID GR TECH PREM BULK</v>
          </cell>
          <cell r="Q1713" t="str">
            <v>Boric Acid</v>
          </cell>
          <cell r="R1713">
            <v>491.42500000000001</v>
          </cell>
          <cell r="S1713">
            <v>179903.45</v>
          </cell>
        </row>
        <row r="1714">
          <cell r="A1714" t="str">
            <v>Actual</v>
          </cell>
          <cell r="B1714">
            <v>1</v>
          </cell>
          <cell r="C1714" t="str">
            <v>Domestic</v>
          </cell>
          <cell r="D1714">
            <v>4</v>
          </cell>
          <cell r="E1714">
            <v>6975</v>
          </cell>
          <cell r="F1714" t="str">
            <v>BRENNTAG SOUTHWEST, INC.</v>
          </cell>
          <cell r="G1714" t="str">
            <v>D</v>
          </cell>
          <cell r="H1714" t="str">
            <v>ELMENDORF</v>
          </cell>
          <cell r="I1714" t="str">
            <v>TX</v>
          </cell>
          <cell r="J1714" t="str">
            <v>USA</v>
          </cell>
          <cell r="K1714" t="str">
            <v>BRENNTAG SOUTHWEST, INC.</v>
          </cell>
          <cell r="L1714" t="str">
            <v>TX</v>
          </cell>
          <cell r="M1714" t="str">
            <v>USA</v>
          </cell>
          <cell r="N1714" t="str">
            <v>D</v>
          </cell>
          <cell r="O1714">
            <v>23060210</v>
          </cell>
          <cell r="P1714" t="str">
            <v>DECA BORAX STD 50LB BAG</v>
          </cell>
          <cell r="Q1714" t="str">
            <v>Deca</v>
          </cell>
          <cell r="R1714">
            <v>6.125</v>
          </cell>
          <cell r="S1714">
            <v>2264.0446999999999</v>
          </cell>
        </row>
        <row r="1715">
          <cell r="A1715" t="str">
            <v>Actual</v>
          </cell>
          <cell r="B1715">
            <v>1</v>
          </cell>
          <cell r="C1715" t="str">
            <v>Domestic</v>
          </cell>
          <cell r="D1715">
            <v>4</v>
          </cell>
          <cell r="E1715">
            <v>6975</v>
          </cell>
          <cell r="F1715" t="str">
            <v>BRENNTAG SOUTHWEST, INC.</v>
          </cell>
          <cell r="G1715" t="str">
            <v>D</v>
          </cell>
          <cell r="H1715" t="str">
            <v>ELMENDORF</v>
          </cell>
          <cell r="I1715" t="str">
            <v>TX</v>
          </cell>
          <cell r="J1715" t="str">
            <v>USA</v>
          </cell>
          <cell r="K1715" t="str">
            <v>BRENNTAG SOUTHWEST, INC.</v>
          </cell>
          <cell r="L1715" t="str">
            <v>TX</v>
          </cell>
          <cell r="M1715" t="str">
            <v>USA</v>
          </cell>
          <cell r="N1715" t="str">
            <v>D</v>
          </cell>
          <cell r="O1715">
            <v>24090251</v>
          </cell>
          <cell r="P1715" t="str">
            <v>BORIC ACID GRN TCH 2200LB FIBC</v>
          </cell>
          <cell r="Q1715" t="str">
            <v>Boric Acid</v>
          </cell>
          <cell r="R1715">
            <v>49.5</v>
          </cell>
          <cell r="S1715">
            <v>24894.734700000001</v>
          </cell>
        </row>
        <row r="1716">
          <cell r="A1716" t="str">
            <v>Actual</v>
          </cell>
          <cell r="B1716">
            <v>1</v>
          </cell>
          <cell r="C1716" t="str">
            <v>Domestic</v>
          </cell>
          <cell r="D1716">
            <v>4</v>
          </cell>
          <cell r="E1716">
            <v>6975</v>
          </cell>
          <cell r="F1716" t="str">
            <v>BRENNTAG SOUTHWEST, INC.</v>
          </cell>
          <cell r="G1716" t="str">
            <v>D</v>
          </cell>
          <cell r="H1716" t="str">
            <v>ELMENDORF</v>
          </cell>
          <cell r="I1716" t="str">
            <v>TX</v>
          </cell>
          <cell r="J1716" t="str">
            <v>USA</v>
          </cell>
          <cell r="K1716" t="str">
            <v>BRENNTAG SOUTHWEST, INC.</v>
          </cell>
          <cell r="L1716" t="str">
            <v>TX</v>
          </cell>
          <cell r="M1716" t="str">
            <v>USA</v>
          </cell>
          <cell r="N1716" t="str">
            <v>D</v>
          </cell>
          <cell r="O1716">
            <v>40060410</v>
          </cell>
          <cell r="P1716" t="str">
            <v>SODIUM SULFATE STD 50LB BAG</v>
          </cell>
          <cell r="Q1716" t="str">
            <v>Sodium Sulfate</v>
          </cell>
          <cell r="R1716">
            <v>2.5</v>
          </cell>
          <cell r="S1716">
            <v>274.17059999999998</v>
          </cell>
        </row>
        <row r="1717">
          <cell r="A1717" t="str">
            <v>Actual</v>
          </cell>
          <cell r="B1717">
            <v>1</v>
          </cell>
          <cell r="C1717" t="str">
            <v>Domestic</v>
          </cell>
          <cell r="D1717">
            <v>4</v>
          </cell>
          <cell r="E1717">
            <v>7094</v>
          </cell>
          <cell r="F1717" t="str">
            <v>IMC PHOSPHATES MP INC</v>
          </cell>
          <cell r="G1717" t="str">
            <v>D</v>
          </cell>
          <cell r="H1717" t="str">
            <v>NEW WALES</v>
          </cell>
          <cell r="I1717" t="str">
            <v>FL</v>
          </cell>
          <cell r="J1717" t="str">
            <v>USA</v>
          </cell>
          <cell r="K1717" t="str">
            <v>IMC PHOSPHATES MP INC</v>
          </cell>
          <cell r="L1717" t="str">
            <v>FL</v>
          </cell>
          <cell r="M1717" t="str">
            <v>USA</v>
          </cell>
          <cell r="N1717" t="str">
            <v>C</v>
          </cell>
          <cell r="O1717">
            <v>30210100</v>
          </cell>
          <cell r="P1717" t="str">
            <v>SODA ASH DENSE BULK</v>
          </cell>
          <cell r="Q1717" t="str">
            <v>Soda Ash</v>
          </cell>
          <cell r="R1717">
            <v>1645.15</v>
          </cell>
          <cell r="S1717">
            <v>124991.2</v>
          </cell>
        </row>
        <row r="1718">
          <cell r="A1718" t="str">
            <v>Actual</v>
          </cell>
          <cell r="B1718">
            <v>1</v>
          </cell>
          <cell r="C1718" t="str">
            <v>Domestic</v>
          </cell>
          <cell r="D1718">
            <v>4</v>
          </cell>
          <cell r="E1718">
            <v>7442</v>
          </cell>
          <cell r="F1718" t="str">
            <v>GEORGIA PACIFIC</v>
          </cell>
          <cell r="G1718" t="str">
            <v>D</v>
          </cell>
          <cell r="H1718" t="str">
            <v>BRUNSWICK</v>
          </cell>
          <cell r="I1718" t="str">
            <v>GA</v>
          </cell>
          <cell r="J1718" t="str">
            <v>USA</v>
          </cell>
          <cell r="K1718" t="str">
            <v>UNIVAR USA</v>
          </cell>
          <cell r="L1718" t="str">
            <v>FL</v>
          </cell>
          <cell r="M1718" t="str">
            <v>USA</v>
          </cell>
          <cell r="N1718" t="str">
            <v>D</v>
          </cell>
          <cell r="O1718">
            <v>24090213</v>
          </cell>
          <cell r="P1718" t="str">
            <v>BORIC ACD GRN 50LB PULPABLE BG</v>
          </cell>
          <cell r="Q1718" t="str">
            <v>Boric Acid</v>
          </cell>
          <cell r="R1718">
            <v>22.05</v>
          </cell>
          <cell r="S1718">
            <v>9229.0499999999993</v>
          </cell>
        </row>
        <row r="1719">
          <cell r="A1719" t="str">
            <v>Actual</v>
          </cell>
          <cell r="B1719">
            <v>1</v>
          </cell>
          <cell r="C1719" t="str">
            <v>Domestic</v>
          </cell>
          <cell r="D1719">
            <v>4</v>
          </cell>
          <cell r="E1719">
            <v>7633</v>
          </cell>
          <cell r="F1719" t="str">
            <v>DUKE ENERGY CORPORATION</v>
          </cell>
          <cell r="G1719" t="str">
            <v>D</v>
          </cell>
          <cell r="H1719" t="str">
            <v>CHARLOTTE</v>
          </cell>
          <cell r="I1719" t="str">
            <v>NC</v>
          </cell>
          <cell r="J1719" t="str">
            <v>USA</v>
          </cell>
          <cell r="K1719" t="str">
            <v>BRENNTAG SOUTHEAST</v>
          </cell>
          <cell r="L1719" t="str">
            <v>NC</v>
          </cell>
          <cell r="M1719" t="str">
            <v>USA</v>
          </cell>
          <cell r="N1719" t="str">
            <v>D</v>
          </cell>
          <cell r="O1719">
            <v>23619792</v>
          </cell>
          <cell r="P1719" t="str">
            <v>DECA BORAX NS GRAN 150KG DRUM</v>
          </cell>
          <cell r="Q1719" t="str">
            <v>Boric Salt (SCL)</v>
          </cell>
          <cell r="R1719">
            <v>0</v>
          </cell>
          <cell r="S1719">
            <v>-176.07</v>
          </cell>
        </row>
        <row r="1720">
          <cell r="A1720" t="str">
            <v>Actual</v>
          </cell>
          <cell r="B1720">
            <v>1</v>
          </cell>
          <cell r="C1720" t="str">
            <v>Domestic</v>
          </cell>
          <cell r="D1720">
            <v>4</v>
          </cell>
          <cell r="E1720">
            <v>7646</v>
          </cell>
          <cell r="F1720" t="str">
            <v>DYCHO COMPANY INC.</v>
          </cell>
          <cell r="G1720" t="str">
            <v>D</v>
          </cell>
          <cell r="H1720" t="str">
            <v>NIOTA</v>
          </cell>
          <cell r="I1720" t="str">
            <v>TN</v>
          </cell>
          <cell r="J1720" t="str">
            <v>USA</v>
          </cell>
          <cell r="K1720" t="str">
            <v>DYCHO COMPANY INC.</v>
          </cell>
          <cell r="L1720" t="str">
            <v>TN</v>
          </cell>
          <cell r="M1720" t="str">
            <v>USA</v>
          </cell>
          <cell r="N1720" t="str">
            <v>D</v>
          </cell>
          <cell r="O1720">
            <v>22060410</v>
          </cell>
          <cell r="P1720" t="str">
            <v>V-BOR 50LB BAG (004)</v>
          </cell>
          <cell r="Q1720" t="str">
            <v>Penta</v>
          </cell>
          <cell r="R1720">
            <v>0</v>
          </cell>
          <cell r="S1720">
            <v>-32.203099999999999</v>
          </cell>
        </row>
        <row r="1721">
          <cell r="A1721" t="str">
            <v>Actual</v>
          </cell>
          <cell r="B1721">
            <v>1</v>
          </cell>
          <cell r="C1721" t="str">
            <v>Domestic</v>
          </cell>
          <cell r="D1721">
            <v>4</v>
          </cell>
          <cell r="E1721">
            <v>7646</v>
          </cell>
          <cell r="F1721" t="str">
            <v>DYCHO COMPANY INC.</v>
          </cell>
          <cell r="G1721" t="str">
            <v>D</v>
          </cell>
          <cell r="H1721" t="str">
            <v>NIOTA</v>
          </cell>
          <cell r="I1721" t="str">
            <v>TN</v>
          </cell>
          <cell r="J1721" t="str">
            <v>USA</v>
          </cell>
          <cell r="K1721" t="str">
            <v>DYCHO COMPANY INC.</v>
          </cell>
          <cell r="L1721" t="str">
            <v>TN</v>
          </cell>
          <cell r="M1721" t="str">
            <v>USA</v>
          </cell>
          <cell r="N1721" t="str">
            <v>D</v>
          </cell>
          <cell r="O1721">
            <v>24090210</v>
          </cell>
          <cell r="P1721" t="str">
            <v>BORIC ACID GRAN TECH 50LB BAG</v>
          </cell>
          <cell r="Q1721" t="str">
            <v>Boric Acid</v>
          </cell>
          <cell r="R1721">
            <v>0</v>
          </cell>
          <cell r="S1721">
            <v>-5.3686999999999996</v>
          </cell>
        </row>
        <row r="1722">
          <cell r="A1722" t="str">
            <v>Actual</v>
          </cell>
          <cell r="B1722">
            <v>1</v>
          </cell>
          <cell r="C1722" t="str">
            <v>Domestic</v>
          </cell>
          <cell r="D1722">
            <v>4</v>
          </cell>
          <cell r="E1722">
            <v>7646</v>
          </cell>
          <cell r="F1722" t="str">
            <v>DYCHO COMPANY INC.</v>
          </cell>
          <cell r="G1722" t="str">
            <v>D</v>
          </cell>
          <cell r="H1722" t="str">
            <v>NIOTA</v>
          </cell>
          <cell r="I1722" t="str">
            <v>TN</v>
          </cell>
          <cell r="J1722" t="str">
            <v>USA</v>
          </cell>
          <cell r="K1722" t="str">
            <v>DYCHO COMPANY INC.</v>
          </cell>
          <cell r="L1722" t="str">
            <v>TN</v>
          </cell>
          <cell r="M1722" t="str">
            <v>USA</v>
          </cell>
          <cell r="N1722" t="str">
            <v>D</v>
          </cell>
          <cell r="O1722">
            <v>30210110</v>
          </cell>
          <cell r="P1722" t="str">
            <v>SODA ASH DENSE 50LB BAG</v>
          </cell>
          <cell r="Q1722" t="str">
            <v>Soda Ash</v>
          </cell>
          <cell r="R1722">
            <v>20.824999999999999</v>
          </cell>
          <cell r="S1722">
            <v>2591.9594999999999</v>
          </cell>
        </row>
        <row r="1723">
          <cell r="A1723" t="str">
            <v>Actual</v>
          </cell>
          <cell r="B1723">
            <v>1</v>
          </cell>
          <cell r="C1723" t="str">
            <v>Domestic</v>
          </cell>
          <cell r="D1723">
            <v>4</v>
          </cell>
          <cell r="E1723">
            <v>7646</v>
          </cell>
          <cell r="F1723" t="str">
            <v>DYCHO COMPANY INC.</v>
          </cell>
          <cell r="G1723" t="str">
            <v>D</v>
          </cell>
          <cell r="H1723" t="str">
            <v>NIOTA</v>
          </cell>
          <cell r="I1723" t="str">
            <v>TN</v>
          </cell>
          <cell r="J1723" t="str">
            <v>USA</v>
          </cell>
          <cell r="K1723" t="str">
            <v>DYCHO COMPANY INC.</v>
          </cell>
          <cell r="L1723" t="str">
            <v>TN</v>
          </cell>
          <cell r="M1723" t="str">
            <v>USA</v>
          </cell>
          <cell r="N1723" t="str">
            <v>D</v>
          </cell>
          <cell r="O1723">
            <v>40060410</v>
          </cell>
          <cell r="P1723" t="str">
            <v>SODIUM SULFATE STD 50LB BAG</v>
          </cell>
          <cell r="Q1723" t="str">
            <v>Sodium Sulfate</v>
          </cell>
          <cell r="R1723">
            <v>0</v>
          </cell>
          <cell r="S1723">
            <v>-10.956899999999999</v>
          </cell>
        </row>
        <row r="1724">
          <cell r="A1724" t="str">
            <v>Actual</v>
          </cell>
          <cell r="B1724">
            <v>1</v>
          </cell>
          <cell r="C1724" t="str">
            <v>Domestic</v>
          </cell>
          <cell r="D1724">
            <v>4</v>
          </cell>
          <cell r="E1724">
            <v>7798</v>
          </cell>
          <cell r="F1724" t="str">
            <v>CARL AKEY C.S. 5022</v>
          </cell>
          <cell r="G1724" t="str">
            <v>D</v>
          </cell>
          <cell r="H1724" t="str">
            <v>LEWISBURG</v>
          </cell>
          <cell r="I1724" t="str">
            <v>OH</v>
          </cell>
          <cell r="J1724" t="str">
            <v>USA</v>
          </cell>
          <cell r="K1724" t="str">
            <v>INTERNATIONAL STOCK FOOD</v>
          </cell>
          <cell r="L1724" t="str">
            <v>GA</v>
          </cell>
          <cell r="M1724" t="str">
            <v>USA</v>
          </cell>
          <cell r="N1724" t="str">
            <v>C</v>
          </cell>
          <cell r="O1724">
            <v>40150410</v>
          </cell>
          <cell r="P1724" t="str">
            <v>SODIUM SULFATE CRS 50LB BAG</v>
          </cell>
          <cell r="Q1724" t="str">
            <v>Sodium Sulfate</v>
          </cell>
          <cell r="R1724">
            <v>21.25</v>
          </cell>
          <cell r="S1724">
            <v>4912.67</v>
          </cell>
        </row>
        <row r="1725">
          <cell r="A1725" t="str">
            <v>Actual</v>
          </cell>
          <cell r="B1725">
            <v>1</v>
          </cell>
          <cell r="C1725" t="str">
            <v>Domestic</v>
          </cell>
          <cell r="D1725">
            <v>4</v>
          </cell>
          <cell r="E1725">
            <v>7837</v>
          </cell>
          <cell r="F1725" t="str">
            <v>ATOTECH USA, INC.</v>
          </cell>
          <cell r="G1725" t="str">
            <v>D</v>
          </cell>
          <cell r="H1725" t="str">
            <v>ROCKHILL</v>
          </cell>
          <cell r="I1725" t="str">
            <v>SC</v>
          </cell>
          <cell r="J1725" t="str">
            <v>USA</v>
          </cell>
          <cell r="K1725" t="str">
            <v>ATOTECH USA, INC.</v>
          </cell>
          <cell r="L1725" t="str">
            <v>SC</v>
          </cell>
          <cell r="M1725" t="str">
            <v>USA</v>
          </cell>
          <cell r="N1725" t="str">
            <v>C</v>
          </cell>
          <cell r="O1725">
            <v>24099720</v>
          </cell>
          <cell r="P1725" t="str">
            <v>BORIC ACID GRN TCH IT 25KG BAG</v>
          </cell>
          <cell r="Q1725" t="str">
            <v>Boric Acid (SCL)</v>
          </cell>
          <cell r="R1725">
            <v>1.1574</v>
          </cell>
          <cell r="S1725">
            <v>673.25</v>
          </cell>
        </row>
        <row r="1726">
          <cell r="A1726" t="str">
            <v>Actual</v>
          </cell>
          <cell r="B1726">
            <v>1</v>
          </cell>
          <cell r="C1726" t="str">
            <v>Domestic</v>
          </cell>
          <cell r="D1726">
            <v>4</v>
          </cell>
          <cell r="E1726">
            <v>8047</v>
          </cell>
          <cell r="F1726" t="str">
            <v>CHEMICAL DYNAMICS</v>
          </cell>
          <cell r="G1726" t="str">
            <v>D</v>
          </cell>
          <cell r="H1726" t="str">
            <v>PLANT CITY</v>
          </cell>
          <cell r="I1726" t="str">
            <v>FL</v>
          </cell>
          <cell r="J1726" t="str">
            <v>USA</v>
          </cell>
          <cell r="K1726" t="str">
            <v>FRIT INDUSTRIES, INC</v>
          </cell>
          <cell r="L1726" t="str">
            <v>AL</v>
          </cell>
          <cell r="M1726" t="str">
            <v>USA</v>
          </cell>
          <cell r="N1726" t="str">
            <v>C</v>
          </cell>
          <cell r="O1726">
            <v>26069710</v>
          </cell>
          <cell r="P1726" t="str">
            <v>SOLUBLE BORON-21 50LB BAG</v>
          </cell>
          <cell r="Q1726" t="str">
            <v>Foliarel (SCL)</v>
          </cell>
          <cell r="R1726">
            <v>20.25</v>
          </cell>
          <cell r="S1726">
            <v>19435</v>
          </cell>
        </row>
        <row r="1727">
          <cell r="A1727" t="str">
            <v>Actual</v>
          </cell>
          <cell r="B1727">
            <v>1</v>
          </cell>
          <cell r="C1727" t="str">
            <v>Domestic</v>
          </cell>
          <cell r="D1727">
            <v>4</v>
          </cell>
          <cell r="E1727">
            <v>8182</v>
          </cell>
          <cell r="F1727" t="str">
            <v>EXIDE CORPORATION</v>
          </cell>
          <cell r="G1727" t="str">
            <v>D</v>
          </cell>
          <cell r="H1727" t="str">
            <v>FRISCO</v>
          </cell>
          <cell r="I1727" t="str">
            <v>TX</v>
          </cell>
          <cell r="J1727" t="str">
            <v>USA</v>
          </cell>
          <cell r="K1727" t="str">
            <v>EXIDE CORPORATION</v>
          </cell>
          <cell r="L1727" t="str">
            <v>TX</v>
          </cell>
          <cell r="M1727" t="str">
            <v>USA</v>
          </cell>
          <cell r="N1727" t="str">
            <v>C</v>
          </cell>
          <cell r="O1727">
            <v>30210100</v>
          </cell>
          <cell r="P1727" t="str">
            <v>SODA ASH DENSE BULK</v>
          </cell>
          <cell r="Q1727" t="str">
            <v>Soda Ash</v>
          </cell>
          <cell r="R1727">
            <v>656.625</v>
          </cell>
          <cell r="S1727">
            <v>46304.959999999999</v>
          </cell>
        </row>
        <row r="1728">
          <cell r="A1728" t="str">
            <v>Actual</v>
          </cell>
          <cell r="B1728">
            <v>1</v>
          </cell>
          <cell r="C1728" t="str">
            <v>Domestic</v>
          </cell>
          <cell r="D1728">
            <v>4</v>
          </cell>
          <cell r="E1728">
            <v>8390</v>
          </cell>
          <cell r="F1728" t="str">
            <v>RSR</v>
          </cell>
          <cell r="G1728" t="str">
            <v>D</v>
          </cell>
          <cell r="H1728" t="str">
            <v>MIDDLETOWN</v>
          </cell>
          <cell r="I1728" t="str">
            <v>NY</v>
          </cell>
          <cell r="J1728" t="str">
            <v>USA</v>
          </cell>
          <cell r="K1728" t="str">
            <v>QUEMETCO, INC.</v>
          </cell>
          <cell r="L1728" t="str">
            <v>CA</v>
          </cell>
          <cell r="M1728" t="str">
            <v>USA</v>
          </cell>
          <cell r="N1728" t="str">
            <v>C</v>
          </cell>
          <cell r="O1728">
            <v>30210100</v>
          </cell>
          <cell r="P1728" t="str">
            <v>SODA ASH DENSE BULK</v>
          </cell>
          <cell r="Q1728" t="str">
            <v>Soda Ash</v>
          </cell>
          <cell r="R1728">
            <v>243.7</v>
          </cell>
          <cell r="S1728">
            <v>18061.099999999999</v>
          </cell>
        </row>
        <row r="1729">
          <cell r="A1729" t="str">
            <v>Actual</v>
          </cell>
          <cell r="B1729">
            <v>1</v>
          </cell>
          <cell r="C1729" t="str">
            <v>Domestic</v>
          </cell>
          <cell r="D1729">
            <v>4</v>
          </cell>
          <cell r="E1729">
            <v>8395</v>
          </cell>
          <cell r="F1729" t="str">
            <v>RSR CORPORATION</v>
          </cell>
          <cell r="G1729" t="str">
            <v>D</v>
          </cell>
          <cell r="H1729" t="str">
            <v>INDIANAPOLIS</v>
          </cell>
          <cell r="I1729" t="str">
            <v>IN</v>
          </cell>
          <cell r="J1729" t="str">
            <v>USA</v>
          </cell>
          <cell r="K1729" t="str">
            <v>RSR CORPORATION</v>
          </cell>
          <cell r="L1729" t="str">
            <v>IN</v>
          </cell>
          <cell r="M1729" t="str">
            <v>USA</v>
          </cell>
          <cell r="N1729" t="str">
            <v>C</v>
          </cell>
          <cell r="O1729">
            <v>30219100</v>
          </cell>
          <cell r="P1729" t="str">
            <v>SODA ASH DENSE BULK (091)</v>
          </cell>
          <cell r="Q1729" t="str">
            <v>Soda Ash</v>
          </cell>
          <cell r="R1729">
            <v>1778.8</v>
          </cell>
          <cell r="S1729">
            <v>81237.789999999994</v>
          </cell>
        </row>
        <row r="1730">
          <cell r="A1730" t="str">
            <v>Actual</v>
          </cell>
          <cell r="B1730">
            <v>1</v>
          </cell>
          <cell r="C1730" t="str">
            <v>Domestic</v>
          </cell>
          <cell r="D1730">
            <v>4</v>
          </cell>
          <cell r="E1730">
            <v>8408</v>
          </cell>
          <cell r="F1730" t="str">
            <v>ANDERSON'S, INC.</v>
          </cell>
          <cell r="G1730" t="str">
            <v>D</v>
          </cell>
          <cell r="H1730" t="str">
            <v>LOGANSPORT</v>
          </cell>
          <cell r="I1730" t="str">
            <v>IN</v>
          </cell>
          <cell r="J1730" t="str">
            <v>USA</v>
          </cell>
          <cell r="K1730" t="str">
            <v>ASHEVILLE LUBRICANTS</v>
          </cell>
          <cell r="L1730" t="str">
            <v>NC</v>
          </cell>
          <cell r="M1730" t="str">
            <v>USA</v>
          </cell>
          <cell r="N1730" t="str">
            <v>C</v>
          </cell>
          <cell r="O1730">
            <v>24090213</v>
          </cell>
          <cell r="P1730" t="str">
            <v>BORIC ACD GRN 50LB PULPABLE BG</v>
          </cell>
          <cell r="Q1730" t="str">
            <v>Boric Acid</v>
          </cell>
          <cell r="R1730">
            <v>22.05</v>
          </cell>
          <cell r="S1730">
            <v>7763.28</v>
          </cell>
        </row>
        <row r="1731">
          <cell r="A1731" t="str">
            <v>Actual</v>
          </cell>
          <cell r="B1731">
            <v>1</v>
          </cell>
          <cell r="C1731" t="str">
            <v>Domestic</v>
          </cell>
          <cell r="D1731">
            <v>4</v>
          </cell>
          <cell r="E1731">
            <v>8429</v>
          </cell>
          <cell r="F1731" t="str">
            <v>PHELPS DODGE REFINING</v>
          </cell>
          <cell r="G1731" t="str">
            <v>D</v>
          </cell>
          <cell r="H1731" t="str">
            <v>EL PASO</v>
          </cell>
          <cell r="I1731" t="str">
            <v>TX</v>
          </cell>
          <cell r="J1731" t="str">
            <v>USA</v>
          </cell>
          <cell r="K1731" t="str">
            <v>PHELPS DODGE REFINING</v>
          </cell>
          <cell r="L1731" t="str">
            <v>TX</v>
          </cell>
          <cell r="M1731" t="str">
            <v>USA</v>
          </cell>
          <cell r="N1731" t="str">
            <v>D</v>
          </cell>
          <cell r="O1731">
            <v>30210100</v>
          </cell>
          <cell r="P1731" t="str">
            <v>SODA ASH DENSE BULK</v>
          </cell>
          <cell r="Q1731" t="str">
            <v>Soda Ash</v>
          </cell>
          <cell r="R1731">
            <v>52.75</v>
          </cell>
          <cell r="S1731">
            <v>5278.9</v>
          </cell>
        </row>
        <row r="1732">
          <cell r="A1732" t="str">
            <v>Actual</v>
          </cell>
          <cell r="B1732">
            <v>1</v>
          </cell>
          <cell r="C1732" t="str">
            <v>Domestic</v>
          </cell>
          <cell r="D1732">
            <v>4</v>
          </cell>
          <cell r="E1732">
            <v>8475</v>
          </cell>
          <cell r="F1732" t="str">
            <v>3 M COMPANY</v>
          </cell>
          <cell r="G1732" t="str">
            <v>D</v>
          </cell>
          <cell r="H1732" t="str">
            <v>BROWNWOOD</v>
          </cell>
          <cell r="I1732" t="str">
            <v>TX</v>
          </cell>
          <cell r="J1732" t="str">
            <v>USA</v>
          </cell>
          <cell r="K1732" t="str">
            <v>3 M COMPANY</v>
          </cell>
          <cell r="L1732" t="str">
            <v>TX</v>
          </cell>
          <cell r="M1732" t="str">
            <v>USA</v>
          </cell>
          <cell r="N1732" t="str">
            <v>C</v>
          </cell>
          <cell r="O1732">
            <v>20310210</v>
          </cell>
          <cell r="P1732" t="str">
            <v>PYROBOR 30/100 50LB BAG (002)</v>
          </cell>
          <cell r="Q1732" t="str">
            <v>Pyrobor</v>
          </cell>
          <cell r="R1732">
            <v>49</v>
          </cell>
          <cell r="S1732">
            <v>29579</v>
          </cell>
        </row>
        <row r="1733">
          <cell r="A1733" t="str">
            <v>Actual</v>
          </cell>
          <cell r="B1733">
            <v>1</v>
          </cell>
          <cell r="C1733" t="str">
            <v>Domestic</v>
          </cell>
          <cell r="D1733">
            <v>4</v>
          </cell>
          <cell r="E1733">
            <v>8475</v>
          </cell>
          <cell r="F1733" t="str">
            <v>3 M COMPANY</v>
          </cell>
          <cell r="G1733" t="str">
            <v>D</v>
          </cell>
          <cell r="H1733" t="str">
            <v>BROWNWOOD</v>
          </cell>
          <cell r="I1733" t="str">
            <v>TX</v>
          </cell>
          <cell r="J1733" t="str">
            <v>USA</v>
          </cell>
          <cell r="K1733" t="str">
            <v>3 M COMPANY</v>
          </cell>
          <cell r="L1733" t="str">
            <v>TX</v>
          </cell>
          <cell r="M1733" t="str">
            <v>USA</v>
          </cell>
          <cell r="N1733" t="str">
            <v>C</v>
          </cell>
          <cell r="O1733">
            <v>30210110</v>
          </cell>
          <cell r="P1733" t="str">
            <v>SODA ASH DENSE 50LB BAG</v>
          </cell>
          <cell r="Q1733" t="str">
            <v>Soda Ash</v>
          </cell>
          <cell r="R1733">
            <v>6.125</v>
          </cell>
          <cell r="S1733">
            <v>1078</v>
          </cell>
        </row>
        <row r="1734">
          <cell r="A1734" t="str">
            <v>Actual</v>
          </cell>
          <cell r="B1734">
            <v>1</v>
          </cell>
          <cell r="C1734" t="str">
            <v>Domestic</v>
          </cell>
          <cell r="D1734">
            <v>4</v>
          </cell>
          <cell r="E1734">
            <v>8488</v>
          </cell>
          <cell r="F1734" t="str">
            <v>UNIVAR USA</v>
          </cell>
          <cell r="G1734" t="str">
            <v>D</v>
          </cell>
          <cell r="H1734" t="str">
            <v>MURFREESBORO</v>
          </cell>
          <cell r="I1734" t="str">
            <v>TN</v>
          </cell>
          <cell r="J1734" t="str">
            <v>USA</v>
          </cell>
          <cell r="K1734" t="str">
            <v>UNIVAR USA</v>
          </cell>
          <cell r="L1734" t="str">
            <v>TN</v>
          </cell>
          <cell r="M1734" t="str">
            <v>USA</v>
          </cell>
          <cell r="N1734" t="str">
            <v>D</v>
          </cell>
          <cell r="O1734">
            <v>22060410</v>
          </cell>
          <cell r="P1734" t="str">
            <v>V-BOR 50LB BAG (004)</v>
          </cell>
          <cell r="Q1734" t="str">
            <v>Penta</v>
          </cell>
          <cell r="R1734">
            <v>22.05</v>
          </cell>
          <cell r="S1734">
            <v>6940.29</v>
          </cell>
        </row>
        <row r="1735">
          <cell r="A1735" t="str">
            <v>Actual</v>
          </cell>
          <cell r="B1735">
            <v>1</v>
          </cell>
          <cell r="C1735" t="str">
            <v>Domestic</v>
          </cell>
          <cell r="D1735">
            <v>4</v>
          </cell>
          <cell r="E1735">
            <v>8798</v>
          </cell>
          <cell r="F1735" t="str">
            <v>CHEVRON ORONITE CO LLC</v>
          </cell>
          <cell r="G1735" t="str">
            <v>D</v>
          </cell>
          <cell r="H1735" t="str">
            <v>BELLE CHASSE</v>
          </cell>
          <cell r="I1735" t="str">
            <v>LA</v>
          </cell>
          <cell r="J1735" t="str">
            <v>USA</v>
          </cell>
          <cell r="K1735" t="str">
            <v>CHEVRON ORONITE CO LLC</v>
          </cell>
          <cell r="L1735" t="str">
            <v>LA</v>
          </cell>
          <cell r="M1735" t="str">
            <v>USA</v>
          </cell>
          <cell r="N1735" t="str">
            <v>C</v>
          </cell>
          <cell r="O1735">
            <v>24090254</v>
          </cell>
          <cell r="P1735" t="str">
            <v>BORIC ACID GRN TCH 2800LB FIBC</v>
          </cell>
          <cell r="Q1735" t="str">
            <v>Boric Acid</v>
          </cell>
          <cell r="R1735">
            <v>43.4</v>
          </cell>
          <cell r="S1735">
            <v>24261.3</v>
          </cell>
        </row>
        <row r="1736">
          <cell r="A1736" t="str">
            <v>Actual</v>
          </cell>
          <cell r="B1736">
            <v>1</v>
          </cell>
          <cell r="C1736" t="str">
            <v>Domestic</v>
          </cell>
          <cell r="D1736">
            <v>4</v>
          </cell>
          <cell r="E1736">
            <v>8798</v>
          </cell>
          <cell r="F1736" t="str">
            <v>CHEVRON ORONITE CO LLC</v>
          </cell>
          <cell r="G1736" t="str">
            <v>D</v>
          </cell>
          <cell r="H1736" t="str">
            <v>BELLE CHASSE</v>
          </cell>
          <cell r="I1736" t="str">
            <v>LA</v>
          </cell>
          <cell r="J1736" t="str">
            <v>USA</v>
          </cell>
          <cell r="K1736" t="str">
            <v>CHEVRON ORONITE CO LLC</v>
          </cell>
          <cell r="L1736" t="str">
            <v>LA</v>
          </cell>
          <cell r="M1736" t="str">
            <v>USA</v>
          </cell>
          <cell r="N1736" t="str">
            <v>C</v>
          </cell>
          <cell r="O1736">
            <v>24090282</v>
          </cell>
          <cell r="P1736" t="str">
            <v>BORIC ACID GRN TCH 2500LB FIBC</v>
          </cell>
          <cell r="Q1736" t="str">
            <v>Boric Acid</v>
          </cell>
          <cell r="R1736">
            <v>0</v>
          </cell>
          <cell r="S1736">
            <v>-149.60300000000001</v>
          </cell>
        </row>
        <row r="1737">
          <cell r="A1737" t="str">
            <v>Actual</v>
          </cell>
          <cell r="B1737">
            <v>1</v>
          </cell>
          <cell r="C1737" t="str">
            <v>Domestic</v>
          </cell>
          <cell r="D1737">
            <v>4</v>
          </cell>
          <cell r="E1737">
            <v>8798</v>
          </cell>
          <cell r="F1737" t="str">
            <v>CHEVRON ORONITE CO LLC</v>
          </cell>
          <cell r="G1737" t="str">
            <v>D</v>
          </cell>
          <cell r="H1737" t="str">
            <v>BELLE CHASSE</v>
          </cell>
          <cell r="I1737" t="str">
            <v>LA</v>
          </cell>
          <cell r="J1737" t="str">
            <v>USA</v>
          </cell>
          <cell r="K1737" t="str">
            <v>CHEVRON ORONITE CO LLC</v>
          </cell>
          <cell r="L1737" t="str">
            <v>LA</v>
          </cell>
          <cell r="M1737" t="str">
            <v>USA</v>
          </cell>
          <cell r="N1737" t="str">
            <v>C</v>
          </cell>
          <cell r="O1737">
            <v>24090288</v>
          </cell>
          <cell r="P1737" t="str">
            <v>BORIC ACID GRN TCH 1000LB FIBC</v>
          </cell>
          <cell r="Q1737" t="str">
            <v>Boric Acid</v>
          </cell>
          <cell r="R1737">
            <v>0</v>
          </cell>
          <cell r="S1737">
            <v>-59.837000000000003</v>
          </cell>
        </row>
        <row r="1738">
          <cell r="A1738" t="str">
            <v>Actual</v>
          </cell>
          <cell r="B1738">
            <v>1</v>
          </cell>
          <cell r="C1738" t="str">
            <v>Domestic</v>
          </cell>
          <cell r="D1738">
            <v>4</v>
          </cell>
          <cell r="E1738">
            <v>8825</v>
          </cell>
          <cell r="F1738" t="str">
            <v>UNIVAR USA</v>
          </cell>
          <cell r="G1738" t="str">
            <v>D</v>
          </cell>
          <cell r="H1738" t="str">
            <v>LADSON</v>
          </cell>
          <cell r="I1738" t="str">
            <v>SC</v>
          </cell>
          <cell r="J1738" t="str">
            <v>USA</v>
          </cell>
          <cell r="K1738" t="str">
            <v>UNIVAR USA</v>
          </cell>
          <cell r="L1738" t="str">
            <v>SC</v>
          </cell>
          <cell r="M1738" t="str">
            <v>USA</v>
          </cell>
          <cell r="N1738" t="str">
            <v>D</v>
          </cell>
          <cell r="O1738">
            <v>22060410</v>
          </cell>
          <cell r="P1738" t="str">
            <v>V-BOR 50LB BAG (004)</v>
          </cell>
          <cell r="Q1738" t="str">
            <v>Penta</v>
          </cell>
          <cell r="R1738">
            <v>19.600000000000001</v>
          </cell>
          <cell r="S1738">
            <v>5923.2830000000004</v>
          </cell>
        </row>
        <row r="1739">
          <cell r="A1739" t="str">
            <v>Actual</v>
          </cell>
          <cell r="B1739">
            <v>1</v>
          </cell>
          <cell r="C1739" t="str">
            <v>Domestic</v>
          </cell>
          <cell r="D1739">
            <v>4</v>
          </cell>
          <cell r="E1739">
            <v>8825</v>
          </cell>
          <cell r="F1739" t="str">
            <v>UNIVAR USA</v>
          </cell>
          <cell r="G1739" t="str">
            <v>D</v>
          </cell>
          <cell r="H1739" t="str">
            <v>LADSON</v>
          </cell>
          <cell r="I1739" t="str">
            <v>SC</v>
          </cell>
          <cell r="J1739" t="str">
            <v>USA</v>
          </cell>
          <cell r="K1739" t="str">
            <v>UNIVAR USA</v>
          </cell>
          <cell r="L1739" t="str">
            <v>SC</v>
          </cell>
          <cell r="M1739" t="str">
            <v>USA</v>
          </cell>
          <cell r="N1739" t="str">
            <v>D</v>
          </cell>
          <cell r="O1739">
            <v>24090210</v>
          </cell>
          <cell r="P1739" t="str">
            <v>BORIC ACID GRAN TECH 50LB BAG</v>
          </cell>
          <cell r="Q1739" t="str">
            <v>Boric Acid</v>
          </cell>
          <cell r="R1739">
            <v>2.4500000000000002</v>
          </cell>
          <cell r="S1739">
            <v>1413.337</v>
          </cell>
        </row>
        <row r="1740">
          <cell r="A1740" t="str">
            <v>Actual</v>
          </cell>
          <cell r="B1740">
            <v>1</v>
          </cell>
          <cell r="C1740" t="str">
            <v>Domestic</v>
          </cell>
          <cell r="D1740">
            <v>4</v>
          </cell>
          <cell r="E1740">
            <v>8840</v>
          </cell>
          <cell r="F1740" t="str">
            <v>KAY CHEMICAL COMPANY</v>
          </cell>
          <cell r="G1740" t="str">
            <v>D</v>
          </cell>
          <cell r="H1740" t="str">
            <v>GREENSBORO</v>
          </cell>
          <cell r="I1740" t="str">
            <v>NC</v>
          </cell>
          <cell r="J1740" t="str">
            <v>USA</v>
          </cell>
          <cell r="K1740" t="str">
            <v>KAY CHEMICAL COMPANY</v>
          </cell>
          <cell r="L1740" t="str">
            <v>NC</v>
          </cell>
          <cell r="M1740" t="str">
            <v>USA</v>
          </cell>
          <cell r="N1740" t="str">
            <v>C</v>
          </cell>
          <cell r="O1740">
            <v>40060410</v>
          </cell>
          <cell r="P1740" t="str">
            <v>SODIUM SULFATE STD 50LB BAG</v>
          </cell>
          <cell r="Q1740" t="str">
            <v>Sodium Sulfate</v>
          </cell>
          <cell r="R1740">
            <v>85</v>
          </cell>
          <cell r="S1740">
            <v>4668.74</v>
          </cell>
        </row>
        <row r="1741">
          <cell r="A1741" t="str">
            <v>Actual</v>
          </cell>
          <cell r="B1741">
            <v>1</v>
          </cell>
          <cell r="C1741" t="str">
            <v>Domestic</v>
          </cell>
          <cell r="D1741">
            <v>4</v>
          </cell>
          <cell r="E1741">
            <v>8902</v>
          </cell>
          <cell r="F1741" t="str">
            <v>HARCROS CHEMICAL INC</v>
          </cell>
          <cell r="G1741" t="str">
            <v>D</v>
          </cell>
          <cell r="H1741" t="str">
            <v>DALLAS</v>
          </cell>
          <cell r="I1741" t="str">
            <v>TX</v>
          </cell>
          <cell r="J1741" t="str">
            <v>USA</v>
          </cell>
          <cell r="K1741" t="str">
            <v>HARCROS CHEMICAL INC</v>
          </cell>
          <cell r="L1741" t="str">
            <v>TX</v>
          </cell>
          <cell r="M1741" t="str">
            <v>USA</v>
          </cell>
          <cell r="N1741" t="str">
            <v>D</v>
          </cell>
          <cell r="O1741">
            <v>40060410</v>
          </cell>
          <cell r="P1741" t="str">
            <v>SODIUM SULFATE STD 50LB BAG</v>
          </cell>
          <cell r="Q1741" t="str">
            <v>Sodium Sulfate</v>
          </cell>
          <cell r="R1741">
            <v>0</v>
          </cell>
          <cell r="S1741">
            <v>-25</v>
          </cell>
        </row>
        <row r="1742">
          <cell r="A1742" t="str">
            <v>Actual</v>
          </cell>
          <cell r="B1742">
            <v>1</v>
          </cell>
          <cell r="C1742" t="str">
            <v>Domestic</v>
          </cell>
          <cell r="D1742">
            <v>4</v>
          </cell>
          <cell r="E1742">
            <v>9452</v>
          </cell>
          <cell r="F1742" t="str">
            <v>FLG INC</v>
          </cell>
          <cell r="G1742" t="str">
            <v>D</v>
          </cell>
          <cell r="H1742" t="str">
            <v>MOULTON</v>
          </cell>
          <cell r="I1742" t="str">
            <v>AL</v>
          </cell>
          <cell r="J1742" t="str">
            <v>USA</v>
          </cell>
          <cell r="K1742" t="str">
            <v>INDUSTRIAL CHEMICAL COMPANY</v>
          </cell>
          <cell r="L1742" t="str">
            <v>AL</v>
          </cell>
          <cell r="M1742" t="str">
            <v>USA</v>
          </cell>
          <cell r="N1742" t="str">
            <v>D</v>
          </cell>
          <cell r="O1742">
            <v>24230250</v>
          </cell>
          <cell r="P1742" t="str">
            <v>BORIC ACID GRAN TECH 1TN FIBC</v>
          </cell>
          <cell r="Q1742" t="str">
            <v>Boric Acid</v>
          </cell>
          <cell r="R1742">
            <v>22</v>
          </cell>
          <cell r="S1742">
            <v>8769.26</v>
          </cell>
        </row>
        <row r="1743">
          <cell r="A1743" t="str">
            <v>Actual</v>
          </cell>
          <cell r="B1743">
            <v>1</v>
          </cell>
          <cell r="C1743" t="str">
            <v>Domestic</v>
          </cell>
          <cell r="D1743">
            <v>4</v>
          </cell>
          <cell r="E1743">
            <v>9511</v>
          </cell>
          <cell r="F1743" t="str">
            <v>TXU GENERATION COMPANY LP</v>
          </cell>
          <cell r="G1743" t="str">
            <v>D</v>
          </cell>
          <cell r="H1743" t="str">
            <v>GLEN ROSE</v>
          </cell>
          <cell r="I1743" t="str">
            <v>TX</v>
          </cell>
          <cell r="J1743" t="str">
            <v>USA</v>
          </cell>
          <cell r="K1743" t="str">
            <v>TXU GENERATION COMPANY LP</v>
          </cell>
          <cell r="L1743" t="str">
            <v>TX</v>
          </cell>
          <cell r="M1743" t="str">
            <v>USA</v>
          </cell>
          <cell r="O1743">
            <v>24609720</v>
          </cell>
          <cell r="P1743" t="str">
            <v>BORIC ACID NS 25KG BAG</v>
          </cell>
          <cell r="Q1743" t="str">
            <v>HP Boric Acid (SCL)</v>
          </cell>
          <cell r="R1743">
            <v>0</v>
          </cell>
          <cell r="S1743">
            <v>-2755.08</v>
          </cell>
        </row>
        <row r="1744">
          <cell r="A1744" t="str">
            <v>Actual</v>
          </cell>
          <cell r="B1744">
            <v>1</v>
          </cell>
          <cell r="C1744" t="str">
            <v>Domestic</v>
          </cell>
          <cell r="D1744">
            <v>4</v>
          </cell>
          <cell r="E1744">
            <v>9519</v>
          </cell>
          <cell r="F1744" t="str">
            <v>NATIONAL GYPSUM</v>
          </cell>
          <cell r="G1744" t="str">
            <v>D</v>
          </cell>
          <cell r="H1744" t="str">
            <v>GARDEN CITY</v>
          </cell>
          <cell r="I1744" t="str">
            <v>GA</v>
          </cell>
          <cell r="J1744" t="str">
            <v>USA</v>
          </cell>
          <cell r="K1744" t="str">
            <v>UNIVAR USA</v>
          </cell>
          <cell r="L1744" t="str">
            <v>GA</v>
          </cell>
          <cell r="M1744" t="str">
            <v>USA</v>
          </cell>
          <cell r="N1744" t="str">
            <v>D</v>
          </cell>
          <cell r="O1744">
            <v>24090210</v>
          </cell>
          <cell r="P1744" t="str">
            <v>BORIC ACID GRAN TECH 50LB BAG</v>
          </cell>
          <cell r="Q1744" t="str">
            <v>Boric Acid</v>
          </cell>
          <cell r="R1744">
            <v>22.05</v>
          </cell>
          <cell r="S1744">
            <v>12596.33</v>
          </cell>
        </row>
        <row r="1745">
          <cell r="A1745" t="str">
            <v>Actual</v>
          </cell>
          <cell r="B1745">
            <v>1</v>
          </cell>
          <cell r="C1745" t="str">
            <v>Domestic</v>
          </cell>
          <cell r="D1745">
            <v>4</v>
          </cell>
          <cell r="E1745">
            <v>9528</v>
          </cell>
          <cell r="F1745" t="str">
            <v>NATIONAL GYPSUM</v>
          </cell>
          <cell r="G1745" t="str">
            <v>D</v>
          </cell>
          <cell r="H1745" t="str">
            <v>GIBSONTON</v>
          </cell>
          <cell r="I1745" t="str">
            <v>FL</v>
          </cell>
          <cell r="J1745" t="str">
            <v>USA</v>
          </cell>
          <cell r="K1745" t="str">
            <v>UNIVAR USA</v>
          </cell>
          <cell r="L1745" t="str">
            <v>FL</v>
          </cell>
          <cell r="M1745" t="str">
            <v>USA</v>
          </cell>
          <cell r="N1745" t="str">
            <v>D</v>
          </cell>
          <cell r="O1745">
            <v>24090213</v>
          </cell>
          <cell r="P1745" t="str">
            <v>BORIC ACD GRN 50LB PULPABLE BG</v>
          </cell>
          <cell r="Q1745" t="str">
            <v>Boric Acid</v>
          </cell>
          <cell r="R1745">
            <v>44.1</v>
          </cell>
          <cell r="S1745">
            <v>24075.82</v>
          </cell>
        </row>
        <row r="1746">
          <cell r="A1746" t="str">
            <v>Actual</v>
          </cell>
          <cell r="B1746">
            <v>1</v>
          </cell>
          <cell r="C1746" t="str">
            <v>Domestic</v>
          </cell>
          <cell r="D1746">
            <v>4</v>
          </cell>
          <cell r="E1746">
            <v>9542</v>
          </cell>
          <cell r="F1746" t="str">
            <v>VITRO AFG, S.A. DE C.V.</v>
          </cell>
          <cell r="G1746" t="str">
            <v>E</v>
          </cell>
          <cell r="H1746" t="str">
            <v>CALEXICO</v>
          </cell>
          <cell r="I1746" t="str">
            <v>CA</v>
          </cell>
          <cell r="J1746" t="str">
            <v>MEX</v>
          </cell>
          <cell r="K1746" t="str">
            <v>VITRO AFG, S.A. DE C.V.</v>
          </cell>
          <cell r="M1746" t="str">
            <v>USA</v>
          </cell>
          <cell r="N1746" t="str">
            <v>C</v>
          </cell>
          <cell r="O1746">
            <v>40060400</v>
          </cell>
          <cell r="P1746" t="str">
            <v>SODIUM SULFATE STANDARD BULK</v>
          </cell>
          <cell r="Q1746" t="str">
            <v>Sodium Sulfate</v>
          </cell>
          <cell r="R1746">
            <v>101.07</v>
          </cell>
          <cell r="S1746">
            <v>10107</v>
          </cell>
        </row>
        <row r="1747">
          <cell r="A1747" t="str">
            <v>Actual</v>
          </cell>
          <cell r="B1747">
            <v>1</v>
          </cell>
          <cell r="C1747" t="str">
            <v>Domestic</v>
          </cell>
          <cell r="D1747">
            <v>4</v>
          </cell>
          <cell r="E1747">
            <v>9544</v>
          </cell>
          <cell r="F1747" t="str">
            <v>UNIVAR USA</v>
          </cell>
          <cell r="G1747" t="str">
            <v>D</v>
          </cell>
          <cell r="H1747" t="str">
            <v>MOBILE</v>
          </cell>
          <cell r="I1747" t="str">
            <v>AL</v>
          </cell>
          <cell r="J1747" t="str">
            <v>USA</v>
          </cell>
          <cell r="K1747" t="str">
            <v>UNIVAR USA</v>
          </cell>
          <cell r="L1747" t="str">
            <v>TX</v>
          </cell>
          <cell r="M1747" t="str">
            <v>USA</v>
          </cell>
          <cell r="N1747" t="str">
            <v>D</v>
          </cell>
          <cell r="O1747">
            <v>24090210</v>
          </cell>
          <cell r="P1747" t="str">
            <v>BORIC ACID GRAN TECH 50LB BAG</v>
          </cell>
          <cell r="Q1747" t="str">
            <v>Boric Acid</v>
          </cell>
          <cell r="R1747">
            <v>22.05</v>
          </cell>
          <cell r="S1747">
            <v>13587.25</v>
          </cell>
        </row>
        <row r="1748">
          <cell r="A1748" t="str">
            <v>Actual</v>
          </cell>
          <cell r="B1748">
            <v>1</v>
          </cell>
          <cell r="C1748" t="str">
            <v>Domestic</v>
          </cell>
          <cell r="D1748">
            <v>4</v>
          </cell>
          <cell r="E1748">
            <v>9605</v>
          </cell>
          <cell r="F1748" t="str">
            <v>LYNX CHEMICAL</v>
          </cell>
          <cell r="G1748" t="str">
            <v>D</v>
          </cell>
          <cell r="H1748" t="str">
            <v>DALTON</v>
          </cell>
          <cell r="I1748" t="str">
            <v>GA</v>
          </cell>
          <cell r="J1748" t="str">
            <v>USA</v>
          </cell>
          <cell r="K1748" t="str">
            <v>LYNX GROUP</v>
          </cell>
          <cell r="L1748" t="str">
            <v>GA</v>
          </cell>
          <cell r="M1748" t="str">
            <v>USA</v>
          </cell>
          <cell r="N1748" t="str">
            <v>C</v>
          </cell>
          <cell r="O1748">
            <v>23060210</v>
          </cell>
          <cell r="P1748" t="str">
            <v>DECA BORAX STD 50LB BAG</v>
          </cell>
          <cell r="Q1748" t="str">
            <v>Deca</v>
          </cell>
          <cell r="R1748">
            <v>22.05</v>
          </cell>
          <cell r="S1748">
            <v>5942.25</v>
          </cell>
        </row>
        <row r="1749">
          <cell r="A1749" t="str">
            <v>Actual</v>
          </cell>
          <cell r="B1749">
            <v>1</v>
          </cell>
          <cell r="C1749" t="str">
            <v>Domestic</v>
          </cell>
          <cell r="D1749">
            <v>5</v>
          </cell>
          <cell r="E1749">
            <v>5061</v>
          </cell>
          <cell r="F1749" t="str">
            <v>CLINTON UNIVERSAL WAREHOUSE</v>
          </cell>
          <cell r="G1749" t="str">
            <v>D</v>
          </cell>
          <cell r="H1749" t="str">
            <v>NEWARK</v>
          </cell>
          <cell r="I1749" t="str">
            <v>NJ</v>
          </cell>
          <cell r="J1749" t="str">
            <v>USA</v>
          </cell>
          <cell r="K1749" t="str">
            <v>ACS CHEMICAL INC</v>
          </cell>
          <cell r="L1749" t="str">
            <v>NJ</v>
          </cell>
          <cell r="M1749" t="str">
            <v>USA</v>
          </cell>
          <cell r="N1749" t="str">
            <v>C</v>
          </cell>
          <cell r="O1749">
            <v>23619792</v>
          </cell>
          <cell r="P1749" t="str">
            <v>DECA BORAX NS GRAN 150KG DRUM</v>
          </cell>
          <cell r="Q1749" t="str">
            <v>Boric Salt (SCL)</v>
          </cell>
          <cell r="R1749">
            <v>0</v>
          </cell>
          <cell r="S1749">
            <v>99.62</v>
          </cell>
        </row>
        <row r="1750">
          <cell r="A1750" t="str">
            <v>Actual</v>
          </cell>
          <cell r="B1750">
            <v>1</v>
          </cell>
          <cell r="C1750" t="str">
            <v>Domestic</v>
          </cell>
          <cell r="D1750">
            <v>5</v>
          </cell>
          <cell r="E1750">
            <v>5101</v>
          </cell>
          <cell r="F1750" t="str">
            <v>CERTAIN-TEED CORP.</v>
          </cell>
          <cell r="G1750" t="str">
            <v>D</v>
          </cell>
          <cell r="H1750" t="str">
            <v>CHOWCHILLA</v>
          </cell>
          <cell r="I1750" t="str">
            <v>CA</v>
          </cell>
          <cell r="J1750" t="str">
            <v>USA</v>
          </cell>
          <cell r="K1750" t="str">
            <v>CERTAIN-TEED CORP.</v>
          </cell>
          <cell r="L1750" t="str">
            <v>CA</v>
          </cell>
          <cell r="M1750" t="str">
            <v>USA</v>
          </cell>
          <cell r="N1750" t="str">
            <v>C</v>
          </cell>
          <cell r="O1750">
            <v>30210100</v>
          </cell>
          <cell r="P1750" t="str">
            <v>SODA ASH DENSE BULK</v>
          </cell>
          <cell r="Q1750" t="str">
            <v>Soda Ash</v>
          </cell>
          <cell r="R1750">
            <v>854.52</v>
          </cell>
          <cell r="S1750">
            <v>60721.72</v>
          </cell>
        </row>
        <row r="1751">
          <cell r="A1751" t="str">
            <v>Actual</v>
          </cell>
          <cell r="B1751">
            <v>1</v>
          </cell>
          <cell r="C1751" t="str">
            <v>Domestic</v>
          </cell>
          <cell r="D1751">
            <v>5</v>
          </cell>
          <cell r="E1751">
            <v>5101</v>
          </cell>
          <cell r="F1751" t="str">
            <v>CERTAIN-TEED CORP.</v>
          </cell>
          <cell r="G1751" t="str">
            <v>D</v>
          </cell>
          <cell r="H1751" t="str">
            <v>CHOWCHILLA</v>
          </cell>
          <cell r="I1751" t="str">
            <v>CA</v>
          </cell>
          <cell r="J1751" t="str">
            <v>USA</v>
          </cell>
          <cell r="K1751" t="str">
            <v>CERTAIN-TEED CORP.</v>
          </cell>
          <cell r="L1751" t="str">
            <v>CA</v>
          </cell>
          <cell r="M1751" t="str">
            <v>USA</v>
          </cell>
          <cell r="N1751" t="str">
            <v>C</v>
          </cell>
          <cell r="O1751">
            <v>40150400</v>
          </cell>
          <cell r="P1751" t="str">
            <v>SODIUM SULFATE COARSE BULK</v>
          </cell>
          <cell r="Q1751" t="str">
            <v>Sodium Sulfate</v>
          </cell>
          <cell r="R1751">
            <v>53.46</v>
          </cell>
          <cell r="S1751">
            <v>7434.62</v>
          </cell>
        </row>
        <row r="1752">
          <cell r="A1752" t="str">
            <v>Actual</v>
          </cell>
          <cell r="B1752">
            <v>1</v>
          </cell>
          <cell r="C1752" t="str">
            <v>Domestic</v>
          </cell>
          <cell r="D1752">
            <v>5</v>
          </cell>
          <cell r="E1752">
            <v>5111</v>
          </cell>
          <cell r="F1752" t="str">
            <v>MALLINCKRODT BAKER, INC.</v>
          </cell>
          <cell r="G1752" t="str">
            <v>D</v>
          </cell>
          <cell r="H1752" t="str">
            <v>PARIS</v>
          </cell>
          <cell r="I1752" t="str">
            <v>KY</v>
          </cell>
          <cell r="J1752" t="str">
            <v>USA</v>
          </cell>
          <cell r="K1752" t="str">
            <v>MALLINCKRODT BAKER, INC</v>
          </cell>
          <cell r="L1752" t="str">
            <v>KY</v>
          </cell>
          <cell r="M1752" t="str">
            <v>USA</v>
          </cell>
          <cell r="N1752" t="str">
            <v>C</v>
          </cell>
          <cell r="O1752">
            <v>24629792</v>
          </cell>
          <cell r="P1752" t="str">
            <v>BORIC ACID EP GRAN 150KG DRUM</v>
          </cell>
          <cell r="Q1752" t="str">
            <v>HP Boric Acid (SCL)</v>
          </cell>
          <cell r="R1752">
            <v>21.164200000000001</v>
          </cell>
          <cell r="S1752">
            <v>30705.94</v>
          </cell>
        </row>
        <row r="1753">
          <cell r="A1753" t="str">
            <v>Actual</v>
          </cell>
          <cell r="B1753">
            <v>1</v>
          </cell>
          <cell r="C1753" t="str">
            <v>Domestic</v>
          </cell>
          <cell r="D1753">
            <v>5</v>
          </cell>
          <cell r="E1753">
            <v>5194</v>
          </cell>
          <cell r="F1753" t="str">
            <v>ALDEN LEEDS</v>
          </cell>
          <cell r="G1753" t="str">
            <v>D</v>
          </cell>
          <cell r="H1753" t="str">
            <v>SOUTH KEARNY</v>
          </cell>
          <cell r="I1753" t="str">
            <v>NJ</v>
          </cell>
          <cell r="J1753" t="str">
            <v>USA</v>
          </cell>
          <cell r="K1753" t="str">
            <v>VECKRIDGE CHEMICAL COMPANY</v>
          </cell>
          <cell r="L1753" t="str">
            <v>NJ</v>
          </cell>
          <cell r="M1753" t="str">
            <v>USA</v>
          </cell>
          <cell r="N1753" t="str">
            <v>D</v>
          </cell>
          <cell r="O1753">
            <v>22060410</v>
          </cell>
          <cell r="P1753" t="str">
            <v>V-BOR 50LB BAG (004)</v>
          </cell>
          <cell r="Q1753" t="str">
            <v>Penta</v>
          </cell>
          <cell r="R1753">
            <v>22.05</v>
          </cell>
          <cell r="S1753">
            <v>7188.3</v>
          </cell>
        </row>
        <row r="1754">
          <cell r="A1754" t="str">
            <v>Actual</v>
          </cell>
          <cell r="B1754">
            <v>1</v>
          </cell>
          <cell r="C1754" t="str">
            <v>Domestic</v>
          </cell>
          <cell r="D1754">
            <v>5</v>
          </cell>
          <cell r="E1754">
            <v>5293</v>
          </cell>
          <cell r="F1754" t="str">
            <v>INACTIVE-NATIONAL STARCH &amp; CHE</v>
          </cell>
          <cell r="G1754" t="str">
            <v>D</v>
          </cell>
          <cell r="H1754" t="str">
            <v>INDIANAPOLIS</v>
          </cell>
          <cell r="I1754" t="str">
            <v>IN</v>
          </cell>
          <cell r="J1754" t="str">
            <v>USA</v>
          </cell>
          <cell r="K1754" t="str">
            <v>INACTIVE-NATIONAL STARCH &amp; CHE</v>
          </cell>
          <cell r="L1754" t="str">
            <v>IN</v>
          </cell>
          <cell r="M1754" t="str">
            <v>USA</v>
          </cell>
          <cell r="N1754" t="str">
            <v>C</v>
          </cell>
          <cell r="O1754">
            <v>40060400</v>
          </cell>
          <cell r="P1754" t="str">
            <v>SODIUM SULFATE STANDARD BULK</v>
          </cell>
          <cell r="Q1754" t="str">
            <v>Sodium Sulfate</v>
          </cell>
          <cell r="R1754">
            <v>0</v>
          </cell>
          <cell r="S1754">
            <v>537.9</v>
          </cell>
        </row>
        <row r="1755">
          <cell r="A1755" t="str">
            <v>Actual</v>
          </cell>
          <cell r="B1755">
            <v>1</v>
          </cell>
          <cell r="C1755" t="str">
            <v>Domestic</v>
          </cell>
          <cell r="D1755">
            <v>5</v>
          </cell>
          <cell r="E1755">
            <v>5324</v>
          </cell>
          <cell r="F1755" t="str">
            <v>PPG INDUSTRIES, INC.</v>
          </cell>
          <cell r="G1755" t="str">
            <v>D</v>
          </cell>
          <cell r="H1755" t="str">
            <v>FRESNO</v>
          </cell>
          <cell r="I1755" t="str">
            <v>CA</v>
          </cell>
          <cell r="J1755" t="str">
            <v>USA</v>
          </cell>
          <cell r="K1755" t="str">
            <v>PPG INDUSTRIES, INC.</v>
          </cell>
          <cell r="L1755" t="str">
            <v>CA</v>
          </cell>
          <cell r="M1755" t="str">
            <v>USA</v>
          </cell>
          <cell r="N1755" t="str">
            <v>C</v>
          </cell>
          <cell r="O1755">
            <v>40160400</v>
          </cell>
          <cell r="P1755" t="str">
            <v>SODIUM SULFATE PREMIUM BULK</v>
          </cell>
          <cell r="Q1755" t="str">
            <v>Sodium Sulfate</v>
          </cell>
          <cell r="R1755">
            <v>53.73</v>
          </cell>
          <cell r="S1755">
            <v>5257.48</v>
          </cell>
        </row>
        <row r="1756">
          <cell r="A1756" t="str">
            <v>Actual</v>
          </cell>
          <cell r="B1756">
            <v>1</v>
          </cell>
          <cell r="C1756" t="str">
            <v>Domestic</v>
          </cell>
          <cell r="D1756">
            <v>5</v>
          </cell>
          <cell r="E1756">
            <v>5374</v>
          </cell>
          <cell r="F1756" t="str">
            <v>BRENNTAG NORTHEAST, INC.</v>
          </cell>
          <cell r="G1756" t="str">
            <v>D</v>
          </cell>
          <cell r="H1756" t="str">
            <v>READING</v>
          </cell>
          <cell r="I1756" t="str">
            <v>PA</v>
          </cell>
          <cell r="J1756" t="str">
            <v>USA</v>
          </cell>
          <cell r="K1756" t="str">
            <v>BRENNTAG NORTHEAST, INC.</v>
          </cell>
          <cell r="L1756" t="str">
            <v>PA</v>
          </cell>
          <cell r="M1756" t="str">
            <v>USA</v>
          </cell>
          <cell r="N1756" t="str">
            <v>D</v>
          </cell>
          <cell r="O1756">
            <v>24090210</v>
          </cell>
          <cell r="P1756" t="str">
            <v>BORIC ACID GRAN TECH 50LB BAG</v>
          </cell>
          <cell r="Q1756" t="str">
            <v>Boric Acid</v>
          </cell>
          <cell r="R1756">
            <v>22.05</v>
          </cell>
          <cell r="S1756">
            <v>13279.61</v>
          </cell>
        </row>
        <row r="1757">
          <cell r="A1757" t="str">
            <v>Actual</v>
          </cell>
          <cell r="B1757">
            <v>1</v>
          </cell>
          <cell r="C1757" t="str">
            <v>Domestic</v>
          </cell>
          <cell r="D1757">
            <v>5</v>
          </cell>
          <cell r="E1757">
            <v>5399</v>
          </cell>
          <cell r="F1757" t="str">
            <v>VECKRIDGE CHEMICAL COMPANY</v>
          </cell>
          <cell r="G1757" t="str">
            <v>D</v>
          </cell>
          <cell r="H1757" t="str">
            <v>SOUTH KEARNY</v>
          </cell>
          <cell r="I1757" t="str">
            <v>NJ</v>
          </cell>
          <cell r="J1757" t="str">
            <v>USA</v>
          </cell>
          <cell r="K1757" t="str">
            <v>VECKRIDGE CHEMICAL COMPANY</v>
          </cell>
          <cell r="L1757" t="str">
            <v>NJ</v>
          </cell>
          <cell r="M1757" t="str">
            <v>USA</v>
          </cell>
          <cell r="N1757" t="str">
            <v>D</v>
          </cell>
          <cell r="O1757">
            <v>22060410</v>
          </cell>
          <cell r="P1757" t="str">
            <v>V-BOR 50LB BAG (004)</v>
          </cell>
          <cell r="Q1757" t="str">
            <v>Penta</v>
          </cell>
          <cell r="R1757">
            <v>2.4500000000000002</v>
          </cell>
          <cell r="S1757">
            <v>823.01459999999997</v>
          </cell>
        </row>
        <row r="1758">
          <cell r="A1758" t="str">
            <v>Actual</v>
          </cell>
          <cell r="B1758">
            <v>1</v>
          </cell>
          <cell r="C1758" t="str">
            <v>Domestic</v>
          </cell>
          <cell r="D1758">
            <v>5</v>
          </cell>
          <cell r="E1758">
            <v>5399</v>
          </cell>
          <cell r="F1758" t="str">
            <v>VECKRIDGE CHEMICAL COMPANY</v>
          </cell>
          <cell r="G1758" t="str">
            <v>D</v>
          </cell>
          <cell r="H1758" t="str">
            <v>SOUTH KEARNY</v>
          </cell>
          <cell r="I1758" t="str">
            <v>NJ</v>
          </cell>
          <cell r="J1758" t="str">
            <v>USA</v>
          </cell>
          <cell r="K1758" t="str">
            <v>VECKRIDGE CHEMICAL COMPANY</v>
          </cell>
          <cell r="L1758" t="str">
            <v>NJ</v>
          </cell>
          <cell r="M1758" t="str">
            <v>USA</v>
          </cell>
          <cell r="N1758" t="str">
            <v>D</v>
          </cell>
          <cell r="O1758">
            <v>23060210</v>
          </cell>
          <cell r="P1758" t="str">
            <v>DECA BORAX STD 50LB BAG</v>
          </cell>
          <cell r="Q1758" t="str">
            <v>Deca</v>
          </cell>
          <cell r="R1758">
            <v>2.4500000000000002</v>
          </cell>
          <cell r="S1758">
            <v>737.26459999999997</v>
          </cell>
        </row>
        <row r="1759">
          <cell r="A1759" t="str">
            <v>Actual</v>
          </cell>
          <cell r="B1759">
            <v>1</v>
          </cell>
          <cell r="C1759" t="str">
            <v>Domestic</v>
          </cell>
          <cell r="D1759">
            <v>5</v>
          </cell>
          <cell r="E1759">
            <v>5399</v>
          </cell>
          <cell r="F1759" t="str">
            <v>VECKRIDGE CHEMICAL COMPANY</v>
          </cell>
          <cell r="G1759" t="str">
            <v>D</v>
          </cell>
          <cell r="H1759" t="str">
            <v>SOUTH KEARNY</v>
          </cell>
          <cell r="I1759" t="str">
            <v>NJ</v>
          </cell>
          <cell r="J1759" t="str">
            <v>USA</v>
          </cell>
          <cell r="K1759" t="str">
            <v>VECKRIDGE CHEMICAL COMPANY</v>
          </cell>
          <cell r="L1759" t="str">
            <v>NJ</v>
          </cell>
          <cell r="M1759" t="str">
            <v>USA</v>
          </cell>
          <cell r="N1759" t="str">
            <v>D</v>
          </cell>
          <cell r="O1759">
            <v>24030210</v>
          </cell>
          <cell r="P1759" t="str">
            <v>BORIC ACID PWD TECH 50LB BAG</v>
          </cell>
          <cell r="Q1759" t="str">
            <v>Boric Acid</v>
          </cell>
          <cell r="R1759">
            <v>1.2</v>
          </cell>
          <cell r="S1759">
            <v>860.18910000000005</v>
          </cell>
        </row>
        <row r="1760">
          <cell r="A1760" t="str">
            <v>Actual</v>
          </cell>
          <cell r="B1760">
            <v>1</v>
          </cell>
          <cell r="C1760" t="str">
            <v>Domestic</v>
          </cell>
          <cell r="D1760">
            <v>5</v>
          </cell>
          <cell r="E1760">
            <v>5399</v>
          </cell>
          <cell r="F1760" t="str">
            <v>VECKRIDGE CHEMICAL COMPANY</v>
          </cell>
          <cell r="G1760" t="str">
            <v>D</v>
          </cell>
          <cell r="H1760" t="str">
            <v>SOUTH KEARNY</v>
          </cell>
          <cell r="I1760" t="str">
            <v>NJ</v>
          </cell>
          <cell r="J1760" t="str">
            <v>USA</v>
          </cell>
          <cell r="K1760" t="str">
            <v>VECKRIDGE CHEMICAL COMPANY</v>
          </cell>
          <cell r="L1760" t="str">
            <v>NJ</v>
          </cell>
          <cell r="M1760" t="str">
            <v>USA</v>
          </cell>
          <cell r="N1760" t="str">
            <v>D</v>
          </cell>
          <cell r="O1760">
            <v>24090210</v>
          </cell>
          <cell r="P1760" t="str">
            <v>BORIC ACID GRAN TECH 50LB BAG</v>
          </cell>
          <cell r="Q1760" t="str">
            <v>Boric Acid</v>
          </cell>
          <cell r="R1760">
            <v>15.925000000000001</v>
          </cell>
          <cell r="S1760">
            <v>8502.0576999999994</v>
          </cell>
        </row>
        <row r="1761">
          <cell r="A1761" t="str">
            <v>Actual</v>
          </cell>
          <cell r="B1761">
            <v>1</v>
          </cell>
          <cell r="C1761" t="str">
            <v>Domestic</v>
          </cell>
          <cell r="D1761">
            <v>5</v>
          </cell>
          <cell r="E1761">
            <v>5521</v>
          </cell>
          <cell r="F1761" t="str">
            <v>MID-CONTINENT PACKAGI</v>
          </cell>
          <cell r="G1761" t="str">
            <v>D</v>
          </cell>
          <cell r="H1761" t="str">
            <v>ENID</v>
          </cell>
          <cell r="I1761" t="str">
            <v>OK</v>
          </cell>
          <cell r="J1761" t="str">
            <v>USA</v>
          </cell>
          <cell r="K1761" t="str">
            <v>VECKRIDGE CHEMICAL COMPANY</v>
          </cell>
          <cell r="L1761" t="str">
            <v>NJ</v>
          </cell>
          <cell r="M1761" t="str">
            <v>USA</v>
          </cell>
          <cell r="N1761" t="str">
            <v>D</v>
          </cell>
          <cell r="O1761">
            <v>22060410</v>
          </cell>
          <cell r="P1761" t="str">
            <v>V-BOR 50LB BAG (004)</v>
          </cell>
          <cell r="Q1761" t="str">
            <v>Penta</v>
          </cell>
          <cell r="R1761">
            <v>22.05</v>
          </cell>
          <cell r="S1761">
            <v>7358.26</v>
          </cell>
        </row>
        <row r="1762">
          <cell r="A1762" t="str">
            <v>Actual</v>
          </cell>
          <cell r="B1762">
            <v>1</v>
          </cell>
          <cell r="C1762" t="str">
            <v>Domestic</v>
          </cell>
          <cell r="D1762">
            <v>5</v>
          </cell>
          <cell r="E1762">
            <v>5521</v>
          </cell>
          <cell r="F1762" t="str">
            <v>MID-CONTINENT PACKAGI</v>
          </cell>
          <cell r="G1762" t="str">
            <v>D</v>
          </cell>
          <cell r="H1762" t="str">
            <v>ENID</v>
          </cell>
          <cell r="I1762" t="str">
            <v>OK</v>
          </cell>
          <cell r="J1762" t="str">
            <v>USA</v>
          </cell>
          <cell r="K1762" t="str">
            <v>VECKRIDGE CHEMICAL COMPANY</v>
          </cell>
          <cell r="L1762" t="str">
            <v>NJ</v>
          </cell>
          <cell r="M1762" t="str">
            <v>USA</v>
          </cell>
          <cell r="N1762" t="str">
            <v>D</v>
          </cell>
          <cell r="O1762">
            <v>24030210</v>
          </cell>
          <cell r="P1762" t="str">
            <v>BORIC ACID PWD TECH 50LB BAG</v>
          </cell>
          <cell r="Q1762" t="str">
            <v>Boric Acid</v>
          </cell>
          <cell r="R1762">
            <v>4.8</v>
          </cell>
          <cell r="S1762">
            <v>3071.0972999999999</v>
          </cell>
        </row>
        <row r="1763">
          <cell r="A1763" t="str">
            <v>Actual</v>
          </cell>
          <cell r="B1763">
            <v>1</v>
          </cell>
          <cell r="C1763" t="str">
            <v>Domestic</v>
          </cell>
          <cell r="D1763">
            <v>5</v>
          </cell>
          <cell r="E1763">
            <v>5521</v>
          </cell>
          <cell r="F1763" t="str">
            <v>MID-CONTINENT PACKAGI</v>
          </cell>
          <cell r="G1763" t="str">
            <v>D</v>
          </cell>
          <cell r="H1763" t="str">
            <v>ENID</v>
          </cell>
          <cell r="I1763" t="str">
            <v>OK</v>
          </cell>
          <cell r="J1763" t="str">
            <v>USA</v>
          </cell>
          <cell r="K1763" t="str">
            <v>VECKRIDGE CHEMICAL COMPANY</v>
          </cell>
          <cell r="L1763" t="str">
            <v>NJ</v>
          </cell>
          <cell r="M1763" t="str">
            <v>USA</v>
          </cell>
          <cell r="N1763" t="str">
            <v>D</v>
          </cell>
          <cell r="O1763">
            <v>24090210</v>
          </cell>
          <cell r="P1763" t="str">
            <v>BORIC ACID GRAN TECH 50LB BAG</v>
          </cell>
          <cell r="Q1763" t="str">
            <v>Boric Acid</v>
          </cell>
          <cell r="R1763">
            <v>17.149999999999999</v>
          </cell>
          <cell r="S1763">
            <v>8743.4027000000006</v>
          </cell>
        </row>
        <row r="1764">
          <cell r="A1764" t="str">
            <v>Actual</v>
          </cell>
          <cell r="B1764">
            <v>1</v>
          </cell>
          <cell r="C1764" t="str">
            <v>Domestic</v>
          </cell>
          <cell r="D1764">
            <v>5</v>
          </cell>
          <cell r="E1764">
            <v>5549</v>
          </cell>
          <cell r="F1764" t="str">
            <v>FUSION CERAMICS</v>
          </cell>
          <cell r="G1764" t="str">
            <v>D</v>
          </cell>
          <cell r="H1764" t="str">
            <v>CARROLLTON</v>
          </cell>
          <cell r="I1764" t="str">
            <v>OH</v>
          </cell>
          <cell r="J1764" t="str">
            <v>USA</v>
          </cell>
          <cell r="K1764" t="str">
            <v>UNIVAR USA</v>
          </cell>
          <cell r="L1764" t="str">
            <v>PA</v>
          </cell>
          <cell r="M1764" t="str">
            <v>USA</v>
          </cell>
          <cell r="N1764" t="str">
            <v>D</v>
          </cell>
          <cell r="O1764">
            <v>20060210</v>
          </cell>
          <cell r="P1764" t="str">
            <v>PYROBOR 50LB BAG (002)</v>
          </cell>
          <cell r="Q1764" t="str">
            <v>Pyrobor</v>
          </cell>
          <cell r="R1764">
            <v>148.22499999999999</v>
          </cell>
          <cell r="S1764">
            <v>79606.19</v>
          </cell>
        </row>
        <row r="1765">
          <cell r="A1765" t="str">
            <v>Actual</v>
          </cell>
          <cell r="B1765">
            <v>1</v>
          </cell>
          <cell r="C1765" t="str">
            <v>Domestic</v>
          </cell>
          <cell r="D1765">
            <v>5</v>
          </cell>
          <cell r="E1765">
            <v>6092</v>
          </cell>
          <cell r="F1765" t="str">
            <v>QUADRA CHEMICALS (WESTERN) LTD</v>
          </cell>
          <cell r="G1765" t="str">
            <v>D</v>
          </cell>
          <cell r="H1765" t="str">
            <v>DELTA</v>
          </cell>
          <cell r="I1765" t="str">
            <v>BC</v>
          </cell>
          <cell r="J1765" t="str">
            <v>CAN</v>
          </cell>
          <cell r="K1765" t="str">
            <v>QUADRA CHEMICALS (WESTERN) LTD</v>
          </cell>
          <cell r="L1765" t="str">
            <v>BC</v>
          </cell>
          <cell r="M1765" t="str">
            <v>CAN</v>
          </cell>
          <cell r="N1765" t="str">
            <v>D</v>
          </cell>
          <cell r="O1765">
            <v>20060210</v>
          </cell>
          <cell r="P1765" t="str">
            <v>PYROBOR 50LB BAG (002)</v>
          </cell>
          <cell r="Q1765" t="str">
            <v>Pyrobor</v>
          </cell>
          <cell r="R1765">
            <v>0</v>
          </cell>
          <cell r="S1765">
            <v>0</v>
          </cell>
        </row>
        <row r="1766">
          <cell r="A1766" t="str">
            <v>Actual</v>
          </cell>
          <cell r="B1766">
            <v>1</v>
          </cell>
          <cell r="C1766" t="str">
            <v>Domestic</v>
          </cell>
          <cell r="D1766">
            <v>5</v>
          </cell>
          <cell r="E1766">
            <v>6092</v>
          </cell>
          <cell r="F1766" t="str">
            <v>QUADRA CHEMICALS (WESTERN) LTD</v>
          </cell>
          <cell r="G1766" t="str">
            <v>D</v>
          </cell>
          <cell r="H1766" t="str">
            <v>DELTA</v>
          </cell>
          <cell r="I1766" t="str">
            <v>BC</v>
          </cell>
          <cell r="J1766" t="str">
            <v>CAN</v>
          </cell>
          <cell r="K1766" t="str">
            <v>QUADRA CHEMICALS (WESTERN) LTD</v>
          </cell>
          <cell r="L1766" t="str">
            <v>BC</v>
          </cell>
          <cell r="M1766" t="str">
            <v>CAN</v>
          </cell>
          <cell r="N1766" t="str">
            <v>D</v>
          </cell>
          <cell r="O1766">
            <v>22060410</v>
          </cell>
          <cell r="P1766" t="str">
            <v>V-BOR 50LB BAG (004)</v>
          </cell>
          <cell r="Q1766" t="str">
            <v>Penta</v>
          </cell>
          <cell r="R1766">
            <v>19.600000000000001</v>
          </cell>
          <cell r="S1766">
            <v>6664</v>
          </cell>
        </row>
        <row r="1767">
          <cell r="A1767" t="str">
            <v>Actual</v>
          </cell>
          <cell r="B1767">
            <v>1</v>
          </cell>
          <cell r="C1767" t="str">
            <v>Domestic</v>
          </cell>
          <cell r="D1767">
            <v>5</v>
          </cell>
          <cell r="E1767">
            <v>6092</v>
          </cell>
          <cell r="F1767" t="str">
            <v>QUADRA CHEMICALS (WESTERN) LTD</v>
          </cell>
          <cell r="G1767" t="str">
            <v>D</v>
          </cell>
          <cell r="H1767" t="str">
            <v>DELTA</v>
          </cell>
          <cell r="I1767" t="str">
            <v>BC</v>
          </cell>
          <cell r="J1767" t="str">
            <v>CAN</v>
          </cell>
          <cell r="K1767" t="str">
            <v>QUADRA CHEMICALS (WESTERN) LTD</v>
          </cell>
          <cell r="L1767" t="str">
            <v>BC</v>
          </cell>
          <cell r="M1767" t="str">
            <v>CAN</v>
          </cell>
          <cell r="N1767" t="str">
            <v>D</v>
          </cell>
          <cell r="O1767">
            <v>23060210</v>
          </cell>
          <cell r="P1767" t="str">
            <v>DECA BORAX STD 50LB BAG</v>
          </cell>
          <cell r="Q1767" t="str">
            <v>Deca</v>
          </cell>
          <cell r="R1767">
            <v>0</v>
          </cell>
          <cell r="S1767">
            <v>-4.9999999999982898E-2</v>
          </cell>
        </row>
        <row r="1768">
          <cell r="A1768" t="str">
            <v>Actual</v>
          </cell>
          <cell r="B1768">
            <v>1</v>
          </cell>
          <cell r="C1768" t="str">
            <v>Domestic</v>
          </cell>
          <cell r="D1768">
            <v>5</v>
          </cell>
          <cell r="E1768">
            <v>6092</v>
          </cell>
          <cell r="F1768" t="str">
            <v>QUADRA CHEMICALS (WESTERN) LTD</v>
          </cell>
          <cell r="G1768" t="str">
            <v>D</v>
          </cell>
          <cell r="H1768" t="str">
            <v>DELTA</v>
          </cell>
          <cell r="I1768" t="str">
            <v>BC</v>
          </cell>
          <cell r="J1768" t="str">
            <v>CAN</v>
          </cell>
          <cell r="K1768" t="str">
            <v>QUADRA CHEMICALS (WESTERN) LTD</v>
          </cell>
          <cell r="L1768" t="str">
            <v>BC</v>
          </cell>
          <cell r="M1768" t="str">
            <v>CAN</v>
          </cell>
          <cell r="N1768" t="str">
            <v>D</v>
          </cell>
          <cell r="O1768">
            <v>24090210</v>
          </cell>
          <cell r="P1768" t="str">
            <v>BORIC ACID GRAN TECH 50LB BAG</v>
          </cell>
          <cell r="Q1768" t="str">
            <v>Boric Acid</v>
          </cell>
          <cell r="R1768">
            <v>2.4500000000000002</v>
          </cell>
          <cell r="S1768">
            <v>1775.97</v>
          </cell>
        </row>
        <row r="1769">
          <cell r="A1769" t="str">
            <v>Actual</v>
          </cell>
          <cell r="B1769">
            <v>1</v>
          </cell>
          <cell r="C1769" t="str">
            <v>Domestic</v>
          </cell>
          <cell r="D1769">
            <v>5</v>
          </cell>
          <cell r="E1769">
            <v>6093</v>
          </cell>
          <cell r="F1769" t="str">
            <v>PEMCO CORPORATION</v>
          </cell>
          <cell r="G1769" t="str">
            <v>D</v>
          </cell>
          <cell r="H1769" t="str">
            <v>BALTIMORE</v>
          </cell>
          <cell r="I1769" t="str">
            <v>MD</v>
          </cell>
          <cell r="J1769" t="str">
            <v>USA</v>
          </cell>
          <cell r="K1769" t="str">
            <v>PEMCO CORPORATION</v>
          </cell>
          <cell r="L1769" t="str">
            <v>MD</v>
          </cell>
          <cell r="M1769" t="str">
            <v>USA</v>
          </cell>
          <cell r="N1769" t="str">
            <v>C</v>
          </cell>
          <cell r="O1769">
            <v>20060200</v>
          </cell>
          <cell r="P1769" t="str">
            <v>PYROBOR ANHY BORAX BULK (002)</v>
          </cell>
          <cell r="Q1769" t="str">
            <v>Pyrobor</v>
          </cell>
          <cell r="R1769">
            <v>395.8</v>
          </cell>
          <cell r="S1769">
            <v>184878.1</v>
          </cell>
        </row>
        <row r="1770">
          <cell r="A1770" t="str">
            <v>Actual</v>
          </cell>
          <cell r="B1770">
            <v>1</v>
          </cell>
          <cell r="C1770" t="str">
            <v>Domestic</v>
          </cell>
          <cell r="D1770">
            <v>5</v>
          </cell>
          <cell r="E1770">
            <v>6093</v>
          </cell>
          <cell r="F1770" t="str">
            <v>PEMCO CORPORATION</v>
          </cell>
          <cell r="G1770" t="str">
            <v>D</v>
          </cell>
          <cell r="H1770" t="str">
            <v>BALTIMORE</v>
          </cell>
          <cell r="I1770" t="str">
            <v>MD</v>
          </cell>
          <cell r="J1770" t="str">
            <v>USA</v>
          </cell>
          <cell r="K1770" t="str">
            <v>PEMCO CORPORATION</v>
          </cell>
          <cell r="L1770" t="str">
            <v>MD</v>
          </cell>
          <cell r="M1770" t="str">
            <v>USA</v>
          </cell>
          <cell r="N1770" t="str">
            <v>C</v>
          </cell>
          <cell r="O1770">
            <v>24090210</v>
          </cell>
          <cell r="P1770" t="str">
            <v>BORIC ACID GRAN TECH 50LB BAG</v>
          </cell>
          <cell r="Q1770" t="str">
            <v>Boric Acid</v>
          </cell>
          <cell r="R1770">
            <v>24.5</v>
          </cell>
          <cell r="S1770">
            <v>10488.42</v>
          </cell>
        </row>
        <row r="1771">
          <cell r="A1771" t="str">
            <v>Actual</v>
          </cell>
          <cell r="B1771">
            <v>1</v>
          </cell>
          <cell r="C1771" t="str">
            <v>Domestic</v>
          </cell>
          <cell r="D1771">
            <v>5</v>
          </cell>
          <cell r="E1771">
            <v>6129</v>
          </cell>
          <cell r="F1771" t="str">
            <v>GAF CORPORATION</v>
          </cell>
          <cell r="G1771" t="str">
            <v>D</v>
          </cell>
          <cell r="H1771" t="str">
            <v>NASHVILLE</v>
          </cell>
          <cell r="I1771" t="str">
            <v>TN</v>
          </cell>
          <cell r="J1771" t="str">
            <v>USA</v>
          </cell>
          <cell r="K1771" t="str">
            <v>GAF CORPORATION</v>
          </cell>
          <cell r="L1771" t="str">
            <v>TN</v>
          </cell>
          <cell r="M1771" t="str">
            <v>USA</v>
          </cell>
          <cell r="N1771" t="str">
            <v>C</v>
          </cell>
          <cell r="O1771">
            <v>24090200</v>
          </cell>
          <cell r="P1771" t="str">
            <v>BORIC ACID GRAN TECH BULK</v>
          </cell>
          <cell r="Q1771" t="str">
            <v>Boric Acid</v>
          </cell>
          <cell r="R1771">
            <v>0</v>
          </cell>
          <cell r="S1771">
            <v>-125.86</v>
          </cell>
        </row>
        <row r="1772">
          <cell r="A1772" t="str">
            <v>Actual</v>
          </cell>
          <cell r="B1772">
            <v>1</v>
          </cell>
          <cell r="C1772" t="str">
            <v>Domestic</v>
          </cell>
          <cell r="D1772">
            <v>5</v>
          </cell>
          <cell r="E1772">
            <v>6219</v>
          </cell>
          <cell r="F1772" t="str">
            <v>ASTRO CHEMICALS INC</v>
          </cell>
          <cell r="G1772" t="str">
            <v>D</v>
          </cell>
          <cell r="H1772" t="str">
            <v>SPRINGFIELD</v>
          </cell>
          <cell r="I1772" t="str">
            <v>MA</v>
          </cell>
          <cell r="J1772" t="str">
            <v>USA</v>
          </cell>
          <cell r="K1772" t="str">
            <v>ASTRO CHEMICALS INC</v>
          </cell>
          <cell r="L1772" t="str">
            <v>MA</v>
          </cell>
          <cell r="M1772" t="str">
            <v>USA</v>
          </cell>
          <cell r="N1772" t="str">
            <v>D</v>
          </cell>
          <cell r="O1772">
            <v>22060410</v>
          </cell>
          <cell r="P1772" t="str">
            <v>V-BOR 50LB BAG (004)</v>
          </cell>
          <cell r="Q1772" t="str">
            <v>Penta</v>
          </cell>
          <cell r="R1772">
            <v>4.9000000000000004</v>
          </cell>
          <cell r="S1772">
            <v>1828.9105</v>
          </cell>
        </row>
        <row r="1773">
          <cell r="A1773" t="str">
            <v>Actual</v>
          </cell>
          <cell r="B1773">
            <v>1</v>
          </cell>
          <cell r="C1773" t="str">
            <v>Domestic</v>
          </cell>
          <cell r="D1773">
            <v>5</v>
          </cell>
          <cell r="E1773">
            <v>6219</v>
          </cell>
          <cell r="F1773" t="str">
            <v>ASTRO CHEMICALS INC</v>
          </cell>
          <cell r="G1773" t="str">
            <v>D</v>
          </cell>
          <cell r="H1773" t="str">
            <v>SPRINGFIELD</v>
          </cell>
          <cell r="I1773" t="str">
            <v>MA</v>
          </cell>
          <cell r="J1773" t="str">
            <v>USA</v>
          </cell>
          <cell r="K1773" t="str">
            <v>ASTRO CHEMICALS INC</v>
          </cell>
          <cell r="L1773" t="str">
            <v>MA</v>
          </cell>
          <cell r="M1773" t="str">
            <v>USA</v>
          </cell>
          <cell r="N1773" t="str">
            <v>D</v>
          </cell>
          <cell r="O1773">
            <v>23060210</v>
          </cell>
          <cell r="P1773" t="str">
            <v>DECA BORAX STD 50LB BAG</v>
          </cell>
          <cell r="Q1773" t="str">
            <v>Deca</v>
          </cell>
          <cell r="R1773">
            <v>4.9000000000000004</v>
          </cell>
          <cell r="S1773">
            <v>1567.3289</v>
          </cell>
        </row>
        <row r="1774">
          <cell r="A1774" t="str">
            <v>Actual</v>
          </cell>
          <cell r="B1774">
            <v>1</v>
          </cell>
          <cell r="C1774" t="str">
            <v>Domestic</v>
          </cell>
          <cell r="D1774">
            <v>5</v>
          </cell>
          <cell r="E1774">
            <v>6219</v>
          </cell>
          <cell r="F1774" t="str">
            <v>ASTRO CHEMICALS INC</v>
          </cell>
          <cell r="G1774" t="str">
            <v>D</v>
          </cell>
          <cell r="H1774" t="str">
            <v>SPRINGFIELD</v>
          </cell>
          <cell r="I1774" t="str">
            <v>MA</v>
          </cell>
          <cell r="J1774" t="str">
            <v>USA</v>
          </cell>
          <cell r="K1774" t="str">
            <v>ASTRO CHEMICALS INC</v>
          </cell>
          <cell r="L1774" t="str">
            <v>MA</v>
          </cell>
          <cell r="M1774" t="str">
            <v>USA</v>
          </cell>
          <cell r="N1774" t="str">
            <v>D</v>
          </cell>
          <cell r="O1774">
            <v>24030210</v>
          </cell>
          <cell r="P1774" t="str">
            <v>BORIC ACID PWD TECH 50LB BAG</v>
          </cell>
          <cell r="Q1774" t="str">
            <v>Boric Acid</v>
          </cell>
          <cell r="R1774">
            <v>4.8</v>
          </cell>
          <cell r="S1774">
            <v>3955.1005</v>
          </cell>
        </row>
        <row r="1775">
          <cell r="A1775" t="str">
            <v>Actual</v>
          </cell>
          <cell r="B1775">
            <v>1</v>
          </cell>
          <cell r="C1775" t="str">
            <v>Domestic</v>
          </cell>
          <cell r="D1775">
            <v>5</v>
          </cell>
          <cell r="E1775">
            <v>6219</v>
          </cell>
          <cell r="F1775" t="str">
            <v>ASTRO CHEMICALS INC</v>
          </cell>
          <cell r="G1775" t="str">
            <v>D</v>
          </cell>
          <cell r="H1775" t="str">
            <v>SPRINGFIELD</v>
          </cell>
          <cell r="I1775" t="str">
            <v>MA</v>
          </cell>
          <cell r="J1775" t="str">
            <v>USA</v>
          </cell>
          <cell r="K1775" t="str">
            <v>ASTRO CHEMICALS INC</v>
          </cell>
          <cell r="L1775" t="str">
            <v>MA</v>
          </cell>
          <cell r="M1775" t="str">
            <v>USA</v>
          </cell>
          <cell r="N1775" t="str">
            <v>D</v>
          </cell>
          <cell r="O1775">
            <v>24090210</v>
          </cell>
          <cell r="P1775" t="str">
            <v>BORIC ACID GRAN TECH 50LB BAG</v>
          </cell>
          <cell r="Q1775" t="str">
            <v>Boric Acid</v>
          </cell>
          <cell r="R1775">
            <v>7.35</v>
          </cell>
          <cell r="S1775">
            <v>4929.7700999999997</v>
          </cell>
        </row>
        <row r="1776">
          <cell r="A1776" t="str">
            <v>Actual</v>
          </cell>
          <cell r="B1776">
            <v>1</v>
          </cell>
          <cell r="C1776" t="str">
            <v>Domestic</v>
          </cell>
          <cell r="D1776">
            <v>5</v>
          </cell>
          <cell r="E1776">
            <v>6359</v>
          </cell>
          <cell r="F1776" t="str">
            <v>CANADA COLORS &amp; CHEMICAL LTD</v>
          </cell>
          <cell r="G1776" t="str">
            <v>D</v>
          </cell>
          <cell r="H1776" t="str">
            <v>BRAMPTON</v>
          </cell>
          <cell r="I1776" t="str">
            <v>ON</v>
          </cell>
          <cell r="J1776" t="str">
            <v>CAN</v>
          </cell>
          <cell r="K1776" t="str">
            <v>CANADA COLORS &amp; CHEMICAL LTD</v>
          </cell>
          <cell r="L1776" t="str">
            <v>ON</v>
          </cell>
          <cell r="M1776" t="str">
            <v>CAN</v>
          </cell>
          <cell r="N1776" t="str">
            <v>D</v>
          </cell>
          <cell r="O1776">
            <v>22060400</v>
          </cell>
          <cell r="P1776" t="str">
            <v>V-BOR STD BULK (004)</v>
          </cell>
          <cell r="Q1776" t="str">
            <v>Penta</v>
          </cell>
          <cell r="R1776">
            <v>29.6</v>
          </cell>
          <cell r="S1776">
            <v>9657.19</v>
          </cell>
        </row>
        <row r="1777">
          <cell r="A1777" t="str">
            <v>Actual</v>
          </cell>
          <cell r="B1777">
            <v>1</v>
          </cell>
          <cell r="C1777" t="str">
            <v>Domestic</v>
          </cell>
          <cell r="D1777">
            <v>5</v>
          </cell>
          <cell r="E1777">
            <v>6359</v>
          </cell>
          <cell r="F1777" t="str">
            <v>CANADA COLORS &amp; CHEMICAL LTD</v>
          </cell>
          <cell r="G1777" t="str">
            <v>D</v>
          </cell>
          <cell r="H1777" t="str">
            <v>BRAMPTON</v>
          </cell>
          <cell r="I1777" t="str">
            <v>ON</v>
          </cell>
          <cell r="J1777" t="str">
            <v>CAN</v>
          </cell>
          <cell r="K1777" t="str">
            <v>CANADA COLORS &amp; CHEMICAL LTD</v>
          </cell>
          <cell r="L1777" t="str">
            <v>ON</v>
          </cell>
          <cell r="M1777" t="str">
            <v>CAN</v>
          </cell>
          <cell r="N1777" t="str">
            <v>D</v>
          </cell>
          <cell r="O1777">
            <v>24090200</v>
          </cell>
          <cell r="P1777" t="str">
            <v>BORIC ACID GRAN TECH BULK</v>
          </cell>
          <cell r="Q1777" t="str">
            <v>Boric Acid</v>
          </cell>
          <cell r="R1777">
            <v>69.924999999999997</v>
          </cell>
          <cell r="S1777">
            <v>37862.22</v>
          </cell>
        </row>
        <row r="1778">
          <cell r="A1778" t="str">
            <v>Actual</v>
          </cell>
          <cell r="B1778">
            <v>1</v>
          </cell>
          <cell r="C1778" t="str">
            <v>Domestic</v>
          </cell>
          <cell r="D1778">
            <v>5</v>
          </cell>
          <cell r="E1778">
            <v>6598</v>
          </cell>
          <cell r="F1778" t="str">
            <v>INTERSTATE CHEMICAL COMPANY</v>
          </cell>
          <cell r="G1778" t="str">
            <v>D</v>
          </cell>
          <cell r="H1778" t="str">
            <v>WAYNE</v>
          </cell>
          <cell r="I1778" t="str">
            <v>MI</v>
          </cell>
          <cell r="J1778" t="str">
            <v>USA</v>
          </cell>
          <cell r="K1778" t="str">
            <v>INTERSTATE CHEMICAL COMPANY</v>
          </cell>
          <cell r="L1778" t="str">
            <v>PA</v>
          </cell>
          <cell r="M1778" t="str">
            <v>USA</v>
          </cell>
          <cell r="N1778" t="str">
            <v>D</v>
          </cell>
          <cell r="O1778">
            <v>22060410</v>
          </cell>
          <cell r="P1778" t="str">
            <v>V-BOR 50LB BAG (004)</v>
          </cell>
          <cell r="Q1778" t="str">
            <v>Penta</v>
          </cell>
          <cell r="R1778">
            <v>15.925000000000001</v>
          </cell>
          <cell r="S1778">
            <v>5830.2096000000001</v>
          </cell>
        </row>
        <row r="1779">
          <cell r="A1779" t="str">
            <v>Actual</v>
          </cell>
          <cell r="B1779">
            <v>1</v>
          </cell>
          <cell r="C1779" t="str">
            <v>Domestic</v>
          </cell>
          <cell r="D1779">
            <v>5</v>
          </cell>
          <cell r="E1779">
            <v>6598</v>
          </cell>
          <cell r="F1779" t="str">
            <v>INTERSTATE CHEMICAL COMPANY</v>
          </cell>
          <cell r="G1779" t="str">
            <v>D</v>
          </cell>
          <cell r="H1779" t="str">
            <v>WAYNE</v>
          </cell>
          <cell r="I1779" t="str">
            <v>MI</v>
          </cell>
          <cell r="J1779" t="str">
            <v>USA</v>
          </cell>
          <cell r="K1779" t="str">
            <v>INTERSTATE CHEMICAL COMPANY</v>
          </cell>
          <cell r="L1779" t="str">
            <v>PA</v>
          </cell>
          <cell r="M1779" t="str">
            <v>USA</v>
          </cell>
          <cell r="N1779" t="str">
            <v>D</v>
          </cell>
          <cell r="O1779">
            <v>23060210</v>
          </cell>
          <cell r="P1779" t="str">
            <v>DECA BORAX STD 50LB BAG</v>
          </cell>
          <cell r="Q1779" t="str">
            <v>Deca</v>
          </cell>
          <cell r="R1779">
            <v>0</v>
          </cell>
          <cell r="S1779">
            <v>-8.2357999999999993</v>
          </cell>
        </row>
        <row r="1780">
          <cell r="A1780" t="str">
            <v>Actual</v>
          </cell>
          <cell r="B1780">
            <v>1</v>
          </cell>
          <cell r="C1780" t="str">
            <v>Domestic</v>
          </cell>
          <cell r="D1780">
            <v>5</v>
          </cell>
          <cell r="E1780">
            <v>6598</v>
          </cell>
          <cell r="F1780" t="str">
            <v>INTERSTATE CHEMICAL COMPANY</v>
          </cell>
          <cell r="G1780" t="str">
            <v>D</v>
          </cell>
          <cell r="H1780" t="str">
            <v>WAYNE</v>
          </cell>
          <cell r="I1780" t="str">
            <v>MI</v>
          </cell>
          <cell r="J1780" t="str">
            <v>USA</v>
          </cell>
          <cell r="K1780" t="str">
            <v>INTERSTATE CHEMICAL COMPANY</v>
          </cell>
          <cell r="L1780" t="str">
            <v>PA</v>
          </cell>
          <cell r="M1780" t="str">
            <v>USA</v>
          </cell>
          <cell r="N1780" t="str">
            <v>D</v>
          </cell>
          <cell r="O1780">
            <v>24090210</v>
          </cell>
          <cell r="P1780" t="str">
            <v>BORIC ACID GRAN TECH 50LB BAG</v>
          </cell>
          <cell r="Q1780" t="str">
            <v>Boric Acid</v>
          </cell>
          <cell r="R1780">
            <v>6.125</v>
          </cell>
          <cell r="S1780">
            <v>3929.6563000000001</v>
          </cell>
        </row>
        <row r="1781">
          <cell r="A1781" t="str">
            <v>Actual</v>
          </cell>
          <cell r="B1781">
            <v>1</v>
          </cell>
          <cell r="C1781" t="str">
            <v>Domestic</v>
          </cell>
          <cell r="D1781">
            <v>5</v>
          </cell>
          <cell r="E1781">
            <v>6600</v>
          </cell>
          <cell r="F1781" t="str">
            <v>INTERSTATE CHEMICAL COMPANY</v>
          </cell>
          <cell r="G1781" t="str">
            <v>D</v>
          </cell>
          <cell r="H1781" t="str">
            <v>PUEBLO WEST</v>
          </cell>
          <cell r="I1781" t="str">
            <v>CO</v>
          </cell>
          <cell r="J1781" t="str">
            <v>USA</v>
          </cell>
          <cell r="K1781" t="str">
            <v>INTERSTATE CHEMICAL COMPANY</v>
          </cell>
          <cell r="L1781" t="str">
            <v>PA</v>
          </cell>
          <cell r="M1781" t="str">
            <v>USA</v>
          </cell>
          <cell r="N1781" t="str">
            <v>D</v>
          </cell>
          <cell r="O1781">
            <v>22060410</v>
          </cell>
          <cell r="P1781" t="str">
            <v>V-BOR 50LB BAG (004)</v>
          </cell>
          <cell r="Q1781" t="str">
            <v>Penta</v>
          </cell>
          <cell r="R1781">
            <v>11.025</v>
          </cell>
          <cell r="S1781">
            <v>4505.88</v>
          </cell>
        </row>
        <row r="1782">
          <cell r="A1782" t="str">
            <v>Actual</v>
          </cell>
          <cell r="B1782">
            <v>1</v>
          </cell>
          <cell r="C1782" t="str">
            <v>Domestic</v>
          </cell>
          <cell r="D1782">
            <v>5</v>
          </cell>
          <cell r="E1782">
            <v>6600</v>
          </cell>
          <cell r="F1782" t="str">
            <v>INTERSTATE CHEMICAL COMPANY</v>
          </cell>
          <cell r="G1782" t="str">
            <v>D</v>
          </cell>
          <cell r="H1782" t="str">
            <v>PUEBLO WEST</v>
          </cell>
          <cell r="I1782" t="str">
            <v>CO</v>
          </cell>
          <cell r="J1782" t="str">
            <v>USA</v>
          </cell>
          <cell r="K1782" t="str">
            <v>INTERSTATE CHEMICAL COMPANY</v>
          </cell>
          <cell r="L1782" t="str">
            <v>PA</v>
          </cell>
          <cell r="M1782" t="str">
            <v>USA</v>
          </cell>
          <cell r="N1782" t="str">
            <v>D</v>
          </cell>
          <cell r="O1782">
            <v>24090210</v>
          </cell>
          <cell r="P1782" t="str">
            <v>BORIC ACID GRAN TECH 50LB BAG</v>
          </cell>
          <cell r="Q1782" t="str">
            <v>Boric Acid</v>
          </cell>
          <cell r="R1782">
            <v>11.025</v>
          </cell>
          <cell r="S1782">
            <v>7427.51</v>
          </cell>
        </row>
        <row r="1783">
          <cell r="A1783" t="str">
            <v>Actual</v>
          </cell>
          <cell r="B1783">
            <v>1</v>
          </cell>
          <cell r="C1783" t="str">
            <v>Domestic</v>
          </cell>
          <cell r="D1783">
            <v>5</v>
          </cell>
          <cell r="E1783">
            <v>6989</v>
          </cell>
          <cell r="F1783" t="str">
            <v>ABITIBI CONSOLIDATED</v>
          </cell>
          <cell r="G1783" t="str">
            <v>D</v>
          </cell>
          <cell r="H1783" t="str">
            <v>SNOWFLAKE</v>
          </cell>
          <cell r="I1783" t="str">
            <v>AZ</v>
          </cell>
          <cell r="J1783" t="str">
            <v>USA</v>
          </cell>
          <cell r="K1783" t="str">
            <v>ABITIBI</v>
          </cell>
          <cell r="L1783" t="str">
            <v>AZ</v>
          </cell>
          <cell r="M1783" t="str">
            <v>USA</v>
          </cell>
          <cell r="N1783" t="str">
            <v>C</v>
          </cell>
          <cell r="O1783">
            <v>30210100</v>
          </cell>
          <cell r="P1783" t="str">
            <v>SODA ASH DENSE BULK</v>
          </cell>
          <cell r="Q1783" t="str">
            <v>Soda Ash</v>
          </cell>
          <cell r="R1783">
            <v>156.72999999999999</v>
          </cell>
          <cell r="S1783">
            <v>15986.46</v>
          </cell>
        </row>
        <row r="1784">
          <cell r="A1784" t="str">
            <v>Actual</v>
          </cell>
          <cell r="B1784">
            <v>1</v>
          </cell>
          <cell r="C1784" t="str">
            <v>Domestic</v>
          </cell>
          <cell r="D1784">
            <v>5</v>
          </cell>
          <cell r="E1784">
            <v>7164</v>
          </cell>
          <cell r="F1784" t="str">
            <v>ENTERGY NUCLEAR INDIAN POINT 2</v>
          </cell>
          <cell r="G1784" t="str">
            <v>D</v>
          </cell>
          <cell r="H1784" t="str">
            <v>BUCHANAN</v>
          </cell>
          <cell r="I1784" t="str">
            <v>NY</v>
          </cell>
          <cell r="J1784" t="str">
            <v>USA</v>
          </cell>
          <cell r="K1784" t="str">
            <v>ENTERGY NUCLEAR NORTHEAST</v>
          </cell>
          <cell r="L1784" t="str">
            <v>NY</v>
          </cell>
          <cell r="M1784" t="str">
            <v>USA</v>
          </cell>
          <cell r="N1784" t="str">
            <v>C</v>
          </cell>
          <cell r="O1784">
            <v>24609792</v>
          </cell>
          <cell r="P1784" t="str">
            <v>BORIC ACID NS 150KG DRUM</v>
          </cell>
          <cell r="Q1784" t="str">
            <v>HP Boric Acid (SCL)</v>
          </cell>
          <cell r="R1784">
            <v>42.328400000000002</v>
          </cell>
          <cell r="S1784">
            <v>81309.600000000006</v>
          </cell>
        </row>
        <row r="1785">
          <cell r="A1785" t="str">
            <v>Actual</v>
          </cell>
          <cell r="B1785">
            <v>1</v>
          </cell>
          <cell r="C1785" t="str">
            <v>Domestic</v>
          </cell>
          <cell r="D1785">
            <v>5</v>
          </cell>
          <cell r="E1785">
            <v>7448</v>
          </cell>
          <cell r="F1785" t="str">
            <v>WYNCO, LLC</v>
          </cell>
          <cell r="G1785" t="str">
            <v>D</v>
          </cell>
          <cell r="H1785" t="str">
            <v>FRUITLAND</v>
          </cell>
          <cell r="I1785" t="str">
            <v>MD</v>
          </cell>
          <cell r="J1785" t="str">
            <v>USA</v>
          </cell>
          <cell r="K1785" t="str">
            <v>SCHERING-PLOUGH ANIMAL HEALTH</v>
          </cell>
          <cell r="L1785" t="str">
            <v>NE</v>
          </cell>
          <cell r="M1785" t="str">
            <v>USA</v>
          </cell>
          <cell r="N1785" t="str">
            <v>C</v>
          </cell>
          <cell r="O1785">
            <v>24740211</v>
          </cell>
          <cell r="P1785" t="str">
            <v>BORIC ACID PWD PEST W/TCP SAFE</v>
          </cell>
          <cell r="Q1785" t="str">
            <v>Boric Acid</v>
          </cell>
          <cell r="R1785">
            <v>22</v>
          </cell>
          <cell r="S1785">
            <v>19090.8</v>
          </cell>
        </row>
        <row r="1786">
          <cell r="A1786" t="str">
            <v>Actual</v>
          </cell>
          <cell r="B1786">
            <v>1</v>
          </cell>
          <cell r="C1786" t="str">
            <v>Domestic</v>
          </cell>
          <cell r="D1786">
            <v>5</v>
          </cell>
          <cell r="E1786">
            <v>7855</v>
          </cell>
          <cell r="F1786" t="str">
            <v>QUADRA CHEMICAL</v>
          </cell>
          <cell r="G1786" t="str">
            <v>D</v>
          </cell>
          <cell r="H1786" t="str">
            <v>BURLINGTON</v>
          </cell>
          <cell r="I1786" t="str">
            <v>ON</v>
          </cell>
          <cell r="J1786" t="str">
            <v>CAN</v>
          </cell>
          <cell r="K1786" t="str">
            <v>QUADRA CHEMICAL</v>
          </cell>
          <cell r="L1786" t="str">
            <v>PQ</v>
          </cell>
          <cell r="M1786" t="str">
            <v>CAN</v>
          </cell>
          <cell r="N1786" t="str">
            <v>D</v>
          </cell>
          <cell r="O1786">
            <v>20060210</v>
          </cell>
          <cell r="P1786" t="str">
            <v>PYROBOR 50LB BAG (002)</v>
          </cell>
          <cell r="Q1786" t="str">
            <v>Pyrobor</v>
          </cell>
          <cell r="R1786">
            <v>0</v>
          </cell>
          <cell r="S1786">
            <v>-5227.6899999999996</v>
          </cell>
        </row>
        <row r="1787">
          <cell r="A1787" t="str">
            <v>Actual</v>
          </cell>
          <cell r="B1787">
            <v>1</v>
          </cell>
          <cell r="C1787" t="str">
            <v>Domestic</v>
          </cell>
          <cell r="D1787">
            <v>5</v>
          </cell>
          <cell r="E1787">
            <v>7855</v>
          </cell>
          <cell r="F1787" t="str">
            <v>QUADRA CHEMICAL</v>
          </cell>
          <cell r="G1787" t="str">
            <v>D</v>
          </cell>
          <cell r="H1787" t="str">
            <v>BURLINGTON</v>
          </cell>
          <cell r="I1787" t="str">
            <v>ON</v>
          </cell>
          <cell r="J1787" t="str">
            <v>CAN</v>
          </cell>
          <cell r="K1787" t="str">
            <v>QUADRA CHEMICAL</v>
          </cell>
          <cell r="L1787" t="str">
            <v>PQ</v>
          </cell>
          <cell r="M1787" t="str">
            <v>CAN</v>
          </cell>
          <cell r="N1787" t="str">
            <v>D</v>
          </cell>
          <cell r="O1787">
            <v>23060210</v>
          </cell>
          <cell r="P1787" t="str">
            <v>DECA BORAX STD 50LB BAG</v>
          </cell>
          <cell r="Q1787" t="str">
            <v>Deca</v>
          </cell>
          <cell r="R1787">
            <v>0</v>
          </cell>
          <cell r="S1787">
            <v>-139.32</v>
          </cell>
        </row>
        <row r="1788">
          <cell r="A1788" t="str">
            <v>Actual</v>
          </cell>
          <cell r="B1788">
            <v>1</v>
          </cell>
          <cell r="C1788" t="str">
            <v>Domestic</v>
          </cell>
          <cell r="D1788">
            <v>5</v>
          </cell>
          <cell r="E1788">
            <v>7855</v>
          </cell>
          <cell r="F1788" t="str">
            <v>QUADRA CHEMICAL</v>
          </cell>
          <cell r="G1788" t="str">
            <v>D</v>
          </cell>
          <cell r="H1788" t="str">
            <v>BURLINGTON</v>
          </cell>
          <cell r="I1788" t="str">
            <v>ON</v>
          </cell>
          <cell r="J1788" t="str">
            <v>CAN</v>
          </cell>
          <cell r="K1788" t="str">
            <v>QUADRA CHEMICAL</v>
          </cell>
          <cell r="L1788" t="str">
            <v>PQ</v>
          </cell>
          <cell r="M1788" t="str">
            <v>CAN</v>
          </cell>
          <cell r="N1788" t="str">
            <v>D</v>
          </cell>
          <cell r="O1788">
            <v>24090210</v>
          </cell>
          <cell r="P1788" t="str">
            <v>BORIC ACID GRAN TECH 50LB BAG</v>
          </cell>
          <cell r="Q1788" t="str">
            <v>Boric Acid</v>
          </cell>
          <cell r="R1788">
            <v>0</v>
          </cell>
          <cell r="S1788">
            <v>-928.48</v>
          </cell>
        </row>
        <row r="1789">
          <cell r="A1789" t="str">
            <v>Actual</v>
          </cell>
          <cell r="B1789">
            <v>1</v>
          </cell>
          <cell r="C1789" t="str">
            <v>Domestic</v>
          </cell>
          <cell r="D1789">
            <v>5</v>
          </cell>
          <cell r="E1789">
            <v>8066</v>
          </cell>
          <cell r="F1789" t="str">
            <v>SAFEGUARD INC</v>
          </cell>
          <cell r="G1789" t="str">
            <v>D</v>
          </cell>
          <cell r="H1789" t="str">
            <v>WADING RIVER</v>
          </cell>
          <cell r="I1789" t="str">
            <v>NY</v>
          </cell>
          <cell r="J1789" t="str">
            <v>USA</v>
          </cell>
          <cell r="K1789" t="str">
            <v>SAFEGUARD INC</v>
          </cell>
          <cell r="L1789" t="str">
            <v>NY</v>
          </cell>
          <cell r="M1789" t="str">
            <v>USA</v>
          </cell>
          <cell r="N1789" t="str">
            <v>C</v>
          </cell>
          <cell r="O1789">
            <v>26069718</v>
          </cell>
          <cell r="P1789" t="str">
            <v>SODIUM OCTABORATE 20KG BAG</v>
          </cell>
          <cell r="Q1789" t="str">
            <v>Foliarel (SCL)</v>
          </cell>
          <cell r="R1789">
            <v>2.1604999999999999</v>
          </cell>
          <cell r="S1789">
            <v>3362.47</v>
          </cell>
        </row>
        <row r="1790">
          <cell r="A1790" t="str">
            <v>Actual</v>
          </cell>
          <cell r="B1790">
            <v>1</v>
          </cell>
          <cell r="C1790" t="str">
            <v>Domestic</v>
          </cell>
          <cell r="D1790">
            <v>5</v>
          </cell>
          <cell r="E1790">
            <v>8104</v>
          </cell>
          <cell r="F1790" t="str">
            <v>OWENS CORNING</v>
          </cell>
          <cell r="G1790" t="str">
            <v>D</v>
          </cell>
          <cell r="H1790" t="str">
            <v>FAIRBURN</v>
          </cell>
          <cell r="I1790" t="str">
            <v>GA</v>
          </cell>
          <cell r="J1790" t="str">
            <v>USA</v>
          </cell>
          <cell r="K1790" t="str">
            <v>OWENS CORNING</v>
          </cell>
          <cell r="L1790" t="str">
            <v>GA</v>
          </cell>
          <cell r="M1790" t="str">
            <v>USA</v>
          </cell>
          <cell r="N1790" t="str">
            <v>C</v>
          </cell>
          <cell r="O1790">
            <v>30210100</v>
          </cell>
          <cell r="P1790" t="str">
            <v>SODA ASH DENSE BULK</v>
          </cell>
          <cell r="Q1790" t="str">
            <v>Soda Ash</v>
          </cell>
          <cell r="R1790">
            <v>488.87009999999998</v>
          </cell>
          <cell r="S1790">
            <v>34616.870000000003</v>
          </cell>
        </row>
        <row r="1791">
          <cell r="A1791" t="str">
            <v>Actual</v>
          </cell>
          <cell r="B1791">
            <v>1</v>
          </cell>
          <cell r="C1791" t="str">
            <v>Domestic</v>
          </cell>
          <cell r="D1791">
            <v>5</v>
          </cell>
          <cell r="E1791">
            <v>8839</v>
          </cell>
          <cell r="F1791" t="str">
            <v>HARCROS CHEMICAL INC</v>
          </cell>
          <cell r="G1791" t="str">
            <v>D</v>
          </cell>
          <cell r="H1791" t="str">
            <v>NASHUA</v>
          </cell>
          <cell r="I1791" t="str">
            <v>NH</v>
          </cell>
          <cell r="J1791" t="str">
            <v>USA</v>
          </cell>
          <cell r="K1791" t="str">
            <v>HARCROS CHEMICAL INC</v>
          </cell>
          <cell r="L1791" t="str">
            <v>NH</v>
          </cell>
          <cell r="M1791" t="str">
            <v>USA</v>
          </cell>
          <cell r="N1791" t="str">
            <v>D</v>
          </cell>
          <cell r="O1791">
            <v>20060210</v>
          </cell>
          <cell r="P1791" t="str">
            <v>PYROBOR 50LB BAG (002)</v>
          </cell>
          <cell r="Q1791" t="str">
            <v>Pyrobor</v>
          </cell>
          <cell r="R1791">
            <v>4.9000000000000004</v>
          </cell>
          <cell r="S1791">
            <v>3623.6639</v>
          </cell>
        </row>
        <row r="1792">
          <cell r="A1792" t="str">
            <v>Actual</v>
          </cell>
          <cell r="B1792">
            <v>1</v>
          </cell>
          <cell r="C1792" t="str">
            <v>Domestic</v>
          </cell>
          <cell r="D1792">
            <v>5</v>
          </cell>
          <cell r="E1792">
            <v>8839</v>
          </cell>
          <cell r="F1792" t="str">
            <v>HARCROS CHEMICAL INC</v>
          </cell>
          <cell r="G1792" t="str">
            <v>D</v>
          </cell>
          <cell r="H1792" t="str">
            <v>NASHUA</v>
          </cell>
          <cell r="I1792" t="str">
            <v>NH</v>
          </cell>
          <cell r="J1792" t="str">
            <v>USA</v>
          </cell>
          <cell r="K1792" t="str">
            <v>HARCROS CHEMICAL INC</v>
          </cell>
          <cell r="L1792" t="str">
            <v>NH</v>
          </cell>
          <cell r="M1792" t="str">
            <v>USA</v>
          </cell>
          <cell r="N1792" t="str">
            <v>D</v>
          </cell>
          <cell r="O1792">
            <v>22060410</v>
          </cell>
          <cell r="P1792" t="str">
            <v>V-BOR 50LB BAG (004)</v>
          </cell>
          <cell r="Q1792" t="str">
            <v>Penta</v>
          </cell>
          <cell r="R1792">
            <v>17.149999999999999</v>
          </cell>
          <cell r="S1792">
            <v>6148.3860999999997</v>
          </cell>
        </row>
        <row r="1793">
          <cell r="A1793" t="str">
            <v>Actual</v>
          </cell>
          <cell r="B1793">
            <v>1</v>
          </cell>
          <cell r="C1793" t="str">
            <v>Domestic</v>
          </cell>
          <cell r="D1793">
            <v>5</v>
          </cell>
          <cell r="E1793">
            <v>8857</v>
          </cell>
          <cell r="F1793" t="str">
            <v>OWENS CORNING</v>
          </cell>
          <cell r="G1793" t="str">
            <v>D</v>
          </cell>
          <cell r="H1793" t="str">
            <v>NEWARK</v>
          </cell>
          <cell r="I1793" t="str">
            <v>OH</v>
          </cell>
          <cell r="J1793" t="str">
            <v>USA</v>
          </cell>
          <cell r="K1793" t="str">
            <v>OWENS CORNING</v>
          </cell>
          <cell r="L1793" t="str">
            <v>OH</v>
          </cell>
          <cell r="M1793" t="str">
            <v>USA</v>
          </cell>
          <cell r="N1793" t="str">
            <v>C</v>
          </cell>
          <cell r="O1793">
            <v>30210100</v>
          </cell>
          <cell r="P1793" t="str">
            <v>SODA ASH DENSE BULK</v>
          </cell>
          <cell r="Q1793" t="str">
            <v>Soda Ash</v>
          </cell>
          <cell r="R1793">
            <v>1083.7465999999999</v>
          </cell>
          <cell r="S1793">
            <v>75688.91</v>
          </cell>
        </row>
        <row r="1794">
          <cell r="A1794" t="str">
            <v>Actual</v>
          </cell>
          <cell r="B1794">
            <v>1</v>
          </cell>
          <cell r="C1794" t="str">
            <v>Domestic</v>
          </cell>
          <cell r="D1794">
            <v>5</v>
          </cell>
          <cell r="E1794">
            <v>8858</v>
          </cell>
          <cell r="F1794" t="str">
            <v>OWENS CORNING</v>
          </cell>
          <cell r="G1794" t="str">
            <v>D</v>
          </cell>
          <cell r="H1794" t="str">
            <v>SELKIRK</v>
          </cell>
          <cell r="I1794" t="str">
            <v>NY</v>
          </cell>
          <cell r="J1794" t="str">
            <v>USA</v>
          </cell>
          <cell r="K1794" t="str">
            <v>OWENS CORNING</v>
          </cell>
          <cell r="L1794" t="str">
            <v>NY</v>
          </cell>
          <cell r="M1794" t="str">
            <v>USA</v>
          </cell>
          <cell r="N1794" t="str">
            <v>C</v>
          </cell>
          <cell r="O1794">
            <v>30210100</v>
          </cell>
          <cell r="P1794" t="str">
            <v>SODA ASH DENSE BULK</v>
          </cell>
          <cell r="Q1794" t="str">
            <v>Soda Ash</v>
          </cell>
          <cell r="R1794">
            <v>2121.6129999999998</v>
          </cell>
          <cell r="S1794">
            <v>141235.76999999999</v>
          </cell>
        </row>
        <row r="1795">
          <cell r="A1795" t="str">
            <v>Actual</v>
          </cell>
          <cell r="B1795">
            <v>1</v>
          </cell>
          <cell r="C1795" t="str">
            <v>Domestic</v>
          </cell>
          <cell r="D1795">
            <v>5</v>
          </cell>
          <cell r="E1795">
            <v>9025</v>
          </cell>
          <cell r="F1795" t="str">
            <v>PEMCO CORPORATION</v>
          </cell>
          <cell r="G1795" t="str">
            <v>D</v>
          </cell>
          <cell r="H1795" t="str">
            <v>LEESBURG</v>
          </cell>
          <cell r="I1795" t="str">
            <v>AL</v>
          </cell>
          <cell r="J1795" t="str">
            <v>USA</v>
          </cell>
          <cell r="K1795" t="str">
            <v>PEMCO CORPORATION</v>
          </cell>
          <cell r="L1795" t="str">
            <v>AL</v>
          </cell>
          <cell r="M1795" t="str">
            <v>USA</v>
          </cell>
          <cell r="N1795" t="str">
            <v>C</v>
          </cell>
          <cell r="O1795">
            <v>20060200</v>
          </cell>
          <cell r="P1795" t="str">
            <v>PYROBOR ANHY BORAX BULK (002)</v>
          </cell>
          <cell r="Q1795" t="str">
            <v>Pyrobor</v>
          </cell>
          <cell r="R1795">
            <v>201.35</v>
          </cell>
          <cell r="S1795">
            <v>92443.96</v>
          </cell>
        </row>
        <row r="1796">
          <cell r="A1796" t="str">
            <v>Actual</v>
          </cell>
          <cell r="B1796">
            <v>1</v>
          </cell>
          <cell r="C1796" t="str">
            <v>Domestic</v>
          </cell>
          <cell r="D1796">
            <v>5</v>
          </cell>
          <cell r="E1796">
            <v>9048</v>
          </cell>
          <cell r="F1796" t="str">
            <v>UNIVAR USA</v>
          </cell>
          <cell r="G1796" t="str">
            <v>D</v>
          </cell>
          <cell r="H1796" t="str">
            <v>BUNOLA</v>
          </cell>
          <cell r="I1796" t="str">
            <v>PA</v>
          </cell>
          <cell r="J1796" t="str">
            <v>USA</v>
          </cell>
          <cell r="K1796" t="str">
            <v>UNIVAR USA</v>
          </cell>
          <cell r="L1796" t="str">
            <v>IL</v>
          </cell>
          <cell r="M1796" t="str">
            <v>USA</v>
          </cell>
          <cell r="N1796" t="str">
            <v>D</v>
          </cell>
          <cell r="O1796">
            <v>20060210</v>
          </cell>
          <cell r="P1796" t="str">
            <v>PYROBOR 50LB BAG (002)</v>
          </cell>
          <cell r="Q1796" t="str">
            <v>Pyrobor</v>
          </cell>
          <cell r="R1796">
            <v>22.05</v>
          </cell>
          <cell r="S1796">
            <v>14823</v>
          </cell>
        </row>
        <row r="1797">
          <cell r="A1797" t="str">
            <v>Actual</v>
          </cell>
          <cell r="B1797">
            <v>1</v>
          </cell>
          <cell r="C1797" t="str">
            <v>Domestic</v>
          </cell>
          <cell r="D1797">
            <v>5</v>
          </cell>
          <cell r="E1797">
            <v>9048</v>
          </cell>
          <cell r="F1797" t="str">
            <v>UNIVAR USA</v>
          </cell>
          <cell r="G1797" t="str">
            <v>D</v>
          </cell>
          <cell r="H1797" t="str">
            <v>BUNOLA</v>
          </cell>
          <cell r="I1797" t="str">
            <v>PA</v>
          </cell>
          <cell r="J1797" t="str">
            <v>USA</v>
          </cell>
          <cell r="K1797" t="str">
            <v>UNIVAR USA</v>
          </cell>
          <cell r="L1797" t="str">
            <v>IL</v>
          </cell>
          <cell r="M1797" t="str">
            <v>USA</v>
          </cell>
          <cell r="N1797" t="str">
            <v>D</v>
          </cell>
          <cell r="O1797">
            <v>22060410</v>
          </cell>
          <cell r="P1797" t="str">
            <v>V-BOR 50LB BAG (004)</v>
          </cell>
          <cell r="Q1797" t="str">
            <v>Penta</v>
          </cell>
          <cell r="R1797">
            <v>0</v>
          </cell>
          <cell r="S1797">
            <v>-25.03</v>
          </cell>
        </row>
        <row r="1798">
          <cell r="A1798" t="str">
            <v>Actual</v>
          </cell>
          <cell r="B1798">
            <v>1</v>
          </cell>
          <cell r="C1798" t="str">
            <v>Domestic</v>
          </cell>
          <cell r="D1798">
            <v>5</v>
          </cell>
          <cell r="E1798">
            <v>9048</v>
          </cell>
          <cell r="F1798" t="str">
            <v>UNIVAR USA</v>
          </cell>
          <cell r="G1798" t="str">
            <v>D</v>
          </cell>
          <cell r="H1798" t="str">
            <v>BUNOLA</v>
          </cell>
          <cell r="I1798" t="str">
            <v>PA</v>
          </cell>
          <cell r="J1798" t="str">
            <v>USA</v>
          </cell>
          <cell r="K1798" t="str">
            <v>UNIVAR USA</v>
          </cell>
          <cell r="L1798" t="str">
            <v>IL</v>
          </cell>
          <cell r="M1798" t="str">
            <v>USA</v>
          </cell>
          <cell r="N1798" t="str">
            <v>D</v>
          </cell>
          <cell r="O1798">
            <v>22060450</v>
          </cell>
          <cell r="P1798" t="str">
            <v>V-BOR 1TN FIBC (004)</v>
          </cell>
          <cell r="Q1798" t="str">
            <v>Penta</v>
          </cell>
          <cell r="R1798">
            <v>13</v>
          </cell>
          <cell r="S1798">
            <v>4723.2034000000003</v>
          </cell>
        </row>
        <row r="1799">
          <cell r="A1799" t="str">
            <v>Actual</v>
          </cell>
          <cell r="B1799">
            <v>1</v>
          </cell>
          <cell r="C1799" t="str">
            <v>Domestic</v>
          </cell>
          <cell r="D1799">
            <v>5</v>
          </cell>
          <cell r="E1799">
            <v>9048</v>
          </cell>
          <cell r="F1799" t="str">
            <v>UNIVAR USA</v>
          </cell>
          <cell r="G1799" t="str">
            <v>D</v>
          </cell>
          <cell r="H1799" t="str">
            <v>BUNOLA</v>
          </cell>
          <cell r="I1799" t="str">
            <v>PA</v>
          </cell>
          <cell r="J1799" t="str">
            <v>USA</v>
          </cell>
          <cell r="K1799" t="str">
            <v>UNIVAR USA</v>
          </cell>
          <cell r="L1799" t="str">
            <v>IL</v>
          </cell>
          <cell r="M1799" t="str">
            <v>USA</v>
          </cell>
          <cell r="N1799" t="str">
            <v>D</v>
          </cell>
          <cell r="O1799">
            <v>24090210</v>
          </cell>
          <cell r="P1799" t="str">
            <v>BORIC ACID GRAN TECH 50LB BAG</v>
          </cell>
          <cell r="Q1799" t="str">
            <v>Boric Acid</v>
          </cell>
          <cell r="R1799">
            <v>8.5749999999999993</v>
          </cell>
          <cell r="S1799">
            <v>4792.5766000000003</v>
          </cell>
        </row>
        <row r="1800">
          <cell r="A1800" t="str">
            <v>Actual</v>
          </cell>
          <cell r="B1800">
            <v>1</v>
          </cell>
          <cell r="C1800" t="str">
            <v>Domestic</v>
          </cell>
          <cell r="D1800">
            <v>5</v>
          </cell>
          <cell r="E1800">
            <v>9261</v>
          </cell>
          <cell r="F1800" t="str">
            <v>OWENS CORNING</v>
          </cell>
          <cell r="G1800" t="str">
            <v>D</v>
          </cell>
          <cell r="H1800" t="str">
            <v>SANTA CLARA</v>
          </cell>
          <cell r="I1800" t="str">
            <v>CA</v>
          </cell>
          <cell r="J1800" t="str">
            <v>USA</v>
          </cell>
          <cell r="K1800" t="str">
            <v>OWENS CORNING</v>
          </cell>
          <cell r="L1800" t="str">
            <v>CA</v>
          </cell>
          <cell r="M1800" t="str">
            <v>USA</v>
          </cell>
          <cell r="N1800" t="str">
            <v>C</v>
          </cell>
          <cell r="O1800">
            <v>30210100</v>
          </cell>
          <cell r="P1800" t="str">
            <v>SODA ASH DENSE BULK</v>
          </cell>
          <cell r="Q1800" t="str">
            <v>Soda Ash</v>
          </cell>
          <cell r="R1800">
            <v>583.12059999999997</v>
          </cell>
          <cell r="S1800">
            <v>52148.52</v>
          </cell>
        </row>
        <row r="1801">
          <cell r="A1801" t="str">
            <v>Actual</v>
          </cell>
          <cell r="B1801">
            <v>1</v>
          </cell>
          <cell r="C1801" t="str">
            <v>Domestic</v>
          </cell>
          <cell r="D1801">
            <v>5</v>
          </cell>
          <cell r="E1801">
            <v>9263</v>
          </cell>
          <cell r="F1801" t="str">
            <v>OWENS CORNING</v>
          </cell>
          <cell r="G1801" t="str">
            <v>D</v>
          </cell>
          <cell r="H1801" t="str">
            <v>ELOY</v>
          </cell>
          <cell r="I1801" t="str">
            <v>AZ</v>
          </cell>
          <cell r="J1801" t="str">
            <v>USA</v>
          </cell>
          <cell r="K1801" t="str">
            <v>OWENS CORNING</v>
          </cell>
          <cell r="L1801" t="str">
            <v>AZ</v>
          </cell>
          <cell r="M1801" t="str">
            <v>USA</v>
          </cell>
          <cell r="N1801" t="str">
            <v>C</v>
          </cell>
          <cell r="O1801">
            <v>30210100</v>
          </cell>
          <cell r="P1801" t="str">
            <v>SODA ASH DENSE BULK</v>
          </cell>
          <cell r="Q1801" t="str">
            <v>Soda Ash</v>
          </cell>
          <cell r="R1801">
            <v>106.9528</v>
          </cell>
          <cell r="S1801">
            <v>7780.84</v>
          </cell>
        </row>
        <row r="1802">
          <cell r="A1802" t="str">
            <v>Actual</v>
          </cell>
          <cell r="B1802">
            <v>1</v>
          </cell>
          <cell r="C1802" t="str">
            <v>Domestic</v>
          </cell>
          <cell r="D1802">
            <v>5</v>
          </cell>
          <cell r="E1802">
            <v>9264</v>
          </cell>
          <cell r="F1802" t="str">
            <v>OWENS CORNING CANADA INC.</v>
          </cell>
          <cell r="G1802" t="str">
            <v>D</v>
          </cell>
          <cell r="H1802" t="str">
            <v>AGINCOURT</v>
          </cell>
          <cell r="I1802" t="str">
            <v>ON</v>
          </cell>
          <cell r="J1802" t="str">
            <v>CAN</v>
          </cell>
          <cell r="K1802" t="str">
            <v>OWENS CORNING CANADA INC.</v>
          </cell>
          <cell r="L1802" t="str">
            <v>ON</v>
          </cell>
          <cell r="M1802" t="str">
            <v>CAN</v>
          </cell>
          <cell r="N1802" t="str">
            <v>C</v>
          </cell>
          <cell r="O1802">
            <v>30210100</v>
          </cell>
          <cell r="P1802" t="str">
            <v>SODA ASH DENSE BULK</v>
          </cell>
          <cell r="Q1802" t="str">
            <v>Soda Ash</v>
          </cell>
          <cell r="R1802">
            <v>143.1233</v>
          </cell>
          <cell r="S1802">
            <v>10661.21</v>
          </cell>
        </row>
        <row r="1803">
          <cell r="A1803" t="str">
            <v>Actual</v>
          </cell>
          <cell r="B1803">
            <v>1</v>
          </cell>
          <cell r="C1803" t="str">
            <v>Domestic</v>
          </cell>
          <cell r="D1803">
            <v>5</v>
          </cell>
          <cell r="E1803">
            <v>9265</v>
          </cell>
          <cell r="F1803" t="str">
            <v>OWENS CORNING</v>
          </cell>
          <cell r="G1803" t="str">
            <v>D</v>
          </cell>
          <cell r="H1803" t="str">
            <v>CANDIAC</v>
          </cell>
          <cell r="I1803" t="str">
            <v>PQ</v>
          </cell>
          <cell r="J1803" t="str">
            <v>CAN</v>
          </cell>
          <cell r="K1803" t="str">
            <v>OWENS CORNING</v>
          </cell>
          <cell r="L1803" t="str">
            <v>PQ</v>
          </cell>
          <cell r="M1803" t="str">
            <v>CAN</v>
          </cell>
          <cell r="N1803" t="str">
            <v>C</v>
          </cell>
          <cell r="O1803">
            <v>30210100</v>
          </cell>
          <cell r="P1803" t="str">
            <v>SODA ASH DENSE BULK</v>
          </cell>
          <cell r="Q1803" t="str">
            <v>Soda Ash</v>
          </cell>
          <cell r="R1803">
            <v>192.33799999999999</v>
          </cell>
          <cell r="S1803">
            <v>13756.02</v>
          </cell>
        </row>
        <row r="1804">
          <cell r="A1804" t="str">
            <v>Actual</v>
          </cell>
          <cell r="B1804">
            <v>1</v>
          </cell>
          <cell r="C1804" t="str">
            <v>Domestic</v>
          </cell>
          <cell r="D1804">
            <v>5</v>
          </cell>
          <cell r="E1804">
            <v>9377</v>
          </cell>
          <cell r="F1804" t="str">
            <v>CANADA COLORS &amp; CHEMICAL LTD</v>
          </cell>
          <cell r="G1804" t="str">
            <v>D</v>
          </cell>
          <cell r="H1804" t="str">
            <v>MORDEN</v>
          </cell>
          <cell r="I1804" t="str">
            <v>MB</v>
          </cell>
          <cell r="J1804" t="str">
            <v>CAN</v>
          </cell>
          <cell r="K1804" t="str">
            <v>CANADA COLORS &amp; CHEMICAL LTD</v>
          </cell>
          <cell r="L1804" t="str">
            <v>ON</v>
          </cell>
          <cell r="M1804" t="str">
            <v>CAN</v>
          </cell>
          <cell r="N1804" t="str">
            <v>D</v>
          </cell>
          <cell r="O1804">
            <v>24230250</v>
          </cell>
          <cell r="P1804" t="str">
            <v>BORIC ACID GRAN TECH 1TN FIBC</v>
          </cell>
          <cell r="Q1804" t="str">
            <v>Boric Acid</v>
          </cell>
          <cell r="R1804">
            <v>22</v>
          </cell>
          <cell r="S1804">
            <v>10054</v>
          </cell>
        </row>
        <row r="1805">
          <cell r="A1805" t="str">
            <v>Actual</v>
          </cell>
          <cell r="B1805">
            <v>1</v>
          </cell>
          <cell r="C1805" t="str">
            <v>Domestic</v>
          </cell>
          <cell r="D1805">
            <v>5</v>
          </cell>
          <cell r="E1805">
            <v>9390</v>
          </cell>
          <cell r="F1805" t="str">
            <v>NATIONAL STARCH &amp; CHEMICAL</v>
          </cell>
          <cell r="G1805" t="str">
            <v>D</v>
          </cell>
          <cell r="H1805" t="str">
            <v>N. KANSAS CITY</v>
          </cell>
          <cell r="I1805" t="str">
            <v>MO</v>
          </cell>
          <cell r="J1805" t="str">
            <v>USA</v>
          </cell>
          <cell r="K1805" t="str">
            <v>COOPER NATURAL RESOURCES</v>
          </cell>
          <cell r="L1805" t="str">
            <v>OK</v>
          </cell>
          <cell r="M1805" t="str">
            <v>USA</v>
          </cell>
          <cell r="N1805" t="str">
            <v>D</v>
          </cell>
          <cell r="O1805">
            <v>40060400</v>
          </cell>
          <cell r="P1805" t="str">
            <v>SODIUM SULFATE STANDARD BULK</v>
          </cell>
          <cell r="Q1805" t="str">
            <v>Sodium Sulfate</v>
          </cell>
          <cell r="R1805">
            <v>538.875</v>
          </cell>
          <cell r="S1805">
            <v>23866.77</v>
          </cell>
        </row>
        <row r="1806">
          <cell r="A1806" t="str">
            <v>Actual</v>
          </cell>
          <cell r="B1806">
            <v>1</v>
          </cell>
          <cell r="C1806" t="str">
            <v>Domestic</v>
          </cell>
          <cell r="D1806">
            <v>5</v>
          </cell>
          <cell r="E1806">
            <v>9419</v>
          </cell>
          <cell r="F1806" t="str">
            <v>LORD'S ADDITIVES LLC</v>
          </cell>
          <cell r="G1806" t="str">
            <v>D</v>
          </cell>
          <cell r="H1806" t="str">
            <v>SEWELL</v>
          </cell>
          <cell r="I1806" t="str">
            <v>NJ</v>
          </cell>
          <cell r="J1806" t="str">
            <v>USA</v>
          </cell>
          <cell r="K1806" t="str">
            <v>LORD'S ADDITIVES LLC</v>
          </cell>
          <cell r="L1806" t="str">
            <v>NJ</v>
          </cell>
          <cell r="M1806" t="str">
            <v>USA</v>
          </cell>
          <cell r="N1806" t="str">
            <v>C</v>
          </cell>
          <cell r="O1806">
            <v>27069720</v>
          </cell>
          <cell r="P1806" t="str">
            <v>ZINC BORATE, STD 25KG BAGS</v>
          </cell>
          <cell r="Q1806" t="str">
            <v>Boric Salt (SCL)</v>
          </cell>
          <cell r="R1806">
            <v>10.416600000000001</v>
          </cell>
          <cell r="S1806">
            <v>16205.11</v>
          </cell>
        </row>
        <row r="1807">
          <cell r="A1807" t="str">
            <v>Actual</v>
          </cell>
          <cell r="B1807">
            <v>1</v>
          </cell>
          <cell r="C1807" t="str">
            <v>Domestic</v>
          </cell>
          <cell r="D1807">
            <v>5</v>
          </cell>
          <cell r="E1807">
            <v>9467</v>
          </cell>
          <cell r="F1807" t="str">
            <v>CERTAIN-TEED CORP</v>
          </cell>
          <cell r="G1807" t="str">
            <v>D</v>
          </cell>
          <cell r="H1807" t="str">
            <v>MOUNTAIN TOP</v>
          </cell>
          <cell r="I1807" t="str">
            <v>PA</v>
          </cell>
          <cell r="J1807" t="str">
            <v>USA</v>
          </cell>
          <cell r="K1807" t="str">
            <v>CERTAIN-TEED CORP</v>
          </cell>
          <cell r="L1807" t="str">
            <v>PA</v>
          </cell>
          <cell r="M1807" t="str">
            <v>USA</v>
          </cell>
          <cell r="N1807" t="str">
            <v>C</v>
          </cell>
          <cell r="O1807">
            <v>22060400</v>
          </cell>
          <cell r="P1807" t="str">
            <v>V-BOR STD BULK (004)</v>
          </cell>
          <cell r="Q1807" t="str">
            <v>Penta</v>
          </cell>
          <cell r="R1807">
            <v>864.42499999999995</v>
          </cell>
          <cell r="S1807">
            <v>192982.87</v>
          </cell>
        </row>
        <row r="1808">
          <cell r="A1808" t="str">
            <v>Actual</v>
          </cell>
          <cell r="B1808">
            <v>1</v>
          </cell>
          <cell r="C1808" t="str">
            <v>Domestic</v>
          </cell>
          <cell r="D1808">
            <v>5</v>
          </cell>
          <cell r="E1808">
            <v>9526</v>
          </cell>
          <cell r="F1808" t="str">
            <v>BRENNTAG NORTHEAST, INC.</v>
          </cell>
          <cell r="G1808" t="str">
            <v>D</v>
          </cell>
          <cell r="H1808" t="str">
            <v>OAKMONT</v>
          </cell>
          <cell r="I1808" t="str">
            <v>PA</v>
          </cell>
          <cell r="J1808" t="str">
            <v>USA</v>
          </cell>
          <cell r="K1808" t="str">
            <v>BRENNTAG NORTHEAST, INC.</v>
          </cell>
          <cell r="L1808" t="str">
            <v>PA</v>
          </cell>
          <cell r="M1808" t="str">
            <v>USA</v>
          </cell>
          <cell r="N1808" t="str">
            <v>D</v>
          </cell>
          <cell r="O1808">
            <v>22060410</v>
          </cell>
          <cell r="P1808" t="str">
            <v>V-BOR 50LB BAG (004)</v>
          </cell>
          <cell r="Q1808" t="str">
            <v>Penta</v>
          </cell>
          <cell r="R1808">
            <v>0</v>
          </cell>
          <cell r="S1808">
            <v>-1662</v>
          </cell>
        </row>
        <row r="1809">
          <cell r="A1809" t="str">
            <v>Actual</v>
          </cell>
          <cell r="B1809">
            <v>1</v>
          </cell>
          <cell r="C1809" t="str">
            <v>Export</v>
          </cell>
          <cell r="D1809">
            <v>50</v>
          </cell>
          <cell r="E1809">
            <v>6010</v>
          </cell>
          <cell r="F1809" t="str">
            <v>GLAVERBEL S.A.</v>
          </cell>
          <cell r="G1809" t="str">
            <v>E</v>
          </cell>
          <cell r="H1809" t="str">
            <v>B-5190 MOUSTIER SUR SAMBRE</v>
          </cell>
          <cell r="J1809" t="str">
            <v>BEL</v>
          </cell>
          <cell r="K1809" t="str">
            <v>GLAVERBEL S.A.</v>
          </cell>
          <cell r="M1809" t="str">
            <v>BEL</v>
          </cell>
          <cell r="N1809" t="str">
            <v>C</v>
          </cell>
          <cell r="O1809">
            <v>30210100</v>
          </cell>
          <cell r="P1809" t="str">
            <v>SODA ASH DENSE BULK</v>
          </cell>
          <cell r="Q1809" t="str">
            <v>Soda Ash</v>
          </cell>
          <cell r="R1809">
            <v>0</v>
          </cell>
          <cell r="S1809">
            <v>-1400.88</v>
          </cell>
        </row>
        <row r="1810">
          <cell r="A1810" t="str">
            <v>Actual</v>
          </cell>
          <cell r="B1810">
            <v>1</v>
          </cell>
          <cell r="C1810" t="str">
            <v>Export</v>
          </cell>
          <cell r="D1810">
            <v>50</v>
          </cell>
          <cell r="E1810">
            <v>6425</v>
          </cell>
          <cell r="F1810" t="str">
            <v>VERRERIES DU COURVAL</v>
          </cell>
          <cell r="G1810" t="str">
            <v>E</v>
          </cell>
          <cell r="H1810" t="str">
            <v>BLANGY SUR BRESLE</v>
          </cell>
          <cell r="J1810" t="str">
            <v>FRA</v>
          </cell>
          <cell r="K1810" t="str">
            <v>IMC CHEMICALS EUROPE</v>
          </cell>
          <cell r="M1810" t="str">
            <v>FRA</v>
          </cell>
          <cell r="N1810" t="str">
            <v>C</v>
          </cell>
          <cell r="O1810">
            <v>20060200</v>
          </cell>
          <cell r="P1810" t="str">
            <v>PYROBOR ANHY BORAX BULK (002)</v>
          </cell>
          <cell r="Q1810" t="str">
            <v>Pyrobor</v>
          </cell>
          <cell r="R1810">
            <v>29.651900000000001</v>
          </cell>
          <cell r="S1810">
            <v>17740.672200000001</v>
          </cell>
        </row>
        <row r="1811">
          <cell r="A1811" t="str">
            <v>Actual</v>
          </cell>
          <cell r="B1811">
            <v>1</v>
          </cell>
          <cell r="C1811" t="str">
            <v>Export</v>
          </cell>
          <cell r="D1811">
            <v>50</v>
          </cell>
          <cell r="E1811">
            <v>8837</v>
          </cell>
          <cell r="F1811" t="str">
            <v>TDG LOGISTICS OMYA NDC</v>
          </cell>
          <cell r="G1811" t="str">
            <v>E</v>
          </cell>
          <cell r="H1811" t="str">
            <v>ENGLAND</v>
          </cell>
          <cell r="J1811" t="str">
            <v>ENG</v>
          </cell>
          <cell r="K1811" t="str">
            <v>IMC CHEMICALS EUROPE</v>
          </cell>
          <cell r="M1811" t="str">
            <v>FRA</v>
          </cell>
          <cell r="N1811" t="str">
            <v>C</v>
          </cell>
          <cell r="O1811">
            <v>20060220</v>
          </cell>
          <cell r="P1811" t="str">
            <v>PYROBOR 25KG BAG (002)</v>
          </cell>
          <cell r="Q1811" t="str">
            <v>Pyrobor</v>
          </cell>
          <cell r="R1811">
            <v>26.454699999999999</v>
          </cell>
          <cell r="S1811">
            <v>20319.29</v>
          </cell>
        </row>
        <row r="1812">
          <cell r="A1812" t="str">
            <v>Actual</v>
          </cell>
          <cell r="B1812">
            <v>1</v>
          </cell>
          <cell r="C1812" t="str">
            <v>Export</v>
          </cell>
          <cell r="D1812">
            <v>50</v>
          </cell>
          <cell r="E1812">
            <v>8893</v>
          </cell>
          <cell r="F1812" t="str">
            <v>WHEATON FRANCE</v>
          </cell>
          <cell r="G1812" t="str">
            <v>E</v>
          </cell>
          <cell r="H1812" t="str">
            <v>AUMALE</v>
          </cell>
          <cell r="J1812" t="str">
            <v>FRA</v>
          </cell>
          <cell r="K1812" t="str">
            <v>IMC CHEMICALS EUROPE</v>
          </cell>
          <cell r="M1812" t="str">
            <v>FRA</v>
          </cell>
          <cell r="N1812" t="str">
            <v>D</v>
          </cell>
          <cell r="O1812">
            <v>20060200</v>
          </cell>
          <cell r="P1812" t="str">
            <v>PYROBOR ANHY BORAX BULK (002)</v>
          </cell>
          <cell r="Q1812" t="str">
            <v>Pyrobor</v>
          </cell>
          <cell r="R1812">
            <v>113.3165</v>
          </cell>
          <cell r="S1812">
            <v>66344.242499999993</v>
          </cell>
        </row>
        <row r="1813">
          <cell r="A1813" t="str">
            <v>Actual</v>
          </cell>
          <cell r="B1813">
            <v>1</v>
          </cell>
          <cell r="C1813" t="str">
            <v>Export</v>
          </cell>
          <cell r="D1813">
            <v>50</v>
          </cell>
          <cell r="E1813">
            <v>8895</v>
          </cell>
          <cell r="F1813" t="str">
            <v>SCHOTT ROHRGLASS</v>
          </cell>
          <cell r="G1813" t="str">
            <v>E</v>
          </cell>
          <cell r="H1813" t="str">
            <v>ESSEN</v>
          </cell>
          <cell r="J1813" t="str">
            <v>GER</v>
          </cell>
          <cell r="K1813" t="str">
            <v>IMC CHEMICALS EUROPE</v>
          </cell>
          <cell r="M1813" t="str">
            <v>FRA</v>
          </cell>
          <cell r="N1813" t="str">
            <v>C</v>
          </cell>
          <cell r="O1813">
            <v>20060200</v>
          </cell>
          <cell r="P1813" t="str">
            <v>PYROBOR ANHY BORAX BULK (002)</v>
          </cell>
          <cell r="Q1813" t="str">
            <v>Pyrobor</v>
          </cell>
          <cell r="R1813">
            <v>57.055</v>
          </cell>
          <cell r="S1813">
            <v>26880.799999999999</v>
          </cell>
        </row>
        <row r="1814">
          <cell r="A1814" t="str">
            <v>Actual</v>
          </cell>
          <cell r="B1814">
            <v>1</v>
          </cell>
          <cell r="C1814" t="str">
            <v>Export</v>
          </cell>
          <cell r="D1814">
            <v>50</v>
          </cell>
          <cell r="E1814">
            <v>8898</v>
          </cell>
          <cell r="F1814" t="str">
            <v>ARC INTERNATIONAL</v>
          </cell>
          <cell r="G1814" t="str">
            <v>E</v>
          </cell>
          <cell r="H1814" t="str">
            <v>ARQUES</v>
          </cell>
          <cell r="J1814" t="str">
            <v>FRA</v>
          </cell>
          <cell r="K1814" t="str">
            <v>IMC CHEMICALS EUROPE</v>
          </cell>
          <cell r="M1814" t="str">
            <v>FRA</v>
          </cell>
          <cell r="N1814" t="str">
            <v>C</v>
          </cell>
          <cell r="O1814">
            <v>30210100</v>
          </cell>
          <cell r="P1814" t="str">
            <v>SODA ASH DENSE BULK</v>
          </cell>
          <cell r="Q1814" t="str">
            <v>Soda Ash</v>
          </cell>
          <cell r="R1814">
            <v>-740.20219999999995</v>
          </cell>
          <cell r="S1814">
            <v>-1784.9728</v>
          </cell>
        </row>
        <row r="1815">
          <cell r="A1815" t="str">
            <v>Actual</v>
          </cell>
          <cell r="B1815">
            <v>1</v>
          </cell>
          <cell r="C1815" t="str">
            <v>Export</v>
          </cell>
          <cell r="D1815">
            <v>50</v>
          </cell>
          <cell r="E1815">
            <v>8898</v>
          </cell>
          <cell r="F1815" t="str">
            <v>ARC INTERNATIONAL</v>
          </cell>
          <cell r="G1815" t="str">
            <v>E</v>
          </cell>
          <cell r="H1815" t="str">
            <v>ARQUES</v>
          </cell>
          <cell r="J1815" t="str">
            <v>FRA</v>
          </cell>
          <cell r="K1815" t="str">
            <v>IMC CHEMICALS EUROPE</v>
          </cell>
          <cell r="M1815" t="str">
            <v>FRA</v>
          </cell>
          <cell r="N1815" t="str">
            <v>C</v>
          </cell>
          <cell r="O1815">
            <v>30218800</v>
          </cell>
          <cell r="P1815" t="str">
            <v>SODA ASH DENSE BULK (088)</v>
          </cell>
          <cell r="Q1815" t="str">
            <v>Soda Ash</v>
          </cell>
          <cell r="R1815">
            <v>2981.663</v>
          </cell>
          <cell r="S1815">
            <v>118783.7944</v>
          </cell>
        </row>
        <row r="1816">
          <cell r="A1816" t="str">
            <v>Actual</v>
          </cell>
          <cell r="B1816">
            <v>1</v>
          </cell>
          <cell r="C1816" t="str">
            <v>Export</v>
          </cell>
          <cell r="D1816">
            <v>50</v>
          </cell>
          <cell r="E1816">
            <v>8918</v>
          </cell>
          <cell r="F1816" t="str">
            <v>AFFILIPS</v>
          </cell>
          <cell r="G1816" t="str">
            <v>E</v>
          </cell>
          <cell r="H1816" t="str">
            <v>TIENEN</v>
          </cell>
          <cell r="J1816" t="str">
            <v>BEL</v>
          </cell>
          <cell r="K1816" t="str">
            <v>IMC CHEMICALS EUROPE</v>
          </cell>
          <cell r="M1816" t="str">
            <v>FRA</v>
          </cell>
          <cell r="N1816" t="str">
            <v>C</v>
          </cell>
          <cell r="O1816">
            <v>20060220</v>
          </cell>
          <cell r="P1816" t="str">
            <v>PYROBOR 25KG BAG (002)</v>
          </cell>
          <cell r="Q1816" t="str">
            <v>Pyrobor</v>
          </cell>
          <cell r="R1816">
            <v>26.454699999999999</v>
          </cell>
          <cell r="S1816">
            <v>17132.09</v>
          </cell>
        </row>
        <row r="1817">
          <cell r="A1817" t="str">
            <v>Actual</v>
          </cell>
          <cell r="B1817">
            <v>1</v>
          </cell>
          <cell r="C1817" t="str">
            <v>Export</v>
          </cell>
          <cell r="D1817">
            <v>50</v>
          </cell>
          <cell r="E1817">
            <v>8973</v>
          </cell>
          <cell r="F1817" t="str">
            <v>VITKOVICE S.R.O.</v>
          </cell>
          <cell r="G1817" t="str">
            <v>E</v>
          </cell>
          <cell r="H1817" t="str">
            <v>OSTRAVA</v>
          </cell>
          <cell r="J1817" t="str">
            <v>CZE</v>
          </cell>
          <cell r="K1817" t="str">
            <v>IMC CHEMICALS EUROPE</v>
          </cell>
          <cell r="M1817" t="str">
            <v>FRA</v>
          </cell>
          <cell r="N1817" t="str">
            <v>C</v>
          </cell>
          <cell r="O1817">
            <v>20060220</v>
          </cell>
          <cell r="P1817" t="str">
            <v>PYROBOR 25KG BAG (002)</v>
          </cell>
          <cell r="Q1817" t="str">
            <v>Pyrobor</v>
          </cell>
          <cell r="R1817">
            <v>2.6455000000000002</v>
          </cell>
          <cell r="S1817">
            <v>2229.21</v>
          </cell>
        </row>
        <row r="1818">
          <cell r="A1818" t="str">
            <v>Actual</v>
          </cell>
          <cell r="B1818">
            <v>1</v>
          </cell>
          <cell r="C1818" t="str">
            <v>Export</v>
          </cell>
          <cell r="D1818">
            <v>50</v>
          </cell>
          <cell r="E1818">
            <v>8985</v>
          </cell>
          <cell r="F1818" t="str">
            <v>PILKINGTON SPECIAL GLASS</v>
          </cell>
          <cell r="G1818" t="str">
            <v>E</v>
          </cell>
          <cell r="H1818" t="str">
            <v>DENBIGHSHIRE</v>
          </cell>
          <cell r="J1818" t="str">
            <v>ENG</v>
          </cell>
          <cell r="K1818" t="str">
            <v>IMC CHEMICALS EUROPE</v>
          </cell>
          <cell r="M1818" t="str">
            <v>FRA</v>
          </cell>
          <cell r="N1818" t="str">
            <v>D</v>
          </cell>
          <cell r="O1818">
            <v>20060220</v>
          </cell>
          <cell r="P1818" t="str">
            <v>PYROBOR 25KG BAG (002)</v>
          </cell>
          <cell r="Q1818" t="str">
            <v>Pyrobor</v>
          </cell>
          <cell r="R1818">
            <v>26.454699999999999</v>
          </cell>
          <cell r="S1818">
            <v>15543.29</v>
          </cell>
        </row>
        <row r="1819">
          <cell r="A1819" t="str">
            <v>Actual</v>
          </cell>
          <cell r="B1819">
            <v>1</v>
          </cell>
          <cell r="C1819" t="str">
            <v>Export</v>
          </cell>
          <cell r="D1819">
            <v>50</v>
          </cell>
          <cell r="E1819">
            <v>9050</v>
          </cell>
          <cell r="F1819" t="str">
            <v>INDUSTRIAL PRODUCTS COOREMAN</v>
          </cell>
          <cell r="G1819" t="str">
            <v>E</v>
          </cell>
          <cell r="H1819" t="str">
            <v>LEBBEKE (DENDERMONDE)</v>
          </cell>
          <cell r="J1819" t="str">
            <v>BEL</v>
          </cell>
          <cell r="K1819" t="str">
            <v>IMC CHEMICALS EUROPE</v>
          </cell>
          <cell r="M1819" t="str">
            <v>FRA</v>
          </cell>
          <cell r="N1819" t="str">
            <v>D</v>
          </cell>
          <cell r="O1819">
            <v>20060220</v>
          </cell>
          <cell r="P1819" t="str">
            <v>PYROBOR 25KG BAG (002)</v>
          </cell>
          <cell r="Q1819" t="str">
            <v>Pyrobor</v>
          </cell>
          <cell r="R1819">
            <v>2.6455000000000002</v>
          </cell>
          <cell r="S1819">
            <v>2001.21</v>
          </cell>
        </row>
        <row r="1820">
          <cell r="A1820" t="str">
            <v>Actual</v>
          </cell>
          <cell r="B1820">
            <v>1</v>
          </cell>
          <cell r="C1820" t="str">
            <v>Export</v>
          </cell>
          <cell r="D1820">
            <v>50</v>
          </cell>
          <cell r="E1820">
            <v>9497</v>
          </cell>
          <cell r="F1820" t="str">
            <v>NORKEM LTD</v>
          </cell>
          <cell r="G1820" t="str">
            <v>E</v>
          </cell>
          <cell r="H1820" t="str">
            <v>KNUTSFORD CHESCHIRE</v>
          </cell>
          <cell r="J1820" t="str">
            <v>ENG</v>
          </cell>
          <cell r="K1820" t="str">
            <v>IMC CHEMICALS EUROPE</v>
          </cell>
          <cell r="M1820" t="str">
            <v>FRA</v>
          </cell>
          <cell r="N1820" t="str">
            <v>D</v>
          </cell>
          <cell r="O1820">
            <v>20060220</v>
          </cell>
          <cell r="P1820" t="str">
            <v>PYROBOR 25KG BAG (002)</v>
          </cell>
          <cell r="Q1820" t="str">
            <v>Pyrobor</v>
          </cell>
          <cell r="R1820">
            <v>13.5029</v>
          </cell>
          <cell r="S1820">
            <v>10126.31</v>
          </cell>
        </row>
        <row r="1821">
          <cell r="A1821" t="str">
            <v>Actual</v>
          </cell>
          <cell r="B1821">
            <v>1</v>
          </cell>
          <cell r="C1821" t="str">
            <v>Export</v>
          </cell>
          <cell r="D1821">
            <v>50</v>
          </cell>
          <cell r="E1821">
            <v>9538</v>
          </cell>
          <cell r="F1821" t="str">
            <v>JAMES KENT LTD</v>
          </cell>
          <cell r="G1821" t="str">
            <v>E</v>
          </cell>
          <cell r="H1821" t="str">
            <v>STOKE-ON-TRENT</v>
          </cell>
          <cell r="J1821" t="str">
            <v>ENG</v>
          </cell>
          <cell r="K1821" t="str">
            <v>IMC CHEMICALS EUROPE</v>
          </cell>
          <cell r="M1821" t="str">
            <v>FRA</v>
          </cell>
          <cell r="N1821" t="str">
            <v>D</v>
          </cell>
          <cell r="O1821">
            <v>20060220</v>
          </cell>
          <cell r="P1821" t="str">
            <v>PYROBOR 25KG BAG (002)</v>
          </cell>
          <cell r="Q1821" t="str">
            <v>Pyrobor</v>
          </cell>
          <cell r="R1821">
            <v>26.454699999999999</v>
          </cell>
          <cell r="S1821">
            <v>18663.29</v>
          </cell>
        </row>
        <row r="1822">
          <cell r="A1822" t="str">
            <v>Actual</v>
          </cell>
          <cell r="B1822">
            <v>1</v>
          </cell>
          <cell r="C1822" t="str">
            <v>Export</v>
          </cell>
          <cell r="D1822">
            <v>50</v>
          </cell>
          <cell r="E1822">
            <v>9596</v>
          </cell>
          <cell r="F1822" t="str">
            <v>ARC INTERNATIONAL</v>
          </cell>
          <cell r="G1822" t="str">
            <v>E</v>
          </cell>
          <cell r="H1822" t="str">
            <v>ARQUES</v>
          </cell>
          <cell r="J1822" t="str">
            <v>FRA</v>
          </cell>
          <cell r="K1822" t="str">
            <v>IMC CHEMICALS EUROPE</v>
          </cell>
          <cell r="M1822" t="str">
            <v>FRA</v>
          </cell>
          <cell r="N1822" t="str">
            <v>D</v>
          </cell>
          <cell r="O1822">
            <v>20060200</v>
          </cell>
          <cell r="P1822" t="str">
            <v>PYROBOR ANHY BORAX BULK (002)</v>
          </cell>
          <cell r="Q1822" t="str">
            <v>Pyrobor</v>
          </cell>
          <cell r="R1822">
            <v>194.9205</v>
          </cell>
          <cell r="S1822">
            <v>91746.18</v>
          </cell>
        </row>
        <row r="1823">
          <cell r="A1823" t="str">
            <v>Actual</v>
          </cell>
          <cell r="B1823">
            <v>1</v>
          </cell>
          <cell r="C1823" t="str">
            <v>Export</v>
          </cell>
          <cell r="D1823">
            <v>55</v>
          </cell>
          <cell r="E1823">
            <v>5350</v>
          </cell>
          <cell r="F1823" t="str">
            <v>SHIONOGI/NAGOYA</v>
          </cell>
          <cell r="G1823" t="str">
            <v>E</v>
          </cell>
          <cell r="H1823" t="str">
            <v>NAGOYA</v>
          </cell>
          <cell r="J1823" t="str">
            <v>JAP</v>
          </cell>
          <cell r="K1823" t="str">
            <v>SHIONOGI &amp; COMPANY LTD</v>
          </cell>
          <cell r="M1823" t="str">
            <v>JAP</v>
          </cell>
          <cell r="N1823" t="str">
            <v>C</v>
          </cell>
          <cell r="O1823" t="str">
            <v>230602B8</v>
          </cell>
          <cell r="P1823" t="str">
            <v>DECA STD 25KG POLYBAG, WOOD</v>
          </cell>
          <cell r="Q1823" t="str">
            <v>Deca</v>
          </cell>
          <cell r="R1823">
            <v>21.990500000000001</v>
          </cell>
          <cell r="S1823">
            <v>6897.5</v>
          </cell>
        </row>
        <row r="1824">
          <cell r="A1824" t="str">
            <v>Actual</v>
          </cell>
          <cell r="B1824">
            <v>1</v>
          </cell>
          <cell r="C1824" t="str">
            <v>Export</v>
          </cell>
          <cell r="D1824">
            <v>55</v>
          </cell>
          <cell r="E1824">
            <v>5352</v>
          </cell>
          <cell r="F1824" t="str">
            <v>SHIONOGI/YOKOHAMA</v>
          </cell>
          <cell r="G1824" t="str">
            <v>E</v>
          </cell>
          <cell r="H1824" t="str">
            <v>YOKOHAMA</v>
          </cell>
          <cell r="J1824" t="str">
            <v>JAP</v>
          </cell>
          <cell r="K1824" t="str">
            <v>SHIONOGI &amp; COMPANY LTD</v>
          </cell>
          <cell r="M1824" t="str">
            <v>JAP</v>
          </cell>
          <cell r="N1824" t="str">
            <v>C</v>
          </cell>
          <cell r="O1824">
            <v>24090228</v>
          </cell>
          <cell r="P1824" t="str">
            <v>BORIC ACID GRAN 25KG BAG, WOOD</v>
          </cell>
          <cell r="Q1824" t="str">
            <v>Boric Acid</v>
          </cell>
          <cell r="R1824">
            <v>21.990500000000001</v>
          </cell>
          <cell r="S1824">
            <v>11443</v>
          </cell>
        </row>
        <row r="1825">
          <cell r="A1825" t="str">
            <v>Actual</v>
          </cell>
          <cell r="B1825">
            <v>1</v>
          </cell>
          <cell r="C1825" t="str">
            <v>Export</v>
          </cell>
          <cell r="D1825">
            <v>55</v>
          </cell>
          <cell r="E1825">
            <v>5361</v>
          </cell>
          <cell r="F1825" t="str">
            <v>SHIONOGI/OSAKA</v>
          </cell>
          <cell r="G1825" t="str">
            <v>E</v>
          </cell>
          <cell r="H1825" t="str">
            <v>OSAKA</v>
          </cell>
          <cell r="J1825" t="str">
            <v>JAP</v>
          </cell>
          <cell r="K1825" t="str">
            <v>SHIONOGI &amp; COMPANY LTD</v>
          </cell>
          <cell r="M1825" t="str">
            <v>JAP</v>
          </cell>
          <cell r="N1825" t="str">
            <v>C</v>
          </cell>
          <cell r="O1825">
            <v>20060228</v>
          </cell>
          <cell r="P1825" t="str">
            <v>PYROBOR 25KG BAG (002), WOOD</v>
          </cell>
          <cell r="Q1825" t="str">
            <v>Pyrobor</v>
          </cell>
          <cell r="R1825">
            <v>0</v>
          </cell>
          <cell r="S1825">
            <v>-23.684999999999999</v>
          </cell>
        </row>
        <row r="1826">
          <cell r="A1826" t="str">
            <v>Actual</v>
          </cell>
          <cell r="B1826">
            <v>1</v>
          </cell>
          <cell r="C1826" t="str">
            <v>Export</v>
          </cell>
          <cell r="D1826">
            <v>55</v>
          </cell>
          <cell r="E1826">
            <v>5361</v>
          </cell>
          <cell r="F1826" t="str">
            <v>SHIONOGI/OSAKA</v>
          </cell>
          <cell r="G1826" t="str">
            <v>E</v>
          </cell>
          <cell r="H1826" t="str">
            <v>OSAKA</v>
          </cell>
          <cell r="J1826" t="str">
            <v>JAP</v>
          </cell>
          <cell r="K1826" t="str">
            <v>SHIONOGI &amp; COMPANY LTD</v>
          </cell>
          <cell r="M1826" t="str">
            <v>JAP</v>
          </cell>
          <cell r="N1826" t="str">
            <v>C</v>
          </cell>
          <cell r="O1826">
            <v>20060255</v>
          </cell>
          <cell r="P1826" t="str">
            <v>PYROBOR 1 MT FIBC (002)</v>
          </cell>
          <cell r="Q1826" t="str">
            <v>Pyrobor</v>
          </cell>
          <cell r="R1826">
            <v>22.045999999999999</v>
          </cell>
          <cell r="S1826">
            <v>13774.5</v>
          </cell>
        </row>
        <row r="1827">
          <cell r="A1827" t="str">
            <v>Actual</v>
          </cell>
          <cell r="B1827">
            <v>1</v>
          </cell>
          <cell r="C1827" t="str">
            <v>Export</v>
          </cell>
          <cell r="D1827">
            <v>55</v>
          </cell>
          <cell r="E1827">
            <v>5361</v>
          </cell>
          <cell r="F1827" t="str">
            <v>SHIONOGI/OSAKA</v>
          </cell>
          <cell r="G1827" t="str">
            <v>E</v>
          </cell>
          <cell r="H1827" t="str">
            <v>OSAKA</v>
          </cell>
          <cell r="J1827" t="str">
            <v>JAP</v>
          </cell>
          <cell r="K1827" t="str">
            <v>SHIONOGI &amp; COMPANY LTD</v>
          </cell>
          <cell r="M1827" t="str">
            <v>JAP</v>
          </cell>
          <cell r="N1827" t="str">
            <v>C</v>
          </cell>
          <cell r="O1827">
            <v>22060428</v>
          </cell>
          <cell r="P1827" t="str">
            <v>V-BOR 25KG BAG (004), WOOD</v>
          </cell>
          <cell r="Q1827" t="str">
            <v>Penta</v>
          </cell>
          <cell r="R1827">
            <v>21.990500000000001</v>
          </cell>
          <cell r="S1827">
            <v>7127.1850000000004</v>
          </cell>
        </row>
        <row r="1828">
          <cell r="A1828" t="str">
            <v>Actual</v>
          </cell>
          <cell r="B1828">
            <v>1</v>
          </cell>
          <cell r="C1828" t="str">
            <v>Export</v>
          </cell>
          <cell r="D1828">
            <v>55</v>
          </cell>
          <cell r="E1828">
            <v>5361</v>
          </cell>
          <cell r="F1828" t="str">
            <v>SHIONOGI/OSAKA</v>
          </cell>
          <cell r="G1828" t="str">
            <v>E</v>
          </cell>
          <cell r="H1828" t="str">
            <v>OSAKA</v>
          </cell>
          <cell r="J1828" t="str">
            <v>JAP</v>
          </cell>
          <cell r="K1828" t="str">
            <v>SHIONOGI &amp; COMPANY LTD</v>
          </cell>
          <cell r="M1828" t="str">
            <v>JAP</v>
          </cell>
          <cell r="N1828" t="str">
            <v>C</v>
          </cell>
          <cell r="O1828" t="str">
            <v>230602B8</v>
          </cell>
          <cell r="P1828" t="str">
            <v>DECA STD 25KG POLYBAG, WOOD</v>
          </cell>
          <cell r="Q1828" t="str">
            <v>Deca</v>
          </cell>
          <cell r="R1828">
            <v>0</v>
          </cell>
          <cell r="S1828">
            <v>-158</v>
          </cell>
        </row>
        <row r="1829">
          <cell r="A1829" t="str">
            <v>Actual</v>
          </cell>
          <cell r="B1829">
            <v>1</v>
          </cell>
          <cell r="C1829" t="str">
            <v>Export</v>
          </cell>
          <cell r="D1829">
            <v>55</v>
          </cell>
          <cell r="E1829">
            <v>5396</v>
          </cell>
          <cell r="F1829" t="str">
            <v>MITSUI/YOKOHAMA</v>
          </cell>
          <cell r="G1829" t="str">
            <v>E</v>
          </cell>
          <cell r="H1829" t="str">
            <v>YOKOHAMA</v>
          </cell>
          <cell r="J1829" t="str">
            <v>JAP</v>
          </cell>
          <cell r="K1829" t="str">
            <v>MITSUI &amp; COMPANY (EXPORT)</v>
          </cell>
          <cell r="L1829" t="str">
            <v>NY</v>
          </cell>
          <cell r="M1829" t="str">
            <v>USA</v>
          </cell>
          <cell r="N1829" t="str">
            <v>C</v>
          </cell>
          <cell r="O1829">
            <v>23060228</v>
          </cell>
          <cell r="P1829" t="str">
            <v>DECA BORAX STD 25KG BAG, WOOD</v>
          </cell>
          <cell r="Q1829" t="str">
            <v>Deca</v>
          </cell>
          <cell r="R1829">
            <v>11.5739</v>
          </cell>
          <cell r="S1829">
            <v>3828.1493</v>
          </cell>
        </row>
        <row r="1830">
          <cell r="A1830" t="str">
            <v>Actual</v>
          </cell>
          <cell r="B1830">
            <v>1</v>
          </cell>
          <cell r="C1830" t="str">
            <v>Export</v>
          </cell>
          <cell r="D1830">
            <v>55</v>
          </cell>
          <cell r="E1830">
            <v>5396</v>
          </cell>
          <cell r="F1830" t="str">
            <v>MITSUI/YOKOHAMA</v>
          </cell>
          <cell r="G1830" t="str">
            <v>E</v>
          </cell>
          <cell r="H1830" t="str">
            <v>YOKOHAMA</v>
          </cell>
          <cell r="J1830" t="str">
            <v>JAP</v>
          </cell>
          <cell r="K1830" t="str">
            <v>MITSUI &amp; COMPANY (EXPORT)</v>
          </cell>
          <cell r="L1830" t="str">
            <v>NY</v>
          </cell>
          <cell r="M1830" t="str">
            <v>USA</v>
          </cell>
          <cell r="N1830" t="str">
            <v>C</v>
          </cell>
          <cell r="O1830">
            <v>24090228</v>
          </cell>
          <cell r="P1830" t="str">
            <v>BORIC ACID GRAN 25KG BAG, WOOD</v>
          </cell>
          <cell r="Q1830" t="str">
            <v>Boric Acid</v>
          </cell>
          <cell r="R1830">
            <v>10.416499999999999</v>
          </cell>
          <cell r="S1830">
            <v>5514.8505999999998</v>
          </cell>
        </row>
        <row r="1831">
          <cell r="A1831" t="str">
            <v>Actual</v>
          </cell>
          <cell r="B1831">
            <v>1</v>
          </cell>
          <cell r="C1831" t="str">
            <v>Export</v>
          </cell>
          <cell r="D1831">
            <v>55</v>
          </cell>
          <cell r="E1831">
            <v>5397</v>
          </cell>
          <cell r="F1831" t="str">
            <v>MITSUI/NEG/YOKOHAMA</v>
          </cell>
          <cell r="G1831" t="str">
            <v>E</v>
          </cell>
          <cell r="H1831" t="str">
            <v>YOKOHAMA</v>
          </cell>
          <cell r="J1831" t="str">
            <v>JAP</v>
          </cell>
          <cell r="K1831" t="str">
            <v>MITSUI &amp; COMPANY (EXPORT)</v>
          </cell>
          <cell r="L1831" t="str">
            <v>NY</v>
          </cell>
          <cell r="M1831" t="str">
            <v>USA</v>
          </cell>
          <cell r="N1831" t="str">
            <v>C</v>
          </cell>
          <cell r="O1831">
            <v>20060255</v>
          </cell>
          <cell r="P1831" t="str">
            <v>PYROBOR 1 MT FIBC (002)</v>
          </cell>
          <cell r="Q1831" t="str">
            <v>Pyrobor</v>
          </cell>
          <cell r="R1831">
            <v>175.26570000000001</v>
          </cell>
          <cell r="S1831">
            <v>81931.5</v>
          </cell>
        </row>
        <row r="1832">
          <cell r="A1832" t="str">
            <v>Actual</v>
          </cell>
          <cell r="B1832">
            <v>1</v>
          </cell>
          <cell r="C1832" t="str">
            <v>Export</v>
          </cell>
          <cell r="D1832">
            <v>55</v>
          </cell>
          <cell r="E1832">
            <v>5398</v>
          </cell>
          <cell r="F1832" t="str">
            <v>MITSUI/NEG/NAGOYA</v>
          </cell>
          <cell r="G1832" t="str">
            <v>E</v>
          </cell>
          <cell r="H1832" t="str">
            <v>NAGOYA</v>
          </cell>
          <cell r="J1832" t="str">
            <v>JAP</v>
          </cell>
          <cell r="K1832" t="str">
            <v>MITSUI &amp; COMPANY (EXPORT)</v>
          </cell>
          <cell r="L1832" t="str">
            <v>NY</v>
          </cell>
          <cell r="M1832" t="str">
            <v>USA</v>
          </cell>
          <cell r="N1832" t="str">
            <v>C</v>
          </cell>
          <cell r="O1832">
            <v>20060228</v>
          </cell>
          <cell r="P1832" t="str">
            <v>PYROBOR 25KG BAG (002), WOOD</v>
          </cell>
          <cell r="Q1832" t="str">
            <v>Pyrobor</v>
          </cell>
          <cell r="R1832">
            <v>21.990500000000001</v>
          </cell>
          <cell r="S1832">
            <v>10428.65</v>
          </cell>
        </row>
        <row r="1833">
          <cell r="A1833" t="str">
            <v>Actual</v>
          </cell>
          <cell r="B1833">
            <v>1</v>
          </cell>
          <cell r="C1833" t="str">
            <v>Export</v>
          </cell>
          <cell r="D1833">
            <v>55</v>
          </cell>
          <cell r="E1833">
            <v>5420</v>
          </cell>
          <cell r="F1833" t="str">
            <v>TOKAN MATERIAL TECHNOLOGY CO.,</v>
          </cell>
          <cell r="G1833" t="str">
            <v>E</v>
          </cell>
          <cell r="H1833" t="str">
            <v>NAGOYA</v>
          </cell>
          <cell r="J1833" t="str">
            <v>JAP</v>
          </cell>
          <cell r="K1833" t="str">
            <v>MITSUI &amp; COMPANY (EXPORT)</v>
          </cell>
          <cell r="L1833" t="str">
            <v>NY</v>
          </cell>
          <cell r="M1833" t="str">
            <v>USA</v>
          </cell>
          <cell r="N1833" t="str">
            <v>C</v>
          </cell>
          <cell r="O1833">
            <v>20310200</v>
          </cell>
          <cell r="P1833" t="str">
            <v>PYROBOR 30/100 BULK (002)</v>
          </cell>
          <cell r="Q1833" t="str">
            <v>Pyrobor</v>
          </cell>
          <cell r="R1833">
            <v>43.48</v>
          </cell>
          <cell r="S1833">
            <v>20300.21</v>
          </cell>
        </row>
        <row r="1834">
          <cell r="A1834" t="str">
            <v>Actual</v>
          </cell>
          <cell r="B1834">
            <v>1</v>
          </cell>
          <cell r="C1834" t="str">
            <v>Export</v>
          </cell>
          <cell r="D1834">
            <v>55</v>
          </cell>
          <cell r="E1834">
            <v>5425</v>
          </cell>
          <cell r="F1834" t="str">
            <v>MITSUI/NH TECHNO/NAGOYA</v>
          </cell>
          <cell r="G1834" t="str">
            <v>E</v>
          </cell>
          <cell r="H1834" t="str">
            <v>NAGOYA</v>
          </cell>
          <cell r="J1834" t="str">
            <v>JAP</v>
          </cell>
          <cell r="K1834" t="str">
            <v>MITSUI &amp; COMPANY (EXPORT)</v>
          </cell>
          <cell r="L1834" t="str">
            <v>NY</v>
          </cell>
          <cell r="M1834" t="str">
            <v>USA</v>
          </cell>
          <cell r="N1834" t="str">
            <v>C</v>
          </cell>
          <cell r="O1834">
            <v>24850249</v>
          </cell>
          <cell r="P1834" t="str">
            <v>BORIC ACID GRAN, 1 MT FIBC</v>
          </cell>
          <cell r="Q1834" t="str">
            <v>Boric Acid</v>
          </cell>
          <cell r="R1834">
            <v>66.138000000000005</v>
          </cell>
          <cell r="S1834">
            <v>30942.5</v>
          </cell>
        </row>
        <row r="1835">
          <cell r="A1835" t="str">
            <v>Actual</v>
          </cell>
          <cell r="B1835">
            <v>1</v>
          </cell>
          <cell r="C1835" t="str">
            <v>Export</v>
          </cell>
          <cell r="D1835">
            <v>55</v>
          </cell>
          <cell r="E1835">
            <v>5428</v>
          </cell>
          <cell r="F1835" t="str">
            <v>SHIONOGI/GLASS MIXING</v>
          </cell>
          <cell r="G1835" t="str">
            <v>E</v>
          </cell>
          <cell r="H1835" t="str">
            <v>YOKOHAMA</v>
          </cell>
          <cell r="J1835" t="str">
            <v>JAP</v>
          </cell>
          <cell r="K1835" t="str">
            <v>SHIONOGI &amp; COMPANY LTD</v>
          </cell>
          <cell r="M1835" t="str">
            <v>JAP</v>
          </cell>
          <cell r="N1835" t="str">
            <v>C</v>
          </cell>
          <cell r="O1835">
            <v>22060428</v>
          </cell>
          <cell r="P1835" t="str">
            <v>V-BOR 25KG BAG (004), WOOD</v>
          </cell>
          <cell r="Q1835" t="str">
            <v>Penta</v>
          </cell>
          <cell r="R1835">
            <v>21.990500000000001</v>
          </cell>
          <cell r="S1835">
            <v>5857</v>
          </cell>
        </row>
        <row r="1836">
          <cell r="A1836" t="str">
            <v>Actual</v>
          </cell>
          <cell r="B1836">
            <v>1</v>
          </cell>
          <cell r="C1836" t="str">
            <v>Export</v>
          </cell>
          <cell r="D1836">
            <v>55</v>
          </cell>
          <cell r="E1836">
            <v>5428</v>
          </cell>
          <cell r="F1836" t="str">
            <v>SHIONOGI/GLASS MIXING</v>
          </cell>
          <cell r="G1836" t="str">
            <v>E</v>
          </cell>
          <cell r="H1836" t="str">
            <v>YOKOHAMA</v>
          </cell>
          <cell r="J1836" t="str">
            <v>JAP</v>
          </cell>
          <cell r="K1836" t="str">
            <v>SHIONOGI &amp; COMPANY LTD</v>
          </cell>
          <cell r="M1836" t="str">
            <v>JAP</v>
          </cell>
          <cell r="N1836" t="str">
            <v>C</v>
          </cell>
          <cell r="O1836">
            <v>22060455</v>
          </cell>
          <cell r="P1836" t="str">
            <v>V-BOR 1 MT FIBC (004)</v>
          </cell>
          <cell r="Q1836" t="str">
            <v>Penta</v>
          </cell>
          <cell r="R1836">
            <v>22.045999999999999</v>
          </cell>
          <cell r="S1836">
            <v>5874.5</v>
          </cell>
        </row>
        <row r="1837">
          <cell r="A1837" t="str">
            <v>Actual</v>
          </cell>
          <cell r="B1837">
            <v>1</v>
          </cell>
          <cell r="C1837" t="str">
            <v>Export</v>
          </cell>
          <cell r="D1837">
            <v>55</v>
          </cell>
          <cell r="E1837">
            <v>8480</v>
          </cell>
          <cell r="F1837" t="str">
            <v>SHIONOGI/YOUNG VENUS/NAGOYA</v>
          </cell>
          <cell r="G1837" t="str">
            <v>E</v>
          </cell>
          <cell r="H1837" t="str">
            <v>NAGOYA</v>
          </cell>
          <cell r="J1837" t="str">
            <v>JAP</v>
          </cell>
          <cell r="K1837" t="str">
            <v>SHIONOGI &amp; COMPANY LTD</v>
          </cell>
          <cell r="M1837" t="str">
            <v>JAP</v>
          </cell>
          <cell r="N1837" t="str">
            <v>C</v>
          </cell>
          <cell r="O1837">
            <v>24090228</v>
          </cell>
          <cell r="P1837" t="str">
            <v>BORIC ACID GRAN 25KG BAG, WOOD</v>
          </cell>
          <cell r="Q1837" t="str">
            <v>Boric Acid</v>
          </cell>
          <cell r="R1837">
            <v>21.990500000000001</v>
          </cell>
          <cell r="S1837">
            <v>11306.45</v>
          </cell>
        </row>
        <row r="1838">
          <cell r="A1838" t="str">
            <v>Actual</v>
          </cell>
          <cell r="B1838">
            <v>1</v>
          </cell>
          <cell r="C1838" t="str">
            <v>Export</v>
          </cell>
          <cell r="D1838">
            <v>55</v>
          </cell>
          <cell r="E1838">
            <v>8662</v>
          </cell>
          <cell r="F1838" t="str">
            <v>BE INTERNATIONAL CORPORATION</v>
          </cell>
          <cell r="G1838" t="str">
            <v>E</v>
          </cell>
          <cell r="H1838" t="str">
            <v>YOKOHAMA</v>
          </cell>
          <cell r="J1838" t="str">
            <v>JAP</v>
          </cell>
          <cell r="K1838" t="str">
            <v>BE INTERNATIONAL CORPORATION</v>
          </cell>
          <cell r="M1838" t="str">
            <v>JAP</v>
          </cell>
          <cell r="N1838" t="str">
            <v>D</v>
          </cell>
          <cell r="O1838" t="str">
            <v>230602B8</v>
          </cell>
          <cell r="P1838" t="str">
            <v>DECA STD 25KG POLYBAG, WOOD</v>
          </cell>
          <cell r="Q1838" t="str">
            <v>Deca</v>
          </cell>
          <cell r="R1838">
            <v>21.990500000000001</v>
          </cell>
          <cell r="S1838">
            <v>6455.5</v>
          </cell>
        </row>
        <row r="1839">
          <cell r="A1839" t="str">
            <v>Actual</v>
          </cell>
          <cell r="B1839">
            <v>1</v>
          </cell>
          <cell r="C1839" t="str">
            <v>Export</v>
          </cell>
          <cell r="D1839">
            <v>55</v>
          </cell>
          <cell r="E1839">
            <v>8866</v>
          </cell>
          <cell r="F1839" t="str">
            <v>BE INTERNATIONAL CORPORATION</v>
          </cell>
          <cell r="G1839" t="str">
            <v>E</v>
          </cell>
          <cell r="H1839" t="str">
            <v>OSAKA</v>
          </cell>
          <cell r="J1839" t="str">
            <v>JAP</v>
          </cell>
          <cell r="K1839" t="str">
            <v>BE INTERNATIONAL CORPORATION</v>
          </cell>
          <cell r="M1839" t="str">
            <v>JAP</v>
          </cell>
          <cell r="N1839" t="str">
            <v>D</v>
          </cell>
          <cell r="O1839" t="str">
            <v>230602B8</v>
          </cell>
          <cell r="P1839" t="str">
            <v>DECA STD 25KG POLYBAG, WOOD</v>
          </cell>
          <cell r="Q1839" t="str">
            <v>Deca</v>
          </cell>
          <cell r="R1839">
            <v>21.990500000000001</v>
          </cell>
          <cell r="S1839">
            <v>6398.5</v>
          </cell>
        </row>
        <row r="1840">
          <cell r="A1840" t="str">
            <v>Actual</v>
          </cell>
          <cell r="B1840">
            <v>1</v>
          </cell>
          <cell r="C1840" t="str">
            <v>Export</v>
          </cell>
          <cell r="D1840">
            <v>55</v>
          </cell>
          <cell r="E1840">
            <v>8933</v>
          </cell>
          <cell r="F1840" t="str">
            <v>ALWAYS STAR CO., LTD.</v>
          </cell>
          <cell r="G1840" t="str">
            <v>E</v>
          </cell>
          <cell r="H1840" t="str">
            <v>TAIPEI</v>
          </cell>
          <cell r="J1840" t="str">
            <v>TWN</v>
          </cell>
          <cell r="K1840" t="str">
            <v>ALWAYS STAR CO., LTD.</v>
          </cell>
          <cell r="M1840" t="str">
            <v>TWN</v>
          </cell>
          <cell r="N1840" t="str">
            <v>D</v>
          </cell>
          <cell r="O1840">
            <v>23060228</v>
          </cell>
          <cell r="P1840" t="str">
            <v>DECA BORAX STD 25KG BAG, WOOD</v>
          </cell>
          <cell r="Q1840" t="str">
            <v>Deca</v>
          </cell>
          <cell r="R1840">
            <v>21.990500000000001</v>
          </cell>
          <cell r="S1840">
            <v>5407.5</v>
          </cell>
        </row>
        <row r="1841">
          <cell r="A1841" t="str">
            <v>Actual</v>
          </cell>
          <cell r="B1841">
            <v>1</v>
          </cell>
          <cell r="C1841" t="str">
            <v>Export</v>
          </cell>
          <cell r="D1841">
            <v>55</v>
          </cell>
          <cell r="E1841">
            <v>8933</v>
          </cell>
          <cell r="F1841" t="str">
            <v>ALWAYS STAR CO., LTD.</v>
          </cell>
          <cell r="G1841" t="str">
            <v>E</v>
          </cell>
          <cell r="H1841" t="str">
            <v>TAIPEI</v>
          </cell>
          <cell r="J1841" t="str">
            <v>TWN</v>
          </cell>
          <cell r="K1841" t="str">
            <v>ALWAYS STAR CO., LTD.</v>
          </cell>
          <cell r="M1841" t="str">
            <v>TWN</v>
          </cell>
          <cell r="N1841" t="str">
            <v>D</v>
          </cell>
          <cell r="O1841">
            <v>23160228</v>
          </cell>
          <cell r="P1841" t="str">
            <v>DECA BORAX X CRS 25KG BAG WOOD</v>
          </cell>
          <cell r="Q1841" t="str">
            <v>Deca</v>
          </cell>
          <cell r="R1841">
            <v>21.990500000000001</v>
          </cell>
          <cell r="S1841">
            <v>5407.5</v>
          </cell>
        </row>
        <row r="1842">
          <cell r="A1842" t="str">
            <v>Actual</v>
          </cell>
          <cell r="B1842">
            <v>1</v>
          </cell>
          <cell r="C1842" t="str">
            <v>Export</v>
          </cell>
          <cell r="D1842">
            <v>55</v>
          </cell>
          <cell r="E1842">
            <v>8997</v>
          </cell>
          <cell r="F1842" t="str">
            <v>YUE HO GLASS., LTD</v>
          </cell>
          <cell r="G1842" t="str">
            <v>E</v>
          </cell>
          <cell r="H1842" t="str">
            <v>KEELUNG</v>
          </cell>
          <cell r="J1842" t="str">
            <v>TWN</v>
          </cell>
          <cell r="K1842" t="str">
            <v>HLC INTERNATIONAL CORPORATION</v>
          </cell>
          <cell r="M1842" t="str">
            <v>TWN</v>
          </cell>
          <cell r="N1842" t="str">
            <v>C</v>
          </cell>
          <cell r="O1842">
            <v>20150228</v>
          </cell>
          <cell r="P1842" t="str">
            <v>PYROBOR COARSE 25KG (002) WOOD</v>
          </cell>
          <cell r="Q1842" t="str">
            <v>Pyrobor</v>
          </cell>
          <cell r="R1842">
            <v>0</v>
          </cell>
          <cell r="S1842">
            <v>-666</v>
          </cell>
        </row>
        <row r="1843">
          <cell r="A1843" t="str">
            <v>Actual</v>
          </cell>
          <cell r="B1843">
            <v>1</v>
          </cell>
          <cell r="C1843" t="str">
            <v>Export</v>
          </cell>
          <cell r="D1843">
            <v>55</v>
          </cell>
          <cell r="E1843">
            <v>9001</v>
          </cell>
          <cell r="F1843" t="str">
            <v>TAIWAN FLUORESCENT LAMP CO LTD</v>
          </cell>
          <cell r="G1843" t="str">
            <v>E</v>
          </cell>
          <cell r="H1843" t="str">
            <v>KEELUNG</v>
          </cell>
          <cell r="J1843" t="str">
            <v>TWN</v>
          </cell>
          <cell r="K1843" t="str">
            <v>HLC INTERNATIONAL CORPORATION</v>
          </cell>
          <cell r="M1843" t="str">
            <v>TWN</v>
          </cell>
          <cell r="N1843" t="str">
            <v>C</v>
          </cell>
          <cell r="O1843">
            <v>20310220</v>
          </cell>
          <cell r="P1843" t="str">
            <v>PYROBOR 30/100 25KG BAG (002)</v>
          </cell>
          <cell r="Q1843" t="str">
            <v>Pyrobor</v>
          </cell>
          <cell r="R1843">
            <v>0</v>
          </cell>
          <cell r="S1843">
            <v>-194</v>
          </cell>
        </row>
        <row r="1844">
          <cell r="A1844" t="str">
            <v>Actual</v>
          </cell>
          <cell r="B1844">
            <v>1</v>
          </cell>
          <cell r="C1844" t="str">
            <v>Export</v>
          </cell>
          <cell r="D1844">
            <v>55</v>
          </cell>
          <cell r="E1844">
            <v>9013</v>
          </cell>
          <cell r="F1844" t="str">
            <v>MITSUI/NH TECHNO/YOKOHAMA</v>
          </cell>
          <cell r="G1844" t="str">
            <v>E</v>
          </cell>
          <cell r="H1844" t="str">
            <v>YOKOHAMA</v>
          </cell>
          <cell r="J1844" t="str">
            <v>JAP</v>
          </cell>
          <cell r="K1844" t="str">
            <v>MITSUI &amp; COMPANY (EXPORT)</v>
          </cell>
          <cell r="L1844" t="str">
            <v>NY</v>
          </cell>
          <cell r="M1844" t="str">
            <v>USA</v>
          </cell>
          <cell r="N1844" t="str">
            <v>C</v>
          </cell>
          <cell r="O1844">
            <v>24850229</v>
          </cell>
          <cell r="P1844" t="str">
            <v>BORIC ACID GRAN 25KG BAG WOOD</v>
          </cell>
          <cell r="Q1844" t="str">
            <v>Boric Acid</v>
          </cell>
          <cell r="R1844">
            <v>109.9525</v>
          </cell>
          <cell r="S1844">
            <v>50575.65</v>
          </cell>
        </row>
        <row r="1845">
          <cell r="A1845" t="str">
            <v>Actual</v>
          </cell>
          <cell r="B1845">
            <v>1</v>
          </cell>
          <cell r="C1845" t="str">
            <v>Export</v>
          </cell>
          <cell r="D1845">
            <v>55</v>
          </cell>
          <cell r="E1845">
            <v>9109</v>
          </cell>
          <cell r="F1845" t="str">
            <v>KWANGBOK RUBBER Co. (SHINWOO)</v>
          </cell>
          <cell r="G1845" t="str">
            <v>E</v>
          </cell>
          <cell r="H1845" t="str">
            <v>BUSAN</v>
          </cell>
          <cell r="J1845" t="str">
            <v>KOS</v>
          </cell>
          <cell r="K1845" t="str">
            <v>SHIN SEUNG HICHEM Co., LTD.</v>
          </cell>
          <cell r="M1845" t="str">
            <v>KOS</v>
          </cell>
          <cell r="N1845" t="str">
            <v>C</v>
          </cell>
          <cell r="O1845">
            <v>23060228</v>
          </cell>
          <cell r="P1845" t="str">
            <v>DECA BORAX STD 25KG BAG, WOOD</v>
          </cell>
          <cell r="Q1845" t="str">
            <v>Deca</v>
          </cell>
          <cell r="R1845">
            <v>0</v>
          </cell>
          <cell r="S1845">
            <v>25</v>
          </cell>
        </row>
        <row r="1846">
          <cell r="A1846" t="str">
            <v>Actual</v>
          </cell>
          <cell r="B1846">
            <v>1</v>
          </cell>
          <cell r="C1846" t="str">
            <v>Export</v>
          </cell>
          <cell r="D1846">
            <v>55</v>
          </cell>
          <cell r="E1846">
            <v>9109</v>
          </cell>
          <cell r="F1846" t="str">
            <v>KWANGBOK RUBBER Co. (SHINWOO)</v>
          </cell>
          <cell r="G1846" t="str">
            <v>E</v>
          </cell>
          <cell r="H1846" t="str">
            <v>BUSAN</v>
          </cell>
          <cell r="J1846" t="str">
            <v>KOS</v>
          </cell>
          <cell r="K1846" t="str">
            <v>SHIN SEUNG HICHEM Co., LTD.</v>
          </cell>
          <cell r="M1846" t="str">
            <v>KOS</v>
          </cell>
          <cell r="N1846" t="str">
            <v>C</v>
          </cell>
          <cell r="O1846">
            <v>24090228</v>
          </cell>
          <cell r="P1846" t="str">
            <v>BORIC ACID GRAN 25KG BAG, WOOD</v>
          </cell>
          <cell r="Q1846" t="str">
            <v>Boric Acid</v>
          </cell>
          <cell r="R1846">
            <v>21.990500000000001</v>
          </cell>
          <cell r="S1846">
            <v>8842.75</v>
          </cell>
        </row>
        <row r="1847">
          <cell r="A1847" t="str">
            <v>Actual</v>
          </cell>
          <cell r="B1847">
            <v>1</v>
          </cell>
          <cell r="C1847" t="str">
            <v>Export</v>
          </cell>
          <cell r="D1847">
            <v>55</v>
          </cell>
          <cell r="E1847">
            <v>9110</v>
          </cell>
          <cell r="F1847" t="str">
            <v>JINSUNG CHEMICO</v>
          </cell>
          <cell r="G1847" t="str">
            <v>E</v>
          </cell>
          <cell r="H1847" t="str">
            <v>KWANGYANG PORT</v>
          </cell>
          <cell r="J1847" t="str">
            <v>KOS</v>
          </cell>
          <cell r="K1847" t="str">
            <v>SHIN SEUNG HICHEM Co., LTD.</v>
          </cell>
          <cell r="M1847" t="str">
            <v>KOS</v>
          </cell>
          <cell r="N1847" t="str">
            <v>C</v>
          </cell>
          <cell r="O1847">
            <v>22060428</v>
          </cell>
          <cell r="P1847" t="str">
            <v>V-BOR 25KG BAG (004), WOOD</v>
          </cell>
          <cell r="Q1847" t="str">
            <v>Penta</v>
          </cell>
          <cell r="R1847">
            <v>83.332400000000007</v>
          </cell>
          <cell r="S1847">
            <v>23785</v>
          </cell>
        </row>
        <row r="1848">
          <cell r="A1848" t="str">
            <v>Actual</v>
          </cell>
          <cell r="B1848">
            <v>1</v>
          </cell>
          <cell r="C1848" t="str">
            <v>Export</v>
          </cell>
          <cell r="D1848">
            <v>55</v>
          </cell>
          <cell r="E1848">
            <v>9110</v>
          </cell>
          <cell r="F1848" t="str">
            <v>JINSUNG CHEMICO</v>
          </cell>
          <cell r="G1848" t="str">
            <v>E</v>
          </cell>
          <cell r="H1848" t="str">
            <v>KWANGYANG PORT</v>
          </cell>
          <cell r="J1848" t="str">
            <v>KOS</v>
          </cell>
          <cell r="K1848" t="str">
            <v>SHIN SEUNG HICHEM Co., LTD.</v>
          </cell>
          <cell r="M1848" t="str">
            <v>KOS</v>
          </cell>
          <cell r="N1848" t="str">
            <v>C</v>
          </cell>
          <cell r="O1848">
            <v>23060228</v>
          </cell>
          <cell r="P1848" t="str">
            <v>DECA BORAX STD 25KG BAG, WOOD</v>
          </cell>
          <cell r="Q1848" t="str">
            <v>Deca</v>
          </cell>
          <cell r="R1848">
            <v>4.6295999999999999</v>
          </cell>
          <cell r="S1848">
            <v>1284.25</v>
          </cell>
        </row>
        <row r="1849">
          <cell r="A1849" t="str">
            <v>Actual</v>
          </cell>
          <cell r="B1849">
            <v>1</v>
          </cell>
          <cell r="C1849" t="str">
            <v>Export</v>
          </cell>
          <cell r="D1849">
            <v>55</v>
          </cell>
          <cell r="E1849">
            <v>9110</v>
          </cell>
          <cell r="F1849" t="str">
            <v>JINSUNG CHEMICO</v>
          </cell>
          <cell r="G1849" t="str">
            <v>E</v>
          </cell>
          <cell r="H1849" t="str">
            <v>KWANGYANG PORT</v>
          </cell>
          <cell r="J1849" t="str">
            <v>KOS</v>
          </cell>
          <cell r="K1849" t="str">
            <v>SHIN SEUNG HICHEM Co., LTD.</v>
          </cell>
          <cell r="M1849" t="str">
            <v>KOS</v>
          </cell>
          <cell r="N1849" t="str">
            <v>C</v>
          </cell>
          <cell r="O1849">
            <v>24090228</v>
          </cell>
          <cell r="P1849" t="str">
            <v>BORIC ACID GRAN 25KG BAG, WOOD</v>
          </cell>
          <cell r="Q1849" t="str">
            <v>Boric Acid</v>
          </cell>
          <cell r="R1849">
            <v>4.6295000000000002</v>
          </cell>
          <cell r="S1849">
            <v>1830.25</v>
          </cell>
        </row>
        <row r="1850">
          <cell r="A1850" t="str">
            <v>Actual</v>
          </cell>
          <cell r="B1850">
            <v>1</v>
          </cell>
          <cell r="C1850" t="str">
            <v>Export</v>
          </cell>
          <cell r="D1850">
            <v>55</v>
          </cell>
          <cell r="E1850">
            <v>9145</v>
          </cell>
          <cell r="F1850" t="str">
            <v>RIFA INDUSTRIAL Co., LTD.</v>
          </cell>
          <cell r="G1850" t="str">
            <v>E</v>
          </cell>
          <cell r="H1850" t="str">
            <v>BUSAN</v>
          </cell>
          <cell r="J1850" t="str">
            <v>KOS</v>
          </cell>
          <cell r="K1850" t="str">
            <v>SHIN SEUNG HICHEM CO., LTD.</v>
          </cell>
          <cell r="M1850" t="str">
            <v>KOS</v>
          </cell>
          <cell r="N1850" t="str">
            <v>C</v>
          </cell>
          <cell r="O1850">
            <v>23060228</v>
          </cell>
          <cell r="P1850" t="str">
            <v>DECA BORAX STD 25KG BAG, WOOD</v>
          </cell>
          <cell r="Q1850" t="str">
            <v>Deca</v>
          </cell>
          <cell r="R1850">
            <v>20.833100000000002</v>
          </cell>
          <cell r="S1850">
            <v>5960.5</v>
          </cell>
        </row>
        <row r="1851">
          <cell r="A1851" t="str">
            <v>Actual</v>
          </cell>
          <cell r="B1851">
            <v>1</v>
          </cell>
          <cell r="C1851" t="str">
            <v>Export</v>
          </cell>
          <cell r="D1851">
            <v>55</v>
          </cell>
          <cell r="E1851">
            <v>9145</v>
          </cell>
          <cell r="F1851" t="str">
            <v>RIFA INDUSTRIAL Co., LTD.</v>
          </cell>
          <cell r="G1851" t="str">
            <v>E</v>
          </cell>
          <cell r="H1851" t="str">
            <v>BUSAN</v>
          </cell>
          <cell r="J1851" t="str">
            <v>KOS</v>
          </cell>
          <cell r="K1851" t="str">
            <v>SHIN SEUNG HICHEM CO., LTD.</v>
          </cell>
          <cell r="M1851" t="str">
            <v>KOS</v>
          </cell>
          <cell r="N1851" t="str">
            <v>C</v>
          </cell>
          <cell r="O1851">
            <v>24090228</v>
          </cell>
          <cell r="P1851" t="str">
            <v>BORIC ACID GRAN 25KG BAG, WOOD</v>
          </cell>
          <cell r="Q1851" t="str">
            <v>Boric Acid</v>
          </cell>
          <cell r="R1851">
            <v>37.0366</v>
          </cell>
          <cell r="S1851">
            <v>14735</v>
          </cell>
        </row>
        <row r="1852">
          <cell r="A1852" t="str">
            <v>Actual</v>
          </cell>
          <cell r="B1852">
            <v>1</v>
          </cell>
          <cell r="C1852" t="str">
            <v>Export</v>
          </cell>
          <cell r="D1852">
            <v>55</v>
          </cell>
          <cell r="E1852">
            <v>9158</v>
          </cell>
          <cell r="F1852" t="str">
            <v>TONG YANG TRADING Co., LTD.</v>
          </cell>
          <cell r="G1852" t="str">
            <v>E</v>
          </cell>
          <cell r="H1852" t="str">
            <v>TAIWAN</v>
          </cell>
          <cell r="J1852" t="str">
            <v>TWN</v>
          </cell>
          <cell r="K1852" t="str">
            <v>HLC INTERNATIONAL CORPORATION</v>
          </cell>
          <cell r="M1852" t="str">
            <v>TWN</v>
          </cell>
          <cell r="O1852">
            <v>24090228</v>
          </cell>
          <cell r="P1852" t="str">
            <v>BORIC ACID GRAN 25KG BAG, WOOD</v>
          </cell>
          <cell r="Q1852" t="str">
            <v>Boric Acid</v>
          </cell>
          <cell r="R1852">
            <v>21.990500000000001</v>
          </cell>
          <cell r="S1852">
            <v>10145</v>
          </cell>
        </row>
        <row r="1853">
          <cell r="A1853" t="str">
            <v>Actual</v>
          </cell>
          <cell r="B1853">
            <v>1</v>
          </cell>
          <cell r="C1853" t="str">
            <v>Export</v>
          </cell>
          <cell r="D1853">
            <v>55</v>
          </cell>
          <cell r="E1853">
            <v>9176</v>
          </cell>
          <cell r="F1853" t="str">
            <v>BEHN MEYER AGRICARE (S)PTE.LTD</v>
          </cell>
          <cell r="G1853" t="str">
            <v>E</v>
          </cell>
          <cell r="H1853" t="str">
            <v>PORT KLANG</v>
          </cell>
          <cell r="J1853" t="str">
            <v>MAL</v>
          </cell>
          <cell r="K1853" t="str">
            <v>BEHN MEYER INTERNATIONAL</v>
          </cell>
          <cell r="M1853" t="str">
            <v>SIN</v>
          </cell>
          <cell r="N1853" t="str">
            <v>C</v>
          </cell>
          <cell r="O1853" t="str">
            <v>220604B0</v>
          </cell>
          <cell r="P1853" t="str">
            <v>V-BOR 25 KG POLYBAG (004)</v>
          </cell>
          <cell r="Q1853" t="str">
            <v>Penta</v>
          </cell>
          <cell r="R1853">
            <v>109.9525</v>
          </cell>
          <cell r="S1853">
            <v>26767.5</v>
          </cell>
        </row>
        <row r="1854">
          <cell r="A1854" t="str">
            <v>Actual</v>
          </cell>
          <cell r="B1854">
            <v>1</v>
          </cell>
          <cell r="C1854" t="str">
            <v>Export</v>
          </cell>
          <cell r="D1854">
            <v>55</v>
          </cell>
          <cell r="E1854">
            <v>9220</v>
          </cell>
          <cell r="F1854" t="str">
            <v>BE INTERNATIONAL CORPORATION</v>
          </cell>
          <cell r="G1854" t="str">
            <v>E</v>
          </cell>
          <cell r="H1854" t="str">
            <v>MOJI</v>
          </cell>
          <cell r="J1854" t="str">
            <v>JAP</v>
          </cell>
          <cell r="K1854" t="str">
            <v>BE INTERNATIONAL CORPORATION</v>
          </cell>
          <cell r="M1854" t="str">
            <v>JAP</v>
          </cell>
          <cell r="N1854" t="str">
            <v>D</v>
          </cell>
          <cell r="O1854">
            <v>20060255</v>
          </cell>
          <cell r="P1854" t="str">
            <v>PYROBOR 1 MT FIBC (002)</v>
          </cell>
          <cell r="Q1854" t="str">
            <v>Pyrobor</v>
          </cell>
          <cell r="R1854">
            <v>22.045999999999999</v>
          </cell>
          <cell r="S1854">
            <v>10617.5</v>
          </cell>
        </row>
        <row r="1855">
          <cell r="A1855" t="str">
            <v>Actual</v>
          </cell>
          <cell r="B1855">
            <v>1</v>
          </cell>
          <cell r="C1855" t="str">
            <v>Export</v>
          </cell>
          <cell r="D1855">
            <v>55</v>
          </cell>
          <cell r="E1855">
            <v>9225</v>
          </cell>
          <cell r="F1855" t="str">
            <v>HANJIN CHEMICALS CO., LTD.</v>
          </cell>
          <cell r="G1855" t="str">
            <v>E</v>
          </cell>
          <cell r="H1855" t="str">
            <v>BUSAN</v>
          </cell>
          <cell r="J1855" t="str">
            <v>KOS</v>
          </cell>
          <cell r="K1855" t="str">
            <v>SHIN SEUNG HICHEM Co., LTD.</v>
          </cell>
          <cell r="M1855" t="str">
            <v>KOS</v>
          </cell>
          <cell r="N1855" t="str">
            <v>C</v>
          </cell>
          <cell r="O1855">
            <v>24090228</v>
          </cell>
          <cell r="P1855" t="str">
            <v>BORIC ACID GRAN 25KG BAG, WOOD</v>
          </cell>
          <cell r="Q1855" t="str">
            <v>Boric Acid</v>
          </cell>
          <cell r="R1855">
            <v>18.5183</v>
          </cell>
          <cell r="S1855">
            <v>7367.5</v>
          </cell>
        </row>
        <row r="1856">
          <cell r="A1856" t="str">
            <v>Actual</v>
          </cell>
          <cell r="B1856">
            <v>1</v>
          </cell>
          <cell r="C1856" t="str">
            <v>Export</v>
          </cell>
          <cell r="D1856">
            <v>55</v>
          </cell>
          <cell r="E1856">
            <v>9248</v>
          </cell>
          <cell r="F1856" t="str">
            <v>BE INTERNATIONAL CORPORATION</v>
          </cell>
          <cell r="G1856" t="str">
            <v>E</v>
          </cell>
          <cell r="H1856" t="str">
            <v>NAGOYA</v>
          </cell>
          <cell r="J1856" t="str">
            <v>JAP</v>
          </cell>
          <cell r="K1856" t="str">
            <v>BE INTERNATIONAL CORPORATION</v>
          </cell>
          <cell r="M1856" t="str">
            <v>JAP</v>
          </cell>
          <cell r="N1856" t="str">
            <v>D</v>
          </cell>
          <cell r="O1856">
            <v>24090228</v>
          </cell>
          <cell r="P1856" t="str">
            <v>BORIC ACID GRAN 25KG BAG, WOOD</v>
          </cell>
          <cell r="Q1856" t="str">
            <v>Boric Acid</v>
          </cell>
          <cell r="R1856">
            <v>43.981000000000002</v>
          </cell>
          <cell r="S1856">
            <v>20179</v>
          </cell>
        </row>
        <row r="1857">
          <cell r="A1857" t="str">
            <v>Actual</v>
          </cell>
          <cell r="B1857">
            <v>1</v>
          </cell>
          <cell r="C1857" t="str">
            <v>Export</v>
          </cell>
          <cell r="D1857">
            <v>55</v>
          </cell>
          <cell r="E1857">
            <v>9250</v>
          </cell>
          <cell r="F1857" t="str">
            <v>SAM WHA FINE CHEMICAL CO. LTD.</v>
          </cell>
          <cell r="G1857" t="str">
            <v>E</v>
          </cell>
          <cell r="H1857" t="str">
            <v>BUSAN</v>
          </cell>
          <cell r="J1857" t="str">
            <v>KOS</v>
          </cell>
          <cell r="K1857" t="str">
            <v>SHIN SEUNG HICHEM Co., LTD.</v>
          </cell>
          <cell r="M1857" t="str">
            <v>KOS</v>
          </cell>
          <cell r="O1857">
            <v>23060228</v>
          </cell>
          <cell r="P1857" t="str">
            <v>DECA BORAX STD 25KG BAG, WOOD</v>
          </cell>
          <cell r="Q1857" t="str">
            <v>Deca</v>
          </cell>
          <cell r="R1857">
            <v>15.046099999999999</v>
          </cell>
          <cell r="S1857">
            <v>4211.5937000000004</v>
          </cell>
        </row>
        <row r="1858">
          <cell r="A1858" t="str">
            <v>Actual</v>
          </cell>
          <cell r="B1858">
            <v>1</v>
          </cell>
          <cell r="C1858" t="str">
            <v>Export</v>
          </cell>
          <cell r="D1858">
            <v>55</v>
          </cell>
          <cell r="E1858">
            <v>9250</v>
          </cell>
          <cell r="F1858" t="str">
            <v>SAM WHA FINE CHEMICAL CO. LTD.</v>
          </cell>
          <cell r="G1858" t="str">
            <v>E</v>
          </cell>
          <cell r="H1858" t="str">
            <v>BUSAN</v>
          </cell>
          <cell r="J1858" t="str">
            <v>KOS</v>
          </cell>
          <cell r="K1858" t="str">
            <v>SHIN SEUNG HICHEM Co., LTD.</v>
          </cell>
          <cell r="M1858" t="str">
            <v>KOS</v>
          </cell>
          <cell r="O1858">
            <v>24090228</v>
          </cell>
          <cell r="P1858" t="str">
            <v>BORIC ACID GRAN 25KG BAG, WOOD</v>
          </cell>
          <cell r="Q1858" t="str">
            <v>Boric Acid</v>
          </cell>
          <cell r="R1858">
            <v>3.4722</v>
          </cell>
          <cell r="S1858">
            <v>1381.4061999999999</v>
          </cell>
        </row>
        <row r="1859">
          <cell r="A1859" t="str">
            <v>Actual</v>
          </cell>
          <cell r="B1859">
            <v>1</v>
          </cell>
          <cell r="C1859" t="str">
            <v>Export</v>
          </cell>
          <cell r="D1859">
            <v>55</v>
          </cell>
          <cell r="E1859">
            <v>9253</v>
          </cell>
          <cell r="F1859" t="str">
            <v>ALWAYS STAR CO., LTD.</v>
          </cell>
          <cell r="G1859" t="str">
            <v>E</v>
          </cell>
          <cell r="H1859" t="str">
            <v>TIANJIN</v>
          </cell>
          <cell r="J1859" t="str">
            <v>CHN</v>
          </cell>
          <cell r="K1859" t="str">
            <v>ALWAYS STAR CO., LTD.</v>
          </cell>
          <cell r="M1859" t="str">
            <v>TWN</v>
          </cell>
          <cell r="N1859" t="str">
            <v>C</v>
          </cell>
          <cell r="O1859" t="str">
            <v>220604B8</v>
          </cell>
          <cell r="P1859" t="str">
            <v>V-BOR 25KG POLYBAG,WOOD (004)</v>
          </cell>
          <cell r="Q1859" t="str">
            <v>Penta</v>
          </cell>
          <cell r="R1859">
            <v>109.9525</v>
          </cell>
          <cell r="S1859">
            <v>26040</v>
          </cell>
        </row>
        <row r="1860">
          <cell r="A1860" t="str">
            <v>Actual</v>
          </cell>
          <cell r="B1860">
            <v>1</v>
          </cell>
          <cell r="C1860" t="str">
            <v>Export</v>
          </cell>
          <cell r="D1860">
            <v>55</v>
          </cell>
          <cell r="E1860">
            <v>9253</v>
          </cell>
          <cell r="F1860" t="str">
            <v>ALWAYS STAR CO., LTD.</v>
          </cell>
          <cell r="G1860" t="str">
            <v>E</v>
          </cell>
          <cell r="H1860" t="str">
            <v>TIANJIN</v>
          </cell>
          <cell r="J1860" t="str">
            <v>CHN</v>
          </cell>
          <cell r="K1860" t="str">
            <v>ALWAYS STAR CO., LTD.</v>
          </cell>
          <cell r="M1860" t="str">
            <v>TWN</v>
          </cell>
          <cell r="N1860" t="str">
            <v>C</v>
          </cell>
          <cell r="O1860">
            <v>24090228</v>
          </cell>
          <cell r="P1860" t="str">
            <v>BORIC ACID GRAN 25KG BAG, WOOD</v>
          </cell>
          <cell r="Q1860" t="str">
            <v>Boric Acid</v>
          </cell>
          <cell r="R1860">
            <v>351.84800000000001</v>
          </cell>
          <cell r="S1860">
            <v>113652</v>
          </cell>
        </row>
        <row r="1861">
          <cell r="A1861" t="str">
            <v>Actual</v>
          </cell>
          <cell r="B1861">
            <v>1</v>
          </cell>
          <cell r="C1861" t="str">
            <v>Export</v>
          </cell>
          <cell r="D1861">
            <v>55</v>
          </cell>
          <cell r="E1861">
            <v>9254</v>
          </cell>
          <cell r="F1861" t="str">
            <v>ALWAYS STAR CO., LTD.</v>
          </cell>
          <cell r="G1861" t="str">
            <v>E</v>
          </cell>
          <cell r="H1861" t="str">
            <v>SHANGHAI</v>
          </cell>
          <cell r="J1861" t="str">
            <v>CHN</v>
          </cell>
          <cell r="K1861" t="str">
            <v>ALWAYS STAR CO., LTD.</v>
          </cell>
          <cell r="M1861" t="str">
            <v>TWN</v>
          </cell>
          <cell r="N1861" t="str">
            <v>D</v>
          </cell>
          <cell r="O1861">
            <v>22060428</v>
          </cell>
          <cell r="P1861" t="str">
            <v>V-BOR 25KG BAG (004), WOOD</v>
          </cell>
          <cell r="Q1861" t="str">
            <v>Penta</v>
          </cell>
          <cell r="R1861">
            <v>43.981000000000002</v>
          </cell>
          <cell r="S1861">
            <v>10416</v>
          </cell>
        </row>
        <row r="1862">
          <cell r="A1862" t="str">
            <v>Actual</v>
          </cell>
          <cell r="B1862">
            <v>1</v>
          </cell>
          <cell r="C1862" t="str">
            <v>Export</v>
          </cell>
          <cell r="D1862">
            <v>55</v>
          </cell>
          <cell r="E1862">
            <v>9254</v>
          </cell>
          <cell r="F1862" t="str">
            <v>ALWAYS STAR CO., LTD.</v>
          </cell>
          <cell r="G1862" t="str">
            <v>E</v>
          </cell>
          <cell r="H1862" t="str">
            <v>SHANGHAI</v>
          </cell>
          <cell r="J1862" t="str">
            <v>CHN</v>
          </cell>
          <cell r="K1862" t="str">
            <v>ALWAYS STAR CO., LTD.</v>
          </cell>
          <cell r="M1862" t="str">
            <v>TWN</v>
          </cell>
          <cell r="N1862" t="str">
            <v>D</v>
          </cell>
          <cell r="O1862" t="str">
            <v>220604B8</v>
          </cell>
          <cell r="P1862" t="str">
            <v>V-BOR 25KG POLYBAG,WOOD (004)</v>
          </cell>
          <cell r="Q1862" t="str">
            <v>Penta</v>
          </cell>
          <cell r="R1862">
            <v>901.6105</v>
          </cell>
          <cell r="S1862">
            <v>213528</v>
          </cell>
        </row>
        <row r="1863">
          <cell r="A1863" t="str">
            <v>Actual</v>
          </cell>
          <cell r="B1863">
            <v>1</v>
          </cell>
          <cell r="C1863" t="str">
            <v>Export</v>
          </cell>
          <cell r="D1863">
            <v>55</v>
          </cell>
          <cell r="E1863">
            <v>9254</v>
          </cell>
          <cell r="F1863" t="str">
            <v>ALWAYS STAR CO., LTD.</v>
          </cell>
          <cell r="G1863" t="str">
            <v>E</v>
          </cell>
          <cell r="H1863" t="str">
            <v>SHANGHAI</v>
          </cell>
          <cell r="J1863" t="str">
            <v>CHN</v>
          </cell>
          <cell r="K1863" t="str">
            <v>ALWAYS STAR CO., LTD.</v>
          </cell>
          <cell r="M1863" t="str">
            <v>TWN</v>
          </cell>
          <cell r="N1863" t="str">
            <v>D</v>
          </cell>
          <cell r="O1863">
            <v>24090228</v>
          </cell>
          <cell r="P1863" t="str">
            <v>BORIC ACID GRAN 25KG BAG, WOOD</v>
          </cell>
          <cell r="Q1863" t="str">
            <v>Boric Acid</v>
          </cell>
          <cell r="R1863">
            <v>505.78140000000002</v>
          </cell>
          <cell r="S1863">
            <v>169758.75</v>
          </cell>
        </row>
        <row r="1864">
          <cell r="A1864" t="str">
            <v>Actual</v>
          </cell>
          <cell r="B1864">
            <v>1</v>
          </cell>
          <cell r="C1864" t="str">
            <v>Export</v>
          </cell>
          <cell r="D1864">
            <v>55</v>
          </cell>
          <cell r="E1864">
            <v>9260</v>
          </cell>
          <cell r="F1864" t="str">
            <v>HWA-CHIH</v>
          </cell>
          <cell r="G1864" t="str">
            <v>E</v>
          </cell>
          <cell r="H1864" t="str">
            <v>TAO YUAN</v>
          </cell>
          <cell r="J1864" t="str">
            <v>TWN</v>
          </cell>
          <cell r="K1864" t="str">
            <v>HLC INTERNATIONAL CORPORATION</v>
          </cell>
          <cell r="M1864" t="str">
            <v>TWN</v>
          </cell>
          <cell r="O1864">
            <v>22060428</v>
          </cell>
          <cell r="P1864" t="str">
            <v>V-BOR 25KG BAG (004), WOOD</v>
          </cell>
          <cell r="Q1864" t="str">
            <v>Penta</v>
          </cell>
          <cell r="R1864">
            <v>0</v>
          </cell>
          <cell r="S1864">
            <v>-194</v>
          </cell>
        </row>
        <row r="1865">
          <cell r="A1865" t="str">
            <v>Actual</v>
          </cell>
          <cell r="B1865">
            <v>1</v>
          </cell>
          <cell r="C1865" t="str">
            <v>Export</v>
          </cell>
          <cell r="D1865">
            <v>55</v>
          </cell>
          <cell r="E1865">
            <v>9278</v>
          </cell>
          <cell r="F1865" t="str">
            <v>PT. FERRO MAS DINAMIKA</v>
          </cell>
          <cell r="G1865" t="str">
            <v>E</v>
          </cell>
          <cell r="H1865" t="str">
            <v>BEKASI</v>
          </cell>
          <cell r="J1865" t="str">
            <v>INO</v>
          </cell>
          <cell r="K1865" t="str">
            <v>PT. CHEMIFIN JAYA UTAMA</v>
          </cell>
          <cell r="M1865" t="str">
            <v>INO</v>
          </cell>
          <cell r="O1865">
            <v>22060428</v>
          </cell>
          <cell r="P1865" t="str">
            <v>V-BOR 25KG BAG (004), WOOD</v>
          </cell>
          <cell r="Q1865" t="str">
            <v>Penta</v>
          </cell>
          <cell r="R1865">
            <v>21.990500000000001</v>
          </cell>
          <cell r="S1865">
            <v>6006.5</v>
          </cell>
        </row>
        <row r="1866">
          <cell r="A1866" t="str">
            <v>Actual</v>
          </cell>
          <cell r="B1866">
            <v>1</v>
          </cell>
          <cell r="C1866" t="str">
            <v>Export</v>
          </cell>
          <cell r="D1866">
            <v>55</v>
          </cell>
          <cell r="E1866">
            <v>9303</v>
          </cell>
          <cell r="F1866" t="str">
            <v>ALWAYS STAR CO., LTD.</v>
          </cell>
          <cell r="G1866" t="str">
            <v>E</v>
          </cell>
          <cell r="H1866" t="str">
            <v>HONG KONG</v>
          </cell>
          <cell r="J1866" t="str">
            <v>CHN</v>
          </cell>
          <cell r="K1866" t="str">
            <v>ALWAYS STAR CO., LTD.</v>
          </cell>
          <cell r="M1866" t="str">
            <v>TWN</v>
          </cell>
          <cell r="N1866" t="str">
            <v>D</v>
          </cell>
          <cell r="O1866">
            <v>20150220</v>
          </cell>
          <cell r="P1866" t="str">
            <v>PYROBOR COARSE 25KG BAG (002)</v>
          </cell>
          <cell r="Q1866" t="str">
            <v>Pyrobor</v>
          </cell>
          <cell r="R1866">
            <v>21.990500000000001</v>
          </cell>
          <cell r="S1866">
            <v>13188</v>
          </cell>
        </row>
        <row r="1867">
          <cell r="A1867" t="str">
            <v>Actual</v>
          </cell>
          <cell r="B1867">
            <v>1</v>
          </cell>
          <cell r="C1867" t="str">
            <v>Export</v>
          </cell>
          <cell r="D1867">
            <v>55</v>
          </cell>
          <cell r="E1867">
            <v>9327</v>
          </cell>
          <cell r="F1867" t="str">
            <v>HYOSUNG CORPORATION</v>
          </cell>
          <cell r="G1867" t="str">
            <v>E</v>
          </cell>
          <cell r="H1867" t="str">
            <v>SEOUL</v>
          </cell>
          <cell r="J1867" t="str">
            <v>KOS</v>
          </cell>
          <cell r="K1867" t="str">
            <v>SHIN SEUNG HICHEM CO., LTD.</v>
          </cell>
          <cell r="M1867" t="str">
            <v>KOS</v>
          </cell>
          <cell r="N1867" t="str">
            <v>C</v>
          </cell>
          <cell r="O1867">
            <v>22060428</v>
          </cell>
          <cell r="P1867" t="str">
            <v>V-BOR 25KG BAG (004), WOOD</v>
          </cell>
          <cell r="Q1867" t="str">
            <v>Penta</v>
          </cell>
          <cell r="R1867">
            <v>20.833100000000002</v>
          </cell>
          <cell r="S1867">
            <v>5737</v>
          </cell>
        </row>
        <row r="1868">
          <cell r="A1868" t="str">
            <v>Actual</v>
          </cell>
          <cell r="B1868">
            <v>1</v>
          </cell>
          <cell r="C1868" t="str">
            <v>Export</v>
          </cell>
          <cell r="D1868">
            <v>55</v>
          </cell>
          <cell r="E1868">
            <v>9345</v>
          </cell>
          <cell r="F1868" t="str">
            <v>IWATANI ASIA PACIFIC PTE LTD</v>
          </cell>
          <cell r="G1868" t="str">
            <v>E</v>
          </cell>
          <cell r="H1868" t="str">
            <v>SINGAPORE</v>
          </cell>
          <cell r="J1868" t="str">
            <v>SIN</v>
          </cell>
          <cell r="K1868" t="str">
            <v>BEHN MEYER INTERNATIONAL</v>
          </cell>
          <cell r="M1868" t="str">
            <v>SIN</v>
          </cell>
          <cell r="N1868" t="str">
            <v>D</v>
          </cell>
          <cell r="O1868">
            <v>24850249</v>
          </cell>
          <cell r="P1868" t="str">
            <v>BORIC ACID GRAN, 1 MT FIBC</v>
          </cell>
          <cell r="Q1868" t="str">
            <v>Boric Acid</v>
          </cell>
          <cell r="R1868">
            <v>44.091999999999999</v>
          </cell>
          <cell r="S1868">
            <v>20700</v>
          </cell>
        </row>
        <row r="1869">
          <cell r="A1869" t="str">
            <v>Actual</v>
          </cell>
          <cell r="B1869">
            <v>1</v>
          </cell>
          <cell r="C1869" t="str">
            <v>Export</v>
          </cell>
          <cell r="D1869">
            <v>55</v>
          </cell>
          <cell r="E1869">
            <v>9347</v>
          </cell>
          <cell r="F1869" t="str">
            <v>KING-BAR INDUSTRIAL Co., LTD.</v>
          </cell>
          <cell r="G1869" t="str">
            <v>E</v>
          </cell>
          <cell r="H1869" t="str">
            <v>KEELUNG</v>
          </cell>
          <cell r="J1869" t="str">
            <v>TWN</v>
          </cell>
          <cell r="K1869" t="str">
            <v>HLC INTERNATIONAL CORPORATION</v>
          </cell>
          <cell r="M1869" t="str">
            <v>TWN</v>
          </cell>
          <cell r="N1869" t="str">
            <v>D</v>
          </cell>
          <cell r="O1869">
            <v>20150228</v>
          </cell>
          <cell r="P1869" t="str">
            <v>PYROBOR COARSE 25KG (002) WOOD</v>
          </cell>
          <cell r="Q1869" t="str">
            <v>Pyrobor</v>
          </cell>
          <cell r="R1869">
            <v>21.990500000000001</v>
          </cell>
          <cell r="S1869">
            <v>14927.5</v>
          </cell>
        </row>
        <row r="1870">
          <cell r="A1870" t="str">
            <v>Actual</v>
          </cell>
          <cell r="B1870">
            <v>1</v>
          </cell>
          <cell r="C1870" t="str">
            <v>Export</v>
          </cell>
          <cell r="D1870">
            <v>55</v>
          </cell>
          <cell r="E1870">
            <v>9349</v>
          </cell>
          <cell r="F1870" t="str">
            <v>DREAM CHEM Co.</v>
          </cell>
          <cell r="G1870" t="str">
            <v>E</v>
          </cell>
          <cell r="H1870" t="str">
            <v>BUSAN</v>
          </cell>
          <cell r="J1870" t="str">
            <v>KOS</v>
          </cell>
          <cell r="K1870" t="str">
            <v>SHIN SEUNG HICHEM Co., LTD.</v>
          </cell>
          <cell r="M1870" t="str">
            <v>KOS</v>
          </cell>
          <cell r="N1870" t="str">
            <v>D</v>
          </cell>
          <cell r="O1870">
            <v>22060455</v>
          </cell>
          <cell r="P1870" t="str">
            <v>V-BOR 1 MT FIBC (004)</v>
          </cell>
          <cell r="Q1870" t="str">
            <v>Penta</v>
          </cell>
          <cell r="R1870">
            <v>22.045999999999999</v>
          </cell>
          <cell r="S1870">
            <v>6567.5</v>
          </cell>
        </row>
        <row r="1871">
          <cell r="A1871" t="str">
            <v>Actual</v>
          </cell>
          <cell r="B1871">
            <v>1</v>
          </cell>
          <cell r="C1871" t="str">
            <v>Export</v>
          </cell>
          <cell r="D1871">
            <v>55</v>
          </cell>
          <cell r="E1871">
            <v>9368</v>
          </cell>
          <cell r="F1871" t="str">
            <v>ALWAYS STAR CO., LTD.</v>
          </cell>
          <cell r="G1871" t="str">
            <v>E</v>
          </cell>
          <cell r="H1871" t="str">
            <v>SANSHUI</v>
          </cell>
          <cell r="J1871" t="str">
            <v>CHN</v>
          </cell>
          <cell r="K1871" t="str">
            <v>ALWAYS STAR CO., LTD.</v>
          </cell>
          <cell r="M1871" t="str">
            <v>TWN</v>
          </cell>
          <cell r="N1871" t="str">
            <v>D</v>
          </cell>
          <cell r="O1871">
            <v>22060455</v>
          </cell>
          <cell r="P1871" t="str">
            <v>V-BOR 1 MT FIBC (004)</v>
          </cell>
          <cell r="Q1871" t="str">
            <v>Penta</v>
          </cell>
          <cell r="R1871">
            <v>132.27600000000001</v>
          </cell>
          <cell r="S1871">
            <v>30715</v>
          </cell>
        </row>
        <row r="1872">
          <cell r="A1872" t="str">
            <v>Actual</v>
          </cell>
          <cell r="B1872">
            <v>1</v>
          </cell>
          <cell r="C1872" t="str">
            <v>Export</v>
          </cell>
          <cell r="D1872">
            <v>55</v>
          </cell>
          <cell r="E1872">
            <v>9378</v>
          </cell>
          <cell r="F1872" t="str">
            <v>ALWAYS STAR CO., LTD.</v>
          </cell>
          <cell r="G1872" t="str">
            <v>E</v>
          </cell>
          <cell r="H1872" t="str">
            <v>CHIWAN</v>
          </cell>
          <cell r="J1872" t="str">
            <v>CHN</v>
          </cell>
          <cell r="K1872" t="str">
            <v>ALWAYS STAR CO., LTD.</v>
          </cell>
          <cell r="M1872" t="str">
            <v>TWN</v>
          </cell>
          <cell r="N1872" t="str">
            <v>D</v>
          </cell>
          <cell r="O1872">
            <v>20150228</v>
          </cell>
          <cell r="P1872" t="str">
            <v>PYROBOR COARSE 25KG (002) WOOD</v>
          </cell>
          <cell r="Q1872" t="str">
            <v>Pyrobor</v>
          </cell>
          <cell r="R1872">
            <v>21.990500000000001</v>
          </cell>
          <cell r="S1872">
            <v>13188</v>
          </cell>
        </row>
        <row r="1873">
          <cell r="A1873" t="str">
            <v>Actual</v>
          </cell>
          <cell r="B1873">
            <v>1</v>
          </cell>
          <cell r="C1873" t="str">
            <v>Export</v>
          </cell>
          <cell r="D1873">
            <v>55</v>
          </cell>
          <cell r="E1873">
            <v>9378</v>
          </cell>
          <cell r="F1873" t="str">
            <v>ALWAYS STAR CO., LTD.</v>
          </cell>
          <cell r="G1873" t="str">
            <v>E</v>
          </cell>
          <cell r="H1873" t="str">
            <v>CHIWAN</v>
          </cell>
          <cell r="J1873" t="str">
            <v>CHN</v>
          </cell>
          <cell r="K1873" t="str">
            <v>ALWAYS STAR CO., LTD.</v>
          </cell>
          <cell r="M1873" t="str">
            <v>TWN</v>
          </cell>
          <cell r="N1873" t="str">
            <v>D</v>
          </cell>
          <cell r="O1873">
            <v>22060428</v>
          </cell>
          <cell r="P1873" t="str">
            <v>V-BOR 25KG BAG (004), WOOD</v>
          </cell>
          <cell r="Q1873" t="str">
            <v>Penta</v>
          </cell>
          <cell r="R1873">
            <v>26.620100000000001</v>
          </cell>
          <cell r="S1873">
            <v>6304.4362000000001</v>
          </cell>
        </row>
        <row r="1874">
          <cell r="A1874" t="str">
            <v>Actual</v>
          </cell>
          <cell r="B1874">
            <v>1</v>
          </cell>
          <cell r="C1874" t="str">
            <v>Export</v>
          </cell>
          <cell r="D1874">
            <v>55</v>
          </cell>
          <cell r="E1874">
            <v>9378</v>
          </cell>
          <cell r="F1874" t="str">
            <v>ALWAYS STAR CO., LTD.</v>
          </cell>
          <cell r="G1874" t="str">
            <v>E</v>
          </cell>
          <cell r="H1874" t="str">
            <v>CHIWAN</v>
          </cell>
          <cell r="J1874" t="str">
            <v>CHN</v>
          </cell>
          <cell r="K1874" t="str">
            <v>ALWAYS STAR CO., LTD.</v>
          </cell>
          <cell r="M1874" t="str">
            <v>TWN</v>
          </cell>
          <cell r="N1874" t="str">
            <v>D</v>
          </cell>
          <cell r="O1874">
            <v>23160228</v>
          </cell>
          <cell r="P1874" t="str">
            <v>DECA BORAX X CRS 25KG BAG WOOD</v>
          </cell>
          <cell r="Q1874" t="str">
            <v>Deca</v>
          </cell>
          <cell r="R1874">
            <v>17.360900000000001</v>
          </cell>
          <cell r="S1874">
            <v>3954.0637000000002</v>
          </cell>
        </row>
        <row r="1875">
          <cell r="A1875" t="str">
            <v>Actual</v>
          </cell>
          <cell r="B1875">
            <v>1</v>
          </cell>
          <cell r="C1875" t="str">
            <v>Export</v>
          </cell>
          <cell r="D1875">
            <v>55</v>
          </cell>
          <cell r="E1875">
            <v>9378</v>
          </cell>
          <cell r="F1875" t="str">
            <v>ALWAYS STAR CO., LTD.</v>
          </cell>
          <cell r="G1875" t="str">
            <v>E</v>
          </cell>
          <cell r="H1875" t="str">
            <v>CHIWAN</v>
          </cell>
          <cell r="J1875" t="str">
            <v>CHN</v>
          </cell>
          <cell r="K1875" t="str">
            <v>ALWAYS STAR CO., LTD.</v>
          </cell>
          <cell r="M1875" t="str">
            <v>TWN</v>
          </cell>
          <cell r="N1875" t="str">
            <v>D</v>
          </cell>
          <cell r="O1875">
            <v>24090228</v>
          </cell>
          <cell r="P1875" t="str">
            <v>BORIC ACID GRAN 25KG BAG, WOOD</v>
          </cell>
          <cell r="Q1875" t="str">
            <v>Boric Acid</v>
          </cell>
          <cell r="R1875">
            <v>153.93350000000001</v>
          </cell>
          <cell r="S1875">
            <v>58800</v>
          </cell>
        </row>
        <row r="1876">
          <cell r="A1876" t="str">
            <v>Actual</v>
          </cell>
          <cell r="B1876">
            <v>1</v>
          </cell>
          <cell r="C1876" t="str">
            <v>Export</v>
          </cell>
          <cell r="D1876">
            <v>55</v>
          </cell>
          <cell r="E1876">
            <v>9402</v>
          </cell>
          <cell r="F1876" t="str">
            <v>BE INTERNATIONAL CORPORATION</v>
          </cell>
          <cell r="G1876" t="str">
            <v>E</v>
          </cell>
          <cell r="H1876" t="str">
            <v>YOKOHAMA</v>
          </cell>
          <cell r="J1876" t="str">
            <v>JAP</v>
          </cell>
          <cell r="K1876" t="str">
            <v>BE INTERNATIONAL CORPORATION</v>
          </cell>
          <cell r="M1876" t="str">
            <v>JAP</v>
          </cell>
          <cell r="N1876" t="str">
            <v>D</v>
          </cell>
          <cell r="O1876">
            <v>24850255</v>
          </cell>
          <cell r="P1876" t="str">
            <v>BORIC ACID GRN TECH 1MT FIBC</v>
          </cell>
          <cell r="Q1876" t="str">
            <v>Boric Acid</v>
          </cell>
          <cell r="R1876">
            <v>22.045999999999999</v>
          </cell>
          <cell r="S1876">
            <v>8874.5</v>
          </cell>
        </row>
        <row r="1877">
          <cell r="A1877" t="str">
            <v>Actual</v>
          </cell>
          <cell r="B1877">
            <v>1</v>
          </cell>
          <cell r="C1877" t="str">
            <v>Export</v>
          </cell>
          <cell r="D1877">
            <v>55</v>
          </cell>
          <cell r="E1877">
            <v>9406</v>
          </cell>
          <cell r="F1877" t="str">
            <v>SHIN CERAMIC CO., LTD</v>
          </cell>
          <cell r="G1877" t="str">
            <v>E</v>
          </cell>
          <cell r="H1877" t="str">
            <v>BUSAN</v>
          </cell>
          <cell r="J1877" t="str">
            <v>KOS</v>
          </cell>
          <cell r="K1877" t="str">
            <v>SHIN SEUNG HICHEM Co., LTD.</v>
          </cell>
          <cell r="M1877" t="str">
            <v>KOS</v>
          </cell>
          <cell r="N1877" t="str">
            <v>D</v>
          </cell>
          <cell r="O1877">
            <v>24090228</v>
          </cell>
          <cell r="P1877" t="str">
            <v>BORIC ACID GRAN 25KG BAG, WOOD</v>
          </cell>
          <cell r="Q1877" t="str">
            <v>Boric Acid</v>
          </cell>
          <cell r="R1877">
            <v>18.5183</v>
          </cell>
          <cell r="S1877">
            <v>7367.5</v>
          </cell>
        </row>
        <row r="1878">
          <cell r="A1878" t="str">
            <v>Actual</v>
          </cell>
          <cell r="B1878">
            <v>1</v>
          </cell>
          <cell r="C1878" t="str">
            <v>Export</v>
          </cell>
          <cell r="D1878">
            <v>55</v>
          </cell>
          <cell r="E1878">
            <v>9457</v>
          </cell>
          <cell r="F1878" t="str">
            <v>KING-BAR INDUSTRIAL CO., LTD.</v>
          </cell>
          <cell r="G1878" t="str">
            <v>E</v>
          </cell>
          <cell r="H1878" t="str">
            <v>TAO YUAN</v>
          </cell>
          <cell r="J1878" t="str">
            <v>TWN</v>
          </cell>
          <cell r="K1878" t="str">
            <v>HLC INTERNATIONAL CORPORATION</v>
          </cell>
          <cell r="M1878" t="str">
            <v>TWN</v>
          </cell>
          <cell r="N1878" t="str">
            <v>D</v>
          </cell>
          <cell r="O1878">
            <v>24090228</v>
          </cell>
          <cell r="P1878" t="str">
            <v>BORIC ACID GRAN 25KG BAG, WOOD</v>
          </cell>
          <cell r="Q1878" t="str">
            <v>Boric Acid</v>
          </cell>
          <cell r="R1878">
            <v>21.990500000000001</v>
          </cell>
          <cell r="S1878">
            <v>9940</v>
          </cell>
        </row>
        <row r="1879">
          <cell r="A1879" t="str">
            <v>Actual</v>
          </cell>
          <cell r="B1879">
            <v>1</v>
          </cell>
          <cell r="C1879" t="str">
            <v>Export</v>
          </cell>
          <cell r="D1879">
            <v>55</v>
          </cell>
          <cell r="E1879">
            <v>9461</v>
          </cell>
          <cell r="F1879" t="str">
            <v>SHIONOGI/KEIWAROZAI/OSAKA</v>
          </cell>
          <cell r="G1879" t="str">
            <v>E</v>
          </cell>
          <cell r="H1879" t="str">
            <v>OSAKA</v>
          </cell>
          <cell r="J1879" t="str">
            <v>JAP</v>
          </cell>
          <cell r="K1879" t="str">
            <v>SHIONOGI &amp; COMPANY LTD</v>
          </cell>
          <cell r="M1879" t="str">
            <v>JAP</v>
          </cell>
          <cell r="N1879" t="str">
            <v>C</v>
          </cell>
          <cell r="O1879" t="str">
            <v>230602B8</v>
          </cell>
          <cell r="P1879" t="str">
            <v>DECA STD 25KG POLYBAG, WOOD</v>
          </cell>
          <cell r="Q1879" t="str">
            <v>Deca</v>
          </cell>
          <cell r="R1879">
            <v>43.981000000000002</v>
          </cell>
          <cell r="S1879">
            <v>13031</v>
          </cell>
        </row>
        <row r="1880">
          <cell r="A1880" t="str">
            <v>Actual</v>
          </cell>
          <cell r="B1880">
            <v>1</v>
          </cell>
          <cell r="C1880" t="str">
            <v>Export</v>
          </cell>
          <cell r="D1880">
            <v>55</v>
          </cell>
          <cell r="E1880">
            <v>9483</v>
          </cell>
          <cell r="F1880" t="str">
            <v>SHIONOGI/NITTO DENKO/OSAKA</v>
          </cell>
          <cell r="G1880" t="str">
            <v>E</v>
          </cell>
          <cell r="H1880" t="str">
            <v>OSAKA</v>
          </cell>
          <cell r="J1880" t="str">
            <v>JAP</v>
          </cell>
          <cell r="K1880" t="str">
            <v>SHIONOGI &amp; COMPANY LTD</v>
          </cell>
          <cell r="M1880" t="str">
            <v>JAP</v>
          </cell>
          <cell r="N1880" t="str">
            <v>C</v>
          </cell>
          <cell r="O1880">
            <v>24090228</v>
          </cell>
          <cell r="P1880" t="str">
            <v>BORIC ACID GRAN 25KG BAG, WOOD</v>
          </cell>
          <cell r="Q1880" t="str">
            <v>Boric Acid</v>
          </cell>
          <cell r="R1880">
            <v>43.981000000000002</v>
          </cell>
          <cell r="S1880">
            <v>21489</v>
          </cell>
        </row>
        <row r="1881">
          <cell r="A1881" t="str">
            <v>Actual</v>
          </cell>
          <cell r="B1881">
            <v>1</v>
          </cell>
          <cell r="C1881" t="str">
            <v>Export</v>
          </cell>
          <cell r="D1881">
            <v>55</v>
          </cell>
          <cell r="E1881">
            <v>9510</v>
          </cell>
          <cell r="F1881" t="str">
            <v>ALWAYS STAR CO., LTD.</v>
          </cell>
          <cell r="G1881" t="str">
            <v>E</v>
          </cell>
          <cell r="H1881" t="str">
            <v>XIAMEN</v>
          </cell>
          <cell r="J1881" t="str">
            <v>CHN</v>
          </cell>
          <cell r="K1881" t="str">
            <v>ALWAYS STAR CO., LTD.</v>
          </cell>
          <cell r="M1881" t="str">
            <v>TWN</v>
          </cell>
          <cell r="N1881" t="str">
            <v>D</v>
          </cell>
          <cell r="O1881">
            <v>22060428</v>
          </cell>
          <cell r="P1881" t="str">
            <v>V-BOR 25KG BAG (004), WOOD</v>
          </cell>
          <cell r="Q1881" t="str">
            <v>Penta</v>
          </cell>
          <cell r="R1881">
            <v>65.971500000000006</v>
          </cell>
          <cell r="S1881">
            <v>15025.5</v>
          </cell>
        </row>
        <row r="1882">
          <cell r="A1882" t="str">
            <v>Actual</v>
          </cell>
          <cell r="B1882">
            <v>1</v>
          </cell>
          <cell r="C1882" t="str">
            <v>Export</v>
          </cell>
          <cell r="D1882">
            <v>55</v>
          </cell>
          <cell r="E1882">
            <v>9591</v>
          </cell>
          <cell r="F1882" t="str">
            <v>SAEED ENTERPRISES</v>
          </cell>
          <cell r="G1882" t="str">
            <v>E</v>
          </cell>
          <cell r="H1882" t="str">
            <v>KARACHI</v>
          </cell>
          <cell r="J1882" t="str">
            <v>PAK</v>
          </cell>
          <cell r="K1882" t="str">
            <v>FAROOQ INT'L EXPORT ENT</v>
          </cell>
          <cell r="M1882" t="str">
            <v>PAK</v>
          </cell>
          <cell r="N1882" t="str">
            <v>C</v>
          </cell>
          <cell r="O1882">
            <v>22060448</v>
          </cell>
          <cell r="P1882" t="str">
            <v>V-BOR 50KG BAG (004), WOOD</v>
          </cell>
          <cell r="Q1882" t="str">
            <v>Penta</v>
          </cell>
          <cell r="R1882">
            <v>22.045999999999999</v>
          </cell>
          <cell r="S1882">
            <v>6897.5</v>
          </cell>
        </row>
        <row r="1883">
          <cell r="A1883" t="str">
            <v>Actual</v>
          </cell>
          <cell r="B1883">
            <v>1</v>
          </cell>
          <cell r="C1883" t="str">
            <v>Export</v>
          </cell>
          <cell r="D1883">
            <v>55</v>
          </cell>
          <cell r="E1883">
            <v>9594</v>
          </cell>
          <cell r="F1883" t="str">
            <v>INACTIVE-IMPERIAL EXIM</v>
          </cell>
          <cell r="G1883" t="str">
            <v>E</v>
          </cell>
          <cell r="H1883" t="str">
            <v>KARACHI</v>
          </cell>
          <cell r="J1883" t="str">
            <v>PAK</v>
          </cell>
          <cell r="K1883" t="str">
            <v>FAROOQ INT'L EXPORT ENT</v>
          </cell>
          <cell r="M1883" t="str">
            <v>PAK</v>
          </cell>
          <cell r="N1883" t="str">
            <v>C</v>
          </cell>
          <cell r="O1883">
            <v>23060228</v>
          </cell>
          <cell r="P1883" t="str">
            <v>DECA BORAX STD 25KG BAG, WOOD</v>
          </cell>
          <cell r="Q1883" t="str">
            <v>Deca</v>
          </cell>
          <cell r="R1883">
            <v>21.990500000000001</v>
          </cell>
          <cell r="S1883">
            <v>4901.5</v>
          </cell>
        </row>
        <row r="1884">
          <cell r="A1884" t="str">
            <v>Actual</v>
          </cell>
          <cell r="B1884">
            <v>1</v>
          </cell>
          <cell r="C1884" t="str">
            <v>Export</v>
          </cell>
          <cell r="D1884">
            <v>57</v>
          </cell>
          <cell r="E1884">
            <v>6313</v>
          </cell>
          <cell r="F1884" t="str">
            <v>SWIFT/STOCK BRISBANE</v>
          </cell>
          <cell r="G1884" t="str">
            <v>E</v>
          </cell>
          <cell r="H1884" t="str">
            <v>BRISBANE</v>
          </cell>
          <cell r="J1884" t="str">
            <v>AUS</v>
          </cell>
          <cell r="K1884" t="str">
            <v>SWIFT AND COMPANY LIMITED</v>
          </cell>
          <cell r="M1884" t="str">
            <v>AUS</v>
          </cell>
          <cell r="N1884" t="str">
            <v>C</v>
          </cell>
          <cell r="O1884">
            <v>23060220</v>
          </cell>
          <cell r="P1884" t="str">
            <v>DECA BORAX STD 25KG BAG</v>
          </cell>
          <cell r="Q1884" t="str">
            <v>Deca</v>
          </cell>
          <cell r="R1884">
            <v>11.5739</v>
          </cell>
          <cell r="S1884">
            <v>2548.4548</v>
          </cell>
        </row>
        <row r="1885">
          <cell r="A1885" t="str">
            <v>Actual</v>
          </cell>
          <cell r="B1885">
            <v>1</v>
          </cell>
          <cell r="C1885" t="str">
            <v>Export</v>
          </cell>
          <cell r="D1885">
            <v>57</v>
          </cell>
          <cell r="E1885">
            <v>6313</v>
          </cell>
          <cell r="F1885" t="str">
            <v>SWIFT/STOCK BRISBANE</v>
          </cell>
          <cell r="G1885" t="str">
            <v>E</v>
          </cell>
          <cell r="H1885" t="str">
            <v>BRISBANE</v>
          </cell>
          <cell r="J1885" t="str">
            <v>AUS</v>
          </cell>
          <cell r="K1885" t="str">
            <v>SWIFT AND COMPANY LIMITED</v>
          </cell>
          <cell r="M1885" t="str">
            <v>AUS</v>
          </cell>
          <cell r="N1885" t="str">
            <v>C</v>
          </cell>
          <cell r="O1885">
            <v>24090220</v>
          </cell>
          <cell r="P1885" t="str">
            <v>BORIC ACID GRAN TECH 25KG BAG</v>
          </cell>
          <cell r="Q1885" t="str">
            <v>Boric Acid</v>
          </cell>
          <cell r="R1885">
            <v>10.416499999999999</v>
          </cell>
          <cell r="S1885">
            <v>3900.0450999999998</v>
          </cell>
        </row>
        <row r="1886">
          <cell r="A1886" t="str">
            <v>Actual</v>
          </cell>
          <cell r="B1886">
            <v>1</v>
          </cell>
          <cell r="C1886" t="str">
            <v>Export</v>
          </cell>
          <cell r="D1886">
            <v>57</v>
          </cell>
          <cell r="E1886">
            <v>6895</v>
          </cell>
          <cell r="F1886" t="str">
            <v>MET MEX PENOLES, S.A. DE C.V.</v>
          </cell>
          <cell r="G1886" t="str">
            <v>E</v>
          </cell>
          <cell r="H1886" t="str">
            <v>LAREDO</v>
          </cell>
          <cell r="I1886" t="str">
            <v>TX</v>
          </cell>
          <cell r="J1886" t="str">
            <v>MEX</v>
          </cell>
          <cell r="K1886" t="str">
            <v>MET MEX PENOLES S.A. DE CV</v>
          </cell>
          <cell r="M1886" t="str">
            <v>MEX</v>
          </cell>
          <cell r="N1886" t="str">
            <v>C</v>
          </cell>
          <cell r="O1886">
            <v>20060255</v>
          </cell>
          <cell r="P1886" t="str">
            <v>PYROBOR 1 MT FIBC (002)</v>
          </cell>
          <cell r="Q1886" t="str">
            <v>Pyrobor</v>
          </cell>
          <cell r="R1886">
            <v>0</v>
          </cell>
          <cell r="S1886">
            <v>-173.96</v>
          </cell>
        </row>
        <row r="1887">
          <cell r="A1887" t="str">
            <v>Actual</v>
          </cell>
          <cell r="B1887">
            <v>1</v>
          </cell>
          <cell r="C1887" t="str">
            <v>Export</v>
          </cell>
          <cell r="D1887">
            <v>57</v>
          </cell>
          <cell r="E1887">
            <v>7426</v>
          </cell>
          <cell r="F1887" t="str">
            <v>SWIFT &amp; CO/COOL &amp; COSY</v>
          </cell>
          <cell r="G1887" t="str">
            <v>E</v>
          </cell>
          <cell r="H1887" t="str">
            <v>BRISBANE</v>
          </cell>
          <cell r="J1887" t="str">
            <v>AUS</v>
          </cell>
          <cell r="K1887" t="str">
            <v>SWIFT AND COMPANY LIMITED</v>
          </cell>
          <cell r="M1887" t="str">
            <v>AUS</v>
          </cell>
          <cell r="N1887" t="str">
            <v>C</v>
          </cell>
          <cell r="O1887">
            <v>23060220</v>
          </cell>
          <cell r="P1887" t="str">
            <v>DECA BORAX STD 25KG BAG</v>
          </cell>
          <cell r="Q1887" t="str">
            <v>Deca</v>
          </cell>
          <cell r="R1887">
            <v>0</v>
          </cell>
          <cell r="S1887">
            <v>-45.81</v>
          </cell>
        </row>
        <row r="1888">
          <cell r="A1888" t="str">
            <v>Actual</v>
          </cell>
          <cell r="B1888">
            <v>1</v>
          </cell>
          <cell r="C1888" t="str">
            <v>Export</v>
          </cell>
          <cell r="D1888">
            <v>57</v>
          </cell>
          <cell r="E1888">
            <v>7491</v>
          </cell>
          <cell r="F1888" t="str">
            <v>GMP PRODUCTOS QUIMICOS S.A.</v>
          </cell>
          <cell r="G1888" t="str">
            <v>E</v>
          </cell>
          <cell r="H1888" t="str">
            <v>MEDELLIN</v>
          </cell>
          <cell r="J1888" t="str">
            <v>COL</v>
          </cell>
          <cell r="K1888" t="str">
            <v>AQUITECNO LTDA</v>
          </cell>
          <cell r="M1888" t="str">
            <v>COL</v>
          </cell>
          <cell r="N1888" t="str">
            <v>C</v>
          </cell>
          <cell r="O1888">
            <v>22060428</v>
          </cell>
          <cell r="P1888" t="str">
            <v>V-BOR 25KG BAG (004), WOOD</v>
          </cell>
          <cell r="Q1888" t="str">
            <v>Penta</v>
          </cell>
          <cell r="R1888">
            <v>0</v>
          </cell>
          <cell r="S1888">
            <v>-114.7225</v>
          </cell>
        </row>
        <row r="1889">
          <cell r="A1889" t="str">
            <v>Actual</v>
          </cell>
          <cell r="B1889">
            <v>1</v>
          </cell>
          <cell r="C1889" t="str">
            <v>Export</v>
          </cell>
          <cell r="D1889">
            <v>57</v>
          </cell>
          <cell r="E1889">
            <v>7491</v>
          </cell>
          <cell r="F1889" t="str">
            <v>GMP PRODUCTOS QUIMICOS S.A.</v>
          </cell>
          <cell r="G1889" t="str">
            <v>E</v>
          </cell>
          <cell r="H1889" t="str">
            <v>MEDELLIN</v>
          </cell>
          <cell r="J1889" t="str">
            <v>COL</v>
          </cell>
          <cell r="K1889" t="str">
            <v>AQUITECNO LTDA</v>
          </cell>
          <cell r="M1889" t="str">
            <v>COL</v>
          </cell>
          <cell r="N1889" t="str">
            <v>C</v>
          </cell>
          <cell r="O1889">
            <v>23060228</v>
          </cell>
          <cell r="P1889" t="str">
            <v>DECA BORAX STD 25KG BAG, WOOD</v>
          </cell>
          <cell r="Q1889" t="str">
            <v>Deca</v>
          </cell>
          <cell r="R1889">
            <v>0</v>
          </cell>
          <cell r="S1889">
            <v>-430.27749999999997</v>
          </cell>
        </row>
        <row r="1890">
          <cell r="A1890" t="str">
            <v>Actual</v>
          </cell>
          <cell r="B1890">
            <v>1</v>
          </cell>
          <cell r="C1890" t="str">
            <v>Export</v>
          </cell>
          <cell r="D1890">
            <v>57</v>
          </cell>
          <cell r="E1890">
            <v>7670</v>
          </cell>
          <cell r="F1890" t="str">
            <v>KOPRIMO S.A. DE C.V.</v>
          </cell>
          <cell r="G1890" t="str">
            <v>E</v>
          </cell>
          <cell r="H1890" t="str">
            <v>LAREDO</v>
          </cell>
          <cell r="J1890" t="str">
            <v>MEX</v>
          </cell>
          <cell r="K1890" t="str">
            <v>KOPRIMO S.A. DE C.V.</v>
          </cell>
          <cell r="M1890" t="str">
            <v>MEX</v>
          </cell>
          <cell r="N1890" t="str">
            <v>C</v>
          </cell>
          <cell r="O1890">
            <v>22060400</v>
          </cell>
          <cell r="P1890" t="str">
            <v>V-BOR STD BULK (004)</v>
          </cell>
          <cell r="Q1890" t="str">
            <v>Penta</v>
          </cell>
          <cell r="R1890">
            <v>108.45</v>
          </cell>
          <cell r="S1890">
            <v>31468.83</v>
          </cell>
        </row>
        <row r="1891">
          <cell r="A1891" t="str">
            <v>Actual</v>
          </cell>
          <cell r="B1891">
            <v>1</v>
          </cell>
          <cell r="C1891" t="str">
            <v>Export</v>
          </cell>
          <cell r="D1891">
            <v>57</v>
          </cell>
          <cell r="E1891">
            <v>7670</v>
          </cell>
          <cell r="F1891" t="str">
            <v>KOPRIMO S.A. DE C.V.</v>
          </cell>
          <cell r="G1891" t="str">
            <v>E</v>
          </cell>
          <cell r="H1891" t="str">
            <v>LAREDO</v>
          </cell>
          <cell r="J1891" t="str">
            <v>MEX</v>
          </cell>
          <cell r="K1891" t="str">
            <v>KOPRIMO S.A. DE C.V.</v>
          </cell>
          <cell r="M1891" t="str">
            <v>MEX</v>
          </cell>
          <cell r="N1891" t="str">
            <v>C</v>
          </cell>
          <cell r="O1891">
            <v>22060428</v>
          </cell>
          <cell r="P1891" t="str">
            <v>V-BOR 25KG BAG (004), WOOD</v>
          </cell>
          <cell r="Q1891" t="str">
            <v>Penta</v>
          </cell>
          <cell r="R1891">
            <v>59.027099999999997</v>
          </cell>
          <cell r="S1891">
            <v>17220.374299999999</v>
          </cell>
        </row>
        <row r="1892">
          <cell r="A1892" t="str">
            <v>Actual</v>
          </cell>
          <cell r="B1892">
            <v>1</v>
          </cell>
          <cell r="C1892" t="str">
            <v>Export</v>
          </cell>
          <cell r="D1892">
            <v>57</v>
          </cell>
          <cell r="E1892">
            <v>7670</v>
          </cell>
          <cell r="F1892" t="str">
            <v>KOPRIMO S.A. DE C.V.</v>
          </cell>
          <cell r="G1892" t="str">
            <v>E</v>
          </cell>
          <cell r="H1892" t="str">
            <v>LAREDO</v>
          </cell>
          <cell r="J1892" t="str">
            <v>MEX</v>
          </cell>
          <cell r="K1892" t="str">
            <v>KOPRIMO S.A. DE C.V.</v>
          </cell>
          <cell r="M1892" t="str">
            <v>MEX</v>
          </cell>
          <cell r="N1892" t="str">
            <v>C</v>
          </cell>
          <cell r="O1892">
            <v>23060228</v>
          </cell>
          <cell r="P1892" t="str">
            <v>DECA BORAX STD 25KG BAG, WOOD</v>
          </cell>
          <cell r="Q1892" t="str">
            <v>Deca</v>
          </cell>
          <cell r="R1892">
            <v>60.1845</v>
          </cell>
          <cell r="S1892">
            <v>14344.4005</v>
          </cell>
        </row>
        <row r="1893">
          <cell r="A1893" t="str">
            <v>Actual</v>
          </cell>
          <cell r="B1893">
            <v>1</v>
          </cell>
          <cell r="C1893" t="str">
            <v>Export</v>
          </cell>
          <cell r="D1893">
            <v>57</v>
          </cell>
          <cell r="E1893">
            <v>7670</v>
          </cell>
          <cell r="F1893" t="str">
            <v>KOPRIMO S.A. DE C.V.</v>
          </cell>
          <cell r="G1893" t="str">
            <v>E</v>
          </cell>
          <cell r="H1893" t="str">
            <v>LAREDO</v>
          </cell>
          <cell r="J1893" t="str">
            <v>MEX</v>
          </cell>
          <cell r="K1893" t="str">
            <v>KOPRIMO S.A. DE C.V.</v>
          </cell>
          <cell r="M1893" t="str">
            <v>MEX</v>
          </cell>
          <cell r="N1893" t="str">
            <v>C</v>
          </cell>
          <cell r="O1893">
            <v>24030223</v>
          </cell>
          <cell r="P1893" t="str">
            <v>BORIC ACID PWD 50LB BAG (INTL)</v>
          </cell>
          <cell r="Q1893" t="str">
            <v>Boric Acid</v>
          </cell>
          <cell r="R1893">
            <v>21</v>
          </cell>
          <cell r="S1893">
            <v>11279.858</v>
          </cell>
        </row>
        <row r="1894">
          <cell r="A1894" t="str">
            <v>Actual</v>
          </cell>
          <cell r="B1894">
            <v>1</v>
          </cell>
          <cell r="C1894" t="str">
            <v>Export</v>
          </cell>
          <cell r="D1894">
            <v>57</v>
          </cell>
          <cell r="E1894">
            <v>7670</v>
          </cell>
          <cell r="F1894" t="str">
            <v>KOPRIMO S.A. DE C.V.</v>
          </cell>
          <cell r="G1894" t="str">
            <v>E</v>
          </cell>
          <cell r="H1894" t="str">
            <v>LAREDO</v>
          </cell>
          <cell r="J1894" t="str">
            <v>MEX</v>
          </cell>
          <cell r="K1894" t="str">
            <v>KOPRIMO S.A. DE C.V.</v>
          </cell>
          <cell r="M1894" t="str">
            <v>MEX</v>
          </cell>
          <cell r="N1894" t="str">
            <v>C</v>
          </cell>
          <cell r="O1894">
            <v>24090228</v>
          </cell>
          <cell r="P1894" t="str">
            <v>BORIC ACID GRAN 25KG BAG, WOOD</v>
          </cell>
          <cell r="Q1894" t="str">
            <v>Boric Acid</v>
          </cell>
          <cell r="R1894">
            <v>10.416499999999999</v>
          </cell>
          <cell r="S1894">
            <v>4776.4443000000001</v>
          </cell>
        </row>
        <row r="1895">
          <cell r="A1895" t="str">
            <v>Actual</v>
          </cell>
          <cell r="B1895">
            <v>1</v>
          </cell>
          <cell r="C1895" t="str">
            <v>Export</v>
          </cell>
          <cell r="D1895">
            <v>57</v>
          </cell>
          <cell r="E1895">
            <v>7670</v>
          </cell>
          <cell r="F1895" t="str">
            <v>KOPRIMO S.A. DE C.V.</v>
          </cell>
          <cell r="G1895" t="str">
            <v>E</v>
          </cell>
          <cell r="H1895" t="str">
            <v>LAREDO</v>
          </cell>
          <cell r="J1895" t="str">
            <v>MEX</v>
          </cell>
          <cell r="K1895" t="str">
            <v>KOPRIMO S.A. DE C.V.</v>
          </cell>
          <cell r="M1895" t="str">
            <v>MEX</v>
          </cell>
          <cell r="N1895" t="str">
            <v>C</v>
          </cell>
          <cell r="O1895">
            <v>40060400</v>
          </cell>
          <cell r="P1895" t="str">
            <v>SODIUM SULFATE STANDARD BULK</v>
          </cell>
          <cell r="Q1895" t="str">
            <v>Sodium Sulfate</v>
          </cell>
          <cell r="R1895">
            <v>321.125</v>
          </cell>
          <cell r="S1895">
            <v>14692.51</v>
          </cell>
        </row>
        <row r="1896">
          <cell r="A1896" t="str">
            <v>Actual</v>
          </cell>
          <cell r="B1896">
            <v>1</v>
          </cell>
          <cell r="C1896" t="str">
            <v>Export</v>
          </cell>
          <cell r="D1896">
            <v>57</v>
          </cell>
          <cell r="E1896">
            <v>7972</v>
          </cell>
          <cell r="F1896" t="str">
            <v>FERRO MEXICANA</v>
          </cell>
          <cell r="G1896" t="str">
            <v>E</v>
          </cell>
          <cell r="H1896" t="str">
            <v>LAREDO</v>
          </cell>
          <cell r="J1896" t="str">
            <v>MEX</v>
          </cell>
          <cell r="K1896" t="str">
            <v>FERRO MEXICANA</v>
          </cell>
          <cell r="M1896" t="str">
            <v>MEX</v>
          </cell>
          <cell r="N1896" t="str">
            <v>C</v>
          </cell>
          <cell r="O1896">
            <v>22060400</v>
          </cell>
          <cell r="P1896" t="str">
            <v>V-BOR STD BULK (004)</v>
          </cell>
          <cell r="Q1896" t="str">
            <v>Penta</v>
          </cell>
          <cell r="R1896">
            <v>216.1</v>
          </cell>
          <cell r="S1896">
            <v>46041.68</v>
          </cell>
        </row>
        <row r="1897">
          <cell r="A1897" t="str">
            <v>Actual</v>
          </cell>
          <cell r="B1897">
            <v>1</v>
          </cell>
          <cell r="C1897" t="str">
            <v>Export</v>
          </cell>
          <cell r="D1897">
            <v>57</v>
          </cell>
          <cell r="E1897">
            <v>8164</v>
          </cell>
          <cell r="F1897" t="str">
            <v>S. &amp; A. ABAHSAIN CO., LTD.</v>
          </cell>
          <cell r="G1897" t="str">
            <v>E</v>
          </cell>
          <cell r="H1897" t="str">
            <v>JEDDAH 31952</v>
          </cell>
          <cell r="J1897" t="str">
            <v>SAU</v>
          </cell>
          <cell r="K1897" t="str">
            <v>S. &amp; A. ABAHSAIN CO., LTD.</v>
          </cell>
          <cell r="M1897" t="str">
            <v>SAU</v>
          </cell>
          <cell r="N1897" t="str">
            <v>D</v>
          </cell>
          <cell r="O1897">
            <v>22060428</v>
          </cell>
          <cell r="P1897" t="str">
            <v>V-BOR 25KG BAG (004), WOOD</v>
          </cell>
          <cell r="Q1897" t="str">
            <v>Penta</v>
          </cell>
          <cell r="R1897">
            <v>21.990500000000001</v>
          </cell>
          <cell r="S1897">
            <v>6546.5</v>
          </cell>
        </row>
        <row r="1898">
          <cell r="A1898" t="str">
            <v>Actual</v>
          </cell>
          <cell r="B1898">
            <v>1</v>
          </cell>
          <cell r="C1898" t="str">
            <v>Export</v>
          </cell>
          <cell r="D1898">
            <v>57</v>
          </cell>
          <cell r="E1898">
            <v>8580</v>
          </cell>
          <cell r="F1898" t="str">
            <v>FEVISA INDUSTRIAL S.A. DE C.V.</v>
          </cell>
          <cell r="G1898" t="str">
            <v>E</v>
          </cell>
          <cell r="H1898" t="str">
            <v>CALEXICO</v>
          </cell>
          <cell r="J1898" t="str">
            <v>MEX</v>
          </cell>
          <cell r="K1898" t="str">
            <v>FEVISA INDUSTRIAL S.A. DE C.V.</v>
          </cell>
          <cell r="M1898" t="str">
            <v>MEX</v>
          </cell>
          <cell r="N1898" t="str">
            <v>C</v>
          </cell>
          <cell r="O1898">
            <v>40060400</v>
          </cell>
          <cell r="P1898" t="str">
            <v>SODIUM SULFATE STANDARD BULK</v>
          </cell>
          <cell r="Q1898" t="str">
            <v>Sodium Sulfate</v>
          </cell>
          <cell r="R1898">
            <v>23.46</v>
          </cell>
          <cell r="S1898">
            <v>3107.32</v>
          </cell>
        </row>
        <row r="1899">
          <cell r="A1899" t="str">
            <v>Actual</v>
          </cell>
          <cell r="B1899">
            <v>1</v>
          </cell>
          <cell r="C1899" t="str">
            <v>Export</v>
          </cell>
          <cell r="D1899">
            <v>57</v>
          </cell>
          <cell r="E1899">
            <v>8668</v>
          </cell>
          <cell r="F1899" t="str">
            <v>VETROTEX AMERICA, S.A</v>
          </cell>
          <cell r="G1899" t="str">
            <v>E</v>
          </cell>
          <cell r="H1899" t="str">
            <v>LAREDO</v>
          </cell>
          <cell r="J1899" t="str">
            <v>MEX</v>
          </cell>
          <cell r="K1899" t="str">
            <v>KOPRIMO S.A. DE C.V.</v>
          </cell>
          <cell r="M1899" t="str">
            <v>MEX</v>
          </cell>
          <cell r="N1899" t="str">
            <v>C</v>
          </cell>
          <cell r="O1899">
            <v>22060455</v>
          </cell>
          <cell r="P1899" t="str">
            <v>V-BOR 1 MT FIBC (004)</v>
          </cell>
          <cell r="Q1899" t="str">
            <v>Penta</v>
          </cell>
          <cell r="R1899">
            <v>44.091999999999999</v>
          </cell>
          <cell r="S1899">
            <v>12000</v>
          </cell>
        </row>
        <row r="1900">
          <cell r="A1900" t="str">
            <v>Actual</v>
          </cell>
          <cell r="B1900">
            <v>1</v>
          </cell>
          <cell r="C1900" t="str">
            <v>Export</v>
          </cell>
          <cell r="D1900">
            <v>57</v>
          </cell>
          <cell r="E1900">
            <v>8930</v>
          </cell>
          <cell r="F1900" t="str">
            <v>ANDESIA QUIMICOS INDUSTRIALES</v>
          </cell>
          <cell r="G1900" t="str">
            <v>E</v>
          </cell>
          <cell r="H1900" t="str">
            <v>BOGOTA</v>
          </cell>
          <cell r="J1900" t="str">
            <v>COL</v>
          </cell>
          <cell r="K1900" t="str">
            <v>AQUITECNO LTDA.</v>
          </cell>
          <cell r="M1900" t="str">
            <v>COL</v>
          </cell>
          <cell r="N1900" t="str">
            <v>C</v>
          </cell>
          <cell r="O1900">
            <v>22060428</v>
          </cell>
          <cell r="P1900" t="str">
            <v>V-BOR 25KG BAG (004), WOOD</v>
          </cell>
          <cell r="Q1900" t="str">
            <v>Penta</v>
          </cell>
          <cell r="R1900">
            <v>15.046099999999999</v>
          </cell>
          <cell r="S1900">
            <v>4313.9650000000001</v>
          </cell>
        </row>
        <row r="1901">
          <cell r="A1901" t="str">
            <v>Actual</v>
          </cell>
          <cell r="B1901">
            <v>1</v>
          </cell>
          <cell r="C1901" t="str">
            <v>Export</v>
          </cell>
          <cell r="D1901">
            <v>57</v>
          </cell>
          <cell r="E1901">
            <v>8930</v>
          </cell>
          <cell r="F1901" t="str">
            <v>ANDESIA QUIMICOS INDUSTRIALES</v>
          </cell>
          <cell r="G1901" t="str">
            <v>E</v>
          </cell>
          <cell r="H1901" t="str">
            <v>BOGOTA</v>
          </cell>
          <cell r="J1901" t="str">
            <v>COL</v>
          </cell>
          <cell r="K1901" t="str">
            <v>AQUITECNO LTDA.</v>
          </cell>
          <cell r="M1901" t="str">
            <v>COL</v>
          </cell>
          <cell r="N1901" t="str">
            <v>C</v>
          </cell>
          <cell r="O1901">
            <v>23060228</v>
          </cell>
          <cell r="P1901" t="str">
            <v>DECA BORAX STD 25KG BAG, WOOD</v>
          </cell>
          <cell r="Q1901" t="str">
            <v>Deca</v>
          </cell>
          <cell r="R1901">
            <v>6.9443999999999999</v>
          </cell>
          <cell r="S1901">
            <v>1802.0350000000001</v>
          </cell>
        </row>
        <row r="1902">
          <cell r="A1902" t="str">
            <v>Actual</v>
          </cell>
          <cell r="B1902">
            <v>1</v>
          </cell>
          <cell r="C1902" t="str">
            <v>Export</v>
          </cell>
          <cell r="D1902">
            <v>57</v>
          </cell>
          <cell r="E1902">
            <v>8965</v>
          </cell>
          <cell r="F1902" t="str">
            <v>JORGAL LTDA</v>
          </cell>
          <cell r="G1902" t="str">
            <v>E</v>
          </cell>
          <cell r="H1902" t="str">
            <v>MEDELLIN</v>
          </cell>
          <cell r="J1902" t="str">
            <v>COL</v>
          </cell>
          <cell r="K1902" t="str">
            <v>AQUITECNO LTDA</v>
          </cell>
          <cell r="M1902" t="str">
            <v>COL</v>
          </cell>
          <cell r="N1902" t="str">
            <v>C</v>
          </cell>
          <cell r="O1902">
            <v>22060428</v>
          </cell>
          <cell r="P1902" t="str">
            <v>V-BOR 25KG BAG (004), WOOD</v>
          </cell>
          <cell r="Q1902" t="str">
            <v>Penta</v>
          </cell>
          <cell r="R1902">
            <v>10.416499999999999</v>
          </cell>
          <cell r="S1902">
            <v>2986.5524999999998</v>
          </cell>
        </row>
        <row r="1903">
          <cell r="A1903" t="str">
            <v>Actual</v>
          </cell>
          <cell r="B1903">
            <v>1</v>
          </cell>
          <cell r="C1903" t="str">
            <v>Export</v>
          </cell>
          <cell r="D1903">
            <v>57</v>
          </cell>
          <cell r="E1903">
            <v>8965</v>
          </cell>
          <cell r="F1903" t="str">
            <v>JORGAL LTDA</v>
          </cell>
          <cell r="G1903" t="str">
            <v>E</v>
          </cell>
          <cell r="H1903" t="str">
            <v>MEDELLIN</v>
          </cell>
          <cell r="J1903" t="str">
            <v>COL</v>
          </cell>
          <cell r="K1903" t="str">
            <v>AQUITECNO LTDA</v>
          </cell>
          <cell r="M1903" t="str">
            <v>COL</v>
          </cell>
          <cell r="N1903" t="str">
            <v>C</v>
          </cell>
          <cell r="O1903">
            <v>23060228</v>
          </cell>
          <cell r="P1903" t="str">
            <v>DECA BORAX STD 25KG BAG, WOOD</v>
          </cell>
          <cell r="Q1903" t="str">
            <v>Deca</v>
          </cell>
          <cell r="R1903">
            <v>11.5739</v>
          </cell>
          <cell r="S1903">
            <v>3003.4475000000002</v>
          </cell>
        </row>
        <row r="1904">
          <cell r="A1904" t="str">
            <v>Actual</v>
          </cell>
          <cell r="B1904">
            <v>1</v>
          </cell>
          <cell r="C1904" t="str">
            <v>Export</v>
          </cell>
          <cell r="D1904">
            <v>57</v>
          </cell>
          <cell r="E1904">
            <v>9036</v>
          </cell>
          <cell r="F1904" t="str">
            <v>AMSERVE CHEMICALS PTY LTD</v>
          </cell>
          <cell r="G1904" t="str">
            <v>E</v>
          </cell>
          <cell r="H1904" t="str">
            <v>GAUTENG</v>
          </cell>
          <cell r="J1904" t="str">
            <v>SAE</v>
          </cell>
          <cell r="K1904" t="str">
            <v>AMSERVE CHEMICALS PTY LTD</v>
          </cell>
          <cell r="M1904" t="str">
            <v>SAE</v>
          </cell>
          <cell r="N1904" t="str">
            <v>C</v>
          </cell>
          <cell r="O1904">
            <v>21310228</v>
          </cell>
          <cell r="P1904" t="str">
            <v>BORAX GLASS 25KG BAG, WOOD</v>
          </cell>
          <cell r="Q1904" t="str">
            <v>Pyrobor</v>
          </cell>
          <cell r="R1904">
            <v>0</v>
          </cell>
          <cell r="S1904">
            <v>9</v>
          </cell>
        </row>
        <row r="1905">
          <cell r="A1905" t="str">
            <v>Actual</v>
          </cell>
          <cell r="B1905">
            <v>1</v>
          </cell>
          <cell r="C1905" t="str">
            <v>Export</v>
          </cell>
          <cell r="D1905">
            <v>57</v>
          </cell>
          <cell r="E1905">
            <v>9203</v>
          </cell>
          <cell r="F1905" t="str">
            <v>LANG/WASHINGTON FORWARDING</v>
          </cell>
          <cell r="G1905" t="str">
            <v>E</v>
          </cell>
          <cell r="H1905" t="str">
            <v>LAREDO</v>
          </cell>
          <cell r="J1905" t="str">
            <v>MEX</v>
          </cell>
          <cell r="K1905" t="str">
            <v>NUEVA GENERACION MANUFACTURAS</v>
          </cell>
          <cell r="M1905" t="str">
            <v>MEX</v>
          </cell>
          <cell r="N1905" t="str">
            <v>C</v>
          </cell>
          <cell r="O1905">
            <v>28069792</v>
          </cell>
          <cell r="P1905" t="str">
            <v>AMMONIUM PENTABORATE 150KG DRM</v>
          </cell>
          <cell r="Q1905" t="str">
            <v>Boric Salt (SCL)</v>
          </cell>
          <cell r="R1905">
            <v>3.3069000000000002</v>
          </cell>
          <cell r="S1905">
            <v>7206.79</v>
          </cell>
        </row>
        <row r="1906">
          <cell r="A1906" t="str">
            <v>Actual</v>
          </cell>
          <cell r="B1906">
            <v>1</v>
          </cell>
          <cell r="C1906" t="str">
            <v>Export</v>
          </cell>
          <cell r="D1906">
            <v>57</v>
          </cell>
          <cell r="E1906">
            <v>9275</v>
          </cell>
          <cell r="F1906" t="str">
            <v>SWIFT/FERRO MELBOURNE</v>
          </cell>
          <cell r="G1906" t="str">
            <v>E</v>
          </cell>
          <cell r="H1906" t="str">
            <v>MELBOURNE</v>
          </cell>
          <cell r="J1906" t="str">
            <v>AUS</v>
          </cell>
          <cell r="K1906" t="str">
            <v>SWIFT AND COMPANY LIMITED</v>
          </cell>
          <cell r="M1906" t="str">
            <v>AUS</v>
          </cell>
          <cell r="N1906" t="str">
            <v>C</v>
          </cell>
          <cell r="O1906">
            <v>20060255</v>
          </cell>
          <cell r="P1906" t="str">
            <v>PYROBOR 1 MT FIBC (002)</v>
          </cell>
          <cell r="Q1906" t="str">
            <v>Pyrobor</v>
          </cell>
          <cell r="R1906">
            <v>44.091999999999999</v>
          </cell>
          <cell r="S1906">
            <v>19045</v>
          </cell>
        </row>
        <row r="1907">
          <cell r="A1907" t="str">
            <v>Actual</v>
          </cell>
          <cell r="B1907">
            <v>1</v>
          </cell>
          <cell r="C1907" t="str">
            <v>Export</v>
          </cell>
          <cell r="D1907">
            <v>57</v>
          </cell>
          <cell r="E1907">
            <v>9446</v>
          </cell>
          <cell r="F1907" t="str">
            <v>PROTEA CHEMICALS (INLAND)</v>
          </cell>
          <cell r="G1907" t="str">
            <v>E</v>
          </cell>
          <cell r="H1907" t="str">
            <v>GAUTENG, RSA</v>
          </cell>
          <cell r="J1907" t="str">
            <v>SAE</v>
          </cell>
          <cell r="K1907" t="str">
            <v>AMSERV CHEMICALS PTY LTD</v>
          </cell>
          <cell r="M1907" t="str">
            <v>SAE</v>
          </cell>
          <cell r="N1907" t="str">
            <v>C</v>
          </cell>
          <cell r="O1907">
            <v>20060220</v>
          </cell>
          <cell r="P1907" t="str">
            <v>PYROBOR 25KG BAG (002)</v>
          </cell>
          <cell r="Q1907" t="str">
            <v>Pyrobor</v>
          </cell>
          <cell r="R1907">
            <v>42.327599999999997</v>
          </cell>
          <cell r="S1907">
            <v>23571.34</v>
          </cell>
        </row>
        <row r="1908">
          <cell r="A1908" t="str">
            <v>Actual</v>
          </cell>
          <cell r="B1908">
            <v>1</v>
          </cell>
          <cell r="C1908" t="str">
            <v>Export</v>
          </cell>
          <cell r="D1908">
            <v>57</v>
          </cell>
          <cell r="E1908">
            <v>9516</v>
          </cell>
          <cell r="F1908" t="str">
            <v>SWIFT AND CO./COOL &amp; COSY</v>
          </cell>
          <cell r="G1908" t="str">
            <v>E</v>
          </cell>
          <cell r="H1908" t="str">
            <v>ADELAIDE</v>
          </cell>
          <cell r="J1908" t="str">
            <v>AUS</v>
          </cell>
          <cell r="K1908" t="str">
            <v>SWIFT AND COMPANY LIMITED</v>
          </cell>
          <cell r="M1908" t="str">
            <v>AUS</v>
          </cell>
          <cell r="N1908" t="str">
            <v>C</v>
          </cell>
          <cell r="O1908">
            <v>23060220</v>
          </cell>
          <cell r="P1908" t="str">
            <v>DECA BORAX STD 25KG BAG</v>
          </cell>
          <cell r="Q1908" t="str">
            <v>Deca</v>
          </cell>
          <cell r="R1908">
            <v>11.5739</v>
          </cell>
          <cell r="S1908">
            <v>2327.4805000000001</v>
          </cell>
        </row>
        <row r="1909">
          <cell r="A1909" t="str">
            <v>Actual</v>
          </cell>
          <cell r="B1909">
            <v>1</v>
          </cell>
          <cell r="C1909" t="str">
            <v>Export</v>
          </cell>
          <cell r="D1909">
            <v>57</v>
          </cell>
          <cell r="E1909">
            <v>9516</v>
          </cell>
          <cell r="F1909" t="str">
            <v>SWIFT AND CO./COOL &amp; COSY</v>
          </cell>
          <cell r="G1909" t="str">
            <v>E</v>
          </cell>
          <cell r="H1909" t="str">
            <v>ADELAIDE</v>
          </cell>
          <cell r="J1909" t="str">
            <v>AUS</v>
          </cell>
          <cell r="K1909" t="str">
            <v>SWIFT AND COMPANY LIMITED</v>
          </cell>
          <cell r="M1909" t="str">
            <v>AUS</v>
          </cell>
          <cell r="N1909" t="str">
            <v>C</v>
          </cell>
          <cell r="O1909">
            <v>24230220</v>
          </cell>
          <cell r="P1909" t="str">
            <v>BORIC ACID GRAN TECH 25KG BAG</v>
          </cell>
          <cell r="Q1909" t="str">
            <v>Boric Acid</v>
          </cell>
          <cell r="R1909">
            <v>10.416499999999999</v>
          </cell>
          <cell r="S1909">
            <v>3635.0194000000001</v>
          </cell>
        </row>
        <row r="1910">
          <cell r="A1910" t="str">
            <v>Actual</v>
          </cell>
          <cell r="B1910">
            <v>1</v>
          </cell>
          <cell r="C1910" t="str">
            <v>Export</v>
          </cell>
          <cell r="D1910">
            <v>57</v>
          </cell>
          <cell r="E1910">
            <v>9530</v>
          </cell>
          <cell r="F1910" t="str">
            <v>UNILEVER BRASIL LTDA.</v>
          </cell>
          <cell r="G1910" t="str">
            <v>E</v>
          </cell>
          <cell r="H1910" t="str">
            <v>INDAIATUBA - SP</v>
          </cell>
          <cell r="J1910" t="str">
            <v>BRZ</v>
          </cell>
          <cell r="K1910" t="str">
            <v>UNILEVER BRASIL LTDA.</v>
          </cell>
          <cell r="M1910" t="str">
            <v>BRZ</v>
          </cell>
          <cell r="N1910" t="str">
            <v>C</v>
          </cell>
          <cell r="O1910">
            <v>30210100</v>
          </cell>
          <cell r="P1910" t="str">
            <v>SODA ASH DENSE BULK</v>
          </cell>
          <cell r="Q1910" t="str">
            <v>Soda Ash</v>
          </cell>
          <cell r="R1910">
            <v>6613.8</v>
          </cell>
          <cell r="S1910">
            <v>436213.32</v>
          </cell>
        </row>
        <row r="1911">
          <cell r="A1911" t="str">
            <v>Actual</v>
          </cell>
          <cell r="B1911">
            <v>1</v>
          </cell>
          <cell r="C1911" t="str">
            <v>Export</v>
          </cell>
          <cell r="D1911">
            <v>57</v>
          </cell>
          <cell r="E1911">
            <v>9537</v>
          </cell>
          <cell r="F1911" t="str">
            <v>INACTIVE-KOPRIMO S.A. DE C.V.</v>
          </cell>
          <cell r="G1911" t="str">
            <v>E</v>
          </cell>
          <cell r="H1911" t="str">
            <v>LAREDO</v>
          </cell>
          <cell r="J1911" t="str">
            <v>MEX</v>
          </cell>
          <cell r="K1911" t="str">
            <v>INACTIVE-KOPRIMO S.A. DE C.V.</v>
          </cell>
          <cell r="M1911" t="str">
            <v>USA</v>
          </cell>
          <cell r="N1911" t="str">
            <v>C</v>
          </cell>
          <cell r="O1911">
            <v>40070400</v>
          </cell>
          <cell r="P1911" t="str">
            <v>SODIUM SULFATE MEDIUM BULK</v>
          </cell>
          <cell r="Q1911" t="str">
            <v>Sodium Sulfate</v>
          </cell>
          <cell r="R1911">
            <v>-107.45</v>
          </cell>
          <cell r="S1911">
            <v>-2479.2600000000002</v>
          </cell>
        </row>
        <row r="1912">
          <cell r="A1912" t="str">
            <v>Actual</v>
          </cell>
          <cell r="B1912">
            <v>1</v>
          </cell>
          <cell r="C1912" t="str">
            <v>Export</v>
          </cell>
          <cell r="D1912">
            <v>57</v>
          </cell>
          <cell r="E1912">
            <v>9546</v>
          </cell>
          <cell r="F1912" t="str">
            <v>QUIREY DO BRASIL INDUSTRIA E</v>
          </cell>
          <cell r="G1912" t="str">
            <v>E</v>
          </cell>
          <cell r="H1912" t="str">
            <v>SAO PAULO, SP</v>
          </cell>
          <cell r="J1912" t="str">
            <v>BRZ</v>
          </cell>
          <cell r="K1912" t="str">
            <v>QUIMICA DEL REY, S.A. de C.V.</v>
          </cell>
          <cell r="M1912" t="str">
            <v>MEX</v>
          </cell>
          <cell r="N1912" t="str">
            <v>C</v>
          </cell>
          <cell r="O1912">
            <v>40060400</v>
          </cell>
          <cell r="P1912" t="str">
            <v>SODIUM SULFATE STANDARD BULK</v>
          </cell>
          <cell r="Q1912" t="str">
            <v>Sodium Sulfate</v>
          </cell>
          <cell r="R1912">
            <v>16632.6047</v>
          </cell>
          <cell r="S1912">
            <v>529822.71999999997</v>
          </cell>
        </row>
        <row r="1913">
          <cell r="A1913" t="str">
            <v>Actual</v>
          </cell>
          <cell r="B1913">
            <v>1</v>
          </cell>
          <cell r="C1913" t="str">
            <v>Export</v>
          </cell>
          <cell r="D1913">
            <v>57</v>
          </cell>
          <cell r="E1913">
            <v>9547</v>
          </cell>
          <cell r="F1913" t="str">
            <v>TEORQUIMICA-COMERCIO E</v>
          </cell>
          <cell r="G1913" t="str">
            <v>E</v>
          </cell>
          <cell r="H1913" t="str">
            <v>SAO PAULO</v>
          </cell>
          <cell r="J1913" t="str">
            <v>BRZ</v>
          </cell>
          <cell r="K1913" t="str">
            <v>TEORQUIMICA-COMERCIO E</v>
          </cell>
          <cell r="M1913" t="str">
            <v>BRZ</v>
          </cell>
          <cell r="N1913" t="str">
            <v>C</v>
          </cell>
          <cell r="O1913">
            <v>30210100</v>
          </cell>
          <cell r="P1913" t="str">
            <v>SODA ASH DENSE BULK</v>
          </cell>
          <cell r="Q1913" t="str">
            <v>Soda Ash</v>
          </cell>
          <cell r="R1913">
            <v>-22174.969099999998</v>
          </cell>
          <cell r="S1913">
            <v>-1634307.36</v>
          </cell>
        </row>
        <row r="1914">
          <cell r="A1914" t="str">
            <v>Actual</v>
          </cell>
          <cell r="B1914">
            <v>1</v>
          </cell>
          <cell r="C1914" t="str">
            <v>Export</v>
          </cell>
          <cell r="D1914">
            <v>57</v>
          </cell>
          <cell r="E1914">
            <v>9551</v>
          </cell>
          <cell r="F1914" t="str">
            <v>GLASSVEN</v>
          </cell>
          <cell r="G1914" t="str">
            <v>E</v>
          </cell>
          <cell r="H1914" t="str">
            <v>BARQUISIMETO EDO. LARA</v>
          </cell>
          <cell r="J1914" t="str">
            <v>VEN</v>
          </cell>
          <cell r="K1914" t="str">
            <v>GLASSVEN</v>
          </cell>
          <cell r="M1914" t="str">
            <v>VEN</v>
          </cell>
          <cell r="N1914" t="str">
            <v>C</v>
          </cell>
          <cell r="O1914">
            <v>30210100</v>
          </cell>
          <cell r="P1914" t="str">
            <v>SODA ASH DENSE BULK</v>
          </cell>
          <cell r="Q1914" t="str">
            <v>Soda Ash</v>
          </cell>
          <cell r="R1914">
            <v>0</v>
          </cell>
          <cell r="S1914">
            <v>-2050.63</v>
          </cell>
        </row>
        <row r="1915">
          <cell r="A1915" t="str">
            <v>Actual</v>
          </cell>
          <cell r="B1915">
            <v>1</v>
          </cell>
          <cell r="C1915" t="str">
            <v>Export</v>
          </cell>
          <cell r="D1915">
            <v>57</v>
          </cell>
          <cell r="E1915">
            <v>9552</v>
          </cell>
          <cell r="F1915" t="str">
            <v>SODA QUIMICA, SQ, C.A.</v>
          </cell>
          <cell r="G1915" t="str">
            <v>E</v>
          </cell>
          <cell r="H1915" t="str">
            <v>MARACAY / EDO. ARAGUA</v>
          </cell>
          <cell r="J1915" t="str">
            <v>VEN</v>
          </cell>
          <cell r="K1915" t="str">
            <v>SODA QUIMICA, SQ, C.A.</v>
          </cell>
          <cell r="M1915" t="str">
            <v>VEN</v>
          </cell>
          <cell r="N1915" t="str">
            <v>C</v>
          </cell>
          <cell r="O1915">
            <v>30210100</v>
          </cell>
          <cell r="P1915" t="str">
            <v>SODA ASH DENSE BULK</v>
          </cell>
          <cell r="Q1915" t="str">
            <v>Soda Ash</v>
          </cell>
          <cell r="R1915">
            <v>0</v>
          </cell>
          <cell r="S1915">
            <v>-2050.63</v>
          </cell>
        </row>
        <row r="1916">
          <cell r="A1916" t="str">
            <v>Actual</v>
          </cell>
          <cell r="B1916">
            <v>1</v>
          </cell>
          <cell r="C1916" t="str">
            <v>Export</v>
          </cell>
          <cell r="D1916">
            <v>57</v>
          </cell>
          <cell r="E1916">
            <v>9553</v>
          </cell>
          <cell r="F1916" t="str">
            <v>CORPORACION PETROKEMIA CA.</v>
          </cell>
          <cell r="G1916" t="str">
            <v>E</v>
          </cell>
          <cell r="H1916" t="str">
            <v>CARACAS</v>
          </cell>
          <cell r="J1916" t="str">
            <v>VEN</v>
          </cell>
          <cell r="K1916" t="str">
            <v>CORPORACION PETROKEMIA CA.</v>
          </cell>
          <cell r="M1916" t="str">
            <v>VEN</v>
          </cell>
          <cell r="N1916" t="str">
            <v>C</v>
          </cell>
          <cell r="O1916">
            <v>30210100</v>
          </cell>
          <cell r="P1916" t="str">
            <v>SODA ASH DENSE BULK</v>
          </cell>
          <cell r="Q1916" t="str">
            <v>Soda Ash</v>
          </cell>
          <cell r="R1916">
            <v>0</v>
          </cell>
          <cell r="S1916">
            <v>-4101.2299999999996</v>
          </cell>
        </row>
        <row r="1917">
          <cell r="A1917" t="str">
            <v>Actual</v>
          </cell>
          <cell r="B1917">
            <v>1</v>
          </cell>
          <cell r="C1917" t="str">
            <v>Export</v>
          </cell>
          <cell r="D1917">
            <v>57</v>
          </cell>
          <cell r="E1917">
            <v>9559</v>
          </cell>
          <cell r="F1917" t="str">
            <v>KOPRIMO S.A. DE C.V.</v>
          </cell>
          <cell r="G1917" t="str">
            <v>E</v>
          </cell>
          <cell r="H1917" t="str">
            <v>MEXICO, D.F. C.P.</v>
          </cell>
          <cell r="J1917" t="str">
            <v>MEX</v>
          </cell>
          <cell r="K1917" t="str">
            <v>KOPRIMO S.A. DE C.V.</v>
          </cell>
          <cell r="M1917" t="str">
            <v>MEX</v>
          </cell>
          <cell r="N1917" t="str">
            <v>C</v>
          </cell>
          <cell r="O1917">
            <v>30210100</v>
          </cell>
          <cell r="P1917" t="str">
            <v>SODA ASH DENSE BULK</v>
          </cell>
          <cell r="Q1917" t="str">
            <v>Soda Ash</v>
          </cell>
          <cell r="R1917">
            <v>110.27500000000001</v>
          </cell>
          <cell r="S1917">
            <v>11235.46</v>
          </cell>
        </row>
        <row r="1918">
          <cell r="A1918" t="str">
            <v>Actual</v>
          </cell>
          <cell r="B1918">
            <v>1</v>
          </cell>
          <cell r="C1918" t="str">
            <v>Export</v>
          </cell>
          <cell r="D1918">
            <v>57</v>
          </cell>
          <cell r="E1918">
            <v>9562</v>
          </cell>
          <cell r="F1918" t="str">
            <v>INACTIVE-HENKEL MEXICANA</v>
          </cell>
          <cell r="G1918" t="str">
            <v>E</v>
          </cell>
          <cell r="H1918" t="str">
            <v>TOLUCA</v>
          </cell>
          <cell r="J1918" t="str">
            <v>MEX</v>
          </cell>
          <cell r="K1918" t="str">
            <v>KOPRIMO S.A. DE C.V.</v>
          </cell>
          <cell r="M1918" t="str">
            <v>MEX</v>
          </cell>
          <cell r="O1918">
            <v>30210100</v>
          </cell>
          <cell r="P1918" t="str">
            <v>SODA ASH DENSE BULK</v>
          </cell>
          <cell r="Q1918" t="str">
            <v>Soda Ash</v>
          </cell>
          <cell r="R1918">
            <v>0</v>
          </cell>
          <cell r="S1918">
            <v>0</v>
          </cell>
        </row>
        <row r="1919">
          <cell r="A1919" t="str">
            <v>Actual</v>
          </cell>
          <cell r="B1919">
            <v>1</v>
          </cell>
          <cell r="C1919" t="str">
            <v>Export</v>
          </cell>
          <cell r="D1919">
            <v>57</v>
          </cell>
          <cell r="E1919">
            <v>9563</v>
          </cell>
          <cell r="F1919" t="str">
            <v>CRISTALERIA PELDAR</v>
          </cell>
          <cell r="G1919" t="str">
            <v>E</v>
          </cell>
          <cell r="H1919" t="str">
            <v>ENVIGADO ANTIOQUIA</v>
          </cell>
          <cell r="J1919" t="str">
            <v>COL</v>
          </cell>
          <cell r="K1919" t="str">
            <v>CRISTALERIA PELDAR</v>
          </cell>
          <cell r="M1919" t="str">
            <v>COL</v>
          </cell>
          <cell r="N1919" t="str">
            <v>C</v>
          </cell>
          <cell r="O1919">
            <v>30210100</v>
          </cell>
          <cell r="P1919" t="str">
            <v>SODA ASH DENSE BULK</v>
          </cell>
          <cell r="Q1919" t="str">
            <v>Soda Ash</v>
          </cell>
          <cell r="R1919">
            <v>9369.5499999999993</v>
          </cell>
          <cell r="S1919">
            <v>798067.19</v>
          </cell>
        </row>
        <row r="1920">
          <cell r="A1920" t="str">
            <v>Actual</v>
          </cell>
          <cell r="B1920">
            <v>1</v>
          </cell>
          <cell r="C1920" t="str">
            <v>Export</v>
          </cell>
          <cell r="D1920">
            <v>57</v>
          </cell>
          <cell r="E1920">
            <v>9564</v>
          </cell>
          <cell r="F1920" t="str">
            <v>CRISTAR S.A</v>
          </cell>
          <cell r="G1920" t="str">
            <v>E</v>
          </cell>
          <cell r="H1920" t="str">
            <v>ENVIGADO ANTIOQUIA</v>
          </cell>
          <cell r="J1920" t="str">
            <v>COL</v>
          </cell>
          <cell r="K1920" t="str">
            <v>CRISTAR S.A</v>
          </cell>
          <cell r="M1920" t="str">
            <v>COL</v>
          </cell>
          <cell r="N1920" t="str">
            <v>C</v>
          </cell>
          <cell r="O1920">
            <v>30210100</v>
          </cell>
          <cell r="P1920" t="str">
            <v>SODA ASH DENSE BULK</v>
          </cell>
          <cell r="Q1920" t="str">
            <v>Soda Ash</v>
          </cell>
          <cell r="R1920">
            <v>826.72500000000002</v>
          </cell>
          <cell r="S1920">
            <v>70072.89</v>
          </cell>
        </row>
        <row r="1921">
          <cell r="A1921" t="str">
            <v>Actual</v>
          </cell>
          <cell r="B1921">
            <v>1</v>
          </cell>
          <cell r="C1921" t="str">
            <v>Export</v>
          </cell>
          <cell r="D1921">
            <v>57</v>
          </cell>
          <cell r="E1921">
            <v>9565</v>
          </cell>
          <cell r="F1921" t="str">
            <v>OXIQUIM S.A.</v>
          </cell>
          <cell r="G1921" t="str">
            <v>E</v>
          </cell>
          <cell r="H1921" t="str">
            <v>VINA DEL MAR</v>
          </cell>
          <cell r="J1921" t="str">
            <v>CHI</v>
          </cell>
          <cell r="K1921" t="str">
            <v>OXIQUIM S.A.</v>
          </cell>
          <cell r="M1921" t="str">
            <v>CHI</v>
          </cell>
          <cell r="N1921" t="str">
            <v>C</v>
          </cell>
          <cell r="O1921">
            <v>30210110</v>
          </cell>
          <cell r="P1921" t="str">
            <v>SODA ASH DENSE 50LB BAG</v>
          </cell>
          <cell r="Q1921" t="str">
            <v>Soda Ash</v>
          </cell>
          <cell r="R1921">
            <v>0</v>
          </cell>
          <cell r="S1921">
            <v>3500</v>
          </cell>
        </row>
        <row r="1922">
          <cell r="A1922" t="str">
            <v>Actual</v>
          </cell>
          <cell r="B1922">
            <v>1</v>
          </cell>
          <cell r="C1922" t="str">
            <v>Export</v>
          </cell>
          <cell r="D1922">
            <v>57</v>
          </cell>
          <cell r="E1922">
            <v>9565</v>
          </cell>
          <cell r="F1922" t="str">
            <v>OXIQUIM S.A.</v>
          </cell>
          <cell r="G1922" t="str">
            <v>E</v>
          </cell>
          <cell r="H1922" t="str">
            <v>VINA DEL MAR</v>
          </cell>
          <cell r="J1922" t="str">
            <v>CHI</v>
          </cell>
          <cell r="K1922" t="str">
            <v>OXIQUIM S.A.</v>
          </cell>
          <cell r="M1922" t="str">
            <v>CHI</v>
          </cell>
          <cell r="N1922" t="str">
            <v>C</v>
          </cell>
          <cell r="O1922">
            <v>30210155</v>
          </cell>
          <cell r="P1922" t="str">
            <v>SODA ASH DENSE 1MT FIBC</v>
          </cell>
          <cell r="Q1922" t="str">
            <v>Soda Ash</v>
          </cell>
          <cell r="R1922">
            <v>0</v>
          </cell>
          <cell r="S1922">
            <v>1750</v>
          </cell>
        </row>
        <row r="1923">
          <cell r="A1923" t="str">
            <v>Actual</v>
          </cell>
          <cell r="B1923">
            <v>1</v>
          </cell>
          <cell r="C1923" t="str">
            <v>Export</v>
          </cell>
          <cell r="D1923">
            <v>57</v>
          </cell>
          <cell r="E1923">
            <v>9570</v>
          </cell>
          <cell r="F1923" t="str">
            <v>AZINSA</v>
          </cell>
          <cell r="G1923" t="str">
            <v>E</v>
          </cell>
          <cell r="H1923" t="str">
            <v>LAGRANGE, N.L.</v>
          </cell>
          <cell r="J1923" t="str">
            <v>MEX</v>
          </cell>
          <cell r="K1923" t="str">
            <v>KOPRIMO S.A. DE C.V.</v>
          </cell>
          <cell r="M1923" t="str">
            <v>MEX</v>
          </cell>
          <cell r="O1923">
            <v>30210100</v>
          </cell>
          <cell r="P1923" t="str">
            <v>SODA ASH DENSE BULK</v>
          </cell>
          <cell r="Q1923" t="str">
            <v>Soda Ash</v>
          </cell>
          <cell r="R1923">
            <v>110.45</v>
          </cell>
          <cell r="S1923">
            <v>12039.36</v>
          </cell>
        </row>
        <row r="1924">
          <cell r="A1924" t="str">
            <v>Actual</v>
          </cell>
          <cell r="B1924">
            <v>1</v>
          </cell>
          <cell r="C1924" t="str">
            <v>Export</v>
          </cell>
          <cell r="D1924">
            <v>57</v>
          </cell>
          <cell r="E1924">
            <v>9575</v>
          </cell>
          <cell r="F1924" t="str">
            <v>COLORMINAS COLORIFICO E</v>
          </cell>
          <cell r="G1924" t="str">
            <v>E</v>
          </cell>
          <cell r="H1924" t="str">
            <v>SANTA CATARINA</v>
          </cell>
          <cell r="J1924" t="str">
            <v>BRZ</v>
          </cell>
          <cell r="K1924" t="str">
            <v>TEORQUIMICA-COMERCIOO E</v>
          </cell>
          <cell r="M1924" t="str">
            <v>BRZ</v>
          </cell>
          <cell r="N1924" t="str">
            <v>C</v>
          </cell>
          <cell r="O1924">
            <v>22060428</v>
          </cell>
          <cell r="P1924" t="str">
            <v>V-BOR 25KG BAG (004), WOOD</v>
          </cell>
          <cell r="Q1924" t="str">
            <v>Penta</v>
          </cell>
          <cell r="R1924">
            <v>0</v>
          </cell>
          <cell r="S1924">
            <v>-350</v>
          </cell>
        </row>
        <row r="1925">
          <cell r="A1925" t="str">
            <v>Actual</v>
          </cell>
          <cell r="B1925">
            <v>1</v>
          </cell>
          <cell r="C1925" t="str">
            <v>Export</v>
          </cell>
          <cell r="D1925">
            <v>57</v>
          </cell>
          <cell r="E1925">
            <v>9578</v>
          </cell>
          <cell r="F1925" t="str">
            <v>MET MEX PENOLES S.A. DE CV</v>
          </cell>
          <cell r="G1925" t="str">
            <v>E</v>
          </cell>
          <cell r="H1925" t="str">
            <v>TORREON</v>
          </cell>
          <cell r="J1925" t="str">
            <v>MEX</v>
          </cell>
          <cell r="K1925" t="str">
            <v>MET MEX PENOLES S.A. DE CV</v>
          </cell>
          <cell r="M1925" t="str">
            <v>MEX</v>
          </cell>
          <cell r="N1925" t="str">
            <v>C</v>
          </cell>
          <cell r="O1925">
            <v>20060255</v>
          </cell>
          <cell r="P1925" t="str">
            <v>PYROBOR 1 MT FIBC (002)</v>
          </cell>
          <cell r="Q1925" t="str">
            <v>Pyrobor</v>
          </cell>
          <cell r="R1925">
            <v>66.138000000000005</v>
          </cell>
          <cell r="S1925">
            <v>33588.6</v>
          </cell>
        </row>
        <row r="1926">
          <cell r="A1926" t="str">
            <v>Actual</v>
          </cell>
          <cell r="B1926">
            <v>1</v>
          </cell>
          <cell r="C1926" t="str">
            <v>Export</v>
          </cell>
          <cell r="D1926">
            <v>57</v>
          </cell>
          <cell r="E1926">
            <v>9584</v>
          </cell>
          <cell r="F1926" t="str">
            <v>KOPRIMO</v>
          </cell>
          <cell r="G1926" t="str">
            <v>E</v>
          </cell>
          <cell r="H1926" t="str">
            <v>PANTACO</v>
          </cell>
          <cell r="J1926" t="str">
            <v>MEX</v>
          </cell>
          <cell r="K1926" t="str">
            <v>KOPRIMO S.A. DE C.V.</v>
          </cell>
          <cell r="M1926" t="str">
            <v>MEX</v>
          </cell>
          <cell r="N1926" t="str">
            <v>C</v>
          </cell>
          <cell r="O1926">
            <v>30210100</v>
          </cell>
          <cell r="P1926" t="str">
            <v>SODA ASH DENSE BULK</v>
          </cell>
          <cell r="Q1926" t="str">
            <v>Soda Ash</v>
          </cell>
          <cell r="R1926">
            <v>331.02499999999998</v>
          </cell>
          <cell r="S1926">
            <v>33731.46</v>
          </cell>
        </row>
        <row r="1927">
          <cell r="A1927" t="str">
            <v>Actual</v>
          </cell>
          <cell r="B1927">
            <v>1</v>
          </cell>
          <cell r="C1927" t="str">
            <v>Export</v>
          </cell>
          <cell r="D1927">
            <v>57</v>
          </cell>
          <cell r="E1927">
            <v>9588</v>
          </cell>
          <cell r="F1927" t="str">
            <v>SILICES DE VERACRUZ,S.A.DE C.V</v>
          </cell>
          <cell r="G1927" t="str">
            <v>E</v>
          </cell>
          <cell r="H1927" t="str">
            <v>ORIZABA VERACRUZ</v>
          </cell>
          <cell r="J1927" t="str">
            <v>MEX</v>
          </cell>
          <cell r="K1927" t="str">
            <v>KOPRIMO S.A. DE C.V.</v>
          </cell>
          <cell r="M1927" t="str">
            <v>MEX</v>
          </cell>
          <cell r="N1927" t="str">
            <v>C</v>
          </cell>
          <cell r="O1927">
            <v>30210100</v>
          </cell>
          <cell r="P1927" t="str">
            <v>SODA ASH DENSE BULK</v>
          </cell>
          <cell r="Q1927" t="str">
            <v>Soda Ash</v>
          </cell>
          <cell r="R1927">
            <v>1982.85</v>
          </cell>
          <cell r="S1927">
            <v>198042.72</v>
          </cell>
        </row>
        <row r="1928">
          <cell r="A1928" t="str">
            <v>Actual</v>
          </cell>
          <cell r="B1928">
            <v>1</v>
          </cell>
          <cell r="C1928" t="str">
            <v>Export</v>
          </cell>
          <cell r="D1928">
            <v>57</v>
          </cell>
          <cell r="E1928">
            <v>9598</v>
          </cell>
          <cell r="F1928" t="str">
            <v>BAYER S.A.</v>
          </cell>
          <cell r="G1928" t="str">
            <v>E</v>
          </cell>
          <cell r="H1928" t="str">
            <v>ARGENTINA</v>
          </cell>
          <cell r="J1928" t="str">
            <v>ARG</v>
          </cell>
          <cell r="K1928" t="str">
            <v>HCI ARGENTINA S.A.</v>
          </cell>
          <cell r="M1928" t="str">
            <v>ARG</v>
          </cell>
          <cell r="N1928" t="str">
            <v>C</v>
          </cell>
          <cell r="O1928">
            <v>30210100</v>
          </cell>
          <cell r="P1928" t="str">
            <v>SODA ASH DENSE BULK</v>
          </cell>
          <cell r="Q1928" t="str">
            <v>Soda Ash</v>
          </cell>
          <cell r="R1928">
            <v>9045.4737999999998</v>
          </cell>
          <cell r="S1928">
            <v>578024.07999999996</v>
          </cell>
        </row>
        <row r="1929">
          <cell r="A1929" t="str">
            <v>Actual</v>
          </cell>
          <cell r="B1929">
            <v>1</v>
          </cell>
          <cell r="C1929" t="str">
            <v>Export</v>
          </cell>
          <cell r="D1929">
            <v>57</v>
          </cell>
          <cell r="E1929">
            <v>9600</v>
          </cell>
          <cell r="F1929" t="str">
            <v>PROQUINSA- PRODUCTOS QUIMICOS</v>
          </cell>
          <cell r="G1929" t="str">
            <v>E</v>
          </cell>
          <cell r="H1929" t="str">
            <v>LIMA</v>
          </cell>
          <cell r="J1929" t="str">
            <v>PER</v>
          </cell>
          <cell r="K1929" t="str">
            <v>PROQUINSA- PRODUCTOS QUIMICOS</v>
          </cell>
          <cell r="M1929" t="str">
            <v>PER</v>
          </cell>
          <cell r="N1929" t="str">
            <v>C</v>
          </cell>
          <cell r="O1929">
            <v>30210100</v>
          </cell>
          <cell r="P1929" t="str">
            <v>SODA ASH DENSE BULK</v>
          </cell>
          <cell r="Q1929" t="str">
            <v>Soda Ash</v>
          </cell>
          <cell r="R1929">
            <v>1322.76</v>
          </cell>
          <cell r="S1929">
            <v>118116.62</v>
          </cell>
        </row>
        <row r="1930">
          <cell r="A1930" t="str">
            <v>Actual</v>
          </cell>
          <cell r="B1930">
            <v>1</v>
          </cell>
          <cell r="C1930" t="str">
            <v>Export</v>
          </cell>
          <cell r="D1930">
            <v>57</v>
          </cell>
          <cell r="E1930">
            <v>9611</v>
          </cell>
          <cell r="F1930" t="str">
            <v>CRISTALERIA DEL ECUADOR S.A.</v>
          </cell>
          <cell r="G1930" t="str">
            <v>E</v>
          </cell>
          <cell r="H1930" t="str">
            <v>GUAYAQUIL</v>
          </cell>
          <cell r="J1930" t="str">
            <v>ECU</v>
          </cell>
          <cell r="K1930" t="str">
            <v>CRISTALERIA DEL ECUADOR S.A.</v>
          </cell>
          <cell r="M1930" t="str">
            <v>ECU</v>
          </cell>
          <cell r="N1930" t="str">
            <v>C</v>
          </cell>
          <cell r="O1930">
            <v>30210100</v>
          </cell>
          <cell r="P1930" t="str">
            <v>SODA ASH DENSE BULK</v>
          </cell>
          <cell r="Q1930" t="str">
            <v>Soda Ash</v>
          </cell>
          <cell r="R1930">
            <v>4960.3500000000004</v>
          </cell>
          <cell r="S1930">
            <v>415937.31</v>
          </cell>
        </row>
        <row r="1931">
          <cell r="A1931" t="str">
            <v>Actual</v>
          </cell>
          <cell r="B1931">
            <v>1</v>
          </cell>
          <cell r="C1931" t="str">
            <v>Export</v>
          </cell>
          <cell r="D1931">
            <v>57</v>
          </cell>
          <cell r="E1931">
            <v>9612</v>
          </cell>
          <cell r="F1931" t="str">
            <v>PROQUINSA- PRODUCTOS QUIMICOS</v>
          </cell>
          <cell r="G1931" t="str">
            <v>E</v>
          </cell>
          <cell r="H1931" t="str">
            <v>LIMA</v>
          </cell>
          <cell r="J1931" t="str">
            <v>PER</v>
          </cell>
          <cell r="K1931" t="str">
            <v>PROQUINSA- PRODUCTOS QUIMICOS</v>
          </cell>
          <cell r="M1931" t="str">
            <v>PER</v>
          </cell>
          <cell r="N1931" t="str">
            <v>C</v>
          </cell>
          <cell r="O1931">
            <v>30210100</v>
          </cell>
          <cell r="P1931" t="str">
            <v>SODA ASH DENSE BULK</v>
          </cell>
          <cell r="Q1931" t="str">
            <v>Soda Ash</v>
          </cell>
          <cell r="R1931">
            <v>271.16579999999999</v>
          </cell>
          <cell r="S1931">
            <v>27965.38</v>
          </cell>
        </row>
        <row r="1932">
          <cell r="A1932" t="str">
            <v>Actual</v>
          </cell>
          <cell r="B1932">
            <v>1</v>
          </cell>
          <cell r="C1932" t="str">
            <v>Export</v>
          </cell>
          <cell r="D1932">
            <v>57</v>
          </cell>
          <cell r="E1932">
            <v>9617</v>
          </cell>
          <cell r="F1932" t="str">
            <v>FERRO MEXICANA PLANT</v>
          </cell>
          <cell r="G1932" t="str">
            <v>E</v>
          </cell>
          <cell r="H1932" t="str">
            <v>MEXICO, D.F. C.P.</v>
          </cell>
          <cell r="J1932" t="str">
            <v>MEX</v>
          </cell>
          <cell r="K1932" t="str">
            <v>KOPRIMO S.A. DE C.V.</v>
          </cell>
          <cell r="M1932" t="str">
            <v>MEX</v>
          </cell>
          <cell r="N1932" t="str">
            <v>C</v>
          </cell>
          <cell r="O1932">
            <v>30210100</v>
          </cell>
          <cell r="P1932" t="str">
            <v>SODA ASH DENSE BULK</v>
          </cell>
          <cell r="Q1932" t="str">
            <v>Soda Ash</v>
          </cell>
          <cell r="R1932">
            <v>110.2</v>
          </cell>
          <cell r="S1932">
            <v>11226.1</v>
          </cell>
        </row>
        <row r="1933">
          <cell r="A1933" t="str">
            <v>Actual</v>
          </cell>
          <cell r="B1933">
            <v>1</v>
          </cell>
          <cell r="C1933" t="str">
            <v>Export</v>
          </cell>
          <cell r="D1933">
            <v>57</v>
          </cell>
          <cell r="E1933">
            <v>9620</v>
          </cell>
          <cell r="F1933" t="str">
            <v>HENKEL CAPITAL</v>
          </cell>
          <cell r="G1933" t="str">
            <v>E</v>
          </cell>
          <cell r="H1933" t="str">
            <v>TOLUCA</v>
          </cell>
          <cell r="J1933" t="str">
            <v>MEX</v>
          </cell>
          <cell r="K1933" t="str">
            <v>KOPRIMO S.A. DE C.V.</v>
          </cell>
          <cell r="M1933" t="str">
            <v>MEX</v>
          </cell>
          <cell r="N1933" t="str">
            <v>C</v>
          </cell>
          <cell r="O1933">
            <v>30210100</v>
          </cell>
          <cell r="P1933" t="str">
            <v>SODA ASH DENSE BULK</v>
          </cell>
          <cell r="Q1933" t="str">
            <v>Soda Ash</v>
          </cell>
          <cell r="R1933">
            <v>395.35</v>
          </cell>
          <cell r="S1933">
            <v>40591.14</v>
          </cell>
        </row>
        <row r="1934">
          <cell r="A1934" t="str">
            <v>Actual</v>
          </cell>
          <cell r="B1934">
            <v>1</v>
          </cell>
          <cell r="C1934" t="str">
            <v>Export</v>
          </cell>
          <cell r="D1934">
            <v>57</v>
          </cell>
          <cell r="E1934">
            <v>9623</v>
          </cell>
          <cell r="F1934" t="str">
            <v>CISPER S.A.</v>
          </cell>
          <cell r="G1934" t="str">
            <v>E</v>
          </cell>
          <cell r="H1934" t="str">
            <v>SAO PAULO</v>
          </cell>
          <cell r="J1934" t="str">
            <v>BRZ</v>
          </cell>
          <cell r="K1934" t="str">
            <v>TEORQUIMICA-COMERCIO E</v>
          </cell>
          <cell r="M1934" t="str">
            <v>BRZ</v>
          </cell>
          <cell r="N1934" t="str">
            <v>C</v>
          </cell>
          <cell r="O1934">
            <v>30210100</v>
          </cell>
          <cell r="P1934" t="str">
            <v>SODA ASH DENSE BULK</v>
          </cell>
          <cell r="Q1934" t="str">
            <v>Soda Ash</v>
          </cell>
          <cell r="R1934">
            <v>2976.21</v>
          </cell>
          <cell r="S1934">
            <v>201776.99</v>
          </cell>
        </row>
        <row r="1935">
          <cell r="A1935" t="str">
            <v>Actual</v>
          </cell>
          <cell r="B1935">
            <v>1</v>
          </cell>
          <cell r="C1935" t="str">
            <v>House</v>
          </cell>
          <cell r="D1935">
            <v>21</v>
          </cell>
          <cell r="E1935">
            <v>7971</v>
          </cell>
          <cell r="F1935" t="str">
            <v>SOCIETA CHIMICA LARDERELLO</v>
          </cell>
          <cell r="G1935" t="str">
            <v>E</v>
          </cell>
          <cell r="H1935" t="str">
            <v>LARDERELLO-PISA</v>
          </cell>
          <cell r="J1935" t="str">
            <v>ITA</v>
          </cell>
          <cell r="K1935" t="str">
            <v>SOCIETA CHIMICA LARDERELLO</v>
          </cell>
          <cell r="M1935" t="str">
            <v>ITA</v>
          </cell>
          <cell r="N1935" t="str">
            <v>C</v>
          </cell>
          <cell r="O1935">
            <v>24090255</v>
          </cell>
          <cell r="P1935" t="str">
            <v>BORIC ACID GRAN TECH 1 MT FIBC</v>
          </cell>
          <cell r="Q1935" t="str">
            <v>Boric Acid</v>
          </cell>
          <cell r="R1935">
            <v>551.15</v>
          </cell>
          <cell r="S1935">
            <v>154312.5</v>
          </cell>
        </row>
        <row r="1936">
          <cell r="A1936" t="str">
            <v>Actual</v>
          </cell>
          <cell r="B1936">
            <v>1</v>
          </cell>
          <cell r="C1936" t="str">
            <v>House</v>
          </cell>
          <cell r="D1936">
            <v>21</v>
          </cell>
          <cell r="E1936">
            <v>8787</v>
          </cell>
          <cell r="F1936" t="str">
            <v>FERRO (THAILAND) CO., LTD.</v>
          </cell>
          <cell r="G1936" t="str">
            <v>E</v>
          </cell>
          <cell r="H1936" t="str">
            <v>BANGKOK</v>
          </cell>
          <cell r="J1936" t="str">
            <v>THA</v>
          </cell>
          <cell r="K1936" t="str">
            <v>FERRO (THAILAND) CO., LTD.</v>
          </cell>
          <cell r="M1936" t="str">
            <v>THA</v>
          </cell>
          <cell r="N1936" t="str">
            <v>C</v>
          </cell>
          <cell r="O1936">
            <v>22060428</v>
          </cell>
          <cell r="P1936" t="str">
            <v>V-BOR 25KG BAG (004), WOOD</v>
          </cell>
          <cell r="Q1936" t="str">
            <v>Penta</v>
          </cell>
          <cell r="R1936">
            <v>65.971500000000006</v>
          </cell>
          <cell r="S1936">
            <v>15400.5</v>
          </cell>
        </row>
        <row r="1937">
          <cell r="A1937" t="str">
            <v>Actual</v>
          </cell>
          <cell r="B1937">
            <v>1</v>
          </cell>
          <cell r="C1937" t="str">
            <v>House</v>
          </cell>
          <cell r="D1937">
            <v>21</v>
          </cell>
          <cell r="E1937">
            <v>9141</v>
          </cell>
          <cell r="F1937" t="str">
            <v>SOCIETA CHIMICA LARDERELLO SPA</v>
          </cell>
          <cell r="G1937" t="str">
            <v>E</v>
          </cell>
          <cell r="H1937" t="str">
            <v>LARDERELLO-PISA</v>
          </cell>
          <cell r="J1937" t="str">
            <v>ITA</v>
          </cell>
          <cell r="K1937" t="str">
            <v>SOCIETA CHIMICA LARDERELLO SPA</v>
          </cell>
          <cell r="M1937" t="str">
            <v>ITA</v>
          </cell>
          <cell r="N1937" t="str">
            <v>C</v>
          </cell>
          <cell r="O1937">
            <v>22060481</v>
          </cell>
          <cell r="P1937" t="str">
            <v>V-BOR 1 MT FIBC</v>
          </cell>
          <cell r="Q1937" t="str">
            <v>Penta</v>
          </cell>
          <cell r="R1937">
            <v>88.183999999999997</v>
          </cell>
          <cell r="S1937">
            <v>21005.481599999999</v>
          </cell>
        </row>
        <row r="1938">
          <cell r="A1938" t="str">
            <v>Actual</v>
          </cell>
          <cell r="B1938">
            <v>1</v>
          </cell>
          <cell r="C1938" t="str">
            <v>House</v>
          </cell>
          <cell r="D1938">
            <v>21</v>
          </cell>
          <cell r="E1938">
            <v>9141</v>
          </cell>
          <cell r="F1938" t="str">
            <v>SOCIETA CHIMICA LARDERELLO SPA</v>
          </cell>
          <cell r="G1938" t="str">
            <v>E</v>
          </cell>
          <cell r="H1938" t="str">
            <v>LARDERELLO-PISA</v>
          </cell>
          <cell r="J1938" t="str">
            <v>ITA</v>
          </cell>
          <cell r="K1938" t="str">
            <v>SOCIETA CHIMICA LARDERELLO SPA</v>
          </cell>
          <cell r="M1938" t="str">
            <v>ITA</v>
          </cell>
          <cell r="N1938" t="str">
            <v>C</v>
          </cell>
          <cell r="O1938" t="str">
            <v>220604B8</v>
          </cell>
          <cell r="P1938" t="str">
            <v>V-BOR 25KG POLYBAG,WOOD (004)</v>
          </cell>
          <cell r="Q1938" t="str">
            <v>Penta</v>
          </cell>
          <cell r="R1938">
            <v>219.905</v>
          </cell>
          <cell r="S1938">
            <v>52336.732000000004</v>
          </cell>
        </row>
        <row r="1939">
          <cell r="A1939" t="str">
            <v>Actual</v>
          </cell>
          <cell r="B1939">
            <v>1</v>
          </cell>
          <cell r="C1939" t="str">
            <v>House</v>
          </cell>
          <cell r="D1939">
            <v>21</v>
          </cell>
          <cell r="E1939">
            <v>9141</v>
          </cell>
          <cell r="F1939" t="str">
            <v>SOCIETA CHIMICA LARDERELLO SPA</v>
          </cell>
          <cell r="G1939" t="str">
            <v>E</v>
          </cell>
          <cell r="H1939" t="str">
            <v>LARDERELLO-PISA</v>
          </cell>
          <cell r="J1939" t="str">
            <v>ITA</v>
          </cell>
          <cell r="K1939" t="str">
            <v>SOCIETA CHIMICA LARDERELLO SPA</v>
          </cell>
          <cell r="M1939" t="str">
            <v>ITA</v>
          </cell>
          <cell r="N1939" t="str">
            <v>C</v>
          </cell>
          <cell r="O1939">
            <v>23060228</v>
          </cell>
          <cell r="P1939" t="str">
            <v>DECA BORAX STD 25KG BAG, WOOD</v>
          </cell>
          <cell r="Q1939" t="str">
            <v>Deca</v>
          </cell>
          <cell r="R1939">
            <v>109.9525</v>
          </cell>
          <cell r="S1939">
            <v>29400.593499999999</v>
          </cell>
        </row>
        <row r="1940">
          <cell r="A1940" t="str">
            <v>Actual</v>
          </cell>
          <cell r="B1940">
            <v>1</v>
          </cell>
          <cell r="C1940" t="str">
            <v>House</v>
          </cell>
          <cell r="D1940">
            <v>21</v>
          </cell>
          <cell r="E1940">
            <v>9141</v>
          </cell>
          <cell r="F1940" t="str">
            <v>SOCIETA CHIMICA LARDERELLO SPA</v>
          </cell>
          <cell r="G1940" t="str">
            <v>E</v>
          </cell>
          <cell r="H1940" t="str">
            <v>LARDERELLO-PISA</v>
          </cell>
          <cell r="J1940" t="str">
            <v>ITA</v>
          </cell>
          <cell r="K1940" t="str">
            <v>SOCIETA CHIMICA LARDERELLO SPA</v>
          </cell>
          <cell r="M1940" t="str">
            <v>ITA</v>
          </cell>
          <cell r="N1940" t="str">
            <v>C</v>
          </cell>
          <cell r="O1940">
            <v>23160228</v>
          </cell>
          <cell r="P1940" t="str">
            <v>DECA BORAX X CRS 25KG BAG WOOD</v>
          </cell>
          <cell r="Q1940" t="str">
            <v>Deca</v>
          </cell>
          <cell r="R1940">
            <v>109.9525</v>
          </cell>
          <cell r="S1940">
            <v>29400.593499999999</v>
          </cell>
        </row>
        <row r="1941">
          <cell r="A1941" t="str">
            <v>Actual</v>
          </cell>
          <cell r="B1941">
            <v>1</v>
          </cell>
          <cell r="C1941" t="str">
            <v>House</v>
          </cell>
          <cell r="D1941">
            <v>22</v>
          </cell>
          <cell r="E1941">
            <v>6888</v>
          </cell>
          <cell r="F1941" t="str">
            <v>PACIFIC SALT &amp; CHEM CO</v>
          </cell>
          <cell r="G1941" t="str">
            <v>D</v>
          </cell>
          <cell r="H1941" t="str">
            <v>ENCINO</v>
          </cell>
          <cell r="I1941" t="str">
            <v>CA</v>
          </cell>
          <cell r="J1941" t="str">
            <v>USA</v>
          </cell>
          <cell r="K1941" t="str">
            <v>PACIFIC SALT &amp; CHEM CO</v>
          </cell>
          <cell r="L1941" t="str">
            <v>CA</v>
          </cell>
          <cell r="M1941" t="str">
            <v>USA</v>
          </cell>
          <cell r="N1941" t="str">
            <v>C</v>
          </cell>
          <cell r="O1941">
            <v>71060200</v>
          </cell>
          <cell r="P1941" t="str">
            <v>SURFACE SALT BULK</v>
          </cell>
          <cell r="Q1941" t="str">
            <v>Surface Salt</v>
          </cell>
          <cell r="R1941">
            <v>7909.27</v>
          </cell>
          <cell r="S1941">
            <v>27683.15</v>
          </cell>
        </row>
        <row r="1942">
          <cell r="A1942" t="str">
            <v>Actual</v>
          </cell>
          <cell r="B1942">
            <v>1</v>
          </cell>
          <cell r="C1942" t="str">
            <v>House</v>
          </cell>
          <cell r="D1942">
            <v>22</v>
          </cell>
          <cell r="E1942">
            <v>9555</v>
          </cell>
          <cell r="F1942" t="str">
            <v>PROCTER &amp; GAMBLE MFG COMPANY</v>
          </cell>
          <cell r="G1942" t="str">
            <v>D</v>
          </cell>
          <cell r="H1942" t="str">
            <v>CINCINNATI</v>
          </cell>
          <cell r="I1942" t="str">
            <v>OH</v>
          </cell>
          <cell r="J1942" t="str">
            <v>USA</v>
          </cell>
          <cell r="K1942" t="str">
            <v>PROCTER &amp; GAMBLE MFG COMPANY</v>
          </cell>
          <cell r="L1942" t="str">
            <v>OH</v>
          </cell>
          <cell r="M1942" t="str">
            <v>USA</v>
          </cell>
          <cell r="O1942">
            <v>40060450</v>
          </cell>
          <cell r="P1942" t="str">
            <v>SODIUM SULFATE STD 1TN FIBC</v>
          </cell>
          <cell r="Q1942" t="str">
            <v>Sodium Sulfate</v>
          </cell>
          <cell r="R1942">
            <v>2</v>
          </cell>
          <cell r="S1942">
            <v>-711.16</v>
          </cell>
        </row>
        <row r="1943">
          <cell r="A1943" t="str">
            <v>Actual</v>
          </cell>
          <cell r="B1943">
            <v>1</v>
          </cell>
          <cell r="C1943" t="str">
            <v>House</v>
          </cell>
          <cell r="D1943">
            <v>23</v>
          </cell>
          <cell r="E1943">
            <v>5072</v>
          </cell>
          <cell r="F1943" t="str">
            <v>SAINT-GOBAIN CONTAINER</v>
          </cell>
          <cell r="G1943" t="str">
            <v>D</v>
          </cell>
          <cell r="H1943" t="str">
            <v>EL MONTE</v>
          </cell>
          <cell r="I1943" t="str">
            <v>CA</v>
          </cell>
          <cell r="J1943" t="str">
            <v>USA</v>
          </cell>
          <cell r="K1943" t="str">
            <v>SAINT-GOBAIN CONTAINER</v>
          </cell>
          <cell r="L1943" t="str">
            <v>CA</v>
          </cell>
          <cell r="M1943" t="str">
            <v>USA</v>
          </cell>
          <cell r="N1943" t="str">
            <v>C</v>
          </cell>
          <cell r="O1943">
            <v>30210100</v>
          </cell>
          <cell r="P1943" t="str">
            <v>SODA ASH DENSE BULK</v>
          </cell>
          <cell r="Q1943" t="str">
            <v>Soda Ash</v>
          </cell>
          <cell r="R1943">
            <v>971.75</v>
          </cell>
          <cell r="S1943">
            <v>69966</v>
          </cell>
        </row>
        <row r="1944">
          <cell r="A1944" t="str">
            <v>Actual</v>
          </cell>
          <cell r="B1944">
            <v>1</v>
          </cell>
          <cell r="C1944" t="str">
            <v>House</v>
          </cell>
          <cell r="D1944">
            <v>23</v>
          </cell>
          <cell r="E1944">
            <v>5072</v>
          </cell>
          <cell r="F1944" t="str">
            <v>SAINT-GOBAIN CONTAINER</v>
          </cell>
          <cell r="G1944" t="str">
            <v>D</v>
          </cell>
          <cell r="H1944" t="str">
            <v>EL MONTE</v>
          </cell>
          <cell r="I1944" t="str">
            <v>CA</v>
          </cell>
          <cell r="J1944" t="str">
            <v>USA</v>
          </cell>
          <cell r="K1944" t="str">
            <v>SAINT-GOBAIN CONTAINER</v>
          </cell>
          <cell r="L1944" t="str">
            <v>CA</v>
          </cell>
          <cell r="M1944" t="str">
            <v>USA</v>
          </cell>
          <cell r="N1944" t="str">
            <v>C</v>
          </cell>
          <cell r="O1944">
            <v>40150400</v>
          </cell>
          <cell r="P1944" t="str">
            <v>SODIUM SULFATE COARSE BULK</v>
          </cell>
          <cell r="Q1944" t="str">
            <v>Sodium Sulfate</v>
          </cell>
          <cell r="R1944">
            <v>27.13</v>
          </cell>
          <cell r="S1944">
            <v>3608.29</v>
          </cell>
        </row>
        <row r="1945">
          <cell r="A1945" t="str">
            <v>Actual</v>
          </cell>
          <cell r="B1945">
            <v>1</v>
          </cell>
          <cell r="C1945" t="str">
            <v>House</v>
          </cell>
          <cell r="D1945">
            <v>23</v>
          </cell>
          <cell r="E1945">
            <v>5074</v>
          </cell>
          <cell r="F1945" t="str">
            <v>MADERA GLASS COMPANY</v>
          </cell>
          <cell r="G1945" t="str">
            <v>D</v>
          </cell>
          <cell r="H1945" t="str">
            <v>MADERA</v>
          </cell>
          <cell r="I1945" t="str">
            <v>CA</v>
          </cell>
          <cell r="J1945" t="str">
            <v>USA</v>
          </cell>
          <cell r="K1945" t="str">
            <v>MADERA GLASS COMPANY</v>
          </cell>
          <cell r="L1945" t="str">
            <v>CA</v>
          </cell>
          <cell r="M1945" t="str">
            <v>USA</v>
          </cell>
          <cell r="N1945" t="str">
            <v>C</v>
          </cell>
          <cell r="O1945">
            <v>40150400</v>
          </cell>
          <cell r="P1945" t="str">
            <v>SODIUM SULFATE COARSE BULK</v>
          </cell>
          <cell r="Q1945" t="str">
            <v>Sodium Sulfate</v>
          </cell>
          <cell r="R1945">
            <v>26.34</v>
          </cell>
          <cell r="S1945">
            <v>3476.88</v>
          </cell>
        </row>
        <row r="1946">
          <cell r="A1946" t="str">
            <v>Actual</v>
          </cell>
          <cell r="B1946">
            <v>1</v>
          </cell>
          <cell r="C1946" t="str">
            <v>House</v>
          </cell>
          <cell r="D1946">
            <v>23</v>
          </cell>
          <cell r="E1946">
            <v>5187</v>
          </cell>
          <cell r="F1946" t="str">
            <v>SAINT-GOBAIN CONTAINER</v>
          </cell>
          <cell r="G1946" t="str">
            <v>D</v>
          </cell>
          <cell r="H1946" t="str">
            <v>LOS ANGELES</v>
          </cell>
          <cell r="I1946" t="str">
            <v>CA</v>
          </cell>
          <cell r="J1946" t="str">
            <v>USA</v>
          </cell>
          <cell r="K1946" t="str">
            <v>SAINT-GOBAIN CONTAINER</v>
          </cell>
          <cell r="L1946" t="str">
            <v>CA</v>
          </cell>
          <cell r="M1946" t="str">
            <v>USA</v>
          </cell>
          <cell r="N1946" t="str">
            <v>C</v>
          </cell>
          <cell r="O1946">
            <v>30210100</v>
          </cell>
          <cell r="P1946" t="str">
            <v>SODA ASH DENSE BULK</v>
          </cell>
          <cell r="Q1946" t="str">
            <v>Soda Ash</v>
          </cell>
          <cell r="R1946">
            <v>871.66</v>
          </cell>
          <cell r="S1946">
            <v>62391.46</v>
          </cell>
        </row>
        <row r="1947">
          <cell r="A1947" t="str">
            <v>Actual</v>
          </cell>
          <cell r="B1947">
            <v>1</v>
          </cell>
          <cell r="C1947" t="str">
            <v>House</v>
          </cell>
          <cell r="D1947">
            <v>23</v>
          </cell>
          <cell r="E1947">
            <v>5187</v>
          </cell>
          <cell r="F1947" t="str">
            <v>SAINT-GOBAIN CONTAINER</v>
          </cell>
          <cell r="G1947" t="str">
            <v>D</v>
          </cell>
          <cell r="H1947" t="str">
            <v>LOS ANGELES</v>
          </cell>
          <cell r="I1947" t="str">
            <v>CA</v>
          </cell>
          <cell r="J1947" t="str">
            <v>USA</v>
          </cell>
          <cell r="K1947" t="str">
            <v>SAINT-GOBAIN CONTAINER</v>
          </cell>
          <cell r="L1947" t="str">
            <v>CA</v>
          </cell>
          <cell r="M1947" t="str">
            <v>USA</v>
          </cell>
          <cell r="N1947" t="str">
            <v>C</v>
          </cell>
          <cell r="O1947">
            <v>40150450</v>
          </cell>
          <cell r="P1947" t="str">
            <v>SODIUM SULFATE CRS 1TN FIBC</v>
          </cell>
          <cell r="Q1947" t="str">
            <v>Sodium Sulfate</v>
          </cell>
          <cell r="R1947">
            <v>22</v>
          </cell>
          <cell r="S1947">
            <v>2784.75</v>
          </cell>
        </row>
        <row r="1948">
          <cell r="A1948" t="str">
            <v>Actual</v>
          </cell>
          <cell r="B1948">
            <v>1</v>
          </cell>
          <cell r="C1948" t="str">
            <v>House</v>
          </cell>
          <cell r="D1948">
            <v>23</v>
          </cell>
          <cell r="E1948">
            <v>5303</v>
          </cell>
          <cell r="F1948" t="str">
            <v>OWENS-BROCKWAY GLASS CONTAINER</v>
          </cell>
          <cell r="G1948" t="str">
            <v>D</v>
          </cell>
          <cell r="H1948" t="str">
            <v>TRACY</v>
          </cell>
          <cell r="I1948" t="str">
            <v>CA</v>
          </cell>
          <cell r="J1948" t="str">
            <v>USA</v>
          </cell>
          <cell r="K1948" t="str">
            <v>OWENS-BROCKWAY GLASS CONTAINER</v>
          </cell>
          <cell r="L1948" t="str">
            <v>CA</v>
          </cell>
          <cell r="M1948" t="str">
            <v>USA</v>
          </cell>
          <cell r="N1948" t="str">
            <v>C</v>
          </cell>
          <cell r="O1948">
            <v>30210100</v>
          </cell>
          <cell r="P1948" t="str">
            <v>SODA ASH DENSE BULK</v>
          </cell>
          <cell r="Q1948" t="str">
            <v>Soda Ash</v>
          </cell>
          <cell r="R1948">
            <v>1933</v>
          </cell>
          <cell r="S1948">
            <v>132866.79</v>
          </cell>
        </row>
        <row r="1949">
          <cell r="A1949" t="str">
            <v>Actual</v>
          </cell>
          <cell r="B1949">
            <v>1</v>
          </cell>
          <cell r="C1949" t="str">
            <v>House</v>
          </cell>
          <cell r="D1949">
            <v>23</v>
          </cell>
          <cell r="E1949">
            <v>5305</v>
          </cell>
          <cell r="F1949" t="str">
            <v>OWENS-BROCKWAY GLASS CONTAINER</v>
          </cell>
          <cell r="G1949" t="str">
            <v>D</v>
          </cell>
          <cell r="H1949" t="str">
            <v>OAKLAND</v>
          </cell>
          <cell r="I1949" t="str">
            <v>CA</v>
          </cell>
          <cell r="J1949" t="str">
            <v>USA</v>
          </cell>
          <cell r="K1949" t="str">
            <v>OWENS-BROCKWAY GLASS CONTAINER</v>
          </cell>
          <cell r="L1949" t="str">
            <v>CA</v>
          </cell>
          <cell r="M1949" t="str">
            <v>USA</v>
          </cell>
          <cell r="N1949" t="str">
            <v>C</v>
          </cell>
          <cell r="O1949">
            <v>30210100</v>
          </cell>
          <cell r="P1949" t="str">
            <v>SODA ASH DENSE BULK</v>
          </cell>
          <cell r="Q1949" t="str">
            <v>Soda Ash</v>
          </cell>
          <cell r="R1949">
            <v>2716.52</v>
          </cell>
          <cell r="S1949">
            <v>186500.38</v>
          </cell>
        </row>
        <row r="1950">
          <cell r="A1950" t="str">
            <v>Actual</v>
          </cell>
          <cell r="B1950">
            <v>1</v>
          </cell>
          <cell r="C1950" t="str">
            <v>House</v>
          </cell>
          <cell r="D1950">
            <v>23</v>
          </cell>
          <cell r="E1950">
            <v>5308</v>
          </cell>
          <cell r="F1950" t="str">
            <v>OWENS-BROCKWAY GLASS CONTAINER</v>
          </cell>
          <cell r="G1950" t="str">
            <v>D</v>
          </cell>
          <cell r="H1950" t="str">
            <v>VERNON</v>
          </cell>
          <cell r="I1950" t="str">
            <v>CA</v>
          </cell>
          <cell r="J1950" t="str">
            <v>USA</v>
          </cell>
          <cell r="K1950" t="str">
            <v>OWENS-BROCKWAY GLASS CONTAINER</v>
          </cell>
          <cell r="L1950" t="str">
            <v>CA</v>
          </cell>
          <cell r="M1950" t="str">
            <v>USA</v>
          </cell>
          <cell r="N1950" t="str">
            <v>C</v>
          </cell>
          <cell r="O1950">
            <v>30210100</v>
          </cell>
          <cell r="P1950" t="str">
            <v>SODA ASH DENSE BULK</v>
          </cell>
          <cell r="Q1950" t="str">
            <v>Soda Ash</v>
          </cell>
          <cell r="R1950">
            <v>2420.35</v>
          </cell>
          <cell r="S1950">
            <v>184743.35</v>
          </cell>
        </row>
        <row r="1951">
          <cell r="A1951" t="str">
            <v>Actual</v>
          </cell>
          <cell r="B1951">
            <v>1</v>
          </cell>
          <cell r="C1951" t="str">
            <v>House</v>
          </cell>
          <cell r="D1951">
            <v>23</v>
          </cell>
          <cell r="E1951">
            <v>5671</v>
          </cell>
          <cell r="F1951" t="str">
            <v>OWENS-ILLINOIS GLASS CONTAINER</v>
          </cell>
          <cell r="G1951" t="str">
            <v>D</v>
          </cell>
          <cell r="H1951" t="str">
            <v>MUSKOGEE</v>
          </cell>
          <cell r="I1951" t="str">
            <v>OK</v>
          </cell>
          <cell r="J1951" t="str">
            <v>USA</v>
          </cell>
          <cell r="K1951" t="str">
            <v>OWENS-BROCKWAY GLASS CONTAINER</v>
          </cell>
          <cell r="L1951" t="str">
            <v>OK</v>
          </cell>
          <cell r="M1951" t="str">
            <v>USA</v>
          </cell>
          <cell r="N1951" t="str">
            <v>C</v>
          </cell>
          <cell r="O1951">
            <v>30218800</v>
          </cell>
          <cell r="P1951" t="str">
            <v>SODA ASH DENSE BULK (088)</v>
          </cell>
          <cell r="Q1951" t="str">
            <v>Soda Ash</v>
          </cell>
          <cell r="R1951">
            <v>1298.575</v>
          </cell>
          <cell r="S1951">
            <v>74424.12</v>
          </cell>
        </row>
        <row r="1952">
          <cell r="A1952" t="str">
            <v>Actual</v>
          </cell>
          <cell r="B1952">
            <v>1</v>
          </cell>
          <cell r="C1952" t="str">
            <v>House</v>
          </cell>
          <cell r="D1952">
            <v>23</v>
          </cell>
          <cell r="E1952">
            <v>7139</v>
          </cell>
          <cell r="F1952" t="str">
            <v>DURAND GLASS MANUFACTURING CO</v>
          </cell>
          <cell r="G1952" t="str">
            <v>D</v>
          </cell>
          <cell r="H1952" t="str">
            <v>MILLVILLE</v>
          </cell>
          <cell r="I1952" t="str">
            <v>NJ</v>
          </cell>
          <cell r="J1952" t="str">
            <v>USA</v>
          </cell>
          <cell r="K1952" t="str">
            <v>DURAND GLASS MFG CO</v>
          </cell>
          <cell r="L1952" t="str">
            <v>NJ</v>
          </cell>
          <cell r="M1952" t="str">
            <v>USA</v>
          </cell>
          <cell r="N1952" t="str">
            <v>C</v>
          </cell>
          <cell r="O1952">
            <v>30219100</v>
          </cell>
          <cell r="P1952" t="str">
            <v>SODA ASH DENSE BULK (091)</v>
          </cell>
          <cell r="Q1952" t="str">
            <v>Soda Ash</v>
          </cell>
          <cell r="R1952">
            <v>1361.91</v>
          </cell>
          <cell r="S1952">
            <v>85050.75</v>
          </cell>
        </row>
        <row r="1953">
          <cell r="A1953" t="str">
            <v>Actual</v>
          </cell>
          <cell r="B1953">
            <v>1</v>
          </cell>
          <cell r="C1953" t="str">
            <v>House</v>
          </cell>
          <cell r="D1953">
            <v>23</v>
          </cell>
          <cell r="E1953">
            <v>8261</v>
          </cell>
          <cell r="F1953" t="str">
            <v>NUTRIUS INCORPORATED</v>
          </cell>
          <cell r="G1953" t="str">
            <v>D</v>
          </cell>
          <cell r="H1953" t="str">
            <v>KINGSBURG</v>
          </cell>
          <cell r="I1953" t="str">
            <v>CA</v>
          </cell>
          <cell r="J1953" t="str">
            <v>USA</v>
          </cell>
          <cell r="K1953" t="str">
            <v>NUTRIUS INCORPORATED</v>
          </cell>
          <cell r="L1953" t="str">
            <v>CA</v>
          </cell>
          <cell r="M1953" t="str">
            <v>USA</v>
          </cell>
          <cell r="N1953" t="str">
            <v>C</v>
          </cell>
          <cell r="O1953">
            <v>50060100</v>
          </cell>
          <cell r="P1953" t="str">
            <v>BIO-CARB, BULK</v>
          </cell>
          <cell r="Q1953" t="str">
            <v>Sodium Bicarb</v>
          </cell>
          <cell r="R1953">
            <v>779.32</v>
          </cell>
          <cell r="S1953">
            <v>67490.33</v>
          </cell>
        </row>
        <row r="1954">
          <cell r="A1954" t="str">
            <v>Actual</v>
          </cell>
          <cell r="B1954">
            <v>1</v>
          </cell>
          <cell r="C1954" t="str">
            <v>House</v>
          </cell>
          <cell r="D1954">
            <v>23</v>
          </cell>
          <cell r="E1954">
            <v>8928</v>
          </cell>
          <cell r="F1954" t="str">
            <v>OWENS-BROCKWAY GLASS CONTAINER</v>
          </cell>
          <cell r="G1954" t="str">
            <v>D</v>
          </cell>
          <cell r="H1954" t="str">
            <v>STREATOR</v>
          </cell>
          <cell r="I1954" t="str">
            <v>IL</v>
          </cell>
          <cell r="J1954" t="str">
            <v>USA</v>
          </cell>
          <cell r="K1954" t="str">
            <v>OWENS-BROCKWAY GLASS CONTAINER</v>
          </cell>
          <cell r="L1954" t="str">
            <v>IL</v>
          </cell>
          <cell r="M1954" t="str">
            <v>USA</v>
          </cell>
          <cell r="N1954" t="str">
            <v>C</v>
          </cell>
          <cell r="O1954">
            <v>30218800</v>
          </cell>
          <cell r="P1954" t="str">
            <v>SODA ASH DENSE BULK (088)</v>
          </cell>
          <cell r="Q1954" t="str">
            <v>Soda Ash</v>
          </cell>
          <cell r="R1954">
            <v>2061.2249999999999</v>
          </cell>
          <cell r="S1954">
            <v>116827.61</v>
          </cell>
        </row>
        <row r="1955">
          <cell r="A1955" t="str">
            <v>Actual</v>
          </cell>
          <cell r="B1955">
            <v>1</v>
          </cell>
          <cell r="C1955" t="str">
            <v>House</v>
          </cell>
          <cell r="D1955">
            <v>23</v>
          </cell>
          <cell r="E1955">
            <v>9191</v>
          </cell>
          <cell r="F1955" t="str">
            <v>O-I CANADA CORP.</v>
          </cell>
          <cell r="G1955" t="str">
            <v>D</v>
          </cell>
          <cell r="H1955" t="str">
            <v>VERNON LAVINGTON</v>
          </cell>
          <cell r="I1955" t="str">
            <v>BC</v>
          </cell>
          <cell r="J1955" t="str">
            <v>CAN</v>
          </cell>
          <cell r="K1955" t="str">
            <v>O-I CANADA CORP.</v>
          </cell>
          <cell r="L1955" t="str">
            <v>BC</v>
          </cell>
          <cell r="M1955" t="str">
            <v>CAN</v>
          </cell>
          <cell r="N1955" t="str">
            <v>C</v>
          </cell>
          <cell r="O1955">
            <v>30218800</v>
          </cell>
          <cell r="P1955" t="str">
            <v>SODA ASH DENSE BULK (088)</v>
          </cell>
          <cell r="Q1955" t="str">
            <v>Soda Ash</v>
          </cell>
          <cell r="R1955">
            <v>2550.0749999999998</v>
          </cell>
          <cell r="S1955">
            <v>144858.53</v>
          </cell>
        </row>
        <row r="1956">
          <cell r="A1956" t="str">
            <v>Actual</v>
          </cell>
          <cell r="B1956">
            <v>1</v>
          </cell>
          <cell r="C1956" t="str">
            <v>House</v>
          </cell>
          <cell r="D1956">
            <v>130</v>
          </cell>
          <cell r="E1956">
            <v>7484</v>
          </cell>
          <cell r="F1956" t="str">
            <v>OWENS-BROCKWAY GLASS CONTAINER</v>
          </cell>
          <cell r="G1956" t="str">
            <v>D</v>
          </cell>
          <cell r="H1956" t="str">
            <v>PORTLAND</v>
          </cell>
          <cell r="I1956" t="str">
            <v>OR</v>
          </cell>
          <cell r="J1956" t="str">
            <v>USA</v>
          </cell>
          <cell r="K1956" t="str">
            <v>OWENS-BROCKWAY GLASS CONTAINER</v>
          </cell>
          <cell r="L1956" t="str">
            <v>OR</v>
          </cell>
          <cell r="M1956" t="str">
            <v>USA</v>
          </cell>
          <cell r="N1956" t="str">
            <v>C</v>
          </cell>
          <cell r="O1956">
            <v>30210100</v>
          </cell>
          <cell r="P1956" t="str">
            <v>SODA ASH DENSE BULK</v>
          </cell>
          <cell r="Q1956" t="str">
            <v>Soda Ash</v>
          </cell>
          <cell r="R1956">
            <v>25.02</v>
          </cell>
          <cell r="S1956">
            <v>1719.62</v>
          </cell>
        </row>
        <row r="1957">
          <cell r="A1957" t="str">
            <v>Actual</v>
          </cell>
          <cell r="B1957">
            <v>1</v>
          </cell>
          <cell r="C1957" t="str">
            <v>House</v>
          </cell>
          <cell r="D1957">
            <v>130</v>
          </cell>
          <cell r="E1957">
            <v>8021</v>
          </cell>
          <cell r="F1957" t="str">
            <v>OWENS-ILLINOIS GLASS CONTAINER</v>
          </cell>
          <cell r="G1957" t="str">
            <v>D</v>
          </cell>
          <cell r="H1957" t="str">
            <v>WACO</v>
          </cell>
          <cell r="I1957" t="str">
            <v>TX</v>
          </cell>
          <cell r="J1957" t="str">
            <v>USA</v>
          </cell>
          <cell r="K1957" t="str">
            <v>OWENS-ILLINOIS GLASS CONTAINER</v>
          </cell>
          <cell r="L1957" t="str">
            <v>TX</v>
          </cell>
          <cell r="M1957" t="str">
            <v>USA</v>
          </cell>
          <cell r="N1957" t="str">
            <v>C</v>
          </cell>
          <cell r="O1957">
            <v>30218800</v>
          </cell>
          <cell r="P1957" t="str">
            <v>SODA ASH DENSE BULK (088)</v>
          </cell>
          <cell r="Q1957" t="str">
            <v>Soda Ash</v>
          </cell>
          <cell r="R1957">
            <v>1766.7750000000001</v>
          </cell>
          <cell r="S1957">
            <v>101589.6</v>
          </cell>
        </row>
        <row r="1958">
          <cell r="A1958" t="str">
            <v>Actual</v>
          </cell>
          <cell r="B1958">
            <v>1</v>
          </cell>
          <cell r="C1958" t="str">
            <v>House</v>
          </cell>
          <cell r="D1958">
            <v>130</v>
          </cell>
          <cell r="E1958">
            <v>8633</v>
          </cell>
          <cell r="F1958" t="str">
            <v>OWENS BROCKWAY GLASS</v>
          </cell>
          <cell r="G1958" t="str">
            <v>D</v>
          </cell>
          <cell r="H1958" t="str">
            <v>ZANESVILLE</v>
          </cell>
          <cell r="I1958" t="str">
            <v>OH</v>
          </cell>
          <cell r="J1958" t="str">
            <v>USA</v>
          </cell>
          <cell r="K1958" t="str">
            <v>OWENS BROCKWAY GLASS</v>
          </cell>
          <cell r="L1958" t="str">
            <v>OH</v>
          </cell>
          <cell r="M1958" t="str">
            <v>USA</v>
          </cell>
          <cell r="O1958">
            <v>30218800</v>
          </cell>
          <cell r="P1958" t="str">
            <v>SODA ASH DENSE BULK (088)</v>
          </cell>
          <cell r="Q1958" t="str">
            <v>Soda Ash</v>
          </cell>
          <cell r="R1958">
            <v>973.875</v>
          </cell>
          <cell r="S1958">
            <v>56244.49</v>
          </cell>
        </row>
        <row r="1959">
          <cell r="A1959" t="str">
            <v>Actual</v>
          </cell>
          <cell r="B1959">
            <v>1</v>
          </cell>
          <cell r="C1959" t="str">
            <v>House</v>
          </cell>
          <cell r="D1959">
            <v>130</v>
          </cell>
          <cell r="E1959">
            <v>8848</v>
          </cell>
          <cell r="F1959" t="str">
            <v>OWENS-BROCKWAY GLASS CONTAINER</v>
          </cell>
          <cell r="G1959" t="str">
            <v>D</v>
          </cell>
          <cell r="H1959" t="str">
            <v>VERNON</v>
          </cell>
          <cell r="I1959" t="str">
            <v>CA</v>
          </cell>
          <cell r="J1959" t="str">
            <v>USA</v>
          </cell>
          <cell r="K1959" t="str">
            <v>OWENS-BROCKWAY GLASS CONTAINER</v>
          </cell>
          <cell r="L1959" t="str">
            <v>CA</v>
          </cell>
          <cell r="M1959" t="str">
            <v>USA</v>
          </cell>
          <cell r="N1959" t="str">
            <v>C</v>
          </cell>
          <cell r="O1959">
            <v>40150400</v>
          </cell>
          <cell r="P1959" t="str">
            <v>SODIUM SULFATE COARSE BULK</v>
          </cell>
          <cell r="Q1959" t="str">
            <v>Sodium Sulfate</v>
          </cell>
          <cell r="R1959">
            <v>26.6</v>
          </cell>
          <cell r="S1959">
            <v>2960.58</v>
          </cell>
        </row>
        <row r="1960">
          <cell r="A1960" t="str">
            <v>Actual</v>
          </cell>
          <cell r="B1960">
            <v>1</v>
          </cell>
          <cell r="C1960" t="str">
            <v>House</v>
          </cell>
          <cell r="D1960">
            <v>130</v>
          </cell>
          <cell r="E1960">
            <v>8849</v>
          </cell>
          <cell r="F1960" t="str">
            <v>OWENS-BROCKWAY GLASS CONTAINER</v>
          </cell>
          <cell r="G1960" t="str">
            <v>D</v>
          </cell>
          <cell r="H1960" t="str">
            <v>OAKLAND</v>
          </cell>
          <cell r="I1960" t="str">
            <v>CA</v>
          </cell>
          <cell r="J1960" t="str">
            <v>USA</v>
          </cell>
          <cell r="K1960" t="str">
            <v>OWENS-BROCKWAY GLASS CONTAINER</v>
          </cell>
          <cell r="L1960" t="str">
            <v>CA</v>
          </cell>
          <cell r="M1960" t="str">
            <v>USA</v>
          </cell>
          <cell r="N1960" t="str">
            <v>C</v>
          </cell>
          <cell r="O1960">
            <v>40150400</v>
          </cell>
          <cell r="P1960" t="str">
            <v>SODIUM SULFATE COARSE BULK</v>
          </cell>
          <cell r="Q1960" t="str">
            <v>Sodium Sulfate</v>
          </cell>
          <cell r="R1960">
            <v>80.22</v>
          </cell>
          <cell r="S1960">
            <v>7460.46</v>
          </cell>
        </row>
        <row r="1961">
          <cell r="A1961" t="str">
            <v>Actual</v>
          </cell>
          <cell r="B1961">
            <v>1</v>
          </cell>
          <cell r="C1961" t="str">
            <v>House</v>
          </cell>
          <cell r="D1961">
            <v>130</v>
          </cell>
          <cell r="E1961">
            <v>8850</v>
          </cell>
          <cell r="F1961" t="str">
            <v>OWENS-BROCKWAY GLASS CONTAINER</v>
          </cell>
          <cell r="G1961" t="str">
            <v>D</v>
          </cell>
          <cell r="H1961" t="str">
            <v>TRACY</v>
          </cell>
          <cell r="I1961" t="str">
            <v>CA</v>
          </cell>
          <cell r="J1961" t="str">
            <v>USA</v>
          </cell>
          <cell r="K1961" t="str">
            <v>OWENS-BROCKWAY GLASS CONTAINER</v>
          </cell>
          <cell r="L1961" t="str">
            <v>CA</v>
          </cell>
          <cell r="M1961" t="str">
            <v>USA</v>
          </cell>
          <cell r="N1961" t="str">
            <v>C</v>
          </cell>
          <cell r="O1961">
            <v>40150400</v>
          </cell>
          <cell r="P1961" t="str">
            <v>SODIUM SULFATE COARSE BULK</v>
          </cell>
          <cell r="Q1961" t="str">
            <v>Sodium Sulfate</v>
          </cell>
          <cell r="R1961">
            <v>27.37</v>
          </cell>
          <cell r="S1961">
            <v>2736.18</v>
          </cell>
        </row>
        <row r="1962">
          <cell r="A1962" t="str">
            <v>Actual</v>
          </cell>
          <cell r="B1962">
            <v>1</v>
          </cell>
          <cell r="C1962" t="str">
            <v>House</v>
          </cell>
          <cell r="D1962">
            <v>130</v>
          </cell>
          <cell r="E1962">
            <v>9155</v>
          </cell>
          <cell r="F1962" t="str">
            <v>FEVISA INDUSTRIAL S.A. DE C.V.</v>
          </cell>
          <cell r="G1962" t="str">
            <v>E</v>
          </cell>
          <cell r="H1962" t="str">
            <v>MEXICALI</v>
          </cell>
          <cell r="J1962" t="str">
            <v>MEX</v>
          </cell>
          <cell r="K1962" t="str">
            <v>FEVISA INDUSTRIAL S.A. DE C.V.</v>
          </cell>
          <cell r="M1962" t="str">
            <v>MEX</v>
          </cell>
          <cell r="N1962" t="str">
            <v>C</v>
          </cell>
          <cell r="O1962">
            <v>30210100</v>
          </cell>
          <cell r="P1962" t="str">
            <v>SODA ASH DENSE BULK</v>
          </cell>
          <cell r="Q1962" t="str">
            <v>Soda Ash</v>
          </cell>
          <cell r="R1962">
            <v>1941.86</v>
          </cell>
          <cell r="S1962">
            <v>152382.78</v>
          </cell>
        </row>
        <row r="1963">
          <cell r="A1963" t="str">
            <v>Actual</v>
          </cell>
          <cell r="B1963">
            <v>2</v>
          </cell>
          <cell r="C1963" t="str">
            <v>Domestic</v>
          </cell>
          <cell r="D1963">
            <v>1</v>
          </cell>
          <cell r="E1963">
            <v>5380</v>
          </cell>
          <cell r="F1963" t="str">
            <v>U.S. BORAX INC.</v>
          </cell>
          <cell r="G1963" t="str">
            <v>D</v>
          </cell>
          <cell r="H1963" t="str">
            <v>BORON</v>
          </cell>
          <cell r="I1963" t="str">
            <v>CA</v>
          </cell>
          <cell r="J1963" t="str">
            <v>USA</v>
          </cell>
          <cell r="K1963" t="str">
            <v>U.S. BORAX INC.</v>
          </cell>
          <cell r="L1963" t="str">
            <v>CA</v>
          </cell>
          <cell r="M1963" t="str">
            <v>USA</v>
          </cell>
          <cell r="N1963" t="str">
            <v>C</v>
          </cell>
          <cell r="O1963">
            <v>30210100</v>
          </cell>
          <cell r="P1963" t="str">
            <v>SODA ASH DENSE BULK</v>
          </cell>
          <cell r="Q1963" t="str">
            <v>Soda Ash</v>
          </cell>
          <cell r="R1963">
            <v>163.53</v>
          </cell>
          <cell r="S1963">
            <v>14700.32</v>
          </cell>
        </row>
        <row r="1964">
          <cell r="A1964" t="str">
            <v>Actual</v>
          </cell>
          <cell r="B1964">
            <v>2</v>
          </cell>
          <cell r="C1964" t="str">
            <v>Domestic</v>
          </cell>
          <cell r="D1964">
            <v>1</v>
          </cell>
          <cell r="E1964">
            <v>5390</v>
          </cell>
          <cell r="F1964" t="str">
            <v>UNIVAR USA</v>
          </cell>
          <cell r="G1964" t="str">
            <v>D</v>
          </cell>
          <cell r="H1964" t="str">
            <v>CITY OF COMMERCE</v>
          </cell>
          <cell r="I1964" t="str">
            <v>CA</v>
          </cell>
          <cell r="J1964" t="str">
            <v>USA</v>
          </cell>
          <cell r="K1964" t="str">
            <v>UNIVAR USA</v>
          </cell>
          <cell r="L1964" t="str">
            <v>CA</v>
          </cell>
          <cell r="M1964" t="str">
            <v>USA</v>
          </cell>
          <cell r="N1964" t="str">
            <v>D</v>
          </cell>
          <cell r="O1964">
            <v>30210110</v>
          </cell>
          <cell r="P1964" t="str">
            <v>SODA ASH DENSE 50LB BAG</v>
          </cell>
          <cell r="Q1964" t="str">
            <v>Soda Ash</v>
          </cell>
          <cell r="R1964">
            <v>46.55</v>
          </cell>
          <cell r="S1964">
            <v>7877.75</v>
          </cell>
        </row>
        <row r="1965">
          <cell r="A1965" t="str">
            <v>Actual</v>
          </cell>
          <cell r="B1965">
            <v>2</v>
          </cell>
          <cell r="C1965" t="str">
            <v>Domestic</v>
          </cell>
          <cell r="D1965">
            <v>1</v>
          </cell>
          <cell r="E1965">
            <v>5390</v>
          </cell>
          <cell r="F1965" t="str">
            <v>UNIVAR USA</v>
          </cell>
          <cell r="G1965" t="str">
            <v>D</v>
          </cell>
          <cell r="H1965" t="str">
            <v>CITY OF COMMERCE</v>
          </cell>
          <cell r="I1965" t="str">
            <v>CA</v>
          </cell>
          <cell r="J1965" t="str">
            <v>USA</v>
          </cell>
          <cell r="K1965" t="str">
            <v>UNIVAR USA</v>
          </cell>
          <cell r="L1965" t="str">
            <v>CA</v>
          </cell>
          <cell r="M1965" t="str">
            <v>USA</v>
          </cell>
          <cell r="N1965" t="str">
            <v>D</v>
          </cell>
          <cell r="O1965">
            <v>40060410</v>
          </cell>
          <cell r="P1965" t="str">
            <v>SODIUM SULFATE STD 50LB BAG</v>
          </cell>
          <cell r="Q1965" t="str">
            <v>Sodium Sulfate</v>
          </cell>
          <cell r="R1965">
            <v>356.25</v>
          </cell>
          <cell r="S1965">
            <v>61291.25</v>
          </cell>
        </row>
        <row r="1966">
          <cell r="A1966" t="str">
            <v>Actual</v>
          </cell>
          <cell r="B1966">
            <v>2</v>
          </cell>
          <cell r="C1966" t="str">
            <v>Domestic</v>
          </cell>
          <cell r="D1966">
            <v>1</v>
          </cell>
          <cell r="E1966">
            <v>5429</v>
          </cell>
          <cell r="F1966" t="str">
            <v>UNIVAR USA</v>
          </cell>
          <cell r="G1966" t="str">
            <v>D</v>
          </cell>
          <cell r="H1966" t="str">
            <v>SAN JOSE</v>
          </cell>
          <cell r="I1966" t="str">
            <v>CA</v>
          </cell>
          <cell r="J1966" t="str">
            <v>USA</v>
          </cell>
          <cell r="K1966" t="str">
            <v>UNIVAR USA</v>
          </cell>
          <cell r="L1966" t="str">
            <v>CA</v>
          </cell>
          <cell r="M1966" t="str">
            <v>USA</v>
          </cell>
          <cell r="N1966" t="str">
            <v>D</v>
          </cell>
          <cell r="O1966">
            <v>30210110</v>
          </cell>
          <cell r="P1966" t="str">
            <v>SODA ASH DENSE 50LB BAG</v>
          </cell>
          <cell r="Q1966" t="str">
            <v>Soda Ash</v>
          </cell>
          <cell r="R1966">
            <v>23.274999999999999</v>
          </cell>
          <cell r="S1966">
            <v>3836.73</v>
          </cell>
        </row>
        <row r="1967">
          <cell r="A1967" t="str">
            <v>Actual</v>
          </cell>
          <cell r="B1967">
            <v>2</v>
          </cell>
          <cell r="C1967" t="str">
            <v>Domestic</v>
          </cell>
          <cell r="D1967">
            <v>1</v>
          </cell>
          <cell r="E1967">
            <v>5429</v>
          </cell>
          <cell r="F1967" t="str">
            <v>UNIVAR USA</v>
          </cell>
          <cell r="G1967" t="str">
            <v>D</v>
          </cell>
          <cell r="H1967" t="str">
            <v>SAN JOSE</v>
          </cell>
          <cell r="I1967" t="str">
            <v>CA</v>
          </cell>
          <cell r="J1967" t="str">
            <v>USA</v>
          </cell>
          <cell r="K1967" t="str">
            <v>UNIVAR USA</v>
          </cell>
          <cell r="L1967" t="str">
            <v>CA</v>
          </cell>
          <cell r="M1967" t="str">
            <v>USA</v>
          </cell>
          <cell r="N1967" t="str">
            <v>D</v>
          </cell>
          <cell r="O1967">
            <v>40060410</v>
          </cell>
          <cell r="P1967" t="str">
            <v>SODIUM SULFATE STD 50LB BAG</v>
          </cell>
          <cell r="Q1967" t="str">
            <v>Sodium Sulfate</v>
          </cell>
          <cell r="R1967">
            <v>23.75</v>
          </cell>
          <cell r="S1967">
            <v>4441.25</v>
          </cell>
        </row>
        <row r="1968">
          <cell r="A1968" t="str">
            <v>Actual</v>
          </cell>
          <cell r="B1968">
            <v>2</v>
          </cell>
          <cell r="C1968" t="str">
            <v>Domestic</v>
          </cell>
          <cell r="D1968">
            <v>1</v>
          </cell>
          <cell r="E1968">
            <v>5628</v>
          </cell>
          <cell r="F1968" t="str">
            <v>U.S. DYE</v>
          </cell>
          <cell r="G1968" t="str">
            <v>D</v>
          </cell>
          <cell r="H1968" t="str">
            <v>GARDEN GROVE</v>
          </cell>
          <cell r="I1968" t="str">
            <v>CA</v>
          </cell>
          <cell r="J1968" t="str">
            <v>USA</v>
          </cell>
          <cell r="K1968" t="str">
            <v>BRENNTAG WEST, INC.</v>
          </cell>
          <cell r="L1968" t="str">
            <v>CA</v>
          </cell>
          <cell r="M1968" t="str">
            <v>USA</v>
          </cell>
          <cell r="N1968" t="str">
            <v>D</v>
          </cell>
          <cell r="O1968">
            <v>40150410</v>
          </cell>
          <cell r="P1968" t="str">
            <v>SODIUM SULFATE CRS 50LB BAG</v>
          </cell>
          <cell r="Q1968" t="str">
            <v>Sodium Sulfate</v>
          </cell>
          <cell r="R1968">
            <v>23.75</v>
          </cell>
          <cell r="S1968">
            <v>3681.25</v>
          </cell>
        </row>
        <row r="1969">
          <cell r="A1969" t="str">
            <v>Actual</v>
          </cell>
          <cell r="B1969">
            <v>2</v>
          </cell>
          <cell r="C1969" t="str">
            <v>Domestic</v>
          </cell>
          <cell r="D1969">
            <v>1</v>
          </cell>
          <cell r="E1969">
            <v>5650</v>
          </cell>
          <cell r="F1969" t="str">
            <v>HUISH DETERGENTS INC</v>
          </cell>
          <cell r="G1969" t="str">
            <v>D</v>
          </cell>
          <cell r="H1969" t="str">
            <v>SALT LAKE CITY</v>
          </cell>
          <cell r="I1969" t="str">
            <v>UT</v>
          </cell>
          <cell r="J1969" t="str">
            <v>USA</v>
          </cell>
          <cell r="K1969" t="str">
            <v>HUISH DETERGENTS INC</v>
          </cell>
          <cell r="L1969" t="str">
            <v>UT</v>
          </cell>
          <cell r="M1969" t="str">
            <v>USA</v>
          </cell>
          <cell r="N1969" t="str">
            <v>C</v>
          </cell>
          <cell r="O1969">
            <v>40060400</v>
          </cell>
          <cell r="P1969" t="str">
            <v>SODIUM SULFATE STANDARD BULK</v>
          </cell>
          <cell r="Q1969" t="str">
            <v>Sodium Sulfate</v>
          </cell>
          <cell r="R1969">
            <v>755.49</v>
          </cell>
          <cell r="S1969">
            <v>50262.67</v>
          </cell>
        </row>
        <row r="1970">
          <cell r="A1970" t="str">
            <v>Actual</v>
          </cell>
          <cell r="B1970">
            <v>2</v>
          </cell>
          <cell r="C1970" t="str">
            <v>Domestic</v>
          </cell>
          <cell r="D1970">
            <v>1</v>
          </cell>
          <cell r="E1970">
            <v>6056</v>
          </cell>
          <cell r="F1970" t="str">
            <v>CELITE</v>
          </cell>
          <cell r="G1970" t="str">
            <v>D</v>
          </cell>
          <cell r="H1970" t="str">
            <v>LOMPOC</v>
          </cell>
          <cell r="I1970" t="str">
            <v>CA</v>
          </cell>
          <cell r="J1970" t="str">
            <v>USA</v>
          </cell>
          <cell r="K1970" t="str">
            <v>CELITE</v>
          </cell>
          <cell r="L1970" t="str">
            <v>CA</v>
          </cell>
          <cell r="M1970" t="str">
            <v>USA</v>
          </cell>
          <cell r="N1970" t="str">
            <v>C</v>
          </cell>
          <cell r="O1970">
            <v>30210100</v>
          </cell>
          <cell r="P1970" t="str">
            <v>SODA ASH DENSE BULK</v>
          </cell>
          <cell r="Q1970" t="str">
            <v>Soda Ash</v>
          </cell>
          <cell r="R1970">
            <v>888.93</v>
          </cell>
          <cell r="S1970">
            <v>71379.88</v>
          </cell>
        </row>
        <row r="1971">
          <cell r="A1971" t="str">
            <v>Actual</v>
          </cell>
          <cell r="B1971">
            <v>2</v>
          </cell>
          <cell r="C1971" t="str">
            <v>Domestic</v>
          </cell>
          <cell r="D1971">
            <v>1</v>
          </cell>
          <cell r="E1971">
            <v>6090</v>
          </cell>
          <cell r="F1971" t="str">
            <v>IN-CIDE TECHNOLOGIES</v>
          </cell>
          <cell r="G1971" t="str">
            <v>D</v>
          </cell>
          <cell r="H1971" t="str">
            <v>PHOENIX</v>
          </cell>
          <cell r="I1971" t="str">
            <v>AZ</v>
          </cell>
          <cell r="J1971" t="str">
            <v>USA</v>
          </cell>
          <cell r="K1971" t="str">
            <v>IN-CIDE TECHNOLOGIES</v>
          </cell>
          <cell r="L1971" t="str">
            <v>AZ</v>
          </cell>
          <cell r="M1971" t="str">
            <v>USA</v>
          </cell>
          <cell r="N1971" t="str">
            <v>C</v>
          </cell>
          <cell r="O1971">
            <v>22060400</v>
          </cell>
          <cell r="P1971" t="str">
            <v>V-BOR STD BULK (004)</v>
          </cell>
          <cell r="Q1971" t="str">
            <v>Penta</v>
          </cell>
          <cell r="R1971">
            <v>754.57500000000005</v>
          </cell>
          <cell r="S1971">
            <v>188092.91</v>
          </cell>
        </row>
        <row r="1972">
          <cell r="A1972" t="str">
            <v>Actual</v>
          </cell>
          <cell r="B1972">
            <v>2</v>
          </cell>
          <cell r="C1972" t="str">
            <v>Domestic</v>
          </cell>
          <cell r="D1972">
            <v>1</v>
          </cell>
          <cell r="E1972">
            <v>6090</v>
          </cell>
          <cell r="F1972" t="str">
            <v>IN-CIDE TECHNOLOGIES</v>
          </cell>
          <cell r="G1972" t="str">
            <v>D</v>
          </cell>
          <cell r="H1972" t="str">
            <v>PHOENIX</v>
          </cell>
          <cell r="I1972" t="str">
            <v>AZ</v>
          </cell>
          <cell r="J1972" t="str">
            <v>USA</v>
          </cell>
          <cell r="K1972" t="str">
            <v>IN-CIDE TECHNOLOGIES</v>
          </cell>
          <cell r="L1972" t="str">
            <v>AZ</v>
          </cell>
          <cell r="M1972" t="str">
            <v>USA</v>
          </cell>
          <cell r="N1972" t="str">
            <v>C</v>
          </cell>
          <cell r="O1972">
            <v>24090250</v>
          </cell>
          <cell r="P1972" t="str">
            <v>BORIC ACID GRAN TECH 1TN FIBC</v>
          </cell>
          <cell r="Q1972" t="str">
            <v>Boric Acid</v>
          </cell>
          <cell r="R1972">
            <v>88</v>
          </cell>
          <cell r="S1972">
            <v>36036</v>
          </cell>
        </row>
        <row r="1973">
          <cell r="A1973" t="str">
            <v>Actual</v>
          </cell>
          <cell r="B1973">
            <v>2</v>
          </cell>
          <cell r="C1973" t="str">
            <v>Domestic</v>
          </cell>
          <cell r="D1973">
            <v>1</v>
          </cell>
          <cell r="E1973">
            <v>6090</v>
          </cell>
          <cell r="F1973" t="str">
            <v>IN-CIDE TECHNOLOGIES</v>
          </cell>
          <cell r="G1973" t="str">
            <v>D</v>
          </cell>
          <cell r="H1973" t="str">
            <v>PHOENIX</v>
          </cell>
          <cell r="I1973" t="str">
            <v>AZ</v>
          </cell>
          <cell r="J1973" t="str">
            <v>USA</v>
          </cell>
          <cell r="K1973" t="str">
            <v>IN-CIDE TECHNOLOGIES</v>
          </cell>
          <cell r="L1973" t="str">
            <v>AZ</v>
          </cell>
          <cell r="M1973" t="str">
            <v>USA</v>
          </cell>
          <cell r="N1973" t="str">
            <v>C</v>
          </cell>
          <cell r="O1973">
            <v>24090251</v>
          </cell>
          <cell r="P1973" t="str">
            <v>BORIC ACID GRN TCH 2200LB FIBC</v>
          </cell>
          <cell r="Q1973" t="str">
            <v>Boric Acid</v>
          </cell>
          <cell r="R1973">
            <v>44</v>
          </cell>
          <cell r="S1973">
            <v>17967.95</v>
          </cell>
        </row>
        <row r="1974">
          <cell r="A1974" t="str">
            <v>Actual</v>
          </cell>
          <cell r="B1974">
            <v>2</v>
          </cell>
          <cell r="C1974" t="str">
            <v>Domestic</v>
          </cell>
          <cell r="D1974">
            <v>1</v>
          </cell>
          <cell r="E1974">
            <v>6104</v>
          </cell>
          <cell r="F1974" t="str">
            <v>PACIFIC COAST CHEMICALS, INC.</v>
          </cell>
          <cell r="G1974" t="str">
            <v>D</v>
          </cell>
          <cell r="H1974" t="str">
            <v>BERKELEY</v>
          </cell>
          <cell r="I1974" t="str">
            <v>CA</v>
          </cell>
          <cell r="J1974" t="str">
            <v>USA</v>
          </cell>
          <cell r="K1974" t="str">
            <v>PACIFIC COAST CHEMICALS, INC.</v>
          </cell>
          <cell r="L1974" t="str">
            <v>CA</v>
          </cell>
          <cell r="M1974" t="str">
            <v>USA</v>
          </cell>
          <cell r="N1974" t="str">
            <v>D</v>
          </cell>
          <cell r="O1974">
            <v>24030210</v>
          </cell>
          <cell r="P1974" t="str">
            <v>BORIC ACID PWD TECH 50LB BAG</v>
          </cell>
          <cell r="Q1974" t="str">
            <v>Boric Acid</v>
          </cell>
          <cell r="R1974">
            <v>21.6</v>
          </cell>
          <cell r="S1974">
            <v>19980</v>
          </cell>
        </row>
        <row r="1975">
          <cell r="A1975" t="str">
            <v>Actual</v>
          </cell>
          <cell r="B1975">
            <v>2</v>
          </cell>
          <cell r="C1975" t="str">
            <v>Domestic</v>
          </cell>
          <cell r="D1975">
            <v>1</v>
          </cell>
          <cell r="E1975">
            <v>6396</v>
          </cell>
          <cell r="F1975" t="str">
            <v>OIL DRY CORPORATION</v>
          </cell>
          <cell r="G1975" t="str">
            <v>D</v>
          </cell>
          <cell r="H1975" t="str">
            <v>OCHLOCKNEE</v>
          </cell>
          <cell r="I1975" t="str">
            <v>GA</v>
          </cell>
          <cell r="J1975" t="str">
            <v>USA</v>
          </cell>
          <cell r="K1975" t="str">
            <v>THE CLOROX CO.</v>
          </cell>
          <cell r="L1975" t="str">
            <v>CA</v>
          </cell>
          <cell r="M1975" t="str">
            <v>USA</v>
          </cell>
          <cell r="N1975" t="str">
            <v>C</v>
          </cell>
          <cell r="O1975">
            <v>22060410</v>
          </cell>
          <cell r="P1975" t="str">
            <v>V-BOR 50LB BAG (004)</v>
          </cell>
          <cell r="Q1975" t="str">
            <v>Penta</v>
          </cell>
          <cell r="R1975">
            <v>44.1</v>
          </cell>
          <cell r="S1975">
            <v>11606.61</v>
          </cell>
        </row>
        <row r="1976">
          <cell r="A1976" t="str">
            <v>Actual</v>
          </cell>
          <cell r="B1976">
            <v>2</v>
          </cell>
          <cell r="C1976" t="str">
            <v>Domestic</v>
          </cell>
          <cell r="D1976">
            <v>1</v>
          </cell>
          <cell r="E1976">
            <v>6396</v>
          </cell>
          <cell r="F1976" t="str">
            <v>OIL DRY CORPORATION</v>
          </cell>
          <cell r="G1976" t="str">
            <v>D</v>
          </cell>
          <cell r="H1976" t="str">
            <v>OCHLOCKNEE</v>
          </cell>
          <cell r="I1976" t="str">
            <v>GA</v>
          </cell>
          <cell r="J1976" t="str">
            <v>USA</v>
          </cell>
          <cell r="K1976" t="str">
            <v>THE CLOROX CO.</v>
          </cell>
          <cell r="L1976" t="str">
            <v>CA</v>
          </cell>
          <cell r="M1976" t="str">
            <v>USA</v>
          </cell>
          <cell r="N1976" t="str">
            <v>C</v>
          </cell>
          <cell r="O1976">
            <v>24790210</v>
          </cell>
          <cell r="P1976" t="str">
            <v>BORIC ACID GRN TCH 50LB PEST</v>
          </cell>
          <cell r="Q1976" t="str">
            <v>Boric Acid</v>
          </cell>
          <cell r="R1976">
            <v>44.1</v>
          </cell>
          <cell r="S1976">
            <v>21264.51</v>
          </cell>
        </row>
        <row r="1977">
          <cell r="A1977" t="str">
            <v>Actual</v>
          </cell>
          <cell r="B1977">
            <v>2</v>
          </cell>
          <cell r="C1977" t="str">
            <v>Domestic</v>
          </cell>
          <cell r="D1977">
            <v>1</v>
          </cell>
          <cell r="E1977">
            <v>6541</v>
          </cell>
          <cell r="F1977" t="str">
            <v>GALLADE CHEMICAL COMPANY</v>
          </cell>
          <cell r="G1977" t="str">
            <v>D</v>
          </cell>
          <cell r="H1977" t="str">
            <v>FONTANA</v>
          </cell>
          <cell r="I1977" t="str">
            <v>CA</v>
          </cell>
          <cell r="J1977" t="str">
            <v>USA</v>
          </cell>
          <cell r="K1977" t="str">
            <v>GALLADE CHEMICAL CO</v>
          </cell>
          <cell r="L1977" t="str">
            <v>CA</v>
          </cell>
          <cell r="M1977" t="str">
            <v>USA</v>
          </cell>
          <cell r="N1977" t="str">
            <v>D</v>
          </cell>
          <cell r="O1977">
            <v>24090210</v>
          </cell>
          <cell r="P1977" t="str">
            <v>BORIC ACID GRAN TECH 50LB BAG</v>
          </cell>
          <cell r="Q1977" t="str">
            <v>Boric Acid</v>
          </cell>
          <cell r="R1977">
            <v>9.8000000000000007</v>
          </cell>
          <cell r="S1977">
            <v>7555.8</v>
          </cell>
        </row>
        <row r="1978">
          <cell r="A1978" t="str">
            <v>Actual</v>
          </cell>
          <cell r="B1978">
            <v>2</v>
          </cell>
          <cell r="C1978" t="str">
            <v>Domestic</v>
          </cell>
          <cell r="D1978">
            <v>1</v>
          </cell>
          <cell r="E1978">
            <v>6541</v>
          </cell>
          <cell r="F1978" t="str">
            <v>GALLADE CHEMICAL COMPANY</v>
          </cell>
          <cell r="G1978" t="str">
            <v>D</v>
          </cell>
          <cell r="H1978" t="str">
            <v>FONTANA</v>
          </cell>
          <cell r="I1978" t="str">
            <v>CA</v>
          </cell>
          <cell r="J1978" t="str">
            <v>USA</v>
          </cell>
          <cell r="K1978" t="str">
            <v>GALLADE CHEMICAL CO</v>
          </cell>
          <cell r="L1978" t="str">
            <v>CA</v>
          </cell>
          <cell r="M1978" t="str">
            <v>USA</v>
          </cell>
          <cell r="N1978" t="str">
            <v>D</v>
          </cell>
          <cell r="O1978">
            <v>40060410</v>
          </cell>
          <cell r="P1978" t="str">
            <v>SODIUM SULFATE STD 50LB BAG</v>
          </cell>
          <cell r="Q1978" t="str">
            <v>Sodium Sulfate</v>
          </cell>
          <cell r="R1978">
            <v>12.5</v>
          </cell>
          <cell r="S1978">
            <v>2437.5</v>
          </cell>
        </row>
        <row r="1979">
          <cell r="A1979" t="str">
            <v>Actual</v>
          </cell>
          <cell r="B1979">
            <v>2</v>
          </cell>
          <cell r="C1979" t="str">
            <v>Domestic</v>
          </cell>
          <cell r="D1979">
            <v>1</v>
          </cell>
          <cell r="E1979">
            <v>6717</v>
          </cell>
          <cell r="F1979" t="str">
            <v>NEVADA POWER COMPANY</v>
          </cell>
          <cell r="G1979" t="str">
            <v>D</v>
          </cell>
          <cell r="H1979" t="str">
            <v>MOAPA</v>
          </cell>
          <cell r="I1979" t="str">
            <v>NV</v>
          </cell>
          <cell r="J1979" t="str">
            <v>USA</v>
          </cell>
          <cell r="K1979" t="str">
            <v>NEVADA POWER COMPANY</v>
          </cell>
          <cell r="L1979" t="str">
            <v>NV</v>
          </cell>
          <cell r="M1979" t="str">
            <v>USA</v>
          </cell>
          <cell r="N1979" t="str">
            <v>C</v>
          </cell>
          <cell r="O1979">
            <v>30210100</v>
          </cell>
          <cell r="P1979" t="str">
            <v>SODA ASH DENSE BULK</v>
          </cell>
          <cell r="Q1979" t="str">
            <v>Soda Ash</v>
          </cell>
          <cell r="R1979">
            <v>1624.61</v>
          </cell>
          <cell r="S1979">
            <v>127923.27</v>
          </cell>
        </row>
        <row r="1980">
          <cell r="A1980" t="str">
            <v>Actual</v>
          </cell>
          <cell r="B1980">
            <v>2</v>
          </cell>
          <cell r="C1980" t="str">
            <v>Domestic</v>
          </cell>
          <cell r="D1980">
            <v>1</v>
          </cell>
          <cell r="E1980">
            <v>6960</v>
          </cell>
          <cell r="F1980" t="str">
            <v>BRENNTAG WEST, INC.</v>
          </cell>
          <cell r="G1980" t="str">
            <v>D</v>
          </cell>
          <cell r="H1980" t="str">
            <v>SANTA FE SPRINGS</v>
          </cell>
          <cell r="I1980" t="str">
            <v>CA</v>
          </cell>
          <cell r="J1980" t="str">
            <v>USA</v>
          </cell>
          <cell r="K1980" t="str">
            <v>BRENNTAG WEST, INC.</v>
          </cell>
          <cell r="L1980" t="str">
            <v>CA</v>
          </cell>
          <cell r="M1980" t="str">
            <v>USA</v>
          </cell>
          <cell r="N1980" t="str">
            <v>D</v>
          </cell>
          <cell r="O1980">
            <v>22060410</v>
          </cell>
          <cell r="P1980" t="str">
            <v>V-BOR 50LB BAG (004)</v>
          </cell>
          <cell r="Q1980" t="str">
            <v>Penta</v>
          </cell>
          <cell r="R1980">
            <v>0</v>
          </cell>
          <cell r="S1980">
            <v>-171.5</v>
          </cell>
        </row>
        <row r="1981">
          <cell r="A1981" t="str">
            <v>Actual</v>
          </cell>
          <cell r="B1981">
            <v>2</v>
          </cell>
          <cell r="C1981" t="str">
            <v>Domestic</v>
          </cell>
          <cell r="D1981">
            <v>1</v>
          </cell>
          <cell r="E1981">
            <v>6960</v>
          </cell>
          <cell r="F1981" t="str">
            <v>BRENNTAG WEST, INC.</v>
          </cell>
          <cell r="G1981" t="str">
            <v>D</v>
          </cell>
          <cell r="H1981" t="str">
            <v>SANTA FE SPRINGS</v>
          </cell>
          <cell r="I1981" t="str">
            <v>CA</v>
          </cell>
          <cell r="J1981" t="str">
            <v>USA</v>
          </cell>
          <cell r="K1981" t="str">
            <v>BRENNTAG WEST, INC.</v>
          </cell>
          <cell r="L1981" t="str">
            <v>CA</v>
          </cell>
          <cell r="M1981" t="str">
            <v>USA</v>
          </cell>
          <cell r="N1981" t="str">
            <v>D</v>
          </cell>
          <cell r="O1981">
            <v>24090210</v>
          </cell>
          <cell r="P1981" t="str">
            <v>BORIC ACID GRAN TECH 50LB BAG</v>
          </cell>
          <cell r="Q1981" t="str">
            <v>Boric Acid</v>
          </cell>
          <cell r="R1981">
            <v>3.6749999999999998</v>
          </cell>
          <cell r="S1981">
            <v>2770.95</v>
          </cell>
        </row>
        <row r="1982">
          <cell r="A1982" t="str">
            <v>Actual</v>
          </cell>
          <cell r="B1982">
            <v>2</v>
          </cell>
          <cell r="C1982" t="str">
            <v>Domestic</v>
          </cell>
          <cell r="D1982">
            <v>1</v>
          </cell>
          <cell r="E1982">
            <v>6960</v>
          </cell>
          <cell r="F1982" t="str">
            <v>BRENNTAG WEST, INC.</v>
          </cell>
          <cell r="G1982" t="str">
            <v>D</v>
          </cell>
          <cell r="H1982" t="str">
            <v>SANTA FE SPRINGS</v>
          </cell>
          <cell r="I1982" t="str">
            <v>CA</v>
          </cell>
          <cell r="J1982" t="str">
            <v>USA</v>
          </cell>
          <cell r="K1982" t="str">
            <v>BRENNTAG WEST, INC.</v>
          </cell>
          <cell r="L1982" t="str">
            <v>CA</v>
          </cell>
          <cell r="M1982" t="str">
            <v>USA</v>
          </cell>
          <cell r="N1982" t="str">
            <v>D</v>
          </cell>
          <cell r="O1982">
            <v>30210110</v>
          </cell>
          <cell r="P1982" t="str">
            <v>SODA ASH DENSE 50LB BAG</v>
          </cell>
          <cell r="Q1982" t="str">
            <v>Soda Ash</v>
          </cell>
          <cell r="R1982">
            <v>44.1</v>
          </cell>
          <cell r="S1982">
            <v>6950.63</v>
          </cell>
        </row>
        <row r="1983">
          <cell r="A1983" t="str">
            <v>Actual</v>
          </cell>
          <cell r="B1983">
            <v>2</v>
          </cell>
          <cell r="C1983" t="str">
            <v>Domestic</v>
          </cell>
          <cell r="D1983">
            <v>1</v>
          </cell>
          <cell r="E1983">
            <v>6960</v>
          </cell>
          <cell r="F1983" t="str">
            <v>BRENNTAG WEST, INC.</v>
          </cell>
          <cell r="G1983" t="str">
            <v>D</v>
          </cell>
          <cell r="H1983" t="str">
            <v>SANTA FE SPRINGS</v>
          </cell>
          <cell r="I1983" t="str">
            <v>CA</v>
          </cell>
          <cell r="J1983" t="str">
            <v>USA</v>
          </cell>
          <cell r="K1983" t="str">
            <v>BRENNTAG WEST, INC.</v>
          </cell>
          <cell r="L1983" t="str">
            <v>CA</v>
          </cell>
          <cell r="M1983" t="str">
            <v>USA</v>
          </cell>
          <cell r="N1983" t="str">
            <v>D</v>
          </cell>
          <cell r="O1983">
            <v>40150410</v>
          </cell>
          <cell r="P1983" t="str">
            <v>SODIUM SULFATE CRS 50LB BAG</v>
          </cell>
          <cell r="Q1983" t="str">
            <v>Sodium Sulfate</v>
          </cell>
          <cell r="R1983">
            <v>137.5</v>
          </cell>
          <cell r="S1983">
            <v>24367.5</v>
          </cell>
        </row>
        <row r="1984">
          <cell r="A1984" t="str">
            <v>Actual</v>
          </cell>
          <cell r="B1984">
            <v>2</v>
          </cell>
          <cell r="C1984" t="str">
            <v>Domestic</v>
          </cell>
          <cell r="D1984">
            <v>1</v>
          </cell>
          <cell r="E1984">
            <v>6960</v>
          </cell>
          <cell r="F1984" t="str">
            <v>BRENNTAG WEST, INC.</v>
          </cell>
          <cell r="G1984" t="str">
            <v>D</v>
          </cell>
          <cell r="H1984" t="str">
            <v>SANTA FE SPRINGS</v>
          </cell>
          <cell r="I1984" t="str">
            <v>CA</v>
          </cell>
          <cell r="J1984" t="str">
            <v>USA</v>
          </cell>
          <cell r="K1984" t="str">
            <v>BRENNTAG WEST, INC.</v>
          </cell>
          <cell r="L1984" t="str">
            <v>CA</v>
          </cell>
          <cell r="M1984" t="str">
            <v>USA</v>
          </cell>
          <cell r="N1984" t="str">
            <v>D</v>
          </cell>
          <cell r="O1984">
            <v>40150430</v>
          </cell>
          <cell r="P1984" t="str">
            <v>SODIUM SULFATE CRS 100LB BG</v>
          </cell>
          <cell r="Q1984" t="str">
            <v>Sodium Sulfate</v>
          </cell>
          <cell r="R1984">
            <v>25</v>
          </cell>
          <cell r="S1984">
            <v>4750</v>
          </cell>
        </row>
        <row r="1985">
          <cell r="A1985" t="str">
            <v>Actual</v>
          </cell>
          <cell r="B1985">
            <v>2</v>
          </cell>
          <cell r="C1985" t="str">
            <v>Domestic</v>
          </cell>
          <cell r="D1985">
            <v>1</v>
          </cell>
          <cell r="E1985">
            <v>7020</v>
          </cell>
          <cell r="F1985" t="str">
            <v>ISP ALGINATES</v>
          </cell>
          <cell r="G1985" t="str">
            <v>D</v>
          </cell>
          <cell r="H1985" t="str">
            <v>SAN DIEGO</v>
          </cell>
          <cell r="I1985" t="str">
            <v>CA</v>
          </cell>
          <cell r="J1985" t="str">
            <v>USA</v>
          </cell>
          <cell r="K1985" t="str">
            <v>UNIVAR USA</v>
          </cell>
          <cell r="L1985" t="str">
            <v>CA</v>
          </cell>
          <cell r="M1985" t="str">
            <v>USA</v>
          </cell>
          <cell r="N1985" t="str">
            <v>D</v>
          </cell>
          <cell r="O1985">
            <v>30210100</v>
          </cell>
          <cell r="P1985" t="str">
            <v>SODA ASH DENSE BULK</v>
          </cell>
          <cell r="Q1985" t="str">
            <v>Soda Ash</v>
          </cell>
          <cell r="R1985">
            <v>235.76</v>
          </cell>
          <cell r="S1985">
            <v>21218.400000000001</v>
          </cell>
        </row>
        <row r="1986">
          <cell r="A1986" t="str">
            <v>Actual</v>
          </cell>
          <cell r="B1986">
            <v>2</v>
          </cell>
          <cell r="C1986" t="str">
            <v>Domestic</v>
          </cell>
          <cell r="D1986">
            <v>1</v>
          </cell>
          <cell r="E1986">
            <v>7048</v>
          </cell>
          <cell r="F1986" t="str">
            <v>SUPER BRANDS INC.</v>
          </cell>
          <cell r="G1986" t="str">
            <v>D</v>
          </cell>
          <cell r="H1986" t="str">
            <v>HENDERSON</v>
          </cell>
          <cell r="I1986" t="str">
            <v>NV</v>
          </cell>
          <cell r="J1986" t="str">
            <v>USA</v>
          </cell>
          <cell r="K1986" t="str">
            <v>UNIVAR USA</v>
          </cell>
          <cell r="L1986" t="str">
            <v>CA</v>
          </cell>
          <cell r="M1986" t="str">
            <v>USA</v>
          </cell>
          <cell r="N1986" t="str">
            <v>D</v>
          </cell>
          <cell r="O1986">
            <v>40070410</v>
          </cell>
          <cell r="P1986" t="str">
            <v>SODIUM SULFATE MEDIUM 50LB BAG</v>
          </cell>
          <cell r="Q1986" t="str">
            <v>Sodium Sulfate</v>
          </cell>
          <cell r="R1986">
            <v>0</v>
          </cell>
          <cell r="S1986">
            <v>-23.8</v>
          </cell>
        </row>
        <row r="1987">
          <cell r="A1987" t="str">
            <v>Actual</v>
          </cell>
          <cell r="B1987">
            <v>2</v>
          </cell>
          <cell r="C1987" t="str">
            <v>Domestic</v>
          </cell>
          <cell r="D1987">
            <v>1</v>
          </cell>
          <cell r="E1987">
            <v>7076</v>
          </cell>
          <cell r="F1987" t="str">
            <v>TUCSON ELECTRIC</v>
          </cell>
          <cell r="G1987" t="str">
            <v>D</v>
          </cell>
          <cell r="H1987" t="str">
            <v>SPRINGERVILLE</v>
          </cell>
          <cell r="I1987" t="str">
            <v>AZ</v>
          </cell>
          <cell r="J1987" t="str">
            <v>USA</v>
          </cell>
          <cell r="K1987" t="str">
            <v>UNIVAR USA</v>
          </cell>
          <cell r="L1987" t="str">
            <v>NM</v>
          </cell>
          <cell r="M1987" t="str">
            <v>USA</v>
          </cell>
          <cell r="N1987" t="str">
            <v>D</v>
          </cell>
          <cell r="O1987">
            <v>30210100</v>
          </cell>
          <cell r="P1987" t="str">
            <v>SODA ASH DENSE BULK</v>
          </cell>
          <cell r="Q1987" t="str">
            <v>Soda Ash</v>
          </cell>
          <cell r="R1987">
            <v>289.91000000000003</v>
          </cell>
          <cell r="S1987">
            <v>20560.97</v>
          </cell>
        </row>
        <row r="1988">
          <cell r="A1988" t="str">
            <v>Actual</v>
          </cell>
          <cell r="B1988">
            <v>2</v>
          </cell>
          <cell r="C1988" t="str">
            <v>Domestic</v>
          </cell>
          <cell r="D1988">
            <v>1</v>
          </cell>
          <cell r="E1988">
            <v>7338</v>
          </cell>
          <cell r="F1988" t="str">
            <v>PACIFICA CHEMICAL</v>
          </cell>
          <cell r="G1988" t="str">
            <v>D</v>
          </cell>
          <cell r="H1988" t="str">
            <v>CARSON</v>
          </cell>
          <cell r="I1988" t="str">
            <v>CA</v>
          </cell>
          <cell r="J1988" t="str">
            <v>USA</v>
          </cell>
          <cell r="K1988" t="str">
            <v>UNIVAR USA</v>
          </cell>
          <cell r="L1988" t="str">
            <v>CA</v>
          </cell>
          <cell r="M1988" t="str">
            <v>USA</v>
          </cell>
          <cell r="N1988" t="str">
            <v>D</v>
          </cell>
          <cell r="O1988">
            <v>40060410</v>
          </cell>
          <cell r="P1988" t="str">
            <v>SODIUM SULFATE STD 50LB BAG</v>
          </cell>
          <cell r="Q1988" t="str">
            <v>Sodium Sulfate</v>
          </cell>
          <cell r="R1988">
            <v>23.75</v>
          </cell>
          <cell r="S1988">
            <v>4441.25</v>
          </cell>
        </row>
        <row r="1989">
          <cell r="A1989" t="str">
            <v>Actual</v>
          </cell>
          <cell r="B1989">
            <v>2</v>
          </cell>
          <cell r="C1989" t="str">
            <v>Domestic</v>
          </cell>
          <cell r="D1989">
            <v>1</v>
          </cell>
          <cell r="E1989">
            <v>7420</v>
          </cell>
          <cell r="F1989" t="str">
            <v>MID CONTINENT PACKAGING</v>
          </cell>
          <cell r="G1989" t="str">
            <v>D</v>
          </cell>
          <cell r="H1989" t="str">
            <v>ENID</v>
          </cell>
          <cell r="I1989" t="str">
            <v>OK</v>
          </cell>
          <cell r="J1989" t="str">
            <v>USA</v>
          </cell>
          <cell r="K1989" t="str">
            <v>MID CONTINENT PACKAGING</v>
          </cell>
          <cell r="L1989" t="str">
            <v>OK</v>
          </cell>
          <cell r="M1989" t="str">
            <v>USA</v>
          </cell>
          <cell r="N1989" t="str">
            <v>C</v>
          </cell>
          <cell r="O1989">
            <v>24090210</v>
          </cell>
          <cell r="P1989" t="str">
            <v>BORIC ACID GRAN TECH 50LB BAG</v>
          </cell>
          <cell r="Q1989" t="str">
            <v>Boric Acid</v>
          </cell>
          <cell r="R1989">
            <v>44.1</v>
          </cell>
          <cell r="S1989">
            <v>22500.02</v>
          </cell>
        </row>
        <row r="1990">
          <cell r="A1990" t="str">
            <v>Actual</v>
          </cell>
          <cell r="B1990">
            <v>2</v>
          </cell>
          <cell r="C1990" t="str">
            <v>Domestic</v>
          </cell>
          <cell r="D1990">
            <v>1</v>
          </cell>
          <cell r="E1990">
            <v>7684</v>
          </cell>
          <cell r="F1990" t="str">
            <v>BASIC FOODS</v>
          </cell>
          <cell r="G1990" t="str">
            <v>D</v>
          </cell>
          <cell r="H1990" t="str">
            <v>N. LAS VEGAS</v>
          </cell>
          <cell r="I1990" t="str">
            <v>NV</v>
          </cell>
          <cell r="J1990" t="str">
            <v>USA</v>
          </cell>
          <cell r="K1990" t="str">
            <v>BRENNTAG WEST, INC.</v>
          </cell>
          <cell r="L1990" t="str">
            <v>CA</v>
          </cell>
          <cell r="M1990" t="str">
            <v>USA</v>
          </cell>
          <cell r="N1990" t="str">
            <v>D</v>
          </cell>
          <cell r="O1990">
            <v>30210100</v>
          </cell>
          <cell r="P1990" t="str">
            <v>SODA ASH DENSE BULK</v>
          </cell>
          <cell r="Q1990" t="str">
            <v>Soda Ash</v>
          </cell>
          <cell r="R1990">
            <v>26</v>
          </cell>
          <cell r="S1990">
            <v>2130.52</v>
          </cell>
        </row>
        <row r="1991">
          <cell r="A1991" t="str">
            <v>Actual</v>
          </cell>
          <cell r="B1991">
            <v>2</v>
          </cell>
          <cell r="C1991" t="str">
            <v>Domestic</v>
          </cell>
          <cell r="D1991">
            <v>1</v>
          </cell>
          <cell r="E1991">
            <v>7832</v>
          </cell>
          <cell r="F1991" t="str">
            <v>ANACHEMIA SCIENCE</v>
          </cell>
          <cell r="G1991" t="str">
            <v>D</v>
          </cell>
          <cell r="H1991" t="str">
            <v>SPARKS</v>
          </cell>
          <cell r="I1991" t="str">
            <v>NV</v>
          </cell>
          <cell r="J1991" t="str">
            <v>USA</v>
          </cell>
          <cell r="K1991" t="str">
            <v>UNIVAR USA</v>
          </cell>
          <cell r="L1991" t="str">
            <v>CA</v>
          </cell>
          <cell r="M1991" t="str">
            <v>USA</v>
          </cell>
          <cell r="N1991" t="str">
            <v>D</v>
          </cell>
          <cell r="O1991">
            <v>20060210</v>
          </cell>
          <cell r="P1991" t="str">
            <v>PYROBOR 50LB BAG (002)</v>
          </cell>
          <cell r="Q1991" t="str">
            <v>Pyrobor</v>
          </cell>
          <cell r="R1991">
            <v>7.35</v>
          </cell>
          <cell r="S1991">
            <v>5856.5591999999997</v>
          </cell>
        </row>
        <row r="1992">
          <cell r="A1992" t="str">
            <v>Actual</v>
          </cell>
          <cell r="B1992">
            <v>2</v>
          </cell>
          <cell r="C1992" t="str">
            <v>Domestic</v>
          </cell>
          <cell r="D1992">
            <v>1</v>
          </cell>
          <cell r="E1992">
            <v>7832</v>
          </cell>
          <cell r="F1992" t="str">
            <v>ANACHEMIA SCIENCE</v>
          </cell>
          <cell r="G1992" t="str">
            <v>D</v>
          </cell>
          <cell r="H1992" t="str">
            <v>SPARKS</v>
          </cell>
          <cell r="I1992" t="str">
            <v>NV</v>
          </cell>
          <cell r="J1992" t="str">
            <v>USA</v>
          </cell>
          <cell r="K1992" t="str">
            <v>UNIVAR USA</v>
          </cell>
          <cell r="L1992" t="str">
            <v>CA</v>
          </cell>
          <cell r="M1992" t="str">
            <v>USA</v>
          </cell>
          <cell r="N1992" t="str">
            <v>D</v>
          </cell>
          <cell r="O1992">
            <v>30210110</v>
          </cell>
          <cell r="P1992" t="str">
            <v>SODA ASH DENSE 50LB BAG</v>
          </cell>
          <cell r="Q1992" t="str">
            <v>Soda Ash</v>
          </cell>
          <cell r="R1992">
            <v>14.7</v>
          </cell>
          <cell r="S1992">
            <v>2407.9407999999999</v>
          </cell>
        </row>
        <row r="1993">
          <cell r="A1993" t="str">
            <v>Actual</v>
          </cell>
          <cell r="B1993">
            <v>2</v>
          </cell>
          <cell r="C1993" t="str">
            <v>Domestic</v>
          </cell>
          <cell r="D1993">
            <v>1</v>
          </cell>
          <cell r="E1993">
            <v>7939</v>
          </cell>
          <cell r="F1993" t="str">
            <v>G.P. GYPSUM</v>
          </cell>
          <cell r="G1993" t="str">
            <v>D</v>
          </cell>
          <cell r="H1993" t="str">
            <v>ANTIOCH</v>
          </cell>
          <cell r="I1993" t="str">
            <v>CA</v>
          </cell>
          <cell r="J1993" t="str">
            <v>USA</v>
          </cell>
          <cell r="K1993" t="str">
            <v>UNIVAR USA</v>
          </cell>
          <cell r="L1993" t="str">
            <v>CA</v>
          </cell>
          <cell r="M1993" t="str">
            <v>USA</v>
          </cell>
          <cell r="N1993" t="str">
            <v>D</v>
          </cell>
          <cell r="O1993">
            <v>24090250</v>
          </cell>
          <cell r="P1993" t="str">
            <v>BORIC ACID GRAN TECH 1TN FIBC</v>
          </cell>
          <cell r="Q1993" t="str">
            <v>Boric Acid</v>
          </cell>
          <cell r="R1993">
            <v>22</v>
          </cell>
          <cell r="S1993">
            <v>12954.09</v>
          </cell>
        </row>
        <row r="1994">
          <cell r="A1994" t="str">
            <v>Actual</v>
          </cell>
          <cell r="B1994">
            <v>2</v>
          </cell>
          <cell r="C1994" t="str">
            <v>Domestic</v>
          </cell>
          <cell r="D1994">
            <v>1</v>
          </cell>
          <cell r="E1994">
            <v>8135</v>
          </cell>
          <cell r="F1994" t="str">
            <v>PACIFIC CONTINENTAL TEXTILE</v>
          </cell>
          <cell r="G1994" t="str">
            <v>D</v>
          </cell>
          <cell r="H1994" t="str">
            <v>COMPTON</v>
          </cell>
          <cell r="I1994" t="str">
            <v>CA</v>
          </cell>
          <cell r="J1994" t="str">
            <v>USA</v>
          </cell>
          <cell r="K1994" t="str">
            <v>BRENNTAG WEST, INC.</v>
          </cell>
          <cell r="L1994" t="str">
            <v>CA</v>
          </cell>
          <cell r="M1994" t="str">
            <v>USA</v>
          </cell>
          <cell r="N1994" t="str">
            <v>D</v>
          </cell>
          <cell r="O1994">
            <v>40150410</v>
          </cell>
          <cell r="P1994" t="str">
            <v>SODIUM SULFATE CRS 50LB BAG</v>
          </cell>
          <cell r="Q1994" t="str">
            <v>Sodium Sulfate</v>
          </cell>
          <cell r="R1994">
            <v>166.25</v>
          </cell>
          <cell r="S1994">
            <v>29093.75</v>
          </cell>
        </row>
        <row r="1995">
          <cell r="A1995" t="str">
            <v>Actual</v>
          </cell>
          <cell r="B1995">
            <v>2</v>
          </cell>
          <cell r="C1995" t="str">
            <v>Domestic</v>
          </cell>
          <cell r="D1995">
            <v>1</v>
          </cell>
          <cell r="E1995">
            <v>8173</v>
          </cell>
          <cell r="F1995" t="str">
            <v>CHEM LAB PRODUCTS</v>
          </cell>
          <cell r="G1995" t="str">
            <v>D</v>
          </cell>
          <cell r="H1995" t="str">
            <v>ONTARIO</v>
          </cell>
          <cell r="I1995" t="str">
            <v>CA</v>
          </cell>
          <cell r="J1995" t="str">
            <v>USA</v>
          </cell>
          <cell r="K1995" t="str">
            <v>BRENNTAG WEST, INC.</v>
          </cell>
          <cell r="L1995" t="str">
            <v>CA</v>
          </cell>
          <cell r="M1995" t="str">
            <v>USA</v>
          </cell>
          <cell r="N1995" t="str">
            <v>D</v>
          </cell>
          <cell r="O1995">
            <v>30210150</v>
          </cell>
          <cell r="P1995" t="str">
            <v>SODA ASH DENSE 1TN FIBC</v>
          </cell>
          <cell r="Q1995" t="str">
            <v>Soda Ash</v>
          </cell>
          <cell r="R1995">
            <v>22</v>
          </cell>
          <cell r="S1995">
            <v>3796</v>
          </cell>
        </row>
        <row r="1996">
          <cell r="A1996" t="str">
            <v>Actual</v>
          </cell>
          <cell r="B1996">
            <v>2</v>
          </cell>
          <cell r="C1996" t="str">
            <v>Domestic</v>
          </cell>
          <cell r="D1996">
            <v>1</v>
          </cell>
          <cell r="E1996">
            <v>8219</v>
          </cell>
          <cell r="F1996" t="str">
            <v>UNIVAR USA</v>
          </cell>
          <cell r="G1996" t="str">
            <v>D</v>
          </cell>
          <cell r="H1996" t="str">
            <v>NATIONAL CITY</v>
          </cell>
          <cell r="I1996" t="str">
            <v>CA</v>
          </cell>
          <cell r="J1996" t="str">
            <v>USA</v>
          </cell>
          <cell r="K1996" t="str">
            <v>UNIVAR USA</v>
          </cell>
          <cell r="L1996" t="str">
            <v>CA</v>
          </cell>
          <cell r="M1996" t="str">
            <v>USA</v>
          </cell>
          <cell r="N1996" t="str">
            <v>D</v>
          </cell>
          <cell r="O1996">
            <v>30210110</v>
          </cell>
          <cell r="P1996" t="str">
            <v>SODA ASH DENSE 50LB BAG</v>
          </cell>
          <cell r="Q1996" t="str">
            <v>Soda Ash</v>
          </cell>
          <cell r="R1996">
            <v>0</v>
          </cell>
          <cell r="S1996">
            <v>-306.25</v>
          </cell>
        </row>
        <row r="1997">
          <cell r="A1997" t="str">
            <v>Actual</v>
          </cell>
          <cell r="B1997">
            <v>2</v>
          </cell>
          <cell r="C1997" t="str">
            <v>Domestic</v>
          </cell>
          <cell r="D1997">
            <v>1</v>
          </cell>
          <cell r="E1997">
            <v>8220</v>
          </cell>
          <cell r="F1997" t="str">
            <v>NEVADA POWER COMPANY</v>
          </cell>
          <cell r="G1997" t="str">
            <v>D</v>
          </cell>
          <cell r="H1997" t="str">
            <v>MOAPA</v>
          </cell>
          <cell r="I1997" t="str">
            <v>NV</v>
          </cell>
          <cell r="J1997" t="str">
            <v>USA</v>
          </cell>
          <cell r="K1997" t="str">
            <v>NEVADA POWER COMPANY</v>
          </cell>
          <cell r="L1997" t="str">
            <v>NV</v>
          </cell>
          <cell r="M1997" t="str">
            <v>USA</v>
          </cell>
          <cell r="N1997" t="str">
            <v>C</v>
          </cell>
          <cell r="O1997">
            <v>30210100</v>
          </cell>
          <cell r="P1997" t="str">
            <v>SODA ASH DENSE BULK</v>
          </cell>
          <cell r="Q1997" t="str">
            <v>Soda Ash</v>
          </cell>
          <cell r="R1997">
            <v>1090.74</v>
          </cell>
          <cell r="S1997">
            <v>85850.65</v>
          </cell>
        </row>
        <row r="1998">
          <cell r="A1998" t="str">
            <v>Actual</v>
          </cell>
          <cell r="B1998">
            <v>2</v>
          </cell>
          <cell r="C1998" t="str">
            <v>Domestic</v>
          </cell>
          <cell r="D1998">
            <v>1</v>
          </cell>
          <cell r="E1998">
            <v>8221</v>
          </cell>
          <cell r="F1998" t="str">
            <v>NEVADA POWER COMPANY</v>
          </cell>
          <cell r="G1998" t="str">
            <v>D</v>
          </cell>
          <cell r="H1998" t="str">
            <v>MOAPA</v>
          </cell>
          <cell r="I1998" t="str">
            <v>NV</v>
          </cell>
          <cell r="J1998" t="str">
            <v>USA</v>
          </cell>
          <cell r="K1998" t="str">
            <v>NEVADA POWER COMPANY</v>
          </cell>
          <cell r="L1998" t="str">
            <v>NV</v>
          </cell>
          <cell r="M1998" t="str">
            <v>USA</v>
          </cell>
          <cell r="N1998" t="str">
            <v>C</v>
          </cell>
          <cell r="O1998">
            <v>30210100</v>
          </cell>
          <cell r="P1998" t="str">
            <v>SODA ASH DENSE BULK</v>
          </cell>
          <cell r="Q1998" t="str">
            <v>Soda Ash</v>
          </cell>
          <cell r="R1998">
            <v>279.92</v>
          </cell>
          <cell r="S1998">
            <v>23008.36</v>
          </cell>
        </row>
        <row r="1999">
          <cell r="A1999" t="str">
            <v>Actual</v>
          </cell>
          <cell r="B1999">
            <v>2</v>
          </cell>
          <cell r="C1999" t="str">
            <v>Domestic</v>
          </cell>
          <cell r="D1999">
            <v>1</v>
          </cell>
          <cell r="E1999">
            <v>8229</v>
          </cell>
          <cell r="F1999" t="str">
            <v>SOUTHERN CALIFORNIA EDISON</v>
          </cell>
          <cell r="G1999" t="str">
            <v>D</v>
          </cell>
          <cell r="H1999" t="str">
            <v>LAUGHLIN</v>
          </cell>
          <cell r="I1999" t="str">
            <v>NV</v>
          </cell>
          <cell r="J1999" t="str">
            <v>USA</v>
          </cell>
          <cell r="K1999" t="str">
            <v>UNIVAR USA</v>
          </cell>
          <cell r="L1999" t="str">
            <v>CA</v>
          </cell>
          <cell r="M1999" t="str">
            <v>USA</v>
          </cell>
          <cell r="N1999" t="str">
            <v>D</v>
          </cell>
          <cell r="O1999">
            <v>30210100</v>
          </cell>
          <cell r="P1999" t="str">
            <v>SODA ASH DENSE BULK</v>
          </cell>
          <cell r="Q1999" t="str">
            <v>Soda Ash</v>
          </cell>
          <cell r="R1999">
            <v>158.82</v>
          </cell>
          <cell r="S1999">
            <v>17896.29</v>
          </cell>
        </row>
        <row r="2000">
          <cell r="A2000" t="str">
            <v>Actual</v>
          </cell>
          <cell r="B2000">
            <v>2</v>
          </cell>
          <cell r="C2000" t="str">
            <v>Domestic</v>
          </cell>
          <cell r="D2000">
            <v>1</v>
          </cell>
          <cell r="E2000">
            <v>8493</v>
          </cell>
          <cell r="F2000" t="str">
            <v>LORBER INDUSTRIES</v>
          </cell>
          <cell r="G2000" t="str">
            <v>D</v>
          </cell>
          <cell r="H2000" t="str">
            <v>GARDENA</v>
          </cell>
          <cell r="I2000" t="str">
            <v>CA</v>
          </cell>
          <cell r="J2000" t="str">
            <v>USA</v>
          </cell>
          <cell r="K2000" t="str">
            <v>BRENNTAG WEST, INC.</v>
          </cell>
          <cell r="L2000" t="str">
            <v>CA</v>
          </cell>
          <cell r="M2000" t="str">
            <v>USA</v>
          </cell>
          <cell r="N2000" t="str">
            <v>D</v>
          </cell>
          <cell r="O2000">
            <v>40150410</v>
          </cell>
          <cell r="P2000" t="str">
            <v>SODIUM SULFATE CRS 50LB BAG</v>
          </cell>
          <cell r="Q2000" t="str">
            <v>Sodium Sulfate</v>
          </cell>
          <cell r="R2000">
            <v>95</v>
          </cell>
          <cell r="S2000">
            <v>15675</v>
          </cell>
        </row>
        <row r="2001">
          <cell r="A2001" t="str">
            <v>Actual</v>
          </cell>
          <cell r="B2001">
            <v>2</v>
          </cell>
          <cell r="C2001" t="str">
            <v>Domestic</v>
          </cell>
          <cell r="D2001">
            <v>1</v>
          </cell>
          <cell r="E2001">
            <v>8495</v>
          </cell>
          <cell r="F2001" t="str">
            <v>SWISSTEX</v>
          </cell>
          <cell r="G2001" t="str">
            <v>D</v>
          </cell>
          <cell r="H2001" t="str">
            <v>LOS ANGELES</v>
          </cell>
          <cell r="I2001" t="str">
            <v>CA</v>
          </cell>
          <cell r="J2001" t="str">
            <v>USA</v>
          </cell>
          <cell r="K2001" t="str">
            <v>BRENNTAG WEST, INC.</v>
          </cell>
          <cell r="L2001" t="str">
            <v>CA</v>
          </cell>
          <cell r="M2001" t="str">
            <v>USA</v>
          </cell>
          <cell r="N2001" t="str">
            <v>D</v>
          </cell>
          <cell r="O2001">
            <v>40150410</v>
          </cell>
          <cell r="P2001" t="str">
            <v>SODIUM SULFATE CRS 50LB BAG</v>
          </cell>
          <cell r="Q2001" t="str">
            <v>Sodium Sulfate</v>
          </cell>
          <cell r="R2001">
            <v>213.75</v>
          </cell>
          <cell r="S2001">
            <v>35055</v>
          </cell>
        </row>
        <row r="2002">
          <cell r="A2002" t="str">
            <v>Actual</v>
          </cell>
          <cell r="B2002">
            <v>2</v>
          </cell>
          <cell r="C2002" t="str">
            <v>Domestic</v>
          </cell>
          <cell r="D2002">
            <v>1</v>
          </cell>
          <cell r="E2002">
            <v>8498</v>
          </cell>
          <cell r="F2002" t="str">
            <v>E &amp; J DYE</v>
          </cell>
          <cell r="G2002" t="str">
            <v>D</v>
          </cell>
          <cell r="H2002" t="str">
            <v>HAWTHORNE</v>
          </cell>
          <cell r="I2002" t="str">
            <v>CA</v>
          </cell>
          <cell r="J2002" t="str">
            <v>USA</v>
          </cell>
          <cell r="K2002" t="str">
            <v>BRENNTAG WEST, INC.</v>
          </cell>
          <cell r="L2002" t="str">
            <v>CA</v>
          </cell>
          <cell r="M2002" t="str">
            <v>USA</v>
          </cell>
          <cell r="N2002" t="str">
            <v>D</v>
          </cell>
          <cell r="O2002">
            <v>40150410</v>
          </cell>
          <cell r="P2002" t="str">
            <v>SODIUM SULFATE CRS 50LB BAG</v>
          </cell>
          <cell r="Q2002" t="str">
            <v>Sodium Sulfate</v>
          </cell>
          <cell r="R2002">
            <v>47.5</v>
          </cell>
          <cell r="S2002">
            <v>6412.5</v>
          </cell>
        </row>
        <row r="2003">
          <cell r="A2003" t="str">
            <v>Actual</v>
          </cell>
          <cell r="B2003">
            <v>2</v>
          </cell>
          <cell r="C2003" t="str">
            <v>Domestic</v>
          </cell>
          <cell r="D2003">
            <v>1</v>
          </cell>
          <cell r="E2003">
            <v>8569</v>
          </cell>
          <cell r="F2003" t="str">
            <v>CHEMCOR CHEMICAL CORP</v>
          </cell>
          <cell r="G2003" t="str">
            <v>D</v>
          </cell>
          <cell r="H2003" t="str">
            <v>CHINO</v>
          </cell>
          <cell r="I2003" t="str">
            <v>CA</v>
          </cell>
          <cell r="J2003" t="str">
            <v>USA</v>
          </cell>
          <cell r="K2003" t="str">
            <v>CHEMCOR CHEMICAL CORP</v>
          </cell>
          <cell r="L2003" t="str">
            <v>CA</v>
          </cell>
          <cell r="M2003" t="str">
            <v>USA</v>
          </cell>
          <cell r="N2003" t="str">
            <v>D</v>
          </cell>
          <cell r="O2003">
            <v>30210110</v>
          </cell>
          <cell r="P2003" t="str">
            <v>SODA ASH DENSE 50LB BAG</v>
          </cell>
          <cell r="Q2003" t="str">
            <v>Soda Ash</v>
          </cell>
          <cell r="R2003">
            <v>30.625</v>
          </cell>
          <cell r="S2003">
            <v>4233.7520000000004</v>
          </cell>
        </row>
        <row r="2004">
          <cell r="A2004" t="str">
            <v>Actual</v>
          </cell>
          <cell r="B2004">
            <v>2</v>
          </cell>
          <cell r="C2004" t="str">
            <v>Domestic</v>
          </cell>
          <cell r="D2004">
            <v>1</v>
          </cell>
          <cell r="E2004">
            <v>8569</v>
          </cell>
          <cell r="F2004" t="str">
            <v>CHEMCOR CHEMICAL CORP</v>
          </cell>
          <cell r="G2004" t="str">
            <v>D</v>
          </cell>
          <cell r="H2004" t="str">
            <v>CHINO</v>
          </cell>
          <cell r="I2004" t="str">
            <v>CA</v>
          </cell>
          <cell r="J2004" t="str">
            <v>USA</v>
          </cell>
          <cell r="K2004" t="str">
            <v>CHEMCOR CHEMICAL CORP</v>
          </cell>
          <cell r="L2004" t="str">
            <v>CA</v>
          </cell>
          <cell r="M2004" t="str">
            <v>USA</v>
          </cell>
          <cell r="N2004" t="str">
            <v>D</v>
          </cell>
          <cell r="O2004">
            <v>40070410</v>
          </cell>
          <cell r="P2004" t="str">
            <v>SODIUM SULFATE MEDIUM 50LB BAG</v>
          </cell>
          <cell r="Q2004" t="str">
            <v>Sodium Sulfate</v>
          </cell>
          <cell r="R2004">
            <v>1.25</v>
          </cell>
          <cell r="S2004">
            <v>227.94399999999999</v>
          </cell>
        </row>
        <row r="2005">
          <cell r="A2005" t="str">
            <v>Actual</v>
          </cell>
          <cell r="B2005">
            <v>2</v>
          </cell>
          <cell r="C2005" t="str">
            <v>Domestic</v>
          </cell>
          <cell r="D2005">
            <v>1</v>
          </cell>
          <cell r="E2005">
            <v>8569</v>
          </cell>
          <cell r="F2005" t="str">
            <v>CHEMCOR CHEMICAL CORP</v>
          </cell>
          <cell r="G2005" t="str">
            <v>D</v>
          </cell>
          <cell r="H2005" t="str">
            <v>CHINO</v>
          </cell>
          <cell r="I2005" t="str">
            <v>CA</v>
          </cell>
          <cell r="J2005" t="str">
            <v>USA</v>
          </cell>
          <cell r="K2005" t="str">
            <v>CHEMCOR CHEMICAL CORP</v>
          </cell>
          <cell r="L2005" t="str">
            <v>CA</v>
          </cell>
          <cell r="M2005" t="str">
            <v>USA</v>
          </cell>
          <cell r="N2005" t="str">
            <v>D</v>
          </cell>
          <cell r="O2005">
            <v>40150410</v>
          </cell>
          <cell r="P2005" t="str">
            <v>SODIUM SULFATE CRS 50LB BAG</v>
          </cell>
          <cell r="Q2005" t="str">
            <v>Sodium Sulfate</v>
          </cell>
          <cell r="R2005">
            <v>12.5</v>
          </cell>
          <cell r="S2005">
            <v>2278.98</v>
          </cell>
        </row>
        <row r="2006">
          <cell r="A2006" t="str">
            <v>Actual</v>
          </cell>
          <cell r="B2006">
            <v>2</v>
          </cell>
          <cell r="C2006" t="str">
            <v>Domestic</v>
          </cell>
          <cell r="D2006">
            <v>1</v>
          </cell>
          <cell r="E2006">
            <v>8621</v>
          </cell>
          <cell r="F2006" t="str">
            <v>ALSTYLE DYEING &amp; FINISHING</v>
          </cell>
          <cell r="G2006" t="str">
            <v>D</v>
          </cell>
          <cell r="H2006" t="str">
            <v>ANAHEIM</v>
          </cell>
          <cell r="I2006" t="str">
            <v>CA</v>
          </cell>
          <cell r="J2006" t="str">
            <v>USA</v>
          </cell>
          <cell r="K2006" t="str">
            <v>BRENNTAG WEST, INC.</v>
          </cell>
          <cell r="L2006" t="str">
            <v>CA</v>
          </cell>
          <cell r="M2006" t="str">
            <v>USA</v>
          </cell>
          <cell r="N2006" t="str">
            <v>D</v>
          </cell>
          <cell r="O2006">
            <v>40150410</v>
          </cell>
          <cell r="P2006" t="str">
            <v>SODIUM SULFATE CRS 50LB BAG</v>
          </cell>
          <cell r="Q2006" t="str">
            <v>Sodium Sulfate</v>
          </cell>
          <cell r="R2006">
            <v>736.25</v>
          </cell>
          <cell r="S2006">
            <v>113382.5</v>
          </cell>
        </row>
        <row r="2007">
          <cell r="A2007" t="str">
            <v>Actual</v>
          </cell>
          <cell r="B2007">
            <v>2</v>
          </cell>
          <cell r="C2007" t="str">
            <v>Domestic</v>
          </cell>
          <cell r="D2007">
            <v>1</v>
          </cell>
          <cell r="E2007">
            <v>8682</v>
          </cell>
          <cell r="F2007" t="str">
            <v>CITY OF LAS VEGAS</v>
          </cell>
          <cell r="G2007" t="str">
            <v>D</v>
          </cell>
          <cell r="H2007" t="str">
            <v>LAS VEGAS</v>
          </cell>
          <cell r="I2007" t="str">
            <v>NV</v>
          </cell>
          <cell r="J2007" t="str">
            <v>USA</v>
          </cell>
          <cell r="K2007" t="str">
            <v>BRENNTAG WEST, INC.</v>
          </cell>
          <cell r="L2007" t="str">
            <v>CA</v>
          </cell>
          <cell r="M2007" t="str">
            <v>USA</v>
          </cell>
          <cell r="N2007" t="str">
            <v>D</v>
          </cell>
          <cell r="O2007">
            <v>30210100</v>
          </cell>
          <cell r="P2007" t="str">
            <v>SODA ASH DENSE BULK</v>
          </cell>
          <cell r="Q2007" t="str">
            <v>Soda Ash</v>
          </cell>
          <cell r="R2007">
            <v>105.23</v>
          </cell>
          <cell r="S2007">
            <v>8606.01</v>
          </cell>
        </row>
        <row r="2008">
          <cell r="A2008" t="str">
            <v>Actual</v>
          </cell>
          <cell r="B2008">
            <v>2</v>
          </cell>
          <cell r="C2008" t="str">
            <v>Domestic</v>
          </cell>
          <cell r="D2008">
            <v>1</v>
          </cell>
          <cell r="E2008">
            <v>8683</v>
          </cell>
          <cell r="F2008" t="str">
            <v>CITY OF LAS VEGAS</v>
          </cell>
          <cell r="G2008" t="str">
            <v>D</v>
          </cell>
          <cell r="H2008" t="str">
            <v>LAS VEGAS</v>
          </cell>
          <cell r="I2008" t="str">
            <v>NV</v>
          </cell>
          <cell r="J2008" t="str">
            <v>USA</v>
          </cell>
          <cell r="K2008" t="str">
            <v>BRENNTAG WEST, INC.</v>
          </cell>
          <cell r="L2008" t="str">
            <v>CA</v>
          </cell>
          <cell r="M2008" t="str">
            <v>USA</v>
          </cell>
          <cell r="N2008" t="str">
            <v>D</v>
          </cell>
          <cell r="O2008">
            <v>30210100</v>
          </cell>
          <cell r="P2008" t="str">
            <v>SODA ASH DENSE BULK</v>
          </cell>
          <cell r="Q2008" t="str">
            <v>Soda Ash</v>
          </cell>
          <cell r="R2008">
            <v>103.8</v>
          </cell>
          <cell r="S2008">
            <v>8541.7000000000007</v>
          </cell>
        </row>
        <row r="2009">
          <cell r="A2009" t="str">
            <v>Actual</v>
          </cell>
          <cell r="B2009">
            <v>2</v>
          </cell>
          <cell r="C2009" t="str">
            <v>Domestic</v>
          </cell>
          <cell r="D2009">
            <v>1</v>
          </cell>
          <cell r="E2009">
            <v>8688</v>
          </cell>
          <cell r="F2009" t="str">
            <v>CALPINE CORP.</v>
          </cell>
          <cell r="G2009" t="str">
            <v>D</v>
          </cell>
          <cell r="H2009" t="str">
            <v>MIDDLETOWN</v>
          </cell>
          <cell r="I2009" t="str">
            <v>CA</v>
          </cell>
          <cell r="J2009" t="str">
            <v>USA</v>
          </cell>
          <cell r="K2009" t="str">
            <v>UNIVAR USA</v>
          </cell>
          <cell r="L2009" t="str">
            <v>CA</v>
          </cell>
          <cell r="M2009" t="str">
            <v>USA</v>
          </cell>
          <cell r="N2009" t="str">
            <v>D</v>
          </cell>
          <cell r="O2009">
            <v>30210110</v>
          </cell>
          <cell r="P2009" t="str">
            <v>SODA ASH DENSE 50LB BAG</v>
          </cell>
          <cell r="Q2009" t="str">
            <v>Soda Ash</v>
          </cell>
          <cell r="R2009">
            <v>23.274999999999999</v>
          </cell>
          <cell r="S2009">
            <v>3561.73</v>
          </cell>
        </row>
        <row r="2010">
          <cell r="A2010" t="str">
            <v>Actual</v>
          </cell>
          <cell r="B2010">
            <v>2</v>
          </cell>
          <cell r="C2010" t="str">
            <v>Domestic</v>
          </cell>
          <cell r="D2010">
            <v>1</v>
          </cell>
          <cell r="E2010">
            <v>8749</v>
          </cell>
          <cell r="F2010" t="str">
            <v>A &amp; M PRODUCTS MANUFACTURING</v>
          </cell>
          <cell r="G2010" t="str">
            <v>D</v>
          </cell>
          <cell r="H2010" t="str">
            <v>SPRING HILL</v>
          </cell>
          <cell r="I2010" t="str">
            <v>KS</v>
          </cell>
          <cell r="J2010" t="str">
            <v>USA</v>
          </cell>
          <cell r="K2010" t="str">
            <v>A &amp; M PRODUCTS MANUFACTURING</v>
          </cell>
          <cell r="L2010" t="str">
            <v>KS</v>
          </cell>
          <cell r="M2010" t="str">
            <v>USA</v>
          </cell>
          <cell r="N2010" t="str">
            <v>C</v>
          </cell>
          <cell r="O2010">
            <v>22760450</v>
          </cell>
          <cell r="P2010" t="str">
            <v>V-BOR PEST 1TN FIBC (004)</v>
          </cell>
          <cell r="Q2010" t="str">
            <v>Penta</v>
          </cell>
          <cell r="R2010">
            <v>132</v>
          </cell>
          <cell r="S2010">
            <v>39558.58</v>
          </cell>
        </row>
        <row r="2011">
          <cell r="A2011" t="str">
            <v>Actual</v>
          </cell>
          <cell r="B2011">
            <v>2</v>
          </cell>
          <cell r="C2011" t="str">
            <v>Domestic</v>
          </cell>
          <cell r="D2011">
            <v>1</v>
          </cell>
          <cell r="E2011">
            <v>8862</v>
          </cell>
          <cell r="F2011" t="str">
            <v>NGS MAIN WAREHOUSE</v>
          </cell>
          <cell r="G2011" t="str">
            <v>D</v>
          </cell>
          <cell r="H2011" t="str">
            <v>PAGE</v>
          </cell>
          <cell r="I2011" t="str">
            <v>AZ</v>
          </cell>
          <cell r="J2011" t="str">
            <v>USA</v>
          </cell>
          <cell r="K2011" t="str">
            <v>SRP</v>
          </cell>
          <cell r="L2011" t="str">
            <v>AZ</v>
          </cell>
          <cell r="M2011" t="str">
            <v>USA</v>
          </cell>
          <cell r="N2011" t="str">
            <v>C</v>
          </cell>
          <cell r="O2011">
            <v>30210100</v>
          </cell>
          <cell r="P2011" t="str">
            <v>SODA ASH DENSE BULK</v>
          </cell>
          <cell r="Q2011" t="str">
            <v>Soda Ash</v>
          </cell>
          <cell r="R2011">
            <v>178.86</v>
          </cell>
          <cell r="S2011">
            <v>12251.92</v>
          </cell>
        </row>
        <row r="2012">
          <cell r="A2012" t="str">
            <v>Actual</v>
          </cell>
          <cell r="B2012">
            <v>2</v>
          </cell>
          <cell r="C2012" t="str">
            <v>Domestic</v>
          </cell>
          <cell r="D2012">
            <v>1</v>
          </cell>
          <cell r="E2012">
            <v>8901</v>
          </cell>
          <cell r="F2012" t="str">
            <v>CGS MAIN WAREHOUSE</v>
          </cell>
          <cell r="G2012" t="str">
            <v>D</v>
          </cell>
          <cell r="H2012" t="str">
            <v>ST. JOHNS</v>
          </cell>
          <cell r="I2012" t="str">
            <v>AZ</v>
          </cell>
          <cell r="J2012" t="str">
            <v>USA</v>
          </cell>
          <cell r="K2012" t="str">
            <v>CGS MAIN WAREHOUSE</v>
          </cell>
          <cell r="L2012" t="str">
            <v>AZ</v>
          </cell>
          <cell r="M2012" t="str">
            <v>USA</v>
          </cell>
          <cell r="N2012" t="str">
            <v>C</v>
          </cell>
          <cell r="O2012">
            <v>30210100</v>
          </cell>
          <cell r="P2012" t="str">
            <v>SODA ASH DENSE BULK</v>
          </cell>
          <cell r="Q2012" t="str">
            <v>Soda Ash</v>
          </cell>
          <cell r="R2012">
            <v>78.56</v>
          </cell>
          <cell r="S2012">
            <v>5428.77</v>
          </cell>
        </row>
        <row r="2013">
          <cell r="A2013" t="str">
            <v>Actual</v>
          </cell>
          <cell r="B2013">
            <v>2</v>
          </cell>
          <cell r="C2013" t="str">
            <v>Domestic</v>
          </cell>
          <cell r="D2013">
            <v>1</v>
          </cell>
          <cell r="E2013">
            <v>8981</v>
          </cell>
          <cell r="F2013" t="str">
            <v>ARIZONA PUBLIC SERVICE</v>
          </cell>
          <cell r="G2013" t="str">
            <v>D</v>
          </cell>
          <cell r="H2013" t="str">
            <v>TONOPAH</v>
          </cell>
          <cell r="I2013" t="str">
            <v>AZ</v>
          </cell>
          <cell r="J2013" t="str">
            <v>USA</v>
          </cell>
          <cell r="K2013" t="str">
            <v>UNIVAR USA</v>
          </cell>
          <cell r="L2013" t="str">
            <v>AZ</v>
          </cell>
          <cell r="M2013" t="str">
            <v>USA</v>
          </cell>
          <cell r="N2013" t="str">
            <v>D</v>
          </cell>
          <cell r="O2013">
            <v>30210100</v>
          </cell>
          <cell r="P2013" t="str">
            <v>SODA ASH DENSE BULK</v>
          </cell>
          <cell r="Q2013" t="str">
            <v>Soda Ash</v>
          </cell>
          <cell r="R2013">
            <v>709.87</v>
          </cell>
          <cell r="S2013">
            <v>48272</v>
          </cell>
        </row>
        <row r="2014">
          <cell r="A2014" t="str">
            <v>Actual</v>
          </cell>
          <cell r="B2014">
            <v>2</v>
          </cell>
          <cell r="C2014" t="str">
            <v>Domestic</v>
          </cell>
          <cell r="D2014">
            <v>1</v>
          </cell>
          <cell r="E2014">
            <v>9083</v>
          </cell>
          <cell r="F2014" t="str">
            <v>L.A. CHEMICAL</v>
          </cell>
          <cell r="G2014" t="str">
            <v>D</v>
          </cell>
          <cell r="H2014" t="str">
            <v>RICHMOND</v>
          </cell>
          <cell r="I2014" t="str">
            <v>CA</v>
          </cell>
          <cell r="J2014" t="str">
            <v>USA</v>
          </cell>
          <cell r="K2014" t="str">
            <v>L.A. CHEMICAL</v>
          </cell>
          <cell r="L2014" t="str">
            <v>CA</v>
          </cell>
          <cell r="M2014" t="str">
            <v>USA</v>
          </cell>
          <cell r="N2014" t="str">
            <v>D</v>
          </cell>
          <cell r="O2014">
            <v>20060210</v>
          </cell>
          <cell r="P2014" t="str">
            <v>PYROBOR 50LB BAG (002)</v>
          </cell>
          <cell r="Q2014" t="str">
            <v>Pyrobor</v>
          </cell>
          <cell r="R2014">
            <v>9.8000000000000007</v>
          </cell>
          <cell r="S2014">
            <v>7811.9822999999997</v>
          </cell>
        </row>
        <row r="2015">
          <cell r="A2015" t="str">
            <v>Actual</v>
          </cell>
          <cell r="B2015">
            <v>2</v>
          </cell>
          <cell r="C2015" t="str">
            <v>Domestic</v>
          </cell>
          <cell r="D2015">
            <v>1</v>
          </cell>
          <cell r="E2015">
            <v>9083</v>
          </cell>
          <cell r="F2015" t="str">
            <v>L.A. CHEMICAL</v>
          </cell>
          <cell r="G2015" t="str">
            <v>D</v>
          </cell>
          <cell r="H2015" t="str">
            <v>RICHMOND</v>
          </cell>
          <cell r="I2015" t="str">
            <v>CA</v>
          </cell>
          <cell r="J2015" t="str">
            <v>USA</v>
          </cell>
          <cell r="K2015" t="str">
            <v>L.A. CHEMICAL</v>
          </cell>
          <cell r="L2015" t="str">
            <v>CA</v>
          </cell>
          <cell r="M2015" t="str">
            <v>USA</v>
          </cell>
          <cell r="N2015" t="str">
            <v>D</v>
          </cell>
          <cell r="O2015">
            <v>22060410</v>
          </cell>
          <cell r="P2015" t="str">
            <v>V-BOR 50LB BAG (004)</v>
          </cell>
          <cell r="Q2015" t="str">
            <v>Penta</v>
          </cell>
          <cell r="R2015">
            <v>3.6749999999999998</v>
          </cell>
          <cell r="S2015">
            <v>1521.9304</v>
          </cell>
        </row>
        <row r="2016">
          <cell r="A2016" t="str">
            <v>Actual</v>
          </cell>
          <cell r="B2016">
            <v>2</v>
          </cell>
          <cell r="C2016" t="str">
            <v>Domestic</v>
          </cell>
          <cell r="D2016">
            <v>1</v>
          </cell>
          <cell r="E2016">
            <v>9083</v>
          </cell>
          <cell r="F2016" t="str">
            <v>L.A. CHEMICAL</v>
          </cell>
          <cell r="G2016" t="str">
            <v>D</v>
          </cell>
          <cell r="H2016" t="str">
            <v>RICHMOND</v>
          </cell>
          <cell r="I2016" t="str">
            <v>CA</v>
          </cell>
          <cell r="J2016" t="str">
            <v>USA</v>
          </cell>
          <cell r="K2016" t="str">
            <v>L.A. CHEMICAL</v>
          </cell>
          <cell r="L2016" t="str">
            <v>CA</v>
          </cell>
          <cell r="M2016" t="str">
            <v>USA</v>
          </cell>
          <cell r="N2016" t="str">
            <v>D</v>
          </cell>
          <cell r="O2016">
            <v>40060410</v>
          </cell>
          <cell r="P2016" t="str">
            <v>SODIUM SULFATE STD 50LB BAG</v>
          </cell>
          <cell r="Q2016" t="str">
            <v>Sodium Sulfate</v>
          </cell>
          <cell r="R2016">
            <v>8.75</v>
          </cell>
          <cell r="S2016">
            <v>1567.4573</v>
          </cell>
        </row>
        <row r="2017">
          <cell r="A2017" t="str">
            <v>Actual</v>
          </cell>
          <cell r="B2017">
            <v>2</v>
          </cell>
          <cell r="C2017" t="str">
            <v>Domestic</v>
          </cell>
          <cell r="D2017">
            <v>1</v>
          </cell>
          <cell r="E2017">
            <v>9100</v>
          </cell>
          <cell r="F2017" t="str">
            <v>L.A. CHEMICAL</v>
          </cell>
          <cell r="G2017" t="str">
            <v>D</v>
          </cell>
          <cell r="H2017" t="str">
            <v>SALT LAKE CITY</v>
          </cell>
          <cell r="I2017" t="str">
            <v>UT</v>
          </cell>
          <cell r="J2017" t="str">
            <v>USA</v>
          </cell>
          <cell r="K2017" t="str">
            <v>L.A. CHEMICAL</v>
          </cell>
          <cell r="L2017" t="str">
            <v>UT</v>
          </cell>
          <cell r="M2017" t="str">
            <v>USA</v>
          </cell>
          <cell r="N2017" t="str">
            <v>D</v>
          </cell>
          <cell r="O2017">
            <v>22060410</v>
          </cell>
          <cell r="P2017" t="str">
            <v>V-BOR 50LB BAG (004)</v>
          </cell>
          <cell r="Q2017" t="str">
            <v>Penta</v>
          </cell>
          <cell r="R2017">
            <v>22.05</v>
          </cell>
          <cell r="S2017">
            <v>4127.6400000000003</v>
          </cell>
        </row>
        <row r="2018">
          <cell r="A2018" t="str">
            <v>Actual</v>
          </cell>
          <cell r="B2018">
            <v>2</v>
          </cell>
          <cell r="C2018" t="str">
            <v>Domestic</v>
          </cell>
          <cell r="D2018">
            <v>1</v>
          </cell>
          <cell r="E2018">
            <v>9124</v>
          </cell>
          <cell r="F2018" t="str">
            <v>WEST AGRO</v>
          </cell>
          <cell r="G2018" t="str">
            <v>D</v>
          </cell>
          <cell r="H2018" t="str">
            <v>TURLOCK</v>
          </cell>
          <cell r="I2018" t="str">
            <v>CA</v>
          </cell>
          <cell r="J2018" t="str">
            <v>USA</v>
          </cell>
          <cell r="K2018" t="str">
            <v>BRENNTAG WEST, INC.</v>
          </cell>
          <cell r="L2018" t="str">
            <v>CA</v>
          </cell>
          <cell r="M2018" t="str">
            <v>USA</v>
          </cell>
          <cell r="N2018" t="str">
            <v>D</v>
          </cell>
          <cell r="O2018">
            <v>30210150</v>
          </cell>
          <cell r="P2018" t="str">
            <v>SODA ASH DENSE 1TN FIBC</v>
          </cell>
          <cell r="Q2018" t="str">
            <v>Soda Ash</v>
          </cell>
          <cell r="R2018">
            <v>22</v>
          </cell>
          <cell r="S2018">
            <v>3141.99</v>
          </cell>
        </row>
        <row r="2019">
          <cell r="A2019" t="str">
            <v>Actual</v>
          </cell>
          <cell r="B2019">
            <v>2</v>
          </cell>
          <cell r="C2019" t="str">
            <v>Domestic</v>
          </cell>
          <cell r="D2019">
            <v>1</v>
          </cell>
          <cell r="E2019">
            <v>9215</v>
          </cell>
          <cell r="F2019" t="str">
            <v>GALLO GLASS</v>
          </cell>
          <cell r="G2019" t="str">
            <v>D</v>
          </cell>
          <cell r="H2019" t="str">
            <v>MODESTO</v>
          </cell>
          <cell r="I2019" t="str">
            <v>CA</v>
          </cell>
          <cell r="J2019" t="str">
            <v>USA</v>
          </cell>
          <cell r="K2019" t="str">
            <v>BRENNTAG WEST, INC.</v>
          </cell>
          <cell r="L2019" t="str">
            <v>CA</v>
          </cell>
          <cell r="M2019" t="str">
            <v>USA</v>
          </cell>
          <cell r="N2019" t="str">
            <v>D</v>
          </cell>
          <cell r="O2019">
            <v>40150400</v>
          </cell>
          <cell r="P2019" t="str">
            <v>SODIUM SULFATE COARSE BULK</v>
          </cell>
          <cell r="Q2019" t="str">
            <v>Sodium Sulfate</v>
          </cell>
          <cell r="R2019">
            <v>26.06</v>
          </cell>
          <cell r="S2019">
            <v>2736.3</v>
          </cell>
        </row>
        <row r="2020">
          <cell r="A2020" t="str">
            <v>Actual</v>
          </cell>
          <cell r="B2020">
            <v>2</v>
          </cell>
          <cell r="C2020" t="str">
            <v>Domestic</v>
          </cell>
          <cell r="D2020">
            <v>1</v>
          </cell>
          <cell r="E2020">
            <v>9215</v>
          </cell>
          <cell r="F2020" t="str">
            <v>GALLO GLASS</v>
          </cell>
          <cell r="G2020" t="str">
            <v>D</v>
          </cell>
          <cell r="H2020" t="str">
            <v>MODESTO</v>
          </cell>
          <cell r="I2020" t="str">
            <v>CA</v>
          </cell>
          <cell r="J2020" t="str">
            <v>USA</v>
          </cell>
          <cell r="K2020" t="str">
            <v>BRENNTAG WEST, INC.</v>
          </cell>
          <cell r="L2020" t="str">
            <v>CA</v>
          </cell>
          <cell r="M2020" t="str">
            <v>USA</v>
          </cell>
          <cell r="N2020" t="str">
            <v>D</v>
          </cell>
          <cell r="O2020">
            <v>40150430</v>
          </cell>
          <cell r="P2020" t="str">
            <v>SODIUM SULFATE CRS 100LB BG</v>
          </cell>
          <cell r="Q2020" t="str">
            <v>Sodium Sulfate</v>
          </cell>
          <cell r="R2020">
            <v>50</v>
          </cell>
          <cell r="S2020">
            <v>5750</v>
          </cell>
        </row>
        <row r="2021">
          <cell r="A2021" t="str">
            <v>Actual</v>
          </cell>
          <cell r="B2021">
            <v>2</v>
          </cell>
          <cell r="C2021" t="str">
            <v>Domestic</v>
          </cell>
          <cell r="D2021">
            <v>1</v>
          </cell>
          <cell r="E2021">
            <v>9217</v>
          </cell>
          <cell r="F2021" t="str">
            <v>BRENNTAG WEST, INC.</v>
          </cell>
          <cell r="G2021" t="str">
            <v>D</v>
          </cell>
          <cell r="H2021" t="str">
            <v>FRESNO</v>
          </cell>
          <cell r="I2021" t="str">
            <v>CA</v>
          </cell>
          <cell r="J2021" t="str">
            <v>USA</v>
          </cell>
          <cell r="K2021" t="str">
            <v>BRENNTAG WEST, INC.</v>
          </cell>
          <cell r="L2021" t="str">
            <v>CA</v>
          </cell>
          <cell r="M2021" t="str">
            <v>USA</v>
          </cell>
          <cell r="N2021" t="str">
            <v>D</v>
          </cell>
          <cell r="O2021">
            <v>23060210</v>
          </cell>
          <cell r="P2021" t="str">
            <v>DECA BORAX STD 50LB BAG</v>
          </cell>
          <cell r="Q2021" t="str">
            <v>Deca</v>
          </cell>
          <cell r="R2021">
            <v>12.25</v>
          </cell>
          <cell r="S2021">
            <v>4510.3100000000004</v>
          </cell>
        </row>
        <row r="2022">
          <cell r="A2022" t="str">
            <v>Actual</v>
          </cell>
          <cell r="B2022">
            <v>2</v>
          </cell>
          <cell r="C2022" t="str">
            <v>Domestic</v>
          </cell>
          <cell r="D2022">
            <v>1</v>
          </cell>
          <cell r="E2022">
            <v>9217</v>
          </cell>
          <cell r="F2022" t="str">
            <v>BRENNTAG WEST, INC.</v>
          </cell>
          <cell r="G2022" t="str">
            <v>D</v>
          </cell>
          <cell r="H2022" t="str">
            <v>FRESNO</v>
          </cell>
          <cell r="I2022" t="str">
            <v>CA</v>
          </cell>
          <cell r="J2022" t="str">
            <v>USA</v>
          </cell>
          <cell r="K2022" t="str">
            <v>BRENNTAG WEST, INC.</v>
          </cell>
          <cell r="L2022" t="str">
            <v>CA</v>
          </cell>
          <cell r="M2022" t="str">
            <v>USA</v>
          </cell>
          <cell r="N2022" t="str">
            <v>D</v>
          </cell>
          <cell r="O2022">
            <v>30210110</v>
          </cell>
          <cell r="P2022" t="str">
            <v>SODA ASH DENSE 50LB BAG</v>
          </cell>
          <cell r="Q2022" t="str">
            <v>Soda Ash</v>
          </cell>
          <cell r="R2022">
            <v>9.8000000000000007</v>
          </cell>
          <cell r="S2022">
            <v>1579.69</v>
          </cell>
        </row>
        <row r="2023">
          <cell r="A2023" t="str">
            <v>Actual</v>
          </cell>
          <cell r="B2023">
            <v>2</v>
          </cell>
          <cell r="C2023" t="str">
            <v>Domestic</v>
          </cell>
          <cell r="D2023">
            <v>1</v>
          </cell>
          <cell r="E2023">
            <v>9236</v>
          </cell>
          <cell r="F2023" t="str">
            <v>DUKE ENERGY</v>
          </cell>
          <cell r="G2023" t="str">
            <v>D</v>
          </cell>
          <cell r="H2023" t="str">
            <v>ARLINGTON</v>
          </cell>
          <cell r="I2023" t="str">
            <v>AZ</v>
          </cell>
          <cell r="J2023" t="str">
            <v>USA</v>
          </cell>
          <cell r="K2023" t="str">
            <v>UNIVAR USA</v>
          </cell>
          <cell r="L2023" t="str">
            <v>AZ</v>
          </cell>
          <cell r="M2023" t="str">
            <v>USA</v>
          </cell>
          <cell r="N2023" t="str">
            <v>D</v>
          </cell>
          <cell r="O2023">
            <v>30210100</v>
          </cell>
          <cell r="P2023" t="str">
            <v>SODA ASH DENSE BULK</v>
          </cell>
          <cell r="Q2023" t="str">
            <v>Soda Ash</v>
          </cell>
          <cell r="R2023">
            <v>79.52</v>
          </cell>
          <cell r="S2023">
            <v>6429.85</v>
          </cell>
        </row>
        <row r="2024">
          <cell r="A2024" t="str">
            <v>Actual</v>
          </cell>
          <cell r="B2024">
            <v>2</v>
          </cell>
          <cell r="C2024" t="str">
            <v>Domestic</v>
          </cell>
          <cell r="D2024">
            <v>1</v>
          </cell>
          <cell r="E2024">
            <v>9292</v>
          </cell>
          <cell r="F2024" t="str">
            <v>LAFAYETTE TEXTILE</v>
          </cell>
          <cell r="G2024" t="str">
            <v>D</v>
          </cell>
          <cell r="H2024" t="str">
            <v>LOS ANGELES</v>
          </cell>
          <cell r="I2024" t="str">
            <v>CA</v>
          </cell>
          <cell r="J2024" t="str">
            <v>USA</v>
          </cell>
          <cell r="K2024" t="str">
            <v>UNIVAR USA</v>
          </cell>
          <cell r="L2024" t="str">
            <v>CA</v>
          </cell>
          <cell r="M2024" t="str">
            <v>USA</v>
          </cell>
          <cell r="N2024" t="str">
            <v>D</v>
          </cell>
          <cell r="O2024">
            <v>40060410</v>
          </cell>
          <cell r="P2024" t="str">
            <v>SODIUM SULFATE STD 50LB BAG</v>
          </cell>
          <cell r="Q2024" t="str">
            <v>Sodium Sulfate</v>
          </cell>
          <cell r="R2024">
            <v>71.25</v>
          </cell>
          <cell r="S2024">
            <v>13537.5</v>
          </cell>
        </row>
        <row r="2025">
          <cell r="A2025" t="str">
            <v>Actual</v>
          </cell>
          <cell r="B2025">
            <v>2</v>
          </cell>
          <cell r="C2025" t="str">
            <v>Domestic</v>
          </cell>
          <cell r="D2025">
            <v>1</v>
          </cell>
          <cell r="E2025">
            <v>9332</v>
          </cell>
          <cell r="F2025" t="str">
            <v>KINGSFORD COMPANY</v>
          </cell>
          <cell r="G2025" t="str">
            <v>D</v>
          </cell>
          <cell r="H2025" t="str">
            <v>PARSONS</v>
          </cell>
          <cell r="I2025" t="str">
            <v>WV</v>
          </cell>
          <cell r="J2025" t="str">
            <v>USA</v>
          </cell>
          <cell r="K2025" t="str">
            <v>KINGSFORD COMPANY</v>
          </cell>
          <cell r="L2025" t="str">
            <v>WV</v>
          </cell>
          <cell r="M2025" t="str">
            <v>USA</v>
          </cell>
          <cell r="N2025" t="str">
            <v>C</v>
          </cell>
          <cell r="O2025">
            <v>22060410</v>
          </cell>
          <cell r="P2025" t="str">
            <v>V-BOR 50LB BAG (004)</v>
          </cell>
          <cell r="Q2025" t="str">
            <v>Penta</v>
          </cell>
          <cell r="R2025">
            <v>44.1</v>
          </cell>
          <cell r="S2025">
            <v>11810.36</v>
          </cell>
        </row>
        <row r="2026">
          <cell r="A2026" t="str">
            <v>Actual</v>
          </cell>
          <cell r="B2026">
            <v>2</v>
          </cell>
          <cell r="C2026" t="str">
            <v>Domestic</v>
          </cell>
          <cell r="D2026">
            <v>1</v>
          </cell>
          <cell r="E2026">
            <v>9333</v>
          </cell>
          <cell r="F2026" t="str">
            <v>L.A. CHEMICAL</v>
          </cell>
          <cell r="G2026" t="str">
            <v>D</v>
          </cell>
          <cell r="H2026" t="str">
            <v>SOUTHGATE</v>
          </cell>
          <cell r="I2026" t="str">
            <v>CA</v>
          </cell>
          <cell r="J2026" t="str">
            <v>USA</v>
          </cell>
          <cell r="K2026" t="str">
            <v>L.A. CHEMICAL</v>
          </cell>
          <cell r="L2026" t="str">
            <v>CA</v>
          </cell>
          <cell r="M2026" t="str">
            <v>USA</v>
          </cell>
          <cell r="N2026" t="str">
            <v>D</v>
          </cell>
          <cell r="O2026">
            <v>22060450</v>
          </cell>
          <cell r="P2026" t="str">
            <v>V-BOR 1TN FIBC (004)</v>
          </cell>
          <cell r="Q2026" t="str">
            <v>Penta</v>
          </cell>
          <cell r="R2026">
            <v>22</v>
          </cell>
          <cell r="S2026">
            <v>8020</v>
          </cell>
        </row>
        <row r="2027">
          <cell r="A2027" t="str">
            <v>Actual</v>
          </cell>
          <cell r="B2027">
            <v>2</v>
          </cell>
          <cell r="C2027" t="str">
            <v>Domestic</v>
          </cell>
          <cell r="D2027">
            <v>1</v>
          </cell>
          <cell r="E2027">
            <v>9367</v>
          </cell>
          <cell r="F2027" t="str">
            <v>TRACY OPERATORS</v>
          </cell>
          <cell r="G2027" t="str">
            <v>D</v>
          </cell>
          <cell r="H2027" t="str">
            <v>TRACY</v>
          </cell>
          <cell r="I2027" t="str">
            <v>CA</v>
          </cell>
          <cell r="J2027" t="str">
            <v>USA</v>
          </cell>
          <cell r="K2027" t="str">
            <v>PACIFIC COAST CHEMICALS, INC.</v>
          </cell>
          <cell r="L2027" t="str">
            <v>CA</v>
          </cell>
          <cell r="M2027" t="str">
            <v>USA</v>
          </cell>
          <cell r="N2027" t="str">
            <v>D</v>
          </cell>
          <cell r="O2027">
            <v>30210100</v>
          </cell>
          <cell r="P2027" t="str">
            <v>SODA ASH DENSE BULK</v>
          </cell>
          <cell r="Q2027" t="str">
            <v>Soda Ash</v>
          </cell>
          <cell r="R2027">
            <v>108.46</v>
          </cell>
          <cell r="S2027">
            <v>10558.59</v>
          </cell>
        </row>
        <row r="2028">
          <cell r="A2028" t="str">
            <v>Actual</v>
          </cell>
          <cell r="B2028">
            <v>2</v>
          </cell>
          <cell r="C2028" t="str">
            <v>Domestic</v>
          </cell>
          <cell r="D2028">
            <v>1</v>
          </cell>
          <cell r="E2028">
            <v>9432</v>
          </cell>
          <cell r="F2028" t="str">
            <v>KINGSFORD MANUFACTURING</v>
          </cell>
          <cell r="G2028" t="str">
            <v>D</v>
          </cell>
          <cell r="H2028" t="str">
            <v>BURNSIDE</v>
          </cell>
          <cell r="I2028" t="str">
            <v>KY</v>
          </cell>
          <cell r="J2028" t="str">
            <v>USA</v>
          </cell>
          <cell r="K2028" t="str">
            <v>KINGSFORD MANUFACTURING</v>
          </cell>
          <cell r="L2028" t="str">
            <v>KY</v>
          </cell>
          <cell r="M2028" t="str">
            <v>USA</v>
          </cell>
          <cell r="N2028" t="str">
            <v>C</v>
          </cell>
          <cell r="O2028">
            <v>22060450</v>
          </cell>
          <cell r="P2028" t="str">
            <v>V-BOR 1TN FIBC (004)</v>
          </cell>
          <cell r="Q2028" t="str">
            <v>Penta</v>
          </cell>
          <cell r="R2028">
            <v>22</v>
          </cell>
          <cell r="S2028">
            <v>6239.39</v>
          </cell>
        </row>
        <row r="2029">
          <cell r="A2029" t="str">
            <v>Actual</v>
          </cell>
          <cell r="B2029">
            <v>2</v>
          </cell>
          <cell r="C2029" t="str">
            <v>Domestic</v>
          </cell>
          <cell r="D2029">
            <v>1</v>
          </cell>
          <cell r="E2029">
            <v>9435</v>
          </cell>
          <cell r="F2029" t="str">
            <v>HIGH DESERT POWER TRUST</v>
          </cell>
          <cell r="G2029" t="str">
            <v>D</v>
          </cell>
          <cell r="H2029" t="str">
            <v>VICTORVILLE</v>
          </cell>
          <cell r="I2029" t="str">
            <v>CA</v>
          </cell>
          <cell r="J2029" t="str">
            <v>USA</v>
          </cell>
          <cell r="K2029" t="str">
            <v>BRENNTAG WEST, INC.</v>
          </cell>
          <cell r="L2029" t="str">
            <v>CA</v>
          </cell>
          <cell r="M2029" t="str">
            <v>USA</v>
          </cell>
          <cell r="N2029" t="str">
            <v>D</v>
          </cell>
          <cell r="O2029">
            <v>30210100</v>
          </cell>
          <cell r="P2029" t="str">
            <v>SODA ASH DENSE BULK</v>
          </cell>
          <cell r="Q2029" t="str">
            <v>Soda Ash</v>
          </cell>
          <cell r="R2029">
            <v>27.04</v>
          </cell>
          <cell r="S2029">
            <v>3010.39</v>
          </cell>
        </row>
        <row r="2030">
          <cell r="A2030" t="str">
            <v>Actual</v>
          </cell>
          <cell r="B2030">
            <v>2</v>
          </cell>
          <cell r="C2030" t="str">
            <v>Domestic</v>
          </cell>
          <cell r="D2030">
            <v>1</v>
          </cell>
          <cell r="E2030">
            <v>9437</v>
          </cell>
          <cell r="F2030" t="str">
            <v>KINGSFORD MANUFACTURING</v>
          </cell>
          <cell r="G2030" t="str">
            <v>D</v>
          </cell>
          <cell r="H2030" t="str">
            <v>SPRINGFIELD</v>
          </cell>
          <cell r="I2030" t="str">
            <v>OR</v>
          </cell>
          <cell r="J2030" t="str">
            <v>USA</v>
          </cell>
          <cell r="K2030" t="str">
            <v>KINGSFORD MANUFACTURING</v>
          </cell>
          <cell r="L2030" t="str">
            <v>OR</v>
          </cell>
          <cell r="M2030" t="str">
            <v>USA</v>
          </cell>
          <cell r="N2030" t="str">
            <v>C</v>
          </cell>
          <cell r="O2030">
            <v>22060453</v>
          </cell>
          <cell r="P2030" t="str">
            <v>V-BOR 2500LB FIBC (004)</v>
          </cell>
          <cell r="Q2030" t="str">
            <v>Penta</v>
          </cell>
          <cell r="R2030">
            <v>45</v>
          </cell>
          <cell r="S2030">
            <v>14165.22</v>
          </cell>
        </row>
        <row r="2031">
          <cell r="A2031" t="str">
            <v>Actual</v>
          </cell>
          <cell r="B2031">
            <v>2</v>
          </cell>
          <cell r="C2031" t="str">
            <v>Domestic</v>
          </cell>
          <cell r="D2031">
            <v>1</v>
          </cell>
          <cell r="E2031">
            <v>9451</v>
          </cell>
          <cell r="F2031" t="str">
            <v>KINGSFORD MANUFACTURING</v>
          </cell>
          <cell r="G2031" t="str">
            <v>D</v>
          </cell>
          <cell r="H2031" t="str">
            <v>SUMMER SHADE</v>
          </cell>
          <cell r="I2031" t="str">
            <v>KY</v>
          </cell>
          <cell r="J2031" t="str">
            <v>USA</v>
          </cell>
          <cell r="K2031" t="str">
            <v>KINGSFORD MANUFACTURING</v>
          </cell>
          <cell r="L2031" t="str">
            <v>KY</v>
          </cell>
          <cell r="M2031" t="str">
            <v>USA</v>
          </cell>
          <cell r="N2031" t="str">
            <v>C</v>
          </cell>
          <cell r="O2031">
            <v>22060453</v>
          </cell>
          <cell r="P2031" t="str">
            <v>V-BOR 2500LB FIBC (004)</v>
          </cell>
          <cell r="Q2031" t="str">
            <v>Penta</v>
          </cell>
          <cell r="R2031">
            <v>43.75</v>
          </cell>
          <cell r="S2031">
            <v>11904.73</v>
          </cell>
        </row>
        <row r="2032">
          <cell r="A2032" t="str">
            <v>Actual</v>
          </cell>
          <cell r="B2032">
            <v>2</v>
          </cell>
          <cell r="C2032" t="str">
            <v>Domestic</v>
          </cell>
          <cell r="D2032">
            <v>1</v>
          </cell>
          <cell r="E2032">
            <v>9455</v>
          </cell>
          <cell r="F2032" t="str">
            <v>KINGSFORD MANUFACTURING</v>
          </cell>
          <cell r="G2032" t="str">
            <v>D</v>
          </cell>
          <cell r="H2032" t="str">
            <v>BELLE</v>
          </cell>
          <cell r="I2032" t="str">
            <v>MO</v>
          </cell>
          <cell r="J2032" t="str">
            <v>USA</v>
          </cell>
          <cell r="K2032" t="str">
            <v>KINGSFORD MANUFACTURING</v>
          </cell>
          <cell r="L2032" t="str">
            <v>MO</v>
          </cell>
          <cell r="M2032" t="str">
            <v>USA</v>
          </cell>
          <cell r="N2032" t="str">
            <v>C</v>
          </cell>
          <cell r="O2032">
            <v>22060450</v>
          </cell>
          <cell r="P2032" t="str">
            <v>V-BOR 1TN FIBC (004)</v>
          </cell>
          <cell r="Q2032" t="str">
            <v>Penta</v>
          </cell>
          <cell r="R2032">
            <v>66</v>
          </cell>
          <cell r="S2032">
            <v>19060.259999999998</v>
          </cell>
        </row>
        <row r="2033">
          <cell r="A2033" t="str">
            <v>Actual</v>
          </cell>
          <cell r="B2033">
            <v>2</v>
          </cell>
          <cell r="C2033" t="str">
            <v>Domestic</v>
          </cell>
          <cell r="D2033">
            <v>1</v>
          </cell>
          <cell r="E2033">
            <v>9635</v>
          </cell>
          <cell r="F2033" t="str">
            <v>HILMAR WHEY PROTEIN INC.</v>
          </cell>
          <cell r="G2033" t="str">
            <v>D</v>
          </cell>
          <cell r="H2033" t="str">
            <v>HILMAR</v>
          </cell>
          <cell r="I2033" t="str">
            <v>CA</v>
          </cell>
          <cell r="J2033" t="str">
            <v>USA</v>
          </cell>
          <cell r="K2033" t="str">
            <v>UNIVAR USA</v>
          </cell>
          <cell r="L2033" t="str">
            <v>CA</v>
          </cell>
          <cell r="M2033" t="str">
            <v>USA</v>
          </cell>
          <cell r="N2033" t="str">
            <v>D</v>
          </cell>
          <cell r="O2033">
            <v>30210110</v>
          </cell>
          <cell r="P2033" t="str">
            <v>SODA ASH DENSE 50LB BAG</v>
          </cell>
          <cell r="Q2033" t="str">
            <v>Soda Ash</v>
          </cell>
          <cell r="R2033">
            <v>24.5</v>
          </cell>
          <cell r="S2033">
            <v>4251.5</v>
          </cell>
        </row>
        <row r="2034">
          <cell r="A2034" t="str">
            <v>Actual</v>
          </cell>
          <cell r="B2034">
            <v>2</v>
          </cell>
          <cell r="C2034" t="str">
            <v>Domestic</v>
          </cell>
          <cell r="D2034">
            <v>2</v>
          </cell>
          <cell r="E2034">
            <v>5219</v>
          </cell>
          <cell r="F2034" t="str">
            <v>HARCROS CHEMICAL INC</v>
          </cell>
          <cell r="G2034" t="str">
            <v>D</v>
          </cell>
          <cell r="H2034" t="str">
            <v>ST LOUIS</v>
          </cell>
          <cell r="I2034" t="str">
            <v>MO</v>
          </cell>
          <cell r="J2034" t="str">
            <v>USA</v>
          </cell>
          <cell r="K2034" t="str">
            <v>HARCROS CHEMICAL INC</v>
          </cell>
          <cell r="L2034" t="str">
            <v>MO</v>
          </cell>
          <cell r="M2034" t="str">
            <v>USA</v>
          </cell>
          <cell r="N2034" t="str">
            <v>D</v>
          </cell>
          <cell r="O2034">
            <v>40060410</v>
          </cell>
          <cell r="P2034" t="str">
            <v>SODIUM SULFATE STD 50LB BAG</v>
          </cell>
          <cell r="Q2034" t="str">
            <v>Sodium Sulfate</v>
          </cell>
          <cell r="R2034">
            <v>21.25</v>
          </cell>
          <cell r="S2034">
            <v>3122.6</v>
          </cell>
        </row>
        <row r="2035">
          <cell r="A2035" t="str">
            <v>Actual</v>
          </cell>
          <cell r="B2035">
            <v>2</v>
          </cell>
          <cell r="C2035" t="str">
            <v>Domestic</v>
          </cell>
          <cell r="D2035">
            <v>2</v>
          </cell>
          <cell r="E2035">
            <v>5232</v>
          </cell>
          <cell r="F2035" t="str">
            <v>IDEAL CHEMICAL &amp; SUPPLY CO</v>
          </cell>
          <cell r="G2035" t="str">
            <v>D</v>
          </cell>
          <cell r="H2035" t="str">
            <v>MEMPHIS</v>
          </cell>
          <cell r="I2035" t="str">
            <v>TN</v>
          </cell>
          <cell r="J2035" t="str">
            <v>USA</v>
          </cell>
          <cell r="K2035" t="str">
            <v>IDEAL CHEMICAL &amp; SUPPLY CO</v>
          </cell>
          <cell r="L2035" t="str">
            <v>TN</v>
          </cell>
          <cell r="M2035" t="str">
            <v>USA</v>
          </cell>
          <cell r="N2035" t="str">
            <v>D</v>
          </cell>
          <cell r="O2035">
            <v>22060410</v>
          </cell>
          <cell r="P2035" t="str">
            <v>V-BOR 50LB BAG (004)</v>
          </cell>
          <cell r="Q2035" t="str">
            <v>Penta</v>
          </cell>
          <cell r="R2035">
            <v>18.375</v>
          </cell>
          <cell r="S2035">
            <v>6870.1107000000002</v>
          </cell>
        </row>
        <row r="2036">
          <cell r="A2036" t="str">
            <v>Actual</v>
          </cell>
          <cell r="B2036">
            <v>2</v>
          </cell>
          <cell r="C2036" t="str">
            <v>Domestic</v>
          </cell>
          <cell r="D2036">
            <v>2</v>
          </cell>
          <cell r="E2036">
            <v>5232</v>
          </cell>
          <cell r="F2036" t="str">
            <v>IDEAL CHEMICAL &amp; SUPPLY CO</v>
          </cell>
          <cell r="G2036" t="str">
            <v>D</v>
          </cell>
          <cell r="H2036" t="str">
            <v>MEMPHIS</v>
          </cell>
          <cell r="I2036" t="str">
            <v>TN</v>
          </cell>
          <cell r="J2036" t="str">
            <v>USA</v>
          </cell>
          <cell r="K2036" t="str">
            <v>IDEAL CHEMICAL &amp; SUPPLY CO</v>
          </cell>
          <cell r="L2036" t="str">
            <v>TN</v>
          </cell>
          <cell r="M2036" t="str">
            <v>USA</v>
          </cell>
          <cell r="N2036" t="str">
            <v>D</v>
          </cell>
          <cell r="O2036">
            <v>24090210</v>
          </cell>
          <cell r="P2036" t="str">
            <v>BORIC ACID GRAN TECH 50LB BAG</v>
          </cell>
          <cell r="Q2036" t="str">
            <v>Boric Acid</v>
          </cell>
          <cell r="R2036">
            <v>3.6749999999999998</v>
          </cell>
          <cell r="S2036">
            <v>2928.4693000000002</v>
          </cell>
        </row>
        <row r="2037">
          <cell r="A2037" t="str">
            <v>Actual</v>
          </cell>
          <cell r="B2037">
            <v>2</v>
          </cell>
          <cell r="C2037" t="str">
            <v>Domestic</v>
          </cell>
          <cell r="D2037">
            <v>2</v>
          </cell>
          <cell r="E2037">
            <v>5544</v>
          </cell>
          <cell r="F2037" t="str">
            <v>JONES FIBER PRODUCTS INC</v>
          </cell>
          <cell r="G2037" t="str">
            <v>D</v>
          </cell>
          <cell r="H2037" t="str">
            <v>MEMPHIS</v>
          </cell>
          <cell r="I2037" t="str">
            <v>TN</v>
          </cell>
          <cell r="J2037" t="str">
            <v>USA</v>
          </cell>
          <cell r="K2037" t="str">
            <v>UNIVAR USA</v>
          </cell>
          <cell r="L2037" t="str">
            <v>TN</v>
          </cell>
          <cell r="M2037" t="str">
            <v>USA</v>
          </cell>
          <cell r="N2037" t="str">
            <v>D</v>
          </cell>
          <cell r="O2037">
            <v>24090253</v>
          </cell>
          <cell r="P2037" t="str">
            <v>BORIC ACID GRN TCH 2500LB FIBC</v>
          </cell>
          <cell r="Q2037" t="str">
            <v>Boric Acid</v>
          </cell>
          <cell r="R2037">
            <v>88.75</v>
          </cell>
          <cell r="S2037">
            <v>38040.71</v>
          </cell>
        </row>
        <row r="2038">
          <cell r="A2038" t="str">
            <v>Actual</v>
          </cell>
          <cell r="B2038">
            <v>2</v>
          </cell>
          <cell r="C2038" t="str">
            <v>Domestic</v>
          </cell>
          <cell r="D2038">
            <v>2</v>
          </cell>
          <cell r="E2038">
            <v>6365</v>
          </cell>
          <cell r="F2038" t="str">
            <v>SPECTRUM GLASS</v>
          </cell>
          <cell r="G2038" t="str">
            <v>D</v>
          </cell>
          <cell r="H2038" t="str">
            <v>WOODINVILLE</v>
          </cell>
          <cell r="I2038" t="str">
            <v>WA</v>
          </cell>
          <cell r="J2038" t="str">
            <v>USA</v>
          </cell>
          <cell r="K2038" t="str">
            <v>CASCADE COLUMBIA DIST. CO.</v>
          </cell>
          <cell r="L2038" t="str">
            <v>WA</v>
          </cell>
          <cell r="M2038" t="str">
            <v>USA</v>
          </cell>
          <cell r="N2038" t="str">
            <v>D</v>
          </cell>
          <cell r="O2038">
            <v>20310250</v>
          </cell>
          <cell r="P2038" t="str">
            <v>PYROBOR 30/100 1TN FIBC (002)</v>
          </cell>
          <cell r="Q2038" t="str">
            <v>Pyrobor</v>
          </cell>
          <cell r="R2038">
            <v>43</v>
          </cell>
          <cell r="S2038">
            <v>27054.1</v>
          </cell>
        </row>
        <row r="2039">
          <cell r="A2039" t="str">
            <v>Actual</v>
          </cell>
          <cell r="B2039">
            <v>2</v>
          </cell>
          <cell r="C2039" t="str">
            <v>Domestic</v>
          </cell>
          <cell r="D2039">
            <v>2</v>
          </cell>
          <cell r="E2039">
            <v>6564</v>
          </cell>
          <cell r="F2039" t="str">
            <v>DOMTAR INC</v>
          </cell>
          <cell r="G2039" t="str">
            <v>D</v>
          </cell>
          <cell r="H2039" t="str">
            <v>ASHDOWN</v>
          </cell>
          <cell r="I2039" t="str">
            <v>AR</v>
          </cell>
          <cell r="J2039" t="str">
            <v>USA</v>
          </cell>
          <cell r="K2039" t="str">
            <v>HARCROS CHEMICAL INC</v>
          </cell>
          <cell r="L2039" t="str">
            <v>AR</v>
          </cell>
          <cell r="M2039" t="str">
            <v>USA</v>
          </cell>
          <cell r="N2039" t="str">
            <v>D</v>
          </cell>
          <cell r="O2039">
            <v>40060410</v>
          </cell>
          <cell r="P2039" t="str">
            <v>SODIUM SULFATE STD 50LB BAG</v>
          </cell>
          <cell r="Q2039" t="str">
            <v>Sodium Sulfate</v>
          </cell>
          <cell r="R2039">
            <v>111.25</v>
          </cell>
          <cell r="S2039">
            <v>8961.36</v>
          </cell>
        </row>
        <row r="2040">
          <cell r="A2040" t="str">
            <v>Actual</v>
          </cell>
          <cell r="B2040">
            <v>2</v>
          </cell>
          <cell r="C2040" t="str">
            <v>Domestic</v>
          </cell>
          <cell r="D2040">
            <v>2</v>
          </cell>
          <cell r="E2040">
            <v>6565</v>
          </cell>
          <cell r="F2040" t="str">
            <v>HARCROS CHEMICAL INC.</v>
          </cell>
          <cell r="G2040" t="str">
            <v>D</v>
          </cell>
          <cell r="H2040" t="str">
            <v>LITTLE ROCK</v>
          </cell>
          <cell r="I2040" t="str">
            <v>AR</v>
          </cell>
          <cell r="J2040" t="str">
            <v>USA</v>
          </cell>
          <cell r="K2040" t="str">
            <v>HARCROS CHEMICAL INC</v>
          </cell>
          <cell r="L2040" t="str">
            <v>AR</v>
          </cell>
          <cell r="M2040" t="str">
            <v>USA</v>
          </cell>
          <cell r="N2040" t="str">
            <v>D</v>
          </cell>
          <cell r="O2040">
            <v>40060459</v>
          </cell>
          <cell r="P2040" t="str">
            <v>SODIUM SULFATE STD FIBC GEN</v>
          </cell>
          <cell r="Q2040" t="str">
            <v>Sodium Sulfate</v>
          </cell>
          <cell r="R2040">
            <v>21.75</v>
          </cell>
          <cell r="S2040">
            <v>1572.54</v>
          </cell>
        </row>
        <row r="2041">
          <cell r="A2041" t="str">
            <v>Actual</v>
          </cell>
          <cell r="B2041">
            <v>2</v>
          </cell>
          <cell r="C2041" t="str">
            <v>Domestic</v>
          </cell>
          <cell r="D2041">
            <v>2</v>
          </cell>
          <cell r="E2041">
            <v>7016</v>
          </cell>
          <cell r="F2041" t="str">
            <v>GEORGIA PACIFIC</v>
          </cell>
          <cell r="G2041" t="str">
            <v>D</v>
          </cell>
          <cell r="H2041" t="str">
            <v>ALBANY</v>
          </cell>
          <cell r="I2041" t="str">
            <v>OR</v>
          </cell>
          <cell r="J2041" t="str">
            <v>USA</v>
          </cell>
          <cell r="K2041" t="str">
            <v>UNIVAR USA</v>
          </cell>
          <cell r="L2041" t="str">
            <v>CA</v>
          </cell>
          <cell r="M2041" t="str">
            <v>USA</v>
          </cell>
          <cell r="N2041" t="str">
            <v>D</v>
          </cell>
          <cell r="O2041">
            <v>40060410</v>
          </cell>
          <cell r="P2041" t="str">
            <v>SODIUM SULFATE STD 50LB BAG</v>
          </cell>
          <cell r="Q2041" t="str">
            <v>Sodium Sulfate</v>
          </cell>
          <cell r="R2041">
            <v>23.75</v>
          </cell>
          <cell r="S2041">
            <v>3930.63</v>
          </cell>
        </row>
        <row r="2042">
          <cell r="A2042" t="str">
            <v>Actual</v>
          </cell>
          <cell r="B2042">
            <v>2</v>
          </cell>
          <cell r="C2042" t="str">
            <v>Domestic</v>
          </cell>
          <cell r="D2042">
            <v>2</v>
          </cell>
          <cell r="E2042">
            <v>7215</v>
          </cell>
          <cell r="F2042" t="str">
            <v>UNIVAR USA</v>
          </cell>
          <cell r="G2042" t="str">
            <v>D</v>
          </cell>
          <cell r="H2042" t="str">
            <v>SPOKANE</v>
          </cell>
          <cell r="I2042" t="str">
            <v>WA</v>
          </cell>
          <cell r="J2042" t="str">
            <v>USA</v>
          </cell>
          <cell r="K2042" t="str">
            <v>UNIVAR USA</v>
          </cell>
          <cell r="L2042" t="str">
            <v>WA</v>
          </cell>
          <cell r="M2042" t="str">
            <v>USA</v>
          </cell>
          <cell r="N2042" t="str">
            <v>D</v>
          </cell>
          <cell r="O2042">
            <v>24609720</v>
          </cell>
          <cell r="P2042" t="str">
            <v>BORIC ACID NS 25KG BAG</v>
          </cell>
          <cell r="Q2042" t="str">
            <v>HP Boric Acid (SCL)</v>
          </cell>
          <cell r="R2042">
            <v>12.814</v>
          </cell>
          <cell r="S2042">
            <v>22650.54</v>
          </cell>
        </row>
        <row r="2043">
          <cell r="A2043" t="str">
            <v>Actual</v>
          </cell>
          <cell r="B2043">
            <v>2</v>
          </cell>
          <cell r="C2043" t="str">
            <v>Domestic</v>
          </cell>
          <cell r="D2043">
            <v>2</v>
          </cell>
          <cell r="E2043">
            <v>7215</v>
          </cell>
          <cell r="F2043" t="str">
            <v>UNIVAR USA</v>
          </cell>
          <cell r="G2043" t="str">
            <v>D</v>
          </cell>
          <cell r="H2043" t="str">
            <v>SPOKANE</v>
          </cell>
          <cell r="I2043" t="str">
            <v>WA</v>
          </cell>
          <cell r="J2043" t="str">
            <v>USA</v>
          </cell>
          <cell r="K2043" t="str">
            <v>UNIVAR USA</v>
          </cell>
          <cell r="L2043" t="str">
            <v>WA</v>
          </cell>
          <cell r="M2043" t="str">
            <v>USA</v>
          </cell>
          <cell r="N2043" t="str">
            <v>D</v>
          </cell>
          <cell r="O2043">
            <v>28069720</v>
          </cell>
          <cell r="P2043" t="str">
            <v>AMMONIUM PENTABORATE 25KG BAG</v>
          </cell>
          <cell r="Q2043" t="str">
            <v>Boric Salt (SCL)</v>
          </cell>
          <cell r="R2043">
            <v>4.4090999999999996</v>
          </cell>
          <cell r="S2043">
            <v>10917.62</v>
          </cell>
        </row>
        <row r="2044">
          <cell r="A2044" t="str">
            <v>Actual</v>
          </cell>
          <cell r="B2044">
            <v>2</v>
          </cell>
          <cell r="C2044" t="str">
            <v>Domestic</v>
          </cell>
          <cell r="D2044">
            <v>2</v>
          </cell>
          <cell r="E2044">
            <v>7324</v>
          </cell>
          <cell r="F2044" t="str">
            <v>COUNTRY SAVE</v>
          </cell>
          <cell r="G2044" t="str">
            <v>D</v>
          </cell>
          <cell r="H2044" t="str">
            <v>ARLINGTON</v>
          </cell>
          <cell r="I2044" t="str">
            <v>WA</v>
          </cell>
          <cell r="J2044" t="str">
            <v>USA</v>
          </cell>
          <cell r="K2044" t="str">
            <v>UNIVAR USA</v>
          </cell>
          <cell r="L2044" t="str">
            <v>WA</v>
          </cell>
          <cell r="M2044" t="str">
            <v>USA</v>
          </cell>
          <cell r="N2044" t="str">
            <v>D</v>
          </cell>
          <cell r="O2044">
            <v>40150400</v>
          </cell>
          <cell r="P2044" t="str">
            <v>SODIUM SULFATE COARSE BULK</v>
          </cell>
          <cell r="Q2044" t="str">
            <v>Sodium Sulfate</v>
          </cell>
          <cell r="R2044">
            <v>33.03</v>
          </cell>
          <cell r="S2044">
            <v>3156.35</v>
          </cell>
        </row>
        <row r="2045">
          <cell r="A2045" t="str">
            <v>Actual</v>
          </cell>
          <cell r="B2045">
            <v>2</v>
          </cell>
          <cell r="C2045" t="str">
            <v>Domestic</v>
          </cell>
          <cell r="D2045">
            <v>2</v>
          </cell>
          <cell r="E2045">
            <v>7376</v>
          </cell>
          <cell r="F2045" t="str">
            <v>GEORGIA PACIFIC</v>
          </cell>
          <cell r="G2045" t="str">
            <v>D</v>
          </cell>
          <cell r="H2045" t="str">
            <v>LOVELL</v>
          </cell>
          <cell r="I2045" t="str">
            <v>WY</v>
          </cell>
          <cell r="J2045" t="str">
            <v>USA</v>
          </cell>
          <cell r="K2045" t="str">
            <v>UNIVAR USA</v>
          </cell>
          <cell r="L2045" t="str">
            <v>CO</v>
          </cell>
          <cell r="M2045" t="str">
            <v>USA</v>
          </cell>
          <cell r="N2045" t="str">
            <v>D</v>
          </cell>
          <cell r="O2045">
            <v>24090213</v>
          </cell>
          <cell r="P2045" t="str">
            <v>BORIC ACD GRN 50LB PULPABLE BG</v>
          </cell>
          <cell r="Q2045" t="str">
            <v>Boric Acid</v>
          </cell>
          <cell r="R2045">
            <v>44.1</v>
          </cell>
          <cell r="S2045">
            <v>23438.76</v>
          </cell>
        </row>
        <row r="2046">
          <cell r="A2046" t="str">
            <v>Actual</v>
          </cell>
          <cell r="B2046">
            <v>2</v>
          </cell>
          <cell r="C2046" t="str">
            <v>Domestic</v>
          </cell>
          <cell r="D2046">
            <v>2</v>
          </cell>
          <cell r="E2046">
            <v>7428</v>
          </cell>
          <cell r="F2046" t="str">
            <v>CASCADE COLUMBIA DIST</v>
          </cell>
          <cell r="G2046" t="str">
            <v>D</v>
          </cell>
          <cell r="H2046" t="str">
            <v>SHERWOOD</v>
          </cell>
          <cell r="I2046" t="str">
            <v>OR</v>
          </cell>
          <cell r="J2046" t="str">
            <v>USA</v>
          </cell>
          <cell r="K2046" t="str">
            <v>CASCADE COLUMBIA DIST. CO.</v>
          </cell>
          <cell r="L2046" t="str">
            <v>WA</v>
          </cell>
          <cell r="M2046" t="str">
            <v>USA</v>
          </cell>
          <cell r="N2046" t="str">
            <v>D</v>
          </cell>
          <cell r="O2046">
            <v>22060410</v>
          </cell>
          <cell r="P2046" t="str">
            <v>V-BOR 50LB BAG (004)</v>
          </cell>
          <cell r="Q2046" t="str">
            <v>Penta</v>
          </cell>
          <cell r="R2046">
            <v>2.4500000000000002</v>
          </cell>
          <cell r="S2046">
            <v>1006.95</v>
          </cell>
        </row>
        <row r="2047">
          <cell r="A2047" t="str">
            <v>Actual</v>
          </cell>
          <cell r="B2047">
            <v>2</v>
          </cell>
          <cell r="C2047" t="str">
            <v>Domestic</v>
          </cell>
          <cell r="D2047">
            <v>2</v>
          </cell>
          <cell r="E2047">
            <v>7428</v>
          </cell>
          <cell r="F2047" t="str">
            <v>CASCADE COLUMBIA DIST</v>
          </cell>
          <cell r="G2047" t="str">
            <v>D</v>
          </cell>
          <cell r="H2047" t="str">
            <v>SHERWOOD</v>
          </cell>
          <cell r="I2047" t="str">
            <v>OR</v>
          </cell>
          <cell r="J2047" t="str">
            <v>USA</v>
          </cell>
          <cell r="K2047" t="str">
            <v>CASCADE COLUMBIA DIST. CO.</v>
          </cell>
          <cell r="L2047" t="str">
            <v>WA</v>
          </cell>
          <cell r="M2047" t="str">
            <v>USA</v>
          </cell>
          <cell r="N2047" t="str">
            <v>D</v>
          </cell>
          <cell r="O2047">
            <v>22060460</v>
          </cell>
          <cell r="P2047" t="str">
            <v>V-BOR 1800LB FIBC (004)</v>
          </cell>
          <cell r="Q2047" t="str">
            <v>Penta</v>
          </cell>
          <cell r="R2047">
            <v>7.2</v>
          </cell>
          <cell r="S2047">
            <v>2959.2</v>
          </cell>
        </row>
        <row r="2048">
          <cell r="A2048" t="str">
            <v>Actual</v>
          </cell>
          <cell r="B2048">
            <v>2</v>
          </cell>
          <cell r="C2048" t="str">
            <v>Domestic</v>
          </cell>
          <cell r="D2048">
            <v>2</v>
          </cell>
          <cell r="E2048">
            <v>7428</v>
          </cell>
          <cell r="F2048" t="str">
            <v>CASCADE COLUMBIA DIST</v>
          </cell>
          <cell r="G2048" t="str">
            <v>D</v>
          </cell>
          <cell r="H2048" t="str">
            <v>SHERWOOD</v>
          </cell>
          <cell r="I2048" t="str">
            <v>OR</v>
          </cell>
          <cell r="J2048" t="str">
            <v>USA</v>
          </cell>
          <cell r="K2048" t="str">
            <v>CASCADE COLUMBIA DIST. CO.</v>
          </cell>
          <cell r="L2048" t="str">
            <v>WA</v>
          </cell>
          <cell r="M2048" t="str">
            <v>USA</v>
          </cell>
          <cell r="N2048" t="str">
            <v>D</v>
          </cell>
          <cell r="O2048">
            <v>23060210</v>
          </cell>
          <cell r="P2048" t="str">
            <v>DECA BORAX STD 50LB BAG</v>
          </cell>
          <cell r="Q2048" t="str">
            <v>Deca</v>
          </cell>
          <cell r="R2048">
            <v>2.4500000000000002</v>
          </cell>
          <cell r="S2048">
            <v>899.15</v>
          </cell>
        </row>
        <row r="2049">
          <cell r="A2049" t="str">
            <v>Actual</v>
          </cell>
          <cell r="B2049">
            <v>2</v>
          </cell>
          <cell r="C2049" t="str">
            <v>Domestic</v>
          </cell>
          <cell r="D2049">
            <v>2</v>
          </cell>
          <cell r="E2049">
            <v>7428</v>
          </cell>
          <cell r="F2049" t="str">
            <v>CASCADE COLUMBIA DIST</v>
          </cell>
          <cell r="G2049" t="str">
            <v>D</v>
          </cell>
          <cell r="H2049" t="str">
            <v>SHERWOOD</v>
          </cell>
          <cell r="I2049" t="str">
            <v>OR</v>
          </cell>
          <cell r="J2049" t="str">
            <v>USA</v>
          </cell>
          <cell r="K2049" t="str">
            <v>CASCADE COLUMBIA DIST. CO.</v>
          </cell>
          <cell r="L2049" t="str">
            <v>WA</v>
          </cell>
          <cell r="M2049" t="str">
            <v>USA</v>
          </cell>
          <cell r="N2049" t="str">
            <v>D</v>
          </cell>
          <cell r="O2049">
            <v>40060410</v>
          </cell>
          <cell r="P2049" t="str">
            <v>SODIUM SULFATE STD 50LB BAG</v>
          </cell>
          <cell r="Q2049" t="str">
            <v>Sodium Sulfate</v>
          </cell>
          <cell r="R2049">
            <v>10</v>
          </cell>
          <cell r="S2049">
            <v>1830</v>
          </cell>
        </row>
        <row r="2050">
          <cell r="A2050" t="str">
            <v>Actual</v>
          </cell>
          <cell r="B2050">
            <v>2</v>
          </cell>
          <cell r="C2050" t="str">
            <v>Domestic</v>
          </cell>
          <cell r="D2050">
            <v>2</v>
          </cell>
          <cell r="E2050">
            <v>7494</v>
          </cell>
          <cell r="F2050" t="str">
            <v>HARCROS ORGANICS</v>
          </cell>
          <cell r="G2050" t="str">
            <v>D</v>
          </cell>
          <cell r="H2050" t="str">
            <v>KANSAS CITY</v>
          </cell>
          <cell r="I2050" t="str">
            <v>KS</v>
          </cell>
          <cell r="J2050" t="str">
            <v>USA</v>
          </cell>
          <cell r="K2050" t="str">
            <v>HARCROS ORGANICS</v>
          </cell>
          <cell r="L2050" t="str">
            <v>KS</v>
          </cell>
          <cell r="M2050" t="str">
            <v>USA</v>
          </cell>
          <cell r="N2050" t="str">
            <v>C</v>
          </cell>
          <cell r="O2050">
            <v>24090253</v>
          </cell>
          <cell r="P2050" t="str">
            <v>BORIC ACID GRN TCH 2500LB FIBC</v>
          </cell>
          <cell r="Q2050" t="str">
            <v>Boric Acid</v>
          </cell>
          <cell r="R2050">
            <v>22.5</v>
          </cell>
          <cell r="S2050">
            <v>17872.2</v>
          </cell>
        </row>
        <row r="2051">
          <cell r="A2051" t="str">
            <v>Actual</v>
          </cell>
          <cell r="B2051">
            <v>2</v>
          </cell>
          <cell r="C2051" t="str">
            <v>Domestic</v>
          </cell>
          <cell r="D2051">
            <v>2</v>
          </cell>
          <cell r="E2051">
            <v>7497</v>
          </cell>
          <cell r="F2051" t="str">
            <v>UNIVAR USA</v>
          </cell>
          <cell r="G2051" t="str">
            <v>D</v>
          </cell>
          <cell r="H2051" t="str">
            <v>KANSAS CITY</v>
          </cell>
          <cell r="I2051" t="str">
            <v>MO</v>
          </cell>
          <cell r="J2051" t="str">
            <v>USA</v>
          </cell>
          <cell r="K2051" t="str">
            <v>UNIVAR USA</v>
          </cell>
          <cell r="L2051" t="str">
            <v>IL</v>
          </cell>
          <cell r="M2051" t="str">
            <v>USA</v>
          </cell>
          <cell r="N2051" t="str">
            <v>D</v>
          </cell>
          <cell r="O2051">
            <v>22060410</v>
          </cell>
          <cell r="P2051" t="str">
            <v>V-BOR 50LB BAG (004)</v>
          </cell>
          <cell r="Q2051" t="str">
            <v>Penta</v>
          </cell>
          <cell r="R2051">
            <v>15.925000000000001</v>
          </cell>
          <cell r="S2051">
            <v>5296.4956000000002</v>
          </cell>
        </row>
        <row r="2052">
          <cell r="A2052" t="str">
            <v>Actual</v>
          </cell>
          <cell r="B2052">
            <v>2</v>
          </cell>
          <cell r="C2052" t="str">
            <v>Domestic</v>
          </cell>
          <cell r="D2052">
            <v>2</v>
          </cell>
          <cell r="E2052">
            <v>7497</v>
          </cell>
          <cell r="F2052" t="str">
            <v>UNIVAR USA</v>
          </cell>
          <cell r="G2052" t="str">
            <v>D</v>
          </cell>
          <cell r="H2052" t="str">
            <v>KANSAS CITY</v>
          </cell>
          <cell r="I2052" t="str">
            <v>MO</v>
          </cell>
          <cell r="J2052" t="str">
            <v>USA</v>
          </cell>
          <cell r="K2052" t="str">
            <v>UNIVAR USA</v>
          </cell>
          <cell r="L2052" t="str">
            <v>IL</v>
          </cell>
          <cell r="M2052" t="str">
            <v>USA</v>
          </cell>
          <cell r="N2052" t="str">
            <v>D</v>
          </cell>
          <cell r="O2052">
            <v>22060430</v>
          </cell>
          <cell r="P2052" t="str">
            <v>V-BOR STD 100LB BAG (004)</v>
          </cell>
          <cell r="Q2052" t="str">
            <v>Penta</v>
          </cell>
          <cell r="R2052">
            <v>1.25</v>
          </cell>
          <cell r="S2052">
            <v>415.6438</v>
          </cell>
        </row>
        <row r="2053">
          <cell r="A2053" t="str">
            <v>Actual</v>
          </cell>
          <cell r="B2053">
            <v>2</v>
          </cell>
          <cell r="C2053" t="str">
            <v>Domestic</v>
          </cell>
          <cell r="D2053">
            <v>2</v>
          </cell>
          <cell r="E2053">
            <v>7497</v>
          </cell>
          <cell r="F2053" t="str">
            <v>UNIVAR USA</v>
          </cell>
          <cell r="G2053" t="str">
            <v>D</v>
          </cell>
          <cell r="H2053" t="str">
            <v>KANSAS CITY</v>
          </cell>
          <cell r="I2053" t="str">
            <v>MO</v>
          </cell>
          <cell r="J2053" t="str">
            <v>USA</v>
          </cell>
          <cell r="K2053" t="str">
            <v>UNIVAR USA</v>
          </cell>
          <cell r="L2053" t="str">
            <v>IL</v>
          </cell>
          <cell r="M2053" t="str">
            <v>USA</v>
          </cell>
          <cell r="N2053" t="str">
            <v>D</v>
          </cell>
          <cell r="O2053">
            <v>24090210</v>
          </cell>
          <cell r="P2053" t="str">
            <v>BORIC ACID GRAN TECH 50LB BAG</v>
          </cell>
          <cell r="Q2053" t="str">
            <v>Boric Acid</v>
          </cell>
          <cell r="R2053">
            <v>3.6749999999999998</v>
          </cell>
          <cell r="S2053">
            <v>2081.2716999999998</v>
          </cell>
        </row>
        <row r="2054">
          <cell r="A2054" t="str">
            <v>Actual</v>
          </cell>
          <cell r="B2054">
            <v>2</v>
          </cell>
          <cell r="C2054" t="str">
            <v>Domestic</v>
          </cell>
          <cell r="D2054">
            <v>2</v>
          </cell>
          <cell r="E2054">
            <v>7525</v>
          </cell>
          <cell r="F2054" t="str">
            <v>GEORGIA PACIFIC CORP.</v>
          </cell>
          <cell r="G2054" t="str">
            <v>D</v>
          </cell>
          <cell r="H2054" t="str">
            <v>FT DODGE</v>
          </cell>
          <cell r="I2054" t="str">
            <v>IA</v>
          </cell>
          <cell r="J2054" t="str">
            <v>USA</v>
          </cell>
          <cell r="K2054" t="str">
            <v>UNIVAR USA</v>
          </cell>
          <cell r="L2054" t="str">
            <v>NE</v>
          </cell>
          <cell r="M2054" t="str">
            <v>USA</v>
          </cell>
          <cell r="N2054" t="str">
            <v>D</v>
          </cell>
          <cell r="O2054">
            <v>24090250</v>
          </cell>
          <cell r="P2054" t="str">
            <v>BORIC ACID GRAN TECH 1TN FIBC</v>
          </cell>
          <cell r="Q2054" t="str">
            <v>Boric Acid</v>
          </cell>
          <cell r="R2054">
            <v>21</v>
          </cell>
          <cell r="S2054">
            <v>11211.6</v>
          </cell>
        </row>
        <row r="2055">
          <cell r="A2055" t="str">
            <v>Actual</v>
          </cell>
          <cell r="B2055">
            <v>2</v>
          </cell>
          <cell r="C2055" t="str">
            <v>Domestic</v>
          </cell>
          <cell r="D2055">
            <v>2</v>
          </cell>
          <cell r="E2055">
            <v>7673</v>
          </cell>
          <cell r="F2055" t="str">
            <v>G.S. ROBINS &amp; CO.</v>
          </cell>
          <cell r="G2055" t="str">
            <v>D</v>
          </cell>
          <cell r="H2055" t="str">
            <v>ST LOUIS</v>
          </cell>
          <cell r="I2055" t="str">
            <v>MO</v>
          </cell>
          <cell r="J2055" t="str">
            <v>USA</v>
          </cell>
          <cell r="K2055" t="str">
            <v>G.S. ROBINS &amp; CO.</v>
          </cell>
          <cell r="L2055" t="str">
            <v>MO</v>
          </cell>
          <cell r="M2055" t="str">
            <v>USA</v>
          </cell>
          <cell r="N2055" t="str">
            <v>D</v>
          </cell>
          <cell r="O2055">
            <v>24030210</v>
          </cell>
          <cell r="P2055" t="str">
            <v>BORIC ACID PWD TECH 50LB BAG</v>
          </cell>
          <cell r="Q2055" t="str">
            <v>Boric Acid</v>
          </cell>
          <cell r="R2055">
            <v>43.2</v>
          </cell>
          <cell r="S2055">
            <v>29717.55</v>
          </cell>
        </row>
        <row r="2056">
          <cell r="A2056" t="str">
            <v>Actual</v>
          </cell>
          <cell r="B2056">
            <v>2</v>
          </cell>
          <cell r="C2056" t="str">
            <v>Domestic</v>
          </cell>
          <cell r="D2056">
            <v>2</v>
          </cell>
          <cell r="E2056">
            <v>7712</v>
          </cell>
          <cell r="F2056" t="str">
            <v>JONES FIBER PRODUCTS INC</v>
          </cell>
          <cell r="G2056" t="str">
            <v>D</v>
          </cell>
          <cell r="H2056" t="str">
            <v>MORRISTOWN</v>
          </cell>
          <cell r="I2056" t="str">
            <v>TN</v>
          </cell>
          <cell r="J2056" t="str">
            <v>USA</v>
          </cell>
          <cell r="K2056" t="str">
            <v>JONES FIBER PRODUCTS INC</v>
          </cell>
          <cell r="L2056" t="str">
            <v>TN</v>
          </cell>
          <cell r="M2056" t="str">
            <v>USA</v>
          </cell>
          <cell r="N2056" t="str">
            <v>C</v>
          </cell>
          <cell r="O2056">
            <v>24090253</v>
          </cell>
          <cell r="P2056" t="str">
            <v>BORIC ACID GRN TCH 2500LB FIBC</v>
          </cell>
          <cell r="Q2056" t="str">
            <v>Boric Acid</v>
          </cell>
          <cell r="R2056">
            <v>0</v>
          </cell>
          <cell r="S2056">
            <v>-246.23</v>
          </cell>
        </row>
        <row r="2057">
          <cell r="A2057" t="str">
            <v>Actual</v>
          </cell>
          <cell r="B2057">
            <v>2</v>
          </cell>
          <cell r="C2057" t="str">
            <v>Domestic</v>
          </cell>
          <cell r="D2057">
            <v>2</v>
          </cell>
          <cell r="E2057">
            <v>8254</v>
          </cell>
          <cell r="F2057" t="str">
            <v>WEYERHAEUSER COMPANY</v>
          </cell>
          <cell r="G2057" t="str">
            <v>D</v>
          </cell>
          <cell r="H2057" t="str">
            <v>ALBANY</v>
          </cell>
          <cell r="I2057" t="str">
            <v>OR</v>
          </cell>
          <cell r="J2057" t="str">
            <v>USA</v>
          </cell>
          <cell r="K2057" t="str">
            <v>WEYERHAEUSER COMPANY</v>
          </cell>
          <cell r="L2057" t="str">
            <v>OR</v>
          </cell>
          <cell r="M2057" t="str">
            <v>USA</v>
          </cell>
          <cell r="N2057" t="str">
            <v>C</v>
          </cell>
          <cell r="O2057">
            <v>24150252</v>
          </cell>
          <cell r="P2057" t="str">
            <v>BORIC ACID COARSE 2400LB FIBC</v>
          </cell>
          <cell r="Q2057" t="str">
            <v>Boric Acid</v>
          </cell>
          <cell r="R2057">
            <v>48</v>
          </cell>
          <cell r="S2057">
            <v>29664</v>
          </cell>
        </row>
        <row r="2058">
          <cell r="A2058" t="str">
            <v>Actual</v>
          </cell>
          <cell r="B2058">
            <v>2</v>
          </cell>
          <cell r="C2058" t="str">
            <v>Domestic</v>
          </cell>
          <cell r="D2058">
            <v>2</v>
          </cell>
          <cell r="E2058">
            <v>8388</v>
          </cell>
          <cell r="F2058" t="str">
            <v>UNIVAR C/O GEORGIA PACIFIC</v>
          </cell>
          <cell r="G2058" t="str">
            <v>D</v>
          </cell>
          <cell r="H2058" t="str">
            <v>SURREY</v>
          </cell>
          <cell r="I2058" t="str">
            <v>BC</v>
          </cell>
          <cell r="J2058" t="str">
            <v>CAN</v>
          </cell>
          <cell r="K2058" t="str">
            <v>UNIVAR CANADA LTD</v>
          </cell>
          <cell r="L2058" t="str">
            <v>BC</v>
          </cell>
          <cell r="M2058" t="str">
            <v>CAN</v>
          </cell>
          <cell r="N2058" t="str">
            <v>D</v>
          </cell>
          <cell r="O2058">
            <v>24090255</v>
          </cell>
          <cell r="P2058" t="str">
            <v>BORIC ACID GRAN TECH 1 MT FIBC</v>
          </cell>
          <cell r="Q2058" t="str">
            <v>Boric Acid</v>
          </cell>
          <cell r="R2058">
            <v>22.045999999999999</v>
          </cell>
          <cell r="S2058">
            <v>12022.87</v>
          </cell>
        </row>
        <row r="2059">
          <cell r="A2059" t="str">
            <v>Actual</v>
          </cell>
          <cell r="B2059">
            <v>2</v>
          </cell>
          <cell r="C2059" t="str">
            <v>Domestic</v>
          </cell>
          <cell r="D2059">
            <v>2</v>
          </cell>
          <cell r="E2059">
            <v>8521</v>
          </cell>
          <cell r="F2059" t="str">
            <v>UNIVAR USA</v>
          </cell>
          <cell r="G2059" t="str">
            <v>D</v>
          </cell>
          <cell r="H2059" t="str">
            <v>MEMPHIS</v>
          </cell>
          <cell r="I2059" t="str">
            <v>TN</v>
          </cell>
          <cell r="J2059" t="str">
            <v>USA</v>
          </cell>
          <cell r="K2059" t="str">
            <v>UNIVAR USA</v>
          </cell>
          <cell r="L2059" t="str">
            <v>TN</v>
          </cell>
          <cell r="M2059" t="str">
            <v>USA</v>
          </cell>
          <cell r="O2059">
            <v>24090253</v>
          </cell>
          <cell r="P2059" t="str">
            <v>BORIC ACID GRN TCH 2500LB FIBC</v>
          </cell>
          <cell r="Q2059" t="str">
            <v>Boric Acid</v>
          </cell>
          <cell r="R2059">
            <v>21.25</v>
          </cell>
          <cell r="S2059">
            <v>9061.76</v>
          </cell>
        </row>
        <row r="2060">
          <cell r="A2060" t="str">
            <v>Actual</v>
          </cell>
          <cell r="B2060">
            <v>2</v>
          </cell>
          <cell r="C2060" t="str">
            <v>Domestic</v>
          </cell>
          <cell r="D2060">
            <v>2</v>
          </cell>
          <cell r="E2060">
            <v>9078</v>
          </cell>
          <cell r="F2060" t="str">
            <v>QUADRA CHEMICAL WESTERN INC.</v>
          </cell>
          <cell r="G2060" t="str">
            <v>D</v>
          </cell>
          <cell r="H2060" t="str">
            <v>PORTLAND</v>
          </cell>
          <cell r="I2060" t="str">
            <v>OR</v>
          </cell>
          <cell r="J2060" t="str">
            <v>USA</v>
          </cell>
          <cell r="K2060" t="str">
            <v>QUADRA CHEMICAL WESTERN INC.</v>
          </cell>
          <cell r="L2060" t="str">
            <v>OR</v>
          </cell>
          <cell r="M2060" t="str">
            <v>USA</v>
          </cell>
          <cell r="N2060" t="str">
            <v>D</v>
          </cell>
          <cell r="O2060">
            <v>22060410</v>
          </cell>
          <cell r="P2060" t="str">
            <v>V-BOR 50LB BAG (004)</v>
          </cell>
          <cell r="Q2060" t="str">
            <v>Penta</v>
          </cell>
          <cell r="R2060">
            <v>0</v>
          </cell>
          <cell r="S2060">
            <v>-46.944800000000001</v>
          </cell>
        </row>
        <row r="2061">
          <cell r="A2061" t="str">
            <v>Actual</v>
          </cell>
          <cell r="B2061">
            <v>2</v>
          </cell>
          <cell r="C2061" t="str">
            <v>Domestic</v>
          </cell>
          <cell r="D2061">
            <v>2</v>
          </cell>
          <cell r="E2061">
            <v>9078</v>
          </cell>
          <cell r="F2061" t="str">
            <v>QUADRA CHEMICAL WESTERN INC.</v>
          </cell>
          <cell r="G2061" t="str">
            <v>D</v>
          </cell>
          <cell r="H2061" t="str">
            <v>PORTLAND</v>
          </cell>
          <cell r="I2061" t="str">
            <v>OR</v>
          </cell>
          <cell r="J2061" t="str">
            <v>USA</v>
          </cell>
          <cell r="K2061" t="str">
            <v>QUADRA CHEMICAL WESTERN INC.</v>
          </cell>
          <cell r="L2061" t="str">
            <v>OR</v>
          </cell>
          <cell r="M2061" t="str">
            <v>USA</v>
          </cell>
          <cell r="N2061" t="str">
            <v>D</v>
          </cell>
          <cell r="O2061">
            <v>23060210</v>
          </cell>
          <cell r="P2061" t="str">
            <v>DECA BORAX STD 50LB BAG</v>
          </cell>
          <cell r="Q2061" t="str">
            <v>Deca</v>
          </cell>
          <cell r="R2061">
            <v>0</v>
          </cell>
          <cell r="S2061">
            <v>-8.5360999999999994</v>
          </cell>
        </row>
        <row r="2062">
          <cell r="A2062" t="str">
            <v>Actual</v>
          </cell>
          <cell r="B2062">
            <v>2</v>
          </cell>
          <cell r="C2062" t="str">
            <v>Domestic</v>
          </cell>
          <cell r="D2062">
            <v>2</v>
          </cell>
          <cell r="E2062">
            <v>9078</v>
          </cell>
          <cell r="F2062" t="str">
            <v>QUADRA CHEMICAL WESTERN INC.</v>
          </cell>
          <cell r="G2062" t="str">
            <v>D</v>
          </cell>
          <cell r="H2062" t="str">
            <v>PORTLAND</v>
          </cell>
          <cell r="I2062" t="str">
            <v>OR</v>
          </cell>
          <cell r="J2062" t="str">
            <v>USA</v>
          </cell>
          <cell r="K2062" t="str">
            <v>QUADRA CHEMICAL WESTERN INC.</v>
          </cell>
          <cell r="L2062" t="str">
            <v>OR</v>
          </cell>
          <cell r="M2062" t="str">
            <v>USA</v>
          </cell>
          <cell r="N2062" t="str">
            <v>D</v>
          </cell>
          <cell r="O2062">
            <v>40060410</v>
          </cell>
          <cell r="P2062" t="str">
            <v>SODIUM SULFATE STD 50LB BAG</v>
          </cell>
          <cell r="Q2062" t="str">
            <v>Sodium Sulfate</v>
          </cell>
          <cell r="R2062">
            <v>0</v>
          </cell>
          <cell r="S2062">
            <v>-21.769100000000002</v>
          </cell>
        </row>
        <row r="2063">
          <cell r="A2063" t="str">
            <v>Actual</v>
          </cell>
          <cell r="B2063">
            <v>2</v>
          </cell>
          <cell r="C2063" t="str">
            <v>Domestic</v>
          </cell>
          <cell r="D2063">
            <v>2</v>
          </cell>
          <cell r="E2063">
            <v>9514</v>
          </cell>
          <cell r="F2063" t="str">
            <v>AMT LABS</v>
          </cell>
          <cell r="G2063" t="str">
            <v>D</v>
          </cell>
          <cell r="H2063" t="str">
            <v>NORTH SALT LAKE CITY</v>
          </cell>
          <cell r="I2063" t="str">
            <v>UT</v>
          </cell>
          <cell r="J2063" t="str">
            <v>USA</v>
          </cell>
          <cell r="K2063" t="str">
            <v>QUADRA CHEMICAL WESTERN INC.</v>
          </cell>
          <cell r="L2063" t="str">
            <v>OR</v>
          </cell>
          <cell r="M2063" t="str">
            <v>USA</v>
          </cell>
          <cell r="N2063" t="str">
            <v>D</v>
          </cell>
          <cell r="O2063">
            <v>24629720</v>
          </cell>
          <cell r="P2063" t="str">
            <v>BORIC ACID EP GRAN 25KG BAG</v>
          </cell>
          <cell r="Q2063" t="str">
            <v>HP Boric Acid (SCL)</v>
          </cell>
          <cell r="R2063">
            <v>0</v>
          </cell>
          <cell r="S2063">
            <v>42.71</v>
          </cell>
        </row>
        <row r="2064">
          <cell r="A2064" t="str">
            <v>Actual</v>
          </cell>
          <cell r="B2064">
            <v>2</v>
          </cell>
          <cell r="C2064" t="str">
            <v>Domestic</v>
          </cell>
          <cell r="D2064">
            <v>2</v>
          </cell>
          <cell r="E2064">
            <v>9582</v>
          </cell>
          <cell r="F2064" t="str">
            <v>QUADRA CHEMICAL WESTERN INC.</v>
          </cell>
          <cell r="G2064" t="str">
            <v>D</v>
          </cell>
          <cell r="H2064" t="str">
            <v>SPRINGFIELD</v>
          </cell>
          <cell r="I2064" t="str">
            <v>OR</v>
          </cell>
          <cell r="J2064" t="str">
            <v>USA</v>
          </cell>
          <cell r="K2064" t="str">
            <v>QUADRA CHEMICAL WESTERN INC.</v>
          </cell>
          <cell r="L2064" t="str">
            <v>OR</v>
          </cell>
          <cell r="M2064" t="str">
            <v>USA</v>
          </cell>
          <cell r="N2064" t="str">
            <v>D</v>
          </cell>
          <cell r="O2064">
            <v>40060410</v>
          </cell>
          <cell r="P2064" t="str">
            <v>SODIUM SULFATE STD 50LB BAG</v>
          </cell>
          <cell r="Q2064" t="str">
            <v>Sodium Sulfate</v>
          </cell>
          <cell r="R2064">
            <v>0</v>
          </cell>
          <cell r="S2064">
            <v>-56.91</v>
          </cell>
        </row>
        <row r="2065">
          <cell r="A2065" t="str">
            <v>Actual</v>
          </cell>
          <cell r="B2065">
            <v>2</v>
          </cell>
          <cell r="C2065" t="str">
            <v>Domestic</v>
          </cell>
          <cell r="D2065">
            <v>2</v>
          </cell>
          <cell r="E2065">
            <v>9601</v>
          </cell>
          <cell r="F2065" t="str">
            <v>QUADRA CHEMICAL WESTERN INC.</v>
          </cell>
          <cell r="G2065" t="str">
            <v>D</v>
          </cell>
          <cell r="H2065" t="str">
            <v>ALBANY</v>
          </cell>
          <cell r="I2065" t="str">
            <v>OR</v>
          </cell>
          <cell r="J2065" t="str">
            <v>USA</v>
          </cell>
          <cell r="K2065" t="str">
            <v>QUADRA CHEMICAL WESTERN INC.</v>
          </cell>
          <cell r="L2065" t="str">
            <v>OR</v>
          </cell>
          <cell r="M2065" t="str">
            <v>USA</v>
          </cell>
          <cell r="N2065" t="str">
            <v>D</v>
          </cell>
          <cell r="O2065">
            <v>40060410</v>
          </cell>
          <cell r="P2065" t="str">
            <v>SODIUM SULFATE STD 50LB BAG</v>
          </cell>
          <cell r="Q2065" t="str">
            <v>Sodium Sulfate</v>
          </cell>
          <cell r="R2065">
            <v>0</v>
          </cell>
          <cell r="S2065">
            <v>-51.24</v>
          </cell>
        </row>
        <row r="2066">
          <cell r="A2066" t="str">
            <v>Actual</v>
          </cell>
          <cell r="B2066">
            <v>2</v>
          </cell>
          <cell r="C2066" t="str">
            <v>Domestic</v>
          </cell>
          <cell r="D2066">
            <v>3</v>
          </cell>
          <cell r="E2066">
            <v>5056</v>
          </cell>
          <cell r="F2066" t="str">
            <v>ACCESS BUSINESS GROUP</v>
          </cell>
          <cell r="G2066" t="str">
            <v>D</v>
          </cell>
          <cell r="H2066" t="str">
            <v>ADA</v>
          </cell>
          <cell r="I2066" t="str">
            <v>MI</v>
          </cell>
          <cell r="J2066" t="str">
            <v>USA</v>
          </cell>
          <cell r="K2066" t="str">
            <v>ACCESS BUSINESS GROUP</v>
          </cell>
          <cell r="L2066" t="str">
            <v>MI</v>
          </cell>
          <cell r="M2066" t="str">
            <v>USA</v>
          </cell>
          <cell r="N2066" t="str">
            <v>C</v>
          </cell>
          <cell r="O2066">
            <v>40150400</v>
          </cell>
          <cell r="P2066" t="str">
            <v>SODIUM SULFATE COARSE BULK</v>
          </cell>
          <cell r="Q2066" t="str">
            <v>Sodium Sulfate</v>
          </cell>
          <cell r="R2066">
            <v>70.13</v>
          </cell>
          <cell r="S2066">
            <v>3703.7</v>
          </cell>
        </row>
        <row r="2067">
          <cell r="A2067" t="str">
            <v>Actual</v>
          </cell>
          <cell r="B2067">
            <v>2</v>
          </cell>
          <cell r="C2067" t="str">
            <v>Domestic</v>
          </cell>
          <cell r="D2067">
            <v>3</v>
          </cell>
          <cell r="E2067">
            <v>5196</v>
          </cell>
          <cell r="F2067" t="str">
            <v>GENERAL ELECTRIC COMPANY</v>
          </cell>
          <cell r="G2067" t="str">
            <v>D</v>
          </cell>
          <cell r="H2067" t="str">
            <v>NILES</v>
          </cell>
          <cell r="I2067" t="str">
            <v>OH</v>
          </cell>
          <cell r="J2067" t="str">
            <v>USA</v>
          </cell>
          <cell r="K2067" t="str">
            <v>GENERAL ELECTRIC COMPANY</v>
          </cell>
          <cell r="L2067" t="str">
            <v>OH</v>
          </cell>
          <cell r="M2067" t="str">
            <v>USA</v>
          </cell>
          <cell r="N2067" t="str">
            <v>C</v>
          </cell>
          <cell r="O2067">
            <v>22060400</v>
          </cell>
          <cell r="P2067" t="str">
            <v>V-BOR STD BULK (004)</v>
          </cell>
          <cell r="Q2067" t="str">
            <v>Penta</v>
          </cell>
          <cell r="R2067">
            <v>379.24099999999999</v>
          </cell>
          <cell r="S2067">
            <v>93647.37</v>
          </cell>
        </row>
        <row r="2068">
          <cell r="A2068" t="str">
            <v>Actual</v>
          </cell>
          <cell r="B2068">
            <v>2</v>
          </cell>
          <cell r="C2068" t="str">
            <v>Domestic</v>
          </cell>
          <cell r="D2068">
            <v>3</v>
          </cell>
          <cell r="E2068">
            <v>5196</v>
          </cell>
          <cell r="F2068" t="str">
            <v>GENERAL ELECTRIC COMPANY</v>
          </cell>
          <cell r="G2068" t="str">
            <v>D</v>
          </cell>
          <cell r="H2068" t="str">
            <v>NILES</v>
          </cell>
          <cell r="I2068" t="str">
            <v>OH</v>
          </cell>
          <cell r="J2068" t="str">
            <v>USA</v>
          </cell>
          <cell r="K2068" t="str">
            <v>GENERAL ELECTRIC COMPANY</v>
          </cell>
          <cell r="L2068" t="str">
            <v>OH</v>
          </cell>
          <cell r="M2068" t="str">
            <v>USA</v>
          </cell>
          <cell r="N2068" t="str">
            <v>C</v>
          </cell>
          <cell r="O2068">
            <v>24090200</v>
          </cell>
          <cell r="P2068" t="str">
            <v>BORIC ACID GRAN TECH BULK</v>
          </cell>
          <cell r="Q2068" t="str">
            <v>Boric Acid</v>
          </cell>
          <cell r="R2068">
            <v>129.3425</v>
          </cell>
          <cell r="S2068">
            <v>57854.9</v>
          </cell>
        </row>
        <row r="2069">
          <cell r="A2069" t="str">
            <v>Actual</v>
          </cell>
          <cell r="B2069">
            <v>2</v>
          </cell>
          <cell r="C2069" t="str">
            <v>Domestic</v>
          </cell>
          <cell r="D2069">
            <v>3</v>
          </cell>
          <cell r="E2069">
            <v>5209</v>
          </cell>
          <cell r="F2069" t="str">
            <v>GUARDIAN INDUSTRIES</v>
          </cell>
          <cell r="G2069" t="str">
            <v>D</v>
          </cell>
          <cell r="H2069" t="str">
            <v>KINGSBURG</v>
          </cell>
          <cell r="I2069" t="str">
            <v>CA</v>
          </cell>
          <cell r="J2069" t="str">
            <v>USA</v>
          </cell>
          <cell r="K2069" t="str">
            <v>GUARDIAN INDUSTRIES</v>
          </cell>
          <cell r="L2069" t="str">
            <v>CA</v>
          </cell>
          <cell r="M2069" t="str">
            <v>USA</v>
          </cell>
          <cell r="N2069" t="str">
            <v>C</v>
          </cell>
          <cell r="O2069">
            <v>30210100</v>
          </cell>
          <cell r="P2069" t="str">
            <v>SODA ASH DENSE BULK</v>
          </cell>
          <cell r="Q2069" t="str">
            <v>Soda Ash</v>
          </cell>
          <cell r="R2069">
            <v>1982.39</v>
          </cell>
          <cell r="S2069">
            <v>147189.5</v>
          </cell>
        </row>
        <row r="2070">
          <cell r="A2070" t="str">
            <v>Actual</v>
          </cell>
          <cell r="B2070">
            <v>2</v>
          </cell>
          <cell r="C2070" t="str">
            <v>Domestic</v>
          </cell>
          <cell r="D2070">
            <v>3</v>
          </cell>
          <cell r="E2070">
            <v>5209</v>
          </cell>
          <cell r="F2070" t="str">
            <v>GUARDIAN INDUSTRIES</v>
          </cell>
          <cell r="G2070" t="str">
            <v>D</v>
          </cell>
          <cell r="H2070" t="str">
            <v>KINGSBURG</v>
          </cell>
          <cell r="I2070" t="str">
            <v>CA</v>
          </cell>
          <cell r="J2070" t="str">
            <v>USA</v>
          </cell>
          <cell r="K2070" t="str">
            <v>GUARDIAN INDUSTRIES</v>
          </cell>
          <cell r="L2070" t="str">
            <v>CA</v>
          </cell>
          <cell r="M2070" t="str">
            <v>USA</v>
          </cell>
          <cell r="N2070" t="str">
            <v>C</v>
          </cell>
          <cell r="O2070">
            <v>40150400</v>
          </cell>
          <cell r="P2070" t="str">
            <v>SODIUM SULFATE COARSE BULK</v>
          </cell>
          <cell r="Q2070" t="str">
            <v>Sodium Sulfate</v>
          </cell>
          <cell r="R2070">
            <v>108.84</v>
          </cell>
          <cell r="S2070">
            <v>12129.94</v>
          </cell>
        </row>
        <row r="2071">
          <cell r="A2071" t="str">
            <v>Actual</v>
          </cell>
          <cell r="B2071">
            <v>2</v>
          </cell>
          <cell r="C2071" t="str">
            <v>Domestic</v>
          </cell>
          <cell r="D2071">
            <v>3</v>
          </cell>
          <cell r="E2071">
            <v>5210</v>
          </cell>
          <cell r="F2071" t="str">
            <v>GUARDIAN FIBERGLASS</v>
          </cell>
          <cell r="G2071" t="str">
            <v>D</v>
          </cell>
          <cell r="H2071" t="str">
            <v>MINERAL WELLS</v>
          </cell>
          <cell r="I2071" t="str">
            <v>MS</v>
          </cell>
          <cell r="J2071" t="str">
            <v>USA</v>
          </cell>
          <cell r="K2071" t="str">
            <v>GUARDIAN FIBERGLASS</v>
          </cell>
          <cell r="L2071" t="str">
            <v>MS</v>
          </cell>
          <cell r="M2071" t="str">
            <v>USA</v>
          </cell>
          <cell r="N2071" t="str">
            <v>C</v>
          </cell>
          <cell r="O2071">
            <v>22060400</v>
          </cell>
          <cell r="P2071" t="str">
            <v>V-BOR STD BULK (004)</v>
          </cell>
          <cell r="Q2071" t="str">
            <v>Penta</v>
          </cell>
          <cell r="R2071">
            <v>324.75</v>
          </cell>
          <cell r="S2071">
            <v>78810.33</v>
          </cell>
        </row>
        <row r="2072">
          <cell r="A2072" t="str">
            <v>Actual</v>
          </cell>
          <cell r="B2072">
            <v>2</v>
          </cell>
          <cell r="C2072" t="str">
            <v>Domestic</v>
          </cell>
          <cell r="D2072">
            <v>3</v>
          </cell>
          <cell r="E2072">
            <v>5249</v>
          </cell>
          <cell r="F2072" t="str">
            <v>GUARDIAN INDUSTRIES</v>
          </cell>
          <cell r="G2072" t="str">
            <v>D</v>
          </cell>
          <cell r="H2072" t="str">
            <v>CORSICANA</v>
          </cell>
          <cell r="I2072" t="str">
            <v>TX</v>
          </cell>
          <cell r="J2072" t="str">
            <v>USA</v>
          </cell>
          <cell r="K2072" t="str">
            <v>GUARDIAN INDUSTRIES</v>
          </cell>
          <cell r="L2072" t="str">
            <v>TX</v>
          </cell>
          <cell r="M2072" t="str">
            <v>USA</v>
          </cell>
          <cell r="N2072" t="str">
            <v>C</v>
          </cell>
          <cell r="O2072">
            <v>30210100</v>
          </cell>
          <cell r="P2072" t="str">
            <v>SODA ASH DENSE BULK</v>
          </cell>
          <cell r="Q2072" t="str">
            <v>Soda Ash</v>
          </cell>
          <cell r="R2072">
            <v>2910.99</v>
          </cell>
          <cell r="S2072">
            <v>178601.5</v>
          </cell>
        </row>
        <row r="2073">
          <cell r="A2073" t="str">
            <v>Actual</v>
          </cell>
          <cell r="B2073">
            <v>2</v>
          </cell>
          <cell r="C2073" t="str">
            <v>Domestic</v>
          </cell>
          <cell r="D2073">
            <v>3</v>
          </cell>
          <cell r="E2073">
            <v>5278</v>
          </cell>
          <cell r="F2073" t="str">
            <v>MILPORT ENTERPRISES INC</v>
          </cell>
          <cell r="G2073" t="str">
            <v>D</v>
          </cell>
          <cell r="H2073" t="str">
            <v>MILWAUKEE</v>
          </cell>
          <cell r="I2073" t="str">
            <v>WI</v>
          </cell>
          <cell r="J2073" t="str">
            <v>USA</v>
          </cell>
          <cell r="K2073" t="str">
            <v>MILPORT ENTERPRISES INC</v>
          </cell>
          <cell r="L2073" t="str">
            <v>WI</v>
          </cell>
          <cell r="M2073" t="str">
            <v>USA</v>
          </cell>
          <cell r="N2073" t="str">
            <v>D</v>
          </cell>
          <cell r="O2073">
            <v>22060410</v>
          </cell>
          <cell r="P2073" t="str">
            <v>V-BOR 50LB BAG (004)</v>
          </cell>
          <cell r="Q2073" t="str">
            <v>Penta</v>
          </cell>
          <cell r="R2073">
            <v>3.6749999999999998</v>
          </cell>
          <cell r="S2073">
            <v>1570.9582</v>
          </cell>
        </row>
        <row r="2074">
          <cell r="A2074" t="str">
            <v>Actual</v>
          </cell>
          <cell r="B2074">
            <v>2</v>
          </cell>
          <cell r="C2074" t="str">
            <v>Domestic</v>
          </cell>
          <cell r="D2074">
            <v>3</v>
          </cell>
          <cell r="E2074">
            <v>5278</v>
          </cell>
          <cell r="F2074" t="str">
            <v>MILPORT ENTERPRISES INC</v>
          </cell>
          <cell r="G2074" t="str">
            <v>D</v>
          </cell>
          <cell r="H2074" t="str">
            <v>MILWAUKEE</v>
          </cell>
          <cell r="I2074" t="str">
            <v>WI</v>
          </cell>
          <cell r="J2074" t="str">
            <v>USA</v>
          </cell>
          <cell r="K2074" t="str">
            <v>MILPORT ENTERPRISES INC</v>
          </cell>
          <cell r="L2074" t="str">
            <v>WI</v>
          </cell>
          <cell r="M2074" t="str">
            <v>USA</v>
          </cell>
          <cell r="N2074" t="str">
            <v>D</v>
          </cell>
          <cell r="O2074">
            <v>24090210</v>
          </cell>
          <cell r="P2074" t="str">
            <v>BORIC ACID GRAN TECH 50LB BAG</v>
          </cell>
          <cell r="Q2074" t="str">
            <v>Boric Acid</v>
          </cell>
          <cell r="R2074">
            <v>9.8000000000000007</v>
          </cell>
          <cell r="S2074">
            <v>8256.5496999999996</v>
          </cell>
        </row>
        <row r="2075">
          <cell r="A2075" t="str">
            <v>Actual</v>
          </cell>
          <cell r="B2075">
            <v>2</v>
          </cell>
          <cell r="C2075" t="str">
            <v>Domestic</v>
          </cell>
          <cell r="D2075">
            <v>3</v>
          </cell>
          <cell r="E2075">
            <v>5278</v>
          </cell>
          <cell r="F2075" t="str">
            <v>MILPORT ENTERPRISES INC</v>
          </cell>
          <cell r="G2075" t="str">
            <v>D</v>
          </cell>
          <cell r="H2075" t="str">
            <v>MILWAUKEE</v>
          </cell>
          <cell r="I2075" t="str">
            <v>WI</v>
          </cell>
          <cell r="J2075" t="str">
            <v>USA</v>
          </cell>
          <cell r="K2075" t="str">
            <v>MILPORT ENTERPRISES INC</v>
          </cell>
          <cell r="L2075" t="str">
            <v>WI</v>
          </cell>
          <cell r="M2075" t="str">
            <v>USA</v>
          </cell>
          <cell r="N2075" t="str">
            <v>D</v>
          </cell>
          <cell r="O2075">
            <v>40060410</v>
          </cell>
          <cell r="P2075" t="str">
            <v>SODIUM SULFATE STD 50LB BAG</v>
          </cell>
          <cell r="Q2075" t="str">
            <v>Sodium Sulfate</v>
          </cell>
          <cell r="R2075">
            <v>8.75</v>
          </cell>
          <cell r="S2075">
            <v>1369.3421000000001</v>
          </cell>
        </row>
        <row r="2076">
          <cell r="A2076" t="str">
            <v>Actual</v>
          </cell>
          <cell r="B2076">
            <v>2</v>
          </cell>
          <cell r="C2076" t="str">
            <v>Domestic</v>
          </cell>
          <cell r="D2076">
            <v>3</v>
          </cell>
          <cell r="E2076">
            <v>5310</v>
          </cell>
          <cell r="F2076" t="str">
            <v>LIBBEY GLASS, INC.</v>
          </cell>
          <cell r="G2076" t="str">
            <v>D</v>
          </cell>
          <cell r="H2076" t="str">
            <v>CITY OF INDUSTRY</v>
          </cell>
          <cell r="I2076" t="str">
            <v>CA</v>
          </cell>
          <cell r="J2076" t="str">
            <v>USA</v>
          </cell>
          <cell r="K2076" t="str">
            <v>LIBBEY GLASS, INC.</v>
          </cell>
          <cell r="L2076" t="str">
            <v>CA</v>
          </cell>
          <cell r="M2076" t="str">
            <v>USA</v>
          </cell>
          <cell r="N2076" t="str">
            <v>C</v>
          </cell>
          <cell r="O2076">
            <v>30210100</v>
          </cell>
          <cell r="P2076" t="str">
            <v>SODA ASH DENSE BULK</v>
          </cell>
          <cell r="Q2076" t="str">
            <v>Soda Ash</v>
          </cell>
          <cell r="R2076">
            <v>303.43</v>
          </cell>
          <cell r="S2076">
            <v>28685.51</v>
          </cell>
        </row>
        <row r="2077">
          <cell r="A2077" t="str">
            <v>Actual</v>
          </cell>
          <cell r="B2077">
            <v>2</v>
          </cell>
          <cell r="C2077" t="str">
            <v>Domestic</v>
          </cell>
          <cell r="D2077">
            <v>3</v>
          </cell>
          <cell r="E2077">
            <v>5310</v>
          </cell>
          <cell r="F2077" t="str">
            <v>LIBBEY GLASS, INC.</v>
          </cell>
          <cell r="G2077" t="str">
            <v>D</v>
          </cell>
          <cell r="H2077" t="str">
            <v>CITY OF INDUSTRY</v>
          </cell>
          <cell r="I2077" t="str">
            <v>CA</v>
          </cell>
          <cell r="J2077" t="str">
            <v>USA</v>
          </cell>
          <cell r="K2077" t="str">
            <v>LIBBEY GLASS, INC.</v>
          </cell>
          <cell r="L2077" t="str">
            <v>CA</v>
          </cell>
          <cell r="M2077" t="str">
            <v>USA</v>
          </cell>
          <cell r="N2077" t="str">
            <v>C</v>
          </cell>
          <cell r="O2077">
            <v>40150451</v>
          </cell>
          <cell r="P2077" t="str">
            <v>SODIUM SULFATE CRS 2200LB FIBC</v>
          </cell>
          <cell r="Q2077" t="str">
            <v>Sodium Sulfate</v>
          </cell>
          <cell r="R2077">
            <v>22</v>
          </cell>
          <cell r="S2077">
            <v>4298.5</v>
          </cell>
        </row>
        <row r="2078">
          <cell r="A2078" t="str">
            <v>Actual</v>
          </cell>
          <cell r="B2078">
            <v>2</v>
          </cell>
          <cell r="C2078" t="str">
            <v>Domestic</v>
          </cell>
          <cell r="D2078">
            <v>3</v>
          </cell>
          <cell r="E2078">
            <v>5383</v>
          </cell>
          <cell r="F2078" t="str">
            <v>ULRICH CHEMICAL, INC.</v>
          </cell>
          <cell r="G2078" t="str">
            <v>D</v>
          </cell>
          <cell r="H2078" t="str">
            <v>INDIANAPOLIS</v>
          </cell>
          <cell r="I2078" t="str">
            <v>IN</v>
          </cell>
          <cell r="J2078" t="str">
            <v>USA</v>
          </cell>
          <cell r="K2078" t="str">
            <v>ULRICH CHEMICAL, INC.</v>
          </cell>
          <cell r="L2078" t="str">
            <v>IN</v>
          </cell>
          <cell r="M2078" t="str">
            <v>USA</v>
          </cell>
          <cell r="N2078" t="str">
            <v>D</v>
          </cell>
          <cell r="O2078">
            <v>22060410</v>
          </cell>
          <cell r="P2078" t="str">
            <v>V-BOR 50LB BAG (004)</v>
          </cell>
          <cell r="Q2078" t="str">
            <v>Penta</v>
          </cell>
          <cell r="R2078">
            <v>6.125</v>
          </cell>
          <cell r="S2078">
            <v>2384.5677000000001</v>
          </cell>
        </row>
        <row r="2079">
          <cell r="A2079" t="str">
            <v>Actual</v>
          </cell>
          <cell r="B2079">
            <v>2</v>
          </cell>
          <cell r="C2079" t="str">
            <v>Domestic</v>
          </cell>
          <cell r="D2079">
            <v>3</v>
          </cell>
          <cell r="E2079">
            <v>5383</v>
          </cell>
          <cell r="F2079" t="str">
            <v>ULRICH CHEMICAL, INC.</v>
          </cell>
          <cell r="G2079" t="str">
            <v>D</v>
          </cell>
          <cell r="H2079" t="str">
            <v>INDIANAPOLIS</v>
          </cell>
          <cell r="I2079" t="str">
            <v>IN</v>
          </cell>
          <cell r="J2079" t="str">
            <v>USA</v>
          </cell>
          <cell r="K2079" t="str">
            <v>ULRICH CHEMICAL, INC.</v>
          </cell>
          <cell r="L2079" t="str">
            <v>IN</v>
          </cell>
          <cell r="M2079" t="str">
            <v>USA</v>
          </cell>
          <cell r="N2079" t="str">
            <v>D</v>
          </cell>
          <cell r="O2079">
            <v>22060453</v>
          </cell>
          <cell r="P2079" t="str">
            <v>V-BOR 2500LB FIBC (004)</v>
          </cell>
          <cell r="Q2079" t="str">
            <v>Penta</v>
          </cell>
          <cell r="R2079">
            <v>10</v>
          </cell>
          <cell r="S2079">
            <v>3893.1455000000001</v>
          </cell>
        </row>
        <row r="2080">
          <cell r="A2080" t="str">
            <v>Actual</v>
          </cell>
          <cell r="B2080">
            <v>2</v>
          </cell>
          <cell r="C2080" t="str">
            <v>Domestic</v>
          </cell>
          <cell r="D2080">
            <v>3</v>
          </cell>
          <cell r="E2080">
            <v>5383</v>
          </cell>
          <cell r="F2080" t="str">
            <v>ULRICH CHEMICAL, INC.</v>
          </cell>
          <cell r="G2080" t="str">
            <v>D</v>
          </cell>
          <cell r="H2080" t="str">
            <v>INDIANAPOLIS</v>
          </cell>
          <cell r="I2080" t="str">
            <v>IN</v>
          </cell>
          <cell r="J2080" t="str">
            <v>USA</v>
          </cell>
          <cell r="K2080" t="str">
            <v>ULRICH CHEMICAL, INC.</v>
          </cell>
          <cell r="L2080" t="str">
            <v>IN</v>
          </cell>
          <cell r="M2080" t="str">
            <v>USA</v>
          </cell>
          <cell r="N2080" t="str">
            <v>D</v>
          </cell>
          <cell r="O2080">
            <v>23060210</v>
          </cell>
          <cell r="P2080" t="str">
            <v>DECA BORAX STD 50LB BAG</v>
          </cell>
          <cell r="Q2080" t="str">
            <v>Deca</v>
          </cell>
          <cell r="R2080">
            <v>4.9000000000000004</v>
          </cell>
          <cell r="S2080">
            <v>1662.5168000000001</v>
          </cell>
        </row>
        <row r="2081">
          <cell r="A2081" t="str">
            <v>Actual</v>
          </cell>
          <cell r="B2081">
            <v>2</v>
          </cell>
          <cell r="C2081" t="str">
            <v>Domestic</v>
          </cell>
          <cell r="D2081">
            <v>3</v>
          </cell>
          <cell r="E2081">
            <v>5383</v>
          </cell>
          <cell r="F2081" t="str">
            <v>ULRICH CHEMICAL, INC.</v>
          </cell>
          <cell r="G2081" t="str">
            <v>D</v>
          </cell>
          <cell r="H2081" t="str">
            <v>INDIANAPOLIS</v>
          </cell>
          <cell r="I2081" t="str">
            <v>IN</v>
          </cell>
          <cell r="J2081" t="str">
            <v>USA</v>
          </cell>
          <cell r="K2081" t="str">
            <v>ULRICH CHEMICAL, INC.</v>
          </cell>
          <cell r="L2081" t="str">
            <v>IN</v>
          </cell>
          <cell r="M2081" t="str">
            <v>USA</v>
          </cell>
          <cell r="N2081" t="str">
            <v>D</v>
          </cell>
          <cell r="O2081">
            <v>28069710</v>
          </cell>
          <cell r="P2081" t="str">
            <v>AMMONIUM PENTABORATE 50LB BAG</v>
          </cell>
          <cell r="Q2081" t="str">
            <v>Boric Salt (SCL)</v>
          </cell>
          <cell r="R2081">
            <v>2.4500000000000002</v>
          </cell>
          <cell r="S2081">
            <v>7073.49</v>
          </cell>
        </row>
        <row r="2082">
          <cell r="A2082" t="str">
            <v>Actual</v>
          </cell>
          <cell r="B2082">
            <v>2</v>
          </cell>
          <cell r="C2082" t="str">
            <v>Domestic</v>
          </cell>
          <cell r="D2082">
            <v>3</v>
          </cell>
          <cell r="E2082">
            <v>5458</v>
          </cell>
          <cell r="F2082" t="str">
            <v>BONDED CHEMICALS INCORPORATED</v>
          </cell>
          <cell r="G2082" t="str">
            <v>D</v>
          </cell>
          <cell r="H2082" t="str">
            <v>COLUMBUS</v>
          </cell>
          <cell r="I2082" t="str">
            <v>OH</v>
          </cell>
          <cell r="J2082" t="str">
            <v>USA</v>
          </cell>
          <cell r="K2082" t="str">
            <v>BONDED CHEMICALS INCORPORATED</v>
          </cell>
          <cell r="L2082" t="str">
            <v>OH</v>
          </cell>
          <cell r="M2082" t="str">
            <v>USA</v>
          </cell>
          <cell r="N2082" t="str">
            <v>D</v>
          </cell>
          <cell r="O2082">
            <v>22060410</v>
          </cell>
          <cell r="P2082" t="str">
            <v>V-BOR 50LB BAG (004)</v>
          </cell>
          <cell r="Q2082" t="str">
            <v>Penta</v>
          </cell>
          <cell r="R2082">
            <v>2.4500000000000002</v>
          </cell>
          <cell r="S2082">
            <v>1025.4348</v>
          </cell>
        </row>
        <row r="2083">
          <cell r="A2083" t="str">
            <v>Actual</v>
          </cell>
          <cell r="B2083">
            <v>2</v>
          </cell>
          <cell r="C2083" t="str">
            <v>Domestic</v>
          </cell>
          <cell r="D2083">
            <v>3</v>
          </cell>
          <cell r="E2083">
            <v>5458</v>
          </cell>
          <cell r="F2083" t="str">
            <v>BONDED CHEMICALS INCORPORATED</v>
          </cell>
          <cell r="G2083" t="str">
            <v>D</v>
          </cell>
          <cell r="H2083" t="str">
            <v>COLUMBUS</v>
          </cell>
          <cell r="I2083" t="str">
            <v>OH</v>
          </cell>
          <cell r="J2083" t="str">
            <v>USA</v>
          </cell>
          <cell r="K2083" t="str">
            <v>BONDED CHEMICALS INCORPORATED</v>
          </cell>
          <cell r="L2083" t="str">
            <v>OH</v>
          </cell>
          <cell r="M2083" t="str">
            <v>USA</v>
          </cell>
          <cell r="N2083" t="str">
            <v>D</v>
          </cell>
          <cell r="O2083">
            <v>23060210</v>
          </cell>
          <cell r="P2083" t="str">
            <v>DECA BORAX STD 50LB BAG</v>
          </cell>
          <cell r="Q2083" t="str">
            <v>Deca</v>
          </cell>
          <cell r="R2083">
            <v>2.4500000000000002</v>
          </cell>
          <cell r="S2083">
            <v>890.6848</v>
          </cell>
        </row>
        <row r="2084">
          <cell r="A2084" t="str">
            <v>Actual</v>
          </cell>
          <cell r="B2084">
            <v>2</v>
          </cell>
          <cell r="C2084" t="str">
            <v>Domestic</v>
          </cell>
          <cell r="D2084">
            <v>3</v>
          </cell>
          <cell r="E2084">
            <v>5458</v>
          </cell>
          <cell r="F2084" t="str">
            <v>BONDED CHEMICALS INCORPORATED</v>
          </cell>
          <cell r="G2084" t="str">
            <v>D</v>
          </cell>
          <cell r="H2084" t="str">
            <v>COLUMBUS</v>
          </cell>
          <cell r="I2084" t="str">
            <v>OH</v>
          </cell>
          <cell r="J2084" t="str">
            <v>USA</v>
          </cell>
          <cell r="K2084" t="str">
            <v>BONDED CHEMICALS INCORPORATED</v>
          </cell>
          <cell r="L2084" t="str">
            <v>OH</v>
          </cell>
          <cell r="M2084" t="str">
            <v>USA</v>
          </cell>
          <cell r="N2084" t="str">
            <v>D</v>
          </cell>
          <cell r="O2084">
            <v>24090210</v>
          </cell>
          <cell r="P2084" t="str">
            <v>BORIC ACID GRAN TECH 50LB BAG</v>
          </cell>
          <cell r="Q2084" t="str">
            <v>Boric Acid</v>
          </cell>
          <cell r="R2084">
            <v>1.2250000000000001</v>
          </cell>
          <cell r="S2084">
            <v>1021.0924</v>
          </cell>
        </row>
        <row r="2085">
          <cell r="A2085" t="str">
            <v>Actual</v>
          </cell>
          <cell r="B2085">
            <v>2</v>
          </cell>
          <cell r="C2085" t="str">
            <v>Domestic</v>
          </cell>
          <cell r="D2085">
            <v>3</v>
          </cell>
          <cell r="E2085">
            <v>5458</v>
          </cell>
          <cell r="F2085" t="str">
            <v>BONDED CHEMICALS INCORPORATED</v>
          </cell>
          <cell r="G2085" t="str">
            <v>D</v>
          </cell>
          <cell r="H2085" t="str">
            <v>COLUMBUS</v>
          </cell>
          <cell r="I2085" t="str">
            <v>OH</v>
          </cell>
          <cell r="J2085" t="str">
            <v>USA</v>
          </cell>
          <cell r="K2085" t="str">
            <v>BONDED CHEMICALS INCORPORATED</v>
          </cell>
          <cell r="L2085" t="str">
            <v>OH</v>
          </cell>
          <cell r="M2085" t="str">
            <v>USA</v>
          </cell>
          <cell r="N2085" t="str">
            <v>D</v>
          </cell>
          <cell r="O2085">
            <v>40150410</v>
          </cell>
          <cell r="P2085" t="str">
            <v>SODIUM SULFATE CRS 50LB BAG</v>
          </cell>
          <cell r="Q2085" t="str">
            <v>Sodium Sulfate</v>
          </cell>
          <cell r="R2085">
            <v>15</v>
          </cell>
          <cell r="S2085">
            <v>2168.4148</v>
          </cell>
        </row>
        <row r="2086">
          <cell r="A2086" t="str">
            <v>Actual</v>
          </cell>
          <cell r="B2086">
            <v>2</v>
          </cell>
          <cell r="C2086" t="str">
            <v>Domestic</v>
          </cell>
          <cell r="D2086">
            <v>3</v>
          </cell>
          <cell r="E2086">
            <v>5695</v>
          </cell>
          <cell r="F2086" t="str">
            <v>SAINT-GOBAIN CONTAINERS</v>
          </cell>
          <cell r="G2086" t="str">
            <v>D</v>
          </cell>
          <cell r="H2086" t="str">
            <v>LINCOLN</v>
          </cell>
          <cell r="I2086" t="str">
            <v>IL</v>
          </cell>
          <cell r="J2086" t="str">
            <v>USA</v>
          </cell>
          <cell r="K2086" t="str">
            <v>SAINT-GOBAIN CONTAINERS</v>
          </cell>
          <cell r="L2086" t="str">
            <v>IL</v>
          </cell>
          <cell r="M2086" t="str">
            <v>USA</v>
          </cell>
          <cell r="N2086" t="str">
            <v>C</v>
          </cell>
          <cell r="O2086">
            <v>40160400</v>
          </cell>
          <cell r="P2086" t="str">
            <v>SODIUM SULFATE PREMIUM BULK</v>
          </cell>
          <cell r="Q2086" t="str">
            <v>Sodium Sulfate</v>
          </cell>
          <cell r="R2086">
            <v>48.75</v>
          </cell>
          <cell r="S2086">
            <v>1863.52</v>
          </cell>
        </row>
        <row r="2087">
          <cell r="A2087" t="str">
            <v>Actual</v>
          </cell>
          <cell r="B2087">
            <v>2</v>
          </cell>
          <cell r="C2087" t="str">
            <v>Domestic</v>
          </cell>
          <cell r="D2087">
            <v>3</v>
          </cell>
          <cell r="E2087">
            <v>6041</v>
          </cell>
          <cell r="F2087" t="str">
            <v>AMERICAN PORCELAIN &amp; ENAMEL</v>
          </cell>
          <cell r="G2087" t="str">
            <v>D</v>
          </cell>
          <cell r="H2087" t="str">
            <v>MUSKEGON</v>
          </cell>
          <cell r="I2087" t="str">
            <v>MI</v>
          </cell>
          <cell r="J2087" t="str">
            <v>USA</v>
          </cell>
          <cell r="K2087" t="str">
            <v>AMERICAN PORCELAIN &amp; ENAMEL</v>
          </cell>
          <cell r="L2087" t="str">
            <v>MI</v>
          </cell>
          <cell r="M2087" t="str">
            <v>USA</v>
          </cell>
          <cell r="N2087" t="str">
            <v>C</v>
          </cell>
          <cell r="O2087">
            <v>20060200</v>
          </cell>
          <cell r="P2087" t="str">
            <v>PYROBOR ANHY BORAX BULK (002)</v>
          </cell>
          <cell r="Q2087" t="str">
            <v>Pyrobor</v>
          </cell>
          <cell r="R2087">
            <v>47.75</v>
          </cell>
          <cell r="S2087">
            <v>27337.54</v>
          </cell>
        </row>
        <row r="2088">
          <cell r="A2088" t="str">
            <v>Actual</v>
          </cell>
          <cell r="B2088">
            <v>2</v>
          </cell>
          <cell r="C2088" t="str">
            <v>Domestic</v>
          </cell>
          <cell r="D2088">
            <v>3</v>
          </cell>
          <cell r="E2088">
            <v>6074</v>
          </cell>
          <cell r="F2088" t="str">
            <v>GENERAL ELECTRIC COMPANY</v>
          </cell>
          <cell r="G2088" t="str">
            <v>D</v>
          </cell>
          <cell r="H2088" t="str">
            <v>SOMERSET</v>
          </cell>
          <cell r="I2088" t="str">
            <v>KY</v>
          </cell>
          <cell r="J2088" t="str">
            <v>USA</v>
          </cell>
          <cell r="K2088" t="str">
            <v>GENERAL ELECTRIC COMPANY</v>
          </cell>
          <cell r="L2088" t="str">
            <v>KY</v>
          </cell>
          <cell r="M2088" t="str">
            <v>USA</v>
          </cell>
          <cell r="N2088" t="str">
            <v>C</v>
          </cell>
          <cell r="O2088">
            <v>24150200</v>
          </cell>
          <cell r="P2088" t="str">
            <v>BORIC ACID CRS BULK</v>
          </cell>
          <cell r="Q2088" t="str">
            <v>Boric Acid</v>
          </cell>
          <cell r="R2088">
            <v>67.216999999999999</v>
          </cell>
          <cell r="S2088">
            <v>31094.47</v>
          </cell>
        </row>
        <row r="2089">
          <cell r="A2089" t="str">
            <v>Actual</v>
          </cell>
          <cell r="B2089">
            <v>2</v>
          </cell>
          <cell r="C2089" t="str">
            <v>Domestic</v>
          </cell>
          <cell r="D2089">
            <v>3</v>
          </cell>
          <cell r="E2089">
            <v>6096</v>
          </cell>
          <cell r="F2089" t="str">
            <v>NU WOOL</v>
          </cell>
          <cell r="G2089" t="str">
            <v>D</v>
          </cell>
          <cell r="H2089" t="str">
            <v>JENISON</v>
          </cell>
          <cell r="I2089" t="str">
            <v>MI</v>
          </cell>
          <cell r="J2089" t="str">
            <v>USA</v>
          </cell>
          <cell r="K2089" t="str">
            <v>NU WOOL</v>
          </cell>
          <cell r="L2089" t="str">
            <v>MI</v>
          </cell>
          <cell r="M2089" t="str">
            <v>USA</v>
          </cell>
          <cell r="N2089" t="str">
            <v>C</v>
          </cell>
          <cell r="O2089">
            <v>24230250</v>
          </cell>
          <cell r="P2089" t="str">
            <v>BORIC ACID GRAN TECH 1TN FIBC</v>
          </cell>
          <cell r="Q2089" t="str">
            <v>Boric Acid</v>
          </cell>
          <cell r="R2089">
            <v>88</v>
          </cell>
          <cell r="S2089">
            <v>34373.699999999997</v>
          </cell>
        </row>
        <row r="2090">
          <cell r="A2090" t="str">
            <v>Actual</v>
          </cell>
          <cell r="B2090">
            <v>2</v>
          </cell>
          <cell r="C2090" t="str">
            <v>Domestic</v>
          </cell>
          <cell r="D2090">
            <v>3</v>
          </cell>
          <cell r="E2090">
            <v>6109</v>
          </cell>
          <cell r="F2090" t="str">
            <v>PROCTER &amp; GAMBLE MFG.</v>
          </cell>
          <cell r="G2090" t="str">
            <v>D</v>
          </cell>
          <cell r="H2090" t="str">
            <v>ST LOUIS</v>
          </cell>
          <cell r="I2090" t="str">
            <v>MO</v>
          </cell>
          <cell r="J2090" t="str">
            <v>USA</v>
          </cell>
          <cell r="K2090" t="str">
            <v>PROCTER &amp; GAMBLE MFG.</v>
          </cell>
          <cell r="L2090" t="str">
            <v>MO</v>
          </cell>
          <cell r="M2090" t="str">
            <v>USA</v>
          </cell>
          <cell r="N2090" t="str">
            <v>C</v>
          </cell>
          <cell r="O2090">
            <v>40060400</v>
          </cell>
          <cell r="P2090" t="str">
            <v>SODIUM SULFATE STANDARD BULK</v>
          </cell>
          <cell r="Q2090" t="str">
            <v>Sodium Sulfate</v>
          </cell>
          <cell r="R2090">
            <v>3018.25</v>
          </cell>
          <cell r="S2090">
            <v>97802.54</v>
          </cell>
        </row>
        <row r="2091">
          <cell r="A2091" t="str">
            <v>Actual</v>
          </cell>
          <cell r="B2091">
            <v>2</v>
          </cell>
          <cell r="C2091" t="str">
            <v>Domestic</v>
          </cell>
          <cell r="D2091">
            <v>3</v>
          </cell>
          <cell r="E2091">
            <v>6110</v>
          </cell>
          <cell r="F2091" t="str">
            <v>STAR PACIFIC</v>
          </cell>
          <cell r="G2091" t="str">
            <v>D</v>
          </cell>
          <cell r="H2091" t="str">
            <v>UNION CITY</v>
          </cell>
          <cell r="I2091" t="str">
            <v>CA</v>
          </cell>
          <cell r="J2091" t="str">
            <v>USA</v>
          </cell>
          <cell r="K2091" t="str">
            <v>STAR PACIFIC</v>
          </cell>
          <cell r="L2091" t="str">
            <v>CA</v>
          </cell>
          <cell r="M2091" t="str">
            <v>USA</v>
          </cell>
          <cell r="N2091" t="str">
            <v>C</v>
          </cell>
          <cell r="O2091">
            <v>40070400</v>
          </cell>
          <cell r="P2091" t="str">
            <v>SODIUM SULFATE MEDIUM BULK</v>
          </cell>
          <cell r="Q2091" t="str">
            <v>Sodium Sulfate</v>
          </cell>
          <cell r="R2091">
            <v>133.83000000000001</v>
          </cell>
          <cell r="S2091">
            <v>8079.28</v>
          </cell>
        </row>
        <row r="2092">
          <cell r="A2092" t="str">
            <v>Actual</v>
          </cell>
          <cell r="B2092">
            <v>2</v>
          </cell>
          <cell r="C2092" t="str">
            <v>Domestic</v>
          </cell>
          <cell r="D2092">
            <v>3</v>
          </cell>
          <cell r="E2092">
            <v>6516</v>
          </cell>
          <cell r="F2092" t="str">
            <v>FERRO CORPORATION</v>
          </cell>
          <cell r="G2092" t="str">
            <v>D</v>
          </cell>
          <cell r="H2092" t="str">
            <v>CLEVELAND</v>
          </cell>
          <cell r="I2092" t="str">
            <v>OH</v>
          </cell>
          <cell r="J2092" t="str">
            <v>USA</v>
          </cell>
          <cell r="K2092" t="str">
            <v>FERRO CORPORATION</v>
          </cell>
          <cell r="L2092" t="str">
            <v>OH</v>
          </cell>
          <cell r="M2092" t="str">
            <v>USA</v>
          </cell>
          <cell r="N2092" t="str">
            <v>C</v>
          </cell>
          <cell r="O2092">
            <v>20060200</v>
          </cell>
          <cell r="P2092" t="str">
            <v>PYROBOR ANHY BORAX BULK (002)</v>
          </cell>
          <cell r="Q2092" t="str">
            <v>Pyrobor</v>
          </cell>
          <cell r="R2092">
            <v>552.2835</v>
          </cell>
          <cell r="S2092">
            <v>237962.64</v>
          </cell>
        </row>
        <row r="2093">
          <cell r="A2093" t="str">
            <v>Actual</v>
          </cell>
          <cell r="B2093">
            <v>2</v>
          </cell>
          <cell r="C2093" t="str">
            <v>Domestic</v>
          </cell>
          <cell r="D2093">
            <v>3</v>
          </cell>
          <cell r="E2093">
            <v>6516</v>
          </cell>
          <cell r="F2093" t="str">
            <v>FERRO CORPORATION</v>
          </cell>
          <cell r="G2093" t="str">
            <v>D</v>
          </cell>
          <cell r="H2093" t="str">
            <v>CLEVELAND</v>
          </cell>
          <cell r="I2093" t="str">
            <v>OH</v>
          </cell>
          <cell r="J2093" t="str">
            <v>USA</v>
          </cell>
          <cell r="K2093" t="str">
            <v>FERRO CORPORATION</v>
          </cell>
          <cell r="L2093" t="str">
            <v>OH</v>
          </cell>
          <cell r="M2093" t="str">
            <v>USA</v>
          </cell>
          <cell r="N2093" t="str">
            <v>C</v>
          </cell>
          <cell r="O2093">
            <v>25060252</v>
          </cell>
          <cell r="P2093" t="str">
            <v>ANHYDROUS BORIC ACID 2400 FIBC</v>
          </cell>
          <cell r="Q2093" t="str">
            <v>ABA</v>
          </cell>
          <cell r="R2093">
            <v>19.2</v>
          </cell>
          <cell r="S2093">
            <v>30228.67</v>
          </cell>
        </row>
        <row r="2094">
          <cell r="A2094" t="str">
            <v>Actual</v>
          </cell>
          <cell r="B2094">
            <v>2</v>
          </cell>
          <cell r="C2094" t="str">
            <v>Domestic</v>
          </cell>
          <cell r="D2094">
            <v>3</v>
          </cell>
          <cell r="E2094">
            <v>6516</v>
          </cell>
          <cell r="F2094" t="str">
            <v>FERRO CORPORATION</v>
          </cell>
          <cell r="G2094" t="str">
            <v>D</v>
          </cell>
          <cell r="H2094" t="str">
            <v>CLEVELAND</v>
          </cell>
          <cell r="I2094" t="str">
            <v>OH</v>
          </cell>
          <cell r="J2094" t="str">
            <v>USA</v>
          </cell>
          <cell r="K2094" t="str">
            <v>FERRO CORPORATION</v>
          </cell>
          <cell r="L2094" t="str">
            <v>OH</v>
          </cell>
          <cell r="M2094" t="str">
            <v>USA</v>
          </cell>
          <cell r="N2094" t="str">
            <v>C</v>
          </cell>
          <cell r="O2094">
            <v>30210100</v>
          </cell>
          <cell r="P2094" t="str">
            <v>SODA ASH DENSE BULK</v>
          </cell>
          <cell r="Q2094" t="str">
            <v>Soda Ash</v>
          </cell>
          <cell r="R2094">
            <v>220.5</v>
          </cell>
          <cell r="S2094">
            <v>18815.259999999998</v>
          </cell>
        </row>
        <row r="2095">
          <cell r="A2095" t="str">
            <v>Actual</v>
          </cell>
          <cell r="B2095">
            <v>2</v>
          </cell>
          <cell r="C2095" t="str">
            <v>Domestic</v>
          </cell>
          <cell r="D2095">
            <v>3</v>
          </cell>
          <cell r="E2095">
            <v>6560</v>
          </cell>
          <cell r="F2095" t="str">
            <v>GUARDIAN INDUSTRIES</v>
          </cell>
          <cell r="G2095" t="str">
            <v>D</v>
          </cell>
          <cell r="H2095" t="str">
            <v>FULLERTON</v>
          </cell>
          <cell r="I2095" t="str">
            <v>CA</v>
          </cell>
          <cell r="J2095" t="str">
            <v>USA</v>
          </cell>
          <cell r="K2095" t="str">
            <v>GUARDIAN INDUSTRIES</v>
          </cell>
          <cell r="L2095" t="str">
            <v>CA</v>
          </cell>
          <cell r="M2095" t="str">
            <v>USA</v>
          </cell>
          <cell r="N2095" t="str">
            <v>C</v>
          </cell>
          <cell r="O2095">
            <v>30210100</v>
          </cell>
          <cell r="P2095" t="str">
            <v>SODA ASH DENSE BULK</v>
          </cell>
          <cell r="Q2095" t="str">
            <v>Soda Ash</v>
          </cell>
          <cell r="R2095">
            <v>381.61</v>
          </cell>
          <cell r="S2095">
            <v>29303.83</v>
          </cell>
        </row>
        <row r="2096">
          <cell r="A2096" t="str">
            <v>Actual</v>
          </cell>
          <cell r="B2096">
            <v>2</v>
          </cell>
          <cell r="C2096" t="str">
            <v>Domestic</v>
          </cell>
          <cell r="D2096">
            <v>3</v>
          </cell>
          <cell r="E2096">
            <v>6676</v>
          </cell>
          <cell r="F2096" t="str">
            <v>3 M COMPANY</v>
          </cell>
          <cell r="G2096" t="str">
            <v>D</v>
          </cell>
          <cell r="H2096" t="str">
            <v>COTTAGE GROVE</v>
          </cell>
          <cell r="I2096" t="str">
            <v>MN</v>
          </cell>
          <cell r="J2096" t="str">
            <v>USA</v>
          </cell>
          <cell r="K2096" t="str">
            <v>3 M COMPANY</v>
          </cell>
          <cell r="L2096" t="str">
            <v>MN</v>
          </cell>
          <cell r="M2096" t="str">
            <v>USA</v>
          </cell>
          <cell r="N2096" t="str">
            <v>C</v>
          </cell>
          <cell r="O2096">
            <v>20310210</v>
          </cell>
          <cell r="P2096" t="str">
            <v>PYROBOR 30/100 50LB BAG (002)</v>
          </cell>
          <cell r="Q2096" t="str">
            <v>Pyrobor</v>
          </cell>
          <cell r="R2096">
            <v>131.07499999999999</v>
          </cell>
          <cell r="S2096">
            <v>71304.800000000003</v>
          </cell>
        </row>
        <row r="2097">
          <cell r="A2097" t="str">
            <v>Actual</v>
          </cell>
          <cell r="B2097">
            <v>2</v>
          </cell>
          <cell r="C2097" t="str">
            <v>Domestic</v>
          </cell>
          <cell r="D2097">
            <v>3</v>
          </cell>
          <cell r="E2097">
            <v>7245</v>
          </cell>
          <cell r="F2097" t="str">
            <v>UNIVAR USA</v>
          </cell>
          <cell r="G2097" t="str">
            <v>D</v>
          </cell>
          <cell r="H2097" t="str">
            <v>TWINSBURG</v>
          </cell>
          <cell r="I2097" t="str">
            <v>OH</v>
          </cell>
          <cell r="J2097" t="str">
            <v>USA</v>
          </cell>
          <cell r="K2097" t="str">
            <v>UNIVAR USA</v>
          </cell>
          <cell r="L2097" t="str">
            <v>IL</v>
          </cell>
          <cell r="M2097" t="str">
            <v>USA</v>
          </cell>
          <cell r="N2097" t="str">
            <v>D</v>
          </cell>
          <cell r="O2097">
            <v>24030210</v>
          </cell>
          <cell r="P2097" t="str">
            <v>BORIC ACID PWD TECH 50LB BAG</v>
          </cell>
          <cell r="Q2097" t="str">
            <v>Boric Acid</v>
          </cell>
          <cell r="R2097">
            <v>2.4</v>
          </cell>
          <cell r="S2097">
            <v>1833.7494999999999</v>
          </cell>
        </row>
        <row r="2098">
          <cell r="A2098" t="str">
            <v>Actual</v>
          </cell>
          <cell r="B2098">
            <v>2</v>
          </cell>
          <cell r="C2098" t="str">
            <v>Domestic</v>
          </cell>
          <cell r="D2098">
            <v>3</v>
          </cell>
          <cell r="E2098">
            <v>7245</v>
          </cell>
          <cell r="F2098" t="str">
            <v>UNIVAR USA</v>
          </cell>
          <cell r="G2098" t="str">
            <v>D</v>
          </cell>
          <cell r="H2098" t="str">
            <v>TWINSBURG</v>
          </cell>
          <cell r="I2098" t="str">
            <v>OH</v>
          </cell>
          <cell r="J2098" t="str">
            <v>USA</v>
          </cell>
          <cell r="K2098" t="str">
            <v>UNIVAR USA</v>
          </cell>
          <cell r="L2098" t="str">
            <v>IL</v>
          </cell>
          <cell r="M2098" t="str">
            <v>USA</v>
          </cell>
          <cell r="N2098" t="str">
            <v>D</v>
          </cell>
          <cell r="O2098">
            <v>24090210</v>
          </cell>
          <cell r="P2098" t="str">
            <v>BORIC ACID GRAN TECH 50LB BAG</v>
          </cell>
          <cell r="Q2098" t="str">
            <v>Boric Acid</v>
          </cell>
          <cell r="R2098">
            <v>36.75</v>
          </cell>
          <cell r="S2098">
            <v>18317.660500000002</v>
          </cell>
        </row>
        <row r="2099">
          <cell r="A2099" t="str">
            <v>Actual</v>
          </cell>
          <cell r="B2099">
            <v>2</v>
          </cell>
          <cell r="C2099" t="str">
            <v>Domestic</v>
          </cell>
          <cell r="D2099">
            <v>3</v>
          </cell>
          <cell r="E2099">
            <v>7245</v>
          </cell>
          <cell r="F2099" t="str">
            <v>UNIVAR USA</v>
          </cell>
          <cell r="G2099" t="str">
            <v>D</v>
          </cell>
          <cell r="H2099" t="str">
            <v>TWINSBURG</v>
          </cell>
          <cell r="I2099" t="str">
            <v>OH</v>
          </cell>
          <cell r="J2099" t="str">
            <v>USA</v>
          </cell>
          <cell r="K2099" t="str">
            <v>UNIVAR USA</v>
          </cell>
          <cell r="L2099" t="str">
            <v>IL</v>
          </cell>
          <cell r="M2099" t="str">
            <v>USA</v>
          </cell>
          <cell r="N2099" t="str">
            <v>D</v>
          </cell>
          <cell r="O2099">
            <v>40060410</v>
          </cell>
          <cell r="P2099" t="str">
            <v>SODIUM SULFATE STD 50LB BAG</v>
          </cell>
          <cell r="Q2099" t="str">
            <v>Sodium Sulfate</v>
          </cell>
          <cell r="R2099">
            <v>2.5</v>
          </cell>
          <cell r="S2099">
            <v>36.83</v>
          </cell>
        </row>
        <row r="2100">
          <cell r="A2100" t="str">
            <v>Actual</v>
          </cell>
          <cell r="B2100">
            <v>2</v>
          </cell>
          <cell r="C2100" t="str">
            <v>Domestic</v>
          </cell>
          <cell r="D2100">
            <v>3</v>
          </cell>
          <cell r="E2100">
            <v>7246</v>
          </cell>
          <cell r="F2100" t="str">
            <v>UNIVAR USA</v>
          </cell>
          <cell r="G2100" t="str">
            <v>D</v>
          </cell>
          <cell r="H2100" t="str">
            <v>WALBRIDGE</v>
          </cell>
          <cell r="I2100" t="str">
            <v>OH</v>
          </cell>
          <cell r="J2100" t="str">
            <v>USA</v>
          </cell>
          <cell r="K2100" t="str">
            <v>UNIVAR USA</v>
          </cell>
          <cell r="L2100" t="str">
            <v>IL</v>
          </cell>
          <cell r="M2100" t="str">
            <v>USA</v>
          </cell>
          <cell r="N2100" t="str">
            <v>D</v>
          </cell>
          <cell r="O2100">
            <v>22060410</v>
          </cell>
          <cell r="P2100" t="str">
            <v>V-BOR 50LB BAG (004)</v>
          </cell>
          <cell r="Q2100" t="str">
            <v>Penta</v>
          </cell>
          <cell r="R2100">
            <v>22.05</v>
          </cell>
          <cell r="S2100">
            <v>7486.19</v>
          </cell>
        </row>
        <row r="2101">
          <cell r="A2101" t="str">
            <v>Actual</v>
          </cell>
          <cell r="B2101">
            <v>2</v>
          </cell>
          <cell r="C2101" t="str">
            <v>Domestic</v>
          </cell>
          <cell r="D2101">
            <v>3</v>
          </cell>
          <cell r="E2101">
            <v>7246</v>
          </cell>
          <cell r="F2101" t="str">
            <v>UNIVAR USA</v>
          </cell>
          <cell r="G2101" t="str">
            <v>D</v>
          </cell>
          <cell r="H2101" t="str">
            <v>WALBRIDGE</v>
          </cell>
          <cell r="I2101" t="str">
            <v>OH</v>
          </cell>
          <cell r="J2101" t="str">
            <v>USA</v>
          </cell>
          <cell r="K2101" t="str">
            <v>UNIVAR USA</v>
          </cell>
          <cell r="L2101" t="str">
            <v>IL</v>
          </cell>
          <cell r="M2101" t="str">
            <v>USA</v>
          </cell>
          <cell r="N2101" t="str">
            <v>D</v>
          </cell>
          <cell r="O2101">
            <v>24090210</v>
          </cell>
          <cell r="P2101" t="str">
            <v>BORIC ACID GRAN TECH 50LB BAG</v>
          </cell>
          <cell r="Q2101" t="str">
            <v>Boric Acid</v>
          </cell>
          <cell r="R2101">
            <v>0</v>
          </cell>
          <cell r="S2101">
            <v>-253</v>
          </cell>
        </row>
        <row r="2102">
          <cell r="A2102" t="str">
            <v>Actual</v>
          </cell>
          <cell r="B2102">
            <v>2</v>
          </cell>
          <cell r="C2102" t="str">
            <v>Domestic</v>
          </cell>
          <cell r="D2102">
            <v>3</v>
          </cell>
          <cell r="E2102">
            <v>7273</v>
          </cell>
          <cell r="F2102" t="str">
            <v>YOUNG CHEMICAL COMPANY</v>
          </cell>
          <cell r="G2102" t="str">
            <v>D</v>
          </cell>
          <cell r="H2102" t="str">
            <v>BROOK PARK</v>
          </cell>
          <cell r="I2102" t="str">
            <v>OH</v>
          </cell>
          <cell r="J2102" t="str">
            <v>USA</v>
          </cell>
          <cell r="K2102" t="str">
            <v>YOUNG CHEMICAL COMPANY</v>
          </cell>
          <cell r="L2102" t="str">
            <v>OH</v>
          </cell>
          <cell r="M2102" t="str">
            <v>USA</v>
          </cell>
          <cell r="N2102" t="str">
            <v>D</v>
          </cell>
          <cell r="O2102">
            <v>20060210</v>
          </cell>
          <cell r="P2102" t="str">
            <v>PYROBOR 50LB BAG (002)</v>
          </cell>
          <cell r="Q2102" t="str">
            <v>Pyrobor</v>
          </cell>
          <cell r="R2102">
            <v>4.9000000000000004</v>
          </cell>
          <cell r="S2102">
            <v>3416.1756</v>
          </cell>
        </row>
        <row r="2103">
          <cell r="A2103" t="str">
            <v>Actual</v>
          </cell>
          <cell r="B2103">
            <v>2</v>
          </cell>
          <cell r="C2103" t="str">
            <v>Domestic</v>
          </cell>
          <cell r="D2103">
            <v>3</v>
          </cell>
          <cell r="E2103">
            <v>7273</v>
          </cell>
          <cell r="F2103" t="str">
            <v>YOUNG CHEMICAL COMPANY</v>
          </cell>
          <cell r="G2103" t="str">
            <v>D</v>
          </cell>
          <cell r="H2103" t="str">
            <v>BROOK PARK</v>
          </cell>
          <cell r="I2103" t="str">
            <v>OH</v>
          </cell>
          <cell r="J2103" t="str">
            <v>USA</v>
          </cell>
          <cell r="K2103" t="str">
            <v>YOUNG CHEMICAL COMPANY</v>
          </cell>
          <cell r="L2103" t="str">
            <v>OH</v>
          </cell>
          <cell r="M2103" t="str">
            <v>USA</v>
          </cell>
          <cell r="N2103" t="str">
            <v>D</v>
          </cell>
          <cell r="O2103">
            <v>22060410</v>
          </cell>
          <cell r="P2103" t="str">
            <v>V-BOR 50LB BAG (004)</v>
          </cell>
          <cell r="Q2103" t="str">
            <v>Penta</v>
          </cell>
          <cell r="R2103">
            <v>37.975000000000001</v>
          </cell>
          <cell r="S2103">
            <v>13456.3644</v>
          </cell>
        </row>
        <row r="2104">
          <cell r="A2104" t="str">
            <v>Actual</v>
          </cell>
          <cell r="B2104">
            <v>2</v>
          </cell>
          <cell r="C2104" t="str">
            <v>Domestic</v>
          </cell>
          <cell r="D2104">
            <v>3</v>
          </cell>
          <cell r="E2104">
            <v>7273</v>
          </cell>
          <cell r="F2104" t="str">
            <v>YOUNG CHEMICAL COMPANY</v>
          </cell>
          <cell r="G2104" t="str">
            <v>D</v>
          </cell>
          <cell r="H2104" t="str">
            <v>BROOK PARK</v>
          </cell>
          <cell r="I2104" t="str">
            <v>OH</v>
          </cell>
          <cell r="J2104" t="str">
            <v>USA</v>
          </cell>
          <cell r="K2104" t="str">
            <v>YOUNG CHEMICAL COMPANY</v>
          </cell>
          <cell r="L2104" t="str">
            <v>OH</v>
          </cell>
          <cell r="M2104" t="str">
            <v>USA</v>
          </cell>
          <cell r="N2104" t="str">
            <v>D</v>
          </cell>
          <cell r="O2104">
            <v>23060210</v>
          </cell>
          <cell r="P2104" t="str">
            <v>DECA BORAX STD 50LB BAG</v>
          </cell>
          <cell r="Q2104" t="str">
            <v>Deca</v>
          </cell>
          <cell r="R2104">
            <v>0</v>
          </cell>
          <cell r="S2104">
            <v>-8.3324999999999996</v>
          </cell>
        </row>
        <row r="2105">
          <cell r="A2105" t="str">
            <v>Actual</v>
          </cell>
          <cell r="B2105">
            <v>2</v>
          </cell>
          <cell r="C2105" t="str">
            <v>Domestic</v>
          </cell>
          <cell r="D2105">
            <v>3</v>
          </cell>
          <cell r="E2105">
            <v>7273</v>
          </cell>
          <cell r="F2105" t="str">
            <v>YOUNG CHEMICAL COMPANY</v>
          </cell>
          <cell r="G2105" t="str">
            <v>D</v>
          </cell>
          <cell r="H2105" t="str">
            <v>BROOK PARK</v>
          </cell>
          <cell r="I2105" t="str">
            <v>OH</v>
          </cell>
          <cell r="J2105" t="str">
            <v>USA</v>
          </cell>
          <cell r="K2105" t="str">
            <v>YOUNG CHEMICAL COMPANY</v>
          </cell>
          <cell r="L2105" t="str">
            <v>OH</v>
          </cell>
          <cell r="M2105" t="str">
            <v>USA</v>
          </cell>
          <cell r="N2105" t="str">
            <v>D</v>
          </cell>
          <cell r="O2105">
            <v>24090210</v>
          </cell>
          <cell r="P2105" t="str">
            <v>BORIC ACID GRAN TECH 50LB BAG</v>
          </cell>
          <cell r="Q2105" t="str">
            <v>Boric Acid</v>
          </cell>
          <cell r="R2105">
            <v>0</v>
          </cell>
          <cell r="S2105">
            <v>-33.33</v>
          </cell>
        </row>
        <row r="2106">
          <cell r="A2106" t="str">
            <v>Actual</v>
          </cell>
          <cell r="B2106">
            <v>2</v>
          </cell>
          <cell r="C2106" t="str">
            <v>Domestic</v>
          </cell>
          <cell r="D2106">
            <v>3</v>
          </cell>
          <cell r="E2106">
            <v>7365</v>
          </cell>
          <cell r="F2106" t="str">
            <v>UNIVAR USA</v>
          </cell>
          <cell r="G2106" t="str">
            <v>D</v>
          </cell>
          <cell r="H2106" t="str">
            <v>ST PAUL</v>
          </cell>
          <cell r="I2106" t="str">
            <v>MN</v>
          </cell>
          <cell r="J2106" t="str">
            <v>USA</v>
          </cell>
          <cell r="K2106" t="str">
            <v>UNIVAR USA</v>
          </cell>
          <cell r="L2106" t="str">
            <v>MN</v>
          </cell>
          <cell r="M2106" t="str">
            <v>USA</v>
          </cell>
          <cell r="N2106" t="str">
            <v>D</v>
          </cell>
          <cell r="O2106">
            <v>22060410</v>
          </cell>
          <cell r="P2106" t="str">
            <v>V-BOR 50LB BAG (004)</v>
          </cell>
          <cell r="Q2106" t="str">
            <v>Penta</v>
          </cell>
          <cell r="R2106">
            <v>0</v>
          </cell>
          <cell r="S2106">
            <v>-196</v>
          </cell>
        </row>
        <row r="2107">
          <cell r="A2107" t="str">
            <v>Actual</v>
          </cell>
          <cell r="B2107">
            <v>2</v>
          </cell>
          <cell r="C2107" t="str">
            <v>Domestic</v>
          </cell>
          <cell r="D2107">
            <v>3</v>
          </cell>
          <cell r="E2107">
            <v>7365</v>
          </cell>
          <cell r="F2107" t="str">
            <v>UNIVAR USA</v>
          </cell>
          <cell r="G2107" t="str">
            <v>D</v>
          </cell>
          <cell r="H2107" t="str">
            <v>ST PAUL</v>
          </cell>
          <cell r="I2107" t="str">
            <v>MN</v>
          </cell>
          <cell r="J2107" t="str">
            <v>USA</v>
          </cell>
          <cell r="K2107" t="str">
            <v>UNIVAR USA</v>
          </cell>
          <cell r="L2107" t="str">
            <v>MN</v>
          </cell>
          <cell r="M2107" t="str">
            <v>USA</v>
          </cell>
          <cell r="N2107" t="str">
            <v>D</v>
          </cell>
          <cell r="O2107">
            <v>40070414</v>
          </cell>
          <cell r="P2107" t="str">
            <v>SODIUM SULFAT MED 50LB SPECIAL</v>
          </cell>
          <cell r="Q2107" t="str">
            <v>Sodium Sulfate</v>
          </cell>
          <cell r="R2107">
            <v>0</v>
          </cell>
          <cell r="S2107">
            <v>-563.91</v>
          </cell>
        </row>
        <row r="2108">
          <cell r="A2108" t="str">
            <v>Actual</v>
          </cell>
          <cell r="B2108">
            <v>2</v>
          </cell>
          <cell r="C2108" t="str">
            <v>Domestic</v>
          </cell>
          <cell r="D2108">
            <v>3</v>
          </cell>
          <cell r="E2108">
            <v>7377</v>
          </cell>
          <cell r="F2108" t="str">
            <v>CHEMCENTRAL CHICAGO</v>
          </cell>
          <cell r="G2108" t="str">
            <v>D</v>
          </cell>
          <cell r="H2108" t="str">
            <v>BEDFORD PARK</v>
          </cell>
          <cell r="I2108" t="str">
            <v>IL</v>
          </cell>
          <cell r="J2108" t="str">
            <v>USA</v>
          </cell>
          <cell r="K2108" t="str">
            <v>CHEMCENTRAL CHICAGO</v>
          </cell>
          <cell r="L2108" t="str">
            <v>IL</v>
          </cell>
          <cell r="M2108" t="str">
            <v>USA</v>
          </cell>
          <cell r="N2108" t="str">
            <v>D</v>
          </cell>
          <cell r="O2108">
            <v>23060210</v>
          </cell>
          <cell r="P2108" t="str">
            <v>DECA BORAX STD 50LB BAG</v>
          </cell>
          <cell r="Q2108" t="str">
            <v>Deca</v>
          </cell>
          <cell r="R2108">
            <v>0</v>
          </cell>
          <cell r="S2108">
            <v>-39.782600000000002</v>
          </cell>
        </row>
        <row r="2109">
          <cell r="A2109" t="str">
            <v>Actual</v>
          </cell>
          <cell r="B2109">
            <v>2</v>
          </cell>
          <cell r="C2109" t="str">
            <v>Domestic</v>
          </cell>
          <cell r="D2109">
            <v>3</v>
          </cell>
          <cell r="E2109">
            <v>7377</v>
          </cell>
          <cell r="F2109" t="str">
            <v>CHEMCENTRAL CHICAGO</v>
          </cell>
          <cell r="G2109" t="str">
            <v>D</v>
          </cell>
          <cell r="H2109" t="str">
            <v>BEDFORD PARK</v>
          </cell>
          <cell r="I2109" t="str">
            <v>IL</v>
          </cell>
          <cell r="J2109" t="str">
            <v>USA</v>
          </cell>
          <cell r="K2109" t="str">
            <v>CHEMCENTRAL CHICAGO</v>
          </cell>
          <cell r="L2109" t="str">
            <v>IL</v>
          </cell>
          <cell r="M2109" t="str">
            <v>USA</v>
          </cell>
          <cell r="N2109" t="str">
            <v>D</v>
          </cell>
          <cell r="O2109">
            <v>24090210</v>
          </cell>
          <cell r="P2109" t="str">
            <v>BORIC ACID GRAN TECH 50LB BAG</v>
          </cell>
          <cell r="Q2109" t="str">
            <v>Boric Acid</v>
          </cell>
          <cell r="R2109">
            <v>0</v>
          </cell>
          <cell r="S2109">
            <v>-461.81740000000002</v>
          </cell>
        </row>
        <row r="2110">
          <cell r="A2110" t="str">
            <v>Actual</v>
          </cell>
          <cell r="B2110">
            <v>2</v>
          </cell>
          <cell r="C2110" t="str">
            <v>Domestic</v>
          </cell>
          <cell r="D2110">
            <v>3</v>
          </cell>
          <cell r="E2110">
            <v>7379</v>
          </cell>
          <cell r="F2110" t="str">
            <v>CARDINAL FG</v>
          </cell>
          <cell r="G2110" t="str">
            <v>D</v>
          </cell>
          <cell r="H2110" t="str">
            <v>MENOMONIE</v>
          </cell>
          <cell r="I2110" t="str">
            <v>WI</v>
          </cell>
          <cell r="J2110" t="str">
            <v>USA</v>
          </cell>
          <cell r="K2110" t="str">
            <v>CARDINAL FG</v>
          </cell>
          <cell r="L2110" t="str">
            <v>WI</v>
          </cell>
          <cell r="M2110" t="str">
            <v>USA</v>
          </cell>
          <cell r="N2110" t="str">
            <v>C</v>
          </cell>
          <cell r="O2110">
            <v>40160400</v>
          </cell>
          <cell r="P2110" t="str">
            <v>SODIUM SULFATE PREMIUM BULK</v>
          </cell>
          <cell r="Q2110" t="str">
            <v>Sodium Sulfate</v>
          </cell>
          <cell r="R2110">
            <v>50.39</v>
          </cell>
          <cell r="S2110">
            <v>242.4</v>
          </cell>
        </row>
        <row r="2111">
          <cell r="A2111" t="str">
            <v>Actual</v>
          </cell>
          <cell r="B2111">
            <v>2</v>
          </cell>
          <cell r="C2111" t="str">
            <v>Domestic</v>
          </cell>
          <cell r="D2111">
            <v>3</v>
          </cell>
          <cell r="E2111">
            <v>7473</v>
          </cell>
          <cell r="F2111" t="str">
            <v>PROCTER &amp; GAMBLE MFG</v>
          </cell>
          <cell r="G2111" t="str">
            <v>D</v>
          </cell>
          <cell r="H2111" t="str">
            <v>ALEXANDRIA</v>
          </cell>
          <cell r="I2111" t="str">
            <v>LA</v>
          </cell>
          <cell r="J2111" t="str">
            <v>USA</v>
          </cell>
          <cell r="K2111" t="str">
            <v>PROCTER &amp; GAMBLE MFG</v>
          </cell>
          <cell r="L2111" t="str">
            <v>LA</v>
          </cell>
          <cell r="M2111" t="str">
            <v>USA</v>
          </cell>
          <cell r="N2111" t="str">
            <v>C</v>
          </cell>
          <cell r="O2111">
            <v>40060400</v>
          </cell>
          <cell r="P2111" t="str">
            <v>SODIUM SULFATE STANDARD BULK</v>
          </cell>
          <cell r="Q2111" t="str">
            <v>Sodium Sulfate</v>
          </cell>
          <cell r="R2111">
            <v>1268.5150000000001</v>
          </cell>
          <cell r="S2111">
            <v>35356.19</v>
          </cell>
        </row>
        <row r="2112">
          <cell r="A2112" t="str">
            <v>Actual</v>
          </cell>
          <cell r="B2112">
            <v>2</v>
          </cell>
          <cell r="C2112" t="str">
            <v>Domestic</v>
          </cell>
          <cell r="D2112">
            <v>3</v>
          </cell>
          <cell r="E2112">
            <v>7473</v>
          </cell>
          <cell r="F2112" t="str">
            <v>PROCTER &amp; GAMBLE MFG</v>
          </cell>
          <cell r="G2112" t="str">
            <v>D</v>
          </cell>
          <cell r="H2112" t="str">
            <v>ALEXANDRIA</v>
          </cell>
          <cell r="I2112" t="str">
            <v>LA</v>
          </cell>
          <cell r="J2112" t="str">
            <v>USA</v>
          </cell>
          <cell r="K2112" t="str">
            <v>PROCTER &amp; GAMBLE MFG</v>
          </cell>
          <cell r="L2112" t="str">
            <v>LA</v>
          </cell>
          <cell r="M2112" t="str">
            <v>USA</v>
          </cell>
          <cell r="N2112" t="str">
            <v>C</v>
          </cell>
          <cell r="O2112">
            <v>40150400</v>
          </cell>
          <cell r="P2112" t="str">
            <v>SODIUM SULFATE COARSE BULK</v>
          </cell>
          <cell r="Q2112" t="str">
            <v>Sodium Sulfate</v>
          </cell>
          <cell r="R2112">
            <v>0</v>
          </cell>
          <cell r="S2112">
            <v>-666.15</v>
          </cell>
        </row>
        <row r="2113">
          <cell r="A2113" t="str">
            <v>Actual</v>
          </cell>
          <cell r="B2113">
            <v>2</v>
          </cell>
          <cell r="C2113" t="str">
            <v>Domestic</v>
          </cell>
          <cell r="D2113">
            <v>3</v>
          </cell>
          <cell r="E2113">
            <v>7521</v>
          </cell>
          <cell r="F2113" t="str">
            <v>PILKINGTON NORTH AMERICA</v>
          </cell>
          <cell r="G2113" t="str">
            <v>D</v>
          </cell>
          <cell r="H2113" t="str">
            <v>LATHROP</v>
          </cell>
          <cell r="I2113" t="str">
            <v>CA</v>
          </cell>
          <cell r="J2113" t="str">
            <v>USA</v>
          </cell>
          <cell r="K2113" t="str">
            <v>PILKINGTON NORTH AMERICA</v>
          </cell>
          <cell r="L2113" t="str">
            <v>CA</v>
          </cell>
          <cell r="M2113" t="str">
            <v>USA</v>
          </cell>
          <cell r="N2113" t="str">
            <v>C</v>
          </cell>
          <cell r="O2113">
            <v>30210100</v>
          </cell>
          <cell r="P2113" t="str">
            <v>SODA ASH DENSE BULK</v>
          </cell>
          <cell r="Q2113" t="str">
            <v>Soda Ash</v>
          </cell>
          <cell r="R2113">
            <v>1986.9749999999999</v>
          </cell>
          <cell r="S2113">
            <v>151347.84</v>
          </cell>
        </row>
        <row r="2114">
          <cell r="A2114" t="str">
            <v>Actual</v>
          </cell>
          <cell r="B2114">
            <v>2</v>
          </cell>
          <cell r="C2114" t="str">
            <v>Domestic</v>
          </cell>
          <cell r="D2114">
            <v>3</v>
          </cell>
          <cell r="E2114">
            <v>7521</v>
          </cell>
          <cell r="F2114" t="str">
            <v>PILKINGTON NORTH AMERICA</v>
          </cell>
          <cell r="G2114" t="str">
            <v>D</v>
          </cell>
          <cell r="H2114" t="str">
            <v>LATHROP</v>
          </cell>
          <cell r="I2114" t="str">
            <v>CA</v>
          </cell>
          <cell r="J2114" t="str">
            <v>USA</v>
          </cell>
          <cell r="K2114" t="str">
            <v>PILKINGTON NORTH AMERICA</v>
          </cell>
          <cell r="L2114" t="str">
            <v>CA</v>
          </cell>
          <cell r="M2114" t="str">
            <v>USA</v>
          </cell>
          <cell r="N2114" t="str">
            <v>C</v>
          </cell>
          <cell r="O2114">
            <v>40160400</v>
          </cell>
          <cell r="P2114" t="str">
            <v>SODIUM SULFATE PREMIUM BULK</v>
          </cell>
          <cell r="Q2114" t="str">
            <v>Sodium Sulfate</v>
          </cell>
          <cell r="R2114">
            <v>110.13</v>
          </cell>
          <cell r="S2114">
            <v>11874.85</v>
          </cell>
        </row>
        <row r="2115">
          <cell r="A2115" t="str">
            <v>Actual</v>
          </cell>
          <cell r="B2115">
            <v>2</v>
          </cell>
          <cell r="C2115" t="str">
            <v>Domestic</v>
          </cell>
          <cell r="D2115">
            <v>3</v>
          </cell>
          <cell r="E2115">
            <v>7536</v>
          </cell>
          <cell r="F2115" t="str">
            <v>ASHLAND CHEMICAL, INC.</v>
          </cell>
          <cell r="G2115" t="str">
            <v>D</v>
          </cell>
          <cell r="H2115" t="str">
            <v>WILLOW SPRINGS</v>
          </cell>
          <cell r="I2115" t="str">
            <v>IL</v>
          </cell>
          <cell r="J2115" t="str">
            <v>USA</v>
          </cell>
          <cell r="K2115" t="str">
            <v>ASHLAND CHEMICAL, INC.</v>
          </cell>
          <cell r="L2115" t="str">
            <v>IL</v>
          </cell>
          <cell r="M2115" t="str">
            <v>USA</v>
          </cell>
          <cell r="N2115" t="str">
            <v>D</v>
          </cell>
          <cell r="O2115">
            <v>24090210</v>
          </cell>
          <cell r="P2115" t="str">
            <v>BORIC ACID GRAN TECH 50LB BAG</v>
          </cell>
          <cell r="Q2115" t="str">
            <v>Boric Acid</v>
          </cell>
          <cell r="R2115">
            <v>0</v>
          </cell>
          <cell r="S2115">
            <v>-760.74</v>
          </cell>
        </row>
        <row r="2116">
          <cell r="A2116" t="str">
            <v>Actual</v>
          </cell>
          <cell r="B2116">
            <v>2</v>
          </cell>
          <cell r="C2116" t="str">
            <v>Domestic</v>
          </cell>
          <cell r="D2116">
            <v>3</v>
          </cell>
          <cell r="E2116">
            <v>7951</v>
          </cell>
          <cell r="F2116" t="str">
            <v>PVS NOLWOOD CHEMICAL INC</v>
          </cell>
          <cell r="G2116" t="str">
            <v>D</v>
          </cell>
          <cell r="H2116" t="str">
            <v>DETROIT</v>
          </cell>
          <cell r="I2116" t="str">
            <v>MI</v>
          </cell>
          <cell r="J2116" t="str">
            <v>USA</v>
          </cell>
          <cell r="K2116" t="str">
            <v>PVS NOLWOOD CHEMICAL INC</v>
          </cell>
          <cell r="L2116" t="str">
            <v>MI</v>
          </cell>
          <cell r="M2116" t="str">
            <v>USA</v>
          </cell>
          <cell r="N2116" t="str">
            <v>D</v>
          </cell>
          <cell r="O2116">
            <v>22060410</v>
          </cell>
          <cell r="P2116" t="str">
            <v>V-BOR 50LB BAG (004)</v>
          </cell>
          <cell r="Q2116" t="str">
            <v>Penta</v>
          </cell>
          <cell r="R2116">
            <v>22.05</v>
          </cell>
          <cell r="S2116">
            <v>9240.0516000000007</v>
          </cell>
        </row>
        <row r="2117">
          <cell r="A2117" t="str">
            <v>Actual</v>
          </cell>
          <cell r="B2117">
            <v>2</v>
          </cell>
          <cell r="C2117" t="str">
            <v>Domestic</v>
          </cell>
          <cell r="D2117">
            <v>3</v>
          </cell>
          <cell r="E2117">
            <v>7951</v>
          </cell>
          <cell r="F2117" t="str">
            <v>PVS NOLWOOD CHEMICAL INC</v>
          </cell>
          <cell r="G2117" t="str">
            <v>D</v>
          </cell>
          <cell r="H2117" t="str">
            <v>DETROIT</v>
          </cell>
          <cell r="I2117" t="str">
            <v>MI</v>
          </cell>
          <cell r="J2117" t="str">
            <v>USA</v>
          </cell>
          <cell r="K2117" t="str">
            <v>PVS NOLWOOD CHEMICAL INC</v>
          </cell>
          <cell r="L2117" t="str">
            <v>MI</v>
          </cell>
          <cell r="M2117" t="str">
            <v>USA</v>
          </cell>
          <cell r="N2117" t="str">
            <v>D</v>
          </cell>
          <cell r="O2117">
            <v>23060210</v>
          </cell>
          <cell r="P2117" t="str">
            <v>DECA BORAX STD 50LB BAG</v>
          </cell>
          <cell r="Q2117" t="str">
            <v>Deca</v>
          </cell>
          <cell r="R2117">
            <v>1.2250000000000001</v>
          </cell>
          <cell r="S2117">
            <v>453.48880000000003</v>
          </cell>
        </row>
        <row r="2118">
          <cell r="A2118" t="str">
            <v>Actual</v>
          </cell>
          <cell r="B2118">
            <v>2</v>
          </cell>
          <cell r="C2118" t="str">
            <v>Domestic</v>
          </cell>
          <cell r="D2118">
            <v>3</v>
          </cell>
          <cell r="E2118">
            <v>7951</v>
          </cell>
          <cell r="F2118" t="str">
            <v>PVS NOLWOOD CHEMICAL INC</v>
          </cell>
          <cell r="G2118" t="str">
            <v>D</v>
          </cell>
          <cell r="H2118" t="str">
            <v>DETROIT</v>
          </cell>
          <cell r="I2118" t="str">
            <v>MI</v>
          </cell>
          <cell r="J2118" t="str">
            <v>USA</v>
          </cell>
          <cell r="K2118" t="str">
            <v>PVS NOLWOOD CHEMICAL INC</v>
          </cell>
          <cell r="L2118" t="str">
            <v>MI</v>
          </cell>
          <cell r="M2118" t="str">
            <v>USA</v>
          </cell>
          <cell r="N2118" t="str">
            <v>D</v>
          </cell>
          <cell r="O2118">
            <v>24090210</v>
          </cell>
          <cell r="P2118" t="str">
            <v>BORIC ACID GRAN TECH 50LB BAG</v>
          </cell>
          <cell r="Q2118" t="str">
            <v>Boric Acid</v>
          </cell>
          <cell r="R2118">
            <v>20.824999999999999</v>
          </cell>
          <cell r="S2118">
            <v>13976.989600000001</v>
          </cell>
        </row>
        <row r="2119">
          <cell r="A2119" t="str">
            <v>Actual</v>
          </cell>
          <cell r="B2119">
            <v>2</v>
          </cell>
          <cell r="C2119" t="str">
            <v>Domestic</v>
          </cell>
          <cell r="D2119">
            <v>3</v>
          </cell>
          <cell r="E2119">
            <v>7951</v>
          </cell>
          <cell r="F2119" t="str">
            <v>PVS NOLWOOD CHEMICAL INC</v>
          </cell>
          <cell r="G2119" t="str">
            <v>D</v>
          </cell>
          <cell r="H2119" t="str">
            <v>DETROIT</v>
          </cell>
          <cell r="I2119" t="str">
            <v>MI</v>
          </cell>
          <cell r="J2119" t="str">
            <v>USA</v>
          </cell>
          <cell r="K2119" t="str">
            <v>PVS NOLWOOD CHEMICAL INC</v>
          </cell>
          <cell r="L2119" t="str">
            <v>MI</v>
          </cell>
          <cell r="M2119" t="str">
            <v>USA</v>
          </cell>
          <cell r="N2119" t="str">
            <v>D</v>
          </cell>
          <cell r="O2119">
            <v>40060410</v>
          </cell>
          <cell r="P2119" t="str">
            <v>SODIUM SULFATE STD 50LB BAG</v>
          </cell>
          <cell r="Q2119" t="str">
            <v>Sodium Sulfate</v>
          </cell>
          <cell r="R2119">
            <v>0</v>
          </cell>
          <cell r="S2119">
            <v>-136.19999999999999</v>
          </cell>
        </row>
        <row r="2120">
          <cell r="A2120" t="str">
            <v>Actual</v>
          </cell>
          <cell r="B2120">
            <v>2</v>
          </cell>
          <cell r="C2120" t="str">
            <v>Domestic</v>
          </cell>
          <cell r="D2120">
            <v>3</v>
          </cell>
          <cell r="E2120">
            <v>8007</v>
          </cell>
          <cell r="F2120" t="str">
            <v>BLACHFORD CORPORATION</v>
          </cell>
          <cell r="G2120" t="str">
            <v>D</v>
          </cell>
          <cell r="H2120" t="str">
            <v>FRANKFORT</v>
          </cell>
          <cell r="I2120" t="str">
            <v>IL</v>
          </cell>
          <cell r="J2120" t="str">
            <v>USA</v>
          </cell>
          <cell r="K2120" t="str">
            <v>UNIVAR USA</v>
          </cell>
          <cell r="L2120" t="str">
            <v>IL</v>
          </cell>
          <cell r="M2120" t="str">
            <v>USA</v>
          </cell>
          <cell r="N2120" t="str">
            <v>D</v>
          </cell>
          <cell r="O2120">
            <v>22060410</v>
          </cell>
          <cell r="P2120" t="str">
            <v>V-BOR 50LB BAG (004)</v>
          </cell>
          <cell r="Q2120" t="str">
            <v>Penta</v>
          </cell>
          <cell r="R2120">
            <v>22.05</v>
          </cell>
          <cell r="S2120">
            <v>8357.06</v>
          </cell>
        </row>
        <row r="2121">
          <cell r="A2121" t="str">
            <v>Actual</v>
          </cell>
          <cell r="B2121">
            <v>2</v>
          </cell>
          <cell r="C2121" t="str">
            <v>Domestic</v>
          </cell>
          <cell r="D2121">
            <v>3</v>
          </cell>
          <cell r="E2121">
            <v>8106</v>
          </cell>
          <cell r="F2121" t="str">
            <v>UNIVAR USA</v>
          </cell>
          <cell r="G2121" t="str">
            <v>D</v>
          </cell>
          <cell r="H2121" t="str">
            <v>BEDFORD PARK</v>
          </cell>
          <cell r="I2121" t="str">
            <v>IL</v>
          </cell>
          <cell r="J2121" t="str">
            <v>USA</v>
          </cell>
          <cell r="K2121" t="str">
            <v>UNIVAR USA</v>
          </cell>
          <cell r="L2121" t="str">
            <v>IL</v>
          </cell>
          <cell r="M2121" t="str">
            <v>USA</v>
          </cell>
          <cell r="N2121" t="str">
            <v>D</v>
          </cell>
          <cell r="O2121">
            <v>22060410</v>
          </cell>
          <cell r="P2121" t="str">
            <v>V-BOR 50LB BAG (004)</v>
          </cell>
          <cell r="Q2121" t="str">
            <v>Penta</v>
          </cell>
          <cell r="R2121">
            <v>13.475</v>
          </cell>
          <cell r="S2121">
            <v>4743.0011000000004</v>
          </cell>
        </row>
        <row r="2122">
          <cell r="A2122" t="str">
            <v>Actual</v>
          </cell>
          <cell r="B2122">
            <v>2</v>
          </cell>
          <cell r="C2122" t="str">
            <v>Domestic</v>
          </cell>
          <cell r="D2122">
            <v>3</v>
          </cell>
          <cell r="E2122">
            <v>8106</v>
          </cell>
          <cell r="F2122" t="str">
            <v>UNIVAR USA</v>
          </cell>
          <cell r="G2122" t="str">
            <v>D</v>
          </cell>
          <cell r="H2122" t="str">
            <v>BEDFORD PARK</v>
          </cell>
          <cell r="I2122" t="str">
            <v>IL</v>
          </cell>
          <cell r="J2122" t="str">
            <v>USA</v>
          </cell>
          <cell r="K2122" t="str">
            <v>UNIVAR USA</v>
          </cell>
          <cell r="L2122" t="str">
            <v>IL</v>
          </cell>
          <cell r="M2122" t="str">
            <v>USA</v>
          </cell>
          <cell r="N2122" t="str">
            <v>D</v>
          </cell>
          <cell r="O2122">
            <v>23060210</v>
          </cell>
          <cell r="P2122" t="str">
            <v>DECA BORAX STD 50LB BAG</v>
          </cell>
          <cell r="Q2122" t="str">
            <v>Deca</v>
          </cell>
          <cell r="R2122">
            <v>0</v>
          </cell>
          <cell r="S2122">
            <v>-114.0371</v>
          </cell>
        </row>
        <row r="2123">
          <cell r="A2123" t="str">
            <v>Actual</v>
          </cell>
          <cell r="B2123">
            <v>2</v>
          </cell>
          <cell r="C2123" t="str">
            <v>Domestic</v>
          </cell>
          <cell r="D2123">
            <v>3</v>
          </cell>
          <cell r="E2123">
            <v>8106</v>
          </cell>
          <cell r="F2123" t="str">
            <v>UNIVAR USA</v>
          </cell>
          <cell r="G2123" t="str">
            <v>D</v>
          </cell>
          <cell r="H2123" t="str">
            <v>BEDFORD PARK</v>
          </cell>
          <cell r="I2123" t="str">
            <v>IL</v>
          </cell>
          <cell r="J2123" t="str">
            <v>USA</v>
          </cell>
          <cell r="K2123" t="str">
            <v>UNIVAR USA</v>
          </cell>
          <cell r="L2123" t="str">
            <v>IL</v>
          </cell>
          <cell r="M2123" t="str">
            <v>USA</v>
          </cell>
          <cell r="N2123" t="str">
            <v>D</v>
          </cell>
          <cell r="O2123">
            <v>24090210</v>
          </cell>
          <cell r="P2123" t="str">
            <v>BORIC ACID GRAN TECH 50LB BAG</v>
          </cell>
          <cell r="Q2123" t="str">
            <v>Boric Acid</v>
          </cell>
          <cell r="R2123">
            <v>7.35</v>
          </cell>
          <cell r="S2123">
            <v>3561.7860000000001</v>
          </cell>
        </row>
        <row r="2124">
          <cell r="A2124" t="str">
            <v>Actual</v>
          </cell>
          <cell r="B2124">
            <v>2</v>
          </cell>
          <cell r="C2124" t="str">
            <v>Domestic</v>
          </cell>
          <cell r="D2124">
            <v>3</v>
          </cell>
          <cell r="E2124">
            <v>8227</v>
          </cell>
          <cell r="F2124" t="str">
            <v>GUARDIAN FIBERGLASS</v>
          </cell>
          <cell r="G2124" t="str">
            <v>D</v>
          </cell>
          <cell r="H2124" t="str">
            <v>INWOOD</v>
          </cell>
          <cell r="I2124" t="str">
            <v>WV</v>
          </cell>
          <cell r="J2124" t="str">
            <v>USA</v>
          </cell>
          <cell r="K2124" t="str">
            <v>GUARDIAN FIBERGLASS</v>
          </cell>
          <cell r="L2124" t="str">
            <v>WV</v>
          </cell>
          <cell r="M2124" t="str">
            <v>USA</v>
          </cell>
          <cell r="N2124" t="str">
            <v>C</v>
          </cell>
          <cell r="O2124">
            <v>22060400</v>
          </cell>
          <cell r="P2124" t="str">
            <v>V-BOR STD BULK (004)</v>
          </cell>
          <cell r="Q2124" t="str">
            <v>Penta</v>
          </cell>
          <cell r="R2124">
            <v>325.82499999999999</v>
          </cell>
          <cell r="S2124">
            <v>77399.73</v>
          </cell>
        </row>
        <row r="2125">
          <cell r="A2125" t="str">
            <v>Actual</v>
          </cell>
          <cell r="B2125">
            <v>2</v>
          </cell>
          <cell r="C2125" t="str">
            <v>Domestic</v>
          </cell>
          <cell r="D2125">
            <v>3</v>
          </cell>
          <cell r="E2125">
            <v>8301</v>
          </cell>
          <cell r="F2125" t="str">
            <v>MAYS CAPTREE</v>
          </cell>
          <cell r="G2125" t="str">
            <v>D</v>
          </cell>
          <cell r="H2125" t="str">
            <v>CHICAGO</v>
          </cell>
          <cell r="I2125" t="str">
            <v>IL</v>
          </cell>
          <cell r="J2125" t="str">
            <v>USA</v>
          </cell>
          <cell r="K2125" t="str">
            <v>MAYS CAPTREE</v>
          </cell>
          <cell r="L2125" t="str">
            <v>IN</v>
          </cell>
          <cell r="M2125" t="str">
            <v>USA</v>
          </cell>
          <cell r="N2125" t="str">
            <v>D</v>
          </cell>
          <cell r="O2125">
            <v>22060410</v>
          </cell>
          <cell r="P2125" t="str">
            <v>V-BOR 50LB BAG (004)</v>
          </cell>
          <cell r="Q2125" t="str">
            <v>Penta</v>
          </cell>
          <cell r="R2125">
            <v>12.25</v>
          </cell>
          <cell r="S2125">
            <v>4480.63</v>
          </cell>
        </row>
        <row r="2126">
          <cell r="A2126" t="str">
            <v>Actual</v>
          </cell>
          <cell r="B2126">
            <v>2</v>
          </cell>
          <cell r="C2126" t="str">
            <v>Domestic</v>
          </cell>
          <cell r="D2126">
            <v>3</v>
          </cell>
          <cell r="E2126">
            <v>8530</v>
          </cell>
          <cell r="F2126" t="str">
            <v>GOJO INDUSTRIES</v>
          </cell>
          <cell r="G2126" t="str">
            <v>D</v>
          </cell>
          <cell r="H2126" t="str">
            <v>CUYAHOGA FALLS</v>
          </cell>
          <cell r="I2126" t="str">
            <v>OH</v>
          </cell>
          <cell r="J2126" t="str">
            <v>USA</v>
          </cell>
          <cell r="K2126" t="str">
            <v>UNIVAR USA</v>
          </cell>
          <cell r="L2126" t="str">
            <v>OH</v>
          </cell>
          <cell r="M2126" t="str">
            <v>USA</v>
          </cell>
          <cell r="N2126" t="str">
            <v>C</v>
          </cell>
          <cell r="O2126">
            <v>40060410</v>
          </cell>
          <cell r="P2126" t="str">
            <v>SODIUM SULFATE STD 50LB BAG</v>
          </cell>
          <cell r="Q2126" t="str">
            <v>Sodium Sulfate</v>
          </cell>
          <cell r="R2126">
            <v>45</v>
          </cell>
          <cell r="S2126">
            <v>3336.42</v>
          </cell>
        </row>
        <row r="2127">
          <cell r="A2127" t="str">
            <v>Actual</v>
          </cell>
          <cell r="B2127">
            <v>2</v>
          </cell>
          <cell r="C2127" t="str">
            <v>Domestic</v>
          </cell>
          <cell r="D2127">
            <v>3</v>
          </cell>
          <cell r="E2127">
            <v>8546</v>
          </cell>
          <cell r="F2127" t="str">
            <v>MODERN INSULATION</v>
          </cell>
          <cell r="G2127" t="str">
            <v>D</v>
          </cell>
          <cell r="H2127" t="str">
            <v>SPENCER</v>
          </cell>
          <cell r="I2127" t="str">
            <v>WI</v>
          </cell>
          <cell r="J2127" t="str">
            <v>USA</v>
          </cell>
          <cell r="K2127" t="str">
            <v>MODERN INSULATION</v>
          </cell>
          <cell r="L2127" t="str">
            <v>WI</v>
          </cell>
          <cell r="M2127" t="str">
            <v>USA</v>
          </cell>
          <cell r="N2127" t="str">
            <v>C</v>
          </cell>
          <cell r="O2127">
            <v>24090200</v>
          </cell>
          <cell r="P2127" t="str">
            <v>BORIC ACID GRAN TECH BULK</v>
          </cell>
          <cell r="Q2127" t="str">
            <v>Boric Acid</v>
          </cell>
          <cell r="R2127">
            <v>180.45</v>
          </cell>
          <cell r="S2127">
            <v>78134.850000000006</v>
          </cell>
        </row>
        <row r="2128">
          <cell r="A2128" t="str">
            <v>Actual</v>
          </cell>
          <cell r="B2128">
            <v>2</v>
          </cell>
          <cell r="C2128" t="str">
            <v>Domestic</v>
          </cell>
          <cell r="D2128">
            <v>3</v>
          </cell>
          <cell r="E2128">
            <v>8699</v>
          </cell>
          <cell r="F2128" t="str">
            <v>LIBBEY GLASS SHREVEPORT</v>
          </cell>
          <cell r="G2128" t="str">
            <v>D</v>
          </cell>
          <cell r="H2128" t="str">
            <v>SHREVEPORT</v>
          </cell>
          <cell r="I2128" t="str">
            <v>LA</v>
          </cell>
          <cell r="J2128" t="str">
            <v>USA</v>
          </cell>
          <cell r="K2128" t="str">
            <v>LIBBEY GLASS SHREVEPORT</v>
          </cell>
          <cell r="L2128" t="str">
            <v>LA</v>
          </cell>
          <cell r="M2128" t="str">
            <v>USA</v>
          </cell>
          <cell r="N2128" t="str">
            <v>C</v>
          </cell>
          <cell r="O2128">
            <v>40150400</v>
          </cell>
          <cell r="P2128" t="str">
            <v>SODIUM SULFATE COARSE BULK</v>
          </cell>
          <cell r="Q2128" t="str">
            <v>Sodium Sulfate</v>
          </cell>
          <cell r="R2128">
            <v>47.48</v>
          </cell>
          <cell r="S2128">
            <v>3366.64</v>
          </cell>
        </row>
        <row r="2129">
          <cell r="A2129" t="str">
            <v>Actual</v>
          </cell>
          <cell r="B2129">
            <v>2</v>
          </cell>
          <cell r="C2129" t="str">
            <v>Domestic</v>
          </cell>
          <cell r="D2129">
            <v>3</v>
          </cell>
          <cell r="E2129">
            <v>8750</v>
          </cell>
          <cell r="F2129" t="str">
            <v>GUARDIAN FIBERGLASS</v>
          </cell>
          <cell r="G2129" t="str">
            <v>D</v>
          </cell>
          <cell r="H2129" t="str">
            <v>KINGMAN</v>
          </cell>
          <cell r="I2129" t="str">
            <v>AZ</v>
          </cell>
          <cell r="J2129" t="str">
            <v>USA</v>
          </cell>
          <cell r="K2129" t="str">
            <v>GUARDIAN FIBERGLASS</v>
          </cell>
          <cell r="L2129" t="str">
            <v>AZ</v>
          </cell>
          <cell r="M2129" t="str">
            <v>USA</v>
          </cell>
          <cell r="N2129" t="str">
            <v>C</v>
          </cell>
          <cell r="O2129">
            <v>22060400</v>
          </cell>
          <cell r="P2129" t="str">
            <v>V-BOR STD BULK (004)</v>
          </cell>
          <cell r="Q2129" t="str">
            <v>Penta</v>
          </cell>
          <cell r="R2129">
            <v>415.63</v>
          </cell>
          <cell r="S2129">
            <v>99711.66</v>
          </cell>
        </row>
        <row r="2130">
          <cell r="A2130" t="str">
            <v>Actual</v>
          </cell>
          <cell r="B2130">
            <v>2</v>
          </cell>
          <cell r="C2130" t="str">
            <v>Domestic</v>
          </cell>
          <cell r="D2130">
            <v>3</v>
          </cell>
          <cell r="E2130">
            <v>8822</v>
          </cell>
          <cell r="F2130" t="str">
            <v>UNIVAR USA</v>
          </cell>
          <cell r="G2130" t="str">
            <v>D</v>
          </cell>
          <cell r="H2130" t="str">
            <v>SOUTH BEND</v>
          </cell>
          <cell r="I2130" t="str">
            <v>IN</v>
          </cell>
          <cell r="J2130" t="str">
            <v>USA</v>
          </cell>
          <cell r="K2130" t="str">
            <v>UNIVAR USA</v>
          </cell>
          <cell r="L2130" t="str">
            <v>IN</v>
          </cell>
          <cell r="M2130" t="str">
            <v>USA</v>
          </cell>
          <cell r="N2130" t="str">
            <v>D</v>
          </cell>
          <cell r="O2130">
            <v>22060410</v>
          </cell>
          <cell r="P2130" t="str">
            <v>V-BOR 50LB BAG (004)</v>
          </cell>
          <cell r="Q2130" t="str">
            <v>Penta</v>
          </cell>
          <cell r="R2130">
            <v>22.05</v>
          </cell>
          <cell r="S2130">
            <v>7677.45</v>
          </cell>
        </row>
        <row r="2131">
          <cell r="A2131" t="str">
            <v>Actual</v>
          </cell>
          <cell r="B2131">
            <v>2</v>
          </cell>
          <cell r="C2131" t="str">
            <v>Domestic</v>
          </cell>
          <cell r="D2131">
            <v>3</v>
          </cell>
          <cell r="E2131">
            <v>9029</v>
          </cell>
          <cell r="F2131" t="str">
            <v>CAMCO</v>
          </cell>
          <cell r="G2131" t="str">
            <v>D</v>
          </cell>
          <cell r="H2131" t="str">
            <v>FLORENCE</v>
          </cell>
          <cell r="I2131" t="str">
            <v>KY</v>
          </cell>
          <cell r="J2131" t="str">
            <v>USA</v>
          </cell>
          <cell r="K2131" t="str">
            <v>GMZ</v>
          </cell>
          <cell r="L2131" t="str">
            <v>OH</v>
          </cell>
          <cell r="M2131" t="str">
            <v>USA</v>
          </cell>
          <cell r="N2131" t="str">
            <v>D</v>
          </cell>
          <cell r="O2131">
            <v>40060450</v>
          </cell>
          <cell r="P2131" t="str">
            <v>SODIUM SULFATE STD 1TN FIBC</v>
          </cell>
          <cell r="Q2131" t="str">
            <v>Sodium Sulfate</v>
          </cell>
          <cell r="R2131">
            <v>22</v>
          </cell>
          <cell r="S2131">
            <v>2437.4699999999998</v>
          </cell>
        </row>
        <row r="2132">
          <cell r="A2132" t="str">
            <v>Actual</v>
          </cell>
          <cell r="B2132">
            <v>2</v>
          </cell>
          <cell r="C2132" t="str">
            <v>Domestic</v>
          </cell>
          <cell r="D2132">
            <v>3</v>
          </cell>
          <cell r="E2132">
            <v>9098</v>
          </cell>
          <cell r="F2132" t="str">
            <v>UNIVAR USA</v>
          </cell>
          <cell r="G2132" t="str">
            <v>D</v>
          </cell>
          <cell r="H2132" t="str">
            <v>CINCINNATI</v>
          </cell>
          <cell r="I2132" t="str">
            <v>OH</v>
          </cell>
          <cell r="J2132" t="str">
            <v>USA</v>
          </cell>
          <cell r="K2132" t="str">
            <v>UNIVAR USA</v>
          </cell>
          <cell r="L2132" t="str">
            <v>OH</v>
          </cell>
          <cell r="M2132" t="str">
            <v>USA</v>
          </cell>
          <cell r="N2132" t="str">
            <v>D</v>
          </cell>
          <cell r="O2132">
            <v>22060410</v>
          </cell>
          <cell r="P2132" t="str">
            <v>V-BOR 50LB BAG (004)</v>
          </cell>
          <cell r="Q2132" t="str">
            <v>Penta</v>
          </cell>
          <cell r="R2132">
            <v>11.025</v>
          </cell>
          <cell r="S2132">
            <v>3457.1804999999999</v>
          </cell>
        </row>
        <row r="2133">
          <cell r="A2133" t="str">
            <v>Actual</v>
          </cell>
          <cell r="B2133">
            <v>2</v>
          </cell>
          <cell r="C2133" t="str">
            <v>Domestic</v>
          </cell>
          <cell r="D2133">
            <v>3</v>
          </cell>
          <cell r="E2133">
            <v>9098</v>
          </cell>
          <cell r="F2133" t="str">
            <v>UNIVAR USA</v>
          </cell>
          <cell r="G2133" t="str">
            <v>D</v>
          </cell>
          <cell r="H2133" t="str">
            <v>CINCINNATI</v>
          </cell>
          <cell r="I2133" t="str">
            <v>OH</v>
          </cell>
          <cell r="J2133" t="str">
            <v>USA</v>
          </cell>
          <cell r="K2133" t="str">
            <v>UNIVAR USA</v>
          </cell>
          <cell r="L2133" t="str">
            <v>OH</v>
          </cell>
          <cell r="M2133" t="str">
            <v>USA</v>
          </cell>
          <cell r="N2133" t="str">
            <v>D</v>
          </cell>
          <cell r="O2133">
            <v>24090210</v>
          </cell>
          <cell r="P2133" t="str">
            <v>BORIC ACID GRAN TECH 50LB BAG</v>
          </cell>
          <cell r="Q2133" t="str">
            <v>Boric Acid</v>
          </cell>
          <cell r="R2133">
            <v>7.35</v>
          </cell>
          <cell r="S2133">
            <v>5842.4485000000004</v>
          </cell>
        </row>
        <row r="2134">
          <cell r="A2134" t="str">
            <v>Actual</v>
          </cell>
          <cell r="B2134">
            <v>2</v>
          </cell>
          <cell r="C2134" t="str">
            <v>Domestic</v>
          </cell>
          <cell r="D2134">
            <v>3</v>
          </cell>
          <cell r="E2134">
            <v>9098</v>
          </cell>
          <cell r="F2134" t="str">
            <v>UNIVAR USA</v>
          </cell>
          <cell r="G2134" t="str">
            <v>D</v>
          </cell>
          <cell r="H2134" t="str">
            <v>CINCINNATI</v>
          </cell>
          <cell r="I2134" t="str">
            <v>OH</v>
          </cell>
          <cell r="J2134" t="str">
            <v>USA</v>
          </cell>
          <cell r="K2134" t="str">
            <v>UNIVAR USA</v>
          </cell>
          <cell r="L2134" t="str">
            <v>OH</v>
          </cell>
          <cell r="M2134" t="str">
            <v>USA</v>
          </cell>
          <cell r="N2134" t="str">
            <v>D</v>
          </cell>
          <cell r="O2134">
            <v>40060410</v>
          </cell>
          <cell r="P2134" t="str">
            <v>SODIUM SULFATE STD 50LB BAG</v>
          </cell>
          <cell r="Q2134" t="str">
            <v>Sodium Sulfate</v>
          </cell>
          <cell r="R2134">
            <v>2.5</v>
          </cell>
          <cell r="S2134">
            <v>229.851</v>
          </cell>
        </row>
        <row r="2135">
          <cell r="A2135" t="str">
            <v>Actual</v>
          </cell>
          <cell r="B2135">
            <v>2</v>
          </cell>
          <cell r="C2135" t="str">
            <v>Domestic</v>
          </cell>
          <cell r="D2135">
            <v>3</v>
          </cell>
          <cell r="E2135">
            <v>9174</v>
          </cell>
          <cell r="F2135" t="str">
            <v>HARRIS &amp; FORD</v>
          </cell>
          <cell r="G2135" t="str">
            <v>D</v>
          </cell>
          <cell r="H2135" t="str">
            <v>INDIANAPOLIS</v>
          </cell>
          <cell r="I2135" t="str">
            <v>IN</v>
          </cell>
          <cell r="J2135" t="str">
            <v>USA</v>
          </cell>
          <cell r="K2135" t="str">
            <v>HARRIS &amp; FORD</v>
          </cell>
          <cell r="L2135" t="str">
            <v>IN</v>
          </cell>
          <cell r="M2135" t="str">
            <v>USA</v>
          </cell>
          <cell r="N2135" t="str">
            <v>D</v>
          </cell>
          <cell r="O2135">
            <v>22060410</v>
          </cell>
          <cell r="P2135" t="str">
            <v>V-BOR 50LB BAG (004)</v>
          </cell>
          <cell r="Q2135" t="str">
            <v>Penta</v>
          </cell>
          <cell r="R2135">
            <v>20.824999999999999</v>
          </cell>
          <cell r="S2135">
            <v>8579.6319999999996</v>
          </cell>
        </row>
        <row r="2136">
          <cell r="A2136" t="str">
            <v>Actual</v>
          </cell>
          <cell r="B2136">
            <v>2</v>
          </cell>
          <cell r="C2136" t="str">
            <v>Domestic</v>
          </cell>
          <cell r="D2136">
            <v>3</v>
          </cell>
          <cell r="E2136">
            <v>9174</v>
          </cell>
          <cell r="F2136" t="str">
            <v>HARRIS &amp; FORD</v>
          </cell>
          <cell r="G2136" t="str">
            <v>D</v>
          </cell>
          <cell r="H2136" t="str">
            <v>INDIANAPOLIS</v>
          </cell>
          <cell r="I2136" t="str">
            <v>IN</v>
          </cell>
          <cell r="J2136" t="str">
            <v>USA</v>
          </cell>
          <cell r="K2136" t="str">
            <v>HARRIS &amp; FORD</v>
          </cell>
          <cell r="L2136" t="str">
            <v>IN</v>
          </cell>
          <cell r="M2136" t="str">
            <v>USA</v>
          </cell>
          <cell r="N2136" t="str">
            <v>D</v>
          </cell>
          <cell r="O2136">
            <v>22060453</v>
          </cell>
          <cell r="P2136" t="str">
            <v>V-BOR 2500LB FIBC (004)</v>
          </cell>
          <cell r="Q2136" t="str">
            <v>Penta</v>
          </cell>
          <cell r="R2136">
            <v>0</v>
          </cell>
          <cell r="S2136">
            <v>-32.132100000000001</v>
          </cell>
        </row>
        <row r="2137">
          <cell r="A2137" t="str">
            <v>Actual</v>
          </cell>
          <cell r="B2137">
            <v>2</v>
          </cell>
          <cell r="C2137" t="str">
            <v>Domestic</v>
          </cell>
          <cell r="D2137">
            <v>3</v>
          </cell>
          <cell r="E2137">
            <v>9184</v>
          </cell>
          <cell r="F2137" t="str">
            <v>PILKINGTON NORTH AMERICA INC</v>
          </cell>
          <cell r="G2137" t="str">
            <v>D</v>
          </cell>
          <cell r="H2137" t="str">
            <v>OTTAWA</v>
          </cell>
          <cell r="I2137" t="str">
            <v>IL</v>
          </cell>
          <cell r="J2137" t="str">
            <v>USA</v>
          </cell>
          <cell r="K2137" t="str">
            <v>PILKINGTON NORTH AMERICA INC</v>
          </cell>
          <cell r="L2137" t="str">
            <v>IL</v>
          </cell>
          <cell r="M2137" t="str">
            <v>USA</v>
          </cell>
          <cell r="N2137" t="str">
            <v>C</v>
          </cell>
          <cell r="O2137">
            <v>30210100</v>
          </cell>
          <cell r="P2137" t="str">
            <v>SODA ASH DENSE BULK</v>
          </cell>
          <cell r="Q2137" t="str">
            <v>Soda Ash</v>
          </cell>
          <cell r="R2137">
            <v>2185.38</v>
          </cell>
          <cell r="S2137">
            <v>134243.79999999999</v>
          </cell>
        </row>
        <row r="2138">
          <cell r="A2138" t="str">
            <v>Actual</v>
          </cell>
          <cell r="B2138">
            <v>2</v>
          </cell>
          <cell r="C2138" t="str">
            <v>Domestic</v>
          </cell>
          <cell r="D2138">
            <v>3</v>
          </cell>
          <cell r="E2138">
            <v>9184</v>
          </cell>
          <cell r="F2138" t="str">
            <v>PILKINGTON NORTH AMERICA INC</v>
          </cell>
          <cell r="G2138" t="str">
            <v>D</v>
          </cell>
          <cell r="H2138" t="str">
            <v>OTTAWA</v>
          </cell>
          <cell r="I2138" t="str">
            <v>IL</v>
          </cell>
          <cell r="J2138" t="str">
            <v>USA</v>
          </cell>
          <cell r="K2138" t="str">
            <v>PILKINGTON NORTH AMERICA INC</v>
          </cell>
          <cell r="L2138" t="str">
            <v>IL</v>
          </cell>
          <cell r="M2138" t="str">
            <v>USA</v>
          </cell>
          <cell r="N2138" t="str">
            <v>C</v>
          </cell>
          <cell r="O2138">
            <v>30218800</v>
          </cell>
          <cell r="P2138" t="str">
            <v>SODA ASH DENSE BULK (088)</v>
          </cell>
          <cell r="Q2138" t="str">
            <v>Soda Ash</v>
          </cell>
          <cell r="R2138">
            <v>0</v>
          </cell>
          <cell r="S2138">
            <v>0.13</v>
          </cell>
        </row>
        <row r="2139">
          <cell r="A2139" t="str">
            <v>Actual</v>
          </cell>
          <cell r="B2139">
            <v>2</v>
          </cell>
          <cell r="C2139" t="str">
            <v>Domestic</v>
          </cell>
          <cell r="D2139">
            <v>3</v>
          </cell>
          <cell r="E2139">
            <v>9258</v>
          </cell>
          <cell r="F2139" t="str">
            <v>HARRIS &amp; FORD, LLC</v>
          </cell>
          <cell r="G2139" t="str">
            <v>D</v>
          </cell>
          <cell r="H2139" t="str">
            <v>BENICIA</v>
          </cell>
          <cell r="I2139" t="str">
            <v>CA</v>
          </cell>
          <cell r="J2139" t="str">
            <v>USA</v>
          </cell>
          <cell r="K2139" t="str">
            <v>HARRIS &amp; FORD</v>
          </cell>
          <cell r="L2139" t="str">
            <v>IN</v>
          </cell>
          <cell r="M2139" t="str">
            <v>USA</v>
          </cell>
          <cell r="N2139" t="str">
            <v>D</v>
          </cell>
          <cell r="O2139">
            <v>22060410</v>
          </cell>
          <cell r="P2139" t="str">
            <v>V-BOR 50LB BAG (004)</v>
          </cell>
          <cell r="Q2139" t="str">
            <v>Penta</v>
          </cell>
          <cell r="R2139">
            <v>22.05</v>
          </cell>
          <cell r="S2139">
            <v>9589.39</v>
          </cell>
        </row>
        <row r="2140">
          <cell r="A2140" t="str">
            <v>Actual</v>
          </cell>
          <cell r="B2140">
            <v>2</v>
          </cell>
          <cell r="C2140" t="str">
            <v>Domestic</v>
          </cell>
          <cell r="D2140">
            <v>3</v>
          </cell>
          <cell r="E2140">
            <v>9279</v>
          </cell>
          <cell r="F2140" t="str">
            <v>GUARDIAN FIBERGLASS</v>
          </cell>
          <cell r="G2140" t="str">
            <v>D</v>
          </cell>
          <cell r="H2140" t="str">
            <v>KINGMAN</v>
          </cell>
          <cell r="I2140" t="str">
            <v>AZ</v>
          </cell>
          <cell r="J2140" t="str">
            <v>USA</v>
          </cell>
          <cell r="K2140" t="str">
            <v>GUARDIAN FIBERGLASS</v>
          </cell>
          <cell r="L2140" t="str">
            <v>AZ</v>
          </cell>
          <cell r="M2140" t="str">
            <v>USA</v>
          </cell>
          <cell r="O2140">
            <v>30210100</v>
          </cell>
          <cell r="P2140" t="str">
            <v>SODA ASH DENSE BULK</v>
          </cell>
          <cell r="Q2140" t="str">
            <v>Soda Ash</v>
          </cell>
          <cell r="R2140">
            <v>415.87</v>
          </cell>
          <cell r="S2140">
            <v>28318.6</v>
          </cell>
        </row>
        <row r="2141">
          <cell r="A2141" t="str">
            <v>Actual</v>
          </cell>
          <cell r="B2141">
            <v>2</v>
          </cell>
          <cell r="C2141" t="str">
            <v>Domestic</v>
          </cell>
          <cell r="D2141">
            <v>3</v>
          </cell>
          <cell r="E2141">
            <v>9312</v>
          </cell>
          <cell r="F2141" t="str">
            <v>ASHLAND DISTRIBUTION COMPANY</v>
          </cell>
          <cell r="G2141" t="str">
            <v>D</v>
          </cell>
          <cell r="H2141" t="str">
            <v>ST PAUL</v>
          </cell>
          <cell r="I2141" t="str">
            <v>MN</v>
          </cell>
          <cell r="J2141" t="str">
            <v>USA</v>
          </cell>
          <cell r="K2141" t="str">
            <v>ASHLAND CHEMICAL, INC.</v>
          </cell>
          <cell r="L2141" t="str">
            <v>IL</v>
          </cell>
          <cell r="M2141" t="str">
            <v>USA</v>
          </cell>
          <cell r="N2141" t="str">
            <v>D</v>
          </cell>
          <cell r="O2141">
            <v>22060410</v>
          </cell>
          <cell r="P2141" t="str">
            <v>V-BOR 50LB BAG (004)</v>
          </cell>
          <cell r="Q2141" t="str">
            <v>Penta</v>
          </cell>
          <cell r="R2141">
            <v>0</v>
          </cell>
          <cell r="S2141">
            <v>-202.13</v>
          </cell>
        </row>
        <row r="2142">
          <cell r="A2142" t="str">
            <v>Actual</v>
          </cell>
          <cell r="B2142">
            <v>2</v>
          </cell>
          <cell r="C2142" t="str">
            <v>Domestic</v>
          </cell>
          <cell r="D2142">
            <v>3</v>
          </cell>
          <cell r="E2142">
            <v>9312</v>
          </cell>
          <cell r="F2142" t="str">
            <v>ASHLAND DISTRIBUTION COMPANY</v>
          </cell>
          <cell r="G2142" t="str">
            <v>D</v>
          </cell>
          <cell r="H2142" t="str">
            <v>ST PAUL</v>
          </cell>
          <cell r="I2142" t="str">
            <v>MN</v>
          </cell>
          <cell r="J2142" t="str">
            <v>USA</v>
          </cell>
          <cell r="K2142" t="str">
            <v>ASHLAND CHEMICAL, INC.</v>
          </cell>
          <cell r="L2142" t="str">
            <v>IL</v>
          </cell>
          <cell r="M2142" t="str">
            <v>USA</v>
          </cell>
          <cell r="N2142" t="str">
            <v>D</v>
          </cell>
          <cell r="O2142">
            <v>24090210</v>
          </cell>
          <cell r="P2142" t="str">
            <v>BORIC ACID GRAN TECH 50LB BAG</v>
          </cell>
          <cell r="Q2142" t="str">
            <v>Boric Acid</v>
          </cell>
          <cell r="R2142">
            <v>0</v>
          </cell>
          <cell r="S2142">
            <v>-1421</v>
          </cell>
        </row>
        <row r="2143">
          <cell r="A2143" t="str">
            <v>Actual</v>
          </cell>
          <cell r="B2143">
            <v>2</v>
          </cell>
          <cell r="C2143" t="str">
            <v>Domestic</v>
          </cell>
          <cell r="D2143">
            <v>3</v>
          </cell>
          <cell r="E2143">
            <v>9567</v>
          </cell>
          <cell r="F2143" t="str">
            <v>GUARDIAN FIBERGLASS</v>
          </cell>
          <cell r="G2143" t="str">
            <v>D</v>
          </cell>
          <cell r="H2143" t="str">
            <v>ALBION</v>
          </cell>
          <cell r="I2143" t="str">
            <v>MI</v>
          </cell>
          <cell r="J2143" t="str">
            <v>USA</v>
          </cell>
          <cell r="K2143" t="str">
            <v>GUARDIAN FIBERGLASS</v>
          </cell>
          <cell r="L2143" t="str">
            <v>MI</v>
          </cell>
          <cell r="M2143" t="str">
            <v>USA</v>
          </cell>
          <cell r="N2143" t="str">
            <v>C</v>
          </cell>
          <cell r="O2143">
            <v>22060400</v>
          </cell>
          <cell r="P2143" t="str">
            <v>V-BOR STD BULK (004)</v>
          </cell>
          <cell r="Q2143" t="str">
            <v>Penta</v>
          </cell>
          <cell r="R2143">
            <v>759.92499999999995</v>
          </cell>
          <cell r="S2143">
            <v>138289.22</v>
          </cell>
        </row>
        <row r="2144">
          <cell r="A2144" t="str">
            <v>Actual</v>
          </cell>
          <cell r="B2144">
            <v>2</v>
          </cell>
          <cell r="C2144" t="str">
            <v>Domestic</v>
          </cell>
          <cell r="D2144">
            <v>3</v>
          </cell>
          <cell r="E2144">
            <v>9568</v>
          </cell>
          <cell r="F2144" t="str">
            <v>GUARDIAN FIBERGLASS</v>
          </cell>
          <cell r="G2144" t="str">
            <v>D</v>
          </cell>
          <cell r="H2144" t="str">
            <v>ERIN</v>
          </cell>
          <cell r="I2144" t="str">
            <v>ON</v>
          </cell>
          <cell r="J2144" t="str">
            <v>CAN</v>
          </cell>
          <cell r="K2144" t="str">
            <v>GUARDIAN FIBERGLASS</v>
          </cell>
          <cell r="L2144" t="str">
            <v>ON</v>
          </cell>
          <cell r="M2144" t="str">
            <v>CAN</v>
          </cell>
          <cell r="N2144" t="str">
            <v>C</v>
          </cell>
          <cell r="O2144">
            <v>22060400</v>
          </cell>
          <cell r="P2144" t="str">
            <v>V-BOR STD BULK (004)</v>
          </cell>
          <cell r="Q2144" t="str">
            <v>Penta</v>
          </cell>
          <cell r="R2144">
            <v>280.19</v>
          </cell>
          <cell r="S2144">
            <v>70470.100000000006</v>
          </cell>
        </row>
        <row r="2145">
          <cell r="A2145" t="str">
            <v>Actual</v>
          </cell>
          <cell r="B2145">
            <v>2</v>
          </cell>
          <cell r="C2145" t="str">
            <v>Domestic</v>
          </cell>
          <cell r="D2145">
            <v>3</v>
          </cell>
          <cell r="E2145">
            <v>9579</v>
          </cell>
          <cell r="F2145" t="str">
            <v>SAINT GOBAIN CONTAINERS</v>
          </cell>
          <cell r="G2145" t="str">
            <v>D</v>
          </cell>
          <cell r="H2145" t="str">
            <v>BURLINGTON</v>
          </cell>
          <cell r="I2145" t="str">
            <v>WI</v>
          </cell>
          <cell r="J2145" t="str">
            <v>USA</v>
          </cell>
          <cell r="K2145" t="str">
            <v>SAINT GOBAIN CONTAINERS</v>
          </cell>
          <cell r="L2145" t="str">
            <v>WI</v>
          </cell>
          <cell r="M2145" t="str">
            <v>USA</v>
          </cell>
          <cell r="N2145" t="str">
            <v>C</v>
          </cell>
          <cell r="O2145">
            <v>40060410</v>
          </cell>
          <cell r="P2145" t="str">
            <v>SODIUM SULFATE STD 50LB BAG</v>
          </cell>
          <cell r="Q2145" t="str">
            <v>Sodium Sulfate</v>
          </cell>
          <cell r="R2145">
            <v>0</v>
          </cell>
          <cell r="S2145">
            <v>-15</v>
          </cell>
        </row>
        <row r="2146">
          <cell r="A2146" t="str">
            <v>Actual</v>
          </cell>
          <cell r="B2146">
            <v>2</v>
          </cell>
          <cell r="C2146" t="str">
            <v>Domestic</v>
          </cell>
          <cell r="D2146">
            <v>3</v>
          </cell>
          <cell r="E2146">
            <v>9579</v>
          </cell>
          <cell r="F2146" t="str">
            <v>SAINT GOBAIN CONTAINERS</v>
          </cell>
          <cell r="G2146" t="str">
            <v>D</v>
          </cell>
          <cell r="H2146" t="str">
            <v>BURLINGTON</v>
          </cell>
          <cell r="I2146" t="str">
            <v>WI</v>
          </cell>
          <cell r="J2146" t="str">
            <v>USA</v>
          </cell>
          <cell r="K2146" t="str">
            <v>SAINT GOBAIN CONTAINERS</v>
          </cell>
          <cell r="L2146" t="str">
            <v>WI</v>
          </cell>
          <cell r="M2146" t="str">
            <v>USA</v>
          </cell>
          <cell r="N2146" t="str">
            <v>C</v>
          </cell>
          <cell r="O2146">
            <v>40150400</v>
          </cell>
          <cell r="P2146" t="str">
            <v>SODIUM SULFATE COARSE BULK</v>
          </cell>
          <cell r="Q2146" t="str">
            <v>Sodium Sulfate</v>
          </cell>
          <cell r="R2146">
            <v>70.849999999999994</v>
          </cell>
          <cell r="S2146">
            <v>3753.08</v>
          </cell>
        </row>
        <row r="2147">
          <cell r="A2147" t="str">
            <v>Actual</v>
          </cell>
          <cell r="B2147">
            <v>2</v>
          </cell>
          <cell r="C2147" t="str">
            <v>Domestic</v>
          </cell>
          <cell r="D2147">
            <v>4</v>
          </cell>
          <cell r="E2147">
            <v>5021</v>
          </cell>
          <cell r="F2147" t="str">
            <v>GULF CHEMICAL &amp; METALLURGICAL</v>
          </cell>
          <cell r="G2147" t="str">
            <v>D</v>
          </cell>
          <cell r="H2147" t="str">
            <v>FREEPORT</v>
          </cell>
          <cell r="I2147" t="str">
            <v>TX</v>
          </cell>
          <cell r="J2147" t="str">
            <v>USA</v>
          </cell>
          <cell r="K2147" t="str">
            <v>GULF CHEMICAL &amp; METALLURGICAL</v>
          </cell>
          <cell r="L2147" t="str">
            <v>TX</v>
          </cell>
          <cell r="M2147" t="str">
            <v>USA</v>
          </cell>
          <cell r="N2147" t="str">
            <v>C</v>
          </cell>
          <cell r="O2147">
            <v>30210100</v>
          </cell>
          <cell r="P2147" t="str">
            <v>SODA ASH DENSE BULK</v>
          </cell>
          <cell r="Q2147" t="str">
            <v>Soda Ash</v>
          </cell>
          <cell r="R2147">
            <v>972.83</v>
          </cell>
          <cell r="S2147">
            <v>96872.58</v>
          </cell>
        </row>
        <row r="2148">
          <cell r="A2148" t="str">
            <v>Actual</v>
          </cell>
          <cell r="B2148">
            <v>2</v>
          </cell>
          <cell r="C2148" t="str">
            <v>Domestic</v>
          </cell>
          <cell r="D2148">
            <v>4</v>
          </cell>
          <cell r="E2148">
            <v>5025</v>
          </cell>
          <cell r="F2148" t="str">
            <v>QUEMETCO, INC.</v>
          </cell>
          <cell r="G2148" t="str">
            <v>D</v>
          </cell>
          <cell r="H2148" t="str">
            <v>CITY OF INDUSTRY</v>
          </cell>
          <cell r="I2148" t="str">
            <v>CA</v>
          </cell>
          <cell r="J2148" t="str">
            <v>USA</v>
          </cell>
          <cell r="K2148" t="str">
            <v>QUEMETCO, INC.</v>
          </cell>
          <cell r="L2148" t="str">
            <v>CA</v>
          </cell>
          <cell r="M2148" t="str">
            <v>USA</v>
          </cell>
          <cell r="N2148" t="str">
            <v>C</v>
          </cell>
          <cell r="O2148">
            <v>30210100</v>
          </cell>
          <cell r="P2148" t="str">
            <v>SODA ASH DENSE BULK</v>
          </cell>
          <cell r="Q2148" t="str">
            <v>Soda Ash</v>
          </cell>
          <cell r="R2148">
            <v>1770.32</v>
          </cell>
          <cell r="S2148">
            <v>151157.09</v>
          </cell>
        </row>
        <row r="2149">
          <cell r="A2149" t="str">
            <v>Actual</v>
          </cell>
          <cell r="B2149">
            <v>2</v>
          </cell>
          <cell r="C2149" t="str">
            <v>Domestic</v>
          </cell>
          <cell r="D2149">
            <v>4</v>
          </cell>
          <cell r="E2149">
            <v>5045</v>
          </cell>
          <cell r="F2149" t="str">
            <v>AFG VICTORVILLE PLANT</v>
          </cell>
          <cell r="G2149" t="str">
            <v>D</v>
          </cell>
          <cell r="H2149" t="str">
            <v>VICTORVILLE</v>
          </cell>
          <cell r="I2149" t="str">
            <v>CA</v>
          </cell>
          <cell r="J2149" t="str">
            <v>USA</v>
          </cell>
          <cell r="K2149" t="str">
            <v>AFG VICTORVILLE PLANT</v>
          </cell>
          <cell r="L2149" t="str">
            <v>CA</v>
          </cell>
          <cell r="M2149" t="str">
            <v>USA</v>
          </cell>
          <cell r="N2149" t="str">
            <v>C</v>
          </cell>
          <cell r="O2149">
            <v>40150400</v>
          </cell>
          <cell r="P2149" t="str">
            <v>SODIUM SULFATE COARSE BULK</v>
          </cell>
          <cell r="Q2149" t="str">
            <v>Sodium Sulfate</v>
          </cell>
          <cell r="R2149">
            <v>53.54</v>
          </cell>
          <cell r="S2149">
            <v>5310.33</v>
          </cell>
        </row>
        <row r="2150">
          <cell r="A2150" t="str">
            <v>Actual</v>
          </cell>
          <cell r="B2150">
            <v>2</v>
          </cell>
          <cell r="C2150" t="str">
            <v>Domestic</v>
          </cell>
          <cell r="D2150">
            <v>4</v>
          </cell>
          <cell r="E2150">
            <v>5098</v>
          </cell>
          <cell r="F2150" t="str">
            <v>HOOVER TREATED WOOD PRODUCTS</v>
          </cell>
          <cell r="G2150" t="str">
            <v>D</v>
          </cell>
          <cell r="H2150" t="str">
            <v>PINE BLUFF</v>
          </cell>
          <cell r="I2150" t="str">
            <v>AR</v>
          </cell>
          <cell r="J2150" t="str">
            <v>USA</v>
          </cell>
          <cell r="K2150" t="str">
            <v>HOOVER TREATED WOOD PRODUCTS</v>
          </cell>
          <cell r="L2150" t="str">
            <v>AR</v>
          </cell>
          <cell r="M2150" t="str">
            <v>USA</v>
          </cell>
          <cell r="N2150" t="str">
            <v>C</v>
          </cell>
          <cell r="O2150">
            <v>23060210</v>
          </cell>
          <cell r="P2150" t="str">
            <v>DECA BORAX STD 50LB BAG</v>
          </cell>
          <cell r="Q2150" t="str">
            <v>Deca</v>
          </cell>
          <cell r="R2150">
            <v>11.025</v>
          </cell>
          <cell r="S2150">
            <v>2963.23</v>
          </cell>
        </row>
        <row r="2151">
          <cell r="A2151" t="str">
            <v>Actual</v>
          </cell>
          <cell r="B2151">
            <v>2</v>
          </cell>
          <cell r="C2151" t="str">
            <v>Domestic</v>
          </cell>
          <cell r="D2151">
            <v>4</v>
          </cell>
          <cell r="E2151">
            <v>5098</v>
          </cell>
          <cell r="F2151" t="str">
            <v>HOOVER TREATED WOOD PRODUCTS</v>
          </cell>
          <cell r="G2151" t="str">
            <v>D</v>
          </cell>
          <cell r="H2151" t="str">
            <v>PINE BLUFF</v>
          </cell>
          <cell r="I2151" t="str">
            <v>AR</v>
          </cell>
          <cell r="J2151" t="str">
            <v>USA</v>
          </cell>
          <cell r="K2151" t="str">
            <v>HOOVER TREATED WOOD PRODUCTS</v>
          </cell>
          <cell r="L2151" t="str">
            <v>AR</v>
          </cell>
          <cell r="M2151" t="str">
            <v>USA</v>
          </cell>
          <cell r="N2151" t="str">
            <v>C</v>
          </cell>
          <cell r="O2151">
            <v>24090210</v>
          </cell>
          <cell r="P2151" t="str">
            <v>BORIC ACID GRAN TECH 50LB BAG</v>
          </cell>
          <cell r="Q2151" t="str">
            <v>Boric Acid</v>
          </cell>
          <cell r="R2151">
            <v>11.025</v>
          </cell>
          <cell r="S2151">
            <v>6358.93</v>
          </cell>
        </row>
        <row r="2152">
          <cell r="A2152" t="str">
            <v>Actual</v>
          </cell>
          <cell r="B2152">
            <v>2</v>
          </cell>
          <cell r="C2152" t="str">
            <v>Domestic</v>
          </cell>
          <cell r="D2152">
            <v>4</v>
          </cell>
          <cell r="E2152">
            <v>5545</v>
          </cell>
          <cell r="F2152" t="str">
            <v>UNIVAR USA</v>
          </cell>
          <cell r="G2152" t="str">
            <v>D</v>
          </cell>
          <cell r="H2152" t="str">
            <v>NORCROSS</v>
          </cell>
          <cell r="I2152" t="str">
            <v>GA</v>
          </cell>
          <cell r="J2152" t="str">
            <v>USA</v>
          </cell>
          <cell r="K2152" t="str">
            <v>UNIVAR USA</v>
          </cell>
          <cell r="L2152" t="str">
            <v>GA</v>
          </cell>
          <cell r="M2152" t="str">
            <v>USA</v>
          </cell>
          <cell r="N2152" t="str">
            <v>D</v>
          </cell>
          <cell r="O2152">
            <v>22060410</v>
          </cell>
          <cell r="P2152" t="str">
            <v>V-BOR 50LB BAG (004)</v>
          </cell>
          <cell r="Q2152" t="str">
            <v>Penta</v>
          </cell>
          <cell r="R2152">
            <v>15.925000000000001</v>
          </cell>
          <cell r="S2152">
            <v>5106.2876999999999</v>
          </cell>
        </row>
        <row r="2153">
          <cell r="A2153" t="str">
            <v>Actual</v>
          </cell>
          <cell r="B2153">
            <v>2</v>
          </cell>
          <cell r="C2153" t="str">
            <v>Domestic</v>
          </cell>
          <cell r="D2153">
            <v>4</v>
          </cell>
          <cell r="E2153">
            <v>5545</v>
          </cell>
          <cell r="F2153" t="str">
            <v>UNIVAR USA</v>
          </cell>
          <cell r="G2153" t="str">
            <v>D</v>
          </cell>
          <cell r="H2153" t="str">
            <v>NORCROSS</v>
          </cell>
          <cell r="I2153" t="str">
            <v>GA</v>
          </cell>
          <cell r="J2153" t="str">
            <v>USA</v>
          </cell>
          <cell r="K2153" t="str">
            <v>UNIVAR USA</v>
          </cell>
          <cell r="L2153" t="str">
            <v>GA</v>
          </cell>
          <cell r="M2153" t="str">
            <v>USA</v>
          </cell>
          <cell r="N2153" t="str">
            <v>D</v>
          </cell>
          <cell r="O2153">
            <v>40160450</v>
          </cell>
          <cell r="P2153" t="str">
            <v>SODIUM SULFATE PREM 1TN FIBC</v>
          </cell>
          <cell r="Q2153" t="str">
            <v>Sodium Sulfate</v>
          </cell>
          <cell r="R2153">
            <v>6</v>
          </cell>
          <cell r="S2153">
            <v>711.7423</v>
          </cell>
        </row>
        <row r="2154">
          <cell r="A2154" t="str">
            <v>Actual</v>
          </cell>
          <cell r="B2154">
            <v>2</v>
          </cell>
          <cell r="C2154" t="str">
            <v>Domestic</v>
          </cell>
          <cell r="D2154">
            <v>4</v>
          </cell>
          <cell r="E2154">
            <v>5550</v>
          </cell>
          <cell r="F2154" t="str">
            <v>TEXAS INDUSTRIES, INC.</v>
          </cell>
          <cell r="G2154" t="str">
            <v>D</v>
          </cell>
          <cell r="H2154" t="str">
            <v>MIDLOTHIAN</v>
          </cell>
          <cell r="I2154" t="str">
            <v>TX</v>
          </cell>
          <cell r="J2154" t="str">
            <v>USA</v>
          </cell>
          <cell r="K2154" t="str">
            <v>TEXAS INDUSTRIES, INC.</v>
          </cell>
          <cell r="L2154" t="str">
            <v>TX</v>
          </cell>
          <cell r="M2154" t="str">
            <v>USA</v>
          </cell>
          <cell r="N2154" t="str">
            <v>C</v>
          </cell>
          <cell r="O2154">
            <v>30210100</v>
          </cell>
          <cell r="P2154" t="str">
            <v>SODA ASH DENSE BULK</v>
          </cell>
          <cell r="Q2154" t="str">
            <v>Soda Ash</v>
          </cell>
          <cell r="R2154">
            <v>154.57</v>
          </cell>
          <cell r="S2154">
            <v>12470.72</v>
          </cell>
        </row>
        <row r="2155">
          <cell r="A2155" t="str">
            <v>Actual</v>
          </cell>
          <cell r="B2155">
            <v>2</v>
          </cell>
          <cell r="C2155" t="str">
            <v>Domestic</v>
          </cell>
          <cell r="D2155">
            <v>4</v>
          </cell>
          <cell r="E2155">
            <v>6145</v>
          </cell>
          <cell r="F2155" t="str">
            <v>BRENNTAG SOUTHEAST, INC.</v>
          </cell>
          <cell r="G2155" t="str">
            <v>D</v>
          </cell>
          <cell r="H2155" t="str">
            <v>FLORENCE</v>
          </cell>
          <cell r="I2155" t="str">
            <v>SC</v>
          </cell>
          <cell r="J2155" t="str">
            <v>USA</v>
          </cell>
          <cell r="K2155" t="str">
            <v>BRENNTAG SOUTHEAST, INC.</v>
          </cell>
          <cell r="L2155" t="str">
            <v>NC</v>
          </cell>
          <cell r="M2155" t="str">
            <v>USA</v>
          </cell>
          <cell r="N2155" t="str">
            <v>D</v>
          </cell>
          <cell r="O2155">
            <v>24629792</v>
          </cell>
          <cell r="P2155" t="str">
            <v>BORIC ACID EP GRAN 150KG DRUM</v>
          </cell>
          <cell r="Q2155" t="str">
            <v>HP Boric Acid (SCL)</v>
          </cell>
          <cell r="R2155">
            <v>3.9683000000000002</v>
          </cell>
          <cell r="S2155">
            <v>7086.97</v>
          </cell>
        </row>
        <row r="2156">
          <cell r="A2156" t="str">
            <v>Actual</v>
          </cell>
          <cell r="B2156">
            <v>2</v>
          </cell>
          <cell r="C2156" t="str">
            <v>Domestic</v>
          </cell>
          <cell r="D2156">
            <v>4</v>
          </cell>
          <cell r="E2156">
            <v>6146</v>
          </cell>
          <cell r="F2156" t="str">
            <v>BRENNTAG SOUTHEAST, INC.</v>
          </cell>
          <cell r="G2156" t="str">
            <v>D</v>
          </cell>
          <cell r="H2156" t="str">
            <v>DURHAM</v>
          </cell>
          <cell r="I2156" t="str">
            <v>NC</v>
          </cell>
          <cell r="J2156" t="str">
            <v>USA</v>
          </cell>
          <cell r="K2156" t="str">
            <v>BRENNTAG SOUTHEAST, INC.</v>
          </cell>
          <cell r="L2156" t="str">
            <v>NC</v>
          </cell>
          <cell r="M2156" t="str">
            <v>USA</v>
          </cell>
          <cell r="N2156" t="str">
            <v>D</v>
          </cell>
          <cell r="O2156">
            <v>24090210</v>
          </cell>
          <cell r="P2156" t="str">
            <v>BORIC ACID GRAN TECH 50LB BAG</v>
          </cell>
          <cell r="Q2156" t="str">
            <v>Boric Acid</v>
          </cell>
          <cell r="R2156">
            <v>0</v>
          </cell>
          <cell r="S2156">
            <v>-213.15</v>
          </cell>
        </row>
        <row r="2157">
          <cell r="A2157" t="str">
            <v>Actual</v>
          </cell>
          <cell r="B2157">
            <v>2</v>
          </cell>
          <cell r="C2157" t="str">
            <v>Domestic</v>
          </cell>
          <cell r="D2157">
            <v>4</v>
          </cell>
          <cell r="E2157">
            <v>6537</v>
          </cell>
          <cell r="F2157" t="str">
            <v>IMC PHOSPHATES MP INC</v>
          </cell>
          <cell r="G2157" t="str">
            <v>D</v>
          </cell>
          <cell r="H2157" t="str">
            <v>FOUR CORNERS</v>
          </cell>
          <cell r="I2157" t="str">
            <v>FL</v>
          </cell>
          <cell r="J2157" t="str">
            <v>USA</v>
          </cell>
          <cell r="K2157" t="str">
            <v>IMC PHOSPHATES MP INC</v>
          </cell>
          <cell r="L2157" t="str">
            <v>FL</v>
          </cell>
          <cell r="M2157" t="str">
            <v>USA</v>
          </cell>
          <cell r="N2157" t="str">
            <v>C</v>
          </cell>
          <cell r="O2157">
            <v>30210100</v>
          </cell>
          <cell r="P2157" t="str">
            <v>SODA ASH DENSE BULK</v>
          </cell>
          <cell r="Q2157" t="str">
            <v>Soda Ash</v>
          </cell>
          <cell r="R2157">
            <v>1211.625</v>
          </cell>
          <cell r="S2157">
            <v>184500.31</v>
          </cell>
        </row>
        <row r="2158">
          <cell r="A2158" t="str">
            <v>Actual</v>
          </cell>
          <cell r="B2158">
            <v>2</v>
          </cell>
          <cell r="C2158" t="str">
            <v>Domestic</v>
          </cell>
          <cell r="D2158">
            <v>4</v>
          </cell>
          <cell r="E2158">
            <v>6538</v>
          </cell>
          <cell r="F2158" t="str">
            <v>IMC PHOSPHATES MP INC</v>
          </cell>
          <cell r="G2158" t="str">
            <v>D</v>
          </cell>
          <cell r="H2158" t="str">
            <v>PIERCE</v>
          </cell>
          <cell r="I2158" t="str">
            <v>FL</v>
          </cell>
          <cell r="J2158" t="str">
            <v>USA</v>
          </cell>
          <cell r="K2158" t="str">
            <v>IMC PHOSPHATES MP INC</v>
          </cell>
          <cell r="L2158" t="str">
            <v>FL</v>
          </cell>
          <cell r="M2158" t="str">
            <v>USA</v>
          </cell>
          <cell r="N2158" t="str">
            <v>C</v>
          </cell>
          <cell r="O2158">
            <v>30210100</v>
          </cell>
          <cell r="P2158" t="str">
            <v>SODA ASH DENSE BULK</v>
          </cell>
          <cell r="Q2158" t="str">
            <v>Soda Ash</v>
          </cell>
          <cell r="R2158">
            <v>552.27499999999998</v>
          </cell>
          <cell r="S2158">
            <v>87648.94</v>
          </cell>
        </row>
        <row r="2159">
          <cell r="A2159" t="str">
            <v>Actual</v>
          </cell>
          <cell r="B2159">
            <v>2</v>
          </cell>
          <cell r="C2159" t="str">
            <v>Domestic</v>
          </cell>
          <cell r="D2159">
            <v>4</v>
          </cell>
          <cell r="E2159">
            <v>6549</v>
          </cell>
          <cell r="F2159" t="str">
            <v>EXIDE CORPORATION</v>
          </cell>
          <cell r="G2159" t="str">
            <v>D</v>
          </cell>
          <cell r="H2159" t="str">
            <v>LOS ANGELES</v>
          </cell>
          <cell r="I2159" t="str">
            <v>CA</v>
          </cell>
          <cell r="J2159" t="str">
            <v>USA</v>
          </cell>
          <cell r="K2159" t="str">
            <v>EXIDE CORPORATION</v>
          </cell>
          <cell r="L2159" t="str">
            <v>CA</v>
          </cell>
          <cell r="M2159" t="str">
            <v>USA</v>
          </cell>
          <cell r="N2159" t="str">
            <v>C</v>
          </cell>
          <cell r="O2159">
            <v>30210100</v>
          </cell>
          <cell r="P2159" t="str">
            <v>SODA ASH DENSE BULK</v>
          </cell>
          <cell r="Q2159" t="str">
            <v>Soda Ash</v>
          </cell>
          <cell r="R2159">
            <v>1311.48</v>
          </cell>
          <cell r="S2159">
            <v>108757.57</v>
          </cell>
        </row>
        <row r="2160">
          <cell r="A2160" t="str">
            <v>Actual</v>
          </cell>
          <cell r="B2160">
            <v>2</v>
          </cell>
          <cell r="C2160" t="str">
            <v>Domestic</v>
          </cell>
          <cell r="D2160">
            <v>4</v>
          </cell>
          <cell r="E2160">
            <v>6577</v>
          </cell>
          <cell r="F2160" t="str">
            <v>HOOVER TREATED WOOD PRODUCTS</v>
          </cell>
          <cell r="G2160" t="str">
            <v>D</v>
          </cell>
          <cell r="H2160" t="str">
            <v>DILLARD</v>
          </cell>
          <cell r="I2160" t="str">
            <v>OR</v>
          </cell>
          <cell r="J2160" t="str">
            <v>USA</v>
          </cell>
          <cell r="K2160" t="str">
            <v>HOOVER TREATED WOOD PRODUCTS</v>
          </cell>
          <cell r="L2160" t="str">
            <v>OR</v>
          </cell>
          <cell r="M2160" t="str">
            <v>USA</v>
          </cell>
          <cell r="N2160" t="str">
            <v>C</v>
          </cell>
          <cell r="O2160">
            <v>23060210</v>
          </cell>
          <cell r="P2160" t="str">
            <v>DECA BORAX STD 50LB BAG</v>
          </cell>
          <cell r="Q2160" t="str">
            <v>Deca</v>
          </cell>
          <cell r="R2160">
            <v>11.025</v>
          </cell>
          <cell r="S2160">
            <v>3312.5650000000001</v>
          </cell>
        </row>
        <row r="2161">
          <cell r="A2161" t="str">
            <v>Actual</v>
          </cell>
          <cell r="B2161">
            <v>2</v>
          </cell>
          <cell r="C2161" t="str">
            <v>Domestic</v>
          </cell>
          <cell r="D2161">
            <v>4</v>
          </cell>
          <cell r="E2161">
            <v>6577</v>
          </cell>
          <cell r="F2161" t="str">
            <v>HOOVER TREATED WOOD PRODUCTS</v>
          </cell>
          <cell r="G2161" t="str">
            <v>D</v>
          </cell>
          <cell r="H2161" t="str">
            <v>DILLARD</v>
          </cell>
          <cell r="I2161" t="str">
            <v>OR</v>
          </cell>
          <cell r="J2161" t="str">
            <v>USA</v>
          </cell>
          <cell r="K2161" t="str">
            <v>HOOVER TREATED WOOD PRODUCTS</v>
          </cell>
          <cell r="L2161" t="str">
            <v>OR</v>
          </cell>
          <cell r="M2161" t="str">
            <v>USA</v>
          </cell>
          <cell r="N2161" t="str">
            <v>C</v>
          </cell>
          <cell r="O2161">
            <v>24090210</v>
          </cell>
          <cell r="P2161" t="str">
            <v>BORIC ACID GRAN TECH 50LB BAG</v>
          </cell>
          <cell r="Q2161" t="str">
            <v>Boric Acid</v>
          </cell>
          <cell r="R2161">
            <v>11.025</v>
          </cell>
          <cell r="S2161">
            <v>6708.2650000000003</v>
          </cell>
        </row>
        <row r="2162">
          <cell r="A2162" t="str">
            <v>Actual</v>
          </cell>
          <cell r="B2162">
            <v>2</v>
          </cell>
          <cell r="C2162" t="str">
            <v>Domestic</v>
          </cell>
          <cell r="D2162">
            <v>4</v>
          </cell>
          <cell r="E2162">
            <v>6587</v>
          </cell>
          <cell r="F2162" t="str">
            <v>INDUSTRIAL CHEMICAL COMPANY</v>
          </cell>
          <cell r="G2162" t="str">
            <v>D</v>
          </cell>
          <cell r="H2162" t="str">
            <v>BIRMINGHAM</v>
          </cell>
          <cell r="I2162" t="str">
            <v>AL</v>
          </cell>
          <cell r="J2162" t="str">
            <v>USA</v>
          </cell>
          <cell r="K2162" t="str">
            <v>INDUSTRIAL CHEMICAL COMPANY</v>
          </cell>
          <cell r="L2162" t="str">
            <v>AL</v>
          </cell>
          <cell r="M2162" t="str">
            <v>USA</v>
          </cell>
          <cell r="N2162" t="str">
            <v>D</v>
          </cell>
          <cell r="O2162">
            <v>24230250</v>
          </cell>
          <cell r="P2162" t="str">
            <v>BORIC ACID GRAN TECH 1TN FIBC</v>
          </cell>
          <cell r="Q2162" t="str">
            <v>Boric Acid</v>
          </cell>
          <cell r="R2162">
            <v>44</v>
          </cell>
          <cell r="S2162">
            <v>18002.3</v>
          </cell>
        </row>
        <row r="2163">
          <cell r="A2163" t="str">
            <v>Actual</v>
          </cell>
          <cell r="B2163">
            <v>2</v>
          </cell>
          <cell r="C2163" t="str">
            <v>Domestic</v>
          </cell>
          <cell r="D2163">
            <v>4</v>
          </cell>
          <cell r="E2163">
            <v>6587</v>
          </cell>
          <cell r="F2163" t="str">
            <v>INDUSTRIAL CHEMICAL COMPANY</v>
          </cell>
          <cell r="G2163" t="str">
            <v>D</v>
          </cell>
          <cell r="H2163" t="str">
            <v>BIRMINGHAM</v>
          </cell>
          <cell r="I2163" t="str">
            <v>AL</v>
          </cell>
          <cell r="J2163" t="str">
            <v>USA</v>
          </cell>
          <cell r="K2163" t="str">
            <v>INDUSTRIAL CHEMICAL COMPANY</v>
          </cell>
          <cell r="L2163" t="str">
            <v>AL</v>
          </cell>
          <cell r="M2163" t="str">
            <v>USA</v>
          </cell>
          <cell r="N2163" t="str">
            <v>D</v>
          </cell>
          <cell r="O2163">
            <v>40060400</v>
          </cell>
          <cell r="P2163" t="str">
            <v>SODIUM SULFATE STANDARD BULK</v>
          </cell>
          <cell r="Q2163" t="str">
            <v>Sodium Sulfate</v>
          </cell>
          <cell r="R2163">
            <v>644.875</v>
          </cell>
          <cell r="S2163">
            <v>27239.55</v>
          </cell>
        </row>
        <row r="2164">
          <cell r="A2164" t="str">
            <v>Actual</v>
          </cell>
          <cell r="B2164">
            <v>2</v>
          </cell>
          <cell r="C2164" t="str">
            <v>Domestic</v>
          </cell>
          <cell r="D2164">
            <v>4</v>
          </cell>
          <cell r="E2164">
            <v>6601</v>
          </cell>
          <cell r="F2164" t="str">
            <v>INTERNATIONAL CELLULOSE CORP</v>
          </cell>
          <cell r="G2164" t="str">
            <v>D</v>
          </cell>
          <cell r="H2164" t="str">
            <v>ALMEDA</v>
          </cell>
          <cell r="I2164" t="str">
            <v>TX</v>
          </cell>
          <cell r="J2164" t="str">
            <v>USA</v>
          </cell>
          <cell r="K2164" t="str">
            <v>INTERNATIONAL CELLULOSE CORP.</v>
          </cell>
          <cell r="L2164" t="str">
            <v>TX</v>
          </cell>
          <cell r="M2164" t="str">
            <v>USA</v>
          </cell>
          <cell r="N2164" t="str">
            <v>C</v>
          </cell>
          <cell r="O2164">
            <v>22060450</v>
          </cell>
          <cell r="P2164" t="str">
            <v>V-BOR 1TN FIBC (004)</v>
          </cell>
          <cell r="Q2164" t="str">
            <v>Penta</v>
          </cell>
          <cell r="R2164">
            <v>22</v>
          </cell>
          <cell r="S2164">
            <v>6468.46</v>
          </cell>
        </row>
        <row r="2165">
          <cell r="A2165" t="str">
            <v>Actual</v>
          </cell>
          <cell r="B2165">
            <v>2</v>
          </cell>
          <cell r="C2165" t="str">
            <v>Domestic</v>
          </cell>
          <cell r="D2165">
            <v>4</v>
          </cell>
          <cell r="E2165">
            <v>6703</v>
          </cell>
          <cell r="F2165" t="str">
            <v>ROHM &amp; HAAS</v>
          </cell>
          <cell r="G2165" t="str">
            <v>D</v>
          </cell>
          <cell r="H2165" t="str">
            <v>ELMA</v>
          </cell>
          <cell r="I2165" t="str">
            <v>WA</v>
          </cell>
          <cell r="J2165" t="str">
            <v>USA</v>
          </cell>
          <cell r="K2165" t="str">
            <v>ROHM &amp; HAAS</v>
          </cell>
          <cell r="L2165" t="str">
            <v>WA</v>
          </cell>
          <cell r="M2165" t="str">
            <v>USA</v>
          </cell>
          <cell r="N2165" t="str">
            <v>C</v>
          </cell>
          <cell r="O2165">
            <v>24850200</v>
          </cell>
          <cell r="P2165" t="str">
            <v>BORIC ACID GR TECH PREM BULK</v>
          </cell>
          <cell r="Q2165" t="str">
            <v>Boric Acid</v>
          </cell>
          <cell r="R2165">
            <v>492</v>
          </cell>
          <cell r="S2165">
            <v>179771.87</v>
          </cell>
        </row>
        <row r="2166">
          <cell r="A2166" t="str">
            <v>Actual</v>
          </cell>
          <cell r="B2166">
            <v>2</v>
          </cell>
          <cell r="C2166" t="str">
            <v>Domestic</v>
          </cell>
          <cell r="D2166">
            <v>4</v>
          </cell>
          <cell r="E2166">
            <v>6975</v>
          </cell>
          <cell r="F2166" t="str">
            <v>BRENNTAG SOUTHWEST, INC.</v>
          </cell>
          <cell r="G2166" t="str">
            <v>D</v>
          </cell>
          <cell r="H2166" t="str">
            <v>ELMENDORF</v>
          </cell>
          <cell r="I2166" t="str">
            <v>TX</v>
          </cell>
          <cell r="J2166" t="str">
            <v>USA</v>
          </cell>
          <cell r="K2166" t="str">
            <v>BRENNTAG SOUTHWEST, INC.</v>
          </cell>
          <cell r="L2166" t="str">
            <v>TX</v>
          </cell>
          <cell r="M2166" t="str">
            <v>USA</v>
          </cell>
          <cell r="N2166" t="str">
            <v>D</v>
          </cell>
          <cell r="O2166">
            <v>23060210</v>
          </cell>
          <cell r="P2166" t="str">
            <v>DECA BORAX STD 50LB BAG</v>
          </cell>
          <cell r="Q2166" t="str">
            <v>Deca</v>
          </cell>
          <cell r="R2166">
            <v>6.125</v>
          </cell>
          <cell r="S2166">
            <v>2283.3000000000002</v>
          </cell>
        </row>
        <row r="2167">
          <cell r="A2167" t="str">
            <v>Actual</v>
          </cell>
          <cell r="B2167">
            <v>2</v>
          </cell>
          <cell r="C2167" t="str">
            <v>Domestic</v>
          </cell>
          <cell r="D2167">
            <v>4</v>
          </cell>
          <cell r="E2167">
            <v>6975</v>
          </cell>
          <cell r="F2167" t="str">
            <v>BRENNTAG SOUTHWEST, INC.</v>
          </cell>
          <cell r="G2167" t="str">
            <v>D</v>
          </cell>
          <cell r="H2167" t="str">
            <v>ELMENDORF</v>
          </cell>
          <cell r="I2167" t="str">
            <v>TX</v>
          </cell>
          <cell r="J2167" t="str">
            <v>USA</v>
          </cell>
          <cell r="K2167" t="str">
            <v>BRENNTAG SOUTHWEST, INC.</v>
          </cell>
          <cell r="L2167" t="str">
            <v>TX</v>
          </cell>
          <cell r="M2167" t="str">
            <v>USA</v>
          </cell>
          <cell r="N2167" t="str">
            <v>D</v>
          </cell>
          <cell r="O2167">
            <v>24090210</v>
          </cell>
          <cell r="P2167" t="str">
            <v>BORIC ACID GRAN TECH 50LB BAG</v>
          </cell>
          <cell r="Q2167" t="str">
            <v>Boric Acid</v>
          </cell>
          <cell r="R2167">
            <v>30.625</v>
          </cell>
          <cell r="S2167">
            <v>16959.599999999999</v>
          </cell>
        </row>
        <row r="2168">
          <cell r="A2168" t="str">
            <v>Actual</v>
          </cell>
          <cell r="B2168">
            <v>2</v>
          </cell>
          <cell r="C2168" t="str">
            <v>Domestic</v>
          </cell>
          <cell r="D2168">
            <v>4</v>
          </cell>
          <cell r="E2168">
            <v>6975</v>
          </cell>
          <cell r="F2168" t="str">
            <v>BRENNTAG SOUTHWEST, INC.</v>
          </cell>
          <cell r="G2168" t="str">
            <v>D</v>
          </cell>
          <cell r="H2168" t="str">
            <v>ELMENDORF</v>
          </cell>
          <cell r="I2168" t="str">
            <v>TX</v>
          </cell>
          <cell r="J2168" t="str">
            <v>USA</v>
          </cell>
          <cell r="K2168" t="str">
            <v>BRENNTAG SOUTHWEST, INC.</v>
          </cell>
          <cell r="L2168" t="str">
            <v>TX</v>
          </cell>
          <cell r="M2168" t="str">
            <v>USA</v>
          </cell>
          <cell r="N2168" t="str">
            <v>D</v>
          </cell>
          <cell r="O2168">
            <v>24090251</v>
          </cell>
          <cell r="P2168" t="str">
            <v>BORIC ACID GRN TCH 2200LB FIBC</v>
          </cell>
          <cell r="Q2168" t="str">
            <v>Boric Acid</v>
          </cell>
          <cell r="R2168">
            <v>22</v>
          </cell>
          <cell r="S2168">
            <v>11133.104600000001</v>
          </cell>
        </row>
        <row r="2169">
          <cell r="A2169" t="str">
            <v>Actual</v>
          </cell>
          <cell r="B2169">
            <v>2</v>
          </cell>
          <cell r="C2169" t="str">
            <v>Domestic</v>
          </cell>
          <cell r="D2169">
            <v>4</v>
          </cell>
          <cell r="E2169">
            <v>6975</v>
          </cell>
          <cell r="F2169" t="str">
            <v>BRENNTAG SOUTHWEST, INC.</v>
          </cell>
          <cell r="G2169" t="str">
            <v>D</v>
          </cell>
          <cell r="H2169" t="str">
            <v>ELMENDORF</v>
          </cell>
          <cell r="I2169" t="str">
            <v>TX</v>
          </cell>
          <cell r="J2169" t="str">
            <v>USA</v>
          </cell>
          <cell r="K2169" t="str">
            <v>BRENNTAG SOUTHWEST, INC.</v>
          </cell>
          <cell r="L2169" t="str">
            <v>TX</v>
          </cell>
          <cell r="M2169" t="str">
            <v>USA</v>
          </cell>
          <cell r="N2169" t="str">
            <v>D</v>
          </cell>
          <cell r="O2169">
            <v>40060410</v>
          </cell>
          <cell r="P2169" t="str">
            <v>SODIUM SULFATE STD 50LB BAG</v>
          </cell>
          <cell r="Q2169" t="str">
            <v>Sodium Sulfate</v>
          </cell>
          <cell r="R2169">
            <v>2.5</v>
          </cell>
          <cell r="S2169">
            <v>282.0154</v>
          </cell>
        </row>
        <row r="2170">
          <cell r="A2170" t="str">
            <v>Actual</v>
          </cell>
          <cell r="B2170">
            <v>2</v>
          </cell>
          <cell r="C2170" t="str">
            <v>Domestic</v>
          </cell>
          <cell r="D2170">
            <v>4</v>
          </cell>
          <cell r="E2170">
            <v>7094</v>
          </cell>
          <cell r="F2170" t="str">
            <v>IMC PHOSPHATES MP INC</v>
          </cell>
          <cell r="G2170" t="str">
            <v>D</v>
          </cell>
          <cell r="H2170" t="str">
            <v>NEW WALES</v>
          </cell>
          <cell r="I2170" t="str">
            <v>FL</v>
          </cell>
          <cell r="J2170" t="str">
            <v>USA</v>
          </cell>
          <cell r="K2170" t="str">
            <v>IMC PHOSPHATES MP INC</v>
          </cell>
          <cell r="L2170" t="str">
            <v>FL</v>
          </cell>
          <cell r="M2170" t="str">
            <v>USA</v>
          </cell>
          <cell r="N2170" t="str">
            <v>C</v>
          </cell>
          <cell r="O2170">
            <v>30210100</v>
          </cell>
          <cell r="P2170" t="str">
            <v>SODA ASH DENSE BULK</v>
          </cell>
          <cell r="Q2170" t="str">
            <v>Soda Ash</v>
          </cell>
          <cell r="R2170">
            <v>1424.4749999999999</v>
          </cell>
          <cell r="S2170">
            <v>108553.17</v>
          </cell>
        </row>
        <row r="2171">
          <cell r="A2171" t="str">
            <v>Actual</v>
          </cell>
          <cell r="B2171">
            <v>2</v>
          </cell>
          <cell r="C2171" t="str">
            <v>Domestic</v>
          </cell>
          <cell r="D2171">
            <v>4</v>
          </cell>
          <cell r="E2171">
            <v>7441</v>
          </cell>
          <cell r="F2171" t="str">
            <v>UNIVAR USA</v>
          </cell>
          <cell r="G2171" t="str">
            <v>D</v>
          </cell>
          <cell r="H2171" t="str">
            <v>JACKSONVILLE</v>
          </cell>
          <cell r="I2171" t="str">
            <v>FL</v>
          </cell>
          <cell r="J2171" t="str">
            <v>USA</v>
          </cell>
          <cell r="K2171" t="str">
            <v>UNIVAR USA</v>
          </cell>
          <cell r="L2171" t="str">
            <v>FL</v>
          </cell>
          <cell r="M2171" t="str">
            <v>USA</v>
          </cell>
          <cell r="N2171" t="str">
            <v>D</v>
          </cell>
          <cell r="O2171">
            <v>22060410</v>
          </cell>
          <cell r="P2171" t="str">
            <v>V-BOR 50LB BAG (004)</v>
          </cell>
          <cell r="Q2171" t="str">
            <v>Penta</v>
          </cell>
          <cell r="R2171">
            <v>22.05</v>
          </cell>
          <cell r="S2171">
            <v>6726.31</v>
          </cell>
        </row>
        <row r="2172">
          <cell r="A2172" t="str">
            <v>Actual</v>
          </cell>
          <cell r="B2172">
            <v>2</v>
          </cell>
          <cell r="C2172" t="str">
            <v>Domestic</v>
          </cell>
          <cell r="D2172">
            <v>4</v>
          </cell>
          <cell r="E2172">
            <v>7442</v>
          </cell>
          <cell r="F2172" t="str">
            <v>GEORGIA PACIFIC</v>
          </cell>
          <cell r="G2172" t="str">
            <v>D</v>
          </cell>
          <cell r="H2172" t="str">
            <v>BRUNSWICK</v>
          </cell>
          <cell r="I2172" t="str">
            <v>GA</v>
          </cell>
          <cell r="J2172" t="str">
            <v>USA</v>
          </cell>
          <cell r="K2172" t="str">
            <v>UNIVAR USA</v>
          </cell>
          <cell r="L2172" t="str">
            <v>FL</v>
          </cell>
          <cell r="M2172" t="str">
            <v>USA</v>
          </cell>
          <cell r="N2172" t="str">
            <v>D</v>
          </cell>
          <cell r="O2172">
            <v>24090213</v>
          </cell>
          <cell r="P2172" t="str">
            <v>BORIC ACD GRN 50LB PULPABLE BG</v>
          </cell>
          <cell r="Q2172" t="str">
            <v>Boric Acid</v>
          </cell>
          <cell r="R2172">
            <v>22.05</v>
          </cell>
          <cell r="S2172">
            <v>9326.67</v>
          </cell>
        </row>
        <row r="2173">
          <cell r="A2173" t="str">
            <v>Actual</v>
          </cell>
          <cell r="B2173">
            <v>2</v>
          </cell>
          <cell r="C2173" t="str">
            <v>Domestic</v>
          </cell>
          <cell r="D2173">
            <v>4</v>
          </cell>
          <cell r="E2173">
            <v>7646</v>
          </cell>
          <cell r="F2173" t="str">
            <v>DYCHO COMPANY INC.</v>
          </cell>
          <cell r="G2173" t="str">
            <v>D</v>
          </cell>
          <cell r="H2173" t="str">
            <v>NIOTA</v>
          </cell>
          <cell r="I2173" t="str">
            <v>TN</v>
          </cell>
          <cell r="J2173" t="str">
            <v>USA</v>
          </cell>
          <cell r="K2173" t="str">
            <v>DYCHO COMPANY INC.</v>
          </cell>
          <cell r="L2173" t="str">
            <v>TN</v>
          </cell>
          <cell r="M2173" t="str">
            <v>USA</v>
          </cell>
          <cell r="N2173" t="str">
            <v>D</v>
          </cell>
          <cell r="O2173">
            <v>30210110</v>
          </cell>
          <cell r="P2173" t="str">
            <v>SODA ASH DENSE 50LB BAG</v>
          </cell>
          <cell r="Q2173" t="str">
            <v>Soda Ash</v>
          </cell>
          <cell r="R2173">
            <v>20.824999999999999</v>
          </cell>
          <cell r="S2173">
            <v>2451.98</v>
          </cell>
        </row>
        <row r="2174">
          <cell r="A2174" t="str">
            <v>Actual</v>
          </cell>
          <cell r="B2174">
            <v>2</v>
          </cell>
          <cell r="C2174" t="str">
            <v>Domestic</v>
          </cell>
          <cell r="D2174">
            <v>4</v>
          </cell>
          <cell r="E2174">
            <v>7753</v>
          </cell>
          <cell r="F2174" t="str">
            <v>BRENNTAG SOUTHEAST, INC.</v>
          </cell>
          <cell r="G2174" t="str">
            <v>D</v>
          </cell>
          <cell r="H2174" t="str">
            <v>DUNCAN</v>
          </cell>
          <cell r="I2174" t="str">
            <v>SC</v>
          </cell>
          <cell r="J2174" t="str">
            <v>USA</v>
          </cell>
          <cell r="K2174" t="str">
            <v>BRENNTAG SOUTHEAST, INC.</v>
          </cell>
          <cell r="L2174" t="str">
            <v>NC</v>
          </cell>
          <cell r="M2174" t="str">
            <v>USA</v>
          </cell>
          <cell r="N2174" t="str">
            <v>D</v>
          </cell>
          <cell r="O2174">
            <v>24629792</v>
          </cell>
          <cell r="P2174" t="str">
            <v>BORIC ACID EP GRAN 150KG DRUM</v>
          </cell>
          <cell r="Q2174" t="str">
            <v>HP Boric Acid (SCL)</v>
          </cell>
          <cell r="R2174">
            <v>3.3069000000000002</v>
          </cell>
          <cell r="S2174">
            <v>5548.64</v>
          </cell>
        </row>
        <row r="2175">
          <cell r="A2175" t="str">
            <v>Actual</v>
          </cell>
          <cell r="B2175">
            <v>2</v>
          </cell>
          <cell r="C2175" t="str">
            <v>Domestic</v>
          </cell>
          <cell r="D2175">
            <v>4</v>
          </cell>
          <cell r="E2175">
            <v>7798</v>
          </cell>
          <cell r="F2175" t="str">
            <v>CARL AKEY C.S. 5022</v>
          </cell>
          <cell r="G2175" t="str">
            <v>D</v>
          </cell>
          <cell r="H2175" t="str">
            <v>LEWISBURG</v>
          </cell>
          <cell r="I2175" t="str">
            <v>OH</v>
          </cell>
          <cell r="J2175" t="str">
            <v>USA</v>
          </cell>
          <cell r="K2175" t="str">
            <v>INTERNATIONAL STOCK FOOD</v>
          </cell>
          <cell r="L2175" t="str">
            <v>GA</v>
          </cell>
          <cell r="M2175" t="str">
            <v>USA</v>
          </cell>
          <cell r="N2175" t="str">
            <v>C</v>
          </cell>
          <cell r="O2175">
            <v>40150410</v>
          </cell>
          <cell r="P2175" t="str">
            <v>SODIUM SULFATE CRS 50LB BAG</v>
          </cell>
          <cell r="Q2175" t="str">
            <v>Sodium Sulfate</v>
          </cell>
          <cell r="R2175">
            <v>0</v>
          </cell>
          <cell r="S2175">
            <v>-254.52</v>
          </cell>
        </row>
        <row r="2176">
          <cell r="A2176" t="str">
            <v>Actual</v>
          </cell>
          <cell r="B2176">
            <v>2</v>
          </cell>
          <cell r="C2176" t="str">
            <v>Domestic</v>
          </cell>
          <cell r="D2176">
            <v>4</v>
          </cell>
          <cell r="E2176">
            <v>7837</v>
          </cell>
          <cell r="F2176" t="str">
            <v>ATOTECH USA, INC.</v>
          </cell>
          <cell r="G2176" t="str">
            <v>D</v>
          </cell>
          <cell r="H2176" t="str">
            <v>ROCKHILL</v>
          </cell>
          <cell r="I2176" t="str">
            <v>SC</v>
          </cell>
          <cell r="J2176" t="str">
            <v>USA</v>
          </cell>
          <cell r="K2176" t="str">
            <v>ATOTECH USA, INC.</v>
          </cell>
          <cell r="L2176" t="str">
            <v>SC</v>
          </cell>
          <cell r="M2176" t="str">
            <v>USA</v>
          </cell>
          <cell r="N2176" t="str">
            <v>C</v>
          </cell>
          <cell r="O2176">
            <v>24609720</v>
          </cell>
          <cell r="P2176" t="str">
            <v>BORIC ACID NS 25KG BAG</v>
          </cell>
          <cell r="Q2176" t="str">
            <v>HP Boric Acid (SCL)</v>
          </cell>
          <cell r="R2176">
            <v>2.3148</v>
          </cell>
          <cell r="S2176">
            <v>3512.87</v>
          </cell>
        </row>
        <row r="2177">
          <cell r="A2177" t="str">
            <v>Actual</v>
          </cell>
          <cell r="B2177">
            <v>2</v>
          </cell>
          <cell r="C2177" t="str">
            <v>Domestic</v>
          </cell>
          <cell r="D2177">
            <v>4</v>
          </cell>
          <cell r="E2177">
            <v>7924</v>
          </cell>
          <cell r="F2177" t="str">
            <v>FLORIDA POWER &amp; LIGHT COMPANY</v>
          </cell>
          <cell r="G2177" t="str">
            <v>D</v>
          </cell>
          <cell r="H2177" t="str">
            <v>FLORIDA CITY</v>
          </cell>
          <cell r="I2177" t="str">
            <v>FL</v>
          </cell>
          <cell r="J2177" t="str">
            <v>USA</v>
          </cell>
          <cell r="K2177" t="str">
            <v>FLORIDA POWER &amp; LIGHT COMPANY</v>
          </cell>
          <cell r="L2177" t="str">
            <v>FL</v>
          </cell>
          <cell r="M2177" t="str">
            <v>USA</v>
          </cell>
          <cell r="N2177" t="str">
            <v>C</v>
          </cell>
          <cell r="O2177">
            <v>24609792</v>
          </cell>
          <cell r="P2177" t="str">
            <v>BORIC ACID NS 150KG DRUM</v>
          </cell>
          <cell r="Q2177" t="str">
            <v>HP Boric Acid (SCL)</v>
          </cell>
          <cell r="R2177">
            <v>62.169800000000002</v>
          </cell>
          <cell r="S2177">
            <v>107281.29</v>
          </cell>
        </row>
        <row r="2178">
          <cell r="A2178" t="str">
            <v>Actual</v>
          </cell>
          <cell r="B2178">
            <v>2</v>
          </cell>
          <cell r="C2178" t="str">
            <v>Domestic</v>
          </cell>
          <cell r="D2178">
            <v>4</v>
          </cell>
          <cell r="E2178">
            <v>8182</v>
          </cell>
          <cell r="F2178" t="str">
            <v>EXIDE CORPORATION</v>
          </cell>
          <cell r="G2178" t="str">
            <v>D</v>
          </cell>
          <cell r="H2178" t="str">
            <v>FRISCO</v>
          </cell>
          <cell r="I2178" t="str">
            <v>TX</v>
          </cell>
          <cell r="J2178" t="str">
            <v>USA</v>
          </cell>
          <cell r="K2178" t="str">
            <v>EXIDE CORPORATION</v>
          </cell>
          <cell r="L2178" t="str">
            <v>TX</v>
          </cell>
          <cell r="M2178" t="str">
            <v>USA</v>
          </cell>
          <cell r="N2178" t="str">
            <v>C</v>
          </cell>
          <cell r="O2178">
            <v>30210100</v>
          </cell>
          <cell r="P2178" t="str">
            <v>SODA ASH DENSE BULK</v>
          </cell>
          <cell r="Q2178" t="str">
            <v>Soda Ash</v>
          </cell>
          <cell r="R2178">
            <v>608.47</v>
          </cell>
          <cell r="S2178">
            <v>46252.639999999999</v>
          </cell>
        </row>
        <row r="2179">
          <cell r="A2179" t="str">
            <v>Actual</v>
          </cell>
          <cell r="B2179">
            <v>2</v>
          </cell>
          <cell r="C2179" t="str">
            <v>Domestic</v>
          </cell>
          <cell r="D2179">
            <v>4</v>
          </cell>
          <cell r="E2179">
            <v>8390</v>
          </cell>
          <cell r="F2179" t="str">
            <v>RSR</v>
          </cell>
          <cell r="G2179" t="str">
            <v>D</v>
          </cell>
          <cell r="H2179" t="str">
            <v>MIDDLETOWN</v>
          </cell>
          <cell r="I2179" t="str">
            <v>NY</v>
          </cell>
          <cell r="J2179" t="str">
            <v>USA</v>
          </cell>
          <cell r="K2179" t="str">
            <v>QUEMETCO, INC.</v>
          </cell>
          <cell r="L2179" t="str">
            <v>CA</v>
          </cell>
          <cell r="M2179" t="str">
            <v>USA</v>
          </cell>
          <cell r="N2179" t="str">
            <v>C</v>
          </cell>
          <cell r="O2179">
            <v>30210100</v>
          </cell>
          <cell r="P2179" t="str">
            <v>SODA ASH DENSE BULK</v>
          </cell>
          <cell r="Q2179" t="str">
            <v>Soda Ash</v>
          </cell>
          <cell r="R2179">
            <v>155.91999999999999</v>
          </cell>
          <cell r="S2179">
            <v>10680.61</v>
          </cell>
        </row>
        <row r="2180">
          <cell r="A2180" t="str">
            <v>Actual</v>
          </cell>
          <cell r="B2180">
            <v>2</v>
          </cell>
          <cell r="C2180" t="str">
            <v>Domestic</v>
          </cell>
          <cell r="D2180">
            <v>4</v>
          </cell>
          <cell r="E2180">
            <v>8395</v>
          </cell>
          <cell r="F2180" t="str">
            <v>RSR CORPORATION</v>
          </cell>
          <cell r="G2180" t="str">
            <v>D</v>
          </cell>
          <cell r="H2180" t="str">
            <v>INDIANAPOLIS</v>
          </cell>
          <cell r="I2180" t="str">
            <v>IN</v>
          </cell>
          <cell r="J2180" t="str">
            <v>USA</v>
          </cell>
          <cell r="K2180" t="str">
            <v>RSR CORPORATION</v>
          </cell>
          <cell r="L2180" t="str">
            <v>IN</v>
          </cell>
          <cell r="M2180" t="str">
            <v>USA</v>
          </cell>
          <cell r="N2180" t="str">
            <v>C</v>
          </cell>
          <cell r="O2180">
            <v>30210100</v>
          </cell>
          <cell r="P2180" t="str">
            <v>SODA ASH DENSE BULK</v>
          </cell>
          <cell r="Q2180" t="str">
            <v>Soda Ash</v>
          </cell>
          <cell r="R2180">
            <v>313.52</v>
          </cell>
          <cell r="S2180">
            <v>4242.25</v>
          </cell>
        </row>
        <row r="2181">
          <cell r="A2181" t="str">
            <v>Actual</v>
          </cell>
          <cell r="B2181">
            <v>2</v>
          </cell>
          <cell r="C2181" t="str">
            <v>Domestic</v>
          </cell>
          <cell r="D2181">
            <v>4</v>
          </cell>
          <cell r="E2181">
            <v>8395</v>
          </cell>
          <cell r="F2181" t="str">
            <v>RSR CORPORATION</v>
          </cell>
          <cell r="G2181" t="str">
            <v>D</v>
          </cell>
          <cell r="H2181" t="str">
            <v>INDIANAPOLIS</v>
          </cell>
          <cell r="I2181" t="str">
            <v>IN</v>
          </cell>
          <cell r="J2181" t="str">
            <v>USA</v>
          </cell>
          <cell r="K2181" t="str">
            <v>RSR CORPORATION</v>
          </cell>
          <cell r="L2181" t="str">
            <v>IN</v>
          </cell>
          <cell r="M2181" t="str">
            <v>USA</v>
          </cell>
          <cell r="N2181" t="str">
            <v>C</v>
          </cell>
          <cell r="O2181">
            <v>30219100</v>
          </cell>
          <cell r="P2181" t="str">
            <v>SODA ASH DENSE BULK (091)</v>
          </cell>
          <cell r="Q2181" t="str">
            <v>Soda Ash</v>
          </cell>
          <cell r="R2181">
            <v>775.19</v>
          </cell>
          <cell r="S2181">
            <v>34681.11</v>
          </cell>
        </row>
        <row r="2182">
          <cell r="A2182" t="str">
            <v>Actual</v>
          </cell>
          <cell r="B2182">
            <v>2</v>
          </cell>
          <cell r="C2182" t="str">
            <v>Domestic</v>
          </cell>
          <cell r="D2182">
            <v>4</v>
          </cell>
          <cell r="E2182">
            <v>8408</v>
          </cell>
          <cell r="F2182" t="str">
            <v>ANDERSON'S, INC.</v>
          </cell>
          <cell r="G2182" t="str">
            <v>D</v>
          </cell>
          <cell r="H2182" t="str">
            <v>LOGANSPORT</v>
          </cell>
          <cell r="I2182" t="str">
            <v>IN</v>
          </cell>
          <cell r="J2182" t="str">
            <v>USA</v>
          </cell>
          <cell r="K2182" t="str">
            <v>ASHEVILLE LUBRICANTS</v>
          </cell>
          <cell r="L2182" t="str">
            <v>NC</v>
          </cell>
          <cell r="M2182" t="str">
            <v>USA</v>
          </cell>
          <cell r="N2182" t="str">
            <v>C</v>
          </cell>
          <cell r="O2182">
            <v>24090213</v>
          </cell>
          <cell r="P2182" t="str">
            <v>BORIC ACD GRN 50LB PULPABLE BG</v>
          </cell>
          <cell r="Q2182" t="str">
            <v>Boric Acid</v>
          </cell>
          <cell r="R2182">
            <v>0</v>
          </cell>
          <cell r="S2182">
            <v>-142.59</v>
          </cell>
        </row>
        <row r="2183">
          <cell r="A2183" t="str">
            <v>Actual</v>
          </cell>
          <cell r="B2183">
            <v>2</v>
          </cell>
          <cell r="C2183" t="str">
            <v>Domestic</v>
          </cell>
          <cell r="D2183">
            <v>4</v>
          </cell>
          <cell r="E2183">
            <v>8429</v>
          </cell>
          <cell r="F2183" t="str">
            <v>PHELPS DODGE REFINING</v>
          </cell>
          <cell r="G2183" t="str">
            <v>D</v>
          </cell>
          <cell r="H2183" t="str">
            <v>EL PASO</v>
          </cell>
          <cell r="I2183" t="str">
            <v>TX</v>
          </cell>
          <cell r="J2183" t="str">
            <v>USA</v>
          </cell>
          <cell r="K2183" t="str">
            <v>PHELPS DODGE REFINING</v>
          </cell>
          <cell r="L2183" t="str">
            <v>TX</v>
          </cell>
          <cell r="M2183" t="str">
            <v>USA</v>
          </cell>
          <cell r="N2183" t="str">
            <v>D</v>
          </cell>
          <cell r="O2183">
            <v>30210100</v>
          </cell>
          <cell r="P2183" t="str">
            <v>SODA ASH DENSE BULK</v>
          </cell>
          <cell r="Q2183" t="str">
            <v>Soda Ash</v>
          </cell>
          <cell r="R2183">
            <v>76.78</v>
          </cell>
          <cell r="S2183">
            <v>8236.14</v>
          </cell>
        </row>
        <row r="2184">
          <cell r="A2184" t="str">
            <v>Actual</v>
          </cell>
          <cell r="B2184">
            <v>2</v>
          </cell>
          <cell r="C2184" t="str">
            <v>Domestic</v>
          </cell>
          <cell r="D2184">
            <v>4</v>
          </cell>
          <cell r="E2184">
            <v>8475</v>
          </cell>
          <cell r="F2184" t="str">
            <v>3 M COMPANY</v>
          </cell>
          <cell r="G2184" t="str">
            <v>D</v>
          </cell>
          <cell r="H2184" t="str">
            <v>BROWNWOOD</v>
          </cell>
          <cell r="I2184" t="str">
            <v>TX</v>
          </cell>
          <cell r="J2184" t="str">
            <v>USA</v>
          </cell>
          <cell r="K2184" t="str">
            <v>3 M COMPANY</v>
          </cell>
          <cell r="L2184" t="str">
            <v>TX</v>
          </cell>
          <cell r="M2184" t="str">
            <v>USA</v>
          </cell>
          <cell r="N2184" t="str">
            <v>C</v>
          </cell>
          <cell r="O2184">
            <v>20310210</v>
          </cell>
          <cell r="P2184" t="str">
            <v>PYROBOR 30/100 50LB BAG (002)</v>
          </cell>
          <cell r="Q2184" t="str">
            <v>Pyrobor</v>
          </cell>
          <cell r="R2184">
            <v>9.8000000000000007</v>
          </cell>
          <cell r="S2184">
            <v>6693.4</v>
          </cell>
        </row>
        <row r="2185">
          <cell r="A2185" t="str">
            <v>Actual</v>
          </cell>
          <cell r="B2185">
            <v>2</v>
          </cell>
          <cell r="C2185" t="str">
            <v>Domestic</v>
          </cell>
          <cell r="D2185">
            <v>4</v>
          </cell>
          <cell r="E2185">
            <v>8475</v>
          </cell>
          <cell r="F2185" t="str">
            <v>3 M COMPANY</v>
          </cell>
          <cell r="G2185" t="str">
            <v>D</v>
          </cell>
          <cell r="H2185" t="str">
            <v>BROWNWOOD</v>
          </cell>
          <cell r="I2185" t="str">
            <v>TX</v>
          </cell>
          <cell r="J2185" t="str">
            <v>USA</v>
          </cell>
          <cell r="K2185" t="str">
            <v>3 M COMPANY</v>
          </cell>
          <cell r="L2185" t="str">
            <v>TX</v>
          </cell>
          <cell r="M2185" t="str">
            <v>USA</v>
          </cell>
          <cell r="N2185" t="str">
            <v>C</v>
          </cell>
          <cell r="O2185">
            <v>30210110</v>
          </cell>
          <cell r="P2185" t="str">
            <v>SODA ASH DENSE 50LB BAG</v>
          </cell>
          <cell r="Q2185" t="str">
            <v>Soda Ash</v>
          </cell>
          <cell r="R2185">
            <v>15.925000000000001</v>
          </cell>
          <cell r="S2185">
            <v>2802.8</v>
          </cell>
        </row>
        <row r="2186">
          <cell r="A2186" t="str">
            <v>Actual</v>
          </cell>
          <cell r="B2186">
            <v>2</v>
          </cell>
          <cell r="C2186" t="str">
            <v>Domestic</v>
          </cell>
          <cell r="D2186">
            <v>4</v>
          </cell>
          <cell r="E2186">
            <v>8488</v>
          </cell>
          <cell r="F2186" t="str">
            <v>UNIVAR USA</v>
          </cell>
          <cell r="G2186" t="str">
            <v>D</v>
          </cell>
          <cell r="H2186" t="str">
            <v>MURFREESBORO</v>
          </cell>
          <cell r="I2186" t="str">
            <v>TN</v>
          </cell>
          <cell r="J2186" t="str">
            <v>USA</v>
          </cell>
          <cell r="K2186" t="str">
            <v>UNIVAR USA</v>
          </cell>
          <cell r="L2186" t="str">
            <v>TN</v>
          </cell>
          <cell r="M2186" t="str">
            <v>USA</v>
          </cell>
          <cell r="N2186" t="str">
            <v>D</v>
          </cell>
          <cell r="O2186">
            <v>22060410</v>
          </cell>
          <cell r="P2186" t="str">
            <v>V-BOR 50LB BAG (004)</v>
          </cell>
          <cell r="Q2186" t="str">
            <v>Penta</v>
          </cell>
          <cell r="R2186">
            <v>66.150000000000006</v>
          </cell>
          <cell r="S2186">
            <v>21254.52</v>
          </cell>
        </row>
        <row r="2187">
          <cell r="A2187" t="str">
            <v>Actual</v>
          </cell>
          <cell r="B2187">
            <v>2</v>
          </cell>
          <cell r="C2187" t="str">
            <v>Domestic</v>
          </cell>
          <cell r="D2187">
            <v>4</v>
          </cell>
          <cell r="E2187">
            <v>8676</v>
          </cell>
          <cell r="F2187" t="str">
            <v>PERMA-CHINK SYSTEMS, INC.</v>
          </cell>
          <cell r="G2187" t="str">
            <v>D</v>
          </cell>
          <cell r="H2187" t="str">
            <v>KNOXVILLE</v>
          </cell>
          <cell r="I2187" t="str">
            <v>TN</v>
          </cell>
          <cell r="J2187" t="str">
            <v>USA</v>
          </cell>
          <cell r="K2187" t="str">
            <v>PERMA-CHINK SYSTEMS, INC.</v>
          </cell>
          <cell r="L2187" t="str">
            <v>TN</v>
          </cell>
          <cell r="M2187" t="str">
            <v>USA</v>
          </cell>
          <cell r="N2187" t="str">
            <v>C</v>
          </cell>
          <cell r="O2187">
            <v>26769710</v>
          </cell>
          <cell r="P2187" t="str">
            <v>SOD OCTABORATE PEST 50LB BAG</v>
          </cell>
          <cell r="Q2187" t="str">
            <v>Foliarel (SCL)</v>
          </cell>
          <cell r="R2187">
            <v>21.6</v>
          </cell>
          <cell r="S2187">
            <v>24875.25</v>
          </cell>
        </row>
        <row r="2188">
          <cell r="A2188" t="str">
            <v>Actual</v>
          </cell>
          <cell r="B2188">
            <v>2</v>
          </cell>
          <cell r="C2188" t="str">
            <v>Domestic</v>
          </cell>
          <cell r="D2188">
            <v>4</v>
          </cell>
          <cell r="E2188">
            <v>8798</v>
          </cell>
          <cell r="F2188" t="str">
            <v>CHEVRON ORONITE CO LLC</v>
          </cell>
          <cell r="G2188" t="str">
            <v>D</v>
          </cell>
          <cell r="H2188" t="str">
            <v>BELLE CHASSE</v>
          </cell>
          <cell r="I2188" t="str">
            <v>LA</v>
          </cell>
          <cell r="J2188" t="str">
            <v>USA</v>
          </cell>
          <cell r="K2188" t="str">
            <v>CHEVRON ORONITE CO LLC</v>
          </cell>
          <cell r="L2188" t="str">
            <v>LA</v>
          </cell>
          <cell r="M2188" t="str">
            <v>USA</v>
          </cell>
          <cell r="N2188" t="str">
            <v>C</v>
          </cell>
          <cell r="O2188">
            <v>24090254</v>
          </cell>
          <cell r="P2188" t="str">
            <v>BORIC ACID GRN TCH 2800LB FIBC</v>
          </cell>
          <cell r="Q2188" t="str">
            <v>Boric Acid</v>
          </cell>
          <cell r="R2188">
            <v>44.8</v>
          </cell>
          <cell r="S2188">
            <v>24653</v>
          </cell>
        </row>
        <row r="2189">
          <cell r="A2189" t="str">
            <v>Actual</v>
          </cell>
          <cell r="B2189">
            <v>2</v>
          </cell>
          <cell r="C2189" t="str">
            <v>Domestic</v>
          </cell>
          <cell r="D2189">
            <v>4</v>
          </cell>
          <cell r="E2189">
            <v>8798</v>
          </cell>
          <cell r="F2189" t="str">
            <v>CHEVRON ORONITE CO LLC</v>
          </cell>
          <cell r="G2189" t="str">
            <v>D</v>
          </cell>
          <cell r="H2189" t="str">
            <v>BELLE CHASSE</v>
          </cell>
          <cell r="I2189" t="str">
            <v>LA</v>
          </cell>
          <cell r="J2189" t="str">
            <v>USA</v>
          </cell>
          <cell r="K2189" t="str">
            <v>CHEVRON ORONITE CO LLC</v>
          </cell>
          <cell r="L2189" t="str">
            <v>LA</v>
          </cell>
          <cell r="M2189" t="str">
            <v>USA</v>
          </cell>
          <cell r="N2189" t="str">
            <v>C</v>
          </cell>
          <cell r="O2189">
            <v>24090282</v>
          </cell>
          <cell r="P2189" t="str">
            <v>BORIC ACID GRN TCH 2500LB FIBC</v>
          </cell>
          <cell r="Q2189" t="str">
            <v>Boric Acid</v>
          </cell>
          <cell r="R2189">
            <v>30</v>
          </cell>
          <cell r="S2189">
            <v>17848.897700000001</v>
          </cell>
        </row>
        <row r="2190">
          <cell r="A2190" t="str">
            <v>Actual</v>
          </cell>
          <cell r="B2190">
            <v>2</v>
          </cell>
          <cell r="C2190" t="str">
            <v>Domestic</v>
          </cell>
          <cell r="D2190">
            <v>4</v>
          </cell>
          <cell r="E2190">
            <v>8798</v>
          </cell>
          <cell r="F2190" t="str">
            <v>CHEVRON ORONITE CO LLC</v>
          </cell>
          <cell r="G2190" t="str">
            <v>D</v>
          </cell>
          <cell r="H2190" t="str">
            <v>BELLE CHASSE</v>
          </cell>
          <cell r="I2190" t="str">
            <v>LA</v>
          </cell>
          <cell r="J2190" t="str">
            <v>USA</v>
          </cell>
          <cell r="K2190" t="str">
            <v>CHEVRON ORONITE CO LLC</v>
          </cell>
          <cell r="L2190" t="str">
            <v>LA</v>
          </cell>
          <cell r="M2190" t="str">
            <v>USA</v>
          </cell>
          <cell r="N2190" t="str">
            <v>C</v>
          </cell>
          <cell r="O2190">
            <v>24090288</v>
          </cell>
          <cell r="P2190" t="str">
            <v>BORIC ACID GRN TCH 1000LB FIBC</v>
          </cell>
          <cell r="Q2190" t="str">
            <v>Boric Acid</v>
          </cell>
          <cell r="R2190">
            <v>12</v>
          </cell>
          <cell r="S2190">
            <v>5354.3023000000003</v>
          </cell>
        </row>
        <row r="2191">
          <cell r="A2191" t="str">
            <v>Actual</v>
          </cell>
          <cell r="B2191">
            <v>2</v>
          </cell>
          <cell r="C2191" t="str">
            <v>Domestic</v>
          </cell>
          <cell r="D2191">
            <v>4</v>
          </cell>
          <cell r="E2191">
            <v>8825</v>
          </cell>
          <cell r="F2191" t="str">
            <v>UNIVAR USA</v>
          </cell>
          <cell r="G2191" t="str">
            <v>D</v>
          </cell>
          <cell r="H2191" t="str">
            <v>LADSON</v>
          </cell>
          <cell r="I2191" t="str">
            <v>SC</v>
          </cell>
          <cell r="J2191" t="str">
            <v>USA</v>
          </cell>
          <cell r="K2191" t="str">
            <v>UNIVAR USA</v>
          </cell>
          <cell r="L2191" t="str">
            <v>SC</v>
          </cell>
          <cell r="M2191" t="str">
            <v>USA</v>
          </cell>
          <cell r="N2191" t="str">
            <v>D</v>
          </cell>
          <cell r="O2191">
            <v>22060410</v>
          </cell>
          <cell r="P2191" t="str">
            <v>V-BOR 50LB BAG (004)</v>
          </cell>
          <cell r="Q2191" t="str">
            <v>Penta</v>
          </cell>
          <cell r="R2191">
            <v>19.600000000000001</v>
          </cell>
          <cell r="S2191">
            <v>5800.7830000000004</v>
          </cell>
        </row>
        <row r="2192">
          <cell r="A2192" t="str">
            <v>Actual</v>
          </cell>
          <cell r="B2192">
            <v>2</v>
          </cell>
          <cell r="C2192" t="str">
            <v>Domestic</v>
          </cell>
          <cell r="D2192">
            <v>4</v>
          </cell>
          <cell r="E2192">
            <v>8825</v>
          </cell>
          <cell r="F2192" t="str">
            <v>UNIVAR USA</v>
          </cell>
          <cell r="G2192" t="str">
            <v>D</v>
          </cell>
          <cell r="H2192" t="str">
            <v>LADSON</v>
          </cell>
          <cell r="I2192" t="str">
            <v>SC</v>
          </cell>
          <cell r="J2192" t="str">
            <v>USA</v>
          </cell>
          <cell r="K2192" t="str">
            <v>UNIVAR USA</v>
          </cell>
          <cell r="L2192" t="str">
            <v>SC</v>
          </cell>
          <cell r="M2192" t="str">
            <v>USA</v>
          </cell>
          <cell r="N2192" t="str">
            <v>D</v>
          </cell>
          <cell r="O2192">
            <v>24090210</v>
          </cell>
          <cell r="P2192" t="str">
            <v>BORIC ACID GRAN TECH 50LB BAG</v>
          </cell>
          <cell r="Q2192" t="str">
            <v>Boric Acid</v>
          </cell>
          <cell r="R2192">
            <v>2.4500000000000002</v>
          </cell>
          <cell r="S2192">
            <v>1413.337</v>
          </cell>
        </row>
        <row r="2193">
          <cell r="A2193" t="str">
            <v>Actual</v>
          </cell>
          <cell r="B2193">
            <v>2</v>
          </cell>
          <cell r="C2193" t="str">
            <v>Domestic</v>
          </cell>
          <cell r="D2193">
            <v>4</v>
          </cell>
          <cell r="E2193">
            <v>8840</v>
          </cell>
          <cell r="F2193" t="str">
            <v>KAY CHEMICAL COMPANY</v>
          </cell>
          <cell r="G2193" t="str">
            <v>D</v>
          </cell>
          <cell r="H2193" t="str">
            <v>GREENSBORO</v>
          </cell>
          <cell r="I2193" t="str">
            <v>NC</v>
          </cell>
          <cell r="J2193" t="str">
            <v>USA</v>
          </cell>
          <cell r="K2193" t="str">
            <v>KAY CHEMICAL COMPANY</v>
          </cell>
          <cell r="L2193" t="str">
            <v>NC</v>
          </cell>
          <cell r="M2193" t="str">
            <v>USA</v>
          </cell>
          <cell r="N2193" t="str">
            <v>C</v>
          </cell>
          <cell r="O2193">
            <v>40060410</v>
          </cell>
          <cell r="P2193" t="str">
            <v>SODIUM SULFATE STD 50LB BAG</v>
          </cell>
          <cell r="Q2193" t="str">
            <v>Sodium Sulfate</v>
          </cell>
          <cell r="R2193">
            <v>170</v>
          </cell>
          <cell r="S2193">
            <v>9884.74</v>
          </cell>
        </row>
        <row r="2194">
          <cell r="A2194" t="str">
            <v>Actual</v>
          </cell>
          <cell r="B2194">
            <v>2</v>
          </cell>
          <cell r="C2194" t="str">
            <v>Domestic</v>
          </cell>
          <cell r="D2194">
            <v>4</v>
          </cell>
          <cell r="E2194">
            <v>8902</v>
          </cell>
          <cell r="F2194" t="str">
            <v>HARCROS CHEMICAL INC</v>
          </cell>
          <cell r="G2194" t="str">
            <v>D</v>
          </cell>
          <cell r="H2194" t="str">
            <v>DALLAS</v>
          </cell>
          <cell r="I2194" t="str">
            <v>TX</v>
          </cell>
          <cell r="J2194" t="str">
            <v>USA</v>
          </cell>
          <cell r="K2194" t="str">
            <v>HARCROS CHEMICAL INC</v>
          </cell>
          <cell r="L2194" t="str">
            <v>TX</v>
          </cell>
          <cell r="M2194" t="str">
            <v>USA</v>
          </cell>
          <cell r="N2194" t="str">
            <v>D</v>
          </cell>
          <cell r="O2194">
            <v>40060410</v>
          </cell>
          <cell r="P2194" t="str">
            <v>SODIUM SULFATE STD 50LB BAG</v>
          </cell>
          <cell r="Q2194" t="str">
            <v>Sodium Sulfate</v>
          </cell>
          <cell r="R2194">
            <v>21.25</v>
          </cell>
          <cell r="S2194">
            <v>1698.95</v>
          </cell>
        </row>
        <row r="2195">
          <cell r="A2195" t="str">
            <v>Actual</v>
          </cell>
          <cell r="B2195">
            <v>2</v>
          </cell>
          <cell r="C2195" t="str">
            <v>Domestic</v>
          </cell>
          <cell r="D2195">
            <v>4</v>
          </cell>
          <cell r="E2195">
            <v>9035</v>
          </cell>
          <cell r="F2195" t="str">
            <v>TIME PRODUCTS</v>
          </cell>
          <cell r="G2195" t="str">
            <v>D</v>
          </cell>
          <cell r="H2195" t="str">
            <v>ATLANTA</v>
          </cell>
          <cell r="I2195" t="str">
            <v>GA</v>
          </cell>
          <cell r="J2195" t="str">
            <v>USA</v>
          </cell>
          <cell r="K2195" t="str">
            <v>INDUSTRIAL CHEMICAL COMPANY</v>
          </cell>
          <cell r="L2195" t="str">
            <v>AL</v>
          </cell>
          <cell r="M2195" t="str">
            <v>USA</v>
          </cell>
          <cell r="N2195" t="str">
            <v>D</v>
          </cell>
          <cell r="O2195">
            <v>30210100</v>
          </cell>
          <cell r="P2195" t="str">
            <v>SODA ASH DENSE BULK</v>
          </cell>
          <cell r="Q2195" t="str">
            <v>Soda Ash</v>
          </cell>
          <cell r="R2195">
            <v>104.15</v>
          </cell>
          <cell r="S2195">
            <v>6847.91</v>
          </cell>
        </row>
        <row r="2196">
          <cell r="A2196" t="str">
            <v>Actual</v>
          </cell>
          <cell r="B2196">
            <v>2</v>
          </cell>
          <cell r="C2196" t="str">
            <v>Domestic</v>
          </cell>
          <cell r="D2196">
            <v>4</v>
          </cell>
          <cell r="E2196">
            <v>9198</v>
          </cell>
          <cell r="F2196" t="str">
            <v>BRENNTAG SOUTHEAST, INC.</v>
          </cell>
          <cell r="G2196" t="str">
            <v>D</v>
          </cell>
          <cell r="H2196" t="str">
            <v>CHARLOTTE</v>
          </cell>
          <cell r="I2196" t="str">
            <v>NC</v>
          </cell>
          <cell r="J2196" t="str">
            <v>USA</v>
          </cell>
          <cell r="K2196" t="str">
            <v>BRENNTAG SOUTHEAST, INC.</v>
          </cell>
          <cell r="L2196" t="str">
            <v>NC</v>
          </cell>
          <cell r="M2196" t="str">
            <v>USA</v>
          </cell>
          <cell r="N2196" t="str">
            <v>D</v>
          </cell>
          <cell r="O2196">
            <v>22060410</v>
          </cell>
          <cell r="P2196" t="str">
            <v>V-BOR 50LB BAG (004)</v>
          </cell>
          <cell r="Q2196" t="str">
            <v>Penta</v>
          </cell>
          <cell r="R2196">
            <v>22.05</v>
          </cell>
          <cell r="S2196">
            <v>7772.25</v>
          </cell>
        </row>
        <row r="2197">
          <cell r="A2197" t="str">
            <v>Actual</v>
          </cell>
          <cell r="B2197">
            <v>2</v>
          </cell>
          <cell r="C2197" t="str">
            <v>Domestic</v>
          </cell>
          <cell r="D2197">
            <v>4</v>
          </cell>
          <cell r="E2197">
            <v>9519</v>
          </cell>
          <cell r="F2197" t="str">
            <v>NATIONAL GYPSUM</v>
          </cell>
          <cell r="G2197" t="str">
            <v>D</v>
          </cell>
          <cell r="H2197" t="str">
            <v>GARDEN CITY</v>
          </cell>
          <cell r="I2197" t="str">
            <v>GA</v>
          </cell>
          <cell r="J2197" t="str">
            <v>USA</v>
          </cell>
          <cell r="K2197" t="str">
            <v>UNIVAR USA</v>
          </cell>
          <cell r="L2197" t="str">
            <v>GA</v>
          </cell>
          <cell r="M2197" t="str">
            <v>USA</v>
          </cell>
          <cell r="N2197" t="str">
            <v>D</v>
          </cell>
          <cell r="O2197">
            <v>24090210</v>
          </cell>
          <cell r="P2197" t="str">
            <v>BORIC ACID GRAN TECH 50LB BAG</v>
          </cell>
          <cell r="Q2197" t="str">
            <v>Boric Acid</v>
          </cell>
          <cell r="R2197">
            <v>0</v>
          </cell>
          <cell r="S2197">
            <v>-174.78</v>
          </cell>
        </row>
        <row r="2198">
          <cell r="A2198" t="str">
            <v>Actual</v>
          </cell>
          <cell r="B2198">
            <v>2</v>
          </cell>
          <cell r="C2198" t="str">
            <v>Domestic</v>
          </cell>
          <cell r="D2198">
            <v>4</v>
          </cell>
          <cell r="E2198">
            <v>9542</v>
          </cell>
          <cell r="F2198" t="str">
            <v>VITRO AFG, S.A. DE C.V.</v>
          </cell>
          <cell r="G2198" t="str">
            <v>E</v>
          </cell>
          <cell r="H2198" t="str">
            <v>CALEXICO</v>
          </cell>
          <cell r="I2198" t="str">
            <v>CA</v>
          </cell>
          <cell r="J2198" t="str">
            <v>MEX</v>
          </cell>
          <cell r="K2198" t="str">
            <v>VITRO AFG, S.A. DE C.V.</v>
          </cell>
          <cell r="M2198" t="str">
            <v>USA</v>
          </cell>
          <cell r="N2198" t="str">
            <v>C</v>
          </cell>
          <cell r="O2198">
            <v>40060400</v>
          </cell>
          <cell r="P2198" t="str">
            <v>SODIUM SULFATE STANDARD BULK</v>
          </cell>
          <cell r="Q2198" t="str">
            <v>Sodium Sulfate</v>
          </cell>
          <cell r="R2198">
            <v>145.30000000000001</v>
          </cell>
          <cell r="S2198">
            <v>14529.97</v>
          </cell>
        </row>
        <row r="2199">
          <cell r="A2199" t="str">
            <v>Actual</v>
          </cell>
          <cell r="B2199">
            <v>2</v>
          </cell>
          <cell r="C2199" t="str">
            <v>Domestic</v>
          </cell>
          <cell r="D2199">
            <v>4</v>
          </cell>
          <cell r="E2199">
            <v>9544</v>
          </cell>
          <cell r="F2199" t="str">
            <v>UNIVAR USA</v>
          </cell>
          <cell r="G2199" t="str">
            <v>D</v>
          </cell>
          <cell r="H2199" t="str">
            <v>MOBILE</v>
          </cell>
          <cell r="I2199" t="str">
            <v>AL</v>
          </cell>
          <cell r="J2199" t="str">
            <v>USA</v>
          </cell>
          <cell r="K2199" t="str">
            <v>UNIVAR USA</v>
          </cell>
          <cell r="L2199" t="str">
            <v>TX</v>
          </cell>
          <cell r="M2199" t="str">
            <v>USA</v>
          </cell>
          <cell r="N2199" t="str">
            <v>D</v>
          </cell>
          <cell r="O2199">
            <v>24090210</v>
          </cell>
          <cell r="P2199" t="str">
            <v>BORIC ACID GRAN TECH 50LB BAG</v>
          </cell>
          <cell r="Q2199" t="str">
            <v>Boric Acid</v>
          </cell>
          <cell r="R2199">
            <v>22.05</v>
          </cell>
          <cell r="S2199">
            <v>7385.44</v>
          </cell>
        </row>
        <row r="2200">
          <cell r="A2200" t="str">
            <v>Actual</v>
          </cell>
          <cell r="B2200">
            <v>2</v>
          </cell>
          <cell r="C2200" t="str">
            <v>Domestic</v>
          </cell>
          <cell r="D2200">
            <v>4</v>
          </cell>
          <cell r="E2200">
            <v>9605</v>
          </cell>
          <cell r="F2200" t="str">
            <v>LYNX CHEMICAL</v>
          </cell>
          <cell r="G2200" t="str">
            <v>D</v>
          </cell>
          <cell r="H2200" t="str">
            <v>DALTON</v>
          </cell>
          <cell r="I2200" t="str">
            <v>GA</v>
          </cell>
          <cell r="J2200" t="str">
            <v>USA</v>
          </cell>
          <cell r="K2200" t="str">
            <v>LYNX GROUP</v>
          </cell>
          <cell r="L2200" t="str">
            <v>GA</v>
          </cell>
          <cell r="M2200" t="str">
            <v>USA</v>
          </cell>
          <cell r="N2200" t="str">
            <v>C</v>
          </cell>
          <cell r="O2200">
            <v>23060210</v>
          </cell>
          <cell r="P2200" t="str">
            <v>DECA BORAX STD 50LB BAG</v>
          </cell>
          <cell r="Q2200" t="str">
            <v>Deca</v>
          </cell>
          <cell r="R2200">
            <v>22.05</v>
          </cell>
          <cell r="S2200">
            <v>5575.36</v>
          </cell>
        </row>
        <row r="2201">
          <cell r="A2201" t="str">
            <v>Actual</v>
          </cell>
          <cell r="B2201">
            <v>2</v>
          </cell>
          <cell r="C2201" t="str">
            <v>Domestic</v>
          </cell>
          <cell r="D2201">
            <v>4</v>
          </cell>
          <cell r="E2201">
            <v>9624</v>
          </cell>
          <cell r="F2201" t="str">
            <v>GEORGIA PACIFIC</v>
          </cell>
          <cell r="G2201" t="str">
            <v>D</v>
          </cell>
          <cell r="H2201" t="str">
            <v>SAVANNAH</v>
          </cell>
          <cell r="I2201" t="str">
            <v>GA</v>
          </cell>
          <cell r="J2201" t="str">
            <v>USA</v>
          </cell>
          <cell r="K2201" t="str">
            <v>UNIVAR USA</v>
          </cell>
          <cell r="L2201" t="str">
            <v>GA</v>
          </cell>
          <cell r="M2201" t="str">
            <v>USA</v>
          </cell>
          <cell r="N2201" t="str">
            <v>D</v>
          </cell>
          <cell r="O2201">
            <v>24090213</v>
          </cell>
          <cell r="P2201" t="str">
            <v>BORIC ACD GRN 50LB PULPABLE BG</v>
          </cell>
          <cell r="Q2201" t="str">
            <v>Boric Acid</v>
          </cell>
          <cell r="R2201">
            <v>22.05</v>
          </cell>
          <cell r="S2201">
            <v>10342</v>
          </cell>
        </row>
        <row r="2202">
          <cell r="A2202" t="str">
            <v>Actual</v>
          </cell>
          <cell r="B2202">
            <v>2</v>
          </cell>
          <cell r="C2202" t="str">
            <v>Domestic</v>
          </cell>
          <cell r="D2202">
            <v>5</v>
          </cell>
          <cell r="E2202">
            <v>5101</v>
          </cell>
          <cell r="F2202" t="str">
            <v>CERTAIN-TEED CORP.</v>
          </cell>
          <cell r="G2202" t="str">
            <v>D</v>
          </cell>
          <cell r="H2202" t="str">
            <v>CHOWCHILLA</v>
          </cell>
          <cell r="I2202" t="str">
            <v>CA</v>
          </cell>
          <cell r="J2202" t="str">
            <v>USA</v>
          </cell>
          <cell r="K2202" t="str">
            <v>CERTAIN-TEED CORP.</v>
          </cell>
          <cell r="L2202" t="str">
            <v>CA</v>
          </cell>
          <cell r="M2202" t="str">
            <v>USA</v>
          </cell>
          <cell r="N2202" t="str">
            <v>C</v>
          </cell>
          <cell r="O2202">
            <v>30210100</v>
          </cell>
          <cell r="P2202" t="str">
            <v>SODA ASH DENSE BULK</v>
          </cell>
          <cell r="Q2202" t="str">
            <v>Soda Ash</v>
          </cell>
          <cell r="R2202">
            <v>918.49</v>
          </cell>
          <cell r="S2202">
            <v>66131.28</v>
          </cell>
        </row>
        <row r="2203">
          <cell r="A2203" t="str">
            <v>Actual</v>
          </cell>
          <cell r="B2203">
            <v>2</v>
          </cell>
          <cell r="C2203" t="str">
            <v>Domestic</v>
          </cell>
          <cell r="D2203">
            <v>5</v>
          </cell>
          <cell r="E2203">
            <v>5101</v>
          </cell>
          <cell r="F2203" t="str">
            <v>CERTAIN-TEED CORP.</v>
          </cell>
          <cell r="G2203" t="str">
            <v>D</v>
          </cell>
          <cell r="H2203" t="str">
            <v>CHOWCHILLA</v>
          </cell>
          <cell r="I2203" t="str">
            <v>CA</v>
          </cell>
          <cell r="J2203" t="str">
            <v>USA</v>
          </cell>
          <cell r="K2203" t="str">
            <v>CERTAIN-TEED CORP.</v>
          </cell>
          <cell r="L2203" t="str">
            <v>CA</v>
          </cell>
          <cell r="M2203" t="str">
            <v>USA</v>
          </cell>
          <cell r="N2203" t="str">
            <v>C</v>
          </cell>
          <cell r="O2203">
            <v>40150400</v>
          </cell>
          <cell r="P2203" t="str">
            <v>SODIUM SULFATE COARSE BULK</v>
          </cell>
          <cell r="Q2203" t="str">
            <v>Sodium Sulfate</v>
          </cell>
          <cell r="R2203">
            <v>27.43</v>
          </cell>
          <cell r="S2203">
            <v>3816.03</v>
          </cell>
        </row>
        <row r="2204">
          <cell r="A2204" t="str">
            <v>Actual</v>
          </cell>
          <cell r="B2204">
            <v>2</v>
          </cell>
          <cell r="C2204" t="str">
            <v>Domestic</v>
          </cell>
          <cell r="D2204">
            <v>5</v>
          </cell>
          <cell r="E2204">
            <v>5194</v>
          </cell>
          <cell r="F2204" t="str">
            <v>ALDEN LEEDS</v>
          </cell>
          <cell r="G2204" t="str">
            <v>D</v>
          </cell>
          <cell r="H2204" t="str">
            <v>SOUTH KEARNY</v>
          </cell>
          <cell r="I2204" t="str">
            <v>NJ</v>
          </cell>
          <cell r="J2204" t="str">
            <v>USA</v>
          </cell>
          <cell r="K2204" t="str">
            <v>VECKRIDGE CHEMICAL COMPANY</v>
          </cell>
          <cell r="L2204" t="str">
            <v>NJ</v>
          </cell>
          <cell r="M2204" t="str">
            <v>USA</v>
          </cell>
          <cell r="N2204" t="str">
            <v>D</v>
          </cell>
          <cell r="O2204">
            <v>22060410</v>
          </cell>
          <cell r="P2204" t="str">
            <v>V-BOR 50LB BAG (004)</v>
          </cell>
          <cell r="Q2204" t="str">
            <v>Penta</v>
          </cell>
          <cell r="R2204">
            <v>0</v>
          </cell>
          <cell r="S2204">
            <v>-92.61</v>
          </cell>
        </row>
        <row r="2205">
          <cell r="A2205" t="str">
            <v>Actual</v>
          </cell>
          <cell r="B2205">
            <v>2</v>
          </cell>
          <cell r="C2205" t="str">
            <v>Domestic</v>
          </cell>
          <cell r="D2205">
            <v>5</v>
          </cell>
          <cell r="E2205">
            <v>5324</v>
          </cell>
          <cell r="F2205" t="str">
            <v>PPG INDUSTRIES, INC.</v>
          </cell>
          <cell r="G2205" t="str">
            <v>D</v>
          </cell>
          <cell r="H2205" t="str">
            <v>FRESNO</v>
          </cell>
          <cell r="I2205" t="str">
            <v>CA</v>
          </cell>
          <cell r="J2205" t="str">
            <v>USA</v>
          </cell>
          <cell r="K2205" t="str">
            <v>PPG INDUSTRIES, INC.</v>
          </cell>
          <cell r="L2205" t="str">
            <v>CA</v>
          </cell>
          <cell r="M2205" t="str">
            <v>USA</v>
          </cell>
          <cell r="N2205" t="str">
            <v>C</v>
          </cell>
          <cell r="O2205">
            <v>40160400</v>
          </cell>
          <cell r="P2205" t="str">
            <v>SODIUM SULFATE PREMIUM BULK</v>
          </cell>
          <cell r="Q2205" t="str">
            <v>Sodium Sulfate</v>
          </cell>
          <cell r="R2205">
            <v>52</v>
          </cell>
          <cell r="S2205">
            <v>5088.2</v>
          </cell>
        </row>
        <row r="2206">
          <cell r="A2206" t="str">
            <v>Actual</v>
          </cell>
          <cell r="B2206">
            <v>2</v>
          </cell>
          <cell r="C2206" t="str">
            <v>Domestic</v>
          </cell>
          <cell r="D2206">
            <v>5</v>
          </cell>
          <cell r="E2206">
            <v>5374</v>
          </cell>
          <cell r="F2206" t="str">
            <v>BRENNTAG NORTHEAST, INC.</v>
          </cell>
          <cell r="G2206" t="str">
            <v>D</v>
          </cell>
          <cell r="H2206" t="str">
            <v>READING</v>
          </cell>
          <cell r="I2206" t="str">
            <v>PA</v>
          </cell>
          <cell r="J2206" t="str">
            <v>USA</v>
          </cell>
          <cell r="K2206" t="str">
            <v>BRENNTAG NORTHEAST, INC.</v>
          </cell>
          <cell r="L2206" t="str">
            <v>PA</v>
          </cell>
          <cell r="M2206" t="str">
            <v>USA</v>
          </cell>
          <cell r="N2206" t="str">
            <v>D</v>
          </cell>
          <cell r="O2206">
            <v>27069720</v>
          </cell>
          <cell r="P2206" t="str">
            <v>ZINC BORATE, STD 25KG BAGS</v>
          </cell>
          <cell r="Q2206" t="str">
            <v>Boric Salt (SCL)</v>
          </cell>
          <cell r="R2206">
            <v>0</v>
          </cell>
          <cell r="S2206">
            <v>-1561.56</v>
          </cell>
        </row>
        <row r="2207">
          <cell r="A2207" t="str">
            <v>Actual</v>
          </cell>
          <cell r="B2207">
            <v>2</v>
          </cell>
          <cell r="C2207" t="str">
            <v>Domestic</v>
          </cell>
          <cell r="D2207">
            <v>5</v>
          </cell>
          <cell r="E2207">
            <v>5399</v>
          </cell>
          <cell r="F2207" t="str">
            <v>VECKRIDGE CHEMICAL COMPANY</v>
          </cell>
          <cell r="G2207" t="str">
            <v>D</v>
          </cell>
          <cell r="H2207" t="str">
            <v>SOUTH KEARNY</v>
          </cell>
          <cell r="I2207" t="str">
            <v>NJ</v>
          </cell>
          <cell r="J2207" t="str">
            <v>USA</v>
          </cell>
          <cell r="K2207" t="str">
            <v>VECKRIDGE CHEMICAL COMPANY</v>
          </cell>
          <cell r="L2207" t="str">
            <v>NJ</v>
          </cell>
          <cell r="M2207" t="str">
            <v>USA</v>
          </cell>
          <cell r="N2207" t="str">
            <v>D</v>
          </cell>
          <cell r="O2207">
            <v>22060410</v>
          </cell>
          <cell r="P2207" t="str">
            <v>V-BOR 50LB BAG (004)</v>
          </cell>
          <cell r="Q2207" t="str">
            <v>Penta</v>
          </cell>
          <cell r="R2207">
            <v>0</v>
          </cell>
          <cell r="S2207">
            <v>-34.6355</v>
          </cell>
        </row>
        <row r="2208">
          <cell r="A2208" t="str">
            <v>Actual</v>
          </cell>
          <cell r="B2208">
            <v>2</v>
          </cell>
          <cell r="C2208" t="str">
            <v>Domestic</v>
          </cell>
          <cell r="D2208">
            <v>5</v>
          </cell>
          <cell r="E2208">
            <v>5399</v>
          </cell>
          <cell r="F2208" t="str">
            <v>VECKRIDGE CHEMICAL COMPANY</v>
          </cell>
          <cell r="G2208" t="str">
            <v>D</v>
          </cell>
          <cell r="H2208" t="str">
            <v>SOUTH KEARNY</v>
          </cell>
          <cell r="I2208" t="str">
            <v>NJ</v>
          </cell>
          <cell r="J2208" t="str">
            <v>USA</v>
          </cell>
          <cell r="K2208" t="str">
            <v>VECKRIDGE CHEMICAL COMPANY</v>
          </cell>
          <cell r="L2208" t="str">
            <v>NJ</v>
          </cell>
          <cell r="M2208" t="str">
            <v>USA</v>
          </cell>
          <cell r="N2208" t="str">
            <v>D</v>
          </cell>
          <cell r="O2208">
            <v>23060210</v>
          </cell>
          <cell r="P2208" t="str">
            <v>DECA BORAX STD 50LB BAG</v>
          </cell>
          <cell r="Q2208" t="str">
            <v>Deca</v>
          </cell>
          <cell r="R2208">
            <v>0</v>
          </cell>
          <cell r="S2208">
            <v>-34.6355</v>
          </cell>
        </row>
        <row r="2209">
          <cell r="A2209" t="str">
            <v>Actual</v>
          </cell>
          <cell r="B2209">
            <v>2</v>
          </cell>
          <cell r="C2209" t="str">
            <v>Domestic</v>
          </cell>
          <cell r="D2209">
            <v>5</v>
          </cell>
          <cell r="E2209">
            <v>5399</v>
          </cell>
          <cell r="F2209" t="str">
            <v>VECKRIDGE CHEMICAL COMPANY</v>
          </cell>
          <cell r="G2209" t="str">
            <v>D</v>
          </cell>
          <cell r="H2209" t="str">
            <v>SOUTH KEARNY</v>
          </cell>
          <cell r="I2209" t="str">
            <v>NJ</v>
          </cell>
          <cell r="J2209" t="str">
            <v>USA</v>
          </cell>
          <cell r="K2209" t="str">
            <v>VECKRIDGE CHEMICAL COMPANY</v>
          </cell>
          <cell r="L2209" t="str">
            <v>NJ</v>
          </cell>
          <cell r="M2209" t="str">
            <v>USA</v>
          </cell>
          <cell r="N2209" t="str">
            <v>D</v>
          </cell>
          <cell r="O2209">
            <v>24030210</v>
          </cell>
          <cell r="P2209" t="str">
            <v>BORIC ACID PWD TECH 50LB BAG</v>
          </cell>
          <cell r="Q2209" t="str">
            <v>Boric Acid</v>
          </cell>
          <cell r="R2209">
            <v>0</v>
          </cell>
          <cell r="S2209">
            <v>-16.975100000000001</v>
          </cell>
        </row>
        <row r="2210">
          <cell r="A2210" t="str">
            <v>Actual</v>
          </cell>
          <cell r="B2210">
            <v>2</v>
          </cell>
          <cell r="C2210" t="str">
            <v>Domestic</v>
          </cell>
          <cell r="D2210">
            <v>5</v>
          </cell>
          <cell r="E2210">
            <v>5399</v>
          </cell>
          <cell r="F2210" t="str">
            <v>VECKRIDGE CHEMICAL COMPANY</v>
          </cell>
          <cell r="G2210" t="str">
            <v>D</v>
          </cell>
          <cell r="H2210" t="str">
            <v>SOUTH KEARNY</v>
          </cell>
          <cell r="I2210" t="str">
            <v>NJ</v>
          </cell>
          <cell r="J2210" t="str">
            <v>USA</v>
          </cell>
          <cell r="K2210" t="str">
            <v>VECKRIDGE CHEMICAL COMPANY</v>
          </cell>
          <cell r="L2210" t="str">
            <v>NJ</v>
          </cell>
          <cell r="M2210" t="str">
            <v>USA</v>
          </cell>
          <cell r="N2210" t="str">
            <v>D</v>
          </cell>
          <cell r="O2210">
            <v>24090210</v>
          </cell>
          <cell r="P2210" t="str">
            <v>BORIC ACID GRAN TECH 50LB BAG</v>
          </cell>
          <cell r="Q2210" t="str">
            <v>Boric Acid</v>
          </cell>
          <cell r="R2210">
            <v>0</v>
          </cell>
          <cell r="S2210">
            <v>-303.59280000000001</v>
          </cell>
        </row>
        <row r="2211">
          <cell r="A2211" t="str">
            <v>Actual</v>
          </cell>
          <cell r="B2211">
            <v>2</v>
          </cell>
          <cell r="C2211" t="str">
            <v>Domestic</v>
          </cell>
          <cell r="D2211">
            <v>5</v>
          </cell>
          <cell r="E2211">
            <v>5521</v>
          </cell>
          <cell r="F2211" t="str">
            <v>MID-CONTINENT PACKAGI</v>
          </cell>
          <cell r="G2211" t="str">
            <v>D</v>
          </cell>
          <cell r="H2211" t="str">
            <v>ENID</v>
          </cell>
          <cell r="I2211" t="str">
            <v>OK</v>
          </cell>
          <cell r="J2211" t="str">
            <v>USA</v>
          </cell>
          <cell r="K2211" t="str">
            <v>VECKRIDGE CHEMICAL COMPANY</v>
          </cell>
          <cell r="L2211" t="str">
            <v>NJ</v>
          </cell>
          <cell r="M2211" t="str">
            <v>USA</v>
          </cell>
          <cell r="N2211" t="str">
            <v>D</v>
          </cell>
          <cell r="O2211">
            <v>24030210</v>
          </cell>
          <cell r="P2211" t="str">
            <v>BORIC ACID PWD TECH 50LB BAG</v>
          </cell>
          <cell r="Q2211" t="str">
            <v>Boric Acid</v>
          </cell>
          <cell r="R2211">
            <v>0</v>
          </cell>
          <cell r="S2211">
            <v>-38.029699999999998</v>
          </cell>
        </row>
        <row r="2212">
          <cell r="A2212" t="str">
            <v>Actual</v>
          </cell>
          <cell r="B2212">
            <v>2</v>
          </cell>
          <cell r="C2212" t="str">
            <v>Domestic</v>
          </cell>
          <cell r="D2212">
            <v>5</v>
          </cell>
          <cell r="E2212">
            <v>5521</v>
          </cell>
          <cell r="F2212" t="str">
            <v>MID-CONTINENT PACKAGI</v>
          </cell>
          <cell r="G2212" t="str">
            <v>D</v>
          </cell>
          <cell r="H2212" t="str">
            <v>ENID</v>
          </cell>
          <cell r="I2212" t="str">
            <v>OK</v>
          </cell>
          <cell r="J2212" t="str">
            <v>USA</v>
          </cell>
          <cell r="K2212" t="str">
            <v>VECKRIDGE CHEMICAL COMPANY</v>
          </cell>
          <cell r="L2212" t="str">
            <v>NJ</v>
          </cell>
          <cell r="M2212" t="str">
            <v>USA</v>
          </cell>
          <cell r="N2212" t="str">
            <v>D</v>
          </cell>
          <cell r="O2212">
            <v>24090210</v>
          </cell>
          <cell r="P2212" t="str">
            <v>BORIC ACID GRAN TECH 50LB BAG</v>
          </cell>
          <cell r="Q2212" t="str">
            <v>Boric Acid</v>
          </cell>
          <cell r="R2212">
            <v>0</v>
          </cell>
          <cell r="S2212">
            <v>-135.8603</v>
          </cell>
        </row>
        <row r="2213">
          <cell r="A2213" t="str">
            <v>Actual</v>
          </cell>
          <cell r="B2213">
            <v>2</v>
          </cell>
          <cell r="C2213" t="str">
            <v>Domestic</v>
          </cell>
          <cell r="D2213">
            <v>5</v>
          </cell>
          <cell r="E2213">
            <v>5549</v>
          </cell>
          <cell r="F2213" t="str">
            <v>FUSION CERAMICS</v>
          </cell>
          <cell r="G2213" t="str">
            <v>D</v>
          </cell>
          <cell r="H2213" t="str">
            <v>CARROLLTON</v>
          </cell>
          <cell r="I2213" t="str">
            <v>OH</v>
          </cell>
          <cell r="J2213" t="str">
            <v>USA</v>
          </cell>
          <cell r="K2213" t="str">
            <v>UNIVAR USA</v>
          </cell>
          <cell r="L2213" t="str">
            <v>PA</v>
          </cell>
          <cell r="M2213" t="str">
            <v>USA</v>
          </cell>
          <cell r="N2213" t="str">
            <v>D</v>
          </cell>
          <cell r="O2213">
            <v>20060210</v>
          </cell>
          <cell r="P2213" t="str">
            <v>PYROBOR 50LB BAG (002)</v>
          </cell>
          <cell r="Q2213" t="str">
            <v>Pyrobor</v>
          </cell>
          <cell r="R2213">
            <v>0</v>
          </cell>
          <cell r="S2213">
            <v>-378.95</v>
          </cell>
        </row>
        <row r="2214">
          <cell r="A2214" t="str">
            <v>Actual</v>
          </cell>
          <cell r="B2214">
            <v>2</v>
          </cell>
          <cell r="C2214" t="str">
            <v>Domestic</v>
          </cell>
          <cell r="D2214">
            <v>5</v>
          </cell>
          <cell r="E2214">
            <v>6092</v>
          </cell>
          <cell r="F2214" t="str">
            <v>QUADRA CHEMICALS (WESTERN) LTD</v>
          </cell>
          <cell r="G2214" t="str">
            <v>D</v>
          </cell>
          <cell r="H2214" t="str">
            <v>DELTA</v>
          </cell>
          <cell r="I2214" t="str">
            <v>BC</v>
          </cell>
          <cell r="J2214" t="str">
            <v>CAN</v>
          </cell>
          <cell r="K2214" t="str">
            <v>QUADRA CHEMICALS (WESTERN) LTD</v>
          </cell>
          <cell r="L2214" t="str">
            <v>BC</v>
          </cell>
          <cell r="M2214" t="str">
            <v>CAN</v>
          </cell>
          <cell r="N2214" t="str">
            <v>D</v>
          </cell>
          <cell r="O2214">
            <v>20060210</v>
          </cell>
          <cell r="P2214" t="str">
            <v>PYROBOR 50LB BAG (002)</v>
          </cell>
          <cell r="Q2214" t="str">
            <v>Pyrobor</v>
          </cell>
          <cell r="R2214">
            <v>2.4500000000000002</v>
          </cell>
          <cell r="S2214">
            <v>1928.15</v>
          </cell>
        </row>
        <row r="2215">
          <cell r="A2215" t="str">
            <v>Actual</v>
          </cell>
          <cell r="B2215">
            <v>2</v>
          </cell>
          <cell r="C2215" t="str">
            <v>Domestic</v>
          </cell>
          <cell r="D2215">
            <v>5</v>
          </cell>
          <cell r="E2215">
            <v>6092</v>
          </cell>
          <cell r="F2215" t="str">
            <v>QUADRA CHEMICALS (WESTERN) LTD</v>
          </cell>
          <cell r="G2215" t="str">
            <v>D</v>
          </cell>
          <cell r="H2215" t="str">
            <v>DELTA</v>
          </cell>
          <cell r="I2215" t="str">
            <v>BC</v>
          </cell>
          <cell r="J2215" t="str">
            <v>CAN</v>
          </cell>
          <cell r="K2215" t="str">
            <v>QUADRA CHEMICALS (WESTERN) LTD</v>
          </cell>
          <cell r="L2215" t="str">
            <v>BC</v>
          </cell>
          <cell r="M2215" t="str">
            <v>CAN</v>
          </cell>
          <cell r="N2215" t="str">
            <v>D</v>
          </cell>
          <cell r="O2215">
            <v>22060410</v>
          </cell>
          <cell r="P2215" t="str">
            <v>V-BOR 50LB BAG (004)</v>
          </cell>
          <cell r="Q2215" t="str">
            <v>Penta</v>
          </cell>
          <cell r="R2215">
            <v>17.149999999999999</v>
          </cell>
          <cell r="S2215">
            <v>5831</v>
          </cell>
        </row>
        <row r="2216">
          <cell r="A2216" t="str">
            <v>Actual</v>
          </cell>
          <cell r="B2216">
            <v>2</v>
          </cell>
          <cell r="C2216" t="str">
            <v>Domestic</v>
          </cell>
          <cell r="D2216">
            <v>5</v>
          </cell>
          <cell r="E2216">
            <v>6092</v>
          </cell>
          <cell r="F2216" t="str">
            <v>QUADRA CHEMICALS (WESTERN) LTD</v>
          </cell>
          <cell r="G2216" t="str">
            <v>D</v>
          </cell>
          <cell r="H2216" t="str">
            <v>DELTA</v>
          </cell>
          <cell r="I2216" t="str">
            <v>BC</v>
          </cell>
          <cell r="J2216" t="str">
            <v>CAN</v>
          </cell>
          <cell r="K2216" t="str">
            <v>QUADRA CHEMICALS (WESTERN) LTD</v>
          </cell>
          <cell r="L2216" t="str">
            <v>BC</v>
          </cell>
          <cell r="M2216" t="str">
            <v>CAN</v>
          </cell>
          <cell r="N2216" t="str">
            <v>D</v>
          </cell>
          <cell r="O2216">
            <v>40060410</v>
          </cell>
          <cell r="P2216" t="str">
            <v>SODIUM SULFATE STD 50LB BAG</v>
          </cell>
          <cell r="Q2216" t="str">
            <v>Sodium Sulfate</v>
          </cell>
          <cell r="R2216">
            <v>2.5</v>
          </cell>
          <cell r="S2216">
            <v>637.5</v>
          </cell>
        </row>
        <row r="2217">
          <cell r="A2217" t="str">
            <v>Actual</v>
          </cell>
          <cell r="B2217">
            <v>2</v>
          </cell>
          <cell r="C2217" t="str">
            <v>Domestic</v>
          </cell>
          <cell r="D2217">
            <v>5</v>
          </cell>
          <cell r="E2217">
            <v>6093</v>
          </cell>
          <cell r="F2217" t="str">
            <v>PEMCO CORPORATION</v>
          </cell>
          <cell r="G2217" t="str">
            <v>D</v>
          </cell>
          <cell r="H2217" t="str">
            <v>BALTIMORE</v>
          </cell>
          <cell r="I2217" t="str">
            <v>MD</v>
          </cell>
          <cell r="J2217" t="str">
            <v>USA</v>
          </cell>
          <cell r="K2217" t="str">
            <v>PEMCO CORPORATION</v>
          </cell>
          <cell r="L2217" t="str">
            <v>MD</v>
          </cell>
          <cell r="M2217" t="str">
            <v>USA</v>
          </cell>
          <cell r="N2217" t="str">
            <v>C</v>
          </cell>
          <cell r="O2217">
            <v>20060200</v>
          </cell>
          <cell r="P2217" t="str">
            <v>PYROBOR ANHY BORAX BULK (002)</v>
          </cell>
          <cell r="Q2217" t="str">
            <v>Pyrobor</v>
          </cell>
          <cell r="R2217">
            <v>196.95</v>
          </cell>
          <cell r="S2217">
            <v>91572.59</v>
          </cell>
        </row>
        <row r="2218">
          <cell r="A2218" t="str">
            <v>Actual</v>
          </cell>
          <cell r="B2218">
            <v>2</v>
          </cell>
          <cell r="C2218" t="str">
            <v>Domestic</v>
          </cell>
          <cell r="D2218">
            <v>5</v>
          </cell>
          <cell r="E2218">
            <v>6093</v>
          </cell>
          <cell r="F2218" t="str">
            <v>PEMCO CORPORATION</v>
          </cell>
          <cell r="G2218" t="str">
            <v>D</v>
          </cell>
          <cell r="H2218" t="str">
            <v>BALTIMORE</v>
          </cell>
          <cell r="I2218" t="str">
            <v>MD</v>
          </cell>
          <cell r="J2218" t="str">
            <v>USA</v>
          </cell>
          <cell r="K2218" t="str">
            <v>PEMCO CORPORATION</v>
          </cell>
          <cell r="L2218" t="str">
            <v>MD</v>
          </cell>
          <cell r="M2218" t="str">
            <v>USA</v>
          </cell>
          <cell r="N2218" t="str">
            <v>C</v>
          </cell>
          <cell r="O2218">
            <v>24090210</v>
          </cell>
          <cell r="P2218" t="str">
            <v>BORIC ACID GRAN TECH 50LB BAG</v>
          </cell>
          <cell r="Q2218" t="str">
            <v>Boric Acid</v>
          </cell>
          <cell r="R2218">
            <v>19.600000000000001</v>
          </cell>
          <cell r="S2218">
            <v>8479.7999999999993</v>
          </cell>
        </row>
        <row r="2219">
          <cell r="A2219" t="str">
            <v>Actual</v>
          </cell>
          <cell r="B2219">
            <v>2</v>
          </cell>
          <cell r="C2219" t="str">
            <v>Domestic</v>
          </cell>
          <cell r="D2219">
            <v>5</v>
          </cell>
          <cell r="E2219">
            <v>6094</v>
          </cell>
          <cell r="F2219" t="str">
            <v>NATIONAL FIBER</v>
          </cell>
          <cell r="G2219" t="str">
            <v>D</v>
          </cell>
          <cell r="H2219" t="str">
            <v>BELCHERTOWN</v>
          </cell>
          <cell r="I2219" t="str">
            <v>MA</v>
          </cell>
          <cell r="J2219" t="str">
            <v>USA</v>
          </cell>
          <cell r="K2219" t="str">
            <v>NATIONAL FIBER</v>
          </cell>
          <cell r="L2219" t="str">
            <v>MA</v>
          </cell>
          <cell r="M2219" t="str">
            <v>USA</v>
          </cell>
          <cell r="N2219" t="str">
            <v>C</v>
          </cell>
          <cell r="O2219">
            <v>24230250</v>
          </cell>
          <cell r="P2219" t="str">
            <v>BORIC ACID GRAN TECH 1TN FIBC</v>
          </cell>
          <cell r="Q2219" t="str">
            <v>Boric Acid</v>
          </cell>
          <cell r="R2219">
            <v>44</v>
          </cell>
          <cell r="S2219">
            <v>18265.3</v>
          </cell>
        </row>
        <row r="2220">
          <cell r="A2220" t="str">
            <v>Actual</v>
          </cell>
          <cell r="B2220">
            <v>2</v>
          </cell>
          <cell r="C2220" t="str">
            <v>Domestic</v>
          </cell>
          <cell r="D2220">
            <v>5</v>
          </cell>
          <cell r="E2220">
            <v>6219</v>
          </cell>
          <cell r="F2220" t="str">
            <v>ASTRO CHEMICALS INC</v>
          </cell>
          <cell r="G2220" t="str">
            <v>D</v>
          </cell>
          <cell r="H2220" t="str">
            <v>SPRINGFIELD</v>
          </cell>
          <cell r="I2220" t="str">
            <v>MA</v>
          </cell>
          <cell r="J2220" t="str">
            <v>USA</v>
          </cell>
          <cell r="K2220" t="str">
            <v>ASTRO CHEMICALS INC</v>
          </cell>
          <cell r="L2220" t="str">
            <v>MA</v>
          </cell>
          <cell r="M2220" t="str">
            <v>USA</v>
          </cell>
          <cell r="N2220" t="str">
            <v>D</v>
          </cell>
          <cell r="O2220">
            <v>22060410</v>
          </cell>
          <cell r="P2220" t="str">
            <v>V-BOR 50LB BAG (004)</v>
          </cell>
          <cell r="Q2220" t="str">
            <v>Penta</v>
          </cell>
          <cell r="R2220">
            <v>8.5749999999999993</v>
          </cell>
          <cell r="S2220">
            <v>3263.6122999999998</v>
          </cell>
        </row>
        <row r="2221">
          <cell r="A2221" t="str">
            <v>Actual</v>
          </cell>
          <cell r="B2221">
            <v>2</v>
          </cell>
          <cell r="C2221" t="str">
            <v>Domestic</v>
          </cell>
          <cell r="D2221">
            <v>5</v>
          </cell>
          <cell r="E2221">
            <v>6219</v>
          </cell>
          <cell r="F2221" t="str">
            <v>ASTRO CHEMICALS INC</v>
          </cell>
          <cell r="G2221" t="str">
            <v>D</v>
          </cell>
          <cell r="H2221" t="str">
            <v>SPRINGFIELD</v>
          </cell>
          <cell r="I2221" t="str">
            <v>MA</v>
          </cell>
          <cell r="J2221" t="str">
            <v>USA</v>
          </cell>
          <cell r="K2221" t="str">
            <v>ASTRO CHEMICALS INC</v>
          </cell>
          <cell r="L2221" t="str">
            <v>MA</v>
          </cell>
          <cell r="M2221" t="str">
            <v>USA</v>
          </cell>
          <cell r="N2221" t="str">
            <v>D</v>
          </cell>
          <cell r="O2221">
            <v>23060210</v>
          </cell>
          <cell r="P2221" t="str">
            <v>DECA BORAX STD 50LB BAG</v>
          </cell>
          <cell r="Q2221" t="str">
            <v>Deca</v>
          </cell>
          <cell r="R2221">
            <v>9.8000000000000007</v>
          </cell>
          <cell r="S2221">
            <v>3240.0106999999998</v>
          </cell>
        </row>
        <row r="2222">
          <cell r="A2222" t="str">
            <v>Actual</v>
          </cell>
          <cell r="B2222">
            <v>2</v>
          </cell>
          <cell r="C2222" t="str">
            <v>Domestic</v>
          </cell>
          <cell r="D2222">
            <v>5</v>
          </cell>
          <cell r="E2222">
            <v>6219</v>
          </cell>
          <cell r="F2222" t="str">
            <v>ASTRO CHEMICALS INC</v>
          </cell>
          <cell r="G2222" t="str">
            <v>D</v>
          </cell>
          <cell r="H2222" t="str">
            <v>SPRINGFIELD</v>
          </cell>
          <cell r="I2222" t="str">
            <v>MA</v>
          </cell>
          <cell r="J2222" t="str">
            <v>USA</v>
          </cell>
          <cell r="K2222" t="str">
            <v>ASTRO CHEMICALS INC</v>
          </cell>
          <cell r="L2222" t="str">
            <v>MA</v>
          </cell>
          <cell r="M2222" t="str">
            <v>USA</v>
          </cell>
          <cell r="N2222" t="str">
            <v>D</v>
          </cell>
          <cell r="O2222">
            <v>24090210</v>
          </cell>
          <cell r="P2222" t="str">
            <v>BORIC ACID GRAN TECH 50LB BAG</v>
          </cell>
          <cell r="Q2222" t="str">
            <v>Boric Acid</v>
          </cell>
          <cell r="R2222">
            <v>3.6749999999999998</v>
          </cell>
          <cell r="S2222">
            <v>2475.3870000000002</v>
          </cell>
        </row>
        <row r="2223">
          <cell r="A2223" t="str">
            <v>Actual</v>
          </cell>
          <cell r="B2223">
            <v>2</v>
          </cell>
          <cell r="C2223" t="str">
            <v>Domestic</v>
          </cell>
          <cell r="D2223">
            <v>5</v>
          </cell>
          <cell r="E2223">
            <v>6359</v>
          </cell>
          <cell r="F2223" t="str">
            <v>CANADA COLORS &amp; CHEMICAL LTD</v>
          </cell>
          <cell r="G2223" t="str">
            <v>D</v>
          </cell>
          <cell r="H2223" t="str">
            <v>BRAMPTON</v>
          </cell>
          <cell r="I2223" t="str">
            <v>ON</v>
          </cell>
          <cell r="J2223" t="str">
            <v>CAN</v>
          </cell>
          <cell r="K2223" t="str">
            <v>CANADA COLORS &amp; CHEMICAL LTD</v>
          </cell>
          <cell r="L2223" t="str">
            <v>ON</v>
          </cell>
          <cell r="M2223" t="str">
            <v>CAN</v>
          </cell>
          <cell r="N2223" t="str">
            <v>D</v>
          </cell>
          <cell r="O2223">
            <v>22060400</v>
          </cell>
          <cell r="P2223" t="str">
            <v>V-BOR STD BULK (004)</v>
          </cell>
          <cell r="Q2223" t="str">
            <v>Penta</v>
          </cell>
          <cell r="R2223">
            <v>65.75</v>
          </cell>
          <cell r="S2223">
            <v>21331.88</v>
          </cell>
        </row>
        <row r="2224">
          <cell r="A2224" t="str">
            <v>Actual</v>
          </cell>
          <cell r="B2224">
            <v>2</v>
          </cell>
          <cell r="C2224" t="str">
            <v>Domestic</v>
          </cell>
          <cell r="D2224">
            <v>5</v>
          </cell>
          <cell r="E2224">
            <v>6359</v>
          </cell>
          <cell r="F2224" t="str">
            <v>CANADA COLORS &amp; CHEMICAL LTD</v>
          </cell>
          <cell r="G2224" t="str">
            <v>D</v>
          </cell>
          <cell r="H2224" t="str">
            <v>BRAMPTON</v>
          </cell>
          <cell r="I2224" t="str">
            <v>ON</v>
          </cell>
          <cell r="J2224" t="str">
            <v>CAN</v>
          </cell>
          <cell r="K2224" t="str">
            <v>CANADA COLORS &amp; CHEMICAL LTD</v>
          </cell>
          <cell r="L2224" t="str">
            <v>ON</v>
          </cell>
          <cell r="M2224" t="str">
            <v>CAN</v>
          </cell>
          <cell r="N2224" t="str">
            <v>D</v>
          </cell>
          <cell r="O2224">
            <v>24090200</v>
          </cell>
          <cell r="P2224" t="str">
            <v>BORIC ACID GRAN TECH BULK</v>
          </cell>
          <cell r="Q2224" t="str">
            <v>Boric Acid</v>
          </cell>
          <cell r="R2224">
            <v>0</v>
          </cell>
          <cell r="S2224">
            <v>-20</v>
          </cell>
        </row>
        <row r="2225">
          <cell r="A2225" t="str">
            <v>Actual</v>
          </cell>
          <cell r="B2225">
            <v>2</v>
          </cell>
          <cell r="C2225" t="str">
            <v>Domestic</v>
          </cell>
          <cell r="D2225">
            <v>5</v>
          </cell>
          <cell r="E2225">
            <v>6359</v>
          </cell>
          <cell r="F2225" t="str">
            <v>CANADA COLORS &amp; CHEMICAL LTD</v>
          </cell>
          <cell r="G2225" t="str">
            <v>D</v>
          </cell>
          <cell r="H2225" t="str">
            <v>BRAMPTON</v>
          </cell>
          <cell r="I2225" t="str">
            <v>ON</v>
          </cell>
          <cell r="J2225" t="str">
            <v>CAN</v>
          </cell>
          <cell r="K2225" t="str">
            <v>CANADA COLORS &amp; CHEMICAL LTD</v>
          </cell>
          <cell r="L2225" t="str">
            <v>ON</v>
          </cell>
          <cell r="M2225" t="str">
            <v>CAN</v>
          </cell>
          <cell r="N2225" t="str">
            <v>D</v>
          </cell>
          <cell r="O2225">
            <v>24230200</v>
          </cell>
          <cell r="P2225" t="str">
            <v>BORIC ACID GRAN TECH BULK</v>
          </cell>
          <cell r="Q2225" t="str">
            <v>Boric Acid</v>
          </cell>
          <cell r="R2225">
            <v>33.075000000000003</v>
          </cell>
          <cell r="S2225">
            <v>11863.22</v>
          </cell>
        </row>
        <row r="2226">
          <cell r="A2226" t="str">
            <v>Actual</v>
          </cell>
          <cell r="B2226">
            <v>2</v>
          </cell>
          <cell r="C2226" t="str">
            <v>Domestic</v>
          </cell>
          <cell r="D2226">
            <v>5</v>
          </cell>
          <cell r="E2226">
            <v>6598</v>
          </cell>
          <cell r="F2226" t="str">
            <v>INTERSTATE CHEMICAL COMPANY</v>
          </cell>
          <cell r="G2226" t="str">
            <v>D</v>
          </cell>
          <cell r="H2226" t="str">
            <v>WAYNE</v>
          </cell>
          <cell r="I2226" t="str">
            <v>MI</v>
          </cell>
          <cell r="J2226" t="str">
            <v>USA</v>
          </cell>
          <cell r="K2226" t="str">
            <v>INTERSTATE CHEMICAL COMPANY</v>
          </cell>
          <cell r="L2226" t="str">
            <v>PA</v>
          </cell>
          <cell r="M2226" t="str">
            <v>USA</v>
          </cell>
          <cell r="N2226" t="str">
            <v>D</v>
          </cell>
          <cell r="O2226">
            <v>22060410</v>
          </cell>
          <cell r="P2226" t="str">
            <v>V-BOR 50LB BAG (004)</v>
          </cell>
          <cell r="Q2226" t="str">
            <v>Penta</v>
          </cell>
          <cell r="R2226">
            <v>0</v>
          </cell>
          <cell r="S2226">
            <v>-114.6467</v>
          </cell>
        </row>
        <row r="2227">
          <cell r="A2227" t="str">
            <v>Actual</v>
          </cell>
          <cell r="B2227">
            <v>2</v>
          </cell>
          <cell r="C2227" t="str">
            <v>Domestic</v>
          </cell>
          <cell r="D2227">
            <v>5</v>
          </cell>
          <cell r="E2227">
            <v>6598</v>
          </cell>
          <cell r="F2227" t="str">
            <v>INTERSTATE CHEMICAL COMPANY</v>
          </cell>
          <cell r="G2227" t="str">
            <v>D</v>
          </cell>
          <cell r="H2227" t="str">
            <v>WAYNE</v>
          </cell>
          <cell r="I2227" t="str">
            <v>MI</v>
          </cell>
          <cell r="J2227" t="str">
            <v>USA</v>
          </cell>
          <cell r="K2227" t="str">
            <v>INTERSTATE CHEMICAL COMPANY</v>
          </cell>
          <cell r="L2227" t="str">
            <v>PA</v>
          </cell>
          <cell r="M2227" t="str">
            <v>USA</v>
          </cell>
          <cell r="N2227" t="str">
            <v>D</v>
          </cell>
          <cell r="O2227">
            <v>23060210</v>
          </cell>
          <cell r="P2227" t="str">
            <v>DECA BORAX STD 50LB BAG</v>
          </cell>
          <cell r="Q2227" t="str">
            <v>Deca</v>
          </cell>
          <cell r="R2227">
            <v>0</v>
          </cell>
          <cell r="S2227">
            <v>-11.11</v>
          </cell>
        </row>
        <row r="2228">
          <cell r="A2228" t="str">
            <v>Actual</v>
          </cell>
          <cell r="B2228">
            <v>2</v>
          </cell>
          <cell r="C2228" t="str">
            <v>Domestic</v>
          </cell>
          <cell r="D2228">
            <v>5</v>
          </cell>
          <cell r="E2228">
            <v>6598</v>
          </cell>
          <cell r="F2228" t="str">
            <v>INTERSTATE CHEMICAL COMPANY</v>
          </cell>
          <cell r="G2228" t="str">
            <v>D</v>
          </cell>
          <cell r="H2228" t="str">
            <v>WAYNE</v>
          </cell>
          <cell r="I2228" t="str">
            <v>MI</v>
          </cell>
          <cell r="J2228" t="str">
            <v>USA</v>
          </cell>
          <cell r="K2228" t="str">
            <v>INTERSTATE CHEMICAL COMPANY</v>
          </cell>
          <cell r="L2228" t="str">
            <v>PA</v>
          </cell>
          <cell r="M2228" t="str">
            <v>USA</v>
          </cell>
          <cell r="N2228" t="str">
            <v>D</v>
          </cell>
          <cell r="O2228">
            <v>24090210</v>
          </cell>
          <cell r="P2228" t="str">
            <v>BORIC ACID GRAN TECH 50LB BAG</v>
          </cell>
          <cell r="Q2228" t="str">
            <v>Boric Acid</v>
          </cell>
          <cell r="R2228">
            <v>0</v>
          </cell>
          <cell r="S2228">
            <v>-48.3733</v>
          </cell>
        </row>
        <row r="2229">
          <cell r="A2229" t="str">
            <v>Actual</v>
          </cell>
          <cell r="B2229">
            <v>2</v>
          </cell>
          <cell r="C2229" t="str">
            <v>Domestic</v>
          </cell>
          <cell r="D2229">
            <v>5</v>
          </cell>
          <cell r="E2229">
            <v>6600</v>
          </cell>
          <cell r="F2229" t="str">
            <v>INTERSTATE CHEMICAL COMPANY</v>
          </cell>
          <cell r="G2229" t="str">
            <v>D</v>
          </cell>
          <cell r="H2229" t="str">
            <v>PUEBLO WEST</v>
          </cell>
          <cell r="I2229" t="str">
            <v>CO</v>
          </cell>
          <cell r="J2229" t="str">
            <v>USA</v>
          </cell>
          <cell r="K2229" t="str">
            <v>INTERSTATE CHEMICAL COMPANY</v>
          </cell>
          <cell r="L2229" t="str">
            <v>PA</v>
          </cell>
          <cell r="M2229" t="str">
            <v>USA</v>
          </cell>
          <cell r="N2229" t="str">
            <v>D</v>
          </cell>
          <cell r="O2229">
            <v>22060410</v>
          </cell>
          <cell r="P2229" t="str">
            <v>V-BOR 50LB BAG (004)</v>
          </cell>
          <cell r="Q2229" t="str">
            <v>Penta</v>
          </cell>
          <cell r="R2229">
            <v>3.6749999999999998</v>
          </cell>
          <cell r="S2229">
            <v>1495.2692</v>
          </cell>
        </row>
        <row r="2230">
          <cell r="A2230" t="str">
            <v>Actual</v>
          </cell>
          <cell r="B2230">
            <v>2</v>
          </cell>
          <cell r="C2230" t="str">
            <v>Domestic</v>
          </cell>
          <cell r="D2230">
            <v>5</v>
          </cell>
          <cell r="E2230">
            <v>6600</v>
          </cell>
          <cell r="F2230" t="str">
            <v>INTERSTATE CHEMICAL COMPANY</v>
          </cell>
          <cell r="G2230" t="str">
            <v>D</v>
          </cell>
          <cell r="H2230" t="str">
            <v>PUEBLO WEST</v>
          </cell>
          <cell r="I2230" t="str">
            <v>CO</v>
          </cell>
          <cell r="J2230" t="str">
            <v>USA</v>
          </cell>
          <cell r="K2230" t="str">
            <v>INTERSTATE CHEMICAL COMPANY</v>
          </cell>
          <cell r="L2230" t="str">
            <v>PA</v>
          </cell>
          <cell r="M2230" t="str">
            <v>USA</v>
          </cell>
          <cell r="N2230" t="str">
            <v>D</v>
          </cell>
          <cell r="O2230">
            <v>24090210</v>
          </cell>
          <cell r="P2230" t="str">
            <v>BORIC ACID GRAN TECH 50LB BAG</v>
          </cell>
          <cell r="Q2230" t="str">
            <v>Boric Acid</v>
          </cell>
          <cell r="R2230">
            <v>18.375</v>
          </cell>
          <cell r="S2230">
            <v>9971.9807999999994</v>
          </cell>
        </row>
        <row r="2231">
          <cell r="A2231" t="str">
            <v>Actual</v>
          </cell>
          <cell r="B2231">
            <v>2</v>
          </cell>
          <cell r="C2231" t="str">
            <v>Domestic</v>
          </cell>
          <cell r="D2231">
            <v>5</v>
          </cell>
          <cell r="E2231">
            <v>6600</v>
          </cell>
          <cell r="F2231" t="str">
            <v>INTERSTATE CHEMICAL COMPANY</v>
          </cell>
          <cell r="G2231" t="str">
            <v>D</v>
          </cell>
          <cell r="H2231" t="str">
            <v>PUEBLO WEST</v>
          </cell>
          <cell r="I2231" t="str">
            <v>CO</v>
          </cell>
          <cell r="J2231" t="str">
            <v>USA</v>
          </cell>
          <cell r="K2231" t="str">
            <v>INTERSTATE CHEMICAL COMPANY</v>
          </cell>
          <cell r="L2231" t="str">
            <v>PA</v>
          </cell>
          <cell r="M2231" t="str">
            <v>USA</v>
          </cell>
          <cell r="N2231" t="str">
            <v>D</v>
          </cell>
          <cell r="O2231">
            <v>24090261</v>
          </cell>
          <cell r="P2231" t="str">
            <v>BORIC ACID GRN TCH 1000LB FIBC</v>
          </cell>
          <cell r="Q2231" t="str">
            <v>Boric Acid</v>
          </cell>
          <cell r="R2231">
            <v>0</v>
          </cell>
          <cell r="S2231">
            <v>-154</v>
          </cell>
        </row>
        <row r="2232">
          <cell r="A2232" t="str">
            <v>Actual</v>
          </cell>
          <cell r="B2232">
            <v>2</v>
          </cell>
          <cell r="C2232" t="str">
            <v>Domestic</v>
          </cell>
          <cell r="D2232">
            <v>5</v>
          </cell>
          <cell r="E2232">
            <v>6989</v>
          </cell>
          <cell r="F2232" t="str">
            <v>ABITIBI CONSOLIDATED</v>
          </cell>
          <cell r="G2232" t="str">
            <v>D</v>
          </cell>
          <cell r="H2232" t="str">
            <v>SNOWFLAKE</v>
          </cell>
          <cell r="I2232" t="str">
            <v>AZ</v>
          </cell>
          <cell r="J2232" t="str">
            <v>USA</v>
          </cell>
          <cell r="K2232" t="str">
            <v>ABITIBI</v>
          </cell>
          <cell r="L2232" t="str">
            <v>AZ</v>
          </cell>
          <cell r="M2232" t="str">
            <v>USA</v>
          </cell>
          <cell r="N2232" t="str">
            <v>C</v>
          </cell>
          <cell r="O2232">
            <v>30210100</v>
          </cell>
          <cell r="P2232" t="str">
            <v>SODA ASH DENSE BULK</v>
          </cell>
          <cell r="Q2232" t="str">
            <v>Soda Ash</v>
          </cell>
          <cell r="R2232">
            <v>155.61000000000001</v>
          </cell>
          <cell r="S2232">
            <v>15872.22</v>
          </cell>
        </row>
        <row r="2233">
          <cell r="A2233" t="str">
            <v>Actual</v>
          </cell>
          <cell r="B2233">
            <v>2</v>
          </cell>
          <cell r="C2233" t="str">
            <v>Domestic</v>
          </cell>
          <cell r="D2233">
            <v>5</v>
          </cell>
          <cell r="E2233">
            <v>7448</v>
          </cell>
          <cell r="F2233" t="str">
            <v>WYNCO, LLC</v>
          </cell>
          <cell r="G2233" t="str">
            <v>D</v>
          </cell>
          <cell r="H2233" t="str">
            <v>FRUITLAND</v>
          </cell>
          <cell r="I2233" t="str">
            <v>MD</v>
          </cell>
          <cell r="J2233" t="str">
            <v>USA</v>
          </cell>
          <cell r="K2233" t="str">
            <v>SCHERING-PLOUGH ANIMAL HEALTH</v>
          </cell>
          <cell r="L2233" t="str">
            <v>NE</v>
          </cell>
          <cell r="M2233" t="str">
            <v>USA</v>
          </cell>
          <cell r="N2233" t="str">
            <v>C</v>
          </cell>
          <cell r="O2233">
            <v>24740211</v>
          </cell>
          <cell r="P2233" t="str">
            <v>BORIC ACID PWD PEST W/TCP SAFE</v>
          </cell>
          <cell r="Q2233" t="str">
            <v>Boric Acid</v>
          </cell>
          <cell r="R2233">
            <v>0</v>
          </cell>
          <cell r="S2233">
            <v>-189</v>
          </cell>
        </row>
        <row r="2234">
          <cell r="A2234" t="str">
            <v>Actual</v>
          </cell>
          <cell r="B2234">
            <v>2</v>
          </cell>
          <cell r="C2234" t="str">
            <v>Domestic</v>
          </cell>
          <cell r="D2234">
            <v>5</v>
          </cell>
          <cell r="E2234">
            <v>7855</v>
          </cell>
          <cell r="F2234" t="str">
            <v>QUADRA CHEMICAL</v>
          </cell>
          <cell r="G2234" t="str">
            <v>D</v>
          </cell>
          <cell r="H2234" t="str">
            <v>BURLINGTON</v>
          </cell>
          <cell r="I2234" t="str">
            <v>ON</v>
          </cell>
          <cell r="J2234" t="str">
            <v>CAN</v>
          </cell>
          <cell r="K2234" t="str">
            <v>QUADRA CHEMICAL</v>
          </cell>
          <cell r="L2234" t="str">
            <v>PQ</v>
          </cell>
          <cell r="M2234" t="str">
            <v>CAN</v>
          </cell>
          <cell r="N2234" t="str">
            <v>D</v>
          </cell>
          <cell r="O2234">
            <v>20060210</v>
          </cell>
          <cell r="P2234" t="str">
            <v>PYROBOR 50LB BAG (002)</v>
          </cell>
          <cell r="Q2234" t="str">
            <v>Pyrobor</v>
          </cell>
          <cell r="R2234">
            <v>19.600000000000001</v>
          </cell>
          <cell r="S2234">
            <v>14322.611000000001</v>
          </cell>
        </row>
        <row r="2235">
          <cell r="A2235" t="str">
            <v>Actual</v>
          </cell>
          <cell r="B2235">
            <v>2</v>
          </cell>
          <cell r="C2235" t="str">
            <v>Domestic</v>
          </cell>
          <cell r="D2235">
            <v>5</v>
          </cell>
          <cell r="E2235">
            <v>7855</v>
          </cell>
          <cell r="F2235" t="str">
            <v>QUADRA CHEMICAL</v>
          </cell>
          <cell r="G2235" t="str">
            <v>D</v>
          </cell>
          <cell r="H2235" t="str">
            <v>BURLINGTON</v>
          </cell>
          <cell r="I2235" t="str">
            <v>ON</v>
          </cell>
          <cell r="J2235" t="str">
            <v>CAN</v>
          </cell>
          <cell r="K2235" t="str">
            <v>QUADRA CHEMICAL</v>
          </cell>
          <cell r="L2235" t="str">
            <v>PQ</v>
          </cell>
          <cell r="M2235" t="str">
            <v>CAN</v>
          </cell>
          <cell r="N2235" t="str">
            <v>D</v>
          </cell>
          <cell r="O2235">
            <v>23060210</v>
          </cell>
          <cell r="P2235" t="str">
            <v>DECA BORAX STD 50LB BAG</v>
          </cell>
          <cell r="Q2235" t="str">
            <v>Deca</v>
          </cell>
          <cell r="R2235">
            <v>2.4500000000000002</v>
          </cell>
          <cell r="S2235">
            <v>868.23900000000003</v>
          </cell>
        </row>
        <row r="2236">
          <cell r="A2236" t="str">
            <v>Actual</v>
          </cell>
          <cell r="B2236">
            <v>2</v>
          </cell>
          <cell r="C2236" t="str">
            <v>Domestic</v>
          </cell>
          <cell r="D2236">
            <v>5</v>
          </cell>
          <cell r="E2236">
            <v>7855</v>
          </cell>
          <cell r="F2236" t="str">
            <v>QUADRA CHEMICAL</v>
          </cell>
          <cell r="G2236" t="str">
            <v>D</v>
          </cell>
          <cell r="H2236" t="str">
            <v>BURLINGTON</v>
          </cell>
          <cell r="I2236" t="str">
            <v>ON</v>
          </cell>
          <cell r="J2236" t="str">
            <v>CAN</v>
          </cell>
          <cell r="K2236" t="str">
            <v>QUADRA CHEMICAL</v>
          </cell>
          <cell r="L2236" t="str">
            <v>PQ</v>
          </cell>
          <cell r="M2236" t="str">
            <v>CAN</v>
          </cell>
          <cell r="N2236" t="str">
            <v>D</v>
          </cell>
          <cell r="O2236">
            <v>24090210</v>
          </cell>
          <cell r="P2236" t="str">
            <v>BORIC ACID GRAN TECH 50LB BAG</v>
          </cell>
          <cell r="Q2236" t="str">
            <v>Boric Acid</v>
          </cell>
          <cell r="R2236">
            <v>0</v>
          </cell>
          <cell r="S2236">
            <v>-101.64</v>
          </cell>
        </row>
        <row r="2237">
          <cell r="A2237" t="str">
            <v>Actual</v>
          </cell>
          <cell r="B2237">
            <v>2</v>
          </cell>
          <cell r="C2237" t="str">
            <v>Domestic</v>
          </cell>
          <cell r="D2237">
            <v>5</v>
          </cell>
          <cell r="E2237">
            <v>8066</v>
          </cell>
          <cell r="F2237" t="str">
            <v>SAFEGUARD INC</v>
          </cell>
          <cell r="G2237" t="str">
            <v>D</v>
          </cell>
          <cell r="H2237" t="str">
            <v>WADING RIVER</v>
          </cell>
          <cell r="I2237" t="str">
            <v>NY</v>
          </cell>
          <cell r="J2237" t="str">
            <v>USA</v>
          </cell>
          <cell r="K2237" t="str">
            <v>SAFEGUARD INC</v>
          </cell>
          <cell r="L2237" t="str">
            <v>NY</v>
          </cell>
          <cell r="M2237" t="str">
            <v>USA</v>
          </cell>
          <cell r="N2237" t="str">
            <v>C</v>
          </cell>
          <cell r="O2237">
            <v>26069718</v>
          </cell>
          <cell r="P2237" t="str">
            <v>SODIUM OCTABORATE 20KG BAG</v>
          </cell>
          <cell r="Q2237" t="str">
            <v>Foliarel (SCL)</v>
          </cell>
          <cell r="R2237">
            <v>2.1604999999999999</v>
          </cell>
          <cell r="S2237">
            <v>3360.49</v>
          </cell>
        </row>
        <row r="2238">
          <cell r="A2238" t="str">
            <v>Actual</v>
          </cell>
          <cell r="B2238">
            <v>2</v>
          </cell>
          <cell r="C2238" t="str">
            <v>Domestic</v>
          </cell>
          <cell r="D2238">
            <v>5</v>
          </cell>
          <cell r="E2238">
            <v>8100</v>
          </cell>
          <cell r="F2238" t="str">
            <v>GENERAL CHEMICAL CORP</v>
          </cell>
          <cell r="G2238" t="str">
            <v>D</v>
          </cell>
          <cell r="H2238" t="str">
            <v>PARSIPPANI</v>
          </cell>
          <cell r="I2238" t="str">
            <v>NJ</v>
          </cell>
          <cell r="J2238" t="str">
            <v>USA</v>
          </cell>
          <cell r="K2238" t="str">
            <v>GENERAL CHEMICAL CORP</v>
          </cell>
          <cell r="L2238" t="str">
            <v>NJ</v>
          </cell>
          <cell r="M2238" t="str">
            <v>USA</v>
          </cell>
          <cell r="N2238" t="str">
            <v>C</v>
          </cell>
          <cell r="O2238">
            <v>30210100</v>
          </cell>
          <cell r="P2238" t="str">
            <v>SODA ASH DENSE BULK</v>
          </cell>
          <cell r="Q2238" t="str">
            <v>Soda Ash</v>
          </cell>
          <cell r="R2238">
            <v>0</v>
          </cell>
          <cell r="S2238">
            <v>0</v>
          </cell>
        </row>
        <row r="2239">
          <cell r="A2239" t="str">
            <v>Actual</v>
          </cell>
          <cell r="B2239">
            <v>2</v>
          </cell>
          <cell r="C2239" t="str">
            <v>Domestic</v>
          </cell>
          <cell r="D2239">
            <v>5</v>
          </cell>
          <cell r="E2239">
            <v>8104</v>
          </cell>
          <cell r="F2239" t="str">
            <v>OWENS CORNING</v>
          </cell>
          <cell r="G2239" t="str">
            <v>D</v>
          </cell>
          <cell r="H2239" t="str">
            <v>FAIRBURN</v>
          </cell>
          <cell r="I2239" t="str">
            <v>GA</v>
          </cell>
          <cell r="J2239" t="str">
            <v>USA</v>
          </cell>
          <cell r="K2239" t="str">
            <v>OWENS CORNING</v>
          </cell>
          <cell r="L2239" t="str">
            <v>GA</v>
          </cell>
          <cell r="M2239" t="str">
            <v>USA</v>
          </cell>
          <cell r="N2239" t="str">
            <v>C</v>
          </cell>
          <cell r="O2239">
            <v>30210100</v>
          </cell>
          <cell r="P2239" t="str">
            <v>SODA ASH DENSE BULK</v>
          </cell>
          <cell r="Q2239" t="str">
            <v>Soda Ash</v>
          </cell>
          <cell r="R2239">
            <v>546.95550000000003</v>
          </cell>
          <cell r="S2239">
            <v>38729.99</v>
          </cell>
        </row>
        <row r="2240">
          <cell r="A2240" t="str">
            <v>Actual</v>
          </cell>
          <cell r="B2240">
            <v>2</v>
          </cell>
          <cell r="C2240" t="str">
            <v>Domestic</v>
          </cell>
          <cell r="D2240">
            <v>5</v>
          </cell>
          <cell r="E2240">
            <v>8857</v>
          </cell>
          <cell r="F2240" t="str">
            <v>OWENS CORNING</v>
          </cell>
          <cell r="G2240" t="str">
            <v>D</v>
          </cell>
          <cell r="H2240" t="str">
            <v>NEWARK</v>
          </cell>
          <cell r="I2240" t="str">
            <v>OH</v>
          </cell>
          <cell r="J2240" t="str">
            <v>USA</v>
          </cell>
          <cell r="K2240" t="str">
            <v>OWENS CORNING</v>
          </cell>
          <cell r="L2240" t="str">
            <v>OH</v>
          </cell>
          <cell r="M2240" t="str">
            <v>USA</v>
          </cell>
          <cell r="N2240" t="str">
            <v>C</v>
          </cell>
          <cell r="O2240">
            <v>30210100</v>
          </cell>
          <cell r="P2240" t="str">
            <v>SODA ASH DENSE BULK</v>
          </cell>
          <cell r="Q2240" t="str">
            <v>Soda Ash</v>
          </cell>
          <cell r="R2240">
            <v>1980.0407</v>
          </cell>
          <cell r="S2240">
            <v>138286.07999999999</v>
          </cell>
        </row>
        <row r="2241">
          <cell r="A2241" t="str">
            <v>Actual</v>
          </cell>
          <cell r="B2241">
            <v>2</v>
          </cell>
          <cell r="C2241" t="str">
            <v>Domestic</v>
          </cell>
          <cell r="D2241">
            <v>5</v>
          </cell>
          <cell r="E2241">
            <v>8858</v>
          </cell>
          <cell r="F2241" t="str">
            <v>OWENS CORNING</v>
          </cell>
          <cell r="G2241" t="str">
            <v>D</v>
          </cell>
          <cell r="H2241" t="str">
            <v>SELKIRK</v>
          </cell>
          <cell r="I2241" t="str">
            <v>NY</v>
          </cell>
          <cell r="J2241" t="str">
            <v>USA</v>
          </cell>
          <cell r="K2241" t="str">
            <v>OWENS CORNING</v>
          </cell>
          <cell r="L2241" t="str">
            <v>NY</v>
          </cell>
          <cell r="M2241" t="str">
            <v>USA</v>
          </cell>
          <cell r="N2241" t="str">
            <v>C</v>
          </cell>
          <cell r="O2241">
            <v>30210100</v>
          </cell>
          <cell r="P2241" t="str">
            <v>SODA ASH DENSE BULK</v>
          </cell>
          <cell r="Q2241" t="str">
            <v>Soda Ash</v>
          </cell>
          <cell r="R2241">
            <v>1980.6845000000001</v>
          </cell>
          <cell r="S2241">
            <v>131854.24</v>
          </cell>
        </row>
        <row r="2242">
          <cell r="A2242" t="str">
            <v>Actual</v>
          </cell>
          <cell r="B2242">
            <v>2</v>
          </cell>
          <cell r="C2242" t="str">
            <v>Domestic</v>
          </cell>
          <cell r="D2242">
            <v>5</v>
          </cell>
          <cell r="E2242">
            <v>9008</v>
          </cell>
          <cell r="F2242" t="str">
            <v>CITY CHEMICAL LLC</v>
          </cell>
          <cell r="G2242" t="str">
            <v>D</v>
          </cell>
          <cell r="H2242" t="str">
            <v>WEST HAVEN</v>
          </cell>
          <cell r="I2242" t="str">
            <v>CT</v>
          </cell>
          <cell r="J2242" t="str">
            <v>USA</v>
          </cell>
          <cell r="K2242" t="str">
            <v>CITY CHEMICAL LLC</v>
          </cell>
          <cell r="L2242" t="str">
            <v>CT</v>
          </cell>
          <cell r="M2242" t="str">
            <v>USA</v>
          </cell>
          <cell r="N2242" t="str">
            <v>C</v>
          </cell>
          <cell r="O2242">
            <v>78099720</v>
          </cell>
          <cell r="P2242" t="str">
            <v>POTASSIUM PENTABORATE 25KG BAG</v>
          </cell>
          <cell r="Q2242" t="str">
            <v>Boric Salt (SCL)</v>
          </cell>
          <cell r="R2242">
            <v>0.496</v>
          </cell>
          <cell r="S2242">
            <v>1911.18</v>
          </cell>
        </row>
        <row r="2243">
          <cell r="A2243" t="str">
            <v>Actual</v>
          </cell>
          <cell r="B2243">
            <v>2</v>
          </cell>
          <cell r="C2243" t="str">
            <v>Domestic</v>
          </cell>
          <cell r="D2243">
            <v>5</v>
          </cell>
          <cell r="E2243">
            <v>9025</v>
          </cell>
          <cell r="F2243" t="str">
            <v>PEMCO CORPORATION</v>
          </cell>
          <cell r="G2243" t="str">
            <v>D</v>
          </cell>
          <cell r="H2243" t="str">
            <v>LEESBURG</v>
          </cell>
          <cell r="I2243" t="str">
            <v>AL</v>
          </cell>
          <cell r="J2243" t="str">
            <v>USA</v>
          </cell>
          <cell r="K2243" t="str">
            <v>PEMCO CORPORATION</v>
          </cell>
          <cell r="L2243" t="str">
            <v>AL</v>
          </cell>
          <cell r="M2243" t="str">
            <v>USA</v>
          </cell>
          <cell r="N2243" t="str">
            <v>C</v>
          </cell>
          <cell r="O2243">
            <v>20060200</v>
          </cell>
          <cell r="P2243" t="str">
            <v>PYROBOR ANHY BORAX BULK (002)</v>
          </cell>
          <cell r="Q2243" t="str">
            <v>Pyrobor</v>
          </cell>
          <cell r="R2243">
            <v>181.06</v>
          </cell>
          <cell r="S2243">
            <v>83060.039999999994</v>
          </cell>
        </row>
        <row r="2244">
          <cell r="A2244" t="str">
            <v>Actual</v>
          </cell>
          <cell r="B2244">
            <v>2</v>
          </cell>
          <cell r="C2244" t="str">
            <v>Domestic</v>
          </cell>
          <cell r="D2244">
            <v>5</v>
          </cell>
          <cell r="E2244">
            <v>9048</v>
          </cell>
          <cell r="F2244" t="str">
            <v>UNIVAR USA</v>
          </cell>
          <cell r="G2244" t="str">
            <v>D</v>
          </cell>
          <cell r="H2244" t="str">
            <v>BUNOLA</v>
          </cell>
          <cell r="I2244" t="str">
            <v>PA</v>
          </cell>
          <cell r="J2244" t="str">
            <v>USA</v>
          </cell>
          <cell r="K2244" t="str">
            <v>UNIVAR USA</v>
          </cell>
          <cell r="L2244" t="str">
            <v>IL</v>
          </cell>
          <cell r="M2244" t="str">
            <v>USA</v>
          </cell>
          <cell r="N2244" t="str">
            <v>D</v>
          </cell>
          <cell r="O2244">
            <v>20060210</v>
          </cell>
          <cell r="P2244" t="str">
            <v>PYROBOR 50LB BAG (002)</v>
          </cell>
          <cell r="Q2244" t="str">
            <v>Pyrobor</v>
          </cell>
          <cell r="R2244">
            <v>22.05</v>
          </cell>
          <cell r="S2244">
            <v>10945.45</v>
          </cell>
        </row>
        <row r="2245">
          <cell r="A2245" t="str">
            <v>Actual</v>
          </cell>
          <cell r="B2245">
            <v>2</v>
          </cell>
          <cell r="C2245" t="str">
            <v>Domestic</v>
          </cell>
          <cell r="D2245">
            <v>5</v>
          </cell>
          <cell r="E2245">
            <v>9048</v>
          </cell>
          <cell r="F2245" t="str">
            <v>UNIVAR USA</v>
          </cell>
          <cell r="G2245" t="str">
            <v>D</v>
          </cell>
          <cell r="H2245" t="str">
            <v>BUNOLA</v>
          </cell>
          <cell r="I2245" t="str">
            <v>PA</v>
          </cell>
          <cell r="J2245" t="str">
            <v>USA</v>
          </cell>
          <cell r="K2245" t="str">
            <v>UNIVAR USA</v>
          </cell>
          <cell r="L2245" t="str">
            <v>IL</v>
          </cell>
          <cell r="M2245" t="str">
            <v>USA</v>
          </cell>
          <cell r="N2245" t="str">
            <v>D</v>
          </cell>
          <cell r="O2245">
            <v>22060450</v>
          </cell>
          <cell r="P2245" t="str">
            <v>V-BOR 1TN FIBC (004)</v>
          </cell>
          <cell r="Q2245" t="str">
            <v>Penta</v>
          </cell>
          <cell r="R2245">
            <v>0</v>
          </cell>
          <cell r="S2245">
            <v>-1383.8064999999999</v>
          </cell>
        </row>
        <row r="2246">
          <cell r="A2246" t="str">
            <v>Actual</v>
          </cell>
          <cell r="B2246">
            <v>2</v>
          </cell>
          <cell r="C2246" t="str">
            <v>Domestic</v>
          </cell>
          <cell r="D2246">
            <v>5</v>
          </cell>
          <cell r="E2246">
            <v>9048</v>
          </cell>
          <cell r="F2246" t="str">
            <v>UNIVAR USA</v>
          </cell>
          <cell r="G2246" t="str">
            <v>D</v>
          </cell>
          <cell r="H2246" t="str">
            <v>BUNOLA</v>
          </cell>
          <cell r="I2246" t="str">
            <v>PA</v>
          </cell>
          <cell r="J2246" t="str">
            <v>USA</v>
          </cell>
          <cell r="K2246" t="str">
            <v>UNIVAR USA</v>
          </cell>
          <cell r="L2246" t="str">
            <v>IL</v>
          </cell>
          <cell r="M2246" t="str">
            <v>USA</v>
          </cell>
          <cell r="N2246" t="str">
            <v>D</v>
          </cell>
          <cell r="O2246">
            <v>24090210</v>
          </cell>
          <cell r="P2246" t="str">
            <v>BORIC ACID GRAN TECH 50LB BAG</v>
          </cell>
          <cell r="Q2246" t="str">
            <v>Boric Acid</v>
          </cell>
          <cell r="R2246">
            <v>22.05</v>
          </cell>
          <cell r="S2246">
            <v>8732.3865000000005</v>
          </cell>
        </row>
        <row r="2247">
          <cell r="A2247" t="str">
            <v>Actual</v>
          </cell>
          <cell r="B2247">
            <v>2</v>
          </cell>
          <cell r="C2247" t="str">
            <v>Domestic</v>
          </cell>
          <cell r="D2247">
            <v>5</v>
          </cell>
          <cell r="E2247">
            <v>9119</v>
          </cell>
          <cell r="F2247" t="str">
            <v>UNIVAR USA</v>
          </cell>
          <cell r="G2247" t="str">
            <v>D</v>
          </cell>
          <cell r="H2247" t="str">
            <v>MIDDLETOWN</v>
          </cell>
          <cell r="I2247" t="str">
            <v>PA</v>
          </cell>
          <cell r="J2247" t="str">
            <v>USA</v>
          </cell>
          <cell r="K2247" t="str">
            <v>UNIVAR USA</v>
          </cell>
          <cell r="L2247" t="str">
            <v>PA</v>
          </cell>
          <cell r="M2247" t="str">
            <v>USA</v>
          </cell>
          <cell r="N2247" t="str">
            <v>D</v>
          </cell>
          <cell r="O2247">
            <v>22060410</v>
          </cell>
          <cell r="P2247" t="str">
            <v>V-BOR 50LB BAG (004)</v>
          </cell>
          <cell r="Q2247" t="str">
            <v>Penta</v>
          </cell>
          <cell r="R2247">
            <v>20.824999999999999</v>
          </cell>
          <cell r="S2247">
            <v>6092.5</v>
          </cell>
        </row>
        <row r="2248">
          <cell r="A2248" t="str">
            <v>Actual</v>
          </cell>
          <cell r="B2248">
            <v>2</v>
          </cell>
          <cell r="C2248" t="str">
            <v>Domestic</v>
          </cell>
          <cell r="D2248">
            <v>5</v>
          </cell>
          <cell r="E2248">
            <v>9261</v>
          </cell>
          <cell r="F2248" t="str">
            <v>OWENS CORNING</v>
          </cell>
          <cell r="G2248" t="str">
            <v>D</v>
          </cell>
          <cell r="H2248" t="str">
            <v>SANTA CLARA</v>
          </cell>
          <cell r="I2248" t="str">
            <v>CA</v>
          </cell>
          <cell r="J2248" t="str">
            <v>USA</v>
          </cell>
          <cell r="K2248" t="str">
            <v>OWENS CORNING</v>
          </cell>
          <cell r="L2248" t="str">
            <v>CA</v>
          </cell>
          <cell r="M2248" t="str">
            <v>USA</v>
          </cell>
          <cell r="N2248" t="str">
            <v>C</v>
          </cell>
          <cell r="O2248">
            <v>30210100</v>
          </cell>
          <cell r="P2248" t="str">
            <v>SODA ASH DENSE BULK</v>
          </cell>
          <cell r="Q2248" t="str">
            <v>Soda Ash</v>
          </cell>
          <cell r="R2248">
            <v>552.9298</v>
          </cell>
          <cell r="S2248">
            <v>49448.53</v>
          </cell>
        </row>
        <row r="2249">
          <cell r="A2249" t="str">
            <v>Actual</v>
          </cell>
          <cell r="B2249">
            <v>2</v>
          </cell>
          <cell r="C2249" t="str">
            <v>Domestic</v>
          </cell>
          <cell r="D2249">
            <v>5</v>
          </cell>
          <cell r="E2249">
            <v>9263</v>
          </cell>
          <cell r="F2249" t="str">
            <v>OWENS CORNING</v>
          </cell>
          <cell r="G2249" t="str">
            <v>D</v>
          </cell>
          <cell r="H2249" t="str">
            <v>ELOY</v>
          </cell>
          <cell r="I2249" t="str">
            <v>AZ</v>
          </cell>
          <cell r="J2249" t="str">
            <v>USA</v>
          </cell>
          <cell r="K2249" t="str">
            <v>OWENS CORNING</v>
          </cell>
          <cell r="L2249" t="str">
            <v>AZ</v>
          </cell>
          <cell r="M2249" t="str">
            <v>USA</v>
          </cell>
          <cell r="N2249" t="str">
            <v>C</v>
          </cell>
          <cell r="O2249">
            <v>30210100</v>
          </cell>
          <cell r="P2249" t="str">
            <v>SODA ASH DENSE BULK</v>
          </cell>
          <cell r="Q2249" t="str">
            <v>Soda Ash</v>
          </cell>
          <cell r="R2249">
            <v>171.815</v>
          </cell>
          <cell r="S2249">
            <v>12499.55</v>
          </cell>
        </row>
        <row r="2250">
          <cell r="A2250" t="str">
            <v>Actual</v>
          </cell>
          <cell r="B2250">
            <v>2</v>
          </cell>
          <cell r="C2250" t="str">
            <v>Domestic</v>
          </cell>
          <cell r="D2250">
            <v>5</v>
          </cell>
          <cell r="E2250">
            <v>9264</v>
          </cell>
          <cell r="F2250" t="str">
            <v>OWENS CORNING CANADA INC.</v>
          </cell>
          <cell r="G2250" t="str">
            <v>D</v>
          </cell>
          <cell r="H2250" t="str">
            <v>AGINCOURT</v>
          </cell>
          <cell r="I2250" t="str">
            <v>ON</v>
          </cell>
          <cell r="J2250" t="str">
            <v>CAN</v>
          </cell>
          <cell r="K2250" t="str">
            <v>OWENS CORNING CANADA INC.</v>
          </cell>
          <cell r="L2250" t="str">
            <v>ON</v>
          </cell>
          <cell r="M2250" t="str">
            <v>CAN</v>
          </cell>
          <cell r="N2250" t="str">
            <v>C</v>
          </cell>
          <cell r="O2250">
            <v>30210100</v>
          </cell>
          <cell r="P2250" t="str">
            <v>SODA ASH DENSE BULK</v>
          </cell>
          <cell r="Q2250" t="str">
            <v>Soda Ash</v>
          </cell>
          <cell r="R2250">
            <v>178.71449999999999</v>
          </cell>
          <cell r="S2250">
            <v>13312.5</v>
          </cell>
        </row>
        <row r="2251">
          <cell r="A2251" t="str">
            <v>Actual</v>
          </cell>
          <cell r="B2251">
            <v>2</v>
          </cell>
          <cell r="C2251" t="str">
            <v>Domestic</v>
          </cell>
          <cell r="D2251">
            <v>5</v>
          </cell>
          <cell r="E2251">
            <v>9265</v>
          </cell>
          <cell r="F2251" t="str">
            <v>OWENS CORNING</v>
          </cell>
          <cell r="G2251" t="str">
            <v>D</v>
          </cell>
          <cell r="H2251" t="str">
            <v>CANDIAC</v>
          </cell>
          <cell r="I2251" t="str">
            <v>PQ</v>
          </cell>
          <cell r="J2251" t="str">
            <v>CAN</v>
          </cell>
          <cell r="K2251" t="str">
            <v>OWENS CORNING</v>
          </cell>
          <cell r="L2251" t="str">
            <v>PQ</v>
          </cell>
          <cell r="M2251" t="str">
            <v>CAN</v>
          </cell>
          <cell r="N2251" t="str">
            <v>C</v>
          </cell>
          <cell r="O2251">
            <v>30210100</v>
          </cell>
          <cell r="P2251" t="str">
            <v>SODA ASH DENSE BULK</v>
          </cell>
          <cell r="Q2251" t="str">
            <v>Soda Ash</v>
          </cell>
          <cell r="R2251">
            <v>114.10509999999999</v>
          </cell>
          <cell r="S2251">
            <v>8160.79</v>
          </cell>
        </row>
        <row r="2252">
          <cell r="A2252" t="str">
            <v>Actual</v>
          </cell>
          <cell r="B2252">
            <v>2</v>
          </cell>
          <cell r="C2252" t="str">
            <v>Domestic</v>
          </cell>
          <cell r="D2252">
            <v>5</v>
          </cell>
          <cell r="E2252">
            <v>9408</v>
          </cell>
          <cell r="F2252" t="str">
            <v>ROSE MILL CO.</v>
          </cell>
          <cell r="G2252" t="str">
            <v>D</v>
          </cell>
          <cell r="H2252" t="str">
            <v>EAST HARTFORD</v>
          </cell>
          <cell r="I2252" t="str">
            <v>CT</v>
          </cell>
          <cell r="J2252" t="str">
            <v>USA</v>
          </cell>
          <cell r="K2252" t="str">
            <v>ROSE MILL CO.</v>
          </cell>
          <cell r="L2252" t="str">
            <v>CT</v>
          </cell>
          <cell r="M2252" t="str">
            <v>USA</v>
          </cell>
          <cell r="N2252" t="str">
            <v>C</v>
          </cell>
          <cell r="O2252">
            <v>23629792</v>
          </cell>
          <cell r="P2252" t="str">
            <v>DECA BORAX EP 150KG DRUM</v>
          </cell>
          <cell r="Q2252" t="str">
            <v>Boric Salt (SCL)</v>
          </cell>
          <cell r="R2252">
            <v>4.1336000000000004</v>
          </cell>
          <cell r="S2252">
            <v>7753.9</v>
          </cell>
        </row>
        <row r="2253">
          <cell r="A2253" t="str">
            <v>Actual</v>
          </cell>
          <cell r="B2253">
            <v>2</v>
          </cell>
          <cell r="C2253" t="str">
            <v>Domestic</v>
          </cell>
          <cell r="D2253">
            <v>5</v>
          </cell>
          <cell r="E2253">
            <v>9467</v>
          </cell>
          <cell r="F2253" t="str">
            <v>CERTAIN-TEED CORP</v>
          </cell>
          <cell r="G2253" t="str">
            <v>D</v>
          </cell>
          <cell r="H2253" t="str">
            <v>MOUNTAIN TOP</v>
          </cell>
          <cell r="I2253" t="str">
            <v>PA</v>
          </cell>
          <cell r="J2253" t="str">
            <v>USA</v>
          </cell>
          <cell r="K2253" t="str">
            <v>CERTAIN-TEED CORP</v>
          </cell>
          <cell r="L2253" t="str">
            <v>PA</v>
          </cell>
          <cell r="M2253" t="str">
            <v>USA</v>
          </cell>
          <cell r="N2253" t="str">
            <v>C</v>
          </cell>
          <cell r="O2253">
            <v>22060400</v>
          </cell>
          <cell r="P2253" t="str">
            <v>V-BOR STD BULK (004)</v>
          </cell>
          <cell r="Q2253" t="str">
            <v>Penta</v>
          </cell>
          <cell r="R2253">
            <v>753.22500000000002</v>
          </cell>
          <cell r="S2253">
            <v>168157.48</v>
          </cell>
        </row>
        <row r="2254">
          <cell r="A2254" t="str">
            <v>Actual</v>
          </cell>
          <cell r="B2254">
            <v>2</v>
          </cell>
          <cell r="C2254" t="str">
            <v>Domestic</v>
          </cell>
          <cell r="D2254">
            <v>5</v>
          </cell>
          <cell r="E2254">
            <v>9526</v>
          </cell>
          <cell r="F2254" t="str">
            <v>BRENNTAG NORTHEAST, INC.</v>
          </cell>
          <cell r="G2254" t="str">
            <v>D</v>
          </cell>
          <cell r="H2254" t="str">
            <v>OAKMONT</v>
          </cell>
          <cell r="I2254" t="str">
            <v>PA</v>
          </cell>
          <cell r="J2254" t="str">
            <v>USA</v>
          </cell>
          <cell r="K2254" t="str">
            <v>BRENNTAG NORTHEAST, INC.</v>
          </cell>
          <cell r="L2254" t="str">
            <v>PA</v>
          </cell>
          <cell r="M2254" t="str">
            <v>USA</v>
          </cell>
          <cell r="N2254" t="str">
            <v>D</v>
          </cell>
          <cell r="O2254">
            <v>22060410</v>
          </cell>
          <cell r="P2254" t="str">
            <v>V-BOR 50LB BAG (004)</v>
          </cell>
          <cell r="Q2254" t="str">
            <v>Penta</v>
          </cell>
          <cell r="R2254">
            <v>22.05</v>
          </cell>
          <cell r="S2254">
            <v>7674.61</v>
          </cell>
        </row>
        <row r="2255">
          <cell r="A2255" t="str">
            <v>Actual</v>
          </cell>
          <cell r="B2255">
            <v>2</v>
          </cell>
          <cell r="C2255" t="str">
            <v>Export</v>
          </cell>
          <cell r="D2255">
            <v>50</v>
          </cell>
          <cell r="E2255">
            <v>6425</v>
          </cell>
          <cell r="F2255" t="str">
            <v>VERRERIES DU COURVAL</v>
          </cell>
          <cell r="G2255" t="str">
            <v>E</v>
          </cell>
          <cell r="H2255" t="str">
            <v>BLANGY SUR BRESLE</v>
          </cell>
          <cell r="J2255" t="str">
            <v>FRA</v>
          </cell>
          <cell r="K2255" t="str">
            <v>IMC CHEMICALS EUROPE</v>
          </cell>
          <cell r="M2255" t="str">
            <v>FRA</v>
          </cell>
          <cell r="N2255" t="str">
            <v>C</v>
          </cell>
          <cell r="O2255">
            <v>20060200</v>
          </cell>
          <cell r="P2255" t="str">
            <v>PYROBOR ANHY BORAX BULK (002)</v>
          </cell>
          <cell r="Q2255" t="str">
            <v>Pyrobor</v>
          </cell>
          <cell r="R2255">
            <v>27.7559</v>
          </cell>
          <cell r="S2255">
            <v>15589.511200000001</v>
          </cell>
        </row>
        <row r="2256">
          <cell r="A2256" t="str">
            <v>Actual</v>
          </cell>
          <cell r="B2256">
            <v>2</v>
          </cell>
          <cell r="C2256" t="str">
            <v>Export</v>
          </cell>
          <cell r="D2256">
            <v>50</v>
          </cell>
          <cell r="E2256">
            <v>8893</v>
          </cell>
          <cell r="F2256" t="str">
            <v>WHEATON FRANCE</v>
          </cell>
          <cell r="G2256" t="str">
            <v>E</v>
          </cell>
          <cell r="H2256" t="str">
            <v>AUMALE</v>
          </cell>
          <cell r="J2256" t="str">
            <v>FRA</v>
          </cell>
          <cell r="K2256" t="str">
            <v>IMC CHEMICALS EUROPE</v>
          </cell>
          <cell r="M2256" t="str">
            <v>FRA</v>
          </cell>
          <cell r="N2256" t="str">
            <v>D</v>
          </cell>
          <cell r="O2256">
            <v>20060200</v>
          </cell>
          <cell r="P2256" t="str">
            <v>PYROBOR ANHY BORAX BULK (002)</v>
          </cell>
          <cell r="Q2256" t="str">
            <v>Pyrobor</v>
          </cell>
          <cell r="R2256">
            <v>142.4393</v>
          </cell>
          <cell r="S2256">
            <v>83662.502399999998</v>
          </cell>
        </row>
        <row r="2257">
          <cell r="A2257" t="str">
            <v>Actual</v>
          </cell>
          <cell r="B2257">
            <v>2</v>
          </cell>
          <cell r="C2257" t="str">
            <v>Export</v>
          </cell>
          <cell r="D2257">
            <v>50</v>
          </cell>
          <cell r="E2257">
            <v>8898</v>
          </cell>
          <cell r="F2257" t="str">
            <v>ARC INTERNATIONAL</v>
          </cell>
          <cell r="G2257" t="str">
            <v>E</v>
          </cell>
          <cell r="H2257" t="str">
            <v>ARQUES</v>
          </cell>
          <cell r="J2257" t="str">
            <v>FRA</v>
          </cell>
          <cell r="K2257" t="str">
            <v>IMC CHEMICALS EUROPE</v>
          </cell>
          <cell r="M2257" t="str">
            <v>FRA</v>
          </cell>
          <cell r="N2257" t="str">
            <v>C</v>
          </cell>
          <cell r="O2257">
            <v>30210100</v>
          </cell>
          <cell r="P2257" t="str">
            <v>SODA ASH DENSE BULK</v>
          </cell>
          <cell r="Q2257" t="str">
            <v>Soda Ash</v>
          </cell>
          <cell r="R2257">
            <v>1435.6089999999999</v>
          </cell>
          <cell r="S2257">
            <v>75770.816699999996</v>
          </cell>
        </row>
        <row r="2258">
          <cell r="A2258" t="str">
            <v>Actual</v>
          </cell>
          <cell r="B2258">
            <v>2</v>
          </cell>
          <cell r="C2258" t="str">
            <v>Export</v>
          </cell>
          <cell r="D2258">
            <v>50</v>
          </cell>
          <cell r="E2258">
            <v>8911</v>
          </cell>
          <cell r="F2258" t="str">
            <v>FERRO FRANCE</v>
          </cell>
          <cell r="G2258" t="str">
            <v>E</v>
          </cell>
          <cell r="H2258" t="str">
            <v>ST DIZIER</v>
          </cell>
          <cell r="J2258" t="str">
            <v>FRA</v>
          </cell>
          <cell r="K2258" t="str">
            <v>IMC CHEMICALS EUROPE</v>
          </cell>
          <cell r="M2258" t="str">
            <v>FRA</v>
          </cell>
          <cell r="N2258" t="str">
            <v>D</v>
          </cell>
          <cell r="O2258">
            <v>20060200</v>
          </cell>
          <cell r="P2258" t="str">
            <v>PYROBOR ANHY BORAX BULK (002)</v>
          </cell>
          <cell r="Q2258" t="str">
            <v>Pyrobor</v>
          </cell>
          <cell r="R2258">
            <v>65.078699999999998</v>
          </cell>
          <cell r="S2258">
            <v>32257.3</v>
          </cell>
        </row>
        <row r="2259">
          <cell r="A2259" t="str">
            <v>Actual</v>
          </cell>
          <cell r="B2259">
            <v>2</v>
          </cell>
          <cell r="C2259" t="str">
            <v>Export</v>
          </cell>
          <cell r="D2259">
            <v>50</v>
          </cell>
          <cell r="E2259">
            <v>8913</v>
          </cell>
          <cell r="F2259" t="str">
            <v>FERRO HOLLAND B.V.</v>
          </cell>
          <cell r="G2259" t="str">
            <v>E</v>
          </cell>
          <cell r="H2259" t="str">
            <v>BA ROTTERDAM</v>
          </cell>
          <cell r="J2259" t="str">
            <v>NET</v>
          </cell>
          <cell r="K2259" t="str">
            <v>IMC CHEMICALS EUROPE</v>
          </cell>
          <cell r="M2259" t="str">
            <v>FRA</v>
          </cell>
          <cell r="N2259" t="str">
            <v>D</v>
          </cell>
          <cell r="O2259">
            <v>20060200</v>
          </cell>
          <cell r="P2259" t="str">
            <v>PYROBOR ANHY BORAX BULK (002)</v>
          </cell>
          <cell r="Q2259" t="str">
            <v>Pyrobor</v>
          </cell>
          <cell r="R2259">
            <v>193.3809</v>
          </cell>
          <cell r="S2259">
            <v>85326.31</v>
          </cell>
        </row>
        <row r="2260">
          <cell r="A2260" t="str">
            <v>Actual</v>
          </cell>
          <cell r="B2260">
            <v>2</v>
          </cell>
          <cell r="C2260" t="str">
            <v>Export</v>
          </cell>
          <cell r="D2260">
            <v>50</v>
          </cell>
          <cell r="E2260">
            <v>8922</v>
          </cell>
          <cell r="F2260" t="str">
            <v>SAINT GOBAIN DESJONQUERES</v>
          </cell>
          <cell r="G2260" t="str">
            <v>E</v>
          </cell>
          <cell r="H2260" t="str">
            <v>MERS-LES-BAINS</v>
          </cell>
          <cell r="J2260" t="str">
            <v>FRA</v>
          </cell>
          <cell r="K2260" t="str">
            <v>IMC CHEMICALS EUROPE</v>
          </cell>
          <cell r="M2260" t="str">
            <v>FRA</v>
          </cell>
          <cell r="N2260" t="str">
            <v>C</v>
          </cell>
          <cell r="O2260">
            <v>20060200</v>
          </cell>
          <cell r="P2260" t="str">
            <v>PYROBOR ANHY BORAX BULK (002)</v>
          </cell>
          <cell r="Q2260" t="str">
            <v>Pyrobor</v>
          </cell>
          <cell r="R2260">
            <v>139.2646</v>
          </cell>
          <cell r="S2260">
            <v>68202.81</v>
          </cell>
        </row>
        <row r="2261">
          <cell r="A2261" t="str">
            <v>Actual</v>
          </cell>
          <cell r="B2261">
            <v>2</v>
          </cell>
          <cell r="C2261" t="str">
            <v>Export</v>
          </cell>
          <cell r="D2261">
            <v>50</v>
          </cell>
          <cell r="E2261">
            <v>8925</v>
          </cell>
          <cell r="F2261" t="str">
            <v>WISTHOFF GmbH &amp; Co.</v>
          </cell>
          <cell r="G2261" t="str">
            <v>E</v>
          </cell>
          <cell r="H2261" t="str">
            <v>ESSEN</v>
          </cell>
          <cell r="J2261" t="str">
            <v>GER</v>
          </cell>
          <cell r="K2261" t="str">
            <v>IMC CHEMICALS EUROPE</v>
          </cell>
          <cell r="M2261" t="str">
            <v>FRA</v>
          </cell>
          <cell r="N2261" t="str">
            <v>C</v>
          </cell>
          <cell r="O2261">
            <v>20060220</v>
          </cell>
          <cell r="P2261" t="str">
            <v>PYROBOR 25KG BAG (002)</v>
          </cell>
          <cell r="Q2261" t="str">
            <v>Pyrobor</v>
          </cell>
          <cell r="R2261">
            <v>27.556999999999999</v>
          </cell>
          <cell r="S2261">
            <v>19284.68</v>
          </cell>
        </row>
        <row r="2262">
          <cell r="A2262" t="str">
            <v>Actual</v>
          </cell>
          <cell r="B2262">
            <v>2</v>
          </cell>
          <cell r="C2262" t="str">
            <v>Export</v>
          </cell>
          <cell r="D2262">
            <v>50</v>
          </cell>
          <cell r="E2262">
            <v>9219</v>
          </cell>
          <cell r="F2262" t="str">
            <v>WENDEL GMBH</v>
          </cell>
          <cell r="G2262" t="str">
            <v>E</v>
          </cell>
          <cell r="H2262" t="str">
            <v>DILLENBURG</v>
          </cell>
          <cell r="J2262" t="str">
            <v>GER</v>
          </cell>
          <cell r="K2262" t="str">
            <v>IMC CHEMICALS EUROPE</v>
          </cell>
          <cell r="M2262" t="str">
            <v>FRA</v>
          </cell>
          <cell r="N2262" t="str">
            <v>C</v>
          </cell>
          <cell r="O2262">
            <v>20060200</v>
          </cell>
          <cell r="P2262" t="str">
            <v>PYROBOR ANHY BORAX BULK (002)</v>
          </cell>
          <cell r="Q2262" t="str">
            <v>Pyrobor</v>
          </cell>
          <cell r="R2262">
            <v>26.962299999999999</v>
          </cell>
          <cell r="S2262">
            <v>16787.75</v>
          </cell>
        </row>
        <row r="2263">
          <cell r="A2263" t="str">
            <v>Actual</v>
          </cell>
          <cell r="B2263">
            <v>2</v>
          </cell>
          <cell r="C2263" t="str">
            <v>Export</v>
          </cell>
          <cell r="D2263">
            <v>50</v>
          </cell>
          <cell r="E2263">
            <v>9596</v>
          </cell>
          <cell r="F2263" t="str">
            <v>ARC INTERNATIONAL</v>
          </cell>
          <cell r="G2263" t="str">
            <v>E</v>
          </cell>
          <cell r="H2263" t="str">
            <v>ARQUES</v>
          </cell>
          <cell r="J2263" t="str">
            <v>FRA</v>
          </cell>
          <cell r="K2263" t="str">
            <v>IMC CHEMICALS EUROPE</v>
          </cell>
          <cell r="M2263" t="str">
            <v>FRA</v>
          </cell>
          <cell r="N2263" t="str">
            <v>D</v>
          </cell>
          <cell r="O2263">
            <v>20060200</v>
          </cell>
          <cell r="P2263" t="str">
            <v>PYROBOR ANHY BORAX BULK (002)</v>
          </cell>
          <cell r="Q2263" t="str">
            <v>Pyrobor</v>
          </cell>
          <cell r="R2263">
            <v>32.131300000000003</v>
          </cell>
          <cell r="S2263">
            <v>15123.5</v>
          </cell>
        </row>
        <row r="2264">
          <cell r="A2264" t="str">
            <v>Actual</v>
          </cell>
          <cell r="B2264">
            <v>2</v>
          </cell>
          <cell r="C2264" t="str">
            <v>Export</v>
          </cell>
          <cell r="D2264">
            <v>55</v>
          </cell>
          <cell r="E2264">
            <v>5350</v>
          </cell>
          <cell r="F2264" t="str">
            <v>SHIONOGI/NAGOYA</v>
          </cell>
          <cell r="G2264" t="str">
            <v>E</v>
          </cell>
          <cell r="H2264" t="str">
            <v>NAGOYA</v>
          </cell>
          <cell r="J2264" t="str">
            <v>JAP</v>
          </cell>
          <cell r="K2264" t="str">
            <v>SHIONOGI &amp; COMPANY LTD</v>
          </cell>
          <cell r="M2264" t="str">
            <v>JAP</v>
          </cell>
          <cell r="N2264" t="str">
            <v>C</v>
          </cell>
          <cell r="O2264">
            <v>22060455</v>
          </cell>
          <cell r="P2264" t="str">
            <v>V-BOR 1 MT FIBC (004)</v>
          </cell>
          <cell r="Q2264" t="str">
            <v>Penta</v>
          </cell>
          <cell r="R2264">
            <v>0</v>
          </cell>
          <cell r="S2264">
            <v>-5.5</v>
          </cell>
        </row>
        <row r="2265">
          <cell r="A2265" t="str">
            <v>Actual</v>
          </cell>
          <cell r="B2265">
            <v>2</v>
          </cell>
          <cell r="C2265" t="str">
            <v>Export</v>
          </cell>
          <cell r="D2265">
            <v>55</v>
          </cell>
          <cell r="E2265">
            <v>5350</v>
          </cell>
          <cell r="F2265" t="str">
            <v>SHIONOGI/NAGOYA</v>
          </cell>
          <cell r="G2265" t="str">
            <v>E</v>
          </cell>
          <cell r="H2265" t="str">
            <v>NAGOYA</v>
          </cell>
          <cell r="J2265" t="str">
            <v>JAP</v>
          </cell>
          <cell r="K2265" t="str">
            <v>SHIONOGI &amp; COMPANY LTD</v>
          </cell>
          <cell r="M2265" t="str">
            <v>JAP</v>
          </cell>
          <cell r="N2265" t="str">
            <v>C</v>
          </cell>
          <cell r="O2265">
            <v>24090228</v>
          </cell>
          <cell r="P2265" t="str">
            <v>BORIC ACID GRAN 25KG BAG, WOOD</v>
          </cell>
          <cell r="Q2265" t="str">
            <v>Boric Acid</v>
          </cell>
          <cell r="R2265">
            <v>21.990500000000001</v>
          </cell>
          <cell r="S2265">
            <v>11486</v>
          </cell>
        </row>
        <row r="2266">
          <cell r="A2266" t="str">
            <v>Actual</v>
          </cell>
          <cell r="B2266">
            <v>2</v>
          </cell>
          <cell r="C2266" t="str">
            <v>Export</v>
          </cell>
          <cell r="D2266">
            <v>55</v>
          </cell>
          <cell r="E2266">
            <v>5352</v>
          </cell>
          <cell r="F2266" t="str">
            <v>SHIONOGI/YOKOHAMA</v>
          </cell>
          <cell r="G2266" t="str">
            <v>E</v>
          </cell>
          <cell r="H2266" t="str">
            <v>YOKOHAMA</v>
          </cell>
          <cell r="J2266" t="str">
            <v>JAP</v>
          </cell>
          <cell r="K2266" t="str">
            <v>SHIONOGI &amp; COMPANY LTD</v>
          </cell>
          <cell r="M2266" t="str">
            <v>JAP</v>
          </cell>
          <cell r="N2266" t="str">
            <v>C</v>
          </cell>
          <cell r="O2266">
            <v>20060228</v>
          </cell>
          <cell r="P2266" t="str">
            <v>PYROBOR 25KG BAG (002), WOOD</v>
          </cell>
          <cell r="Q2266" t="str">
            <v>Pyrobor</v>
          </cell>
          <cell r="R2266">
            <v>12.731299999999999</v>
          </cell>
          <cell r="S2266">
            <v>7980.5558000000001</v>
          </cell>
        </row>
        <row r="2267">
          <cell r="A2267" t="str">
            <v>Actual</v>
          </cell>
          <cell r="B2267">
            <v>2</v>
          </cell>
          <cell r="C2267" t="str">
            <v>Export</v>
          </cell>
          <cell r="D2267">
            <v>55</v>
          </cell>
          <cell r="E2267">
            <v>5352</v>
          </cell>
          <cell r="F2267" t="str">
            <v>SHIONOGI/YOKOHAMA</v>
          </cell>
          <cell r="G2267" t="str">
            <v>E</v>
          </cell>
          <cell r="H2267" t="str">
            <v>YOKOHAMA</v>
          </cell>
          <cell r="J2267" t="str">
            <v>JAP</v>
          </cell>
          <cell r="K2267" t="str">
            <v>SHIONOGI &amp; COMPANY LTD</v>
          </cell>
          <cell r="M2267" t="str">
            <v>JAP</v>
          </cell>
          <cell r="N2267" t="str">
            <v>C</v>
          </cell>
          <cell r="O2267" t="str">
            <v>230602B8</v>
          </cell>
          <cell r="P2267" t="str">
            <v>DECA STD 25KG POLYBAG, WOOD</v>
          </cell>
          <cell r="Q2267" t="str">
            <v>Deca</v>
          </cell>
          <cell r="R2267">
            <v>9.2591999999999999</v>
          </cell>
          <cell r="S2267">
            <v>2588.9441999999999</v>
          </cell>
        </row>
        <row r="2268">
          <cell r="A2268" t="str">
            <v>Actual</v>
          </cell>
          <cell r="B2268">
            <v>2</v>
          </cell>
          <cell r="C2268" t="str">
            <v>Export</v>
          </cell>
          <cell r="D2268">
            <v>55</v>
          </cell>
          <cell r="E2268">
            <v>5361</v>
          </cell>
          <cell r="F2268" t="str">
            <v>SHIONOGI/OSAKA</v>
          </cell>
          <cell r="G2268" t="str">
            <v>E</v>
          </cell>
          <cell r="H2268" t="str">
            <v>OSAKA</v>
          </cell>
          <cell r="J2268" t="str">
            <v>JAP</v>
          </cell>
          <cell r="K2268" t="str">
            <v>SHIONOGI &amp; COMPANY LTD</v>
          </cell>
          <cell r="M2268" t="str">
            <v>JAP</v>
          </cell>
          <cell r="N2268" t="str">
            <v>C</v>
          </cell>
          <cell r="O2268">
            <v>22060428</v>
          </cell>
          <cell r="P2268" t="str">
            <v>V-BOR 25KG BAG (004), WOOD</v>
          </cell>
          <cell r="Q2268" t="str">
            <v>Penta</v>
          </cell>
          <cell r="R2268">
            <v>21.990500000000001</v>
          </cell>
          <cell r="S2268">
            <v>7137</v>
          </cell>
        </row>
        <row r="2269">
          <cell r="A2269" t="str">
            <v>Actual</v>
          </cell>
          <cell r="B2269">
            <v>2</v>
          </cell>
          <cell r="C2269" t="str">
            <v>Export</v>
          </cell>
          <cell r="D2269">
            <v>55</v>
          </cell>
          <cell r="E2269">
            <v>5361</v>
          </cell>
          <cell r="F2269" t="str">
            <v>SHIONOGI/OSAKA</v>
          </cell>
          <cell r="G2269" t="str">
            <v>E</v>
          </cell>
          <cell r="H2269" t="str">
            <v>OSAKA</v>
          </cell>
          <cell r="J2269" t="str">
            <v>JAP</v>
          </cell>
          <cell r="K2269" t="str">
            <v>SHIONOGI &amp; COMPANY LTD</v>
          </cell>
          <cell r="M2269" t="str">
            <v>JAP</v>
          </cell>
          <cell r="N2269" t="str">
            <v>C</v>
          </cell>
          <cell r="O2269" t="str">
            <v>230602B8</v>
          </cell>
          <cell r="P2269" t="str">
            <v>DECA STD 25KG POLYBAG, WOOD</v>
          </cell>
          <cell r="Q2269" t="str">
            <v>Deca</v>
          </cell>
          <cell r="R2269">
            <v>21.990500000000001</v>
          </cell>
          <cell r="S2269">
            <v>6754.5</v>
          </cell>
        </row>
        <row r="2270">
          <cell r="A2270" t="str">
            <v>Actual</v>
          </cell>
          <cell r="B2270">
            <v>2</v>
          </cell>
          <cell r="C2270" t="str">
            <v>Export</v>
          </cell>
          <cell r="D2270">
            <v>55</v>
          </cell>
          <cell r="E2270">
            <v>5361</v>
          </cell>
          <cell r="F2270" t="str">
            <v>SHIONOGI/OSAKA</v>
          </cell>
          <cell r="G2270" t="str">
            <v>E</v>
          </cell>
          <cell r="H2270" t="str">
            <v>OSAKA</v>
          </cell>
          <cell r="J2270" t="str">
            <v>JAP</v>
          </cell>
          <cell r="K2270" t="str">
            <v>SHIONOGI &amp; COMPANY LTD</v>
          </cell>
          <cell r="M2270" t="str">
            <v>JAP</v>
          </cell>
          <cell r="N2270" t="str">
            <v>C</v>
          </cell>
          <cell r="O2270">
            <v>24090228</v>
          </cell>
          <cell r="P2270" t="str">
            <v>BORIC ACID GRAN 25KG BAG, WOOD</v>
          </cell>
          <cell r="Q2270" t="str">
            <v>Boric Acid</v>
          </cell>
          <cell r="R2270">
            <v>21.990500000000001</v>
          </cell>
          <cell r="S2270">
            <v>11343</v>
          </cell>
        </row>
        <row r="2271">
          <cell r="A2271" t="str">
            <v>Actual</v>
          </cell>
          <cell r="B2271">
            <v>2</v>
          </cell>
          <cell r="C2271" t="str">
            <v>Export</v>
          </cell>
          <cell r="D2271">
            <v>55</v>
          </cell>
          <cell r="E2271">
            <v>5393</v>
          </cell>
          <cell r="F2271" t="str">
            <v>MITSUI/OSAKA</v>
          </cell>
          <cell r="G2271" t="str">
            <v>E</v>
          </cell>
          <cell r="H2271" t="str">
            <v>OSAKA</v>
          </cell>
          <cell r="J2271" t="str">
            <v>JAP</v>
          </cell>
          <cell r="K2271" t="str">
            <v>MITSUI &amp; COMPANY (EXPORT)</v>
          </cell>
          <cell r="L2271" t="str">
            <v>NY</v>
          </cell>
          <cell r="M2271" t="str">
            <v>USA</v>
          </cell>
          <cell r="N2271" t="str">
            <v>C</v>
          </cell>
          <cell r="O2271">
            <v>23060228</v>
          </cell>
          <cell r="P2271" t="str">
            <v>DECA BORAX STD 25KG BAG, WOOD</v>
          </cell>
          <cell r="Q2271" t="str">
            <v>Deca</v>
          </cell>
          <cell r="R2271">
            <v>15.046099999999999</v>
          </cell>
          <cell r="S2271">
            <v>4904.3998000000001</v>
          </cell>
        </row>
        <row r="2272">
          <cell r="A2272" t="str">
            <v>Actual</v>
          </cell>
          <cell r="B2272">
            <v>2</v>
          </cell>
          <cell r="C2272" t="str">
            <v>Export</v>
          </cell>
          <cell r="D2272">
            <v>55</v>
          </cell>
          <cell r="E2272">
            <v>5393</v>
          </cell>
          <cell r="F2272" t="str">
            <v>MITSUI/OSAKA</v>
          </cell>
          <cell r="G2272" t="str">
            <v>E</v>
          </cell>
          <cell r="H2272" t="str">
            <v>OSAKA</v>
          </cell>
          <cell r="J2272" t="str">
            <v>JAP</v>
          </cell>
          <cell r="K2272" t="str">
            <v>MITSUI &amp; COMPANY (EXPORT)</v>
          </cell>
          <cell r="L2272" t="str">
            <v>NY</v>
          </cell>
          <cell r="M2272" t="str">
            <v>USA</v>
          </cell>
          <cell r="N2272" t="str">
            <v>C</v>
          </cell>
          <cell r="O2272">
            <v>24090228</v>
          </cell>
          <cell r="P2272" t="str">
            <v>BORIC ACID GRAN 25KG BAG, WOOD</v>
          </cell>
          <cell r="Q2272" t="str">
            <v>Boric Acid</v>
          </cell>
          <cell r="R2272">
            <v>6.9443999999999999</v>
          </cell>
          <cell r="S2272">
            <v>3662.1502</v>
          </cell>
        </row>
        <row r="2273">
          <cell r="A2273" t="str">
            <v>Actual</v>
          </cell>
          <cell r="B2273">
            <v>2</v>
          </cell>
          <cell r="C2273" t="str">
            <v>Export</v>
          </cell>
          <cell r="D2273">
            <v>55</v>
          </cell>
          <cell r="E2273">
            <v>5395</v>
          </cell>
          <cell r="F2273" t="str">
            <v>MITSUI/HAKATA</v>
          </cell>
          <cell r="G2273" t="str">
            <v>E</v>
          </cell>
          <cell r="H2273" t="str">
            <v>HAKATA</v>
          </cell>
          <cell r="J2273" t="str">
            <v>JAP</v>
          </cell>
          <cell r="K2273" t="str">
            <v>MITSUI &amp; COMPANY (EXPORT)</v>
          </cell>
          <cell r="L2273" t="str">
            <v>NY</v>
          </cell>
          <cell r="M2273" t="str">
            <v>USA</v>
          </cell>
          <cell r="N2273" t="str">
            <v>C</v>
          </cell>
          <cell r="O2273">
            <v>24090228</v>
          </cell>
          <cell r="P2273" t="str">
            <v>BORIC ACID GRAN 25KG BAG, WOOD</v>
          </cell>
          <cell r="Q2273" t="str">
            <v>Boric Acid</v>
          </cell>
          <cell r="R2273">
            <v>21.990500000000001</v>
          </cell>
          <cell r="S2273">
            <v>11941.25</v>
          </cell>
        </row>
        <row r="2274">
          <cell r="A2274" t="str">
            <v>Actual</v>
          </cell>
          <cell r="B2274">
            <v>2</v>
          </cell>
          <cell r="C2274" t="str">
            <v>Export</v>
          </cell>
          <cell r="D2274">
            <v>55</v>
          </cell>
          <cell r="E2274">
            <v>5396</v>
          </cell>
          <cell r="F2274" t="str">
            <v>MITSUI/YOKOHAMA</v>
          </cell>
          <cell r="G2274" t="str">
            <v>E</v>
          </cell>
          <cell r="H2274" t="str">
            <v>YOKOHAMA</v>
          </cell>
          <cell r="J2274" t="str">
            <v>JAP</v>
          </cell>
          <cell r="K2274" t="str">
            <v>MITSUI &amp; COMPANY (EXPORT)</v>
          </cell>
          <cell r="L2274" t="str">
            <v>NY</v>
          </cell>
          <cell r="M2274" t="str">
            <v>USA</v>
          </cell>
          <cell r="N2274" t="str">
            <v>C</v>
          </cell>
          <cell r="O2274">
            <v>23060228</v>
          </cell>
          <cell r="P2274" t="str">
            <v>DECA BORAX STD 25KG BAG, WOOD</v>
          </cell>
          <cell r="Q2274" t="str">
            <v>Deca</v>
          </cell>
          <cell r="R2274">
            <v>11.5739</v>
          </cell>
          <cell r="S2274">
            <v>3800.5185999999999</v>
          </cell>
        </row>
        <row r="2275">
          <cell r="A2275" t="str">
            <v>Actual</v>
          </cell>
          <cell r="B2275">
            <v>2</v>
          </cell>
          <cell r="C2275" t="str">
            <v>Export</v>
          </cell>
          <cell r="D2275">
            <v>55</v>
          </cell>
          <cell r="E2275">
            <v>5396</v>
          </cell>
          <cell r="F2275" t="str">
            <v>MITSUI/YOKOHAMA</v>
          </cell>
          <cell r="G2275" t="str">
            <v>E</v>
          </cell>
          <cell r="H2275" t="str">
            <v>YOKOHAMA</v>
          </cell>
          <cell r="J2275" t="str">
            <v>JAP</v>
          </cell>
          <cell r="K2275" t="str">
            <v>MITSUI &amp; COMPANY (EXPORT)</v>
          </cell>
          <cell r="L2275" t="str">
            <v>NY</v>
          </cell>
          <cell r="M2275" t="str">
            <v>USA</v>
          </cell>
          <cell r="N2275" t="str">
            <v>C</v>
          </cell>
          <cell r="O2275">
            <v>24090228</v>
          </cell>
          <cell r="P2275" t="str">
            <v>BORIC ACID GRAN 25KG BAG, WOOD</v>
          </cell>
          <cell r="Q2275" t="str">
            <v>Boric Acid</v>
          </cell>
          <cell r="R2275">
            <v>10.416499999999999</v>
          </cell>
          <cell r="S2275">
            <v>5489.9813999999997</v>
          </cell>
        </row>
        <row r="2276">
          <cell r="A2276" t="str">
            <v>Actual</v>
          </cell>
          <cell r="B2276">
            <v>2</v>
          </cell>
          <cell r="C2276" t="str">
            <v>Export</v>
          </cell>
          <cell r="D2276">
            <v>55</v>
          </cell>
          <cell r="E2276">
            <v>5397</v>
          </cell>
          <cell r="F2276" t="str">
            <v>MITSUI/NEG/YOKOHAMA</v>
          </cell>
          <cell r="G2276" t="str">
            <v>E</v>
          </cell>
          <cell r="H2276" t="str">
            <v>YOKOHAMA</v>
          </cell>
          <cell r="J2276" t="str">
            <v>JAP</v>
          </cell>
          <cell r="K2276" t="str">
            <v>MITSUI &amp; COMPANY (EXPORT)</v>
          </cell>
          <cell r="L2276" t="str">
            <v>NY</v>
          </cell>
          <cell r="M2276" t="str">
            <v>USA</v>
          </cell>
          <cell r="N2276" t="str">
            <v>C</v>
          </cell>
          <cell r="O2276">
            <v>20060255</v>
          </cell>
          <cell r="P2276" t="str">
            <v>PYROBOR 1 MT FIBC (002)</v>
          </cell>
          <cell r="Q2276" t="str">
            <v>Pyrobor</v>
          </cell>
          <cell r="R2276">
            <v>110.23</v>
          </cell>
          <cell r="S2276">
            <v>51446</v>
          </cell>
        </row>
        <row r="2277">
          <cell r="A2277" t="str">
            <v>Actual</v>
          </cell>
          <cell r="B2277">
            <v>2</v>
          </cell>
          <cell r="C2277" t="str">
            <v>Export</v>
          </cell>
          <cell r="D2277">
            <v>55</v>
          </cell>
          <cell r="E2277">
            <v>5418</v>
          </cell>
          <cell r="F2277" t="str">
            <v>TOKAN MATERIAL TECHNOLOGY CO.,</v>
          </cell>
          <cell r="G2277" t="str">
            <v>E</v>
          </cell>
          <cell r="H2277" t="str">
            <v>HAKATA</v>
          </cell>
          <cell r="J2277" t="str">
            <v>JAP</v>
          </cell>
          <cell r="K2277" t="str">
            <v>MITSUI &amp; COMPANY (EXPORT)</v>
          </cell>
          <cell r="L2277" t="str">
            <v>NY</v>
          </cell>
          <cell r="M2277" t="str">
            <v>USA</v>
          </cell>
          <cell r="N2277" t="str">
            <v>C</v>
          </cell>
          <cell r="O2277">
            <v>20060200</v>
          </cell>
          <cell r="P2277" t="str">
            <v>PYROBOR ANHY BORAX BULK (002)</v>
          </cell>
          <cell r="Q2277" t="str">
            <v>Pyrobor</v>
          </cell>
          <cell r="R2277">
            <v>65.81</v>
          </cell>
          <cell r="S2277">
            <v>30268.61</v>
          </cell>
        </row>
        <row r="2278">
          <cell r="A2278" t="str">
            <v>Actual</v>
          </cell>
          <cell r="B2278">
            <v>2</v>
          </cell>
          <cell r="C2278" t="str">
            <v>Export</v>
          </cell>
          <cell r="D2278">
            <v>55</v>
          </cell>
          <cell r="E2278">
            <v>5420</v>
          </cell>
          <cell r="F2278" t="str">
            <v>TOKAN MATERIAL TECHNOLOGY CO.,</v>
          </cell>
          <cell r="G2278" t="str">
            <v>E</v>
          </cell>
          <cell r="H2278" t="str">
            <v>NAGOYA</v>
          </cell>
          <cell r="J2278" t="str">
            <v>JAP</v>
          </cell>
          <cell r="K2278" t="str">
            <v>MITSUI &amp; COMPANY (EXPORT)</v>
          </cell>
          <cell r="L2278" t="str">
            <v>NY</v>
          </cell>
          <cell r="M2278" t="str">
            <v>USA</v>
          </cell>
          <cell r="N2278" t="str">
            <v>C</v>
          </cell>
          <cell r="O2278">
            <v>20310200</v>
          </cell>
          <cell r="P2278" t="str">
            <v>PYROBOR 30/100 BULK (002)</v>
          </cell>
          <cell r="Q2278" t="str">
            <v>Pyrobor</v>
          </cell>
          <cell r="R2278">
            <v>43.13</v>
          </cell>
          <cell r="S2278">
            <v>20058.830000000002</v>
          </cell>
        </row>
        <row r="2279">
          <cell r="A2279" t="str">
            <v>Actual</v>
          </cell>
          <cell r="B2279">
            <v>2</v>
          </cell>
          <cell r="C2279" t="str">
            <v>Export</v>
          </cell>
          <cell r="D2279">
            <v>55</v>
          </cell>
          <cell r="E2279">
            <v>5428</v>
          </cell>
          <cell r="F2279" t="str">
            <v>SHIONOGI/GLASS MIXING</v>
          </cell>
          <cell r="G2279" t="str">
            <v>E</v>
          </cell>
          <cell r="H2279" t="str">
            <v>YOKOHAMA</v>
          </cell>
          <cell r="J2279" t="str">
            <v>JAP</v>
          </cell>
          <cell r="K2279" t="str">
            <v>SHIONOGI &amp; COMPANY LTD</v>
          </cell>
          <cell r="M2279" t="str">
            <v>JAP</v>
          </cell>
          <cell r="N2279" t="str">
            <v>C</v>
          </cell>
          <cell r="O2279">
            <v>22060455</v>
          </cell>
          <cell r="P2279" t="str">
            <v>V-BOR 1 MT FIBC (004)</v>
          </cell>
          <cell r="Q2279" t="str">
            <v>Penta</v>
          </cell>
          <cell r="R2279">
            <v>44.091999999999999</v>
          </cell>
          <cell r="S2279">
            <v>11680</v>
          </cell>
        </row>
        <row r="2280">
          <cell r="A2280" t="str">
            <v>Actual</v>
          </cell>
          <cell r="B2280">
            <v>2</v>
          </cell>
          <cell r="C2280" t="str">
            <v>Export</v>
          </cell>
          <cell r="D2280">
            <v>55</v>
          </cell>
          <cell r="E2280">
            <v>5469</v>
          </cell>
          <cell r="F2280" t="str">
            <v>FERRO - TOYO</v>
          </cell>
          <cell r="G2280" t="str">
            <v>E</v>
          </cell>
          <cell r="H2280" t="str">
            <v>KAOHSIUNG</v>
          </cell>
          <cell r="J2280" t="str">
            <v>TWN</v>
          </cell>
          <cell r="K2280" t="str">
            <v>MITSUI &amp; COMPANY (EXPORT)</v>
          </cell>
          <cell r="L2280" t="str">
            <v>NY</v>
          </cell>
          <cell r="M2280" t="str">
            <v>USA</v>
          </cell>
          <cell r="N2280" t="str">
            <v>C</v>
          </cell>
          <cell r="O2280">
            <v>20060280</v>
          </cell>
          <cell r="P2280" t="str">
            <v>PYROBOR 1 MT FIBC (002)</v>
          </cell>
          <cell r="Q2280" t="str">
            <v>Pyrobor</v>
          </cell>
          <cell r="R2280">
            <v>44.091999999999999</v>
          </cell>
          <cell r="S2280">
            <v>19912</v>
          </cell>
        </row>
        <row r="2281">
          <cell r="A2281" t="str">
            <v>Actual</v>
          </cell>
          <cell r="B2281">
            <v>2</v>
          </cell>
          <cell r="C2281" t="str">
            <v>Export</v>
          </cell>
          <cell r="D2281">
            <v>55</v>
          </cell>
          <cell r="E2281">
            <v>7432</v>
          </cell>
          <cell r="F2281" t="str">
            <v>GUANGZHOU HUAPO GLASS CO. LTD.</v>
          </cell>
          <cell r="G2281" t="str">
            <v>E</v>
          </cell>
          <cell r="H2281" t="str">
            <v>HUANGPU GUANGZHOU</v>
          </cell>
          <cell r="J2281" t="str">
            <v>CHN</v>
          </cell>
          <cell r="K2281" t="str">
            <v>CFA INDUSTRIAL CORP.</v>
          </cell>
          <cell r="L2281" t="str">
            <v>CA</v>
          </cell>
          <cell r="M2281" t="str">
            <v>USA</v>
          </cell>
          <cell r="N2281" t="str">
            <v>C</v>
          </cell>
          <cell r="O2281">
            <v>20060240</v>
          </cell>
          <cell r="P2281" t="str">
            <v>PYROBOR 50KG BAG (002)</v>
          </cell>
          <cell r="Q2281" t="str">
            <v>Pyrobor</v>
          </cell>
          <cell r="R2281">
            <v>44.091999999999999</v>
          </cell>
          <cell r="S2281">
            <v>25964</v>
          </cell>
        </row>
        <row r="2282">
          <cell r="A2282" t="str">
            <v>Actual</v>
          </cell>
          <cell r="B2282">
            <v>2</v>
          </cell>
          <cell r="C2282" t="str">
            <v>Export</v>
          </cell>
          <cell r="D2282">
            <v>55</v>
          </cell>
          <cell r="E2282">
            <v>8214</v>
          </cell>
          <cell r="F2282" t="str">
            <v>BE INTERNATIONAL CORPORATION</v>
          </cell>
          <cell r="G2282" t="str">
            <v>E</v>
          </cell>
          <cell r="H2282" t="str">
            <v>OSAKA</v>
          </cell>
          <cell r="J2282" t="str">
            <v>JAP</v>
          </cell>
          <cell r="K2282" t="str">
            <v>BE INTERNATIONAL CORPORATION</v>
          </cell>
          <cell r="M2282" t="str">
            <v>JAP</v>
          </cell>
          <cell r="N2282" t="str">
            <v>D</v>
          </cell>
          <cell r="O2282" t="str">
            <v>231602B8</v>
          </cell>
          <cell r="P2282" t="str">
            <v>DECA EX CRS 25KG POLYBAG, WOOD</v>
          </cell>
          <cell r="Q2282" t="str">
            <v>Deca</v>
          </cell>
          <cell r="R2282">
            <v>9.2591999999999999</v>
          </cell>
          <cell r="S2282">
            <v>1961</v>
          </cell>
        </row>
        <row r="2283">
          <cell r="A2283" t="str">
            <v>Actual</v>
          </cell>
          <cell r="B2283">
            <v>2</v>
          </cell>
          <cell r="C2283" t="str">
            <v>Export</v>
          </cell>
          <cell r="D2283">
            <v>55</v>
          </cell>
          <cell r="E2283">
            <v>8480</v>
          </cell>
          <cell r="F2283" t="str">
            <v>SHIONOGI/YOUNG VENUS/NAGOYA</v>
          </cell>
          <cell r="G2283" t="str">
            <v>E</v>
          </cell>
          <cell r="H2283" t="str">
            <v>NAGOYA</v>
          </cell>
          <cell r="J2283" t="str">
            <v>JAP</v>
          </cell>
          <cell r="K2283" t="str">
            <v>SHIONOGI &amp; COMPANY LTD</v>
          </cell>
          <cell r="M2283" t="str">
            <v>JAP</v>
          </cell>
          <cell r="N2283" t="str">
            <v>C</v>
          </cell>
          <cell r="O2283">
            <v>24090228</v>
          </cell>
          <cell r="P2283" t="str">
            <v>BORIC ACID GRAN 25KG BAG, WOOD</v>
          </cell>
          <cell r="Q2283" t="str">
            <v>Boric Acid</v>
          </cell>
          <cell r="R2283">
            <v>21.990500000000001</v>
          </cell>
          <cell r="S2283">
            <v>11289.95</v>
          </cell>
        </row>
        <row r="2284">
          <cell r="A2284" t="str">
            <v>Actual</v>
          </cell>
          <cell r="B2284">
            <v>2</v>
          </cell>
          <cell r="C2284" t="str">
            <v>Export</v>
          </cell>
          <cell r="D2284">
            <v>55</v>
          </cell>
          <cell r="E2284">
            <v>8818</v>
          </cell>
          <cell r="F2284" t="str">
            <v>BE INTERNATIONAL CORPORATION</v>
          </cell>
          <cell r="G2284" t="str">
            <v>E</v>
          </cell>
          <cell r="H2284" t="str">
            <v>YOKOHAMA</v>
          </cell>
          <cell r="J2284" t="str">
            <v>JAP</v>
          </cell>
          <cell r="K2284" t="str">
            <v>BE INTERNATIONAL CORPORATION</v>
          </cell>
          <cell r="M2284" t="str">
            <v>JAP</v>
          </cell>
          <cell r="N2284" t="str">
            <v>D</v>
          </cell>
          <cell r="O2284">
            <v>20060255</v>
          </cell>
          <cell r="P2284" t="str">
            <v>PYROBOR 1 MT FIBC (002)</v>
          </cell>
          <cell r="Q2284" t="str">
            <v>Pyrobor</v>
          </cell>
          <cell r="R2284">
            <v>19.8414</v>
          </cell>
          <cell r="S2284">
            <v>10755</v>
          </cell>
        </row>
        <row r="2285">
          <cell r="A2285" t="str">
            <v>Actual</v>
          </cell>
          <cell r="B2285">
            <v>2</v>
          </cell>
          <cell r="C2285" t="str">
            <v>Export</v>
          </cell>
          <cell r="D2285">
            <v>55</v>
          </cell>
          <cell r="E2285">
            <v>8818</v>
          </cell>
          <cell r="F2285" t="str">
            <v>BE INTERNATIONAL CORPORATION</v>
          </cell>
          <cell r="G2285" t="str">
            <v>E</v>
          </cell>
          <cell r="H2285" t="str">
            <v>YOKOHAMA</v>
          </cell>
          <cell r="J2285" t="str">
            <v>JAP</v>
          </cell>
          <cell r="K2285" t="str">
            <v>BE INTERNATIONAL CORPORATION</v>
          </cell>
          <cell r="M2285" t="str">
            <v>JAP</v>
          </cell>
          <cell r="N2285" t="str">
            <v>D</v>
          </cell>
          <cell r="O2285">
            <v>22060455</v>
          </cell>
          <cell r="P2285" t="str">
            <v>V-BOR 1 MT FIBC (004)</v>
          </cell>
          <cell r="Q2285" t="str">
            <v>Penta</v>
          </cell>
          <cell r="R2285">
            <v>2.2046000000000001</v>
          </cell>
          <cell r="S2285">
            <v>575</v>
          </cell>
        </row>
        <row r="2286">
          <cell r="A2286" t="str">
            <v>Actual</v>
          </cell>
          <cell r="B2286">
            <v>2</v>
          </cell>
          <cell r="C2286" t="str">
            <v>Export</v>
          </cell>
          <cell r="D2286">
            <v>55</v>
          </cell>
          <cell r="E2286">
            <v>8866</v>
          </cell>
          <cell r="F2286" t="str">
            <v>BE INTERNATIONAL CORPORATION</v>
          </cell>
          <cell r="G2286" t="str">
            <v>E</v>
          </cell>
          <cell r="H2286" t="str">
            <v>OSAKA</v>
          </cell>
          <cell r="J2286" t="str">
            <v>JAP</v>
          </cell>
          <cell r="K2286" t="str">
            <v>BE INTERNATIONAL CORPORATION</v>
          </cell>
          <cell r="M2286" t="str">
            <v>JAP</v>
          </cell>
          <cell r="N2286" t="str">
            <v>D</v>
          </cell>
          <cell r="O2286" t="str">
            <v>200602B8</v>
          </cell>
          <cell r="P2286" t="str">
            <v>PYROBOR 25KG POLYBAG, WOOD</v>
          </cell>
          <cell r="Q2286" t="str">
            <v>Pyrobor</v>
          </cell>
          <cell r="R2286">
            <v>21.990500000000001</v>
          </cell>
          <cell r="S2286">
            <v>11941.5</v>
          </cell>
        </row>
        <row r="2287">
          <cell r="A2287" t="str">
            <v>Actual</v>
          </cell>
          <cell r="B2287">
            <v>2</v>
          </cell>
          <cell r="C2287" t="str">
            <v>Export</v>
          </cell>
          <cell r="D2287">
            <v>55</v>
          </cell>
          <cell r="E2287">
            <v>8866</v>
          </cell>
          <cell r="F2287" t="str">
            <v>BE INTERNATIONAL CORPORATION</v>
          </cell>
          <cell r="G2287" t="str">
            <v>E</v>
          </cell>
          <cell r="H2287" t="str">
            <v>OSAKA</v>
          </cell>
          <cell r="J2287" t="str">
            <v>JAP</v>
          </cell>
          <cell r="K2287" t="str">
            <v>BE INTERNATIONAL CORPORATION</v>
          </cell>
          <cell r="M2287" t="str">
            <v>JAP</v>
          </cell>
          <cell r="N2287" t="str">
            <v>D</v>
          </cell>
          <cell r="O2287">
            <v>24850228</v>
          </cell>
          <cell r="P2287" t="str">
            <v>BORIC ACID GRAN 25KG BAG, WOOD</v>
          </cell>
          <cell r="Q2287" t="str">
            <v>Boric Acid</v>
          </cell>
          <cell r="R2287">
            <v>33.564399999999999</v>
          </cell>
          <cell r="S2287">
            <v>14285.5</v>
          </cell>
        </row>
        <row r="2288">
          <cell r="A2288" t="str">
            <v>Actual</v>
          </cell>
          <cell r="B2288">
            <v>2</v>
          </cell>
          <cell r="C2288" t="str">
            <v>Export</v>
          </cell>
          <cell r="D2288">
            <v>55</v>
          </cell>
          <cell r="E2288">
            <v>8933</v>
          </cell>
          <cell r="F2288" t="str">
            <v>ALWAYS STAR CO., LTD.</v>
          </cell>
          <cell r="G2288" t="str">
            <v>E</v>
          </cell>
          <cell r="H2288" t="str">
            <v>TAIPEI</v>
          </cell>
          <cell r="J2288" t="str">
            <v>TWN</v>
          </cell>
          <cell r="K2288" t="str">
            <v>ALWAYS STAR CO., LTD.</v>
          </cell>
          <cell r="M2288" t="str">
            <v>TWN</v>
          </cell>
          <cell r="N2288" t="str">
            <v>D</v>
          </cell>
          <cell r="O2288">
            <v>20150228</v>
          </cell>
          <cell r="P2288" t="str">
            <v>PYROBOR COARSE 25KG (002) WOOD</v>
          </cell>
          <cell r="Q2288" t="str">
            <v>Pyrobor</v>
          </cell>
          <cell r="R2288">
            <v>153.93350000000001</v>
          </cell>
          <cell r="S2288">
            <v>92244.5</v>
          </cell>
        </row>
        <row r="2289">
          <cell r="A2289" t="str">
            <v>Actual</v>
          </cell>
          <cell r="B2289">
            <v>2</v>
          </cell>
          <cell r="C2289" t="str">
            <v>Export</v>
          </cell>
          <cell r="D2289">
            <v>55</v>
          </cell>
          <cell r="E2289">
            <v>8933</v>
          </cell>
          <cell r="F2289" t="str">
            <v>ALWAYS STAR CO., LTD.</v>
          </cell>
          <cell r="G2289" t="str">
            <v>E</v>
          </cell>
          <cell r="H2289" t="str">
            <v>TAIPEI</v>
          </cell>
          <cell r="J2289" t="str">
            <v>TWN</v>
          </cell>
          <cell r="K2289" t="str">
            <v>ALWAYS STAR CO., LTD.</v>
          </cell>
          <cell r="M2289" t="str">
            <v>TWN</v>
          </cell>
          <cell r="N2289" t="str">
            <v>D</v>
          </cell>
          <cell r="O2289">
            <v>22060428</v>
          </cell>
          <cell r="P2289" t="str">
            <v>V-BOR 25KG BAG (004), WOOD</v>
          </cell>
          <cell r="Q2289" t="str">
            <v>Penta</v>
          </cell>
          <cell r="R2289">
            <v>21.990500000000001</v>
          </cell>
          <cell r="S2289">
            <v>5391</v>
          </cell>
        </row>
        <row r="2290">
          <cell r="A2290" t="str">
            <v>Actual</v>
          </cell>
          <cell r="B2290">
            <v>2</v>
          </cell>
          <cell r="C2290" t="str">
            <v>Export</v>
          </cell>
          <cell r="D2290">
            <v>55</v>
          </cell>
          <cell r="E2290">
            <v>8933</v>
          </cell>
          <cell r="F2290" t="str">
            <v>ALWAYS STAR CO., LTD.</v>
          </cell>
          <cell r="G2290" t="str">
            <v>E</v>
          </cell>
          <cell r="H2290" t="str">
            <v>TAIPEI</v>
          </cell>
          <cell r="J2290" t="str">
            <v>TWN</v>
          </cell>
          <cell r="K2290" t="str">
            <v>ALWAYS STAR CO., LTD.</v>
          </cell>
          <cell r="M2290" t="str">
            <v>TWN</v>
          </cell>
          <cell r="N2290" t="str">
            <v>D</v>
          </cell>
          <cell r="O2290">
            <v>23060228</v>
          </cell>
          <cell r="P2290" t="str">
            <v>DECA BORAX STD 25KG BAG, WOOD</v>
          </cell>
          <cell r="Q2290" t="str">
            <v>Deca</v>
          </cell>
          <cell r="R2290">
            <v>21.990500000000001</v>
          </cell>
          <cell r="S2290">
            <v>5402</v>
          </cell>
        </row>
        <row r="2291">
          <cell r="A2291" t="str">
            <v>Actual</v>
          </cell>
          <cell r="B2291">
            <v>2</v>
          </cell>
          <cell r="C2291" t="str">
            <v>Export</v>
          </cell>
          <cell r="D2291">
            <v>55</v>
          </cell>
          <cell r="E2291">
            <v>8933</v>
          </cell>
          <cell r="F2291" t="str">
            <v>ALWAYS STAR CO., LTD.</v>
          </cell>
          <cell r="G2291" t="str">
            <v>E</v>
          </cell>
          <cell r="H2291" t="str">
            <v>TAIPEI</v>
          </cell>
          <cell r="J2291" t="str">
            <v>TWN</v>
          </cell>
          <cell r="K2291" t="str">
            <v>ALWAYS STAR CO., LTD.</v>
          </cell>
          <cell r="M2291" t="str">
            <v>TWN</v>
          </cell>
          <cell r="N2291" t="str">
            <v>D</v>
          </cell>
          <cell r="O2291">
            <v>23160228</v>
          </cell>
          <cell r="P2291" t="str">
            <v>DECA BORAX X CRS 25KG BAG WOOD</v>
          </cell>
          <cell r="Q2291" t="str">
            <v>Deca</v>
          </cell>
          <cell r="R2291">
            <v>109.9525</v>
          </cell>
          <cell r="S2291">
            <v>27010</v>
          </cell>
        </row>
        <row r="2292">
          <cell r="A2292" t="str">
            <v>Actual</v>
          </cell>
          <cell r="B2292">
            <v>2</v>
          </cell>
          <cell r="C2292" t="str">
            <v>Export</v>
          </cell>
          <cell r="D2292">
            <v>55</v>
          </cell>
          <cell r="E2292">
            <v>8933</v>
          </cell>
          <cell r="F2292" t="str">
            <v>ALWAYS STAR CO., LTD.</v>
          </cell>
          <cell r="G2292" t="str">
            <v>E</v>
          </cell>
          <cell r="H2292" t="str">
            <v>TAIPEI</v>
          </cell>
          <cell r="J2292" t="str">
            <v>TWN</v>
          </cell>
          <cell r="K2292" t="str">
            <v>ALWAYS STAR CO., LTD.</v>
          </cell>
          <cell r="M2292" t="str">
            <v>TWN</v>
          </cell>
          <cell r="N2292" t="str">
            <v>D</v>
          </cell>
          <cell r="O2292">
            <v>24090228</v>
          </cell>
          <cell r="P2292" t="str">
            <v>BORIC ACID GRAN 25KG BAG, WOOD</v>
          </cell>
          <cell r="Q2292" t="str">
            <v>Boric Acid</v>
          </cell>
          <cell r="R2292">
            <v>21.990500000000001</v>
          </cell>
          <cell r="S2292">
            <v>8594</v>
          </cell>
        </row>
        <row r="2293">
          <cell r="A2293" t="str">
            <v>Actual</v>
          </cell>
          <cell r="B2293">
            <v>2</v>
          </cell>
          <cell r="C2293" t="str">
            <v>Export</v>
          </cell>
          <cell r="D2293">
            <v>55</v>
          </cell>
          <cell r="E2293">
            <v>8988</v>
          </cell>
          <cell r="F2293" t="str">
            <v>NUFARM TECHNOLOGIES (M)SDN BHD</v>
          </cell>
          <cell r="G2293" t="str">
            <v>E</v>
          </cell>
          <cell r="H2293" t="str">
            <v>PETALING JAYA</v>
          </cell>
          <cell r="J2293" t="str">
            <v>MAL</v>
          </cell>
          <cell r="K2293" t="str">
            <v>BEHN MEYER INTERNATIONAL</v>
          </cell>
          <cell r="M2293" t="str">
            <v>SIN</v>
          </cell>
          <cell r="N2293" t="str">
            <v>C</v>
          </cell>
          <cell r="O2293">
            <v>23060220</v>
          </cell>
          <cell r="P2293" t="str">
            <v>DECA BORAX STD 25KG BAG</v>
          </cell>
          <cell r="Q2293" t="str">
            <v>Deca</v>
          </cell>
          <cell r="R2293">
            <v>21.990500000000001</v>
          </cell>
          <cell r="S2293">
            <v>5081.5</v>
          </cell>
        </row>
        <row r="2294">
          <cell r="A2294" t="str">
            <v>Actual</v>
          </cell>
          <cell r="B2294">
            <v>2</v>
          </cell>
          <cell r="C2294" t="str">
            <v>Export</v>
          </cell>
          <cell r="D2294">
            <v>55</v>
          </cell>
          <cell r="E2294">
            <v>8998</v>
          </cell>
          <cell r="F2294" t="str">
            <v>Le CHOU ENTERPRISE CO., LTD.</v>
          </cell>
          <cell r="G2294" t="str">
            <v>E</v>
          </cell>
          <cell r="H2294" t="str">
            <v>KAOHSIUNG</v>
          </cell>
          <cell r="J2294" t="str">
            <v>TWN</v>
          </cell>
          <cell r="K2294" t="str">
            <v>HLC INTERNATIONAL CORPORATION</v>
          </cell>
          <cell r="M2294" t="str">
            <v>TWN</v>
          </cell>
          <cell r="N2294" t="str">
            <v>C</v>
          </cell>
          <cell r="O2294">
            <v>23060220</v>
          </cell>
          <cell r="P2294" t="str">
            <v>DECA BORAX STD 25KG BAG</v>
          </cell>
          <cell r="Q2294" t="str">
            <v>Deca</v>
          </cell>
          <cell r="R2294">
            <v>21.990500000000001</v>
          </cell>
          <cell r="S2294">
            <v>7950.5</v>
          </cell>
        </row>
        <row r="2295">
          <cell r="A2295" t="str">
            <v>Actual</v>
          </cell>
          <cell r="B2295">
            <v>2</v>
          </cell>
          <cell r="C2295" t="str">
            <v>Export</v>
          </cell>
          <cell r="D2295">
            <v>55</v>
          </cell>
          <cell r="E2295">
            <v>9001</v>
          </cell>
          <cell r="F2295" t="str">
            <v>TAIWAN FLUORESCENT LAMP CO LTD</v>
          </cell>
          <cell r="G2295" t="str">
            <v>E</v>
          </cell>
          <cell r="H2295" t="str">
            <v>KEELUNG</v>
          </cell>
          <cell r="J2295" t="str">
            <v>TWN</v>
          </cell>
          <cell r="K2295" t="str">
            <v>HLC INTERNATIONAL CORPORATION</v>
          </cell>
          <cell r="M2295" t="str">
            <v>TWN</v>
          </cell>
          <cell r="N2295" t="str">
            <v>C</v>
          </cell>
          <cell r="O2295">
            <v>20310228</v>
          </cell>
          <cell r="P2295" t="str">
            <v>PYROBOR 30/100 25KG (002) WOOD</v>
          </cell>
          <cell r="Q2295" t="str">
            <v>Pyrobor</v>
          </cell>
          <cell r="R2295">
            <v>21.990500000000001</v>
          </cell>
          <cell r="S2295">
            <v>15914</v>
          </cell>
        </row>
        <row r="2296">
          <cell r="A2296" t="str">
            <v>Actual</v>
          </cell>
          <cell r="B2296">
            <v>2</v>
          </cell>
          <cell r="C2296" t="str">
            <v>Export</v>
          </cell>
          <cell r="D2296">
            <v>55</v>
          </cell>
          <cell r="E2296">
            <v>9005</v>
          </cell>
          <cell r="F2296" t="str">
            <v>LEN YIH TRADING Co., LTD.</v>
          </cell>
          <cell r="G2296" t="str">
            <v>E</v>
          </cell>
          <cell r="H2296" t="str">
            <v>TAIPEI</v>
          </cell>
          <cell r="J2296" t="str">
            <v>TWN</v>
          </cell>
          <cell r="K2296" t="str">
            <v>HLC INTERNATIONAL CORPORATION</v>
          </cell>
          <cell r="M2296" t="str">
            <v>TWN</v>
          </cell>
          <cell r="N2296" t="str">
            <v>C</v>
          </cell>
          <cell r="O2296">
            <v>23060228</v>
          </cell>
          <cell r="P2296" t="str">
            <v>DECA BORAX STD 25KG BAG, WOOD</v>
          </cell>
          <cell r="Q2296" t="str">
            <v>Deca</v>
          </cell>
          <cell r="R2296">
            <v>0</v>
          </cell>
          <cell r="S2296">
            <v>-64.5</v>
          </cell>
        </row>
        <row r="2297">
          <cell r="A2297" t="str">
            <v>Actual</v>
          </cell>
          <cell r="B2297">
            <v>2</v>
          </cell>
          <cell r="C2297" t="str">
            <v>Export</v>
          </cell>
          <cell r="D2297">
            <v>55</v>
          </cell>
          <cell r="E2297">
            <v>9013</v>
          </cell>
          <cell r="F2297" t="str">
            <v>MITSUI/NH TECHNO/YOKOHAMA</v>
          </cell>
          <cell r="G2297" t="str">
            <v>E</v>
          </cell>
          <cell r="H2297" t="str">
            <v>YOKOHAMA</v>
          </cell>
          <cell r="J2297" t="str">
            <v>JAP</v>
          </cell>
          <cell r="K2297" t="str">
            <v>MITSUI &amp; COMPANY (EXPORT)</v>
          </cell>
          <cell r="L2297" t="str">
            <v>NY</v>
          </cell>
          <cell r="M2297" t="str">
            <v>USA</v>
          </cell>
          <cell r="N2297" t="str">
            <v>C</v>
          </cell>
          <cell r="O2297">
            <v>24850229</v>
          </cell>
          <cell r="P2297" t="str">
            <v>BORIC ACID GRAN 25KG BAG WOOD</v>
          </cell>
          <cell r="Q2297" t="str">
            <v>Boric Acid</v>
          </cell>
          <cell r="R2297">
            <v>219.905</v>
          </cell>
          <cell r="S2297">
            <v>100626.3</v>
          </cell>
        </row>
        <row r="2298">
          <cell r="A2298" t="str">
            <v>Actual</v>
          </cell>
          <cell r="B2298">
            <v>2</v>
          </cell>
          <cell r="C2298" t="str">
            <v>Export</v>
          </cell>
          <cell r="D2298">
            <v>55</v>
          </cell>
          <cell r="E2298">
            <v>9021</v>
          </cell>
          <cell r="F2298" t="str">
            <v>MC INDUSTRIAL CHEMICAL CO. LTD</v>
          </cell>
          <cell r="G2298" t="str">
            <v>E</v>
          </cell>
          <cell r="H2298" t="str">
            <v>BANGKOK</v>
          </cell>
          <cell r="J2298" t="str">
            <v>THA</v>
          </cell>
          <cell r="K2298" t="str">
            <v>MC INDUSTRIAL CHEMICAL CO. LTD</v>
          </cell>
          <cell r="M2298" t="str">
            <v>THA</v>
          </cell>
          <cell r="N2298" t="str">
            <v>C</v>
          </cell>
          <cell r="O2298">
            <v>22060428</v>
          </cell>
          <cell r="P2298" t="str">
            <v>V-BOR 25KG BAG (004), WOOD</v>
          </cell>
          <cell r="Q2298" t="str">
            <v>Penta</v>
          </cell>
          <cell r="R2298">
            <v>483.791</v>
          </cell>
          <cell r="S2298">
            <v>139089.5</v>
          </cell>
        </row>
        <row r="2299">
          <cell r="A2299" t="str">
            <v>Actual</v>
          </cell>
          <cell r="B2299">
            <v>2</v>
          </cell>
          <cell r="C2299" t="str">
            <v>Export</v>
          </cell>
          <cell r="D2299">
            <v>55</v>
          </cell>
          <cell r="E2299">
            <v>9021</v>
          </cell>
          <cell r="F2299" t="str">
            <v>MC INDUSTRIAL CHEMICAL CO. LTD</v>
          </cell>
          <cell r="G2299" t="str">
            <v>E</v>
          </cell>
          <cell r="H2299" t="str">
            <v>BANGKOK</v>
          </cell>
          <cell r="J2299" t="str">
            <v>THA</v>
          </cell>
          <cell r="K2299" t="str">
            <v>MC INDUSTRIAL CHEMICAL CO. LTD</v>
          </cell>
          <cell r="M2299" t="str">
            <v>THA</v>
          </cell>
          <cell r="N2299" t="str">
            <v>C</v>
          </cell>
          <cell r="O2299">
            <v>23060228</v>
          </cell>
          <cell r="P2299" t="str">
            <v>DECA BORAX STD 25KG BAG, WOOD</v>
          </cell>
          <cell r="Q2299" t="str">
            <v>Deca</v>
          </cell>
          <cell r="R2299">
            <v>263.88600000000002</v>
          </cell>
          <cell r="S2299">
            <v>67510</v>
          </cell>
        </row>
        <row r="2300">
          <cell r="A2300" t="str">
            <v>Actual</v>
          </cell>
          <cell r="B2300">
            <v>2</v>
          </cell>
          <cell r="C2300" t="str">
            <v>Export</v>
          </cell>
          <cell r="D2300">
            <v>55</v>
          </cell>
          <cell r="E2300">
            <v>9021</v>
          </cell>
          <cell r="F2300" t="str">
            <v>MC INDUSTRIAL CHEMICAL CO. LTD</v>
          </cell>
          <cell r="G2300" t="str">
            <v>E</v>
          </cell>
          <cell r="H2300" t="str">
            <v>BANGKOK</v>
          </cell>
          <cell r="J2300" t="str">
            <v>THA</v>
          </cell>
          <cell r="K2300" t="str">
            <v>MC INDUSTRIAL CHEMICAL CO. LTD</v>
          </cell>
          <cell r="M2300" t="str">
            <v>THA</v>
          </cell>
          <cell r="N2300" t="str">
            <v>C</v>
          </cell>
          <cell r="O2300">
            <v>24090228</v>
          </cell>
          <cell r="P2300" t="str">
            <v>BORIC ACID GRAN 25KG BAG, WOOD</v>
          </cell>
          <cell r="Q2300" t="str">
            <v>Boric Acid</v>
          </cell>
          <cell r="R2300">
            <v>351.84800000000001</v>
          </cell>
          <cell r="S2300">
            <v>155431</v>
          </cell>
        </row>
        <row r="2301">
          <cell r="A2301" t="str">
            <v>Actual</v>
          </cell>
          <cell r="B2301">
            <v>2</v>
          </cell>
          <cell r="C2301" t="str">
            <v>Export</v>
          </cell>
          <cell r="D2301">
            <v>55</v>
          </cell>
          <cell r="E2301">
            <v>9022</v>
          </cell>
          <cell r="F2301" t="str">
            <v>THAI NOPARIN INTERTRADE CO.</v>
          </cell>
          <cell r="G2301" t="str">
            <v>E</v>
          </cell>
          <cell r="H2301" t="str">
            <v>BANGKOK</v>
          </cell>
          <cell r="J2301" t="str">
            <v>THA</v>
          </cell>
          <cell r="K2301" t="str">
            <v>MC INDUSTRIAL CHEMICAL CO. LTD</v>
          </cell>
          <cell r="M2301" t="str">
            <v>THA</v>
          </cell>
          <cell r="N2301" t="str">
            <v>D</v>
          </cell>
          <cell r="O2301">
            <v>23060224</v>
          </cell>
          <cell r="P2301" t="str">
            <v>DECA BORAX STD 25KG BG SPECIAL</v>
          </cell>
          <cell r="Q2301" t="str">
            <v>Deca</v>
          </cell>
          <cell r="R2301">
            <v>21.990500000000001</v>
          </cell>
          <cell r="S2301">
            <v>6230.75</v>
          </cell>
        </row>
        <row r="2302">
          <cell r="A2302" t="str">
            <v>Actual</v>
          </cell>
          <cell r="B2302">
            <v>2</v>
          </cell>
          <cell r="C2302" t="str">
            <v>Export</v>
          </cell>
          <cell r="D2302">
            <v>55</v>
          </cell>
          <cell r="E2302">
            <v>9022</v>
          </cell>
          <cell r="F2302" t="str">
            <v>THAI NOPARIN INTERTRADE CO.</v>
          </cell>
          <cell r="G2302" t="str">
            <v>E</v>
          </cell>
          <cell r="H2302" t="str">
            <v>BANGKOK</v>
          </cell>
          <cell r="J2302" t="str">
            <v>THA</v>
          </cell>
          <cell r="K2302" t="str">
            <v>MC INDUSTRIAL CHEMICAL CO. LTD</v>
          </cell>
          <cell r="M2302" t="str">
            <v>THA</v>
          </cell>
          <cell r="N2302" t="str">
            <v>D</v>
          </cell>
          <cell r="O2302">
            <v>24090224</v>
          </cell>
          <cell r="P2302" t="str">
            <v>BORIC ACID GRAN 25KG SPECIAL</v>
          </cell>
          <cell r="Q2302" t="str">
            <v>Boric Acid</v>
          </cell>
          <cell r="R2302">
            <v>21.990500000000001</v>
          </cell>
          <cell r="S2302">
            <v>10115.5</v>
          </cell>
        </row>
        <row r="2303">
          <cell r="A2303" t="str">
            <v>Actual</v>
          </cell>
          <cell r="B2303">
            <v>2</v>
          </cell>
          <cell r="C2303" t="str">
            <v>Export</v>
          </cell>
          <cell r="D2303">
            <v>55</v>
          </cell>
          <cell r="E2303">
            <v>9109</v>
          </cell>
          <cell r="F2303" t="str">
            <v>KWANGBOK RUBBER Co. (SHINWOO)</v>
          </cell>
          <cell r="G2303" t="str">
            <v>E</v>
          </cell>
          <cell r="H2303" t="str">
            <v>BUSAN</v>
          </cell>
          <cell r="J2303" t="str">
            <v>KOS</v>
          </cell>
          <cell r="K2303" t="str">
            <v>SHIN SEUNG HICHEM Co., LTD.</v>
          </cell>
          <cell r="M2303" t="str">
            <v>KOS</v>
          </cell>
          <cell r="N2303" t="str">
            <v>C</v>
          </cell>
          <cell r="O2303">
            <v>22060428</v>
          </cell>
          <cell r="P2303" t="str">
            <v>V-BOR 25KG BAG (004), WOOD</v>
          </cell>
          <cell r="Q2303" t="str">
            <v>Penta</v>
          </cell>
          <cell r="R2303">
            <v>20.833100000000002</v>
          </cell>
          <cell r="S2303">
            <v>5925.3</v>
          </cell>
        </row>
        <row r="2304">
          <cell r="A2304" t="str">
            <v>Actual</v>
          </cell>
          <cell r="B2304">
            <v>2</v>
          </cell>
          <cell r="C2304" t="str">
            <v>Export</v>
          </cell>
          <cell r="D2304">
            <v>55</v>
          </cell>
          <cell r="E2304">
            <v>9109</v>
          </cell>
          <cell r="F2304" t="str">
            <v>KWANGBOK RUBBER Co. (SHINWOO)</v>
          </cell>
          <cell r="G2304" t="str">
            <v>E</v>
          </cell>
          <cell r="H2304" t="str">
            <v>BUSAN</v>
          </cell>
          <cell r="J2304" t="str">
            <v>KOS</v>
          </cell>
          <cell r="K2304" t="str">
            <v>SHIN SEUNG HICHEM Co., LTD.</v>
          </cell>
          <cell r="M2304" t="str">
            <v>KOS</v>
          </cell>
          <cell r="N2304" t="str">
            <v>C</v>
          </cell>
          <cell r="O2304">
            <v>23060228</v>
          </cell>
          <cell r="P2304" t="str">
            <v>DECA BORAX STD 25KG BAG, WOOD</v>
          </cell>
          <cell r="Q2304" t="str">
            <v>Deca</v>
          </cell>
          <cell r="R2304">
            <v>21.990200000000002</v>
          </cell>
          <cell r="S2304">
            <v>6257.39</v>
          </cell>
        </row>
        <row r="2305">
          <cell r="A2305" t="str">
            <v>Actual</v>
          </cell>
          <cell r="B2305">
            <v>2</v>
          </cell>
          <cell r="C2305" t="str">
            <v>Export</v>
          </cell>
          <cell r="D2305">
            <v>55</v>
          </cell>
          <cell r="E2305">
            <v>9109</v>
          </cell>
          <cell r="F2305" t="str">
            <v>KWANGBOK RUBBER Co. (SHINWOO)</v>
          </cell>
          <cell r="G2305" t="str">
            <v>E</v>
          </cell>
          <cell r="H2305" t="str">
            <v>BUSAN</v>
          </cell>
          <cell r="J2305" t="str">
            <v>KOS</v>
          </cell>
          <cell r="K2305" t="str">
            <v>SHIN SEUNG HICHEM Co., LTD.</v>
          </cell>
          <cell r="M2305" t="str">
            <v>KOS</v>
          </cell>
          <cell r="N2305" t="str">
            <v>C</v>
          </cell>
          <cell r="O2305">
            <v>24090228</v>
          </cell>
          <cell r="P2305" t="str">
            <v>BORIC ACID GRAN 25KG BAG, WOOD</v>
          </cell>
          <cell r="Q2305" t="str">
            <v>Boric Acid</v>
          </cell>
          <cell r="R2305">
            <v>21.990500000000001</v>
          </cell>
          <cell r="S2305">
            <v>8851.25</v>
          </cell>
        </row>
        <row r="2306">
          <cell r="A2306" t="str">
            <v>Actual</v>
          </cell>
          <cell r="B2306">
            <v>2</v>
          </cell>
          <cell r="C2306" t="str">
            <v>Export</v>
          </cell>
          <cell r="D2306">
            <v>55</v>
          </cell>
          <cell r="E2306">
            <v>9110</v>
          </cell>
          <cell r="F2306" t="str">
            <v>JINSUNG CHEMICO</v>
          </cell>
          <cell r="G2306" t="str">
            <v>E</v>
          </cell>
          <cell r="H2306" t="str">
            <v>KWANGYANG PORT</v>
          </cell>
          <cell r="J2306" t="str">
            <v>KOS</v>
          </cell>
          <cell r="K2306" t="str">
            <v>SHIN SEUNG HICHEM Co., LTD.</v>
          </cell>
          <cell r="M2306" t="str">
            <v>KOS</v>
          </cell>
          <cell r="N2306" t="str">
            <v>C</v>
          </cell>
          <cell r="O2306">
            <v>22060428</v>
          </cell>
          <cell r="P2306" t="str">
            <v>V-BOR 25KG BAG (004), WOOD</v>
          </cell>
          <cell r="Q2306" t="str">
            <v>Penta</v>
          </cell>
          <cell r="R2306">
            <v>0</v>
          </cell>
          <cell r="S2306">
            <v>87.5</v>
          </cell>
        </row>
        <row r="2307">
          <cell r="A2307" t="str">
            <v>Actual</v>
          </cell>
          <cell r="B2307">
            <v>2</v>
          </cell>
          <cell r="C2307" t="str">
            <v>Export</v>
          </cell>
          <cell r="D2307">
            <v>55</v>
          </cell>
          <cell r="E2307">
            <v>9110</v>
          </cell>
          <cell r="F2307" t="str">
            <v>JINSUNG CHEMICO</v>
          </cell>
          <cell r="G2307" t="str">
            <v>E</v>
          </cell>
          <cell r="H2307" t="str">
            <v>KWANGYANG PORT</v>
          </cell>
          <cell r="J2307" t="str">
            <v>KOS</v>
          </cell>
          <cell r="K2307" t="str">
            <v>SHIN SEUNG HICHEM Co., LTD.</v>
          </cell>
          <cell r="M2307" t="str">
            <v>KOS</v>
          </cell>
          <cell r="N2307" t="str">
            <v>C</v>
          </cell>
          <cell r="O2307">
            <v>23060228</v>
          </cell>
          <cell r="P2307" t="str">
            <v>DECA BORAX STD 25KG BAG, WOOD</v>
          </cell>
          <cell r="Q2307" t="str">
            <v>Deca</v>
          </cell>
          <cell r="R2307">
            <v>0</v>
          </cell>
          <cell r="S2307">
            <v>6.25</v>
          </cell>
        </row>
        <row r="2308">
          <cell r="A2308" t="str">
            <v>Actual</v>
          </cell>
          <cell r="B2308">
            <v>2</v>
          </cell>
          <cell r="C2308" t="str">
            <v>Export</v>
          </cell>
          <cell r="D2308">
            <v>55</v>
          </cell>
          <cell r="E2308">
            <v>9110</v>
          </cell>
          <cell r="F2308" t="str">
            <v>JINSUNG CHEMICO</v>
          </cell>
          <cell r="G2308" t="str">
            <v>E</v>
          </cell>
          <cell r="H2308" t="str">
            <v>KWANGYANG PORT</v>
          </cell>
          <cell r="J2308" t="str">
            <v>KOS</v>
          </cell>
          <cell r="K2308" t="str">
            <v>SHIN SEUNG HICHEM Co., LTD.</v>
          </cell>
          <cell r="M2308" t="str">
            <v>KOS</v>
          </cell>
          <cell r="N2308" t="str">
            <v>C</v>
          </cell>
          <cell r="O2308">
            <v>24090228</v>
          </cell>
          <cell r="P2308" t="str">
            <v>BORIC ACID GRAN 25KG BAG, WOOD</v>
          </cell>
          <cell r="Q2308" t="str">
            <v>Boric Acid</v>
          </cell>
          <cell r="R2308">
            <v>0</v>
          </cell>
          <cell r="S2308">
            <v>6.25</v>
          </cell>
        </row>
        <row r="2309">
          <cell r="A2309" t="str">
            <v>Actual</v>
          </cell>
          <cell r="B2309">
            <v>2</v>
          </cell>
          <cell r="C2309" t="str">
            <v>Export</v>
          </cell>
          <cell r="D2309">
            <v>55</v>
          </cell>
          <cell r="E2309">
            <v>9125</v>
          </cell>
          <cell r="F2309" t="str">
            <v>PT. CHEMIFIN JAYA UTAMA</v>
          </cell>
          <cell r="G2309" t="str">
            <v>E</v>
          </cell>
          <cell r="H2309" t="str">
            <v>JAKARTA</v>
          </cell>
          <cell r="J2309" t="str">
            <v>INO</v>
          </cell>
          <cell r="K2309" t="str">
            <v>PT. CHEMIFIN JAYA UTAMA</v>
          </cell>
          <cell r="M2309" t="str">
            <v>INO</v>
          </cell>
          <cell r="N2309" t="str">
            <v>C</v>
          </cell>
          <cell r="O2309">
            <v>24090220</v>
          </cell>
          <cell r="P2309" t="str">
            <v>BORIC ACID GRAN TECH 25KG BAG</v>
          </cell>
          <cell r="Q2309" t="str">
            <v>Boric Acid</v>
          </cell>
          <cell r="R2309">
            <v>65.971500000000006</v>
          </cell>
          <cell r="S2309">
            <v>26241</v>
          </cell>
        </row>
        <row r="2310">
          <cell r="A2310" t="str">
            <v>Actual</v>
          </cell>
          <cell r="B2310">
            <v>2</v>
          </cell>
          <cell r="C2310" t="str">
            <v>Export</v>
          </cell>
          <cell r="D2310">
            <v>55</v>
          </cell>
          <cell r="E2310">
            <v>9126</v>
          </cell>
          <cell r="F2310" t="str">
            <v>BEHN MEYER AGRICARE (S)PTE.LTD</v>
          </cell>
          <cell r="G2310" t="str">
            <v>E</v>
          </cell>
          <cell r="H2310" t="str">
            <v>JOHOR BAHRU (PASIR GUDANG)</v>
          </cell>
          <cell r="J2310" t="str">
            <v>MAL</v>
          </cell>
          <cell r="K2310" t="str">
            <v>BEHN MEYER INTERNATIONAL</v>
          </cell>
          <cell r="M2310" t="str">
            <v>SIN</v>
          </cell>
          <cell r="N2310" t="str">
            <v>C</v>
          </cell>
          <cell r="O2310" t="str">
            <v>220604B0</v>
          </cell>
          <cell r="P2310" t="str">
            <v>V-BOR 25 KG POLYBAG (004)</v>
          </cell>
          <cell r="Q2310" t="str">
            <v>Penta</v>
          </cell>
          <cell r="R2310">
            <v>175.92400000000001</v>
          </cell>
          <cell r="S2310">
            <v>41064</v>
          </cell>
        </row>
        <row r="2311">
          <cell r="A2311" t="str">
            <v>Actual</v>
          </cell>
          <cell r="B2311">
            <v>2</v>
          </cell>
          <cell r="C2311" t="str">
            <v>Export</v>
          </cell>
          <cell r="D2311">
            <v>55</v>
          </cell>
          <cell r="E2311">
            <v>9145</v>
          </cell>
          <cell r="F2311" t="str">
            <v>RIFA INDUSTRIAL Co., LTD.</v>
          </cell>
          <cell r="G2311" t="str">
            <v>E</v>
          </cell>
          <cell r="H2311" t="str">
            <v>BUSAN</v>
          </cell>
          <cell r="J2311" t="str">
            <v>KOS</v>
          </cell>
          <cell r="K2311" t="str">
            <v>SHIN SEUNG HICHEM CO., LTD.</v>
          </cell>
          <cell r="M2311" t="str">
            <v>KOS</v>
          </cell>
          <cell r="N2311" t="str">
            <v>C</v>
          </cell>
          <cell r="O2311">
            <v>23060228</v>
          </cell>
          <cell r="P2311" t="str">
            <v>DECA BORAX STD 25KG BAG, WOOD</v>
          </cell>
          <cell r="Q2311" t="str">
            <v>Deca</v>
          </cell>
          <cell r="R2311">
            <v>20.833100000000002</v>
          </cell>
          <cell r="S2311">
            <v>5955</v>
          </cell>
        </row>
        <row r="2312">
          <cell r="A2312" t="str">
            <v>Actual</v>
          </cell>
          <cell r="B2312">
            <v>2</v>
          </cell>
          <cell r="C2312" t="str">
            <v>Export</v>
          </cell>
          <cell r="D2312">
            <v>55</v>
          </cell>
          <cell r="E2312">
            <v>9145</v>
          </cell>
          <cell r="F2312" t="str">
            <v>RIFA INDUSTRIAL Co., LTD.</v>
          </cell>
          <cell r="G2312" t="str">
            <v>E</v>
          </cell>
          <cell r="H2312" t="str">
            <v>BUSAN</v>
          </cell>
          <cell r="J2312" t="str">
            <v>KOS</v>
          </cell>
          <cell r="K2312" t="str">
            <v>SHIN SEUNG HICHEM CO., LTD.</v>
          </cell>
          <cell r="M2312" t="str">
            <v>KOS</v>
          </cell>
          <cell r="N2312" t="str">
            <v>C</v>
          </cell>
          <cell r="O2312">
            <v>24090228</v>
          </cell>
          <cell r="P2312" t="str">
            <v>BORIC ACID GRAN 25KG BAG, WOOD</v>
          </cell>
          <cell r="Q2312" t="str">
            <v>Boric Acid</v>
          </cell>
          <cell r="R2312">
            <v>18.5183</v>
          </cell>
          <cell r="S2312">
            <v>7362</v>
          </cell>
        </row>
        <row r="2313">
          <cell r="A2313" t="str">
            <v>Actual</v>
          </cell>
          <cell r="B2313">
            <v>2</v>
          </cell>
          <cell r="C2313" t="str">
            <v>Export</v>
          </cell>
          <cell r="D2313">
            <v>55</v>
          </cell>
          <cell r="E2313">
            <v>9146</v>
          </cell>
          <cell r="F2313" t="str">
            <v>TREFILARBED KOREA Co., LTD.</v>
          </cell>
          <cell r="G2313" t="str">
            <v>E</v>
          </cell>
          <cell r="H2313" t="str">
            <v>KYUNGNAM</v>
          </cell>
          <cell r="J2313" t="str">
            <v>KOS</v>
          </cell>
          <cell r="K2313" t="str">
            <v>SHIN SEUNG HICHEM CO., LTD.</v>
          </cell>
          <cell r="M2313" t="str">
            <v>KOS</v>
          </cell>
          <cell r="N2313" t="str">
            <v>C</v>
          </cell>
          <cell r="O2313">
            <v>22060428</v>
          </cell>
          <cell r="P2313" t="str">
            <v>V-BOR 25KG BAG (004), WOOD</v>
          </cell>
          <cell r="Q2313" t="str">
            <v>Penta</v>
          </cell>
          <cell r="R2313">
            <v>18.5183</v>
          </cell>
          <cell r="S2313">
            <v>5221.8</v>
          </cell>
        </row>
        <row r="2314">
          <cell r="A2314" t="str">
            <v>Actual</v>
          </cell>
          <cell r="B2314">
            <v>2</v>
          </cell>
          <cell r="C2314" t="str">
            <v>Export</v>
          </cell>
          <cell r="D2314">
            <v>55</v>
          </cell>
          <cell r="E2314">
            <v>9147</v>
          </cell>
          <cell r="F2314" t="str">
            <v>KISWIRE LTD.</v>
          </cell>
          <cell r="G2314" t="str">
            <v>E</v>
          </cell>
          <cell r="H2314" t="str">
            <v>BUSAN</v>
          </cell>
          <cell r="J2314" t="str">
            <v>KOS</v>
          </cell>
          <cell r="K2314" t="str">
            <v>SHIN SEUNG HICHEM CO., LTD.</v>
          </cell>
          <cell r="M2314" t="str">
            <v>KOS</v>
          </cell>
          <cell r="N2314" t="str">
            <v>C</v>
          </cell>
          <cell r="O2314">
            <v>22060428</v>
          </cell>
          <cell r="P2314" t="str">
            <v>V-BOR 25KG BAG (004), WOOD</v>
          </cell>
          <cell r="Q2314" t="str">
            <v>Penta</v>
          </cell>
          <cell r="R2314">
            <v>18.5183</v>
          </cell>
          <cell r="S2314">
            <v>5346</v>
          </cell>
        </row>
        <row r="2315">
          <cell r="A2315" t="str">
            <v>Actual</v>
          </cell>
          <cell r="B2315">
            <v>2</v>
          </cell>
          <cell r="C2315" t="str">
            <v>Export</v>
          </cell>
          <cell r="D2315">
            <v>55</v>
          </cell>
          <cell r="E2315">
            <v>9164</v>
          </cell>
          <cell r="F2315" t="str">
            <v>SYTENGCO ENTERPRISES CORP</v>
          </cell>
          <cell r="G2315" t="str">
            <v>E</v>
          </cell>
          <cell r="H2315" t="str">
            <v>QUEZON CITY</v>
          </cell>
          <cell r="J2315" t="str">
            <v>PHI</v>
          </cell>
          <cell r="K2315" t="str">
            <v>CHEMSETTER</v>
          </cell>
          <cell r="M2315" t="str">
            <v>PHI</v>
          </cell>
          <cell r="N2315" t="str">
            <v>C</v>
          </cell>
          <cell r="O2315">
            <v>23060220</v>
          </cell>
          <cell r="P2315" t="str">
            <v>DECA BORAX STD 25KG BAG</v>
          </cell>
          <cell r="Q2315" t="str">
            <v>Deca</v>
          </cell>
          <cell r="R2315">
            <v>87.962000000000003</v>
          </cell>
          <cell r="S2315">
            <v>25168.52</v>
          </cell>
        </row>
        <row r="2316">
          <cell r="A2316" t="str">
            <v>Actual</v>
          </cell>
          <cell r="B2316">
            <v>2</v>
          </cell>
          <cell r="C2316" t="str">
            <v>Export</v>
          </cell>
          <cell r="D2316">
            <v>55</v>
          </cell>
          <cell r="E2316">
            <v>9176</v>
          </cell>
          <cell r="F2316" t="str">
            <v>BEHN MEYER AGRICARE (S)PTE.LTD</v>
          </cell>
          <cell r="G2316" t="str">
            <v>E</v>
          </cell>
          <cell r="H2316" t="str">
            <v>PORT KLANG</v>
          </cell>
          <cell r="J2316" t="str">
            <v>MAL</v>
          </cell>
          <cell r="K2316" t="str">
            <v>BEHN MEYER INTERNATIONAL</v>
          </cell>
          <cell r="M2316" t="str">
            <v>SIN</v>
          </cell>
          <cell r="N2316" t="str">
            <v>C</v>
          </cell>
          <cell r="O2316" t="str">
            <v>220604B0</v>
          </cell>
          <cell r="P2316" t="str">
            <v>V-BOR 25 KG POLYBAG (004)</v>
          </cell>
          <cell r="Q2316" t="str">
            <v>Penta</v>
          </cell>
          <cell r="R2316">
            <v>109.9525</v>
          </cell>
          <cell r="S2316">
            <v>26729</v>
          </cell>
        </row>
        <row r="2317">
          <cell r="A2317" t="str">
            <v>Actual</v>
          </cell>
          <cell r="B2317">
            <v>2</v>
          </cell>
          <cell r="C2317" t="str">
            <v>Export</v>
          </cell>
          <cell r="D2317">
            <v>55</v>
          </cell>
          <cell r="E2317">
            <v>9218</v>
          </cell>
          <cell r="F2317" t="str">
            <v>BE INTERNATIONAL CORPORATION</v>
          </cell>
          <cell r="G2317" t="str">
            <v>E</v>
          </cell>
          <cell r="H2317" t="str">
            <v>NAGOYA</v>
          </cell>
          <cell r="J2317" t="str">
            <v>JAP</v>
          </cell>
          <cell r="K2317" t="str">
            <v>BE INTERNATIONAL CORPORATION</v>
          </cell>
          <cell r="M2317" t="str">
            <v>JAP</v>
          </cell>
          <cell r="N2317" t="str">
            <v>D</v>
          </cell>
          <cell r="O2317" t="str">
            <v>220604B8</v>
          </cell>
          <cell r="P2317" t="str">
            <v>V-BOR 25KG POLYBAG,WOOD (004)</v>
          </cell>
          <cell r="Q2317" t="str">
            <v>Penta</v>
          </cell>
          <cell r="R2317">
            <v>13.8887</v>
          </cell>
          <cell r="S2317">
            <v>3841.8715999999999</v>
          </cell>
        </row>
        <row r="2318">
          <cell r="A2318" t="str">
            <v>Actual</v>
          </cell>
          <cell r="B2318">
            <v>2</v>
          </cell>
          <cell r="C2318" t="str">
            <v>Export</v>
          </cell>
          <cell r="D2318">
            <v>55</v>
          </cell>
          <cell r="E2318">
            <v>9218</v>
          </cell>
          <cell r="F2318" t="str">
            <v>BE INTERNATIONAL CORPORATION</v>
          </cell>
          <cell r="G2318" t="str">
            <v>E</v>
          </cell>
          <cell r="H2318" t="str">
            <v>NAGOYA</v>
          </cell>
          <cell r="J2318" t="str">
            <v>JAP</v>
          </cell>
          <cell r="K2318" t="str">
            <v>BE INTERNATIONAL CORPORATION</v>
          </cell>
          <cell r="M2318" t="str">
            <v>JAP</v>
          </cell>
          <cell r="N2318" t="str">
            <v>D</v>
          </cell>
          <cell r="O2318">
            <v>24850228</v>
          </cell>
          <cell r="P2318" t="str">
            <v>BORIC ACID GRAN 25KG BAG, WOOD</v>
          </cell>
          <cell r="Q2318" t="str">
            <v>Boric Acid</v>
          </cell>
          <cell r="R2318">
            <v>8.1018000000000008</v>
          </cell>
          <cell r="S2318">
            <v>3637.6284000000001</v>
          </cell>
        </row>
        <row r="2319">
          <cell r="A2319" t="str">
            <v>Actual</v>
          </cell>
          <cell r="B2319">
            <v>2</v>
          </cell>
          <cell r="C2319" t="str">
            <v>Export</v>
          </cell>
          <cell r="D2319">
            <v>55</v>
          </cell>
          <cell r="E2319">
            <v>9225</v>
          </cell>
          <cell r="F2319" t="str">
            <v>HANJIN CHEMICALS CO., LTD.</v>
          </cell>
          <cell r="G2319" t="str">
            <v>E</v>
          </cell>
          <cell r="H2319" t="str">
            <v>BUSAN</v>
          </cell>
          <cell r="J2319" t="str">
            <v>KOS</v>
          </cell>
          <cell r="K2319" t="str">
            <v>SHIN SEUNG HICHEM Co., LTD.</v>
          </cell>
          <cell r="M2319" t="str">
            <v>KOS</v>
          </cell>
          <cell r="N2319" t="str">
            <v>C</v>
          </cell>
          <cell r="O2319">
            <v>24090228</v>
          </cell>
          <cell r="P2319" t="str">
            <v>BORIC ACID GRAN 25KG BAG, WOOD</v>
          </cell>
          <cell r="Q2319" t="str">
            <v>Boric Acid</v>
          </cell>
          <cell r="R2319">
            <v>18.5183</v>
          </cell>
          <cell r="S2319">
            <v>7351</v>
          </cell>
        </row>
        <row r="2320">
          <cell r="A2320" t="str">
            <v>Actual</v>
          </cell>
          <cell r="B2320">
            <v>2</v>
          </cell>
          <cell r="C2320" t="str">
            <v>Export</v>
          </cell>
          <cell r="D2320">
            <v>55</v>
          </cell>
          <cell r="E2320">
            <v>9250</v>
          </cell>
          <cell r="F2320" t="str">
            <v>SAM WHA FINE CHEMICAL CO. LTD.</v>
          </cell>
          <cell r="G2320" t="str">
            <v>E</v>
          </cell>
          <cell r="H2320" t="str">
            <v>BUSAN</v>
          </cell>
          <cell r="J2320" t="str">
            <v>KOS</v>
          </cell>
          <cell r="K2320" t="str">
            <v>SHIN SEUNG HICHEM Co., LTD.</v>
          </cell>
          <cell r="M2320" t="str">
            <v>KOS</v>
          </cell>
          <cell r="O2320">
            <v>23060228</v>
          </cell>
          <cell r="P2320" t="str">
            <v>DECA BORAX STD 25KG BAG, WOOD</v>
          </cell>
          <cell r="Q2320" t="str">
            <v>Deca</v>
          </cell>
          <cell r="R2320">
            <v>12.731299999999999</v>
          </cell>
          <cell r="S2320">
            <v>3474.4875000000002</v>
          </cell>
        </row>
        <row r="2321">
          <cell r="A2321" t="str">
            <v>Actual</v>
          </cell>
          <cell r="B2321">
            <v>2</v>
          </cell>
          <cell r="C2321" t="str">
            <v>Export</v>
          </cell>
          <cell r="D2321">
            <v>55</v>
          </cell>
          <cell r="E2321">
            <v>9250</v>
          </cell>
          <cell r="F2321" t="str">
            <v>SAM WHA FINE CHEMICAL CO. LTD.</v>
          </cell>
          <cell r="G2321" t="str">
            <v>E</v>
          </cell>
          <cell r="H2321" t="str">
            <v>BUSAN</v>
          </cell>
          <cell r="J2321" t="str">
            <v>KOS</v>
          </cell>
          <cell r="K2321" t="str">
            <v>SHIN SEUNG HICHEM Co., LTD.</v>
          </cell>
          <cell r="M2321" t="str">
            <v>KOS</v>
          </cell>
          <cell r="O2321">
            <v>24090228</v>
          </cell>
          <cell r="P2321" t="str">
            <v>BORIC ACID GRAN 25KG BAG, WOOD</v>
          </cell>
          <cell r="Q2321" t="str">
            <v>Boric Acid</v>
          </cell>
          <cell r="R2321">
            <v>5.7869999999999999</v>
          </cell>
          <cell r="S2321">
            <v>2261.8125</v>
          </cell>
        </row>
        <row r="2322">
          <cell r="A2322" t="str">
            <v>Actual</v>
          </cell>
          <cell r="B2322">
            <v>2</v>
          </cell>
          <cell r="C2322" t="str">
            <v>Export</v>
          </cell>
          <cell r="D2322">
            <v>55</v>
          </cell>
          <cell r="E2322">
            <v>9253</v>
          </cell>
          <cell r="F2322" t="str">
            <v>ALWAYS STAR CO., LTD.</v>
          </cell>
          <cell r="G2322" t="str">
            <v>E</v>
          </cell>
          <cell r="H2322" t="str">
            <v>TIANJIN</v>
          </cell>
          <cell r="J2322" t="str">
            <v>CHN</v>
          </cell>
          <cell r="K2322" t="str">
            <v>ALWAYS STAR CO., LTD.</v>
          </cell>
          <cell r="M2322" t="str">
            <v>TWN</v>
          </cell>
          <cell r="N2322" t="str">
            <v>C</v>
          </cell>
          <cell r="O2322" t="str">
            <v>220604B8</v>
          </cell>
          <cell r="P2322" t="str">
            <v>V-BOR 25KG POLYBAG,WOOD (004)</v>
          </cell>
          <cell r="Q2322" t="str">
            <v>Penta</v>
          </cell>
          <cell r="R2322">
            <v>458.32819999999998</v>
          </cell>
          <cell r="S2322">
            <v>106636.4</v>
          </cell>
        </row>
        <row r="2323">
          <cell r="A2323" t="str">
            <v>Actual</v>
          </cell>
          <cell r="B2323">
            <v>2</v>
          </cell>
          <cell r="C2323" t="str">
            <v>Export</v>
          </cell>
          <cell r="D2323">
            <v>55</v>
          </cell>
          <cell r="E2323">
            <v>9254</v>
          </cell>
          <cell r="F2323" t="str">
            <v>ALWAYS STAR CO., LTD.</v>
          </cell>
          <cell r="G2323" t="str">
            <v>E</v>
          </cell>
          <cell r="H2323" t="str">
            <v>SHANGHAI</v>
          </cell>
          <cell r="J2323" t="str">
            <v>CHN</v>
          </cell>
          <cell r="K2323" t="str">
            <v>ALWAYS STAR CO., LTD.</v>
          </cell>
          <cell r="M2323" t="str">
            <v>TWN</v>
          </cell>
          <cell r="N2323" t="str">
            <v>D</v>
          </cell>
          <cell r="O2323" t="str">
            <v>220604B8</v>
          </cell>
          <cell r="P2323" t="str">
            <v>V-BOR 25KG POLYBAG,WOOD (004)</v>
          </cell>
          <cell r="Q2323" t="str">
            <v>Penta</v>
          </cell>
          <cell r="R2323">
            <v>0</v>
          </cell>
          <cell r="S2323">
            <v>-16.5</v>
          </cell>
        </row>
        <row r="2324">
          <cell r="A2324" t="str">
            <v>Actual</v>
          </cell>
          <cell r="B2324">
            <v>2</v>
          </cell>
          <cell r="C2324" t="str">
            <v>Export</v>
          </cell>
          <cell r="D2324">
            <v>55</v>
          </cell>
          <cell r="E2324">
            <v>9254</v>
          </cell>
          <cell r="F2324" t="str">
            <v>ALWAYS STAR CO., LTD.</v>
          </cell>
          <cell r="G2324" t="str">
            <v>E</v>
          </cell>
          <cell r="H2324" t="str">
            <v>SHANGHAI</v>
          </cell>
          <cell r="J2324" t="str">
            <v>CHN</v>
          </cell>
          <cell r="K2324" t="str">
            <v>ALWAYS STAR CO., LTD.</v>
          </cell>
          <cell r="M2324" t="str">
            <v>TWN</v>
          </cell>
          <cell r="N2324" t="str">
            <v>D</v>
          </cell>
          <cell r="O2324">
            <v>24090228</v>
          </cell>
          <cell r="P2324" t="str">
            <v>BORIC ACID GRAN 25KG BAG, WOOD</v>
          </cell>
          <cell r="Q2324" t="str">
            <v>Boric Acid</v>
          </cell>
          <cell r="R2324">
            <v>219.905</v>
          </cell>
          <cell r="S2324">
            <v>74857.5</v>
          </cell>
        </row>
        <row r="2325">
          <cell r="A2325" t="str">
            <v>Actual</v>
          </cell>
          <cell r="B2325">
            <v>2</v>
          </cell>
          <cell r="C2325" t="str">
            <v>Export</v>
          </cell>
          <cell r="D2325">
            <v>55</v>
          </cell>
          <cell r="E2325">
            <v>9286</v>
          </cell>
          <cell r="F2325" t="str">
            <v>PT. PHILIPS-RALIN ELECTRONICS</v>
          </cell>
          <cell r="G2325" t="str">
            <v>E</v>
          </cell>
          <cell r="H2325" t="str">
            <v>SIDOARJO</v>
          </cell>
          <cell r="J2325" t="str">
            <v>INO</v>
          </cell>
          <cell r="K2325" t="str">
            <v>PT. CHEMIFIN JAYA UTAMA</v>
          </cell>
          <cell r="M2325" t="str">
            <v>INO</v>
          </cell>
          <cell r="N2325" t="str">
            <v>C</v>
          </cell>
          <cell r="O2325">
            <v>22060428</v>
          </cell>
          <cell r="P2325" t="str">
            <v>V-BOR 25KG BAG (004), WOOD</v>
          </cell>
          <cell r="Q2325" t="str">
            <v>Penta</v>
          </cell>
          <cell r="R2325">
            <v>21.990500000000001</v>
          </cell>
          <cell r="S2325">
            <v>6056.25</v>
          </cell>
        </row>
        <row r="2326">
          <cell r="A2326" t="str">
            <v>Actual</v>
          </cell>
          <cell r="B2326">
            <v>2</v>
          </cell>
          <cell r="C2326" t="str">
            <v>Export</v>
          </cell>
          <cell r="D2326">
            <v>55</v>
          </cell>
          <cell r="E2326">
            <v>9298</v>
          </cell>
          <cell r="F2326" t="str">
            <v>KINIK COMPANY</v>
          </cell>
          <cell r="G2326" t="str">
            <v>E</v>
          </cell>
          <cell r="H2326" t="str">
            <v>KEELUNG</v>
          </cell>
          <cell r="J2326" t="str">
            <v>TWN</v>
          </cell>
          <cell r="K2326" t="str">
            <v>HLC INTERNATIONAL CORPORATION</v>
          </cell>
          <cell r="M2326" t="str">
            <v>TWN</v>
          </cell>
          <cell r="N2326" t="str">
            <v>D</v>
          </cell>
          <cell r="O2326">
            <v>20150228</v>
          </cell>
          <cell r="P2326" t="str">
            <v>PYROBOR COARSE 25KG (002) WOOD</v>
          </cell>
          <cell r="Q2326" t="str">
            <v>Pyrobor</v>
          </cell>
          <cell r="R2326">
            <v>21.990500000000001</v>
          </cell>
          <cell r="S2326">
            <v>18162.849999999999</v>
          </cell>
        </row>
        <row r="2327">
          <cell r="A2327" t="str">
            <v>Actual</v>
          </cell>
          <cell r="B2327">
            <v>2</v>
          </cell>
          <cell r="C2327" t="str">
            <v>Export</v>
          </cell>
          <cell r="D2327">
            <v>55</v>
          </cell>
          <cell r="E2327">
            <v>9327</v>
          </cell>
          <cell r="F2327" t="str">
            <v>HYOSUNG CORPORATION</v>
          </cell>
          <cell r="G2327" t="str">
            <v>E</v>
          </cell>
          <cell r="H2327" t="str">
            <v>SEOUL</v>
          </cell>
          <cell r="J2327" t="str">
            <v>KOS</v>
          </cell>
          <cell r="K2327" t="str">
            <v>SHIN SEUNG HICHEM CO., LTD.</v>
          </cell>
          <cell r="M2327" t="str">
            <v>KOS</v>
          </cell>
          <cell r="N2327" t="str">
            <v>C</v>
          </cell>
          <cell r="O2327">
            <v>22060428</v>
          </cell>
          <cell r="P2327" t="str">
            <v>V-BOR 25KG BAG (004), WOOD</v>
          </cell>
          <cell r="Q2327" t="str">
            <v>Penta</v>
          </cell>
          <cell r="R2327">
            <v>41.666200000000003</v>
          </cell>
          <cell r="S2327">
            <v>11601.6</v>
          </cell>
        </row>
        <row r="2328">
          <cell r="A2328" t="str">
            <v>Actual</v>
          </cell>
          <cell r="B2328">
            <v>2</v>
          </cell>
          <cell r="C2328" t="str">
            <v>Export</v>
          </cell>
          <cell r="D2328">
            <v>55</v>
          </cell>
          <cell r="E2328">
            <v>9344</v>
          </cell>
          <cell r="F2328" t="str">
            <v>PT. RAHARDJA MITRA KIMIA</v>
          </cell>
          <cell r="G2328" t="str">
            <v>E</v>
          </cell>
          <cell r="H2328" t="str">
            <v>MEDAN</v>
          </cell>
          <cell r="J2328" t="str">
            <v>INO</v>
          </cell>
          <cell r="K2328" t="str">
            <v>PT. CHEMIFIN JAYA UTAMA</v>
          </cell>
          <cell r="M2328" t="str">
            <v>INO</v>
          </cell>
          <cell r="N2328" t="str">
            <v>C</v>
          </cell>
          <cell r="O2328">
            <v>24090220</v>
          </cell>
          <cell r="P2328" t="str">
            <v>BORIC ACID GRAN TECH 25KG BAG</v>
          </cell>
          <cell r="Q2328" t="str">
            <v>Boric Acid</v>
          </cell>
          <cell r="R2328">
            <v>21.990500000000001</v>
          </cell>
          <cell r="S2328">
            <v>8497.5</v>
          </cell>
        </row>
        <row r="2329">
          <cell r="A2329" t="str">
            <v>Actual</v>
          </cell>
          <cell r="B2329">
            <v>2</v>
          </cell>
          <cell r="C2329" t="str">
            <v>Export</v>
          </cell>
          <cell r="D2329">
            <v>55</v>
          </cell>
          <cell r="E2329">
            <v>9345</v>
          </cell>
          <cell r="F2329" t="str">
            <v>IWATANI ASIA PACIFIC PTE LTD</v>
          </cell>
          <cell r="G2329" t="str">
            <v>E</v>
          </cell>
          <cell r="H2329" t="str">
            <v>SINGAPORE</v>
          </cell>
          <cell r="J2329" t="str">
            <v>SIN</v>
          </cell>
          <cell r="K2329" t="str">
            <v>BEHN MEYER INTERNATIONAL</v>
          </cell>
          <cell r="M2329" t="str">
            <v>SIN</v>
          </cell>
          <cell r="N2329" t="str">
            <v>D</v>
          </cell>
          <cell r="O2329">
            <v>24850249</v>
          </cell>
          <cell r="P2329" t="str">
            <v>BORIC ACID GRAN, 1 MT FIBC</v>
          </cell>
          <cell r="Q2329" t="str">
            <v>Boric Acid</v>
          </cell>
          <cell r="R2329">
            <v>44.091999999999999</v>
          </cell>
          <cell r="S2329">
            <v>20689</v>
          </cell>
        </row>
        <row r="2330">
          <cell r="A2330" t="str">
            <v>Actual</v>
          </cell>
          <cell r="B2330">
            <v>2</v>
          </cell>
          <cell r="C2330" t="str">
            <v>Export</v>
          </cell>
          <cell r="D2330">
            <v>55</v>
          </cell>
          <cell r="E2330">
            <v>9347</v>
          </cell>
          <cell r="F2330" t="str">
            <v>KING-BAR INDUSTRIAL Co., LTD.</v>
          </cell>
          <cell r="G2330" t="str">
            <v>E</v>
          </cell>
          <cell r="H2330" t="str">
            <v>KEELUNG</v>
          </cell>
          <cell r="J2330" t="str">
            <v>TWN</v>
          </cell>
          <cell r="K2330" t="str">
            <v>HLC INTERNATIONAL CORPORATION</v>
          </cell>
          <cell r="M2330" t="str">
            <v>TWN</v>
          </cell>
          <cell r="N2330" t="str">
            <v>D</v>
          </cell>
          <cell r="O2330">
            <v>20150228</v>
          </cell>
          <cell r="P2330" t="str">
            <v>PYROBOR COARSE 25KG (002) WOOD</v>
          </cell>
          <cell r="Q2330" t="str">
            <v>Pyrobor</v>
          </cell>
          <cell r="R2330">
            <v>21.990500000000001</v>
          </cell>
          <cell r="S2330">
            <v>14603.8</v>
          </cell>
        </row>
        <row r="2331">
          <cell r="A2331" t="str">
            <v>Actual</v>
          </cell>
          <cell r="B2331">
            <v>2</v>
          </cell>
          <cell r="C2331" t="str">
            <v>Export</v>
          </cell>
          <cell r="D2331">
            <v>55</v>
          </cell>
          <cell r="E2331">
            <v>9349</v>
          </cell>
          <cell r="F2331" t="str">
            <v>DREAM CHEM Co.</v>
          </cell>
          <cell r="G2331" t="str">
            <v>E</v>
          </cell>
          <cell r="H2331" t="str">
            <v>BUSAN</v>
          </cell>
          <cell r="J2331" t="str">
            <v>KOS</v>
          </cell>
          <cell r="K2331" t="str">
            <v>SHIN SEUNG HICHEM Co., LTD.</v>
          </cell>
          <cell r="M2331" t="str">
            <v>KOS</v>
          </cell>
          <cell r="N2331" t="str">
            <v>D</v>
          </cell>
          <cell r="O2331">
            <v>22060455</v>
          </cell>
          <cell r="P2331" t="str">
            <v>V-BOR 1 MT FIBC (004)</v>
          </cell>
          <cell r="Q2331" t="str">
            <v>Penta</v>
          </cell>
          <cell r="R2331">
            <v>22.045999999999999</v>
          </cell>
          <cell r="S2331">
            <v>6551</v>
          </cell>
        </row>
        <row r="2332">
          <cell r="A2332" t="str">
            <v>Actual</v>
          </cell>
          <cell r="B2332">
            <v>2</v>
          </cell>
          <cell r="C2332" t="str">
            <v>Export</v>
          </cell>
          <cell r="D2332">
            <v>55</v>
          </cell>
          <cell r="E2332">
            <v>9350</v>
          </cell>
          <cell r="F2332" t="str">
            <v>BE INTERNATIONAL CORPORATION</v>
          </cell>
          <cell r="G2332" t="str">
            <v>E</v>
          </cell>
          <cell r="H2332" t="str">
            <v>YOKOHAMA</v>
          </cell>
          <cell r="J2332" t="str">
            <v>JAP</v>
          </cell>
          <cell r="K2332" t="str">
            <v>BE INTERNATIONAL CORPORATION</v>
          </cell>
          <cell r="M2332" t="str">
            <v>JAP</v>
          </cell>
          <cell r="N2332" t="str">
            <v>D</v>
          </cell>
          <cell r="O2332">
            <v>24850228</v>
          </cell>
          <cell r="P2332" t="str">
            <v>BORIC ACID GRAN 25KG BAG, WOOD</v>
          </cell>
          <cell r="Q2332" t="str">
            <v>Boric Acid</v>
          </cell>
          <cell r="R2332">
            <v>21.990500000000001</v>
          </cell>
          <cell r="S2332">
            <v>9841.5</v>
          </cell>
        </row>
        <row r="2333">
          <cell r="A2333" t="str">
            <v>Actual</v>
          </cell>
          <cell r="B2333">
            <v>2</v>
          </cell>
          <cell r="C2333" t="str">
            <v>Export</v>
          </cell>
          <cell r="D2333">
            <v>55</v>
          </cell>
          <cell r="E2333">
            <v>9386</v>
          </cell>
          <cell r="F2333" t="str">
            <v>DNTNTM TRUONG PHAT</v>
          </cell>
          <cell r="G2333" t="str">
            <v>E</v>
          </cell>
          <cell r="H2333" t="str">
            <v>HO CHI MINH CITY</v>
          </cell>
          <cell r="J2333" t="str">
            <v>VIE</v>
          </cell>
          <cell r="K2333" t="str">
            <v>BEHN MEYER INTERNATIONAL</v>
          </cell>
          <cell r="M2333" t="str">
            <v>SIN</v>
          </cell>
          <cell r="N2333" t="str">
            <v>C</v>
          </cell>
          <cell r="O2333">
            <v>22060420</v>
          </cell>
          <cell r="P2333" t="str">
            <v>V-BOR 25KG BAG (004)</v>
          </cell>
          <cell r="Q2333" t="str">
            <v>Penta</v>
          </cell>
          <cell r="R2333">
            <v>109.9525</v>
          </cell>
          <cell r="S2333">
            <v>29035</v>
          </cell>
        </row>
        <row r="2334">
          <cell r="A2334" t="str">
            <v>Actual</v>
          </cell>
          <cell r="B2334">
            <v>2</v>
          </cell>
          <cell r="C2334" t="str">
            <v>Export</v>
          </cell>
          <cell r="D2334">
            <v>55</v>
          </cell>
          <cell r="E2334">
            <v>9402</v>
          </cell>
          <cell r="F2334" t="str">
            <v>BE INTERNATIONAL CORPORATION</v>
          </cell>
          <cell r="G2334" t="str">
            <v>E</v>
          </cell>
          <cell r="H2334" t="str">
            <v>YOKOHAMA</v>
          </cell>
          <cell r="J2334" t="str">
            <v>JAP</v>
          </cell>
          <cell r="K2334" t="str">
            <v>BE INTERNATIONAL CORPORATION</v>
          </cell>
          <cell r="M2334" t="str">
            <v>JAP</v>
          </cell>
          <cell r="N2334" t="str">
            <v>D</v>
          </cell>
          <cell r="O2334">
            <v>24850255</v>
          </cell>
          <cell r="P2334" t="str">
            <v>BORIC ACID GRN TECH 1MT FIBC</v>
          </cell>
          <cell r="Q2334" t="str">
            <v>Boric Acid</v>
          </cell>
          <cell r="R2334">
            <v>22.045999999999999</v>
          </cell>
          <cell r="S2334">
            <v>8858</v>
          </cell>
        </row>
        <row r="2335">
          <cell r="A2335" t="str">
            <v>Actual</v>
          </cell>
          <cell r="B2335">
            <v>2</v>
          </cell>
          <cell r="C2335" t="str">
            <v>Export</v>
          </cell>
          <cell r="D2335">
            <v>55</v>
          </cell>
          <cell r="E2335">
            <v>9461</v>
          </cell>
          <cell r="F2335" t="str">
            <v>SHIONOGI/KEIWAROZAI/OSAKA</v>
          </cell>
          <cell r="G2335" t="str">
            <v>E</v>
          </cell>
          <cell r="H2335" t="str">
            <v>OSAKA</v>
          </cell>
          <cell r="J2335" t="str">
            <v>JAP</v>
          </cell>
          <cell r="K2335" t="str">
            <v>SHIONOGI &amp; COMPANY LTD</v>
          </cell>
          <cell r="M2335" t="str">
            <v>JAP</v>
          </cell>
          <cell r="N2335" t="str">
            <v>C</v>
          </cell>
          <cell r="O2335" t="str">
            <v>230602B8</v>
          </cell>
          <cell r="P2335" t="str">
            <v>DECA STD 25KG POLYBAG, WOOD</v>
          </cell>
          <cell r="Q2335" t="str">
            <v>Deca</v>
          </cell>
          <cell r="R2335">
            <v>43.981000000000002</v>
          </cell>
          <cell r="S2335">
            <v>13077</v>
          </cell>
        </row>
        <row r="2336">
          <cell r="A2336" t="str">
            <v>Actual</v>
          </cell>
          <cell r="B2336">
            <v>2</v>
          </cell>
          <cell r="C2336" t="str">
            <v>Export</v>
          </cell>
          <cell r="D2336">
            <v>55</v>
          </cell>
          <cell r="E2336">
            <v>9483</v>
          </cell>
          <cell r="F2336" t="str">
            <v>SHIONOGI/NITTO DENKO/OSAKA</v>
          </cell>
          <cell r="G2336" t="str">
            <v>E</v>
          </cell>
          <cell r="H2336" t="str">
            <v>OSAKA</v>
          </cell>
          <cell r="J2336" t="str">
            <v>JAP</v>
          </cell>
          <cell r="K2336" t="str">
            <v>SHIONOGI &amp; COMPANY LTD</v>
          </cell>
          <cell r="M2336" t="str">
            <v>JAP</v>
          </cell>
          <cell r="N2336" t="str">
            <v>C</v>
          </cell>
          <cell r="O2336">
            <v>24090228</v>
          </cell>
          <cell r="P2336" t="str">
            <v>BORIC ACID GRAN 25KG BAG, WOOD</v>
          </cell>
          <cell r="Q2336" t="str">
            <v>Boric Acid</v>
          </cell>
          <cell r="R2336">
            <v>21.990500000000001</v>
          </cell>
          <cell r="S2336">
            <v>10728</v>
          </cell>
        </row>
        <row r="2337">
          <cell r="A2337" t="str">
            <v>Actual</v>
          </cell>
          <cell r="B2337">
            <v>2</v>
          </cell>
          <cell r="C2337" t="str">
            <v>Export</v>
          </cell>
          <cell r="D2337">
            <v>55</v>
          </cell>
          <cell r="E2337">
            <v>9498</v>
          </cell>
          <cell r="F2337" t="str">
            <v>CHEMSETTER MARKETING</v>
          </cell>
          <cell r="G2337" t="str">
            <v>E</v>
          </cell>
          <cell r="H2337" t="str">
            <v>MANILA</v>
          </cell>
          <cell r="J2337" t="str">
            <v>PHI</v>
          </cell>
          <cell r="K2337" t="str">
            <v>CHEMSETTER MARKETING</v>
          </cell>
          <cell r="M2337" t="str">
            <v>PHI</v>
          </cell>
          <cell r="O2337">
            <v>23060220</v>
          </cell>
          <cell r="P2337" t="str">
            <v>DECA BORAX STD 25KG BAG</v>
          </cell>
          <cell r="Q2337" t="str">
            <v>Deca</v>
          </cell>
          <cell r="R2337">
            <v>65.971500000000006</v>
          </cell>
          <cell r="S2337">
            <v>18128.25</v>
          </cell>
        </row>
        <row r="2338">
          <cell r="A2338" t="str">
            <v>Actual</v>
          </cell>
          <cell r="B2338">
            <v>2</v>
          </cell>
          <cell r="C2338" t="str">
            <v>Export</v>
          </cell>
          <cell r="D2338">
            <v>55</v>
          </cell>
          <cell r="E2338">
            <v>9525</v>
          </cell>
          <cell r="F2338" t="str">
            <v>BE INTERNATIONAL CORPORATION</v>
          </cell>
          <cell r="G2338" t="str">
            <v>E</v>
          </cell>
          <cell r="H2338" t="str">
            <v>NAGOYA</v>
          </cell>
          <cell r="J2338" t="str">
            <v>JAP</v>
          </cell>
          <cell r="K2338" t="str">
            <v>BE INTERNATIONAL CORPORATION</v>
          </cell>
          <cell r="M2338" t="str">
            <v>JAP</v>
          </cell>
          <cell r="N2338" t="str">
            <v>D</v>
          </cell>
          <cell r="O2338" t="str">
            <v>200602B8</v>
          </cell>
          <cell r="P2338" t="str">
            <v>PYROBOR 25KG POLYBAG, WOOD</v>
          </cell>
          <cell r="Q2338" t="str">
            <v>Pyrobor</v>
          </cell>
          <cell r="R2338">
            <v>21.990500000000001</v>
          </cell>
          <cell r="S2338">
            <v>12068</v>
          </cell>
        </row>
        <row r="2339">
          <cell r="A2339" t="str">
            <v>Actual</v>
          </cell>
          <cell r="B2339">
            <v>2</v>
          </cell>
          <cell r="C2339" t="str">
            <v>Export</v>
          </cell>
          <cell r="D2339">
            <v>55</v>
          </cell>
          <cell r="E2339">
            <v>9556</v>
          </cell>
          <cell r="F2339" t="str">
            <v>BEHN MEYER AGRICARE (S)PTE LTD</v>
          </cell>
          <cell r="G2339" t="str">
            <v>E</v>
          </cell>
          <cell r="H2339" t="str">
            <v>PENANG (BUTTERWORTH NBCT)</v>
          </cell>
          <cell r="J2339" t="str">
            <v>MAL</v>
          </cell>
          <cell r="K2339" t="str">
            <v>BEHN MEYER INTERNATIONAL</v>
          </cell>
          <cell r="M2339" t="str">
            <v>SIN</v>
          </cell>
          <cell r="N2339" t="str">
            <v>D</v>
          </cell>
          <cell r="O2339" t="str">
            <v>220604B0</v>
          </cell>
          <cell r="P2339" t="str">
            <v>V-BOR 25 KG POLYBAG (004)</v>
          </cell>
          <cell r="Q2339" t="str">
            <v>Penta</v>
          </cell>
          <cell r="R2339">
            <v>109.9525</v>
          </cell>
          <cell r="S2339">
            <v>26740</v>
          </cell>
        </row>
        <row r="2340">
          <cell r="A2340" t="str">
            <v>Actual</v>
          </cell>
          <cell r="B2340">
            <v>2</v>
          </cell>
          <cell r="C2340" t="str">
            <v>Export</v>
          </cell>
          <cell r="D2340">
            <v>55</v>
          </cell>
          <cell r="E2340">
            <v>9594</v>
          </cell>
          <cell r="F2340" t="str">
            <v>INACTIVE-IMPERIAL EXIM</v>
          </cell>
          <cell r="G2340" t="str">
            <v>E</v>
          </cell>
          <cell r="H2340" t="str">
            <v>KARACHI</v>
          </cell>
          <cell r="J2340" t="str">
            <v>PAK</v>
          </cell>
          <cell r="K2340" t="str">
            <v>FAROOQ INT'L EXPORT ENT</v>
          </cell>
          <cell r="M2340" t="str">
            <v>PAK</v>
          </cell>
          <cell r="N2340" t="str">
            <v>C</v>
          </cell>
          <cell r="O2340">
            <v>23060228</v>
          </cell>
          <cell r="P2340" t="str">
            <v>DECA BORAX STD 25KG BAG, WOOD</v>
          </cell>
          <cell r="Q2340" t="str">
            <v>Deca</v>
          </cell>
          <cell r="R2340">
            <v>21.990500000000001</v>
          </cell>
          <cell r="S2340">
            <v>4896</v>
          </cell>
        </row>
        <row r="2341">
          <cell r="A2341" t="str">
            <v>Actual</v>
          </cell>
          <cell r="B2341">
            <v>2</v>
          </cell>
          <cell r="C2341" t="str">
            <v>Export</v>
          </cell>
          <cell r="D2341">
            <v>55</v>
          </cell>
          <cell r="E2341">
            <v>9608</v>
          </cell>
          <cell r="F2341" t="str">
            <v>ALWAYS STAR CO., LTD.</v>
          </cell>
          <cell r="G2341" t="str">
            <v>E</v>
          </cell>
          <cell r="H2341" t="str">
            <v>YANTIAN</v>
          </cell>
          <cell r="J2341" t="str">
            <v>CHN</v>
          </cell>
          <cell r="K2341" t="str">
            <v>ALWAYS STAR CO., LTD.</v>
          </cell>
          <cell r="M2341" t="str">
            <v>TWN</v>
          </cell>
          <cell r="N2341" t="str">
            <v>D</v>
          </cell>
          <cell r="O2341">
            <v>24090228</v>
          </cell>
          <cell r="P2341" t="str">
            <v>BORIC ACID GRAN 25KG BAG, WOOD</v>
          </cell>
          <cell r="Q2341" t="str">
            <v>Boric Acid</v>
          </cell>
          <cell r="R2341">
            <v>241.8955</v>
          </cell>
          <cell r="S2341">
            <v>92218.5</v>
          </cell>
        </row>
        <row r="2342">
          <cell r="A2342" t="str">
            <v>Actual</v>
          </cell>
          <cell r="B2342">
            <v>2</v>
          </cell>
          <cell r="C2342" t="str">
            <v>Export</v>
          </cell>
          <cell r="D2342">
            <v>55</v>
          </cell>
          <cell r="E2342">
            <v>9609</v>
          </cell>
          <cell r="F2342" t="str">
            <v>TAO YUAN CHEMICAL MANUFACTORY</v>
          </cell>
          <cell r="G2342" t="str">
            <v>E</v>
          </cell>
          <cell r="H2342" t="str">
            <v>TAO YUAN</v>
          </cell>
          <cell r="J2342" t="str">
            <v>TWN</v>
          </cell>
          <cell r="K2342" t="str">
            <v>HLC INTERNATIONAL CORPORATION</v>
          </cell>
          <cell r="M2342" t="str">
            <v>TWN</v>
          </cell>
          <cell r="N2342" t="str">
            <v>C</v>
          </cell>
          <cell r="O2342">
            <v>24090228</v>
          </cell>
          <cell r="P2342" t="str">
            <v>BORIC ACID GRAN 25KG BAG, WOOD</v>
          </cell>
          <cell r="Q2342" t="str">
            <v>Boric Acid</v>
          </cell>
          <cell r="R2342">
            <v>21.990500000000001</v>
          </cell>
          <cell r="S2342">
            <v>9740.5</v>
          </cell>
        </row>
        <row r="2343">
          <cell r="A2343" t="str">
            <v>Actual</v>
          </cell>
          <cell r="B2343">
            <v>2</v>
          </cell>
          <cell r="C2343" t="str">
            <v>Export</v>
          </cell>
          <cell r="D2343">
            <v>55</v>
          </cell>
          <cell r="E2343">
            <v>9615</v>
          </cell>
          <cell r="F2343" t="str">
            <v>NECO PHILIPPINES, INC.</v>
          </cell>
          <cell r="G2343" t="str">
            <v>E</v>
          </cell>
          <cell r="H2343" t="str">
            <v>MANILA</v>
          </cell>
          <cell r="J2343" t="str">
            <v>PHI</v>
          </cell>
          <cell r="K2343" t="str">
            <v>CHEMSETTER</v>
          </cell>
          <cell r="M2343" t="str">
            <v>PHI</v>
          </cell>
          <cell r="N2343" t="str">
            <v>C</v>
          </cell>
          <cell r="O2343">
            <v>24090220</v>
          </cell>
          <cell r="P2343" t="str">
            <v>BORIC ACID GRAN TECH 25KG BAG</v>
          </cell>
          <cell r="Q2343" t="str">
            <v>Boric Acid</v>
          </cell>
          <cell r="R2343">
            <v>21.990500000000001</v>
          </cell>
          <cell r="S2343">
            <v>10312.75</v>
          </cell>
        </row>
        <row r="2344">
          <cell r="A2344" t="str">
            <v>Actual</v>
          </cell>
          <cell r="B2344">
            <v>2</v>
          </cell>
          <cell r="C2344" t="str">
            <v>Export</v>
          </cell>
          <cell r="D2344">
            <v>55</v>
          </cell>
          <cell r="E2344">
            <v>9621</v>
          </cell>
          <cell r="F2344" t="str">
            <v>AGAZ CORPORATION</v>
          </cell>
          <cell r="G2344" t="str">
            <v>E</v>
          </cell>
          <cell r="H2344" t="str">
            <v>KARACHI</v>
          </cell>
          <cell r="J2344" t="str">
            <v>PAK</v>
          </cell>
          <cell r="K2344" t="str">
            <v>FAROOQ INT'L EXPORT ENT</v>
          </cell>
          <cell r="M2344" t="str">
            <v>PAK</v>
          </cell>
          <cell r="N2344" t="str">
            <v>C</v>
          </cell>
          <cell r="O2344">
            <v>23060228</v>
          </cell>
          <cell r="P2344" t="str">
            <v>DECA BORAX STD 25KG BAG, WOOD</v>
          </cell>
          <cell r="Q2344" t="str">
            <v>Deca</v>
          </cell>
          <cell r="R2344">
            <v>21.990500000000001</v>
          </cell>
          <cell r="S2344">
            <v>4984.75</v>
          </cell>
        </row>
        <row r="2345">
          <cell r="A2345" t="str">
            <v>Actual</v>
          </cell>
          <cell r="B2345">
            <v>2</v>
          </cell>
          <cell r="C2345" t="str">
            <v>Export</v>
          </cell>
          <cell r="D2345">
            <v>57</v>
          </cell>
          <cell r="E2345">
            <v>5014</v>
          </cell>
          <cell r="F2345" t="str">
            <v>ORICA CHEMNET</v>
          </cell>
          <cell r="G2345" t="str">
            <v>E</v>
          </cell>
          <cell r="H2345" t="str">
            <v>MOUNT MAUNGANUI</v>
          </cell>
          <cell r="J2345" t="str">
            <v>NZL</v>
          </cell>
          <cell r="K2345" t="str">
            <v>ORICA CHEMNET</v>
          </cell>
          <cell r="M2345" t="str">
            <v>NZL</v>
          </cell>
          <cell r="N2345" t="str">
            <v>C</v>
          </cell>
          <cell r="O2345">
            <v>40060400</v>
          </cell>
          <cell r="P2345" t="str">
            <v>SODIUM SULFATE STANDARD BULK</v>
          </cell>
          <cell r="Q2345" t="str">
            <v>Sodium Sulfate</v>
          </cell>
          <cell r="R2345">
            <v>5499.3747000000003</v>
          </cell>
          <cell r="S2345">
            <v>279902.26</v>
          </cell>
        </row>
        <row r="2346">
          <cell r="A2346" t="str">
            <v>Actual</v>
          </cell>
          <cell r="B2346">
            <v>2</v>
          </cell>
          <cell r="C2346" t="str">
            <v>Export</v>
          </cell>
          <cell r="D2346">
            <v>57</v>
          </cell>
          <cell r="E2346">
            <v>6305</v>
          </cell>
          <cell r="F2346" t="str">
            <v>SWIFT/STOCK SYDNEY</v>
          </cell>
          <cell r="G2346" t="str">
            <v>E</v>
          </cell>
          <cell r="H2346" t="str">
            <v>SYDNEY</v>
          </cell>
          <cell r="J2346" t="str">
            <v>AUS</v>
          </cell>
          <cell r="K2346" t="str">
            <v>SWIFT AND COMPANY LIMITED</v>
          </cell>
          <cell r="M2346" t="str">
            <v>AUS</v>
          </cell>
          <cell r="N2346" t="str">
            <v>C</v>
          </cell>
          <cell r="O2346">
            <v>22060420</v>
          </cell>
          <cell r="P2346" t="str">
            <v>V-BOR 25KG BAG (004)</v>
          </cell>
          <cell r="Q2346" t="str">
            <v>Penta</v>
          </cell>
          <cell r="R2346">
            <v>15.046200000000001</v>
          </cell>
          <cell r="S2346">
            <v>4786.2632999999996</v>
          </cell>
        </row>
        <row r="2347">
          <cell r="A2347" t="str">
            <v>Actual</v>
          </cell>
          <cell r="B2347">
            <v>2</v>
          </cell>
          <cell r="C2347" t="str">
            <v>Export</v>
          </cell>
          <cell r="D2347">
            <v>57</v>
          </cell>
          <cell r="E2347">
            <v>6305</v>
          </cell>
          <cell r="F2347" t="str">
            <v>SWIFT/STOCK SYDNEY</v>
          </cell>
          <cell r="G2347" t="str">
            <v>E</v>
          </cell>
          <cell r="H2347" t="str">
            <v>SYDNEY</v>
          </cell>
          <cell r="J2347" t="str">
            <v>AUS</v>
          </cell>
          <cell r="K2347" t="str">
            <v>SWIFT AND COMPANY LIMITED</v>
          </cell>
          <cell r="M2347" t="str">
            <v>AUS</v>
          </cell>
          <cell r="N2347" t="str">
            <v>C</v>
          </cell>
          <cell r="O2347">
            <v>23060220</v>
          </cell>
          <cell r="P2347" t="str">
            <v>DECA BORAX STD 25KG BAG</v>
          </cell>
          <cell r="Q2347" t="str">
            <v>Deca</v>
          </cell>
          <cell r="R2347">
            <v>19.675699999999999</v>
          </cell>
          <cell r="S2347">
            <v>4397.9678999999996</v>
          </cell>
        </row>
        <row r="2348">
          <cell r="A2348" t="str">
            <v>Actual</v>
          </cell>
          <cell r="B2348">
            <v>2</v>
          </cell>
          <cell r="C2348" t="str">
            <v>Export</v>
          </cell>
          <cell r="D2348">
            <v>57</v>
          </cell>
          <cell r="E2348">
            <v>6305</v>
          </cell>
          <cell r="F2348" t="str">
            <v>SWIFT/STOCK SYDNEY</v>
          </cell>
          <cell r="G2348" t="str">
            <v>E</v>
          </cell>
          <cell r="H2348" t="str">
            <v>SYDNEY</v>
          </cell>
          <cell r="J2348" t="str">
            <v>AUS</v>
          </cell>
          <cell r="K2348" t="str">
            <v>SWIFT AND COMPANY LIMITED</v>
          </cell>
          <cell r="M2348" t="str">
            <v>AUS</v>
          </cell>
          <cell r="N2348" t="str">
            <v>C</v>
          </cell>
          <cell r="O2348">
            <v>24090220</v>
          </cell>
          <cell r="P2348" t="str">
            <v>BORIC ACID GRAN TECH 25KG BAG</v>
          </cell>
          <cell r="Q2348" t="str">
            <v>Boric Acid</v>
          </cell>
          <cell r="R2348">
            <v>9.2591999999999999</v>
          </cell>
          <cell r="S2348">
            <v>3564.8780999999999</v>
          </cell>
        </row>
        <row r="2349">
          <cell r="A2349" t="str">
            <v>Actual</v>
          </cell>
          <cell r="B2349">
            <v>2</v>
          </cell>
          <cell r="C2349" t="str">
            <v>Export</v>
          </cell>
          <cell r="D2349">
            <v>57</v>
          </cell>
          <cell r="E2349">
            <v>6311</v>
          </cell>
          <cell r="F2349" t="str">
            <v>SWIFT/STOCK FREMANTLE</v>
          </cell>
          <cell r="G2349" t="str">
            <v>E</v>
          </cell>
          <cell r="H2349" t="str">
            <v>FREMANTLE</v>
          </cell>
          <cell r="J2349" t="str">
            <v>AUS</v>
          </cell>
          <cell r="K2349" t="str">
            <v>SWIFT AND COMPANY LIMITED</v>
          </cell>
          <cell r="M2349" t="str">
            <v>AUS</v>
          </cell>
          <cell r="N2349" t="str">
            <v>C</v>
          </cell>
          <cell r="O2349">
            <v>20150220</v>
          </cell>
          <cell r="P2349" t="str">
            <v>PYROBOR COARSE 25KG BAG (002)</v>
          </cell>
          <cell r="Q2349" t="str">
            <v>Pyrobor</v>
          </cell>
          <cell r="R2349">
            <v>21.990500000000001</v>
          </cell>
          <cell r="S2349">
            <v>10752.5</v>
          </cell>
        </row>
        <row r="2350">
          <cell r="A2350" t="str">
            <v>Actual</v>
          </cell>
          <cell r="B2350">
            <v>2</v>
          </cell>
          <cell r="C2350" t="str">
            <v>Export</v>
          </cell>
          <cell r="D2350">
            <v>57</v>
          </cell>
          <cell r="E2350">
            <v>6313</v>
          </cell>
          <cell r="F2350" t="str">
            <v>SWIFT/STOCK BRISBANE</v>
          </cell>
          <cell r="G2350" t="str">
            <v>E</v>
          </cell>
          <cell r="H2350" t="str">
            <v>BRISBANE</v>
          </cell>
          <cell r="J2350" t="str">
            <v>AUS</v>
          </cell>
          <cell r="K2350" t="str">
            <v>SWIFT AND COMPANY LIMITED</v>
          </cell>
          <cell r="M2350" t="str">
            <v>AUS</v>
          </cell>
          <cell r="N2350" t="str">
            <v>C</v>
          </cell>
          <cell r="O2350">
            <v>22060420</v>
          </cell>
          <cell r="P2350" t="str">
            <v>V-BOR 25KG BAG (004)</v>
          </cell>
          <cell r="Q2350" t="str">
            <v>Penta</v>
          </cell>
          <cell r="R2350">
            <v>2.3148</v>
          </cell>
          <cell r="S2350">
            <v>678.29719999999998</v>
          </cell>
        </row>
        <row r="2351">
          <cell r="A2351" t="str">
            <v>Actual</v>
          </cell>
          <cell r="B2351">
            <v>2</v>
          </cell>
          <cell r="C2351" t="str">
            <v>Export</v>
          </cell>
          <cell r="D2351">
            <v>57</v>
          </cell>
          <cell r="E2351">
            <v>6313</v>
          </cell>
          <cell r="F2351" t="str">
            <v>SWIFT/STOCK BRISBANE</v>
          </cell>
          <cell r="G2351" t="str">
            <v>E</v>
          </cell>
          <cell r="H2351" t="str">
            <v>BRISBANE</v>
          </cell>
          <cell r="J2351" t="str">
            <v>AUS</v>
          </cell>
          <cell r="K2351" t="str">
            <v>SWIFT AND COMPANY LIMITED</v>
          </cell>
          <cell r="M2351" t="str">
            <v>AUS</v>
          </cell>
          <cell r="N2351" t="str">
            <v>C</v>
          </cell>
          <cell r="O2351">
            <v>23060220</v>
          </cell>
          <cell r="P2351" t="str">
            <v>DECA BORAX STD 25KG BAG</v>
          </cell>
          <cell r="Q2351" t="str">
            <v>Deca</v>
          </cell>
          <cell r="R2351">
            <v>20.833100000000002</v>
          </cell>
          <cell r="S2351">
            <v>4206.4561000000003</v>
          </cell>
        </row>
        <row r="2352">
          <cell r="A2352" t="str">
            <v>Actual</v>
          </cell>
          <cell r="B2352">
            <v>2</v>
          </cell>
          <cell r="C2352" t="str">
            <v>Export</v>
          </cell>
          <cell r="D2352">
            <v>57</v>
          </cell>
          <cell r="E2352">
            <v>6313</v>
          </cell>
          <cell r="F2352" t="str">
            <v>SWIFT/STOCK BRISBANE</v>
          </cell>
          <cell r="G2352" t="str">
            <v>E</v>
          </cell>
          <cell r="H2352" t="str">
            <v>BRISBANE</v>
          </cell>
          <cell r="J2352" t="str">
            <v>AUS</v>
          </cell>
          <cell r="K2352" t="str">
            <v>SWIFT AND COMPANY LIMITED</v>
          </cell>
          <cell r="M2352" t="str">
            <v>AUS</v>
          </cell>
          <cell r="N2352" t="str">
            <v>C</v>
          </cell>
          <cell r="O2352">
            <v>24090220</v>
          </cell>
          <cell r="P2352" t="str">
            <v>BORIC ACID GRAN TECH 25KG BAG</v>
          </cell>
          <cell r="Q2352" t="str">
            <v>Boric Acid</v>
          </cell>
          <cell r="R2352">
            <v>20.832999999999998</v>
          </cell>
          <cell r="S2352">
            <v>7420.3534</v>
          </cell>
        </row>
        <row r="2353">
          <cell r="A2353" t="str">
            <v>Actual</v>
          </cell>
          <cell r="B2353">
            <v>2</v>
          </cell>
          <cell r="C2353" t="str">
            <v>Export</v>
          </cell>
          <cell r="D2353">
            <v>57</v>
          </cell>
          <cell r="E2353">
            <v>6655</v>
          </cell>
          <cell r="F2353" t="str">
            <v>OSCAR PENA JR.</v>
          </cell>
          <cell r="G2353" t="str">
            <v>E</v>
          </cell>
          <cell r="H2353" t="str">
            <v>MONTERREY</v>
          </cell>
          <cell r="J2353" t="str">
            <v>MEX</v>
          </cell>
          <cell r="K2353" t="str">
            <v>PROVEEDORA DE PRODUCTOS</v>
          </cell>
          <cell r="M2353" t="str">
            <v>MEX</v>
          </cell>
          <cell r="N2353" t="str">
            <v>C</v>
          </cell>
          <cell r="O2353">
            <v>22060428</v>
          </cell>
          <cell r="P2353" t="str">
            <v>V-BOR 25KG BAG (004), WOOD</v>
          </cell>
          <cell r="Q2353" t="str">
            <v>Penta</v>
          </cell>
          <cell r="R2353">
            <v>43.981000000000002</v>
          </cell>
          <cell r="S2353">
            <v>11403.95</v>
          </cell>
        </row>
        <row r="2354">
          <cell r="A2354" t="str">
            <v>Actual</v>
          </cell>
          <cell r="B2354">
            <v>2</v>
          </cell>
          <cell r="C2354" t="str">
            <v>Export</v>
          </cell>
          <cell r="D2354">
            <v>57</v>
          </cell>
          <cell r="E2354">
            <v>7343</v>
          </cell>
          <cell r="F2354" t="str">
            <v>IMPORTADORA QUIMICA DEL NORTE</v>
          </cell>
          <cell r="G2354" t="str">
            <v>E</v>
          </cell>
          <cell r="H2354" t="str">
            <v>LA URUCA</v>
          </cell>
          <cell r="J2354" t="str">
            <v>COS</v>
          </cell>
          <cell r="K2354" t="str">
            <v>REUBEN SOTO CORP S.A.</v>
          </cell>
          <cell r="M2354" t="str">
            <v>COS</v>
          </cell>
          <cell r="N2354" t="str">
            <v>C</v>
          </cell>
          <cell r="O2354">
            <v>40060430</v>
          </cell>
          <cell r="P2354" t="str">
            <v>SODIUM SULFATE STD 100LB BAG</v>
          </cell>
          <cell r="Q2354" t="str">
            <v>Sodium Sulfate</v>
          </cell>
          <cell r="R2354">
            <v>22.5</v>
          </cell>
          <cell r="S2354">
            <v>2671.92</v>
          </cell>
        </row>
        <row r="2355">
          <cell r="A2355" t="str">
            <v>Actual</v>
          </cell>
          <cell r="B2355">
            <v>2</v>
          </cell>
          <cell r="C2355" t="str">
            <v>Export</v>
          </cell>
          <cell r="D2355">
            <v>57</v>
          </cell>
          <cell r="E2355">
            <v>7670</v>
          </cell>
          <cell r="F2355" t="str">
            <v>KOPRIMO S.A. DE C.V.</v>
          </cell>
          <cell r="G2355" t="str">
            <v>E</v>
          </cell>
          <cell r="H2355" t="str">
            <v>LAREDO</v>
          </cell>
          <cell r="J2355" t="str">
            <v>MEX</v>
          </cell>
          <cell r="K2355" t="str">
            <v>KOPRIMO S.A. DE C.V.</v>
          </cell>
          <cell r="M2355" t="str">
            <v>MEX</v>
          </cell>
          <cell r="N2355" t="str">
            <v>C</v>
          </cell>
          <cell r="O2355">
            <v>22060428</v>
          </cell>
          <cell r="P2355" t="str">
            <v>V-BOR 25KG BAG (004), WOOD</v>
          </cell>
          <cell r="Q2355" t="str">
            <v>Penta</v>
          </cell>
          <cell r="R2355">
            <v>43.981000000000002</v>
          </cell>
          <cell r="S2355">
            <v>12699.03</v>
          </cell>
        </row>
        <row r="2356">
          <cell r="A2356" t="str">
            <v>Actual</v>
          </cell>
          <cell r="B2356">
            <v>2</v>
          </cell>
          <cell r="C2356" t="str">
            <v>Export</v>
          </cell>
          <cell r="D2356">
            <v>57</v>
          </cell>
          <cell r="E2356">
            <v>7670</v>
          </cell>
          <cell r="F2356" t="str">
            <v>KOPRIMO S.A. DE C.V.</v>
          </cell>
          <cell r="G2356" t="str">
            <v>E</v>
          </cell>
          <cell r="H2356" t="str">
            <v>LAREDO</v>
          </cell>
          <cell r="J2356" t="str">
            <v>MEX</v>
          </cell>
          <cell r="K2356" t="str">
            <v>KOPRIMO S.A. DE C.V.</v>
          </cell>
          <cell r="M2356" t="str">
            <v>MEX</v>
          </cell>
          <cell r="N2356" t="str">
            <v>C</v>
          </cell>
          <cell r="O2356">
            <v>24030223</v>
          </cell>
          <cell r="P2356" t="str">
            <v>BORIC ACID PWD 50LB BAG (INTL)</v>
          </cell>
          <cell r="Q2356" t="str">
            <v>Boric Acid</v>
          </cell>
          <cell r="R2356">
            <v>15.75</v>
          </cell>
          <cell r="S2356">
            <v>8396.1200000000008</v>
          </cell>
        </row>
        <row r="2357">
          <cell r="A2357" t="str">
            <v>Actual</v>
          </cell>
          <cell r="B2357">
            <v>2</v>
          </cell>
          <cell r="C2357" t="str">
            <v>Export</v>
          </cell>
          <cell r="D2357">
            <v>57</v>
          </cell>
          <cell r="E2357">
            <v>7670</v>
          </cell>
          <cell r="F2357" t="str">
            <v>KOPRIMO S.A. DE C.V.</v>
          </cell>
          <cell r="G2357" t="str">
            <v>E</v>
          </cell>
          <cell r="H2357" t="str">
            <v>LAREDO</v>
          </cell>
          <cell r="J2357" t="str">
            <v>MEX</v>
          </cell>
          <cell r="K2357" t="str">
            <v>KOPRIMO S.A. DE C.V.</v>
          </cell>
          <cell r="M2357" t="str">
            <v>MEX</v>
          </cell>
          <cell r="N2357" t="str">
            <v>C</v>
          </cell>
          <cell r="O2357">
            <v>24090228</v>
          </cell>
          <cell r="P2357" t="str">
            <v>BORIC ACID GRAN 25KG BAG, WOOD</v>
          </cell>
          <cell r="Q2357" t="str">
            <v>Boric Acid</v>
          </cell>
          <cell r="R2357">
            <v>49.768000000000001</v>
          </cell>
          <cell r="S2357">
            <v>21983.16</v>
          </cell>
        </row>
        <row r="2358">
          <cell r="A2358" t="str">
            <v>Actual</v>
          </cell>
          <cell r="B2358">
            <v>2</v>
          </cell>
          <cell r="C2358" t="str">
            <v>Export</v>
          </cell>
          <cell r="D2358">
            <v>57</v>
          </cell>
          <cell r="E2358">
            <v>7670</v>
          </cell>
          <cell r="F2358" t="str">
            <v>KOPRIMO S.A. DE C.V.</v>
          </cell>
          <cell r="G2358" t="str">
            <v>E</v>
          </cell>
          <cell r="H2358" t="str">
            <v>LAREDO</v>
          </cell>
          <cell r="J2358" t="str">
            <v>MEX</v>
          </cell>
          <cell r="K2358" t="str">
            <v>KOPRIMO S.A. DE C.V.</v>
          </cell>
          <cell r="M2358" t="str">
            <v>MEX</v>
          </cell>
          <cell r="N2358" t="str">
            <v>C</v>
          </cell>
          <cell r="O2358">
            <v>40060400</v>
          </cell>
          <cell r="P2358" t="str">
            <v>SODIUM SULFATE STANDARD BULK</v>
          </cell>
          <cell r="Q2358" t="str">
            <v>Sodium Sulfate</v>
          </cell>
          <cell r="R2358">
            <v>538.70000000000005</v>
          </cell>
          <cell r="S2358">
            <v>24647.45</v>
          </cell>
        </row>
        <row r="2359">
          <cell r="A2359" t="str">
            <v>Actual</v>
          </cell>
          <cell r="B2359">
            <v>2</v>
          </cell>
          <cell r="C2359" t="str">
            <v>Export</v>
          </cell>
          <cell r="D2359">
            <v>57</v>
          </cell>
          <cell r="E2359">
            <v>7972</v>
          </cell>
          <cell r="F2359" t="str">
            <v>FERRO MEXICANA</v>
          </cell>
          <cell r="G2359" t="str">
            <v>E</v>
          </cell>
          <cell r="H2359" t="str">
            <v>LAREDO</v>
          </cell>
          <cell r="J2359" t="str">
            <v>MEX</v>
          </cell>
          <cell r="K2359" t="str">
            <v>FERRO MEXICANA</v>
          </cell>
          <cell r="M2359" t="str">
            <v>MEX</v>
          </cell>
          <cell r="N2359" t="str">
            <v>C</v>
          </cell>
          <cell r="O2359">
            <v>20060200</v>
          </cell>
          <cell r="P2359" t="str">
            <v>PYROBOR ANHY BORAX BULK (002)</v>
          </cell>
          <cell r="Q2359" t="str">
            <v>Pyrobor</v>
          </cell>
          <cell r="R2359">
            <v>102.075</v>
          </cell>
          <cell r="S2359">
            <v>44898.47</v>
          </cell>
        </row>
        <row r="2360">
          <cell r="A2360" t="str">
            <v>Actual</v>
          </cell>
          <cell r="B2360">
            <v>2</v>
          </cell>
          <cell r="C2360" t="str">
            <v>Export</v>
          </cell>
          <cell r="D2360">
            <v>57</v>
          </cell>
          <cell r="E2360">
            <v>7972</v>
          </cell>
          <cell r="F2360" t="str">
            <v>FERRO MEXICANA</v>
          </cell>
          <cell r="G2360" t="str">
            <v>E</v>
          </cell>
          <cell r="H2360" t="str">
            <v>LAREDO</v>
          </cell>
          <cell r="J2360" t="str">
            <v>MEX</v>
          </cell>
          <cell r="K2360" t="str">
            <v>FERRO MEXICANA</v>
          </cell>
          <cell r="M2360" t="str">
            <v>MEX</v>
          </cell>
          <cell r="N2360" t="str">
            <v>C</v>
          </cell>
          <cell r="O2360">
            <v>22060400</v>
          </cell>
          <cell r="P2360" t="str">
            <v>V-BOR STD BULK (004)</v>
          </cell>
          <cell r="Q2360" t="str">
            <v>Penta</v>
          </cell>
          <cell r="R2360">
            <v>214.2</v>
          </cell>
          <cell r="S2360">
            <v>46608.68</v>
          </cell>
        </row>
        <row r="2361">
          <cell r="A2361" t="str">
            <v>Actual</v>
          </cell>
          <cell r="B2361">
            <v>2</v>
          </cell>
          <cell r="C2361" t="str">
            <v>Export</v>
          </cell>
          <cell r="D2361">
            <v>57</v>
          </cell>
          <cell r="E2361">
            <v>7996</v>
          </cell>
          <cell r="F2361" t="str">
            <v>ORIENT GLASS LAMPSHADE FACTORY</v>
          </cell>
          <cell r="G2361" t="str">
            <v>E</v>
          </cell>
          <cell r="H2361" t="str">
            <v>SONG GANG</v>
          </cell>
          <cell r="J2361" t="str">
            <v>CHN</v>
          </cell>
          <cell r="K2361" t="str">
            <v>CFA INDUSTRIAL CORP.</v>
          </cell>
          <cell r="L2361" t="str">
            <v>CA</v>
          </cell>
          <cell r="M2361" t="str">
            <v>USA</v>
          </cell>
          <cell r="N2361" t="str">
            <v>C</v>
          </cell>
          <cell r="O2361">
            <v>22060440</v>
          </cell>
          <cell r="P2361" t="str">
            <v>V-BOR 50KG BAG (004)</v>
          </cell>
          <cell r="Q2361" t="str">
            <v>Penta</v>
          </cell>
          <cell r="R2361">
            <v>22.045999999999999</v>
          </cell>
          <cell r="S2361">
            <v>5171</v>
          </cell>
        </row>
        <row r="2362">
          <cell r="A2362" t="str">
            <v>Actual</v>
          </cell>
          <cell r="B2362">
            <v>2</v>
          </cell>
          <cell r="C2362" t="str">
            <v>Export</v>
          </cell>
          <cell r="D2362">
            <v>57</v>
          </cell>
          <cell r="E2362">
            <v>8164</v>
          </cell>
          <cell r="F2362" t="str">
            <v>S. &amp; A. ABAHSAIN CO., LTD.</v>
          </cell>
          <cell r="G2362" t="str">
            <v>E</v>
          </cell>
          <cell r="H2362" t="str">
            <v>JEDDAH 31952</v>
          </cell>
          <cell r="J2362" t="str">
            <v>SAU</v>
          </cell>
          <cell r="K2362" t="str">
            <v>S. &amp; A. ABAHSAIN CO., LTD.</v>
          </cell>
          <cell r="M2362" t="str">
            <v>SAU</v>
          </cell>
          <cell r="N2362" t="str">
            <v>D</v>
          </cell>
          <cell r="O2362">
            <v>22060428</v>
          </cell>
          <cell r="P2362" t="str">
            <v>V-BOR 25KG BAG (004), WOOD</v>
          </cell>
          <cell r="Q2362" t="str">
            <v>Penta</v>
          </cell>
          <cell r="R2362">
            <v>0</v>
          </cell>
          <cell r="S2362">
            <v>85</v>
          </cell>
        </row>
        <row r="2363">
          <cell r="A2363" t="str">
            <v>Actual</v>
          </cell>
          <cell r="B2363">
            <v>2</v>
          </cell>
          <cell r="C2363" t="str">
            <v>Export</v>
          </cell>
          <cell r="D2363">
            <v>57</v>
          </cell>
          <cell r="E2363">
            <v>8265</v>
          </cell>
          <cell r="F2363" t="str">
            <v>HCI ARGENTINA S.A.</v>
          </cell>
          <cell r="G2363" t="str">
            <v>E</v>
          </cell>
          <cell r="H2363" t="str">
            <v>BUENOS AIRES</v>
          </cell>
          <cell r="J2363" t="str">
            <v>ARG</v>
          </cell>
          <cell r="K2363" t="str">
            <v>HCI ARGENTINA S.A.</v>
          </cell>
          <cell r="M2363" t="str">
            <v>ARG</v>
          </cell>
          <cell r="N2363" t="str">
            <v>C</v>
          </cell>
          <cell r="O2363">
            <v>30210100</v>
          </cell>
          <cell r="P2363" t="str">
            <v>SODA ASH DENSE BULK</v>
          </cell>
          <cell r="Q2363" t="str">
            <v>Soda Ash</v>
          </cell>
          <cell r="R2363">
            <v>8940.7553000000007</v>
          </cell>
          <cell r="S2363">
            <v>218474.89</v>
          </cell>
        </row>
        <row r="2364">
          <cell r="A2364" t="str">
            <v>Actual</v>
          </cell>
          <cell r="B2364">
            <v>2</v>
          </cell>
          <cell r="C2364" t="str">
            <v>Export</v>
          </cell>
          <cell r="D2364">
            <v>57</v>
          </cell>
          <cell r="E2364">
            <v>8317</v>
          </cell>
          <cell r="F2364" t="str">
            <v>RAJ INDUSTRIES</v>
          </cell>
          <cell r="G2364" t="str">
            <v>E</v>
          </cell>
          <cell r="H2364" t="str">
            <v>GUJARAT</v>
          </cell>
          <cell r="J2364" t="str">
            <v>IND</v>
          </cell>
          <cell r="K2364" t="str">
            <v>RAJ INDUSTRIES</v>
          </cell>
          <cell r="M2364" t="str">
            <v>IND</v>
          </cell>
          <cell r="N2364" t="str">
            <v>C</v>
          </cell>
          <cell r="O2364" t="str">
            <v>220604B8</v>
          </cell>
          <cell r="P2364" t="str">
            <v>V-BOR 25KG POLYBAG,WOOD (004)</v>
          </cell>
          <cell r="Q2364" t="str">
            <v>Penta</v>
          </cell>
          <cell r="R2364">
            <v>0</v>
          </cell>
          <cell r="S2364">
            <v>-11</v>
          </cell>
        </row>
        <row r="2365">
          <cell r="A2365" t="str">
            <v>Actual</v>
          </cell>
          <cell r="B2365">
            <v>2</v>
          </cell>
          <cell r="C2365" t="str">
            <v>Export</v>
          </cell>
          <cell r="D2365">
            <v>57</v>
          </cell>
          <cell r="E2365">
            <v>8344</v>
          </cell>
          <cell r="F2365" t="str">
            <v>RISHI ENTERPRISES</v>
          </cell>
          <cell r="G2365" t="str">
            <v>E</v>
          </cell>
          <cell r="H2365" t="str">
            <v>BHIWANDI, DIST-THANE</v>
          </cell>
          <cell r="J2365" t="str">
            <v>IND</v>
          </cell>
          <cell r="K2365" t="str">
            <v>RISHI ENTERPRISES</v>
          </cell>
          <cell r="M2365" t="str">
            <v>IND</v>
          </cell>
          <cell r="N2365" t="str">
            <v>C</v>
          </cell>
          <cell r="O2365" t="str">
            <v>220604B8</v>
          </cell>
          <cell r="P2365" t="str">
            <v>V-BOR 25KG POLYBAG,WOOD (004)</v>
          </cell>
          <cell r="Q2365" t="str">
            <v>Penta</v>
          </cell>
          <cell r="R2365">
            <v>219.905</v>
          </cell>
          <cell r="S2365">
            <v>53521.3</v>
          </cell>
        </row>
        <row r="2366">
          <cell r="A2366" t="str">
            <v>Actual</v>
          </cell>
          <cell r="B2366">
            <v>2</v>
          </cell>
          <cell r="C2366" t="str">
            <v>Export</v>
          </cell>
          <cell r="D2366">
            <v>57</v>
          </cell>
          <cell r="E2366">
            <v>8580</v>
          </cell>
          <cell r="F2366" t="str">
            <v>FEVISA INDUSTRIAL S.A. DE C.V.</v>
          </cell>
          <cell r="G2366" t="str">
            <v>E</v>
          </cell>
          <cell r="H2366" t="str">
            <v>CALEXICO</v>
          </cell>
          <cell r="J2366" t="str">
            <v>MEX</v>
          </cell>
          <cell r="K2366" t="str">
            <v>FEVISA INDUSTRIAL S.A. DE C.V.</v>
          </cell>
          <cell r="M2366" t="str">
            <v>MEX</v>
          </cell>
          <cell r="N2366" t="str">
            <v>C</v>
          </cell>
          <cell r="O2366">
            <v>40060400</v>
          </cell>
          <cell r="P2366" t="str">
            <v>SODIUM SULFATE STANDARD BULK</v>
          </cell>
          <cell r="Q2366" t="str">
            <v>Sodium Sulfate</v>
          </cell>
          <cell r="R2366">
            <v>49.84</v>
          </cell>
          <cell r="S2366">
            <v>6601.39</v>
          </cell>
        </row>
        <row r="2367">
          <cell r="A2367" t="str">
            <v>Actual</v>
          </cell>
          <cell r="B2367">
            <v>2</v>
          </cell>
          <cell r="C2367" t="str">
            <v>Export</v>
          </cell>
          <cell r="D2367">
            <v>57</v>
          </cell>
          <cell r="E2367">
            <v>8659</v>
          </cell>
          <cell r="F2367" t="str">
            <v>SULATLANTICA IMPORTADORA E</v>
          </cell>
          <cell r="G2367" t="str">
            <v>E</v>
          </cell>
          <cell r="H2367" t="str">
            <v>RIO DE JANEIRO</v>
          </cell>
          <cell r="J2367" t="str">
            <v>BRZ</v>
          </cell>
          <cell r="K2367" t="str">
            <v>SULATLANTICA IMPORTADORA E</v>
          </cell>
          <cell r="M2367" t="str">
            <v>BRZ</v>
          </cell>
          <cell r="N2367" t="str">
            <v>D</v>
          </cell>
          <cell r="O2367" t="str">
            <v>230602B8</v>
          </cell>
          <cell r="P2367" t="str">
            <v>DECA STD 25KG POLYBAG, WOOD</v>
          </cell>
          <cell r="Q2367" t="str">
            <v>Deca</v>
          </cell>
          <cell r="R2367">
            <v>0</v>
          </cell>
          <cell r="S2367">
            <v>-631.72</v>
          </cell>
        </row>
        <row r="2368">
          <cell r="A2368" t="str">
            <v>Actual</v>
          </cell>
          <cell r="B2368">
            <v>2</v>
          </cell>
          <cell r="C2368" t="str">
            <v>Export</v>
          </cell>
          <cell r="D2368">
            <v>57</v>
          </cell>
          <cell r="E2368">
            <v>8668</v>
          </cell>
          <cell r="F2368" t="str">
            <v>VETROTEX AMERICA, S.A</v>
          </cell>
          <cell r="G2368" t="str">
            <v>E</v>
          </cell>
          <cell r="H2368" t="str">
            <v>LAREDO</v>
          </cell>
          <cell r="J2368" t="str">
            <v>MEX</v>
          </cell>
          <cell r="K2368" t="str">
            <v>KOPRIMO S.A. DE C.V.</v>
          </cell>
          <cell r="M2368" t="str">
            <v>MEX</v>
          </cell>
          <cell r="N2368" t="str">
            <v>C</v>
          </cell>
          <cell r="O2368">
            <v>22060455</v>
          </cell>
          <cell r="P2368" t="str">
            <v>V-BOR 1 MT FIBC (004)</v>
          </cell>
          <cell r="Q2368" t="str">
            <v>Penta</v>
          </cell>
          <cell r="R2368">
            <v>44.091999999999999</v>
          </cell>
          <cell r="S2368">
            <v>12000</v>
          </cell>
        </row>
        <row r="2369">
          <cell r="A2369" t="str">
            <v>Actual</v>
          </cell>
          <cell r="B2369">
            <v>2</v>
          </cell>
          <cell r="C2369" t="str">
            <v>Export</v>
          </cell>
          <cell r="D2369">
            <v>57</v>
          </cell>
          <cell r="E2369">
            <v>8873</v>
          </cell>
          <cell r="F2369" t="str">
            <v>MARIVELCA, C.A.</v>
          </cell>
          <cell r="G2369" t="str">
            <v>E</v>
          </cell>
          <cell r="H2369" t="str">
            <v>EDO. CARABOBO</v>
          </cell>
          <cell r="J2369" t="str">
            <v>VEN</v>
          </cell>
          <cell r="K2369" t="str">
            <v>YAKY PRODUCTS, C.A.</v>
          </cell>
          <cell r="M2369" t="str">
            <v>VEN</v>
          </cell>
          <cell r="N2369" t="str">
            <v>C</v>
          </cell>
          <cell r="O2369">
            <v>22060428</v>
          </cell>
          <cell r="P2369" t="str">
            <v>V-BOR 25KG BAG (004), WOOD</v>
          </cell>
          <cell r="Q2369" t="str">
            <v>Penta</v>
          </cell>
          <cell r="R2369">
            <v>21.990500000000001</v>
          </cell>
          <cell r="S2369">
            <v>6517.25</v>
          </cell>
        </row>
        <row r="2370">
          <cell r="A2370" t="str">
            <v>Actual</v>
          </cell>
          <cell r="B2370">
            <v>2</v>
          </cell>
          <cell r="C2370" t="str">
            <v>Export</v>
          </cell>
          <cell r="D2370">
            <v>57</v>
          </cell>
          <cell r="E2370">
            <v>9036</v>
          </cell>
          <cell r="F2370" t="str">
            <v>AMSERVE CHEMICALS PTY LTD</v>
          </cell>
          <cell r="G2370" t="str">
            <v>E</v>
          </cell>
          <cell r="H2370" t="str">
            <v>GAUTENG</v>
          </cell>
          <cell r="J2370" t="str">
            <v>SAE</v>
          </cell>
          <cell r="K2370" t="str">
            <v>AMSERVE CHEMICALS PTY LTD</v>
          </cell>
          <cell r="M2370" t="str">
            <v>SAE</v>
          </cell>
          <cell r="N2370" t="str">
            <v>C</v>
          </cell>
          <cell r="O2370">
            <v>20060220</v>
          </cell>
          <cell r="P2370" t="str">
            <v>PYROBOR 25KG BAG (002)</v>
          </cell>
          <cell r="Q2370" t="str">
            <v>Pyrobor</v>
          </cell>
          <cell r="R2370">
            <v>21.163799999999998</v>
          </cell>
          <cell r="S2370">
            <v>11263.43</v>
          </cell>
        </row>
        <row r="2371">
          <cell r="A2371" t="str">
            <v>Actual</v>
          </cell>
          <cell r="B2371">
            <v>2</v>
          </cell>
          <cell r="C2371" t="str">
            <v>Export</v>
          </cell>
          <cell r="D2371">
            <v>57</v>
          </cell>
          <cell r="E2371">
            <v>9275</v>
          </cell>
          <cell r="F2371" t="str">
            <v>SWIFT/FERRO MELBOURNE</v>
          </cell>
          <cell r="G2371" t="str">
            <v>E</v>
          </cell>
          <cell r="H2371" t="str">
            <v>MELBOURNE</v>
          </cell>
          <cell r="J2371" t="str">
            <v>AUS</v>
          </cell>
          <cell r="K2371" t="str">
            <v>SWIFT AND COMPANY LIMITED</v>
          </cell>
          <cell r="M2371" t="str">
            <v>AUS</v>
          </cell>
          <cell r="N2371" t="str">
            <v>C</v>
          </cell>
          <cell r="O2371">
            <v>20060255</v>
          </cell>
          <cell r="P2371" t="str">
            <v>PYROBOR 1 MT FIBC (002)</v>
          </cell>
          <cell r="Q2371" t="str">
            <v>Pyrobor</v>
          </cell>
          <cell r="R2371">
            <v>44.091999999999999</v>
          </cell>
          <cell r="S2371">
            <v>20172</v>
          </cell>
        </row>
        <row r="2372">
          <cell r="A2372" t="str">
            <v>Actual</v>
          </cell>
          <cell r="B2372">
            <v>2</v>
          </cell>
          <cell r="C2372" t="str">
            <v>Export</v>
          </cell>
          <cell r="D2372">
            <v>57</v>
          </cell>
          <cell r="E2372">
            <v>9438</v>
          </cell>
          <cell r="F2372" t="str">
            <v>SWIFT &amp; Co. / COOL &amp; COSY</v>
          </cell>
          <cell r="G2372" t="str">
            <v>E</v>
          </cell>
          <cell r="H2372" t="str">
            <v>MELBOURNE</v>
          </cell>
          <cell r="J2372" t="str">
            <v>AUS</v>
          </cell>
          <cell r="K2372" t="str">
            <v>SWIFT AND COMPANY LIMITED</v>
          </cell>
          <cell r="M2372" t="str">
            <v>AUS</v>
          </cell>
          <cell r="N2372" t="str">
            <v>C</v>
          </cell>
          <cell r="O2372">
            <v>23060220</v>
          </cell>
          <cell r="P2372" t="str">
            <v>DECA BORAX STD 25KG BAG</v>
          </cell>
          <cell r="Q2372" t="str">
            <v>Deca</v>
          </cell>
          <cell r="R2372">
            <v>10.416499999999999</v>
          </cell>
          <cell r="S2372">
            <v>2240.3321999999998</v>
          </cell>
        </row>
        <row r="2373">
          <cell r="A2373" t="str">
            <v>Actual</v>
          </cell>
          <cell r="B2373">
            <v>2</v>
          </cell>
          <cell r="C2373" t="str">
            <v>Export</v>
          </cell>
          <cell r="D2373">
            <v>57</v>
          </cell>
          <cell r="E2373">
            <v>9438</v>
          </cell>
          <cell r="F2373" t="str">
            <v>SWIFT &amp; Co. / COOL &amp; COSY</v>
          </cell>
          <cell r="G2373" t="str">
            <v>E</v>
          </cell>
          <cell r="H2373" t="str">
            <v>MELBOURNE</v>
          </cell>
          <cell r="J2373" t="str">
            <v>AUS</v>
          </cell>
          <cell r="K2373" t="str">
            <v>SWIFT AND COMPANY LIMITED</v>
          </cell>
          <cell r="M2373" t="str">
            <v>AUS</v>
          </cell>
          <cell r="N2373" t="str">
            <v>C</v>
          </cell>
          <cell r="O2373">
            <v>24230220</v>
          </cell>
          <cell r="P2373" t="str">
            <v>BORIC ACID GRAN TECH 25KG BAG</v>
          </cell>
          <cell r="Q2373" t="str">
            <v>Boric Acid</v>
          </cell>
          <cell r="R2373">
            <v>11.5739</v>
          </cell>
          <cell r="S2373">
            <v>4200.8177999999998</v>
          </cell>
        </row>
        <row r="2374">
          <cell r="A2374" t="str">
            <v>Actual</v>
          </cell>
          <cell r="B2374">
            <v>2</v>
          </cell>
          <cell r="C2374" t="str">
            <v>Export</v>
          </cell>
          <cell r="D2374">
            <v>57</v>
          </cell>
          <cell r="E2374">
            <v>9475</v>
          </cell>
          <cell r="F2374" t="str">
            <v>ABONOS COLOMBIANOS S.A.</v>
          </cell>
          <cell r="G2374" t="str">
            <v>E</v>
          </cell>
          <cell r="H2374" t="str">
            <v>CARTAGENA</v>
          </cell>
          <cell r="J2374" t="str">
            <v>COL</v>
          </cell>
          <cell r="K2374" t="str">
            <v>AQUITECNO LTDA</v>
          </cell>
          <cell r="M2374" t="str">
            <v>COL</v>
          </cell>
          <cell r="N2374" t="str">
            <v>C</v>
          </cell>
          <cell r="O2374">
            <v>22060428</v>
          </cell>
          <cell r="P2374" t="str">
            <v>V-BOR 25KG BAG (004), WOOD</v>
          </cell>
          <cell r="Q2374" t="str">
            <v>Penta</v>
          </cell>
          <cell r="R2374">
            <v>21.990500000000001</v>
          </cell>
          <cell r="S2374">
            <v>5587</v>
          </cell>
        </row>
        <row r="2375">
          <cell r="A2375" t="str">
            <v>Actual</v>
          </cell>
          <cell r="B2375">
            <v>2</v>
          </cell>
          <cell r="C2375" t="str">
            <v>Export</v>
          </cell>
          <cell r="D2375">
            <v>57</v>
          </cell>
          <cell r="E2375">
            <v>9530</v>
          </cell>
          <cell r="F2375" t="str">
            <v>UNILEVER BRASIL LTDA.</v>
          </cell>
          <cell r="G2375" t="str">
            <v>E</v>
          </cell>
          <cell r="H2375" t="str">
            <v>INDAIATUBA - SP</v>
          </cell>
          <cell r="J2375" t="str">
            <v>BRZ</v>
          </cell>
          <cell r="K2375" t="str">
            <v>UNILEVER BRASIL LTDA.</v>
          </cell>
          <cell r="M2375" t="str">
            <v>BRZ</v>
          </cell>
          <cell r="N2375" t="str">
            <v>C</v>
          </cell>
          <cell r="O2375">
            <v>30210100</v>
          </cell>
          <cell r="P2375" t="str">
            <v>SODA ASH DENSE BULK</v>
          </cell>
          <cell r="Q2375" t="str">
            <v>Soda Ash</v>
          </cell>
          <cell r="R2375">
            <v>11023</v>
          </cell>
          <cell r="S2375">
            <v>706930.17</v>
          </cell>
        </row>
        <row r="2376">
          <cell r="A2376" t="str">
            <v>Actual</v>
          </cell>
          <cell r="B2376">
            <v>2</v>
          </cell>
          <cell r="C2376" t="str">
            <v>Export</v>
          </cell>
          <cell r="D2376">
            <v>57</v>
          </cell>
          <cell r="E2376">
            <v>9547</v>
          </cell>
          <cell r="F2376" t="str">
            <v>TEORQUIMICA-COMERCIO E</v>
          </cell>
          <cell r="G2376" t="str">
            <v>E</v>
          </cell>
          <cell r="H2376" t="str">
            <v>SAO PAULO</v>
          </cell>
          <cell r="J2376" t="str">
            <v>BRZ</v>
          </cell>
          <cell r="K2376" t="str">
            <v>TEORQUIMICA-COMERCIO E</v>
          </cell>
          <cell r="M2376" t="str">
            <v>BRZ</v>
          </cell>
          <cell r="N2376" t="str">
            <v>C</v>
          </cell>
          <cell r="O2376">
            <v>23060228</v>
          </cell>
          <cell r="P2376" t="str">
            <v>DECA BORAX STD 25KG BAG, WOOD</v>
          </cell>
          <cell r="Q2376" t="str">
            <v>Deca</v>
          </cell>
          <cell r="R2376">
            <v>219.905</v>
          </cell>
          <cell r="S2376">
            <v>44897.5</v>
          </cell>
        </row>
        <row r="2377">
          <cell r="A2377" t="str">
            <v>Actual</v>
          </cell>
          <cell r="B2377">
            <v>2</v>
          </cell>
          <cell r="C2377" t="str">
            <v>Export</v>
          </cell>
          <cell r="D2377">
            <v>57</v>
          </cell>
          <cell r="E2377">
            <v>9550</v>
          </cell>
          <cell r="F2377" t="str">
            <v>MONOMEROS COLOMBO VENEZOLANOS</v>
          </cell>
          <cell r="G2377" t="str">
            <v>E</v>
          </cell>
          <cell r="H2377" t="str">
            <v>BARRANQUILLA</v>
          </cell>
          <cell r="J2377" t="str">
            <v>COL</v>
          </cell>
          <cell r="K2377" t="str">
            <v>MONOMEROS COLOMBO VENEZOLANOS</v>
          </cell>
          <cell r="M2377" t="str">
            <v>COL</v>
          </cell>
          <cell r="N2377" t="str">
            <v>C</v>
          </cell>
          <cell r="O2377">
            <v>22060455</v>
          </cell>
          <cell r="P2377" t="str">
            <v>V-BOR 1 MT FIBC (004)</v>
          </cell>
          <cell r="Q2377" t="str">
            <v>Penta</v>
          </cell>
          <cell r="R2377">
            <v>547.84310000000005</v>
          </cell>
          <cell r="S2377">
            <v>135768</v>
          </cell>
        </row>
        <row r="2378">
          <cell r="A2378" t="str">
            <v>Actual</v>
          </cell>
          <cell r="B2378">
            <v>2</v>
          </cell>
          <cell r="C2378" t="str">
            <v>Export</v>
          </cell>
          <cell r="D2378">
            <v>57</v>
          </cell>
          <cell r="E2378">
            <v>9551</v>
          </cell>
          <cell r="F2378" t="str">
            <v>GLASSVEN</v>
          </cell>
          <cell r="G2378" t="str">
            <v>E</v>
          </cell>
          <cell r="H2378" t="str">
            <v>BARQUISIMETO EDO. LARA</v>
          </cell>
          <cell r="J2378" t="str">
            <v>VEN</v>
          </cell>
          <cell r="K2378" t="str">
            <v>GLASSVEN</v>
          </cell>
          <cell r="M2378" t="str">
            <v>VEN</v>
          </cell>
          <cell r="N2378" t="str">
            <v>C</v>
          </cell>
          <cell r="O2378">
            <v>30210100</v>
          </cell>
          <cell r="P2378" t="str">
            <v>SODA ASH DENSE BULK</v>
          </cell>
          <cell r="Q2378" t="str">
            <v>Soda Ash</v>
          </cell>
          <cell r="R2378">
            <v>3637.59</v>
          </cell>
          <cell r="S2378">
            <v>102058.33</v>
          </cell>
        </row>
        <row r="2379">
          <cell r="A2379" t="str">
            <v>Actual</v>
          </cell>
          <cell r="B2379">
            <v>2</v>
          </cell>
          <cell r="C2379" t="str">
            <v>Export</v>
          </cell>
          <cell r="D2379">
            <v>57</v>
          </cell>
          <cell r="E2379">
            <v>9554</v>
          </cell>
          <cell r="F2379" t="str">
            <v>DETERGENTES YARE S.A.</v>
          </cell>
          <cell r="G2379" t="str">
            <v>E</v>
          </cell>
          <cell r="H2379" t="str">
            <v>CARACAS</v>
          </cell>
          <cell r="J2379" t="str">
            <v>VEN</v>
          </cell>
          <cell r="K2379" t="str">
            <v>DETERGENTES YARE S.A.</v>
          </cell>
          <cell r="M2379" t="str">
            <v>VEN</v>
          </cell>
          <cell r="N2379" t="str">
            <v>C</v>
          </cell>
          <cell r="O2379">
            <v>30210100</v>
          </cell>
          <cell r="P2379" t="str">
            <v>SODA ASH DENSE BULK</v>
          </cell>
          <cell r="Q2379" t="str">
            <v>Soda Ash</v>
          </cell>
          <cell r="R2379">
            <v>551.15</v>
          </cell>
          <cell r="S2379">
            <v>17594.21</v>
          </cell>
        </row>
        <row r="2380">
          <cell r="A2380" t="str">
            <v>Actual</v>
          </cell>
          <cell r="B2380">
            <v>2</v>
          </cell>
          <cell r="C2380" t="str">
            <v>Export</v>
          </cell>
          <cell r="D2380">
            <v>57</v>
          </cell>
          <cell r="E2380">
            <v>9559</v>
          </cell>
          <cell r="F2380" t="str">
            <v>KOPRIMO S.A. DE C.V.</v>
          </cell>
          <cell r="G2380" t="str">
            <v>E</v>
          </cell>
          <cell r="H2380" t="str">
            <v>MEXICO, D.F. C.P.</v>
          </cell>
          <cell r="J2380" t="str">
            <v>MEX</v>
          </cell>
          <cell r="K2380" t="str">
            <v>KOPRIMO S.A. DE C.V.</v>
          </cell>
          <cell r="M2380" t="str">
            <v>MEX</v>
          </cell>
          <cell r="N2380" t="str">
            <v>C</v>
          </cell>
          <cell r="O2380">
            <v>23060250</v>
          </cell>
          <cell r="P2380" t="str">
            <v>DECA BORAX STD 1TN FIBC</v>
          </cell>
          <cell r="Q2380" t="str">
            <v>Deca</v>
          </cell>
          <cell r="R2380">
            <v>60</v>
          </cell>
          <cell r="S2380">
            <v>9918.66</v>
          </cell>
        </row>
        <row r="2381">
          <cell r="A2381" t="str">
            <v>Actual</v>
          </cell>
          <cell r="B2381">
            <v>2</v>
          </cell>
          <cell r="C2381" t="str">
            <v>Export</v>
          </cell>
          <cell r="D2381">
            <v>57</v>
          </cell>
          <cell r="E2381">
            <v>9562</v>
          </cell>
          <cell r="F2381" t="str">
            <v>INACTIVE-HENKEL MEXICANA</v>
          </cell>
          <cell r="G2381" t="str">
            <v>E</v>
          </cell>
          <cell r="H2381" t="str">
            <v>TOLUCA</v>
          </cell>
          <cell r="J2381" t="str">
            <v>MEX</v>
          </cell>
          <cell r="K2381" t="str">
            <v>KOPRIMO S.A. DE C.V.</v>
          </cell>
          <cell r="M2381" t="str">
            <v>MEX</v>
          </cell>
          <cell r="O2381">
            <v>30210100</v>
          </cell>
          <cell r="P2381" t="str">
            <v>SODA ASH DENSE BULK</v>
          </cell>
          <cell r="Q2381" t="str">
            <v>Soda Ash</v>
          </cell>
          <cell r="R2381">
            <v>0</v>
          </cell>
          <cell r="S2381">
            <v>-6635.84</v>
          </cell>
        </row>
        <row r="2382">
          <cell r="A2382" t="str">
            <v>Actual</v>
          </cell>
          <cell r="B2382">
            <v>2</v>
          </cell>
          <cell r="C2382" t="str">
            <v>Export</v>
          </cell>
          <cell r="D2382">
            <v>57</v>
          </cell>
          <cell r="E2382">
            <v>9565</v>
          </cell>
          <cell r="F2382" t="str">
            <v>OXIQUIM S.A.</v>
          </cell>
          <cell r="G2382" t="str">
            <v>E</v>
          </cell>
          <cell r="H2382" t="str">
            <v>VINA DEL MAR</v>
          </cell>
          <cell r="J2382" t="str">
            <v>CHI</v>
          </cell>
          <cell r="K2382" t="str">
            <v>OXIQUIM S.A.</v>
          </cell>
          <cell r="M2382" t="str">
            <v>CHI</v>
          </cell>
          <cell r="N2382" t="str">
            <v>C</v>
          </cell>
          <cell r="O2382">
            <v>30210110</v>
          </cell>
          <cell r="P2382" t="str">
            <v>SODA ASH DENSE 50LB BAG</v>
          </cell>
          <cell r="Q2382" t="str">
            <v>Soda Ash</v>
          </cell>
          <cell r="R2382">
            <v>220.5</v>
          </cell>
          <cell r="S2382">
            <v>13566</v>
          </cell>
        </row>
        <row r="2383">
          <cell r="A2383" t="str">
            <v>Actual</v>
          </cell>
          <cell r="B2383">
            <v>2</v>
          </cell>
          <cell r="C2383" t="str">
            <v>Export</v>
          </cell>
          <cell r="D2383">
            <v>57</v>
          </cell>
          <cell r="E2383">
            <v>9570</v>
          </cell>
          <cell r="F2383" t="str">
            <v>AZINSA</v>
          </cell>
          <cell r="G2383" t="str">
            <v>E</v>
          </cell>
          <cell r="H2383" t="str">
            <v>LAGRANGE, N.L.</v>
          </cell>
          <cell r="J2383" t="str">
            <v>MEX</v>
          </cell>
          <cell r="K2383" t="str">
            <v>KOPRIMO S.A. DE C.V.</v>
          </cell>
          <cell r="M2383" t="str">
            <v>MEX</v>
          </cell>
          <cell r="O2383">
            <v>30210100</v>
          </cell>
          <cell r="P2383" t="str">
            <v>SODA ASH DENSE BULK</v>
          </cell>
          <cell r="Q2383" t="str">
            <v>Soda Ash</v>
          </cell>
          <cell r="R2383">
            <v>221.2</v>
          </cell>
          <cell r="S2383">
            <v>24276.55</v>
          </cell>
        </row>
        <row r="2384">
          <cell r="A2384" t="str">
            <v>Actual</v>
          </cell>
          <cell r="B2384">
            <v>2</v>
          </cell>
          <cell r="C2384" t="str">
            <v>Export</v>
          </cell>
          <cell r="D2384">
            <v>57</v>
          </cell>
          <cell r="E2384">
            <v>9575</v>
          </cell>
          <cell r="F2384" t="str">
            <v>COLORMINAS COLORIFICO E</v>
          </cell>
          <cell r="G2384" t="str">
            <v>E</v>
          </cell>
          <cell r="H2384" t="str">
            <v>SANTA CATARINA</v>
          </cell>
          <cell r="J2384" t="str">
            <v>BRZ</v>
          </cell>
          <cell r="K2384" t="str">
            <v>TEORQUIMICA-COMERCIOO E</v>
          </cell>
          <cell r="M2384" t="str">
            <v>BRZ</v>
          </cell>
          <cell r="N2384" t="str">
            <v>C</v>
          </cell>
          <cell r="O2384">
            <v>22060428</v>
          </cell>
          <cell r="P2384" t="str">
            <v>V-BOR 25KG BAG (004), WOOD</v>
          </cell>
          <cell r="Q2384" t="str">
            <v>Penta</v>
          </cell>
          <cell r="R2384">
            <v>21.990500000000001</v>
          </cell>
          <cell r="S2384">
            <v>5786.5</v>
          </cell>
        </row>
        <row r="2385">
          <cell r="A2385" t="str">
            <v>Actual</v>
          </cell>
          <cell r="B2385">
            <v>2</v>
          </cell>
          <cell r="C2385" t="str">
            <v>Export</v>
          </cell>
          <cell r="D2385">
            <v>57</v>
          </cell>
          <cell r="E2385">
            <v>9578</v>
          </cell>
          <cell r="F2385" t="str">
            <v>MET MEX PENOLES S.A. DE CV</v>
          </cell>
          <cell r="G2385" t="str">
            <v>E</v>
          </cell>
          <cell r="H2385" t="str">
            <v>TORREON</v>
          </cell>
          <cell r="J2385" t="str">
            <v>MEX</v>
          </cell>
          <cell r="K2385" t="str">
            <v>MET MEX PENOLES S.A. DE CV</v>
          </cell>
          <cell r="M2385" t="str">
            <v>MEX</v>
          </cell>
          <cell r="N2385" t="str">
            <v>C</v>
          </cell>
          <cell r="O2385">
            <v>20060271</v>
          </cell>
          <cell r="P2385" t="str">
            <v>PYROBOR 1 MT FIBC (002)</v>
          </cell>
          <cell r="Q2385" t="str">
            <v>Pyrobor</v>
          </cell>
          <cell r="R2385">
            <v>66.138000000000005</v>
          </cell>
          <cell r="S2385">
            <v>33588.6</v>
          </cell>
        </row>
        <row r="2386">
          <cell r="A2386" t="str">
            <v>Actual</v>
          </cell>
          <cell r="B2386">
            <v>2</v>
          </cell>
          <cell r="C2386" t="str">
            <v>Export</v>
          </cell>
          <cell r="D2386">
            <v>57</v>
          </cell>
          <cell r="E2386">
            <v>9584</v>
          </cell>
          <cell r="F2386" t="str">
            <v>KOPRIMO</v>
          </cell>
          <cell r="G2386" t="str">
            <v>E</v>
          </cell>
          <cell r="H2386" t="str">
            <v>PANTACO</v>
          </cell>
          <cell r="J2386" t="str">
            <v>MEX</v>
          </cell>
          <cell r="K2386" t="str">
            <v>KOPRIMO S.A. DE C.V.</v>
          </cell>
          <cell r="M2386" t="str">
            <v>MEX</v>
          </cell>
          <cell r="N2386" t="str">
            <v>C</v>
          </cell>
          <cell r="O2386">
            <v>30210100</v>
          </cell>
          <cell r="P2386" t="str">
            <v>SODA ASH DENSE BULK</v>
          </cell>
          <cell r="Q2386" t="str">
            <v>Soda Ash</v>
          </cell>
          <cell r="R2386">
            <v>320.14999999999998</v>
          </cell>
          <cell r="S2386">
            <v>32762.959999999999</v>
          </cell>
        </row>
        <row r="2387">
          <cell r="A2387" t="str">
            <v>Actual</v>
          </cell>
          <cell r="B2387">
            <v>2</v>
          </cell>
          <cell r="C2387" t="str">
            <v>Export</v>
          </cell>
          <cell r="D2387">
            <v>57</v>
          </cell>
          <cell r="E2387">
            <v>9586</v>
          </cell>
          <cell r="F2387" t="str">
            <v>SILICES DE VERACRUZ,S.A.DE C.V</v>
          </cell>
          <cell r="G2387" t="str">
            <v>E</v>
          </cell>
          <cell r="H2387" t="str">
            <v>ORIZABA VERACRUZ</v>
          </cell>
          <cell r="J2387" t="str">
            <v>MEX</v>
          </cell>
          <cell r="K2387" t="str">
            <v>KOPRIMO S.A. DE C.V.</v>
          </cell>
          <cell r="M2387" t="str">
            <v>MEX</v>
          </cell>
          <cell r="O2387">
            <v>30210100</v>
          </cell>
          <cell r="P2387" t="str">
            <v>SODA ASH DENSE BULK</v>
          </cell>
          <cell r="Q2387" t="str">
            <v>Soda Ash</v>
          </cell>
          <cell r="R2387">
            <v>0</v>
          </cell>
          <cell r="S2387">
            <v>-97.8</v>
          </cell>
        </row>
        <row r="2388">
          <cell r="A2388" t="str">
            <v>Actual</v>
          </cell>
          <cell r="B2388">
            <v>2</v>
          </cell>
          <cell r="C2388" t="str">
            <v>Export</v>
          </cell>
          <cell r="D2388">
            <v>57</v>
          </cell>
          <cell r="E2388">
            <v>9588</v>
          </cell>
          <cell r="F2388" t="str">
            <v>SILICES DE VERACRUZ,S.A.DE C.V</v>
          </cell>
          <cell r="G2388" t="str">
            <v>E</v>
          </cell>
          <cell r="H2388" t="str">
            <v>ORIZABA VERACRUZ</v>
          </cell>
          <cell r="J2388" t="str">
            <v>MEX</v>
          </cell>
          <cell r="K2388" t="str">
            <v>KOPRIMO S.A. DE C.V.</v>
          </cell>
          <cell r="M2388" t="str">
            <v>MEX</v>
          </cell>
          <cell r="N2388" t="str">
            <v>C</v>
          </cell>
          <cell r="O2388">
            <v>30210100</v>
          </cell>
          <cell r="P2388" t="str">
            <v>SODA ASH DENSE BULK</v>
          </cell>
          <cell r="Q2388" t="str">
            <v>Soda Ash</v>
          </cell>
          <cell r="R2388">
            <v>2578.875</v>
          </cell>
          <cell r="S2388">
            <v>255890.53</v>
          </cell>
        </row>
        <row r="2389">
          <cell r="A2389" t="str">
            <v>Actual</v>
          </cell>
          <cell r="B2389">
            <v>2</v>
          </cell>
          <cell r="C2389" t="str">
            <v>Export</v>
          </cell>
          <cell r="D2389">
            <v>57</v>
          </cell>
          <cell r="E2389">
            <v>9590</v>
          </cell>
          <cell r="F2389" t="str">
            <v>CITRAL NUTRIENTES LTDA</v>
          </cell>
          <cell r="G2389" t="str">
            <v>E</v>
          </cell>
          <cell r="H2389" t="str">
            <v>GUARULHOS-SP</v>
          </cell>
          <cell r="J2389" t="str">
            <v>BRZ</v>
          </cell>
          <cell r="K2389" t="str">
            <v>TEORQUIMICA-COMERCIO E</v>
          </cell>
          <cell r="M2389" t="str">
            <v>BRZ</v>
          </cell>
          <cell r="N2389" t="str">
            <v>C</v>
          </cell>
          <cell r="O2389">
            <v>23060228</v>
          </cell>
          <cell r="P2389" t="str">
            <v>DECA BORAX STD 25KG BAG, WOOD</v>
          </cell>
          <cell r="Q2389" t="str">
            <v>Deca</v>
          </cell>
          <cell r="R2389">
            <v>21.990500000000001</v>
          </cell>
          <cell r="S2389">
            <v>4988.5</v>
          </cell>
        </row>
        <row r="2390">
          <cell r="A2390" t="str">
            <v>Actual</v>
          </cell>
          <cell r="B2390">
            <v>2</v>
          </cell>
          <cell r="C2390" t="str">
            <v>Export</v>
          </cell>
          <cell r="D2390">
            <v>57</v>
          </cell>
          <cell r="E2390">
            <v>9598</v>
          </cell>
          <cell r="F2390" t="str">
            <v>BAYER S.A.</v>
          </cell>
          <cell r="G2390" t="str">
            <v>E</v>
          </cell>
          <cell r="H2390" t="str">
            <v>ARGENTINA</v>
          </cell>
          <cell r="J2390" t="str">
            <v>ARG</v>
          </cell>
          <cell r="K2390" t="str">
            <v>HCI ARGENTINA S.A.</v>
          </cell>
          <cell r="M2390" t="str">
            <v>ARG</v>
          </cell>
          <cell r="N2390" t="str">
            <v>C</v>
          </cell>
          <cell r="O2390">
            <v>30210100</v>
          </cell>
          <cell r="P2390" t="str">
            <v>SODA ASH DENSE BULK</v>
          </cell>
          <cell r="Q2390" t="str">
            <v>Soda Ash</v>
          </cell>
          <cell r="R2390">
            <v>1102.3</v>
          </cell>
          <cell r="S2390">
            <v>29554.19</v>
          </cell>
        </row>
        <row r="2391">
          <cell r="A2391" t="str">
            <v>Actual</v>
          </cell>
          <cell r="B2391">
            <v>2</v>
          </cell>
          <cell r="C2391" t="str">
            <v>Export</v>
          </cell>
          <cell r="D2391">
            <v>57</v>
          </cell>
          <cell r="E2391">
            <v>9600</v>
          </cell>
          <cell r="F2391" t="str">
            <v>PROQUINSA- PRODUCTOS QUIMICOS</v>
          </cell>
          <cell r="G2391" t="str">
            <v>E</v>
          </cell>
          <cell r="H2391" t="str">
            <v>LIMA</v>
          </cell>
          <cell r="J2391" t="str">
            <v>PER</v>
          </cell>
          <cell r="K2391" t="str">
            <v>PROQUINSA- PRODUCTOS QUIMICOS</v>
          </cell>
          <cell r="M2391" t="str">
            <v>PER</v>
          </cell>
          <cell r="N2391" t="str">
            <v>C</v>
          </cell>
          <cell r="O2391">
            <v>30210100</v>
          </cell>
          <cell r="P2391" t="str">
            <v>SODA ASH DENSE BULK</v>
          </cell>
          <cell r="Q2391" t="str">
            <v>Soda Ash</v>
          </cell>
          <cell r="R2391">
            <v>0</v>
          </cell>
          <cell r="S2391">
            <v>-20681.099999999999</v>
          </cell>
        </row>
        <row r="2392">
          <cell r="A2392" t="str">
            <v>Actual</v>
          </cell>
          <cell r="B2392">
            <v>2</v>
          </cell>
          <cell r="C2392" t="str">
            <v>Export</v>
          </cell>
          <cell r="D2392">
            <v>57</v>
          </cell>
          <cell r="E2392">
            <v>9607</v>
          </cell>
          <cell r="F2392" t="str">
            <v>SAINT GOBAIN VIDROS S.A.</v>
          </cell>
          <cell r="G2392" t="str">
            <v>E</v>
          </cell>
          <cell r="H2392" t="str">
            <v>SAO PAULO</v>
          </cell>
          <cell r="J2392" t="str">
            <v>BRZ</v>
          </cell>
          <cell r="K2392" t="str">
            <v>TEORQUIMICA-COMERCIO E</v>
          </cell>
          <cell r="M2392" t="str">
            <v>BRZ</v>
          </cell>
          <cell r="N2392" t="str">
            <v>C</v>
          </cell>
          <cell r="O2392">
            <v>20060228</v>
          </cell>
          <cell r="P2392" t="str">
            <v>PYROBOR 25KG BAG (002), WOOD</v>
          </cell>
          <cell r="Q2392" t="str">
            <v>Pyrobor</v>
          </cell>
          <cell r="R2392">
            <v>527.77200000000005</v>
          </cell>
          <cell r="S2392">
            <v>246681.2</v>
          </cell>
        </row>
        <row r="2393">
          <cell r="A2393" t="str">
            <v>Actual</v>
          </cell>
          <cell r="B2393">
            <v>2</v>
          </cell>
          <cell r="C2393" t="str">
            <v>Export</v>
          </cell>
          <cell r="D2393">
            <v>57</v>
          </cell>
          <cell r="E2393">
            <v>9607</v>
          </cell>
          <cell r="F2393" t="str">
            <v>SAINT GOBAIN VIDROS S.A.</v>
          </cell>
          <cell r="G2393" t="str">
            <v>E</v>
          </cell>
          <cell r="H2393" t="str">
            <v>SAO PAULO</v>
          </cell>
          <cell r="J2393" t="str">
            <v>BRZ</v>
          </cell>
          <cell r="K2393" t="str">
            <v>TEORQUIMICA-COMERCIO E</v>
          </cell>
          <cell r="M2393" t="str">
            <v>BRZ</v>
          </cell>
          <cell r="N2393" t="str">
            <v>C</v>
          </cell>
          <cell r="O2393">
            <v>20060255</v>
          </cell>
          <cell r="P2393" t="str">
            <v>PYROBOR 1 MT FIBC (002)</v>
          </cell>
          <cell r="Q2393" t="str">
            <v>Pyrobor</v>
          </cell>
          <cell r="R2393">
            <v>22.045999999999999</v>
          </cell>
          <cell r="S2393">
            <v>10297</v>
          </cell>
        </row>
        <row r="2394">
          <cell r="A2394" t="str">
            <v>Actual</v>
          </cell>
          <cell r="B2394">
            <v>2</v>
          </cell>
          <cell r="C2394" t="str">
            <v>Export</v>
          </cell>
          <cell r="D2394">
            <v>57</v>
          </cell>
          <cell r="E2394">
            <v>9613</v>
          </cell>
          <cell r="F2394" t="str">
            <v>GUARDIAN DE VENEZUELA S.A</v>
          </cell>
          <cell r="G2394" t="str">
            <v>E</v>
          </cell>
          <cell r="H2394" t="str">
            <v>EDO. DE MONAGAS</v>
          </cell>
          <cell r="J2394" t="str">
            <v>VEN</v>
          </cell>
          <cell r="K2394" t="str">
            <v>GUARDIAN DE VENEZUELA S.A</v>
          </cell>
          <cell r="M2394" t="str">
            <v>VEN</v>
          </cell>
          <cell r="N2394" t="str">
            <v>C</v>
          </cell>
          <cell r="O2394">
            <v>30210100</v>
          </cell>
          <cell r="P2394" t="str">
            <v>SODA ASH DENSE BULK</v>
          </cell>
          <cell r="Q2394" t="str">
            <v>Soda Ash</v>
          </cell>
          <cell r="R2394">
            <v>4409.2</v>
          </cell>
          <cell r="S2394">
            <v>159924.35</v>
          </cell>
        </row>
        <row r="2395">
          <cell r="A2395" t="str">
            <v>Actual</v>
          </cell>
          <cell r="B2395">
            <v>2</v>
          </cell>
          <cell r="C2395" t="str">
            <v>Export</v>
          </cell>
          <cell r="D2395">
            <v>57</v>
          </cell>
          <cell r="E2395">
            <v>9616</v>
          </cell>
          <cell r="F2395" t="str">
            <v>RHODIA SILICES VE-BARQUISIMETO</v>
          </cell>
          <cell r="G2395" t="str">
            <v>E</v>
          </cell>
          <cell r="H2395" t="str">
            <v>BARQUISIMETO - LARA</v>
          </cell>
          <cell r="J2395" t="str">
            <v>VEN</v>
          </cell>
          <cell r="K2395" t="str">
            <v>RHODIA SILICES VE-BARQUISIMETO</v>
          </cell>
          <cell r="M2395" t="str">
            <v>VEN</v>
          </cell>
          <cell r="N2395" t="str">
            <v>C</v>
          </cell>
          <cell r="O2395">
            <v>30210100</v>
          </cell>
          <cell r="P2395" t="str">
            <v>SODA ASH DENSE BULK</v>
          </cell>
          <cell r="Q2395" t="str">
            <v>Soda Ash</v>
          </cell>
          <cell r="R2395">
            <v>3163.6010000000001</v>
          </cell>
          <cell r="S2395">
            <v>42298.36</v>
          </cell>
        </row>
        <row r="2396">
          <cell r="A2396" t="str">
            <v>Actual</v>
          </cell>
          <cell r="B2396">
            <v>2</v>
          </cell>
          <cell r="C2396" t="str">
            <v>Export</v>
          </cell>
          <cell r="D2396">
            <v>57</v>
          </cell>
          <cell r="E2396">
            <v>9620</v>
          </cell>
          <cell r="F2396" t="str">
            <v>HENKEL CAPITAL</v>
          </cell>
          <cell r="G2396" t="str">
            <v>E</v>
          </cell>
          <cell r="H2396" t="str">
            <v>TOLUCA</v>
          </cell>
          <cell r="J2396" t="str">
            <v>MEX</v>
          </cell>
          <cell r="K2396" t="str">
            <v>KOPRIMO S.A. DE C.V.</v>
          </cell>
          <cell r="M2396" t="str">
            <v>MEX</v>
          </cell>
          <cell r="N2396" t="str">
            <v>C</v>
          </cell>
          <cell r="O2396">
            <v>30210100</v>
          </cell>
          <cell r="P2396" t="str">
            <v>SODA ASH DENSE BULK</v>
          </cell>
          <cell r="Q2396" t="str">
            <v>Soda Ash</v>
          </cell>
          <cell r="R2396">
            <v>198.15</v>
          </cell>
          <cell r="S2396">
            <v>20359.150000000001</v>
          </cell>
        </row>
        <row r="2397">
          <cell r="A2397" t="str">
            <v>Actual</v>
          </cell>
          <cell r="B2397">
            <v>2</v>
          </cell>
          <cell r="C2397" t="str">
            <v>Export</v>
          </cell>
          <cell r="D2397">
            <v>57</v>
          </cell>
          <cell r="E2397">
            <v>9631</v>
          </cell>
          <cell r="F2397" t="str">
            <v>DETERGENTES Y JABONES SASIL SA</v>
          </cell>
          <cell r="G2397" t="str">
            <v>E</v>
          </cell>
          <cell r="H2397" t="str">
            <v>EAGLE PASS</v>
          </cell>
          <cell r="I2397" t="str">
            <v>TX</v>
          </cell>
          <cell r="J2397" t="str">
            <v>USA</v>
          </cell>
          <cell r="K2397" t="str">
            <v>DETERGENTES Y JABONES SASIL SA</v>
          </cell>
          <cell r="M2397" t="str">
            <v>USA</v>
          </cell>
          <cell r="N2397" t="str">
            <v>C</v>
          </cell>
          <cell r="O2397">
            <v>40060400</v>
          </cell>
          <cell r="P2397" t="str">
            <v>SODIUM SULFATE STANDARD BULK</v>
          </cell>
          <cell r="Q2397" t="str">
            <v>Sodium Sulfate</v>
          </cell>
          <cell r="R2397">
            <v>323.57499999999999</v>
          </cell>
          <cell r="S2397">
            <v>16566.009999999998</v>
          </cell>
        </row>
        <row r="2398">
          <cell r="A2398" t="str">
            <v>Actual</v>
          </cell>
          <cell r="B2398">
            <v>2</v>
          </cell>
          <cell r="C2398" t="str">
            <v>Export</v>
          </cell>
          <cell r="D2398">
            <v>57</v>
          </cell>
          <cell r="E2398">
            <v>9633</v>
          </cell>
          <cell r="F2398" t="str">
            <v>OWENS ILLINOIS DE VENEZUELA CA</v>
          </cell>
          <cell r="G2398" t="str">
            <v>E</v>
          </cell>
          <cell r="H2398" t="str">
            <v>CARABOBO</v>
          </cell>
          <cell r="J2398" t="str">
            <v>VEN</v>
          </cell>
          <cell r="K2398" t="str">
            <v>OWENS ILLINOIS DE VENEZUELA CA</v>
          </cell>
          <cell r="M2398" t="str">
            <v>VEN</v>
          </cell>
          <cell r="N2398" t="str">
            <v>C</v>
          </cell>
          <cell r="O2398">
            <v>30210100</v>
          </cell>
          <cell r="P2398" t="str">
            <v>SODA ASH DENSE BULK</v>
          </cell>
          <cell r="Q2398" t="str">
            <v>Soda Ash</v>
          </cell>
          <cell r="R2398">
            <v>7164.95</v>
          </cell>
          <cell r="S2398">
            <v>242200.45</v>
          </cell>
        </row>
        <row r="2399">
          <cell r="A2399" t="str">
            <v>Actual</v>
          </cell>
          <cell r="B2399">
            <v>2</v>
          </cell>
          <cell r="C2399" t="str">
            <v>House</v>
          </cell>
          <cell r="D2399">
            <v>21</v>
          </cell>
          <cell r="E2399">
            <v>7971</v>
          </cell>
          <cell r="F2399" t="str">
            <v>SOCIETA CHIMICA LARDERELLO</v>
          </cell>
          <cell r="G2399" t="str">
            <v>E</v>
          </cell>
          <cell r="H2399" t="str">
            <v>LARDERELLO-PISA</v>
          </cell>
          <cell r="J2399" t="str">
            <v>ITA</v>
          </cell>
          <cell r="K2399" t="str">
            <v>SOCIETA CHIMICA LARDERELLO</v>
          </cell>
          <cell r="M2399" t="str">
            <v>ITA</v>
          </cell>
          <cell r="N2399" t="str">
            <v>C</v>
          </cell>
          <cell r="O2399">
            <v>20060228</v>
          </cell>
          <cell r="P2399" t="str">
            <v>PYROBOR 25KG BAG (002), WOOD</v>
          </cell>
          <cell r="Q2399" t="str">
            <v>Pyrobor</v>
          </cell>
          <cell r="R2399">
            <v>43.981000000000002</v>
          </cell>
          <cell r="S2399">
            <v>28037</v>
          </cell>
        </row>
        <row r="2400">
          <cell r="A2400" t="str">
            <v>Actual</v>
          </cell>
          <cell r="B2400">
            <v>2</v>
          </cell>
          <cell r="C2400" t="str">
            <v>House</v>
          </cell>
          <cell r="D2400">
            <v>21</v>
          </cell>
          <cell r="E2400">
            <v>7971</v>
          </cell>
          <cell r="F2400" t="str">
            <v>SOCIETA CHIMICA LARDERELLO</v>
          </cell>
          <cell r="G2400" t="str">
            <v>E</v>
          </cell>
          <cell r="H2400" t="str">
            <v>LARDERELLO-PISA</v>
          </cell>
          <cell r="J2400" t="str">
            <v>ITA</v>
          </cell>
          <cell r="K2400" t="str">
            <v>SOCIETA CHIMICA LARDERELLO</v>
          </cell>
          <cell r="M2400" t="str">
            <v>ITA</v>
          </cell>
          <cell r="N2400" t="str">
            <v>C</v>
          </cell>
          <cell r="O2400">
            <v>24090255</v>
          </cell>
          <cell r="P2400" t="str">
            <v>BORIC ACID GRAN TECH 1 MT FIBC</v>
          </cell>
          <cell r="Q2400" t="str">
            <v>Boric Acid</v>
          </cell>
          <cell r="R2400">
            <v>551.15</v>
          </cell>
          <cell r="S2400">
            <v>159147</v>
          </cell>
        </row>
        <row r="2401">
          <cell r="A2401" t="str">
            <v>Actual</v>
          </cell>
          <cell r="B2401">
            <v>2</v>
          </cell>
          <cell r="C2401" t="str">
            <v>House</v>
          </cell>
          <cell r="D2401">
            <v>21</v>
          </cell>
          <cell r="E2401">
            <v>8787</v>
          </cell>
          <cell r="F2401" t="str">
            <v>FERRO (THAILAND) CO., LTD.</v>
          </cell>
          <cell r="G2401" t="str">
            <v>E</v>
          </cell>
          <cell r="H2401" t="str">
            <v>BANGKOK</v>
          </cell>
          <cell r="J2401" t="str">
            <v>THA</v>
          </cell>
          <cell r="K2401" t="str">
            <v>FERRO (THAILAND) CO., LTD.</v>
          </cell>
          <cell r="M2401" t="str">
            <v>THA</v>
          </cell>
          <cell r="N2401" t="str">
            <v>C</v>
          </cell>
          <cell r="O2401">
            <v>22060428</v>
          </cell>
          <cell r="P2401" t="str">
            <v>V-BOR 25KG BAG (004), WOOD</v>
          </cell>
          <cell r="Q2401" t="str">
            <v>Penta</v>
          </cell>
          <cell r="R2401">
            <v>131.94300000000001</v>
          </cell>
          <cell r="S2401">
            <v>30699</v>
          </cell>
        </row>
        <row r="2402">
          <cell r="A2402" t="str">
            <v>Actual</v>
          </cell>
          <cell r="B2402">
            <v>2</v>
          </cell>
          <cell r="C2402" t="str">
            <v>House</v>
          </cell>
          <cell r="D2402">
            <v>21</v>
          </cell>
          <cell r="E2402">
            <v>9141</v>
          </cell>
          <cell r="F2402" t="str">
            <v>SOCIETA CHIMICA LARDERELLO SPA</v>
          </cell>
          <cell r="G2402" t="str">
            <v>E</v>
          </cell>
          <cell r="H2402" t="str">
            <v>LARDERELLO-PISA</v>
          </cell>
          <cell r="J2402" t="str">
            <v>ITA</v>
          </cell>
          <cell r="K2402" t="str">
            <v>SOCIETA CHIMICA LARDERELLO SPA</v>
          </cell>
          <cell r="M2402" t="str">
            <v>ITA</v>
          </cell>
          <cell r="N2402" t="str">
            <v>C</v>
          </cell>
          <cell r="O2402">
            <v>22060481</v>
          </cell>
          <cell r="P2402" t="str">
            <v>V-BOR 1 MT FIBC</v>
          </cell>
          <cell r="Q2402" t="str">
            <v>Penta</v>
          </cell>
          <cell r="R2402">
            <v>330.69</v>
          </cell>
          <cell r="S2402">
            <v>83148.322</v>
          </cell>
        </row>
        <row r="2403">
          <cell r="A2403" t="str">
            <v>Actual</v>
          </cell>
          <cell r="B2403">
            <v>2</v>
          </cell>
          <cell r="C2403" t="str">
            <v>House</v>
          </cell>
          <cell r="D2403">
            <v>21</v>
          </cell>
          <cell r="E2403">
            <v>9141</v>
          </cell>
          <cell r="F2403" t="str">
            <v>SOCIETA CHIMICA LARDERELLO SPA</v>
          </cell>
          <cell r="G2403" t="str">
            <v>E</v>
          </cell>
          <cell r="H2403" t="str">
            <v>LARDERELLO-PISA</v>
          </cell>
          <cell r="J2403" t="str">
            <v>ITA</v>
          </cell>
          <cell r="K2403" t="str">
            <v>SOCIETA CHIMICA LARDERELLO SPA</v>
          </cell>
          <cell r="M2403" t="str">
            <v>ITA</v>
          </cell>
          <cell r="N2403" t="str">
            <v>C</v>
          </cell>
          <cell r="O2403">
            <v>23060281</v>
          </cell>
          <cell r="P2403" t="str">
            <v>DECA BORAX 1 MT (SCL) FIBC</v>
          </cell>
          <cell r="Q2403" t="str">
            <v>Deca</v>
          </cell>
          <cell r="R2403">
            <v>110.23</v>
          </cell>
          <cell r="S2403">
            <v>30722.16</v>
          </cell>
        </row>
        <row r="2404">
          <cell r="A2404" t="str">
            <v>Actual</v>
          </cell>
          <cell r="B2404">
            <v>2</v>
          </cell>
          <cell r="C2404" t="str">
            <v>House</v>
          </cell>
          <cell r="D2404">
            <v>21</v>
          </cell>
          <cell r="E2404">
            <v>9141</v>
          </cell>
          <cell r="F2404" t="str">
            <v>SOCIETA CHIMICA LARDERELLO SPA</v>
          </cell>
          <cell r="G2404" t="str">
            <v>E</v>
          </cell>
          <cell r="H2404" t="str">
            <v>LARDERELLO-PISA</v>
          </cell>
          <cell r="J2404" t="str">
            <v>ITA</v>
          </cell>
          <cell r="K2404" t="str">
            <v>SOCIETA CHIMICA LARDERELLO SPA</v>
          </cell>
          <cell r="M2404" t="str">
            <v>ITA</v>
          </cell>
          <cell r="N2404" t="str">
            <v>C</v>
          </cell>
          <cell r="O2404">
            <v>23160228</v>
          </cell>
          <cell r="P2404" t="str">
            <v>DECA BORAX X CRS 25KG BAG WOOD</v>
          </cell>
          <cell r="Q2404" t="str">
            <v>Deca</v>
          </cell>
          <cell r="R2404">
            <v>109.9525</v>
          </cell>
          <cell r="S2404">
            <v>30851.7035</v>
          </cell>
        </row>
        <row r="2405">
          <cell r="A2405" t="str">
            <v>Actual</v>
          </cell>
          <cell r="B2405">
            <v>2</v>
          </cell>
          <cell r="C2405" t="str">
            <v>House</v>
          </cell>
          <cell r="D2405">
            <v>22</v>
          </cell>
          <cell r="E2405">
            <v>6888</v>
          </cell>
          <cell r="F2405" t="str">
            <v>PACIFIC SALT &amp; CHEM CO</v>
          </cell>
          <cell r="G2405" t="str">
            <v>D</v>
          </cell>
          <cell r="H2405" t="str">
            <v>ENCINO</v>
          </cell>
          <cell r="I2405" t="str">
            <v>CA</v>
          </cell>
          <cell r="J2405" t="str">
            <v>USA</v>
          </cell>
          <cell r="K2405" t="str">
            <v>PACIFIC SALT &amp; CHEM CO</v>
          </cell>
          <cell r="L2405" t="str">
            <v>CA</v>
          </cell>
          <cell r="M2405" t="str">
            <v>USA</v>
          </cell>
          <cell r="N2405" t="str">
            <v>C</v>
          </cell>
          <cell r="O2405">
            <v>71060200</v>
          </cell>
          <cell r="P2405" t="str">
            <v>SURFACE SALT BULK</v>
          </cell>
          <cell r="Q2405" t="str">
            <v>Surface Salt</v>
          </cell>
          <cell r="R2405">
            <v>7370.31</v>
          </cell>
          <cell r="S2405">
            <v>25796.79</v>
          </cell>
        </row>
        <row r="2406">
          <cell r="A2406" t="str">
            <v>Actual</v>
          </cell>
          <cell r="B2406">
            <v>2</v>
          </cell>
          <cell r="C2406" t="str">
            <v>House</v>
          </cell>
          <cell r="D2406">
            <v>22</v>
          </cell>
          <cell r="E2406">
            <v>9555</v>
          </cell>
          <cell r="F2406" t="str">
            <v>PROCTER &amp; GAMBLE MFG COMPANY</v>
          </cell>
          <cell r="G2406" t="str">
            <v>D</v>
          </cell>
          <cell r="H2406" t="str">
            <v>CINCINNATI</v>
          </cell>
          <cell r="I2406" t="str">
            <v>OH</v>
          </cell>
          <cell r="J2406" t="str">
            <v>USA</v>
          </cell>
          <cell r="K2406" t="str">
            <v>PROCTER &amp; GAMBLE MFG COMPANY</v>
          </cell>
          <cell r="L2406" t="str">
            <v>OH</v>
          </cell>
          <cell r="M2406" t="str">
            <v>USA</v>
          </cell>
          <cell r="O2406">
            <v>40060410</v>
          </cell>
          <cell r="P2406" t="str">
            <v>SODIUM SULFATE STD 50LB BAG</v>
          </cell>
          <cell r="Q2406" t="str">
            <v>Sodium Sulfate</v>
          </cell>
          <cell r="R2406">
            <v>0.32500000000000001</v>
          </cell>
          <cell r="S2406">
            <v>-247.7</v>
          </cell>
        </row>
        <row r="2407">
          <cell r="A2407" t="str">
            <v>Actual</v>
          </cell>
          <cell r="B2407">
            <v>2</v>
          </cell>
          <cell r="C2407" t="str">
            <v>House</v>
          </cell>
          <cell r="D2407">
            <v>22</v>
          </cell>
          <cell r="E2407">
            <v>9555</v>
          </cell>
          <cell r="F2407" t="str">
            <v>PROCTER &amp; GAMBLE MFG COMPANY</v>
          </cell>
          <cell r="G2407" t="str">
            <v>D</v>
          </cell>
          <cell r="H2407" t="str">
            <v>CINCINNATI</v>
          </cell>
          <cell r="I2407" t="str">
            <v>OH</v>
          </cell>
          <cell r="J2407" t="str">
            <v>USA</v>
          </cell>
          <cell r="K2407" t="str">
            <v>PROCTER &amp; GAMBLE MFG COMPANY</v>
          </cell>
          <cell r="L2407" t="str">
            <v>OH</v>
          </cell>
          <cell r="M2407" t="str">
            <v>USA</v>
          </cell>
          <cell r="O2407">
            <v>40060450</v>
          </cell>
          <cell r="P2407" t="str">
            <v>SODIUM SULFATE STD 1TN FIBC</v>
          </cell>
          <cell r="Q2407" t="str">
            <v>Sodium Sulfate</v>
          </cell>
          <cell r="R2407">
            <v>0</v>
          </cell>
          <cell r="S2407">
            <v>-519.36</v>
          </cell>
        </row>
        <row r="2408">
          <cell r="A2408" t="str">
            <v>Actual</v>
          </cell>
          <cell r="B2408">
            <v>2</v>
          </cell>
          <cell r="C2408" t="str">
            <v>House</v>
          </cell>
          <cell r="D2408">
            <v>22</v>
          </cell>
          <cell r="E2408">
            <v>9628</v>
          </cell>
          <cell r="F2408" t="str">
            <v>HUISH DETERGENTS INC.</v>
          </cell>
          <cell r="G2408" t="str">
            <v>D</v>
          </cell>
          <cell r="H2408" t="str">
            <v>DYERSBURG</v>
          </cell>
          <cell r="I2408" t="str">
            <v>TN</v>
          </cell>
          <cell r="J2408" t="str">
            <v>USA</v>
          </cell>
          <cell r="K2408" t="str">
            <v>ELEMENTIS CHROMIUM LP - NC</v>
          </cell>
          <cell r="L2408" t="str">
            <v>TX</v>
          </cell>
          <cell r="M2408" t="str">
            <v>USA</v>
          </cell>
          <cell r="N2408" t="str">
            <v>D</v>
          </cell>
          <cell r="O2408">
            <v>40060400</v>
          </cell>
          <cell r="P2408" t="str">
            <v>SODIUM SULFATE STANDARD BULK</v>
          </cell>
          <cell r="Q2408" t="str">
            <v>Sodium Sulfate</v>
          </cell>
          <cell r="R2408">
            <v>217.375</v>
          </cell>
          <cell r="S2408">
            <v>7634.21</v>
          </cell>
        </row>
        <row r="2409">
          <cell r="A2409" t="str">
            <v>Actual</v>
          </cell>
          <cell r="B2409">
            <v>2</v>
          </cell>
          <cell r="C2409" t="str">
            <v>House</v>
          </cell>
          <cell r="D2409">
            <v>23</v>
          </cell>
          <cell r="E2409">
            <v>5072</v>
          </cell>
          <cell r="F2409" t="str">
            <v>SAINT-GOBAIN CONTAINER</v>
          </cell>
          <cell r="G2409" t="str">
            <v>D</v>
          </cell>
          <cell r="H2409" t="str">
            <v>EL MONTE</v>
          </cell>
          <cell r="I2409" t="str">
            <v>CA</v>
          </cell>
          <cell r="J2409" t="str">
            <v>USA</v>
          </cell>
          <cell r="K2409" t="str">
            <v>SAINT-GOBAIN CONTAINER</v>
          </cell>
          <cell r="L2409" t="str">
            <v>CA</v>
          </cell>
          <cell r="M2409" t="str">
            <v>USA</v>
          </cell>
          <cell r="N2409" t="str">
            <v>C</v>
          </cell>
          <cell r="O2409">
            <v>30210100</v>
          </cell>
          <cell r="P2409" t="str">
            <v>SODA ASH DENSE BULK</v>
          </cell>
          <cell r="Q2409" t="str">
            <v>Soda Ash</v>
          </cell>
          <cell r="R2409">
            <v>1620.9</v>
          </cell>
          <cell r="S2409">
            <v>116704.8</v>
          </cell>
        </row>
        <row r="2410">
          <cell r="A2410" t="str">
            <v>Actual</v>
          </cell>
          <cell r="B2410">
            <v>2</v>
          </cell>
          <cell r="C2410" t="str">
            <v>House</v>
          </cell>
          <cell r="D2410">
            <v>23</v>
          </cell>
          <cell r="E2410">
            <v>5072</v>
          </cell>
          <cell r="F2410" t="str">
            <v>SAINT-GOBAIN CONTAINER</v>
          </cell>
          <cell r="G2410" t="str">
            <v>D</v>
          </cell>
          <cell r="H2410" t="str">
            <v>EL MONTE</v>
          </cell>
          <cell r="I2410" t="str">
            <v>CA</v>
          </cell>
          <cell r="J2410" t="str">
            <v>USA</v>
          </cell>
          <cell r="K2410" t="str">
            <v>SAINT-GOBAIN CONTAINER</v>
          </cell>
          <cell r="L2410" t="str">
            <v>CA</v>
          </cell>
          <cell r="M2410" t="str">
            <v>USA</v>
          </cell>
          <cell r="N2410" t="str">
            <v>C</v>
          </cell>
          <cell r="O2410">
            <v>40150400</v>
          </cell>
          <cell r="P2410" t="str">
            <v>SODIUM SULFATE COARSE BULK</v>
          </cell>
          <cell r="Q2410" t="str">
            <v>Sodium Sulfate</v>
          </cell>
          <cell r="R2410">
            <v>26.71</v>
          </cell>
          <cell r="S2410">
            <v>3552.43</v>
          </cell>
        </row>
        <row r="2411">
          <cell r="A2411" t="str">
            <v>Actual</v>
          </cell>
          <cell r="B2411">
            <v>2</v>
          </cell>
          <cell r="C2411" t="str">
            <v>House</v>
          </cell>
          <cell r="D2411">
            <v>23</v>
          </cell>
          <cell r="E2411">
            <v>5074</v>
          </cell>
          <cell r="F2411" t="str">
            <v>MADERA GLASS COMPANY</v>
          </cell>
          <cell r="G2411" t="str">
            <v>D</v>
          </cell>
          <cell r="H2411" t="str">
            <v>MADERA</v>
          </cell>
          <cell r="I2411" t="str">
            <v>CA</v>
          </cell>
          <cell r="J2411" t="str">
            <v>USA</v>
          </cell>
          <cell r="K2411" t="str">
            <v>MADERA GLASS COMPANY</v>
          </cell>
          <cell r="L2411" t="str">
            <v>CA</v>
          </cell>
          <cell r="M2411" t="str">
            <v>USA</v>
          </cell>
          <cell r="N2411" t="str">
            <v>C</v>
          </cell>
          <cell r="O2411">
            <v>40150400</v>
          </cell>
          <cell r="P2411" t="str">
            <v>SODIUM SULFATE COARSE BULK</v>
          </cell>
          <cell r="Q2411" t="str">
            <v>Sodium Sulfate</v>
          </cell>
          <cell r="R2411">
            <v>53.44</v>
          </cell>
          <cell r="S2411">
            <v>7054.08</v>
          </cell>
        </row>
        <row r="2412">
          <cell r="A2412" t="str">
            <v>Actual</v>
          </cell>
          <cell r="B2412">
            <v>2</v>
          </cell>
          <cell r="C2412" t="str">
            <v>House</v>
          </cell>
          <cell r="D2412">
            <v>23</v>
          </cell>
          <cell r="E2412">
            <v>5187</v>
          </cell>
          <cell r="F2412" t="str">
            <v>SAINT-GOBAIN CONTAINER</v>
          </cell>
          <cell r="G2412" t="str">
            <v>D</v>
          </cell>
          <cell r="H2412" t="str">
            <v>LOS ANGELES</v>
          </cell>
          <cell r="I2412" t="str">
            <v>CA</v>
          </cell>
          <cell r="J2412" t="str">
            <v>USA</v>
          </cell>
          <cell r="K2412" t="str">
            <v>SAINT-GOBAIN CONTAINER</v>
          </cell>
          <cell r="L2412" t="str">
            <v>CA</v>
          </cell>
          <cell r="M2412" t="str">
            <v>USA</v>
          </cell>
          <cell r="N2412" t="str">
            <v>C</v>
          </cell>
          <cell r="O2412">
            <v>30210100</v>
          </cell>
          <cell r="P2412" t="str">
            <v>SODA ASH DENSE BULK</v>
          </cell>
          <cell r="Q2412" t="str">
            <v>Soda Ash</v>
          </cell>
          <cell r="R2412">
            <v>756.56</v>
          </cell>
          <cell r="S2412">
            <v>54472.32</v>
          </cell>
        </row>
        <row r="2413">
          <cell r="A2413" t="str">
            <v>Actual</v>
          </cell>
          <cell r="B2413">
            <v>2</v>
          </cell>
          <cell r="C2413" t="str">
            <v>House</v>
          </cell>
          <cell r="D2413">
            <v>23</v>
          </cell>
          <cell r="E2413">
            <v>5187</v>
          </cell>
          <cell r="F2413" t="str">
            <v>SAINT-GOBAIN CONTAINER</v>
          </cell>
          <cell r="G2413" t="str">
            <v>D</v>
          </cell>
          <cell r="H2413" t="str">
            <v>LOS ANGELES</v>
          </cell>
          <cell r="I2413" t="str">
            <v>CA</v>
          </cell>
          <cell r="J2413" t="str">
            <v>USA</v>
          </cell>
          <cell r="K2413" t="str">
            <v>SAINT-GOBAIN CONTAINER</v>
          </cell>
          <cell r="L2413" t="str">
            <v>CA</v>
          </cell>
          <cell r="M2413" t="str">
            <v>USA</v>
          </cell>
          <cell r="N2413" t="str">
            <v>C</v>
          </cell>
          <cell r="O2413">
            <v>40150450</v>
          </cell>
          <cell r="P2413" t="str">
            <v>SODIUM SULFATE CRS 1TN FIBC</v>
          </cell>
          <cell r="Q2413" t="str">
            <v>Sodium Sulfate</v>
          </cell>
          <cell r="R2413">
            <v>22</v>
          </cell>
          <cell r="S2413">
            <v>2756.03</v>
          </cell>
        </row>
        <row r="2414">
          <cell r="A2414" t="str">
            <v>Actual</v>
          </cell>
          <cell r="B2414">
            <v>2</v>
          </cell>
          <cell r="C2414" t="str">
            <v>House</v>
          </cell>
          <cell r="D2414">
            <v>23</v>
          </cell>
          <cell r="E2414">
            <v>5303</v>
          </cell>
          <cell r="F2414" t="str">
            <v>OWENS-BROCKWAY GLASS CONTAINER</v>
          </cell>
          <cell r="G2414" t="str">
            <v>D</v>
          </cell>
          <cell r="H2414" t="str">
            <v>TRACY</v>
          </cell>
          <cell r="I2414" t="str">
            <v>CA</v>
          </cell>
          <cell r="J2414" t="str">
            <v>USA</v>
          </cell>
          <cell r="K2414" t="str">
            <v>OWENS-BROCKWAY GLASS CONTAINER</v>
          </cell>
          <cell r="L2414" t="str">
            <v>CA</v>
          </cell>
          <cell r="M2414" t="str">
            <v>USA</v>
          </cell>
          <cell r="N2414" t="str">
            <v>C</v>
          </cell>
          <cell r="O2414">
            <v>30210100</v>
          </cell>
          <cell r="P2414" t="str">
            <v>SODA ASH DENSE BULK</v>
          </cell>
          <cell r="Q2414" t="str">
            <v>Soda Ash</v>
          </cell>
          <cell r="R2414">
            <v>2669.42</v>
          </cell>
          <cell r="S2414">
            <v>187001.71</v>
          </cell>
        </row>
        <row r="2415">
          <cell r="A2415" t="str">
            <v>Actual</v>
          </cell>
          <cell r="B2415">
            <v>2</v>
          </cell>
          <cell r="C2415" t="str">
            <v>House</v>
          </cell>
          <cell r="D2415">
            <v>23</v>
          </cell>
          <cell r="E2415">
            <v>5305</v>
          </cell>
          <cell r="F2415" t="str">
            <v>OWENS-BROCKWAY GLASS CONTAINER</v>
          </cell>
          <cell r="G2415" t="str">
            <v>D</v>
          </cell>
          <cell r="H2415" t="str">
            <v>OAKLAND</v>
          </cell>
          <cell r="I2415" t="str">
            <v>CA</v>
          </cell>
          <cell r="J2415" t="str">
            <v>USA</v>
          </cell>
          <cell r="K2415" t="str">
            <v>OWENS-BROCKWAY GLASS CONTAINER</v>
          </cell>
          <cell r="L2415" t="str">
            <v>CA</v>
          </cell>
          <cell r="M2415" t="str">
            <v>USA</v>
          </cell>
          <cell r="N2415" t="str">
            <v>C</v>
          </cell>
          <cell r="O2415">
            <v>30210100</v>
          </cell>
          <cell r="P2415" t="str">
            <v>SODA ASH DENSE BULK</v>
          </cell>
          <cell r="Q2415" t="str">
            <v>Soda Ash</v>
          </cell>
          <cell r="R2415">
            <v>2369.4299999999998</v>
          </cell>
          <cell r="S2415">
            <v>166973.51999999999</v>
          </cell>
        </row>
        <row r="2416">
          <cell r="A2416" t="str">
            <v>Actual</v>
          </cell>
          <cell r="B2416">
            <v>2</v>
          </cell>
          <cell r="C2416" t="str">
            <v>House</v>
          </cell>
          <cell r="D2416">
            <v>23</v>
          </cell>
          <cell r="E2416">
            <v>5308</v>
          </cell>
          <cell r="F2416" t="str">
            <v>OWENS-BROCKWAY GLASS CONTAINER</v>
          </cell>
          <cell r="G2416" t="str">
            <v>D</v>
          </cell>
          <cell r="H2416" t="str">
            <v>VERNON</v>
          </cell>
          <cell r="I2416" t="str">
            <v>CA</v>
          </cell>
          <cell r="J2416" t="str">
            <v>USA</v>
          </cell>
          <cell r="K2416" t="str">
            <v>OWENS-BROCKWAY GLASS CONTAINER</v>
          </cell>
          <cell r="L2416" t="str">
            <v>CA</v>
          </cell>
          <cell r="M2416" t="str">
            <v>USA</v>
          </cell>
          <cell r="N2416" t="str">
            <v>C</v>
          </cell>
          <cell r="O2416">
            <v>30210100</v>
          </cell>
          <cell r="P2416" t="str">
            <v>SODA ASH DENSE BULK</v>
          </cell>
          <cell r="Q2416" t="str">
            <v>Soda Ash</v>
          </cell>
          <cell r="R2416">
            <v>2314.9899999999998</v>
          </cell>
          <cell r="S2416">
            <v>179877.79</v>
          </cell>
        </row>
        <row r="2417">
          <cell r="A2417" t="str">
            <v>Actual</v>
          </cell>
          <cell r="B2417">
            <v>2</v>
          </cell>
          <cell r="C2417" t="str">
            <v>House</v>
          </cell>
          <cell r="D2417">
            <v>23</v>
          </cell>
          <cell r="E2417">
            <v>7139</v>
          </cell>
          <cell r="F2417" t="str">
            <v>DURAND GLASS MANUFACTURING CO</v>
          </cell>
          <cell r="G2417" t="str">
            <v>D</v>
          </cell>
          <cell r="H2417" t="str">
            <v>MILLVILLE</v>
          </cell>
          <cell r="I2417" t="str">
            <v>NJ</v>
          </cell>
          <cell r="J2417" t="str">
            <v>USA</v>
          </cell>
          <cell r="K2417" t="str">
            <v>DURAND GLASS MFG CO</v>
          </cell>
          <cell r="L2417" t="str">
            <v>NJ</v>
          </cell>
          <cell r="M2417" t="str">
            <v>USA</v>
          </cell>
          <cell r="N2417" t="str">
            <v>C</v>
          </cell>
          <cell r="O2417">
            <v>30219100</v>
          </cell>
          <cell r="P2417" t="str">
            <v>SODA ASH DENSE BULK (091)</v>
          </cell>
          <cell r="Q2417" t="str">
            <v>Soda Ash</v>
          </cell>
          <cell r="R2417">
            <v>1151.0350000000001</v>
          </cell>
          <cell r="S2417">
            <v>109246.38</v>
          </cell>
        </row>
        <row r="2418">
          <cell r="A2418" t="str">
            <v>Actual</v>
          </cell>
          <cell r="B2418">
            <v>2</v>
          </cell>
          <cell r="C2418" t="str">
            <v>House</v>
          </cell>
          <cell r="D2418">
            <v>23</v>
          </cell>
          <cell r="E2418">
            <v>7641</v>
          </cell>
          <cell r="F2418" t="str">
            <v>FMC CORPORATION</v>
          </cell>
          <cell r="G2418" t="str">
            <v>D</v>
          </cell>
          <cell r="H2418" t="str">
            <v>PHILADELPHIA</v>
          </cell>
          <cell r="I2418" t="str">
            <v>PA</v>
          </cell>
          <cell r="J2418" t="str">
            <v>USA</v>
          </cell>
          <cell r="K2418" t="str">
            <v>FMC CORPORATION</v>
          </cell>
          <cell r="L2418" t="str">
            <v>PA</v>
          </cell>
          <cell r="M2418" t="str">
            <v>USA</v>
          </cell>
          <cell r="N2418" t="str">
            <v>C</v>
          </cell>
          <cell r="O2418">
            <v>30210100</v>
          </cell>
          <cell r="P2418" t="str">
            <v>SODA ASH DENSE BULK</v>
          </cell>
          <cell r="Q2418" t="str">
            <v>Soda Ash</v>
          </cell>
          <cell r="R2418">
            <v>0</v>
          </cell>
          <cell r="S2418">
            <v>0</v>
          </cell>
        </row>
        <row r="2419">
          <cell r="A2419" t="str">
            <v>Actual</v>
          </cell>
          <cell r="B2419">
            <v>2</v>
          </cell>
          <cell r="C2419" t="str">
            <v>House</v>
          </cell>
          <cell r="D2419">
            <v>23</v>
          </cell>
          <cell r="E2419">
            <v>8261</v>
          </cell>
          <cell r="F2419" t="str">
            <v>NUTRIUS INCORPORATED</v>
          </cell>
          <cell r="G2419" t="str">
            <v>D</v>
          </cell>
          <cell r="H2419" t="str">
            <v>KINGSBURG</v>
          </cell>
          <cell r="I2419" t="str">
            <v>CA</v>
          </cell>
          <cell r="J2419" t="str">
            <v>USA</v>
          </cell>
          <cell r="K2419" t="str">
            <v>NUTRIUS INCORPORATED</v>
          </cell>
          <cell r="L2419" t="str">
            <v>CA</v>
          </cell>
          <cell r="M2419" t="str">
            <v>USA</v>
          </cell>
          <cell r="N2419" t="str">
            <v>C</v>
          </cell>
          <cell r="O2419">
            <v>50060100</v>
          </cell>
          <cell r="P2419" t="str">
            <v>BIO-CARB, BULK</v>
          </cell>
          <cell r="Q2419" t="str">
            <v>Sodium Bicarb</v>
          </cell>
          <cell r="R2419">
            <v>1437.03</v>
          </cell>
          <cell r="S2419">
            <v>124485.57</v>
          </cell>
        </row>
        <row r="2420">
          <cell r="A2420" t="str">
            <v>Actual</v>
          </cell>
          <cell r="B2420">
            <v>2</v>
          </cell>
          <cell r="C2420" t="str">
            <v>House</v>
          </cell>
          <cell r="D2420">
            <v>23</v>
          </cell>
          <cell r="E2420">
            <v>9191</v>
          </cell>
          <cell r="F2420" t="str">
            <v>O-I CANADA CORP.</v>
          </cell>
          <cell r="G2420" t="str">
            <v>D</v>
          </cell>
          <cell r="H2420" t="str">
            <v>VERNON LAVINGTON</v>
          </cell>
          <cell r="I2420" t="str">
            <v>BC</v>
          </cell>
          <cell r="J2420" t="str">
            <v>CAN</v>
          </cell>
          <cell r="K2420" t="str">
            <v>O-I CANADA CORP.</v>
          </cell>
          <cell r="L2420" t="str">
            <v>BC</v>
          </cell>
          <cell r="M2420" t="str">
            <v>CAN</v>
          </cell>
          <cell r="N2420" t="str">
            <v>C</v>
          </cell>
          <cell r="O2420">
            <v>30218800</v>
          </cell>
          <cell r="P2420" t="str">
            <v>SODA ASH DENSE BULK (088)</v>
          </cell>
          <cell r="Q2420" t="str">
            <v>Soda Ash</v>
          </cell>
          <cell r="R2420">
            <v>1867.825</v>
          </cell>
          <cell r="S2420">
            <v>107399.96</v>
          </cell>
        </row>
        <row r="2421">
          <cell r="A2421" t="str">
            <v>Actual</v>
          </cell>
          <cell r="B2421">
            <v>2</v>
          </cell>
          <cell r="C2421" t="str">
            <v>House</v>
          </cell>
          <cell r="D2421">
            <v>130</v>
          </cell>
          <cell r="E2421">
            <v>7484</v>
          </cell>
          <cell r="F2421" t="str">
            <v>OWENS-BROCKWAY GLASS CONTAINER</v>
          </cell>
          <cell r="G2421" t="str">
            <v>D</v>
          </cell>
          <cell r="H2421" t="str">
            <v>PORTLAND</v>
          </cell>
          <cell r="I2421" t="str">
            <v>OR</v>
          </cell>
          <cell r="J2421" t="str">
            <v>USA</v>
          </cell>
          <cell r="K2421" t="str">
            <v>OWENS-BROCKWAY GLASS CONTAINER</v>
          </cell>
          <cell r="L2421" t="str">
            <v>OR</v>
          </cell>
          <cell r="M2421" t="str">
            <v>USA</v>
          </cell>
          <cell r="N2421" t="str">
            <v>C</v>
          </cell>
          <cell r="O2421">
            <v>40150400</v>
          </cell>
          <cell r="P2421" t="str">
            <v>SODIUM SULFATE COARSE BULK</v>
          </cell>
          <cell r="Q2421" t="str">
            <v>Sodium Sulfate</v>
          </cell>
          <cell r="R2421">
            <v>35.86</v>
          </cell>
          <cell r="S2421">
            <v>2924.74</v>
          </cell>
        </row>
        <row r="2422">
          <cell r="A2422" t="str">
            <v>Actual</v>
          </cell>
          <cell r="B2422">
            <v>2</v>
          </cell>
          <cell r="C2422" t="str">
            <v>House</v>
          </cell>
          <cell r="D2422">
            <v>130</v>
          </cell>
          <cell r="E2422">
            <v>7965</v>
          </cell>
          <cell r="F2422" t="str">
            <v>OWENS CORNING</v>
          </cell>
          <cell r="G2422" t="str">
            <v>D</v>
          </cell>
          <cell r="H2422" t="str">
            <v>WAXAHACHIE</v>
          </cell>
          <cell r="I2422" t="str">
            <v>TX</v>
          </cell>
          <cell r="J2422" t="str">
            <v>USA</v>
          </cell>
          <cell r="K2422" t="str">
            <v>OWENS CORNING</v>
          </cell>
          <cell r="L2422" t="str">
            <v>TX</v>
          </cell>
          <cell r="M2422" t="str">
            <v>USA</v>
          </cell>
          <cell r="N2422" t="str">
            <v>C</v>
          </cell>
          <cell r="O2422">
            <v>30210100</v>
          </cell>
          <cell r="P2422" t="str">
            <v>SODA ASH DENSE BULK</v>
          </cell>
          <cell r="Q2422" t="str">
            <v>Soda Ash</v>
          </cell>
          <cell r="R2422">
            <v>52.93</v>
          </cell>
          <cell r="S2422">
            <v>4020.04</v>
          </cell>
        </row>
        <row r="2423">
          <cell r="A2423" t="str">
            <v>Actual</v>
          </cell>
          <cell r="B2423">
            <v>2</v>
          </cell>
          <cell r="C2423" t="str">
            <v>House</v>
          </cell>
          <cell r="D2423">
            <v>130</v>
          </cell>
          <cell r="E2423">
            <v>8021</v>
          </cell>
          <cell r="F2423" t="str">
            <v>OWENS-ILLINOIS GLASS CONTAINER</v>
          </cell>
          <cell r="G2423" t="str">
            <v>D</v>
          </cell>
          <cell r="H2423" t="str">
            <v>WACO</v>
          </cell>
          <cell r="I2423" t="str">
            <v>TX</v>
          </cell>
          <cell r="J2423" t="str">
            <v>USA</v>
          </cell>
          <cell r="K2423" t="str">
            <v>OWENS-ILLINOIS GLASS CONTAINER</v>
          </cell>
          <cell r="L2423" t="str">
            <v>TX</v>
          </cell>
          <cell r="M2423" t="str">
            <v>USA</v>
          </cell>
          <cell r="N2423" t="str">
            <v>C</v>
          </cell>
          <cell r="O2423">
            <v>30210100</v>
          </cell>
          <cell r="P2423" t="str">
            <v>SODA ASH DENSE BULK</v>
          </cell>
          <cell r="Q2423" t="str">
            <v>Soda Ash</v>
          </cell>
          <cell r="R2423">
            <v>364.28</v>
          </cell>
          <cell r="S2423">
            <v>-1019.61</v>
          </cell>
        </row>
        <row r="2424">
          <cell r="A2424" t="str">
            <v>Actual</v>
          </cell>
          <cell r="B2424">
            <v>2</v>
          </cell>
          <cell r="C2424" t="str">
            <v>House</v>
          </cell>
          <cell r="D2424">
            <v>130</v>
          </cell>
          <cell r="E2424">
            <v>8021</v>
          </cell>
          <cell r="F2424" t="str">
            <v>OWENS-ILLINOIS GLASS CONTAINER</v>
          </cell>
          <cell r="G2424" t="str">
            <v>D</v>
          </cell>
          <cell r="H2424" t="str">
            <v>WACO</v>
          </cell>
          <cell r="I2424" t="str">
            <v>TX</v>
          </cell>
          <cell r="J2424" t="str">
            <v>USA</v>
          </cell>
          <cell r="K2424" t="str">
            <v>OWENS-ILLINOIS GLASS CONTAINER</v>
          </cell>
          <cell r="L2424" t="str">
            <v>TX</v>
          </cell>
          <cell r="M2424" t="str">
            <v>USA</v>
          </cell>
          <cell r="N2424" t="str">
            <v>C</v>
          </cell>
          <cell r="O2424">
            <v>30218800</v>
          </cell>
          <cell r="P2424" t="str">
            <v>SODA ASH DENSE BULK (088)</v>
          </cell>
          <cell r="Q2424" t="str">
            <v>Soda Ash</v>
          </cell>
          <cell r="R2424">
            <v>3333.4749999999999</v>
          </cell>
          <cell r="S2424">
            <v>191674.85</v>
          </cell>
        </row>
        <row r="2425">
          <cell r="A2425" t="str">
            <v>Actual</v>
          </cell>
          <cell r="B2425">
            <v>2</v>
          </cell>
          <cell r="C2425" t="str">
            <v>House</v>
          </cell>
          <cell r="D2425">
            <v>130</v>
          </cell>
          <cell r="E2425">
            <v>8848</v>
          </cell>
          <cell r="F2425" t="str">
            <v>OWENS-BROCKWAY GLASS CONTAINER</v>
          </cell>
          <cell r="G2425" t="str">
            <v>D</v>
          </cell>
          <cell r="H2425" t="str">
            <v>VERNON</v>
          </cell>
          <cell r="I2425" t="str">
            <v>CA</v>
          </cell>
          <cell r="J2425" t="str">
            <v>USA</v>
          </cell>
          <cell r="K2425" t="str">
            <v>OWENS-BROCKWAY GLASS CONTAINER</v>
          </cell>
          <cell r="L2425" t="str">
            <v>CA</v>
          </cell>
          <cell r="M2425" t="str">
            <v>USA</v>
          </cell>
          <cell r="N2425" t="str">
            <v>C</v>
          </cell>
          <cell r="O2425">
            <v>40150400</v>
          </cell>
          <cell r="P2425" t="str">
            <v>SODIUM SULFATE COARSE BULK</v>
          </cell>
          <cell r="Q2425" t="str">
            <v>Sodium Sulfate</v>
          </cell>
          <cell r="R2425">
            <v>27.4</v>
          </cell>
          <cell r="S2425">
            <v>3049.62</v>
          </cell>
        </row>
        <row r="2426">
          <cell r="A2426" t="str">
            <v>Actual</v>
          </cell>
          <cell r="B2426">
            <v>2</v>
          </cell>
          <cell r="C2426" t="str">
            <v>House</v>
          </cell>
          <cell r="D2426">
            <v>130</v>
          </cell>
          <cell r="E2426">
            <v>8849</v>
          </cell>
          <cell r="F2426" t="str">
            <v>OWENS-BROCKWAY GLASS CONTAINER</v>
          </cell>
          <cell r="G2426" t="str">
            <v>D</v>
          </cell>
          <cell r="H2426" t="str">
            <v>OAKLAND</v>
          </cell>
          <cell r="I2426" t="str">
            <v>CA</v>
          </cell>
          <cell r="J2426" t="str">
            <v>USA</v>
          </cell>
          <cell r="K2426" t="str">
            <v>OWENS-BROCKWAY GLASS CONTAINER</v>
          </cell>
          <cell r="L2426" t="str">
            <v>CA</v>
          </cell>
          <cell r="M2426" t="str">
            <v>USA</v>
          </cell>
          <cell r="N2426" t="str">
            <v>C</v>
          </cell>
          <cell r="O2426">
            <v>40150400</v>
          </cell>
          <cell r="P2426" t="str">
            <v>SODIUM SULFATE COARSE BULK</v>
          </cell>
          <cell r="Q2426" t="str">
            <v>Sodium Sulfate</v>
          </cell>
          <cell r="R2426">
            <v>54.47</v>
          </cell>
          <cell r="S2426">
            <v>5065.71</v>
          </cell>
        </row>
        <row r="2427">
          <cell r="A2427" t="str">
            <v>Actual</v>
          </cell>
          <cell r="B2427">
            <v>2</v>
          </cell>
          <cell r="C2427" t="str">
            <v>House</v>
          </cell>
          <cell r="D2427">
            <v>130</v>
          </cell>
          <cell r="E2427">
            <v>8850</v>
          </cell>
          <cell r="F2427" t="str">
            <v>OWENS-BROCKWAY GLASS CONTAINER</v>
          </cell>
          <cell r="G2427" t="str">
            <v>D</v>
          </cell>
          <cell r="H2427" t="str">
            <v>TRACY</v>
          </cell>
          <cell r="I2427" t="str">
            <v>CA</v>
          </cell>
          <cell r="J2427" t="str">
            <v>USA</v>
          </cell>
          <cell r="K2427" t="str">
            <v>OWENS-BROCKWAY GLASS CONTAINER</v>
          </cell>
          <cell r="L2427" t="str">
            <v>CA</v>
          </cell>
          <cell r="M2427" t="str">
            <v>USA</v>
          </cell>
          <cell r="N2427" t="str">
            <v>C</v>
          </cell>
          <cell r="O2427">
            <v>40150400</v>
          </cell>
          <cell r="P2427" t="str">
            <v>SODIUM SULFATE COARSE BULK</v>
          </cell>
          <cell r="Q2427" t="str">
            <v>Sodium Sulfate</v>
          </cell>
          <cell r="R2427">
            <v>81.78</v>
          </cell>
          <cell r="S2427">
            <v>8175.54</v>
          </cell>
        </row>
        <row r="2428">
          <cell r="A2428" t="str">
            <v>Actual</v>
          </cell>
          <cell r="B2428">
            <v>2</v>
          </cell>
          <cell r="C2428" t="str">
            <v>House</v>
          </cell>
          <cell r="D2428">
            <v>130</v>
          </cell>
          <cell r="E2428">
            <v>9155</v>
          </cell>
          <cell r="F2428" t="str">
            <v>FEVISA INDUSTRIAL S.A. DE C.V.</v>
          </cell>
          <cell r="G2428" t="str">
            <v>E</v>
          </cell>
          <cell r="H2428" t="str">
            <v>MEXICALI</v>
          </cell>
          <cell r="J2428" t="str">
            <v>MEX</v>
          </cell>
          <cell r="K2428" t="str">
            <v>FEVISA INDUSTRIAL S.A. DE C.V.</v>
          </cell>
          <cell r="M2428" t="str">
            <v>MEX</v>
          </cell>
          <cell r="N2428" t="str">
            <v>C</v>
          </cell>
          <cell r="O2428">
            <v>30210100</v>
          </cell>
          <cell r="P2428" t="str">
            <v>SODA ASH DENSE BULK</v>
          </cell>
          <cell r="Q2428" t="str">
            <v>Soda Ash</v>
          </cell>
          <cell r="R2428">
            <v>1898.66</v>
          </cell>
          <cell r="S2428">
            <v>148992.65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_00"/>
      <sheetName val="Dec_00"/>
      <sheetName val="Jan_01"/>
      <sheetName val="Feb_01"/>
      <sheetName val="Mar_01"/>
      <sheetName val="Apr_01"/>
      <sheetName val="May_01"/>
      <sheetName val="Jun_01"/>
      <sheetName val="Jul_01"/>
      <sheetName val="Aug_01"/>
      <sheetName val="Sep_01"/>
      <sheetName val="Oct_01"/>
      <sheetName val="Nov_01"/>
      <sheetName val="Dec_01"/>
      <sheetName val="Jan_02"/>
      <sheetName val="Feb_02"/>
      <sheetName val="Mar_02"/>
      <sheetName val="Apr_02"/>
      <sheetName val="May_02"/>
      <sheetName val="June_02"/>
      <sheetName val="Jul_02"/>
      <sheetName val="Aug_02"/>
      <sheetName val="Sep_02"/>
      <sheetName val="Oct_02"/>
      <sheetName val="Nov_02"/>
      <sheetName val="Dec_02"/>
      <sheetName val="Jan_03"/>
      <sheetName val="Feb_03"/>
      <sheetName val="Mar_03"/>
      <sheetName val="Apr_03"/>
      <sheetName val="May_03"/>
      <sheetName val="June_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gIS"/>
      <sheetName val="TargBSCF"/>
      <sheetName val="TargDC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PN"/>
      <sheetName val="REVENUES"/>
      <sheetName val="KPNMODEL"/>
      <sheetName val="KPNCASH"/>
      <sheetName val="Analytics"/>
      <sheetName val="Imports"/>
      <sheetName val="MOBILE"/>
      <sheetName val="MOBDCF"/>
      <sheetName val="POSTVAL"/>
      <sheetName val="TNT"/>
      <sheetName val="KPNSUM"/>
      <sheetName val="TELDCF"/>
      <sheetName val="COC"/>
      <sheetName val="SHARES"/>
      <sheetName val="MRS data"/>
      <sheetName val="report imports"/>
      <sheetName val="Datapage"/>
      <sheetName val="POTS"/>
      <sheetName val="FIXDCF"/>
      <sheetName val="Dutch Mobile"/>
      <sheetName val="EPlus"/>
      <sheetName val="Intl Mobile"/>
      <sheetName val="KPNMobile"/>
      <sheetName val="EBITDA"/>
      <sheetName val="P&amp;L"/>
      <sheetName val="Cashflow"/>
      <sheetName val="KPNQuest"/>
      <sheetName val="Int"/>
      <sheetName val="CompsExport"/>
      <sheetName val="VALUE"/>
      <sheetName val="Interactive export"/>
      <sheetName val="Sheet7"/>
      <sheetName val="Sheet6"/>
      <sheetName val="Sheet5"/>
      <sheetName val="Sheet4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70117"/>
      <sheetName val="400800"/>
      <sheetName val="PREVCINE"/>
      <sheetName val="BASE"/>
      <sheetName val="BASE 170"/>
      <sheetName val="170000"/>
      <sheetName val="170015"/>
      <sheetName val="170105"/>
      <sheetName val="170107"/>
      <sheetName val="170108"/>
      <sheetName val="170111"/>
      <sheetName val="170112"/>
      <sheetName val="170113"/>
      <sheetName val="170114"/>
      <sheetName val="170116"/>
      <sheetName val="170118"/>
      <sheetName val="170119"/>
      <sheetName val="170120"/>
      <sheetName val="170401"/>
      <sheetName val="170402"/>
      <sheetName val="170403"/>
      <sheetName val="476000"/>
      <sheetName val="510000"/>
      <sheetName val="570001"/>
      <sheetName val="580000"/>
      <sheetName val="INGRU02"/>
      <sheetName val="AXI0198"/>
      <sheetName val="AXI0298"/>
      <sheetName val="MOVDIR02"/>
      <sheetName val="CESHOP01"/>
      <sheetName val="CESHOP02"/>
      <sheetName val="ANEXO &quot;A&quot; AXI"/>
      <sheetName val="CALAMORT AXI"/>
      <sheetName val="CALAMORT HIST"/>
      <sheetName val="ANEXO &quot;A&quot; HISTORICO"/>
      <sheetName val="PRORRA"/>
      <sheetName val="EOAFXX"/>
      <sheetName val="EOAF0298"/>
      <sheetName val="EOAF0398"/>
      <sheetName val="PREV 98 MANDADA A SEDE"/>
      <sheetName val="HIS20298"/>
      <sheetName val="NUM0298"/>
      <sheetName val="HIS10298"/>
      <sheetName val="FORMAT"/>
      <sheetName val="170"/>
      <sheetName val="CARGOS"/>
      <sheetName val="MACRO PARA MOVDIR"/>
      <sheetName val="MACRO PARA CTA EXPLOTACION"/>
      <sheetName val="DAR FORMATO"/>
      <sheetName val="MACRO PARA AXI"/>
      <sheetName val="IMPRESION"/>
      <sheetName val="MACRO PARA IIBB"/>
      <sheetName val="DDJJ"/>
      <sheetName val="Ac-Pa"/>
      <sheetName val="Mkt"/>
      <sheetName val="Precios"/>
      <sheetName val="PS"/>
      <sheetName val="0298"/>
      <sheetName val="TABLAS"/>
      <sheetName val="BASE_170"/>
      <sheetName val="ANEXO_&quot;A&quot;_AXI"/>
      <sheetName val="CALAMORT_AXI"/>
      <sheetName val="CALAMORT_HIST"/>
      <sheetName val="ANEXO_&quot;A&quot;_HISTORICO"/>
      <sheetName val="PREV_98_MANDADA_A_SEDE"/>
      <sheetName val="MACRO_PARA_MOVDIR"/>
      <sheetName val="MACRO_PARA_CTA_EXPLOTACION"/>
      <sheetName val="DAR_FORMATO"/>
      <sheetName val="MACRO_PARA_AXI"/>
      <sheetName val="MACRO_PARA_IIBB"/>
      <sheetName val="Cta Res."/>
      <sheetName val="MARCAS"/>
      <sheetName val="Project PL"/>
      <sheetName val="Bs.no computables"/>
      <sheetName val="China"/>
      <sheetName val="Taiwan"/>
      <sheetName val="713-9|1"/>
      <sheetName val="Links"/>
      <sheetName val="Lead"/>
      <sheetName val="Pagos II.BB."/>
      <sheetName val="K-3.1 ALTAS NOV-DIC-04"/>
      <sheetName val="CTF-1 altas"/>
      <sheetName val="DIC-97"/>
      <sheetName val="3. Datos Interco USD"/>
      <sheetName val="D|Lookup Tables"/>
      <sheetName val="Asn"/>
      <sheetName val="SCHE"/>
      <sheetName val="Menus déroulants"/>
      <sheetName val="MIX NACIONAL"/>
      <sheetName val="VOLUMENES NACIONALES"/>
      <sheetName val="Porcentajes Anuales"/>
      <sheetName val="Todos"/>
      <sheetName val="Balance Definitivo ASL 30-06-02"/>
      <sheetName val="VAL-MAT anterior"/>
      <sheetName val="SEMANAIS"/>
      <sheetName val="BASE_1701"/>
      <sheetName val="ANEXO_&quot;A&quot;_AXI1"/>
      <sheetName val="CALAMORT_AXI1"/>
      <sheetName val="CALAMORT_HIST1"/>
      <sheetName val="ANEXO_&quot;A&quot;_HISTORICO1"/>
      <sheetName val="PREV_98_MANDADA_A_SEDE1"/>
      <sheetName val="MACRO_PARA_MOVDIR1"/>
      <sheetName val="MACRO_PARA_CTA_EXPLOTACION1"/>
      <sheetName val="DAR_FORMATO1"/>
      <sheetName val="MACRO_PARA_AXI1"/>
      <sheetName val="MACRO_PARA_IIBB1"/>
      <sheetName val="Cta_Res_"/>
      <sheetName val="Resumo_Indic"/>
      <sheetName val="1998"/>
    </sheetNames>
    <sheetDataSet>
      <sheetData sheetId="0" refreshError="1">
        <row r="54">
          <cell r="E54" t="str">
            <v>O.K.</v>
          </cell>
        </row>
      </sheetData>
      <sheetData sheetId="1" refreshError="1">
        <row r="30">
          <cell r="C30" t="str">
            <v>02/02/98</v>
          </cell>
          <cell r="D30">
            <v>-20682.150000000001</v>
          </cell>
        </row>
        <row r="31">
          <cell r="C31" t="str">
            <v>SALDO S/ CONTABILIDAD</v>
          </cell>
          <cell r="D31">
            <v>-20682.150000000001</v>
          </cell>
        </row>
        <row r="33">
          <cell r="C33" t="str">
            <v>DIFERENCIA</v>
          </cell>
          <cell r="D33">
            <v>0</v>
          </cell>
        </row>
      </sheetData>
      <sheetData sheetId="2" refreshError="1">
        <row r="11">
          <cell r="C11" t="str">
            <v>$</v>
          </cell>
          <cell r="D11" t="str">
            <v>$</v>
          </cell>
        </row>
        <row r="12">
          <cell r="C12" t="str">
            <v>-</v>
          </cell>
          <cell r="D12" t="str">
            <v>-</v>
          </cell>
        </row>
        <row r="14">
          <cell r="C14">
            <v>0</v>
          </cell>
          <cell r="D14">
            <v>0</v>
          </cell>
        </row>
        <row r="16">
          <cell r="C16">
            <v>0</v>
          </cell>
          <cell r="D16">
            <v>0</v>
          </cell>
        </row>
        <row r="17">
          <cell r="C17">
            <v>0</v>
          </cell>
          <cell r="D17">
            <v>0</v>
          </cell>
        </row>
        <row r="18">
          <cell r="C18">
            <v>0</v>
          </cell>
          <cell r="D18">
            <v>0</v>
          </cell>
        </row>
        <row r="19">
          <cell r="C19">
            <v>0</v>
          </cell>
          <cell r="D19">
            <v>0</v>
          </cell>
        </row>
        <row r="20">
          <cell r="C20">
            <v>0</v>
          </cell>
          <cell r="D20">
            <v>0</v>
          </cell>
        </row>
        <row r="21">
          <cell r="C21">
            <v>0</v>
          </cell>
          <cell r="D21">
            <v>0</v>
          </cell>
        </row>
        <row r="22">
          <cell r="C22" t="str">
            <v>-</v>
          </cell>
          <cell r="D22" t="str">
            <v>-</v>
          </cell>
        </row>
        <row r="23">
          <cell r="C23">
            <v>0</v>
          </cell>
          <cell r="D23">
            <v>0</v>
          </cell>
        </row>
        <row r="24">
          <cell r="C24" t="str">
            <v>-</v>
          </cell>
          <cell r="D24" t="str">
            <v>-</v>
          </cell>
        </row>
        <row r="25">
          <cell r="C25">
            <v>0</v>
          </cell>
          <cell r="D25">
            <v>0</v>
          </cell>
        </row>
        <row r="26">
          <cell r="C26">
            <v>0</v>
          </cell>
          <cell r="D26">
            <v>0</v>
          </cell>
        </row>
        <row r="27">
          <cell r="C27">
            <v>0</v>
          </cell>
          <cell r="D27">
            <v>0</v>
          </cell>
        </row>
        <row r="28">
          <cell r="C28" t="str">
            <v>-</v>
          </cell>
          <cell r="D28" t="str">
            <v>-</v>
          </cell>
        </row>
        <row r="29">
          <cell r="C29">
            <v>0</v>
          </cell>
          <cell r="D29">
            <v>0</v>
          </cell>
        </row>
        <row r="30">
          <cell r="C30">
            <v>0</v>
          </cell>
          <cell r="D30">
            <v>0</v>
          </cell>
        </row>
        <row r="31">
          <cell r="C31">
            <v>0</v>
          </cell>
          <cell r="D31">
            <v>0</v>
          </cell>
        </row>
        <row r="32">
          <cell r="C32">
            <v>0</v>
          </cell>
          <cell r="D32">
            <v>0</v>
          </cell>
        </row>
        <row r="33">
          <cell r="C33">
            <v>0</v>
          </cell>
          <cell r="D33">
            <v>0</v>
          </cell>
        </row>
        <row r="34">
          <cell r="C34" t="str">
            <v>-</v>
          </cell>
          <cell r="D34" t="str">
            <v>-</v>
          </cell>
        </row>
        <row r="35">
          <cell r="C35">
            <v>0</v>
          </cell>
          <cell r="D35">
            <v>0</v>
          </cell>
        </row>
        <row r="36">
          <cell r="C36" t="str">
            <v>-</v>
          </cell>
          <cell r="D36" t="str">
            <v>-</v>
          </cell>
        </row>
        <row r="37">
          <cell r="C37">
            <v>46337.481897126127</v>
          </cell>
          <cell r="D37">
            <v>51182.739377499565</v>
          </cell>
        </row>
        <row r="38">
          <cell r="C38">
            <v>228265.46351981506</v>
          </cell>
          <cell r="D38">
            <v>232180.82309991482</v>
          </cell>
        </row>
        <row r="39">
          <cell r="C39">
            <v>274602.94541694119</v>
          </cell>
          <cell r="D39">
            <v>283363.56247741438</v>
          </cell>
        </row>
        <row r="40">
          <cell r="C40" t="str">
            <v>-</v>
          </cell>
          <cell r="D40" t="str">
            <v>-</v>
          </cell>
        </row>
        <row r="41">
          <cell r="C41">
            <v>0</v>
          </cell>
          <cell r="D41">
            <v>0</v>
          </cell>
        </row>
        <row r="42">
          <cell r="C42">
            <v>44830.867192142068</v>
          </cell>
          <cell r="D42">
            <v>44830.867192142068</v>
          </cell>
        </row>
        <row r="43">
          <cell r="C43">
            <v>0</v>
          </cell>
          <cell r="D43">
            <v>0</v>
          </cell>
        </row>
        <row r="44">
          <cell r="C44">
            <v>0</v>
          </cell>
          <cell r="D44">
            <v>0</v>
          </cell>
        </row>
        <row r="45">
          <cell r="C45">
            <v>734.12992126870199</v>
          </cell>
          <cell r="D45">
            <v>734.12992126870199</v>
          </cell>
        </row>
        <row r="46">
          <cell r="C46">
            <v>97883.989502493598</v>
          </cell>
          <cell r="D46">
            <v>97883.989502493598</v>
          </cell>
        </row>
        <row r="47">
          <cell r="C47">
            <v>23883.693438608436</v>
          </cell>
          <cell r="D47">
            <v>23883.693438608436</v>
          </cell>
        </row>
        <row r="48">
          <cell r="C48">
            <v>960.24193701946217</v>
          </cell>
          <cell r="D48">
            <v>960.24193701946217</v>
          </cell>
        </row>
        <row r="49">
          <cell r="C49">
            <v>168292.92199153226</v>
          </cell>
          <cell r="D49">
            <v>168292.92199153226</v>
          </cell>
        </row>
        <row r="50">
          <cell r="C50">
            <v>0</v>
          </cell>
          <cell r="D50">
            <v>0</v>
          </cell>
        </row>
        <row r="51">
          <cell r="C51">
            <v>168292.92199153226</v>
          </cell>
          <cell r="D51">
            <v>168292.92199153226</v>
          </cell>
        </row>
        <row r="52">
          <cell r="C52" t="str">
            <v>-</v>
          </cell>
          <cell r="D52" t="str">
            <v>-</v>
          </cell>
        </row>
        <row r="53">
          <cell r="C53">
            <v>106310.02342540893</v>
          </cell>
          <cell r="D53">
            <v>115070.64048588212</v>
          </cell>
        </row>
        <row r="54">
          <cell r="C54" t="str">
            <v>-</v>
          </cell>
          <cell r="D54" t="str">
            <v>-</v>
          </cell>
        </row>
        <row r="55">
          <cell r="C55">
            <v>67770.958971946471</v>
          </cell>
          <cell r="D55">
            <v>67702.440179294717</v>
          </cell>
        </row>
        <row r="56">
          <cell r="C56">
            <v>0</v>
          </cell>
          <cell r="D56">
            <v>0</v>
          </cell>
        </row>
        <row r="57">
          <cell r="C57">
            <v>0</v>
          </cell>
          <cell r="D57">
            <v>0</v>
          </cell>
        </row>
        <row r="58">
          <cell r="C58" t="str">
            <v>-</v>
          </cell>
          <cell r="D58" t="str">
            <v>-</v>
          </cell>
        </row>
        <row r="59">
          <cell r="C59">
            <v>38539.064453462459</v>
          </cell>
          <cell r="D59">
            <v>47368.200306587401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 Map"/>
      <sheetName val="2001 Actuals"/>
      <sheetName val="2001Dept"/>
      <sheetName val="2002 Actuals"/>
      <sheetName val="2002 Dept"/>
      <sheetName val="Budget Retreival"/>
      <sheetName val="2003 Budget"/>
      <sheetName val="Budget Dept"/>
      <sheetName val="Actual Reteival"/>
      <sheetName val="2003 Actuals"/>
      <sheetName val="2003 Dept"/>
      <sheetName val="Actual to Budget Dept"/>
      <sheetName val="Actual to Budget Sum"/>
      <sheetName val="Forecasted Dept"/>
      <sheetName val="Forcasted Summary"/>
      <sheetName val="YOY Compare"/>
      <sheetName val="QTD"/>
      <sheetName val="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2 data"/>
      <sheetName val="2003 data"/>
      <sheetName val="DATA"/>
      <sheetName val="FY_Comparsion (2)"/>
      <sheetName val="MMB_SG&amp;A_break-up"/>
      <sheetName val="EGL_SG&amp;A_break-up"/>
      <sheetName val="MIL_SG&amp;A_break-up"/>
      <sheetName val="A&amp;P_for_MTNBudget"/>
      <sheetName val="EGL_Sales_TM"/>
      <sheetName val="EGL_SG&amp;A"/>
      <sheetName val="Fy06_Targetsg&amp;a_summ"/>
      <sheetName val="Sales_ZSM"/>
      <sheetName val="Sales_RBM_TM"/>
      <sheetName val="CCSC"/>
      <sheetName val="BG_Trait_Sales_TM"/>
      <sheetName val="BG_Trait_Group"/>
      <sheetName val="Shared_pgcc"/>
      <sheetName val="Speciality_Group"/>
      <sheetName val="Cotton_Group"/>
      <sheetName val="Chem_Group"/>
      <sheetName val="Corn_group"/>
      <sheetName val="TD_Detail"/>
      <sheetName val="TD_I"/>
      <sheetName val="TD_II"/>
      <sheetName val="MD_conf"/>
      <sheetName val="MD"/>
      <sheetName val="MLL Vehicle"/>
      <sheetName val="Sal_fy06"/>
      <sheetName val="Salary"/>
      <sheetName val="Sal"/>
      <sheetName val="Headcount"/>
      <sheetName val="EGL_RCS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 (2)"/>
      <sheetName val="Sheet3 _2_"/>
      <sheetName val="BBEuros"/>
      <sheetName val="DEPRE"/>
      <sheetName val="InvoiceList"/>
      <sheetName val="Income &amp; Occupancy Customer"/>
      <sheetName val="Summary"/>
      <sheetName val="노무비"/>
      <sheetName val="Set"/>
      <sheetName val="Income Statements"/>
      <sheetName val="Sheet3_(2)"/>
      <sheetName val="Sheet3__2_"/>
      <sheetName val="QoQ Forecast"/>
      <sheetName val="Aladdin Macro1"/>
      <sheetName val="BalSht"/>
      <sheetName val="Acc_10.5"/>
      <sheetName val="Global Assm."/>
      <sheetName val="ABP inputs"/>
      <sheetName val="Synergy Sales Budget"/>
      <sheetName val="Project Budget Worksheet"/>
      <sheetName val="analysis"/>
      <sheetName val="Calculation (2)"/>
      <sheetName val="JCF"/>
      <sheetName val="Multiple output"/>
      <sheetName val="sheet6"/>
      <sheetName val="유통망계획"/>
      <sheetName val="Builtup Area"/>
      <sheetName val="Headings"/>
      <sheetName val="RCC,Ret. Wall"/>
      <sheetName val="BOQ T4B"/>
      <sheetName val="F1a-Pile"/>
      <sheetName val="CV"/>
      <sheetName val="ES(Kor)"/>
      <sheetName val="INDIGINEOUS ITEMS "/>
      <sheetName val="fco"/>
      <sheetName val="Formulas"/>
      <sheetName val="Sheet2"/>
      <sheetName val="van khuon"/>
      <sheetName val="Names"/>
      <sheetName val="Introduction"/>
      <sheetName val="IDC macro"/>
      <sheetName val="SALE"/>
      <sheetName val="Assumptions"/>
      <sheetName val="EBITDA"/>
      <sheetName val="Income_Statements"/>
      <sheetName val="QoQ_Forecast"/>
      <sheetName val="Portfolio Summary"/>
      <sheetName val="Depreciation"/>
      <sheetName val="TIll_Q_sal"/>
      <sheetName val="tiller"/>
      <sheetName val="Material "/>
      <sheetName val="Labour &amp; Plant"/>
      <sheetName val="Lead"/>
      <sheetName val="Main-Material"/>
      <sheetName val="Sheet1"/>
      <sheetName val="GBW"/>
      <sheetName val="Design"/>
      <sheetName val="BOQ"/>
      <sheetName val=" B3"/>
      <sheetName val=" B1"/>
      <sheetName val="beam-reinft-IIInd floor"/>
      <sheetName val="Summary Excise"/>
      <sheetName val="BS"/>
      <sheetName val="Other BS Sch 5-9"/>
      <sheetName val="Excess Calc"/>
      <sheetName val="Grouping Master"/>
      <sheetName val="Current Bill MB ref"/>
      <sheetName val="Meas.-Hotel Part"/>
      <sheetName val="Company"/>
      <sheetName val="compu"/>
      <sheetName val="Approved MTD Proj #'s"/>
      <sheetName val="PLAN_FEB97"/>
      <sheetName val="CapitalOutlay"/>
      <sheetName val="Assum"/>
      <sheetName val="MN T.B."/>
      <sheetName val="CFForecast detail"/>
      <sheetName val="Site Dev BOQ"/>
      <sheetName val="Break up Sheet"/>
      <sheetName val="Load Details-220kV"/>
      <sheetName val="Block A - BOQ"/>
      <sheetName val="IMPORT T12"/>
      <sheetName val="NewCo"/>
      <sheetName val="Acc_10_5"/>
      <sheetName val="Aladdin_Macro1"/>
      <sheetName val="TB_FOR_MIS"/>
      <sheetName val="Area"/>
      <sheetName val="TB FOR MIS"/>
      <sheetName val="INPUT SHEET"/>
      <sheetName val="strand"/>
      <sheetName val="Rollup Summary"/>
      <sheetName val="Vind-BtB"/>
      <sheetName val="ABP_inputs"/>
      <sheetName val="Synergy_Sales_Budget"/>
      <sheetName val="Project_Budget_Worksheet"/>
      <sheetName val="Income_&amp;_Occupancy_Customer"/>
      <sheetName val="RCC,Ret__Wall"/>
      <sheetName val="Calculation_(2)"/>
      <sheetName val="Multiple_output"/>
      <sheetName val="Builtup_Area"/>
      <sheetName val="BOQ_T4B"/>
      <sheetName val="INDIGINEOUS_ITEMS_"/>
      <sheetName val="Material_"/>
      <sheetName val="Labour_&amp;_Plant"/>
      <sheetName val="Approved_MTD_Proj_#'s"/>
      <sheetName val="_B3"/>
      <sheetName val="_B1"/>
      <sheetName val="beam-reinft-IIInd_floor"/>
      <sheetName val="Global_Assm_"/>
      <sheetName val="MN_T_B_"/>
      <sheetName val="CFForecast_detail"/>
      <sheetName val="Site_Dev_BOQ"/>
      <sheetName val="Break_up_Sheet"/>
      <sheetName val="Load_Details-220kV"/>
      <sheetName val="Block_A_-_BOQ"/>
      <sheetName val="Sheet3_(2)1"/>
      <sheetName val="ABP_inputs1"/>
      <sheetName val="Synergy_Sales_Budget1"/>
      <sheetName val="Project_Budget_Worksheet1"/>
      <sheetName val="QoQ_Forecast1"/>
      <sheetName val="Income_Statements1"/>
      <sheetName val="Sheet3__2_1"/>
      <sheetName val="Income_&amp;_Occupancy_Customer1"/>
      <sheetName val="RCC,Ret__Wall1"/>
      <sheetName val="Calculation_(2)1"/>
      <sheetName val="Multiple_output1"/>
      <sheetName val="Builtup_Area1"/>
      <sheetName val="BOQ_T4B1"/>
      <sheetName val="INDIGINEOUS_ITEMS_1"/>
      <sheetName val="Material_1"/>
      <sheetName val="Labour_&amp;_Plant1"/>
      <sheetName val="Approved_MTD_Proj_#'s1"/>
      <sheetName val="_B31"/>
      <sheetName val="_B11"/>
      <sheetName val="beam-reinft-IIInd_floor1"/>
      <sheetName val="Aladdin_Macro11"/>
      <sheetName val="Acc_10_51"/>
      <sheetName val="Global_Assm_1"/>
      <sheetName val="MN_T_B_1"/>
      <sheetName val="CFForecast_detail1"/>
      <sheetName val="Site_Dev_BOQ1"/>
      <sheetName val="Break_up_Sheet1"/>
      <sheetName val="Load_Details-220kV1"/>
      <sheetName val="Block_A_-_BOQ1"/>
      <sheetName val="Sheet3_(2)2"/>
      <sheetName val="ABP_inputs2"/>
      <sheetName val="Synergy_Sales_Budget2"/>
      <sheetName val="Project_Budget_Worksheet2"/>
      <sheetName val="QoQ_Forecast2"/>
      <sheetName val="Income_Statements2"/>
      <sheetName val="Sheet3__2_2"/>
      <sheetName val="Income_&amp;_Occupancy_Customer2"/>
      <sheetName val="RCC,Ret__Wall2"/>
      <sheetName val="Calculation_(2)2"/>
      <sheetName val="Multiple_output2"/>
      <sheetName val="Builtup_Area2"/>
      <sheetName val="BOQ_T4B2"/>
      <sheetName val="INDIGINEOUS_ITEMS_2"/>
      <sheetName val="Material_2"/>
      <sheetName val="Labour_&amp;_Plant2"/>
      <sheetName val="Approved_MTD_Proj_#'s2"/>
      <sheetName val="_B32"/>
      <sheetName val="_B12"/>
      <sheetName val="beam-reinft-IIInd_floor2"/>
      <sheetName val="Aladdin_Macro12"/>
      <sheetName val="Acc_10_52"/>
      <sheetName val="Global_Assm_2"/>
      <sheetName val="MN_T_B_2"/>
      <sheetName val="CFForecast_detail2"/>
      <sheetName val="Site_Dev_BOQ2"/>
      <sheetName val="Break_up_Sheet2"/>
      <sheetName val="Load_Details-220kV2"/>
      <sheetName val="Block_A_-_BOQ2"/>
      <sheetName val="Occ"/>
      <sheetName val="Demand"/>
      <sheetName val="Inputs"/>
      <sheetName val="Ref"/>
      <sheetName val="Sheet3_(2)3"/>
      <sheetName val="ABP_inputs3"/>
      <sheetName val="Synergy_Sales_Budget3"/>
      <sheetName val="Project_Budget_Worksheet3"/>
      <sheetName val="QoQ_Forecast3"/>
      <sheetName val="Income_Statements3"/>
      <sheetName val="Sheet3__2_3"/>
      <sheetName val="Income_&amp;_Occupancy_Customer3"/>
      <sheetName val="RCC,Ret__Wall3"/>
      <sheetName val="Calculation_(2)3"/>
      <sheetName val="Multiple_output3"/>
      <sheetName val="Builtup_Area3"/>
      <sheetName val="BOQ_T4B3"/>
      <sheetName val="INDIGINEOUS_ITEMS_3"/>
      <sheetName val="Material_3"/>
      <sheetName val="Labour_&amp;_Plant3"/>
      <sheetName val="Approved_MTD_Proj_#'s3"/>
      <sheetName val="_B33"/>
      <sheetName val="_B13"/>
      <sheetName val="beam-reinft-IIInd_floor3"/>
      <sheetName val="Aladdin_Macro13"/>
      <sheetName val="Acc_10_53"/>
      <sheetName val="Global_Assm_3"/>
      <sheetName val="MN_T_B_3"/>
      <sheetName val="CFForecast_detail3"/>
      <sheetName val="Site_Dev_BOQ3"/>
      <sheetName val="Break_up_Sheet3"/>
      <sheetName val="Load_Details-220kV3"/>
      <sheetName val="Block_A_-_BOQ3"/>
      <sheetName val="Sheet3_(2)4"/>
      <sheetName val="ABP_inputs4"/>
      <sheetName val="Synergy_Sales_Budget4"/>
      <sheetName val="Project_Budget_Worksheet4"/>
      <sheetName val="QoQ_Forecast4"/>
      <sheetName val="Income_Statements4"/>
      <sheetName val="Sheet3__2_4"/>
      <sheetName val="Income_&amp;_Occupancy_Customer4"/>
      <sheetName val="RCC,Ret__Wall4"/>
      <sheetName val="Calculation_(2)4"/>
      <sheetName val="Multiple_output4"/>
      <sheetName val="Builtup_Area4"/>
      <sheetName val="BOQ_T4B4"/>
      <sheetName val="INDIGINEOUS_ITEMS_4"/>
      <sheetName val="Material_4"/>
      <sheetName val="Labour_&amp;_Plant4"/>
      <sheetName val="Approved_MTD_Proj_#'s4"/>
      <sheetName val="_B34"/>
      <sheetName val="_B14"/>
      <sheetName val="beam-reinft-IIInd_floor4"/>
      <sheetName val="Aladdin_Macro14"/>
      <sheetName val="Acc_10_54"/>
      <sheetName val="Global_Assm_4"/>
      <sheetName val="MN_T_B_4"/>
      <sheetName val="CFForecast_detail4"/>
      <sheetName val="Site_Dev_BOQ4"/>
      <sheetName val="Break_up_Sheet4"/>
      <sheetName val="Load_Details-220kV4"/>
      <sheetName val="Block_A_-_BOQ4"/>
      <sheetName val="download"/>
      <sheetName val="170810-lease tax"/>
      <sheetName val="Pay_Sep06"/>
      <sheetName val="SCH-E-1"/>
      <sheetName val="BIPR"/>
      <sheetName val="BPCA"/>
      <sheetName val="BBRS"/>
      <sheetName val="KPM DT"/>
      <sheetName val="M-2 Adjusted"/>
      <sheetName val="Fin Sum"/>
      <sheetName val="OpTrack"/>
      <sheetName val="Main Sheet (MTD)"/>
      <sheetName val="Consl Daily Report"/>
      <sheetName val="new_data"/>
      <sheetName val="earnmodl"/>
      <sheetName val="Dom Cell (IS)"/>
      <sheetName val="March Analysts"/>
      <sheetName val="CABLE DATA"/>
      <sheetName val="1st flr"/>
      <sheetName val="Civil Boq"/>
      <sheetName val="final abstract"/>
      <sheetName val="Rate analysis"/>
      <sheetName val="02"/>
      <sheetName val="03"/>
      <sheetName val="04"/>
      <sheetName val="01"/>
      <sheetName val="q-details"/>
      <sheetName val=" Acc. Sched."/>
      <sheetName val="Index"/>
      <sheetName val="Rates"/>
      <sheetName val="ras"/>
      <sheetName val="AOR"/>
      <sheetName val="Input"/>
      <sheetName val="Master Price List"/>
      <sheetName val="reference"/>
      <sheetName val="P &amp; L"/>
      <sheetName val="Training Deposits coding"/>
      <sheetName val="Sheet3"/>
      <sheetName val="LBO"/>
      <sheetName val="F"/>
      <sheetName val="EXHIBIT&quot; T&quot;"/>
      <sheetName val="Turnover"/>
      <sheetName val="Preside"/>
      <sheetName val="balance sheet"/>
      <sheetName val="Factor_Sheet"/>
      <sheetName val="LISTS"/>
      <sheetName val="02022005"/>
      <sheetName val="16022005"/>
      <sheetName val="05012005"/>
      <sheetName val="19012005"/>
      <sheetName val="02032005"/>
      <sheetName val="16032005"/>
      <sheetName val="30032005"/>
      <sheetName val="Main workings"/>
      <sheetName val="Balance Sheet "/>
      <sheetName val="OpRes"/>
      <sheetName val="master"/>
      <sheetName val="van_khuon"/>
      <sheetName val="IDC_macro"/>
      <sheetName val="IMPORT_T12"/>
      <sheetName val="KPM_DT"/>
      <sheetName val="Portfolio_Summary"/>
      <sheetName val="Current_Bill_MB_ref"/>
      <sheetName val="Meas_-Hotel_Part"/>
      <sheetName val="Fin_Sum"/>
      <sheetName val="Task"/>
      <sheetName val="EDS  Bestshore Migration"/>
      <sheetName val="sept-plan"/>
      <sheetName val="CashFlow"/>
      <sheetName val="TB"/>
      <sheetName val="classes"/>
      <sheetName val="IT Block"/>
      <sheetName val="Location CODE"/>
      <sheetName val="Location TYPE"/>
      <sheetName val="sub class"/>
      <sheetName val=" sub Loc "/>
      <sheetName val="International"/>
      <sheetName val="Internet"/>
      <sheetName val="Hot"/>
      <sheetName val="Mico"/>
      <sheetName val="PLGroupings"/>
      <sheetName val="Results"/>
      <sheetName val="Related party - P&amp;L"/>
      <sheetName val="03 (2)"/>
      <sheetName val="WIng F(Typical)"/>
      <sheetName val="Legal Risk Analysis"/>
      <sheetName val="#REF"/>
      <sheetName val="Data"/>
      <sheetName val="Checks"/>
      <sheetName val="DET0900"/>
      <sheetName val="Theatre mgmt cont"/>
    </sheetNames>
    <sheetDataSet>
      <sheetData sheetId="0" refreshError="1">
        <row r="65">
          <cell r="A65" t="str">
            <v>(II)</v>
          </cell>
        </row>
      </sheetData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>
        <row r="65">
          <cell r="A65" t="str">
            <v>(II)</v>
          </cell>
        </row>
      </sheetData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>
        <row r="65">
          <cell r="A65" t="str">
            <v>(II)</v>
          </cell>
        </row>
      </sheetData>
      <sheetData sheetId="92">
        <row r="65">
          <cell r="A65" t="str">
            <v>(II)</v>
          </cell>
        </row>
      </sheetData>
      <sheetData sheetId="93">
        <row r="65">
          <cell r="A65" t="str">
            <v>(II)</v>
          </cell>
        </row>
      </sheetData>
      <sheetData sheetId="94">
        <row r="65">
          <cell r="A65" t="str">
            <v>(II)</v>
          </cell>
        </row>
      </sheetData>
      <sheetData sheetId="95">
        <row r="65">
          <cell r="A65" t="str">
            <v>(II)</v>
          </cell>
        </row>
      </sheetData>
      <sheetData sheetId="96">
        <row r="65">
          <cell r="A65" t="str">
            <v>(II)</v>
          </cell>
        </row>
      </sheetData>
      <sheetData sheetId="97">
        <row r="65">
          <cell r="A65" t="str">
            <v>(II)</v>
          </cell>
        </row>
      </sheetData>
      <sheetData sheetId="98">
        <row r="65">
          <cell r="A65" t="str">
            <v>(II)</v>
          </cell>
        </row>
      </sheetData>
      <sheetData sheetId="99">
        <row r="65">
          <cell r="A65" t="str">
            <v>(II)</v>
          </cell>
        </row>
      </sheetData>
      <sheetData sheetId="100">
        <row r="65">
          <cell r="A65" t="str">
            <v>(II)</v>
          </cell>
        </row>
      </sheetData>
      <sheetData sheetId="101">
        <row r="65">
          <cell r="A65" t="str">
            <v>(II)</v>
          </cell>
        </row>
      </sheetData>
      <sheetData sheetId="102">
        <row r="65">
          <cell r="A65" t="str">
            <v>(II)</v>
          </cell>
        </row>
      </sheetData>
      <sheetData sheetId="103">
        <row r="65">
          <cell r="A65" t="str">
            <v>(II)</v>
          </cell>
        </row>
      </sheetData>
      <sheetData sheetId="104">
        <row r="65">
          <cell r="A65" t="str">
            <v>(II)</v>
          </cell>
        </row>
      </sheetData>
      <sheetData sheetId="105">
        <row r="65">
          <cell r="A65" t="str">
            <v>(II)</v>
          </cell>
        </row>
      </sheetData>
      <sheetData sheetId="106">
        <row r="65">
          <cell r="A65" t="str">
            <v>(II)</v>
          </cell>
        </row>
      </sheetData>
      <sheetData sheetId="107">
        <row r="65">
          <cell r="A65" t="str">
            <v>(II)</v>
          </cell>
        </row>
      </sheetData>
      <sheetData sheetId="108">
        <row r="65">
          <cell r="A65" t="str">
            <v>(II)</v>
          </cell>
        </row>
      </sheetData>
      <sheetData sheetId="109">
        <row r="65">
          <cell r="A65" t="str">
            <v>(II)</v>
          </cell>
        </row>
      </sheetData>
      <sheetData sheetId="110">
        <row r="65">
          <cell r="A65" t="str">
            <v>(II)</v>
          </cell>
        </row>
      </sheetData>
      <sheetData sheetId="111">
        <row r="65">
          <cell r="A65" t="str">
            <v>(II)</v>
          </cell>
        </row>
      </sheetData>
      <sheetData sheetId="112">
        <row r="65">
          <cell r="A65" t="str">
            <v>(II)</v>
          </cell>
        </row>
      </sheetData>
      <sheetData sheetId="113">
        <row r="65">
          <cell r="A65" t="str">
            <v>(II)</v>
          </cell>
        </row>
      </sheetData>
      <sheetData sheetId="114">
        <row r="65">
          <cell r="A65" t="str">
            <v>(II)</v>
          </cell>
        </row>
      </sheetData>
      <sheetData sheetId="115">
        <row r="65">
          <cell r="A65" t="str">
            <v>(II)</v>
          </cell>
        </row>
      </sheetData>
      <sheetData sheetId="116">
        <row r="65">
          <cell r="A65" t="str">
            <v>(II)</v>
          </cell>
        </row>
      </sheetData>
      <sheetData sheetId="117">
        <row r="65">
          <cell r="A65" t="str">
            <v>(II)</v>
          </cell>
        </row>
      </sheetData>
      <sheetData sheetId="118">
        <row r="65">
          <cell r="A65" t="str">
            <v>(II)</v>
          </cell>
        </row>
      </sheetData>
      <sheetData sheetId="119">
        <row r="65">
          <cell r="A65" t="str">
            <v>(II)</v>
          </cell>
        </row>
      </sheetData>
      <sheetData sheetId="120">
        <row r="65">
          <cell r="A65" t="str">
            <v>(II)</v>
          </cell>
        </row>
      </sheetData>
      <sheetData sheetId="121">
        <row r="65">
          <cell r="A65" t="str">
            <v>(II)</v>
          </cell>
        </row>
      </sheetData>
      <sheetData sheetId="122">
        <row r="65">
          <cell r="A65" t="str">
            <v>(II)</v>
          </cell>
        </row>
      </sheetData>
      <sheetData sheetId="123">
        <row r="65">
          <cell r="A65" t="str">
            <v>(II)</v>
          </cell>
        </row>
      </sheetData>
      <sheetData sheetId="124">
        <row r="65">
          <cell r="A65" t="str">
            <v>(II)</v>
          </cell>
        </row>
      </sheetData>
      <sheetData sheetId="125">
        <row r="65">
          <cell r="A65" t="str">
            <v>(II)</v>
          </cell>
        </row>
      </sheetData>
      <sheetData sheetId="126">
        <row r="65">
          <cell r="A65" t="str">
            <v>(II)</v>
          </cell>
        </row>
      </sheetData>
      <sheetData sheetId="127">
        <row r="65">
          <cell r="A65" t="str">
            <v>(II)</v>
          </cell>
        </row>
      </sheetData>
      <sheetData sheetId="128">
        <row r="65">
          <cell r="A65" t="str">
            <v>(II)</v>
          </cell>
        </row>
      </sheetData>
      <sheetData sheetId="129">
        <row r="65">
          <cell r="A65" t="str">
            <v>(II)</v>
          </cell>
        </row>
      </sheetData>
      <sheetData sheetId="130">
        <row r="65">
          <cell r="A65" t="str">
            <v>(II)</v>
          </cell>
        </row>
      </sheetData>
      <sheetData sheetId="131">
        <row r="65">
          <cell r="A65" t="str">
            <v>(II)</v>
          </cell>
        </row>
      </sheetData>
      <sheetData sheetId="132">
        <row r="65">
          <cell r="A65" t="str">
            <v>(II)</v>
          </cell>
        </row>
      </sheetData>
      <sheetData sheetId="133">
        <row r="65">
          <cell r="A65" t="str">
            <v>(II)</v>
          </cell>
        </row>
      </sheetData>
      <sheetData sheetId="134">
        <row r="65">
          <cell r="A65" t="str">
            <v>(II)</v>
          </cell>
        </row>
      </sheetData>
      <sheetData sheetId="135">
        <row r="65">
          <cell r="A65" t="str">
            <v>(II)</v>
          </cell>
        </row>
      </sheetData>
      <sheetData sheetId="136">
        <row r="65">
          <cell r="A65" t="str">
            <v>(II)</v>
          </cell>
        </row>
      </sheetData>
      <sheetData sheetId="137">
        <row r="65">
          <cell r="A65" t="str">
            <v>(II)</v>
          </cell>
        </row>
      </sheetData>
      <sheetData sheetId="138">
        <row r="65">
          <cell r="A65" t="str">
            <v>(II)</v>
          </cell>
        </row>
      </sheetData>
      <sheetData sheetId="139">
        <row r="65">
          <cell r="A65" t="str">
            <v>(II)</v>
          </cell>
        </row>
      </sheetData>
      <sheetData sheetId="140">
        <row r="65">
          <cell r="A65" t="str">
            <v>(II)</v>
          </cell>
        </row>
      </sheetData>
      <sheetData sheetId="141">
        <row r="65">
          <cell r="A65" t="str">
            <v>(II)</v>
          </cell>
        </row>
      </sheetData>
      <sheetData sheetId="142">
        <row r="65">
          <cell r="A65" t="str">
            <v>(II)</v>
          </cell>
        </row>
      </sheetData>
      <sheetData sheetId="143">
        <row r="65">
          <cell r="A65" t="str">
            <v>(II)</v>
          </cell>
        </row>
      </sheetData>
      <sheetData sheetId="144">
        <row r="65">
          <cell r="A65" t="str">
            <v>(II)</v>
          </cell>
        </row>
      </sheetData>
      <sheetData sheetId="145">
        <row r="65">
          <cell r="A65" t="str">
            <v>(II)</v>
          </cell>
        </row>
      </sheetData>
      <sheetData sheetId="146">
        <row r="65">
          <cell r="A65" t="str">
            <v>(II)</v>
          </cell>
        </row>
      </sheetData>
      <sheetData sheetId="147">
        <row r="65">
          <cell r="A65" t="str">
            <v>(II)</v>
          </cell>
        </row>
      </sheetData>
      <sheetData sheetId="148">
        <row r="65">
          <cell r="A65" t="str">
            <v>(II)</v>
          </cell>
        </row>
      </sheetData>
      <sheetData sheetId="149">
        <row r="65">
          <cell r="A65" t="str">
            <v>(II)</v>
          </cell>
        </row>
      </sheetData>
      <sheetData sheetId="150">
        <row r="65">
          <cell r="A65" t="str">
            <v>(II)</v>
          </cell>
        </row>
      </sheetData>
      <sheetData sheetId="151">
        <row r="65">
          <cell r="A65" t="str">
            <v>(II)</v>
          </cell>
        </row>
      </sheetData>
      <sheetData sheetId="152">
        <row r="65">
          <cell r="A65" t="str">
            <v>(II)</v>
          </cell>
        </row>
      </sheetData>
      <sheetData sheetId="153">
        <row r="65">
          <cell r="A65" t="str">
            <v>(II)</v>
          </cell>
        </row>
      </sheetData>
      <sheetData sheetId="154">
        <row r="65">
          <cell r="A65" t="str">
            <v>(II)</v>
          </cell>
        </row>
      </sheetData>
      <sheetData sheetId="155">
        <row r="65">
          <cell r="A65" t="str">
            <v>(II)</v>
          </cell>
        </row>
      </sheetData>
      <sheetData sheetId="156">
        <row r="65">
          <cell r="A65" t="str">
            <v>(II)</v>
          </cell>
        </row>
      </sheetData>
      <sheetData sheetId="157">
        <row r="65">
          <cell r="A65" t="str">
            <v>(II)</v>
          </cell>
        </row>
      </sheetData>
      <sheetData sheetId="158">
        <row r="65">
          <cell r="A65" t="str">
            <v>(II)</v>
          </cell>
        </row>
      </sheetData>
      <sheetData sheetId="159">
        <row r="65">
          <cell r="A65" t="str">
            <v>(II)</v>
          </cell>
        </row>
      </sheetData>
      <sheetData sheetId="160">
        <row r="65">
          <cell r="A65" t="str">
            <v>(II)</v>
          </cell>
        </row>
      </sheetData>
      <sheetData sheetId="161">
        <row r="65">
          <cell r="A65" t="str">
            <v>(II)</v>
          </cell>
        </row>
      </sheetData>
      <sheetData sheetId="162">
        <row r="65">
          <cell r="A65" t="str">
            <v>(II)</v>
          </cell>
        </row>
      </sheetData>
      <sheetData sheetId="163">
        <row r="65">
          <cell r="A65" t="str">
            <v>(II)</v>
          </cell>
        </row>
      </sheetData>
      <sheetData sheetId="164">
        <row r="65">
          <cell r="A65" t="str">
            <v>(II)</v>
          </cell>
        </row>
      </sheetData>
      <sheetData sheetId="165">
        <row r="65">
          <cell r="A65" t="str">
            <v>(II)</v>
          </cell>
        </row>
      </sheetData>
      <sheetData sheetId="166">
        <row r="65">
          <cell r="A65" t="str">
            <v>(II)</v>
          </cell>
        </row>
      </sheetData>
      <sheetData sheetId="167">
        <row r="65">
          <cell r="A65" t="str">
            <v>(II)</v>
          </cell>
        </row>
      </sheetData>
      <sheetData sheetId="168">
        <row r="65">
          <cell r="A65" t="str">
            <v>(II)</v>
          </cell>
        </row>
      </sheetData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 Panel"/>
      <sheetName val="Summary"/>
      <sheetName val="Credit ratios"/>
      <sheetName val="Interest Rates"/>
      <sheetName val="Fees"/>
      <sheetName val="Opening BS"/>
      <sheetName val="BS"/>
      <sheetName val="IS"/>
      <sheetName val="CFS"/>
      <sheetName val="Returns Backup (2)"/>
      <sheetName val="Return "/>
      <sheetName val="Consolidated"/>
      <sheetName val="Opting assum. Fixed Fire"/>
      <sheetName val="Opting assum. Mobile Fire"/>
      <sheetName val="Debt"/>
      <sheetName val="Interest"/>
      <sheetName val="Returns Backup"/>
      <sheetName val="Return Summary"/>
      <sheetName val="Ratios"/>
      <sheetName val="Taxes-Book"/>
      <sheetName val="Taxes-Tax"/>
      <sheetName val="Dep-Book"/>
      <sheetName val="Dep-Tax"/>
      <sheetName val="DCF"/>
      <sheetName val="WACC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"/>
      <sheetName val="Debt"/>
      <sheetName val="Opco"/>
      <sheetName val="Assmp"/>
      <sheetName val="PF BS"/>
      <sheetName val="cov"/>
      <sheetName val="Word exp"/>
      <sheetName val="Opassum excl. Russia"/>
      <sheetName val="russia"/>
      <sheetName val="Opassum incl. Russia"/>
      <sheetName val="Loan repayment"/>
      <sheetName val="Int Rates"/>
      <sheetName val="Control Panel"/>
      <sheetName val="Summary"/>
      <sheetName val="Credit ratios"/>
      <sheetName val="Ownership"/>
      <sheetName val="Fees"/>
      <sheetName val="Opening BS"/>
      <sheetName val="BS"/>
      <sheetName val="IS"/>
      <sheetName val="CFS"/>
      <sheetName val="Interest Rates"/>
      <sheetName val="Returns Backup (2)"/>
      <sheetName val="Return "/>
      <sheetName val="Consolidated"/>
      <sheetName val="Opting assum. Fixed Fire"/>
      <sheetName val="Opting assum. Mobile Fire"/>
      <sheetName val="Debt (2)"/>
      <sheetName val="Interest"/>
      <sheetName val="Returns Backup"/>
      <sheetName val="Return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BS"/>
      <sheetName val="Summary"/>
      <sheetName val="PL"/>
      <sheetName val="WC"/>
      <sheetName val="CF"/>
      <sheetName val="Opex"/>
      <sheetName val="Capex"/>
      <sheetName val="Capex (PM)"/>
      <sheetName val="Capex (SS)"/>
      <sheetName val="Capex (OA)"/>
      <sheetName val="HR"/>
      <sheetName val="PLData"/>
      <sheetName val="WCData"/>
      <sheetName val="CFData"/>
      <sheetName val="OpexData"/>
      <sheetName val="CapexPMdata"/>
      <sheetName val="CapexSSdata"/>
      <sheetName val="CapexOAdata"/>
      <sheetName val="HR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A3_O"/>
    </sheetNames>
    <definedNames>
      <definedName name="pcis"/>
      <definedName name="pstr"/>
    </definedNames>
    <sheetDataSet>
      <sheetData sheetId="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al Andrew___Data"/>
      <sheetName val="Error Sheet"/>
      <sheetName val="FA"/>
      <sheetName val="Assistance Summary"/>
      <sheetName val="LED Summary"/>
      <sheetName val="A&amp;C Summary"/>
      <sheetName val="Group Summary"/>
      <sheetName val="AandC"/>
      <sheetName val="Assistance"/>
      <sheetName val="Group"/>
      <sheetName val="L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">
          <cell r="D3">
            <v>0.03</v>
          </cell>
        </row>
      </sheetData>
      <sheetData sheetId="9"/>
      <sheetData sheetId="10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FY2002"/>
      <sheetName val="FY2003"/>
      <sheetName val="FY2004"/>
      <sheetName val="YTD2005"/>
      <sheetName val="add&amp;del"/>
      <sheetName val="masterlist"/>
    </sheetNames>
    <sheetDataSet>
      <sheetData sheetId="0" refreshError="1"/>
      <sheetData sheetId="1">
        <row r="6">
          <cell r="B6" t="str">
            <v>005CSD</v>
          </cell>
          <cell r="C6" t="str">
            <v>2929 DANFORTH AVE.,</v>
          </cell>
          <cell r="D6" t="str">
            <v>TORONTO,ON</v>
          </cell>
          <cell r="E6">
            <v>608964</v>
          </cell>
        </row>
        <row r="7">
          <cell r="B7" t="str">
            <v>012CSD</v>
          </cell>
          <cell r="C7" t="str">
            <v>1975 KENNEDY RD.</v>
          </cell>
          <cell r="D7" t="str">
            <v>SCARBOROUGH, ON</v>
          </cell>
          <cell r="E7">
            <v>181991</v>
          </cell>
        </row>
        <row r="8">
          <cell r="B8" t="str">
            <v>013CSD</v>
          </cell>
          <cell r="C8" t="str">
            <v>313 CHRISTINA ST.N.,</v>
          </cell>
          <cell r="D8" t="str">
            <v>SARNIA, ON</v>
          </cell>
          <cell r="E8">
            <v>257055</v>
          </cell>
        </row>
        <row r="9">
          <cell r="B9" t="str">
            <v>034CSD</v>
          </cell>
          <cell r="C9" t="str">
            <v>666 MILLWOOD RD.,</v>
          </cell>
          <cell r="D9" t="str">
            <v>TORONTO,ON</v>
          </cell>
          <cell r="E9">
            <v>72941</v>
          </cell>
        </row>
        <row r="10">
          <cell r="B10" t="str">
            <v>039CSD</v>
          </cell>
          <cell r="C10" t="str">
            <v>8370 WOODBINE AVE.</v>
          </cell>
          <cell r="D10" t="str">
            <v>MARKHAM, ON</v>
          </cell>
          <cell r="E10">
            <v>542945</v>
          </cell>
        </row>
        <row r="11">
          <cell r="B11" t="str">
            <v>051CSD</v>
          </cell>
          <cell r="C11" t="str">
            <v>1708 QUEEN ST.E.,</v>
          </cell>
          <cell r="D11" t="str">
            <v>TORONTO,ON</v>
          </cell>
          <cell r="E11">
            <v>401362</v>
          </cell>
        </row>
        <row r="12">
          <cell r="B12" t="str">
            <v>053CSD</v>
          </cell>
          <cell r="C12" t="str">
            <v>524 WILSON HEIGHTS BLVD.</v>
          </cell>
          <cell r="D12" t="str">
            <v>DOWNSVIEW,ON.</v>
          </cell>
          <cell r="E12">
            <v>538188</v>
          </cell>
        </row>
        <row r="13">
          <cell r="B13" t="str">
            <v>074CSD</v>
          </cell>
          <cell r="C13" t="str">
            <v>357-359 TRUNK RD.</v>
          </cell>
          <cell r="D13" t="str">
            <v>SAULT STE.MARIE, ON.</v>
          </cell>
          <cell r="E13">
            <v>643578.82999999996</v>
          </cell>
        </row>
        <row r="14">
          <cell r="B14" t="str">
            <v>079CSD</v>
          </cell>
          <cell r="C14" t="str">
            <v>1082 CENTRE STREET</v>
          </cell>
          <cell r="D14" t="str">
            <v>THORNHILL,ON</v>
          </cell>
          <cell r="E14">
            <v>566331</v>
          </cell>
        </row>
        <row r="15">
          <cell r="B15" t="str">
            <v>081CSD</v>
          </cell>
          <cell r="C15" t="str">
            <v>3748 BATHURST ST.,</v>
          </cell>
          <cell r="D15" t="str">
            <v>DOWNSVIEW,ON</v>
          </cell>
          <cell r="E15">
            <v>952794.89</v>
          </cell>
        </row>
        <row r="16">
          <cell r="B16" t="str">
            <v>096CSD</v>
          </cell>
          <cell r="C16" t="str">
            <v>1490 BRITANNIA RD.E.,</v>
          </cell>
          <cell r="D16" t="str">
            <v>MISSISSAUGA, ON.</v>
          </cell>
          <cell r="E16">
            <v>157764</v>
          </cell>
        </row>
        <row r="17">
          <cell r="B17" t="str">
            <v>101CSD</v>
          </cell>
          <cell r="C17" t="str">
            <v>4235 HIGHWAY #7 WEST</v>
          </cell>
          <cell r="D17" t="str">
            <v>WOODBRIDGE, ON.</v>
          </cell>
          <cell r="E17">
            <v>541294</v>
          </cell>
        </row>
        <row r="18">
          <cell r="B18" t="str">
            <v>104CSD</v>
          </cell>
          <cell r="C18" t="str">
            <v>244 BLOOR ST.W.,</v>
          </cell>
          <cell r="D18" t="str">
            <v>TORONTO,ON</v>
          </cell>
          <cell r="E18">
            <v>270653</v>
          </cell>
        </row>
        <row r="19">
          <cell r="B19" t="str">
            <v>117CSD</v>
          </cell>
          <cell r="C19" t="str">
            <v>2100 STEELES AVE. W.,</v>
          </cell>
          <cell r="D19" t="str">
            <v>CONCORD,ON</v>
          </cell>
          <cell r="E19">
            <v>274386.87</v>
          </cell>
        </row>
        <row r="20">
          <cell r="B20" t="str">
            <v>121CSD</v>
          </cell>
          <cell r="C20" t="str">
            <v>4681 HIGHWAY #7 EAST</v>
          </cell>
          <cell r="D20" t="str">
            <v>MARKHAM, ON.</v>
          </cell>
          <cell r="E20">
            <v>533526</v>
          </cell>
        </row>
        <row r="21">
          <cell r="B21" t="str">
            <v>123CSD</v>
          </cell>
          <cell r="C21" t="str">
            <v>996 CONFEDERATION ST.,</v>
          </cell>
          <cell r="D21" t="str">
            <v>SARNIA, ON.</v>
          </cell>
          <cell r="E21">
            <v>371783</v>
          </cell>
        </row>
        <row r="22">
          <cell r="B22" t="str">
            <v>134CSD</v>
          </cell>
          <cell r="C22" t="str">
            <v>161A RICHMOND STREET</v>
          </cell>
          <cell r="D22" t="str">
            <v>CHATHAM, ON.</v>
          </cell>
          <cell r="E22">
            <v>345055</v>
          </cell>
        </row>
        <row r="23">
          <cell r="B23" t="str">
            <v>135CSD</v>
          </cell>
          <cell r="C23" t="str">
            <v>985 EGLINTON AVE. E.,</v>
          </cell>
          <cell r="D23" t="str">
            <v>MISSISSAUGA, ON.</v>
          </cell>
          <cell r="E23">
            <v>801807</v>
          </cell>
        </row>
        <row r="24">
          <cell r="B24" t="str">
            <v>138CSD</v>
          </cell>
          <cell r="C24" t="str">
            <v>8003 AIRPORT ROAD,</v>
          </cell>
          <cell r="D24" t="str">
            <v>BRAMPTON, ON.</v>
          </cell>
          <cell r="E24">
            <v>382301</v>
          </cell>
        </row>
        <row r="25">
          <cell r="B25" t="str">
            <v>141CSD</v>
          </cell>
          <cell r="C25" t="str">
            <v>320 THICKSON RD. R.R.#1</v>
          </cell>
          <cell r="D25" t="str">
            <v>WHITBY, ON</v>
          </cell>
          <cell r="E25">
            <v>606196.91</v>
          </cell>
        </row>
        <row r="26">
          <cell r="B26" t="str">
            <v>148CSD</v>
          </cell>
          <cell r="C26" t="str">
            <v>355 BAYLY STREET WEST,</v>
          </cell>
          <cell r="D26" t="str">
            <v>AJAX, ON.</v>
          </cell>
          <cell r="E26">
            <v>225235</v>
          </cell>
        </row>
        <row r="27">
          <cell r="B27" t="str">
            <v>149CSD</v>
          </cell>
          <cell r="C27" t="str">
            <v>734 SHEPPARD AVE. EAST,</v>
          </cell>
          <cell r="D27" t="str">
            <v>NORTH YORK, ON.</v>
          </cell>
          <cell r="E27">
            <v>321586</v>
          </cell>
        </row>
        <row r="28">
          <cell r="B28" t="str">
            <v>150CSD</v>
          </cell>
          <cell r="C28" t="str">
            <v>4926 BATHURST STREET</v>
          </cell>
          <cell r="D28" t="str">
            <v>TORONTO, ON</v>
          </cell>
          <cell r="E28">
            <v>468306</v>
          </cell>
        </row>
        <row r="29">
          <cell r="B29" t="str">
            <v>151CSD</v>
          </cell>
          <cell r="C29" t="str">
            <v>5495 EGLINTON AVE.WEST</v>
          </cell>
          <cell r="D29" t="str">
            <v>ETOBICOKE, ON</v>
          </cell>
          <cell r="E29">
            <v>492087</v>
          </cell>
        </row>
        <row r="30">
          <cell r="B30" t="str">
            <v>152CSD</v>
          </cell>
          <cell r="C30" t="str">
            <v>2 EAST BEAVER CREEK RD.</v>
          </cell>
          <cell r="D30" t="str">
            <v>RICHMOND HILL, ON</v>
          </cell>
          <cell r="E30">
            <v>431697.04</v>
          </cell>
        </row>
        <row r="31">
          <cell r="B31" t="str">
            <v>155CSD</v>
          </cell>
          <cell r="C31" t="str">
            <v>575 WEST STREET SOUTH UNIT 5</v>
          </cell>
          <cell r="D31" t="str">
            <v>ORILLIA, ON</v>
          </cell>
          <cell r="E31">
            <v>347596</v>
          </cell>
        </row>
        <row r="32">
          <cell r="B32" t="str">
            <v>168CSD</v>
          </cell>
          <cell r="C32" t="str">
            <v>1095 O'CONNOR DRIVE</v>
          </cell>
          <cell r="D32" t="str">
            <v>EAST YORK, ON</v>
          </cell>
          <cell r="E32">
            <v>492229</v>
          </cell>
        </row>
        <row r="33">
          <cell r="B33" t="str">
            <v>171CSD</v>
          </cell>
          <cell r="C33" t="str">
            <v>263 QUEEN ST. EAST</v>
          </cell>
          <cell r="D33" t="str">
            <v>BRAMPTON, ON</v>
          </cell>
          <cell r="E33">
            <v>694053</v>
          </cell>
        </row>
        <row r="34">
          <cell r="B34" t="str">
            <v>174CSD</v>
          </cell>
          <cell r="C34" t="str">
            <v>2555 VICTORIA PARK AVE., UNIT5</v>
          </cell>
          <cell r="D34" t="str">
            <v>SCARBOROUGH, ON</v>
          </cell>
          <cell r="E34">
            <v>310414</v>
          </cell>
        </row>
        <row r="35">
          <cell r="B35" t="str">
            <v>180CSD</v>
          </cell>
          <cell r="C35" t="str">
            <v>1812 SCUGOG STREET WEST</v>
          </cell>
          <cell r="D35" t="str">
            <v>PORT PERRY, ON</v>
          </cell>
          <cell r="E35">
            <v>571792</v>
          </cell>
        </row>
        <row r="36">
          <cell r="B36" t="str">
            <v>187CSD</v>
          </cell>
          <cell r="C36" t="str">
            <v>64 KING WILLIAM STREET</v>
          </cell>
          <cell r="D36" t="str">
            <v>HUNTSVILLE, ON</v>
          </cell>
          <cell r="E36">
            <v>332053.45</v>
          </cell>
        </row>
        <row r="37">
          <cell r="B37" t="str">
            <v>189CSD</v>
          </cell>
          <cell r="C37" t="str">
            <v>3372 KEELE ST., UNIT F</v>
          </cell>
          <cell r="D37" t="str">
            <v>NORTH YORK, ON</v>
          </cell>
          <cell r="E37">
            <v>538027</v>
          </cell>
        </row>
        <row r="38">
          <cell r="B38" t="str">
            <v>190CSD</v>
          </cell>
          <cell r="C38" t="str">
            <v>R.R.#2 KILWORTHY</v>
          </cell>
          <cell r="D38" t="str">
            <v>GRAVENHURST, ON</v>
          </cell>
          <cell r="E38">
            <v>515475</v>
          </cell>
        </row>
        <row r="39">
          <cell r="B39" t="str">
            <v>192CSD</v>
          </cell>
          <cell r="C39" t="str">
            <v>861 DUFFERIN AVE.</v>
          </cell>
          <cell r="D39" t="str">
            <v>WALLACEBURG, ON</v>
          </cell>
          <cell r="E39">
            <v>746007</v>
          </cell>
        </row>
        <row r="40">
          <cell r="B40" t="str">
            <v>193CSD</v>
          </cell>
          <cell r="C40" t="str">
            <v>92 KING STREET EAST</v>
          </cell>
          <cell r="D40" t="str">
            <v>TORONTO, ON</v>
          </cell>
          <cell r="E40">
            <v>292588</v>
          </cell>
        </row>
        <row r="41">
          <cell r="B41" t="str">
            <v>198CSD</v>
          </cell>
          <cell r="C41" t="str">
            <v>119 BOWES STREET</v>
          </cell>
          <cell r="D41" t="str">
            <v>PARRY SOUND, ON</v>
          </cell>
          <cell r="E41">
            <v>526151.9</v>
          </cell>
        </row>
        <row r="42">
          <cell r="B42" t="str">
            <v>199CSD</v>
          </cell>
          <cell r="C42" t="str">
            <v>6585 AIRPORT ROAD</v>
          </cell>
          <cell r="D42" t="str">
            <v>MISSISSAUGA, ON</v>
          </cell>
          <cell r="E42">
            <v>779396</v>
          </cell>
        </row>
        <row r="43">
          <cell r="B43" t="str">
            <v>201CSD</v>
          </cell>
          <cell r="C43" t="str">
            <v>44 GERRARD ST.W. P.O BOX 2</v>
          </cell>
          <cell r="D43" t="str">
            <v>TORONTO, ON</v>
          </cell>
          <cell r="E43">
            <v>333341</v>
          </cell>
        </row>
        <row r="44">
          <cell r="B44" t="str">
            <v>202CSD</v>
          </cell>
          <cell r="C44" t="str">
            <v>606 DIXON RD</v>
          </cell>
          <cell r="D44" t="str">
            <v>ETOBICOKE, ON</v>
          </cell>
          <cell r="E44">
            <v>559175</v>
          </cell>
        </row>
        <row r="45">
          <cell r="B45" t="str">
            <v>211CSD</v>
          </cell>
          <cell r="C45" t="str">
            <v>510 MUSKOKA ROAD SOUTH</v>
          </cell>
          <cell r="D45" t="str">
            <v>GRAVENHURST, ON</v>
          </cell>
          <cell r="E45">
            <v>374194</v>
          </cell>
        </row>
        <row r="46">
          <cell r="B46" t="str">
            <v>215CSD</v>
          </cell>
          <cell r="C46" t="str">
            <v>4200 SHEPPARD AVE.E.</v>
          </cell>
          <cell r="D46" t="str">
            <v>SCARBOROUGH, ON</v>
          </cell>
          <cell r="E46">
            <v>324174</v>
          </cell>
        </row>
        <row r="47">
          <cell r="B47" t="str">
            <v>222CSD</v>
          </cell>
          <cell r="C47" t="str">
            <v>5000 HWY #7,MARKVILLE MALL #99</v>
          </cell>
          <cell r="D47" t="str">
            <v>MARKHAM, ON</v>
          </cell>
          <cell r="E47">
            <v>264209</v>
          </cell>
        </row>
        <row r="48">
          <cell r="B48" t="str">
            <v>225CSD</v>
          </cell>
          <cell r="C48" t="str">
            <v>432 THE QUEENSWAY SOUTH</v>
          </cell>
          <cell r="D48" t="str">
            <v>KESWICK, ON</v>
          </cell>
          <cell r="E48">
            <v>879158.02</v>
          </cell>
        </row>
        <row r="49">
          <cell r="B49" t="str">
            <v>226CSD</v>
          </cell>
          <cell r="C49" t="str">
            <v>100 KING ST.W.  UNIT #213</v>
          </cell>
          <cell r="D49" t="str">
            <v>HAMILTON, ON</v>
          </cell>
          <cell r="E49">
            <v>341238</v>
          </cell>
        </row>
        <row r="50">
          <cell r="B50" t="str">
            <v>236CSD</v>
          </cell>
          <cell r="C50" t="str">
            <v>200 WELLINGTON ST.W.BOX 120</v>
          </cell>
          <cell r="D50" t="str">
            <v>TORONTO, ON</v>
          </cell>
          <cell r="E50">
            <v>87635</v>
          </cell>
        </row>
        <row r="51">
          <cell r="B51" t="str">
            <v>240CSD</v>
          </cell>
          <cell r="C51" t="str">
            <v>726 KINGSTON ROAD</v>
          </cell>
          <cell r="D51" t="str">
            <v>PICKERING, ON</v>
          </cell>
          <cell r="E51">
            <v>337679</v>
          </cell>
        </row>
        <row r="52">
          <cell r="B52" t="str">
            <v>245CSD</v>
          </cell>
          <cell r="C52" t="str">
            <v>1185 REGIONAL ROAD 21, UNIT 1</v>
          </cell>
          <cell r="D52" t="str">
            <v>MANCHESTER, ON</v>
          </cell>
          <cell r="E52">
            <v>932874</v>
          </cell>
        </row>
        <row r="53">
          <cell r="B53" t="str">
            <v>246CSD</v>
          </cell>
          <cell r="C53" t="str">
            <v>6035 MCLAUGHLIN ROAD</v>
          </cell>
          <cell r="D53" t="str">
            <v>MISSISSAUGA, ON</v>
          </cell>
          <cell r="E53">
            <v>628102</v>
          </cell>
        </row>
        <row r="54">
          <cell r="B54" t="str">
            <v>247CSD</v>
          </cell>
          <cell r="C54" t="str">
            <v>847 PORTSMOUTH AVENUE</v>
          </cell>
          <cell r="D54" t="str">
            <v>KINGSTON, ON</v>
          </cell>
          <cell r="E54">
            <v>381202</v>
          </cell>
        </row>
        <row r="55">
          <cell r="B55" t="str">
            <v>248CSD</v>
          </cell>
          <cell r="C55" t="str">
            <v>630 BURNHAMTHORPE RD.W.</v>
          </cell>
          <cell r="D55" t="str">
            <v>MISSISSAUGA, ON</v>
          </cell>
          <cell r="E55">
            <v>355605</v>
          </cell>
        </row>
        <row r="56">
          <cell r="B56" t="str">
            <v>249CSD</v>
          </cell>
          <cell r="C56" t="str">
            <v>104 KING STREET</v>
          </cell>
          <cell r="D56" t="str">
            <v>STONEY CREEK, ON</v>
          </cell>
          <cell r="E56">
            <v>554823</v>
          </cell>
        </row>
        <row r="57">
          <cell r="B57" t="str">
            <v>250CSD</v>
          </cell>
          <cell r="C57" t="str">
            <v>2867 ELLESMERE RD. CENTENARY H</v>
          </cell>
          <cell r="D57" t="str">
            <v>SCARBOROUGH, ON</v>
          </cell>
          <cell r="E57">
            <v>735068</v>
          </cell>
        </row>
        <row r="58">
          <cell r="B58" t="str">
            <v>252CSD</v>
          </cell>
          <cell r="C58" t="str">
            <v>1050 BROCK RD.</v>
          </cell>
          <cell r="D58" t="str">
            <v>PICKERING, ON</v>
          </cell>
          <cell r="E58">
            <v>476509</v>
          </cell>
        </row>
        <row r="59">
          <cell r="B59" t="str">
            <v>255CSD</v>
          </cell>
          <cell r="C59" t="str">
            <v>HWY #11 SOUTH, R.R.#2</v>
          </cell>
          <cell r="D59" t="str">
            <v>SHANTY BAY, ON</v>
          </cell>
          <cell r="E59">
            <v>444609</v>
          </cell>
        </row>
        <row r="60">
          <cell r="B60" t="str">
            <v>257CSD</v>
          </cell>
          <cell r="C60" t="str">
            <v>203-1 MANITOBA STREET</v>
          </cell>
          <cell r="D60" t="str">
            <v>BRACEBRIDGE, ON</v>
          </cell>
          <cell r="E60">
            <v>276210</v>
          </cell>
        </row>
        <row r="61">
          <cell r="B61" t="str">
            <v>258CSD</v>
          </cell>
          <cell r="C61" t="str">
            <v>7575-7577 KEELE STREET</v>
          </cell>
          <cell r="D61" t="str">
            <v>CONCORD, ON</v>
          </cell>
          <cell r="E61">
            <v>707645</v>
          </cell>
        </row>
        <row r="62">
          <cell r="B62" t="str">
            <v>259CSD</v>
          </cell>
          <cell r="C62" t="str">
            <v>HWY #7 AND KEENE ROAD</v>
          </cell>
          <cell r="D62" t="str">
            <v>PETERBOROUGH, ON.</v>
          </cell>
          <cell r="E62">
            <v>1064830.3999999999</v>
          </cell>
        </row>
        <row r="63">
          <cell r="B63" t="str">
            <v>260CSD</v>
          </cell>
          <cell r="C63" t="str">
            <v>140 ATHERLY RD.</v>
          </cell>
          <cell r="D63" t="str">
            <v>ORILLIA, ON</v>
          </cell>
          <cell r="E63">
            <v>364574</v>
          </cell>
        </row>
        <row r="64">
          <cell r="B64" t="str">
            <v>262CSD</v>
          </cell>
          <cell r="C64" t="str">
            <v>58 LOMBARD STREET</v>
          </cell>
          <cell r="D64" t="str">
            <v>SMITHS FALLS, ON</v>
          </cell>
          <cell r="E64">
            <v>385941.68</v>
          </cell>
        </row>
        <row r="65">
          <cell r="B65" t="str">
            <v>263CSD</v>
          </cell>
          <cell r="C65" t="str">
            <v>10 ST. MARY STREET</v>
          </cell>
          <cell r="D65" t="str">
            <v>TORONTO, ON</v>
          </cell>
          <cell r="E65">
            <v>410622.86</v>
          </cell>
        </row>
        <row r="66">
          <cell r="B66" t="str">
            <v>264CSD</v>
          </cell>
          <cell r="C66" t="str">
            <v>5955 LESLIE STREET</v>
          </cell>
          <cell r="D66" t="str">
            <v>NORTH YORK, ON</v>
          </cell>
          <cell r="E66">
            <v>507787</v>
          </cell>
        </row>
        <row r="67">
          <cell r="B67" t="str">
            <v>265CSD</v>
          </cell>
          <cell r="C67" t="str">
            <v>65 FRONT STREET WEST</v>
          </cell>
          <cell r="D67" t="str">
            <v>TORONTO, ON</v>
          </cell>
          <cell r="E67">
            <v>260392.32000000001</v>
          </cell>
        </row>
        <row r="68">
          <cell r="B68" t="str">
            <v>267CSD</v>
          </cell>
          <cell r="C68" t="str">
            <v>1550 LANSDOWNE ST.W.</v>
          </cell>
          <cell r="D68" t="str">
            <v>PETERBOROUGH, ON</v>
          </cell>
          <cell r="E68">
            <v>957851.6</v>
          </cell>
        </row>
        <row r="69">
          <cell r="B69" t="str">
            <v>268CSD</v>
          </cell>
          <cell r="C69" t="str">
            <v>1011 FINCH AVENUE WEST</v>
          </cell>
          <cell r="D69" t="str">
            <v>NORTH YORK, ON</v>
          </cell>
          <cell r="E69">
            <v>327848</v>
          </cell>
        </row>
        <row r="70">
          <cell r="B70" t="str">
            <v>269CSD</v>
          </cell>
          <cell r="C70" t="str">
            <v>212 QUEEN STREET</v>
          </cell>
          <cell r="D70" t="str">
            <v>BOLTON, ON</v>
          </cell>
          <cell r="E70">
            <v>572302.49</v>
          </cell>
        </row>
        <row r="71">
          <cell r="B71" t="str">
            <v>271CSD</v>
          </cell>
          <cell r="C71" t="str">
            <v>321 KENT STREET WEST</v>
          </cell>
          <cell r="D71" t="str">
            <v>LINDSAY, ON</v>
          </cell>
          <cell r="E71">
            <v>310643</v>
          </cell>
        </row>
        <row r="72">
          <cell r="B72" t="str">
            <v>272CSD</v>
          </cell>
          <cell r="C72" t="str">
            <v>2444 FINCH AVE., W.</v>
          </cell>
          <cell r="D72" t="str">
            <v>NORTH YORK, ON</v>
          </cell>
          <cell r="E72">
            <v>804218</v>
          </cell>
        </row>
        <row r="73">
          <cell r="B73" t="str">
            <v>273CSD</v>
          </cell>
          <cell r="C73" t="str">
            <v>7240 WOODBINE AVE.</v>
          </cell>
          <cell r="D73" t="str">
            <v>MARKHAM, ON</v>
          </cell>
          <cell r="E73">
            <v>506323</v>
          </cell>
        </row>
        <row r="74">
          <cell r="B74" t="str">
            <v>277CSD</v>
          </cell>
          <cell r="C74" t="str">
            <v>375 FORAN STREET</v>
          </cell>
          <cell r="D74" t="str">
            <v>NORTH BAY, ON</v>
          </cell>
          <cell r="E74">
            <v>737673</v>
          </cell>
        </row>
        <row r="75">
          <cell r="B75" t="str">
            <v>281CSD</v>
          </cell>
          <cell r="C75" t="str">
            <v>1737 RICHMOND ST HYLAND CENTRE</v>
          </cell>
          <cell r="D75" t="str">
            <v>LONDON, ON</v>
          </cell>
          <cell r="E75">
            <v>493280</v>
          </cell>
        </row>
        <row r="76">
          <cell r="B76" t="str">
            <v>282CSD</v>
          </cell>
          <cell r="C76" t="str">
            <v>14980 YONGE STREET</v>
          </cell>
          <cell r="D76" t="str">
            <v>AURORA, ON</v>
          </cell>
          <cell r="E76">
            <v>701836.86</v>
          </cell>
        </row>
        <row r="77">
          <cell r="B77" t="str">
            <v>283CSD</v>
          </cell>
          <cell r="C77" t="str">
            <v>6255 BATHURST STREET</v>
          </cell>
          <cell r="D77" t="str">
            <v>WILLOWDALE, ON</v>
          </cell>
          <cell r="E77">
            <v>738622.49</v>
          </cell>
        </row>
        <row r="78">
          <cell r="B78" t="str">
            <v>284CSD</v>
          </cell>
          <cell r="C78" t="str">
            <v>2037 LONG LAKE ROAD, UNIT #1</v>
          </cell>
          <cell r="D78" t="str">
            <v>SUDBURY, ON</v>
          </cell>
          <cell r="E78">
            <v>462730</v>
          </cell>
        </row>
        <row r="79">
          <cell r="B79" t="str">
            <v>285CSD</v>
          </cell>
          <cell r="C79" t="str">
            <v>6555 LUNDY'S LANE</v>
          </cell>
          <cell r="D79" t="str">
            <v>NIAGARA FALLS, ON</v>
          </cell>
          <cell r="E79">
            <v>461855</v>
          </cell>
        </row>
        <row r="80">
          <cell r="B80" t="str">
            <v>286CSD</v>
          </cell>
          <cell r="C80" t="str">
            <v>11 EDMONTON TRAIL N.E.</v>
          </cell>
          <cell r="D80" t="str">
            <v>CALGARY, AB</v>
          </cell>
          <cell r="E80">
            <v>647984</v>
          </cell>
        </row>
        <row r="81">
          <cell r="B81" t="str">
            <v>287CSD</v>
          </cell>
          <cell r="C81" t="str">
            <v>1650 DERRY ROAD EAST</v>
          </cell>
          <cell r="D81" t="str">
            <v>MISSISSAUGA, ON</v>
          </cell>
          <cell r="E81">
            <v>496631</v>
          </cell>
        </row>
        <row r="82">
          <cell r="B82" t="str">
            <v>288CSD</v>
          </cell>
          <cell r="C82" t="str">
            <v>506 CANATARA COURT</v>
          </cell>
          <cell r="D82" t="str">
            <v>KINGSTON, ON</v>
          </cell>
          <cell r="E82">
            <v>607540</v>
          </cell>
        </row>
        <row r="83">
          <cell r="B83" t="str">
            <v>289CSD</v>
          </cell>
          <cell r="C83" t="str">
            <v>2118 KING RD.</v>
          </cell>
          <cell r="D83" t="str">
            <v>KING CITY, ON</v>
          </cell>
          <cell r="E83">
            <v>650938</v>
          </cell>
        </row>
        <row r="84">
          <cell r="B84" t="str">
            <v>291CSD</v>
          </cell>
          <cell r="C84" t="str">
            <v>1224 THE KINGSWAY</v>
          </cell>
          <cell r="D84" t="str">
            <v>SUDBURY, ON</v>
          </cell>
          <cell r="E84">
            <v>269552</v>
          </cell>
        </row>
        <row r="85">
          <cell r="B85" t="str">
            <v>305CSD</v>
          </cell>
          <cell r="C85" t="str">
            <v>17740 YONGE STREET NORTH</v>
          </cell>
          <cell r="D85" t="str">
            <v>NEWMARKET, ON</v>
          </cell>
          <cell r="E85">
            <v>159344</v>
          </cell>
        </row>
        <row r="86">
          <cell r="B86" t="str">
            <v>306CSD</v>
          </cell>
          <cell r="C86" t="str">
            <v>1333 WILSON ROAD NORTH</v>
          </cell>
          <cell r="D86" t="str">
            <v>OSHAWA, ON</v>
          </cell>
          <cell r="E86">
            <v>163136</v>
          </cell>
        </row>
        <row r="87">
          <cell r="B87" t="str">
            <v>309CSD</v>
          </cell>
          <cell r="C87" t="str">
            <v>6355 YONGE STREET</v>
          </cell>
          <cell r="D87" t="str">
            <v>NORTH YORK, ON</v>
          </cell>
          <cell r="E87">
            <v>1077614</v>
          </cell>
        </row>
        <row r="88">
          <cell r="B88" t="str">
            <v>310CSD</v>
          </cell>
          <cell r="C88" t="str">
            <v>R.R. #2,HIGWAY 11 SOUTH</v>
          </cell>
          <cell r="D88" t="str">
            <v>GRAVENHURST, ON</v>
          </cell>
          <cell r="E88">
            <v>378687</v>
          </cell>
        </row>
        <row r="89">
          <cell r="B89" t="str">
            <v>313CSD</v>
          </cell>
          <cell r="C89" t="str">
            <v>68 ELLIOT AVENUE</v>
          </cell>
          <cell r="D89" t="str">
            <v>KINGSTON, ON</v>
          </cell>
          <cell r="E89">
            <v>573954.78</v>
          </cell>
        </row>
        <row r="90">
          <cell r="B90" t="str">
            <v>314CSD</v>
          </cell>
          <cell r="C90" t="str">
            <v>1250 MAIN STREET</v>
          </cell>
          <cell r="D90" t="str">
            <v>STITTSVILLE, ON</v>
          </cell>
          <cell r="E90">
            <v>640345</v>
          </cell>
        </row>
        <row r="91">
          <cell r="B91" t="str">
            <v>315CSD</v>
          </cell>
          <cell r="C91" t="str">
            <v>17750 YONGE STREET</v>
          </cell>
          <cell r="D91" t="str">
            <v>NEWMARKET, ON</v>
          </cell>
          <cell r="E91">
            <v>58388</v>
          </cell>
        </row>
        <row r="92">
          <cell r="B92" t="str">
            <v>316CSD</v>
          </cell>
          <cell r="C92" t="str">
            <v>603 DAVENPORT RD.</v>
          </cell>
          <cell r="D92" t="str">
            <v>TORONTO, ON</v>
          </cell>
          <cell r="E92">
            <v>545765.86</v>
          </cell>
        </row>
        <row r="93">
          <cell r="B93" t="str">
            <v>319CSD</v>
          </cell>
          <cell r="C93" t="str">
            <v>930-18TH STREET</v>
          </cell>
          <cell r="D93" t="str">
            <v>BRANDON, MB</v>
          </cell>
          <cell r="E93">
            <v>189639</v>
          </cell>
        </row>
        <row r="94">
          <cell r="B94" t="str">
            <v>325CSD</v>
          </cell>
          <cell r="C94" t="str">
            <v>300 680 2 STREET SOUTHEAST DR</v>
          </cell>
          <cell r="D94" t="str">
            <v>DRUMHELLER, AB</v>
          </cell>
          <cell r="E94">
            <v>372766</v>
          </cell>
        </row>
        <row r="95">
          <cell r="B95" t="str">
            <v>326CSD</v>
          </cell>
          <cell r="C95" t="str">
            <v>3005 HWY 35 &amp; 115</v>
          </cell>
          <cell r="D95" t="str">
            <v>NEWCASTLE, ON</v>
          </cell>
          <cell r="E95">
            <v>1046468</v>
          </cell>
        </row>
        <row r="96">
          <cell r="B96" t="str">
            <v>327CSD</v>
          </cell>
          <cell r="C96" t="str">
            <v>HWY 7 &amp; 15 , R.R. #2</v>
          </cell>
          <cell r="D96" t="str">
            <v>CARLETON PLACE, ON</v>
          </cell>
          <cell r="E96">
            <v>417026</v>
          </cell>
        </row>
        <row r="97">
          <cell r="B97" t="str">
            <v>329CSD</v>
          </cell>
          <cell r="C97" t="str">
            <v>1326 SIMCOE ST.N.</v>
          </cell>
          <cell r="D97" t="str">
            <v>OSHAWA, ON</v>
          </cell>
          <cell r="E97">
            <v>699604</v>
          </cell>
        </row>
        <row r="98">
          <cell r="B98" t="str">
            <v>330CSD</v>
          </cell>
          <cell r="C98" t="str">
            <v>205 ADVANCE BLVD.</v>
          </cell>
          <cell r="D98" t="str">
            <v>BRAMPTON, ON</v>
          </cell>
          <cell r="E98">
            <v>872391</v>
          </cell>
        </row>
        <row r="99">
          <cell r="B99" t="str">
            <v>331CSD</v>
          </cell>
          <cell r="C99" t="str">
            <v>6415 DIXIE RD. (ESSO STATION)</v>
          </cell>
          <cell r="D99" t="str">
            <v>MISSISSAUGA, ON</v>
          </cell>
          <cell r="E99">
            <v>156700</v>
          </cell>
        </row>
        <row r="100">
          <cell r="B100" t="str">
            <v>332CSD</v>
          </cell>
          <cell r="C100" t="str">
            <v>GEN.DEL,HWY 17 E &amp; INDUSTRIAL</v>
          </cell>
          <cell r="D100" t="str">
            <v>BLIND RIVER, ON</v>
          </cell>
          <cell r="E100">
            <v>434228</v>
          </cell>
        </row>
        <row r="101">
          <cell r="B101" t="str">
            <v>333CSD</v>
          </cell>
          <cell r="C101" t="str">
            <v>11108 YONGE STREET</v>
          </cell>
          <cell r="D101" t="str">
            <v>RICHMOND HILL, ON</v>
          </cell>
          <cell r="E101">
            <v>830408</v>
          </cell>
        </row>
        <row r="102">
          <cell r="B102" t="str">
            <v>335CSD</v>
          </cell>
          <cell r="C102" t="str">
            <v>107 QUEEN ST., P.O.BOX 1398</v>
          </cell>
          <cell r="D102" t="str">
            <v>LAKEFIELD, ON</v>
          </cell>
          <cell r="E102">
            <v>492352</v>
          </cell>
        </row>
        <row r="103">
          <cell r="B103" t="str">
            <v>336CSD</v>
          </cell>
          <cell r="C103" t="str">
            <v>1 INDUSTRIAL PARKWAY</v>
          </cell>
          <cell r="D103" t="str">
            <v>AURORA, ON</v>
          </cell>
          <cell r="E103">
            <v>556951.93000000005</v>
          </cell>
        </row>
        <row r="104">
          <cell r="B104" t="str">
            <v>337CSD</v>
          </cell>
          <cell r="C104" t="str">
            <v>1401A SEYMOUR STREET</v>
          </cell>
          <cell r="D104" t="str">
            <v>NORTH BAY, ON</v>
          </cell>
          <cell r="E104">
            <v>752395.7</v>
          </cell>
        </row>
        <row r="105">
          <cell r="B105" t="str">
            <v>338CSD</v>
          </cell>
          <cell r="C105" t="str">
            <v>799 YORK MILLS ROAD</v>
          </cell>
          <cell r="D105" t="str">
            <v>NORTH YORK, ON</v>
          </cell>
          <cell r="E105">
            <v>594942</v>
          </cell>
        </row>
        <row r="106">
          <cell r="B106" t="str">
            <v>339CSD</v>
          </cell>
          <cell r="C106" t="str">
            <v>2387 KINGSTON ROAD</v>
          </cell>
          <cell r="D106" t="str">
            <v>SCARBOROUGH, ON</v>
          </cell>
          <cell r="E106">
            <v>506208</v>
          </cell>
        </row>
        <row r="107">
          <cell r="B107" t="str">
            <v>340CSD</v>
          </cell>
          <cell r="C107" t="str">
            <v>9218 YONGE STREET</v>
          </cell>
          <cell r="D107" t="str">
            <v>RICHMOND HILL ,ON</v>
          </cell>
          <cell r="E107">
            <v>869168.21</v>
          </cell>
        </row>
        <row r="108">
          <cell r="B108" t="str">
            <v>341CSD</v>
          </cell>
          <cell r="C108" t="str">
            <v>24398 WOODBINE AVENUE</v>
          </cell>
          <cell r="D108" t="str">
            <v>KESWICK, ON</v>
          </cell>
          <cell r="E108">
            <v>811833</v>
          </cell>
        </row>
        <row r="109">
          <cell r="B109" t="str">
            <v>342CSD</v>
          </cell>
          <cell r="C109" t="str">
            <v>1 - 111 CENTRE ST.</v>
          </cell>
          <cell r="D109" t="str">
            <v>ESPANOLA, ON</v>
          </cell>
          <cell r="E109">
            <v>229248</v>
          </cell>
        </row>
        <row r="110">
          <cell r="B110" t="str">
            <v>347CSD</v>
          </cell>
          <cell r="C110" t="str">
            <v>396 HOLLAND ST.W. P.O.BOX 407</v>
          </cell>
          <cell r="D110" t="str">
            <v>BRADFORD, ON</v>
          </cell>
          <cell r="E110">
            <v>708209</v>
          </cell>
        </row>
        <row r="111">
          <cell r="B111" t="str">
            <v>348CSD</v>
          </cell>
          <cell r="C111" t="str">
            <v>371 LORNE ST.</v>
          </cell>
          <cell r="D111" t="str">
            <v>SUDBURY, ON</v>
          </cell>
          <cell r="E111">
            <v>636869</v>
          </cell>
        </row>
        <row r="112">
          <cell r="B112" t="str">
            <v>349CSD</v>
          </cell>
          <cell r="C112" t="str">
            <v>821 DIVISION STREET</v>
          </cell>
          <cell r="D112" t="str">
            <v>COBOURG, ON</v>
          </cell>
          <cell r="E112">
            <v>738031</v>
          </cell>
        </row>
        <row r="113">
          <cell r="B113" t="str">
            <v>350CSD</v>
          </cell>
          <cell r="C113" t="str">
            <v>197 GEORGE STREET NORTH</v>
          </cell>
          <cell r="D113" t="str">
            <v>PETERBOROUGH, ON</v>
          </cell>
          <cell r="E113">
            <v>414577</v>
          </cell>
        </row>
        <row r="114">
          <cell r="B114" t="str">
            <v>351CSD</v>
          </cell>
          <cell r="C114" t="str">
            <v>1735 KIPLING AVENUE</v>
          </cell>
          <cell r="D114" t="str">
            <v>ETOBICOKE, ON</v>
          </cell>
          <cell r="E114">
            <v>576427</v>
          </cell>
        </row>
        <row r="115">
          <cell r="B115" t="str">
            <v>353CSD</v>
          </cell>
          <cell r="C115" t="str">
            <v>2050B VICTORIA PARK AVENUE</v>
          </cell>
          <cell r="D115" t="str">
            <v>NORTH YORK, ON.</v>
          </cell>
          <cell r="E115">
            <v>511721.76</v>
          </cell>
        </row>
        <row r="116">
          <cell r="B116" t="str">
            <v>354CSD</v>
          </cell>
          <cell r="C116" t="str">
            <v>131 TIFFIN STREET EAST</v>
          </cell>
          <cell r="D116" t="str">
            <v>BARRIE, ON</v>
          </cell>
          <cell r="E116">
            <v>658014</v>
          </cell>
        </row>
        <row r="117">
          <cell r="B117" t="str">
            <v>356CSD</v>
          </cell>
          <cell r="C117" t="str">
            <v>2512 JANE STREET</v>
          </cell>
          <cell r="D117" t="str">
            <v>NORTH YORK, ON</v>
          </cell>
          <cell r="E117">
            <v>589988</v>
          </cell>
        </row>
        <row r="118">
          <cell r="B118" t="str">
            <v>358CSD</v>
          </cell>
          <cell r="C118" t="str">
            <v>HWY 11 NORTHBOUND &amp; 2ND LINE</v>
          </cell>
          <cell r="D118" t="str">
            <v>SHANTY BAY, ON</v>
          </cell>
          <cell r="E118">
            <v>487608</v>
          </cell>
        </row>
        <row r="119">
          <cell r="B119" t="str">
            <v>361CSD</v>
          </cell>
          <cell r="C119" t="str">
            <v>2781 DUFFERIN ST.</v>
          </cell>
          <cell r="D119" t="str">
            <v>NORTH YORK, ON</v>
          </cell>
          <cell r="E119">
            <v>607471</v>
          </cell>
        </row>
        <row r="120">
          <cell r="B120" t="str">
            <v>363CSD</v>
          </cell>
          <cell r="C120" t="str">
            <v>1 RICHMOND BOULEVARD</v>
          </cell>
          <cell r="D120" t="str">
            <v>NAPANEE, ON</v>
          </cell>
          <cell r="E120">
            <v>618794.02</v>
          </cell>
        </row>
        <row r="121">
          <cell r="B121" t="str">
            <v>364CSD</v>
          </cell>
          <cell r="C121" t="str">
            <v>66 OVERLEA BLVD.</v>
          </cell>
          <cell r="D121" t="str">
            <v>EAST YORK, ON</v>
          </cell>
          <cell r="E121">
            <v>528680.84</v>
          </cell>
        </row>
        <row r="122">
          <cell r="B122" t="str">
            <v>365CSD</v>
          </cell>
          <cell r="C122" t="str">
            <v>1160 HIGHBURY AVENUE</v>
          </cell>
          <cell r="D122" t="str">
            <v>LONDON, ON</v>
          </cell>
          <cell r="E122">
            <v>409259</v>
          </cell>
        </row>
        <row r="123">
          <cell r="B123" t="str">
            <v>367CSD</v>
          </cell>
          <cell r="C123" t="str">
            <v>1391 EAST 41ST AVENUE</v>
          </cell>
          <cell r="D123" t="str">
            <v>VANCOUVER, B.C.</v>
          </cell>
          <cell r="E123">
            <v>433818</v>
          </cell>
        </row>
        <row r="124">
          <cell r="B124" t="str">
            <v>369CSD</v>
          </cell>
          <cell r="C124" t="str">
            <v>288 BLOOR ST.WEST</v>
          </cell>
          <cell r="D124" t="str">
            <v>OSHAWA, ON</v>
          </cell>
          <cell r="E124">
            <v>678777</v>
          </cell>
        </row>
        <row r="125">
          <cell r="B125" t="str">
            <v>372CSD</v>
          </cell>
          <cell r="C125" t="str">
            <v>2281 KIPLING AVENUE</v>
          </cell>
          <cell r="D125" t="str">
            <v>ETOBICOKE, ON</v>
          </cell>
          <cell r="E125">
            <v>621744.46</v>
          </cell>
        </row>
        <row r="126">
          <cell r="B126" t="str">
            <v>373CSD</v>
          </cell>
          <cell r="C126" t="str">
            <v>828 CHEMONG ROAD</v>
          </cell>
          <cell r="D126" t="str">
            <v>PETERBOROUGH, ON</v>
          </cell>
          <cell r="E126">
            <v>420022.57</v>
          </cell>
        </row>
        <row r="127">
          <cell r="B127" t="str">
            <v>375CSD</v>
          </cell>
          <cell r="C127" t="str">
            <v>HWY 11 AT 47TH P.O. BOX 2145</v>
          </cell>
          <cell r="D127" t="str">
            <v>RCKY MTN HOUSE, AB</v>
          </cell>
          <cell r="E127">
            <v>137299</v>
          </cell>
        </row>
        <row r="128">
          <cell r="B128" t="str">
            <v>376CSD</v>
          </cell>
          <cell r="C128" t="str">
            <v>5964 HIGHWAY #9</v>
          </cell>
          <cell r="D128" t="str">
            <v>NEW TECUMSETH, ON</v>
          </cell>
          <cell r="E128">
            <v>729538.93</v>
          </cell>
        </row>
        <row r="129">
          <cell r="B129" t="str">
            <v>380CSD</v>
          </cell>
          <cell r="C129" t="str">
            <v>590 KEELE ST.</v>
          </cell>
          <cell r="D129" t="str">
            <v>TORONTO, ON</v>
          </cell>
          <cell r="E129">
            <v>744648</v>
          </cell>
        </row>
        <row r="130">
          <cell r="B130" t="str">
            <v>381CSD</v>
          </cell>
          <cell r="C130" t="str">
            <v>554 LANSDOWNE ST., W.</v>
          </cell>
          <cell r="D130" t="str">
            <v>PETERBOROUGH, ON.</v>
          </cell>
          <cell r="E130">
            <v>500892</v>
          </cell>
        </row>
        <row r="131">
          <cell r="B131" t="str">
            <v>383CSD</v>
          </cell>
          <cell r="C131" t="str">
            <v>120 BRICKYARD WAY, BLDG C</v>
          </cell>
          <cell r="D131" t="str">
            <v>BRAMPTON, ON</v>
          </cell>
          <cell r="E131">
            <v>620935</v>
          </cell>
        </row>
        <row r="132">
          <cell r="B132" t="str">
            <v>384CSD</v>
          </cell>
          <cell r="C132" t="str">
            <v>1465 AEROWOOD DRIVE</v>
          </cell>
          <cell r="D132" t="str">
            <v>MISSISSAUGA, ON</v>
          </cell>
          <cell r="E132">
            <v>744523</v>
          </cell>
        </row>
        <row r="133">
          <cell r="B133" t="str">
            <v>385CSD</v>
          </cell>
          <cell r="C133" t="str">
            <v>1585 WARDEN AVENUE</v>
          </cell>
          <cell r="D133" t="str">
            <v>SCARBOROUGH, ON</v>
          </cell>
          <cell r="E133">
            <v>69785</v>
          </cell>
        </row>
        <row r="134">
          <cell r="B134" t="str">
            <v>386CSD</v>
          </cell>
          <cell r="C134" t="str">
            <v>537 HESPELER ROAD</v>
          </cell>
          <cell r="D134" t="str">
            <v>CAMBRIDGE, ON</v>
          </cell>
          <cell r="E134">
            <v>468153</v>
          </cell>
        </row>
        <row r="135">
          <cell r="B135" t="str">
            <v>387CSD</v>
          </cell>
          <cell r="C135" t="str">
            <v>334 DUNDAS ST.E.</v>
          </cell>
          <cell r="D135" t="str">
            <v>MISSISSAUGA, ON</v>
          </cell>
          <cell r="E135">
            <v>540281</v>
          </cell>
        </row>
        <row r="136">
          <cell r="B136" t="str">
            <v>389CSD</v>
          </cell>
          <cell r="C136" t="str">
            <v>BOX 657</v>
          </cell>
          <cell r="D136" t="str">
            <v>MORRISBURG, ON</v>
          </cell>
          <cell r="E136">
            <v>227687</v>
          </cell>
        </row>
        <row r="137">
          <cell r="B137" t="str">
            <v>392CSD</v>
          </cell>
          <cell r="C137" t="str">
            <v>929 QUEEN ST.E.</v>
          </cell>
          <cell r="D137" t="str">
            <v>TORONTO, ON</v>
          </cell>
          <cell r="E137">
            <v>300257.84000000003</v>
          </cell>
        </row>
        <row r="138">
          <cell r="B138" t="str">
            <v>393CSD</v>
          </cell>
          <cell r="C138" t="str">
            <v>204 HAMILTON RD.</v>
          </cell>
          <cell r="D138" t="str">
            <v>LONDON, ON</v>
          </cell>
          <cell r="E138">
            <v>525057</v>
          </cell>
        </row>
        <row r="139">
          <cell r="B139" t="str">
            <v>394CSD</v>
          </cell>
          <cell r="C139" t="str">
            <v>210 PINEBUSH ROAD</v>
          </cell>
          <cell r="D139" t="str">
            <v>CAMBRIDGE, ON</v>
          </cell>
          <cell r="E139">
            <v>460152</v>
          </cell>
        </row>
        <row r="140">
          <cell r="B140" t="str">
            <v>395CSD</v>
          </cell>
          <cell r="C140" t="str">
            <v>960 DUNDAS STREET WEST</v>
          </cell>
          <cell r="D140" t="str">
            <v>WHITBY, ON.</v>
          </cell>
          <cell r="E140">
            <v>529734</v>
          </cell>
        </row>
        <row r="141">
          <cell r="B141" t="str">
            <v>396CSD</v>
          </cell>
          <cell r="C141" t="str">
            <v>11 JACOB KEFFER PARKWAY</v>
          </cell>
          <cell r="D141" t="str">
            <v>VAUGHAN, ON.</v>
          </cell>
          <cell r="E141">
            <v>420157</v>
          </cell>
        </row>
        <row r="142">
          <cell r="B142" t="str">
            <v>399CSD</v>
          </cell>
          <cell r="C142" t="str">
            <v>362 LAKESHORE ROAD EAST</v>
          </cell>
          <cell r="D142" t="str">
            <v>MISSISSAUGA, ON.</v>
          </cell>
          <cell r="E142">
            <v>466835</v>
          </cell>
        </row>
        <row r="143">
          <cell r="B143" t="str">
            <v>400BMB</v>
          </cell>
          <cell r="C143" t="str">
            <v>3-32905 VENTURA AVENUE</v>
          </cell>
          <cell r="D143" t="str">
            <v>ABBOTSFORD, B.C.</v>
          </cell>
          <cell r="E143">
            <v>350881</v>
          </cell>
        </row>
        <row r="144">
          <cell r="B144" t="str">
            <v>400CSD</v>
          </cell>
          <cell r="C144" t="str">
            <v>1156-58 KENNEDY ROAD</v>
          </cell>
          <cell r="D144" t="str">
            <v>SCARBOROUGH, ON.</v>
          </cell>
          <cell r="E144">
            <v>256390</v>
          </cell>
        </row>
        <row r="145">
          <cell r="B145" t="str">
            <v>401BMB</v>
          </cell>
          <cell r="C145" t="str">
            <v>96 VICTORIA STREET</v>
          </cell>
          <cell r="D145" t="str">
            <v>BARRIE, ON</v>
          </cell>
          <cell r="E145">
            <v>802014</v>
          </cell>
        </row>
        <row r="146">
          <cell r="B146" t="str">
            <v>402BMB</v>
          </cell>
          <cell r="C146" t="str">
            <v>300 BELL BLVD.</v>
          </cell>
          <cell r="D146" t="str">
            <v>BELLEVILLE, ON</v>
          </cell>
          <cell r="E146">
            <v>1080119</v>
          </cell>
        </row>
        <row r="147">
          <cell r="B147" t="str">
            <v>402CSD</v>
          </cell>
          <cell r="C147" t="str">
            <v>1146 VICTORIA ST.RR1GEN.DEL'V'</v>
          </cell>
          <cell r="D147" t="str">
            <v>ROSSEAU, ON</v>
          </cell>
          <cell r="E147">
            <v>250969</v>
          </cell>
        </row>
        <row r="148">
          <cell r="B148" t="str">
            <v>403BMB</v>
          </cell>
          <cell r="C148" t="str">
            <v>1 STAFFORD DRIVE</v>
          </cell>
          <cell r="D148" t="str">
            <v>BRAMPTON, ON</v>
          </cell>
          <cell r="E148">
            <v>675922</v>
          </cell>
        </row>
        <row r="149">
          <cell r="B149" t="str">
            <v>404CSD</v>
          </cell>
          <cell r="C149" t="str">
            <v>1620 BIRCHMOUNT ROAD</v>
          </cell>
          <cell r="D149" t="str">
            <v>SCARBOROUGH, ON</v>
          </cell>
          <cell r="E149">
            <v>254482</v>
          </cell>
        </row>
        <row r="150">
          <cell r="B150" t="str">
            <v>406CSD</v>
          </cell>
          <cell r="C150" t="str">
            <v>490 BAYFIELD ST. NORTH</v>
          </cell>
          <cell r="D150" t="str">
            <v>BARRIE, ON</v>
          </cell>
          <cell r="E150">
            <v>358818</v>
          </cell>
        </row>
        <row r="151">
          <cell r="B151" t="str">
            <v>407BMB</v>
          </cell>
          <cell r="C151" t="str">
            <v>7832-6TH STREET</v>
          </cell>
          <cell r="D151" t="str">
            <v>BURNABY, B.C.</v>
          </cell>
          <cell r="E151">
            <v>542321</v>
          </cell>
        </row>
        <row r="152">
          <cell r="B152" t="str">
            <v>408BMB</v>
          </cell>
          <cell r="C152" t="str">
            <v>3290 PRODUCTION WAY</v>
          </cell>
          <cell r="D152" t="str">
            <v>BURNABY, B.C.</v>
          </cell>
          <cell r="E152">
            <v>399742</v>
          </cell>
        </row>
        <row r="153">
          <cell r="B153" t="str">
            <v>409CSD</v>
          </cell>
          <cell r="C153" t="str">
            <v>231-235 EDINBURGH RD.SOUTH</v>
          </cell>
          <cell r="D153" t="str">
            <v>GUELPH, ON</v>
          </cell>
          <cell r="E153">
            <v>194554</v>
          </cell>
        </row>
        <row r="154">
          <cell r="B154" t="str">
            <v>410CSD</v>
          </cell>
          <cell r="C154" t="str">
            <v>P.O.BOX 458</v>
          </cell>
          <cell r="D154" t="str">
            <v>FERNIE, B.C.</v>
          </cell>
          <cell r="E154">
            <v>267993</v>
          </cell>
        </row>
        <row r="155">
          <cell r="B155" t="str">
            <v>411CSD</v>
          </cell>
          <cell r="C155" t="str">
            <v>304 TORONTO STREET SOUTH</v>
          </cell>
          <cell r="D155" t="str">
            <v>UXBRIDGE, ON</v>
          </cell>
          <cell r="E155">
            <v>0</v>
          </cell>
        </row>
        <row r="156">
          <cell r="B156" t="str">
            <v>413BMB</v>
          </cell>
          <cell r="C156" t="str">
            <v>46 WELLINGTON ST.W.</v>
          </cell>
          <cell r="D156" t="str">
            <v>CHATHAM, ON</v>
          </cell>
          <cell r="E156">
            <v>505441</v>
          </cell>
        </row>
        <row r="157">
          <cell r="B157" t="str">
            <v>413CSD</v>
          </cell>
          <cell r="C157" t="str">
            <v>28 BRIDGE STREET</v>
          </cell>
          <cell r="D157" t="str">
            <v>BRADFORD, ON</v>
          </cell>
          <cell r="E157">
            <v>351011</v>
          </cell>
        </row>
        <row r="158">
          <cell r="B158" t="str">
            <v>414CSD</v>
          </cell>
          <cell r="C158" t="str">
            <v>598 ONTARIO STREET SOUTH</v>
          </cell>
          <cell r="D158" t="str">
            <v>MILTON, ON</v>
          </cell>
          <cell r="E158">
            <v>388899</v>
          </cell>
        </row>
        <row r="159">
          <cell r="B159" t="str">
            <v>415BMB</v>
          </cell>
          <cell r="C159" t="str">
            <v>726 ONTARIO STREET</v>
          </cell>
          <cell r="D159" t="str">
            <v>COBOURG, ON</v>
          </cell>
          <cell r="E159">
            <v>327093</v>
          </cell>
        </row>
        <row r="160">
          <cell r="B160" t="str">
            <v>417BMB</v>
          </cell>
          <cell r="C160" t="str">
            <v>#107-2071 KINGSWAY</v>
          </cell>
          <cell r="D160" t="str">
            <v>PORT COQUITLAM, B.C.</v>
          </cell>
          <cell r="E160">
            <v>312557</v>
          </cell>
        </row>
        <row r="161">
          <cell r="B161" t="str">
            <v>417CSD</v>
          </cell>
          <cell r="C161" t="str">
            <v>681 CHRISLEA ROAD</v>
          </cell>
          <cell r="D161" t="str">
            <v>VAUGHAN, ON</v>
          </cell>
          <cell r="E161">
            <v>388125.4</v>
          </cell>
        </row>
        <row r="162">
          <cell r="B162" t="str">
            <v>418BMB</v>
          </cell>
          <cell r="C162" t="str">
            <v>900 PITT STREET</v>
          </cell>
          <cell r="D162" t="str">
            <v>CORNWALL, ON</v>
          </cell>
          <cell r="E162">
            <v>393493</v>
          </cell>
        </row>
        <row r="163">
          <cell r="B163" t="str">
            <v>418CSD</v>
          </cell>
          <cell r="C163" t="str">
            <v>169-C FRONT STREET</v>
          </cell>
          <cell r="D163" t="str">
            <v>STURGEON FALLS, ON</v>
          </cell>
          <cell r="E163">
            <v>274251</v>
          </cell>
        </row>
        <row r="164">
          <cell r="B164" t="str">
            <v>419BMB</v>
          </cell>
          <cell r="C164" t="str">
            <v>445-10TH ST.</v>
          </cell>
          <cell r="D164" t="str">
            <v>COURTENAY, B.C.</v>
          </cell>
          <cell r="E164">
            <v>618778</v>
          </cell>
        </row>
        <row r="165">
          <cell r="B165" t="str">
            <v>420BMB</v>
          </cell>
          <cell r="C165" t="str">
            <v>216 SLATER ROAD N.W.</v>
          </cell>
          <cell r="D165" t="str">
            <v>CRANBROOK, B.C.</v>
          </cell>
          <cell r="E165">
            <v>391471</v>
          </cell>
        </row>
        <row r="166">
          <cell r="B166" t="str">
            <v>420CSD</v>
          </cell>
          <cell r="C166" t="str">
            <v>5401 STEELES AVE., WEST</v>
          </cell>
          <cell r="D166" t="str">
            <v>TORONTO, ON</v>
          </cell>
          <cell r="E166">
            <v>235337</v>
          </cell>
        </row>
        <row r="167">
          <cell r="B167" t="str">
            <v>421BMB</v>
          </cell>
          <cell r="C167" t="str">
            <v>#3-11161 -84TH AVENUE</v>
          </cell>
          <cell r="D167" t="str">
            <v>DELTA, B.C.</v>
          </cell>
          <cell r="E167">
            <v>182537</v>
          </cell>
        </row>
        <row r="168">
          <cell r="B168" t="str">
            <v>421CSD</v>
          </cell>
          <cell r="C168" t="str">
            <v>1681 WILSON AVE.</v>
          </cell>
          <cell r="D168" t="str">
            <v>TORONTO, ON</v>
          </cell>
          <cell r="E168">
            <v>0</v>
          </cell>
        </row>
        <row r="169">
          <cell r="B169" t="str">
            <v>422BMB</v>
          </cell>
          <cell r="C169" t="str">
            <v>2289 KING GEORGE HWY</v>
          </cell>
          <cell r="D169" t="str">
            <v>MIRAMICHI, N.B.</v>
          </cell>
          <cell r="E169">
            <v>286228</v>
          </cell>
        </row>
        <row r="170">
          <cell r="B170" t="str">
            <v>422CSD</v>
          </cell>
          <cell r="C170" t="str">
            <v>MALVERN TOWN CTR. 31 TAPSCOTT</v>
          </cell>
          <cell r="D170" t="str">
            <v>SCARBOROUGH, ON</v>
          </cell>
          <cell r="E170">
            <v>134383</v>
          </cell>
        </row>
        <row r="171">
          <cell r="B171" t="str">
            <v>424CSD</v>
          </cell>
          <cell r="C171" t="str">
            <v>688 HESPELER RD</v>
          </cell>
          <cell r="D171" t="str">
            <v>CAMBRIDGE, ON</v>
          </cell>
          <cell r="E171">
            <v>0</v>
          </cell>
        </row>
        <row r="172">
          <cell r="B172" t="str">
            <v>425BMB</v>
          </cell>
          <cell r="C172" t="str">
            <v>853 KIPLING AVENUE</v>
          </cell>
          <cell r="D172" t="str">
            <v>ETOBICOKE, ON</v>
          </cell>
          <cell r="E172">
            <v>883395</v>
          </cell>
        </row>
        <row r="173">
          <cell r="B173" t="str">
            <v>425CSD</v>
          </cell>
          <cell r="C173" t="str">
            <v>2188 WESTERN PKWY. U. OF B.C.</v>
          </cell>
          <cell r="D173" t="str">
            <v>W. VANCOUVER,B.C.</v>
          </cell>
          <cell r="E173">
            <v>153363</v>
          </cell>
        </row>
        <row r="174">
          <cell r="B174" t="str">
            <v>426BMB</v>
          </cell>
          <cell r="C174" t="str">
            <v>1331 MARTINGROVE ROAD</v>
          </cell>
          <cell r="D174" t="str">
            <v>ETOBICOKE, ON</v>
          </cell>
          <cell r="E174">
            <v>244002</v>
          </cell>
        </row>
        <row r="175">
          <cell r="B175" t="str">
            <v>426CSD</v>
          </cell>
          <cell r="C175" t="str">
            <v>1533 JANE ST.</v>
          </cell>
          <cell r="D175" t="str">
            <v>TORONTO, ON</v>
          </cell>
          <cell r="E175">
            <v>228609</v>
          </cell>
        </row>
        <row r="176">
          <cell r="B176" t="str">
            <v>427CSD</v>
          </cell>
          <cell r="C176" t="str">
            <v>16654 YONGE STREET</v>
          </cell>
          <cell r="D176" t="str">
            <v>NEWMARKET, ON</v>
          </cell>
          <cell r="E176">
            <v>0</v>
          </cell>
        </row>
        <row r="177">
          <cell r="B177" t="str">
            <v>430BMB</v>
          </cell>
          <cell r="C177" t="str">
            <v>256 SILVERCREEK PARKWAY</v>
          </cell>
          <cell r="D177" t="str">
            <v>GUELPH, ON</v>
          </cell>
          <cell r="E177">
            <v>1024652</v>
          </cell>
        </row>
        <row r="178">
          <cell r="B178" t="str">
            <v>431BMB</v>
          </cell>
          <cell r="C178" t="str">
            <v>307 NASH ROAD N.</v>
          </cell>
          <cell r="D178" t="str">
            <v>HAMILTON, ON</v>
          </cell>
          <cell r="E178">
            <v>1046535</v>
          </cell>
        </row>
        <row r="179">
          <cell r="B179" t="str">
            <v>433BMB</v>
          </cell>
          <cell r="C179" t="str">
            <v>325 REGENT STREET</v>
          </cell>
          <cell r="D179" t="str">
            <v>HAWKESBURY, ON</v>
          </cell>
          <cell r="E179">
            <v>353309</v>
          </cell>
        </row>
        <row r="180">
          <cell r="B180" t="str">
            <v>435BMB</v>
          </cell>
          <cell r="C180" t="str">
            <v>1231-12TH STREET</v>
          </cell>
          <cell r="D180" t="str">
            <v>KAMLOOPS, B.C.</v>
          </cell>
          <cell r="E180">
            <v>346523</v>
          </cell>
        </row>
        <row r="181">
          <cell r="B181" t="str">
            <v>435CSD</v>
          </cell>
          <cell r="C181" t="str">
            <v>430 KIPLING AVE.</v>
          </cell>
          <cell r="D181" t="str">
            <v>ETOBICOKE, ON</v>
          </cell>
          <cell r="E181">
            <v>278911</v>
          </cell>
        </row>
        <row r="182">
          <cell r="B182" t="str">
            <v>436BMB</v>
          </cell>
          <cell r="C182" t="str">
            <v>1891 SPRINGFIELD ROAD</v>
          </cell>
          <cell r="D182" t="str">
            <v>KELOWNA, B.C.</v>
          </cell>
          <cell r="E182">
            <v>272464</v>
          </cell>
        </row>
        <row r="183">
          <cell r="B183" t="str">
            <v>436CSD</v>
          </cell>
          <cell r="C183" t="str">
            <v>38 MAIN STREET</v>
          </cell>
          <cell r="D183" t="str">
            <v>COLDWATER, ON</v>
          </cell>
          <cell r="E183">
            <v>180255</v>
          </cell>
        </row>
        <row r="184">
          <cell r="B184" t="str">
            <v>437CSD</v>
          </cell>
          <cell r="C184" t="str">
            <v>1 FISHERMAN DR.</v>
          </cell>
          <cell r="D184" t="str">
            <v>BRAMPTON, ON</v>
          </cell>
          <cell r="E184">
            <v>0</v>
          </cell>
        </row>
        <row r="185">
          <cell r="B185" t="str">
            <v>438CSD</v>
          </cell>
          <cell r="C185" t="str">
            <v>932 BROCK STREET N.</v>
          </cell>
          <cell r="D185" t="str">
            <v>WHITBY, ON</v>
          </cell>
          <cell r="E185">
            <v>88049</v>
          </cell>
        </row>
        <row r="186">
          <cell r="B186" t="str">
            <v>439BMB</v>
          </cell>
          <cell r="C186" t="str">
            <v>20771 LANGLEY BYPASS HWY</v>
          </cell>
          <cell r="D186" t="str">
            <v>LANGLEY, B.C.</v>
          </cell>
          <cell r="E186">
            <v>655991</v>
          </cell>
        </row>
        <row r="187">
          <cell r="B187" t="str">
            <v>439CSD</v>
          </cell>
          <cell r="C187" t="str">
            <v>5060 SHEPPARD AVE. EAST</v>
          </cell>
          <cell r="D187" t="str">
            <v>SCARBOROUGH, ON</v>
          </cell>
          <cell r="E187">
            <v>0</v>
          </cell>
        </row>
        <row r="188">
          <cell r="B188" t="str">
            <v>442BMB</v>
          </cell>
          <cell r="C188" t="str">
            <v>2190 DUNDAS ST.E.</v>
          </cell>
          <cell r="D188" t="str">
            <v>LONDON, ON</v>
          </cell>
          <cell r="E188">
            <v>540071</v>
          </cell>
        </row>
        <row r="189">
          <cell r="B189" t="str">
            <v>442CSD</v>
          </cell>
          <cell r="E189">
            <v>0</v>
          </cell>
        </row>
        <row r="190">
          <cell r="B190" t="str">
            <v>443CSD</v>
          </cell>
          <cell r="E190">
            <v>0</v>
          </cell>
        </row>
        <row r="191">
          <cell r="B191" t="str">
            <v>448CSD</v>
          </cell>
          <cell r="E191">
            <v>0</v>
          </cell>
        </row>
        <row r="192">
          <cell r="B192" t="str">
            <v>451BMB</v>
          </cell>
          <cell r="C192" t="str">
            <v>1713-15 MAIN STREET</v>
          </cell>
          <cell r="D192" t="str">
            <v>MOOSE JAW, SK</v>
          </cell>
          <cell r="E192">
            <v>810978</v>
          </cell>
        </row>
        <row r="193">
          <cell r="B193" t="str">
            <v>452BMB</v>
          </cell>
          <cell r="C193" t="str">
            <v>1708 BOWEN ROAD</v>
          </cell>
          <cell r="D193" t="str">
            <v>NANAIMO, B.C.</v>
          </cell>
          <cell r="E193">
            <v>391360</v>
          </cell>
        </row>
        <row r="194">
          <cell r="B194" t="str">
            <v>455BMB</v>
          </cell>
          <cell r="C194" t="str">
            <v>250 GREENBANK ROAD</v>
          </cell>
          <cell r="D194" t="str">
            <v>NEPEAN, ON</v>
          </cell>
          <cell r="E194">
            <v>194440</v>
          </cell>
        </row>
        <row r="195">
          <cell r="B195" t="str">
            <v>457BMB</v>
          </cell>
          <cell r="C195" t="str">
            <v>745 CLARENCE STREET</v>
          </cell>
          <cell r="D195" t="str">
            <v>NORTH BAY, ON</v>
          </cell>
          <cell r="E195">
            <v>628586</v>
          </cell>
        </row>
        <row r="196">
          <cell r="B196" t="str">
            <v>463BMB</v>
          </cell>
          <cell r="C196" t="str">
            <v>1570 CARLING AVENUE</v>
          </cell>
          <cell r="D196" t="str">
            <v>OTTAWA, ON</v>
          </cell>
          <cell r="E196">
            <v>573875</v>
          </cell>
        </row>
        <row r="197">
          <cell r="B197" t="str">
            <v>464BMB</v>
          </cell>
          <cell r="C197" t="str">
            <v>2447-B KALADAR STREET</v>
          </cell>
          <cell r="D197" t="str">
            <v>OTTAWA, ON</v>
          </cell>
          <cell r="E197">
            <v>650794</v>
          </cell>
        </row>
        <row r="198">
          <cell r="B198" t="str">
            <v>465BMB</v>
          </cell>
          <cell r="C198" t="str">
            <v>471 HAZELDEAN ROAD</v>
          </cell>
          <cell r="D198" t="str">
            <v>KANATA, ON</v>
          </cell>
          <cell r="E198">
            <v>293663</v>
          </cell>
        </row>
        <row r="199">
          <cell r="B199" t="str">
            <v>468BMB</v>
          </cell>
          <cell r="C199" t="str">
            <v>130 HOWARD STREET</v>
          </cell>
          <cell r="D199" t="str">
            <v>PEMBROKE, ON</v>
          </cell>
          <cell r="E199">
            <v>574893</v>
          </cell>
        </row>
        <row r="200">
          <cell r="B200" t="str">
            <v>469BMB</v>
          </cell>
          <cell r="C200" t="str">
            <v>102-351 WESTMINSTER AVENUE</v>
          </cell>
          <cell r="D200" t="str">
            <v>PENTICTON, B.C.</v>
          </cell>
          <cell r="E200">
            <v>382997</v>
          </cell>
        </row>
        <row r="201">
          <cell r="B201" t="str">
            <v>472BMB</v>
          </cell>
          <cell r="C201" t="str">
            <v>3584 MASSEY DRIVE</v>
          </cell>
          <cell r="D201" t="str">
            <v>PRINCE GEORGE, B.C.</v>
          </cell>
          <cell r="E201">
            <v>119733</v>
          </cell>
        </row>
        <row r="202">
          <cell r="B202" t="str">
            <v>473BMB</v>
          </cell>
          <cell r="C202" t="str">
            <v>2319 TAYLOR DR.BUILDING B 1</v>
          </cell>
          <cell r="D202" t="str">
            <v>RED DEER, AB</v>
          </cell>
          <cell r="E202">
            <v>341456</v>
          </cell>
        </row>
        <row r="203">
          <cell r="B203" t="str">
            <v>478BMB</v>
          </cell>
          <cell r="C203" t="str">
            <v>5960 NO. 6 ROAD</v>
          </cell>
          <cell r="D203" t="str">
            <v>RICHMOND, B.C.</v>
          </cell>
          <cell r="E203">
            <v>945996</v>
          </cell>
        </row>
        <row r="204">
          <cell r="B204" t="str">
            <v>480BMB</v>
          </cell>
          <cell r="C204" t="str">
            <v>209 CARLTON ST.</v>
          </cell>
          <cell r="D204" t="str">
            <v>ST. CATHARINES, ON</v>
          </cell>
          <cell r="E204">
            <v>744220</v>
          </cell>
        </row>
        <row r="205">
          <cell r="B205" t="str">
            <v>484BMB</v>
          </cell>
          <cell r="C205" t="str">
            <v>242 INDIAN RD.S.EASTLAND PLAZA</v>
          </cell>
          <cell r="D205" t="str">
            <v>SARNIA, ON</v>
          </cell>
          <cell r="E205">
            <v>424901</v>
          </cell>
        </row>
        <row r="206">
          <cell r="B206" t="str">
            <v>486BMB</v>
          </cell>
          <cell r="C206" t="str">
            <v>2020 QUEBEC AVENUE</v>
          </cell>
          <cell r="D206" t="str">
            <v>SKATOON, SK</v>
          </cell>
          <cell r="E206">
            <v>740708</v>
          </cell>
        </row>
        <row r="207">
          <cell r="B207" t="str">
            <v>490BMB</v>
          </cell>
          <cell r="C207" t="str">
            <v>145 ERIE STREET</v>
          </cell>
          <cell r="D207" t="str">
            <v>STRATFORD, ON</v>
          </cell>
          <cell r="E207">
            <v>434942</v>
          </cell>
        </row>
        <row r="208">
          <cell r="B208" t="str">
            <v>491BMB</v>
          </cell>
          <cell r="C208" t="str">
            <v>1955 LASALLE BLVD.</v>
          </cell>
          <cell r="D208" t="str">
            <v>SUDBURY, ON</v>
          </cell>
          <cell r="E208">
            <v>525351</v>
          </cell>
        </row>
        <row r="209">
          <cell r="B209" t="str">
            <v>492BMB</v>
          </cell>
          <cell r="C209" t="str">
            <v>#3-7780 - 135A STREET</v>
          </cell>
          <cell r="D209" t="str">
            <v>SURREY, B.C.</v>
          </cell>
          <cell r="E209">
            <v>183076</v>
          </cell>
        </row>
        <row r="210">
          <cell r="B210" t="str">
            <v>493BMB</v>
          </cell>
          <cell r="C210" t="str">
            <v>#203A - 15988 FRASER HWY.</v>
          </cell>
          <cell r="D210" t="str">
            <v>SURREY, B.C.</v>
          </cell>
          <cell r="E210">
            <v>112979</v>
          </cell>
        </row>
        <row r="211">
          <cell r="B211" t="str">
            <v>494BMB</v>
          </cell>
          <cell r="C211" t="str">
            <v>55 VICTORIA ROAD</v>
          </cell>
          <cell r="D211" t="str">
            <v>SYDNEY, NS</v>
          </cell>
          <cell r="E211">
            <v>521200</v>
          </cell>
        </row>
        <row r="212">
          <cell r="B212" t="str">
            <v>497BMB</v>
          </cell>
          <cell r="C212" t="str">
            <v>100 WATERLOO RD.,HOLLINGER CT.</v>
          </cell>
          <cell r="D212" t="str">
            <v>TIMMINS, ON</v>
          </cell>
          <cell r="E212">
            <v>384959</v>
          </cell>
        </row>
        <row r="213">
          <cell r="B213" t="str">
            <v>498BMB</v>
          </cell>
          <cell r="C213" t="str">
            <v>5678-12TH AVENUE</v>
          </cell>
          <cell r="D213" t="str">
            <v>TSAWWASSEN(DELTA), B.C.</v>
          </cell>
          <cell r="E213">
            <v>132809</v>
          </cell>
        </row>
        <row r="214">
          <cell r="B214" t="str">
            <v>500BMB</v>
          </cell>
          <cell r="C214" t="str">
            <v>1630 SOUTH EAST MARINE DRIVE</v>
          </cell>
          <cell r="D214" t="str">
            <v>VANCOUVER, B.C.</v>
          </cell>
          <cell r="E214">
            <v>399891</v>
          </cell>
        </row>
        <row r="215">
          <cell r="B215" t="str">
            <v>506BMB</v>
          </cell>
          <cell r="C215" t="str">
            <v>750 HOPKINS STREET</v>
          </cell>
          <cell r="D215" t="str">
            <v>WHITBY, ON</v>
          </cell>
          <cell r="E215">
            <v>434377</v>
          </cell>
        </row>
        <row r="216">
          <cell r="B216" t="str">
            <v>507BMB</v>
          </cell>
          <cell r="C216" t="str">
            <v>1534 FOSTER STREET</v>
          </cell>
          <cell r="D216" t="str">
            <v>WHITE ROCK, B.C.</v>
          </cell>
          <cell r="E216">
            <v>252813</v>
          </cell>
        </row>
        <row r="217">
          <cell r="B217" t="str">
            <v>509BMB</v>
          </cell>
          <cell r="C217" t="str">
            <v>2825 LAUZON PARKWAY</v>
          </cell>
          <cell r="D217" t="str">
            <v>WINDSOR, ON</v>
          </cell>
          <cell r="E217">
            <v>612686</v>
          </cell>
        </row>
        <row r="218">
          <cell r="B218" t="str">
            <v>512BMB</v>
          </cell>
          <cell r="C218" t="str">
            <v>32 SMITH STREET W.</v>
          </cell>
          <cell r="D218" t="str">
            <v>YORKTON, SK</v>
          </cell>
          <cell r="E218">
            <v>506451</v>
          </cell>
        </row>
        <row r="219">
          <cell r="B219" t="str">
            <v>517BMB</v>
          </cell>
          <cell r="C219" t="str">
            <v>#206-21183 88th AVENUE</v>
          </cell>
          <cell r="D219" t="str">
            <v>WALNUT GROVE, B.C.</v>
          </cell>
          <cell r="E219">
            <v>279594</v>
          </cell>
        </row>
        <row r="220">
          <cell r="B220" t="str">
            <v>518BMB</v>
          </cell>
          <cell r="C220" t="str">
            <v>2015A LONG LAKE ROAD</v>
          </cell>
          <cell r="D220" t="str">
            <v>SUDBURY, ON</v>
          </cell>
          <cell r="E220">
            <v>170178</v>
          </cell>
        </row>
        <row r="221">
          <cell r="B221" t="str">
            <v>527BMB</v>
          </cell>
          <cell r="C221" t="str">
            <v>#24, 1415 HILLSIDE DRIVE</v>
          </cell>
          <cell r="D221" t="str">
            <v>KAMLOOPS, B.C.</v>
          </cell>
          <cell r="E221">
            <v>169593</v>
          </cell>
        </row>
        <row r="222">
          <cell r="B222" t="str">
            <v>528BMB</v>
          </cell>
          <cell r="C222" t="str">
            <v>11964 - 207TH STREET</v>
          </cell>
          <cell r="D222" t="str">
            <v>MAPLE RIDGE, BC</v>
          </cell>
          <cell r="E222">
            <v>7211</v>
          </cell>
        </row>
        <row r="223">
          <cell r="B223" t="str">
            <v>529BMB</v>
          </cell>
          <cell r="C223" t="str">
            <v>6750 ISLAND HIGHWAY</v>
          </cell>
          <cell r="D223" t="str">
            <v>NANAIMO, B.C.</v>
          </cell>
          <cell r="E223">
            <v>0</v>
          </cell>
        </row>
        <row r="224">
          <cell r="B224" t="str">
            <v>530BMB</v>
          </cell>
          <cell r="E224">
            <v>0</v>
          </cell>
        </row>
        <row r="225">
          <cell r="B225" t="str">
            <v>531BMB</v>
          </cell>
          <cell r="E225">
            <v>0</v>
          </cell>
        </row>
        <row r="226">
          <cell r="B226" t="str">
            <v>AW0004</v>
          </cell>
          <cell r="C226" t="str">
            <v>625 3RD LINE ROAD</v>
          </cell>
          <cell r="D226" t="str">
            <v>OAKVILLE, ON</v>
          </cell>
          <cell r="E226">
            <v>22719</v>
          </cell>
        </row>
        <row r="227">
          <cell r="B227" t="str">
            <v>AW0006</v>
          </cell>
          <cell r="C227" t="str">
            <v>2 BLOOR ST.E.(THE BAY)</v>
          </cell>
          <cell r="D227" t="str">
            <v>TORONTO, ON</v>
          </cell>
          <cell r="E227">
            <v>62885.83</v>
          </cell>
        </row>
        <row r="228">
          <cell r="B228" t="str">
            <v>AW0007</v>
          </cell>
          <cell r="C228" t="str">
            <v>970 PRINCESS STREET</v>
          </cell>
          <cell r="D228" t="str">
            <v>KINGSTON, ON</v>
          </cell>
          <cell r="E228">
            <v>158615.91</v>
          </cell>
        </row>
        <row r="229">
          <cell r="B229" t="str">
            <v>AW0008</v>
          </cell>
          <cell r="C229" t="str">
            <v>10 LEGEND COURT</v>
          </cell>
          <cell r="D229" t="str">
            <v>ANCASTER, ON</v>
          </cell>
          <cell r="E229">
            <v>65179</v>
          </cell>
        </row>
        <row r="230">
          <cell r="B230" t="str">
            <v>BING01</v>
          </cell>
          <cell r="C230" t="str">
            <v>2355 KEELE STREET</v>
          </cell>
          <cell r="D230" t="str">
            <v>NORTH YORK, ON</v>
          </cell>
          <cell r="E230">
            <v>129005</v>
          </cell>
        </row>
        <row r="231">
          <cell r="B231" t="str">
            <v>BING02</v>
          </cell>
          <cell r="C231" t="str">
            <v>825 UPPER CANADA DRIVE</v>
          </cell>
          <cell r="D231" t="str">
            <v>SARNIA, ON</v>
          </cell>
          <cell r="E231">
            <v>153701</v>
          </cell>
        </row>
        <row r="232">
          <cell r="B232" t="str">
            <v>BING03</v>
          </cell>
          <cell r="C232" t="str">
            <v>228 VICTORIA ROAD SOUTH</v>
          </cell>
          <cell r="D232" t="str">
            <v>GUELPH, ON</v>
          </cell>
          <cell r="E232">
            <v>23135</v>
          </cell>
        </row>
        <row r="233">
          <cell r="B233" t="str">
            <v>BING04</v>
          </cell>
          <cell r="C233" t="str">
            <v>2208 LASALLE RD.</v>
          </cell>
          <cell r="D233" t="str">
            <v>SUDBURY, ON</v>
          </cell>
          <cell r="E233">
            <v>123285</v>
          </cell>
        </row>
        <row r="234">
          <cell r="B234" t="str">
            <v>BING05</v>
          </cell>
          <cell r="C234" t="str">
            <v>51 FRONT STEET</v>
          </cell>
          <cell r="D234" t="str">
            <v>STRATHROY, ON</v>
          </cell>
          <cell r="E234">
            <v>46458</v>
          </cell>
        </row>
        <row r="235">
          <cell r="B235" t="str">
            <v>BING06</v>
          </cell>
          <cell r="C235" t="str">
            <v>806 CHELSEA STREET</v>
          </cell>
          <cell r="D235" t="str">
            <v>BROCKVILLE, ON</v>
          </cell>
          <cell r="E235">
            <v>72988</v>
          </cell>
        </row>
        <row r="236">
          <cell r="B236" t="str">
            <v>BING07</v>
          </cell>
          <cell r="C236" t="str">
            <v>1435 KING STREET, WEST</v>
          </cell>
          <cell r="D236" t="str">
            <v>TORONTO, ON</v>
          </cell>
          <cell r="E236">
            <v>42074</v>
          </cell>
        </row>
        <row r="237">
          <cell r="B237" t="str">
            <v>BING09</v>
          </cell>
          <cell r="C237" t="str">
            <v>75 FRID STREET</v>
          </cell>
          <cell r="D237" t="str">
            <v>HAMILTON, ON</v>
          </cell>
          <cell r="E237">
            <v>6793</v>
          </cell>
        </row>
        <row r="238">
          <cell r="B238" t="str">
            <v>BING10</v>
          </cell>
          <cell r="C238" t="str">
            <v>22 HERITAGE RD.</v>
          </cell>
          <cell r="D238" t="str">
            <v>MARKHAM, ON</v>
          </cell>
          <cell r="E238">
            <v>7000</v>
          </cell>
        </row>
        <row r="239">
          <cell r="B239" t="str">
            <v>BING11</v>
          </cell>
          <cell r="C239" t="str">
            <v>190 HWY 7 WEST</v>
          </cell>
          <cell r="D239" t="str">
            <v>BRAMPTON, ON</v>
          </cell>
          <cell r="E239">
            <v>150360</v>
          </cell>
        </row>
        <row r="240">
          <cell r="B240" t="str">
            <v>BING12</v>
          </cell>
          <cell r="C240" t="str">
            <v>2424 FINCH AVE. WEST</v>
          </cell>
          <cell r="D240" t="str">
            <v>NORTH YORK, ON</v>
          </cell>
          <cell r="E240">
            <v>219568</v>
          </cell>
        </row>
        <row r="241">
          <cell r="B241" t="str">
            <v>BING13</v>
          </cell>
          <cell r="C241" t="str">
            <v>2375 STEELES AVE., WEST</v>
          </cell>
          <cell r="D241" t="str">
            <v>NORTH YORK, ON</v>
          </cell>
          <cell r="E241">
            <v>132042</v>
          </cell>
        </row>
        <row r="242">
          <cell r="B242" t="str">
            <v>BING14</v>
          </cell>
          <cell r="C242" t="str">
            <v>671 WYANDOTTE ST., EAST</v>
          </cell>
          <cell r="D242" t="str">
            <v>WINDSOR, ON</v>
          </cell>
          <cell r="E242">
            <v>0</v>
          </cell>
        </row>
        <row r="243">
          <cell r="B243" t="str">
            <v>BING15</v>
          </cell>
          <cell r="C243" t="str">
            <v>4465 DRUMMOND ROAD</v>
          </cell>
          <cell r="D243" t="str">
            <v>NIAGARA FALLS, ON</v>
          </cell>
          <cell r="E243">
            <v>95286</v>
          </cell>
        </row>
        <row r="244">
          <cell r="B244" t="str">
            <v>BING16</v>
          </cell>
          <cell r="C244" t="str">
            <v>1371 PEMBROKE ST., W.</v>
          </cell>
          <cell r="D244" t="str">
            <v>PEMBROKE, ON</v>
          </cell>
          <cell r="E244">
            <v>75238</v>
          </cell>
        </row>
        <row r="245">
          <cell r="B245" t="str">
            <v>BING17</v>
          </cell>
          <cell r="C245" t="str">
            <v>132 RICHMOND ST.</v>
          </cell>
          <cell r="D245" t="str">
            <v>CHATHAM, ON</v>
          </cell>
          <cell r="E245">
            <v>117361</v>
          </cell>
        </row>
        <row r="246">
          <cell r="B246" t="str">
            <v>BING18</v>
          </cell>
          <cell r="C246" t="str">
            <v>1356 WEBER STREET EAST</v>
          </cell>
          <cell r="D246" t="str">
            <v>KITCHENER, ON</v>
          </cell>
          <cell r="E246">
            <v>66809</v>
          </cell>
        </row>
        <row r="247">
          <cell r="B247" t="str">
            <v>BING19</v>
          </cell>
          <cell r="C247" t="str">
            <v>401 CROFT STREET EAST</v>
          </cell>
          <cell r="D247" t="str">
            <v>PORT HOPE, ON</v>
          </cell>
          <cell r="E247">
            <v>4951</v>
          </cell>
        </row>
        <row r="248">
          <cell r="B248" t="str">
            <v>BING20</v>
          </cell>
          <cell r="C248" t="str">
            <v>884 DIVISION ST.</v>
          </cell>
          <cell r="D248" t="str">
            <v>COBOURG, ON</v>
          </cell>
          <cell r="E248">
            <v>79030</v>
          </cell>
        </row>
        <row r="249">
          <cell r="B249" t="str">
            <v>BING21</v>
          </cell>
          <cell r="C249" t="str">
            <v>610 MONARCH AVE.</v>
          </cell>
          <cell r="D249" t="str">
            <v>AJAX, ON</v>
          </cell>
          <cell r="E249">
            <v>116155</v>
          </cell>
        </row>
        <row r="250">
          <cell r="B250" t="str">
            <v>BING22</v>
          </cell>
          <cell r="C250" t="str">
            <v>140 EDWARD ST,</v>
          </cell>
          <cell r="D250" t="str">
            <v>ST. THOMAS, ON</v>
          </cell>
          <cell r="E250">
            <v>109742</v>
          </cell>
        </row>
        <row r="251">
          <cell r="B251" t="str">
            <v>BING23</v>
          </cell>
          <cell r="C251" t="str">
            <v>299 HARRY WALKER PARKWAY</v>
          </cell>
          <cell r="D251" t="str">
            <v>NEWMARKET, ON</v>
          </cell>
          <cell r="E251">
            <v>90043</v>
          </cell>
        </row>
        <row r="252">
          <cell r="B252" t="str">
            <v>BING24</v>
          </cell>
          <cell r="C252" t="str">
            <v>285 TAUNTON RD., EAST</v>
          </cell>
          <cell r="D252" t="str">
            <v>OSHAWA, ON</v>
          </cell>
          <cell r="E252">
            <v>110633</v>
          </cell>
        </row>
        <row r="253">
          <cell r="B253" t="str">
            <v>BING25</v>
          </cell>
          <cell r="C253" t="str">
            <v>5731 HIGHWAY #7 WEST</v>
          </cell>
          <cell r="D253" t="str">
            <v>WOODBRIDGE, ON</v>
          </cell>
          <cell r="E253">
            <v>12657</v>
          </cell>
        </row>
        <row r="254">
          <cell r="B254" t="str">
            <v>BING26</v>
          </cell>
          <cell r="C254" t="str">
            <v>1106 DEARNESS DR.</v>
          </cell>
          <cell r="D254" t="str">
            <v>LONDON, ON</v>
          </cell>
          <cell r="E254">
            <v>36151</v>
          </cell>
        </row>
        <row r="255">
          <cell r="B255" t="str">
            <v>BING27</v>
          </cell>
          <cell r="C255" t="str">
            <v>380 LYLE ST.</v>
          </cell>
          <cell r="D255" t="str">
            <v>LONDON, ON</v>
          </cell>
          <cell r="E255">
            <v>35236</v>
          </cell>
        </row>
        <row r="256">
          <cell r="B256" t="str">
            <v>BING28</v>
          </cell>
          <cell r="C256" t="str">
            <v>1851 SEYMOUR ST.</v>
          </cell>
          <cell r="D256" t="str">
            <v>NORTH BAY, ON</v>
          </cell>
          <cell r="E256">
            <v>84506</v>
          </cell>
        </row>
        <row r="257">
          <cell r="B257" t="str">
            <v>BING29</v>
          </cell>
          <cell r="C257" t="str">
            <v>8750 HIGHWAY #25 NORTH, RR#3</v>
          </cell>
          <cell r="D257" t="str">
            <v>MILTON, ON</v>
          </cell>
          <cell r="E257">
            <v>35830</v>
          </cell>
        </row>
        <row r="258">
          <cell r="B258" t="str">
            <v>BING30</v>
          </cell>
          <cell r="C258" t="str">
            <v>20 GLASTONBURY AVE.</v>
          </cell>
          <cell r="D258" t="str">
            <v>STRATFORD, ON</v>
          </cell>
          <cell r="E258">
            <v>32738</v>
          </cell>
        </row>
        <row r="259">
          <cell r="B259" t="str">
            <v>BING31</v>
          </cell>
          <cell r="C259" t="str">
            <v>440 JAMES ST. P.O.BOX 20045</v>
          </cell>
          <cell r="D259" t="str">
            <v>WALLACEBURG, ON.</v>
          </cell>
          <cell r="E259">
            <v>56666</v>
          </cell>
        </row>
        <row r="260">
          <cell r="B260" t="str">
            <v>BING33</v>
          </cell>
          <cell r="C260" t="str">
            <v>14 TRENT AVE</v>
          </cell>
          <cell r="D260" t="str">
            <v>TORONTO, ON</v>
          </cell>
          <cell r="E260">
            <v>106730</v>
          </cell>
        </row>
        <row r="261">
          <cell r="B261" t="str">
            <v>BING34</v>
          </cell>
          <cell r="C261" t="str">
            <v>7155 KINGSWAY #302</v>
          </cell>
          <cell r="D261" t="str">
            <v>BURNABY, B.C.</v>
          </cell>
          <cell r="E261">
            <v>97675</v>
          </cell>
        </row>
        <row r="262">
          <cell r="B262" t="str">
            <v>BING35</v>
          </cell>
          <cell r="C262" t="str">
            <v>7093 KING GEORGE VI HWY</v>
          </cell>
          <cell r="D262" t="str">
            <v>SURREY, B.C.</v>
          </cell>
          <cell r="E262">
            <v>181658</v>
          </cell>
        </row>
        <row r="263">
          <cell r="B263" t="str">
            <v>BUC001</v>
          </cell>
          <cell r="E263">
            <v>0</v>
          </cell>
        </row>
        <row r="264">
          <cell r="B264" t="str">
            <v>BUC002</v>
          </cell>
          <cell r="E264">
            <v>0</v>
          </cell>
        </row>
        <row r="265">
          <cell r="B265" t="str">
            <v>BUCK01</v>
          </cell>
          <cell r="C265" t="str">
            <v>140 ST. ANDREWS ST.</v>
          </cell>
          <cell r="D265" t="str">
            <v>CAMBRIDGE, ON</v>
          </cell>
          <cell r="E265">
            <v>77793</v>
          </cell>
        </row>
        <row r="266">
          <cell r="B266" t="str">
            <v>CRV001</v>
          </cell>
          <cell r="E266">
            <v>0</v>
          </cell>
        </row>
        <row r="267">
          <cell r="B267" t="str">
            <v>CTC012</v>
          </cell>
          <cell r="C267" t="str">
            <v>1125 WELLINGTON ROAD SOUTH</v>
          </cell>
          <cell r="D267" t="str">
            <v>LONDON, ON</v>
          </cell>
          <cell r="E267">
            <v>19752</v>
          </cell>
        </row>
        <row r="268">
          <cell r="B268" t="str">
            <v>ESS001</v>
          </cell>
          <cell r="E268">
            <v>0</v>
          </cell>
        </row>
        <row r="269">
          <cell r="B269" t="str">
            <v>ESS002</v>
          </cell>
          <cell r="E269">
            <v>0</v>
          </cell>
        </row>
        <row r="270">
          <cell r="B270" t="str">
            <v>ESS003</v>
          </cell>
          <cell r="E270">
            <v>0</v>
          </cell>
        </row>
        <row r="271">
          <cell r="B271" t="str">
            <v>ESS004</v>
          </cell>
          <cell r="E271">
            <v>0</v>
          </cell>
        </row>
        <row r="272">
          <cell r="B272" t="str">
            <v>ESS005</v>
          </cell>
          <cell r="E272">
            <v>0</v>
          </cell>
        </row>
        <row r="273">
          <cell r="B273" t="str">
            <v>ESS007</v>
          </cell>
          <cell r="E273">
            <v>0</v>
          </cell>
        </row>
        <row r="274">
          <cell r="B274" t="str">
            <v>ESS008</v>
          </cell>
          <cell r="E274">
            <v>0</v>
          </cell>
        </row>
        <row r="275">
          <cell r="B275" t="str">
            <v>GAL003</v>
          </cell>
          <cell r="C275" t="str">
            <v>293 BAY STREET</v>
          </cell>
          <cell r="D275" t="str">
            <v>SAULT STE. MARIE, ON</v>
          </cell>
          <cell r="E275">
            <v>0</v>
          </cell>
        </row>
        <row r="276">
          <cell r="B276" t="str">
            <v>GAL004</v>
          </cell>
          <cell r="C276" t="str">
            <v xml:space="preserve">300 LAKESHORE DRIVE </v>
          </cell>
          <cell r="D276" t="str">
            <v>NORTH BAY, ON</v>
          </cell>
          <cell r="E276">
            <v>0</v>
          </cell>
        </row>
        <row r="277">
          <cell r="B277" t="str">
            <v>GAL005</v>
          </cell>
          <cell r="C277" t="str">
            <v xml:space="preserve">85 FITH AVENUE </v>
          </cell>
          <cell r="D277" t="str">
            <v>ORANGEVILLE, ON</v>
          </cell>
          <cell r="E277">
            <v>0</v>
          </cell>
        </row>
        <row r="278">
          <cell r="B278" t="str">
            <v>GAL006</v>
          </cell>
          <cell r="C278" t="str">
            <v>1020 10TH STREET WEST</v>
          </cell>
          <cell r="D278" t="str">
            <v>OWEN SOUND, ON</v>
          </cell>
          <cell r="E278">
            <v>0</v>
          </cell>
        </row>
        <row r="279">
          <cell r="B279" t="str">
            <v>GAL007</v>
          </cell>
          <cell r="C279" t="str">
            <v>1325 SECOND ST EAST</v>
          </cell>
          <cell r="D279" t="str">
            <v>CORNWALL,ON</v>
          </cell>
          <cell r="E279">
            <v>0</v>
          </cell>
        </row>
        <row r="280">
          <cell r="B280" t="str">
            <v>GAL008</v>
          </cell>
          <cell r="C280" t="str">
            <v xml:space="preserve">355 HESPELER ROAD </v>
          </cell>
          <cell r="D280" t="str">
            <v>CAMBRIDGE,ON</v>
          </cell>
          <cell r="E280">
            <v>0</v>
          </cell>
        </row>
        <row r="281">
          <cell r="B281" t="str">
            <v>GAL009</v>
          </cell>
          <cell r="C281" t="str">
            <v>MOUNTAIN VIEW MALL</v>
          </cell>
          <cell r="D281" t="str">
            <v>MIDLAND, ON</v>
          </cell>
          <cell r="E281">
            <v>0</v>
          </cell>
        </row>
        <row r="282">
          <cell r="B282" t="str">
            <v>GAL010</v>
          </cell>
          <cell r="C282" t="str">
            <v>213-4750 RUTHERFORD RD</v>
          </cell>
          <cell r="D282" t="str">
            <v>NANAIMO,B.C.</v>
          </cell>
          <cell r="E282">
            <v>0</v>
          </cell>
        </row>
        <row r="283">
          <cell r="B283" t="str">
            <v>GAL011</v>
          </cell>
          <cell r="C283" t="str">
            <v xml:space="preserve">2020 SHERWOOD DRIVE </v>
          </cell>
          <cell r="D283" t="str">
            <v xml:space="preserve">SHERWOOD PARK,AB </v>
          </cell>
          <cell r="E283">
            <v>0</v>
          </cell>
        </row>
        <row r="284">
          <cell r="B284" t="str">
            <v>GAL012</v>
          </cell>
          <cell r="C284" t="str">
            <v xml:space="preserve">1235 MAIN STREET N. </v>
          </cell>
          <cell r="D284" t="str">
            <v>MOOSE JAW, SK</v>
          </cell>
          <cell r="E284">
            <v>0</v>
          </cell>
        </row>
        <row r="285">
          <cell r="B285" t="str">
            <v>GAL013</v>
          </cell>
          <cell r="C285" t="str">
            <v>1C-2995 SECOND AVE. W</v>
          </cell>
          <cell r="D285" t="str">
            <v>PRINCE ALBERT, SK</v>
          </cell>
          <cell r="E285">
            <v>0</v>
          </cell>
        </row>
        <row r="286">
          <cell r="B286" t="str">
            <v>GAL014</v>
          </cell>
          <cell r="C286" t="str">
            <v>UNIT 25-420 MCCARTHY BLVD. N</v>
          </cell>
          <cell r="D286" t="str">
            <v>REGINA, SK.</v>
          </cell>
          <cell r="E286">
            <v>0</v>
          </cell>
        </row>
        <row r="287">
          <cell r="B287" t="str">
            <v>GAL015</v>
          </cell>
          <cell r="E287">
            <v>0</v>
          </cell>
        </row>
        <row r="288">
          <cell r="B288" t="str">
            <v>GAL016</v>
          </cell>
          <cell r="E288">
            <v>0</v>
          </cell>
        </row>
        <row r="289">
          <cell r="B289" t="str">
            <v>GLO001</v>
          </cell>
          <cell r="E289">
            <v>0</v>
          </cell>
        </row>
        <row r="290">
          <cell r="B290" t="str">
            <v>GLO002</v>
          </cell>
          <cell r="E290">
            <v>0</v>
          </cell>
        </row>
        <row r="291">
          <cell r="B291" t="str">
            <v>GLO003</v>
          </cell>
          <cell r="E291">
            <v>0</v>
          </cell>
        </row>
        <row r="292">
          <cell r="B292" t="str">
            <v>IND002</v>
          </cell>
          <cell r="C292" t="str">
            <v>C/O 93 RAYMORE DR.</v>
          </cell>
          <cell r="D292" t="str">
            <v>WESTON, ON</v>
          </cell>
          <cell r="E292">
            <v>0</v>
          </cell>
        </row>
        <row r="293">
          <cell r="B293" t="str">
            <v>IND005</v>
          </cell>
          <cell r="C293" t="str">
            <v>C/O 65 FRONT ST.W.</v>
          </cell>
          <cell r="D293" t="str">
            <v>TORONTO, ON</v>
          </cell>
          <cell r="E293">
            <v>229762</v>
          </cell>
        </row>
        <row r="294">
          <cell r="B294" t="str">
            <v>IND006</v>
          </cell>
          <cell r="C294" t="str">
            <v>8 WILLIAM KITCHEN ROAD</v>
          </cell>
          <cell r="D294" t="str">
            <v>SCARBOROUGH, ON</v>
          </cell>
          <cell r="E294">
            <v>71120</v>
          </cell>
        </row>
        <row r="295">
          <cell r="B295" t="str">
            <v>IND007</v>
          </cell>
          <cell r="C295" t="str">
            <v xml:space="preserve">5837 YONGE ST. </v>
          </cell>
          <cell r="D295" t="str">
            <v>WILLOWDALE, ON</v>
          </cell>
          <cell r="E295">
            <v>9457</v>
          </cell>
        </row>
        <row r="296">
          <cell r="B296" t="str">
            <v>IND008</v>
          </cell>
          <cell r="C296" t="str">
            <v xml:space="preserve">E.YORK TOWN CTR. 45 OVERLEA </v>
          </cell>
          <cell r="D296" t="str">
            <v>TORONTO, ON</v>
          </cell>
          <cell r="E296">
            <v>15133</v>
          </cell>
        </row>
        <row r="297">
          <cell r="B297" t="str">
            <v>IND009</v>
          </cell>
          <cell r="C297" t="str">
            <v>15 FRONT STREET</v>
          </cell>
          <cell r="D297" t="str">
            <v>MACTIER, ON</v>
          </cell>
          <cell r="E297">
            <v>189526</v>
          </cell>
        </row>
        <row r="298">
          <cell r="B298" t="str">
            <v>IND011</v>
          </cell>
          <cell r="C298" t="str">
            <v>3497 LAWRENCE AVE. E.</v>
          </cell>
          <cell r="D298" t="str">
            <v>SCARBOROUGH, ON</v>
          </cell>
          <cell r="E298">
            <v>12317</v>
          </cell>
        </row>
        <row r="299">
          <cell r="B299" t="str">
            <v>IND012</v>
          </cell>
          <cell r="C299" t="str">
            <v>2300 LAWRENCE AVE.E.</v>
          </cell>
          <cell r="D299" t="str">
            <v>SCARBOROUGH, ON</v>
          </cell>
          <cell r="E299">
            <v>10116</v>
          </cell>
        </row>
        <row r="300">
          <cell r="B300" t="str">
            <v>IND013</v>
          </cell>
          <cell r="C300" t="str">
            <v>320 BAYFIELD ST, UNIT M1</v>
          </cell>
          <cell r="D300" t="str">
            <v>BARRIE, ON</v>
          </cell>
          <cell r="E300">
            <v>16185</v>
          </cell>
        </row>
        <row r="301">
          <cell r="B301" t="str">
            <v>IND014</v>
          </cell>
          <cell r="C301" t="str">
            <v>259 GRANGE RD.</v>
          </cell>
          <cell r="D301" t="str">
            <v>GUELPH, ON</v>
          </cell>
          <cell r="E301">
            <v>10867</v>
          </cell>
        </row>
        <row r="302">
          <cell r="B302" t="str">
            <v>IND015</v>
          </cell>
          <cell r="C302" t="str">
            <v>100 KEIL DR. S.</v>
          </cell>
          <cell r="D302" t="str">
            <v>CHATHAM, ON</v>
          </cell>
          <cell r="E302">
            <v>8094</v>
          </cell>
        </row>
        <row r="303">
          <cell r="B303" t="str">
            <v>IND016</v>
          </cell>
          <cell r="C303" t="str">
            <v>2788 BATHURST ST.</v>
          </cell>
          <cell r="D303" t="str">
            <v>TORONTO, ON</v>
          </cell>
          <cell r="E303">
            <v>6008</v>
          </cell>
        </row>
        <row r="304">
          <cell r="B304" t="str">
            <v>IND017</v>
          </cell>
          <cell r="C304" t="str">
            <v>639 COLBORNE ST.</v>
          </cell>
          <cell r="D304" t="str">
            <v>BRANTFORD, ON</v>
          </cell>
          <cell r="E304">
            <v>5728</v>
          </cell>
        </row>
        <row r="305">
          <cell r="B305" t="str">
            <v>IND018</v>
          </cell>
          <cell r="C305" t="str">
            <v>265 MAIN STREET</v>
          </cell>
          <cell r="D305" t="str">
            <v>WOODSTOCK, ON</v>
          </cell>
          <cell r="E305">
            <v>8942</v>
          </cell>
        </row>
        <row r="306">
          <cell r="B306" t="str">
            <v>IND020</v>
          </cell>
          <cell r="C306" t="str">
            <v>67 ELLESMERE RD.</v>
          </cell>
          <cell r="D306" t="str">
            <v>SCARBOROUGH, ON</v>
          </cell>
          <cell r="E306">
            <v>8425</v>
          </cell>
        </row>
        <row r="307">
          <cell r="B307" t="str">
            <v>IND021</v>
          </cell>
          <cell r="C307" t="str">
            <v>5429 DUNDAS ST., W.</v>
          </cell>
          <cell r="D307" t="str">
            <v>ETOBICOKE, ON</v>
          </cell>
          <cell r="E307">
            <v>15665</v>
          </cell>
        </row>
        <row r="308">
          <cell r="B308" t="str">
            <v>IND022</v>
          </cell>
          <cell r="C308" t="str">
            <v>845 CHEMONG RD.</v>
          </cell>
          <cell r="D308" t="str">
            <v>PETERBOROUGH, ON</v>
          </cell>
          <cell r="E308">
            <v>5804</v>
          </cell>
        </row>
        <row r="309">
          <cell r="B309" t="str">
            <v>IND023</v>
          </cell>
          <cell r="C309" t="str">
            <v>121 HIGHWAY #8</v>
          </cell>
          <cell r="D309" t="str">
            <v>STONEY CREEK, ON</v>
          </cell>
          <cell r="E309">
            <v>8392</v>
          </cell>
        </row>
        <row r="310">
          <cell r="B310" t="str">
            <v>IND024</v>
          </cell>
          <cell r="C310" t="str">
            <v>851 JANE ST.</v>
          </cell>
          <cell r="D310" t="str">
            <v>TORONTO, ON</v>
          </cell>
          <cell r="E310">
            <v>2492</v>
          </cell>
        </row>
        <row r="311">
          <cell r="B311" t="str">
            <v>IND025</v>
          </cell>
          <cell r="C311" t="str">
            <v>115 REXDALE BLVD.</v>
          </cell>
          <cell r="D311" t="str">
            <v xml:space="preserve">REXDALE, ON </v>
          </cell>
          <cell r="E311">
            <v>10284</v>
          </cell>
        </row>
        <row r="312">
          <cell r="B312" t="str">
            <v>IND027</v>
          </cell>
          <cell r="C312" t="str">
            <v>4726 BANK STREET</v>
          </cell>
          <cell r="D312" t="str">
            <v>GLOUCESTER, ON</v>
          </cell>
          <cell r="E312">
            <v>213808.8</v>
          </cell>
        </row>
        <row r="313">
          <cell r="B313" t="str">
            <v>IND028</v>
          </cell>
          <cell r="C313" t="str">
            <v>C/O 4726 BANK STREET</v>
          </cell>
          <cell r="D313" t="str">
            <v>GLOUCESTER, ON</v>
          </cell>
          <cell r="E313">
            <v>469347.51</v>
          </cell>
        </row>
        <row r="314">
          <cell r="B314" t="str">
            <v>IND031</v>
          </cell>
          <cell r="C314" t="str">
            <v>5 MAIN ST. E.</v>
          </cell>
          <cell r="D314" t="str">
            <v>MILTON, ON</v>
          </cell>
          <cell r="E314">
            <v>44701</v>
          </cell>
        </row>
        <row r="315">
          <cell r="B315" t="str">
            <v>IND036</v>
          </cell>
          <cell r="C315" t="str">
            <v>211 KING ST.</v>
          </cell>
          <cell r="D315" t="str">
            <v>ELDEE, ON</v>
          </cell>
          <cell r="E315">
            <v>163709</v>
          </cell>
        </row>
        <row r="316">
          <cell r="B316" t="str">
            <v>IND038</v>
          </cell>
          <cell r="C316" t="str">
            <v>17551 WOODBINE AVE</v>
          </cell>
          <cell r="D316" t="str">
            <v>NEWMARKET, ON</v>
          </cell>
          <cell r="E316">
            <v>378203.88</v>
          </cell>
        </row>
        <row r="317">
          <cell r="B317" t="str">
            <v>IND041</v>
          </cell>
          <cell r="C317" t="str">
            <v>740 DUFFERIN ST.</v>
          </cell>
          <cell r="D317" t="str">
            <v>TORONTO, ON</v>
          </cell>
          <cell r="E317">
            <v>173650</v>
          </cell>
        </row>
        <row r="318">
          <cell r="B318" t="str">
            <v>IND044</v>
          </cell>
          <cell r="C318" t="str">
            <v>28020 FRASER HIGHWAY</v>
          </cell>
          <cell r="D318" t="str">
            <v>ABBOTSFORD, B.C.</v>
          </cell>
          <cell r="E318">
            <v>36805</v>
          </cell>
        </row>
        <row r="319">
          <cell r="B319" t="str">
            <v>IND045</v>
          </cell>
          <cell r="C319" t="str">
            <v>2692 HWY.#12, P.O.BOX 66</v>
          </cell>
          <cell r="D319" t="str">
            <v>BRECHIN, ON</v>
          </cell>
          <cell r="E319">
            <v>279160</v>
          </cell>
        </row>
        <row r="320">
          <cell r="B320" t="str">
            <v>IND046</v>
          </cell>
          <cell r="C320" t="str">
            <v>229 RORKE AVE.</v>
          </cell>
          <cell r="D320" t="str">
            <v>HAILEYBURY, ON</v>
          </cell>
          <cell r="E320">
            <v>391074.77</v>
          </cell>
        </row>
        <row r="321">
          <cell r="B321" t="str">
            <v>IND048</v>
          </cell>
          <cell r="C321" t="str">
            <v>7060 - HIGHWAY 27</v>
          </cell>
          <cell r="D321" t="str">
            <v>THORNTON, ON</v>
          </cell>
          <cell r="E321">
            <v>228896</v>
          </cell>
        </row>
        <row r="322">
          <cell r="B322" t="str">
            <v>IND051</v>
          </cell>
          <cell r="C322" t="str">
            <v>701 KROSNOS BLVD.</v>
          </cell>
          <cell r="D322" t="str">
            <v>PICKERING, ON</v>
          </cell>
          <cell r="E322">
            <v>27615</v>
          </cell>
        </row>
        <row r="323">
          <cell r="B323" t="str">
            <v>IND052</v>
          </cell>
          <cell r="C323" t="str">
            <v>22766 WOODBINE AVENUE</v>
          </cell>
          <cell r="D323" t="str">
            <v>KESWICK, ON</v>
          </cell>
          <cell r="E323">
            <v>302025</v>
          </cell>
        </row>
        <row r="324">
          <cell r="B324" t="str">
            <v>IND053</v>
          </cell>
          <cell r="C324" t="str">
            <v>1515 KING RD. UNIT 1</v>
          </cell>
          <cell r="D324" t="str">
            <v>KING CITY, ON</v>
          </cell>
          <cell r="E324">
            <v>87400.68</v>
          </cell>
        </row>
        <row r="325">
          <cell r="B325" t="str">
            <v>IND056</v>
          </cell>
          <cell r="C325" t="str">
            <v>2141 CARP ROAD</v>
          </cell>
          <cell r="D325" t="str">
            <v>CARP, ON</v>
          </cell>
          <cell r="E325">
            <v>39696</v>
          </cell>
        </row>
        <row r="326">
          <cell r="B326" t="str">
            <v>IND060</v>
          </cell>
          <cell r="C326" t="str">
            <v>914 UPPER JAMES STREET</v>
          </cell>
          <cell r="D326" t="str">
            <v>HAMILTON, ON</v>
          </cell>
          <cell r="E326">
            <v>60856</v>
          </cell>
        </row>
        <row r="327">
          <cell r="B327" t="str">
            <v>IND061</v>
          </cell>
          <cell r="C327" t="str">
            <v>277 HESPELER ROAD</v>
          </cell>
          <cell r="D327" t="str">
            <v>CAMBRIDGE, ON</v>
          </cell>
          <cell r="E327">
            <v>38058</v>
          </cell>
        </row>
        <row r="328">
          <cell r="B328" t="str">
            <v>IND062</v>
          </cell>
          <cell r="C328" t="str">
            <v xml:space="preserve">HWY #11B, P.O. BOX 638 </v>
          </cell>
          <cell r="D328" t="str">
            <v>NEW LISKEARD, ON</v>
          </cell>
          <cell r="E328">
            <v>158999</v>
          </cell>
        </row>
        <row r="329">
          <cell r="B329" t="str">
            <v>IND064</v>
          </cell>
          <cell r="C329" t="str">
            <v>CONESTOGA MALL</v>
          </cell>
          <cell r="D329" t="str">
            <v>WATERLOO, ON</v>
          </cell>
          <cell r="E329">
            <v>16980</v>
          </cell>
        </row>
        <row r="330">
          <cell r="B330" t="str">
            <v>IND066</v>
          </cell>
          <cell r="C330" t="str">
            <v>151 KING GEORGE ROAD</v>
          </cell>
          <cell r="D330" t="str">
            <v>BRANTFORD, ON</v>
          </cell>
          <cell r="E330">
            <v>62949</v>
          </cell>
        </row>
        <row r="331">
          <cell r="B331" t="str">
            <v>IND067</v>
          </cell>
          <cell r="C331" t="str">
            <v>500 EAGLESON ROAD</v>
          </cell>
          <cell r="D331" t="str">
            <v>KANATA, ON</v>
          </cell>
          <cell r="E331">
            <v>38769</v>
          </cell>
        </row>
        <row r="332">
          <cell r="B332" t="str">
            <v>IND068</v>
          </cell>
          <cell r="C332" t="str">
            <v>1401 MATHESON BLVD.</v>
          </cell>
          <cell r="D332" t="str">
            <v>MISSISSAUGA, ON</v>
          </cell>
          <cell r="E332">
            <v>11689</v>
          </cell>
        </row>
        <row r="333">
          <cell r="B333" t="str">
            <v>IND069</v>
          </cell>
          <cell r="C333" t="str">
            <v>653 PARKHILL ROAD WEST</v>
          </cell>
          <cell r="D333" t="str">
            <v>PETERBOROUGH, ON</v>
          </cell>
          <cell r="E333">
            <v>30530</v>
          </cell>
        </row>
        <row r="334">
          <cell r="B334" t="str">
            <v>IND070</v>
          </cell>
          <cell r="C334" t="str">
            <v>5020 HIGHWAY 7 WEST</v>
          </cell>
          <cell r="D334" t="str">
            <v>WOODBRIDGE, ON</v>
          </cell>
          <cell r="E334">
            <v>8441</v>
          </cell>
        </row>
        <row r="335">
          <cell r="B335" t="str">
            <v>IND071</v>
          </cell>
          <cell r="C335" t="str">
            <v>1000 NEW WESTMINISTER DRIVE</v>
          </cell>
          <cell r="D335" t="str">
            <v>THORNHILL, ON</v>
          </cell>
          <cell r="E335">
            <v>15543</v>
          </cell>
        </row>
        <row r="336">
          <cell r="B336" t="str">
            <v>IND072</v>
          </cell>
          <cell r="C336" t="str">
            <v>8141 MARTINGROVE ROAD</v>
          </cell>
          <cell r="D336" t="str">
            <v>WOODBRIDGE, ON</v>
          </cell>
          <cell r="E336">
            <v>4579</v>
          </cell>
        </row>
        <row r="337">
          <cell r="B337" t="str">
            <v>IND073</v>
          </cell>
          <cell r="C337" t="str">
            <v>9201 ISLINGTON AVENUE</v>
          </cell>
          <cell r="D337" t="str">
            <v>WOODBRIDGE, ON</v>
          </cell>
          <cell r="E337">
            <v>40684</v>
          </cell>
        </row>
        <row r="338">
          <cell r="B338" t="str">
            <v>IND074</v>
          </cell>
          <cell r="C338" t="str">
            <v>501 CLARK AVENUE</v>
          </cell>
          <cell r="D338" t="str">
            <v>THORNHILL, ON</v>
          </cell>
          <cell r="E338">
            <v>28516</v>
          </cell>
        </row>
        <row r="339">
          <cell r="B339" t="str">
            <v>IND075</v>
          </cell>
          <cell r="C339" t="str">
            <v>320 WATER ST.</v>
          </cell>
          <cell r="D339" t="str">
            <v>PETERBOROUGH, ON</v>
          </cell>
          <cell r="E339">
            <v>12727</v>
          </cell>
        </row>
        <row r="340">
          <cell r="B340" t="str">
            <v>IND076</v>
          </cell>
          <cell r="C340" t="str">
            <v>2317 ST. CLAIR AVE. WEST</v>
          </cell>
          <cell r="D340" t="str">
            <v>TORONTO, ON</v>
          </cell>
          <cell r="E340">
            <v>0</v>
          </cell>
        </row>
        <row r="341">
          <cell r="B341" t="str">
            <v>IND077</v>
          </cell>
          <cell r="C341" t="str">
            <v xml:space="preserve">18 PETER STREET(C/O HOPE'S </v>
          </cell>
          <cell r="D341" t="str">
            <v>FOODLAND) NOVAR, ON</v>
          </cell>
          <cell r="E341">
            <v>13563</v>
          </cell>
        </row>
        <row r="342">
          <cell r="B342" t="str">
            <v>IND078</v>
          </cell>
          <cell r="E342">
            <v>0</v>
          </cell>
        </row>
        <row r="343">
          <cell r="B343" t="str">
            <v>IND084</v>
          </cell>
          <cell r="E343">
            <v>0</v>
          </cell>
        </row>
        <row r="344">
          <cell r="B344" t="str">
            <v>IND086</v>
          </cell>
          <cell r="E344">
            <v>0</v>
          </cell>
        </row>
        <row r="345">
          <cell r="B345" t="str">
            <v>IND087</v>
          </cell>
          <cell r="E345">
            <v>0</v>
          </cell>
        </row>
        <row r="346">
          <cell r="B346" t="str">
            <v>LAN001</v>
          </cell>
          <cell r="C346" t="str">
            <v>2832 HWY #60</v>
          </cell>
          <cell r="D346" t="str">
            <v>DWIGHT, ON</v>
          </cell>
          <cell r="E346">
            <v>0</v>
          </cell>
        </row>
        <row r="347">
          <cell r="B347" t="str">
            <v>MEN001</v>
          </cell>
          <cell r="E347">
            <v>0</v>
          </cell>
        </row>
        <row r="348">
          <cell r="B348" t="str">
            <v>MEN002</v>
          </cell>
          <cell r="E348">
            <v>0</v>
          </cell>
        </row>
        <row r="349">
          <cell r="B349" t="str">
            <v>MEN003</v>
          </cell>
          <cell r="E349">
            <v>0</v>
          </cell>
        </row>
        <row r="350">
          <cell r="B350" t="str">
            <v>MRV006</v>
          </cell>
          <cell r="C350" t="str">
            <v>2467 EGLINTON AVENUE EAST</v>
          </cell>
          <cell r="D350" t="str">
            <v>SCARBOROUGH, ON</v>
          </cell>
          <cell r="E350">
            <v>0</v>
          </cell>
        </row>
        <row r="351">
          <cell r="B351" t="str">
            <v>MRV007</v>
          </cell>
          <cell r="C351" t="str">
            <v>2231 LAWRENCE AVENUE EAST</v>
          </cell>
          <cell r="D351" t="str">
            <v>SCARBOROUGH, ON</v>
          </cell>
          <cell r="E351">
            <v>0</v>
          </cell>
        </row>
        <row r="352">
          <cell r="B352" t="str">
            <v>MRV008</v>
          </cell>
          <cell r="C352" t="str">
            <v>4285 LAWRENCE AVENUE EAST</v>
          </cell>
          <cell r="D352" t="str">
            <v>SCARBOROUGH, ON</v>
          </cell>
          <cell r="E352">
            <v>0</v>
          </cell>
        </row>
        <row r="353">
          <cell r="B353" t="str">
            <v>MRV009</v>
          </cell>
          <cell r="C353" t="str">
            <v>3600 KINGSTON ROAD</v>
          </cell>
          <cell r="D353" t="str">
            <v>SCARBOROUGH, ON</v>
          </cell>
          <cell r="E353">
            <v>0</v>
          </cell>
        </row>
        <row r="354">
          <cell r="B354" t="str">
            <v>MRV010</v>
          </cell>
          <cell r="C354" t="str">
            <v>1967 ELLESMERE ROAD</v>
          </cell>
          <cell r="D354" t="str">
            <v>SCARBOROUGH, ON</v>
          </cell>
          <cell r="E354">
            <v>0</v>
          </cell>
        </row>
        <row r="355">
          <cell r="B355" t="str">
            <v>MRV011</v>
          </cell>
          <cell r="C355" t="str">
            <v>30 SEWELLS ROAD</v>
          </cell>
          <cell r="D355" t="str">
            <v>SCARBOROUGH,ON</v>
          </cell>
          <cell r="E355">
            <v>0</v>
          </cell>
        </row>
        <row r="356">
          <cell r="B356" t="str">
            <v>MRV012</v>
          </cell>
          <cell r="C356" t="str">
            <v>31 GLEN WATFORD DRIVE</v>
          </cell>
          <cell r="D356" t="str">
            <v>SCARBOROUGH, ON</v>
          </cell>
          <cell r="E356">
            <v>0</v>
          </cell>
        </row>
        <row r="357">
          <cell r="B357" t="str">
            <v>MRV014</v>
          </cell>
          <cell r="C357" t="str">
            <v>1138 BATHURST ST</v>
          </cell>
          <cell r="D357" t="str">
            <v>TORONTO, ON</v>
          </cell>
          <cell r="E357">
            <v>0</v>
          </cell>
        </row>
        <row r="358">
          <cell r="B358" t="str">
            <v>MRV015</v>
          </cell>
          <cell r="C358" t="str">
            <v>600 OSHAWA BLVD NORTH</v>
          </cell>
          <cell r="D358" t="str">
            <v>OSHAWA, ON</v>
          </cell>
          <cell r="E358">
            <v>0</v>
          </cell>
        </row>
        <row r="359">
          <cell r="B359" t="str">
            <v>MRV016</v>
          </cell>
          <cell r="C359" t="str">
            <v>243 WILMINGTON AVENUE</v>
          </cell>
          <cell r="D359" t="str">
            <v>NORTH YORK, ON</v>
          </cell>
          <cell r="E359">
            <v>0</v>
          </cell>
        </row>
        <row r="360">
          <cell r="B360" t="str">
            <v>MRV017</v>
          </cell>
          <cell r="C360" t="str">
            <v xml:space="preserve">1500 GULLEDIN DRIVE </v>
          </cell>
          <cell r="D360" t="str">
            <v>MISSISSAUGA, ON</v>
          </cell>
          <cell r="E360">
            <v>0</v>
          </cell>
        </row>
        <row r="361">
          <cell r="B361" t="str">
            <v>MRV018</v>
          </cell>
          <cell r="C361" t="str">
            <v xml:space="preserve">1399 CAWTHRA ROAD </v>
          </cell>
          <cell r="D361" t="str">
            <v>MISSISSAUGA, ON</v>
          </cell>
          <cell r="E361">
            <v>0</v>
          </cell>
        </row>
        <row r="362">
          <cell r="B362" t="str">
            <v>MRV019</v>
          </cell>
          <cell r="C362" t="str">
            <v>2475 TRUSCOTT DR</v>
          </cell>
          <cell r="D362" t="str">
            <v>MISSISSAUGA, ON</v>
          </cell>
          <cell r="E362">
            <v>0</v>
          </cell>
        </row>
        <row r="363">
          <cell r="B363" t="str">
            <v>MRV020</v>
          </cell>
          <cell r="C363" t="str">
            <v>3205 UNITY DRIVE</v>
          </cell>
          <cell r="D363" t="str">
            <v>MISSISSAUGA, ON</v>
          </cell>
          <cell r="E363">
            <v>0</v>
          </cell>
        </row>
        <row r="364">
          <cell r="B364" t="str">
            <v>MRV021</v>
          </cell>
          <cell r="C364" t="str">
            <v xml:space="preserve">3430 DERRY ROAD </v>
          </cell>
          <cell r="D364" t="str">
            <v>MISSISSAUGA, ON</v>
          </cell>
          <cell r="E364">
            <v>0</v>
          </cell>
        </row>
        <row r="365">
          <cell r="B365" t="str">
            <v>MRV022</v>
          </cell>
          <cell r="C365" t="str">
            <v>705 MATHESON BLVD.,EAST</v>
          </cell>
          <cell r="D365" t="str">
            <v>MISSISSAUGA, ON</v>
          </cell>
          <cell r="E365">
            <v>0</v>
          </cell>
        </row>
        <row r="366">
          <cell r="B366" t="str">
            <v>MRV023</v>
          </cell>
          <cell r="C366" t="str">
            <v>200 RATHBURN ROAD WEST</v>
          </cell>
          <cell r="D366" t="str">
            <v xml:space="preserve">MISSISSAUGA, ON </v>
          </cell>
          <cell r="E366">
            <v>0</v>
          </cell>
        </row>
        <row r="367">
          <cell r="B367" t="str">
            <v>MRV024</v>
          </cell>
          <cell r="C367" t="str">
            <v>2160 TOURQUAY MEWS</v>
          </cell>
          <cell r="D367" t="str">
            <v xml:space="preserve">MISSISSAUGA, ON </v>
          </cell>
          <cell r="E367">
            <v>0</v>
          </cell>
        </row>
        <row r="368">
          <cell r="B368" t="str">
            <v>MRV025</v>
          </cell>
          <cell r="C368" t="str">
            <v>MISSISSAUGA VALLEY COMM#MRV025</v>
          </cell>
          <cell r="D368" t="str">
            <v xml:space="preserve">MISSISSAUGA, ON </v>
          </cell>
          <cell r="E368">
            <v>0</v>
          </cell>
        </row>
        <row r="369">
          <cell r="B369" t="str">
            <v>MRV026</v>
          </cell>
          <cell r="C369" t="str">
            <v xml:space="preserve">40 STAVEBANK ROAD </v>
          </cell>
          <cell r="D369" t="str">
            <v xml:space="preserve">MISSISSAUGA, ON </v>
          </cell>
          <cell r="E369">
            <v>0</v>
          </cell>
        </row>
        <row r="370">
          <cell r="B370" t="str">
            <v>MRV027</v>
          </cell>
          <cell r="C370" t="str">
            <v>135 LAKEFRONT PROMENAD</v>
          </cell>
          <cell r="D370" t="str">
            <v>MISSISSAUGA,ON</v>
          </cell>
          <cell r="E370">
            <v>0</v>
          </cell>
        </row>
        <row r="371">
          <cell r="B371" t="str">
            <v>MRV028</v>
          </cell>
          <cell r="C371" t="str">
            <v xml:space="preserve">1190 DIXIE ROAD, MISSISSAUGA </v>
          </cell>
          <cell r="D371" t="str">
            <v xml:space="preserve">MISSISSAUGA, ON </v>
          </cell>
          <cell r="E371">
            <v>0</v>
          </cell>
        </row>
        <row r="372">
          <cell r="B372" t="str">
            <v>MRV029</v>
          </cell>
          <cell r="C372" t="str">
            <v>5625 TERRY FOX WAY</v>
          </cell>
          <cell r="D372" t="str">
            <v>MISSISSAUGA, ON</v>
          </cell>
          <cell r="E372">
            <v>0</v>
          </cell>
        </row>
        <row r="373">
          <cell r="B373" t="str">
            <v>MRV030</v>
          </cell>
          <cell r="C373" t="str">
            <v>40 STAVEBANK ROAD</v>
          </cell>
          <cell r="D373" t="str">
            <v>MISSISSAUGA,ON</v>
          </cell>
          <cell r="E373">
            <v>0</v>
          </cell>
        </row>
        <row r="374">
          <cell r="B374" t="str">
            <v>MRV031</v>
          </cell>
          <cell r="E374">
            <v>0</v>
          </cell>
        </row>
        <row r="375">
          <cell r="B375" t="str">
            <v>MRV032</v>
          </cell>
          <cell r="E375">
            <v>0</v>
          </cell>
        </row>
        <row r="376">
          <cell r="B376" t="str">
            <v>MRV033</v>
          </cell>
          <cell r="E376">
            <v>0</v>
          </cell>
        </row>
        <row r="377">
          <cell r="B377" t="str">
            <v>MRV034</v>
          </cell>
          <cell r="E377">
            <v>0</v>
          </cell>
        </row>
        <row r="378">
          <cell r="B378" t="str">
            <v>MRV035</v>
          </cell>
          <cell r="E378">
            <v>0</v>
          </cell>
        </row>
        <row r="379">
          <cell r="B379" t="str">
            <v>MRV036</v>
          </cell>
          <cell r="E379">
            <v>0</v>
          </cell>
        </row>
        <row r="380">
          <cell r="B380" t="str">
            <v>MRV037</v>
          </cell>
          <cell r="E380">
            <v>0</v>
          </cell>
        </row>
        <row r="381">
          <cell r="B381" t="str">
            <v>MRV038</v>
          </cell>
          <cell r="E381">
            <v>0</v>
          </cell>
        </row>
        <row r="382">
          <cell r="B382" t="str">
            <v>MRV039</v>
          </cell>
          <cell r="E382">
            <v>0</v>
          </cell>
        </row>
        <row r="383">
          <cell r="B383" t="str">
            <v>MRV040</v>
          </cell>
          <cell r="E383">
            <v>0</v>
          </cell>
        </row>
        <row r="384">
          <cell r="B384" t="str">
            <v>MRV041</v>
          </cell>
          <cell r="E384">
            <v>0</v>
          </cell>
        </row>
        <row r="385">
          <cell r="B385" t="str">
            <v>MRV042</v>
          </cell>
          <cell r="E385">
            <v>0</v>
          </cell>
        </row>
        <row r="386">
          <cell r="B386" t="str">
            <v>MRV043</v>
          </cell>
          <cell r="E386">
            <v>0</v>
          </cell>
        </row>
        <row r="387">
          <cell r="B387" t="str">
            <v>MRV044</v>
          </cell>
          <cell r="E387">
            <v>0</v>
          </cell>
        </row>
        <row r="388">
          <cell r="B388" t="str">
            <v>MRV045</v>
          </cell>
          <cell r="E388">
            <v>0</v>
          </cell>
        </row>
        <row r="389">
          <cell r="B389" t="str">
            <v>MRV046</v>
          </cell>
          <cell r="E389">
            <v>0</v>
          </cell>
        </row>
        <row r="390">
          <cell r="B390" t="str">
            <v>MRV047</v>
          </cell>
          <cell r="E390">
            <v>0</v>
          </cell>
        </row>
        <row r="391">
          <cell r="B391" t="str">
            <v>MRV048</v>
          </cell>
          <cell r="E391">
            <v>0</v>
          </cell>
        </row>
        <row r="392">
          <cell r="B392" t="str">
            <v>MRV049</v>
          </cell>
          <cell r="E392">
            <v>0</v>
          </cell>
        </row>
        <row r="393">
          <cell r="B393" t="str">
            <v>MRV13A</v>
          </cell>
          <cell r="C393" t="str">
            <v>93 BIRCHMOUNT ROAD, KIOSK A</v>
          </cell>
          <cell r="D393" t="str">
            <v>SCARBOROUGH,ON</v>
          </cell>
          <cell r="E393">
            <v>0</v>
          </cell>
        </row>
        <row r="394">
          <cell r="B394" t="str">
            <v>MRV13B</v>
          </cell>
          <cell r="C394" t="str">
            <v>P3 BIRCHMOUNT ROAD, KIOSK B</v>
          </cell>
          <cell r="D394" t="str">
            <v>SCARBOROUGH, ON</v>
          </cell>
          <cell r="E394">
            <v>0</v>
          </cell>
        </row>
        <row r="395">
          <cell r="B395" t="str">
            <v>NEWNT</v>
          </cell>
          <cell r="C395" t="str">
            <v>New Non-Trads Budget</v>
          </cell>
          <cell r="E395">
            <v>0</v>
          </cell>
        </row>
        <row r="396">
          <cell r="B396" t="str">
            <v>PCW001</v>
          </cell>
          <cell r="E396">
            <v>0</v>
          </cell>
        </row>
        <row r="397">
          <cell r="B397" t="str">
            <v>PET001</v>
          </cell>
          <cell r="C397" t="str">
            <v xml:space="preserve">508 MAIN ST. EAST </v>
          </cell>
          <cell r="D397" t="str">
            <v>SHELBURNE, ON</v>
          </cell>
          <cell r="E397">
            <v>0</v>
          </cell>
        </row>
        <row r="398">
          <cell r="B398" t="str">
            <v>PIO003</v>
          </cell>
          <cell r="C398" t="str">
            <v>4495 BATH ROAD</v>
          </cell>
          <cell r="D398" t="str">
            <v>AMHERSTVIEW, ON</v>
          </cell>
          <cell r="E398">
            <v>0</v>
          </cell>
        </row>
        <row r="399">
          <cell r="B399" t="str">
            <v>PIO004</v>
          </cell>
          <cell r="C399" t="str">
            <v>1092 HIGHWAY #6 N</v>
          </cell>
          <cell r="D399" t="str">
            <v>HAMILTON, ON</v>
          </cell>
          <cell r="E399">
            <v>0</v>
          </cell>
        </row>
        <row r="400">
          <cell r="B400" t="str">
            <v>PIO005</v>
          </cell>
          <cell r="C400" t="str">
            <v xml:space="preserve">93 KING STREET </v>
          </cell>
          <cell r="D400" t="str">
            <v>PARIS, ON</v>
          </cell>
          <cell r="E400">
            <v>0</v>
          </cell>
        </row>
        <row r="401">
          <cell r="B401" t="str">
            <v>PIO006</v>
          </cell>
          <cell r="E401">
            <v>0</v>
          </cell>
        </row>
        <row r="402">
          <cell r="B402" t="str">
            <v>PIO007</v>
          </cell>
          <cell r="E402">
            <v>0</v>
          </cell>
        </row>
        <row r="403">
          <cell r="B403" t="str">
            <v>PIO008</v>
          </cell>
          <cell r="E403">
            <v>0</v>
          </cell>
        </row>
        <row r="404">
          <cell r="B404" t="str">
            <v>PIO009</v>
          </cell>
          <cell r="E404">
            <v>0</v>
          </cell>
        </row>
        <row r="405">
          <cell r="B405" t="str">
            <v>PIO010</v>
          </cell>
          <cell r="E405">
            <v>0</v>
          </cell>
        </row>
        <row r="406">
          <cell r="B406" t="str">
            <v>PIO012</v>
          </cell>
          <cell r="E406">
            <v>0</v>
          </cell>
        </row>
        <row r="407">
          <cell r="B407" t="str">
            <v>RAB001</v>
          </cell>
          <cell r="E407">
            <v>0</v>
          </cell>
        </row>
        <row r="408">
          <cell r="B408" t="str">
            <v>RAB002</v>
          </cell>
          <cell r="E408">
            <v>0</v>
          </cell>
        </row>
        <row r="409">
          <cell r="B409" t="str">
            <v>SHL002</v>
          </cell>
          <cell r="C409" t="str">
            <v>BOX 308 HIGHWAY 11 NORTH</v>
          </cell>
          <cell r="D409" t="str">
            <v>TEMAGAMI, ON</v>
          </cell>
          <cell r="E409">
            <v>263697</v>
          </cell>
        </row>
        <row r="410">
          <cell r="B410" t="str">
            <v>SHL003</v>
          </cell>
          <cell r="C410" t="str">
            <v>2881 MAJOR MACKENZIE DRIVE</v>
          </cell>
          <cell r="D410" t="str">
            <v>MARKHAM, ON</v>
          </cell>
          <cell r="E410">
            <v>110073.44</v>
          </cell>
        </row>
        <row r="411">
          <cell r="B411" t="str">
            <v>SHL004</v>
          </cell>
          <cell r="C411" t="str">
            <v>1221 GUELPH LINE ROAD</v>
          </cell>
          <cell r="D411" t="str">
            <v>BURLINGTON, ON</v>
          </cell>
          <cell r="E411">
            <v>81566</v>
          </cell>
        </row>
        <row r="412">
          <cell r="B412" t="str">
            <v>SHL008</v>
          </cell>
          <cell r="C412" t="str">
            <v>38 SPADINA AVENUE</v>
          </cell>
          <cell r="D412" t="str">
            <v>TORONTO, ON</v>
          </cell>
          <cell r="E412">
            <v>466609.7</v>
          </cell>
        </row>
        <row r="413">
          <cell r="B413" t="str">
            <v>STI001</v>
          </cell>
          <cell r="E413">
            <v>0</v>
          </cell>
        </row>
        <row r="414">
          <cell r="B414" t="str">
            <v>SUD001</v>
          </cell>
          <cell r="C414" t="str">
            <v>318 LASALLE BOULEVARD</v>
          </cell>
          <cell r="D414" t="str">
            <v>SUDBURY,ON</v>
          </cell>
          <cell r="E414">
            <v>0</v>
          </cell>
        </row>
        <row r="415">
          <cell r="B415" t="str">
            <v>SUN002</v>
          </cell>
          <cell r="C415" t="str">
            <v>7750 MCCOWAN RD.</v>
          </cell>
          <cell r="D415" t="str">
            <v>MARKHAM, ON</v>
          </cell>
          <cell r="E415">
            <v>12030.31</v>
          </cell>
        </row>
        <row r="416">
          <cell r="B416" t="str">
            <v>SUN003</v>
          </cell>
          <cell r="C416" t="str">
            <v>3515 UPPER MIDDLE ROAD</v>
          </cell>
          <cell r="D416" t="str">
            <v>BURLINGTON, ON</v>
          </cell>
          <cell r="E416">
            <v>35087.49</v>
          </cell>
        </row>
        <row r="417">
          <cell r="B417" t="str">
            <v>SUN004</v>
          </cell>
          <cell r="C417" t="str">
            <v>565 YONGE ST.</v>
          </cell>
          <cell r="D417" t="str">
            <v>BARRIE, ON</v>
          </cell>
          <cell r="E417">
            <v>46636.3</v>
          </cell>
        </row>
        <row r="418">
          <cell r="B418" t="str">
            <v>SUN005</v>
          </cell>
          <cell r="C418" t="str">
            <v>1457 WOODROFFE AVE.</v>
          </cell>
          <cell r="D418" t="str">
            <v>NEPEAN, ON</v>
          </cell>
          <cell r="E418">
            <v>65025.17</v>
          </cell>
        </row>
        <row r="419">
          <cell r="B419" t="str">
            <v>SUN006</v>
          </cell>
          <cell r="C419" t="str">
            <v>1253 WELLINGTON ROAD SOUTH</v>
          </cell>
          <cell r="D419" t="str">
            <v>LONDON, ON</v>
          </cell>
          <cell r="E419">
            <v>78642.960000000006</v>
          </cell>
        </row>
        <row r="420">
          <cell r="B420" t="str">
            <v>SUN007</v>
          </cell>
          <cell r="C420" t="str">
            <v>9266 GUELPH LINE @ HWY. 401</v>
          </cell>
          <cell r="D420" t="str">
            <v>CAMPBELLVILLE, ON</v>
          </cell>
          <cell r="E420">
            <v>258336.27</v>
          </cell>
        </row>
        <row r="421">
          <cell r="B421" t="str">
            <v>SUN008</v>
          </cell>
          <cell r="C421" t="str">
            <v>610 ATHERLEY RD.</v>
          </cell>
          <cell r="D421" t="str">
            <v>ORILLIA, ON</v>
          </cell>
          <cell r="E421">
            <v>147757.21</v>
          </cell>
        </row>
        <row r="422">
          <cell r="B422" t="str">
            <v>SUN009</v>
          </cell>
          <cell r="C422" t="str">
            <v>1790 ERNEST AVENUE</v>
          </cell>
          <cell r="D422" t="str">
            <v>LONDON, ON</v>
          </cell>
          <cell r="E422">
            <v>104535.67999999999</v>
          </cell>
        </row>
        <row r="423">
          <cell r="B423" t="str">
            <v>SUN010</v>
          </cell>
          <cell r="C423" t="str">
            <v>220 CENTENNIAL PARKWAY</v>
          </cell>
          <cell r="D423" t="str">
            <v>HAMILTON, ON</v>
          </cell>
          <cell r="E423">
            <v>6838.52</v>
          </cell>
        </row>
        <row r="424">
          <cell r="B424" t="str">
            <v>SUN011</v>
          </cell>
          <cell r="C424" t="str">
            <v>93 PARK AVENUE EAST</v>
          </cell>
          <cell r="D424" t="str">
            <v>CHATHAM, ON</v>
          </cell>
          <cell r="E424">
            <v>105883.88</v>
          </cell>
        </row>
        <row r="425">
          <cell r="B425" t="str">
            <v>SUN012</v>
          </cell>
          <cell r="C425" t="str">
            <v>5739 HWY #7 EAST &amp; GRANDVIEW</v>
          </cell>
          <cell r="D425" t="str">
            <v>MARKHAM, ON</v>
          </cell>
          <cell r="E425">
            <v>59007.86</v>
          </cell>
        </row>
        <row r="426">
          <cell r="B426" t="str">
            <v>SUN014</v>
          </cell>
          <cell r="C426" t="str">
            <v>3425 WINSTON CHURCHILL BLVD.</v>
          </cell>
          <cell r="D426" t="str">
            <v>MISSISSAUGA, ON</v>
          </cell>
          <cell r="E426">
            <v>64668.59</v>
          </cell>
        </row>
        <row r="427">
          <cell r="B427" t="str">
            <v>SUN015</v>
          </cell>
          <cell r="C427" t="str">
            <v>6015 MCLAUGHLIN ROAD</v>
          </cell>
          <cell r="D427" t="str">
            <v>MISSISSAUGA, ON</v>
          </cell>
          <cell r="E427">
            <v>11955.76</v>
          </cell>
        </row>
        <row r="428">
          <cell r="B428" t="str">
            <v>SUN016</v>
          </cell>
          <cell r="C428" t="str">
            <v>2180 MONTREAL RD. &amp; SHEFFORD</v>
          </cell>
          <cell r="D428" t="str">
            <v>GLOUCESTER, ON</v>
          </cell>
          <cell r="E428">
            <v>76834.27</v>
          </cell>
        </row>
        <row r="429">
          <cell r="B429" t="str">
            <v>SUN017</v>
          </cell>
          <cell r="C429" t="str">
            <v>2850 VICTORIA PARK AVE.</v>
          </cell>
          <cell r="D429" t="str">
            <v>TORONTO, ON</v>
          </cell>
          <cell r="E429">
            <v>79284.210000000006</v>
          </cell>
        </row>
        <row r="430">
          <cell r="B430" t="str">
            <v>SUN018</v>
          </cell>
          <cell r="C430" t="str">
            <v>195 NIAGARA STREET</v>
          </cell>
          <cell r="D430" t="str">
            <v>ST. CATHARINES, ON</v>
          </cell>
          <cell r="E430">
            <v>18457.79</v>
          </cell>
        </row>
        <row r="431">
          <cell r="B431" t="str">
            <v>SUN019</v>
          </cell>
          <cell r="C431" t="str">
            <v>800 MORNINGSIDE AVE./MILITARY</v>
          </cell>
          <cell r="D431" t="str">
            <v>SCARBOROUGH, ON</v>
          </cell>
          <cell r="E431">
            <v>170477.9</v>
          </cell>
        </row>
        <row r="432">
          <cell r="B432" t="str">
            <v>SUN020</v>
          </cell>
          <cell r="C432" t="str">
            <v>7991 MISSISSAUGA RD.</v>
          </cell>
          <cell r="D432" t="str">
            <v>BRAMPTON, ON</v>
          </cell>
          <cell r="E432">
            <v>57076.36</v>
          </cell>
        </row>
        <row r="433">
          <cell r="B433" t="str">
            <v>SUN021</v>
          </cell>
          <cell r="C433" t="str">
            <v>320 BLAKE STREET</v>
          </cell>
          <cell r="D433" t="str">
            <v>BARRIE, ON</v>
          </cell>
          <cell r="E433">
            <v>316854.21000000002</v>
          </cell>
        </row>
        <row r="434">
          <cell r="B434" t="str">
            <v>SUN022</v>
          </cell>
          <cell r="C434" t="str">
            <v>341 BAYFIELD STREET</v>
          </cell>
          <cell r="D434" t="str">
            <v>BARRIE, ON</v>
          </cell>
          <cell r="E434">
            <v>88775.91</v>
          </cell>
        </row>
        <row r="435">
          <cell r="B435" t="str">
            <v>SUN023</v>
          </cell>
          <cell r="C435" t="str">
            <v>1600 ROSSLAND ROAD EAST</v>
          </cell>
          <cell r="D435" t="str">
            <v>WHITBY, ON</v>
          </cell>
          <cell r="E435">
            <v>86283.85</v>
          </cell>
        </row>
        <row r="436">
          <cell r="B436" t="str">
            <v>SUN024</v>
          </cell>
          <cell r="C436" t="str">
            <v>825 WALKERS LINE</v>
          </cell>
          <cell r="D436" t="str">
            <v>BURLINGTON, ON</v>
          </cell>
          <cell r="E436">
            <v>42342.07</v>
          </cell>
        </row>
        <row r="437">
          <cell r="B437" t="str">
            <v>SUN025</v>
          </cell>
          <cell r="C437" t="str">
            <v>2182 QUEEN STREET</v>
          </cell>
          <cell r="D437" t="str">
            <v>BRAMPTON, ON</v>
          </cell>
          <cell r="E437">
            <v>55333.279999999999</v>
          </cell>
        </row>
        <row r="438">
          <cell r="B438" t="str">
            <v>SUN026</v>
          </cell>
          <cell r="C438" t="str">
            <v>514 VICTORIA STREET</v>
          </cell>
          <cell r="D438" t="str">
            <v>ALLISTON, ON</v>
          </cell>
          <cell r="E438">
            <v>314247.25</v>
          </cell>
        </row>
        <row r="439">
          <cell r="B439" t="str">
            <v>SUN027</v>
          </cell>
          <cell r="C439" t="str">
            <v>570 TERRY FOX DR.</v>
          </cell>
          <cell r="D439" t="str">
            <v>KANATA, ON</v>
          </cell>
          <cell r="E439">
            <v>122590.06</v>
          </cell>
        </row>
        <row r="440">
          <cell r="B440" t="str">
            <v>SUN028</v>
          </cell>
          <cell r="C440" t="str">
            <v>690 HUNT CLUB ROAD</v>
          </cell>
          <cell r="D440" t="str">
            <v>OTTAWA, ON</v>
          </cell>
          <cell r="E440">
            <v>177141.53</v>
          </cell>
        </row>
        <row r="441">
          <cell r="B441" t="str">
            <v>SUN029</v>
          </cell>
          <cell r="C441" t="str">
            <v>8830 YONGE STREET</v>
          </cell>
          <cell r="D441" t="str">
            <v>RICHMOND HILL, ON</v>
          </cell>
          <cell r="E441">
            <v>31376.03</v>
          </cell>
        </row>
        <row r="442">
          <cell r="B442" t="str">
            <v>SUN030</v>
          </cell>
          <cell r="C442" t="str">
            <v>R.R.#2, HIGHWAY 90</v>
          </cell>
          <cell r="D442" t="str">
            <v>BARRIE, ON</v>
          </cell>
          <cell r="E442">
            <v>239701.67</v>
          </cell>
        </row>
        <row r="443">
          <cell r="B443" t="str">
            <v>SUN031</v>
          </cell>
          <cell r="C443" t="str">
            <v>1020 DUNDAS ST. W.</v>
          </cell>
          <cell r="D443" t="str">
            <v>OAKVILLE, ON</v>
          </cell>
          <cell r="E443">
            <v>63862.11</v>
          </cell>
        </row>
        <row r="444">
          <cell r="B444" t="str">
            <v>SUN032</v>
          </cell>
          <cell r="C444" t="str">
            <v>8760 BAYVIEW AVE.</v>
          </cell>
          <cell r="D444" t="str">
            <v>RICHMOND HILL, ON</v>
          </cell>
          <cell r="E444">
            <v>141021.06</v>
          </cell>
        </row>
        <row r="445">
          <cell r="B445" t="str">
            <v>SUN033</v>
          </cell>
          <cell r="C445" t="str">
            <v>2125 SHEPPARD AVE.E.</v>
          </cell>
          <cell r="D445" t="str">
            <v>NORTH YORK, ON</v>
          </cell>
          <cell r="E445">
            <v>23563.69</v>
          </cell>
        </row>
        <row r="446">
          <cell r="B446" t="str">
            <v>SUN034</v>
          </cell>
          <cell r="C446" t="str">
            <v>250 MULOCK DRIVE</v>
          </cell>
          <cell r="D446" t="str">
            <v>NEWMARKET, ON</v>
          </cell>
          <cell r="E446">
            <v>152435.72</v>
          </cell>
        </row>
        <row r="447">
          <cell r="B447" t="str">
            <v>SUN035</v>
          </cell>
          <cell r="C447" t="str">
            <v>1977 KENNEDY ROAD</v>
          </cell>
          <cell r="D447" t="str">
            <v>SCARBOROUGH, ON</v>
          </cell>
          <cell r="E447">
            <v>149494.10999999999</v>
          </cell>
        </row>
        <row r="448">
          <cell r="B448" t="str">
            <v>SUN036</v>
          </cell>
          <cell r="C448" t="str">
            <v>1195 DAVIS DR.</v>
          </cell>
          <cell r="D448" t="str">
            <v>NEWMARKET, ON</v>
          </cell>
          <cell r="E448">
            <v>122516.58</v>
          </cell>
        </row>
        <row r="449">
          <cell r="B449" t="str">
            <v>SUN037</v>
          </cell>
          <cell r="C449" t="str">
            <v>154 CLARKE SIDE ROAD</v>
          </cell>
          <cell r="D449" t="str">
            <v>LONDON, ON</v>
          </cell>
          <cell r="E449">
            <v>34527.78</v>
          </cell>
        </row>
        <row r="450">
          <cell r="B450" t="str">
            <v>SUN038</v>
          </cell>
          <cell r="C450" t="str">
            <v>1514 RAVENSHOE ROAD</v>
          </cell>
          <cell r="D450" t="str">
            <v>KESWICK, ON</v>
          </cell>
          <cell r="E450">
            <v>215144.3</v>
          </cell>
        </row>
        <row r="451">
          <cell r="B451" t="str">
            <v>SUN039</v>
          </cell>
          <cell r="C451" t="str">
            <v>7635 MARKHAM RD.(KIRKHAM RD.)</v>
          </cell>
          <cell r="D451" t="str">
            <v>MARKHAM, ON</v>
          </cell>
          <cell r="E451">
            <v>106505.84</v>
          </cell>
        </row>
        <row r="452">
          <cell r="B452" t="str">
            <v>SUN040</v>
          </cell>
          <cell r="C452" t="str">
            <v>32 COOTES DRIVE</v>
          </cell>
          <cell r="D452" t="str">
            <v>DUNDAS, ON</v>
          </cell>
          <cell r="E452">
            <v>4401</v>
          </cell>
        </row>
        <row r="453">
          <cell r="B453" t="str">
            <v>SUN041</v>
          </cell>
          <cell r="C453" t="str">
            <v>1960 INNES ROAD</v>
          </cell>
          <cell r="D453" t="str">
            <v>GLOUCESTER, ON</v>
          </cell>
          <cell r="E453">
            <v>0</v>
          </cell>
        </row>
        <row r="454">
          <cell r="B454" t="str">
            <v>SUN042</v>
          </cell>
          <cell r="C454" t="str">
            <v>9950 MCLAUGHLIN ROAD</v>
          </cell>
          <cell r="D454" t="str">
            <v>BRAMPTON, ON</v>
          </cell>
          <cell r="E454">
            <v>0</v>
          </cell>
        </row>
        <row r="455">
          <cell r="B455" t="str">
            <v>SUN043</v>
          </cell>
          <cell r="C455" t="str">
            <v>3201 CONROY</v>
          </cell>
          <cell r="D455" t="str">
            <v>OTTAWA, ON</v>
          </cell>
          <cell r="E455">
            <v>0</v>
          </cell>
        </row>
        <row r="456">
          <cell r="B456" t="str">
            <v>SUN044</v>
          </cell>
          <cell r="C456" t="str">
            <v>BROCK ROAD</v>
          </cell>
          <cell r="D456" t="str">
            <v>WHITBY, ON</v>
          </cell>
          <cell r="E456">
            <v>0</v>
          </cell>
        </row>
        <row r="457">
          <cell r="B457" t="str">
            <v>SUN045</v>
          </cell>
          <cell r="C457" t="str">
            <v xml:space="preserve">2630 INNES ROAD </v>
          </cell>
          <cell r="D457" t="str">
            <v>OTTAWA, ON</v>
          </cell>
          <cell r="E457">
            <v>0</v>
          </cell>
        </row>
        <row r="458">
          <cell r="B458" t="str">
            <v>SUN046</v>
          </cell>
          <cell r="C458" t="str">
            <v xml:space="preserve">301 THICKSON RD </v>
          </cell>
          <cell r="D458" t="str">
            <v>WHITBY, ON</v>
          </cell>
          <cell r="E458">
            <v>0</v>
          </cell>
        </row>
        <row r="459">
          <cell r="B459" t="str">
            <v>SUN047</v>
          </cell>
          <cell r="E459">
            <v>0</v>
          </cell>
        </row>
        <row r="460">
          <cell r="B460" t="str">
            <v>SUN048</v>
          </cell>
          <cell r="E460">
            <v>0</v>
          </cell>
        </row>
        <row r="461">
          <cell r="B461" t="str">
            <v>SUN049</v>
          </cell>
          <cell r="E461">
            <v>0</v>
          </cell>
        </row>
        <row r="462">
          <cell r="B462" t="str">
            <v>SUN050</v>
          </cell>
          <cell r="E462">
            <v>0</v>
          </cell>
        </row>
        <row r="463">
          <cell r="B463" t="str">
            <v>SUN051</v>
          </cell>
          <cell r="E463">
            <v>0</v>
          </cell>
        </row>
        <row r="464">
          <cell r="B464" t="str">
            <v>SUN052</v>
          </cell>
          <cell r="E464">
            <v>0</v>
          </cell>
        </row>
        <row r="465">
          <cell r="B465" t="str">
            <v>SUN053</v>
          </cell>
          <cell r="E465">
            <v>0</v>
          </cell>
        </row>
        <row r="466">
          <cell r="B466" t="str">
            <v>SUN054</v>
          </cell>
          <cell r="E466">
            <v>0</v>
          </cell>
        </row>
        <row r="467">
          <cell r="B467" t="str">
            <v>SUN055</v>
          </cell>
          <cell r="E467">
            <v>0</v>
          </cell>
        </row>
        <row r="468">
          <cell r="B468" t="str">
            <v>SUN056</v>
          </cell>
          <cell r="E468">
            <v>0</v>
          </cell>
        </row>
        <row r="469">
          <cell r="B469" t="str">
            <v>SUN057</v>
          </cell>
          <cell r="E469">
            <v>0</v>
          </cell>
        </row>
        <row r="470">
          <cell r="B470" t="str">
            <v>SUN058</v>
          </cell>
          <cell r="E470">
            <v>0</v>
          </cell>
        </row>
        <row r="471">
          <cell r="B471" t="str">
            <v>SUN059</v>
          </cell>
          <cell r="E471">
            <v>0</v>
          </cell>
        </row>
        <row r="472">
          <cell r="B472" t="str">
            <v>SUN060</v>
          </cell>
          <cell r="E472">
            <v>0</v>
          </cell>
        </row>
        <row r="473">
          <cell r="B473" t="str">
            <v>SUN061</v>
          </cell>
          <cell r="E473">
            <v>0</v>
          </cell>
        </row>
        <row r="474">
          <cell r="B474" t="str">
            <v>SUN062</v>
          </cell>
          <cell r="E474">
            <v>0</v>
          </cell>
        </row>
        <row r="475">
          <cell r="B475" t="str">
            <v>SUN063</v>
          </cell>
          <cell r="E475">
            <v>0</v>
          </cell>
        </row>
        <row r="476">
          <cell r="B476" t="str">
            <v>SUN064</v>
          </cell>
          <cell r="E476">
            <v>0</v>
          </cell>
        </row>
        <row r="477">
          <cell r="B477" t="str">
            <v>SUN065</v>
          </cell>
          <cell r="E477">
            <v>0</v>
          </cell>
        </row>
        <row r="478">
          <cell r="B478" t="str">
            <v>TWI001</v>
          </cell>
          <cell r="E478">
            <v>0</v>
          </cell>
        </row>
        <row r="479">
          <cell r="B479" t="str">
            <v>YF0001</v>
          </cell>
          <cell r="C479" t="str">
            <v>200 BAY ST.BOX 216 ROYAL BANK</v>
          </cell>
          <cell r="D479" t="str">
            <v>TORONTO, ON</v>
          </cell>
          <cell r="E479">
            <v>0</v>
          </cell>
        </row>
        <row r="480">
          <cell r="B480" t="str">
            <v>YF0003</v>
          </cell>
          <cell r="C480" t="str">
            <v>1 DUNDAS ST., WEST</v>
          </cell>
          <cell r="D480" t="str">
            <v>TORONO, ON</v>
          </cell>
          <cell r="E480">
            <v>0</v>
          </cell>
        </row>
        <row r="481">
          <cell r="B481" t="str">
            <v>YF0004</v>
          </cell>
          <cell r="C481" t="str">
            <v>501B CHURCH ST.</v>
          </cell>
          <cell r="D481" t="str">
            <v>TORONO, ON</v>
          </cell>
          <cell r="E481">
            <v>0</v>
          </cell>
        </row>
        <row r="482">
          <cell r="B482" t="str">
            <v>YF0005</v>
          </cell>
          <cell r="C482" t="str">
            <v>181 BAY STREET</v>
          </cell>
          <cell r="D482" t="str">
            <v>TORONO, ON</v>
          </cell>
          <cell r="E482">
            <v>0</v>
          </cell>
        </row>
        <row r="483">
          <cell r="B483" t="str">
            <v>YF0007</v>
          </cell>
          <cell r="C483" t="str">
            <v>499 MAIN STREET</v>
          </cell>
          <cell r="D483" t="str">
            <v>BRAMPTON, ON</v>
          </cell>
          <cell r="E483">
            <v>0</v>
          </cell>
        </row>
        <row r="484">
          <cell r="B484" t="str">
            <v>YF0009</v>
          </cell>
          <cell r="C484" t="str">
            <v>CONESTOGA MALL</v>
          </cell>
          <cell r="D484" t="str">
            <v>WATERLOO, ON</v>
          </cell>
          <cell r="E484">
            <v>0</v>
          </cell>
        </row>
        <row r="485">
          <cell r="B485" t="str">
            <v>YF0010</v>
          </cell>
          <cell r="C485" t="str">
            <v>5 POINTS MALL 285 TAUNTON RD E</v>
          </cell>
          <cell r="D485" t="str">
            <v>OSHAWA, ON</v>
          </cell>
          <cell r="E485">
            <v>0</v>
          </cell>
        </row>
        <row r="486">
          <cell r="B486" t="str">
            <v>YF0013</v>
          </cell>
          <cell r="C486" t="str">
            <v>419 KING ST.W. UNIT #2250</v>
          </cell>
          <cell r="D486" t="str">
            <v>OSHAWA, ON</v>
          </cell>
          <cell r="E486">
            <v>0</v>
          </cell>
        </row>
        <row r="487">
          <cell r="B487" t="str">
            <v>YF0014</v>
          </cell>
          <cell r="C487" t="str">
            <v>SIMCOE PLACE</v>
          </cell>
          <cell r="D487" t="str">
            <v>TORONO, ON</v>
          </cell>
          <cell r="E487">
            <v>0</v>
          </cell>
        </row>
        <row r="488">
          <cell r="B488" t="str">
            <v>YF0015</v>
          </cell>
          <cell r="C488" t="str">
            <v>2960 KINGSWAY DRIVE</v>
          </cell>
          <cell r="D488" t="str">
            <v>KITCHENER, ON</v>
          </cell>
          <cell r="E488">
            <v>0</v>
          </cell>
        </row>
        <row r="489">
          <cell r="B489" t="str">
            <v>YF0018</v>
          </cell>
          <cell r="C489" t="str">
            <v>6340 YONGE ST.</v>
          </cell>
          <cell r="D489" t="str">
            <v>WILLOWDALE, ON</v>
          </cell>
          <cell r="E489">
            <v>0</v>
          </cell>
        </row>
        <row r="490">
          <cell r="B490" t="str">
            <v>YF0019</v>
          </cell>
          <cell r="C490" t="str">
            <v>9350 YONGE ST., HILLCREST MALL</v>
          </cell>
          <cell r="D490" t="str">
            <v>RICHMOND HILL, ON</v>
          </cell>
          <cell r="E490">
            <v>0</v>
          </cell>
        </row>
        <row r="491">
          <cell r="B491" t="str">
            <v>YF0021</v>
          </cell>
          <cell r="C491" t="str">
            <v>2300 YONGE ST.</v>
          </cell>
          <cell r="D491" t="str">
            <v>TORONO, ON</v>
          </cell>
          <cell r="E491">
            <v>0</v>
          </cell>
        </row>
        <row r="492">
          <cell r="B492" t="str">
            <v>YF0022</v>
          </cell>
          <cell r="E492">
            <v>0</v>
          </cell>
        </row>
        <row r="493">
          <cell r="B493" t="str">
            <v>YF0023</v>
          </cell>
          <cell r="E493">
            <v>0</v>
          </cell>
        </row>
        <row r="494">
          <cell r="B494" t="str">
            <v>YF0024</v>
          </cell>
          <cell r="E494">
            <v>0</v>
          </cell>
        </row>
        <row r="495">
          <cell r="B495" t="str">
            <v>YF0025</v>
          </cell>
          <cell r="E495">
            <v>0</v>
          </cell>
        </row>
        <row r="496">
          <cell r="B496" t="str">
            <v>YF0026</v>
          </cell>
          <cell r="E496">
            <v>0</v>
          </cell>
        </row>
        <row r="497">
          <cell r="B497" t="str">
            <v>YF0027</v>
          </cell>
          <cell r="E497">
            <v>0</v>
          </cell>
        </row>
        <row r="498">
          <cell r="B498" t="str">
            <v>YF0028</v>
          </cell>
          <cell r="E498">
            <v>0</v>
          </cell>
        </row>
        <row r="499">
          <cell r="B499" t="str">
            <v>YF0029</v>
          </cell>
          <cell r="E499">
            <v>0</v>
          </cell>
        </row>
        <row r="500">
          <cell r="B500" t="str">
            <v>YF0030</v>
          </cell>
          <cell r="E500">
            <v>0</v>
          </cell>
        </row>
        <row r="501">
          <cell r="B501" t="str">
            <v>YF0031</v>
          </cell>
          <cell r="E501">
            <v>0</v>
          </cell>
        </row>
        <row r="502">
          <cell r="B502" t="str">
            <v>YF0032</v>
          </cell>
          <cell r="E502">
            <v>0</v>
          </cell>
        </row>
        <row r="503">
          <cell r="B503" t="str">
            <v>YF0033</v>
          </cell>
          <cell r="E503">
            <v>0</v>
          </cell>
        </row>
        <row r="504">
          <cell r="B504" t="str">
            <v>YF0034</v>
          </cell>
          <cell r="E504">
            <v>0</v>
          </cell>
        </row>
        <row r="505">
          <cell r="B505" t="str">
            <v>YF0035</v>
          </cell>
          <cell r="E505">
            <v>0</v>
          </cell>
        </row>
        <row r="506">
          <cell r="B506" t="str">
            <v>YF0036</v>
          </cell>
          <cell r="E506">
            <v>0</v>
          </cell>
        </row>
      </sheetData>
      <sheetData sheetId="2"/>
      <sheetData sheetId="3">
        <row r="6">
          <cell r="B6" t="str">
            <v>005CSD</v>
          </cell>
          <cell r="C6" t="str">
            <v>2929 DANFORTH AVE.,</v>
          </cell>
          <cell r="D6" t="str">
            <v>TORONTO, ON</v>
          </cell>
          <cell r="E6">
            <v>565710</v>
          </cell>
        </row>
        <row r="7">
          <cell r="B7" t="str">
            <v>012CSD</v>
          </cell>
          <cell r="E7">
            <v>0</v>
          </cell>
        </row>
        <row r="8">
          <cell r="B8" t="str">
            <v>013CSD</v>
          </cell>
          <cell r="C8" t="str">
            <v>313 CHRISTINA ST.N.,</v>
          </cell>
          <cell r="D8" t="str">
            <v>SARNIA, ON</v>
          </cell>
          <cell r="E8">
            <v>263805</v>
          </cell>
        </row>
        <row r="9">
          <cell r="B9" t="str">
            <v>034CSD</v>
          </cell>
          <cell r="E9">
            <v>0</v>
          </cell>
        </row>
        <row r="10">
          <cell r="B10" t="str">
            <v>039CSD</v>
          </cell>
          <cell r="C10" t="str">
            <v>8370 WOODBINE AVE.</v>
          </cell>
          <cell r="D10" t="str">
            <v>MARKHAM, ON</v>
          </cell>
          <cell r="E10">
            <v>462061</v>
          </cell>
        </row>
        <row r="11">
          <cell r="B11" t="str">
            <v>051CSD</v>
          </cell>
          <cell r="C11" t="str">
            <v>1708 QUEEN ST.E.,</v>
          </cell>
          <cell r="D11" t="str">
            <v>TORONTO, ON</v>
          </cell>
          <cell r="E11">
            <v>400209</v>
          </cell>
        </row>
        <row r="12">
          <cell r="B12" t="str">
            <v>053CSD</v>
          </cell>
          <cell r="C12" t="str">
            <v>524 WILSON HEIGHTS BLVD.</v>
          </cell>
          <cell r="D12" t="str">
            <v>DOWNSVIEW, ON.</v>
          </cell>
          <cell r="E12">
            <v>538870</v>
          </cell>
        </row>
        <row r="13">
          <cell r="B13" t="str">
            <v>074CSD</v>
          </cell>
          <cell r="C13" t="str">
            <v>357-359 TRUNK RD.</v>
          </cell>
          <cell r="D13" t="str">
            <v>SAULT STE.MARIE, ON</v>
          </cell>
          <cell r="E13">
            <v>813504</v>
          </cell>
        </row>
        <row r="14">
          <cell r="B14" t="str">
            <v>079CSD</v>
          </cell>
          <cell r="C14" t="str">
            <v>1082 CENTRE STREET</v>
          </cell>
          <cell r="D14" t="str">
            <v>THORNHILL, ON</v>
          </cell>
          <cell r="E14">
            <v>679870.18</v>
          </cell>
        </row>
        <row r="15">
          <cell r="B15" t="str">
            <v>081CSD</v>
          </cell>
          <cell r="C15" t="str">
            <v>3748 BATHURST ST.,</v>
          </cell>
          <cell r="D15" t="str">
            <v>DOWNSVIEW, ON</v>
          </cell>
          <cell r="E15">
            <v>909810</v>
          </cell>
        </row>
        <row r="16">
          <cell r="B16" t="str">
            <v>096CSD</v>
          </cell>
          <cell r="E16">
            <v>0</v>
          </cell>
        </row>
        <row r="17">
          <cell r="B17" t="str">
            <v>101CSD</v>
          </cell>
          <cell r="C17" t="str">
            <v>4235 HIGHWAY #7 WEST</v>
          </cell>
          <cell r="D17" t="str">
            <v>WOODBRIDGE, ON</v>
          </cell>
          <cell r="E17">
            <v>523990</v>
          </cell>
        </row>
        <row r="18">
          <cell r="B18" t="str">
            <v>104CSD</v>
          </cell>
          <cell r="E18">
            <v>0</v>
          </cell>
        </row>
        <row r="19">
          <cell r="B19" t="str">
            <v>117CSD</v>
          </cell>
          <cell r="C19" t="str">
            <v>2100 STEELES AVE. W.,</v>
          </cell>
          <cell r="D19" t="str">
            <v>CONCORD, ON</v>
          </cell>
          <cell r="E19">
            <v>151632</v>
          </cell>
        </row>
        <row r="20">
          <cell r="B20" t="str">
            <v>121CSD</v>
          </cell>
          <cell r="C20" t="str">
            <v>4681 HIGHWAY #7 EAST</v>
          </cell>
          <cell r="D20" t="str">
            <v>MARKHAM, ON.</v>
          </cell>
          <cell r="E20">
            <v>483323</v>
          </cell>
        </row>
        <row r="21">
          <cell r="B21" t="str">
            <v>123CSD</v>
          </cell>
          <cell r="C21" t="str">
            <v>996 CONFEDERATION ST.,</v>
          </cell>
          <cell r="D21" t="str">
            <v>SARNIA ONTARIO</v>
          </cell>
          <cell r="E21">
            <v>340896</v>
          </cell>
        </row>
        <row r="22">
          <cell r="B22" t="str">
            <v>134CSD</v>
          </cell>
          <cell r="C22" t="str">
            <v>161A RICHMOND STREET</v>
          </cell>
          <cell r="D22" t="str">
            <v>CHATHAM, ON</v>
          </cell>
          <cell r="E22">
            <v>365198</v>
          </cell>
        </row>
        <row r="23">
          <cell r="B23" t="str">
            <v>135CSD</v>
          </cell>
          <cell r="C23" t="str">
            <v>985 EGLINTON AVE. E.,</v>
          </cell>
          <cell r="D23" t="str">
            <v>MISSISSAUGA, ON</v>
          </cell>
          <cell r="E23">
            <v>718559</v>
          </cell>
        </row>
        <row r="24">
          <cell r="B24" t="str">
            <v>138CSD</v>
          </cell>
          <cell r="C24" t="str">
            <v>8003 AIRPORT ROAD,</v>
          </cell>
          <cell r="D24" t="str">
            <v>BRAMPTON, ON</v>
          </cell>
          <cell r="E24">
            <v>81027</v>
          </cell>
        </row>
        <row r="25">
          <cell r="B25" t="str">
            <v>141CSD</v>
          </cell>
          <cell r="C25" t="str">
            <v>320 THICKSON RD. R.R.#1</v>
          </cell>
          <cell r="D25" t="str">
            <v>WHITBY, ON</v>
          </cell>
          <cell r="E25">
            <v>617207</v>
          </cell>
        </row>
        <row r="26">
          <cell r="B26" t="str">
            <v>148CSD</v>
          </cell>
          <cell r="E26">
            <v>0</v>
          </cell>
        </row>
        <row r="27">
          <cell r="B27" t="str">
            <v>149CSD</v>
          </cell>
          <cell r="C27" t="str">
            <v>734 SHEPPARD AVE. EAST,</v>
          </cell>
          <cell r="D27" t="str">
            <v>NORTH YORK, ON.</v>
          </cell>
          <cell r="E27">
            <v>361583</v>
          </cell>
        </row>
        <row r="28">
          <cell r="B28" t="str">
            <v>150CSD</v>
          </cell>
          <cell r="C28" t="str">
            <v>4926 BATHURST STREET</v>
          </cell>
          <cell r="D28" t="str">
            <v>TORONTO, ON</v>
          </cell>
          <cell r="E28">
            <v>441721</v>
          </cell>
        </row>
        <row r="29">
          <cell r="B29" t="str">
            <v>151CSD</v>
          </cell>
          <cell r="C29" t="str">
            <v>5495 EGLINTON AVE.WEST</v>
          </cell>
          <cell r="D29" t="str">
            <v>ETOBICOKE, ON</v>
          </cell>
          <cell r="E29">
            <v>520453</v>
          </cell>
        </row>
        <row r="30">
          <cell r="B30" t="str">
            <v>152CSD</v>
          </cell>
          <cell r="C30" t="str">
            <v>2 EAST BEAVER CREEK RD.</v>
          </cell>
          <cell r="D30" t="str">
            <v>RICHMOND HILL, ON</v>
          </cell>
          <cell r="E30">
            <v>423587</v>
          </cell>
        </row>
        <row r="31">
          <cell r="B31" t="str">
            <v>155CSD</v>
          </cell>
          <cell r="C31" t="str">
            <v>575 WEST STREET SOUTH UNIT 5</v>
          </cell>
          <cell r="D31" t="str">
            <v>ORILLIA, ON</v>
          </cell>
          <cell r="E31">
            <v>204000</v>
          </cell>
        </row>
        <row r="32">
          <cell r="B32" t="str">
            <v>168CSD</v>
          </cell>
          <cell r="C32" t="str">
            <v>1095 O'CONNOR DRIVE</v>
          </cell>
          <cell r="D32" t="str">
            <v>EAST YORK, ON</v>
          </cell>
          <cell r="E32">
            <v>528946</v>
          </cell>
        </row>
        <row r="33">
          <cell r="B33" t="str">
            <v>171CSD</v>
          </cell>
          <cell r="C33" t="str">
            <v>263 QUEEN ST. EAST</v>
          </cell>
          <cell r="D33" t="str">
            <v>BRAMPTON, ON</v>
          </cell>
          <cell r="E33">
            <v>609054</v>
          </cell>
        </row>
        <row r="34">
          <cell r="B34" t="str">
            <v>174CSD</v>
          </cell>
          <cell r="C34" t="str">
            <v>2555 VICTORIA PARK AVE., UNIT5</v>
          </cell>
          <cell r="D34" t="str">
            <v>SCARBOROUGH, ON</v>
          </cell>
          <cell r="E34">
            <v>119295</v>
          </cell>
        </row>
        <row r="35">
          <cell r="B35" t="str">
            <v>180CSD</v>
          </cell>
          <cell r="C35" t="str">
            <v>1812 SCUGOG STREET WEST</v>
          </cell>
          <cell r="D35" t="str">
            <v>PORT PERRY, ON</v>
          </cell>
          <cell r="E35">
            <v>486152</v>
          </cell>
        </row>
        <row r="36">
          <cell r="B36" t="str">
            <v>187CSD</v>
          </cell>
          <cell r="C36" t="str">
            <v>64 KING WILLIAM STREET</v>
          </cell>
          <cell r="D36" t="str">
            <v>HUNTSVILLE, ON</v>
          </cell>
          <cell r="E36">
            <v>337338</v>
          </cell>
        </row>
        <row r="37">
          <cell r="B37" t="str">
            <v>189CSD</v>
          </cell>
          <cell r="C37" t="str">
            <v>3372 KEELE ST., UNIT F</v>
          </cell>
          <cell r="D37" t="str">
            <v>NORTH YORK, ON</v>
          </cell>
          <cell r="E37">
            <v>549523</v>
          </cell>
        </row>
        <row r="38">
          <cell r="B38" t="str">
            <v>190CSD</v>
          </cell>
          <cell r="C38" t="str">
            <v>R.R.#2 KILWORTHY</v>
          </cell>
          <cell r="D38" t="str">
            <v>GRAVENHURST, ON</v>
          </cell>
          <cell r="E38">
            <v>478741</v>
          </cell>
        </row>
        <row r="39">
          <cell r="B39" t="str">
            <v>192CSD</v>
          </cell>
          <cell r="C39" t="str">
            <v>861 DUFFERIN AVE.</v>
          </cell>
          <cell r="D39" t="str">
            <v>WALLACEBURG, ON</v>
          </cell>
          <cell r="E39">
            <v>944965</v>
          </cell>
        </row>
        <row r="40">
          <cell r="B40" t="str">
            <v>193CSD</v>
          </cell>
          <cell r="C40" t="str">
            <v>92 KING STREET EAST</v>
          </cell>
          <cell r="D40" t="str">
            <v>TORONTO, ON</v>
          </cell>
          <cell r="E40">
            <v>325906</v>
          </cell>
        </row>
        <row r="41">
          <cell r="B41" t="str">
            <v>198CSD</v>
          </cell>
          <cell r="C41" t="str">
            <v>119 BOWES STREET</v>
          </cell>
          <cell r="D41" t="str">
            <v>PARRY SOUND, ON</v>
          </cell>
          <cell r="E41">
            <v>205000</v>
          </cell>
        </row>
        <row r="42">
          <cell r="B42" t="str">
            <v>199CSD</v>
          </cell>
          <cell r="C42" t="str">
            <v>6585 AIRPORT ROAD</v>
          </cell>
          <cell r="D42" t="str">
            <v>MISSISSAUGA, ON</v>
          </cell>
          <cell r="E42">
            <v>784607</v>
          </cell>
        </row>
        <row r="43">
          <cell r="B43" t="str">
            <v>201CSD</v>
          </cell>
          <cell r="C43" t="str">
            <v>44 GERRARD ST.W. P.O BOX 2</v>
          </cell>
          <cell r="D43" t="str">
            <v>TORONTO, ON</v>
          </cell>
          <cell r="E43">
            <v>315434</v>
          </cell>
        </row>
        <row r="44">
          <cell r="B44" t="str">
            <v>202CSD</v>
          </cell>
          <cell r="C44" t="str">
            <v>606 DIXON RD</v>
          </cell>
          <cell r="D44" t="str">
            <v>ETOBICOKE, ON</v>
          </cell>
          <cell r="E44">
            <v>480723</v>
          </cell>
        </row>
        <row r="45">
          <cell r="B45" t="str">
            <v>211CSD</v>
          </cell>
          <cell r="E45">
            <v>0</v>
          </cell>
        </row>
        <row r="46">
          <cell r="B46" t="str">
            <v>215CSD</v>
          </cell>
          <cell r="C46" t="str">
            <v>4200 SHEPPARD AVE.E.</v>
          </cell>
          <cell r="D46" t="str">
            <v>SCARBOROUGH, ON</v>
          </cell>
          <cell r="E46">
            <v>224931</v>
          </cell>
        </row>
        <row r="47">
          <cell r="B47" t="str">
            <v>222CSD</v>
          </cell>
          <cell r="E47">
            <v>0</v>
          </cell>
        </row>
        <row r="48">
          <cell r="B48" t="str">
            <v>225CSD</v>
          </cell>
          <cell r="C48" t="str">
            <v>432 THE QUEENSWAY SOUTH</v>
          </cell>
          <cell r="D48" t="str">
            <v>KESWICK, ON</v>
          </cell>
          <cell r="E48">
            <v>802530</v>
          </cell>
        </row>
        <row r="49">
          <cell r="B49" t="str">
            <v>226CSD</v>
          </cell>
          <cell r="C49" t="str">
            <v>100 KING ST.W.  UNIT #213</v>
          </cell>
          <cell r="D49" t="str">
            <v>HAMILTON, ON</v>
          </cell>
          <cell r="E49">
            <v>388225</v>
          </cell>
        </row>
        <row r="50">
          <cell r="B50" t="str">
            <v>236CSD</v>
          </cell>
          <cell r="E50">
            <v>0</v>
          </cell>
        </row>
        <row r="51">
          <cell r="B51" t="str">
            <v>240CSD</v>
          </cell>
          <cell r="C51" t="str">
            <v>726 KINGSTON ROAD</v>
          </cell>
          <cell r="D51" t="str">
            <v>PICKERING, ON</v>
          </cell>
          <cell r="E51">
            <v>299710</v>
          </cell>
        </row>
        <row r="52">
          <cell r="B52" t="str">
            <v>245CSD</v>
          </cell>
          <cell r="C52" t="str">
            <v>1185 REGIONAL ROAD 21, UNIT 1</v>
          </cell>
          <cell r="D52" t="str">
            <v>MANCHESTER, ON</v>
          </cell>
          <cell r="E52">
            <v>838541</v>
          </cell>
        </row>
        <row r="53">
          <cell r="B53" t="str">
            <v>246CSD</v>
          </cell>
          <cell r="C53" t="str">
            <v>6035 MCLAUGHLIN ROAD</v>
          </cell>
          <cell r="D53" t="str">
            <v>MISSISSAUGA, ON</v>
          </cell>
          <cell r="E53">
            <v>532233</v>
          </cell>
        </row>
        <row r="54">
          <cell r="B54" t="str">
            <v>247CSD</v>
          </cell>
          <cell r="E54">
            <v>0</v>
          </cell>
        </row>
        <row r="55">
          <cell r="B55" t="str">
            <v>248CSD</v>
          </cell>
          <cell r="C55" t="str">
            <v>630 BURNHAMTHORPE RD.W.</v>
          </cell>
          <cell r="D55" t="str">
            <v>MISSISSAUGA, ON</v>
          </cell>
          <cell r="E55">
            <v>341390</v>
          </cell>
        </row>
        <row r="56">
          <cell r="B56" t="str">
            <v>249CSD</v>
          </cell>
          <cell r="C56" t="str">
            <v>104 KING STREET</v>
          </cell>
          <cell r="D56" t="str">
            <v>STONEY CREEK, ON</v>
          </cell>
          <cell r="E56">
            <v>603903</v>
          </cell>
        </row>
        <row r="57">
          <cell r="B57" t="str">
            <v>250CSD</v>
          </cell>
          <cell r="C57" t="str">
            <v>2867 ELLESMERE RD. CENTENARY H</v>
          </cell>
          <cell r="D57" t="str">
            <v>SCARBOROUGH, ON</v>
          </cell>
          <cell r="E57">
            <v>715899</v>
          </cell>
        </row>
        <row r="58">
          <cell r="B58" t="str">
            <v>252CSD</v>
          </cell>
          <cell r="C58" t="str">
            <v>1050 BROCK RD.</v>
          </cell>
          <cell r="D58" t="str">
            <v>PICKERING, ON</v>
          </cell>
          <cell r="E58">
            <v>481632</v>
          </cell>
        </row>
        <row r="59">
          <cell r="B59" t="str">
            <v>255CSD</v>
          </cell>
          <cell r="E59">
            <v>0</v>
          </cell>
        </row>
        <row r="60">
          <cell r="B60" t="str">
            <v>257CSD</v>
          </cell>
          <cell r="E60">
            <v>0</v>
          </cell>
        </row>
        <row r="61">
          <cell r="B61" t="str">
            <v>258CSD</v>
          </cell>
          <cell r="C61" t="str">
            <v>7575-7577 KEELE STREET</v>
          </cell>
          <cell r="D61" t="str">
            <v>CONCORD, ON</v>
          </cell>
          <cell r="E61">
            <v>699235</v>
          </cell>
        </row>
        <row r="62">
          <cell r="B62" t="str">
            <v>259CSD</v>
          </cell>
          <cell r="C62" t="str">
            <v>HWY #7 AND KEENE ROAD</v>
          </cell>
          <cell r="D62" t="str">
            <v>PETERBOROUGH, ON</v>
          </cell>
          <cell r="E62">
            <v>1099118</v>
          </cell>
        </row>
        <row r="63">
          <cell r="B63" t="str">
            <v>260CSD</v>
          </cell>
          <cell r="C63" t="str">
            <v>140 ATHERLY RD.</v>
          </cell>
          <cell r="D63" t="str">
            <v>ORILLIA, ON</v>
          </cell>
          <cell r="E63">
            <v>253006</v>
          </cell>
        </row>
        <row r="64">
          <cell r="B64" t="str">
            <v>262CSD</v>
          </cell>
          <cell r="E64">
            <v>0</v>
          </cell>
        </row>
        <row r="65">
          <cell r="B65" t="str">
            <v>263CSD</v>
          </cell>
          <cell r="C65" t="str">
            <v>10 ST. MARY STREET</v>
          </cell>
          <cell r="D65" t="str">
            <v>TORONTO, ON</v>
          </cell>
          <cell r="E65">
            <v>416926</v>
          </cell>
        </row>
        <row r="66">
          <cell r="B66" t="str">
            <v>264CSD</v>
          </cell>
          <cell r="C66" t="str">
            <v>5955 LESLIE STREET</v>
          </cell>
          <cell r="D66" t="str">
            <v>NORTH YORK, ON</v>
          </cell>
          <cell r="E66">
            <v>150762</v>
          </cell>
        </row>
        <row r="67">
          <cell r="B67" t="str">
            <v>265CSD</v>
          </cell>
          <cell r="C67" t="str">
            <v>65 FRONT STREET WEST</v>
          </cell>
          <cell r="D67" t="str">
            <v>TORONTO, ON</v>
          </cell>
          <cell r="E67">
            <v>255957</v>
          </cell>
        </row>
        <row r="68">
          <cell r="B68" t="str">
            <v>267CSD</v>
          </cell>
          <cell r="C68" t="str">
            <v>1550 LANSDOWNE ST.W.</v>
          </cell>
          <cell r="D68" t="str">
            <v>PETERBOROUGH, ON</v>
          </cell>
          <cell r="E68">
            <v>966986</v>
          </cell>
        </row>
        <row r="69">
          <cell r="B69" t="str">
            <v>268CSD</v>
          </cell>
          <cell r="C69" t="str">
            <v>1011 FINCH AVENUE WEST</v>
          </cell>
          <cell r="D69" t="str">
            <v>NORTH YORK, ON</v>
          </cell>
          <cell r="E69">
            <v>186918</v>
          </cell>
        </row>
        <row r="70">
          <cell r="B70" t="str">
            <v>269CSD</v>
          </cell>
          <cell r="C70" t="str">
            <v>212 QUEEN STREET</v>
          </cell>
          <cell r="D70" t="str">
            <v>BOLTON, ON</v>
          </cell>
          <cell r="E70">
            <v>648774</v>
          </cell>
        </row>
        <row r="71">
          <cell r="B71" t="str">
            <v>271CSD</v>
          </cell>
          <cell r="E71">
            <v>0</v>
          </cell>
        </row>
        <row r="72">
          <cell r="B72" t="str">
            <v>272CSD</v>
          </cell>
          <cell r="C72" t="str">
            <v>2444 FINCH AVE., W.</v>
          </cell>
          <cell r="D72" t="str">
            <v>NORTH YORK, ON</v>
          </cell>
          <cell r="E72">
            <v>877293</v>
          </cell>
        </row>
        <row r="73">
          <cell r="B73" t="str">
            <v>273CSD</v>
          </cell>
          <cell r="C73" t="str">
            <v>7240 WOODBINE AVE.</v>
          </cell>
          <cell r="D73" t="str">
            <v>MARKHAM, ON</v>
          </cell>
          <cell r="E73">
            <v>466184</v>
          </cell>
        </row>
        <row r="74">
          <cell r="B74" t="str">
            <v>277CSD</v>
          </cell>
          <cell r="C74" t="str">
            <v>375 FORAN STREET</v>
          </cell>
          <cell r="D74" t="str">
            <v>NORTH BAY, ON</v>
          </cell>
          <cell r="E74">
            <v>643250</v>
          </cell>
        </row>
        <row r="75">
          <cell r="B75" t="str">
            <v>281CSD</v>
          </cell>
          <cell r="C75" t="str">
            <v>1737 RICHMOND ST HYLAND CENTRE</v>
          </cell>
          <cell r="D75" t="str">
            <v>LONDON, ON</v>
          </cell>
          <cell r="E75">
            <v>505412</v>
          </cell>
        </row>
        <row r="76">
          <cell r="B76" t="str">
            <v>282CSD</v>
          </cell>
          <cell r="C76" t="str">
            <v>14980 YONGE STREET</v>
          </cell>
          <cell r="D76" t="str">
            <v>AURORA, ON</v>
          </cell>
          <cell r="E76">
            <v>686121</v>
          </cell>
        </row>
        <row r="77">
          <cell r="B77" t="str">
            <v>283CSD</v>
          </cell>
          <cell r="C77" t="str">
            <v>6255 BATHURST STREET</v>
          </cell>
          <cell r="D77" t="str">
            <v>WILLOWDALE, ON</v>
          </cell>
          <cell r="E77">
            <v>642991</v>
          </cell>
        </row>
        <row r="78">
          <cell r="B78" t="str">
            <v>284CSD</v>
          </cell>
          <cell r="C78" t="str">
            <v>2037 LONG LAKE ROAD, UNIT #1</v>
          </cell>
          <cell r="D78" t="str">
            <v>SUDBURY, ON</v>
          </cell>
          <cell r="E78">
            <v>505325</v>
          </cell>
        </row>
        <row r="79">
          <cell r="B79" t="str">
            <v>285CSD</v>
          </cell>
          <cell r="C79" t="str">
            <v>6555 LUNDY'S LANE</v>
          </cell>
          <cell r="D79" t="str">
            <v>NIAGARA FALLS, ON</v>
          </cell>
          <cell r="E79">
            <v>409462</v>
          </cell>
        </row>
        <row r="80">
          <cell r="B80" t="str">
            <v>286CSD</v>
          </cell>
          <cell r="E80">
            <v>0</v>
          </cell>
        </row>
        <row r="81">
          <cell r="B81" t="str">
            <v>287CSD</v>
          </cell>
          <cell r="C81" t="str">
            <v>1650 DERRY ROAD EAST</v>
          </cell>
          <cell r="D81" t="str">
            <v>MISSISSAUGA, ON</v>
          </cell>
          <cell r="E81">
            <v>486268</v>
          </cell>
        </row>
        <row r="82">
          <cell r="B82" t="str">
            <v>288CSD</v>
          </cell>
          <cell r="C82" t="str">
            <v>506 CANATARA COURT</v>
          </cell>
          <cell r="D82" t="str">
            <v>KINGSTON, ON</v>
          </cell>
          <cell r="E82">
            <v>673533.06</v>
          </cell>
        </row>
        <row r="83">
          <cell r="B83" t="str">
            <v>289CSD</v>
          </cell>
          <cell r="C83" t="str">
            <v>2118 KING RD.</v>
          </cell>
          <cell r="D83" t="str">
            <v>KING CITY, ON</v>
          </cell>
          <cell r="E83">
            <v>601963</v>
          </cell>
        </row>
        <row r="84">
          <cell r="B84" t="str">
            <v>291CSD</v>
          </cell>
          <cell r="C84" t="str">
            <v>1224 THE KINGSWAY</v>
          </cell>
          <cell r="D84" t="str">
            <v>SUDBURY, ON</v>
          </cell>
          <cell r="E84">
            <v>327254</v>
          </cell>
        </row>
        <row r="85">
          <cell r="B85" t="str">
            <v>305CSD</v>
          </cell>
          <cell r="C85" t="str">
            <v>17740 YONGE STREET NORTH</v>
          </cell>
          <cell r="D85" t="str">
            <v>NEWMARKET, ON</v>
          </cell>
          <cell r="E85">
            <v>178270.32</v>
          </cell>
        </row>
        <row r="86">
          <cell r="B86" t="str">
            <v>306CSD</v>
          </cell>
          <cell r="C86" t="str">
            <v>1333 WILSON ROAD NORTH</v>
          </cell>
          <cell r="D86" t="str">
            <v>OSHAWA, ON</v>
          </cell>
          <cell r="E86">
            <v>128710</v>
          </cell>
        </row>
        <row r="87">
          <cell r="B87" t="str">
            <v>309CSD</v>
          </cell>
          <cell r="C87" t="str">
            <v>6355 YONGE STREET</v>
          </cell>
          <cell r="D87" t="str">
            <v>NORTH YORK, ON</v>
          </cell>
          <cell r="E87">
            <v>911010</v>
          </cell>
        </row>
        <row r="88">
          <cell r="B88" t="str">
            <v>310CSD</v>
          </cell>
          <cell r="C88" t="str">
            <v>2011 HWY 11 SOUTH</v>
          </cell>
          <cell r="D88" t="str">
            <v>GRAVENHURST, ON</v>
          </cell>
          <cell r="E88">
            <v>399711</v>
          </cell>
        </row>
        <row r="89">
          <cell r="B89" t="str">
            <v>313CSD</v>
          </cell>
          <cell r="C89" t="str">
            <v>68 ELLIOT AVENUE</v>
          </cell>
          <cell r="D89" t="str">
            <v>KINGSTON, ON</v>
          </cell>
          <cell r="E89">
            <v>895582</v>
          </cell>
        </row>
        <row r="90">
          <cell r="B90" t="str">
            <v>314CSD</v>
          </cell>
          <cell r="C90" t="str">
            <v>1250 MAIN STREET</v>
          </cell>
          <cell r="D90" t="str">
            <v>STITTSVILLE, ON</v>
          </cell>
          <cell r="E90">
            <v>495820</v>
          </cell>
        </row>
        <row r="91">
          <cell r="B91" t="str">
            <v>315CSD</v>
          </cell>
          <cell r="C91" t="str">
            <v>17750 YONGE STREET</v>
          </cell>
          <cell r="D91" t="str">
            <v>NEWMARKET, ON</v>
          </cell>
          <cell r="E91">
            <v>13042</v>
          </cell>
        </row>
        <row r="92">
          <cell r="B92" t="str">
            <v>316CSD</v>
          </cell>
          <cell r="C92" t="str">
            <v>603 DAVENPORT RD.</v>
          </cell>
          <cell r="D92" t="str">
            <v>TORONTO, ON</v>
          </cell>
          <cell r="E92">
            <v>524607</v>
          </cell>
        </row>
        <row r="93">
          <cell r="B93" t="str">
            <v>319CSD</v>
          </cell>
          <cell r="E93">
            <v>0</v>
          </cell>
        </row>
        <row r="94">
          <cell r="B94" t="str">
            <v>325CSD</v>
          </cell>
          <cell r="E94">
            <v>0</v>
          </cell>
        </row>
        <row r="95">
          <cell r="B95" t="str">
            <v>326CSD</v>
          </cell>
          <cell r="C95" t="str">
            <v>3005 HWY 35 &amp; 115</v>
          </cell>
          <cell r="D95" t="str">
            <v>NEWCASTLE, ON</v>
          </cell>
          <cell r="E95">
            <v>1033968</v>
          </cell>
        </row>
        <row r="96">
          <cell r="B96" t="str">
            <v>327CSD</v>
          </cell>
          <cell r="E96">
            <v>0</v>
          </cell>
        </row>
        <row r="97">
          <cell r="B97" t="str">
            <v>329CSD</v>
          </cell>
          <cell r="C97" t="str">
            <v>1326 SIMCOE ST.N.</v>
          </cell>
          <cell r="D97" t="str">
            <v>OSHAWA, ON</v>
          </cell>
          <cell r="E97">
            <v>627889</v>
          </cell>
        </row>
        <row r="98">
          <cell r="B98" t="str">
            <v>330CSD</v>
          </cell>
          <cell r="C98" t="str">
            <v>205 ADVANCE BLVD.</v>
          </cell>
          <cell r="D98" t="str">
            <v>BRAMPTON, ON</v>
          </cell>
          <cell r="E98">
            <v>813905</v>
          </cell>
        </row>
        <row r="99">
          <cell r="B99" t="str">
            <v>331CSD</v>
          </cell>
          <cell r="C99" t="str">
            <v>6415 DIXIE RD. (ESSO STATION)</v>
          </cell>
          <cell r="D99" t="str">
            <v>MISSISSAUGA, ON</v>
          </cell>
          <cell r="E99">
            <v>156472</v>
          </cell>
        </row>
        <row r="100">
          <cell r="B100" t="str">
            <v>332CSD</v>
          </cell>
          <cell r="C100" t="str">
            <v>GEN.DEL,HWY 17 E &amp; INDUSTRIAL</v>
          </cell>
          <cell r="D100" t="str">
            <v>BLIND RIVER, ON</v>
          </cell>
          <cell r="E100">
            <v>413073</v>
          </cell>
        </row>
        <row r="101">
          <cell r="B101" t="str">
            <v>333CSD</v>
          </cell>
          <cell r="C101" t="str">
            <v>11108 YONGE STREET</v>
          </cell>
          <cell r="D101" t="str">
            <v>RICHMOND HILL, ON</v>
          </cell>
          <cell r="E101">
            <v>820297</v>
          </cell>
        </row>
        <row r="102">
          <cell r="B102" t="str">
            <v>335CSD</v>
          </cell>
          <cell r="C102" t="str">
            <v>107 QUEEN ST., P.O.BOX 1398</v>
          </cell>
          <cell r="D102" t="str">
            <v>LAKEFIELD, ON</v>
          </cell>
          <cell r="E102">
            <v>481783</v>
          </cell>
        </row>
        <row r="103">
          <cell r="B103" t="str">
            <v>336CSD</v>
          </cell>
          <cell r="C103" t="str">
            <v>1 INDUSTRIAL PARKWAY</v>
          </cell>
          <cell r="D103" t="str">
            <v>AURORA, ON</v>
          </cell>
          <cell r="E103">
            <v>556493</v>
          </cell>
        </row>
        <row r="104">
          <cell r="B104" t="str">
            <v>337CSD</v>
          </cell>
          <cell r="C104" t="str">
            <v>1401A SEYMOUR STREET</v>
          </cell>
          <cell r="D104" t="str">
            <v>NORTH BAY, ON</v>
          </cell>
          <cell r="E104">
            <v>683595</v>
          </cell>
        </row>
        <row r="105">
          <cell r="B105" t="str">
            <v>338CSD</v>
          </cell>
          <cell r="C105" t="str">
            <v>799 YORK MILLS ROAD</v>
          </cell>
          <cell r="D105" t="str">
            <v>NORTH YORK, ON</v>
          </cell>
          <cell r="E105">
            <v>500563</v>
          </cell>
        </row>
        <row r="106">
          <cell r="B106" t="str">
            <v>339CSD</v>
          </cell>
          <cell r="C106" t="str">
            <v>2387 KINGSTON ROAD</v>
          </cell>
          <cell r="D106" t="str">
            <v>SCARBOROUGH, ON</v>
          </cell>
          <cell r="E106">
            <v>556617</v>
          </cell>
        </row>
        <row r="107">
          <cell r="B107" t="str">
            <v>340CSD</v>
          </cell>
          <cell r="C107" t="str">
            <v>9218 YONGE STREET</v>
          </cell>
          <cell r="D107" t="str">
            <v>RICHMOND HILL , ON</v>
          </cell>
          <cell r="E107">
            <v>797576</v>
          </cell>
        </row>
        <row r="108">
          <cell r="B108" t="str">
            <v>341CSD</v>
          </cell>
          <cell r="C108" t="str">
            <v>24398 WOODBINE AVENUE</v>
          </cell>
          <cell r="D108" t="str">
            <v>KESWICK, ON</v>
          </cell>
          <cell r="E108">
            <v>635710</v>
          </cell>
        </row>
        <row r="109">
          <cell r="B109" t="str">
            <v>342CSD</v>
          </cell>
          <cell r="C109" t="str">
            <v>1 - 111 CENTRE ST.</v>
          </cell>
          <cell r="D109" t="str">
            <v>ESPANOLA, ON</v>
          </cell>
          <cell r="E109">
            <v>81140</v>
          </cell>
        </row>
        <row r="110">
          <cell r="B110" t="str">
            <v>347CSD</v>
          </cell>
          <cell r="C110" t="str">
            <v>396 HOLLAND ST.W. P.O.BOX 407</v>
          </cell>
          <cell r="D110" t="str">
            <v>BRADFORD, ON</v>
          </cell>
          <cell r="E110">
            <v>703725</v>
          </cell>
        </row>
        <row r="111">
          <cell r="B111" t="str">
            <v>348CSD</v>
          </cell>
          <cell r="C111" t="str">
            <v>371 LORNE STREET</v>
          </cell>
          <cell r="D111" t="str">
            <v>SUDBURY, ON</v>
          </cell>
          <cell r="E111">
            <v>680497</v>
          </cell>
        </row>
        <row r="112">
          <cell r="B112" t="str">
            <v>349CSD</v>
          </cell>
          <cell r="C112" t="str">
            <v>821 DIVISION STREET</v>
          </cell>
          <cell r="D112" t="str">
            <v>COBOURG, ON</v>
          </cell>
          <cell r="E112">
            <v>717901</v>
          </cell>
        </row>
        <row r="113">
          <cell r="B113" t="str">
            <v>350CSD</v>
          </cell>
          <cell r="C113" t="str">
            <v>197 GEORGE STREET NORTH</v>
          </cell>
          <cell r="D113" t="str">
            <v>PETERBOROUGH, ON</v>
          </cell>
          <cell r="E113">
            <v>386876</v>
          </cell>
        </row>
        <row r="114">
          <cell r="B114" t="str">
            <v>351CSD</v>
          </cell>
          <cell r="C114" t="str">
            <v>1735 KIPLING AVENUE</v>
          </cell>
          <cell r="D114" t="str">
            <v>ETOBICOKE, ON</v>
          </cell>
          <cell r="E114">
            <v>589739</v>
          </cell>
        </row>
        <row r="115">
          <cell r="B115" t="str">
            <v>353CSD</v>
          </cell>
          <cell r="C115" t="str">
            <v>2050B VICTORIA PARK AVENUE</v>
          </cell>
          <cell r="D115" t="str">
            <v>NORTH YORK, ON</v>
          </cell>
          <cell r="E115">
            <v>542400</v>
          </cell>
        </row>
        <row r="116">
          <cell r="B116" t="str">
            <v>354CSD</v>
          </cell>
          <cell r="C116" t="str">
            <v>131 TIFFIN STREET EAST</v>
          </cell>
          <cell r="D116" t="str">
            <v>BARRIE, ON</v>
          </cell>
          <cell r="E116">
            <v>695758</v>
          </cell>
        </row>
        <row r="117">
          <cell r="B117" t="str">
            <v>356CSD</v>
          </cell>
          <cell r="C117" t="str">
            <v>2512 JANE STREET</v>
          </cell>
          <cell r="D117" t="str">
            <v>NORTH YORK, ON</v>
          </cell>
          <cell r="E117">
            <v>798961</v>
          </cell>
        </row>
        <row r="118">
          <cell r="B118" t="str">
            <v>358CSD</v>
          </cell>
          <cell r="C118" t="str">
            <v>HWY 11 NORTHBOUND &amp; 2ND LINE</v>
          </cell>
          <cell r="D118" t="str">
            <v>SHANTY BAY, ON</v>
          </cell>
          <cell r="E118">
            <v>553468</v>
          </cell>
        </row>
        <row r="119">
          <cell r="B119" t="str">
            <v>361CSD</v>
          </cell>
          <cell r="C119" t="str">
            <v>2781 DUFFERIN ST.</v>
          </cell>
          <cell r="D119" t="str">
            <v>NORTH YORK, ON</v>
          </cell>
          <cell r="E119">
            <v>816033</v>
          </cell>
        </row>
        <row r="120">
          <cell r="B120" t="str">
            <v>363CSD</v>
          </cell>
          <cell r="C120" t="str">
            <v>1 RICHMOND BOULEVARD</v>
          </cell>
          <cell r="D120" t="str">
            <v>NAPANEE, ON</v>
          </cell>
          <cell r="E120">
            <v>806734</v>
          </cell>
        </row>
        <row r="121">
          <cell r="B121" t="str">
            <v>364CSD</v>
          </cell>
          <cell r="C121" t="str">
            <v>66 OVERLEA BLVD.</v>
          </cell>
          <cell r="D121" t="str">
            <v>EAST YORK, ON</v>
          </cell>
          <cell r="E121">
            <v>539021</v>
          </cell>
        </row>
        <row r="122">
          <cell r="B122" t="str">
            <v>365CSD</v>
          </cell>
          <cell r="C122" t="str">
            <v>1160 HIGHBURY AVENUE</v>
          </cell>
          <cell r="D122" t="str">
            <v>LONDON, ON</v>
          </cell>
          <cell r="E122">
            <v>417654</v>
          </cell>
        </row>
        <row r="123">
          <cell r="B123" t="str">
            <v>367CSD</v>
          </cell>
          <cell r="C123" t="str">
            <v>1387 EAST 41ST STREET</v>
          </cell>
          <cell r="D123" t="str">
            <v>VANCOUVER, BC</v>
          </cell>
          <cell r="E123">
            <v>66240</v>
          </cell>
        </row>
        <row r="124">
          <cell r="B124" t="str">
            <v>369CSD</v>
          </cell>
          <cell r="C124" t="str">
            <v>288 BLOOR ST.WEST</v>
          </cell>
          <cell r="D124" t="str">
            <v>OSHAWA, ON</v>
          </cell>
          <cell r="E124">
            <v>736603</v>
          </cell>
        </row>
        <row r="125">
          <cell r="B125" t="str">
            <v>372CSD</v>
          </cell>
          <cell r="C125" t="str">
            <v>2281 KIPLING AVENUE</v>
          </cell>
          <cell r="D125" t="str">
            <v>ETOBICOKE, ON</v>
          </cell>
          <cell r="E125">
            <v>842276</v>
          </cell>
        </row>
        <row r="126">
          <cell r="B126" t="str">
            <v>373CSD</v>
          </cell>
          <cell r="C126" t="str">
            <v>828 CHEMONG ROAD</v>
          </cell>
          <cell r="D126" t="str">
            <v>PETERBOROUGH, ON</v>
          </cell>
          <cell r="E126">
            <v>383754</v>
          </cell>
        </row>
        <row r="127">
          <cell r="B127" t="str">
            <v>375CSD</v>
          </cell>
          <cell r="E127">
            <v>0</v>
          </cell>
        </row>
        <row r="128">
          <cell r="B128" t="str">
            <v>376CSD</v>
          </cell>
          <cell r="C128" t="str">
            <v>5964 HIGHWAY #9</v>
          </cell>
          <cell r="D128" t="str">
            <v>NEW TECUMSETH, ON</v>
          </cell>
          <cell r="E128">
            <v>756926.53</v>
          </cell>
        </row>
        <row r="129">
          <cell r="B129" t="str">
            <v>380CSD</v>
          </cell>
          <cell r="C129" t="str">
            <v>590 KEELE ST.</v>
          </cell>
          <cell r="D129" t="str">
            <v>TORONTO, ON</v>
          </cell>
          <cell r="E129">
            <v>760074</v>
          </cell>
        </row>
        <row r="130">
          <cell r="B130" t="str">
            <v>381CSD</v>
          </cell>
          <cell r="C130" t="str">
            <v>554 LANSDOWNE ST., W.</v>
          </cell>
          <cell r="D130" t="str">
            <v>PETERBOROUGH, ON</v>
          </cell>
          <cell r="E130">
            <v>476482</v>
          </cell>
        </row>
        <row r="131">
          <cell r="B131" t="str">
            <v>383CSD</v>
          </cell>
          <cell r="C131" t="str">
            <v>120 BRICKYARD WAY, BLDG C</v>
          </cell>
          <cell r="D131" t="str">
            <v>BRAMPTON, ON</v>
          </cell>
          <cell r="E131">
            <v>617020</v>
          </cell>
        </row>
        <row r="132">
          <cell r="B132" t="str">
            <v>384CSD</v>
          </cell>
          <cell r="C132" t="str">
            <v>1465 AEROWOOD DRIVE</v>
          </cell>
          <cell r="D132" t="str">
            <v>MISSISSAUGA, ON</v>
          </cell>
          <cell r="E132">
            <v>838580</v>
          </cell>
        </row>
        <row r="133">
          <cell r="B133" t="str">
            <v>385CSD</v>
          </cell>
          <cell r="C133" t="str">
            <v>1585 WARDEN AVENUE</v>
          </cell>
          <cell r="D133" t="str">
            <v>SCARBOROUGH, ON</v>
          </cell>
          <cell r="E133">
            <v>575749</v>
          </cell>
        </row>
        <row r="134">
          <cell r="B134" t="str">
            <v>386CSD</v>
          </cell>
          <cell r="C134" t="str">
            <v>537 HESPELER ROAD</v>
          </cell>
          <cell r="D134" t="str">
            <v>CAMBRIDGE, ON</v>
          </cell>
          <cell r="E134">
            <v>316314</v>
          </cell>
        </row>
        <row r="135">
          <cell r="B135" t="str">
            <v>387CSD</v>
          </cell>
          <cell r="C135" t="str">
            <v>334 DUNDAS ST.E.</v>
          </cell>
          <cell r="D135" t="str">
            <v>MISSISSAUGA, ON</v>
          </cell>
          <cell r="E135">
            <v>618013</v>
          </cell>
        </row>
        <row r="136">
          <cell r="B136" t="str">
            <v>389CSD</v>
          </cell>
          <cell r="E136">
            <v>0</v>
          </cell>
        </row>
        <row r="137">
          <cell r="B137" t="str">
            <v>392CSD</v>
          </cell>
          <cell r="C137" t="str">
            <v>929 QUEEN ST.E.</v>
          </cell>
          <cell r="D137" t="str">
            <v>TORONTO, ON</v>
          </cell>
          <cell r="E137">
            <v>441433</v>
          </cell>
        </row>
        <row r="138">
          <cell r="B138" t="str">
            <v>393CSD</v>
          </cell>
          <cell r="C138" t="str">
            <v>204 HAMILTON RD.</v>
          </cell>
          <cell r="D138" t="str">
            <v>LONDON, ON</v>
          </cell>
          <cell r="E138">
            <v>687313.83</v>
          </cell>
        </row>
        <row r="139">
          <cell r="B139" t="str">
            <v>394CSD</v>
          </cell>
          <cell r="C139" t="str">
            <v>210 PINEBUSH ROAD</v>
          </cell>
          <cell r="D139" t="str">
            <v>CAMBRIDGE, ON</v>
          </cell>
          <cell r="E139">
            <v>296612</v>
          </cell>
        </row>
        <row r="140">
          <cell r="B140" t="str">
            <v>395CSD</v>
          </cell>
          <cell r="C140" t="str">
            <v>960 DUNDAS STREET WEST</v>
          </cell>
          <cell r="D140" t="str">
            <v>WHITBY, ON</v>
          </cell>
          <cell r="E140">
            <v>594518</v>
          </cell>
        </row>
        <row r="141">
          <cell r="B141" t="str">
            <v>396CSD</v>
          </cell>
          <cell r="C141" t="str">
            <v>11 JACOB KEFFER PARKWAY</v>
          </cell>
          <cell r="D141" t="str">
            <v>VAUGHAN, ON</v>
          </cell>
          <cell r="E141">
            <v>519316</v>
          </cell>
        </row>
        <row r="142">
          <cell r="B142" t="str">
            <v>399CSD</v>
          </cell>
          <cell r="C142" t="str">
            <v>362 LAKESHORE ROAD EAST</v>
          </cell>
          <cell r="D142" t="str">
            <v>MISSISSAUGA, ON</v>
          </cell>
          <cell r="E142">
            <v>525040</v>
          </cell>
        </row>
        <row r="143">
          <cell r="B143" t="str">
            <v>400BMB</v>
          </cell>
          <cell r="C143" t="str">
            <v>3-32905 VENTURA AVENUE</v>
          </cell>
          <cell r="D143" t="str">
            <v>ABBOTSFORD, BC</v>
          </cell>
          <cell r="E143">
            <v>329847</v>
          </cell>
        </row>
        <row r="144">
          <cell r="B144" t="str">
            <v>400CSD</v>
          </cell>
          <cell r="C144" t="str">
            <v>1156-58 KENNEDY ROAD</v>
          </cell>
          <cell r="D144" t="str">
            <v>SCARBOROUGH, ON</v>
          </cell>
          <cell r="E144">
            <v>577244</v>
          </cell>
        </row>
        <row r="145">
          <cell r="B145" t="str">
            <v>401BMB</v>
          </cell>
          <cell r="C145" t="str">
            <v>96 VICTORIA STREET</v>
          </cell>
          <cell r="D145" t="str">
            <v>BARRIE, ON</v>
          </cell>
          <cell r="E145">
            <v>994529</v>
          </cell>
        </row>
        <row r="146">
          <cell r="B146" t="str">
            <v>402BMB</v>
          </cell>
          <cell r="C146" t="str">
            <v>300 BELL BLVD.</v>
          </cell>
          <cell r="D146" t="str">
            <v>BELLEVILLE, ON</v>
          </cell>
          <cell r="E146">
            <v>424185</v>
          </cell>
        </row>
        <row r="147">
          <cell r="B147" t="str">
            <v>402CSD</v>
          </cell>
          <cell r="C147" t="str">
            <v>1146 VICTORIA ST.RR1GEN.DEL'V'</v>
          </cell>
          <cell r="D147" t="str">
            <v>ROSSEAU, ON</v>
          </cell>
          <cell r="E147">
            <v>252615</v>
          </cell>
        </row>
        <row r="148">
          <cell r="B148" t="str">
            <v>403BMB</v>
          </cell>
          <cell r="C148" t="str">
            <v>1 STAFFORD DRIVE</v>
          </cell>
          <cell r="D148" t="str">
            <v>BRAMPTON, ON</v>
          </cell>
          <cell r="E148">
            <v>152980</v>
          </cell>
        </row>
        <row r="149">
          <cell r="B149" t="str">
            <v>404CSD</v>
          </cell>
          <cell r="C149" t="str">
            <v>1620 BIRCHMOUNT ROAD</v>
          </cell>
          <cell r="D149" t="str">
            <v>SCARBOROUGH, ON</v>
          </cell>
          <cell r="E149">
            <v>401506</v>
          </cell>
        </row>
        <row r="150">
          <cell r="B150" t="str">
            <v>406CSD</v>
          </cell>
          <cell r="C150" t="str">
            <v>490 BAYFIELD ST. NORTH</v>
          </cell>
          <cell r="D150" t="str">
            <v>BARRIE, ON</v>
          </cell>
          <cell r="E150">
            <v>447473</v>
          </cell>
        </row>
        <row r="151">
          <cell r="B151" t="str">
            <v>407BMB</v>
          </cell>
          <cell r="C151" t="str">
            <v>7832-6TH STREET</v>
          </cell>
          <cell r="D151" t="str">
            <v>BURNABY, BC</v>
          </cell>
          <cell r="E151">
            <v>468634</v>
          </cell>
        </row>
        <row r="152">
          <cell r="B152" t="str">
            <v>408BMB</v>
          </cell>
          <cell r="E152">
            <v>0</v>
          </cell>
        </row>
        <row r="153">
          <cell r="B153" t="str">
            <v>409CSD</v>
          </cell>
          <cell r="C153" t="str">
            <v>231-235 EDINBURGH RD.SOUTH</v>
          </cell>
          <cell r="D153" t="str">
            <v>GUELPH, ON</v>
          </cell>
          <cell r="E153">
            <v>25726</v>
          </cell>
        </row>
        <row r="154">
          <cell r="B154" t="str">
            <v>410CSD</v>
          </cell>
          <cell r="E154">
            <v>0</v>
          </cell>
        </row>
        <row r="155">
          <cell r="B155" t="str">
            <v>411CSD</v>
          </cell>
          <cell r="C155" t="str">
            <v>304 TORONTO STREET SOUTH</v>
          </cell>
          <cell r="D155" t="str">
            <v>UXBRIDGE, ON</v>
          </cell>
          <cell r="E155">
            <v>638490</v>
          </cell>
        </row>
        <row r="156">
          <cell r="B156" t="str">
            <v>413BMB</v>
          </cell>
          <cell r="C156" t="str">
            <v>46 WELLINGTON ST.W.</v>
          </cell>
          <cell r="D156" t="str">
            <v>CHATHAM, ON</v>
          </cell>
          <cell r="E156">
            <v>525572</v>
          </cell>
        </row>
        <row r="157">
          <cell r="B157" t="str">
            <v>413CSD</v>
          </cell>
          <cell r="C157" t="str">
            <v>28 BRIDGE STREET</v>
          </cell>
          <cell r="D157" t="str">
            <v>BRADFORD, ON</v>
          </cell>
          <cell r="E157">
            <v>465210</v>
          </cell>
        </row>
        <row r="158">
          <cell r="B158" t="str">
            <v>414CSD</v>
          </cell>
          <cell r="C158" t="str">
            <v>598 ONTARIO STREET SOUTH</v>
          </cell>
          <cell r="D158" t="str">
            <v>MILTON, ON</v>
          </cell>
          <cell r="E158">
            <v>386772</v>
          </cell>
        </row>
        <row r="159">
          <cell r="B159" t="str">
            <v>415BMB</v>
          </cell>
          <cell r="C159" t="str">
            <v>726 ONTARIO STREET</v>
          </cell>
          <cell r="D159" t="str">
            <v>COBOURG, ON</v>
          </cell>
          <cell r="E159">
            <v>124888</v>
          </cell>
        </row>
        <row r="160">
          <cell r="B160" t="str">
            <v>417BMB</v>
          </cell>
          <cell r="C160" t="str">
            <v>#107-2071 KINGSWAY</v>
          </cell>
          <cell r="D160" t="str">
            <v>PORT COQUITLAM, BC</v>
          </cell>
          <cell r="E160">
            <v>399232</v>
          </cell>
        </row>
        <row r="161">
          <cell r="B161" t="str">
            <v>417CSD</v>
          </cell>
          <cell r="C161" t="str">
            <v>681 CHRISLEA ROAD</v>
          </cell>
          <cell r="D161" t="str">
            <v>VAUGHAN, ON</v>
          </cell>
          <cell r="E161">
            <v>1030171</v>
          </cell>
        </row>
        <row r="162">
          <cell r="B162" t="str">
            <v>418BMB</v>
          </cell>
          <cell r="C162" t="str">
            <v>900 PITT STREET</v>
          </cell>
          <cell r="D162" t="str">
            <v>CORNWALL, ON</v>
          </cell>
          <cell r="E162">
            <v>356605</v>
          </cell>
        </row>
        <row r="163">
          <cell r="B163" t="str">
            <v>418CSD</v>
          </cell>
          <cell r="C163" t="str">
            <v>169-C FRONT STREET</v>
          </cell>
          <cell r="D163" t="str">
            <v>STURGEON FALLS, ON</v>
          </cell>
          <cell r="E163">
            <v>382452</v>
          </cell>
        </row>
        <row r="164">
          <cell r="B164" t="str">
            <v>419BMB</v>
          </cell>
          <cell r="C164" t="str">
            <v>445-10TH ST.</v>
          </cell>
          <cell r="D164" t="str">
            <v>COURTENAY, BC</v>
          </cell>
          <cell r="E164">
            <v>608489</v>
          </cell>
        </row>
        <row r="165">
          <cell r="B165" t="str">
            <v>420BMB</v>
          </cell>
          <cell r="C165" t="str">
            <v>216 SLATER ROAD N.W.</v>
          </cell>
          <cell r="D165" t="str">
            <v>CRANBROOK, BC</v>
          </cell>
          <cell r="E165">
            <v>347713</v>
          </cell>
        </row>
        <row r="166">
          <cell r="B166" t="str">
            <v>420CSD</v>
          </cell>
          <cell r="C166" t="str">
            <v>5401 STEELES AVE., WEST</v>
          </cell>
          <cell r="D166" t="str">
            <v>TORONTO, ON</v>
          </cell>
          <cell r="E166">
            <v>440155</v>
          </cell>
        </row>
        <row r="167">
          <cell r="B167" t="str">
            <v>421BMB</v>
          </cell>
          <cell r="C167" t="str">
            <v>#3-11161 -84TH AVENUE</v>
          </cell>
          <cell r="D167" t="str">
            <v>DELTA, BC</v>
          </cell>
          <cell r="E167">
            <v>137151</v>
          </cell>
        </row>
        <row r="168">
          <cell r="B168" t="str">
            <v>421CSD</v>
          </cell>
          <cell r="C168" t="str">
            <v>1681 WILSON AVE.</v>
          </cell>
          <cell r="D168" t="str">
            <v>TORONTO, ON</v>
          </cell>
          <cell r="E168">
            <v>560211</v>
          </cell>
        </row>
        <row r="169">
          <cell r="B169" t="str">
            <v>422BMB</v>
          </cell>
          <cell r="C169" t="str">
            <v>2289 KING GEORGE HWY</v>
          </cell>
          <cell r="D169" t="str">
            <v>MIRAMICHI, N.B.</v>
          </cell>
          <cell r="E169">
            <v>187958</v>
          </cell>
        </row>
        <row r="170">
          <cell r="B170" t="str">
            <v>422CSD</v>
          </cell>
          <cell r="C170" t="str">
            <v>MALVERN TOWN CTR. 31 TAPSCOTT</v>
          </cell>
          <cell r="D170" t="str">
            <v>SCARBOROUGH, ON</v>
          </cell>
          <cell r="E170">
            <v>241848</v>
          </cell>
        </row>
        <row r="171">
          <cell r="B171" t="str">
            <v>424CSD</v>
          </cell>
          <cell r="E171">
            <v>178511</v>
          </cell>
        </row>
        <row r="172">
          <cell r="B172" t="str">
            <v>425BMB</v>
          </cell>
          <cell r="C172" t="str">
            <v>853 KIPLING AVENUE</v>
          </cell>
          <cell r="D172" t="str">
            <v>ETOBICOKE, ON</v>
          </cell>
          <cell r="E172">
            <v>814944</v>
          </cell>
        </row>
        <row r="173">
          <cell r="B173" t="str">
            <v>425CSD</v>
          </cell>
          <cell r="E173">
            <v>0</v>
          </cell>
        </row>
        <row r="174">
          <cell r="B174" t="str">
            <v>426BMB</v>
          </cell>
          <cell r="C174" t="str">
            <v>1331 MARTINGROVE ROAD</v>
          </cell>
          <cell r="D174" t="str">
            <v>ETOBICOKE, ON</v>
          </cell>
          <cell r="E174">
            <v>150600</v>
          </cell>
        </row>
        <row r="175">
          <cell r="B175" t="str">
            <v>426CSD</v>
          </cell>
          <cell r="C175" t="str">
            <v>1533 JANE ST.</v>
          </cell>
          <cell r="D175" t="str">
            <v>TORONTO, ON</v>
          </cell>
          <cell r="E175">
            <v>533711</v>
          </cell>
        </row>
        <row r="176">
          <cell r="B176" t="str">
            <v>427CSD</v>
          </cell>
          <cell r="C176" t="str">
            <v>16654 YONGE STREET</v>
          </cell>
          <cell r="D176" t="str">
            <v>NEWMARKET, ON</v>
          </cell>
          <cell r="E176">
            <v>543615</v>
          </cell>
        </row>
        <row r="177">
          <cell r="B177" t="str">
            <v>430BMB</v>
          </cell>
          <cell r="C177" t="str">
            <v>256 SILVERCREEK PARKWAY</v>
          </cell>
          <cell r="D177" t="str">
            <v>GUELPH, ON</v>
          </cell>
          <cell r="E177">
            <v>1043171</v>
          </cell>
        </row>
        <row r="178">
          <cell r="B178" t="str">
            <v>431BMB</v>
          </cell>
          <cell r="C178" t="str">
            <v>307 NASH ROAD N.</v>
          </cell>
          <cell r="D178" t="str">
            <v>HAMILTON, ON</v>
          </cell>
          <cell r="E178">
            <v>375764</v>
          </cell>
        </row>
        <row r="179">
          <cell r="B179" t="str">
            <v>433BMB</v>
          </cell>
          <cell r="C179" t="str">
            <v>325 REGENT STREET</v>
          </cell>
          <cell r="D179" t="str">
            <v>HAWKESBURY, ON</v>
          </cell>
          <cell r="E179">
            <v>313208</v>
          </cell>
        </row>
        <row r="180">
          <cell r="B180" t="str">
            <v>435BMB</v>
          </cell>
          <cell r="C180" t="str">
            <v>1231-12TH STREET</v>
          </cell>
          <cell r="D180" t="str">
            <v>KAMLOOPS, BC</v>
          </cell>
          <cell r="E180">
            <v>218342</v>
          </cell>
        </row>
        <row r="181">
          <cell r="B181" t="str">
            <v>435CSD</v>
          </cell>
          <cell r="C181" t="str">
            <v>430 KIPLING AVE.</v>
          </cell>
          <cell r="D181" t="str">
            <v>ETOBICOKE, ON</v>
          </cell>
          <cell r="E181">
            <v>40215</v>
          </cell>
        </row>
        <row r="182">
          <cell r="B182" t="str">
            <v>436BMB</v>
          </cell>
          <cell r="C182" t="str">
            <v>1891 SPRINGFIELD ROAD</v>
          </cell>
          <cell r="D182" t="str">
            <v>KELOWNA, BC</v>
          </cell>
          <cell r="E182">
            <v>0</v>
          </cell>
        </row>
        <row r="183">
          <cell r="B183" t="str">
            <v>436CSD</v>
          </cell>
          <cell r="C183" t="str">
            <v>38 MAIN STREET</v>
          </cell>
          <cell r="D183" t="str">
            <v>COLDWATER, ON</v>
          </cell>
          <cell r="E183">
            <v>548063</v>
          </cell>
        </row>
        <row r="184">
          <cell r="B184" t="str">
            <v>437CSD</v>
          </cell>
          <cell r="C184" t="str">
            <v>1 FISHERMAN DR.</v>
          </cell>
          <cell r="D184" t="str">
            <v>BRAMPTON, ON</v>
          </cell>
          <cell r="E184">
            <v>348467</v>
          </cell>
        </row>
        <row r="185">
          <cell r="B185" t="str">
            <v>438CSD</v>
          </cell>
          <cell r="C185" t="str">
            <v>932 BROCK STREET N.</v>
          </cell>
          <cell r="D185" t="str">
            <v>WHITBY, ON</v>
          </cell>
          <cell r="E185">
            <v>201009</v>
          </cell>
        </row>
        <row r="186">
          <cell r="B186" t="str">
            <v>439BMB</v>
          </cell>
          <cell r="C186" t="str">
            <v>20771 LANGLEY BYPASS HWY</v>
          </cell>
          <cell r="D186" t="str">
            <v>LANGLEY, BC</v>
          </cell>
          <cell r="E186">
            <v>616061</v>
          </cell>
        </row>
        <row r="187">
          <cell r="B187" t="str">
            <v>439CSD</v>
          </cell>
          <cell r="C187" t="str">
            <v>5060 SHEPPARD AVE. EAST</v>
          </cell>
          <cell r="D187" t="str">
            <v>SCARBOROUGH, ON</v>
          </cell>
          <cell r="E187">
            <v>234589</v>
          </cell>
        </row>
        <row r="188">
          <cell r="B188" t="str">
            <v>442BMB</v>
          </cell>
          <cell r="C188" t="str">
            <v>2190 DUNDAS ST.E.</v>
          </cell>
          <cell r="D188" t="str">
            <v>LONDON, ON</v>
          </cell>
          <cell r="E188">
            <v>0</v>
          </cell>
        </row>
        <row r="189">
          <cell r="B189" t="str">
            <v>442CSD</v>
          </cell>
          <cell r="E189">
            <v>234008</v>
          </cell>
        </row>
        <row r="190">
          <cell r="B190" t="str">
            <v>443CSD</v>
          </cell>
          <cell r="E190">
            <v>98020</v>
          </cell>
        </row>
        <row r="191">
          <cell r="B191" t="str">
            <v>448CSD</v>
          </cell>
          <cell r="E191">
            <v>0</v>
          </cell>
        </row>
        <row r="192">
          <cell r="B192" t="str">
            <v>451BMB</v>
          </cell>
          <cell r="C192" t="str">
            <v>1713-15 MAIN STREET</v>
          </cell>
          <cell r="D192" t="str">
            <v>MOOSE JAW, SK</v>
          </cell>
          <cell r="E192">
            <v>629711</v>
          </cell>
        </row>
        <row r="193">
          <cell r="B193" t="str">
            <v>452BMB</v>
          </cell>
          <cell r="C193" t="str">
            <v>1708 BOWEN ROAD</v>
          </cell>
          <cell r="D193" t="str">
            <v>NANAIMO, BC</v>
          </cell>
          <cell r="E193">
            <v>311106</v>
          </cell>
        </row>
        <row r="194">
          <cell r="B194" t="str">
            <v>455BMB</v>
          </cell>
          <cell r="C194" t="str">
            <v>250 GREENBANK ROAD</v>
          </cell>
          <cell r="D194" t="str">
            <v>NEPEAN, ON</v>
          </cell>
          <cell r="E194">
            <v>7500</v>
          </cell>
        </row>
        <row r="195">
          <cell r="B195" t="str">
            <v>457BMB</v>
          </cell>
          <cell r="C195" t="str">
            <v>745 CLARENCE STREET</v>
          </cell>
          <cell r="D195" t="str">
            <v>NORTH BAY, ON</v>
          </cell>
          <cell r="E195">
            <v>636439</v>
          </cell>
        </row>
        <row r="196">
          <cell r="B196" t="str">
            <v>463BMB</v>
          </cell>
          <cell r="C196" t="str">
            <v>1570 CARLING AVENUE</v>
          </cell>
          <cell r="D196" t="str">
            <v>OTTAWA, ON</v>
          </cell>
          <cell r="E196">
            <v>30000</v>
          </cell>
        </row>
        <row r="197">
          <cell r="B197" t="str">
            <v>464BMB</v>
          </cell>
          <cell r="C197" t="str">
            <v>2447-B KALADAR STREET</v>
          </cell>
          <cell r="D197" t="str">
            <v>OTTAWA, ON</v>
          </cell>
          <cell r="E197">
            <v>551764.79</v>
          </cell>
        </row>
        <row r="198">
          <cell r="B198" t="str">
            <v>465BMB</v>
          </cell>
          <cell r="C198" t="str">
            <v>471 HAZELDEAN ROAD</v>
          </cell>
          <cell r="D198" t="str">
            <v>KANATA, ON</v>
          </cell>
          <cell r="E198">
            <v>319184</v>
          </cell>
        </row>
        <row r="199">
          <cell r="B199" t="str">
            <v>468BMB</v>
          </cell>
          <cell r="C199" t="str">
            <v>130 HOWARD STREET</v>
          </cell>
          <cell r="D199" t="str">
            <v>PEMBROKE, ON</v>
          </cell>
          <cell r="E199">
            <v>469374</v>
          </cell>
        </row>
        <row r="200">
          <cell r="B200" t="str">
            <v>469BMB</v>
          </cell>
          <cell r="C200" t="str">
            <v>102-351 WESTMINSTER AVENUE</v>
          </cell>
          <cell r="D200" t="str">
            <v>PENTICTON, BC</v>
          </cell>
          <cell r="E200">
            <v>390987</v>
          </cell>
        </row>
        <row r="201">
          <cell r="B201" t="str">
            <v>472BMB</v>
          </cell>
          <cell r="E201">
            <v>0</v>
          </cell>
        </row>
        <row r="202">
          <cell r="B202" t="str">
            <v>473BMB</v>
          </cell>
          <cell r="E202">
            <v>0</v>
          </cell>
        </row>
        <row r="203">
          <cell r="B203" t="str">
            <v>478BMB</v>
          </cell>
          <cell r="C203" t="str">
            <v>5960 NO. 6 ROAD</v>
          </cell>
          <cell r="D203" t="str">
            <v>RICHMOND, BC</v>
          </cell>
          <cell r="E203">
            <v>959209</v>
          </cell>
        </row>
        <row r="204">
          <cell r="B204" t="str">
            <v>480BMB</v>
          </cell>
          <cell r="C204" t="str">
            <v>209 CARLTON ST.</v>
          </cell>
          <cell r="D204" t="str">
            <v>ST. CATHARINES, ON</v>
          </cell>
          <cell r="E204">
            <v>597095</v>
          </cell>
        </row>
        <row r="205">
          <cell r="B205" t="str">
            <v>484BMB</v>
          </cell>
          <cell r="C205" t="str">
            <v>242 INDIAN RD.S.EASTLAND PLAZA</v>
          </cell>
          <cell r="D205" t="str">
            <v>SARNIA, ON</v>
          </cell>
          <cell r="E205">
            <v>504353</v>
          </cell>
        </row>
        <row r="206">
          <cell r="B206" t="str">
            <v>486BMB</v>
          </cell>
          <cell r="C206" t="str">
            <v>2020 QUEBEC AVENUE</v>
          </cell>
          <cell r="D206" t="str">
            <v>SASKATOON, SK</v>
          </cell>
          <cell r="E206">
            <v>772364</v>
          </cell>
        </row>
        <row r="207">
          <cell r="B207" t="str">
            <v>490BMB</v>
          </cell>
          <cell r="E207">
            <v>0</v>
          </cell>
        </row>
        <row r="208">
          <cell r="B208" t="str">
            <v>491BMB</v>
          </cell>
          <cell r="C208" t="str">
            <v>1955 LASALLE BLVD.</v>
          </cell>
          <cell r="D208" t="str">
            <v>SUDBURY, ON</v>
          </cell>
          <cell r="E208">
            <v>348445</v>
          </cell>
        </row>
        <row r="209">
          <cell r="B209" t="str">
            <v>492BMB</v>
          </cell>
          <cell r="C209" t="str">
            <v>#3-7780 - 135A STREET</v>
          </cell>
          <cell r="D209" t="str">
            <v>SURREY, BC</v>
          </cell>
          <cell r="E209">
            <v>196434</v>
          </cell>
        </row>
        <row r="210">
          <cell r="B210" t="str">
            <v>493BMB</v>
          </cell>
          <cell r="E210">
            <v>0</v>
          </cell>
        </row>
        <row r="211">
          <cell r="B211" t="str">
            <v>494BMB</v>
          </cell>
          <cell r="C211" t="str">
            <v>55 VICTORIA ROAD</v>
          </cell>
          <cell r="D211" t="str">
            <v>SYDNEY, NS</v>
          </cell>
          <cell r="E211">
            <v>354737</v>
          </cell>
        </row>
        <row r="212">
          <cell r="B212" t="str">
            <v>497BMB</v>
          </cell>
          <cell r="C212" t="str">
            <v>100 WATERLOO RD.,HOLLINGER CT.</v>
          </cell>
          <cell r="D212" t="str">
            <v>TIMMINS, ON</v>
          </cell>
          <cell r="E212">
            <v>394438</v>
          </cell>
        </row>
        <row r="213">
          <cell r="B213" t="str">
            <v>498BMB</v>
          </cell>
          <cell r="C213" t="str">
            <v>5678-12TH AVENUE</v>
          </cell>
          <cell r="D213" t="str">
            <v>DELTA, BC</v>
          </cell>
          <cell r="E213">
            <v>109697</v>
          </cell>
        </row>
        <row r="214">
          <cell r="B214" t="str">
            <v>500BMB</v>
          </cell>
          <cell r="C214" t="str">
            <v>1630 SOUTH EAST MARINE DRIVE</v>
          </cell>
          <cell r="D214" t="str">
            <v>VANCOUVER, BC</v>
          </cell>
          <cell r="E214">
            <v>278657</v>
          </cell>
        </row>
        <row r="215">
          <cell r="B215" t="str">
            <v>506BMB</v>
          </cell>
          <cell r="C215" t="str">
            <v>750 HOPKINS STREET</v>
          </cell>
          <cell r="D215" t="str">
            <v>WHITBY, ON</v>
          </cell>
          <cell r="E215">
            <v>440948</v>
          </cell>
        </row>
        <row r="216">
          <cell r="B216" t="str">
            <v>507BMB</v>
          </cell>
          <cell r="E216">
            <v>0</v>
          </cell>
        </row>
        <row r="217">
          <cell r="B217" t="str">
            <v>509BMB</v>
          </cell>
          <cell r="C217" t="str">
            <v>2825 LAUZON PARKWAY</v>
          </cell>
          <cell r="D217" t="str">
            <v>WINDSOR, ON</v>
          </cell>
          <cell r="E217">
            <v>603992</v>
          </cell>
        </row>
        <row r="218">
          <cell r="B218" t="str">
            <v>512BMB</v>
          </cell>
          <cell r="C218" t="str">
            <v>32 SMITH STREET W.</v>
          </cell>
          <cell r="D218" t="str">
            <v>YORKTON, SK</v>
          </cell>
          <cell r="E218">
            <v>430040</v>
          </cell>
        </row>
        <row r="219">
          <cell r="B219" t="str">
            <v>517BMB</v>
          </cell>
          <cell r="C219" t="str">
            <v>#206-21183 88th AVENUE</v>
          </cell>
          <cell r="D219" t="str">
            <v>WALNUT GROVE, BC</v>
          </cell>
          <cell r="E219">
            <v>261835</v>
          </cell>
        </row>
        <row r="220">
          <cell r="B220" t="str">
            <v>518BMB</v>
          </cell>
          <cell r="C220" t="str">
            <v>2015A LONG LAKE ROAD</v>
          </cell>
          <cell r="D220" t="str">
            <v>SUDBURY, ON</v>
          </cell>
          <cell r="E220">
            <v>491972</v>
          </cell>
        </row>
        <row r="221">
          <cell r="B221" t="str">
            <v>527BMB</v>
          </cell>
          <cell r="C221" t="str">
            <v>#24, 1415 HILLSIDE DRIVE</v>
          </cell>
          <cell r="D221" t="str">
            <v>KAMLOOPS, BC</v>
          </cell>
          <cell r="E221">
            <v>87308</v>
          </cell>
        </row>
        <row r="222">
          <cell r="B222" t="str">
            <v>528BMB</v>
          </cell>
          <cell r="E222">
            <v>0</v>
          </cell>
        </row>
        <row r="223">
          <cell r="B223" t="str">
            <v>529BMB</v>
          </cell>
          <cell r="C223" t="str">
            <v>6750 ISLAND HIGHWAY</v>
          </cell>
          <cell r="D223" t="str">
            <v>NANAIMO, BC</v>
          </cell>
          <cell r="E223">
            <v>11706</v>
          </cell>
        </row>
        <row r="224">
          <cell r="B224" t="str">
            <v>530BMB</v>
          </cell>
          <cell r="C224" t="str">
            <v>3823 ALBERT STREET</v>
          </cell>
          <cell r="D224" t="str">
            <v>REGINA, SK</v>
          </cell>
          <cell r="E224">
            <v>81529</v>
          </cell>
        </row>
        <row r="225">
          <cell r="B225" t="str">
            <v>531BMB</v>
          </cell>
          <cell r="C225" t="str">
            <v>307 NASH ROAD NORTH</v>
          </cell>
          <cell r="D225" t="str">
            <v>HAMILTON, ON</v>
          </cell>
          <cell r="E225">
            <v>91212</v>
          </cell>
        </row>
        <row r="226">
          <cell r="B226" t="str">
            <v>AW0004</v>
          </cell>
          <cell r="C226" t="str">
            <v>625 3RD LINE ROAD</v>
          </cell>
          <cell r="D226" t="str">
            <v>OAKVILLE, ON</v>
          </cell>
          <cell r="E226">
            <v>22224</v>
          </cell>
        </row>
        <row r="227">
          <cell r="B227" t="str">
            <v>AW0006</v>
          </cell>
          <cell r="C227" t="str">
            <v>HUDSON BAY CTR,20 BLOOR ST E</v>
          </cell>
          <cell r="D227" t="str">
            <v>TORONTO, ON</v>
          </cell>
          <cell r="E227">
            <v>80700</v>
          </cell>
        </row>
        <row r="228">
          <cell r="B228" t="str">
            <v>AW0007</v>
          </cell>
          <cell r="C228" t="str">
            <v>970 PRINCESS STREET</v>
          </cell>
          <cell r="D228" t="str">
            <v>KINGSTON, ON</v>
          </cell>
          <cell r="E228">
            <v>233954.58</v>
          </cell>
        </row>
        <row r="229">
          <cell r="B229" t="str">
            <v>AW0008</v>
          </cell>
          <cell r="C229" t="str">
            <v>10 LEGEND COURT</v>
          </cell>
          <cell r="D229" t="str">
            <v>ANCASTER, ON</v>
          </cell>
          <cell r="E229">
            <v>98203</v>
          </cell>
        </row>
        <row r="230">
          <cell r="B230" t="str">
            <v>BING01</v>
          </cell>
          <cell r="C230" t="str">
            <v>2355 KEELE STREET</v>
          </cell>
          <cell r="D230" t="str">
            <v>NORTH YORK, ON</v>
          </cell>
          <cell r="E230">
            <v>0</v>
          </cell>
        </row>
        <row r="231">
          <cell r="B231" t="str">
            <v>BING02</v>
          </cell>
          <cell r="C231" t="str">
            <v>825 UPPER CANADA DRIVE</v>
          </cell>
          <cell r="D231" t="str">
            <v>SARNIA, ON</v>
          </cell>
          <cell r="E231">
            <v>165288.84</v>
          </cell>
        </row>
        <row r="232">
          <cell r="B232" t="str">
            <v>BING03</v>
          </cell>
          <cell r="E232">
            <v>0</v>
          </cell>
        </row>
        <row r="233">
          <cell r="B233" t="str">
            <v>BING04</v>
          </cell>
          <cell r="C233" t="str">
            <v>2208 LASALLE RD.</v>
          </cell>
          <cell r="D233" t="str">
            <v>SUDBURY, ON</v>
          </cell>
          <cell r="E233">
            <v>110823.29</v>
          </cell>
        </row>
        <row r="234">
          <cell r="B234" t="str">
            <v>BING05</v>
          </cell>
          <cell r="C234" t="str">
            <v>51 FRONT STEET</v>
          </cell>
          <cell r="D234" t="str">
            <v>STRATHROY, ON</v>
          </cell>
          <cell r="E234">
            <v>53694.31</v>
          </cell>
        </row>
        <row r="235">
          <cell r="B235" t="str">
            <v>BING06</v>
          </cell>
          <cell r="C235" t="str">
            <v>806 CHELSEA STREET</v>
          </cell>
          <cell r="D235" t="str">
            <v>BROCKVILLE, ON</v>
          </cell>
          <cell r="E235">
            <v>88098.53</v>
          </cell>
        </row>
        <row r="236">
          <cell r="B236" t="str">
            <v>BING07</v>
          </cell>
          <cell r="E236">
            <v>0</v>
          </cell>
        </row>
        <row r="237">
          <cell r="B237" t="str">
            <v>BING09</v>
          </cell>
          <cell r="E237">
            <v>0</v>
          </cell>
        </row>
        <row r="238">
          <cell r="B238" t="str">
            <v>BING10</v>
          </cell>
          <cell r="E238">
            <v>0</v>
          </cell>
        </row>
        <row r="239">
          <cell r="B239" t="str">
            <v>BING11</v>
          </cell>
          <cell r="C239" t="str">
            <v>190 HWY 7 WEST</v>
          </cell>
          <cell r="D239" t="str">
            <v>BRAMPTON, ON</v>
          </cell>
          <cell r="E239">
            <v>153095.82999999999</v>
          </cell>
        </row>
        <row r="240">
          <cell r="B240" t="str">
            <v>BING12</v>
          </cell>
          <cell r="C240" t="str">
            <v>2424 FINCH AVE. WEST</v>
          </cell>
          <cell r="D240" t="str">
            <v>NORTH YORK, ON</v>
          </cell>
          <cell r="E240">
            <v>200118.94</v>
          </cell>
        </row>
        <row r="241">
          <cell r="B241" t="str">
            <v>BING13</v>
          </cell>
          <cell r="C241" t="str">
            <v>2375 STEELES AVE., WEST</v>
          </cell>
          <cell r="D241" t="str">
            <v>NORTH YORK, ON</v>
          </cell>
          <cell r="E241">
            <v>104257.67</v>
          </cell>
        </row>
        <row r="242">
          <cell r="B242" t="str">
            <v>BING14</v>
          </cell>
          <cell r="E242">
            <v>0</v>
          </cell>
        </row>
        <row r="243">
          <cell r="B243" t="str">
            <v>BING15</v>
          </cell>
          <cell r="C243" t="str">
            <v>4465 DRUMMOND ROAD</v>
          </cell>
          <cell r="D243" t="str">
            <v>NIAGARA FALLS, ON</v>
          </cell>
          <cell r="E243">
            <v>27751</v>
          </cell>
        </row>
        <row r="244">
          <cell r="B244" t="str">
            <v>BING16</v>
          </cell>
          <cell r="C244" t="str">
            <v>1371 PEMBROKE ST., W.</v>
          </cell>
          <cell r="D244" t="str">
            <v>PEMBROKE, ON</v>
          </cell>
          <cell r="E244">
            <v>88809.62</v>
          </cell>
        </row>
        <row r="245">
          <cell r="B245" t="str">
            <v>BING17</v>
          </cell>
          <cell r="C245" t="str">
            <v>132 RICHMOND ST.</v>
          </cell>
          <cell r="D245" t="str">
            <v>CHATHAM, ON</v>
          </cell>
          <cell r="E245">
            <v>78538.63</v>
          </cell>
        </row>
        <row r="246">
          <cell r="B246" t="str">
            <v>BING18</v>
          </cell>
          <cell r="C246" t="str">
            <v>1356 WEBER STREET EAST</v>
          </cell>
          <cell r="D246" t="str">
            <v>KITCHENER, ON</v>
          </cell>
          <cell r="E246">
            <v>66313.490000000005</v>
          </cell>
        </row>
        <row r="247">
          <cell r="B247" t="str">
            <v>BING19</v>
          </cell>
          <cell r="E247">
            <v>0</v>
          </cell>
        </row>
        <row r="248">
          <cell r="B248" t="str">
            <v>BING20</v>
          </cell>
          <cell r="C248" t="str">
            <v>884 DIVISION ST.</v>
          </cell>
          <cell r="D248" t="str">
            <v>COBOURG, ON</v>
          </cell>
          <cell r="E248">
            <v>74737.759999999995</v>
          </cell>
        </row>
        <row r="249">
          <cell r="B249" t="str">
            <v>BING21</v>
          </cell>
          <cell r="C249" t="str">
            <v>610 MONARCH AVE.</v>
          </cell>
          <cell r="D249" t="str">
            <v>AJAX, ON</v>
          </cell>
          <cell r="E249">
            <v>106905.2</v>
          </cell>
        </row>
        <row r="250">
          <cell r="B250" t="str">
            <v>BING22</v>
          </cell>
          <cell r="C250" t="str">
            <v>140 EDWARD ST,</v>
          </cell>
          <cell r="D250" t="str">
            <v>ST. THOMAS, ON</v>
          </cell>
          <cell r="E250">
            <v>163085.73000000001</v>
          </cell>
        </row>
        <row r="251">
          <cell r="B251" t="str">
            <v>BING23</v>
          </cell>
          <cell r="C251" t="str">
            <v>299 HARRY WALKER PARKWAY</v>
          </cell>
          <cell r="D251" t="str">
            <v>NEWMARKET, ON</v>
          </cell>
          <cell r="E251">
            <v>90718.69</v>
          </cell>
        </row>
        <row r="252">
          <cell r="B252" t="str">
            <v>BING24</v>
          </cell>
          <cell r="C252" t="str">
            <v>285 TAUNTON RD., EAST</v>
          </cell>
          <cell r="D252" t="str">
            <v>OSHAWA, ON</v>
          </cell>
          <cell r="E252">
            <v>87240.58</v>
          </cell>
        </row>
        <row r="253">
          <cell r="B253" t="str">
            <v>BING25</v>
          </cell>
          <cell r="E253">
            <v>0</v>
          </cell>
        </row>
        <row r="254">
          <cell r="B254" t="str">
            <v>BING26</v>
          </cell>
          <cell r="C254" t="str">
            <v>1106 DEARNESS DR.</v>
          </cell>
          <cell r="D254" t="str">
            <v>LONDON, ON</v>
          </cell>
          <cell r="E254">
            <v>32134.13</v>
          </cell>
        </row>
        <row r="255">
          <cell r="B255" t="str">
            <v>BING27</v>
          </cell>
          <cell r="C255" t="str">
            <v>380 LYLE ST.</v>
          </cell>
          <cell r="D255" t="str">
            <v>LONDON, ON</v>
          </cell>
          <cell r="E255">
            <v>30582.41</v>
          </cell>
        </row>
        <row r="256">
          <cell r="B256" t="str">
            <v>BING28</v>
          </cell>
          <cell r="C256" t="str">
            <v>1851 SEYMOUR ST.</v>
          </cell>
          <cell r="D256" t="str">
            <v>NORTH BAY, ON</v>
          </cell>
          <cell r="E256">
            <v>89342.29</v>
          </cell>
        </row>
        <row r="257">
          <cell r="B257" t="str">
            <v>BING29</v>
          </cell>
          <cell r="C257" t="str">
            <v>8750 HIGHWAY #25 NORTH, RR#3</v>
          </cell>
          <cell r="D257" t="str">
            <v>MILTON, ON</v>
          </cell>
          <cell r="E257">
            <v>38794.71</v>
          </cell>
        </row>
        <row r="258">
          <cell r="B258" t="str">
            <v>BING30</v>
          </cell>
          <cell r="C258" t="str">
            <v>20 GLASTONBURY AVE.</v>
          </cell>
          <cell r="D258" t="str">
            <v>STRATFORD, ON</v>
          </cell>
          <cell r="E258">
            <v>31732.45</v>
          </cell>
        </row>
        <row r="259">
          <cell r="B259" t="str">
            <v>BING31</v>
          </cell>
          <cell r="C259" t="str">
            <v>440 JAMES ST. P.O.BOX 20045</v>
          </cell>
          <cell r="D259" t="str">
            <v>WALLACEBURG, ON</v>
          </cell>
          <cell r="E259">
            <v>3478</v>
          </cell>
        </row>
        <row r="260">
          <cell r="B260" t="str">
            <v>BING33</v>
          </cell>
          <cell r="C260" t="str">
            <v>14 TRENT AVE</v>
          </cell>
          <cell r="D260" t="str">
            <v>TORONTO, ON</v>
          </cell>
          <cell r="E260">
            <v>28741</v>
          </cell>
        </row>
        <row r="261">
          <cell r="B261" t="str">
            <v>BING34</v>
          </cell>
          <cell r="C261" t="str">
            <v>7155 KINGSWAY #302</v>
          </cell>
          <cell r="D261" t="str">
            <v>BURNABY, BC</v>
          </cell>
          <cell r="E261">
            <v>57599.87</v>
          </cell>
        </row>
        <row r="262">
          <cell r="B262" t="str">
            <v>BING35</v>
          </cell>
          <cell r="C262" t="str">
            <v>7093 KING GEORGE VI HWY</v>
          </cell>
          <cell r="D262" t="str">
            <v>SURREY, BC</v>
          </cell>
          <cell r="E262">
            <v>146590.54999999999</v>
          </cell>
        </row>
        <row r="263">
          <cell r="B263" t="str">
            <v>BUC001</v>
          </cell>
          <cell r="C263" t="str">
            <v>90 WOODBINE DOWN BLVD</v>
          </cell>
          <cell r="D263" t="str">
            <v>ETOBICOKE, ON</v>
          </cell>
          <cell r="E263">
            <v>0</v>
          </cell>
        </row>
        <row r="264">
          <cell r="B264" t="str">
            <v>BUC002</v>
          </cell>
          <cell r="C264" t="str">
            <v>4000 CHESSWOOD DR</v>
          </cell>
          <cell r="D264" t="str">
            <v>DOWNSVIEW, ON</v>
          </cell>
          <cell r="E264">
            <v>0</v>
          </cell>
        </row>
        <row r="265">
          <cell r="B265" t="str">
            <v>BUCK01</v>
          </cell>
          <cell r="C265" t="str">
            <v>140 ST. ANDREWS ST.</v>
          </cell>
          <cell r="D265" t="str">
            <v>CAMBRIDGE, ON</v>
          </cell>
          <cell r="E265">
            <v>63162</v>
          </cell>
        </row>
        <row r="266">
          <cell r="B266" t="str">
            <v>CRV001</v>
          </cell>
          <cell r="E266">
            <v>0</v>
          </cell>
        </row>
        <row r="267">
          <cell r="B267" t="str">
            <v>CTC012</v>
          </cell>
          <cell r="C267" t="str">
            <v>1125 WELLINGTON ROAD SOUTH</v>
          </cell>
          <cell r="D267" t="str">
            <v>LONDON, ON</v>
          </cell>
          <cell r="E267">
            <v>6459</v>
          </cell>
        </row>
        <row r="268">
          <cell r="B268" t="str">
            <v>ESS001</v>
          </cell>
          <cell r="C268" t="str">
            <v>540 EVANS AVENUE</v>
          </cell>
          <cell r="D268" t="str">
            <v>ETOBICOKE, ON</v>
          </cell>
          <cell r="E268">
            <v>726</v>
          </cell>
        </row>
        <row r="269">
          <cell r="B269" t="str">
            <v>ESS002</v>
          </cell>
          <cell r="C269" t="str">
            <v>4000 CHESSWOOD DR</v>
          </cell>
          <cell r="D269" t="str">
            <v>DOWNSVIEW, ON</v>
          </cell>
          <cell r="E269">
            <v>109371</v>
          </cell>
        </row>
        <row r="270">
          <cell r="B270" t="str">
            <v>ESS003</v>
          </cell>
          <cell r="C270" t="str">
            <v>6951-6953 STEELES AVENUE W</v>
          </cell>
          <cell r="D270" t="str">
            <v>ETOBICOKE, ON</v>
          </cell>
          <cell r="E270">
            <v>329605</v>
          </cell>
        </row>
        <row r="271">
          <cell r="B271" t="str">
            <v>ESS004</v>
          </cell>
          <cell r="C271" t="str">
            <v>436 KIPLING AVENUE</v>
          </cell>
          <cell r="D271" t="str">
            <v>ETOBICOKE, ON</v>
          </cell>
          <cell r="E271">
            <v>74923</v>
          </cell>
        </row>
        <row r="272">
          <cell r="B272" t="str">
            <v>ESS005</v>
          </cell>
          <cell r="E272">
            <v>0</v>
          </cell>
        </row>
        <row r="273">
          <cell r="B273" t="str">
            <v>ESS007</v>
          </cell>
          <cell r="E273">
            <v>0</v>
          </cell>
        </row>
        <row r="274">
          <cell r="B274" t="str">
            <v>ESS008</v>
          </cell>
          <cell r="E274">
            <v>0</v>
          </cell>
        </row>
        <row r="275">
          <cell r="B275" t="str">
            <v>GAL003</v>
          </cell>
          <cell r="C275" t="str">
            <v>293 BAY STREET</v>
          </cell>
          <cell r="D275" t="str">
            <v>SAULT STE. MARIE, ON</v>
          </cell>
          <cell r="E275">
            <v>13995.16</v>
          </cell>
        </row>
        <row r="276">
          <cell r="B276" t="str">
            <v>GAL004</v>
          </cell>
          <cell r="C276" t="str">
            <v xml:space="preserve">300 LAKESHORE DRIVE </v>
          </cell>
          <cell r="D276" t="str">
            <v>NORTH BAY, ON</v>
          </cell>
          <cell r="E276">
            <v>6419.92</v>
          </cell>
        </row>
        <row r="277">
          <cell r="B277" t="str">
            <v>GAL005</v>
          </cell>
          <cell r="C277" t="str">
            <v xml:space="preserve">85 FITH AVENUE </v>
          </cell>
          <cell r="D277" t="str">
            <v>ORANGEVILLE, ON</v>
          </cell>
          <cell r="E277">
            <v>4111.04</v>
          </cell>
        </row>
        <row r="278">
          <cell r="B278" t="str">
            <v>GAL006</v>
          </cell>
          <cell r="C278" t="str">
            <v>1020 10TH STREET WEST</v>
          </cell>
          <cell r="D278" t="str">
            <v>OWEN SOUND, ON</v>
          </cell>
          <cell r="E278">
            <v>4646.58</v>
          </cell>
        </row>
        <row r="279">
          <cell r="B279" t="str">
            <v>GAL007</v>
          </cell>
          <cell r="C279" t="str">
            <v>1325 SECOND ST EAST</v>
          </cell>
          <cell r="D279" t="str">
            <v>CORNWALL,ON</v>
          </cell>
          <cell r="E279">
            <v>3727.97</v>
          </cell>
        </row>
        <row r="280">
          <cell r="B280" t="str">
            <v>GAL008</v>
          </cell>
          <cell r="C280" t="str">
            <v xml:space="preserve">355 HESPELER ROAD </v>
          </cell>
          <cell r="D280" t="str">
            <v>CAMBRIDGE,ON</v>
          </cell>
          <cell r="E280">
            <v>5186.0600000000004</v>
          </cell>
        </row>
        <row r="281">
          <cell r="B281" t="str">
            <v>GAL009</v>
          </cell>
          <cell r="C281" t="str">
            <v>HWY#93, RR#2, BOX 2</v>
          </cell>
          <cell r="D281" t="str">
            <v>MIDLAND, ON</v>
          </cell>
          <cell r="E281">
            <v>4261.1000000000004</v>
          </cell>
        </row>
        <row r="282">
          <cell r="B282" t="str">
            <v>GAL010</v>
          </cell>
          <cell r="C282" t="str">
            <v>213-4750 RUTHERFORD RD</v>
          </cell>
          <cell r="D282" t="str">
            <v>NANAIMO,B.C.</v>
          </cell>
          <cell r="E282">
            <v>5033.5200000000004</v>
          </cell>
        </row>
        <row r="283">
          <cell r="B283" t="str">
            <v>GAL011</v>
          </cell>
          <cell r="C283" t="str">
            <v xml:space="preserve">2020 SHERWOOD DRIVE </v>
          </cell>
          <cell r="D283" t="str">
            <v xml:space="preserve">SHERWOOD PARK, AB </v>
          </cell>
          <cell r="E283">
            <v>2773.94</v>
          </cell>
        </row>
        <row r="284">
          <cell r="B284" t="str">
            <v>GAL012</v>
          </cell>
          <cell r="C284" t="str">
            <v xml:space="preserve">1235 MAIN STREET N. </v>
          </cell>
          <cell r="D284" t="str">
            <v>MOOSE JAW, SK</v>
          </cell>
          <cell r="E284">
            <v>1221.82</v>
          </cell>
        </row>
        <row r="285">
          <cell r="B285" t="str">
            <v>GAL013</v>
          </cell>
          <cell r="C285" t="str">
            <v>1C-2995 SECOND AVE. W</v>
          </cell>
          <cell r="D285" t="str">
            <v>PRINCE ALBERT, SK</v>
          </cell>
          <cell r="E285">
            <v>2443.9899999999998</v>
          </cell>
        </row>
        <row r="286">
          <cell r="B286" t="str">
            <v>GAL014</v>
          </cell>
          <cell r="C286" t="str">
            <v>UNIT 25-420 MCCARTHY BLVD. N</v>
          </cell>
          <cell r="D286" t="str">
            <v>REGINA, SK.</v>
          </cell>
          <cell r="E286">
            <v>7162.69</v>
          </cell>
        </row>
        <row r="287">
          <cell r="B287" t="str">
            <v>GAL015</v>
          </cell>
          <cell r="C287" t="str">
            <v>417 WELLINGTON STREET</v>
          </cell>
          <cell r="D287" t="str">
            <v>ST THOMAS, ON</v>
          </cell>
          <cell r="E287">
            <v>1464.68</v>
          </cell>
        </row>
        <row r="288">
          <cell r="B288" t="str">
            <v>GAL016</v>
          </cell>
          <cell r="C288" t="str">
            <v>485 WOODLAWN ROAD WEST</v>
          </cell>
          <cell r="D288" t="str">
            <v>GUELPH, ON</v>
          </cell>
          <cell r="E288">
            <v>4309.16</v>
          </cell>
        </row>
        <row r="289">
          <cell r="B289" t="str">
            <v>GLO001</v>
          </cell>
          <cell r="C289" t="str">
            <v>20 WYNFORD DRIVE</v>
          </cell>
          <cell r="D289" t="str">
            <v>TORONTO, ON</v>
          </cell>
          <cell r="E289">
            <v>0</v>
          </cell>
        </row>
        <row r="290">
          <cell r="B290" t="str">
            <v>GLO002</v>
          </cell>
          <cell r="E290">
            <v>0</v>
          </cell>
        </row>
        <row r="291">
          <cell r="B291" t="str">
            <v>GLO003</v>
          </cell>
          <cell r="E291">
            <v>0</v>
          </cell>
        </row>
        <row r="292">
          <cell r="B292" t="str">
            <v>IND002</v>
          </cell>
          <cell r="E292">
            <v>0</v>
          </cell>
        </row>
        <row r="293">
          <cell r="B293" t="str">
            <v>IND005</v>
          </cell>
          <cell r="C293" t="str">
            <v>C/O 65 FRONT ST.W.</v>
          </cell>
          <cell r="D293" t="str">
            <v>TORONTO, ON</v>
          </cell>
          <cell r="E293">
            <v>259313</v>
          </cell>
        </row>
        <row r="294">
          <cell r="B294" t="str">
            <v>IND006</v>
          </cell>
          <cell r="C294" t="str">
            <v>8 WILLIAM KITCHEN ROAD</v>
          </cell>
          <cell r="D294" t="str">
            <v>SCARBOROUGH, ON</v>
          </cell>
          <cell r="E294">
            <v>58462</v>
          </cell>
        </row>
        <row r="295">
          <cell r="B295" t="str">
            <v>IND007</v>
          </cell>
          <cell r="E295">
            <v>0</v>
          </cell>
        </row>
        <row r="296">
          <cell r="B296" t="str">
            <v>IND008</v>
          </cell>
          <cell r="E296">
            <v>0</v>
          </cell>
        </row>
        <row r="297">
          <cell r="B297" t="str">
            <v>IND009</v>
          </cell>
          <cell r="C297" t="str">
            <v>15 FRONT STREET</v>
          </cell>
          <cell r="D297" t="str">
            <v>MACTIER, ON</v>
          </cell>
          <cell r="E297">
            <v>239527</v>
          </cell>
        </row>
        <row r="298">
          <cell r="B298" t="str">
            <v>IND011</v>
          </cell>
          <cell r="E298">
            <v>0</v>
          </cell>
        </row>
        <row r="299">
          <cell r="B299" t="str">
            <v>IND012</v>
          </cell>
          <cell r="E299">
            <v>0</v>
          </cell>
        </row>
        <row r="300">
          <cell r="B300" t="str">
            <v>IND013</v>
          </cell>
          <cell r="E300">
            <v>0</v>
          </cell>
        </row>
        <row r="301">
          <cell r="B301" t="str">
            <v>IND014</v>
          </cell>
          <cell r="E301">
            <v>0</v>
          </cell>
        </row>
        <row r="302">
          <cell r="B302" t="str">
            <v>IND015</v>
          </cell>
          <cell r="E302">
            <v>0</v>
          </cell>
        </row>
        <row r="303">
          <cell r="B303" t="str">
            <v>IND016</v>
          </cell>
          <cell r="E303">
            <v>0</v>
          </cell>
        </row>
        <row r="304">
          <cell r="B304" t="str">
            <v>IND017</v>
          </cell>
          <cell r="E304">
            <v>0</v>
          </cell>
        </row>
        <row r="305">
          <cell r="B305" t="str">
            <v>IND018</v>
          </cell>
          <cell r="E305">
            <v>0</v>
          </cell>
        </row>
        <row r="306">
          <cell r="B306" t="str">
            <v>IND020</v>
          </cell>
          <cell r="E306">
            <v>0</v>
          </cell>
        </row>
        <row r="307">
          <cell r="B307" t="str">
            <v>IND021</v>
          </cell>
          <cell r="E307">
            <v>0</v>
          </cell>
        </row>
        <row r="308">
          <cell r="B308" t="str">
            <v>IND022</v>
          </cell>
          <cell r="E308">
            <v>0</v>
          </cell>
        </row>
        <row r="309">
          <cell r="B309" t="str">
            <v>IND023</v>
          </cell>
          <cell r="E309">
            <v>0</v>
          </cell>
        </row>
        <row r="310">
          <cell r="B310" t="str">
            <v>IND024</v>
          </cell>
          <cell r="E310">
            <v>0</v>
          </cell>
        </row>
        <row r="311">
          <cell r="B311" t="str">
            <v>IND025</v>
          </cell>
          <cell r="E311">
            <v>0</v>
          </cell>
        </row>
        <row r="312">
          <cell r="B312" t="str">
            <v>IND027</v>
          </cell>
          <cell r="C312" t="str">
            <v>4726 BANK STREET</v>
          </cell>
          <cell r="D312" t="str">
            <v>GLOUCESTER, ON</v>
          </cell>
          <cell r="E312">
            <v>209586</v>
          </cell>
        </row>
        <row r="313">
          <cell r="B313" t="str">
            <v>IND028</v>
          </cell>
          <cell r="C313" t="str">
            <v>C/O 4726 BANK STREET</v>
          </cell>
          <cell r="D313" t="str">
            <v>GLOUCESTER, ON</v>
          </cell>
          <cell r="E313">
            <v>616722</v>
          </cell>
        </row>
        <row r="314">
          <cell r="B314" t="str">
            <v>IND031</v>
          </cell>
          <cell r="C314" t="str">
            <v>5 MAIN ST. E.</v>
          </cell>
          <cell r="D314" t="str">
            <v>MILTON, ON</v>
          </cell>
          <cell r="E314">
            <v>50766</v>
          </cell>
        </row>
        <row r="315">
          <cell r="B315" t="str">
            <v>IND036</v>
          </cell>
          <cell r="C315" t="str">
            <v>211 KING ST.</v>
          </cell>
          <cell r="D315" t="str">
            <v>ELDEE, ON</v>
          </cell>
          <cell r="E315">
            <v>183596.2</v>
          </cell>
        </row>
        <row r="316">
          <cell r="B316" t="str">
            <v>IND038</v>
          </cell>
          <cell r="C316" t="str">
            <v>17551 WOODBINE AVE</v>
          </cell>
          <cell r="D316" t="str">
            <v>NEWMARKET, ON</v>
          </cell>
          <cell r="E316">
            <v>418042</v>
          </cell>
        </row>
        <row r="317">
          <cell r="B317" t="str">
            <v>IND041</v>
          </cell>
          <cell r="C317" t="str">
            <v>740 DUFFERIN ST.</v>
          </cell>
          <cell r="D317" t="str">
            <v>TORONTO, ON</v>
          </cell>
          <cell r="E317">
            <v>207628</v>
          </cell>
        </row>
        <row r="318">
          <cell r="B318" t="str">
            <v>IND044</v>
          </cell>
          <cell r="C318" t="str">
            <v>28020 FRASER HIGHWAY</v>
          </cell>
          <cell r="D318" t="str">
            <v>ABBOTSFORD, BC</v>
          </cell>
          <cell r="E318">
            <v>0</v>
          </cell>
        </row>
        <row r="319">
          <cell r="B319" t="str">
            <v>IND045</v>
          </cell>
          <cell r="C319" t="str">
            <v>2692 HWY.#12, P.O.BOX 66</v>
          </cell>
          <cell r="D319" t="str">
            <v>BRECHIN, ON</v>
          </cell>
          <cell r="E319">
            <v>356214</v>
          </cell>
        </row>
        <row r="320">
          <cell r="B320" t="str">
            <v>IND046</v>
          </cell>
          <cell r="C320" t="str">
            <v>229 RORKE AVE.</v>
          </cell>
          <cell r="D320" t="str">
            <v>HAILEYBURY, ON</v>
          </cell>
          <cell r="E320">
            <v>459461</v>
          </cell>
        </row>
        <row r="321">
          <cell r="B321" t="str">
            <v>IND048</v>
          </cell>
          <cell r="C321" t="str">
            <v>7060 - HIGHWAY 27</v>
          </cell>
          <cell r="D321" t="str">
            <v>THORNTON, ON</v>
          </cell>
          <cell r="E321">
            <v>449231</v>
          </cell>
        </row>
        <row r="322">
          <cell r="B322" t="str">
            <v>IND051</v>
          </cell>
          <cell r="C322" t="str">
            <v>701 KROSNOS BLVD.</v>
          </cell>
          <cell r="D322" t="str">
            <v>PICKERING, ON</v>
          </cell>
          <cell r="E322">
            <v>36903</v>
          </cell>
        </row>
        <row r="323">
          <cell r="B323" t="str">
            <v>IND052</v>
          </cell>
          <cell r="C323" t="str">
            <v>22766 WOODBINE AVENUE</v>
          </cell>
          <cell r="D323" t="str">
            <v>KESWICK, ON</v>
          </cell>
          <cell r="E323">
            <v>347269</v>
          </cell>
        </row>
        <row r="324">
          <cell r="B324" t="str">
            <v>IND053</v>
          </cell>
          <cell r="C324" t="str">
            <v>1515 KING RD. UNIT 1</v>
          </cell>
          <cell r="D324" t="str">
            <v>KING CITY, ON</v>
          </cell>
          <cell r="E324">
            <v>79833</v>
          </cell>
        </row>
        <row r="325">
          <cell r="B325" t="str">
            <v>IND056</v>
          </cell>
          <cell r="C325" t="str">
            <v>2141 CARP ROAD</v>
          </cell>
          <cell r="D325" t="str">
            <v>CARP, ON</v>
          </cell>
          <cell r="E325">
            <v>32364</v>
          </cell>
        </row>
        <row r="326">
          <cell r="B326" t="str">
            <v>IND060</v>
          </cell>
          <cell r="C326" t="str">
            <v>914 UPPER JAMES STREET</v>
          </cell>
          <cell r="D326" t="str">
            <v>HAMILTON, ON</v>
          </cell>
          <cell r="E326">
            <v>66421</v>
          </cell>
        </row>
        <row r="327">
          <cell r="B327" t="str">
            <v>IND061</v>
          </cell>
          <cell r="C327" t="str">
            <v>277 HESPELER ROAD</v>
          </cell>
          <cell r="D327" t="str">
            <v>CAMBRIDGE, ON</v>
          </cell>
          <cell r="E327">
            <v>32899</v>
          </cell>
        </row>
        <row r="328">
          <cell r="B328" t="str">
            <v>IND062</v>
          </cell>
          <cell r="C328" t="str">
            <v xml:space="preserve">HWY #11B, P.O. BOX 638 </v>
          </cell>
          <cell r="D328" t="str">
            <v>NEW LISKEARD, ON</v>
          </cell>
          <cell r="E328">
            <v>196488</v>
          </cell>
        </row>
        <row r="329">
          <cell r="B329" t="str">
            <v>IND064</v>
          </cell>
          <cell r="C329" t="str">
            <v>CONESTOGA MALL</v>
          </cell>
          <cell r="D329" t="str">
            <v>WATERLOO, ON</v>
          </cell>
          <cell r="E329">
            <v>23889.31</v>
          </cell>
        </row>
        <row r="330">
          <cell r="B330" t="str">
            <v>IND066</v>
          </cell>
          <cell r="C330" t="str">
            <v>151 KING GEORGE ROAD</v>
          </cell>
          <cell r="D330" t="str">
            <v>BRANTFORD, ON</v>
          </cell>
          <cell r="E330">
            <v>37208</v>
          </cell>
        </row>
        <row r="331">
          <cell r="B331" t="str">
            <v>IND067</v>
          </cell>
          <cell r="C331" t="str">
            <v>500 EAGLESON ROAD</v>
          </cell>
          <cell r="D331" t="str">
            <v>KANATA, ON</v>
          </cell>
          <cell r="E331">
            <v>26379</v>
          </cell>
        </row>
        <row r="332">
          <cell r="B332" t="str">
            <v>IND068</v>
          </cell>
          <cell r="C332" t="str">
            <v>1401 MATHESON BLVD.</v>
          </cell>
          <cell r="D332" t="str">
            <v>MISSISSAUGA, ON</v>
          </cell>
          <cell r="E332">
            <v>11487</v>
          </cell>
        </row>
        <row r="333">
          <cell r="B333" t="str">
            <v>IND069</v>
          </cell>
          <cell r="C333" t="str">
            <v>653 PARKHILL ROAD WEST</v>
          </cell>
          <cell r="D333" t="str">
            <v>PETERBOROUGH, ON</v>
          </cell>
          <cell r="E333">
            <v>52098</v>
          </cell>
        </row>
        <row r="334">
          <cell r="B334" t="str">
            <v>IND070</v>
          </cell>
          <cell r="C334" t="str">
            <v>5020 HIGHWAY 7 WEST</v>
          </cell>
          <cell r="D334" t="str">
            <v>WOODBRIDGE, ON</v>
          </cell>
          <cell r="E334">
            <v>6416</v>
          </cell>
        </row>
        <row r="335">
          <cell r="B335" t="str">
            <v>IND071</v>
          </cell>
          <cell r="C335" t="str">
            <v>1000 NEW WESTMINISTER DRIVE</v>
          </cell>
          <cell r="D335" t="str">
            <v>THORNHILL, ON</v>
          </cell>
          <cell r="E335">
            <v>10112</v>
          </cell>
        </row>
        <row r="336">
          <cell r="B336" t="str">
            <v>IND072</v>
          </cell>
          <cell r="C336" t="str">
            <v>8141 MARTINGROVE ROAD</v>
          </cell>
          <cell r="D336" t="str">
            <v>WOODBRIDGE, ON</v>
          </cell>
          <cell r="E336">
            <v>5904</v>
          </cell>
        </row>
        <row r="337">
          <cell r="B337" t="str">
            <v>IND073</v>
          </cell>
          <cell r="C337" t="str">
            <v>9201 ISLINGTON AVENUE</v>
          </cell>
          <cell r="D337" t="str">
            <v>WOODBRIDGE, ON</v>
          </cell>
          <cell r="E337">
            <v>29104</v>
          </cell>
        </row>
        <row r="338">
          <cell r="B338" t="str">
            <v>IND074</v>
          </cell>
          <cell r="C338" t="str">
            <v>501 CLARK AVENUE</v>
          </cell>
          <cell r="D338" t="str">
            <v>THORNHILL, ON</v>
          </cell>
          <cell r="E338">
            <v>19117</v>
          </cell>
        </row>
        <row r="339">
          <cell r="B339" t="str">
            <v>IND075</v>
          </cell>
          <cell r="C339" t="str">
            <v>320 WATER ST.</v>
          </cell>
          <cell r="D339" t="str">
            <v>PETERBOROUGH, ON</v>
          </cell>
          <cell r="E339">
            <v>34825.910000000003</v>
          </cell>
        </row>
        <row r="340">
          <cell r="B340" t="str">
            <v>IND076</v>
          </cell>
          <cell r="C340" t="str">
            <v>2317 ST. CLAIR AVE. WEST</v>
          </cell>
          <cell r="D340" t="str">
            <v>TORONTO, ON</v>
          </cell>
          <cell r="E340">
            <v>64366</v>
          </cell>
        </row>
        <row r="341">
          <cell r="B341" t="str">
            <v>IND077</v>
          </cell>
          <cell r="C341" t="str">
            <v xml:space="preserve">18 PETER STREET(C/O HOPE'S </v>
          </cell>
          <cell r="D341" t="str">
            <v>FOODLAND) NOVAR, ON</v>
          </cell>
          <cell r="E341">
            <v>130705.94</v>
          </cell>
        </row>
        <row r="342">
          <cell r="B342" t="str">
            <v>IND078</v>
          </cell>
          <cell r="C342" t="str">
            <v>375 GUELPH STREET</v>
          </cell>
          <cell r="D342" t="str">
            <v>GEORGETOWN, ON</v>
          </cell>
          <cell r="E342">
            <v>8893</v>
          </cell>
        </row>
        <row r="343">
          <cell r="B343" t="str">
            <v>IND084</v>
          </cell>
          <cell r="E343">
            <v>0</v>
          </cell>
        </row>
        <row r="344">
          <cell r="B344" t="str">
            <v>IND086</v>
          </cell>
          <cell r="E344">
            <v>0</v>
          </cell>
        </row>
        <row r="345">
          <cell r="B345" t="str">
            <v>IND087</v>
          </cell>
          <cell r="E345">
            <v>0</v>
          </cell>
        </row>
        <row r="346">
          <cell r="B346" t="str">
            <v>LAN001</v>
          </cell>
          <cell r="C346" t="str">
            <v>2832 HWY #60</v>
          </cell>
          <cell r="D346" t="str">
            <v>DWIGHT, ON</v>
          </cell>
          <cell r="E346">
            <v>346135</v>
          </cell>
        </row>
        <row r="347">
          <cell r="B347" t="str">
            <v>MEN001</v>
          </cell>
          <cell r="C347" t="str">
            <v>1001 FRANKLIN BLVD</v>
          </cell>
          <cell r="D347" t="str">
            <v>CAMBRIDGE, ON</v>
          </cell>
          <cell r="E347">
            <v>1962</v>
          </cell>
        </row>
        <row r="348">
          <cell r="B348" t="str">
            <v>MEN002</v>
          </cell>
          <cell r="C348" t="str">
            <v>3400 GRAND MORAIS ROAD EAST</v>
          </cell>
          <cell r="D348" t="str">
            <v>WINDSOR, ON</v>
          </cell>
          <cell r="E348">
            <v>5153</v>
          </cell>
        </row>
        <row r="349">
          <cell r="B349" t="str">
            <v>MEN003</v>
          </cell>
          <cell r="C349" t="str">
            <v>99 BROOKSIDE STREET</v>
          </cell>
          <cell r="D349" t="str">
            <v>LONDON, ONTARIO</v>
          </cell>
          <cell r="E349">
            <v>0</v>
          </cell>
        </row>
        <row r="350">
          <cell r="B350" t="str">
            <v>MRV006</v>
          </cell>
          <cell r="C350" t="str">
            <v>2467 EGLINTON AVENUE EAST</v>
          </cell>
          <cell r="D350" t="str">
            <v>SCARBOROUGH, ON</v>
          </cell>
          <cell r="E350">
            <v>6793</v>
          </cell>
        </row>
        <row r="351">
          <cell r="B351" t="str">
            <v>MRV007</v>
          </cell>
          <cell r="C351" t="str">
            <v>2231 LAWRENCE AVENUE EAST</v>
          </cell>
          <cell r="D351" t="str">
            <v>SCARBOROUGH, ON</v>
          </cell>
          <cell r="E351">
            <v>10751</v>
          </cell>
        </row>
        <row r="352">
          <cell r="B352" t="str">
            <v>MRV008</v>
          </cell>
          <cell r="C352" t="str">
            <v>4285 LAWRENCE AVENUE EAST</v>
          </cell>
          <cell r="D352" t="str">
            <v>SCARBOROUGH, ON</v>
          </cell>
          <cell r="E352">
            <v>22614</v>
          </cell>
        </row>
        <row r="353">
          <cell r="B353" t="str">
            <v>MRV009</v>
          </cell>
          <cell r="C353" t="str">
            <v>3600 KINGSTON ROAD</v>
          </cell>
          <cell r="D353" t="str">
            <v>SCARBOROUGH, ON</v>
          </cell>
          <cell r="E353">
            <v>10522</v>
          </cell>
        </row>
        <row r="354">
          <cell r="B354" t="str">
            <v>MRV010</v>
          </cell>
          <cell r="C354" t="str">
            <v>1967 ELLESMERE ROAD</v>
          </cell>
          <cell r="D354" t="str">
            <v>SCARBOROUGH, ON</v>
          </cell>
          <cell r="E354">
            <v>19324</v>
          </cell>
        </row>
        <row r="355">
          <cell r="B355" t="str">
            <v>MRV011</v>
          </cell>
          <cell r="C355" t="str">
            <v>30 SEWELLS ROAD</v>
          </cell>
          <cell r="D355" t="str">
            <v>SCARBOROUGH, ON</v>
          </cell>
          <cell r="E355">
            <v>24621</v>
          </cell>
        </row>
        <row r="356">
          <cell r="B356" t="str">
            <v>MRV012</v>
          </cell>
          <cell r="C356" t="str">
            <v>31 GLEN WATFORD DRIVE</v>
          </cell>
          <cell r="D356" t="str">
            <v>SCARBOROUGH, ON</v>
          </cell>
          <cell r="E356">
            <v>14587</v>
          </cell>
        </row>
        <row r="357">
          <cell r="B357" t="str">
            <v>MRV014</v>
          </cell>
          <cell r="C357" t="str">
            <v>1138 BATHURST ST</v>
          </cell>
          <cell r="D357" t="str">
            <v>TORONTO, ON</v>
          </cell>
          <cell r="E357">
            <v>55940</v>
          </cell>
        </row>
        <row r="358">
          <cell r="B358" t="str">
            <v>MRV015</v>
          </cell>
          <cell r="C358" t="str">
            <v>600 OSHAWA BLVD NORTH</v>
          </cell>
          <cell r="D358" t="str">
            <v>OSHAWA, ON</v>
          </cell>
          <cell r="E358">
            <v>40113</v>
          </cell>
        </row>
        <row r="359">
          <cell r="B359" t="str">
            <v>MRV016</v>
          </cell>
          <cell r="C359" t="str">
            <v>243 WILMINGTON AVENUE</v>
          </cell>
          <cell r="D359" t="str">
            <v>NORTH YORK, ON</v>
          </cell>
          <cell r="E359">
            <v>40653</v>
          </cell>
        </row>
        <row r="360">
          <cell r="B360" t="str">
            <v>MRV017</v>
          </cell>
          <cell r="C360" t="str">
            <v>1500 GULLEDEN DRIVE</v>
          </cell>
          <cell r="D360" t="str">
            <v>MISSISSAUGA, ON</v>
          </cell>
          <cell r="E360">
            <v>0</v>
          </cell>
        </row>
        <row r="361">
          <cell r="B361" t="str">
            <v>MRV018</v>
          </cell>
          <cell r="C361" t="str">
            <v xml:space="preserve">1399 CAWTHRA ROAD </v>
          </cell>
          <cell r="D361" t="str">
            <v>MISSISSAUGA, ON</v>
          </cell>
          <cell r="E361">
            <v>7604.25</v>
          </cell>
        </row>
        <row r="362">
          <cell r="B362" t="str">
            <v>MRV019</v>
          </cell>
          <cell r="C362" t="str">
            <v>2475 TRUSCOTT DR</v>
          </cell>
          <cell r="D362" t="str">
            <v>MISSISSAUGA, ON</v>
          </cell>
          <cell r="E362">
            <v>13209.59</v>
          </cell>
        </row>
        <row r="363">
          <cell r="B363" t="str">
            <v>MRV020</v>
          </cell>
          <cell r="C363" t="str">
            <v>3205 UNITY DRIVE</v>
          </cell>
          <cell r="D363" t="str">
            <v>MISSISSAUGA, ON</v>
          </cell>
          <cell r="E363">
            <v>19760.490000000002</v>
          </cell>
        </row>
        <row r="364">
          <cell r="B364" t="str">
            <v>MRV021</v>
          </cell>
          <cell r="C364" t="str">
            <v xml:space="preserve">3430 DERRY ROAD </v>
          </cell>
          <cell r="D364" t="str">
            <v>MISSISSAUGA, ON</v>
          </cell>
          <cell r="E364">
            <v>5496.52</v>
          </cell>
        </row>
        <row r="365">
          <cell r="B365" t="str">
            <v>MRV022</v>
          </cell>
          <cell r="C365" t="str">
            <v>705 MATHESON BLVD.,EAST</v>
          </cell>
          <cell r="D365" t="str">
            <v>MISSISSAUGA, ON</v>
          </cell>
          <cell r="E365">
            <v>49076.21</v>
          </cell>
        </row>
        <row r="366">
          <cell r="B366" t="str">
            <v>MRV023</v>
          </cell>
          <cell r="C366" t="str">
            <v>200 RATHBURN ROAD WEST</v>
          </cell>
          <cell r="D366" t="str">
            <v xml:space="preserve">MISSISSAUGA, ON </v>
          </cell>
          <cell r="E366">
            <v>53881.79</v>
          </cell>
        </row>
        <row r="367">
          <cell r="B367" t="str">
            <v>MRV024</v>
          </cell>
          <cell r="C367" t="str">
            <v>2160 TORQUAY MEWS</v>
          </cell>
          <cell r="D367" t="str">
            <v>MISSISSAUGA</v>
          </cell>
          <cell r="E367">
            <v>23868.3</v>
          </cell>
        </row>
        <row r="368">
          <cell r="B368" t="str">
            <v>MRV025</v>
          </cell>
          <cell r="C368" t="str">
            <v>1275 MISSISSAUGA VALLEY BLVD.</v>
          </cell>
          <cell r="D368" t="str">
            <v>MISSISSAUGA, ON</v>
          </cell>
          <cell r="E368">
            <v>0</v>
          </cell>
        </row>
        <row r="369">
          <cell r="B369" t="str">
            <v>MRV026</v>
          </cell>
          <cell r="C369" t="str">
            <v xml:space="preserve">40 STAVEBANK ROAD </v>
          </cell>
          <cell r="D369" t="str">
            <v xml:space="preserve">MISSISSAUGA, ON </v>
          </cell>
          <cell r="E369">
            <v>8718.7000000000007</v>
          </cell>
        </row>
        <row r="370">
          <cell r="B370" t="str">
            <v>MRV027</v>
          </cell>
          <cell r="C370" t="str">
            <v>135 LAKEFRONT PROMENAD</v>
          </cell>
          <cell r="D370" t="str">
            <v>MISSISSAUGA,ON</v>
          </cell>
          <cell r="E370">
            <v>2139.5</v>
          </cell>
        </row>
        <row r="371">
          <cell r="B371" t="str">
            <v>MRV028</v>
          </cell>
          <cell r="C371" t="str">
            <v>1190 DIXIE ROAD</v>
          </cell>
          <cell r="D371" t="str">
            <v xml:space="preserve">MISSISSAUGA, ON </v>
          </cell>
          <cell r="E371">
            <v>7676.58</v>
          </cell>
        </row>
        <row r="372">
          <cell r="B372" t="str">
            <v>MRV029</v>
          </cell>
          <cell r="C372" t="str">
            <v>5625 TERRY FOX WAY</v>
          </cell>
          <cell r="D372" t="str">
            <v>MISSISSAUGA, ON</v>
          </cell>
          <cell r="E372">
            <v>0</v>
          </cell>
        </row>
        <row r="373">
          <cell r="B373" t="str">
            <v>MRV030</v>
          </cell>
          <cell r="C373" t="str">
            <v>40 STAVEBANK ROAD</v>
          </cell>
          <cell r="D373" t="str">
            <v>MISSISSAUGA,ON</v>
          </cell>
          <cell r="E373">
            <v>6526.52</v>
          </cell>
        </row>
        <row r="374">
          <cell r="B374" t="str">
            <v>MRV031</v>
          </cell>
          <cell r="C374" t="str">
            <v>590 RATHBURN</v>
          </cell>
          <cell r="D374" t="str">
            <v>ETOBICOKE, ONTARIO</v>
          </cell>
          <cell r="E374">
            <v>0</v>
          </cell>
        </row>
        <row r="375">
          <cell r="B375" t="str">
            <v>MRV032</v>
          </cell>
          <cell r="C375" t="str">
            <v>5500 ROSE CHERRY PLACE</v>
          </cell>
          <cell r="D375" t="str">
            <v>MISSISSAUGA, ON</v>
          </cell>
          <cell r="E375">
            <v>0</v>
          </cell>
        </row>
        <row r="376">
          <cell r="B376" t="str">
            <v>MRV033</v>
          </cell>
          <cell r="C376" t="str">
            <v>5500 ROSE CHERRY PLACE</v>
          </cell>
          <cell r="D376" t="str">
            <v>MISSISSAUGA, ON</v>
          </cell>
          <cell r="E376">
            <v>0</v>
          </cell>
        </row>
        <row r="377">
          <cell r="B377" t="str">
            <v>MRV034</v>
          </cell>
          <cell r="C377" t="str">
            <v>4700 KEELE STREET</v>
          </cell>
          <cell r="D377" t="str">
            <v>TORONTO, ON</v>
          </cell>
          <cell r="E377">
            <v>20808</v>
          </cell>
        </row>
        <row r="378">
          <cell r="B378" t="str">
            <v>MRV035</v>
          </cell>
          <cell r="C378" t="str">
            <v>9050 BRAMALEA RD</v>
          </cell>
          <cell r="D378" t="str">
            <v>BRAMPTON, ON</v>
          </cell>
          <cell r="E378">
            <v>0</v>
          </cell>
        </row>
        <row r="379">
          <cell r="B379" t="str">
            <v>MRV036</v>
          </cell>
          <cell r="C379" t="str">
            <v>125 MCLAUGHLIN RD, NORTH</v>
          </cell>
          <cell r="D379" t="str">
            <v>BRAMPTON, ON</v>
          </cell>
          <cell r="E379">
            <v>13849.8</v>
          </cell>
        </row>
        <row r="380">
          <cell r="B380" t="str">
            <v>MRV037</v>
          </cell>
          <cell r="C380" t="str">
            <v>44 EASTBOURNE DRIVE</v>
          </cell>
          <cell r="D380" t="str">
            <v>BRAMPTON, ON</v>
          </cell>
          <cell r="E380">
            <v>15383.65</v>
          </cell>
        </row>
        <row r="381">
          <cell r="B381" t="str">
            <v>MRV038</v>
          </cell>
          <cell r="C381" t="str">
            <v>1100 CENTRAL PARK DRIVE</v>
          </cell>
          <cell r="D381" t="str">
            <v>BRAMPTON, ON</v>
          </cell>
          <cell r="E381">
            <v>14493.05</v>
          </cell>
        </row>
        <row r="382">
          <cell r="B382" t="str">
            <v>MRV039</v>
          </cell>
          <cell r="C382" t="str">
            <v>292 CONESTOGA DRIVE</v>
          </cell>
          <cell r="D382" t="str">
            <v>BRAMPTON, ON</v>
          </cell>
          <cell r="E382">
            <v>12331.6</v>
          </cell>
        </row>
        <row r="383">
          <cell r="B383" t="str">
            <v>MRV040</v>
          </cell>
          <cell r="C383" t="str">
            <v>30 LOAFER'S LAKE LAND</v>
          </cell>
          <cell r="D383" t="str">
            <v>BRAMPTON, ON</v>
          </cell>
          <cell r="E383">
            <v>3598.1</v>
          </cell>
        </row>
        <row r="384">
          <cell r="B384" t="str">
            <v>MRV041</v>
          </cell>
          <cell r="C384" t="str">
            <v>69 ELLIOT STREET</v>
          </cell>
          <cell r="D384" t="str">
            <v>BRAMPTON, ON</v>
          </cell>
          <cell r="E384">
            <v>25380.75</v>
          </cell>
        </row>
        <row r="385">
          <cell r="B385" t="str">
            <v>MRV042</v>
          </cell>
          <cell r="C385" t="str">
            <v>1295 WILLIAMS PARKWAY</v>
          </cell>
          <cell r="D385" t="str">
            <v>BRAMPTON, ON</v>
          </cell>
          <cell r="E385">
            <v>14731.4</v>
          </cell>
        </row>
        <row r="386">
          <cell r="B386" t="str">
            <v>MRV043</v>
          </cell>
          <cell r="C386" t="str">
            <v>20 VICTORIA CRESCENT</v>
          </cell>
          <cell r="D386" t="str">
            <v>BRAMPTON, ON</v>
          </cell>
          <cell r="E386">
            <v>18733.3</v>
          </cell>
        </row>
        <row r="387">
          <cell r="B387" t="str">
            <v>MRV044</v>
          </cell>
          <cell r="C387" t="str">
            <v>150 CENTRAL PARK DRIVE</v>
          </cell>
          <cell r="D387" t="str">
            <v>BRAMPTON, ON</v>
          </cell>
          <cell r="E387">
            <v>51207.45</v>
          </cell>
        </row>
        <row r="388">
          <cell r="B388" t="str">
            <v>MRV045</v>
          </cell>
          <cell r="C388" t="str">
            <v>150 CENTRAL PARK DRIVE</v>
          </cell>
          <cell r="D388" t="str">
            <v>BRAMPTON, ON</v>
          </cell>
          <cell r="E388">
            <v>0</v>
          </cell>
        </row>
        <row r="389">
          <cell r="B389" t="str">
            <v>MRV046</v>
          </cell>
          <cell r="C389" t="str">
            <v>340 VADDEN STREET EAST</v>
          </cell>
          <cell r="D389" t="str">
            <v>BRAMPTON, ON</v>
          </cell>
          <cell r="E389">
            <v>16878.400000000001</v>
          </cell>
        </row>
        <row r="390">
          <cell r="B390" t="str">
            <v>MRV047</v>
          </cell>
          <cell r="C390" t="str">
            <v>29A HARTFORD TRAIL</v>
          </cell>
          <cell r="D390" t="str">
            <v>BRAMPTON, ON</v>
          </cell>
          <cell r="E390">
            <v>0</v>
          </cell>
        </row>
        <row r="391">
          <cell r="B391" t="str">
            <v>MRV048</v>
          </cell>
          <cell r="C391" t="str">
            <v>789 YONGE STREET</v>
          </cell>
          <cell r="D391" t="str">
            <v>TORONTO, ON</v>
          </cell>
          <cell r="E391">
            <v>8194</v>
          </cell>
        </row>
        <row r="392">
          <cell r="B392" t="str">
            <v>MRV049</v>
          </cell>
          <cell r="E392">
            <v>0</v>
          </cell>
        </row>
        <row r="393">
          <cell r="B393" t="str">
            <v>MRV13A</v>
          </cell>
          <cell r="C393" t="str">
            <v>93 BIRCHMOUNT ROAD, KIOSK A</v>
          </cell>
          <cell r="D393" t="str">
            <v>SCARBOROUGH, ON</v>
          </cell>
          <cell r="E393">
            <v>1850</v>
          </cell>
        </row>
        <row r="394">
          <cell r="B394" t="str">
            <v>MRV13B</v>
          </cell>
          <cell r="C394" t="str">
            <v>75 BIRCHMOUNT ROAD</v>
          </cell>
          <cell r="D394" t="str">
            <v>SCARBOROUGH, ON</v>
          </cell>
          <cell r="E394">
            <v>14380</v>
          </cell>
        </row>
        <row r="395">
          <cell r="B395" t="str">
            <v>NEWNT</v>
          </cell>
          <cell r="E395">
            <v>0</v>
          </cell>
        </row>
        <row r="396">
          <cell r="B396" t="str">
            <v>PCW001</v>
          </cell>
          <cell r="C396" t="str">
            <v>9580 JANE STREET</v>
          </cell>
          <cell r="D396" t="str">
            <v>VAUGHAN, ON</v>
          </cell>
          <cell r="E396">
            <v>102147</v>
          </cell>
        </row>
        <row r="397">
          <cell r="B397" t="str">
            <v>PET001</v>
          </cell>
          <cell r="C397" t="str">
            <v xml:space="preserve">508 MAIN ST. EAST </v>
          </cell>
          <cell r="D397" t="str">
            <v>SHELBURNE, ON</v>
          </cell>
          <cell r="E397">
            <v>70055</v>
          </cell>
        </row>
        <row r="398">
          <cell r="B398" t="str">
            <v>PIO003</v>
          </cell>
          <cell r="C398" t="str">
            <v>4495 BATH ROAD</v>
          </cell>
          <cell r="D398" t="str">
            <v>AMHERSTVIEW, ON</v>
          </cell>
          <cell r="E398">
            <v>253311</v>
          </cell>
        </row>
        <row r="399">
          <cell r="B399" t="str">
            <v>PIO004</v>
          </cell>
          <cell r="C399" t="str">
            <v>1092 HIGHWAY #6 N</v>
          </cell>
          <cell r="D399" t="str">
            <v>HAMILTON, ON</v>
          </cell>
          <cell r="E399">
            <v>51019</v>
          </cell>
        </row>
        <row r="400">
          <cell r="B400" t="str">
            <v>PIO005</v>
          </cell>
          <cell r="C400" t="str">
            <v xml:space="preserve">93 KING STREET </v>
          </cell>
          <cell r="D400" t="str">
            <v>PARIS, ON</v>
          </cell>
          <cell r="E400">
            <v>45622</v>
          </cell>
        </row>
        <row r="401">
          <cell r="B401" t="str">
            <v>PIO006</v>
          </cell>
          <cell r="C401" t="str">
            <v>857 10TH STREET</v>
          </cell>
          <cell r="D401" t="str">
            <v>HANOVER, ON</v>
          </cell>
          <cell r="E401">
            <v>7730</v>
          </cell>
        </row>
        <row r="402">
          <cell r="B402" t="str">
            <v>PIO007</v>
          </cell>
          <cell r="C402" t="str">
            <v>859 UPPER JAMES STRET</v>
          </cell>
          <cell r="D402" t="str">
            <v>HAMILTON, ON</v>
          </cell>
          <cell r="E402">
            <v>13387</v>
          </cell>
        </row>
        <row r="403">
          <cell r="B403" t="str">
            <v>PIO008</v>
          </cell>
          <cell r="C403" t="str">
            <v>545 WOODWARD AVENUE</v>
          </cell>
          <cell r="D403" t="str">
            <v>HAMILTON, ON</v>
          </cell>
          <cell r="E403">
            <v>9197</v>
          </cell>
        </row>
        <row r="404">
          <cell r="B404" t="str">
            <v>PIO009</v>
          </cell>
          <cell r="C404" t="str">
            <v>6868 HYW #7 - R.R. #5</v>
          </cell>
          <cell r="D404" t="str">
            <v>SPRINGVILLE, ON</v>
          </cell>
          <cell r="E404">
            <v>60289</v>
          </cell>
        </row>
        <row r="405">
          <cell r="B405" t="str">
            <v>PIO010</v>
          </cell>
          <cell r="C405" t="str">
            <v>1105 KING STREET EAST</v>
          </cell>
          <cell r="D405" t="str">
            <v>KITCHENER, ON</v>
          </cell>
          <cell r="E405">
            <v>1130</v>
          </cell>
        </row>
        <row r="406">
          <cell r="B406" t="str">
            <v>PIO012</v>
          </cell>
          <cell r="E406">
            <v>0</v>
          </cell>
        </row>
        <row r="407">
          <cell r="B407" t="str">
            <v>RAB001</v>
          </cell>
          <cell r="C407" t="str">
            <v>20 BRISTOL ROAD</v>
          </cell>
          <cell r="D407" t="str">
            <v>MISSISSAUGA, ON</v>
          </cell>
          <cell r="E407">
            <v>23866</v>
          </cell>
        </row>
        <row r="408">
          <cell r="B408" t="str">
            <v>RAB002</v>
          </cell>
          <cell r="E408">
            <v>0</v>
          </cell>
        </row>
        <row r="409">
          <cell r="B409" t="str">
            <v>SHL002</v>
          </cell>
          <cell r="C409" t="str">
            <v>BOX 308 HIGHWAY 11 NORTH</v>
          </cell>
          <cell r="D409" t="str">
            <v>TEMAGAMI, ON</v>
          </cell>
          <cell r="E409">
            <v>263379</v>
          </cell>
        </row>
        <row r="410">
          <cell r="B410" t="str">
            <v>SHL003</v>
          </cell>
          <cell r="C410" t="str">
            <v>2881 MAJOR MACKENZIE DRIVE</v>
          </cell>
          <cell r="D410" t="str">
            <v>MARKHAM, ON</v>
          </cell>
          <cell r="E410">
            <v>106195</v>
          </cell>
        </row>
        <row r="411">
          <cell r="B411" t="str">
            <v>SHL004</v>
          </cell>
          <cell r="C411" t="str">
            <v>1221 GUELPH LINE ROAD</v>
          </cell>
          <cell r="D411" t="str">
            <v>BURLINGTON, ON</v>
          </cell>
          <cell r="E411">
            <v>82869</v>
          </cell>
        </row>
        <row r="412">
          <cell r="B412" t="str">
            <v>SHL008</v>
          </cell>
          <cell r="C412" t="str">
            <v>38 SPADINA AVENUE</v>
          </cell>
          <cell r="D412" t="str">
            <v>TORONTO, ON</v>
          </cell>
          <cell r="E412">
            <v>497531</v>
          </cell>
        </row>
        <row r="413">
          <cell r="B413" t="str">
            <v>STI001</v>
          </cell>
          <cell r="C413" t="str">
            <v>293 MACKAY STREET</v>
          </cell>
          <cell r="D413" t="str">
            <v>PEMBROKE, ON</v>
          </cell>
          <cell r="E413">
            <v>18788</v>
          </cell>
        </row>
        <row r="414">
          <cell r="B414" t="str">
            <v>SUD001</v>
          </cell>
          <cell r="C414" t="str">
            <v>318 LASALLE BOULEVARD</v>
          </cell>
          <cell r="D414" t="str">
            <v>SUDBURY, ON</v>
          </cell>
          <cell r="E414">
            <v>110348</v>
          </cell>
        </row>
        <row r="415">
          <cell r="B415" t="str">
            <v>SUN002</v>
          </cell>
          <cell r="C415" t="str">
            <v>7750 MCCOWAN RD.</v>
          </cell>
          <cell r="D415" t="str">
            <v>MARKHAM, ON</v>
          </cell>
          <cell r="E415">
            <v>7082.42</v>
          </cell>
        </row>
        <row r="416">
          <cell r="B416" t="str">
            <v>SUN003</v>
          </cell>
          <cell r="C416" t="str">
            <v>3515 UPPER MIDDLE ROAD</v>
          </cell>
          <cell r="D416" t="str">
            <v>BURLINGTON, ON</v>
          </cell>
          <cell r="E416">
            <v>20046.52</v>
          </cell>
        </row>
        <row r="417">
          <cell r="B417" t="str">
            <v>SUN004</v>
          </cell>
          <cell r="C417" t="str">
            <v>565 YONGE ST.</v>
          </cell>
          <cell r="D417" t="str">
            <v>BARRIE, ON</v>
          </cell>
          <cell r="E417">
            <v>46601.279999999999</v>
          </cell>
        </row>
        <row r="418">
          <cell r="B418" t="str">
            <v>SUN005</v>
          </cell>
          <cell r="C418" t="str">
            <v>1457 WOODROFFE AVE.</v>
          </cell>
          <cell r="D418" t="str">
            <v>NEPEAN, ON</v>
          </cell>
          <cell r="E418">
            <v>28316.99</v>
          </cell>
        </row>
        <row r="419">
          <cell r="B419" t="str">
            <v>SUN006</v>
          </cell>
          <cell r="C419" t="str">
            <v>1253 WELLINGTON ROAD SOUTH</v>
          </cell>
          <cell r="D419" t="str">
            <v>LONDON, ON</v>
          </cell>
          <cell r="E419">
            <v>79188.45</v>
          </cell>
        </row>
        <row r="420">
          <cell r="B420" t="str">
            <v>SUN007</v>
          </cell>
          <cell r="C420" t="str">
            <v>9266 GUELPH LINE @ HWY. 401</v>
          </cell>
          <cell r="D420" t="str">
            <v>CAMPBELLVILLE, ON</v>
          </cell>
          <cell r="E420">
            <v>248144.1</v>
          </cell>
        </row>
        <row r="421">
          <cell r="B421" t="str">
            <v>SUN008</v>
          </cell>
          <cell r="C421" t="str">
            <v>610 ATHERLEY RD.</v>
          </cell>
          <cell r="D421" t="str">
            <v>ORILLIA, ON</v>
          </cell>
          <cell r="E421">
            <v>133723.85999999999</v>
          </cell>
        </row>
        <row r="422">
          <cell r="B422" t="str">
            <v>SUN009</v>
          </cell>
          <cell r="C422" t="str">
            <v>1790 ERNEST AVENUE</v>
          </cell>
          <cell r="D422" t="str">
            <v>LONDON, ON</v>
          </cell>
          <cell r="E422">
            <v>154515.41</v>
          </cell>
        </row>
        <row r="423">
          <cell r="B423" t="str">
            <v>SUN010</v>
          </cell>
          <cell r="C423" t="str">
            <v>220 CENTENNIAL PARKWAY</v>
          </cell>
          <cell r="D423" t="str">
            <v>HAMILTON, ON</v>
          </cell>
          <cell r="E423">
            <v>6414.38</v>
          </cell>
        </row>
        <row r="424">
          <cell r="B424" t="str">
            <v>SUN011</v>
          </cell>
          <cell r="C424" t="str">
            <v>93 PARK AVENUE EAST</v>
          </cell>
          <cell r="D424" t="str">
            <v>CHATHAM, ON</v>
          </cell>
          <cell r="E424">
            <v>105161.18</v>
          </cell>
        </row>
        <row r="425">
          <cell r="B425" t="str">
            <v>SUN012</v>
          </cell>
          <cell r="C425" t="str">
            <v>5739 HWY #7 EAST &amp; GRANDVIEW</v>
          </cell>
          <cell r="D425" t="str">
            <v>MARKHAM, ON</v>
          </cell>
          <cell r="E425">
            <v>52349.27</v>
          </cell>
        </row>
        <row r="426">
          <cell r="B426" t="str">
            <v>SUN014</v>
          </cell>
          <cell r="C426" t="str">
            <v>3425 WINSTON CHURCHILL BLVD.</v>
          </cell>
          <cell r="D426" t="str">
            <v>MISSISSAUGA, ON</v>
          </cell>
          <cell r="E426">
            <v>34887.089999999997</v>
          </cell>
        </row>
        <row r="427">
          <cell r="B427" t="str">
            <v>SUN015</v>
          </cell>
          <cell r="C427" t="str">
            <v>6015 MCLAUGHLIN ROAD</v>
          </cell>
          <cell r="D427" t="str">
            <v>MISSISSAUGA, ON</v>
          </cell>
          <cell r="E427">
            <v>7724.37</v>
          </cell>
        </row>
        <row r="428">
          <cell r="B428" t="str">
            <v>SUN016</v>
          </cell>
          <cell r="C428" t="str">
            <v>2180 MONTREAL RD. &amp; SHEFFORD</v>
          </cell>
          <cell r="D428" t="str">
            <v>GLOUCESTER, ON</v>
          </cell>
          <cell r="E428">
            <v>97913.43</v>
          </cell>
        </row>
        <row r="429">
          <cell r="B429" t="str">
            <v>SUN017</v>
          </cell>
          <cell r="C429" t="str">
            <v>2850 VICTORIA PARK AVE.</v>
          </cell>
          <cell r="D429" t="str">
            <v>TORONTO, ON</v>
          </cell>
          <cell r="E429">
            <v>49843.03</v>
          </cell>
        </row>
        <row r="430">
          <cell r="B430" t="str">
            <v>SUN018</v>
          </cell>
          <cell r="C430" t="str">
            <v>195 NIAGARA STREET</v>
          </cell>
          <cell r="D430" t="str">
            <v>ST. CATHARINES, ON</v>
          </cell>
          <cell r="E430">
            <v>16952.080000000002</v>
          </cell>
        </row>
        <row r="431">
          <cell r="B431" t="str">
            <v>SUN019</v>
          </cell>
          <cell r="C431" t="str">
            <v>800 MORNINGSIDE AVE./MILITARY</v>
          </cell>
          <cell r="D431" t="str">
            <v>SCARBOROUGH, ON</v>
          </cell>
          <cell r="E431">
            <v>146788.98000000001</v>
          </cell>
        </row>
        <row r="432">
          <cell r="B432" t="str">
            <v>SUN020</v>
          </cell>
          <cell r="C432" t="str">
            <v>7991 MISSISSAUGA RD.</v>
          </cell>
          <cell r="D432" t="str">
            <v>BRAMPTON, ON</v>
          </cell>
          <cell r="E432">
            <v>79617.600000000006</v>
          </cell>
        </row>
        <row r="433">
          <cell r="B433" t="str">
            <v>SUN021</v>
          </cell>
          <cell r="C433" t="str">
            <v>320 BLAKE STREET</v>
          </cell>
          <cell r="D433" t="str">
            <v>BARRIE, ON</v>
          </cell>
          <cell r="E433">
            <v>422135.3</v>
          </cell>
        </row>
        <row r="434">
          <cell r="B434" t="str">
            <v>SUN022</v>
          </cell>
          <cell r="C434" t="str">
            <v>341 BAYFIELD STREET</v>
          </cell>
          <cell r="D434" t="str">
            <v>BARRIE, ON</v>
          </cell>
          <cell r="E434">
            <v>99783.66</v>
          </cell>
        </row>
        <row r="435">
          <cell r="B435" t="str">
            <v>SUN023</v>
          </cell>
          <cell r="C435" t="str">
            <v>1600 ROSSLAND ROAD EAST</v>
          </cell>
          <cell r="D435" t="str">
            <v>WHITBY, ON</v>
          </cell>
          <cell r="E435">
            <v>73951.990000000005</v>
          </cell>
        </row>
        <row r="436">
          <cell r="B436" t="str">
            <v>SUN024</v>
          </cell>
          <cell r="C436" t="str">
            <v>825 WALKERS LINE</v>
          </cell>
          <cell r="D436" t="str">
            <v>BURLINGTON, ON</v>
          </cell>
          <cell r="E436">
            <v>30730.31</v>
          </cell>
        </row>
        <row r="437">
          <cell r="B437" t="str">
            <v>SUN025</v>
          </cell>
          <cell r="C437" t="str">
            <v>2182 QUEEN STREET</v>
          </cell>
          <cell r="D437" t="str">
            <v>BRAMPTON, ON</v>
          </cell>
          <cell r="E437">
            <v>41802.01</v>
          </cell>
        </row>
        <row r="438">
          <cell r="B438" t="str">
            <v>SUN026</v>
          </cell>
          <cell r="C438" t="str">
            <v>514 VICTORIA STREET</v>
          </cell>
          <cell r="D438" t="str">
            <v>ALLISTON, ON</v>
          </cell>
          <cell r="E438">
            <v>345841.37</v>
          </cell>
        </row>
        <row r="439">
          <cell r="B439" t="str">
            <v>SUN027</v>
          </cell>
          <cell r="C439" t="str">
            <v>570 TERRY FOX DR.</v>
          </cell>
          <cell r="D439" t="str">
            <v>KANATA, ON</v>
          </cell>
          <cell r="E439">
            <v>100835.37</v>
          </cell>
        </row>
        <row r="440">
          <cell r="B440" t="str">
            <v>SUN028</v>
          </cell>
          <cell r="C440" t="str">
            <v>690 HUNT CLUB ROAD</v>
          </cell>
          <cell r="D440" t="str">
            <v>OTTAWA, ON</v>
          </cell>
          <cell r="E440">
            <v>113665.2</v>
          </cell>
        </row>
        <row r="441">
          <cell r="B441" t="str">
            <v>SUN029</v>
          </cell>
          <cell r="C441" t="str">
            <v>8830 YONGE STREET</v>
          </cell>
          <cell r="D441" t="str">
            <v>RICHMOND HILL, ON</v>
          </cell>
          <cell r="E441">
            <v>34776.51</v>
          </cell>
        </row>
        <row r="442">
          <cell r="B442" t="str">
            <v>SUN030</v>
          </cell>
          <cell r="C442" t="str">
            <v>R.R.#2, HIGHWAY 90</v>
          </cell>
          <cell r="D442" t="str">
            <v>BARRIE, ON</v>
          </cell>
          <cell r="E442">
            <v>220958.04</v>
          </cell>
        </row>
        <row r="443">
          <cell r="B443" t="str">
            <v>SUN031</v>
          </cell>
          <cell r="C443" t="str">
            <v>1020 DUNDAS ST. W.</v>
          </cell>
          <cell r="D443" t="str">
            <v>OAKVILLE, ON</v>
          </cell>
          <cell r="E443">
            <v>58666.57</v>
          </cell>
        </row>
        <row r="444">
          <cell r="B444" t="str">
            <v>SUN032</v>
          </cell>
          <cell r="C444" t="str">
            <v>8760 BAYVIEW AVE.</v>
          </cell>
          <cell r="D444" t="str">
            <v>RICHMOND HILL, ON</v>
          </cell>
          <cell r="E444">
            <v>110945.9</v>
          </cell>
        </row>
        <row r="445">
          <cell r="B445" t="str">
            <v>SUN033</v>
          </cell>
          <cell r="C445" t="str">
            <v>2125 SHEPPARD AVE.E.</v>
          </cell>
          <cell r="D445" t="str">
            <v>NORTH YORK, ON</v>
          </cell>
          <cell r="E445">
            <v>11320.43</v>
          </cell>
        </row>
        <row r="446">
          <cell r="B446" t="str">
            <v>SUN034</v>
          </cell>
          <cell r="C446" t="str">
            <v>250 MULOCK DRIVE</v>
          </cell>
          <cell r="D446" t="str">
            <v>NEWMARKET, ON</v>
          </cell>
          <cell r="E446">
            <v>139998.70000000001</v>
          </cell>
        </row>
        <row r="447">
          <cell r="B447" t="str">
            <v>SUN035</v>
          </cell>
          <cell r="C447" t="str">
            <v>1977 KENNEDY ROAD</v>
          </cell>
          <cell r="D447" t="str">
            <v>SCARBOROUGH, ON</v>
          </cell>
          <cell r="E447">
            <v>283973.18</v>
          </cell>
        </row>
        <row r="448">
          <cell r="B448" t="str">
            <v>SUN036</v>
          </cell>
          <cell r="C448" t="str">
            <v>1195 DAVIS DR.</v>
          </cell>
          <cell r="D448" t="str">
            <v>NEWMARKET, ON</v>
          </cell>
          <cell r="E448">
            <v>153549.48000000001</v>
          </cell>
        </row>
        <row r="449">
          <cell r="B449" t="str">
            <v>SUN037</v>
          </cell>
          <cell r="C449" t="str">
            <v>154 CLARKE SIDE ROAD</v>
          </cell>
          <cell r="D449" t="str">
            <v>LONDON, ON</v>
          </cell>
          <cell r="E449">
            <v>51191.839999999997</v>
          </cell>
        </row>
        <row r="450">
          <cell r="B450" t="str">
            <v>SUN038</v>
          </cell>
          <cell r="C450" t="str">
            <v>1514 RAVENSHOE ROAD</v>
          </cell>
          <cell r="D450" t="str">
            <v>KESWICK, ON</v>
          </cell>
          <cell r="E450">
            <v>293941.34000000003</v>
          </cell>
        </row>
        <row r="451">
          <cell r="B451" t="str">
            <v>SUN039</v>
          </cell>
          <cell r="C451" t="str">
            <v>7635 MARKHAM RD.(KIRKHAM RD.)</v>
          </cell>
          <cell r="D451" t="str">
            <v>MARKHAM, ON</v>
          </cell>
          <cell r="E451">
            <v>161621.29999999999</v>
          </cell>
        </row>
        <row r="452">
          <cell r="B452" t="str">
            <v>SUN040</v>
          </cell>
          <cell r="C452" t="str">
            <v>32 COOTES DRIVE</v>
          </cell>
          <cell r="D452" t="str">
            <v>DUNDAS, ON</v>
          </cell>
          <cell r="E452">
            <v>10105.51</v>
          </cell>
        </row>
        <row r="453">
          <cell r="B453" t="str">
            <v>SUN041</v>
          </cell>
          <cell r="C453" t="str">
            <v>1960 INNES ROAD</v>
          </cell>
          <cell r="D453" t="str">
            <v>GLOUCESTER, ON</v>
          </cell>
          <cell r="E453">
            <v>26144</v>
          </cell>
        </row>
        <row r="454">
          <cell r="B454" t="str">
            <v>SUN042</v>
          </cell>
          <cell r="C454" t="str">
            <v>9950 MCLAUGHLIN ROAD</v>
          </cell>
          <cell r="D454" t="str">
            <v>BRAMPTON, ON</v>
          </cell>
          <cell r="E454">
            <v>46976.959999999999</v>
          </cell>
        </row>
        <row r="455">
          <cell r="B455" t="str">
            <v>SUN043</v>
          </cell>
          <cell r="C455" t="str">
            <v>3201 CONROY</v>
          </cell>
          <cell r="D455" t="str">
            <v>OTTAWA, ON</v>
          </cell>
          <cell r="E455">
            <v>14460.93</v>
          </cell>
        </row>
        <row r="456">
          <cell r="B456" t="str">
            <v>SUN044</v>
          </cell>
          <cell r="C456" t="str">
            <v>BROCK ROAD</v>
          </cell>
          <cell r="D456" t="str">
            <v>WHITBY, ON</v>
          </cell>
          <cell r="E456">
            <v>79106.36</v>
          </cell>
        </row>
        <row r="457">
          <cell r="B457" t="str">
            <v>SUN045</v>
          </cell>
          <cell r="C457" t="str">
            <v xml:space="preserve">2630 INNES ROAD </v>
          </cell>
          <cell r="D457" t="str">
            <v>OTTAWA, ON</v>
          </cell>
          <cell r="E457">
            <v>34494.769999999997</v>
          </cell>
        </row>
        <row r="458">
          <cell r="B458" t="str">
            <v>SUN046</v>
          </cell>
          <cell r="C458" t="str">
            <v>301 THICKSON ROAD SOUTH</v>
          </cell>
          <cell r="D458" t="str">
            <v>WHITBY, ON</v>
          </cell>
          <cell r="E458">
            <v>11370.07</v>
          </cell>
        </row>
        <row r="459">
          <cell r="B459" t="str">
            <v>SUN047</v>
          </cell>
          <cell r="C459" t="str">
            <v>5336 BOUNDARY ROAD</v>
          </cell>
          <cell r="D459" t="str">
            <v>GLOUCESTER, ON</v>
          </cell>
          <cell r="E459">
            <v>36468.730000000003</v>
          </cell>
        </row>
        <row r="460">
          <cell r="B460" t="str">
            <v>SUN048</v>
          </cell>
          <cell r="C460" t="str">
            <v>18080 YONGE STREET</v>
          </cell>
          <cell r="D460" t="str">
            <v>NEWMARKET, ON</v>
          </cell>
          <cell r="E460">
            <v>21135.15</v>
          </cell>
        </row>
        <row r="461">
          <cell r="B461" t="str">
            <v>SUN049</v>
          </cell>
          <cell r="C461" t="str">
            <v>2535 OUELLETTE AVENUE</v>
          </cell>
          <cell r="D461" t="str">
            <v>WINDSOR, ON</v>
          </cell>
          <cell r="E461">
            <v>5985.29</v>
          </cell>
        </row>
        <row r="462">
          <cell r="B462" t="str">
            <v>SUN050</v>
          </cell>
          <cell r="C462" t="str">
            <v>311 CANNIFTON ROAD</v>
          </cell>
          <cell r="D462" t="str">
            <v>BELLEVILLE, ON</v>
          </cell>
          <cell r="E462">
            <v>43494.11</v>
          </cell>
        </row>
        <row r="463">
          <cell r="B463" t="str">
            <v>SUN051</v>
          </cell>
          <cell r="C463" t="str">
            <v>390 PARKDALE AVENUE</v>
          </cell>
          <cell r="D463" t="str">
            <v>OTTAWA, ON</v>
          </cell>
          <cell r="E463">
            <v>44135.76</v>
          </cell>
        </row>
        <row r="464">
          <cell r="B464" t="str">
            <v>SUN052</v>
          </cell>
          <cell r="C464" t="str">
            <v>1126 LONDON ROAD</v>
          </cell>
          <cell r="D464" t="str">
            <v>SARNIA, ON</v>
          </cell>
          <cell r="E464">
            <v>6351.73</v>
          </cell>
        </row>
        <row r="465">
          <cell r="B465" t="str">
            <v>SUN053</v>
          </cell>
          <cell r="C465" t="str">
            <v>1080 RUTHERFORD ROAD</v>
          </cell>
          <cell r="D465" t="str">
            <v>MAPLE, ON</v>
          </cell>
          <cell r="E465">
            <v>17906.96</v>
          </cell>
        </row>
        <row r="466">
          <cell r="B466" t="str">
            <v>SUN054</v>
          </cell>
          <cell r="C466" t="str">
            <v>3011 KING STREET</v>
          </cell>
          <cell r="D466" t="str">
            <v>KITCHENER, ON</v>
          </cell>
          <cell r="E466">
            <v>6910.43</v>
          </cell>
        </row>
        <row r="467">
          <cell r="B467" t="str">
            <v>SUN055</v>
          </cell>
          <cell r="C467" t="str">
            <v>2235 HURON CHURCH ROAD</v>
          </cell>
          <cell r="D467" t="str">
            <v>WINDSOR, ON</v>
          </cell>
          <cell r="E467">
            <v>6510.9</v>
          </cell>
        </row>
        <row r="468">
          <cell r="B468" t="str">
            <v>SUN056</v>
          </cell>
          <cell r="C468" t="str">
            <v>500 EAGLESON ROAD</v>
          </cell>
          <cell r="D468" t="str">
            <v>KANATA, ON</v>
          </cell>
          <cell r="E468">
            <v>27188.1</v>
          </cell>
        </row>
        <row r="469">
          <cell r="B469" t="str">
            <v>SUN057</v>
          </cell>
          <cell r="E469">
            <v>0</v>
          </cell>
        </row>
        <row r="470">
          <cell r="B470" t="str">
            <v>SUN058</v>
          </cell>
          <cell r="E470">
            <v>0</v>
          </cell>
        </row>
        <row r="471">
          <cell r="B471" t="str">
            <v>SUN059</v>
          </cell>
          <cell r="E471">
            <v>0</v>
          </cell>
        </row>
        <row r="472">
          <cell r="B472" t="str">
            <v>SUN060</v>
          </cell>
          <cell r="E472">
            <v>0</v>
          </cell>
        </row>
        <row r="473">
          <cell r="B473" t="str">
            <v>SUN061</v>
          </cell>
          <cell r="E473">
            <v>0</v>
          </cell>
        </row>
        <row r="474">
          <cell r="B474" t="str">
            <v>SUN062</v>
          </cell>
          <cell r="E474">
            <v>0</v>
          </cell>
        </row>
        <row r="475">
          <cell r="B475" t="str">
            <v>SUN063</v>
          </cell>
          <cell r="E475">
            <v>0</v>
          </cell>
        </row>
        <row r="476">
          <cell r="B476" t="str">
            <v>SUN064</v>
          </cell>
          <cell r="E476">
            <v>0</v>
          </cell>
        </row>
        <row r="477">
          <cell r="B477" t="str">
            <v>SUN065</v>
          </cell>
          <cell r="E477">
            <v>0</v>
          </cell>
        </row>
        <row r="478">
          <cell r="B478" t="str">
            <v>TWI001</v>
          </cell>
          <cell r="E478">
            <v>0</v>
          </cell>
        </row>
        <row r="479">
          <cell r="B479" t="str">
            <v>YF0001</v>
          </cell>
          <cell r="C479" t="str">
            <v>200 BAY ST.BOX 216 ROYAL BANK</v>
          </cell>
          <cell r="D479" t="str">
            <v>TORONTO, ON</v>
          </cell>
          <cell r="E479">
            <v>0</v>
          </cell>
        </row>
        <row r="480">
          <cell r="B480" t="str">
            <v>YF0003</v>
          </cell>
          <cell r="C480" t="str">
            <v>1 DUNDAS ST., WEST</v>
          </cell>
          <cell r="D480" t="str">
            <v>TORONO, ON</v>
          </cell>
          <cell r="E480">
            <v>0</v>
          </cell>
        </row>
        <row r="481">
          <cell r="B481" t="str">
            <v>YF0004</v>
          </cell>
          <cell r="C481" t="str">
            <v>501B CHURCH ST.</v>
          </cell>
          <cell r="D481" t="str">
            <v>TORONO, ON</v>
          </cell>
          <cell r="E481">
            <v>0</v>
          </cell>
        </row>
        <row r="482">
          <cell r="B482" t="str">
            <v>YF0005</v>
          </cell>
          <cell r="C482" t="str">
            <v>181 BAY STREET</v>
          </cell>
          <cell r="D482" t="str">
            <v>TORONO, ON</v>
          </cell>
          <cell r="E482">
            <v>0</v>
          </cell>
        </row>
        <row r="483">
          <cell r="B483" t="str">
            <v>YF0007</v>
          </cell>
          <cell r="C483" t="str">
            <v>499 MAIN STREET</v>
          </cell>
          <cell r="D483" t="str">
            <v>BRAMPTON, ON</v>
          </cell>
          <cell r="E483">
            <v>0</v>
          </cell>
        </row>
        <row r="484">
          <cell r="B484" t="str">
            <v>YF0009</v>
          </cell>
          <cell r="C484" t="str">
            <v>CONESTOGA MALL</v>
          </cell>
          <cell r="D484" t="str">
            <v>WATERLOO, ON</v>
          </cell>
          <cell r="E484">
            <v>0</v>
          </cell>
        </row>
        <row r="485">
          <cell r="B485" t="str">
            <v>YF0010</v>
          </cell>
          <cell r="C485" t="str">
            <v>5 POINTS MALL 285 TAUNTON RD E</v>
          </cell>
          <cell r="D485" t="str">
            <v>OSHAWA, ON</v>
          </cell>
          <cell r="E485">
            <v>0</v>
          </cell>
        </row>
        <row r="486">
          <cell r="B486" t="str">
            <v>YF0013</v>
          </cell>
          <cell r="C486" t="str">
            <v>419 KING ST.W. UNIT #2250</v>
          </cell>
          <cell r="D486" t="str">
            <v>OSHAWA, ON</v>
          </cell>
          <cell r="E486">
            <v>0</v>
          </cell>
        </row>
        <row r="487">
          <cell r="B487" t="str">
            <v>YF0014</v>
          </cell>
          <cell r="C487" t="str">
            <v>SIMCOE PLACE</v>
          </cell>
          <cell r="D487" t="str">
            <v>TORONO, ON</v>
          </cell>
          <cell r="E487">
            <v>0</v>
          </cell>
        </row>
        <row r="488">
          <cell r="B488" t="str">
            <v>YF0015</v>
          </cell>
          <cell r="C488" t="str">
            <v>2960 KINGSWAY DRIVE</v>
          </cell>
          <cell r="D488" t="str">
            <v>KITCHENER, ON</v>
          </cell>
          <cell r="E488">
            <v>0</v>
          </cell>
        </row>
        <row r="489">
          <cell r="B489" t="str">
            <v>YF0018</v>
          </cell>
          <cell r="C489" t="str">
            <v>6340 YONGE ST.</v>
          </cell>
          <cell r="D489" t="str">
            <v>WILLOWDALE, ON</v>
          </cell>
          <cell r="E489">
            <v>0</v>
          </cell>
        </row>
        <row r="490">
          <cell r="B490" t="str">
            <v>YF0019</v>
          </cell>
          <cell r="C490" t="str">
            <v>9350 YONGE ST., HILLCREST MALL</v>
          </cell>
          <cell r="D490" t="str">
            <v>RICHMOND HILL, ON</v>
          </cell>
          <cell r="E490">
            <v>0</v>
          </cell>
        </row>
        <row r="491">
          <cell r="B491" t="str">
            <v>YF0021</v>
          </cell>
          <cell r="C491" t="str">
            <v>2300 YONGE ST.</v>
          </cell>
          <cell r="D491" t="str">
            <v>TORONO, ON</v>
          </cell>
          <cell r="E491">
            <v>0</v>
          </cell>
        </row>
        <row r="492">
          <cell r="B492" t="str">
            <v>YF0022</v>
          </cell>
          <cell r="C492" t="str">
            <v>100 CITY CENTRE</v>
          </cell>
          <cell r="D492" t="str">
            <v>MISSISSAUGA, ON</v>
          </cell>
          <cell r="E492">
            <v>0</v>
          </cell>
        </row>
        <row r="493">
          <cell r="B493" t="str">
            <v>YF0023</v>
          </cell>
          <cell r="C493" t="str">
            <v xml:space="preserve">355 HESPELER ROAD </v>
          </cell>
          <cell r="D493" t="str">
            <v>CAMBRIDGE,ON</v>
          </cell>
          <cell r="E493">
            <v>0</v>
          </cell>
        </row>
        <row r="494">
          <cell r="B494" t="str">
            <v>YF0024</v>
          </cell>
          <cell r="C494" t="str">
            <v>PICKERING TOWN SQUARE</v>
          </cell>
          <cell r="D494" t="str">
            <v>PICKERING, ON</v>
          </cell>
          <cell r="E494">
            <v>0</v>
          </cell>
        </row>
        <row r="495">
          <cell r="B495" t="str">
            <v>YF0025</v>
          </cell>
          <cell r="C495" t="str">
            <v>1 - 70 EGLINTON SQUARE</v>
          </cell>
          <cell r="D495" t="str">
            <v>TORONTO, ON</v>
          </cell>
          <cell r="E495">
            <v>0</v>
          </cell>
        </row>
        <row r="496">
          <cell r="B496" t="str">
            <v>YF0026</v>
          </cell>
          <cell r="C496" t="str">
            <v>939 LAWRENCE AVE E.</v>
          </cell>
          <cell r="D496" t="str">
            <v>TORONTO, ON</v>
          </cell>
          <cell r="E496">
            <v>0</v>
          </cell>
        </row>
        <row r="497">
          <cell r="B497" t="str">
            <v>YF0027</v>
          </cell>
          <cell r="C497" t="str">
            <v>220 YONGE STREET</v>
          </cell>
          <cell r="D497" t="str">
            <v>TORONTO, ON</v>
          </cell>
          <cell r="E497">
            <v>0</v>
          </cell>
        </row>
        <row r="498">
          <cell r="B498" t="str">
            <v>YF0028</v>
          </cell>
          <cell r="C498" t="str">
            <v>25 PEEL CENTRE DR</v>
          </cell>
          <cell r="D498" t="str">
            <v>BRAMPTON, ON</v>
          </cell>
          <cell r="E498">
            <v>0</v>
          </cell>
        </row>
        <row r="499">
          <cell r="B499" t="str">
            <v>YF0029</v>
          </cell>
          <cell r="E499">
            <v>0</v>
          </cell>
        </row>
        <row r="500">
          <cell r="B500" t="str">
            <v>YF0030</v>
          </cell>
          <cell r="E500">
            <v>0</v>
          </cell>
        </row>
        <row r="501">
          <cell r="B501" t="str">
            <v>YF0031</v>
          </cell>
          <cell r="E501">
            <v>0</v>
          </cell>
        </row>
        <row r="502">
          <cell r="B502" t="str">
            <v>YF0032</v>
          </cell>
          <cell r="E502">
            <v>0</v>
          </cell>
        </row>
        <row r="503">
          <cell r="B503" t="str">
            <v>YF0033</v>
          </cell>
          <cell r="E503">
            <v>0</v>
          </cell>
        </row>
        <row r="504">
          <cell r="B504" t="str">
            <v>YF0034</v>
          </cell>
          <cell r="E504">
            <v>0</v>
          </cell>
        </row>
        <row r="505">
          <cell r="B505" t="str">
            <v>YF0035</v>
          </cell>
          <cell r="E505">
            <v>0</v>
          </cell>
        </row>
        <row r="506">
          <cell r="B506" t="str">
            <v>YF0036</v>
          </cell>
          <cell r="E506">
            <v>0</v>
          </cell>
        </row>
      </sheetData>
      <sheetData sheetId="4">
        <row r="6">
          <cell r="B6" t="str">
            <v>005CSD</v>
          </cell>
          <cell r="C6" t="str">
            <v>2929 DANFORTH AVE.,</v>
          </cell>
          <cell r="D6" t="str">
            <v>TORONTO, ON</v>
          </cell>
          <cell r="E6">
            <v>381231</v>
          </cell>
          <cell r="F6">
            <v>369951</v>
          </cell>
        </row>
        <row r="7">
          <cell r="B7" t="str">
            <v>012CSD</v>
          </cell>
          <cell r="E7">
            <v>0</v>
          </cell>
          <cell r="F7">
            <v>0</v>
          </cell>
        </row>
        <row r="8">
          <cell r="B8" t="str">
            <v>013CSD</v>
          </cell>
          <cell r="C8" t="str">
            <v>313 CHRISTINA ST.N.,</v>
          </cell>
          <cell r="D8" t="str">
            <v>SARNIA, ON</v>
          </cell>
          <cell r="E8">
            <v>165296</v>
          </cell>
          <cell r="F8">
            <v>178223</v>
          </cell>
        </row>
        <row r="9">
          <cell r="B9" t="str">
            <v>034CSD</v>
          </cell>
          <cell r="E9">
            <v>0</v>
          </cell>
          <cell r="F9">
            <v>0</v>
          </cell>
        </row>
        <row r="10">
          <cell r="B10" t="str">
            <v>039CSD</v>
          </cell>
          <cell r="C10" t="str">
            <v>8370 WOODBINE AVE.</v>
          </cell>
          <cell r="D10" t="str">
            <v>MARKHAM, ON</v>
          </cell>
          <cell r="E10">
            <v>287822</v>
          </cell>
          <cell r="F10">
            <v>308929</v>
          </cell>
        </row>
        <row r="11">
          <cell r="B11" t="str">
            <v>051CSD</v>
          </cell>
          <cell r="C11" t="str">
            <v>1708 QUEEN ST.E.,</v>
          </cell>
          <cell r="D11" t="str">
            <v>TORONTO, ON</v>
          </cell>
          <cell r="E11">
            <v>280714</v>
          </cell>
          <cell r="F11">
            <v>260573</v>
          </cell>
        </row>
        <row r="12">
          <cell r="B12" t="str">
            <v>053CSD</v>
          </cell>
          <cell r="C12" t="str">
            <v>524 WILSON HEIGHTS BLVD.</v>
          </cell>
          <cell r="D12" t="str">
            <v>DOWNSVIEW, ON.</v>
          </cell>
          <cell r="E12">
            <v>377125</v>
          </cell>
          <cell r="F12">
            <v>354290</v>
          </cell>
        </row>
        <row r="13">
          <cell r="B13" t="str">
            <v>074CSD</v>
          </cell>
          <cell r="C13" t="str">
            <v>357-359 TRUNK RD.</v>
          </cell>
          <cell r="D13" t="str">
            <v>SAULT STE.MARIE, ON</v>
          </cell>
          <cell r="E13">
            <v>653855</v>
          </cell>
          <cell r="F13">
            <v>504708</v>
          </cell>
        </row>
        <row r="14">
          <cell r="B14" t="str">
            <v>079CSD</v>
          </cell>
          <cell r="C14" t="str">
            <v>1082 CENTRE STREET</v>
          </cell>
          <cell r="D14" t="str">
            <v>THORNHILL, ON</v>
          </cell>
          <cell r="E14">
            <v>346637</v>
          </cell>
          <cell r="F14">
            <v>441561</v>
          </cell>
        </row>
        <row r="15">
          <cell r="B15" t="str">
            <v>081CSD</v>
          </cell>
          <cell r="C15" t="str">
            <v>3748 BATHURST ST.,</v>
          </cell>
          <cell r="D15" t="str">
            <v>DOWNSVIEW, ON</v>
          </cell>
          <cell r="E15">
            <v>617946</v>
          </cell>
          <cell r="F15">
            <v>600476</v>
          </cell>
        </row>
        <row r="16">
          <cell r="B16" t="str">
            <v>096CSD</v>
          </cell>
          <cell r="E16">
            <v>0</v>
          </cell>
          <cell r="F16">
            <v>0</v>
          </cell>
        </row>
        <row r="17">
          <cell r="B17" t="str">
            <v>101CSD</v>
          </cell>
          <cell r="C17" t="str">
            <v>4235 HIGHWAY #7 WEST</v>
          </cell>
          <cell r="D17" t="str">
            <v>WOODBRIDGE, ON</v>
          </cell>
          <cell r="E17">
            <v>439950.42</v>
          </cell>
          <cell r="F17">
            <v>336465</v>
          </cell>
        </row>
        <row r="18">
          <cell r="B18" t="str">
            <v>104CSD</v>
          </cell>
          <cell r="E18">
            <v>0</v>
          </cell>
          <cell r="F18">
            <v>0</v>
          </cell>
        </row>
        <row r="19">
          <cell r="B19" t="str">
            <v>117CSD</v>
          </cell>
          <cell r="E19">
            <v>0</v>
          </cell>
          <cell r="F19">
            <v>0</v>
          </cell>
        </row>
        <row r="20">
          <cell r="B20" t="str">
            <v>121CSD</v>
          </cell>
          <cell r="C20" t="str">
            <v>4681 HIGHWAY #7 EAST</v>
          </cell>
          <cell r="D20" t="str">
            <v>MARKHAM, ON.</v>
          </cell>
          <cell r="E20">
            <v>309412</v>
          </cell>
          <cell r="F20">
            <v>319693</v>
          </cell>
        </row>
        <row r="21">
          <cell r="B21" t="str">
            <v>123CSD</v>
          </cell>
          <cell r="C21" t="str">
            <v>996 CONFEDERATION ST.,</v>
          </cell>
          <cell r="D21" t="str">
            <v>SARNIA ONTARIO</v>
          </cell>
          <cell r="E21">
            <v>209054</v>
          </cell>
          <cell r="F21">
            <v>217189</v>
          </cell>
        </row>
        <row r="22">
          <cell r="B22" t="str">
            <v>134CSD</v>
          </cell>
          <cell r="C22" t="str">
            <v>161A RICHMOND STREET</v>
          </cell>
          <cell r="D22" t="str">
            <v>CHATHAM, ON</v>
          </cell>
          <cell r="E22">
            <v>253130</v>
          </cell>
          <cell r="F22">
            <v>233881</v>
          </cell>
        </row>
        <row r="23">
          <cell r="B23" t="str">
            <v>135CSD</v>
          </cell>
          <cell r="C23" t="str">
            <v>985 EGLINTON AVE. E.,</v>
          </cell>
          <cell r="D23" t="str">
            <v>MISSISSAUGA, ON</v>
          </cell>
          <cell r="E23">
            <v>426157</v>
          </cell>
          <cell r="F23">
            <v>491122</v>
          </cell>
        </row>
        <row r="24">
          <cell r="B24" t="str">
            <v>138CSD</v>
          </cell>
          <cell r="E24">
            <v>0</v>
          </cell>
          <cell r="F24">
            <v>0</v>
          </cell>
        </row>
        <row r="25">
          <cell r="B25" t="str">
            <v>141CSD</v>
          </cell>
          <cell r="C25" t="str">
            <v>320 THICKSON RD. R.R.#1</v>
          </cell>
          <cell r="D25" t="str">
            <v>WHITBY, ON</v>
          </cell>
          <cell r="E25">
            <v>414894</v>
          </cell>
          <cell r="F25">
            <v>404912</v>
          </cell>
        </row>
        <row r="26">
          <cell r="B26" t="str">
            <v>148CSD</v>
          </cell>
          <cell r="E26">
            <v>0</v>
          </cell>
          <cell r="F26">
            <v>0</v>
          </cell>
        </row>
        <row r="27">
          <cell r="B27" t="str">
            <v>149CSD</v>
          </cell>
          <cell r="C27" t="str">
            <v>734 SHEPPARD AVE. EAST,</v>
          </cell>
          <cell r="D27" t="str">
            <v>NORTH YORK, ON.</v>
          </cell>
          <cell r="E27">
            <v>240589</v>
          </cell>
          <cell r="F27">
            <v>227420</v>
          </cell>
        </row>
        <row r="28">
          <cell r="B28" t="str">
            <v>150CSD</v>
          </cell>
          <cell r="C28" t="str">
            <v>4926 BATHURST STREET</v>
          </cell>
          <cell r="D28" t="str">
            <v>TORONTO, ON</v>
          </cell>
          <cell r="E28">
            <v>312555</v>
          </cell>
          <cell r="F28">
            <v>284213</v>
          </cell>
        </row>
        <row r="29">
          <cell r="B29" t="str">
            <v>151CSD</v>
          </cell>
          <cell r="C29" t="str">
            <v>5495 EGLINTON AVE.WEST</v>
          </cell>
          <cell r="D29" t="str">
            <v>ETOBICOKE, ON</v>
          </cell>
          <cell r="E29">
            <v>340552</v>
          </cell>
          <cell r="F29">
            <v>356457</v>
          </cell>
        </row>
        <row r="30">
          <cell r="B30" t="str">
            <v>152CSD</v>
          </cell>
          <cell r="C30" t="str">
            <v>2 EAST BEAVER CREEK RD.</v>
          </cell>
          <cell r="D30" t="str">
            <v>RICHMOND HILL, ON</v>
          </cell>
          <cell r="E30">
            <v>276837</v>
          </cell>
          <cell r="F30">
            <v>272025</v>
          </cell>
        </row>
        <row r="31">
          <cell r="B31" t="str">
            <v>155CSD</v>
          </cell>
          <cell r="C31" t="str">
            <v>575 WEST STREET SOUTH UNIT 5</v>
          </cell>
          <cell r="D31" t="str">
            <v>ORILLIA, ON</v>
          </cell>
          <cell r="E31">
            <v>121961</v>
          </cell>
          <cell r="F31">
            <v>197500</v>
          </cell>
        </row>
        <row r="32">
          <cell r="B32" t="str">
            <v>168CSD</v>
          </cell>
          <cell r="C32" t="str">
            <v>1095 O'CONNOR DRIVE</v>
          </cell>
          <cell r="D32" t="str">
            <v>EAST YORK, ON</v>
          </cell>
          <cell r="E32">
            <v>360387</v>
          </cell>
          <cell r="F32">
            <v>346558</v>
          </cell>
        </row>
        <row r="33">
          <cell r="B33" t="str">
            <v>171CSD</v>
          </cell>
          <cell r="C33" t="str">
            <v>263 QUEEN ST. EAST</v>
          </cell>
          <cell r="D33" t="str">
            <v>BRAMPTON, ON</v>
          </cell>
          <cell r="E33">
            <v>412196</v>
          </cell>
          <cell r="F33">
            <v>398879</v>
          </cell>
        </row>
        <row r="34">
          <cell r="B34" t="str">
            <v>174CSD</v>
          </cell>
          <cell r="E34">
            <v>0</v>
          </cell>
          <cell r="F34">
            <v>0</v>
          </cell>
        </row>
        <row r="35">
          <cell r="B35" t="str">
            <v>180CSD</v>
          </cell>
          <cell r="C35" t="str">
            <v>1812 SCUGOG STREET WEST</v>
          </cell>
          <cell r="D35" t="str">
            <v>PORT PERRY, ON</v>
          </cell>
          <cell r="E35">
            <v>334244</v>
          </cell>
          <cell r="F35">
            <v>325100</v>
          </cell>
        </row>
        <row r="36">
          <cell r="B36" t="str">
            <v>187CSD</v>
          </cell>
          <cell r="C36" t="str">
            <v>64 KING WILLIAM STREET</v>
          </cell>
          <cell r="D36" t="str">
            <v>HUNTSVILLE, ON</v>
          </cell>
          <cell r="E36">
            <v>238261</v>
          </cell>
          <cell r="F36">
            <v>224183</v>
          </cell>
        </row>
        <row r="37">
          <cell r="B37" t="str">
            <v>189CSD</v>
          </cell>
          <cell r="C37" t="str">
            <v>3372 KEELE ST., UNIT F</v>
          </cell>
          <cell r="D37" t="str">
            <v>NORTH YORK, ON</v>
          </cell>
          <cell r="E37">
            <v>372957</v>
          </cell>
          <cell r="F37">
            <v>358150</v>
          </cell>
        </row>
        <row r="38">
          <cell r="B38" t="str">
            <v>190CSD</v>
          </cell>
          <cell r="C38" t="str">
            <v>R.R.#2 KILWORTHY</v>
          </cell>
          <cell r="D38" t="str">
            <v>GRAVENHURST, ON</v>
          </cell>
          <cell r="E38">
            <v>358924</v>
          </cell>
          <cell r="F38">
            <v>318838</v>
          </cell>
        </row>
        <row r="39">
          <cell r="B39" t="str">
            <v>192CSD</v>
          </cell>
          <cell r="C39" t="str">
            <v>861 DUFFERIN AVE.</v>
          </cell>
          <cell r="D39" t="str">
            <v>WALLACEBURG, ON</v>
          </cell>
          <cell r="E39">
            <v>645725</v>
          </cell>
          <cell r="F39">
            <v>611273</v>
          </cell>
        </row>
        <row r="40">
          <cell r="B40" t="str">
            <v>193CSD</v>
          </cell>
          <cell r="C40" t="str">
            <v>92 KING STREET EAST</v>
          </cell>
          <cell r="D40" t="str">
            <v>TORONTO, ON</v>
          </cell>
          <cell r="E40">
            <v>191086</v>
          </cell>
          <cell r="F40">
            <v>219579</v>
          </cell>
        </row>
        <row r="41">
          <cell r="B41" t="str">
            <v>198CSD</v>
          </cell>
          <cell r="E41">
            <v>0</v>
          </cell>
          <cell r="F41">
            <v>0</v>
          </cell>
        </row>
        <row r="42">
          <cell r="B42" t="str">
            <v>199CSD</v>
          </cell>
          <cell r="C42" t="str">
            <v>6585 AIRPORT ROAD</v>
          </cell>
          <cell r="D42" t="str">
            <v>MISSISSAUGA, ON</v>
          </cell>
          <cell r="E42">
            <v>528433.27</v>
          </cell>
          <cell r="F42">
            <v>508589</v>
          </cell>
        </row>
        <row r="43">
          <cell r="B43" t="str">
            <v>201CSD</v>
          </cell>
          <cell r="C43" t="str">
            <v>44 GERRARD ST.W. P.O BOX 2</v>
          </cell>
          <cell r="D43" t="str">
            <v>TORONTO, ON</v>
          </cell>
          <cell r="E43">
            <v>217197</v>
          </cell>
          <cell r="F43">
            <v>207488</v>
          </cell>
        </row>
        <row r="44">
          <cell r="B44" t="str">
            <v>202CSD</v>
          </cell>
          <cell r="C44" t="str">
            <v>606 DIXON RD</v>
          </cell>
          <cell r="D44" t="str">
            <v>ETOBICOKE, ON</v>
          </cell>
          <cell r="E44">
            <v>290027</v>
          </cell>
          <cell r="F44">
            <v>324087</v>
          </cell>
        </row>
        <row r="45">
          <cell r="B45" t="str">
            <v>211CSD</v>
          </cell>
          <cell r="E45">
            <v>0</v>
          </cell>
          <cell r="F45">
            <v>0</v>
          </cell>
        </row>
        <row r="46">
          <cell r="B46" t="str">
            <v>215CSD</v>
          </cell>
          <cell r="C46" t="str">
            <v>4200 SHEPPARD AVE.E.</v>
          </cell>
          <cell r="D46" t="str">
            <v>SCARBOROUGH, ON</v>
          </cell>
          <cell r="E46">
            <v>136282</v>
          </cell>
          <cell r="F46">
            <v>149241</v>
          </cell>
        </row>
        <row r="47">
          <cell r="B47" t="str">
            <v>222CSD</v>
          </cell>
          <cell r="E47">
            <v>0</v>
          </cell>
          <cell r="F47">
            <v>0</v>
          </cell>
        </row>
        <row r="48">
          <cell r="B48" t="str">
            <v>225CSD</v>
          </cell>
          <cell r="C48" t="str">
            <v>432 THE QUEENSWAY SOUTH</v>
          </cell>
          <cell r="D48" t="str">
            <v>KESWICK, ON</v>
          </cell>
          <cell r="E48">
            <v>542245</v>
          </cell>
          <cell r="F48">
            <v>523717</v>
          </cell>
        </row>
        <row r="49">
          <cell r="B49" t="str">
            <v>226CSD</v>
          </cell>
          <cell r="C49" t="str">
            <v>100 KING ST.W.  UNIT #213</v>
          </cell>
          <cell r="D49" t="str">
            <v>HAMILTON, ON</v>
          </cell>
          <cell r="E49">
            <v>257295</v>
          </cell>
          <cell r="F49">
            <v>254632</v>
          </cell>
        </row>
        <row r="50">
          <cell r="B50" t="str">
            <v>236CSD</v>
          </cell>
          <cell r="E50">
            <v>0</v>
          </cell>
          <cell r="F50">
            <v>0</v>
          </cell>
        </row>
        <row r="51">
          <cell r="B51" t="str">
            <v>240CSD</v>
          </cell>
          <cell r="C51" t="str">
            <v>726 KINGSTON ROAD</v>
          </cell>
          <cell r="D51" t="str">
            <v>PICKERING, ON</v>
          </cell>
          <cell r="E51">
            <v>193532</v>
          </cell>
          <cell r="F51">
            <v>190529</v>
          </cell>
        </row>
        <row r="52">
          <cell r="B52" t="str">
            <v>245CSD</v>
          </cell>
          <cell r="C52" t="str">
            <v>1185 REGIONAL ROAD 21, UNIT 1</v>
          </cell>
          <cell r="D52" t="str">
            <v>MANCHESTER, ON</v>
          </cell>
          <cell r="E52">
            <v>521390</v>
          </cell>
          <cell r="F52">
            <v>567178</v>
          </cell>
        </row>
        <row r="53">
          <cell r="B53" t="str">
            <v>246CSD</v>
          </cell>
          <cell r="C53" t="str">
            <v>6035 MCLAUGHLIN ROAD</v>
          </cell>
          <cell r="D53" t="str">
            <v>MISSISSAUGA, ON</v>
          </cell>
          <cell r="E53">
            <v>353223</v>
          </cell>
          <cell r="F53">
            <v>353711</v>
          </cell>
        </row>
        <row r="54">
          <cell r="B54" t="str">
            <v>247CSD</v>
          </cell>
          <cell r="E54">
            <v>0</v>
          </cell>
          <cell r="F54">
            <v>0</v>
          </cell>
        </row>
        <row r="55">
          <cell r="B55" t="str">
            <v>248CSD</v>
          </cell>
          <cell r="C55" t="str">
            <v>630 BURNHAMTHORPE RD.W.</v>
          </cell>
          <cell r="D55" t="str">
            <v>MISSISSAUGA, ON</v>
          </cell>
          <cell r="E55">
            <v>225781</v>
          </cell>
          <cell r="F55">
            <v>223134</v>
          </cell>
        </row>
        <row r="56">
          <cell r="B56" t="str">
            <v>249CSD</v>
          </cell>
          <cell r="C56" t="str">
            <v>104 KING STREET</v>
          </cell>
          <cell r="D56" t="str">
            <v>STONEY CREEK, ON</v>
          </cell>
          <cell r="E56">
            <v>465364</v>
          </cell>
          <cell r="F56">
            <v>384330</v>
          </cell>
        </row>
        <row r="57">
          <cell r="B57" t="str">
            <v>250CSD</v>
          </cell>
          <cell r="C57" t="str">
            <v>2867 ELLESMERE RD. CENTENARY H</v>
          </cell>
          <cell r="D57" t="str">
            <v>SCARBOROUGH, ON</v>
          </cell>
          <cell r="E57">
            <v>490795</v>
          </cell>
          <cell r="F57">
            <v>461969</v>
          </cell>
        </row>
        <row r="58">
          <cell r="B58" t="str">
            <v>252CSD</v>
          </cell>
          <cell r="C58" t="str">
            <v>1050 BROCK RD.</v>
          </cell>
          <cell r="D58" t="str">
            <v>PICKERING, ON</v>
          </cell>
          <cell r="E58">
            <v>315465</v>
          </cell>
          <cell r="F58">
            <v>318864</v>
          </cell>
        </row>
        <row r="59">
          <cell r="B59" t="str">
            <v>255CSD</v>
          </cell>
          <cell r="C59" t="str">
            <v>2040 HWY#11 SOUTH</v>
          </cell>
          <cell r="D59" t="str">
            <v>SHANTY BAY, ON</v>
          </cell>
          <cell r="E59">
            <v>272923</v>
          </cell>
          <cell r="F59">
            <v>0</v>
          </cell>
        </row>
        <row r="60">
          <cell r="B60" t="str">
            <v>257CSD</v>
          </cell>
          <cell r="E60">
            <v>0</v>
          </cell>
          <cell r="F60">
            <v>0</v>
          </cell>
        </row>
        <row r="61">
          <cell r="B61" t="str">
            <v>258CSD</v>
          </cell>
          <cell r="C61" t="str">
            <v>7575-7577 KEELE STREET</v>
          </cell>
          <cell r="D61" t="str">
            <v>CONCORD, ON</v>
          </cell>
          <cell r="E61">
            <v>462283</v>
          </cell>
          <cell r="F61">
            <v>449314</v>
          </cell>
        </row>
        <row r="62">
          <cell r="B62" t="str">
            <v>259CSD</v>
          </cell>
          <cell r="C62" t="str">
            <v>HWY #7 AND KEENE ROAD</v>
          </cell>
          <cell r="D62" t="str">
            <v>PETERBOROUGH, ON</v>
          </cell>
          <cell r="E62">
            <v>771836</v>
          </cell>
          <cell r="F62">
            <v>741738</v>
          </cell>
        </row>
        <row r="63">
          <cell r="B63" t="str">
            <v>260CSD</v>
          </cell>
          <cell r="C63" t="str">
            <v>140 ATHERLY RD.</v>
          </cell>
          <cell r="D63" t="str">
            <v>ORILLIA, ON</v>
          </cell>
          <cell r="E63">
            <v>207972</v>
          </cell>
          <cell r="F63">
            <v>223900</v>
          </cell>
        </row>
        <row r="64">
          <cell r="B64" t="str">
            <v>262CSD</v>
          </cell>
          <cell r="E64">
            <v>0</v>
          </cell>
          <cell r="F64">
            <v>0</v>
          </cell>
        </row>
        <row r="65">
          <cell r="B65" t="str">
            <v>263CSD</v>
          </cell>
          <cell r="C65" t="str">
            <v>10 ST. MARY STREET</v>
          </cell>
          <cell r="D65" t="str">
            <v>TORONTO, ON</v>
          </cell>
          <cell r="E65">
            <v>265915</v>
          </cell>
          <cell r="F65">
            <v>274228</v>
          </cell>
        </row>
        <row r="66">
          <cell r="B66" t="str">
            <v>264CSD</v>
          </cell>
          <cell r="E66">
            <v>0</v>
          </cell>
          <cell r="F66">
            <v>0</v>
          </cell>
        </row>
        <row r="67">
          <cell r="B67" t="str">
            <v>265CSD</v>
          </cell>
          <cell r="C67" t="str">
            <v>65 FRONT STREET WEST</v>
          </cell>
          <cell r="D67" t="str">
            <v>TORONTO, ON</v>
          </cell>
          <cell r="E67">
            <v>168275</v>
          </cell>
          <cell r="F67">
            <v>166818</v>
          </cell>
        </row>
        <row r="68">
          <cell r="B68" t="str">
            <v>267CSD</v>
          </cell>
          <cell r="C68" t="str">
            <v>1550 LANSDOWNE ST.W.</v>
          </cell>
          <cell r="D68" t="str">
            <v>PETERBOROUGH, ON</v>
          </cell>
          <cell r="E68">
            <v>657760</v>
          </cell>
          <cell r="F68">
            <v>639937</v>
          </cell>
        </row>
        <row r="69">
          <cell r="B69" t="str">
            <v>268CSD</v>
          </cell>
          <cell r="E69">
            <v>0</v>
          </cell>
          <cell r="F69">
            <v>0</v>
          </cell>
        </row>
        <row r="70">
          <cell r="B70" t="str">
            <v>269CSD</v>
          </cell>
          <cell r="C70" t="str">
            <v>212 QUEEN STREET</v>
          </cell>
          <cell r="D70" t="str">
            <v>BOLTON, ON</v>
          </cell>
          <cell r="E70">
            <v>342623</v>
          </cell>
          <cell r="F70">
            <v>423373</v>
          </cell>
        </row>
        <row r="71">
          <cell r="B71" t="str">
            <v>271CSD</v>
          </cell>
          <cell r="E71">
            <v>0</v>
          </cell>
          <cell r="F71">
            <v>0</v>
          </cell>
        </row>
        <row r="72">
          <cell r="B72" t="str">
            <v>272CSD</v>
          </cell>
          <cell r="C72" t="str">
            <v>2444 FINCH AVE., W.</v>
          </cell>
          <cell r="D72" t="str">
            <v>NORTH YORK, ON</v>
          </cell>
          <cell r="E72">
            <v>586020</v>
          </cell>
          <cell r="F72">
            <v>567337</v>
          </cell>
        </row>
        <row r="73">
          <cell r="B73" t="str">
            <v>273CSD</v>
          </cell>
          <cell r="C73" t="str">
            <v>7240 WOODBINE AVE.</v>
          </cell>
          <cell r="D73" t="str">
            <v>MARKHAM, ON</v>
          </cell>
          <cell r="E73">
            <v>356467</v>
          </cell>
          <cell r="F73">
            <v>310457</v>
          </cell>
        </row>
        <row r="74">
          <cell r="B74" t="str">
            <v>277CSD</v>
          </cell>
          <cell r="C74" t="str">
            <v>375 FORAN STREET</v>
          </cell>
          <cell r="D74" t="str">
            <v>NORTH BAY, ON</v>
          </cell>
          <cell r="E74">
            <v>419431</v>
          </cell>
          <cell r="F74">
            <v>423399</v>
          </cell>
        </row>
        <row r="75">
          <cell r="B75" t="str">
            <v>281CSD</v>
          </cell>
          <cell r="C75" t="str">
            <v>1737 RICHMOND ST HYLAND CENTRE</v>
          </cell>
          <cell r="D75" t="str">
            <v>LONDON, ON</v>
          </cell>
          <cell r="E75">
            <v>341661</v>
          </cell>
          <cell r="F75">
            <v>330535</v>
          </cell>
        </row>
        <row r="76">
          <cell r="B76" t="str">
            <v>282CSD</v>
          </cell>
          <cell r="C76" t="str">
            <v>14980 YONGE STREET</v>
          </cell>
          <cell r="D76" t="str">
            <v>AURORA, ON</v>
          </cell>
          <cell r="E76">
            <v>457643</v>
          </cell>
          <cell r="F76">
            <v>449704</v>
          </cell>
        </row>
        <row r="77">
          <cell r="B77" t="str">
            <v>283CSD</v>
          </cell>
          <cell r="C77" t="str">
            <v>6255 BATHURST STREET</v>
          </cell>
          <cell r="D77" t="str">
            <v>WILLOWDALE, ON</v>
          </cell>
          <cell r="E77">
            <v>458136</v>
          </cell>
          <cell r="F77">
            <v>407942.08</v>
          </cell>
        </row>
        <row r="78">
          <cell r="B78" t="str">
            <v>284CSD</v>
          </cell>
          <cell r="C78" t="str">
            <v>2037 LONG LAKE ROAD, UNIT #1</v>
          </cell>
          <cell r="D78" t="str">
            <v>SUDBURY, ON</v>
          </cell>
          <cell r="E78">
            <v>318249</v>
          </cell>
          <cell r="F78">
            <v>337372</v>
          </cell>
        </row>
        <row r="79">
          <cell r="B79" t="str">
            <v>285CSD</v>
          </cell>
          <cell r="C79" t="str">
            <v>6555 LUNDY'S LANE</v>
          </cell>
          <cell r="D79" t="str">
            <v>NIAGARA FALLS, ON</v>
          </cell>
          <cell r="E79">
            <v>257957</v>
          </cell>
          <cell r="F79">
            <v>258253</v>
          </cell>
        </row>
        <row r="80">
          <cell r="B80" t="str">
            <v>286CSD</v>
          </cell>
          <cell r="E80">
            <v>0</v>
          </cell>
          <cell r="F80">
            <v>0</v>
          </cell>
        </row>
        <row r="81">
          <cell r="B81" t="str">
            <v>287CSD</v>
          </cell>
          <cell r="C81" t="str">
            <v>1650 DERRY ROAD EAST</v>
          </cell>
          <cell r="D81" t="str">
            <v>MISSISSAUGA, ON</v>
          </cell>
          <cell r="E81">
            <v>326098</v>
          </cell>
          <cell r="F81">
            <v>324145</v>
          </cell>
        </row>
        <row r="82">
          <cell r="B82" t="str">
            <v>288CSD</v>
          </cell>
          <cell r="C82" t="str">
            <v>506 CANATARA COURT</v>
          </cell>
          <cell r="D82" t="str">
            <v>KINGSTON, ON</v>
          </cell>
          <cell r="E82">
            <v>479406</v>
          </cell>
          <cell r="F82">
            <v>427192.06</v>
          </cell>
        </row>
        <row r="83">
          <cell r="B83" t="str">
            <v>289CSD</v>
          </cell>
          <cell r="C83" t="str">
            <v>2118 KING RD.</v>
          </cell>
          <cell r="D83" t="str">
            <v>KING CITY, ON</v>
          </cell>
          <cell r="E83">
            <v>393916</v>
          </cell>
          <cell r="F83">
            <v>395681</v>
          </cell>
        </row>
        <row r="84">
          <cell r="B84" t="str">
            <v>291CSD</v>
          </cell>
          <cell r="E84">
            <v>0</v>
          </cell>
          <cell r="F84">
            <v>0</v>
          </cell>
        </row>
        <row r="85">
          <cell r="B85" t="str">
            <v>305CSD</v>
          </cell>
          <cell r="C85" t="str">
            <v>17740 YONGE STREET NORTH</v>
          </cell>
          <cell r="D85" t="str">
            <v>NEWMARKET, ON</v>
          </cell>
          <cell r="E85">
            <v>96784.36</v>
          </cell>
          <cell r="F85">
            <v>122716.32</v>
          </cell>
        </row>
        <row r="86">
          <cell r="B86" t="str">
            <v>306CSD</v>
          </cell>
          <cell r="C86" t="str">
            <v>1333 WILSON ROAD NORTH</v>
          </cell>
          <cell r="D86" t="str">
            <v>OSHAWA, ON</v>
          </cell>
          <cell r="E86">
            <v>77336.149999999994</v>
          </cell>
          <cell r="F86">
            <v>85346</v>
          </cell>
        </row>
        <row r="87">
          <cell r="B87" t="str">
            <v>309CSD</v>
          </cell>
          <cell r="C87" t="str">
            <v>6355 YONGE STREET</v>
          </cell>
          <cell r="D87" t="str">
            <v>NORTH YORK, ON</v>
          </cell>
          <cell r="E87">
            <v>604917</v>
          </cell>
          <cell r="F87">
            <v>602361</v>
          </cell>
        </row>
        <row r="88">
          <cell r="B88" t="str">
            <v>310CSD</v>
          </cell>
          <cell r="C88" t="str">
            <v>2011 HWY 11 SOUTH</v>
          </cell>
          <cell r="D88" t="str">
            <v>GRAVENHURST, ON</v>
          </cell>
          <cell r="E88">
            <v>307990</v>
          </cell>
          <cell r="F88">
            <v>272994</v>
          </cell>
        </row>
        <row r="89">
          <cell r="B89" t="str">
            <v>313CSD</v>
          </cell>
          <cell r="C89" t="str">
            <v>900 MONTREAL STREET</v>
          </cell>
          <cell r="D89" t="str">
            <v>KINGSTON, ON</v>
          </cell>
          <cell r="E89">
            <v>691747</v>
          </cell>
          <cell r="F89">
            <v>591081</v>
          </cell>
        </row>
        <row r="90">
          <cell r="B90" t="str">
            <v>314CSD</v>
          </cell>
          <cell r="C90" t="str">
            <v>1250 MAIN STREET</v>
          </cell>
          <cell r="D90" t="str">
            <v>STITTSVILLE, ON</v>
          </cell>
          <cell r="E90">
            <v>299895</v>
          </cell>
          <cell r="F90">
            <v>322606</v>
          </cell>
        </row>
        <row r="91">
          <cell r="B91" t="str">
            <v>315CSD</v>
          </cell>
          <cell r="E91">
            <v>0</v>
          </cell>
          <cell r="F91">
            <v>0</v>
          </cell>
        </row>
        <row r="92">
          <cell r="B92" t="str">
            <v>316CSD</v>
          </cell>
          <cell r="C92" t="str">
            <v>603 DAVENPORT RD.</v>
          </cell>
          <cell r="D92" t="str">
            <v>TORONTO, ON</v>
          </cell>
          <cell r="E92">
            <v>343509</v>
          </cell>
          <cell r="F92">
            <v>341640</v>
          </cell>
        </row>
        <row r="93">
          <cell r="B93" t="str">
            <v>319CSD</v>
          </cell>
          <cell r="E93">
            <v>0</v>
          </cell>
          <cell r="F93">
            <v>0</v>
          </cell>
        </row>
        <row r="94">
          <cell r="B94" t="str">
            <v>325CSD</v>
          </cell>
          <cell r="E94">
            <v>0</v>
          </cell>
          <cell r="F94">
            <v>0</v>
          </cell>
        </row>
        <row r="95">
          <cell r="B95" t="str">
            <v>326CSD</v>
          </cell>
          <cell r="C95" t="str">
            <v>3005 HWY 35 &amp; 115</v>
          </cell>
          <cell r="D95" t="str">
            <v>NEWCASTLE, ON</v>
          </cell>
          <cell r="E95">
            <v>692137</v>
          </cell>
          <cell r="F95">
            <v>658517.71</v>
          </cell>
        </row>
        <row r="96">
          <cell r="B96" t="str">
            <v>327CSD</v>
          </cell>
          <cell r="E96">
            <v>0</v>
          </cell>
          <cell r="F96">
            <v>0</v>
          </cell>
        </row>
        <row r="97">
          <cell r="B97" t="str">
            <v>329CSD</v>
          </cell>
          <cell r="C97" t="str">
            <v>1326 SIMCOE ST.N.</v>
          </cell>
          <cell r="D97" t="str">
            <v>OSHAWA, ON</v>
          </cell>
          <cell r="E97">
            <v>379499</v>
          </cell>
          <cell r="F97">
            <v>419668</v>
          </cell>
        </row>
        <row r="98">
          <cell r="B98" t="str">
            <v>330CSD</v>
          </cell>
          <cell r="C98" t="str">
            <v>205 ADVANCE BLVD.</v>
          </cell>
          <cell r="D98" t="str">
            <v>BRAMPTON, ON</v>
          </cell>
          <cell r="E98">
            <v>510394</v>
          </cell>
          <cell r="F98">
            <v>535482</v>
          </cell>
        </row>
        <row r="99">
          <cell r="B99" t="str">
            <v>331CSD</v>
          </cell>
          <cell r="C99" t="str">
            <v>6415 DIXIE RD. (ESSO STATION)</v>
          </cell>
          <cell r="D99" t="str">
            <v>MISSISSAUGA, ON</v>
          </cell>
          <cell r="E99">
            <v>100065</v>
          </cell>
          <cell r="F99">
            <v>103684</v>
          </cell>
        </row>
        <row r="100">
          <cell r="B100" t="str">
            <v>332CSD</v>
          </cell>
          <cell r="C100" t="str">
            <v>GEN.DEL,HWY 17 E &amp; INDUSTRIAL</v>
          </cell>
          <cell r="D100" t="str">
            <v>BLIND RIVER, ON</v>
          </cell>
          <cell r="E100">
            <v>265536</v>
          </cell>
          <cell r="F100">
            <v>273712</v>
          </cell>
        </row>
        <row r="101">
          <cell r="B101" t="str">
            <v>333CSD</v>
          </cell>
          <cell r="C101" t="str">
            <v>11108 YONGE STREET</v>
          </cell>
          <cell r="D101" t="str">
            <v>RICHMOND HILL, ON</v>
          </cell>
          <cell r="E101">
            <v>565418</v>
          </cell>
          <cell r="F101">
            <v>539239</v>
          </cell>
        </row>
        <row r="102">
          <cell r="B102" t="str">
            <v>335CSD</v>
          </cell>
          <cell r="C102" t="str">
            <v>107 QUEEN STREET</v>
          </cell>
          <cell r="D102" t="str">
            <v>LAKEFIELD, ON</v>
          </cell>
          <cell r="E102">
            <v>309674</v>
          </cell>
          <cell r="F102">
            <v>320529</v>
          </cell>
        </row>
        <row r="103">
          <cell r="B103" t="str">
            <v>336CSD</v>
          </cell>
          <cell r="C103" t="str">
            <v>1 INDUSTRIAL PARKWAY</v>
          </cell>
          <cell r="D103" t="str">
            <v>AURORA, ON</v>
          </cell>
          <cell r="E103">
            <v>348288</v>
          </cell>
          <cell r="F103">
            <v>362501</v>
          </cell>
        </row>
        <row r="104">
          <cell r="B104" t="str">
            <v>337CSD</v>
          </cell>
          <cell r="C104" t="str">
            <v>1401A SEYMOUR STREET</v>
          </cell>
          <cell r="D104" t="str">
            <v>NORTH BAY, ON</v>
          </cell>
          <cell r="E104">
            <v>445034</v>
          </cell>
          <cell r="F104">
            <v>459348</v>
          </cell>
        </row>
        <row r="105">
          <cell r="B105" t="str">
            <v>338CSD</v>
          </cell>
          <cell r="C105" t="str">
            <v>799 YORK MILLS ROAD</v>
          </cell>
          <cell r="D105" t="str">
            <v>NORTH YORK, ON</v>
          </cell>
          <cell r="E105">
            <v>316743.15000000002</v>
          </cell>
          <cell r="F105">
            <v>323702</v>
          </cell>
        </row>
        <row r="106">
          <cell r="B106" t="str">
            <v>339CSD</v>
          </cell>
          <cell r="C106" t="str">
            <v>2387 KINGSTON ROAD</v>
          </cell>
          <cell r="D106" t="str">
            <v>SCARBOROUGH, ON</v>
          </cell>
          <cell r="E106">
            <v>372908</v>
          </cell>
          <cell r="F106">
            <v>366309</v>
          </cell>
        </row>
        <row r="107">
          <cell r="B107" t="str">
            <v>340CSD</v>
          </cell>
          <cell r="C107" t="str">
            <v>9218 YONGE STREET</v>
          </cell>
          <cell r="D107" t="str">
            <v>RICHMOND HILL , ON</v>
          </cell>
          <cell r="E107">
            <v>516886.81</v>
          </cell>
          <cell r="F107">
            <v>522108</v>
          </cell>
        </row>
        <row r="108">
          <cell r="B108" t="str">
            <v>341CSD</v>
          </cell>
          <cell r="C108" t="str">
            <v>24398 WOODBINE AVENUE</v>
          </cell>
          <cell r="D108" t="str">
            <v>KESWICK, ON</v>
          </cell>
          <cell r="E108">
            <v>424038</v>
          </cell>
          <cell r="F108">
            <v>423407</v>
          </cell>
        </row>
        <row r="109">
          <cell r="B109" t="str">
            <v>342CSD</v>
          </cell>
          <cell r="E109">
            <v>0</v>
          </cell>
          <cell r="F109">
            <v>0</v>
          </cell>
        </row>
        <row r="110">
          <cell r="B110" t="str">
            <v>347CSD</v>
          </cell>
          <cell r="C110" t="str">
            <v>396 HOLLAND ST.W. P.O.BOX 407</v>
          </cell>
          <cell r="D110" t="str">
            <v>BRADFORD, ON</v>
          </cell>
          <cell r="E110">
            <v>494989</v>
          </cell>
          <cell r="F110">
            <v>457454</v>
          </cell>
        </row>
        <row r="111">
          <cell r="B111" t="str">
            <v>348CSD</v>
          </cell>
          <cell r="C111" t="str">
            <v>371 LORNE STREET</v>
          </cell>
          <cell r="D111" t="str">
            <v>SUDBURY, ON</v>
          </cell>
          <cell r="E111">
            <v>472225</v>
          </cell>
          <cell r="F111">
            <v>444922</v>
          </cell>
        </row>
        <row r="112">
          <cell r="B112" t="str">
            <v>349CSD</v>
          </cell>
          <cell r="C112" t="str">
            <v>821 DIVISION STREET</v>
          </cell>
          <cell r="D112" t="str">
            <v>COBOURG, ON</v>
          </cell>
          <cell r="E112">
            <v>504203</v>
          </cell>
          <cell r="F112">
            <v>462224</v>
          </cell>
        </row>
        <row r="113">
          <cell r="B113" t="str">
            <v>350CSD</v>
          </cell>
          <cell r="C113" t="str">
            <v>197 GEORGE STREET NORTH</v>
          </cell>
          <cell r="D113" t="str">
            <v>PETERBOROUGH, ON</v>
          </cell>
          <cell r="E113">
            <v>228623</v>
          </cell>
          <cell r="F113">
            <v>257206</v>
          </cell>
        </row>
        <row r="114">
          <cell r="B114" t="str">
            <v>351CSD</v>
          </cell>
          <cell r="C114" t="str">
            <v>1735 KIPLING AVENUE</v>
          </cell>
          <cell r="D114" t="str">
            <v>ETOBICOKE, ON</v>
          </cell>
          <cell r="E114">
            <v>411339</v>
          </cell>
          <cell r="F114">
            <v>378203</v>
          </cell>
        </row>
        <row r="115">
          <cell r="B115" t="str">
            <v>353CSD</v>
          </cell>
          <cell r="C115" t="str">
            <v>2050B VICTORIA PARK AVENUE</v>
          </cell>
          <cell r="D115" t="str">
            <v>NORTH YORK, ON</v>
          </cell>
          <cell r="E115">
            <v>351067</v>
          </cell>
          <cell r="F115">
            <v>353430</v>
          </cell>
        </row>
        <row r="116">
          <cell r="B116" t="str">
            <v>354CSD</v>
          </cell>
          <cell r="C116" t="str">
            <v>131 TIFFIN STREET EAST</v>
          </cell>
          <cell r="D116" t="str">
            <v>BARRIE, ON</v>
          </cell>
          <cell r="E116">
            <v>499999</v>
          </cell>
          <cell r="F116">
            <v>446643</v>
          </cell>
        </row>
        <row r="117">
          <cell r="B117" t="str">
            <v>356CSD</v>
          </cell>
          <cell r="C117" t="str">
            <v>2512 JANE STREET</v>
          </cell>
          <cell r="D117" t="str">
            <v>NORTH YORK, ON</v>
          </cell>
          <cell r="E117">
            <v>573448</v>
          </cell>
          <cell r="F117">
            <v>507448</v>
          </cell>
        </row>
        <row r="118">
          <cell r="B118" t="str">
            <v>358CSD</v>
          </cell>
          <cell r="C118" t="str">
            <v>HWY 11 NORTHBOUND &amp; 2ND LINE</v>
          </cell>
          <cell r="D118" t="str">
            <v>SHANTY BAY, ON</v>
          </cell>
          <cell r="E118">
            <v>384792</v>
          </cell>
          <cell r="F118">
            <v>362722</v>
          </cell>
        </row>
        <row r="119">
          <cell r="B119" t="str">
            <v>361CSD</v>
          </cell>
          <cell r="C119" t="str">
            <v>2781 DUFFERIN ST.</v>
          </cell>
          <cell r="D119" t="str">
            <v>NORTH YORK, ON</v>
          </cell>
          <cell r="E119">
            <v>540608</v>
          </cell>
          <cell r="F119">
            <v>531811</v>
          </cell>
        </row>
        <row r="120">
          <cell r="B120" t="str">
            <v>363CSD</v>
          </cell>
          <cell r="C120" t="str">
            <v>1 RICHMOND BOULEVARD</v>
          </cell>
          <cell r="D120" t="str">
            <v>NAPANEE, ON</v>
          </cell>
          <cell r="E120">
            <v>581506</v>
          </cell>
          <cell r="F120">
            <v>534031</v>
          </cell>
        </row>
        <row r="121">
          <cell r="B121" t="str">
            <v>364CSD</v>
          </cell>
          <cell r="C121" t="str">
            <v>66 OVERLEA BLVD.</v>
          </cell>
          <cell r="D121" t="str">
            <v>EAST YORK, ON</v>
          </cell>
          <cell r="E121">
            <v>339600</v>
          </cell>
          <cell r="F121">
            <v>348988</v>
          </cell>
        </row>
        <row r="122">
          <cell r="B122" t="str">
            <v>365CSD</v>
          </cell>
          <cell r="C122" t="str">
            <v>1160 HIGHBURY AVENUE</v>
          </cell>
          <cell r="D122" t="str">
            <v>LONDON, ON</v>
          </cell>
          <cell r="E122">
            <v>273684</v>
          </cell>
          <cell r="F122">
            <v>273710</v>
          </cell>
        </row>
        <row r="123">
          <cell r="B123" t="str">
            <v>367CSD</v>
          </cell>
          <cell r="C123" t="str">
            <v>1387 EAST 41ST STREET</v>
          </cell>
          <cell r="D123" t="str">
            <v>VANCOUVER, B.C.</v>
          </cell>
          <cell r="E123">
            <v>0</v>
          </cell>
          <cell r="F123">
            <v>0</v>
          </cell>
        </row>
        <row r="124">
          <cell r="B124" t="str">
            <v>369CSD</v>
          </cell>
          <cell r="C124" t="str">
            <v>288 BLOOR ST.WEST</v>
          </cell>
          <cell r="D124" t="str">
            <v>OSHAWA, ON</v>
          </cell>
          <cell r="E124">
            <v>491449</v>
          </cell>
          <cell r="F124">
            <v>475613</v>
          </cell>
        </row>
        <row r="125">
          <cell r="B125" t="str">
            <v>372CSD</v>
          </cell>
          <cell r="C125" t="str">
            <v>2281 KIPLING AVENUE</v>
          </cell>
          <cell r="D125" t="str">
            <v>ETOBICOKE, ON</v>
          </cell>
          <cell r="E125">
            <v>640811</v>
          </cell>
          <cell r="F125">
            <v>527315</v>
          </cell>
        </row>
        <row r="126">
          <cell r="B126" t="str">
            <v>373CSD</v>
          </cell>
          <cell r="C126" t="str">
            <v>828 CHEMONG ROAD</v>
          </cell>
          <cell r="D126" t="str">
            <v>PETERBOROUGH, ON</v>
          </cell>
          <cell r="E126">
            <v>66045</v>
          </cell>
          <cell r="F126">
            <v>57000</v>
          </cell>
        </row>
        <row r="127">
          <cell r="B127" t="str">
            <v>375CSD</v>
          </cell>
          <cell r="E127">
            <v>0</v>
          </cell>
          <cell r="F127">
            <v>0</v>
          </cell>
        </row>
        <row r="128">
          <cell r="B128" t="str">
            <v>376CSD</v>
          </cell>
          <cell r="C128" t="str">
            <v>5964 HIGHWAY #9</v>
          </cell>
          <cell r="D128" t="str">
            <v>NEW TECUMSETH, ON</v>
          </cell>
          <cell r="E128">
            <v>567008</v>
          </cell>
          <cell r="F128">
            <v>509303.53</v>
          </cell>
        </row>
        <row r="129">
          <cell r="B129" t="str">
            <v>380CSD</v>
          </cell>
          <cell r="C129" t="str">
            <v>590 KEELE ST.</v>
          </cell>
          <cell r="D129" t="str">
            <v>TORONTO, ON</v>
          </cell>
          <cell r="E129">
            <v>542862</v>
          </cell>
          <cell r="F129">
            <v>496930</v>
          </cell>
        </row>
        <row r="130">
          <cell r="B130" t="str">
            <v>381CSD</v>
          </cell>
          <cell r="C130" t="str">
            <v>554 LANSDOWNE ST., W.</v>
          </cell>
          <cell r="D130" t="str">
            <v>PETERBOROUGH, ON</v>
          </cell>
          <cell r="E130">
            <v>329486</v>
          </cell>
          <cell r="F130">
            <v>316093</v>
          </cell>
        </row>
        <row r="131">
          <cell r="B131" t="str">
            <v>383CSD</v>
          </cell>
          <cell r="C131" t="str">
            <v>120 BRICKYARD WAY, BLDG C</v>
          </cell>
          <cell r="D131" t="str">
            <v>BRAMPTON, ON</v>
          </cell>
          <cell r="E131">
            <v>416068.44</v>
          </cell>
          <cell r="F131">
            <v>401540</v>
          </cell>
        </row>
        <row r="132">
          <cell r="B132" t="str">
            <v>384CSD</v>
          </cell>
          <cell r="C132" t="str">
            <v>1465 AEROWOOD DRIVE</v>
          </cell>
          <cell r="D132" t="str">
            <v>MISSISSAUGA, ON</v>
          </cell>
          <cell r="E132">
            <v>536905</v>
          </cell>
          <cell r="F132">
            <v>548421</v>
          </cell>
        </row>
        <row r="133">
          <cell r="B133" t="str">
            <v>385CSD</v>
          </cell>
          <cell r="C133" t="str">
            <v>1585 WARDEN AVENUE</v>
          </cell>
          <cell r="D133" t="str">
            <v>SCARBOROUGH, ON</v>
          </cell>
          <cell r="E133">
            <v>414590</v>
          </cell>
          <cell r="F133">
            <v>370620</v>
          </cell>
        </row>
        <row r="134">
          <cell r="B134" t="str">
            <v>386CSD</v>
          </cell>
          <cell r="C134" t="str">
            <v>537 HESPELER ROAD</v>
          </cell>
          <cell r="D134" t="str">
            <v>CAMBRIDGE, ON</v>
          </cell>
          <cell r="E134">
            <v>236523</v>
          </cell>
          <cell r="F134">
            <v>209706</v>
          </cell>
        </row>
        <row r="135">
          <cell r="B135" t="str">
            <v>387CSD</v>
          </cell>
          <cell r="C135" t="str">
            <v>334 DUNDAS ST.E.</v>
          </cell>
          <cell r="D135" t="str">
            <v>MISSISSAUGA, ON</v>
          </cell>
          <cell r="E135">
            <v>422556</v>
          </cell>
          <cell r="F135">
            <v>387739</v>
          </cell>
        </row>
        <row r="136">
          <cell r="B136" t="str">
            <v>389CSD</v>
          </cell>
          <cell r="E136">
            <v>0</v>
          </cell>
          <cell r="F136">
            <v>0</v>
          </cell>
        </row>
        <row r="137">
          <cell r="B137" t="str">
            <v>392CSD</v>
          </cell>
          <cell r="C137" t="str">
            <v>929 QUEEN ST.E.</v>
          </cell>
          <cell r="D137" t="str">
            <v>TORONTO, ON</v>
          </cell>
          <cell r="E137">
            <v>299110</v>
          </cell>
          <cell r="F137">
            <v>288035</v>
          </cell>
        </row>
        <row r="138">
          <cell r="B138" t="str">
            <v>393CSD</v>
          </cell>
          <cell r="C138" t="str">
            <v>204 HAMILTON RD.</v>
          </cell>
          <cell r="D138" t="str">
            <v>LONDON, ON</v>
          </cell>
          <cell r="E138">
            <v>435609.15</v>
          </cell>
          <cell r="F138">
            <v>467974</v>
          </cell>
        </row>
        <row r="139">
          <cell r="B139" t="str">
            <v>394CSD</v>
          </cell>
          <cell r="C139" t="str">
            <v>210 PINEBUSH ROAD</v>
          </cell>
          <cell r="D139" t="str">
            <v>CAMBRIDGE, ON</v>
          </cell>
          <cell r="E139">
            <v>246998</v>
          </cell>
          <cell r="F139">
            <v>199710</v>
          </cell>
        </row>
        <row r="140">
          <cell r="B140" t="str">
            <v>395CSD</v>
          </cell>
          <cell r="C140" t="str">
            <v>960 DUNDAS STREET WEST</v>
          </cell>
          <cell r="D140" t="str">
            <v>WHITBY, ON</v>
          </cell>
          <cell r="E140">
            <v>364868</v>
          </cell>
          <cell r="F140">
            <v>390059</v>
          </cell>
        </row>
        <row r="141">
          <cell r="B141" t="str">
            <v>396CSD</v>
          </cell>
          <cell r="C141" t="str">
            <v>11 JACOB KEFFER PARKWAY</v>
          </cell>
          <cell r="D141" t="str">
            <v>VAUGHAN, ON</v>
          </cell>
          <cell r="E141">
            <v>335682</v>
          </cell>
          <cell r="F141">
            <v>348753</v>
          </cell>
        </row>
        <row r="142">
          <cell r="B142" t="str">
            <v>399CSD</v>
          </cell>
          <cell r="C142" t="str">
            <v>362 LAKESHORE ROAD EAST</v>
          </cell>
          <cell r="D142" t="str">
            <v>MISSISSAUGA, ON</v>
          </cell>
          <cell r="E142">
            <v>356647</v>
          </cell>
          <cell r="F142">
            <v>336039</v>
          </cell>
        </row>
        <row r="143">
          <cell r="B143" t="str">
            <v>400BMB</v>
          </cell>
          <cell r="C143" t="str">
            <v>3-32905 VENTURA AVENUE</v>
          </cell>
          <cell r="D143" t="str">
            <v>ABBOTSFORD, B.C.</v>
          </cell>
          <cell r="E143">
            <v>196406</v>
          </cell>
          <cell r="F143">
            <v>217036</v>
          </cell>
        </row>
        <row r="144">
          <cell r="B144" t="str">
            <v>400CSD</v>
          </cell>
          <cell r="C144" t="str">
            <v>1156-58 KENNEDY ROAD</v>
          </cell>
          <cell r="D144" t="str">
            <v>SCARBOROUGH, ON</v>
          </cell>
          <cell r="E144">
            <v>409209</v>
          </cell>
          <cell r="F144">
            <v>380577</v>
          </cell>
        </row>
        <row r="145">
          <cell r="B145" t="str">
            <v>401BMB</v>
          </cell>
          <cell r="C145" t="str">
            <v>96 VICTORIA STREET</v>
          </cell>
          <cell r="D145" t="str">
            <v>BARRIE, ON</v>
          </cell>
          <cell r="E145">
            <v>682396</v>
          </cell>
          <cell r="F145">
            <v>647839</v>
          </cell>
        </row>
        <row r="146">
          <cell r="B146" t="str">
            <v>402BMB</v>
          </cell>
          <cell r="E146">
            <v>0</v>
          </cell>
          <cell r="F146">
            <v>0</v>
          </cell>
        </row>
        <row r="147">
          <cell r="B147" t="str">
            <v>402CSD</v>
          </cell>
          <cell r="C147" t="str">
            <v>1146 VICTORIA ST.RR1GEN.DEL'V'</v>
          </cell>
          <cell r="D147" t="str">
            <v>ROSSEAU, ON</v>
          </cell>
          <cell r="E147">
            <v>0</v>
          </cell>
          <cell r="F147">
            <v>0</v>
          </cell>
        </row>
        <row r="148">
          <cell r="B148" t="str">
            <v>403BMB</v>
          </cell>
          <cell r="E148">
            <v>0</v>
          </cell>
          <cell r="F148">
            <v>0</v>
          </cell>
        </row>
        <row r="149">
          <cell r="B149" t="str">
            <v>404CSD</v>
          </cell>
          <cell r="C149" t="str">
            <v>1620 BIRCHMOUNT ROAD</v>
          </cell>
          <cell r="D149" t="str">
            <v>SCARBOROUGH, ON</v>
          </cell>
          <cell r="E149">
            <v>289778</v>
          </cell>
          <cell r="F149">
            <v>270203</v>
          </cell>
        </row>
        <row r="150">
          <cell r="B150" t="str">
            <v>406CSD</v>
          </cell>
          <cell r="C150" t="str">
            <v>490 BAYFIELD ST. NORTH</v>
          </cell>
          <cell r="D150" t="str">
            <v>BARRIE, ON</v>
          </cell>
          <cell r="E150">
            <v>314288</v>
          </cell>
          <cell r="F150">
            <v>284077</v>
          </cell>
        </row>
        <row r="151">
          <cell r="B151" t="str">
            <v>407BMB</v>
          </cell>
          <cell r="C151" t="str">
            <v>7832-6TH STREET</v>
          </cell>
          <cell r="D151" t="str">
            <v>BURNABY, B.C.</v>
          </cell>
          <cell r="E151">
            <v>277679</v>
          </cell>
          <cell r="F151">
            <v>306293</v>
          </cell>
        </row>
        <row r="152">
          <cell r="B152" t="str">
            <v>408BMB</v>
          </cell>
          <cell r="E152">
            <v>0</v>
          </cell>
          <cell r="F152">
            <v>0</v>
          </cell>
        </row>
        <row r="153">
          <cell r="B153" t="str">
            <v>409CSD</v>
          </cell>
          <cell r="E153">
            <v>0</v>
          </cell>
          <cell r="F153">
            <v>0</v>
          </cell>
        </row>
        <row r="154">
          <cell r="B154" t="str">
            <v>410CSD</v>
          </cell>
          <cell r="E154">
            <v>0</v>
          </cell>
          <cell r="F154">
            <v>0</v>
          </cell>
        </row>
        <row r="155">
          <cell r="B155" t="str">
            <v>411CSD</v>
          </cell>
          <cell r="C155" t="str">
            <v>304 TORONTO STREET SOUTH</v>
          </cell>
          <cell r="D155" t="str">
            <v>UXBRIDGE, ON</v>
          </cell>
          <cell r="E155">
            <v>465769</v>
          </cell>
          <cell r="F155">
            <v>403550</v>
          </cell>
        </row>
        <row r="156">
          <cell r="B156" t="str">
            <v>413BMB</v>
          </cell>
          <cell r="C156" t="str">
            <v>46 WELLINGTON ST.W.</v>
          </cell>
          <cell r="D156" t="str">
            <v>CHATHAM, ON</v>
          </cell>
          <cell r="E156">
            <v>341543</v>
          </cell>
          <cell r="F156">
            <v>347044</v>
          </cell>
        </row>
        <row r="157">
          <cell r="B157" t="str">
            <v>413CSD</v>
          </cell>
          <cell r="C157" t="str">
            <v>28 BRIDGE STREET</v>
          </cell>
          <cell r="D157" t="str">
            <v>BRADFORD, ON</v>
          </cell>
          <cell r="E157">
            <v>319179</v>
          </cell>
          <cell r="F157">
            <v>304489</v>
          </cell>
        </row>
        <row r="158">
          <cell r="B158" t="str">
            <v>414CSD</v>
          </cell>
          <cell r="C158" t="str">
            <v>598 ONTARIO STREET SOUTH</v>
          </cell>
          <cell r="D158" t="str">
            <v>MILTON, ON</v>
          </cell>
          <cell r="E158">
            <v>271165</v>
          </cell>
          <cell r="F158">
            <v>248835</v>
          </cell>
        </row>
        <row r="159">
          <cell r="B159" t="str">
            <v>415BMB</v>
          </cell>
          <cell r="C159" t="str">
            <v>726 ONTARIO STREET</v>
          </cell>
          <cell r="D159" t="str">
            <v>COBOURG, ON</v>
          </cell>
          <cell r="E159">
            <v>39043</v>
          </cell>
          <cell r="F159">
            <v>52812</v>
          </cell>
        </row>
        <row r="160">
          <cell r="B160" t="str">
            <v>417BMB</v>
          </cell>
          <cell r="C160" t="str">
            <v>#107-2071 KINGSWAY</v>
          </cell>
          <cell r="D160" t="str">
            <v>PORT COQUITLAM, B.C.</v>
          </cell>
          <cell r="E160">
            <v>254252</v>
          </cell>
          <cell r="F160">
            <v>257865</v>
          </cell>
        </row>
        <row r="161">
          <cell r="B161" t="str">
            <v>417CSD</v>
          </cell>
          <cell r="C161" t="str">
            <v>681 CHRISLEA ROAD</v>
          </cell>
          <cell r="D161" t="str">
            <v>VAUGHAN, ON</v>
          </cell>
          <cell r="E161">
            <v>743231</v>
          </cell>
          <cell r="F161">
            <v>659423</v>
          </cell>
        </row>
        <row r="162">
          <cell r="B162" t="str">
            <v>418BMB</v>
          </cell>
          <cell r="C162" t="str">
            <v>900 PITT STREET</v>
          </cell>
          <cell r="D162" t="str">
            <v>CORNWALL, ON</v>
          </cell>
          <cell r="E162">
            <v>247051</v>
          </cell>
          <cell r="F162">
            <v>239989</v>
          </cell>
        </row>
        <row r="163">
          <cell r="B163" t="str">
            <v>418CSD</v>
          </cell>
          <cell r="C163" t="str">
            <v>169-C FRONT STREET</v>
          </cell>
          <cell r="D163" t="str">
            <v>STURGEON FALLS, ON</v>
          </cell>
          <cell r="E163">
            <v>321992.09999999998</v>
          </cell>
          <cell r="F163">
            <v>258334</v>
          </cell>
        </row>
        <row r="164">
          <cell r="B164" t="str">
            <v>419BMB</v>
          </cell>
          <cell r="C164" t="str">
            <v>445-10TH ST.</v>
          </cell>
          <cell r="D164" t="str">
            <v>COURTENAY, B.C.</v>
          </cell>
          <cell r="E164">
            <v>371177</v>
          </cell>
          <cell r="F164">
            <v>404757</v>
          </cell>
        </row>
        <row r="165">
          <cell r="B165" t="str">
            <v>420BMB</v>
          </cell>
          <cell r="C165" t="str">
            <v>216 SLATER ROAD N.W.</v>
          </cell>
          <cell r="D165" t="str">
            <v>CRANBROOK, B.C.</v>
          </cell>
          <cell r="E165">
            <v>164365</v>
          </cell>
          <cell r="F165">
            <v>175485</v>
          </cell>
        </row>
        <row r="166">
          <cell r="B166" t="str">
            <v>420CSD</v>
          </cell>
          <cell r="C166" t="str">
            <v>5401 STEELES AVE., WEST</v>
          </cell>
          <cell r="D166" t="str">
            <v>TORONTO, ON</v>
          </cell>
          <cell r="E166">
            <v>294188</v>
          </cell>
          <cell r="F166">
            <v>285533</v>
          </cell>
        </row>
        <row r="167">
          <cell r="B167" t="str">
            <v>421BMB</v>
          </cell>
          <cell r="C167" t="str">
            <v>#3-11161 -84TH AVENUE</v>
          </cell>
          <cell r="D167" t="str">
            <v>DELTA, B.C.</v>
          </cell>
          <cell r="E167">
            <v>73626</v>
          </cell>
          <cell r="F167">
            <v>90355</v>
          </cell>
        </row>
        <row r="168">
          <cell r="B168" t="str">
            <v>421CSD</v>
          </cell>
          <cell r="C168" t="str">
            <v>1681 WILSON AVE.</v>
          </cell>
          <cell r="D168" t="str">
            <v>TORONTO, ON</v>
          </cell>
          <cell r="E168">
            <v>420648</v>
          </cell>
          <cell r="F168">
            <v>358200</v>
          </cell>
        </row>
        <row r="169">
          <cell r="B169" t="str">
            <v>422BMB</v>
          </cell>
          <cell r="E169">
            <v>0</v>
          </cell>
          <cell r="F169">
            <v>0</v>
          </cell>
        </row>
        <row r="170">
          <cell r="B170" t="str">
            <v>422CSD</v>
          </cell>
          <cell r="C170" t="str">
            <v>MALVERN TOWN CTR. 31 TAPSCOTT</v>
          </cell>
          <cell r="D170" t="str">
            <v>SCARBOROUGH, ON</v>
          </cell>
          <cell r="E170">
            <v>162142</v>
          </cell>
          <cell r="F170">
            <v>159302</v>
          </cell>
        </row>
        <row r="171">
          <cell r="B171" t="str">
            <v>424CSD</v>
          </cell>
          <cell r="C171" t="str">
            <v>688 HESPELER ROAD</v>
          </cell>
          <cell r="D171" t="str">
            <v>CAMBRIDGE, ON</v>
          </cell>
          <cell r="E171">
            <v>28961</v>
          </cell>
          <cell r="F171">
            <v>14000</v>
          </cell>
        </row>
        <row r="172">
          <cell r="B172" t="str">
            <v>425BMB</v>
          </cell>
          <cell r="C172" t="str">
            <v>853 KIPLING AVENUE</v>
          </cell>
          <cell r="D172" t="str">
            <v>ETOBICOKE, ON</v>
          </cell>
          <cell r="E172">
            <v>526196</v>
          </cell>
          <cell r="F172">
            <v>541713</v>
          </cell>
        </row>
        <row r="173">
          <cell r="B173" t="str">
            <v>425CSD</v>
          </cell>
          <cell r="E173">
            <v>0</v>
          </cell>
          <cell r="F173">
            <v>0</v>
          </cell>
        </row>
        <row r="174">
          <cell r="B174" t="str">
            <v>426BMB</v>
          </cell>
          <cell r="E174">
            <v>0</v>
          </cell>
          <cell r="F174">
            <v>0</v>
          </cell>
        </row>
        <row r="175">
          <cell r="B175" t="str">
            <v>426CSD</v>
          </cell>
          <cell r="C175" t="str">
            <v>1533 JANE ST.</v>
          </cell>
          <cell r="D175" t="str">
            <v>TORONTO, ON</v>
          </cell>
          <cell r="E175">
            <v>395096</v>
          </cell>
          <cell r="F175">
            <v>339028</v>
          </cell>
        </row>
        <row r="176">
          <cell r="B176" t="str">
            <v>427CSD</v>
          </cell>
          <cell r="C176" t="str">
            <v>16654 YONGE STREET</v>
          </cell>
          <cell r="D176" t="str">
            <v>NEWMARKET, ON</v>
          </cell>
          <cell r="E176">
            <v>395301</v>
          </cell>
          <cell r="F176">
            <v>347624.79</v>
          </cell>
        </row>
        <row r="177">
          <cell r="B177" t="str">
            <v>430BMB</v>
          </cell>
          <cell r="C177" t="str">
            <v>256 SILVERCREEK PARKWAY</v>
          </cell>
          <cell r="D177" t="str">
            <v>GUELPH, ON</v>
          </cell>
          <cell r="E177">
            <v>685576</v>
          </cell>
          <cell r="F177">
            <v>698420</v>
          </cell>
        </row>
        <row r="178">
          <cell r="B178" t="str">
            <v>431BMB</v>
          </cell>
          <cell r="E178">
            <v>0</v>
          </cell>
          <cell r="F178">
            <v>0</v>
          </cell>
        </row>
        <row r="179">
          <cell r="B179" t="str">
            <v>433BMB</v>
          </cell>
          <cell r="C179" t="str">
            <v>325 REGENT STREET</v>
          </cell>
          <cell r="D179" t="str">
            <v>HAWKESBURY, ON</v>
          </cell>
          <cell r="E179">
            <v>190522</v>
          </cell>
          <cell r="F179">
            <v>219535</v>
          </cell>
        </row>
        <row r="180">
          <cell r="B180" t="str">
            <v>435BMB</v>
          </cell>
          <cell r="E180">
            <v>0</v>
          </cell>
          <cell r="F180">
            <v>0</v>
          </cell>
        </row>
        <row r="181">
          <cell r="B181" t="str">
            <v>435CSD</v>
          </cell>
          <cell r="E181">
            <v>0</v>
          </cell>
          <cell r="F181">
            <v>0</v>
          </cell>
        </row>
        <row r="182">
          <cell r="B182" t="str">
            <v>436BMB</v>
          </cell>
          <cell r="E182">
            <v>0</v>
          </cell>
          <cell r="F182">
            <v>0</v>
          </cell>
        </row>
        <row r="183">
          <cell r="B183" t="str">
            <v>436CSD</v>
          </cell>
          <cell r="C183" t="str">
            <v>38 MAIN STREET</v>
          </cell>
          <cell r="D183" t="str">
            <v>COLDWATER, ON</v>
          </cell>
          <cell r="E183">
            <v>405115.48</v>
          </cell>
          <cell r="F183">
            <v>349751</v>
          </cell>
        </row>
        <row r="184">
          <cell r="B184" t="str">
            <v>437CSD</v>
          </cell>
          <cell r="C184" t="str">
            <v>1 FISHERMAN DR.</v>
          </cell>
          <cell r="D184" t="str">
            <v>BRAMPTON, ON</v>
          </cell>
          <cell r="E184">
            <v>259216.97</v>
          </cell>
          <cell r="F184">
            <v>220800</v>
          </cell>
        </row>
        <row r="185">
          <cell r="B185" t="str">
            <v>438CSD</v>
          </cell>
          <cell r="C185" t="str">
            <v>932 BROCK STREET N.</v>
          </cell>
          <cell r="D185" t="str">
            <v>WHITBY, ON</v>
          </cell>
          <cell r="E185">
            <v>123131</v>
          </cell>
          <cell r="F185">
            <v>133119</v>
          </cell>
        </row>
        <row r="186">
          <cell r="B186" t="str">
            <v>439BMB</v>
          </cell>
          <cell r="C186" t="str">
            <v>20771 LANGLEY BYPASS HWY</v>
          </cell>
          <cell r="D186" t="str">
            <v>LANGLEY, B.C.</v>
          </cell>
          <cell r="E186">
            <v>364075</v>
          </cell>
          <cell r="F186">
            <v>409098</v>
          </cell>
        </row>
        <row r="187">
          <cell r="B187" t="str">
            <v>439CSD</v>
          </cell>
          <cell r="C187" t="str">
            <v>5060 SHEPPARD AVE. EAST</v>
          </cell>
          <cell r="D187" t="str">
            <v>SCARBOROUGH, ON</v>
          </cell>
          <cell r="E187">
            <v>166916</v>
          </cell>
          <cell r="F187">
            <v>145740</v>
          </cell>
        </row>
        <row r="188">
          <cell r="B188" t="str">
            <v>442BMB</v>
          </cell>
          <cell r="E188">
            <v>0</v>
          </cell>
          <cell r="F188">
            <v>0</v>
          </cell>
        </row>
        <row r="189">
          <cell r="B189" t="str">
            <v>442CSD</v>
          </cell>
          <cell r="C189" t="str">
            <v>2270 MARKHAM ROAD</v>
          </cell>
          <cell r="D189" t="str">
            <v>TORONTO, ON</v>
          </cell>
          <cell r="E189">
            <v>219236</v>
          </cell>
          <cell r="F189">
            <v>135100</v>
          </cell>
        </row>
        <row r="190">
          <cell r="B190" t="str">
            <v>443CSD</v>
          </cell>
          <cell r="C190" t="str">
            <v xml:space="preserve">5886 MAIN STREET </v>
          </cell>
          <cell r="D190" t="str">
            <v xml:space="preserve">STOUFFVILLE, ON </v>
          </cell>
          <cell r="E190">
            <v>430153</v>
          </cell>
          <cell r="F190">
            <v>0</v>
          </cell>
        </row>
        <row r="191">
          <cell r="B191" t="str">
            <v>448CSD</v>
          </cell>
          <cell r="C191" t="str">
            <v>828 CHEMONG ROAD</v>
          </cell>
          <cell r="D191" t="str">
            <v>PETERBOROUGH, ON</v>
          </cell>
          <cell r="E191">
            <v>213376.74</v>
          </cell>
          <cell r="F191">
            <v>0</v>
          </cell>
        </row>
        <row r="192">
          <cell r="B192" t="str">
            <v>451BMB</v>
          </cell>
          <cell r="C192" t="str">
            <v>1713-15 MAIN STREET</v>
          </cell>
          <cell r="D192" t="str">
            <v>MOOSE JAW, SK</v>
          </cell>
          <cell r="E192">
            <v>383617</v>
          </cell>
          <cell r="F192">
            <v>421508</v>
          </cell>
        </row>
        <row r="193">
          <cell r="B193" t="str">
            <v>452BMB</v>
          </cell>
          <cell r="C193" t="str">
            <v>1708 BOWEN ROAD</v>
          </cell>
          <cell r="D193" t="str">
            <v>NANAIMO, B.C.</v>
          </cell>
          <cell r="E193">
            <v>225768</v>
          </cell>
          <cell r="F193">
            <v>204188</v>
          </cell>
        </row>
        <row r="194">
          <cell r="B194" t="str">
            <v>455BMB</v>
          </cell>
          <cell r="E194">
            <v>0</v>
          </cell>
          <cell r="F194">
            <v>0</v>
          </cell>
        </row>
        <row r="195">
          <cell r="B195" t="str">
            <v>457BMB</v>
          </cell>
          <cell r="C195" t="str">
            <v>745 CLARENCE STREET</v>
          </cell>
          <cell r="D195" t="str">
            <v>NORTH BAY, ON</v>
          </cell>
          <cell r="E195">
            <v>404449</v>
          </cell>
          <cell r="F195">
            <v>426431</v>
          </cell>
        </row>
        <row r="196">
          <cell r="B196" t="str">
            <v>463BMB</v>
          </cell>
          <cell r="E196">
            <v>0</v>
          </cell>
          <cell r="F196">
            <v>0</v>
          </cell>
        </row>
        <row r="197">
          <cell r="B197" t="str">
            <v>464BMB</v>
          </cell>
          <cell r="C197" t="str">
            <v>2447-B KALADAR STREET</v>
          </cell>
          <cell r="D197" t="str">
            <v>OTTAWA, ON</v>
          </cell>
          <cell r="E197">
            <v>387975</v>
          </cell>
          <cell r="F197">
            <v>358422.79</v>
          </cell>
        </row>
        <row r="198">
          <cell r="B198" t="str">
            <v>465BMB</v>
          </cell>
          <cell r="C198" t="str">
            <v>471 HAZELDEAN ROAD</v>
          </cell>
          <cell r="D198" t="str">
            <v>KANATA, ON</v>
          </cell>
          <cell r="E198">
            <v>192328</v>
          </cell>
          <cell r="F198">
            <v>216474</v>
          </cell>
        </row>
        <row r="199">
          <cell r="B199" t="str">
            <v>468BMB</v>
          </cell>
          <cell r="C199" t="str">
            <v>130 HOWARD STREET</v>
          </cell>
          <cell r="D199" t="str">
            <v>PEMBROKE, ON</v>
          </cell>
          <cell r="E199">
            <v>361110</v>
          </cell>
          <cell r="F199">
            <v>303006</v>
          </cell>
        </row>
        <row r="200">
          <cell r="B200" t="str">
            <v>469BMB</v>
          </cell>
          <cell r="C200" t="str">
            <v>102-351 WESTMINSTER AVENUE</v>
          </cell>
          <cell r="D200" t="str">
            <v>PENTICTON, B.C.</v>
          </cell>
          <cell r="E200">
            <v>268062</v>
          </cell>
          <cell r="F200">
            <v>252071</v>
          </cell>
        </row>
        <row r="201">
          <cell r="B201" t="str">
            <v>472BMB</v>
          </cell>
          <cell r="E201">
            <v>0</v>
          </cell>
          <cell r="F201">
            <v>0</v>
          </cell>
        </row>
        <row r="202">
          <cell r="B202" t="str">
            <v>473BMB</v>
          </cell>
          <cell r="E202">
            <v>0</v>
          </cell>
          <cell r="F202">
            <v>0</v>
          </cell>
        </row>
        <row r="203">
          <cell r="B203" t="str">
            <v>478BMB</v>
          </cell>
          <cell r="C203" t="str">
            <v>5960 NO. 6 ROAD</v>
          </cell>
          <cell r="D203" t="str">
            <v>RICHMOND, B.C.</v>
          </cell>
          <cell r="E203">
            <v>616219</v>
          </cell>
          <cell r="F203">
            <v>620031</v>
          </cell>
        </row>
        <row r="204">
          <cell r="B204" t="str">
            <v>480BMB</v>
          </cell>
          <cell r="C204" t="str">
            <v>209 CARLTON ST.</v>
          </cell>
          <cell r="D204" t="str">
            <v>ST. CATHARINES, ON</v>
          </cell>
          <cell r="E204">
            <v>395762</v>
          </cell>
          <cell r="F204">
            <v>388355</v>
          </cell>
        </row>
        <row r="205">
          <cell r="B205" t="str">
            <v>484BMB</v>
          </cell>
          <cell r="C205" t="str">
            <v>242 INDIAN RD.S.EASTLAND PLAZA</v>
          </cell>
          <cell r="D205" t="str">
            <v>SARNIA, ON</v>
          </cell>
          <cell r="E205">
            <v>316428</v>
          </cell>
          <cell r="F205">
            <v>338365</v>
          </cell>
        </row>
        <row r="206">
          <cell r="B206" t="str">
            <v>486BMB</v>
          </cell>
          <cell r="C206" t="str">
            <v>2020 QUEBEC AVENUE</v>
          </cell>
          <cell r="D206" t="str">
            <v>SASKATOON, SK</v>
          </cell>
          <cell r="E206">
            <v>479775</v>
          </cell>
          <cell r="F206">
            <v>525394</v>
          </cell>
        </row>
        <row r="207">
          <cell r="B207" t="str">
            <v>490BMB</v>
          </cell>
          <cell r="E207">
            <v>0</v>
          </cell>
          <cell r="F207">
            <v>0</v>
          </cell>
        </row>
        <row r="208">
          <cell r="B208" t="str">
            <v>491BMB</v>
          </cell>
          <cell r="C208" t="str">
            <v>1955 LASALLE BLVD.</v>
          </cell>
          <cell r="D208" t="str">
            <v>SUDBURY, ON</v>
          </cell>
          <cell r="E208">
            <v>458887</v>
          </cell>
          <cell r="F208">
            <v>148854</v>
          </cell>
        </row>
        <row r="209">
          <cell r="B209" t="str">
            <v>492BMB</v>
          </cell>
          <cell r="C209" t="str">
            <v>#3-7780 - 135A STREET</v>
          </cell>
          <cell r="D209" t="str">
            <v>SURREY, B.C.</v>
          </cell>
          <cell r="E209">
            <v>103548</v>
          </cell>
          <cell r="F209">
            <v>129645</v>
          </cell>
        </row>
        <row r="210">
          <cell r="B210" t="str">
            <v>493BMB</v>
          </cell>
          <cell r="E210">
            <v>0</v>
          </cell>
          <cell r="F210">
            <v>0</v>
          </cell>
        </row>
        <row r="211">
          <cell r="B211" t="str">
            <v>494BMB</v>
          </cell>
          <cell r="E211">
            <v>0</v>
          </cell>
          <cell r="F211">
            <v>0</v>
          </cell>
        </row>
        <row r="212">
          <cell r="B212" t="str">
            <v>497BMB</v>
          </cell>
          <cell r="C212" t="str">
            <v>100 WATERLOO RD.,HOLLINGER CT.</v>
          </cell>
          <cell r="D212" t="str">
            <v>TIMMINS, ON</v>
          </cell>
          <cell r="E212">
            <v>290029</v>
          </cell>
          <cell r="F212">
            <v>260044</v>
          </cell>
        </row>
        <row r="213">
          <cell r="B213" t="str">
            <v>498BMB</v>
          </cell>
          <cell r="C213" t="str">
            <v>5678-12TH AVENUE</v>
          </cell>
          <cell r="D213" t="str">
            <v>TSAWWASSEN(DELTA), B.C.</v>
          </cell>
          <cell r="E213">
            <v>51633</v>
          </cell>
          <cell r="F213">
            <v>55865</v>
          </cell>
        </row>
        <row r="214">
          <cell r="B214" t="str">
            <v>500BMB</v>
          </cell>
          <cell r="C214" t="str">
            <v>1630 SOUTH EAST MARINE DRIVE</v>
          </cell>
          <cell r="D214" t="str">
            <v>VANCOUVER, B.C.</v>
          </cell>
          <cell r="E214">
            <v>166698</v>
          </cell>
          <cell r="F214">
            <v>184204</v>
          </cell>
        </row>
        <row r="215">
          <cell r="B215" t="str">
            <v>506BMB</v>
          </cell>
          <cell r="C215" t="str">
            <v>750 HOPKINS STREET</v>
          </cell>
          <cell r="D215" t="str">
            <v>WHITBY, ON</v>
          </cell>
          <cell r="E215">
            <v>266195</v>
          </cell>
          <cell r="F215">
            <v>294159</v>
          </cell>
        </row>
        <row r="216">
          <cell r="B216" t="str">
            <v>507BMB</v>
          </cell>
          <cell r="E216">
            <v>0</v>
          </cell>
          <cell r="F216">
            <v>0</v>
          </cell>
        </row>
        <row r="217">
          <cell r="B217" t="str">
            <v>509BMB</v>
          </cell>
          <cell r="E217">
            <v>0</v>
          </cell>
          <cell r="F217">
            <v>0</v>
          </cell>
        </row>
        <row r="218">
          <cell r="B218" t="str">
            <v>512BMB</v>
          </cell>
          <cell r="C218" t="str">
            <v>32 SMITH STREET W.</v>
          </cell>
          <cell r="D218" t="str">
            <v>YORKTON, SK</v>
          </cell>
          <cell r="E218">
            <v>262411</v>
          </cell>
          <cell r="F218">
            <v>287463</v>
          </cell>
        </row>
        <row r="219">
          <cell r="B219" t="str">
            <v>517BMB</v>
          </cell>
          <cell r="C219" t="str">
            <v>#206-21183 88th AVENUE</v>
          </cell>
          <cell r="D219" t="str">
            <v>WALNUT GROVE, B.C.</v>
          </cell>
          <cell r="E219">
            <v>149841</v>
          </cell>
          <cell r="F219">
            <v>172127</v>
          </cell>
        </row>
        <row r="220">
          <cell r="B220" t="str">
            <v>518BMB</v>
          </cell>
          <cell r="C220" t="str">
            <v>2015A LONG LAKE ROAD</v>
          </cell>
          <cell r="D220" t="str">
            <v>SUDBURY, ON</v>
          </cell>
          <cell r="E220">
            <v>33069</v>
          </cell>
          <cell r="F220">
            <v>102570</v>
          </cell>
        </row>
        <row r="221">
          <cell r="B221" t="str">
            <v>527BMB</v>
          </cell>
          <cell r="E221">
            <v>0</v>
          </cell>
          <cell r="F221">
            <v>0</v>
          </cell>
        </row>
        <row r="222">
          <cell r="B222" t="str">
            <v>528BMB</v>
          </cell>
          <cell r="E222">
            <v>0</v>
          </cell>
          <cell r="F222">
            <v>0</v>
          </cell>
        </row>
        <row r="223">
          <cell r="B223" t="str">
            <v>529BMB</v>
          </cell>
          <cell r="E223">
            <v>0</v>
          </cell>
          <cell r="F223">
            <v>0</v>
          </cell>
        </row>
        <row r="224">
          <cell r="B224" t="str">
            <v>530BMB</v>
          </cell>
          <cell r="C224" t="str">
            <v>3823 ALBERT STREET</v>
          </cell>
          <cell r="D224" t="str">
            <v>REGINA, SK</v>
          </cell>
          <cell r="E224">
            <v>62954</v>
          </cell>
          <cell r="F224">
            <v>57036</v>
          </cell>
        </row>
        <row r="225">
          <cell r="B225" t="str">
            <v>531BMB</v>
          </cell>
          <cell r="C225" t="str">
            <v>307 NASH ROAD NORTH</v>
          </cell>
          <cell r="D225" t="str">
            <v>HAMILTON, ON</v>
          </cell>
          <cell r="E225">
            <v>209468</v>
          </cell>
          <cell r="F225">
            <v>0</v>
          </cell>
        </row>
        <row r="226">
          <cell r="B226" t="str">
            <v>AW0004</v>
          </cell>
          <cell r="C226" t="str">
            <v>625 3RD LINE ROAD</v>
          </cell>
          <cell r="D226" t="str">
            <v>OAKVILLE, ON</v>
          </cell>
          <cell r="E226">
            <v>16639.52</v>
          </cell>
          <cell r="F226">
            <v>14508</v>
          </cell>
        </row>
        <row r="227">
          <cell r="B227" t="str">
            <v>AW0006</v>
          </cell>
          <cell r="C227" t="str">
            <v>HUDSON BAY CTR,20 BLOOR ST E</v>
          </cell>
          <cell r="D227" t="str">
            <v>TORONTO, ON</v>
          </cell>
          <cell r="E227">
            <v>53435</v>
          </cell>
          <cell r="F227">
            <v>51350</v>
          </cell>
        </row>
        <row r="228">
          <cell r="B228" t="str">
            <v>AW0007</v>
          </cell>
          <cell r="C228" t="str">
            <v>970 PRINCESS STREET</v>
          </cell>
          <cell r="D228" t="str">
            <v>KINGSTON, ON</v>
          </cell>
          <cell r="E228">
            <v>185754.03</v>
          </cell>
          <cell r="F228">
            <v>145342</v>
          </cell>
        </row>
        <row r="229">
          <cell r="B229" t="str">
            <v>AW0008</v>
          </cell>
          <cell r="C229" t="str">
            <v>10 LEGEND COURT</v>
          </cell>
          <cell r="D229" t="str">
            <v>ANCASTER, ON</v>
          </cell>
          <cell r="E229">
            <v>73422</v>
          </cell>
          <cell r="F229">
            <v>62091</v>
          </cell>
        </row>
        <row r="230">
          <cell r="B230" t="str">
            <v>BING01</v>
          </cell>
          <cell r="E230">
            <v>0</v>
          </cell>
          <cell r="F230">
            <v>0</v>
          </cell>
        </row>
        <row r="231">
          <cell r="B231" t="str">
            <v>BING02</v>
          </cell>
          <cell r="C231" t="str">
            <v>825 UPPER CANADA DRIVE</v>
          </cell>
          <cell r="D231" t="str">
            <v>SARNIA, ON</v>
          </cell>
          <cell r="E231">
            <v>110500</v>
          </cell>
          <cell r="F231">
            <v>105439.84</v>
          </cell>
        </row>
        <row r="232">
          <cell r="B232" t="str">
            <v>BING03</v>
          </cell>
          <cell r="E232">
            <v>0</v>
          </cell>
          <cell r="F232">
            <v>0</v>
          </cell>
        </row>
        <row r="233">
          <cell r="B233" t="str">
            <v>BING04</v>
          </cell>
          <cell r="C233" t="str">
            <v>2208 LASALLE RD.</v>
          </cell>
          <cell r="D233" t="str">
            <v>SUDBURY, ON</v>
          </cell>
          <cell r="E233">
            <v>62702.42</v>
          </cell>
          <cell r="F233">
            <v>73690.289999999994</v>
          </cell>
        </row>
        <row r="234">
          <cell r="B234" t="str">
            <v>BING05</v>
          </cell>
          <cell r="C234" t="str">
            <v>51 FRONT STEET</v>
          </cell>
          <cell r="D234" t="str">
            <v>STRATHROY, ON</v>
          </cell>
          <cell r="E234">
            <v>34700</v>
          </cell>
          <cell r="F234">
            <v>34147.31</v>
          </cell>
        </row>
        <row r="235">
          <cell r="B235" t="str">
            <v>BING06</v>
          </cell>
          <cell r="C235" t="str">
            <v>806 CHELSEA STREET</v>
          </cell>
          <cell r="D235" t="str">
            <v>R.R.4, BROCKVILLE, ON</v>
          </cell>
          <cell r="E235">
            <v>47360</v>
          </cell>
          <cell r="F235">
            <v>63125.53</v>
          </cell>
        </row>
        <row r="236">
          <cell r="B236" t="str">
            <v>BING07</v>
          </cell>
          <cell r="E236">
            <v>0</v>
          </cell>
          <cell r="F236">
            <v>0</v>
          </cell>
        </row>
        <row r="237">
          <cell r="B237" t="str">
            <v>BING09</v>
          </cell>
          <cell r="E237">
            <v>0</v>
          </cell>
          <cell r="F237">
            <v>0</v>
          </cell>
        </row>
        <row r="238">
          <cell r="B238" t="str">
            <v>BING10</v>
          </cell>
          <cell r="E238">
            <v>0</v>
          </cell>
          <cell r="F238">
            <v>0</v>
          </cell>
        </row>
        <row r="239">
          <cell r="B239" t="str">
            <v>BING11</v>
          </cell>
          <cell r="C239" t="str">
            <v>190 HWY 7 WEST</v>
          </cell>
          <cell r="D239" t="str">
            <v>BRAMPTON, ON</v>
          </cell>
          <cell r="E239">
            <v>100000</v>
          </cell>
          <cell r="F239">
            <v>98053.83</v>
          </cell>
        </row>
        <row r="240">
          <cell r="B240" t="str">
            <v>BING12</v>
          </cell>
          <cell r="C240" t="str">
            <v>2424 FINCH AVE. WEST</v>
          </cell>
          <cell r="D240" t="str">
            <v>NORTH YORK, ON</v>
          </cell>
          <cell r="E240">
            <v>116439</v>
          </cell>
          <cell r="F240">
            <v>133949.94</v>
          </cell>
        </row>
        <row r="241">
          <cell r="B241" t="str">
            <v>BING13</v>
          </cell>
          <cell r="C241" t="str">
            <v>2375 STEELES AVE., WEST</v>
          </cell>
          <cell r="D241" t="str">
            <v>NORTH YORK, ON</v>
          </cell>
          <cell r="E241">
            <v>0</v>
          </cell>
          <cell r="F241">
            <v>0</v>
          </cell>
        </row>
        <row r="242">
          <cell r="B242" t="str">
            <v>BING14</v>
          </cell>
          <cell r="E242">
            <v>0</v>
          </cell>
          <cell r="F242">
            <v>0</v>
          </cell>
        </row>
        <row r="243">
          <cell r="B243" t="str">
            <v>BING15</v>
          </cell>
          <cell r="E243">
            <v>0</v>
          </cell>
          <cell r="F243">
            <v>0</v>
          </cell>
        </row>
        <row r="244">
          <cell r="B244" t="str">
            <v>BING16</v>
          </cell>
          <cell r="C244" t="str">
            <v>1371 PEMBROKE ST., W.</v>
          </cell>
          <cell r="D244" t="str">
            <v>PEMBROKE, ON</v>
          </cell>
          <cell r="E244">
            <v>58569.25</v>
          </cell>
          <cell r="F244">
            <v>57927.62</v>
          </cell>
        </row>
        <row r="245">
          <cell r="B245" t="str">
            <v>BING17</v>
          </cell>
          <cell r="C245" t="str">
            <v>132 RICHMOND ST.</v>
          </cell>
          <cell r="D245" t="str">
            <v>CHATHAM, ON</v>
          </cell>
          <cell r="E245">
            <v>60000</v>
          </cell>
          <cell r="F245">
            <v>44881.63</v>
          </cell>
        </row>
        <row r="246">
          <cell r="B246" t="str">
            <v>BING18</v>
          </cell>
          <cell r="C246" t="str">
            <v>1356 WEBER STREET EAST</v>
          </cell>
          <cell r="D246" t="str">
            <v>KITCHENER, ON</v>
          </cell>
          <cell r="E246">
            <v>44500</v>
          </cell>
          <cell r="F246">
            <v>38918.49</v>
          </cell>
        </row>
        <row r="247">
          <cell r="B247" t="str">
            <v>BING19</v>
          </cell>
          <cell r="E247">
            <v>0</v>
          </cell>
          <cell r="F247">
            <v>0</v>
          </cell>
        </row>
        <row r="248">
          <cell r="B248" t="str">
            <v>BING20</v>
          </cell>
          <cell r="C248" t="str">
            <v>884 DIVISION ST.</v>
          </cell>
          <cell r="D248" t="str">
            <v>COBOURG, ON</v>
          </cell>
          <cell r="E248">
            <v>48000</v>
          </cell>
          <cell r="F248">
            <v>49044.76</v>
          </cell>
        </row>
        <row r="249">
          <cell r="B249" t="str">
            <v>BING21</v>
          </cell>
          <cell r="C249" t="str">
            <v>610 MONARCH AVE.</v>
          </cell>
          <cell r="D249" t="str">
            <v>AJAX, ON</v>
          </cell>
          <cell r="E249">
            <v>69694</v>
          </cell>
          <cell r="F249">
            <v>68874.2</v>
          </cell>
        </row>
        <row r="250">
          <cell r="B250" t="str">
            <v>BING22</v>
          </cell>
          <cell r="C250" t="str">
            <v>140 EDWARD ST,</v>
          </cell>
          <cell r="D250" t="str">
            <v>ST. THOMAS, ON</v>
          </cell>
          <cell r="E250">
            <v>108400</v>
          </cell>
          <cell r="F250">
            <v>103248.73</v>
          </cell>
        </row>
        <row r="251">
          <cell r="B251" t="str">
            <v>BING23</v>
          </cell>
          <cell r="C251" t="str">
            <v>299 HARRY WALKER PARKWAY</v>
          </cell>
          <cell r="D251" t="str">
            <v>NEWMARKET, ON</v>
          </cell>
          <cell r="E251">
            <v>55742</v>
          </cell>
          <cell r="F251">
            <v>57942.73</v>
          </cell>
        </row>
        <row r="252">
          <cell r="B252" t="str">
            <v>BING24</v>
          </cell>
          <cell r="C252" t="str">
            <v>285 TAUNTON RD., EAST</v>
          </cell>
          <cell r="D252" t="str">
            <v>OSHAWA, ON</v>
          </cell>
          <cell r="E252">
            <v>46971</v>
          </cell>
          <cell r="F252">
            <v>60509.58</v>
          </cell>
        </row>
        <row r="253">
          <cell r="B253" t="str">
            <v>BING25</v>
          </cell>
          <cell r="E253">
            <v>0</v>
          </cell>
          <cell r="F253">
            <v>0</v>
          </cell>
        </row>
        <row r="254">
          <cell r="B254" t="str">
            <v>BING26</v>
          </cell>
          <cell r="C254" t="str">
            <v>1106 DEARNESS DR.</v>
          </cell>
          <cell r="D254" t="str">
            <v>LONDON, ON</v>
          </cell>
          <cell r="E254">
            <v>22200</v>
          </cell>
          <cell r="F254">
            <v>19910.13</v>
          </cell>
        </row>
        <row r="255">
          <cell r="B255" t="str">
            <v>BING27</v>
          </cell>
          <cell r="C255" t="str">
            <v>380 LYLE ST.</v>
          </cell>
          <cell r="D255" t="str">
            <v>LONDON, ON</v>
          </cell>
          <cell r="E255">
            <v>21200</v>
          </cell>
          <cell r="F255">
            <v>19040.41</v>
          </cell>
        </row>
        <row r="256">
          <cell r="B256" t="str">
            <v>BING28</v>
          </cell>
          <cell r="C256" t="str">
            <v>1851 SEYMOUR ST.</v>
          </cell>
          <cell r="D256" t="str">
            <v>NORTH BAY, ON</v>
          </cell>
          <cell r="E256">
            <v>56300</v>
          </cell>
          <cell r="F256">
            <v>55184.29</v>
          </cell>
        </row>
        <row r="257">
          <cell r="B257" t="str">
            <v>BING29</v>
          </cell>
          <cell r="C257" t="str">
            <v>8750 HIGHWAY #25 NORTH, RR#3</v>
          </cell>
          <cell r="D257" t="str">
            <v>MILTON, ON</v>
          </cell>
          <cell r="E257">
            <v>24600</v>
          </cell>
          <cell r="F257">
            <v>24156.63</v>
          </cell>
        </row>
        <row r="258">
          <cell r="B258" t="str">
            <v>BING30</v>
          </cell>
          <cell r="C258" t="str">
            <v>20 GLASTONBURY AVE.</v>
          </cell>
          <cell r="D258" t="str">
            <v>STRATFORD, ON</v>
          </cell>
          <cell r="E258">
            <v>20400</v>
          </cell>
          <cell r="F258">
            <v>19988.45</v>
          </cell>
        </row>
        <row r="259">
          <cell r="B259" t="str">
            <v>BING31</v>
          </cell>
          <cell r="E259">
            <v>0</v>
          </cell>
          <cell r="F259">
            <v>0</v>
          </cell>
        </row>
        <row r="260">
          <cell r="B260" t="str">
            <v>BING33</v>
          </cell>
          <cell r="E260">
            <v>0</v>
          </cell>
          <cell r="F260">
            <v>0</v>
          </cell>
        </row>
        <row r="261">
          <cell r="B261" t="str">
            <v>BING34</v>
          </cell>
          <cell r="C261" t="str">
            <v>7155 KINGSWAY #302</v>
          </cell>
          <cell r="D261" t="str">
            <v>BURNABY, B.C.</v>
          </cell>
          <cell r="E261">
            <v>38000</v>
          </cell>
          <cell r="F261">
            <v>39730.870000000003</v>
          </cell>
        </row>
        <row r="262">
          <cell r="B262" t="str">
            <v>BING35</v>
          </cell>
          <cell r="C262" t="str">
            <v>7093 KING GEORGE VI HWY</v>
          </cell>
          <cell r="D262" t="str">
            <v>SURREY, B.C.</v>
          </cell>
          <cell r="E262">
            <v>97000</v>
          </cell>
          <cell r="F262">
            <v>94004.55</v>
          </cell>
        </row>
        <row r="263">
          <cell r="B263" t="str">
            <v>BUC001</v>
          </cell>
          <cell r="C263" t="str">
            <v>90 WOODBINE DOWN BOULEVAR</v>
          </cell>
          <cell r="D263" t="str">
            <v>ETOBICOKE, ON</v>
          </cell>
          <cell r="E263">
            <v>0</v>
          </cell>
          <cell r="F263">
            <v>0</v>
          </cell>
        </row>
        <row r="264">
          <cell r="B264" t="str">
            <v>BUC002</v>
          </cell>
          <cell r="C264" t="str">
            <v xml:space="preserve">4000 CHESSWOOD DRIVE </v>
          </cell>
          <cell r="D264" t="str">
            <v>DOWNSVIEW, ON</v>
          </cell>
          <cell r="E264">
            <v>0</v>
          </cell>
          <cell r="F264">
            <v>0</v>
          </cell>
        </row>
        <row r="265">
          <cell r="B265" t="str">
            <v>BUCK01</v>
          </cell>
          <cell r="C265" t="str">
            <v>140 ST. ANDREWS ST.</v>
          </cell>
          <cell r="D265" t="str">
            <v>CAMBRIDGE, ON</v>
          </cell>
          <cell r="E265">
            <v>45481</v>
          </cell>
          <cell r="F265">
            <v>41847</v>
          </cell>
        </row>
        <row r="266">
          <cell r="B266" t="str">
            <v>CRV001</v>
          </cell>
          <cell r="C266" t="str">
            <v>555 MCKEOWN AVENUE</v>
          </cell>
          <cell r="D266" t="str">
            <v>NORTH BAY, ON</v>
          </cell>
          <cell r="E266">
            <v>13143</v>
          </cell>
          <cell r="F266">
            <v>0</v>
          </cell>
        </row>
        <row r="267">
          <cell r="B267" t="str">
            <v>CTC012</v>
          </cell>
          <cell r="E267">
            <v>0</v>
          </cell>
          <cell r="F267">
            <v>0</v>
          </cell>
        </row>
        <row r="268">
          <cell r="B268" t="str">
            <v>ESS001</v>
          </cell>
          <cell r="C268" t="str">
            <v>540 EVANS AVENUE</v>
          </cell>
          <cell r="D268" t="str">
            <v>ETOBICOKE, ON</v>
          </cell>
          <cell r="E268">
            <v>22744</v>
          </cell>
          <cell r="F268">
            <v>0</v>
          </cell>
        </row>
        <row r="269">
          <cell r="B269" t="str">
            <v>ESS002</v>
          </cell>
          <cell r="C269" t="str">
            <v>156 TORONTO ROAD</v>
          </cell>
          <cell r="D269" t="str">
            <v>PORT HOPE, ON</v>
          </cell>
          <cell r="E269">
            <v>169955</v>
          </cell>
          <cell r="F269">
            <v>23808</v>
          </cell>
        </row>
        <row r="270">
          <cell r="B270" t="str">
            <v>ESS003</v>
          </cell>
          <cell r="C270" t="str">
            <v>6951-6953 STEELES AVENUE W</v>
          </cell>
          <cell r="D270" t="str">
            <v>ETOBICOKE, ON</v>
          </cell>
          <cell r="E270">
            <v>286651</v>
          </cell>
          <cell r="F270">
            <v>196837</v>
          </cell>
        </row>
        <row r="271">
          <cell r="B271" t="str">
            <v>ESS004</v>
          </cell>
          <cell r="C271" t="str">
            <v>436 KIPLING AVENUE</v>
          </cell>
          <cell r="D271" t="str">
            <v>ETOBICOKE, ON</v>
          </cell>
          <cell r="E271">
            <v>75347</v>
          </cell>
          <cell r="F271">
            <v>36584</v>
          </cell>
        </row>
        <row r="272">
          <cell r="B272" t="str">
            <v>ESS005</v>
          </cell>
          <cell r="C272" t="str">
            <v>110 TALBOT STREET, WEST</v>
          </cell>
          <cell r="D272" t="str">
            <v>AYLMER, ON</v>
          </cell>
          <cell r="E272">
            <v>1442</v>
          </cell>
          <cell r="F272">
            <v>0</v>
          </cell>
        </row>
        <row r="273">
          <cell r="B273" t="str">
            <v>ESS007</v>
          </cell>
          <cell r="C273" t="str">
            <v>433 KENT STREET, WEST</v>
          </cell>
          <cell r="D273" t="str">
            <v>LINDSAY, ON</v>
          </cell>
          <cell r="E273">
            <v>3500</v>
          </cell>
          <cell r="F273">
            <v>0</v>
          </cell>
        </row>
        <row r="274">
          <cell r="B274" t="str">
            <v>ESS008</v>
          </cell>
          <cell r="C274" t="str">
            <v>2145 DUNDAS STREET WEST</v>
          </cell>
          <cell r="D274" t="str">
            <v>TORONTO, ON</v>
          </cell>
          <cell r="E274">
            <v>167</v>
          </cell>
          <cell r="F274">
            <v>0</v>
          </cell>
        </row>
        <row r="275">
          <cell r="B275" t="str">
            <v>GAL003</v>
          </cell>
          <cell r="C275" t="str">
            <v>293 BAY STREET</v>
          </cell>
          <cell r="D275" t="str">
            <v>SAULT STE. MARIE, ON</v>
          </cell>
          <cell r="E275">
            <v>8544</v>
          </cell>
          <cell r="F275">
            <v>9341.16</v>
          </cell>
        </row>
        <row r="276">
          <cell r="B276" t="str">
            <v>GAL004</v>
          </cell>
          <cell r="C276" t="str">
            <v xml:space="preserve">300 LAKESHORE DRIVE </v>
          </cell>
          <cell r="D276" t="str">
            <v>NORTH BAY, ON</v>
          </cell>
          <cell r="E276">
            <v>3958</v>
          </cell>
          <cell r="F276">
            <v>4184.92</v>
          </cell>
        </row>
        <row r="277">
          <cell r="B277" t="str">
            <v>GAL005</v>
          </cell>
          <cell r="C277" t="str">
            <v xml:space="preserve">85 FITH AVENUE </v>
          </cell>
          <cell r="D277" t="str">
            <v>ORANGEVILLE, ON</v>
          </cell>
          <cell r="E277">
            <v>2211</v>
          </cell>
          <cell r="F277">
            <v>2673.04</v>
          </cell>
        </row>
        <row r="278">
          <cell r="B278" t="str">
            <v>GAL006</v>
          </cell>
          <cell r="C278" t="str">
            <v>1020 10TH STREET WEST</v>
          </cell>
          <cell r="D278" t="str">
            <v>OWEN SOUND, ON</v>
          </cell>
          <cell r="E278">
            <v>2834</v>
          </cell>
          <cell r="F278">
            <v>3073.58</v>
          </cell>
        </row>
        <row r="279">
          <cell r="B279" t="str">
            <v>GAL007</v>
          </cell>
          <cell r="C279" t="str">
            <v>1325 SECOND ST EAST</v>
          </cell>
          <cell r="D279" t="str">
            <v>CORNWALL,ON</v>
          </cell>
          <cell r="E279">
            <v>2064</v>
          </cell>
          <cell r="F279">
            <v>2551.9699999999998</v>
          </cell>
        </row>
        <row r="280">
          <cell r="B280" t="str">
            <v>GAL008</v>
          </cell>
          <cell r="C280" t="str">
            <v xml:space="preserve">355 HESPELER ROAD </v>
          </cell>
          <cell r="D280" t="str">
            <v>CAMBRIDGE,ON</v>
          </cell>
          <cell r="E280">
            <v>1981</v>
          </cell>
          <cell r="F280">
            <v>3555.06</v>
          </cell>
        </row>
        <row r="281">
          <cell r="B281" t="str">
            <v>GAL009</v>
          </cell>
          <cell r="C281" t="str">
            <v>HWY#93, RR#2, BOX 2</v>
          </cell>
          <cell r="D281" t="str">
            <v>MIDLAND, ON</v>
          </cell>
          <cell r="E281">
            <v>2225</v>
          </cell>
          <cell r="F281">
            <v>2804.1</v>
          </cell>
        </row>
        <row r="282">
          <cell r="B282" t="str">
            <v>GAL010</v>
          </cell>
          <cell r="C282" t="str">
            <v>213-4750 RUTHERFORD RD</v>
          </cell>
          <cell r="D282" t="str">
            <v>NANAIMO,B.C.</v>
          </cell>
          <cell r="E282">
            <v>3645</v>
          </cell>
          <cell r="F282">
            <v>3438.52</v>
          </cell>
        </row>
        <row r="283">
          <cell r="B283" t="str">
            <v>GAL011</v>
          </cell>
          <cell r="C283" t="str">
            <v xml:space="preserve">2020 SHERWOOD DRIVE </v>
          </cell>
          <cell r="D283" t="str">
            <v xml:space="preserve">SHERWOOD PARK, AB </v>
          </cell>
          <cell r="E283">
            <v>1762</v>
          </cell>
          <cell r="F283">
            <v>1829.94</v>
          </cell>
        </row>
        <row r="284">
          <cell r="B284" t="str">
            <v>GAL012</v>
          </cell>
          <cell r="C284" t="str">
            <v xml:space="preserve">1235 MAIN STREET N. </v>
          </cell>
          <cell r="D284" t="str">
            <v>MOOSE JAW, SK</v>
          </cell>
          <cell r="E284">
            <v>835</v>
          </cell>
          <cell r="F284">
            <v>778.82</v>
          </cell>
        </row>
        <row r="285">
          <cell r="B285" t="str">
            <v>GAL013</v>
          </cell>
          <cell r="C285" t="str">
            <v>1C-2995 SECOND AVE. W</v>
          </cell>
          <cell r="D285" t="str">
            <v>PRINCE ALBERT, SASK</v>
          </cell>
          <cell r="E285">
            <v>1032</v>
          </cell>
          <cell r="F285">
            <v>1650.99</v>
          </cell>
        </row>
        <row r="286">
          <cell r="B286" t="str">
            <v>GAL014</v>
          </cell>
          <cell r="C286" t="str">
            <v>UNIT 25-420 MCCARTHY BLVD. N</v>
          </cell>
          <cell r="D286" t="str">
            <v>REGINA, SASK.</v>
          </cell>
          <cell r="E286">
            <v>3813</v>
          </cell>
          <cell r="F286">
            <v>4448.6899999999996</v>
          </cell>
        </row>
        <row r="287">
          <cell r="B287" t="str">
            <v>GAL015</v>
          </cell>
          <cell r="C287" t="str">
            <v>417 WELLINGTON STREET</v>
          </cell>
          <cell r="D287" t="str">
            <v>ST THOMAS, ON</v>
          </cell>
          <cell r="E287">
            <v>972</v>
          </cell>
          <cell r="F287">
            <v>753.68</v>
          </cell>
        </row>
        <row r="288">
          <cell r="B288" t="str">
            <v>GAL016</v>
          </cell>
          <cell r="C288" t="str">
            <v>485 WOODLAWN ROAD WEST</v>
          </cell>
          <cell r="D288" t="str">
            <v>GUELPH, ON</v>
          </cell>
          <cell r="E288">
            <v>6607</v>
          </cell>
          <cell r="F288">
            <v>789.16</v>
          </cell>
        </row>
        <row r="289">
          <cell r="B289" t="str">
            <v>GLO001</v>
          </cell>
          <cell r="C289" t="str">
            <v>20 WYNFORD DRIVE</v>
          </cell>
          <cell r="D289" t="str">
            <v>TORONTO, ON</v>
          </cell>
          <cell r="E289">
            <v>7996</v>
          </cell>
          <cell r="F289">
            <v>0</v>
          </cell>
        </row>
        <row r="290">
          <cell r="B290" t="str">
            <v>GLO002</v>
          </cell>
          <cell r="C290" t="str">
            <v>1120 FINCH AVENUE, WEST</v>
          </cell>
          <cell r="D290" t="str">
            <v>NORTH YORK, ON</v>
          </cell>
          <cell r="E290">
            <v>7863</v>
          </cell>
          <cell r="F290">
            <v>0</v>
          </cell>
        </row>
        <row r="291">
          <cell r="B291" t="str">
            <v>GLO003</v>
          </cell>
          <cell r="C291" t="str">
            <v>140 COMMANDER BOULEVARD</v>
          </cell>
          <cell r="D291" t="str">
            <v>SCARBOROUGH, ON</v>
          </cell>
          <cell r="E291">
            <v>5955</v>
          </cell>
          <cell r="F291">
            <v>0</v>
          </cell>
        </row>
        <row r="292">
          <cell r="B292" t="str">
            <v>IND002</v>
          </cell>
          <cell r="E292">
            <v>0</v>
          </cell>
          <cell r="F292">
            <v>0</v>
          </cell>
        </row>
        <row r="293">
          <cell r="B293" t="str">
            <v>IND005</v>
          </cell>
          <cell r="C293" t="str">
            <v>C/O 65 FRONT ST.W.</v>
          </cell>
          <cell r="D293" t="str">
            <v>TORONTO, ON</v>
          </cell>
          <cell r="E293">
            <v>165582</v>
          </cell>
          <cell r="F293">
            <v>171740</v>
          </cell>
        </row>
        <row r="294">
          <cell r="B294" t="str">
            <v>IND006</v>
          </cell>
          <cell r="C294" t="str">
            <v>8 WILLIAM KITCHEN ROAD</v>
          </cell>
          <cell r="D294" t="str">
            <v>SCARBOROUGH, ON</v>
          </cell>
          <cell r="E294">
            <v>42314</v>
          </cell>
          <cell r="F294">
            <v>38817</v>
          </cell>
        </row>
        <row r="295">
          <cell r="B295" t="str">
            <v>IND007</v>
          </cell>
          <cell r="E295">
            <v>0</v>
          </cell>
          <cell r="F295">
            <v>0</v>
          </cell>
        </row>
        <row r="296">
          <cell r="B296" t="str">
            <v>IND008</v>
          </cell>
          <cell r="E296">
            <v>0</v>
          </cell>
          <cell r="F296">
            <v>0</v>
          </cell>
        </row>
        <row r="297">
          <cell r="B297" t="str">
            <v>IND009</v>
          </cell>
          <cell r="C297" t="str">
            <v>15 FRONT STREET</v>
          </cell>
          <cell r="D297" t="str">
            <v>MACTIER, ON</v>
          </cell>
          <cell r="E297">
            <v>184728</v>
          </cell>
          <cell r="F297">
            <v>157358</v>
          </cell>
        </row>
        <row r="298">
          <cell r="B298" t="str">
            <v>IND011</v>
          </cell>
          <cell r="E298">
            <v>0</v>
          </cell>
          <cell r="F298">
            <v>0</v>
          </cell>
        </row>
        <row r="299">
          <cell r="B299" t="str">
            <v>IND012</v>
          </cell>
          <cell r="E299">
            <v>0</v>
          </cell>
          <cell r="F299">
            <v>0</v>
          </cell>
        </row>
        <row r="300">
          <cell r="B300" t="str">
            <v>IND013</v>
          </cell>
          <cell r="E300">
            <v>0</v>
          </cell>
          <cell r="F300">
            <v>0</v>
          </cell>
        </row>
        <row r="301">
          <cell r="B301" t="str">
            <v>IND014</v>
          </cell>
          <cell r="E301">
            <v>0</v>
          </cell>
          <cell r="F301">
            <v>0</v>
          </cell>
        </row>
        <row r="302">
          <cell r="B302" t="str">
            <v>IND015</v>
          </cell>
          <cell r="E302">
            <v>0</v>
          </cell>
          <cell r="F302">
            <v>0</v>
          </cell>
        </row>
        <row r="303">
          <cell r="B303" t="str">
            <v>IND016</v>
          </cell>
          <cell r="E303">
            <v>0</v>
          </cell>
          <cell r="F303">
            <v>0</v>
          </cell>
        </row>
        <row r="304">
          <cell r="B304" t="str">
            <v>IND017</v>
          </cell>
          <cell r="E304">
            <v>0</v>
          </cell>
          <cell r="F304">
            <v>0</v>
          </cell>
        </row>
        <row r="305">
          <cell r="B305" t="str">
            <v>IND018</v>
          </cell>
          <cell r="E305">
            <v>0</v>
          </cell>
          <cell r="F305">
            <v>0</v>
          </cell>
        </row>
        <row r="306">
          <cell r="B306" t="str">
            <v>IND020</v>
          </cell>
          <cell r="E306">
            <v>0</v>
          </cell>
          <cell r="F306">
            <v>0</v>
          </cell>
        </row>
        <row r="307">
          <cell r="B307" t="str">
            <v>IND021</v>
          </cell>
          <cell r="E307">
            <v>0</v>
          </cell>
          <cell r="F307">
            <v>0</v>
          </cell>
        </row>
        <row r="308">
          <cell r="B308" t="str">
            <v>IND022</v>
          </cell>
          <cell r="E308">
            <v>0</v>
          </cell>
          <cell r="F308">
            <v>0</v>
          </cell>
        </row>
        <row r="309">
          <cell r="B309" t="str">
            <v>IND023</v>
          </cell>
          <cell r="E309">
            <v>0</v>
          </cell>
          <cell r="F309">
            <v>0</v>
          </cell>
        </row>
        <row r="310">
          <cell r="B310" t="str">
            <v>IND024</v>
          </cell>
          <cell r="E310">
            <v>0</v>
          </cell>
          <cell r="F310">
            <v>0</v>
          </cell>
        </row>
        <row r="311">
          <cell r="B311" t="str">
            <v>IND025</v>
          </cell>
          <cell r="E311">
            <v>0</v>
          </cell>
          <cell r="F311">
            <v>0</v>
          </cell>
        </row>
        <row r="312">
          <cell r="B312" t="str">
            <v>IND027</v>
          </cell>
          <cell r="C312" t="str">
            <v>4726 BANK STREET</v>
          </cell>
          <cell r="D312" t="str">
            <v>GLOUCESTER, ON</v>
          </cell>
          <cell r="E312">
            <v>147754</v>
          </cell>
          <cell r="F312">
            <v>135756</v>
          </cell>
        </row>
        <row r="313">
          <cell r="B313" t="str">
            <v>IND028</v>
          </cell>
          <cell r="C313" t="str">
            <v>C/O 4726 BANK STREET</v>
          </cell>
          <cell r="D313" t="str">
            <v>GLOUCESTER, ON</v>
          </cell>
          <cell r="E313">
            <v>441653</v>
          </cell>
          <cell r="F313">
            <v>396480</v>
          </cell>
        </row>
        <row r="314">
          <cell r="B314" t="str">
            <v>IND031</v>
          </cell>
          <cell r="C314" t="str">
            <v>5 MAIN ST. E.</v>
          </cell>
          <cell r="D314" t="str">
            <v>MILTON, ON</v>
          </cell>
          <cell r="E314">
            <v>38489</v>
          </cell>
          <cell r="F314">
            <v>33014</v>
          </cell>
        </row>
        <row r="315">
          <cell r="B315" t="str">
            <v>IND036</v>
          </cell>
          <cell r="C315" t="str">
            <v>211 KING ST.</v>
          </cell>
          <cell r="D315" t="str">
            <v>ELDEE, ON</v>
          </cell>
          <cell r="E315">
            <v>133621</v>
          </cell>
          <cell r="F315">
            <v>119339.2</v>
          </cell>
        </row>
        <row r="316">
          <cell r="B316" t="str">
            <v>IND038</v>
          </cell>
          <cell r="C316" t="str">
            <v>17551 WOODBINE AVE</v>
          </cell>
          <cell r="D316" t="str">
            <v>NEWMARKET, ON</v>
          </cell>
          <cell r="E316">
            <v>295691</v>
          </cell>
          <cell r="F316">
            <v>276060</v>
          </cell>
        </row>
        <row r="317">
          <cell r="B317" t="str">
            <v>IND041</v>
          </cell>
          <cell r="C317" t="str">
            <v>740 DUFFERIN ST.</v>
          </cell>
          <cell r="D317" t="str">
            <v>TORONTO, ON</v>
          </cell>
          <cell r="E317">
            <v>159632</v>
          </cell>
          <cell r="F317">
            <v>133218</v>
          </cell>
        </row>
        <row r="318">
          <cell r="B318" t="str">
            <v>IND044</v>
          </cell>
          <cell r="E318">
            <v>0</v>
          </cell>
          <cell r="F318">
            <v>0</v>
          </cell>
        </row>
        <row r="319">
          <cell r="B319" t="str">
            <v>IND045</v>
          </cell>
          <cell r="C319" t="str">
            <v>2692 HWY.#12, P.O.BOX 66</v>
          </cell>
          <cell r="D319" t="str">
            <v>BRECHIN, ON</v>
          </cell>
          <cell r="E319">
            <v>231618</v>
          </cell>
          <cell r="F319">
            <v>242520</v>
          </cell>
        </row>
        <row r="320">
          <cell r="B320" t="str">
            <v>IND046</v>
          </cell>
          <cell r="C320" t="str">
            <v>229 RORKE AVE.</v>
          </cell>
          <cell r="D320" t="str">
            <v>HAILEYBURY, ON</v>
          </cell>
          <cell r="E320">
            <v>318855.74</v>
          </cell>
          <cell r="F320">
            <v>302661</v>
          </cell>
        </row>
        <row r="321">
          <cell r="B321" t="str">
            <v>IND048</v>
          </cell>
          <cell r="C321" t="str">
            <v>7060 - HIGHWAY 27</v>
          </cell>
          <cell r="D321" t="str">
            <v>THORNTON, ON</v>
          </cell>
          <cell r="E321">
            <v>305631.94</v>
          </cell>
          <cell r="F321">
            <v>296305</v>
          </cell>
        </row>
        <row r="322">
          <cell r="B322" t="str">
            <v>IND051</v>
          </cell>
          <cell r="C322" t="str">
            <v>701 KROSNOS BLVD.</v>
          </cell>
          <cell r="D322" t="str">
            <v>PICKERING, ON</v>
          </cell>
          <cell r="E322">
            <v>26000</v>
          </cell>
          <cell r="F322">
            <v>24903</v>
          </cell>
        </row>
        <row r="323">
          <cell r="B323" t="str">
            <v>IND052</v>
          </cell>
          <cell r="C323" t="str">
            <v>22766 WOODBINE AVENUE</v>
          </cell>
          <cell r="D323" t="str">
            <v>KESWICK, ON</v>
          </cell>
          <cell r="E323">
            <v>218592</v>
          </cell>
          <cell r="F323">
            <v>225090</v>
          </cell>
        </row>
        <row r="324">
          <cell r="B324" t="str">
            <v>IND053</v>
          </cell>
          <cell r="C324" t="str">
            <v>1515 KING RD. UNIT 1</v>
          </cell>
          <cell r="D324" t="str">
            <v>KING CITY, ON</v>
          </cell>
          <cell r="E324">
            <v>59514</v>
          </cell>
          <cell r="F324">
            <v>52796</v>
          </cell>
        </row>
        <row r="325">
          <cell r="B325" t="str">
            <v>IND056</v>
          </cell>
          <cell r="C325" t="str">
            <v>2141 CARP ROAD</v>
          </cell>
          <cell r="D325" t="str">
            <v>CARP, ON</v>
          </cell>
          <cell r="E325">
            <v>15279</v>
          </cell>
          <cell r="F325">
            <v>18888</v>
          </cell>
        </row>
        <row r="326">
          <cell r="B326" t="str">
            <v>IND060</v>
          </cell>
          <cell r="C326" t="str">
            <v>914 UPPER JAMES STREET</v>
          </cell>
          <cell r="D326" t="str">
            <v>HAMILTON, ON</v>
          </cell>
          <cell r="E326">
            <v>39173</v>
          </cell>
          <cell r="F326">
            <v>43765</v>
          </cell>
        </row>
        <row r="327">
          <cell r="B327" t="str">
            <v>IND061</v>
          </cell>
          <cell r="C327" t="str">
            <v>277 HESPELER ROAD</v>
          </cell>
          <cell r="D327" t="str">
            <v>CAMBRIDGE, ON</v>
          </cell>
          <cell r="E327">
            <v>23866</v>
          </cell>
          <cell r="F327">
            <v>22127</v>
          </cell>
        </row>
        <row r="328">
          <cell r="B328" t="str">
            <v>IND062</v>
          </cell>
          <cell r="C328" t="str">
            <v xml:space="preserve">HWY #11B, P.O. BOX 638 </v>
          </cell>
          <cell r="D328" t="str">
            <v>NEW LISKEARD, ON</v>
          </cell>
          <cell r="E328">
            <v>132481</v>
          </cell>
          <cell r="F328">
            <v>131409</v>
          </cell>
        </row>
        <row r="329">
          <cell r="B329" t="str">
            <v>IND064</v>
          </cell>
          <cell r="C329" t="str">
            <v>CONESTOGA MALL</v>
          </cell>
          <cell r="D329" t="str">
            <v>WATERLOO, ON</v>
          </cell>
          <cell r="E329">
            <v>17088</v>
          </cell>
          <cell r="F329">
            <v>15859.31</v>
          </cell>
        </row>
        <row r="330">
          <cell r="B330" t="str">
            <v>IND066</v>
          </cell>
          <cell r="C330" t="str">
            <v>151 KING GEORGE ROAD</v>
          </cell>
          <cell r="D330" t="str">
            <v>BRANTFORD, ON</v>
          </cell>
          <cell r="E330">
            <v>27637</v>
          </cell>
          <cell r="F330">
            <v>24813</v>
          </cell>
        </row>
        <row r="331">
          <cell r="B331" t="str">
            <v>IND067</v>
          </cell>
          <cell r="E331">
            <v>0</v>
          </cell>
          <cell r="F331">
            <v>0</v>
          </cell>
        </row>
        <row r="332">
          <cell r="B332" t="str">
            <v>IND068</v>
          </cell>
          <cell r="C332" t="str">
            <v>1401 MATHESON BLVD.</v>
          </cell>
          <cell r="D332" t="str">
            <v>MISSISSAUGA, ON</v>
          </cell>
          <cell r="E332">
            <v>7707</v>
          </cell>
          <cell r="F332">
            <v>7485</v>
          </cell>
        </row>
        <row r="333">
          <cell r="B333" t="str">
            <v>IND069</v>
          </cell>
          <cell r="C333" t="str">
            <v>653 PARKHILL ROAD WEST</v>
          </cell>
          <cell r="D333" t="str">
            <v>PETERBOROUGH, ON</v>
          </cell>
          <cell r="E333">
            <v>28889</v>
          </cell>
          <cell r="F333">
            <v>35899</v>
          </cell>
        </row>
        <row r="334">
          <cell r="B334" t="str">
            <v>IND070</v>
          </cell>
          <cell r="C334" t="str">
            <v>5020 HIGHWAY 7 WEST</v>
          </cell>
          <cell r="D334" t="str">
            <v>WOODBRIDGE, ON</v>
          </cell>
          <cell r="E334">
            <v>4608</v>
          </cell>
          <cell r="F334">
            <v>6416</v>
          </cell>
        </row>
        <row r="335">
          <cell r="B335" t="str">
            <v>IND071</v>
          </cell>
          <cell r="C335" t="str">
            <v>1000 NEW WESTMINISTER DRIVE</v>
          </cell>
          <cell r="D335" t="str">
            <v>THORNHILL, ON</v>
          </cell>
          <cell r="E335">
            <v>5401</v>
          </cell>
          <cell r="F335">
            <v>9833</v>
          </cell>
        </row>
        <row r="336">
          <cell r="B336" t="str">
            <v>IND072</v>
          </cell>
          <cell r="C336" t="str">
            <v>8141 MARTINGROVE ROAD</v>
          </cell>
          <cell r="D336" t="str">
            <v>WOODBRIDGE, ON</v>
          </cell>
          <cell r="E336">
            <v>4844</v>
          </cell>
          <cell r="F336">
            <v>4945</v>
          </cell>
        </row>
        <row r="337">
          <cell r="B337" t="str">
            <v>IND073</v>
          </cell>
          <cell r="C337" t="str">
            <v>9201 ISLINGTON AVENUE</v>
          </cell>
          <cell r="D337" t="str">
            <v>WOODBRIDGE, ON</v>
          </cell>
          <cell r="E337">
            <v>27222</v>
          </cell>
          <cell r="F337">
            <v>27403</v>
          </cell>
        </row>
        <row r="338">
          <cell r="B338" t="str">
            <v>IND074</v>
          </cell>
          <cell r="C338" t="str">
            <v>501 CLARK AVENUE</v>
          </cell>
          <cell r="D338" t="str">
            <v>THORNHILL, ON</v>
          </cell>
          <cell r="E338">
            <v>14180.51</v>
          </cell>
          <cell r="F338">
            <v>15907</v>
          </cell>
        </row>
        <row r="339">
          <cell r="B339" t="str">
            <v>IND075</v>
          </cell>
          <cell r="C339" t="str">
            <v>320 WATER ST.</v>
          </cell>
          <cell r="D339" t="str">
            <v>PETERBOROUGH, ON</v>
          </cell>
          <cell r="E339">
            <v>23344</v>
          </cell>
          <cell r="F339">
            <v>23716.91</v>
          </cell>
        </row>
        <row r="340">
          <cell r="B340" t="str">
            <v>IND076</v>
          </cell>
          <cell r="C340" t="str">
            <v>2317 ST. CLAIR AVE. WEST</v>
          </cell>
          <cell r="D340" t="str">
            <v>TORONTO, ON</v>
          </cell>
          <cell r="E340">
            <v>48795</v>
          </cell>
          <cell r="F340">
            <v>40336</v>
          </cell>
        </row>
        <row r="341">
          <cell r="B341" t="str">
            <v>IND077</v>
          </cell>
          <cell r="C341" t="str">
            <v xml:space="preserve">18 PETER STREET(C/O HOPE'S </v>
          </cell>
          <cell r="D341" t="str">
            <v>FOODLAND) NOVAR, ON</v>
          </cell>
          <cell r="E341">
            <v>99228.01</v>
          </cell>
          <cell r="F341">
            <v>87272.94</v>
          </cell>
        </row>
        <row r="342">
          <cell r="B342" t="str">
            <v>IND078</v>
          </cell>
          <cell r="C342" t="str">
            <v>375 GUELPH STREET</v>
          </cell>
          <cell r="D342" t="str">
            <v>GEORGETOWN, ON</v>
          </cell>
          <cell r="E342">
            <v>16902</v>
          </cell>
          <cell r="F342">
            <v>0</v>
          </cell>
        </row>
        <row r="343">
          <cell r="B343" t="str">
            <v>IND084</v>
          </cell>
          <cell r="C343" t="str">
            <v>545 ARMSTRONG ROAD</v>
          </cell>
          <cell r="D343" t="str">
            <v>KINGSTON, ON</v>
          </cell>
          <cell r="E343">
            <v>8470</v>
          </cell>
          <cell r="F343">
            <v>0</v>
          </cell>
        </row>
        <row r="344">
          <cell r="B344" t="str">
            <v>IND086</v>
          </cell>
          <cell r="C344" t="str">
            <v>705 QUEEN STREET EAST</v>
          </cell>
          <cell r="D344" t="str">
            <v>TORONTO, ON</v>
          </cell>
          <cell r="E344">
            <v>2935</v>
          </cell>
          <cell r="F344">
            <v>0</v>
          </cell>
        </row>
        <row r="345">
          <cell r="B345" t="str">
            <v>IND087</v>
          </cell>
          <cell r="C345" t="str">
            <v>1644 DUFFERIN AVENUE</v>
          </cell>
          <cell r="D345" t="str">
            <v>WALLACEBURG, ON</v>
          </cell>
          <cell r="E345">
            <v>10088</v>
          </cell>
          <cell r="F345">
            <v>0</v>
          </cell>
        </row>
        <row r="346">
          <cell r="B346" t="str">
            <v>LAN001</v>
          </cell>
          <cell r="C346" t="str">
            <v>2832 HWY #60</v>
          </cell>
          <cell r="D346" t="str">
            <v>DWIGHT, ON</v>
          </cell>
          <cell r="E346">
            <v>239133</v>
          </cell>
          <cell r="F346">
            <v>231857</v>
          </cell>
        </row>
        <row r="347">
          <cell r="B347" t="str">
            <v>MEN001</v>
          </cell>
          <cell r="C347" t="str">
            <v>1001 FRANKLIN BLVD</v>
          </cell>
          <cell r="D347" t="str">
            <v>CAMBRIDGE, ON</v>
          </cell>
          <cell r="E347">
            <v>850</v>
          </cell>
          <cell r="F347">
            <v>962</v>
          </cell>
        </row>
        <row r="348">
          <cell r="B348" t="str">
            <v>MEN002</v>
          </cell>
          <cell r="C348" t="str">
            <v>3400 GRAND MORAIS ROAD EAST</v>
          </cell>
          <cell r="D348" t="str">
            <v>WINDSOR, ON</v>
          </cell>
          <cell r="E348">
            <v>2400</v>
          </cell>
          <cell r="F348">
            <v>2653</v>
          </cell>
        </row>
        <row r="349">
          <cell r="B349" t="str">
            <v>MEN003</v>
          </cell>
          <cell r="C349" t="str">
            <v>99 BROOKSIDE STREET</v>
          </cell>
          <cell r="D349" t="str">
            <v>LONDON, ON</v>
          </cell>
          <cell r="E349">
            <v>0</v>
          </cell>
          <cell r="F349">
            <v>0</v>
          </cell>
        </row>
        <row r="350">
          <cell r="B350" t="str">
            <v>MRV006</v>
          </cell>
          <cell r="C350" t="str">
            <v>2467 EGLINTON AVENUE EAST</v>
          </cell>
          <cell r="D350" t="str">
            <v>SCARBOROUGH, ON</v>
          </cell>
          <cell r="E350">
            <v>22546</v>
          </cell>
          <cell r="F350">
            <v>6793</v>
          </cell>
        </row>
        <row r="351">
          <cell r="B351" t="str">
            <v>MRV007</v>
          </cell>
          <cell r="C351" t="str">
            <v>2231 LAWRENCE AVENUE EAST</v>
          </cell>
          <cell r="D351" t="str">
            <v>SCARBOROUGH, ON</v>
          </cell>
          <cell r="E351">
            <v>9643</v>
          </cell>
          <cell r="F351">
            <v>9691</v>
          </cell>
        </row>
        <row r="352">
          <cell r="B352" t="str">
            <v>MRV008</v>
          </cell>
          <cell r="C352" t="str">
            <v>4285 LAWRENCE AVENUE EAST</v>
          </cell>
          <cell r="D352" t="str">
            <v>SCARBOROUGH, ON</v>
          </cell>
          <cell r="E352">
            <v>18543</v>
          </cell>
          <cell r="F352">
            <v>19589</v>
          </cell>
        </row>
        <row r="353">
          <cell r="B353" t="str">
            <v>MRV009</v>
          </cell>
          <cell r="C353" t="str">
            <v>3600 KINGSTON ROAD</v>
          </cell>
          <cell r="D353" t="str">
            <v>SCARBOROUGH, ON</v>
          </cell>
          <cell r="E353">
            <v>7097</v>
          </cell>
          <cell r="F353">
            <v>8710</v>
          </cell>
        </row>
        <row r="354">
          <cell r="B354" t="str">
            <v>MRV010</v>
          </cell>
          <cell r="C354" t="str">
            <v>1967 ELLESMERE ROAD</v>
          </cell>
          <cell r="D354" t="str">
            <v>SCARBOROUGH, ON</v>
          </cell>
          <cell r="E354">
            <v>14924</v>
          </cell>
          <cell r="F354">
            <v>16560</v>
          </cell>
        </row>
        <row r="355">
          <cell r="B355" t="str">
            <v>MRV011</v>
          </cell>
          <cell r="C355" t="str">
            <v>30 SEWELLS ROAD</v>
          </cell>
          <cell r="D355" t="str">
            <v>SCARBOROUGH, ON</v>
          </cell>
          <cell r="E355">
            <v>13918</v>
          </cell>
          <cell r="F355">
            <v>21796</v>
          </cell>
        </row>
        <row r="356">
          <cell r="B356" t="str">
            <v>MRV012</v>
          </cell>
          <cell r="C356" t="str">
            <v>31 GLEN WATFORD DRIVE</v>
          </cell>
          <cell r="D356" t="str">
            <v>SCARBOROUGH, ON</v>
          </cell>
          <cell r="E356">
            <v>11786</v>
          </cell>
          <cell r="F356">
            <v>12969</v>
          </cell>
        </row>
        <row r="357">
          <cell r="B357" t="str">
            <v>MRV014</v>
          </cell>
          <cell r="C357" t="str">
            <v>1138 BATHURST ST</v>
          </cell>
          <cell r="D357" t="str">
            <v>TORONTO, ON</v>
          </cell>
          <cell r="E357">
            <v>37931.620000000003</v>
          </cell>
          <cell r="F357">
            <v>37224</v>
          </cell>
        </row>
        <row r="358">
          <cell r="B358" t="str">
            <v>MRV015</v>
          </cell>
          <cell r="C358" t="str">
            <v>600 OSHAWA BLVD NORTH</v>
          </cell>
          <cell r="D358" t="str">
            <v>OSHAWA, ON</v>
          </cell>
          <cell r="E358">
            <v>26414.16</v>
          </cell>
          <cell r="F358">
            <v>24959</v>
          </cell>
        </row>
        <row r="359">
          <cell r="B359" t="str">
            <v>MRV016</v>
          </cell>
          <cell r="C359" t="str">
            <v>243 WILMINGTON AVENUE</v>
          </cell>
          <cell r="D359" t="str">
            <v>NORTH YORK, ON</v>
          </cell>
          <cell r="E359">
            <v>20077.79</v>
          </cell>
          <cell r="F359">
            <v>26744</v>
          </cell>
        </row>
        <row r="360">
          <cell r="B360" t="str">
            <v>MRV017</v>
          </cell>
          <cell r="C360" t="str">
            <v>1500 GULLEDEN DRIVE</v>
          </cell>
          <cell r="D360" t="str">
            <v>MISSISSAUGA, ON</v>
          </cell>
          <cell r="E360">
            <v>3390.09</v>
          </cell>
          <cell r="F360">
            <v>0</v>
          </cell>
        </row>
        <row r="361">
          <cell r="B361" t="str">
            <v>MRV018</v>
          </cell>
          <cell r="C361" t="str">
            <v xml:space="preserve">1399 CAWTHRA ROAD </v>
          </cell>
          <cell r="D361" t="str">
            <v>MISSISSAUGA, ON</v>
          </cell>
          <cell r="E361">
            <v>4861.88</v>
          </cell>
          <cell r="F361">
            <v>6097.25</v>
          </cell>
        </row>
        <row r="362">
          <cell r="B362" t="str">
            <v>MRV019</v>
          </cell>
          <cell r="C362" t="str">
            <v>2475 TRUSCOTT DR</v>
          </cell>
          <cell r="D362" t="str">
            <v>MISSISSAUGA, ON</v>
          </cell>
          <cell r="E362">
            <v>3167.97</v>
          </cell>
          <cell r="F362">
            <v>11440.97</v>
          </cell>
        </row>
        <row r="363">
          <cell r="B363" t="str">
            <v>MRV020</v>
          </cell>
          <cell r="C363" t="str">
            <v>3205 UNITY DRIVE</v>
          </cell>
          <cell r="D363" t="str">
            <v>MISSISSAUGA, ON</v>
          </cell>
          <cell r="E363">
            <v>10519.83</v>
          </cell>
          <cell r="F363">
            <v>14036.65</v>
          </cell>
        </row>
        <row r="364">
          <cell r="B364" t="str">
            <v>MRV021</v>
          </cell>
          <cell r="C364" t="str">
            <v xml:space="preserve">3430 DERRY ROAD </v>
          </cell>
          <cell r="D364" t="str">
            <v>MISSISSAUGA, ON</v>
          </cell>
          <cell r="E364">
            <v>1072.1600000000001</v>
          </cell>
          <cell r="F364">
            <v>3915.41</v>
          </cell>
        </row>
        <row r="365">
          <cell r="B365" t="str">
            <v>MRV022</v>
          </cell>
          <cell r="C365" t="str">
            <v>705 MATHESON BLVD.,EAST</v>
          </cell>
          <cell r="D365" t="str">
            <v>MISSISSAUGA, ON</v>
          </cell>
          <cell r="E365">
            <v>32793.31</v>
          </cell>
          <cell r="F365">
            <v>33961.11</v>
          </cell>
        </row>
        <row r="366">
          <cell r="B366" t="str">
            <v>MRV023</v>
          </cell>
          <cell r="C366" t="str">
            <v>200 RATHBURN ROAD WEST</v>
          </cell>
          <cell r="D366" t="str">
            <v xml:space="preserve">MISSISSAUGA, ON </v>
          </cell>
          <cell r="E366">
            <v>29809.33</v>
          </cell>
          <cell r="F366">
            <v>35386.230000000003</v>
          </cell>
        </row>
        <row r="367">
          <cell r="B367" t="str">
            <v>MRV024</v>
          </cell>
          <cell r="C367" t="str">
            <v>2160 TORQUAY MEWS</v>
          </cell>
          <cell r="D367" t="str">
            <v>MISSISSAUGA</v>
          </cell>
          <cell r="E367">
            <v>16452.580000000002</v>
          </cell>
          <cell r="F367">
            <v>13790.78</v>
          </cell>
        </row>
        <row r="368">
          <cell r="B368" t="str">
            <v>MRV025</v>
          </cell>
          <cell r="C368" t="str">
            <v>1275 MISSISSAUGA VALLEY BLVD.</v>
          </cell>
          <cell r="D368" t="str">
            <v>MISSISSAUGA, ON</v>
          </cell>
          <cell r="E368">
            <v>4241.8999999999996</v>
          </cell>
          <cell r="F368">
            <v>0</v>
          </cell>
        </row>
        <row r="369">
          <cell r="B369" t="str">
            <v>MRV026</v>
          </cell>
          <cell r="C369" t="str">
            <v xml:space="preserve">40 STAVEBANK ROAD </v>
          </cell>
          <cell r="D369" t="str">
            <v xml:space="preserve">MISSISSAUGA, ON </v>
          </cell>
          <cell r="E369">
            <v>4914.47</v>
          </cell>
          <cell r="F369">
            <v>6190.25</v>
          </cell>
        </row>
        <row r="370">
          <cell r="B370" t="str">
            <v>MRV027</v>
          </cell>
          <cell r="C370" t="str">
            <v>135 LAKEFRONT PROMENAD</v>
          </cell>
          <cell r="D370" t="str">
            <v>MISSISSAUGA,ON</v>
          </cell>
          <cell r="E370">
            <v>2896.59</v>
          </cell>
          <cell r="F370">
            <v>2139.5</v>
          </cell>
        </row>
        <row r="371">
          <cell r="B371" t="str">
            <v>MRV028</v>
          </cell>
          <cell r="C371" t="str">
            <v>1190 DIXIE ROAD</v>
          </cell>
          <cell r="D371" t="str">
            <v xml:space="preserve">MISSISSAUGA, ON </v>
          </cell>
          <cell r="E371">
            <v>5803.34</v>
          </cell>
          <cell r="F371">
            <v>4426.43</v>
          </cell>
        </row>
        <row r="372">
          <cell r="B372" t="str">
            <v>MRV029</v>
          </cell>
          <cell r="C372" t="str">
            <v>5625 TERRY FOX WAY</v>
          </cell>
          <cell r="D372" t="str">
            <v>MISSISSAUGA, ON</v>
          </cell>
          <cell r="E372">
            <v>1353.45</v>
          </cell>
          <cell r="F372">
            <v>0</v>
          </cell>
        </row>
        <row r="373">
          <cell r="B373" t="str">
            <v>MRV030</v>
          </cell>
          <cell r="C373" t="str">
            <v>40 STAVEBANK ROAD</v>
          </cell>
          <cell r="D373" t="str">
            <v>MISSISSAUGA,ON</v>
          </cell>
          <cell r="E373">
            <v>1957.42</v>
          </cell>
          <cell r="F373">
            <v>0</v>
          </cell>
        </row>
        <row r="374">
          <cell r="B374" t="str">
            <v>MRV031</v>
          </cell>
          <cell r="C374" t="str">
            <v>590 RATHBURN ROAD</v>
          </cell>
          <cell r="D374" t="str">
            <v>ETOBICOKE, ON</v>
          </cell>
          <cell r="E374">
            <v>5450</v>
          </cell>
          <cell r="F374">
            <v>0</v>
          </cell>
        </row>
        <row r="375">
          <cell r="B375" t="str">
            <v>MRV032</v>
          </cell>
          <cell r="C375" t="str">
            <v>5500 ROSE CHERRY PLACE</v>
          </cell>
          <cell r="D375" t="str">
            <v>MISSISSAUGA,ON</v>
          </cell>
          <cell r="E375">
            <v>0</v>
          </cell>
          <cell r="F375">
            <v>0</v>
          </cell>
        </row>
        <row r="376">
          <cell r="B376" t="str">
            <v>MRV033</v>
          </cell>
          <cell r="C376" t="str">
            <v>3020 BATHURST STREET</v>
          </cell>
          <cell r="D376" t="str">
            <v>TORONTO, ON</v>
          </cell>
          <cell r="E376">
            <v>0</v>
          </cell>
          <cell r="F376">
            <v>0</v>
          </cell>
        </row>
        <row r="377">
          <cell r="B377" t="str">
            <v>MRV034</v>
          </cell>
          <cell r="C377" t="str">
            <v>4700 KEELE STREET</v>
          </cell>
          <cell r="D377" t="str">
            <v>TORONTO, ON</v>
          </cell>
          <cell r="E377">
            <v>21800</v>
          </cell>
          <cell r="F377">
            <v>14333</v>
          </cell>
        </row>
        <row r="378">
          <cell r="B378" t="str">
            <v>MRV035</v>
          </cell>
          <cell r="C378" t="str">
            <v>9050 BRAMALEA ROAD</v>
          </cell>
          <cell r="D378" t="str">
            <v>BRAMPTON, ON</v>
          </cell>
          <cell r="E378">
            <v>0</v>
          </cell>
          <cell r="F378">
            <v>0</v>
          </cell>
        </row>
        <row r="379">
          <cell r="B379" t="str">
            <v>MRV036</v>
          </cell>
          <cell r="C379" t="str">
            <v>125 MCLAUGHLIN RD., NORTH</v>
          </cell>
          <cell r="D379" t="str">
            <v>BRAMPTON, ON</v>
          </cell>
          <cell r="E379">
            <v>12386.15</v>
          </cell>
          <cell r="F379">
            <v>10830.55</v>
          </cell>
        </row>
        <row r="380">
          <cell r="B380" t="str">
            <v>MRV037</v>
          </cell>
          <cell r="C380" t="str">
            <v>44 EASTBOURNE DRIVE</v>
          </cell>
          <cell r="D380" t="str">
            <v>BRAMPTON, ON</v>
          </cell>
          <cell r="E380">
            <v>13898.85</v>
          </cell>
          <cell r="F380">
            <v>11709.6</v>
          </cell>
        </row>
        <row r="381">
          <cell r="B381" t="str">
            <v>MRV038</v>
          </cell>
          <cell r="C381" t="str">
            <v>1100 CENTRAL PARK DRIVE</v>
          </cell>
          <cell r="D381" t="str">
            <v>BRAMPTON, ON</v>
          </cell>
          <cell r="E381">
            <v>13333.95</v>
          </cell>
          <cell r="F381">
            <v>11558.35</v>
          </cell>
        </row>
        <row r="382">
          <cell r="B382" t="str">
            <v>MRV039</v>
          </cell>
          <cell r="C382" t="str">
            <v xml:space="preserve">292 CONESTOGA DRIVE, </v>
          </cell>
          <cell r="D382" t="str">
            <v>BRAMPTON, ON</v>
          </cell>
          <cell r="E382">
            <v>10902.05</v>
          </cell>
          <cell r="F382">
            <v>9313.1</v>
          </cell>
        </row>
        <row r="383">
          <cell r="B383" t="str">
            <v>MRV040</v>
          </cell>
          <cell r="C383" t="str">
            <v>30 LOAFER'S LAKE LAND</v>
          </cell>
          <cell r="D383" t="str">
            <v>BRAMPTON, ON</v>
          </cell>
          <cell r="E383">
            <v>3380.95</v>
          </cell>
          <cell r="F383">
            <v>2002.6</v>
          </cell>
        </row>
        <row r="384">
          <cell r="B384" t="str">
            <v>MRV041</v>
          </cell>
          <cell r="C384" t="str">
            <v>69 ELLIOT STREET</v>
          </cell>
          <cell r="D384" t="str">
            <v>BRAMPTON, ON</v>
          </cell>
          <cell r="E384">
            <v>21410.7</v>
          </cell>
          <cell r="F384">
            <v>18867.25</v>
          </cell>
        </row>
        <row r="385">
          <cell r="B385" t="str">
            <v>MRV042</v>
          </cell>
          <cell r="C385" t="str">
            <v>1295 WILLIAMS PARKWAY</v>
          </cell>
          <cell r="D385" t="str">
            <v>BRAMPTON, ON</v>
          </cell>
          <cell r="E385">
            <v>11732.6</v>
          </cell>
          <cell r="F385">
            <v>10470.700000000001</v>
          </cell>
        </row>
        <row r="386">
          <cell r="B386" t="str">
            <v>MRV043</v>
          </cell>
          <cell r="C386" t="str">
            <v>20 VICTORIA CRESCENT</v>
          </cell>
          <cell r="D386" t="str">
            <v>BRAMPTON, ON</v>
          </cell>
          <cell r="E386">
            <v>15967.8</v>
          </cell>
          <cell r="F386">
            <v>14455.25</v>
          </cell>
        </row>
        <row r="387">
          <cell r="B387" t="str">
            <v>MRV044</v>
          </cell>
          <cell r="C387" t="str">
            <v>150 CENTRAL PARK DRIVE</v>
          </cell>
          <cell r="D387" t="str">
            <v>BRAMPTON, ON</v>
          </cell>
          <cell r="E387">
            <v>52284</v>
          </cell>
          <cell r="F387">
            <v>27104.400000000001</v>
          </cell>
        </row>
        <row r="388">
          <cell r="B388" t="str">
            <v>MRV045</v>
          </cell>
          <cell r="C388" t="str">
            <v>370 BARTLEY BULL PARKWAY</v>
          </cell>
          <cell r="D388" t="str">
            <v>BRAMPTON, ON</v>
          </cell>
          <cell r="E388">
            <v>0</v>
          </cell>
          <cell r="F388">
            <v>0</v>
          </cell>
        </row>
        <row r="389">
          <cell r="B389" t="str">
            <v>MRV046</v>
          </cell>
          <cell r="C389" t="str">
            <v>340 VADDEN STREET EAST</v>
          </cell>
          <cell r="D389" t="str">
            <v>BRAMPTON, ON</v>
          </cell>
          <cell r="E389">
            <v>13477.2</v>
          </cell>
          <cell r="F389">
            <v>10969</v>
          </cell>
        </row>
        <row r="390">
          <cell r="B390" t="str">
            <v>MRV047</v>
          </cell>
          <cell r="C390" t="str">
            <v>29A HARTFORD TRAIL</v>
          </cell>
          <cell r="D390" t="str">
            <v>BRAMPTON, ON</v>
          </cell>
          <cell r="E390">
            <v>0</v>
          </cell>
          <cell r="F390">
            <v>0</v>
          </cell>
        </row>
        <row r="391">
          <cell r="B391" t="str">
            <v>MRV048</v>
          </cell>
          <cell r="C391" t="str">
            <v>789 YONGE STREET</v>
          </cell>
          <cell r="D391" t="str">
            <v>TORONTO, ON</v>
          </cell>
          <cell r="E391">
            <v>26986.43</v>
          </cell>
          <cell r="F391">
            <v>0</v>
          </cell>
        </row>
        <row r="392">
          <cell r="B392" t="str">
            <v>MRV049</v>
          </cell>
          <cell r="C392" t="str">
            <v>291 BROCK STREET, WEST</v>
          </cell>
          <cell r="D392" t="str">
            <v>UXBRIDGE, ON</v>
          </cell>
          <cell r="E392">
            <v>30081</v>
          </cell>
          <cell r="F392">
            <v>0</v>
          </cell>
        </row>
        <row r="393">
          <cell r="B393" t="str">
            <v>MRV13A</v>
          </cell>
          <cell r="C393" t="str">
            <v>93 BIRCHMOUNT ROAD, KIOSK A</v>
          </cell>
          <cell r="D393" t="str">
            <v>SCARBOROUGH, ON</v>
          </cell>
          <cell r="E393">
            <v>14623</v>
          </cell>
          <cell r="F393">
            <v>1515</v>
          </cell>
        </row>
        <row r="394">
          <cell r="B394" t="str">
            <v>MRV13B</v>
          </cell>
          <cell r="C394" t="str">
            <v>75 BIRCHMOUNT ROAD</v>
          </cell>
          <cell r="D394" t="str">
            <v>SCARBOROUGH, ON</v>
          </cell>
          <cell r="E394">
            <v>1000</v>
          </cell>
          <cell r="F394">
            <v>0</v>
          </cell>
        </row>
        <row r="395">
          <cell r="B395" t="str">
            <v>NEWNT</v>
          </cell>
          <cell r="E395">
            <v>0</v>
          </cell>
          <cell r="F395">
            <v>0</v>
          </cell>
        </row>
        <row r="396">
          <cell r="B396" t="str">
            <v>PCW001</v>
          </cell>
          <cell r="C396" t="str">
            <v>9580 JANE STREET</v>
          </cell>
          <cell r="D396" t="str">
            <v>VAUGHAN, ON</v>
          </cell>
          <cell r="E396">
            <v>208494</v>
          </cell>
          <cell r="F396">
            <v>0</v>
          </cell>
        </row>
        <row r="397">
          <cell r="B397" t="str">
            <v>PET001</v>
          </cell>
          <cell r="C397" t="str">
            <v xml:space="preserve">508 MAIN ST. EAST </v>
          </cell>
          <cell r="D397" t="str">
            <v>SHELBURNE, ON</v>
          </cell>
          <cell r="E397">
            <v>79921</v>
          </cell>
          <cell r="F397">
            <v>37307</v>
          </cell>
        </row>
        <row r="398">
          <cell r="B398" t="str">
            <v>PIO003</v>
          </cell>
          <cell r="C398" t="str">
            <v>4495 BATH ROAD</v>
          </cell>
          <cell r="D398" t="str">
            <v>AMHERSTVIEW, ON</v>
          </cell>
          <cell r="E398">
            <v>202914</v>
          </cell>
          <cell r="F398">
            <v>159670</v>
          </cell>
        </row>
        <row r="399">
          <cell r="B399" t="str">
            <v>PIO004</v>
          </cell>
          <cell r="C399" t="str">
            <v>1092 HIGHWAY #6 N</v>
          </cell>
          <cell r="D399" t="str">
            <v>HAMILTON, ON</v>
          </cell>
          <cell r="E399">
            <v>48369</v>
          </cell>
          <cell r="F399">
            <v>31762</v>
          </cell>
        </row>
        <row r="400">
          <cell r="B400" t="str">
            <v>PIO005</v>
          </cell>
          <cell r="C400" t="str">
            <v>99 KING STREET</v>
          </cell>
          <cell r="D400" t="str">
            <v>PARIS, ON</v>
          </cell>
          <cell r="E400">
            <v>43702</v>
          </cell>
          <cell r="F400">
            <v>28007</v>
          </cell>
        </row>
        <row r="401">
          <cell r="B401" t="str">
            <v>PIO006</v>
          </cell>
          <cell r="C401" t="str">
            <v>857 10TH STREET</v>
          </cell>
          <cell r="D401" t="str">
            <v>HANOVER, ON</v>
          </cell>
          <cell r="E401">
            <v>9095</v>
          </cell>
          <cell r="F401">
            <v>3801</v>
          </cell>
        </row>
        <row r="402">
          <cell r="B402" t="str">
            <v>PIO007</v>
          </cell>
          <cell r="C402" t="str">
            <v>859 UPPER JAMES STRET</v>
          </cell>
          <cell r="D402" t="str">
            <v>HAMILTON, ON</v>
          </cell>
          <cell r="E402">
            <v>12768</v>
          </cell>
          <cell r="F402">
            <v>6766</v>
          </cell>
        </row>
        <row r="403">
          <cell r="B403" t="str">
            <v>PIO008</v>
          </cell>
          <cell r="C403" t="str">
            <v>545 WOODWARD AVENUE</v>
          </cell>
          <cell r="D403" t="str">
            <v>HAMILTON, ON</v>
          </cell>
          <cell r="E403">
            <v>26450</v>
          </cell>
          <cell r="F403">
            <v>0</v>
          </cell>
        </row>
        <row r="404">
          <cell r="B404" t="str">
            <v>PIO009</v>
          </cell>
          <cell r="C404" t="str">
            <v>6868 HYW #7 - R.R. #5</v>
          </cell>
          <cell r="D404" t="str">
            <v>SPRINGVILLE, ON</v>
          </cell>
          <cell r="E404">
            <v>101962</v>
          </cell>
          <cell r="F404">
            <v>15904</v>
          </cell>
        </row>
        <row r="405">
          <cell r="B405" t="str">
            <v>PIO010</v>
          </cell>
          <cell r="C405" t="str">
            <v>1105 KING STREET EAST</v>
          </cell>
          <cell r="D405" t="str">
            <v>KITCHENER, ON</v>
          </cell>
          <cell r="E405">
            <v>7702</v>
          </cell>
          <cell r="F405">
            <v>0</v>
          </cell>
        </row>
        <row r="406">
          <cell r="B406" t="str">
            <v>PIO012</v>
          </cell>
          <cell r="C406" t="str">
            <v>4499 MAINWAY DRIVE</v>
          </cell>
          <cell r="D406" t="str">
            <v>BURLINGTON, ON</v>
          </cell>
          <cell r="E406">
            <v>26445</v>
          </cell>
          <cell r="F406">
            <v>0</v>
          </cell>
        </row>
        <row r="407">
          <cell r="B407" t="str">
            <v>RAB001</v>
          </cell>
          <cell r="C407" t="str">
            <v>20 BRISTOL ROAD</v>
          </cell>
          <cell r="D407" t="str">
            <v>MISSISSAUGA, ON</v>
          </cell>
          <cell r="E407">
            <v>35901</v>
          </cell>
          <cell r="F407">
            <v>5725</v>
          </cell>
        </row>
        <row r="408">
          <cell r="B408" t="str">
            <v>RAB002</v>
          </cell>
          <cell r="C408" t="str">
            <v>17 KINGS CROSS ROAD</v>
          </cell>
          <cell r="D408" t="str">
            <v>BRAMPTON, ON</v>
          </cell>
          <cell r="E408">
            <v>13963</v>
          </cell>
          <cell r="F408">
            <v>0</v>
          </cell>
        </row>
        <row r="409">
          <cell r="B409" t="str">
            <v>SHL002</v>
          </cell>
          <cell r="C409" t="str">
            <v>BOX 308 HIGHWAY 11 NORTH</v>
          </cell>
          <cell r="D409" t="str">
            <v>TEMAGAMI, ON</v>
          </cell>
          <cell r="E409">
            <v>192575</v>
          </cell>
          <cell r="F409">
            <v>172666</v>
          </cell>
        </row>
        <row r="410">
          <cell r="B410" t="str">
            <v>SHL003</v>
          </cell>
          <cell r="C410" t="str">
            <v>2881 MAJOR MACKENZIE DRIVE</v>
          </cell>
          <cell r="D410" t="str">
            <v>MARKHAM, ON</v>
          </cell>
          <cell r="E410">
            <v>58380</v>
          </cell>
          <cell r="F410">
            <v>71652</v>
          </cell>
        </row>
        <row r="411">
          <cell r="B411" t="str">
            <v>SHL004</v>
          </cell>
          <cell r="C411" t="str">
            <v>1221 GUELPH LINE ROAD</v>
          </cell>
          <cell r="D411" t="str">
            <v>BURLINGTON, ON</v>
          </cell>
          <cell r="E411">
            <v>53371</v>
          </cell>
          <cell r="F411">
            <v>55354</v>
          </cell>
        </row>
        <row r="412">
          <cell r="B412" t="str">
            <v>SHL008</v>
          </cell>
          <cell r="C412" t="str">
            <v>38 SPADINA AVENUE</v>
          </cell>
          <cell r="D412" t="str">
            <v>TORONTO, ON</v>
          </cell>
          <cell r="E412">
            <v>315906</v>
          </cell>
          <cell r="F412">
            <v>326739</v>
          </cell>
        </row>
        <row r="413">
          <cell r="B413" t="str">
            <v>STI001</v>
          </cell>
          <cell r="C413" t="str">
            <v>293 MACKAY STREET</v>
          </cell>
          <cell r="D413" t="str">
            <v>PEMBROKE, ON</v>
          </cell>
          <cell r="E413">
            <v>26828</v>
          </cell>
          <cell r="F413">
            <v>7042</v>
          </cell>
        </row>
        <row r="414">
          <cell r="B414" t="str">
            <v>SUD001</v>
          </cell>
          <cell r="C414" t="str">
            <v>318 LASALLE BOULEVARD</v>
          </cell>
          <cell r="D414" t="str">
            <v>SUDBURY, ON</v>
          </cell>
          <cell r="E414">
            <v>72811</v>
          </cell>
          <cell r="F414">
            <v>67598</v>
          </cell>
        </row>
        <row r="415">
          <cell r="B415" t="str">
            <v>SUN002</v>
          </cell>
          <cell r="C415" t="str">
            <v>7750 MCCOWAN RD.</v>
          </cell>
          <cell r="D415" t="str">
            <v>MARKHAM, ON</v>
          </cell>
          <cell r="E415">
            <v>4286.2</v>
          </cell>
          <cell r="F415">
            <v>4915.37</v>
          </cell>
        </row>
        <row r="416">
          <cell r="B416" t="str">
            <v>SUN003</v>
          </cell>
          <cell r="C416" t="str">
            <v>3515 UPPER MIDDLE ROAD</v>
          </cell>
          <cell r="D416" t="str">
            <v>BURLINGTON, ON</v>
          </cell>
          <cell r="E416">
            <v>13130.98</v>
          </cell>
          <cell r="F416">
            <v>13280.69</v>
          </cell>
        </row>
        <row r="417">
          <cell r="B417" t="str">
            <v>SUN004</v>
          </cell>
          <cell r="C417" t="str">
            <v>565 YONGE ST.</v>
          </cell>
          <cell r="D417" t="str">
            <v>BARRIE, ON</v>
          </cell>
          <cell r="E417">
            <v>33132.31</v>
          </cell>
          <cell r="F417">
            <v>30164.959999999999</v>
          </cell>
        </row>
        <row r="418">
          <cell r="B418" t="str">
            <v>SUN005</v>
          </cell>
          <cell r="C418" t="str">
            <v>1457 WOODROFFE AVE.</v>
          </cell>
          <cell r="D418" t="str">
            <v>NEPEAN, ON</v>
          </cell>
          <cell r="E418">
            <v>15217.47</v>
          </cell>
          <cell r="F418">
            <v>21719.87</v>
          </cell>
        </row>
        <row r="419">
          <cell r="B419" t="str">
            <v>SUN006</v>
          </cell>
          <cell r="C419" t="str">
            <v>1253 WELLINGTON ROAD SOUTH</v>
          </cell>
          <cell r="D419" t="str">
            <v>LONDON, ON</v>
          </cell>
          <cell r="E419">
            <v>52460.72</v>
          </cell>
          <cell r="F419">
            <v>52535.57</v>
          </cell>
        </row>
        <row r="420">
          <cell r="B420" t="str">
            <v>SUN007</v>
          </cell>
          <cell r="C420" t="str">
            <v>9266 GUELPH LINE @ HWY. 401</v>
          </cell>
          <cell r="D420" t="str">
            <v>CAMPBELLVILLE, ON</v>
          </cell>
          <cell r="E420">
            <v>196077</v>
          </cell>
          <cell r="F420">
            <v>150465.01</v>
          </cell>
        </row>
        <row r="421">
          <cell r="B421" t="str">
            <v>SUN008</v>
          </cell>
          <cell r="C421" t="str">
            <v>610 ATHERLEY RD.</v>
          </cell>
          <cell r="D421" t="str">
            <v>ORILLIA, ON</v>
          </cell>
          <cell r="E421">
            <v>82272.81</v>
          </cell>
          <cell r="F421">
            <v>87142.59</v>
          </cell>
        </row>
        <row r="422">
          <cell r="B422" t="str">
            <v>SUN009</v>
          </cell>
          <cell r="C422" t="str">
            <v>1790 ERNEST AVENUE</v>
          </cell>
          <cell r="D422" t="str">
            <v>LONDON, ON</v>
          </cell>
          <cell r="E422">
            <v>108396.55</v>
          </cell>
          <cell r="F422">
            <v>96703.82</v>
          </cell>
        </row>
        <row r="423">
          <cell r="B423" t="str">
            <v>SUN010</v>
          </cell>
          <cell r="C423" t="str">
            <v>220 CENTENNIAL PARKWAY</v>
          </cell>
          <cell r="D423" t="str">
            <v>HAMILTON, ON</v>
          </cell>
          <cell r="E423">
            <v>3985.54</v>
          </cell>
          <cell r="F423">
            <v>4237.33</v>
          </cell>
        </row>
        <row r="424">
          <cell r="B424" t="str">
            <v>SUN011</v>
          </cell>
          <cell r="C424" t="str">
            <v>93 PARK AVENUE EAST</v>
          </cell>
          <cell r="D424" t="str">
            <v>CHATHAM, ON</v>
          </cell>
          <cell r="E424">
            <v>67558.320000000007</v>
          </cell>
          <cell r="F424">
            <v>68267.16</v>
          </cell>
        </row>
        <row r="425">
          <cell r="B425" t="str">
            <v>SUN012</v>
          </cell>
          <cell r="C425" t="str">
            <v>5739 HWY #7 EAST &amp; GRANDVIEW</v>
          </cell>
          <cell r="D425" t="str">
            <v>MARKHAM, ON</v>
          </cell>
          <cell r="E425">
            <v>31998.93</v>
          </cell>
          <cell r="F425">
            <v>33954.82</v>
          </cell>
        </row>
        <row r="426">
          <cell r="B426" t="str">
            <v>SUN014</v>
          </cell>
          <cell r="C426" t="str">
            <v>3425 WINSTON CHURCHILL BLVD.</v>
          </cell>
          <cell r="D426" t="str">
            <v>MISSISSAUGA, ON</v>
          </cell>
          <cell r="E426">
            <v>20419.330000000002</v>
          </cell>
          <cell r="F426">
            <v>23015.98</v>
          </cell>
        </row>
        <row r="427">
          <cell r="B427" t="str">
            <v>SUN015</v>
          </cell>
          <cell r="C427" t="str">
            <v>6015 MCLAUGHLIN ROAD</v>
          </cell>
          <cell r="D427" t="str">
            <v>MISSISSAUGA, ON</v>
          </cell>
          <cell r="E427">
            <v>4699.8999999999996</v>
          </cell>
          <cell r="F427">
            <v>5255.62</v>
          </cell>
        </row>
        <row r="428">
          <cell r="B428" t="str">
            <v>SUN016</v>
          </cell>
          <cell r="C428" t="str">
            <v>2180 MONTREAL RD. &amp; SHEFFORD</v>
          </cell>
          <cell r="D428" t="str">
            <v>GLOUCESTER, ON</v>
          </cell>
          <cell r="E428">
            <v>69669.759999999995</v>
          </cell>
          <cell r="F428">
            <v>62238.54</v>
          </cell>
        </row>
        <row r="429">
          <cell r="B429" t="str">
            <v>SUN017</v>
          </cell>
          <cell r="C429" t="str">
            <v>2850 VICTORIA PARK AVE.</v>
          </cell>
          <cell r="D429" t="str">
            <v>TORONTO, ON</v>
          </cell>
          <cell r="E429">
            <v>35102.11</v>
          </cell>
          <cell r="F429">
            <v>31834.3</v>
          </cell>
        </row>
        <row r="430">
          <cell r="B430" t="str">
            <v>SUN018</v>
          </cell>
          <cell r="C430" t="str">
            <v>195 NIAGARA STREET</v>
          </cell>
          <cell r="D430" t="str">
            <v>ST. CATHARINES, ON</v>
          </cell>
          <cell r="E430">
            <v>10754.97</v>
          </cell>
          <cell r="F430">
            <v>11169.32</v>
          </cell>
        </row>
        <row r="431">
          <cell r="B431" t="str">
            <v>SUN019</v>
          </cell>
          <cell r="C431" t="str">
            <v>800 MORNINGSIDE AVE./MILITARY</v>
          </cell>
          <cell r="D431" t="str">
            <v>SCARBOROUGH, ON</v>
          </cell>
          <cell r="E431">
            <v>96947.24</v>
          </cell>
          <cell r="F431">
            <v>95243.54</v>
          </cell>
        </row>
        <row r="432">
          <cell r="B432" t="str">
            <v>SUN020</v>
          </cell>
          <cell r="C432" t="str">
            <v>7991 MISSISSAUGA RD.</v>
          </cell>
          <cell r="D432" t="str">
            <v>BRAMPTON, ON</v>
          </cell>
          <cell r="E432">
            <v>56718.6</v>
          </cell>
          <cell r="F432">
            <v>53613.32</v>
          </cell>
        </row>
        <row r="433">
          <cell r="B433" t="str">
            <v>SUN021</v>
          </cell>
          <cell r="C433" t="str">
            <v>320 BLAKE STREET</v>
          </cell>
          <cell r="D433" t="str">
            <v>BARRIE, ON</v>
          </cell>
          <cell r="E433">
            <v>289085.98</v>
          </cell>
          <cell r="F433">
            <v>274578.23</v>
          </cell>
        </row>
        <row r="434">
          <cell r="B434" t="str">
            <v>SUN022</v>
          </cell>
          <cell r="C434" t="str">
            <v>341 BAYFIELD STREET</v>
          </cell>
          <cell r="D434" t="str">
            <v>BARRIE, ON</v>
          </cell>
          <cell r="E434">
            <v>60544.47</v>
          </cell>
          <cell r="F434">
            <v>64759.68</v>
          </cell>
        </row>
        <row r="435">
          <cell r="B435" t="str">
            <v>SUN023</v>
          </cell>
          <cell r="C435" t="str">
            <v>1600 ROSSLAND ROAD EAST</v>
          </cell>
          <cell r="D435" t="str">
            <v>WHITBY, ON</v>
          </cell>
          <cell r="E435">
            <v>46237.69</v>
          </cell>
          <cell r="F435">
            <v>49913.85</v>
          </cell>
        </row>
        <row r="436">
          <cell r="B436" t="str">
            <v>SUN024</v>
          </cell>
          <cell r="C436" t="str">
            <v>825 WALKERS LINE</v>
          </cell>
          <cell r="D436" t="str">
            <v>BURLINGTON, ON</v>
          </cell>
          <cell r="E436">
            <v>26274.13</v>
          </cell>
          <cell r="F436">
            <v>19154.009999999998</v>
          </cell>
        </row>
        <row r="437">
          <cell r="B437" t="str">
            <v>SUN025</v>
          </cell>
          <cell r="C437" t="str">
            <v>2182 QUEEN STREET</v>
          </cell>
          <cell r="D437" t="str">
            <v>BRAMPTON, ON</v>
          </cell>
          <cell r="E437">
            <v>22790.26</v>
          </cell>
          <cell r="F437">
            <v>29834.22</v>
          </cell>
        </row>
        <row r="438">
          <cell r="B438" t="str">
            <v>SUN026</v>
          </cell>
          <cell r="C438" t="str">
            <v>514 VICTORIA STREET</v>
          </cell>
          <cell r="D438" t="str">
            <v>ALLISTON, ON</v>
          </cell>
          <cell r="E438">
            <v>221226.03</v>
          </cell>
          <cell r="F438">
            <v>228895.37</v>
          </cell>
        </row>
        <row r="439">
          <cell r="B439" t="str">
            <v>SUN027</v>
          </cell>
          <cell r="C439" t="str">
            <v>570 TERRY FOX DR.</v>
          </cell>
          <cell r="D439" t="str">
            <v>KANATA, ON</v>
          </cell>
          <cell r="E439">
            <v>71425.850000000006</v>
          </cell>
          <cell r="F439">
            <v>70714.53</v>
          </cell>
        </row>
        <row r="440">
          <cell r="B440" t="str">
            <v>SUN028</v>
          </cell>
          <cell r="C440" t="str">
            <v>690 HUNT CLUB ROAD</v>
          </cell>
          <cell r="D440" t="str">
            <v>OTTAWA, ON</v>
          </cell>
          <cell r="E440">
            <v>68117.83</v>
          </cell>
          <cell r="F440">
            <v>75277.919999999998</v>
          </cell>
        </row>
        <row r="441">
          <cell r="B441" t="str">
            <v>SUN029</v>
          </cell>
          <cell r="C441" t="str">
            <v>8830 YONGE STREET</v>
          </cell>
          <cell r="D441" t="str">
            <v>RICHMOND HILL, ON</v>
          </cell>
          <cell r="E441">
            <v>33053.11</v>
          </cell>
          <cell r="F441">
            <v>20928.509999999998</v>
          </cell>
        </row>
        <row r="442">
          <cell r="B442" t="str">
            <v>SUN030</v>
          </cell>
          <cell r="C442" t="str">
            <v>R.R.#2, HIGHWAY 90</v>
          </cell>
          <cell r="D442" t="str">
            <v>BARRIE, ON</v>
          </cell>
          <cell r="E442">
            <v>147818.54999999999</v>
          </cell>
          <cell r="F442">
            <v>146141.07999999999</v>
          </cell>
        </row>
        <row r="443">
          <cell r="B443" t="str">
            <v>SUN031</v>
          </cell>
          <cell r="C443" t="str">
            <v>1020 DUNDAS ST. W.</v>
          </cell>
          <cell r="D443" t="str">
            <v>OAKVILLE, ON</v>
          </cell>
          <cell r="E443">
            <v>34106.42</v>
          </cell>
          <cell r="F443">
            <v>38038.32</v>
          </cell>
        </row>
        <row r="444">
          <cell r="B444" t="str">
            <v>SUN032</v>
          </cell>
          <cell r="C444" t="str">
            <v>8760 BAYVIEW AVE.</v>
          </cell>
          <cell r="D444" t="str">
            <v>RICHMOND HILL, ON</v>
          </cell>
          <cell r="E444">
            <v>62824.55</v>
          </cell>
          <cell r="F444">
            <v>75148.350000000006</v>
          </cell>
        </row>
        <row r="445">
          <cell r="B445" t="str">
            <v>SUN033</v>
          </cell>
          <cell r="C445" t="str">
            <v>2125 SHEPPARD AVE.E.</v>
          </cell>
          <cell r="D445" t="str">
            <v>NORTH YORK, ON</v>
          </cell>
          <cell r="E445">
            <v>7727.11</v>
          </cell>
          <cell r="F445">
            <v>7516.85</v>
          </cell>
        </row>
        <row r="446">
          <cell r="B446" t="str">
            <v>SUN034</v>
          </cell>
          <cell r="C446" t="str">
            <v>250 MULOCK DRIVE</v>
          </cell>
          <cell r="D446" t="str">
            <v>NEWMARKET, ON</v>
          </cell>
          <cell r="E446">
            <v>74424.62</v>
          </cell>
          <cell r="F446">
            <v>91535.77</v>
          </cell>
        </row>
        <row r="447">
          <cell r="B447" t="str">
            <v>SUN035</v>
          </cell>
          <cell r="C447" t="str">
            <v>1977 KENNEDY ROAD</v>
          </cell>
          <cell r="D447" t="str">
            <v>SCARBOROUGH, ON</v>
          </cell>
          <cell r="E447">
            <v>170651.83</v>
          </cell>
          <cell r="F447">
            <v>188693.06</v>
          </cell>
        </row>
        <row r="448">
          <cell r="B448" t="str">
            <v>SUN036</v>
          </cell>
          <cell r="C448" t="str">
            <v>1195 DAVIS DR.</v>
          </cell>
          <cell r="D448" t="str">
            <v>NEWMARKET, ON</v>
          </cell>
          <cell r="E448">
            <v>112454.71</v>
          </cell>
          <cell r="F448">
            <v>98515.44</v>
          </cell>
        </row>
        <row r="449">
          <cell r="B449" t="str">
            <v>SUN037</v>
          </cell>
          <cell r="C449" t="str">
            <v>154 CLARKE SIDE ROAD</v>
          </cell>
          <cell r="D449" t="str">
            <v>LONDON, ON</v>
          </cell>
          <cell r="E449">
            <v>39039.74</v>
          </cell>
          <cell r="F449">
            <v>32511.17</v>
          </cell>
        </row>
        <row r="450">
          <cell r="B450" t="str">
            <v>SUN038</v>
          </cell>
          <cell r="C450" t="str">
            <v>1514 RAVENSHOE ROAD</v>
          </cell>
          <cell r="D450" t="str">
            <v>KESWICK, ON</v>
          </cell>
          <cell r="E450">
            <v>218613.5</v>
          </cell>
          <cell r="F450">
            <v>186183.93</v>
          </cell>
        </row>
        <row r="451">
          <cell r="B451" t="str">
            <v>SUN039</v>
          </cell>
          <cell r="C451" t="str">
            <v>7635 MARKHAM RD.(KIRKHAM RD.)</v>
          </cell>
          <cell r="D451" t="str">
            <v>MARKHAM, ON</v>
          </cell>
          <cell r="E451">
            <v>117270.23</v>
          </cell>
          <cell r="F451">
            <v>103827.37</v>
          </cell>
        </row>
        <row r="452">
          <cell r="B452" t="str">
            <v>SUN040</v>
          </cell>
          <cell r="C452" t="str">
            <v>32 COOTES DRIVE</v>
          </cell>
          <cell r="D452" t="str">
            <v>DUNDAS, ON</v>
          </cell>
          <cell r="E452">
            <v>9131.41</v>
          </cell>
          <cell r="F452">
            <v>6236.46</v>
          </cell>
        </row>
        <row r="453">
          <cell r="B453" t="str">
            <v>SUN041</v>
          </cell>
          <cell r="C453" t="str">
            <v>1960 INNES ROAD</v>
          </cell>
          <cell r="D453" t="str">
            <v>GLOUCESTER, ON</v>
          </cell>
          <cell r="E453">
            <v>19307.48</v>
          </cell>
          <cell r="F453">
            <v>17257.7</v>
          </cell>
        </row>
        <row r="454">
          <cell r="B454" t="str">
            <v>SUN042</v>
          </cell>
          <cell r="C454" t="str">
            <v>9950 MCLAUGHLIN ROAD</v>
          </cell>
          <cell r="D454" t="str">
            <v>BRAMPTON, ON</v>
          </cell>
          <cell r="E454">
            <v>35814.35</v>
          </cell>
          <cell r="F454">
            <v>30350.26</v>
          </cell>
        </row>
        <row r="455">
          <cell r="B455" t="str">
            <v>SUN043</v>
          </cell>
          <cell r="C455" t="str">
            <v>3201 CONROY</v>
          </cell>
          <cell r="D455" t="str">
            <v>OTTAWA, ON</v>
          </cell>
          <cell r="E455">
            <v>10626.57</v>
          </cell>
          <cell r="F455">
            <v>9778.1299999999992</v>
          </cell>
        </row>
        <row r="456">
          <cell r="B456" t="str">
            <v>SUN044</v>
          </cell>
          <cell r="C456" t="str">
            <v>3930 BROCK RD N</v>
          </cell>
          <cell r="D456" t="str">
            <v>WHITBY, ON</v>
          </cell>
          <cell r="E456">
            <v>29547.69</v>
          </cell>
          <cell r="F456">
            <v>56667.08</v>
          </cell>
        </row>
        <row r="457">
          <cell r="B457" t="str">
            <v>SUN045</v>
          </cell>
          <cell r="C457" t="str">
            <v xml:space="preserve">2630 INNES ROAD </v>
          </cell>
          <cell r="D457" t="str">
            <v>OTTAWA, ON</v>
          </cell>
          <cell r="E457">
            <v>27126.51</v>
          </cell>
          <cell r="F457">
            <v>20384.669999999998</v>
          </cell>
        </row>
        <row r="458">
          <cell r="B458" t="str">
            <v>SUN046</v>
          </cell>
          <cell r="C458" t="str">
            <v>301 THICKSON ROAD SOUTH</v>
          </cell>
          <cell r="D458" t="str">
            <v>WHITBY, ON</v>
          </cell>
          <cell r="E458">
            <v>11124.95</v>
          </cell>
          <cell r="F458">
            <v>7227.33</v>
          </cell>
        </row>
        <row r="459">
          <cell r="B459" t="str">
            <v>SUN047</v>
          </cell>
          <cell r="C459" t="str">
            <v>5336 BOUNDARY ROAD</v>
          </cell>
          <cell r="D459" t="str">
            <v>GLOUCESTER, ON</v>
          </cell>
          <cell r="E459">
            <v>41297.300000000003</v>
          </cell>
          <cell r="F459">
            <v>20070.66</v>
          </cell>
        </row>
        <row r="460">
          <cell r="B460" t="str">
            <v>SUN048</v>
          </cell>
          <cell r="C460" t="str">
            <v>18080 YONGE STREET</v>
          </cell>
          <cell r="D460" t="str">
            <v>NEWMARKET, ON</v>
          </cell>
          <cell r="E460">
            <v>24349.64</v>
          </cell>
          <cell r="F460">
            <v>10965.87</v>
          </cell>
        </row>
        <row r="461">
          <cell r="B461" t="str">
            <v>SUN049</v>
          </cell>
          <cell r="C461" t="str">
            <v>2535 OUELLETTE AVENUE</v>
          </cell>
          <cell r="D461" t="str">
            <v>WINDSOR, ON</v>
          </cell>
          <cell r="E461">
            <v>6504.98</v>
          </cell>
          <cell r="F461">
            <v>3389.77</v>
          </cell>
        </row>
        <row r="462">
          <cell r="B462" t="str">
            <v>SUN050</v>
          </cell>
          <cell r="C462" t="str">
            <v>311 CANNIFTON ROAD</v>
          </cell>
          <cell r="D462" t="str">
            <v>BELLEVILLE, ON</v>
          </cell>
          <cell r="E462">
            <v>44035.05</v>
          </cell>
          <cell r="F462">
            <v>24562.52</v>
          </cell>
        </row>
        <row r="463">
          <cell r="B463" t="str">
            <v>SUN051</v>
          </cell>
          <cell r="C463" t="str">
            <v>390 PARKDALE AVENUE</v>
          </cell>
          <cell r="D463" t="str">
            <v>OTTAWA, ON</v>
          </cell>
          <cell r="E463">
            <v>64295.94</v>
          </cell>
          <cell r="F463">
            <v>15092.64</v>
          </cell>
        </row>
        <row r="464">
          <cell r="B464" t="str">
            <v>SUN052</v>
          </cell>
          <cell r="C464" t="str">
            <v>1126 LONDON ROAD</v>
          </cell>
          <cell r="D464" t="str">
            <v>SARNIA, ON</v>
          </cell>
          <cell r="E464">
            <v>10644.29</v>
          </cell>
          <cell r="F464">
            <v>1814.36</v>
          </cell>
        </row>
        <row r="465">
          <cell r="B465" t="str">
            <v>SUN053</v>
          </cell>
          <cell r="C465" t="str">
            <v>1081 RUTHERFORD ROAD</v>
          </cell>
          <cell r="D465" t="str">
            <v>THORNHILL, ON</v>
          </cell>
          <cell r="E465">
            <v>34794.28</v>
          </cell>
          <cell r="F465">
            <v>3681</v>
          </cell>
        </row>
        <row r="466">
          <cell r="B466" t="str">
            <v>SUN054</v>
          </cell>
          <cell r="C466" t="str">
            <v>3011 KING STREET</v>
          </cell>
          <cell r="D466" t="str">
            <v>KITCHENER, ON</v>
          </cell>
          <cell r="E466">
            <v>11601.11</v>
          </cell>
          <cell r="F466">
            <v>2005.35</v>
          </cell>
        </row>
        <row r="467">
          <cell r="B467" t="str">
            <v>SUN055</v>
          </cell>
          <cell r="C467" t="str">
            <v>2235 HURON CHURCH ROAD</v>
          </cell>
          <cell r="D467" t="str">
            <v>WINDSOR, ON</v>
          </cell>
          <cell r="E467">
            <v>8772.16</v>
          </cell>
          <cell r="F467">
            <v>1347.22</v>
          </cell>
        </row>
        <row r="468">
          <cell r="B468" t="str">
            <v>SUN056</v>
          </cell>
          <cell r="C468" t="str">
            <v>500 EAGLESON ROAD</v>
          </cell>
          <cell r="D468" t="str">
            <v>KANATA, ON</v>
          </cell>
          <cell r="E468">
            <v>41422.99</v>
          </cell>
          <cell r="F468">
            <v>7879</v>
          </cell>
        </row>
        <row r="469">
          <cell r="B469" t="str">
            <v>SUN057</v>
          </cell>
          <cell r="C469" t="str">
            <v>4140 ERIN MILLS PARKWAY</v>
          </cell>
          <cell r="D469" t="str">
            <v>MISSISSAUGA, ON</v>
          </cell>
          <cell r="E469">
            <v>33584.61</v>
          </cell>
          <cell r="F469">
            <v>0</v>
          </cell>
        </row>
        <row r="470">
          <cell r="B470" t="str">
            <v>SUN058</v>
          </cell>
          <cell r="C470" t="str">
            <v>2985 SANDALWOOD PARKWAY</v>
          </cell>
          <cell r="D470" t="str">
            <v>BRAMPTON, ON</v>
          </cell>
          <cell r="E470">
            <v>43135</v>
          </cell>
          <cell r="F470">
            <v>0</v>
          </cell>
        </row>
        <row r="471">
          <cell r="B471" t="str">
            <v>SUN059</v>
          </cell>
          <cell r="C471" t="str">
            <v>80 IMPERIAL ROAD NORTH</v>
          </cell>
          <cell r="D471" t="str">
            <v>GUELPH, ON</v>
          </cell>
          <cell r="E471">
            <v>6831.78</v>
          </cell>
          <cell r="F471">
            <v>0</v>
          </cell>
        </row>
        <row r="472">
          <cell r="B472" t="str">
            <v>SUN060</v>
          </cell>
          <cell r="C472" t="str">
            <v>1465 PRINCESS STREET</v>
          </cell>
          <cell r="D472" t="str">
            <v>KINGSTON, ON</v>
          </cell>
          <cell r="E472">
            <v>17770.77</v>
          </cell>
          <cell r="F472">
            <v>0</v>
          </cell>
        </row>
        <row r="473">
          <cell r="B473" t="str">
            <v>SUN061</v>
          </cell>
          <cell r="C473" t="str">
            <v>1856 WHARNCLIFFE ROAD SOUTH</v>
          </cell>
          <cell r="D473" t="str">
            <v>LONDON, ON</v>
          </cell>
          <cell r="E473">
            <v>6704.52</v>
          </cell>
          <cell r="F473">
            <v>0</v>
          </cell>
        </row>
        <row r="474">
          <cell r="B474" t="str">
            <v>SUN062</v>
          </cell>
          <cell r="C474" t="str">
            <v>491 OXFORD STREET, WEST</v>
          </cell>
          <cell r="D474" t="str">
            <v>LONDON, ON</v>
          </cell>
          <cell r="E474">
            <v>7595.05</v>
          </cell>
          <cell r="F474">
            <v>0</v>
          </cell>
        </row>
        <row r="475">
          <cell r="B475" t="str">
            <v>SUN063</v>
          </cell>
          <cell r="C475" t="str">
            <v>1900 PRINCE OF WALES DRIVE</v>
          </cell>
          <cell r="D475" t="str">
            <v>NEPEAN (OTTAWA), ON</v>
          </cell>
          <cell r="E475">
            <v>19213.830000000002</v>
          </cell>
          <cell r="F475">
            <v>0</v>
          </cell>
        </row>
        <row r="476">
          <cell r="B476" t="str">
            <v>SUN064</v>
          </cell>
          <cell r="C476" t="str">
            <v>7400 BATHURST STREET</v>
          </cell>
          <cell r="D476" t="str">
            <v>THORNHILL, ON</v>
          </cell>
          <cell r="E476">
            <v>3254.25</v>
          </cell>
          <cell r="F476">
            <v>0</v>
          </cell>
        </row>
        <row r="477">
          <cell r="B477" t="str">
            <v>SUN065</v>
          </cell>
          <cell r="C477" t="str">
            <v>5 RED MAPLE ROAD</v>
          </cell>
          <cell r="D477" t="str">
            <v>RICHMOND HILL, ON</v>
          </cell>
          <cell r="E477">
            <v>1876.85</v>
          </cell>
          <cell r="F477">
            <v>0</v>
          </cell>
        </row>
        <row r="478">
          <cell r="B478" t="str">
            <v>TWI001</v>
          </cell>
          <cell r="C478" t="str">
            <v>1410 9TH LINE</v>
          </cell>
          <cell r="D478" t="str">
            <v>OAKVILLE, ON</v>
          </cell>
          <cell r="E478">
            <v>16631</v>
          </cell>
          <cell r="F478">
            <v>0</v>
          </cell>
        </row>
        <row r="479">
          <cell r="B479" t="str">
            <v>YF0001</v>
          </cell>
          <cell r="C479" t="str">
            <v>200 BAY ST.BOX 216 ROYAL BANK</v>
          </cell>
          <cell r="D479" t="str">
            <v>TORONTO, ON</v>
          </cell>
          <cell r="E479">
            <v>0</v>
          </cell>
          <cell r="F479">
            <v>0</v>
          </cell>
        </row>
        <row r="480">
          <cell r="B480" t="str">
            <v>YF0003</v>
          </cell>
          <cell r="E480">
            <v>0</v>
          </cell>
          <cell r="F480">
            <v>0</v>
          </cell>
        </row>
        <row r="481">
          <cell r="B481" t="str">
            <v>YF0004</v>
          </cell>
          <cell r="C481" t="str">
            <v>501B CHURCH ST.</v>
          </cell>
          <cell r="D481" t="str">
            <v>TORONTO, ON</v>
          </cell>
          <cell r="E481">
            <v>0</v>
          </cell>
          <cell r="F481">
            <v>0</v>
          </cell>
        </row>
        <row r="482">
          <cell r="B482" t="str">
            <v>YF0005</v>
          </cell>
          <cell r="C482" t="str">
            <v>181 BAY ST.BOX 122, UNIT 130</v>
          </cell>
          <cell r="D482" t="str">
            <v>TORONTO, ON</v>
          </cell>
          <cell r="E482">
            <v>0</v>
          </cell>
          <cell r="F482">
            <v>0</v>
          </cell>
        </row>
        <row r="483">
          <cell r="B483" t="str">
            <v>YF0007</v>
          </cell>
          <cell r="C483" t="str">
            <v>499 MAIN ST.S. UNIT 115B</v>
          </cell>
          <cell r="D483" t="str">
            <v>BRAMPTON, ON</v>
          </cell>
          <cell r="E483">
            <v>0</v>
          </cell>
          <cell r="F483">
            <v>0</v>
          </cell>
        </row>
        <row r="484">
          <cell r="B484" t="str">
            <v>YF0009</v>
          </cell>
          <cell r="C484" t="str">
            <v>CONESTOGA MALL, 550 KING ST.N.</v>
          </cell>
          <cell r="D484" t="str">
            <v xml:space="preserve">WATERLOO, ON </v>
          </cell>
          <cell r="E484">
            <v>0</v>
          </cell>
          <cell r="F484">
            <v>0</v>
          </cell>
        </row>
        <row r="485">
          <cell r="B485" t="str">
            <v>YF0010</v>
          </cell>
          <cell r="C485" t="str">
            <v>5 POINTS MALL 285 TAUNTON RD E</v>
          </cell>
          <cell r="D485" t="str">
            <v>OSHAWA, ON</v>
          </cell>
          <cell r="E485">
            <v>0</v>
          </cell>
          <cell r="F485">
            <v>0</v>
          </cell>
        </row>
        <row r="486">
          <cell r="B486" t="str">
            <v>YF0013</v>
          </cell>
          <cell r="C486" t="str">
            <v>419 KING ST.W. UNIT #2250</v>
          </cell>
          <cell r="D486" t="str">
            <v>OSHAWA, ON</v>
          </cell>
          <cell r="E486">
            <v>0</v>
          </cell>
          <cell r="F486">
            <v>0</v>
          </cell>
        </row>
        <row r="487">
          <cell r="B487" t="str">
            <v>YF0014</v>
          </cell>
          <cell r="C487" t="str">
            <v>SIMCOE PLACE, 200 FRONT ST.W</v>
          </cell>
          <cell r="D487" t="str">
            <v>TORONTO, ON</v>
          </cell>
          <cell r="E487">
            <v>0</v>
          </cell>
          <cell r="F487">
            <v>0</v>
          </cell>
        </row>
        <row r="488">
          <cell r="B488" t="str">
            <v>YF0015</v>
          </cell>
          <cell r="C488" t="str">
            <v>2960 KINGSWAY DR., UNIT G3</v>
          </cell>
          <cell r="D488" t="str">
            <v>KITCHENER, ON</v>
          </cell>
          <cell r="E488">
            <v>0</v>
          </cell>
          <cell r="F488">
            <v>0</v>
          </cell>
        </row>
        <row r="489">
          <cell r="B489" t="str">
            <v>YF0018</v>
          </cell>
          <cell r="C489" t="str">
            <v>6340 YONGE STREET</v>
          </cell>
          <cell r="D489" t="str">
            <v>WILLOWDALE, ON</v>
          </cell>
          <cell r="E489">
            <v>0</v>
          </cell>
          <cell r="F489">
            <v>0</v>
          </cell>
        </row>
        <row r="490">
          <cell r="B490" t="str">
            <v>YF0019</v>
          </cell>
          <cell r="C490" t="str">
            <v>9350 YONGE ST., HILLCREST MALL</v>
          </cell>
          <cell r="D490" t="str">
            <v>RICHMOND HILL, ON</v>
          </cell>
          <cell r="E490">
            <v>0</v>
          </cell>
          <cell r="F490">
            <v>0</v>
          </cell>
        </row>
        <row r="491">
          <cell r="B491" t="str">
            <v>YF0021</v>
          </cell>
          <cell r="C491" t="str">
            <v>2300 YONGE ST,UNIT S2</v>
          </cell>
          <cell r="D491" t="str">
            <v>TORONTO, ON</v>
          </cell>
          <cell r="E491">
            <v>0</v>
          </cell>
          <cell r="F491">
            <v>0</v>
          </cell>
        </row>
        <row r="492">
          <cell r="B492" t="str">
            <v>YF0022</v>
          </cell>
          <cell r="C492" t="str">
            <v>100 CITY CENTRE DR UNIT K1-3</v>
          </cell>
          <cell r="D492" t="str">
            <v>MISSISSAUGA, ON</v>
          </cell>
          <cell r="E492">
            <v>0</v>
          </cell>
          <cell r="F492">
            <v>0</v>
          </cell>
        </row>
        <row r="493">
          <cell r="B493" t="str">
            <v>YF0023</v>
          </cell>
          <cell r="C493" t="str">
            <v>355 HESPELER ROAD, UNIT K107</v>
          </cell>
          <cell r="D493" t="str">
            <v>CAMBRIDGE, ON</v>
          </cell>
          <cell r="E493">
            <v>0</v>
          </cell>
          <cell r="F493">
            <v>0</v>
          </cell>
        </row>
        <row r="494">
          <cell r="B494" t="str">
            <v>YF0024</v>
          </cell>
          <cell r="C494" t="str">
            <v>1355 KINGSTON RD.</v>
          </cell>
          <cell r="D494" t="str">
            <v>PICKERING, ON</v>
          </cell>
          <cell r="E494">
            <v>0</v>
          </cell>
          <cell r="F494">
            <v>0</v>
          </cell>
        </row>
        <row r="495">
          <cell r="B495" t="str">
            <v>YF0025</v>
          </cell>
          <cell r="C495" t="str">
            <v>1-70 EGLINTON SQUARE, UNIT K4</v>
          </cell>
          <cell r="D495" t="str">
            <v>TORONTO, ON</v>
          </cell>
          <cell r="E495">
            <v>0</v>
          </cell>
          <cell r="F495">
            <v>0</v>
          </cell>
        </row>
        <row r="496">
          <cell r="B496" t="str">
            <v>YF0026</v>
          </cell>
          <cell r="C496" t="str">
            <v>939 LAWRENCE AVE. E, UNIT 0002</v>
          </cell>
          <cell r="D496" t="str">
            <v>TORONTO, ON</v>
          </cell>
          <cell r="E496">
            <v>0</v>
          </cell>
          <cell r="F496">
            <v>0</v>
          </cell>
        </row>
        <row r="497">
          <cell r="B497" t="str">
            <v>YF0027</v>
          </cell>
          <cell r="C497" t="str">
            <v>220 YONGE STREET, UNIT H16A</v>
          </cell>
          <cell r="D497" t="str">
            <v>TORONTO, ON</v>
          </cell>
          <cell r="E497">
            <v>0</v>
          </cell>
          <cell r="F497">
            <v>0</v>
          </cell>
        </row>
        <row r="498">
          <cell r="B498" t="str">
            <v>YF0028</v>
          </cell>
          <cell r="C498" t="str">
            <v>25 PEEL CENTRE DR., UNIT 716K</v>
          </cell>
          <cell r="D498" t="str">
            <v>BRAMPTON, ON</v>
          </cell>
          <cell r="E498">
            <v>0</v>
          </cell>
          <cell r="F498">
            <v>0</v>
          </cell>
        </row>
        <row r="499">
          <cell r="B499" t="str">
            <v>YF0029</v>
          </cell>
          <cell r="C499" t="str">
            <v>0303-999 UPPER WENTWORTH ST.</v>
          </cell>
          <cell r="D499" t="str">
            <v>HAMILTON, ON</v>
          </cell>
          <cell r="E499">
            <v>0</v>
          </cell>
          <cell r="F499">
            <v>0</v>
          </cell>
        </row>
        <row r="500">
          <cell r="B500" t="str">
            <v>YF0030</v>
          </cell>
          <cell r="C500" t="str">
            <v>240 LEIGHLAND AVENUE</v>
          </cell>
          <cell r="D500" t="str">
            <v>OAKVILLE, ON</v>
          </cell>
          <cell r="E500">
            <v>0</v>
          </cell>
          <cell r="F500">
            <v>0</v>
          </cell>
        </row>
        <row r="501">
          <cell r="B501" t="str">
            <v>YF0031</v>
          </cell>
          <cell r="C501" t="str">
            <v>UNIT M-204A 777 BAY STREET</v>
          </cell>
          <cell r="D501" t="str">
            <v>TORONTO, ON</v>
          </cell>
          <cell r="E501">
            <v>0</v>
          </cell>
          <cell r="F501">
            <v>0</v>
          </cell>
        </row>
        <row r="502">
          <cell r="B502" t="str">
            <v>YF0032</v>
          </cell>
          <cell r="C502" t="str">
            <v>25 THE WEST MALL, UNIT G-22</v>
          </cell>
          <cell r="D502" t="str">
            <v>ETOBICOKE, ON</v>
          </cell>
          <cell r="E502">
            <v>0</v>
          </cell>
          <cell r="F502">
            <v>0</v>
          </cell>
        </row>
        <row r="503">
          <cell r="B503" t="str">
            <v>YF0033</v>
          </cell>
          <cell r="C503" t="str">
            <v>UNIT #M007 500 REXDALE CENTRE</v>
          </cell>
          <cell r="D503" t="str">
            <v>ETOBICOKE, ON</v>
          </cell>
          <cell r="E503">
            <v>0</v>
          </cell>
          <cell r="F503">
            <v>0</v>
          </cell>
        </row>
        <row r="504">
          <cell r="B504" t="str">
            <v>YF0034</v>
          </cell>
          <cell r="C504" t="str">
            <v>50 RIDEAU STREET</v>
          </cell>
          <cell r="D504" t="str">
            <v>OTTAWA, ON</v>
          </cell>
          <cell r="E504">
            <v>0</v>
          </cell>
          <cell r="F504">
            <v>0</v>
          </cell>
        </row>
        <row r="505">
          <cell r="B505" t="str">
            <v>YF0035</v>
          </cell>
          <cell r="C505" t="str">
            <v>45 SHEPPARD AVENUE EAST</v>
          </cell>
          <cell r="D505" t="str">
            <v>NORTH YORK, ON</v>
          </cell>
          <cell r="E505">
            <v>0</v>
          </cell>
          <cell r="F505">
            <v>0</v>
          </cell>
        </row>
        <row r="506">
          <cell r="B506" t="str">
            <v>YF0036</v>
          </cell>
          <cell r="C506" t="str">
            <v>1 PROMENADE CIRCLE</v>
          </cell>
          <cell r="D506" t="str">
            <v>THORNHILL, ON</v>
          </cell>
          <cell r="E506">
            <v>0</v>
          </cell>
          <cell r="F506">
            <v>0</v>
          </cell>
        </row>
      </sheetData>
      <sheetData sheetId="5" refreshError="1"/>
      <sheetData sheetId="6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FY2002"/>
      <sheetName val="FY2003"/>
      <sheetName val="FY2004"/>
      <sheetName val="YTD2005"/>
      <sheetName val="add&amp;del"/>
      <sheetName val="masterlist"/>
    </sheetNames>
    <sheetDataSet>
      <sheetData sheetId="0" refreshError="1"/>
      <sheetData sheetId="1">
        <row r="6">
          <cell r="B6" t="str">
            <v>005CSD</v>
          </cell>
          <cell r="C6" t="str">
            <v>2929 DANFORTH AVE.,</v>
          </cell>
          <cell r="D6" t="str">
            <v>TORONTO,ON</v>
          </cell>
          <cell r="E6">
            <v>608964</v>
          </cell>
        </row>
        <row r="7">
          <cell r="B7" t="str">
            <v>012CSD</v>
          </cell>
          <cell r="C7" t="str">
            <v>1975 KENNEDY RD.</v>
          </cell>
          <cell r="D7" t="str">
            <v>SCARBOROUGH, ON</v>
          </cell>
          <cell r="E7">
            <v>181991</v>
          </cell>
        </row>
        <row r="8">
          <cell r="B8" t="str">
            <v>013CSD</v>
          </cell>
          <cell r="C8" t="str">
            <v>313 CHRISTINA ST.N.,</v>
          </cell>
          <cell r="D8" t="str">
            <v>SARNIA, ON</v>
          </cell>
          <cell r="E8">
            <v>257055</v>
          </cell>
        </row>
        <row r="9">
          <cell r="B9" t="str">
            <v>034CSD</v>
          </cell>
          <cell r="C9" t="str">
            <v>666 MILLWOOD RD.,</v>
          </cell>
          <cell r="D9" t="str">
            <v>TORONTO,ON</v>
          </cell>
          <cell r="E9">
            <v>72941</v>
          </cell>
        </row>
        <row r="10">
          <cell r="B10" t="str">
            <v>039CSD</v>
          </cell>
          <cell r="C10" t="str">
            <v>8370 WOODBINE AVE.</v>
          </cell>
          <cell r="D10" t="str">
            <v>MARKHAM, ON</v>
          </cell>
          <cell r="E10">
            <v>542945</v>
          </cell>
        </row>
        <row r="11">
          <cell r="B11" t="str">
            <v>051CSD</v>
          </cell>
          <cell r="C11" t="str">
            <v>1708 QUEEN ST.E.,</v>
          </cell>
          <cell r="D11" t="str">
            <v>TORONTO,ON</v>
          </cell>
          <cell r="E11">
            <v>401362</v>
          </cell>
        </row>
        <row r="12">
          <cell r="B12" t="str">
            <v>053CSD</v>
          </cell>
          <cell r="C12" t="str">
            <v>524 WILSON HEIGHTS BLVD.</v>
          </cell>
          <cell r="D12" t="str">
            <v>DOWNSVIEW,ON.</v>
          </cell>
          <cell r="E12">
            <v>538188</v>
          </cell>
        </row>
        <row r="13">
          <cell r="B13" t="str">
            <v>074CSD</v>
          </cell>
          <cell r="C13" t="str">
            <v>357-359 TRUNK RD.</v>
          </cell>
          <cell r="D13" t="str">
            <v>SAULT STE.MARIE, ON.</v>
          </cell>
          <cell r="E13">
            <v>643578.82999999996</v>
          </cell>
        </row>
        <row r="14">
          <cell r="B14" t="str">
            <v>079CSD</v>
          </cell>
          <cell r="C14" t="str">
            <v>1082 CENTRE STREET</v>
          </cell>
          <cell r="D14" t="str">
            <v>THORNHILL,ON</v>
          </cell>
          <cell r="E14">
            <v>566331</v>
          </cell>
        </row>
        <row r="15">
          <cell r="B15" t="str">
            <v>081CSD</v>
          </cell>
          <cell r="C15" t="str">
            <v>3748 BATHURST ST.,</v>
          </cell>
          <cell r="D15" t="str">
            <v>DOWNSVIEW,ON</v>
          </cell>
          <cell r="E15">
            <v>952794.89</v>
          </cell>
        </row>
        <row r="16">
          <cell r="B16" t="str">
            <v>096CSD</v>
          </cell>
          <cell r="C16" t="str">
            <v>1490 BRITANNIA RD.E.,</v>
          </cell>
          <cell r="D16" t="str">
            <v>MISSISSAUGA, ON.</v>
          </cell>
          <cell r="E16">
            <v>157764</v>
          </cell>
        </row>
        <row r="17">
          <cell r="B17" t="str">
            <v>101CSD</v>
          </cell>
          <cell r="C17" t="str">
            <v>4235 HIGHWAY #7 WEST</v>
          </cell>
          <cell r="D17" t="str">
            <v>WOODBRIDGE, ON.</v>
          </cell>
          <cell r="E17">
            <v>541294</v>
          </cell>
        </row>
        <row r="18">
          <cell r="B18" t="str">
            <v>104CSD</v>
          </cell>
          <cell r="C18" t="str">
            <v>244 BLOOR ST.W.,</v>
          </cell>
          <cell r="D18" t="str">
            <v>TORONTO,ON</v>
          </cell>
          <cell r="E18">
            <v>270653</v>
          </cell>
        </row>
        <row r="19">
          <cell r="B19" t="str">
            <v>117CSD</v>
          </cell>
          <cell r="C19" t="str">
            <v>2100 STEELES AVE. W.,</v>
          </cell>
          <cell r="D19" t="str">
            <v>CONCORD,ON</v>
          </cell>
          <cell r="E19">
            <v>274386.87</v>
          </cell>
        </row>
        <row r="20">
          <cell r="B20" t="str">
            <v>121CSD</v>
          </cell>
          <cell r="C20" t="str">
            <v>4681 HIGHWAY #7 EAST</v>
          </cell>
          <cell r="D20" t="str">
            <v>MARKHAM, ON.</v>
          </cell>
          <cell r="E20">
            <v>533526</v>
          </cell>
        </row>
        <row r="21">
          <cell r="B21" t="str">
            <v>123CSD</v>
          </cell>
          <cell r="C21" t="str">
            <v>996 CONFEDERATION ST.,</v>
          </cell>
          <cell r="D21" t="str">
            <v>SARNIA, ON.</v>
          </cell>
          <cell r="E21">
            <v>371783</v>
          </cell>
        </row>
        <row r="22">
          <cell r="B22" t="str">
            <v>134CSD</v>
          </cell>
          <cell r="C22" t="str">
            <v>161A RICHMOND STREET</v>
          </cell>
          <cell r="D22" t="str">
            <v>CHATHAM, ON.</v>
          </cell>
          <cell r="E22">
            <v>345055</v>
          </cell>
        </row>
        <row r="23">
          <cell r="B23" t="str">
            <v>135CSD</v>
          </cell>
          <cell r="C23" t="str">
            <v>985 EGLINTON AVE. E.,</v>
          </cell>
          <cell r="D23" t="str">
            <v>MISSISSAUGA, ON.</v>
          </cell>
          <cell r="E23">
            <v>801807</v>
          </cell>
        </row>
        <row r="24">
          <cell r="B24" t="str">
            <v>138CSD</v>
          </cell>
          <cell r="C24" t="str">
            <v>8003 AIRPORT ROAD,</v>
          </cell>
          <cell r="D24" t="str">
            <v>BRAMPTON, ON.</v>
          </cell>
          <cell r="E24">
            <v>382301</v>
          </cell>
        </row>
        <row r="25">
          <cell r="B25" t="str">
            <v>141CSD</v>
          </cell>
          <cell r="C25" t="str">
            <v>320 THICKSON RD. R.R.#1</v>
          </cell>
          <cell r="D25" t="str">
            <v>WHITBY, ON</v>
          </cell>
          <cell r="E25">
            <v>606196.91</v>
          </cell>
        </row>
        <row r="26">
          <cell r="B26" t="str">
            <v>148CSD</v>
          </cell>
          <cell r="C26" t="str">
            <v>355 BAYLY STREET WEST,</v>
          </cell>
          <cell r="D26" t="str">
            <v>AJAX, ON.</v>
          </cell>
          <cell r="E26">
            <v>225235</v>
          </cell>
        </row>
        <row r="27">
          <cell r="B27" t="str">
            <v>149CSD</v>
          </cell>
          <cell r="C27" t="str">
            <v>734 SHEPPARD AVE. EAST,</v>
          </cell>
          <cell r="D27" t="str">
            <v>NORTH YORK, ON.</v>
          </cell>
          <cell r="E27">
            <v>321586</v>
          </cell>
        </row>
        <row r="28">
          <cell r="B28" t="str">
            <v>150CSD</v>
          </cell>
          <cell r="C28" t="str">
            <v>4926 BATHURST STREET</v>
          </cell>
          <cell r="D28" t="str">
            <v>TORONTO, ON</v>
          </cell>
          <cell r="E28">
            <v>468306</v>
          </cell>
        </row>
        <row r="29">
          <cell r="B29" t="str">
            <v>151CSD</v>
          </cell>
          <cell r="C29" t="str">
            <v>5495 EGLINTON AVE.WEST</v>
          </cell>
          <cell r="D29" t="str">
            <v>ETOBICOKE, ON</v>
          </cell>
          <cell r="E29">
            <v>492087</v>
          </cell>
        </row>
        <row r="30">
          <cell r="B30" t="str">
            <v>152CSD</v>
          </cell>
          <cell r="C30" t="str">
            <v>2 EAST BEAVER CREEK RD.</v>
          </cell>
          <cell r="D30" t="str">
            <v>RICHMOND HILL, ON</v>
          </cell>
          <cell r="E30">
            <v>431697.04</v>
          </cell>
        </row>
        <row r="31">
          <cell r="B31" t="str">
            <v>155CSD</v>
          </cell>
          <cell r="C31" t="str">
            <v>575 WEST STREET SOUTH UNIT 5</v>
          </cell>
          <cell r="D31" t="str">
            <v>ORILLIA, ON</v>
          </cell>
          <cell r="E31">
            <v>347596</v>
          </cell>
        </row>
        <row r="32">
          <cell r="B32" t="str">
            <v>168CSD</v>
          </cell>
          <cell r="C32" t="str">
            <v>1095 O'CONNOR DRIVE</v>
          </cell>
          <cell r="D32" t="str">
            <v>EAST YORK, ON</v>
          </cell>
          <cell r="E32">
            <v>492229</v>
          </cell>
        </row>
        <row r="33">
          <cell r="B33" t="str">
            <v>171CSD</v>
          </cell>
          <cell r="C33" t="str">
            <v>263 QUEEN ST. EAST</v>
          </cell>
          <cell r="D33" t="str">
            <v>BRAMPTON, ON</v>
          </cell>
          <cell r="E33">
            <v>694053</v>
          </cell>
        </row>
        <row r="34">
          <cell r="B34" t="str">
            <v>174CSD</v>
          </cell>
          <cell r="C34" t="str">
            <v>2555 VICTORIA PARK AVE., UNIT5</v>
          </cell>
          <cell r="D34" t="str">
            <v>SCARBOROUGH, ON</v>
          </cell>
          <cell r="E34">
            <v>310414</v>
          </cell>
        </row>
        <row r="35">
          <cell r="B35" t="str">
            <v>180CSD</v>
          </cell>
          <cell r="C35" t="str">
            <v>1812 SCUGOG STREET WEST</v>
          </cell>
          <cell r="D35" t="str">
            <v>PORT PERRY, ON</v>
          </cell>
          <cell r="E35">
            <v>571792</v>
          </cell>
        </row>
        <row r="36">
          <cell r="B36" t="str">
            <v>187CSD</v>
          </cell>
          <cell r="C36" t="str">
            <v>64 KING WILLIAM STREET</v>
          </cell>
          <cell r="D36" t="str">
            <v>HUNTSVILLE, ON</v>
          </cell>
          <cell r="E36">
            <v>332053.45</v>
          </cell>
        </row>
        <row r="37">
          <cell r="B37" t="str">
            <v>189CSD</v>
          </cell>
          <cell r="C37" t="str">
            <v>3372 KEELE ST., UNIT F</v>
          </cell>
          <cell r="D37" t="str">
            <v>NORTH YORK, ON</v>
          </cell>
          <cell r="E37">
            <v>538027</v>
          </cell>
        </row>
        <row r="38">
          <cell r="B38" t="str">
            <v>190CSD</v>
          </cell>
          <cell r="C38" t="str">
            <v>R.R.#2 KILWORTHY</v>
          </cell>
          <cell r="D38" t="str">
            <v>GRAVENHURST, ON</v>
          </cell>
          <cell r="E38">
            <v>515475</v>
          </cell>
        </row>
        <row r="39">
          <cell r="B39" t="str">
            <v>192CSD</v>
          </cell>
          <cell r="C39" t="str">
            <v>861 DUFFERIN AVE.</v>
          </cell>
          <cell r="D39" t="str">
            <v>WALLACEBURG, ON</v>
          </cell>
          <cell r="E39">
            <v>746007</v>
          </cell>
        </row>
        <row r="40">
          <cell r="B40" t="str">
            <v>193CSD</v>
          </cell>
          <cell r="C40" t="str">
            <v>92 KING STREET EAST</v>
          </cell>
          <cell r="D40" t="str">
            <v>TORONTO, ON</v>
          </cell>
          <cell r="E40">
            <v>292588</v>
          </cell>
        </row>
        <row r="41">
          <cell r="B41" t="str">
            <v>198CSD</v>
          </cell>
          <cell r="C41" t="str">
            <v>119 BOWES STREET</v>
          </cell>
          <cell r="D41" t="str">
            <v>PARRY SOUND, ON</v>
          </cell>
          <cell r="E41">
            <v>526151.9</v>
          </cell>
        </row>
        <row r="42">
          <cell r="B42" t="str">
            <v>199CSD</v>
          </cell>
          <cell r="C42" t="str">
            <v>6585 AIRPORT ROAD</v>
          </cell>
          <cell r="D42" t="str">
            <v>MISSISSAUGA, ON</v>
          </cell>
          <cell r="E42">
            <v>779396</v>
          </cell>
        </row>
        <row r="43">
          <cell r="B43" t="str">
            <v>201CSD</v>
          </cell>
          <cell r="C43" t="str">
            <v>44 GERRARD ST.W. P.O BOX 2</v>
          </cell>
          <cell r="D43" t="str">
            <v>TORONTO, ON</v>
          </cell>
          <cell r="E43">
            <v>333341</v>
          </cell>
        </row>
        <row r="44">
          <cell r="B44" t="str">
            <v>202CSD</v>
          </cell>
          <cell r="C44" t="str">
            <v>606 DIXON RD</v>
          </cell>
          <cell r="D44" t="str">
            <v>ETOBICOKE, ON</v>
          </cell>
          <cell r="E44">
            <v>559175</v>
          </cell>
        </row>
        <row r="45">
          <cell r="B45" t="str">
            <v>211CSD</v>
          </cell>
          <cell r="C45" t="str">
            <v>510 MUSKOKA ROAD SOUTH</v>
          </cell>
          <cell r="D45" t="str">
            <v>GRAVENHURST, ON</v>
          </cell>
          <cell r="E45">
            <v>374194</v>
          </cell>
        </row>
        <row r="46">
          <cell r="B46" t="str">
            <v>215CSD</v>
          </cell>
          <cell r="C46" t="str">
            <v>4200 SHEPPARD AVE.E.</v>
          </cell>
          <cell r="D46" t="str">
            <v>SCARBOROUGH, ON</v>
          </cell>
          <cell r="E46">
            <v>324174</v>
          </cell>
        </row>
        <row r="47">
          <cell r="B47" t="str">
            <v>222CSD</v>
          </cell>
          <cell r="C47" t="str">
            <v>5000 HWY #7,MARKVILLE MALL #99</v>
          </cell>
          <cell r="D47" t="str">
            <v>MARKHAM, ON</v>
          </cell>
          <cell r="E47">
            <v>264209</v>
          </cell>
        </row>
        <row r="48">
          <cell r="B48" t="str">
            <v>225CSD</v>
          </cell>
          <cell r="C48" t="str">
            <v>432 THE QUEENSWAY SOUTH</v>
          </cell>
          <cell r="D48" t="str">
            <v>KESWICK, ON</v>
          </cell>
          <cell r="E48">
            <v>879158.02</v>
          </cell>
        </row>
        <row r="49">
          <cell r="B49" t="str">
            <v>226CSD</v>
          </cell>
          <cell r="C49" t="str">
            <v>100 KING ST.W.  UNIT #213</v>
          </cell>
          <cell r="D49" t="str">
            <v>HAMILTON, ON</v>
          </cell>
          <cell r="E49">
            <v>341238</v>
          </cell>
        </row>
        <row r="50">
          <cell r="B50" t="str">
            <v>236CSD</v>
          </cell>
          <cell r="C50" t="str">
            <v>200 WELLINGTON ST.W.BOX 120</v>
          </cell>
          <cell r="D50" t="str">
            <v>TORONTO, ON</v>
          </cell>
          <cell r="E50">
            <v>87635</v>
          </cell>
        </row>
        <row r="51">
          <cell r="B51" t="str">
            <v>240CSD</v>
          </cell>
          <cell r="C51" t="str">
            <v>726 KINGSTON ROAD</v>
          </cell>
          <cell r="D51" t="str">
            <v>PICKERING, ON</v>
          </cell>
          <cell r="E51">
            <v>337679</v>
          </cell>
        </row>
        <row r="52">
          <cell r="B52" t="str">
            <v>245CSD</v>
          </cell>
          <cell r="C52" t="str">
            <v>1185 REGIONAL ROAD 21, UNIT 1</v>
          </cell>
          <cell r="D52" t="str">
            <v>MANCHESTER, ON</v>
          </cell>
          <cell r="E52">
            <v>932874</v>
          </cell>
        </row>
        <row r="53">
          <cell r="B53" t="str">
            <v>246CSD</v>
          </cell>
          <cell r="C53" t="str">
            <v>6035 MCLAUGHLIN ROAD</v>
          </cell>
          <cell r="D53" t="str">
            <v>MISSISSAUGA, ON</v>
          </cell>
          <cell r="E53">
            <v>628102</v>
          </cell>
        </row>
        <row r="54">
          <cell r="B54" t="str">
            <v>247CSD</v>
          </cell>
          <cell r="C54" t="str">
            <v>847 PORTSMOUTH AVENUE</v>
          </cell>
          <cell r="D54" t="str">
            <v>KINGSTON, ON</v>
          </cell>
          <cell r="E54">
            <v>381202</v>
          </cell>
        </row>
        <row r="55">
          <cell r="B55" t="str">
            <v>248CSD</v>
          </cell>
          <cell r="C55" t="str">
            <v>630 BURNHAMTHORPE RD.W.</v>
          </cell>
          <cell r="D55" t="str">
            <v>MISSISSAUGA, ON</v>
          </cell>
          <cell r="E55">
            <v>355605</v>
          </cell>
        </row>
        <row r="56">
          <cell r="B56" t="str">
            <v>249CSD</v>
          </cell>
          <cell r="C56" t="str">
            <v>104 KING STREET</v>
          </cell>
          <cell r="D56" t="str">
            <v>STONEY CREEK, ON</v>
          </cell>
          <cell r="E56">
            <v>554823</v>
          </cell>
        </row>
        <row r="57">
          <cell r="B57" t="str">
            <v>250CSD</v>
          </cell>
          <cell r="C57" t="str">
            <v>2867 ELLESMERE RD. CENTENARY H</v>
          </cell>
          <cell r="D57" t="str">
            <v>SCARBOROUGH, ON</v>
          </cell>
          <cell r="E57">
            <v>735068</v>
          </cell>
        </row>
        <row r="58">
          <cell r="B58" t="str">
            <v>252CSD</v>
          </cell>
          <cell r="C58" t="str">
            <v>1050 BROCK RD.</v>
          </cell>
          <cell r="D58" t="str">
            <v>PICKERING, ON</v>
          </cell>
          <cell r="E58">
            <v>476509</v>
          </cell>
        </row>
        <row r="59">
          <cell r="B59" t="str">
            <v>255CSD</v>
          </cell>
          <cell r="C59" t="str">
            <v>HWY #11 SOUTH, R.R.#2</v>
          </cell>
          <cell r="D59" t="str">
            <v>SHANTY BAY, ON</v>
          </cell>
          <cell r="E59">
            <v>444609</v>
          </cell>
        </row>
        <row r="60">
          <cell r="B60" t="str">
            <v>257CSD</v>
          </cell>
          <cell r="C60" t="str">
            <v>203-1 MANITOBA STREET</v>
          </cell>
          <cell r="D60" t="str">
            <v>BRACEBRIDGE, ON</v>
          </cell>
          <cell r="E60">
            <v>276210</v>
          </cell>
        </row>
        <row r="61">
          <cell r="B61" t="str">
            <v>258CSD</v>
          </cell>
          <cell r="C61" t="str">
            <v>7575-7577 KEELE STREET</v>
          </cell>
          <cell r="D61" t="str">
            <v>CONCORD, ON</v>
          </cell>
          <cell r="E61">
            <v>707645</v>
          </cell>
        </row>
        <row r="62">
          <cell r="B62" t="str">
            <v>259CSD</v>
          </cell>
          <cell r="C62" t="str">
            <v>HWY #7 AND KEENE ROAD</v>
          </cell>
          <cell r="D62" t="str">
            <v>PETERBOROUGH, ON.</v>
          </cell>
          <cell r="E62">
            <v>1064830.3999999999</v>
          </cell>
        </row>
        <row r="63">
          <cell r="B63" t="str">
            <v>260CSD</v>
          </cell>
          <cell r="C63" t="str">
            <v>140 ATHERLY RD.</v>
          </cell>
          <cell r="D63" t="str">
            <v>ORILLIA, ON</v>
          </cell>
          <cell r="E63">
            <v>364574</v>
          </cell>
        </row>
        <row r="64">
          <cell r="B64" t="str">
            <v>262CSD</v>
          </cell>
          <cell r="C64" t="str">
            <v>58 LOMBARD STREET</v>
          </cell>
          <cell r="D64" t="str">
            <v>SMITHS FALLS, ON</v>
          </cell>
          <cell r="E64">
            <v>385941.68</v>
          </cell>
        </row>
        <row r="65">
          <cell r="B65" t="str">
            <v>263CSD</v>
          </cell>
          <cell r="C65" t="str">
            <v>10 ST. MARY STREET</v>
          </cell>
          <cell r="D65" t="str">
            <v>TORONTO, ON</v>
          </cell>
          <cell r="E65">
            <v>410622.86</v>
          </cell>
        </row>
        <row r="66">
          <cell r="B66" t="str">
            <v>264CSD</v>
          </cell>
          <cell r="C66" t="str">
            <v>5955 LESLIE STREET</v>
          </cell>
          <cell r="D66" t="str">
            <v>NORTH YORK, ON</v>
          </cell>
          <cell r="E66">
            <v>507787</v>
          </cell>
        </row>
        <row r="67">
          <cell r="B67" t="str">
            <v>265CSD</v>
          </cell>
          <cell r="C67" t="str">
            <v>65 FRONT STREET WEST</v>
          </cell>
          <cell r="D67" t="str">
            <v>TORONTO, ON</v>
          </cell>
          <cell r="E67">
            <v>260392.32000000001</v>
          </cell>
        </row>
        <row r="68">
          <cell r="B68" t="str">
            <v>267CSD</v>
          </cell>
          <cell r="C68" t="str">
            <v>1550 LANSDOWNE ST.W.</v>
          </cell>
          <cell r="D68" t="str">
            <v>PETERBOROUGH, ON</v>
          </cell>
          <cell r="E68">
            <v>957851.6</v>
          </cell>
        </row>
        <row r="69">
          <cell r="B69" t="str">
            <v>268CSD</v>
          </cell>
          <cell r="C69" t="str">
            <v>1011 FINCH AVENUE WEST</v>
          </cell>
          <cell r="D69" t="str">
            <v>NORTH YORK, ON</v>
          </cell>
          <cell r="E69">
            <v>327848</v>
          </cell>
        </row>
        <row r="70">
          <cell r="B70" t="str">
            <v>269CSD</v>
          </cell>
          <cell r="C70" t="str">
            <v>212 QUEEN STREET</v>
          </cell>
          <cell r="D70" t="str">
            <v>BOLTON, ON</v>
          </cell>
          <cell r="E70">
            <v>572302.49</v>
          </cell>
        </row>
        <row r="71">
          <cell r="B71" t="str">
            <v>271CSD</v>
          </cell>
          <cell r="C71" t="str">
            <v>321 KENT STREET WEST</v>
          </cell>
          <cell r="D71" t="str">
            <v>LINDSAY, ON</v>
          </cell>
          <cell r="E71">
            <v>310643</v>
          </cell>
        </row>
        <row r="72">
          <cell r="B72" t="str">
            <v>272CSD</v>
          </cell>
          <cell r="C72" t="str">
            <v>2444 FINCH AVE., W.</v>
          </cell>
          <cell r="D72" t="str">
            <v>NORTH YORK, ON</v>
          </cell>
          <cell r="E72">
            <v>804218</v>
          </cell>
        </row>
        <row r="73">
          <cell r="B73" t="str">
            <v>273CSD</v>
          </cell>
          <cell r="C73" t="str">
            <v>7240 WOODBINE AVE.</v>
          </cell>
          <cell r="D73" t="str">
            <v>MARKHAM, ON</v>
          </cell>
          <cell r="E73">
            <v>506323</v>
          </cell>
        </row>
        <row r="74">
          <cell r="B74" t="str">
            <v>277CSD</v>
          </cell>
          <cell r="C74" t="str">
            <v>375 FORAN STREET</v>
          </cell>
          <cell r="D74" t="str">
            <v>NORTH BAY, ON</v>
          </cell>
          <cell r="E74">
            <v>737673</v>
          </cell>
        </row>
        <row r="75">
          <cell r="B75" t="str">
            <v>281CSD</v>
          </cell>
          <cell r="C75" t="str">
            <v>1737 RICHMOND ST HYLAND CENTRE</v>
          </cell>
          <cell r="D75" t="str">
            <v>LONDON, ON</v>
          </cell>
          <cell r="E75">
            <v>493280</v>
          </cell>
        </row>
        <row r="76">
          <cell r="B76" t="str">
            <v>282CSD</v>
          </cell>
          <cell r="C76" t="str">
            <v>14980 YONGE STREET</v>
          </cell>
          <cell r="D76" t="str">
            <v>AURORA, ON</v>
          </cell>
          <cell r="E76">
            <v>701836.86</v>
          </cell>
        </row>
        <row r="77">
          <cell r="B77" t="str">
            <v>283CSD</v>
          </cell>
          <cell r="C77" t="str">
            <v>6255 BATHURST STREET</v>
          </cell>
          <cell r="D77" t="str">
            <v>WILLOWDALE, ON</v>
          </cell>
          <cell r="E77">
            <v>738622.49</v>
          </cell>
        </row>
        <row r="78">
          <cell r="B78" t="str">
            <v>284CSD</v>
          </cell>
          <cell r="C78" t="str">
            <v>2037 LONG LAKE ROAD, UNIT #1</v>
          </cell>
          <cell r="D78" t="str">
            <v>SUDBURY, ON</v>
          </cell>
          <cell r="E78">
            <v>462730</v>
          </cell>
        </row>
        <row r="79">
          <cell r="B79" t="str">
            <v>285CSD</v>
          </cell>
          <cell r="C79" t="str">
            <v>6555 LUNDY'S LANE</v>
          </cell>
          <cell r="D79" t="str">
            <v>NIAGARA FALLS, ON</v>
          </cell>
          <cell r="E79">
            <v>461855</v>
          </cell>
        </row>
        <row r="80">
          <cell r="B80" t="str">
            <v>286CSD</v>
          </cell>
          <cell r="C80" t="str">
            <v>11 EDMONTON TRAIL N.E.</v>
          </cell>
          <cell r="D80" t="str">
            <v>CALGARY, AB</v>
          </cell>
          <cell r="E80">
            <v>647984</v>
          </cell>
        </row>
        <row r="81">
          <cell r="B81" t="str">
            <v>287CSD</v>
          </cell>
          <cell r="C81" t="str">
            <v>1650 DERRY ROAD EAST</v>
          </cell>
          <cell r="D81" t="str">
            <v>MISSISSAUGA, ON</v>
          </cell>
          <cell r="E81">
            <v>496631</v>
          </cell>
        </row>
        <row r="82">
          <cell r="B82" t="str">
            <v>288CSD</v>
          </cell>
          <cell r="C82" t="str">
            <v>506 CANATARA COURT</v>
          </cell>
          <cell r="D82" t="str">
            <v>KINGSTON, ON</v>
          </cell>
          <cell r="E82">
            <v>607540</v>
          </cell>
        </row>
        <row r="83">
          <cell r="B83" t="str">
            <v>289CSD</v>
          </cell>
          <cell r="C83" t="str">
            <v>2118 KING RD.</v>
          </cell>
          <cell r="D83" t="str">
            <v>KING CITY, ON</v>
          </cell>
          <cell r="E83">
            <v>650938</v>
          </cell>
        </row>
        <row r="84">
          <cell r="B84" t="str">
            <v>291CSD</v>
          </cell>
          <cell r="C84" t="str">
            <v>1224 THE KINGSWAY</v>
          </cell>
          <cell r="D84" t="str">
            <v>SUDBURY, ON</v>
          </cell>
          <cell r="E84">
            <v>269552</v>
          </cell>
        </row>
        <row r="85">
          <cell r="B85" t="str">
            <v>305CSD</v>
          </cell>
          <cell r="C85" t="str">
            <v>17740 YONGE STREET NORTH</v>
          </cell>
          <cell r="D85" t="str">
            <v>NEWMARKET, ON</v>
          </cell>
          <cell r="E85">
            <v>159344</v>
          </cell>
        </row>
        <row r="86">
          <cell r="B86" t="str">
            <v>306CSD</v>
          </cell>
          <cell r="C86" t="str">
            <v>1333 WILSON ROAD NORTH</v>
          </cell>
          <cell r="D86" t="str">
            <v>OSHAWA, ON</v>
          </cell>
          <cell r="E86">
            <v>163136</v>
          </cell>
        </row>
        <row r="87">
          <cell r="B87" t="str">
            <v>309CSD</v>
          </cell>
          <cell r="C87" t="str">
            <v>6355 YONGE STREET</v>
          </cell>
          <cell r="D87" t="str">
            <v>NORTH YORK, ON</v>
          </cell>
          <cell r="E87">
            <v>1077614</v>
          </cell>
        </row>
        <row r="88">
          <cell r="B88" t="str">
            <v>310CSD</v>
          </cell>
          <cell r="C88" t="str">
            <v>R.R. #2,HIGWAY 11 SOUTH</v>
          </cell>
          <cell r="D88" t="str">
            <v>GRAVENHURST, ON</v>
          </cell>
          <cell r="E88">
            <v>378687</v>
          </cell>
        </row>
        <row r="89">
          <cell r="B89" t="str">
            <v>313CSD</v>
          </cell>
          <cell r="C89" t="str">
            <v>68 ELLIOT AVENUE</v>
          </cell>
          <cell r="D89" t="str">
            <v>KINGSTON, ON</v>
          </cell>
          <cell r="E89">
            <v>573954.78</v>
          </cell>
        </row>
        <row r="90">
          <cell r="B90" t="str">
            <v>314CSD</v>
          </cell>
          <cell r="C90" t="str">
            <v>1250 MAIN STREET</v>
          </cell>
          <cell r="D90" t="str">
            <v>STITTSVILLE, ON</v>
          </cell>
          <cell r="E90">
            <v>640345</v>
          </cell>
        </row>
        <row r="91">
          <cell r="B91" t="str">
            <v>315CSD</v>
          </cell>
          <cell r="C91" t="str">
            <v>17750 YONGE STREET</v>
          </cell>
          <cell r="D91" t="str">
            <v>NEWMARKET, ON</v>
          </cell>
          <cell r="E91">
            <v>58388</v>
          </cell>
        </row>
        <row r="92">
          <cell r="B92" t="str">
            <v>316CSD</v>
          </cell>
          <cell r="C92" t="str">
            <v>603 DAVENPORT RD.</v>
          </cell>
          <cell r="D92" t="str">
            <v>TORONTO, ON</v>
          </cell>
          <cell r="E92">
            <v>545765.86</v>
          </cell>
        </row>
        <row r="93">
          <cell r="B93" t="str">
            <v>319CSD</v>
          </cell>
          <cell r="C93" t="str">
            <v>930-18TH STREET</v>
          </cell>
          <cell r="D93" t="str">
            <v>BRANDON, MB</v>
          </cell>
          <cell r="E93">
            <v>189639</v>
          </cell>
        </row>
        <row r="94">
          <cell r="B94" t="str">
            <v>325CSD</v>
          </cell>
          <cell r="C94" t="str">
            <v>300 680 2 STREET SOUTHEAST DR</v>
          </cell>
          <cell r="D94" t="str">
            <v>DRUMHELLER, AB</v>
          </cell>
          <cell r="E94">
            <v>372766</v>
          </cell>
        </row>
        <row r="95">
          <cell r="B95" t="str">
            <v>326CSD</v>
          </cell>
          <cell r="C95" t="str">
            <v>3005 HWY 35 &amp; 115</v>
          </cell>
          <cell r="D95" t="str">
            <v>NEWCASTLE, ON</v>
          </cell>
          <cell r="E95">
            <v>1046468</v>
          </cell>
        </row>
        <row r="96">
          <cell r="B96" t="str">
            <v>327CSD</v>
          </cell>
          <cell r="C96" t="str">
            <v>HWY 7 &amp; 15 , R.R. #2</v>
          </cell>
          <cell r="D96" t="str">
            <v>CARLETON PLACE, ON</v>
          </cell>
          <cell r="E96">
            <v>417026</v>
          </cell>
        </row>
        <row r="97">
          <cell r="B97" t="str">
            <v>329CSD</v>
          </cell>
          <cell r="C97" t="str">
            <v>1326 SIMCOE ST.N.</v>
          </cell>
          <cell r="D97" t="str">
            <v>OSHAWA, ON</v>
          </cell>
          <cell r="E97">
            <v>699604</v>
          </cell>
        </row>
        <row r="98">
          <cell r="B98" t="str">
            <v>330CSD</v>
          </cell>
          <cell r="C98" t="str">
            <v>205 ADVANCE BLVD.</v>
          </cell>
          <cell r="D98" t="str">
            <v>BRAMPTON, ON</v>
          </cell>
          <cell r="E98">
            <v>872391</v>
          </cell>
        </row>
        <row r="99">
          <cell r="B99" t="str">
            <v>331CSD</v>
          </cell>
          <cell r="C99" t="str">
            <v>6415 DIXIE RD. (ESSO STATION)</v>
          </cell>
          <cell r="D99" t="str">
            <v>MISSISSAUGA, ON</v>
          </cell>
          <cell r="E99">
            <v>156700</v>
          </cell>
        </row>
        <row r="100">
          <cell r="B100" t="str">
            <v>332CSD</v>
          </cell>
          <cell r="C100" t="str">
            <v>GEN.DEL,HWY 17 E &amp; INDUSTRIAL</v>
          </cell>
          <cell r="D100" t="str">
            <v>BLIND RIVER, ON</v>
          </cell>
          <cell r="E100">
            <v>434228</v>
          </cell>
        </row>
        <row r="101">
          <cell r="B101" t="str">
            <v>333CSD</v>
          </cell>
          <cell r="C101" t="str">
            <v>11108 YONGE STREET</v>
          </cell>
          <cell r="D101" t="str">
            <v>RICHMOND HILL, ON</v>
          </cell>
          <cell r="E101">
            <v>830408</v>
          </cell>
        </row>
        <row r="102">
          <cell r="B102" t="str">
            <v>335CSD</v>
          </cell>
          <cell r="C102" t="str">
            <v>107 QUEEN ST., P.O.BOX 1398</v>
          </cell>
          <cell r="D102" t="str">
            <v>LAKEFIELD, ON</v>
          </cell>
          <cell r="E102">
            <v>492352</v>
          </cell>
        </row>
        <row r="103">
          <cell r="B103" t="str">
            <v>336CSD</v>
          </cell>
          <cell r="C103" t="str">
            <v>1 INDUSTRIAL PARKWAY</v>
          </cell>
          <cell r="D103" t="str">
            <v>AURORA, ON</v>
          </cell>
          <cell r="E103">
            <v>556951.93000000005</v>
          </cell>
        </row>
        <row r="104">
          <cell r="B104" t="str">
            <v>337CSD</v>
          </cell>
          <cell r="C104" t="str">
            <v>1401A SEYMOUR STREET</v>
          </cell>
          <cell r="D104" t="str">
            <v>NORTH BAY, ON</v>
          </cell>
          <cell r="E104">
            <v>752395.7</v>
          </cell>
        </row>
        <row r="105">
          <cell r="B105" t="str">
            <v>338CSD</v>
          </cell>
          <cell r="C105" t="str">
            <v>799 YORK MILLS ROAD</v>
          </cell>
          <cell r="D105" t="str">
            <v>NORTH YORK, ON</v>
          </cell>
          <cell r="E105">
            <v>594942</v>
          </cell>
        </row>
        <row r="106">
          <cell r="B106" t="str">
            <v>339CSD</v>
          </cell>
          <cell r="C106" t="str">
            <v>2387 KINGSTON ROAD</v>
          </cell>
          <cell r="D106" t="str">
            <v>SCARBOROUGH, ON</v>
          </cell>
          <cell r="E106">
            <v>506208</v>
          </cell>
        </row>
        <row r="107">
          <cell r="B107" t="str">
            <v>340CSD</v>
          </cell>
          <cell r="C107" t="str">
            <v>9218 YONGE STREET</v>
          </cell>
          <cell r="D107" t="str">
            <v>RICHMOND HILL ,ON</v>
          </cell>
          <cell r="E107">
            <v>869168.21</v>
          </cell>
        </row>
        <row r="108">
          <cell r="B108" t="str">
            <v>341CSD</v>
          </cell>
          <cell r="C108" t="str">
            <v>24398 WOODBINE AVENUE</v>
          </cell>
          <cell r="D108" t="str">
            <v>KESWICK, ON</v>
          </cell>
          <cell r="E108">
            <v>811833</v>
          </cell>
        </row>
        <row r="109">
          <cell r="B109" t="str">
            <v>342CSD</v>
          </cell>
          <cell r="C109" t="str">
            <v>1 - 111 CENTRE ST.</v>
          </cell>
          <cell r="D109" t="str">
            <v>ESPANOLA, ON</v>
          </cell>
          <cell r="E109">
            <v>229248</v>
          </cell>
        </row>
        <row r="110">
          <cell r="B110" t="str">
            <v>347CSD</v>
          </cell>
          <cell r="C110" t="str">
            <v>396 HOLLAND ST.W. P.O.BOX 407</v>
          </cell>
          <cell r="D110" t="str">
            <v>BRADFORD, ON</v>
          </cell>
          <cell r="E110">
            <v>708209</v>
          </cell>
        </row>
        <row r="111">
          <cell r="B111" t="str">
            <v>348CSD</v>
          </cell>
          <cell r="C111" t="str">
            <v>371 LORNE ST.</v>
          </cell>
          <cell r="D111" t="str">
            <v>SUDBURY, ON</v>
          </cell>
          <cell r="E111">
            <v>636869</v>
          </cell>
        </row>
        <row r="112">
          <cell r="B112" t="str">
            <v>349CSD</v>
          </cell>
          <cell r="C112" t="str">
            <v>821 DIVISION STREET</v>
          </cell>
          <cell r="D112" t="str">
            <v>COBOURG, ON</v>
          </cell>
          <cell r="E112">
            <v>738031</v>
          </cell>
        </row>
        <row r="113">
          <cell r="B113" t="str">
            <v>350CSD</v>
          </cell>
          <cell r="C113" t="str">
            <v>197 GEORGE STREET NORTH</v>
          </cell>
          <cell r="D113" t="str">
            <v>PETERBOROUGH, ON</v>
          </cell>
          <cell r="E113">
            <v>414577</v>
          </cell>
        </row>
        <row r="114">
          <cell r="B114" t="str">
            <v>351CSD</v>
          </cell>
          <cell r="C114" t="str">
            <v>1735 KIPLING AVENUE</v>
          </cell>
          <cell r="D114" t="str">
            <v>ETOBICOKE, ON</v>
          </cell>
          <cell r="E114">
            <v>576427</v>
          </cell>
        </row>
        <row r="115">
          <cell r="B115" t="str">
            <v>353CSD</v>
          </cell>
          <cell r="C115" t="str">
            <v>2050B VICTORIA PARK AVENUE</v>
          </cell>
          <cell r="D115" t="str">
            <v>NORTH YORK, ON.</v>
          </cell>
          <cell r="E115">
            <v>511721.76</v>
          </cell>
        </row>
        <row r="116">
          <cell r="B116" t="str">
            <v>354CSD</v>
          </cell>
          <cell r="C116" t="str">
            <v>131 TIFFIN STREET EAST</v>
          </cell>
          <cell r="D116" t="str">
            <v>BARRIE, ON</v>
          </cell>
          <cell r="E116">
            <v>658014</v>
          </cell>
        </row>
        <row r="117">
          <cell r="B117" t="str">
            <v>356CSD</v>
          </cell>
          <cell r="C117" t="str">
            <v>2512 JANE STREET</v>
          </cell>
          <cell r="D117" t="str">
            <v>NORTH YORK, ON</v>
          </cell>
          <cell r="E117">
            <v>589988</v>
          </cell>
        </row>
        <row r="118">
          <cell r="B118" t="str">
            <v>358CSD</v>
          </cell>
          <cell r="C118" t="str">
            <v>HWY 11 NORTHBOUND &amp; 2ND LINE</v>
          </cell>
          <cell r="D118" t="str">
            <v>SHANTY BAY, ON</v>
          </cell>
          <cell r="E118">
            <v>487608</v>
          </cell>
        </row>
        <row r="119">
          <cell r="B119" t="str">
            <v>361CSD</v>
          </cell>
          <cell r="C119" t="str">
            <v>2781 DUFFERIN ST.</v>
          </cell>
          <cell r="D119" t="str">
            <v>NORTH YORK, ON</v>
          </cell>
          <cell r="E119">
            <v>607471</v>
          </cell>
        </row>
        <row r="120">
          <cell r="B120" t="str">
            <v>363CSD</v>
          </cell>
          <cell r="C120" t="str">
            <v>1 RICHMOND BOULEVARD</v>
          </cell>
          <cell r="D120" t="str">
            <v>NAPANEE, ON</v>
          </cell>
          <cell r="E120">
            <v>618794.02</v>
          </cell>
        </row>
        <row r="121">
          <cell r="B121" t="str">
            <v>364CSD</v>
          </cell>
          <cell r="C121" t="str">
            <v>66 OVERLEA BLVD.</v>
          </cell>
          <cell r="D121" t="str">
            <v>EAST YORK, ON</v>
          </cell>
          <cell r="E121">
            <v>528680.84</v>
          </cell>
        </row>
        <row r="122">
          <cell r="B122" t="str">
            <v>365CSD</v>
          </cell>
          <cell r="C122" t="str">
            <v>1160 HIGHBURY AVENUE</v>
          </cell>
          <cell r="D122" t="str">
            <v>LONDON, ON</v>
          </cell>
          <cell r="E122">
            <v>409259</v>
          </cell>
        </row>
        <row r="123">
          <cell r="B123" t="str">
            <v>367CSD</v>
          </cell>
          <cell r="C123" t="str">
            <v>1391 EAST 41ST AVENUE</v>
          </cell>
          <cell r="D123" t="str">
            <v>VANCOUVER, B.C.</v>
          </cell>
          <cell r="E123">
            <v>433818</v>
          </cell>
        </row>
        <row r="124">
          <cell r="B124" t="str">
            <v>369CSD</v>
          </cell>
          <cell r="C124" t="str">
            <v>288 BLOOR ST.WEST</v>
          </cell>
          <cell r="D124" t="str">
            <v>OSHAWA, ON</v>
          </cell>
          <cell r="E124">
            <v>678777</v>
          </cell>
        </row>
        <row r="125">
          <cell r="B125" t="str">
            <v>372CSD</v>
          </cell>
          <cell r="C125" t="str">
            <v>2281 KIPLING AVENUE</v>
          </cell>
          <cell r="D125" t="str">
            <v>ETOBICOKE, ON</v>
          </cell>
          <cell r="E125">
            <v>621744.46</v>
          </cell>
        </row>
        <row r="126">
          <cell r="B126" t="str">
            <v>373CSD</v>
          </cell>
          <cell r="C126" t="str">
            <v>828 CHEMONG ROAD</v>
          </cell>
          <cell r="D126" t="str">
            <v>PETERBOROUGH, ON</v>
          </cell>
          <cell r="E126">
            <v>420022.57</v>
          </cell>
        </row>
        <row r="127">
          <cell r="B127" t="str">
            <v>375CSD</v>
          </cell>
          <cell r="C127" t="str">
            <v>HWY 11 AT 47TH P.O. BOX 2145</v>
          </cell>
          <cell r="D127" t="str">
            <v>RCKY MTN HOUSE, AB</v>
          </cell>
          <cell r="E127">
            <v>137299</v>
          </cell>
        </row>
        <row r="128">
          <cell r="B128" t="str">
            <v>376CSD</v>
          </cell>
          <cell r="C128" t="str">
            <v>5964 HIGHWAY #9</v>
          </cell>
          <cell r="D128" t="str">
            <v>NEW TECUMSETH, ON</v>
          </cell>
          <cell r="E128">
            <v>729538.93</v>
          </cell>
        </row>
        <row r="129">
          <cell r="B129" t="str">
            <v>380CSD</v>
          </cell>
          <cell r="C129" t="str">
            <v>590 KEELE ST.</v>
          </cell>
          <cell r="D129" t="str">
            <v>TORONTO, ON</v>
          </cell>
          <cell r="E129">
            <v>744648</v>
          </cell>
        </row>
        <row r="130">
          <cell r="B130" t="str">
            <v>381CSD</v>
          </cell>
          <cell r="C130" t="str">
            <v>554 LANSDOWNE ST., W.</v>
          </cell>
          <cell r="D130" t="str">
            <v>PETERBOROUGH, ON.</v>
          </cell>
          <cell r="E130">
            <v>500892</v>
          </cell>
        </row>
        <row r="131">
          <cell r="B131" t="str">
            <v>383CSD</v>
          </cell>
          <cell r="C131" t="str">
            <v>120 BRICKYARD WAY, BLDG C</v>
          </cell>
          <cell r="D131" t="str">
            <v>BRAMPTON, ON</v>
          </cell>
          <cell r="E131">
            <v>620935</v>
          </cell>
        </row>
        <row r="132">
          <cell r="B132" t="str">
            <v>384CSD</v>
          </cell>
          <cell r="C132" t="str">
            <v>1465 AEROWOOD DRIVE</v>
          </cell>
          <cell r="D132" t="str">
            <v>MISSISSAUGA, ON</v>
          </cell>
          <cell r="E132">
            <v>744523</v>
          </cell>
        </row>
        <row r="133">
          <cell r="B133" t="str">
            <v>385CSD</v>
          </cell>
          <cell r="C133" t="str">
            <v>1585 WARDEN AVENUE</v>
          </cell>
          <cell r="D133" t="str">
            <v>SCARBOROUGH, ON</v>
          </cell>
          <cell r="E133">
            <v>69785</v>
          </cell>
        </row>
        <row r="134">
          <cell r="B134" t="str">
            <v>386CSD</v>
          </cell>
          <cell r="C134" t="str">
            <v>537 HESPELER ROAD</v>
          </cell>
          <cell r="D134" t="str">
            <v>CAMBRIDGE, ON</v>
          </cell>
          <cell r="E134">
            <v>468153</v>
          </cell>
        </row>
        <row r="135">
          <cell r="B135" t="str">
            <v>387CSD</v>
          </cell>
          <cell r="C135" t="str">
            <v>334 DUNDAS ST.E.</v>
          </cell>
          <cell r="D135" t="str">
            <v>MISSISSAUGA, ON</v>
          </cell>
          <cell r="E135">
            <v>540281</v>
          </cell>
        </row>
        <row r="136">
          <cell r="B136" t="str">
            <v>389CSD</v>
          </cell>
          <cell r="C136" t="str">
            <v>BOX 657</v>
          </cell>
          <cell r="D136" t="str">
            <v>MORRISBURG, ON</v>
          </cell>
          <cell r="E136">
            <v>227687</v>
          </cell>
        </row>
        <row r="137">
          <cell r="B137" t="str">
            <v>392CSD</v>
          </cell>
          <cell r="C137" t="str">
            <v>929 QUEEN ST.E.</v>
          </cell>
          <cell r="D137" t="str">
            <v>TORONTO, ON</v>
          </cell>
          <cell r="E137">
            <v>300257.84000000003</v>
          </cell>
        </row>
        <row r="138">
          <cell r="B138" t="str">
            <v>393CSD</v>
          </cell>
          <cell r="C138" t="str">
            <v>204 HAMILTON RD.</v>
          </cell>
          <cell r="D138" t="str">
            <v>LONDON, ON</v>
          </cell>
          <cell r="E138">
            <v>525057</v>
          </cell>
        </row>
        <row r="139">
          <cell r="B139" t="str">
            <v>394CSD</v>
          </cell>
          <cell r="C139" t="str">
            <v>210 PINEBUSH ROAD</v>
          </cell>
          <cell r="D139" t="str">
            <v>CAMBRIDGE, ON</v>
          </cell>
          <cell r="E139">
            <v>460152</v>
          </cell>
        </row>
        <row r="140">
          <cell r="B140" t="str">
            <v>395CSD</v>
          </cell>
          <cell r="C140" t="str">
            <v>960 DUNDAS STREET WEST</v>
          </cell>
          <cell r="D140" t="str">
            <v>WHITBY, ON.</v>
          </cell>
          <cell r="E140">
            <v>529734</v>
          </cell>
        </row>
        <row r="141">
          <cell r="B141" t="str">
            <v>396CSD</v>
          </cell>
          <cell r="C141" t="str">
            <v>11 JACOB KEFFER PARKWAY</v>
          </cell>
          <cell r="D141" t="str">
            <v>VAUGHAN, ON.</v>
          </cell>
          <cell r="E141">
            <v>420157</v>
          </cell>
        </row>
        <row r="142">
          <cell r="B142" t="str">
            <v>399CSD</v>
          </cell>
          <cell r="C142" t="str">
            <v>362 LAKESHORE ROAD EAST</v>
          </cell>
          <cell r="D142" t="str">
            <v>MISSISSAUGA, ON.</v>
          </cell>
          <cell r="E142">
            <v>466835</v>
          </cell>
        </row>
        <row r="143">
          <cell r="B143" t="str">
            <v>400BMB</v>
          </cell>
          <cell r="C143" t="str">
            <v>3-32905 VENTURA AVENUE</v>
          </cell>
          <cell r="D143" t="str">
            <v>ABBOTSFORD, B.C.</v>
          </cell>
          <cell r="E143">
            <v>350881</v>
          </cell>
        </row>
        <row r="144">
          <cell r="B144" t="str">
            <v>400CSD</v>
          </cell>
          <cell r="C144" t="str">
            <v>1156-58 KENNEDY ROAD</v>
          </cell>
          <cell r="D144" t="str">
            <v>SCARBOROUGH, ON.</v>
          </cell>
          <cell r="E144">
            <v>256390</v>
          </cell>
        </row>
        <row r="145">
          <cell r="B145" t="str">
            <v>401BMB</v>
          </cell>
          <cell r="C145" t="str">
            <v>96 VICTORIA STREET</v>
          </cell>
          <cell r="D145" t="str">
            <v>BARRIE, ON</v>
          </cell>
          <cell r="E145">
            <v>802014</v>
          </cell>
        </row>
        <row r="146">
          <cell r="B146" t="str">
            <v>402BMB</v>
          </cell>
          <cell r="C146" t="str">
            <v>300 BELL BLVD.</v>
          </cell>
          <cell r="D146" t="str">
            <v>BELLEVILLE, ON</v>
          </cell>
          <cell r="E146">
            <v>1080119</v>
          </cell>
        </row>
        <row r="147">
          <cell r="B147" t="str">
            <v>402CSD</v>
          </cell>
          <cell r="C147" t="str">
            <v>1146 VICTORIA ST.RR1GEN.DEL'V'</v>
          </cell>
          <cell r="D147" t="str">
            <v>ROSSEAU, ON</v>
          </cell>
          <cell r="E147">
            <v>250969</v>
          </cell>
        </row>
        <row r="148">
          <cell r="B148" t="str">
            <v>403BMB</v>
          </cell>
          <cell r="C148" t="str">
            <v>1 STAFFORD DRIVE</v>
          </cell>
          <cell r="D148" t="str">
            <v>BRAMPTON, ON</v>
          </cell>
          <cell r="E148">
            <v>675922</v>
          </cell>
        </row>
        <row r="149">
          <cell r="B149" t="str">
            <v>404CSD</v>
          </cell>
          <cell r="C149" t="str">
            <v>1620 BIRCHMOUNT ROAD</v>
          </cell>
          <cell r="D149" t="str">
            <v>SCARBOROUGH, ON</v>
          </cell>
          <cell r="E149">
            <v>254482</v>
          </cell>
        </row>
        <row r="150">
          <cell r="B150" t="str">
            <v>406CSD</v>
          </cell>
          <cell r="C150" t="str">
            <v>490 BAYFIELD ST. NORTH</v>
          </cell>
          <cell r="D150" t="str">
            <v>BARRIE, ON</v>
          </cell>
          <cell r="E150">
            <v>358818</v>
          </cell>
        </row>
        <row r="151">
          <cell r="B151" t="str">
            <v>407BMB</v>
          </cell>
          <cell r="C151" t="str">
            <v>7832-6TH STREET</v>
          </cell>
          <cell r="D151" t="str">
            <v>BURNABY, B.C.</v>
          </cell>
          <cell r="E151">
            <v>542321</v>
          </cell>
        </row>
        <row r="152">
          <cell r="B152" t="str">
            <v>408BMB</v>
          </cell>
          <cell r="C152" t="str">
            <v>3290 PRODUCTION WAY</v>
          </cell>
          <cell r="D152" t="str">
            <v>BURNABY, B.C.</v>
          </cell>
          <cell r="E152">
            <v>399742</v>
          </cell>
        </row>
        <row r="153">
          <cell r="B153" t="str">
            <v>409CSD</v>
          </cell>
          <cell r="C153" t="str">
            <v>231-235 EDINBURGH RD.SOUTH</v>
          </cell>
          <cell r="D153" t="str">
            <v>GUELPH, ON</v>
          </cell>
          <cell r="E153">
            <v>194554</v>
          </cell>
        </row>
        <row r="154">
          <cell r="B154" t="str">
            <v>410CSD</v>
          </cell>
          <cell r="C154" t="str">
            <v>P.O.BOX 458</v>
          </cell>
          <cell r="D154" t="str">
            <v>FERNIE, B.C.</v>
          </cell>
          <cell r="E154">
            <v>267993</v>
          </cell>
        </row>
        <row r="155">
          <cell r="B155" t="str">
            <v>411CSD</v>
          </cell>
          <cell r="C155" t="str">
            <v>304 TORONTO STREET SOUTH</v>
          </cell>
          <cell r="D155" t="str">
            <v>UXBRIDGE, ON</v>
          </cell>
          <cell r="E155">
            <v>0</v>
          </cell>
        </row>
        <row r="156">
          <cell r="B156" t="str">
            <v>413BMB</v>
          </cell>
          <cell r="C156" t="str">
            <v>46 WELLINGTON ST.W.</v>
          </cell>
          <cell r="D156" t="str">
            <v>CHATHAM, ON</v>
          </cell>
          <cell r="E156">
            <v>505441</v>
          </cell>
        </row>
        <row r="157">
          <cell r="B157" t="str">
            <v>413CSD</v>
          </cell>
          <cell r="C157" t="str">
            <v>28 BRIDGE STREET</v>
          </cell>
          <cell r="D157" t="str">
            <v>BRADFORD, ON</v>
          </cell>
          <cell r="E157">
            <v>351011</v>
          </cell>
        </row>
        <row r="158">
          <cell r="B158" t="str">
            <v>414CSD</v>
          </cell>
          <cell r="C158" t="str">
            <v>598 ONTARIO STREET SOUTH</v>
          </cell>
          <cell r="D158" t="str">
            <v>MILTON, ON</v>
          </cell>
          <cell r="E158">
            <v>388899</v>
          </cell>
        </row>
        <row r="159">
          <cell r="B159" t="str">
            <v>415BMB</v>
          </cell>
          <cell r="C159" t="str">
            <v>726 ONTARIO STREET</v>
          </cell>
          <cell r="D159" t="str">
            <v>COBOURG, ON</v>
          </cell>
          <cell r="E159">
            <v>327093</v>
          </cell>
        </row>
        <row r="160">
          <cell r="B160" t="str">
            <v>417BMB</v>
          </cell>
          <cell r="C160" t="str">
            <v>#107-2071 KINGSWAY</v>
          </cell>
          <cell r="D160" t="str">
            <v>PORT COQUITLAM, B.C.</v>
          </cell>
          <cell r="E160">
            <v>312557</v>
          </cell>
        </row>
        <row r="161">
          <cell r="B161" t="str">
            <v>417CSD</v>
          </cell>
          <cell r="C161" t="str">
            <v>681 CHRISLEA ROAD</v>
          </cell>
          <cell r="D161" t="str">
            <v>VAUGHAN, ON</v>
          </cell>
          <cell r="E161">
            <v>388125.4</v>
          </cell>
        </row>
        <row r="162">
          <cell r="B162" t="str">
            <v>418BMB</v>
          </cell>
          <cell r="C162" t="str">
            <v>900 PITT STREET</v>
          </cell>
          <cell r="D162" t="str">
            <v>CORNWALL, ON</v>
          </cell>
          <cell r="E162">
            <v>393493</v>
          </cell>
        </row>
        <row r="163">
          <cell r="B163" t="str">
            <v>418CSD</v>
          </cell>
          <cell r="C163" t="str">
            <v>169-C FRONT STREET</v>
          </cell>
          <cell r="D163" t="str">
            <v>STURGEON FALLS, ON</v>
          </cell>
          <cell r="E163">
            <v>274251</v>
          </cell>
        </row>
        <row r="164">
          <cell r="B164" t="str">
            <v>419BMB</v>
          </cell>
          <cell r="C164" t="str">
            <v>445-10TH ST.</v>
          </cell>
          <cell r="D164" t="str">
            <v>COURTENAY, B.C.</v>
          </cell>
          <cell r="E164">
            <v>618778</v>
          </cell>
        </row>
        <row r="165">
          <cell r="B165" t="str">
            <v>420BMB</v>
          </cell>
          <cell r="C165" t="str">
            <v>216 SLATER ROAD N.W.</v>
          </cell>
          <cell r="D165" t="str">
            <v>CRANBROOK, B.C.</v>
          </cell>
          <cell r="E165">
            <v>391471</v>
          </cell>
        </row>
        <row r="166">
          <cell r="B166" t="str">
            <v>420CSD</v>
          </cell>
          <cell r="C166" t="str">
            <v>5401 STEELES AVE., WEST</v>
          </cell>
          <cell r="D166" t="str">
            <v>TORONTO, ON</v>
          </cell>
          <cell r="E166">
            <v>235337</v>
          </cell>
        </row>
        <row r="167">
          <cell r="B167" t="str">
            <v>421BMB</v>
          </cell>
          <cell r="C167" t="str">
            <v>#3-11161 -84TH AVENUE</v>
          </cell>
          <cell r="D167" t="str">
            <v>DELTA, B.C.</v>
          </cell>
          <cell r="E167">
            <v>182537</v>
          </cell>
        </row>
        <row r="168">
          <cell r="B168" t="str">
            <v>421CSD</v>
          </cell>
          <cell r="C168" t="str">
            <v>1681 WILSON AVE.</v>
          </cell>
          <cell r="D168" t="str">
            <v>TORONTO, ON</v>
          </cell>
          <cell r="E168">
            <v>0</v>
          </cell>
        </row>
        <row r="169">
          <cell r="B169" t="str">
            <v>422BMB</v>
          </cell>
          <cell r="C169" t="str">
            <v>2289 KING GEORGE HWY</v>
          </cell>
          <cell r="D169" t="str">
            <v>MIRAMICHI, N.B.</v>
          </cell>
          <cell r="E169">
            <v>286228</v>
          </cell>
        </row>
        <row r="170">
          <cell r="B170" t="str">
            <v>422CSD</v>
          </cell>
          <cell r="C170" t="str">
            <v>MALVERN TOWN CTR. 31 TAPSCOTT</v>
          </cell>
          <cell r="D170" t="str">
            <v>SCARBOROUGH, ON</v>
          </cell>
          <cell r="E170">
            <v>134383</v>
          </cell>
        </row>
        <row r="171">
          <cell r="B171" t="str">
            <v>424CSD</v>
          </cell>
          <cell r="C171" t="str">
            <v>688 HESPELER RD</v>
          </cell>
          <cell r="D171" t="str">
            <v>CAMBRIDGE, ON</v>
          </cell>
          <cell r="E171">
            <v>0</v>
          </cell>
        </row>
        <row r="172">
          <cell r="B172" t="str">
            <v>425BMB</v>
          </cell>
          <cell r="C172" t="str">
            <v>853 KIPLING AVENUE</v>
          </cell>
          <cell r="D172" t="str">
            <v>ETOBICOKE, ON</v>
          </cell>
          <cell r="E172">
            <v>883395</v>
          </cell>
        </row>
        <row r="173">
          <cell r="B173" t="str">
            <v>425CSD</v>
          </cell>
          <cell r="C173" t="str">
            <v>2188 WESTERN PKWY. U. OF B.C.</v>
          </cell>
          <cell r="D173" t="str">
            <v>W. VANCOUVER,B.C.</v>
          </cell>
          <cell r="E173">
            <v>153363</v>
          </cell>
        </row>
        <row r="174">
          <cell r="B174" t="str">
            <v>426BMB</v>
          </cell>
          <cell r="C174" t="str">
            <v>1331 MARTINGROVE ROAD</v>
          </cell>
          <cell r="D174" t="str">
            <v>ETOBICOKE, ON</v>
          </cell>
          <cell r="E174">
            <v>244002</v>
          </cell>
        </row>
        <row r="175">
          <cell r="B175" t="str">
            <v>426CSD</v>
          </cell>
          <cell r="C175" t="str">
            <v>1533 JANE ST.</v>
          </cell>
          <cell r="D175" t="str">
            <v>TORONTO, ON</v>
          </cell>
          <cell r="E175">
            <v>228609</v>
          </cell>
        </row>
        <row r="176">
          <cell r="B176" t="str">
            <v>427CSD</v>
          </cell>
          <cell r="C176" t="str">
            <v>16654 YONGE STREET</v>
          </cell>
          <cell r="D176" t="str">
            <v>NEWMARKET, ON</v>
          </cell>
          <cell r="E176">
            <v>0</v>
          </cell>
        </row>
        <row r="177">
          <cell r="B177" t="str">
            <v>430BMB</v>
          </cell>
          <cell r="C177" t="str">
            <v>256 SILVERCREEK PARKWAY</v>
          </cell>
          <cell r="D177" t="str">
            <v>GUELPH, ON</v>
          </cell>
          <cell r="E177">
            <v>1024652</v>
          </cell>
        </row>
        <row r="178">
          <cell r="B178" t="str">
            <v>431BMB</v>
          </cell>
          <cell r="C178" t="str">
            <v>307 NASH ROAD N.</v>
          </cell>
          <cell r="D178" t="str">
            <v>HAMILTON, ON</v>
          </cell>
          <cell r="E178">
            <v>1046535</v>
          </cell>
        </row>
        <row r="179">
          <cell r="B179" t="str">
            <v>433BMB</v>
          </cell>
          <cell r="C179" t="str">
            <v>325 REGENT STREET</v>
          </cell>
          <cell r="D179" t="str">
            <v>HAWKESBURY, ON</v>
          </cell>
          <cell r="E179">
            <v>353309</v>
          </cell>
        </row>
        <row r="180">
          <cell r="B180" t="str">
            <v>435BMB</v>
          </cell>
          <cell r="C180" t="str">
            <v>1231-12TH STREET</v>
          </cell>
          <cell r="D180" t="str">
            <v>KAMLOOPS, B.C.</v>
          </cell>
          <cell r="E180">
            <v>346523</v>
          </cell>
        </row>
        <row r="181">
          <cell r="B181" t="str">
            <v>435CSD</v>
          </cell>
          <cell r="C181" t="str">
            <v>430 KIPLING AVE.</v>
          </cell>
          <cell r="D181" t="str">
            <v>ETOBICOKE, ON</v>
          </cell>
          <cell r="E181">
            <v>278911</v>
          </cell>
        </row>
        <row r="182">
          <cell r="B182" t="str">
            <v>436BMB</v>
          </cell>
          <cell r="C182" t="str">
            <v>1891 SPRINGFIELD ROAD</v>
          </cell>
          <cell r="D182" t="str">
            <v>KELOWNA, B.C.</v>
          </cell>
          <cell r="E182">
            <v>272464</v>
          </cell>
        </row>
        <row r="183">
          <cell r="B183" t="str">
            <v>436CSD</v>
          </cell>
          <cell r="C183" t="str">
            <v>38 MAIN STREET</v>
          </cell>
          <cell r="D183" t="str">
            <v>COLDWATER, ON</v>
          </cell>
          <cell r="E183">
            <v>180255</v>
          </cell>
        </row>
        <row r="184">
          <cell r="B184" t="str">
            <v>437CSD</v>
          </cell>
          <cell r="C184" t="str">
            <v>1 FISHERMAN DR.</v>
          </cell>
          <cell r="D184" t="str">
            <v>BRAMPTON, ON</v>
          </cell>
          <cell r="E184">
            <v>0</v>
          </cell>
        </row>
        <row r="185">
          <cell r="B185" t="str">
            <v>438CSD</v>
          </cell>
          <cell r="C185" t="str">
            <v>932 BROCK STREET N.</v>
          </cell>
          <cell r="D185" t="str">
            <v>WHITBY, ON</v>
          </cell>
          <cell r="E185">
            <v>88049</v>
          </cell>
        </row>
        <row r="186">
          <cell r="B186" t="str">
            <v>439BMB</v>
          </cell>
          <cell r="C186" t="str">
            <v>20771 LANGLEY BYPASS HWY</v>
          </cell>
          <cell r="D186" t="str">
            <v>LANGLEY, B.C.</v>
          </cell>
          <cell r="E186">
            <v>655991</v>
          </cell>
        </row>
        <row r="187">
          <cell r="B187" t="str">
            <v>439CSD</v>
          </cell>
          <cell r="C187" t="str">
            <v>5060 SHEPPARD AVE. EAST</v>
          </cell>
          <cell r="D187" t="str">
            <v>SCARBOROUGH, ON</v>
          </cell>
          <cell r="E187">
            <v>0</v>
          </cell>
        </row>
        <row r="188">
          <cell r="B188" t="str">
            <v>442BMB</v>
          </cell>
          <cell r="C188" t="str">
            <v>2190 DUNDAS ST.E.</v>
          </cell>
          <cell r="D188" t="str">
            <v>LONDON, ON</v>
          </cell>
          <cell r="E188">
            <v>540071</v>
          </cell>
        </row>
        <row r="189">
          <cell r="B189" t="str">
            <v>442CSD</v>
          </cell>
          <cell r="E189">
            <v>0</v>
          </cell>
        </row>
        <row r="190">
          <cell r="B190" t="str">
            <v>443CSD</v>
          </cell>
          <cell r="E190">
            <v>0</v>
          </cell>
        </row>
        <row r="191">
          <cell r="B191" t="str">
            <v>448CSD</v>
          </cell>
          <cell r="E191">
            <v>0</v>
          </cell>
        </row>
        <row r="192">
          <cell r="B192" t="str">
            <v>451BMB</v>
          </cell>
          <cell r="C192" t="str">
            <v>1713-15 MAIN STREET</v>
          </cell>
          <cell r="D192" t="str">
            <v>MOOSE JAW, SK</v>
          </cell>
          <cell r="E192">
            <v>810978</v>
          </cell>
        </row>
        <row r="193">
          <cell r="B193" t="str">
            <v>452BMB</v>
          </cell>
          <cell r="C193" t="str">
            <v>1708 BOWEN ROAD</v>
          </cell>
          <cell r="D193" t="str">
            <v>NANAIMO, B.C.</v>
          </cell>
          <cell r="E193">
            <v>391360</v>
          </cell>
        </row>
        <row r="194">
          <cell r="B194" t="str">
            <v>455BMB</v>
          </cell>
          <cell r="C194" t="str">
            <v>250 GREENBANK ROAD</v>
          </cell>
          <cell r="D194" t="str">
            <v>NEPEAN, ON</v>
          </cell>
          <cell r="E194">
            <v>194440</v>
          </cell>
        </row>
        <row r="195">
          <cell r="B195" t="str">
            <v>457BMB</v>
          </cell>
          <cell r="C195" t="str">
            <v>745 CLARENCE STREET</v>
          </cell>
          <cell r="D195" t="str">
            <v>NORTH BAY, ON</v>
          </cell>
          <cell r="E195">
            <v>628586</v>
          </cell>
        </row>
        <row r="196">
          <cell r="B196" t="str">
            <v>463BMB</v>
          </cell>
          <cell r="C196" t="str">
            <v>1570 CARLING AVENUE</v>
          </cell>
          <cell r="D196" t="str">
            <v>OTTAWA, ON</v>
          </cell>
          <cell r="E196">
            <v>573875</v>
          </cell>
        </row>
        <row r="197">
          <cell r="B197" t="str">
            <v>464BMB</v>
          </cell>
          <cell r="C197" t="str">
            <v>2447-B KALADAR STREET</v>
          </cell>
          <cell r="D197" t="str">
            <v>OTTAWA, ON</v>
          </cell>
          <cell r="E197">
            <v>650794</v>
          </cell>
        </row>
        <row r="198">
          <cell r="B198" t="str">
            <v>465BMB</v>
          </cell>
          <cell r="C198" t="str">
            <v>471 HAZELDEAN ROAD</v>
          </cell>
          <cell r="D198" t="str">
            <v>KANATA, ON</v>
          </cell>
          <cell r="E198">
            <v>293663</v>
          </cell>
        </row>
        <row r="199">
          <cell r="B199" t="str">
            <v>468BMB</v>
          </cell>
          <cell r="C199" t="str">
            <v>130 HOWARD STREET</v>
          </cell>
          <cell r="D199" t="str">
            <v>PEMBROKE, ON</v>
          </cell>
          <cell r="E199">
            <v>574893</v>
          </cell>
        </row>
        <row r="200">
          <cell r="B200" t="str">
            <v>469BMB</v>
          </cell>
          <cell r="C200" t="str">
            <v>102-351 WESTMINSTER AVENUE</v>
          </cell>
          <cell r="D200" t="str">
            <v>PENTICTON, B.C.</v>
          </cell>
          <cell r="E200">
            <v>382997</v>
          </cell>
        </row>
        <row r="201">
          <cell r="B201" t="str">
            <v>472BMB</v>
          </cell>
          <cell r="C201" t="str">
            <v>3584 MASSEY DRIVE</v>
          </cell>
          <cell r="D201" t="str">
            <v>PRINCE GEORGE, B.C.</v>
          </cell>
          <cell r="E201">
            <v>119733</v>
          </cell>
        </row>
        <row r="202">
          <cell r="B202" t="str">
            <v>473BMB</v>
          </cell>
          <cell r="C202" t="str">
            <v>2319 TAYLOR DR.BUILDING B 1</v>
          </cell>
          <cell r="D202" t="str">
            <v>RED DEER, AB</v>
          </cell>
          <cell r="E202">
            <v>341456</v>
          </cell>
        </row>
        <row r="203">
          <cell r="B203" t="str">
            <v>478BMB</v>
          </cell>
          <cell r="C203" t="str">
            <v>5960 NO. 6 ROAD</v>
          </cell>
          <cell r="D203" t="str">
            <v>RICHMOND, B.C.</v>
          </cell>
          <cell r="E203">
            <v>945996</v>
          </cell>
        </row>
        <row r="204">
          <cell r="B204" t="str">
            <v>480BMB</v>
          </cell>
          <cell r="C204" t="str">
            <v>209 CARLTON ST.</v>
          </cell>
          <cell r="D204" t="str">
            <v>ST. CATHARINES, ON</v>
          </cell>
          <cell r="E204">
            <v>744220</v>
          </cell>
        </row>
        <row r="205">
          <cell r="B205" t="str">
            <v>484BMB</v>
          </cell>
          <cell r="C205" t="str">
            <v>242 INDIAN RD.S.EASTLAND PLAZA</v>
          </cell>
          <cell r="D205" t="str">
            <v>SARNIA, ON</v>
          </cell>
          <cell r="E205">
            <v>424901</v>
          </cell>
        </row>
        <row r="206">
          <cell r="B206" t="str">
            <v>486BMB</v>
          </cell>
          <cell r="C206" t="str">
            <v>2020 QUEBEC AVENUE</v>
          </cell>
          <cell r="D206" t="str">
            <v>SKATOON, SK</v>
          </cell>
          <cell r="E206">
            <v>740708</v>
          </cell>
        </row>
        <row r="207">
          <cell r="B207" t="str">
            <v>490BMB</v>
          </cell>
          <cell r="C207" t="str">
            <v>145 ERIE STREET</v>
          </cell>
          <cell r="D207" t="str">
            <v>STRATFORD, ON</v>
          </cell>
          <cell r="E207">
            <v>434942</v>
          </cell>
        </row>
        <row r="208">
          <cell r="B208" t="str">
            <v>491BMB</v>
          </cell>
          <cell r="C208" t="str">
            <v>1955 LASALLE BLVD.</v>
          </cell>
          <cell r="D208" t="str">
            <v>SUDBURY, ON</v>
          </cell>
          <cell r="E208">
            <v>525351</v>
          </cell>
        </row>
        <row r="209">
          <cell r="B209" t="str">
            <v>492BMB</v>
          </cell>
          <cell r="C209" t="str">
            <v>#3-7780 - 135A STREET</v>
          </cell>
          <cell r="D209" t="str">
            <v>SURREY, B.C.</v>
          </cell>
          <cell r="E209">
            <v>183076</v>
          </cell>
        </row>
        <row r="210">
          <cell r="B210" t="str">
            <v>493BMB</v>
          </cell>
          <cell r="C210" t="str">
            <v>#203A - 15988 FRASER HWY.</v>
          </cell>
          <cell r="D210" t="str">
            <v>SURREY, B.C.</v>
          </cell>
          <cell r="E210">
            <v>112979</v>
          </cell>
        </row>
        <row r="211">
          <cell r="B211" t="str">
            <v>494BMB</v>
          </cell>
          <cell r="C211" t="str">
            <v>55 VICTORIA ROAD</v>
          </cell>
          <cell r="D211" t="str">
            <v>SYDNEY, NS</v>
          </cell>
          <cell r="E211">
            <v>521200</v>
          </cell>
        </row>
        <row r="212">
          <cell r="B212" t="str">
            <v>497BMB</v>
          </cell>
          <cell r="C212" t="str">
            <v>100 WATERLOO RD.,HOLLINGER CT.</v>
          </cell>
          <cell r="D212" t="str">
            <v>TIMMINS, ON</v>
          </cell>
          <cell r="E212">
            <v>384959</v>
          </cell>
        </row>
        <row r="213">
          <cell r="B213" t="str">
            <v>498BMB</v>
          </cell>
          <cell r="C213" t="str">
            <v>5678-12TH AVENUE</v>
          </cell>
          <cell r="D213" t="str">
            <v>TSAWWASSEN(DELTA), B.C.</v>
          </cell>
          <cell r="E213">
            <v>132809</v>
          </cell>
        </row>
        <row r="214">
          <cell r="B214" t="str">
            <v>500BMB</v>
          </cell>
          <cell r="C214" t="str">
            <v>1630 SOUTH EAST MARINE DRIVE</v>
          </cell>
          <cell r="D214" t="str">
            <v>VANCOUVER, B.C.</v>
          </cell>
          <cell r="E214">
            <v>399891</v>
          </cell>
        </row>
        <row r="215">
          <cell r="B215" t="str">
            <v>506BMB</v>
          </cell>
          <cell r="C215" t="str">
            <v>750 HOPKINS STREET</v>
          </cell>
          <cell r="D215" t="str">
            <v>WHITBY, ON</v>
          </cell>
          <cell r="E215">
            <v>434377</v>
          </cell>
        </row>
        <row r="216">
          <cell r="B216" t="str">
            <v>507BMB</v>
          </cell>
          <cell r="C216" t="str">
            <v>1534 FOSTER STREET</v>
          </cell>
          <cell r="D216" t="str">
            <v>WHITE ROCK, B.C.</v>
          </cell>
          <cell r="E216">
            <v>252813</v>
          </cell>
        </row>
        <row r="217">
          <cell r="B217" t="str">
            <v>509BMB</v>
          </cell>
          <cell r="C217" t="str">
            <v>2825 LAUZON PARKWAY</v>
          </cell>
          <cell r="D217" t="str">
            <v>WINDSOR, ON</v>
          </cell>
          <cell r="E217">
            <v>612686</v>
          </cell>
        </row>
        <row r="218">
          <cell r="B218" t="str">
            <v>512BMB</v>
          </cell>
          <cell r="C218" t="str">
            <v>32 SMITH STREET W.</v>
          </cell>
          <cell r="D218" t="str">
            <v>YORKTON, SK</v>
          </cell>
          <cell r="E218">
            <v>506451</v>
          </cell>
        </row>
        <row r="219">
          <cell r="B219" t="str">
            <v>517BMB</v>
          </cell>
          <cell r="C219" t="str">
            <v>#206-21183 88th AVENUE</v>
          </cell>
          <cell r="D219" t="str">
            <v>WALNUT GROVE, B.C.</v>
          </cell>
          <cell r="E219">
            <v>279594</v>
          </cell>
        </row>
        <row r="220">
          <cell r="B220" t="str">
            <v>518BMB</v>
          </cell>
          <cell r="C220" t="str">
            <v>2015A LONG LAKE ROAD</v>
          </cell>
          <cell r="D220" t="str">
            <v>SUDBURY, ON</v>
          </cell>
          <cell r="E220">
            <v>170178</v>
          </cell>
        </row>
        <row r="221">
          <cell r="B221" t="str">
            <v>527BMB</v>
          </cell>
          <cell r="C221" t="str">
            <v>#24, 1415 HILLSIDE DRIVE</v>
          </cell>
          <cell r="D221" t="str">
            <v>KAMLOOPS, B.C.</v>
          </cell>
          <cell r="E221">
            <v>169593</v>
          </cell>
        </row>
        <row r="222">
          <cell r="B222" t="str">
            <v>528BMB</v>
          </cell>
          <cell r="C222" t="str">
            <v>11964 - 207TH STREET</v>
          </cell>
          <cell r="D222" t="str">
            <v>MAPLE RIDGE, BC</v>
          </cell>
          <cell r="E222">
            <v>7211</v>
          </cell>
        </row>
        <row r="223">
          <cell r="B223" t="str">
            <v>529BMB</v>
          </cell>
          <cell r="C223" t="str">
            <v>6750 ISLAND HIGHWAY</v>
          </cell>
          <cell r="D223" t="str">
            <v>NANAIMO, B.C.</v>
          </cell>
          <cell r="E223">
            <v>0</v>
          </cell>
        </row>
        <row r="224">
          <cell r="B224" t="str">
            <v>530BMB</v>
          </cell>
          <cell r="E224">
            <v>0</v>
          </cell>
        </row>
        <row r="225">
          <cell r="B225" t="str">
            <v>531BMB</v>
          </cell>
          <cell r="E225">
            <v>0</v>
          </cell>
        </row>
        <row r="226">
          <cell r="B226" t="str">
            <v>AW0004</v>
          </cell>
          <cell r="C226" t="str">
            <v>625 3RD LINE ROAD</v>
          </cell>
          <cell r="D226" t="str">
            <v>OAKVILLE, ON</v>
          </cell>
          <cell r="E226">
            <v>22719</v>
          </cell>
        </row>
        <row r="227">
          <cell r="B227" t="str">
            <v>AW0006</v>
          </cell>
          <cell r="C227" t="str">
            <v>2 BLOOR ST.E.(THE BAY)</v>
          </cell>
          <cell r="D227" t="str">
            <v>TORONTO, ON</v>
          </cell>
          <cell r="E227">
            <v>62885.83</v>
          </cell>
        </row>
        <row r="228">
          <cell r="B228" t="str">
            <v>AW0007</v>
          </cell>
          <cell r="C228" t="str">
            <v>970 PRINCESS STREET</v>
          </cell>
          <cell r="D228" t="str">
            <v>KINGSTON, ON</v>
          </cell>
          <cell r="E228">
            <v>158615.91</v>
          </cell>
        </row>
        <row r="229">
          <cell r="B229" t="str">
            <v>AW0008</v>
          </cell>
          <cell r="C229" t="str">
            <v>10 LEGEND COURT</v>
          </cell>
          <cell r="D229" t="str">
            <v>ANCASTER, ON</v>
          </cell>
          <cell r="E229">
            <v>65179</v>
          </cell>
        </row>
        <row r="230">
          <cell r="B230" t="str">
            <v>BING01</v>
          </cell>
          <cell r="C230" t="str">
            <v>2355 KEELE STREET</v>
          </cell>
          <cell r="D230" t="str">
            <v>NORTH YORK, ON</v>
          </cell>
          <cell r="E230">
            <v>129005</v>
          </cell>
        </row>
        <row r="231">
          <cell r="B231" t="str">
            <v>BING02</v>
          </cell>
          <cell r="C231" t="str">
            <v>825 UPPER CANADA DRIVE</v>
          </cell>
          <cell r="D231" t="str">
            <v>SARNIA, ON</v>
          </cell>
          <cell r="E231">
            <v>153701</v>
          </cell>
        </row>
        <row r="232">
          <cell r="B232" t="str">
            <v>BING03</v>
          </cell>
          <cell r="C232" t="str">
            <v>228 VICTORIA ROAD SOUTH</v>
          </cell>
          <cell r="D232" t="str">
            <v>GUELPH, ON</v>
          </cell>
          <cell r="E232">
            <v>23135</v>
          </cell>
        </row>
        <row r="233">
          <cell r="B233" t="str">
            <v>BING04</v>
          </cell>
          <cell r="C233" t="str">
            <v>2208 LASALLE RD.</v>
          </cell>
          <cell r="D233" t="str">
            <v>SUDBURY, ON</v>
          </cell>
          <cell r="E233">
            <v>123285</v>
          </cell>
        </row>
        <row r="234">
          <cell r="B234" t="str">
            <v>BING05</v>
          </cell>
          <cell r="C234" t="str">
            <v>51 FRONT STEET</v>
          </cell>
          <cell r="D234" t="str">
            <v>STRATHROY, ON</v>
          </cell>
          <cell r="E234">
            <v>46458</v>
          </cell>
        </row>
        <row r="235">
          <cell r="B235" t="str">
            <v>BING06</v>
          </cell>
          <cell r="C235" t="str">
            <v>806 CHELSEA STREET</v>
          </cell>
          <cell r="D235" t="str">
            <v>BROCKVILLE, ON</v>
          </cell>
          <cell r="E235">
            <v>72988</v>
          </cell>
        </row>
        <row r="236">
          <cell r="B236" t="str">
            <v>BING07</v>
          </cell>
          <cell r="C236" t="str">
            <v>1435 KING STREET, WEST</v>
          </cell>
          <cell r="D236" t="str">
            <v>TORONTO, ON</v>
          </cell>
          <cell r="E236">
            <v>42074</v>
          </cell>
        </row>
        <row r="237">
          <cell r="B237" t="str">
            <v>BING09</v>
          </cell>
          <cell r="C237" t="str">
            <v>75 FRID STREET</v>
          </cell>
          <cell r="D237" t="str">
            <v>HAMILTON, ON</v>
          </cell>
          <cell r="E237">
            <v>6793</v>
          </cell>
        </row>
        <row r="238">
          <cell r="B238" t="str">
            <v>BING10</v>
          </cell>
          <cell r="C238" t="str">
            <v>22 HERITAGE RD.</v>
          </cell>
          <cell r="D238" t="str">
            <v>MARKHAM, ON</v>
          </cell>
          <cell r="E238">
            <v>7000</v>
          </cell>
        </row>
        <row r="239">
          <cell r="B239" t="str">
            <v>BING11</v>
          </cell>
          <cell r="C239" t="str">
            <v>190 HWY 7 WEST</v>
          </cell>
          <cell r="D239" t="str">
            <v>BRAMPTON, ON</v>
          </cell>
          <cell r="E239">
            <v>150360</v>
          </cell>
        </row>
        <row r="240">
          <cell r="B240" t="str">
            <v>BING12</v>
          </cell>
          <cell r="C240" t="str">
            <v>2424 FINCH AVE. WEST</v>
          </cell>
          <cell r="D240" t="str">
            <v>NORTH YORK, ON</v>
          </cell>
          <cell r="E240">
            <v>219568</v>
          </cell>
        </row>
        <row r="241">
          <cell r="B241" t="str">
            <v>BING13</v>
          </cell>
          <cell r="C241" t="str">
            <v>2375 STEELES AVE., WEST</v>
          </cell>
          <cell r="D241" t="str">
            <v>NORTH YORK, ON</v>
          </cell>
          <cell r="E241">
            <v>132042</v>
          </cell>
        </row>
        <row r="242">
          <cell r="B242" t="str">
            <v>BING14</v>
          </cell>
          <cell r="C242" t="str">
            <v>671 WYANDOTTE ST., EAST</v>
          </cell>
          <cell r="D242" t="str">
            <v>WINDSOR, ON</v>
          </cell>
          <cell r="E242">
            <v>0</v>
          </cell>
        </row>
        <row r="243">
          <cell r="B243" t="str">
            <v>BING15</v>
          </cell>
          <cell r="C243" t="str">
            <v>4465 DRUMMOND ROAD</v>
          </cell>
          <cell r="D243" t="str">
            <v>NIAGARA FALLS, ON</v>
          </cell>
          <cell r="E243">
            <v>95286</v>
          </cell>
        </row>
        <row r="244">
          <cell r="B244" t="str">
            <v>BING16</v>
          </cell>
          <cell r="C244" t="str">
            <v>1371 PEMBROKE ST., W.</v>
          </cell>
          <cell r="D244" t="str">
            <v>PEMBROKE, ON</v>
          </cell>
          <cell r="E244">
            <v>75238</v>
          </cell>
        </row>
        <row r="245">
          <cell r="B245" t="str">
            <v>BING17</v>
          </cell>
          <cell r="C245" t="str">
            <v>132 RICHMOND ST.</v>
          </cell>
          <cell r="D245" t="str">
            <v>CHATHAM, ON</v>
          </cell>
          <cell r="E245">
            <v>117361</v>
          </cell>
        </row>
        <row r="246">
          <cell r="B246" t="str">
            <v>BING18</v>
          </cell>
          <cell r="C246" t="str">
            <v>1356 WEBER STREET EAST</v>
          </cell>
          <cell r="D246" t="str">
            <v>KITCHENER, ON</v>
          </cell>
          <cell r="E246">
            <v>66809</v>
          </cell>
        </row>
        <row r="247">
          <cell r="B247" t="str">
            <v>BING19</v>
          </cell>
          <cell r="C247" t="str">
            <v>401 CROFT STREET EAST</v>
          </cell>
          <cell r="D247" t="str">
            <v>PORT HOPE, ON</v>
          </cell>
          <cell r="E247">
            <v>4951</v>
          </cell>
        </row>
        <row r="248">
          <cell r="B248" t="str">
            <v>BING20</v>
          </cell>
          <cell r="C248" t="str">
            <v>884 DIVISION ST.</v>
          </cell>
          <cell r="D248" t="str">
            <v>COBOURG, ON</v>
          </cell>
          <cell r="E248">
            <v>79030</v>
          </cell>
        </row>
        <row r="249">
          <cell r="B249" t="str">
            <v>BING21</v>
          </cell>
          <cell r="C249" t="str">
            <v>610 MONARCH AVE.</v>
          </cell>
          <cell r="D249" t="str">
            <v>AJAX, ON</v>
          </cell>
          <cell r="E249">
            <v>116155</v>
          </cell>
        </row>
        <row r="250">
          <cell r="B250" t="str">
            <v>BING22</v>
          </cell>
          <cell r="C250" t="str">
            <v>140 EDWARD ST,</v>
          </cell>
          <cell r="D250" t="str">
            <v>ST. THOMAS, ON</v>
          </cell>
          <cell r="E250">
            <v>109742</v>
          </cell>
        </row>
        <row r="251">
          <cell r="B251" t="str">
            <v>BING23</v>
          </cell>
          <cell r="C251" t="str">
            <v>299 HARRY WALKER PARKWAY</v>
          </cell>
          <cell r="D251" t="str">
            <v>NEWMARKET, ON</v>
          </cell>
          <cell r="E251">
            <v>90043</v>
          </cell>
        </row>
        <row r="252">
          <cell r="B252" t="str">
            <v>BING24</v>
          </cell>
          <cell r="C252" t="str">
            <v>285 TAUNTON RD., EAST</v>
          </cell>
          <cell r="D252" t="str">
            <v>OSHAWA, ON</v>
          </cell>
          <cell r="E252">
            <v>110633</v>
          </cell>
        </row>
        <row r="253">
          <cell r="B253" t="str">
            <v>BING25</v>
          </cell>
          <cell r="C253" t="str">
            <v>5731 HIGHWAY #7 WEST</v>
          </cell>
          <cell r="D253" t="str">
            <v>WOODBRIDGE, ON</v>
          </cell>
          <cell r="E253">
            <v>12657</v>
          </cell>
        </row>
        <row r="254">
          <cell r="B254" t="str">
            <v>BING26</v>
          </cell>
          <cell r="C254" t="str">
            <v>1106 DEARNESS DR.</v>
          </cell>
          <cell r="D254" t="str">
            <v>LONDON, ON</v>
          </cell>
          <cell r="E254">
            <v>36151</v>
          </cell>
        </row>
        <row r="255">
          <cell r="B255" t="str">
            <v>BING27</v>
          </cell>
          <cell r="C255" t="str">
            <v>380 LYLE ST.</v>
          </cell>
          <cell r="D255" t="str">
            <v>LONDON, ON</v>
          </cell>
          <cell r="E255">
            <v>35236</v>
          </cell>
        </row>
        <row r="256">
          <cell r="B256" t="str">
            <v>BING28</v>
          </cell>
          <cell r="C256" t="str">
            <v>1851 SEYMOUR ST.</v>
          </cell>
          <cell r="D256" t="str">
            <v>NORTH BAY, ON</v>
          </cell>
          <cell r="E256">
            <v>84506</v>
          </cell>
        </row>
        <row r="257">
          <cell r="B257" t="str">
            <v>BING29</v>
          </cell>
          <cell r="C257" t="str">
            <v>8750 HIGHWAY #25 NORTH, RR#3</v>
          </cell>
          <cell r="D257" t="str">
            <v>MILTON, ON</v>
          </cell>
          <cell r="E257">
            <v>35830</v>
          </cell>
        </row>
        <row r="258">
          <cell r="B258" t="str">
            <v>BING30</v>
          </cell>
          <cell r="C258" t="str">
            <v>20 GLASTONBURY AVE.</v>
          </cell>
          <cell r="D258" t="str">
            <v>STRATFORD, ON</v>
          </cell>
          <cell r="E258">
            <v>32738</v>
          </cell>
        </row>
        <row r="259">
          <cell r="B259" t="str">
            <v>BING31</v>
          </cell>
          <cell r="C259" t="str">
            <v>440 JAMES ST. P.O.BOX 20045</v>
          </cell>
          <cell r="D259" t="str">
            <v>WALLACEBURG, ON.</v>
          </cell>
          <cell r="E259">
            <v>56666</v>
          </cell>
        </row>
        <row r="260">
          <cell r="B260" t="str">
            <v>BING33</v>
          </cell>
          <cell r="C260" t="str">
            <v>14 TRENT AVE</v>
          </cell>
          <cell r="D260" t="str">
            <v>TORONTO, ON</v>
          </cell>
          <cell r="E260">
            <v>106730</v>
          </cell>
        </row>
        <row r="261">
          <cell r="B261" t="str">
            <v>BING34</v>
          </cell>
          <cell r="C261" t="str">
            <v>7155 KINGSWAY #302</v>
          </cell>
          <cell r="D261" t="str">
            <v>BURNABY, B.C.</v>
          </cell>
          <cell r="E261">
            <v>97675</v>
          </cell>
        </row>
        <row r="262">
          <cell r="B262" t="str">
            <v>BING35</v>
          </cell>
          <cell r="C262" t="str">
            <v>7093 KING GEORGE VI HWY</v>
          </cell>
          <cell r="D262" t="str">
            <v>SURREY, B.C.</v>
          </cell>
          <cell r="E262">
            <v>181658</v>
          </cell>
        </row>
        <row r="263">
          <cell r="B263" t="str">
            <v>BUC001</v>
          </cell>
          <cell r="E263">
            <v>0</v>
          </cell>
        </row>
        <row r="264">
          <cell r="B264" t="str">
            <v>BUC002</v>
          </cell>
          <cell r="E264">
            <v>0</v>
          </cell>
        </row>
        <row r="265">
          <cell r="B265" t="str">
            <v>BUCK01</v>
          </cell>
          <cell r="C265" t="str">
            <v>140 ST. ANDREWS ST.</v>
          </cell>
          <cell r="D265" t="str">
            <v>CAMBRIDGE, ON</v>
          </cell>
          <cell r="E265">
            <v>77793</v>
          </cell>
        </row>
        <row r="266">
          <cell r="B266" t="str">
            <v>CRV001</v>
          </cell>
          <cell r="E266">
            <v>0</v>
          </cell>
        </row>
        <row r="267">
          <cell r="B267" t="str">
            <v>CTC012</v>
          </cell>
          <cell r="C267" t="str">
            <v>1125 WELLINGTON ROAD SOUTH</v>
          </cell>
          <cell r="D267" t="str">
            <v>LONDON, ON</v>
          </cell>
          <cell r="E267">
            <v>19752</v>
          </cell>
        </row>
        <row r="268">
          <cell r="B268" t="str">
            <v>ESS001</v>
          </cell>
          <cell r="E268">
            <v>0</v>
          </cell>
        </row>
        <row r="269">
          <cell r="B269" t="str">
            <v>ESS002</v>
          </cell>
          <cell r="E269">
            <v>0</v>
          </cell>
        </row>
        <row r="270">
          <cell r="B270" t="str">
            <v>ESS003</v>
          </cell>
          <cell r="E270">
            <v>0</v>
          </cell>
        </row>
        <row r="271">
          <cell r="B271" t="str">
            <v>ESS004</v>
          </cell>
          <cell r="E271">
            <v>0</v>
          </cell>
        </row>
        <row r="272">
          <cell r="B272" t="str">
            <v>ESS005</v>
          </cell>
          <cell r="E272">
            <v>0</v>
          </cell>
        </row>
        <row r="273">
          <cell r="B273" t="str">
            <v>ESS007</v>
          </cell>
          <cell r="E273">
            <v>0</v>
          </cell>
        </row>
        <row r="274">
          <cell r="B274" t="str">
            <v>ESS008</v>
          </cell>
          <cell r="E274">
            <v>0</v>
          </cell>
        </row>
        <row r="275">
          <cell r="B275" t="str">
            <v>GAL003</v>
          </cell>
          <cell r="C275" t="str">
            <v>293 BAY STREET</v>
          </cell>
          <cell r="D275" t="str">
            <v>SAULT STE. MARIE, ON</v>
          </cell>
          <cell r="E275">
            <v>0</v>
          </cell>
        </row>
        <row r="276">
          <cell r="B276" t="str">
            <v>GAL004</v>
          </cell>
          <cell r="C276" t="str">
            <v xml:space="preserve">300 LAKESHORE DRIVE </v>
          </cell>
          <cell r="D276" t="str">
            <v>NORTH BAY, ON</v>
          </cell>
          <cell r="E276">
            <v>0</v>
          </cell>
        </row>
        <row r="277">
          <cell r="B277" t="str">
            <v>GAL005</v>
          </cell>
          <cell r="C277" t="str">
            <v xml:space="preserve">85 FITH AVENUE </v>
          </cell>
          <cell r="D277" t="str">
            <v>ORANGEVILLE, ON</v>
          </cell>
          <cell r="E277">
            <v>0</v>
          </cell>
        </row>
        <row r="278">
          <cell r="B278" t="str">
            <v>GAL006</v>
          </cell>
          <cell r="C278" t="str">
            <v>1020 10TH STREET WEST</v>
          </cell>
          <cell r="D278" t="str">
            <v>OWEN SOUND, ON</v>
          </cell>
          <cell r="E278">
            <v>0</v>
          </cell>
        </row>
        <row r="279">
          <cell r="B279" t="str">
            <v>GAL007</v>
          </cell>
          <cell r="C279" t="str">
            <v>1325 SECOND ST EAST</v>
          </cell>
          <cell r="D279" t="str">
            <v>CORNWALL,ON</v>
          </cell>
          <cell r="E279">
            <v>0</v>
          </cell>
        </row>
        <row r="280">
          <cell r="B280" t="str">
            <v>GAL008</v>
          </cell>
          <cell r="C280" t="str">
            <v xml:space="preserve">355 HESPELER ROAD </v>
          </cell>
          <cell r="D280" t="str">
            <v>CAMBRIDGE,ON</v>
          </cell>
          <cell r="E280">
            <v>0</v>
          </cell>
        </row>
        <row r="281">
          <cell r="B281" t="str">
            <v>GAL009</v>
          </cell>
          <cell r="C281" t="str">
            <v>MOUNTAIN VIEW MALL</v>
          </cell>
          <cell r="D281" t="str">
            <v>MIDLAND, ON</v>
          </cell>
          <cell r="E281">
            <v>0</v>
          </cell>
        </row>
        <row r="282">
          <cell r="B282" t="str">
            <v>GAL010</v>
          </cell>
          <cell r="C282" t="str">
            <v>213-4750 RUTHERFORD RD</v>
          </cell>
          <cell r="D282" t="str">
            <v>NANAIMO,B.C.</v>
          </cell>
          <cell r="E282">
            <v>0</v>
          </cell>
        </row>
        <row r="283">
          <cell r="B283" t="str">
            <v>GAL011</v>
          </cell>
          <cell r="C283" t="str">
            <v xml:space="preserve">2020 SHERWOOD DRIVE </v>
          </cell>
          <cell r="D283" t="str">
            <v xml:space="preserve">SHERWOOD PARK,AB </v>
          </cell>
          <cell r="E283">
            <v>0</v>
          </cell>
        </row>
        <row r="284">
          <cell r="B284" t="str">
            <v>GAL012</v>
          </cell>
          <cell r="C284" t="str">
            <v xml:space="preserve">1235 MAIN STREET N. </v>
          </cell>
          <cell r="D284" t="str">
            <v>MOOSE JAW, SK</v>
          </cell>
          <cell r="E284">
            <v>0</v>
          </cell>
        </row>
        <row r="285">
          <cell r="B285" t="str">
            <v>GAL013</v>
          </cell>
          <cell r="C285" t="str">
            <v>1C-2995 SECOND AVE. W</v>
          </cell>
          <cell r="D285" t="str">
            <v>PRINCE ALBERT, SK</v>
          </cell>
          <cell r="E285">
            <v>0</v>
          </cell>
        </row>
        <row r="286">
          <cell r="B286" t="str">
            <v>GAL014</v>
          </cell>
          <cell r="C286" t="str">
            <v>UNIT 25-420 MCCARTHY BLVD. N</v>
          </cell>
          <cell r="D286" t="str">
            <v>REGINA, SK.</v>
          </cell>
          <cell r="E286">
            <v>0</v>
          </cell>
        </row>
        <row r="287">
          <cell r="B287" t="str">
            <v>GAL015</v>
          </cell>
          <cell r="E287">
            <v>0</v>
          </cell>
        </row>
        <row r="288">
          <cell r="B288" t="str">
            <v>GAL016</v>
          </cell>
          <cell r="E288">
            <v>0</v>
          </cell>
        </row>
        <row r="289">
          <cell r="B289" t="str">
            <v>GLO001</v>
          </cell>
          <cell r="E289">
            <v>0</v>
          </cell>
        </row>
        <row r="290">
          <cell r="B290" t="str">
            <v>GLO002</v>
          </cell>
          <cell r="E290">
            <v>0</v>
          </cell>
        </row>
        <row r="291">
          <cell r="B291" t="str">
            <v>GLO003</v>
          </cell>
          <cell r="E291">
            <v>0</v>
          </cell>
        </row>
        <row r="292">
          <cell r="B292" t="str">
            <v>IND002</v>
          </cell>
          <cell r="C292" t="str">
            <v>C/O 93 RAYMORE DR.</v>
          </cell>
          <cell r="D292" t="str">
            <v>WESTON, ON</v>
          </cell>
          <cell r="E292">
            <v>0</v>
          </cell>
        </row>
        <row r="293">
          <cell r="B293" t="str">
            <v>IND005</v>
          </cell>
          <cell r="C293" t="str">
            <v>C/O 65 FRONT ST.W.</v>
          </cell>
          <cell r="D293" t="str">
            <v>TORONTO, ON</v>
          </cell>
          <cell r="E293">
            <v>229762</v>
          </cell>
        </row>
        <row r="294">
          <cell r="B294" t="str">
            <v>IND006</v>
          </cell>
          <cell r="C294" t="str">
            <v>8 WILLIAM KITCHEN ROAD</v>
          </cell>
          <cell r="D294" t="str">
            <v>SCARBOROUGH, ON</v>
          </cell>
          <cell r="E294">
            <v>71120</v>
          </cell>
        </row>
        <row r="295">
          <cell r="B295" t="str">
            <v>IND007</v>
          </cell>
          <cell r="C295" t="str">
            <v xml:space="preserve">5837 YONGE ST. </v>
          </cell>
          <cell r="D295" t="str">
            <v>WILLOWDALE, ON</v>
          </cell>
          <cell r="E295">
            <v>9457</v>
          </cell>
        </row>
        <row r="296">
          <cell r="B296" t="str">
            <v>IND008</v>
          </cell>
          <cell r="C296" t="str">
            <v xml:space="preserve">E.YORK TOWN CTR. 45 OVERLEA </v>
          </cell>
          <cell r="D296" t="str">
            <v>TORONTO, ON</v>
          </cell>
          <cell r="E296">
            <v>15133</v>
          </cell>
        </row>
        <row r="297">
          <cell r="B297" t="str">
            <v>IND009</v>
          </cell>
          <cell r="C297" t="str">
            <v>15 FRONT STREET</v>
          </cell>
          <cell r="D297" t="str">
            <v>MACTIER, ON</v>
          </cell>
          <cell r="E297">
            <v>189526</v>
          </cell>
        </row>
        <row r="298">
          <cell r="B298" t="str">
            <v>IND011</v>
          </cell>
          <cell r="C298" t="str">
            <v>3497 LAWRENCE AVE. E.</v>
          </cell>
          <cell r="D298" t="str">
            <v>SCARBOROUGH, ON</v>
          </cell>
          <cell r="E298">
            <v>12317</v>
          </cell>
        </row>
        <row r="299">
          <cell r="B299" t="str">
            <v>IND012</v>
          </cell>
          <cell r="C299" t="str">
            <v>2300 LAWRENCE AVE.E.</v>
          </cell>
          <cell r="D299" t="str">
            <v>SCARBOROUGH, ON</v>
          </cell>
          <cell r="E299">
            <v>10116</v>
          </cell>
        </row>
        <row r="300">
          <cell r="B300" t="str">
            <v>IND013</v>
          </cell>
          <cell r="C300" t="str">
            <v>320 BAYFIELD ST, UNIT M1</v>
          </cell>
          <cell r="D300" t="str">
            <v>BARRIE, ON</v>
          </cell>
          <cell r="E300">
            <v>16185</v>
          </cell>
        </row>
        <row r="301">
          <cell r="B301" t="str">
            <v>IND014</v>
          </cell>
          <cell r="C301" t="str">
            <v>259 GRANGE RD.</v>
          </cell>
          <cell r="D301" t="str">
            <v>GUELPH, ON</v>
          </cell>
          <cell r="E301">
            <v>10867</v>
          </cell>
        </row>
        <row r="302">
          <cell r="B302" t="str">
            <v>IND015</v>
          </cell>
          <cell r="C302" t="str">
            <v>100 KEIL DR. S.</v>
          </cell>
          <cell r="D302" t="str">
            <v>CHATHAM, ON</v>
          </cell>
          <cell r="E302">
            <v>8094</v>
          </cell>
        </row>
        <row r="303">
          <cell r="B303" t="str">
            <v>IND016</v>
          </cell>
          <cell r="C303" t="str">
            <v>2788 BATHURST ST.</v>
          </cell>
          <cell r="D303" t="str">
            <v>TORONTO, ON</v>
          </cell>
          <cell r="E303">
            <v>6008</v>
          </cell>
        </row>
        <row r="304">
          <cell r="B304" t="str">
            <v>IND017</v>
          </cell>
          <cell r="C304" t="str">
            <v>639 COLBORNE ST.</v>
          </cell>
          <cell r="D304" t="str">
            <v>BRANTFORD, ON</v>
          </cell>
          <cell r="E304">
            <v>5728</v>
          </cell>
        </row>
        <row r="305">
          <cell r="B305" t="str">
            <v>IND018</v>
          </cell>
          <cell r="C305" t="str">
            <v>265 MAIN STREET</v>
          </cell>
          <cell r="D305" t="str">
            <v>WOODSTOCK, ON</v>
          </cell>
          <cell r="E305">
            <v>8942</v>
          </cell>
        </row>
        <row r="306">
          <cell r="B306" t="str">
            <v>IND020</v>
          </cell>
          <cell r="C306" t="str">
            <v>67 ELLESMERE RD.</v>
          </cell>
          <cell r="D306" t="str">
            <v>SCARBOROUGH, ON</v>
          </cell>
          <cell r="E306">
            <v>8425</v>
          </cell>
        </row>
        <row r="307">
          <cell r="B307" t="str">
            <v>IND021</v>
          </cell>
          <cell r="C307" t="str">
            <v>5429 DUNDAS ST., W.</v>
          </cell>
          <cell r="D307" t="str">
            <v>ETOBICOKE, ON</v>
          </cell>
          <cell r="E307">
            <v>15665</v>
          </cell>
        </row>
        <row r="308">
          <cell r="B308" t="str">
            <v>IND022</v>
          </cell>
          <cell r="C308" t="str">
            <v>845 CHEMONG RD.</v>
          </cell>
          <cell r="D308" t="str">
            <v>PETERBOROUGH, ON</v>
          </cell>
          <cell r="E308">
            <v>5804</v>
          </cell>
        </row>
        <row r="309">
          <cell r="B309" t="str">
            <v>IND023</v>
          </cell>
          <cell r="C309" t="str">
            <v>121 HIGHWAY #8</v>
          </cell>
          <cell r="D309" t="str">
            <v>STONEY CREEK, ON</v>
          </cell>
          <cell r="E309">
            <v>8392</v>
          </cell>
        </row>
        <row r="310">
          <cell r="B310" t="str">
            <v>IND024</v>
          </cell>
          <cell r="C310" t="str">
            <v>851 JANE ST.</v>
          </cell>
          <cell r="D310" t="str">
            <v>TORONTO, ON</v>
          </cell>
          <cell r="E310">
            <v>2492</v>
          </cell>
        </row>
        <row r="311">
          <cell r="B311" t="str">
            <v>IND025</v>
          </cell>
          <cell r="C311" t="str">
            <v>115 REXDALE BLVD.</v>
          </cell>
          <cell r="D311" t="str">
            <v xml:space="preserve">REXDALE, ON </v>
          </cell>
          <cell r="E311">
            <v>10284</v>
          </cell>
        </row>
        <row r="312">
          <cell r="B312" t="str">
            <v>IND027</v>
          </cell>
          <cell r="C312" t="str">
            <v>4726 BANK STREET</v>
          </cell>
          <cell r="D312" t="str">
            <v>GLOUCESTER, ON</v>
          </cell>
          <cell r="E312">
            <v>213808.8</v>
          </cell>
        </row>
        <row r="313">
          <cell r="B313" t="str">
            <v>IND028</v>
          </cell>
          <cell r="C313" t="str">
            <v>C/O 4726 BANK STREET</v>
          </cell>
          <cell r="D313" t="str">
            <v>GLOUCESTER, ON</v>
          </cell>
          <cell r="E313">
            <v>469347.51</v>
          </cell>
        </row>
        <row r="314">
          <cell r="B314" t="str">
            <v>IND031</v>
          </cell>
          <cell r="C314" t="str">
            <v>5 MAIN ST. E.</v>
          </cell>
          <cell r="D314" t="str">
            <v>MILTON, ON</v>
          </cell>
          <cell r="E314">
            <v>44701</v>
          </cell>
        </row>
        <row r="315">
          <cell r="B315" t="str">
            <v>IND036</v>
          </cell>
          <cell r="C315" t="str">
            <v>211 KING ST.</v>
          </cell>
          <cell r="D315" t="str">
            <v>ELDEE, ON</v>
          </cell>
          <cell r="E315">
            <v>163709</v>
          </cell>
        </row>
        <row r="316">
          <cell r="B316" t="str">
            <v>IND038</v>
          </cell>
          <cell r="C316" t="str">
            <v>17551 WOODBINE AVE</v>
          </cell>
          <cell r="D316" t="str">
            <v>NEWMARKET, ON</v>
          </cell>
          <cell r="E316">
            <v>378203.88</v>
          </cell>
        </row>
        <row r="317">
          <cell r="B317" t="str">
            <v>IND041</v>
          </cell>
          <cell r="C317" t="str">
            <v>740 DUFFERIN ST.</v>
          </cell>
          <cell r="D317" t="str">
            <v>TORONTO, ON</v>
          </cell>
          <cell r="E317">
            <v>173650</v>
          </cell>
        </row>
        <row r="318">
          <cell r="B318" t="str">
            <v>IND044</v>
          </cell>
          <cell r="C318" t="str">
            <v>28020 FRASER HIGHWAY</v>
          </cell>
          <cell r="D318" t="str">
            <v>ABBOTSFORD, B.C.</v>
          </cell>
          <cell r="E318">
            <v>36805</v>
          </cell>
        </row>
        <row r="319">
          <cell r="B319" t="str">
            <v>IND045</v>
          </cell>
          <cell r="C319" t="str">
            <v>2692 HWY.#12, P.O.BOX 66</v>
          </cell>
          <cell r="D319" t="str">
            <v>BRECHIN, ON</v>
          </cell>
          <cell r="E319">
            <v>279160</v>
          </cell>
        </row>
        <row r="320">
          <cell r="B320" t="str">
            <v>IND046</v>
          </cell>
          <cell r="C320" t="str">
            <v>229 RORKE AVE.</v>
          </cell>
          <cell r="D320" t="str">
            <v>HAILEYBURY, ON</v>
          </cell>
          <cell r="E320">
            <v>391074.77</v>
          </cell>
        </row>
        <row r="321">
          <cell r="B321" t="str">
            <v>IND048</v>
          </cell>
          <cell r="C321" t="str">
            <v>7060 - HIGHWAY 27</v>
          </cell>
          <cell r="D321" t="str">
            <v>THORNTON, ON</v>
          </cell>
          <cell r="E321">
            <v>228896</v>
          </cell>
        </row>
        <row r="322">
          <cell r="B322" t="str">
            <v>IND051</v>
          </cell>
          <cell r="C322" t="str">
            <v>701 KROSNOS BLVD.</v>
          </cell>
          <cell r="D322" t="str">
            <v>PICKERING, ON</v>
          </cell>
          <cell r="E322">
            <v>27615</v>
          </cell>
        </row>
        <row r="323">
          <cell r="B323" t="str">
            <v>IND052</v>
          </cell>
          <cell r="C323" t="str">
            <v>22766 WOODBINE AVENUE</v>
          </cell>
          <cell r="D323" t="str">
            <v>KESWICK, ON</v>
          </cell>
          <cell r="E323">
            <v>302025</v>
          </cell>
        </row>
        <row r="324">
          <cell r="B324" t="str">
            <v>IND053</v>
          </cell>
          <cell r="C324" t="str">
            <v>1515 KING RD. UNIT 1</v>
          </cell>
          <cell r="D324" t="str">
            <v>KING CITY, ON</v>
          </cell>
          <cell r="E324">
            <v>87400.68</v>
          </cell>
        </row>
        <row r="325">
          <cell r="B325" t="str">
            <v>IND056</v>
          </cell>
          <cell r="C325" t="str">
            <v>2141 CARP ROAD</v>
          </cell>
          <cell r="D325" t="str">
            <v>CARP, ON</v>
          </cell>
          <cell r="E325">
            <v>39696</v>
          </cell>
        </row>
        <row r="326">
          <cell r="B326" t="str">
            <v>IND060</v>
          </cell>
          <cell r="C326" t="str">
            <v>914 UPPER JAMES STREET</v>
          </cell>
          <cell r="D326" t="str">
            <v>HAMILTON, ON</v>
          </cell>
          <cell r="E326">
            <v>60856</v>
          </cell>
        </row>
        <row r="327">
          <cell r="B327" t="str">
            <v>IND061</v>
          </cell>
          <cell r="C327" t="str">
            <v>277 HESPELER ROAD</v>
          </cell>
          <cell r="D327" t="str">
            <v>CAMBRIDGE, ON</v>
          </cell>
          <cell r="E327">
            <v>38058</v>
          </cell>
        </row>
        <row r="328">
          <cell r="B328" t="str">
            <v>IND062</v>
          </cell>
          <cell r="C328" t="str">
            <v xml:space="preserve">HWY #11B, P.O. BOX 638 </v>
          </cell>
          <cell r="D328" t="str">
            <v>NEW LISKEARD, ON</v>
          </cell>
          <cell r="E328">
            <v>158999</v>
          </cell>
        </row>
        <row r="329">
          <cell r="B329" t="str">
            <v>IND064</v>
          </cell>
          <cell r="C329" t="str">
            <v>CONESTOGA MALL</v>
          </cell>
          <cell r="D329" t="str">
            <v>WATERLOO, ON</v>
          </cell>
          <cell r="E329">
            <v>16980</v>
          </cell>
        </row>
        <row r="330">
          <cell r="B330" t="str">
            <v>IND066</v>
          </cell>
          <cell r="C330" t="str">
            <v>151 KING GEORGE ROAD</v>
          </cell>
          <cell r="D330" t="str">
            <v>BRANTFORD, ON</v>
          </cell>
          <cell r="E330">
            <v>62949</v>
          </cell>
        </row>
        <row r="331">
          <cell r="B331" t="str">
            <v>IND067</v>
          </cell>
          <cell r="C331" t="str">
            <v>500 EAGLESON ROAD</v>
          </cell>
          <cell r="D331" t="str">
            <v>KANATA, ON</v>
          </cell>
          <cell r="E331">
            <v>38769</v>
          </cell>
        </row>
        <row r="332">
          <cell r="B332" t="str">
            <v>IND068</v>
          </cell>
          <cell r="C332" t="str">
            <v>1401 MATHESON BLVD.</v>
          </cell>
          <cell r="D332" t="str">
            <v>MISSISSAUGA, ON</v>
          </cell>
          <cell r="E332">
            <v>11689</v>
          </cell>
        </row>
        <row r="333">
          <cell r="B333" t="str">
            <v>IND069</v>
          </cell>
          <cell r="C333" t="str">
            <v>653 PARKHILL ROAD WEST</v>
          </cell>
          <cell r="D333" t="str">
            <v>PETERBOROUGH, ON</v>
          </cell>
          <cell r="E333">
            <v>30530</v>
          </cell>
        </row>
        <row r="334">
          <cell r="B334" t="str">
            <v>IND070</v>
          </cell>
          <cell r="C334" t="str">
            <v>5020 HIGHWAY 7 WEST</v>
          </cell>
          <cell r="D334" t="str">
            <v>WOODBRIDGE, ON</v>
          </cell>
          <cell r="E334">
            <v>8441</v>
          </cell>
        </row>
        <row r="335">
          <cell r="B335" t="str">
            <v>IND071</v>
          </cell>
          <cell r="C335" t="str">
            <v>1000 NEW WESTMINISTER DRIVE</v>
          </cell>
          <cell r="D335" t="str">
            <v>THORNHILL, ON</v>
          </cell>
          <cell r="E335">
            <v>15543</v>
          </cell>
        </row>
        <row r="336">
          <cell r="B336" t="str">
            <v>IND072</v>
          </cell>
          <cell r="C336" t="str">
            <v>8141 MARTINGROVE ROAD</v>
          </cell>
          <cell r="D336" t="str">
            <v>WOODBRIDGE, ON</v>
          </cell>
          <cell r="E336">
            <v>4579</v>
          </cell>
        </row>
        <row r="337">
          <cell r="B337" t="str">
            <v>IND073</v>
          </cell>
          <cell r="C337" t="str">
            <v>9201 ISLINGTON AVENUE</v>
          </cell>
          <cell r="D337" t="str">
            <v>WOODBRIDGE, ON</v>
          </cell>
          <cell r="E337">
            <v>40684</v>
          </cell>
        </row>
        <row r="338">
          <cell r="B338" t="str">
            <v>IND074</v>
          </cell>
          <cell r="C338" t="str">
            <v>501 CLARK AVENUE</v>
          </cell>
          <cell r="D338" t="str">
            <v>THORNHILL, ON</v>
          </cell>
          <cell r="E338">
            <v>28516</v>
          </cell>
        </row>
        <row r="339">
          <cell r="B339" t="str">
            <v>IND075</v>
          </cell>
          <cell r="C339" t="str">
            <v>320 WATER ST.</v>
          </cell>
          <cell r="D339" t="str">
            <v>PETERBOROUGH, ON</v>
          </cell>
          <cell r="E339">
            <v>12727</v>
          </cell>
        </row>
        <row r="340">
          <cell r="B340" t="str">
            <v>IND076</v>
          </cell>
          <cell r="C340" t="str">
            <v>2317 ST. CLAIR AVE. WEST</v>
          </cell>
          <cell r="D340" t="str">
            <v>TORONTO, ON</v>
          </cell>
          <cell r="E340">
            <v>0</v>
          </cell>
        </row>
        <row r="341">
          <cell r="B341" t="str">
            <v>IND077</v>
          </cell>
          <cell r="C341" t="str">
            <v xml:space="preserve">18 PETER STREET(C/O HOPE'S </v>
          </cell>
          <cell r="D341" t="str">
            <v>FOODLAND) NOVAR, ON</v>
          </cell>
          <cell r="E341">
            <v>13563</v>
          </cell>
        </row>
        <row r="342">
          <cell r="B342" t="str">
            <v>IND078</v>
          </cell>
          <cell r="E342">
            <v>0</v>
          </cell>
        </row>
        <row r="343">
          <cell r="B343" t="str">
            <v>IND084</v>
          </cell>
          <cell r="E343">
            <v>0</v>
          </cell>
        </row>
        <row r="344">
          <cell r="B344" t="str">
            <v>IND086</v>
          </cell>
          <cell r="E344">
            <v>0</v>
          </cell>
        </row>
        <row r="345">
          <cell r="B345" t="str">
            <v>IND087</v>
          </cell>
          <cell r="E345">
            <v>0</v>
          </cell>
        </row>
        <row r="346">
          <cell r="B346" t="str">
            <v>LAN001</v>
          </cell>
          <cell r="C346" t="str">
            <v>2832 HWY #60</v>
          </cell>
          <cell r="D346" t="str">
            <v>DWIGHT, ON</v>
          </cell>
          <cell r="E346">
            <v>0</v>
          </cell>
        </row>
        <row r="347">
          <cell r="B347" t="str">
            <v>MEN001</v>
          </cell>
          <cell r="E347">
            <v>0</v>
          </cell>
        </row>
        <row r="348">
          <cell r="B348" t="str">
            <v>MEN002</v>
          </cell>
          <cell r="E348">
            <v>0</v>
          </cell>
        </row>
        <row r="349">
          <cell r="B349" t="str">
            <v>MEN003</v>
          </cell>
          <cell r="E349">
            <v>0</v>
          </cell>
        </row>
        <row r="350">
          <cell r="B350" t="str">
            <v>MRV006</v>
          </cell>
          <cell r="C350" t="str">
            <v>2467 EGLINTON AVENUE EAST</v>
          </cell>
          <cell r="D350" t="str">
            <v>SCARBOROUGH, ON</v>
          </cell>
          <cell r="E350">
            <v>0</v>
          </cell>
        </row>
        <row r="351">
          <cell r="B351" t="str">
            <v>MRV007</v>
          </cell>
          <cell r="C351" t="str">
            <v>2231 LAWRENCE AVENUE EAST</v>
          </cell>
          <cell r="D351" t="str">
            <v>SCARBOROUGH, ON</v>
          </cell>
          <cell r="E351">
            <v>0</v>
          </cell>
        </row>
        <row r="352">
          <cell r="B352" t="str">
            <v>MRV008</v>
          </cell>
          <cell r="C352" t="str">
            <v>4285 LAWRENCE AVENUE EAST</v>
          </cell>
          <cell r="D352" t="str">
            <v>SCARBOROUGH, ON</v>
          </cell>
          <cell r="E352">
            <v>0</v>
          </cell>
        </row>
        <row r="353">
          <cell r="B353" t="str">
            <v>MRV009</v>
          </cell>
          <cell r="C353" t="str">
            <v>3600 KINGSTON ROAD</v>
          </cell>
          <cell r="D353" t="str">
            <v>SCARBOROUGH, ON</v>
          </cell>
          <cell r="E353">
            <v>0</v>
          </cell>
        </row>
        <row r="354">
          <cell r="B354" t="str">
            <v>MRV010</v>
          </cell>
          <cell r="C354" t="str">
            <v>1967 ELLESMERE ROAD</v>
          </cell>
          <cell r="D354" t="str">
            <v>SCARBOROUGH, ON</v>
          </cell>
          <cell r="E354">
            <v>0</v>
          </cell>
        </row>
        <row r="355">
          <cell r="B355" t="str">
            <v>MRV011</v>
          </cell>
          <cell r="C355" t="str">
            <v>30 SEWELLS ROAD</v>
          </cell>
          <cell r="D355" t="str">
            <v>SCARBOROUGH,ON</v>
          </cell>
          <cell r="E355">
            <v>0</v>
          </cell>
        </row>
        <row r="356">
          <cell r="B356" t="str">
            <v>MRV012</v>
          </cell>
          <cell r="C356" t="str">
            <v>31 GLEN WATFORD DRIVE</v>
          </cell>
          <cell r="D356" t="str">
            <v>SCARBOROUGH, ON</v>
          </cell>
          <cell r="E356">
            <v>0</v>
          </cell>
        </row>
        <row r="357">
          <cell r="B357" t="str">
            <v>MRV014</v>
          </cell>
          <cell r="C357" t="str">
            <v>1138 BATHURST ST</v>
          </cell>
          <cell r="D357" t="str">
            <v>TORONTO, ON</v>
          </cell>
          <cell r="E357">
            <v>0</v>
          </cell>
        </row>
        <row r="358">
          <cell r="B358" t="str">
            <v>MRV015</v>
          </cell>
          <cell r="C358" t="str">
            <v>600 OSHAWA BLVD NORTH</v>
          </cell>
          <cell r="D358" t="str">
            <v>OSHAWA, ON</v>
          </cell>
          <cell r="E358">
            <v>0</v>
          </cell>
        </row>
        <row r="359">
          <cell r="B359" t="str">
            <v>MRV016</v>
          </cell>
          <cell r="C359" t="str">
            <v>243 WILMINGTON AVENUE</v>
          </cell>
          <cell r="D359" t="str">
            <v>NORTH YORK, ON</v>
          </cell>
          <cell r="E359">
            <v>0</v>
          </cell>
        </row>
        <row r="360">
          <cell r="B360" t="str">
            <v>MRV017</v>
          </cell>
          <cell r="C360" t="str">
            <v xml:space="preserve">1500 GULLEDIN DRIVE </v>
          </cell>
          <cell r="D360" t="str">
            <v>MISSISSAUGA, ON</v>
          </cell>
          <cell r="E360">
            <v>0</v>
          </cell>
        </row>
        <row r="361">
          <cell r="B361" t="str">
            <v>MRV018</v>
          </cell>
          <cell r="C361" t="str">
            <v xml:space="preserve">1399 CAWTHRA ROAD </v>
          </cell>
          <cell r="D361" t="str">
            <v>MISSISSAUGA, ON</v>
          </cell>
          <cell r="E361">
            <v>0</v>
          </cell>
        </row>
        <row r="362">
          <cell r="B362" t="str">
            <v>MRV019</v>
          </cell>
          <cell r="C362" t="str">
            <v>2475 TRUSCOTT DR</v>
          </cell>
          <cell r="D362" t="str">
            <v>MISSISSAUGA, ON</v>
          </cell>
          <cell r="E362">
            <v>0</v>
          </cell>
        </row>
        <row r="363">
          <cell r="B363" t="str">
            <v>MRV020</v>
          </cell>
          <cell r="C363" t="str">
            <v>3205 UNITY DRIVE</v>
          </cell>
          <cell r="D363" t="str">
            <v>MISSISSAUGA, ON</v>
          </cell>
          <cell r="E363">
            <v>0</v>
          </cell>
        </row>
        <row r="364">
          <cell r="B364" t="str">
            <v>MRV021</v>
          </cell>
          <cell r="C364" t="str">
            <v xml:space="preserve">3430 DERRY ROAD </v>
          </cell>
          <cell r="D364" t="str">
            <v>MISSISSAUGA, ON</v>
          </cell>
          <cell r="E364">
            <v>0</v>
          </cell>
        </row>
        <row r="365">
          <cell r="B365" t="str">
            <v>MRV022</v>
          </cell>
          <cell r="C365" t="str">
            <v>705 MATHESON BLVD.,EAST</v>
          </cell>
          <cell r="D365" t="str">
            <v>MISSISSAUGA, ON</v>
          </cell>
          <cell r="E365">
            <v>0</v>
          </cell>
        </row>
        <row r="366">
          <cell r="B366" t="str">
            <v>MRV023</v>
          </cell>
          <cell r="C366" t="str">
            <v>200 RATHBURN ROAD WEST</v>
          </cell>
          <cell r="D366" t="str">
            <v xml:space="preserve">MISSISSAUGA, ON </v>
          </cell>
          <cell r="E366">
            <v>0</v>
          </cell>
        </row>
        <row r="367">
          <cell r="B367" t="str">
            <v>MRV024</v>
          </cell>
          <cell r="C367" t="str">
            <v>2160 TOURQUAY MEWS</v>
          </cell>
          <cell r="D367" t="str">
            <v xml:space="preserve">MISSISSAUGA, ON </v>
          </cell>
          <cell r="E367">
            <v>0</v>
          </cell>
        </row>
        <row r="368">
          <cell r="B368" t="str">
            <v>MRV025</v>
          </cell>
          <cell r="C368" t="str">
            <v>MISSISSAUGA VALLEY COMM#MRV025</v>
          </cell>
          <cell r="D368" t="str">
            <v xml:space="preserve">MISSISSAUGA, ON </v>
          </cell>
          <cell r="E368">
            <v>0</v>
          </cell>
        </row>
        <row r="369">
          <cell r="B369" t="str">
            <v>MRV026</v>
          </cell>
          <cell r="C369" t="str">
            <v xml:space="preserve">40 STAVEBANK ROAD </v>
          </cell>
          <cell r="D369" t="str">
            <v xml:space="preserve">MISSISSAUGA, ON </v>
          </cell>
          <cell r="E369">
            <v>0</v>
          </cell>
        </row>
        <row r="370">
          <cell r="B370" t="str">
            <v>MRV027</v>
          </cell>
          <cell r="C370" t="str">
            <v>135 LAKEFRONT PROMENAD</v>
          </cell>
          <cell r="D370" t="str">
            <v>MISSISSAUGA,ON</v>
          </cell>
          <cell r="E370">
            <v>0</v>
          </cell>
        </row>
        <row r="371">
          <cell r="B371" t="str">
            <v>MRV028</v>
          </cell>
          <cell r="C371" t="str">
            <v xml:space="preserve">1190 DIXIE ROAD, MISSISSAUGA </v>
          </cell>
          <cell r="D371" t="str">
            <v xml:space="preserve">MISSISSAUGA, ON </v>
          </cell>
          <cell r="E371">
            <v>0</v>
          </cell>
        </row>
        <row r="372">
          <cell r="B372" t="str">
            <v>MRV029</v>
          </cell>
          <cell r="C372" t="str">
            <v>5625 TERRY FOX WAY</v>
          </cell>
          <cell r="D372" t="str">
            <v>MISSISSAUGA, ON</v>
          </cell>
          <cell r="E372">
            <v>0</v>
          </cell>
        </row>
        <row r="373">
          <cell r="B373" t="str">
            <v>MRV030</v>
          </cell>
          <cell r="C373" t="str">
            <v>40 STAVEBANK ROAD</v>
          </cell>
          <cell r="D373" t="str">
            <v>MISSISSAUGA,ON</v>
          </cell>
          <cell r="E373">
            <v>0</v>
          </cell>
        </row>
        <row r="374">
          <cell r="B374" t="str">
            <v>MRV031</v>
          </cell>
          <cell r="E374">
            <v>0</v>
          </cell>
        </row>
        <row r="375">
          <cell r="B375" t="str">
            <v>MRV032</v>
          </cell>
          <cell r="E375">
            <v>0</v>
          </cell>
        </row>
        <row r="376">
          <cell r="B376" t="str">
            <v>MRV033</v>
          </cell>
          <cell r="E376">
            <v>0</v>
          </cell>
        </row>
        <row r="377">
          <cell r="B377" t="str">
            <v>MRV034</v>
          </cell>
          <cell r="E377">
            <v>0</v>
          </cell>
        </row>
        <row r="378">
          <cell r="B378" t="str">
            <v>MRV035</v>
          </cell>
          <cell r="E378">
            <v>0</v>
          </cell>
        </row>
        <row r="379">
          <cell r="B379" t="str">
            <v>MRV036</v>
          </cell>
          <cell r="E379">
            <v>0</v>
          </cell>
        </row>
        <row r="380">
          <cell r="B380" t="str">
            <v>MRV037</v>
          </cell>
          <cell r="E380">
            <v>0</v>
          </cell>
        </row>
        <row r="381">
          <cell r="B381" t="str">
            <v>MRV038</v>
          </cell>
          <cell r="E381">
            <v>0</v>
          </cell>
        </row>
        <row r="382">
          <cell r="B382" t="str">
            <v>MRV039</v>
          </cell>
          <cell r="E382">
            <v>0</v>
          </cell>
        </row>
        <row r="383">
          <cell r="B383" t="str">
            <v>MRV040</v>
          </cell>
          <cell r="E383">
            <v>0</v>
          </cell>
        </row>
        <row r="384">
          <cell r="B384" t="str">
            <v>MRV041</v>
          </cell>
          <cell r="E384">
            <v>0</v>
          </cell>
        </row>
        <row r="385">
          <cell r="B385" t="str">
            <v>MRV042</v>
          </cell>
          <cell r="E385">
            <v>0</v>
          </cell>
        </row>
        <row r="386">
          <cell r="B386" t="str">
            <v>MRV043</v>
          </cell>
          <cell r="E386">
            <v>0</v>
          </cell>
        </row>
        <row r="387">
          <cell r="B387" t="str">
            <v>MRV044</v>
          </cell>
          <cell r="E387">
            <v>0</v>
          </cell>
        </row>
        <row r="388">
          <cell r="B388" t="str">
            <v>MRV045</v>
          </cell>
          <cell r="E388">
            <v>0</v>
          </cell>
        </row>
        <row r="389">
          <cell r="B389" t="str">
            <v>MRV046</v>
          </cell>
          <cell r="E389">
            <v>0</v>
          </cell>
        </row>
        <row r="390">
          <cell r="B390" t="str">
            <v>MRV047</v>
          </cell>
          <cell r="E390">
            <v>0</v>
          </cell>
        </row>
        <row r="391">
          <cell r="B391" t="str">
            <v>MRV048</v>
          </cell>
          <cell r="E391">
            <v>0</v>
          </cell>
        </row>
        <row r="392">
          <cell r="B392" t="str">
            <v>MRV049</v>
          </cell>
          <cell r="E392">
            <v>0</v>
          </cell>
        </row>
        <row r="393">
          <cell r="B393" t="str">
            <v>MRV13A</v>
          </cell>
          <cell r="C393" t="str">
            <v>93 BIRCHMOUNT ROAD, KIOSK A</v>
          </cell>
          <cell r="D393" t="str">
            <v>SCARBOROUGH,ON</v>
          </cell>
          <cell r="E393">
            <v>0</v>
          </cell>
        </row>
        <row r="394">
          <cell r="B394" t="str">
            <v>MRV13B</v>
          </cell>
          <cell r="C394" t="str">
            <v>P3 BIRCHMOUNT ROAD, KIOSK B</v>
          </cell>
          <cell r="D394" t="str">
            <v>SCARBOROUGH, ON</v>
          </cell>
          <cell r="E394">
            <v>0</v>
          </cell>
        </row>
        <row r="395">
          <cell r="B395" t="str">
            <v>NEWNT</v>
          </cell>
          <cell r="C395" t="str">
            <v>New Non-Trads Budget</v>
          </cell>
          <cell r="E395">
            <v>0</v>
          </cell>
        </row>
        <row r="396">
          <cell r="B396" t="str">
            <v>PCW001</v>
          </cell>
          <cell r="E396">
            <v>0</v>
          </cell>
        </row>
        <row r="397">
          <cell r="B397" t="str">
            <v>PET001</v>
          </cell>
          <cell r="C397" t="str">
            <v xml:space="preserve">508 MAIN ST. EAST </v>
          </cell>
          <cell r="D397" t="str">
            <v>SHELBURNE, ON</v>
          </cell>
          <cell r="E397">
            <v>0</v>
          </cell>
        </row>
        <row r="398">
          <cell r="B398" t="str">
            <v>PIO003</v>
          </cell>
          <cell r="C398" t="str">
            <v>4495 BATH ROAD</v>
          </cell>
          <cell r="D398" t="str">
            <v>AMHERSTVIEW, ON</v>
          </cell>
          <cell r="E398">
            <v>0</v>
          </cell>
        </row>
        <row r="399">
          <cell r="B399" t="str">
            <v>PIO004</v>
          </cell>
          <cell r="C399" t="str">
            <v>1092 HIGHWAY #6 N</v>
          </cell>
          <cell r="D399" t="str">
            <v>HAMILTON, ON</v>
          </cell>
          <cell r="E399">
            <v>0</v>
          </cell>
        </row>
        <row r="400">
          <cell r="B400" t="str">
            <v>PIO005</v>
          </cell>
          <cell r="C400" t="str">
            <v xml:space="preserve">93 KING STREET </v>
          </cell>
          <cell r="D400" t="str">
            <v>PARIS, ON</v>
          </cell>
          <cell r="E400">
            <v>0</v>
          </cell>
        </row>
        <row r="401">
          <cell r="B401" t="str">
            <v>PIO006</v>
          </cell>
          <cell r="E401">
            <v>0</v>
          </cell>
        </row>
        <row r="402">
          <cell r="B402" t="str">
            <v>PIO007</v>
          </cell>
          <cell r="E402">
            <v>0</v>
          </cell>
        </row>
        <row r="403">
          <cell r="B403" t="str">
            <v>PIO008</v>
          </cell>
          <cell r="E403">
            <v>0</v>
          </cell>
        </row>
        <row r="404">
          <cell r="B404" t="str">
            <v>PIO009</v>
          </cell>
          <cell r="E404">
            <v>0</v>
          </cell>
        </row>
        <row r="405">
          <cell r="B405" t="str">
            <v>PIO010</v>
          </cell>
          <cell r="E405">
            <v>0</v>
          </cell>
        </row>
        <row r="406">
          <cell r="B406" t="str">
            <v>PIO012</v>
          </cell>
          <cell r="E406">
            <v>0</v>
          </cell>
        </row>
        <row r="407">
          <cell r="B407" t="str">
            <v>RAB001</v>
          </cell>
          <cell r="E407">
            <v>0</v>
          </cell>
        </row>
        <row r="408">
          <cell r="B408" t="str">
            <v>RAB002</v>
          </cell>
          <cell r="E408">
            <v>0</v>
          </cell>
        </row>
        <row r="409">
          <cell r="B409" t="str">
            <v>SHL002</v>
          </cell>
          <cell r="C409" t="str">
            <v>BOX 308 HIGHWAY 11 NORTH</v>
          </cell>
          <cell r="D409" t="str">
            <v>TEMAGAMI, ON</v>
          </cell>
          <cell r="E409">
            <v>263697</v>
          </cell>
        </row>
        <row r="410">
          <cell r="B410" t="str">
            <v>SHL003</v>
          </cell>
          <cell r="C410" t="str">
            <v>2881 MAJOR MACKENZIE DRIVE</v>
          </cell>
          <cell r="D410" t="str">
            <v>MARKHAM, ON</v>
          </cell>
          <cell r="E410">
            <v>110073.44</v>
          </cell>
        </row>
        <row r="411">
          <cell r="B411" t="str">
            <v>SHL004</v>
          </cell>
          <cell r="C411" t="str">
            <v>1221 GUELPH LINE ROAD</v>
          </cell>
          <cell r="D411" t="str">
            <v>BURLINGTON, ON</v>
          </cell>
          <cell r="E411">
            <v>81566</v>
          </cell>
        </row>
        <row r="412">
          <cell r="B412" t="str">
            <v>SHL008</v>
          </cell>
          <cell r="C412" t="str">
            <v>38 SPADINA AVENUE</v>
          </cell>
          <cell r="D412" t="str">
            <v>TORONTO, ON</v>
          </cell>
          <cell r="E412">
            <v>466609.7</v>
          </cell>
        </row>
        <row r="413">
          <cell r="B413" t="str">
            <v>STI001</v>
          </cell>
          <cell r="E413">
            <v>0</v>
          </cell>
        </row>
        <row r="414">
          <cell r="B414" t="str">
            <v>SUD001</v>
          </cell>
          <cell r="C414" t="str">
            <v>318 LASALLE BOULEVARD</v>
          </cell>
          <cell r="D414" t="str">
            <v>SUDBURY,ON</v>
          </cell>
          <cell r="E414">
            <v>0</v>
          </cell>
        </row>
        <row r="415">
          <cell r="B415" t="str">
            <v>SUN002</v>
          </cell>
          <cell r="C415" t="str">
            <v>7750 MCCOWAN RD.</v>
          </cell>
          <cell r="D415" t="str">
            <v>MARKHAM, ON</v>
          </cell>
          <cell r="E415">
            <v>12030.31</v>
          </cell>
        </row>
        <row r="416">
          <cell r="B416" t="str">
            <v>SUN003</v>
          </cell>
          <cell r="C416" t="str">
            <v>3515 UPPER MIDDLE ROAD</v>
          </cell>
          <cell r="D416" t="str">
            <v>BURLINGTON, ON</v>
          </cell>
          <cell r="E416">
            <v>35087.49</v>
          </cell>
        </row>
        <row r="417">
          <cell r="B417" t="str">
            <v>SUN004</v>
          </cell>
          <cell r="C417" t="str">
            <v>565 YONGE ST.</v>
          </cell>
          <cell r="D417" t="str">
            <v>BARRIE, ON</v>
          </cell>
          <cell r="E417">
            <v>46636.3</v>
          </cell>
        </row>
        <row r="418">
          <cell r="B418" t="str">
            <v>SUN005</v>
          </cell>
          <cell r="C418" t="str">
            <v>1457 WOODROFFE AVE.</v>
          </cell>
          <cell r="D418" t="str">
            <v>NEPEAN, ON</v>
          </cell>
          <cell r="E418">
            <v>65025.17</v>
          </cell>
        </row>
        <row r="419">
          <cell r="B419" t="str">
            <v>SUN006</v>
          </cell>
          <cell r="C419" t="str">
            <v>1253 WELLINGTON ROAD SOUTH</v>
          </cell>
          <cell r="D419" t="str">
            <v>LONDON, ON</v>
          </cell>
          <cell r="E419">
            <v>78642.960000000006</v>
          </cell>
        </row>
        <row r="420">
          <cell r="B420" t="str">
            <v>SUN007</v>
          </cell>
          <cell r="C420" t="str">
            <v>9266 GUELPH LINE @ HWY. 401</v>
          </cell>
          <cell r="D420" t="str">
            <v>CAMPBELLVILLE, ON</v>
          </cell>
          <cell r="E420">
            <v>258336.27</v>
          </cell>
        </row>
        <row r="421">
          <cell r="B421" t="str">
            <v>SUN008</v>
          </cell>
          <cell r="C421" t="str">
            <v>610 ATHERLEY RD.</v>
          </cell>
          <cell r="D421" t="str">
            <v>ORILLIA, ON</v>
          </cell>
          <cell r="E421">
            <v>147757.21</v>
          </cell>
        </row>
        <row r="422">
          <cell r="B422" t="str">
            <v>SUN009</v>
          </cell>
          <cell r="C422" t="str">
            <v>1790 ERNEST AVENUE</v>
          </cell>
          <cell r="D422" t="str">
            <v>LONDON, ON</v>
          </cell>
          <cell r="E422">
            <v>104535.67999999999</v>
          </cell>
        </row>
        <row r="423">
          <cell r="B423" t="str">
            <v>SUN010</v>
          </cell>
          <cell r="C423" t="str">
            <v>220 CENTENNIAL PARKWAY</v>
          </cell>
          <cell r="D423" t="str">
            <v>HAMILTON, ON</v>
          </cell>
          <cell r="E423">
            <v>6838.52</v>
          </cell>
        </row>
        <row r="424">
          <cell r="B424" t="str">
            <v>SUN011</v>
          </cell>
          <cell r="C424" t="str">
            <v>93 PARK AVENUE EAST</v>
          </cell>
          <cell r="D424" t="str">
            <v>CHATHAM, ON</v>
          </cell>
          <cell r="E424">
            <v>105883.88</v>
          </cell>
        </row>
        <row r="425">
          <cell r="B425" t="str">
            <v>SUN012</v>
          </cell>
          <cell r="C425" t="str">
            <v>5739 HWY #7 EAST &amp; GRANDVIEW</v>
          </cell>
          <cell r="D425" t="str">
            <v>MARKHAM, ON</v>
          </cell>
          <cell r="E425">
            <v>59007.86</v>
          </cell>
        </row>
        <row r="426">
          <cell r="B426" t="str">
            <v>SUN014</v>
          </cell>
          <cell r="C426" t="str">
            <v>3425 WINSTON CHURCHILL BLVD.</v>
          </cell>
          <cell r="D426" t="str">
            <v>MISSISSAUGA, ON</v>
          </cell>
          <cell r="E426">
            <v>64668.59</v>
          </cell>
        </row>
        <row r="427">
          <cell r="B427" t="str">
            <v>SUN015</v>
          </cell>
          <cell r="C427" t="str">
            <v>6015 MCLAUGHLIN ROAD</v>
          </cell>
          <cell r="D427" t="str">
            <v>MISSISSAUGA, ON</v>
          </cell>
          <cell r="E427">
            <v>11955.76</v>
          </cell>
        </row>
        <row r="428">
          <cell r="B428" t="str">
            <v>SUN016</v>
          </cell>
          <cell r="C428" t="str">
            <v>2180 MONTREAL RD. &amp; SHEFFORD</v>
          </cell>
          <cell r="D428" t="str">
            <v>GLOUCESTER, ON</v>
          </cell>
          <cell r="E428">
            <v>76834.27</v>
          </cell>
        </row>
        <row r="429">
          <cell r="B429" t="str">
            <v>SUN017</v>
          </cell>
          <cell r="C429" t="str">
            <v>2850 VICTORIA PARK AVE.</v>
          </cell>
          <cell r="D429" t="str">
            <v>TORONTO, ON</v>
          </cell>
          <cell r="E429">
            <v>79284.210000000006</v>
          </cell>
        </row>
        <row r="430">
          <cell r="B430" t="str">
            <v>SUN018</v>
          </cell>
          <cell r="C430" t="str">
            <v>195 NIAGARA STREET</v>
          </cell>
          <cell r="D430" t="str">
            <v>ST. CATHARINES, ON</v>
          </cell>
          <cell r="E430">
            <v>18457.79</v>
          </cell>
        </row>
        <row r="431">
          <cell r="B431" t="str">
            <v>SUN019</v>
          </cell>
          <cell r="C431" t="str">
            <v>800 MORNINGSIDE AVE./MILITARY</v>
          </cell>
          <cell r="D431" t="str">
            <v>SCARBOROUGH, ON</v>
          </cell>
          <cell r="E431">
            <v>170477.9</v>
          </cell>
        </row>
        <row r="432">
          <cell r="B432" t="str">
            <v>SUN020</v>
          </cell>
          <cell r="C432" t="str">
            <v>7991 MISSISSAUGA RD.</v>
          </cell>
          <cell r="D432" t="str">
            <v>BRAMPTON, ON</v>
          </cell>
          <cell r="E432">
            <v>57076.36</v>
          </cell>
        </row>
        <row r="433">
          <cell r="B433" t="str">
            <v>SUN021</v>
          </cell>
          <cell r="C433" t="str">
            <v>320 BLAKE STREET</v>
          </cell>
          <cell r="D433" t="str">
            <v>BARRIE, ON</v>
          </cell>
          <cell r="E433">
            <v>316854.21000000002</v>
          </cell>
        </row>
        <row r="434">
          <cell r="B434" t="str">
            <v>SUN022</v>
          </cell>
          <cell r="C434" t="str">
            <v>341 BAYFIELD STREET</v>
          </cell>
          <cell r="D434" t="str">
            <v>BARRIE, ON</v>
          </cell>
          <cell r="E434">
            <v>88775.91</v>
          </cell>
        </row>
        <row r="435">
          <cell r="B435" t="str">
            <v>SUN023</v>
          </cell>
          <cell r="C435" t="str">
            <v>1600 ROSSLAND ROAD EAST</v>
          </cell>
          <cell r="D435" t="str">
            <v>WHITBY, ON</v>
          </cell>
          <cell r="E435">
            <v>86283.85</v>
          </cell>
        </row>
        <row r="436">
          <cell r="B436" t="str">
            <v>SUN024</v>
          </cell>
          <cell r="C436" t="str">
            <v>825 WALKERS LINE</v>
          </cell>
          <cell r="D436" t="str">
            <v>BURLINGTON, ON</v>
          </cell>
          <cell r="E436">
            <v>42342.07</v>
          </cell>
        </row>
        <row r="437">
          <cell r="B437" t="str">
            <v>SUN025</v>
          </cell>
          <cell r="C437" t="str">
            <v>2182 QUEEN STREET</v>
          </cell>
          <cell r="D437" t="str">
            <v>BRAMPTON, ON</v>
          </cell>
          <cell r="E437">
            <v>55333.279999999999</v>
          </cell>
        </row>
        <row r="438">
          <cell r="B438" t="str">
            <v>SUN026</v>
          </cell>
          <cell r="C438" t="str">
            <v>514 VICTORIA STREET</v>
          </cell>
          <cell r="D438" t="str">
            <v>ALLISTON, ON</v>
          </cell>
          <cell r="E438">
            <v>314247.25</v>
          </cell>
        </row>
        <row r="439">
          <cell r="B439" t="str">
            <v>SUN027</v>
          </cell>
          <cell r="C439" t="str">
            <v>570 TERRY FOX DR.</v>
          </cell>
          <cell r="D439" t="str">
            <v>KANATA, ON</v>
          </cell>
          <cell r="E439">
            <v>122590.06</v>
          </cell>
        </row>
        <row r="440">
          <cell r="B440" t="str">
            <v>SUN028</v>
          </cell>
          <cell r="C440" t="str">
            <v>690 HUNT CLUB ROAD</v>
          </cell>
          <cell r="D440" t="str">
            <v>OTTAWA, ON</v>
          </cell>
          <cell r="E440">
            <v>177141.53</v>
          </cell>
        </row>
        <row r="441">
          <cell r="B441" t="str">
            <v>SUN029</v>
          </cell>
          <cell r="C441" t="str">
            <v>8830 YONGE STREET</v>
          </cell>
          <cell r="D441" t="str">
            <v>RICHMOND HILL, ON</v>
          </cell>
          <cell r="E441">
            <v>31376.03</v>
          </cell>
        </row>
        <row r="442">
          <cell r="B442" t="str">
            <v>SUN030</v>
          </cell>
          <cell r="C442" t="str">
            <v>R.R.#2, HIGHWAY 90</v>
          </cell>
          <cell r="D442" t="str">
            <v>BARRIE, ON</v>
          </cell>
          <cell r="E442">
            <v>239701.67</v>
          </cell>
        </row>
        <row r="443">
          <cell r="B443" t="str">
            <v>SUN031</v>
          </cell>
          <cell r="C443" t="str">
            <v>1020 DUNDAS ST. W.</v>
          </cell>
          <cell r="D443" t="str">
            <v>OAKVILLE, ON</v>
          </cell>
          <cell r="E443">
            <v>63862.11</v>
          </cell>
        </row>
        <row r="444">
          <cell r="B444" t="str">
            <v>SUN032</v>
          </cell>
          <cell r="C444" t="str">
            <v>8760 BAYVIEW AVE.</v>
          </cell>
          <cell r="D444" t="str">
            <v>RICHMOND HILL, ON</v>
          </cell>
          <cell r="E444">
            <v>141021.06</v>
          </cell>
        </row>
        <row r="445">
          <cell r="B445" t="str">
            <v>SUN033</v>
          </cell>
          <cell r="C445" t="str">
            <v>2125 SHEPPARD AVE.E.</v>
          </cell>
          <cell r="D445" t="str">
            <v>NORTH YORK, ON</v>
          </cell>
          <cell r="E445">
            <v>23563.69</v>
          </cell>
        </row>
        <row r="446">
          <cell r="B446" t="str">
            <v>SUN034</v>
          </cell>
          <cell r="C446" t="str">
            <v>250 MULOCK DRIVE</v>
          </cell>
          <cell r="D446" t="str">
            <v>NEWMARKET, ON</v>
          </cell>
          <cell r="E446">
            <v>152435.72</v>
          </cell>
        </row>
        <row r="447">
          <cell r="B447" t="str">
            <v>SUN035</v>
          </cell>
          <cell r="C447" t="str">
            <v>1977 KENNEDY ROAD</v>
          </cell>
          <cell r="D447" t="str">
            <v>SCARBOROUGH, ON</v>
          </cell>
          <cell r="E447">
            <v>149494.10999999999</v>
          </cell>
        </row>
        <row r="448">
          <cell r="B448" t="str">
            <v>SUN036</v>
          </cell>
          <cell r="C448" t="str">
            <v>1195 DAVIS DR.</v>
          </cell>
          <cell r="D448" t="str">
            <v>NEWMARKET, ON</v>
          </cell>
          <cell r="E448">
            <v>122516.58</v>
          </cell>
        </row>
        <row r="449">
          <cell r="B449" t="str">
            <v>SUN037</v>
          </cell>
          <cell r="C449" t="str">
            <v>154 CLARKE SIDE ROAD</v>
          </cell>
          <cell r="D449" t="str">
            <v>LONDON, ON</v>
          </cell>
          <cell r="E449">
            <v>34527.78</v>
          </cell>
        </row>
        <row r="450">
          <cell r="B450" t="str">
            <v>SUN038</v>
          </cell>
          <cell r="C450" t="str">
            <v>1514 RAVENSHOE ROAD</v>
          </cell>
          <cell r="D450" t="str">
            <v>KESWICK, ON</v>
          </cell>
          <cell r="E450">
            <v>215144.3</v>
          </cell>
        </row>
        <row r="451">
          <cell r="B451" t="str">
            <v>SUN039</v>
          </cell>
          <cell r="C451" t="str">
            <v>7635 MARKHAM RD.(KIRKHAM RD.)</v>
          </cell>
          <cell r="D451" t="str">
            <v>MARKHAM, ON</v>
          </cell>
          <cell r="E451">
            <v>106505.84</v>
          </cell>
        </row>
        <row r="452">
          <cell r="B452" t="str">
            <v>SUN040</v>
          </cell>
          <cell r="C452" t="str">
            <v>32 COOTES DRIVE</v>
          </cell>
          <cell r="D452" t="str">
            <v>DUNDAS, ON</v>
          </cell>
          <cell r="E452">
            <v>4401</v>
          </cell>
        </row>
        <row r="453">
          <cell r="B453" t="str">
            <v>SUN041</v>
          </cell>
          <cell r="C453" t="str">
            <v>1960 INNES ROAD</v>
          </cell>
          <cell r="D453" t="str">
            <v>GLOUCESTER, ON</v>
          </cell>
          <cell r="E453">
            <v>0</v>
          </cell>
        </row>
        <row r="454">
          <cell r="B454" t="str">
            <v>SUN042</v>
          </cell>
          <cell r="C454" t="str">
            <v>9950 MCLAUGHLIN ROAD</v>
          </cell>
          <cell r="D454" t="str">
            <v>BRAMPTON, ON</v>
          </cell>
          <cell r="E454">
            <v>0</v>
          </cell>
        </row>
        <row r="455">
          <cell r="B455" t="str">
            <v>SUN043</v>
          </cell>
          <cell r="C455" t="str">
            <v>3201 CONROY</v>
          </cell>
          <cell r="D455" t="str">
            <v>OTTAWA, ON</v>
          </cell>
          <cell r="E455">
            <v>0</v>
          </cell>
        </row>
        <row r="456">
          <cell r="B456" t="str">
            <v>SUN044</v>
          </cell>
          <cell r="C456" t="str">
            <v>BROCK ROAD</v>
          </cell>
          <cell r="D456" t="str">
            <v>WHITBY, ON</v>
          </cell>
          <cell r="E456">
            <v>0</v>
          </cell>
        </row>
        <row r="457">
          <cell r="B457" t="str">
            <v>SUN045</v>
          </cell>
          <cell r="C457" t="str">
            <v xml:space="preserve">2630 INNES ROAD </v>
          </cell>
          <cell r="D457" t="str">
            <v>OTTAWA, ON</v>
          </cell>
          <cell r="E457">
            <v>0</v>
          </cell>
        </row>
        <row r="458">
          <cell r="B458" t="str">
            <v>SUN046</v>
          </cell>
          <cell r="C458" t="str">
            <v xml:space="preserve">301 THICKSON RD </v>
          </cell>
          <cell r="D458" t="str">
            <v>WHITBY, ON</v>
          </cell>
          <cell r="E458">
            <v>0</v>
          </cell>
        </row>
        <row r="459">
          <cell r="B459" t="str">
            <v>SUN047</v>
          </cell>
          <cell r="E459">
            <v>0</v>
          </cell>
        </row>
        <row r="460">
          <cell r="B460" t="str">
            <v>SUN048</v>
          </cell>
          <cell r="E460">
            <v>0</v>
          </cell>
        </row>
        <row r="461">
          <cell r="B461" t="str">
            <v>SUN049</v>
          </cell>
          <cell r="E461">
            <v>0</v>
          </cell>
        </row>
        <row r="462">
          <cell r="B462" t="str">
            <v>SUN050</v>
          </cell>
          <cell r="E462">
            <v>0</v>
          </cell>
        </row>
        <row r="463">
          <cell r="B463" t="str">
            <v>SUN051</v>
          </cell>
          <cell r="E463">
            <v>0</v>
          </cell>
        </row>
        <row r="464">
          <cell r="B464" t="str">
            <v>SUN052</v>
          </cell>
          <cell r="E464">
            <v>0</v>
          </cell>
        </row>
        <row r="465">
          <cell r="B465" t="str">
            <v>SUN053</v>
          </cell>
          <cell r="E465">
            <v>0</v>
          </cell>
        </row>
        <row r="466">
          <cell r="B466" t="str">
            <v>SUN054</v>
          </cell>
          <cell r="E466">
            <v>0</v>
          </cell>
        </row>
        <row r="467">
          <cell r="B467" t="str">
            <v>SUN055</v>
          </cell>
          <cell r="E467">
            <v>0</v>
          </cell>
        </row>
        <row r="468">
          <cell r="B468" t="str">
            <v>SUN056</v>
          </cell>
          <cell r="E468">
            <v>0</v>
          </cell>
        </row>
        <row r="469">
          <cell r="B469" t="str">
            <v>SUN057</v>
          </cell>
          <cell r="E469">
            <v>0</v>
          </cell>
        </row>
        <row r="470">
          <cell r="B470" t="str">
            <v>SUN058</v>
          </cell>
          <cell r="E470">
            <v>0</v>
          </cell>
        </row>
        <row r="471">
          <cell r="B471" t="str">
            <v>SUN059</v>
          </cell>
          <cell r="E471">
            <v>0</v>
          </cell>
        </row>
        <row r="472">
          <cell r="B472" t="str">
            <v>SUN060</v>
          </cell>
          <cell r="E472">
            <v>0</v>
          </cell>
        </row>
        <row r="473">
          <cell r="B473" t="str">
            <v>SUN061</v>
          </cell>
          <cell r="E473">
            <v>0</v>
          </cell>
        </row>
        <row r="474">
          <cell r="B474" t="str">
            <v>SUN062</v>
          </cell>
          <cell r="E474">
            <v>0</v>
          </cell>
        </row>
        <row r="475">
          <cell r="B475" t="str">
            <v>SUN063</v>
          </cell>
          <cell r="E475">
            <v>0</v>
          </cell>
        </row>
        <row r="476">
          <cell r="B476" t="str">
            <v>SUN064</v>
          </cell>
          <cell r="E476">
            <v>0</v>
          </cell>
        </row>
        <row r="477">
          <cell r="B477" t="str">
            <v>SUN065</v>
          </cell>
          <cell r="E477">
            <v>0</v>
          </cell>
        </row>
        <row r="478">
          <cell r="B478" t="str">
            <v>TWI001</v>
          </cell>
          <cell r="E478">
            <v>0</v>
          </cell>
        </row>
        <row r="479">
          <cell r="B479" t="str">
            <v>YF0001</v>
          </cell>
          <cell r="C479" t="str">
            <v>200 BAY ST.BOX 216 ROYAL BANK</v>
          </cell>
          <cell r="D479" t="str">
            <v>TORONTO, ON</v>
          </cell>
          <cell r="E479">
            <v>0</v>
          </cell>
        </row>
        <row r="480">
          <cell r="B480" t="str">
            <v>YF0003</v>
          </cell>
          <cell r="C480" t="str">
            <v>1 DUNDAS ST., WEST</v>
          </cell>
          <cell r="D480" t="str">
            <v>TORONO, ON</v>
          </cell>
          <cell r="E480">
            <v>0</v>
          </cell>
        </row>
        <row r="481">
          <cell r="B481" t="str">
            <v>YF0004</v>
          </cell>
          <cell r="C481" t="str">
            <v>501B CHURCH ST.</v>
          </cell>
          <cell r="D481" t="str">
            <v>TORONO, ON</v>
          </cell>
          <cell r="E481">
            <v>0</v>
          </cell>
        </row>
        <row r="482">
          <cell r="B482" t="str">
            <v>YF0005</v>
          </cell>
          <cell r="C482" t="str">
            <v>181 BAY STREET</v>
          </cell>
          <cell r="D482" t="str">
            <v>TORONO, ON</v>
          </cell>
          <cell r="E482">
            <v>0</v>
          </cell>
        </row>
        <row r="483">
          <cell r="B483" t="str">
            <v>YF0007</v>
          </cell>
          <cell r="C483" t="str">
            <v>499 MAIN STREET</v>
          </cell>
          <cell r="D483" t="str">
            <v>BRAMPTON, ON</v>
          </cell>
          <cell r="E483">
            <v>0</v>
          </cell>
        </row>
        <row r="484">
          <cell r="B484" t="str">
            <v>YF0009</v>
          </cell>
          <cell r="C484" t="str">
            <v>CONESTOGA MALL</v>
          </cell>
          <cell r="D484" t="str">
            <v>WATERLOO, ON</v>
          </cell>
          <cell r="E484">
            <v>0</v>
          </cell>
        </row>
        <row r="485">
          <cell r="B485" t="str">
            <v>YF0010</v>
          </cell>
          <cell r="C485" t="str">
            <v>5 POINTS MALL 285 TAUNTON RD E</v>
          </cell>
          <cell r="D485" t="str">
            <v>OSHAWA, ON</v>
          </cell>
          <cell r="E485">
            <v>0</v>
          </cell>
        </row>
        <row r="486">
          <cell r="B486" t="str">
            <v>YF0013</v>
          </cell>
          <cell r="C486" t="str">
            <v>419 KING ST.W. UNIT #2250</v>
          </cell>
          <cell r="D486" t="str">
            <v>OSHAWA, ON</v>
          </cell>
          <cell r="E486">
            <v>0</v>
          </cell>
        </row>
        <row r="487">
          <cell r="B487" t="str">
            <v>YF0014</v>
          </cell>
          <cell r="C487" t="str">
            <v>SIMCOE PLACE</v>
          </cell>
          <cell r="D487" t="str">
            <v>TORONO, ON</v>
          </cell>
          <cell r="E487">
            <v>0</v>
          </cell>
        </row>
        <row r="488">
          <cell r="B488" t="str">
            <v>YF0015</v>
          </cell>
          <cell r="C488" t="str">
            <v>2960 KINGSWAY DRIVE</v>
          </cell>
          <cell r="D488" t="str">
            <v>KITCHENER, ON</v>
          </cell>
          <cell r="E488">
            <v>0</v>
          </cell>
        </row>
        <row r="489">
          <cell r="B489" t="str">
            <v>YF0018</v>
          </cell>
          <cell r="C489" t="str">
            <v>6340 YONGE ST.</v>
          </cell>
          <cell r="D489" t="str">
            <v>WILLOWDALE, ON</v>
          </cell>
          <cell r="E489">
            <v>0</v>
          </cell>
        </row>
        <row r="490">
          <cell r="B490" t="str">
            <v>YF0019</v>
          </cell>
          <cell r="C490" t="str">
            <v>9350 YONGE ST., HILLCREST MALL</v>
          </cell>
          <cell r="D490" t="str">
            <v>RICHMOND HILL, ON</v>
          </cell>
          <cell r="E490">
            <v>0</v>
          </cell>
        </row>
        <row r="491">
          <cell r="B491" t="str">
            <v>YF0021</v>
          </cell>
          <cell r="C491" t="str">
            <v>2300 YONGE ST.</v>
          </cell>
          <cell r="D491" t="str">
            <v>TORONO, ON</v>
          </cell>
          <cell r="E491">
            <v>0</v>
          </cell>
        </row>
        <row r="492">
          <cell r="B492" t="str">
            <v>YF0022</v>
          </cell>
          <cell r="E492">
            <v>0</v>
          </cell>
        </row>
        <row r="493">
          <cell r="B493" t="str">
            <v>YF0023</v>
          </cell>
          <cell r="E493">
            <v>0</v>
          </cell>
        </row>
        <row r="494">
          <cell r="B494" t="str">
            <v>YF0024</v>
          </cell>
          <cell r="E494">
            <v>0</v>
          </cell>
        </row>
        <row r="495">
          <cell r="B495" t="str">
            <v>YF0025</v>
          </cell>
          <cell r="E495">
            <v>0</v>
          </cell>
        </row>
        <row r="496">
          <cell r="B496" t="str">
            <v>YF0026</v>
          </cell>
          <cell r="E496">
            <v>0</v>
          </cell>
        </row>
        <row r="497">
          <cell r="B497" t="str">
            <v>YF0027</v>
          </cell>
          <cell r="E497">
            <v>0</v>
          </cell>
        </row>
        <row r="498">
          <cell r="B498" t="str">
            <v>YF0028</v>
          </cell>
          <cell r="E498">
            <v>0</v>
          </cell>
        </row>
        <row r="499">
          <cell r="B499" t="str">
            <v>YF0029</v>
          </cell>
          <cell r="E499">
            <v>0</v>
          </cell>
        </row>
        <row r="500">
          <cell r="B500" t="str">
            <v>YF0030</v>
          </cell>
          <cell r="E500">
            <v>0</v>
          </cell>
        </row>
        <row r="501">
          <cell r="B501" t="str">
            <v>YF0031</v>
          </cell>
          <cell r="E501">
            <v>0</v>
          </cell>
        </row>
        <row r="502">
          <cell r="B502" t="str">
            <v>YF0032</v>
          </cell>
          <cell r="E502">
            <v>0</v>
          </cell>
        </row>
        <row r="503">
          <cell r="B503" t="str">
            <v>YF0033</v>
          </cell>
          <cell r="E503">
            <v>0</v>
          </cell>
        </row>
        <row r="504">
          <cell r="B504" t="str">
            <v>YF0034</v>
          </cell>
          <cell r="E504">
            <v>0</v>
          </cell>
        </row>
        <row r="505">
          <cell r="B505" t="str">
            <v>YF0035</v>
          </cell>
          <cell r="E505">
            <v>0</v>
          </cell>
        </row>
        <row r="506">
          <cell r="B506" t="str">
            <v>YF0036</v>
          </cell>
          <cell r="E506">
            <v>0</v>
          </cell>
        </row>
      </sheetData>
      <sheetData sheetId="2"/>
      <sheetData sheetId="3">
        <row r="6">
          <cell r="B6" t="str">
            <v>005CSD</v>
          </cell>
          <cell r="C6" t="str">
            <v>2929 DANFORTH AVE.,</v>
          </cell>
          <cell r="D6" t="str">
            <v>TORONTO, ON</v>
          </cell>
          <cell r="E6">
            <v>565710</v>
          </cell>
        </row>
        <row r="7">
          <cell r="B7" t="str">
            <v>012CSD</v>
          </cell>
          <cell r="E7">
            <v>0</v>
          </cell>
        </row>
        <row r="8">
          <cell r="B8" t="str">
            <v>013CSD</v>
          </cell>
          <cell r="C8" t="str">
            <v>313 CHRISTINA ST.N.,</v>
          </cell>
          <cell r="D8" t="str">
            <v>SARNIA, ON</v>
          </cell>
          <cell r="E8">
            <v>263805</v>
          </cell>
        </row>
        <row r="9">
          <cell r="B9" t="str">
            <v>034CSD</v>
          </cell>
          <cell r="E9">
            <v>0</v>
          </cell>
        </row>
        <row r="10">
          <cell r="B10" t="str">
            <v>039CSD</v>
          </cell>
          <cell r="C10" t="str">
            <v>8370 WOODBINE AVE.</v>
          </cell>
          <cell r="D10" t="str">
            <v>MARKHAM, ON</v>
          </cell>
          <cell r="E10">
            <v>462061</v>
          </cell>
        </row>
        <row r="11">
          <cell r="B11" t="str">
            <v>051CSD</v>
          </cell>
          <cell r="C11" t="str">
            <v>1708 QUEEN ST.E.,</v>
          </cell>
          <cell r="D11" t="str">
            <v>TORONTO, ON</v>
          </cell>
          <cell r="E11">
            <v>400209</v>
          </cell>
        </row>
        <row r="12">
          <cell r="B12" t="str">
            <v>053CSD</v>
          </cell>
          <cell r="C12" t="str">
            <v>524 WILSON HEIGHTS BLVD.</v>
          </cell>
          <cell r="D12" t="str">
            <v>DOWNSVIEW, ON.</v>
          </cell>
          <cell r="E12">
            <v>538870</v>
          </cell>
        </row>
        <row r="13">
          <cell r="B13" t="str">
            <v>074CSD</v>
          </cell>
          <cell r="C13" t="str">
            <v>357-359 TRUNK RD.</v>
          </cell>
          <cell r="D13" t="str">
            <v>SAULT STE.MARIE, ON</v>
          </cell>
          <cell r="E13">
            <v>813504</v>
          </cell>
        </row>
        <row r="14">
          <cell r="B14" t="str">
            <v>079CSD</v>
          </cell>
          <cell r="C14" t="str">
            <v>1082 CENTRE STREET</v>
          </cell>
          <cell r="D14" t="str">
            <v>THORNHILL, ON</v>
          </cell>
          <cell r="E14">
            <v>679870.18</v>
          </cell>
        </row>
        <row r="15">
          <cell r="B15" t="str">
            <v>081CSD</v>
          </cell>
          <cell r="C15" t="str">
            <v>3748 BATHURST ST.,</v>
          </cell>
          <cell r="D15" t="str">
            <v>DOWNSVIEW, ON</v>
          </cell>
          <cell r="E15">
            <v>909810</v>
          </cell>
        </row>
        <row r="16">
          <cell r="B16" t="str">
            <v>096CSD</v>
          </cell>
          <cell r="E16">
            <v>0</v>
          </cell>
        </row>
        <row r="17">
          <cell r="B17" t="str">
            <v>101CSD</v>
          </cell>
          <cell r="C17" t="str">
            <v>4235 HIGHWAY #7 WEST</v>
          </cell>
          <cell r="D17" t="str">
            <v>WOODBRIDGE, ON</v>
          </cell>
          <cell r="E17">
            <v>523990</v>
          </cell>
        </row>
        <row r="18">
          <cell r="B18" t="str">
            <v>104CSD</v>
          </cell>
          <cell r="E18">
            <v>0</v>
          </cell>
        </row>
        <row r="19">
          <cell r="B19" t="str">
            <v>117CSD</v>
          </cell>
          <cell r="C19" t="str">
            <v>2100 STEELES AVE. W.,</v>
          </cell>
          <cell r="D19" t="str">
            <v>CONCORD, ON</v>
          </cell>
          <cell r="E19">
            <v>151632</v>
          </cell>
        </row>
        <row r="20">
          <cell r="B20" t="str">
            <v>121CSD</v>
          </cell>
          <cell r="C20" t="str">
            <v>4681 HIGHWAY #7 EAST</v>
          </cell>
          <cell r="D20" t="str">
            <v>MARKHAM, ON.</v>
          </cell>
          <cell r="E20">
            <v>483323</v>
          </cell>
        </row>
        <row r="21">
          <cell r="B21" t="str">
            <v>123CSD</v>
          </cell>
          <cell r="C21" t="str">
            <v>996 CONFEDERATION ST.,</v>
          </cell>
          <cell r="D21" t="str">
            <v>SARNIA ONTARIO</v>
          </cell>
          <cell r="E21">
            <v>340896</v>
          </cell>
        </row>
        <row r="22">
          <cell r="B22" t="str">
            <v>134CSD</v>
          </cell>
          <cell r="C22" t="str">
            <v>161A RICHMOND STREET</v>
          </cell>
          <cell r="D22" t="str">
            <v>CHATHAM, ON</v>
          </cell>
          <cell r="E22">
            <v>365198</v>
          </cell>
        </row>
        <row r="23">
          <cell r="B23" t="str">
            <v>135CSD</v>
          </cell>
          <cell r="C23" t="str">
            <v>985 EGLINTON AVE. E.,</v>
          </cell>
          <cell r="D23" t="str">
            <v>MISSISSAUGA, ON</v>
          </cell>
          <cell r="E23">
            <v>718559</v>
          </cell>
        </row>
        <row r="24">
          <cell r="B24" t="str">
            <v>138CSD</v>
          </cell>
          <cell r="C24" t="str">
            <v>8003 AIRPORT ROAD,</v>
          </cell>
          <cell r="D24" t="str">
            <v>BRAMPTON, ON</v>
          </cell>
          <cell r="E24">
            <v>81027</v>
          </cell>
        </row>
        <row r="25">
          <cell r="B25" t="str">
            <v>141CSD</v>
          </cell>
          <cell r="C25" t="str">
            <v>320 THICKSON RD. R.R.#1</v>
          </cell>
          <cell r="D25" t="str">
            <v>WHITBY, ON</v>
          </cell>
          <cell r="E25">
            <v>617207</v>
          </cell>
        </row>
        <row r="26">
          <cell r="B26" t="str">
            <v>148CSD</v>
          </cell>
          <cell r="E26">
            <v>0</v>
          </cell>
        </row>
        <row r="27">
          <cell r="B27" t="str">
            <v>149CSD</v>
          </cell>
          <cell r="C27" t="str">
            <v>734 SHEPPARD AVE. EAST,</v>
          </cell>
          <cell r="D27" t="str">
            <v>NORTH YORK, ON.</v>
          </cell>
          <cell r="E27">
            <v>361583</v>
          </cell>
        </row>
        <row r="28">
          <cell r="B28" t="str">
            <v>150CSD</v>
          </cell>
          <cell r="C28" t="str">
            <v>4926 BATHURST STREET</v>
          </cell>
          <cell r="D28" t="str">
            <v>TORONTO, ON</v>
          </cell>
          <cell r="E28">
            <v>441721</v>
          </cell>
        </row>
        <row r="29">
          <cell r="B29" t="str">
            <v>151CSD</v>
          </cell>
          <cell r="C29" t="str">
            <v>5495 EGLINTON AVE.WEST</v>
          </cell>
          <cell r="D29" t="str">
            <v>ETOBICOKE, ON</v>
          </cell>
          <cell r="E29">
            <v>520453</v>
          </cell>
        </row>
        <row r="30">
          <cell r="B30" t="str">
            <v>152CSD</v>
          </cell>
          <cell r="C30" t="str">
            <v>2 EAST BEAVER CREEK RD.</v>
          </cell>
          <cell r="D30" t="str">
            <v>RICHMOND HILL, ON</v>
          </cell>
          <cell r="E30">
            <v>423587</v>
          </cell>
        </row>
        <row r="31">
          <cell r="B31" t="str">
            <v>155CSD</v>
          </cell>
          <cell r="C31" t="str">
            <v>575 WEST STREET SOUTH UNIT 5</v>
          </cell>
          <cell r="D31" t="str">
            <v>ORILLIA, ON</v>
          </cell>
          <cell r="E31">
            <v>204000</v>
          </cell>
        </row>
        <row r="32">
          <cell r="B32" t="str">
            <v>168CSD</v>
          </cell>
          <cell r="C32" t="str">
            <v>1095 O'CONNOR DRIVE</v>
          </cell>
          <cell r="D32" t="str">
            <v>EAST YORK, ON</v>
          </cell>
          <cell r="E32">
            <v>528946</v>
          </cell>
        </row>
        <row r="33">
          <cell r="B33" t="str">
            <v>171CSD</v>
          </cell>
          <cell r="C33" t="str">
            <v>263 QUEEN ST. EAST</v>
          </cell>
          <cell r="D33" t="str">
            <v>BRAMPTON, ON</v>
          </cell>
          <cell r="E33">
            <v>609054</v>
          </cell>
        </row>
        <row r="34">
          <cell r="B34" t="str">
            <v>174CSD</v>
          </cell>
          <cell r="C34" t="str">
            <v>2555 VICTORIA PARK AVE., UNIT5</v>
          </cell>
          <cell r="D34" t="str">
            <v>SCARBOROUGH, ON</v>
          </cell>
          <cell r="E34">
            <v>119295</v>
          </cell>
        </row>
        <row r="35">
          <cell r="B35" t="str">
            <v>180CSD</v>
          </cell>
          <cell r="C35" t="str">
            <v>1812 SCUGOG STREET WEST</v>
          </cell>
          <cell r="D35" t="str">
            <v>PORT PERRY, ON</v>
          </cell>
          <cell r="E35">
            <v>486152</v>
          </cell>
        </row>
        <row r="36">
          <cell r="B36" t="str">
            <v>187CSD</v>
          </cell>
          <cell r="C36" t="str">
            <v>64 KING WILLIAM STREET</v>
          </cell>
          <cell r="D36" t="str">
            <v>HUNTSVILLE, ON</v>
          </cell>
          <cell r="E36">
            <v>337338</v>
          </cell>
        </row>
        <row r="37">
          <cell r="B37" t="str">
            <v>189CSD</v>
          </cell>
          <cell r="C37" t="str">
            <v>3372 KEELE ST., UNIT F</v>
          </cell>
          <cell r="D37" t="str">
            <v>NORTH YORK, ON</v>
          </cell>
          <cell r="E37">
            <v>549523</v>
          </cell>
        </row>
        <row r="38">
          <cell r="B38" t="str">
            <v>190CSD</v>
          </cell>
          <cell r="C38" t="str">
            <v>R.R.#2 KILWORTHY</v>
          </cell>
          <cell r="D38" t="str">
            <v>GRAVENHURST, ON</v>
          </cell>
          <cell r="E38">
            <v>478741</v>
          </cell>
        </row>
        <row r="39">
          <cell r="B39" t="str">
            <v>192CSD</v>
          </cell>
          <cell r="C39" t="str">
            <v>861 DUFFERIN AVE.</v>
          </cell>
          <cell r="D39" t="str">
            <v>WALLACEBURG, ON</v>
          </cell>
          <cell r="E39">
            <v>944965</v>
          </cell>
        </row>
        <row r="40">
          <cell r="B40" t="str">
            <v>193CSD</v>
          </cell>
          <cell r="C40" t="str">
            <v>92 KING STREET EAST</v>
          </cell>
          <cell r="D40" t="str">
            <v>TORONTO, ON</v>
          </cell>
          <cell r="E40">
            <v>325906</v>
          </cell>
        </row>
        <row r="41">
          <cell r="B41" t="str">
            <v>198CSD</v>
          </cell>
          <cell r="C41" t="str">
            <v>119 BOWES STREET</v>
          </cell>
          <cell r="D41" t="str">
            <v>PARRY SOUND, ON</v>
          </cell>
          <cell r="E41">
            <v>205000</v>
          </cell>
        </row>
        <row r="42">
          <cell r="B42" t="str">
            <v>199CSD</v>
          </cell>
          <cell r="C42" t="str">
            <v>6585 AIRPORT ROAD</v>
          </cell>
          <cell r="D42" t="str">
            <v>MISSISSAUGA, ON</v>
          </cell>
          <cell r="E42">
            <v>784607</v>
          </cell>
        </row>
        <row r="43">
          <cell r="B43" t="str">
            <v>201CSD</v>
          </cell>
          <cell r="C43" t="str">
            <v>44 GERRARD ST.W. P.O BOX 2</v>
          </cell>
          <cell r="D43" t="str">
            <v>TORONTO, ON</v>
          </cell>
          <cell r="E43">
            <v>315434</v>
          </cell>
        </row>
        <row r="44">
          <cell r="B44" t="str">
            <v>202CSD</v>
          </cell>
          <cell r="C44" t="str">
            <v>606 DIXON RD</v>
          </cell>
          <cell r="D44" t="str">
            <v>ETOBICOKE, ON</v>
          </cell>
          <cell r="E44">
            <v>480723</v>
          </cell>
        </row>
        <row r="45">
          <cell r="B45" t="str">
            <v>211CSD</v>
          </cell>
          <cell r="E45">
            <v>0</v>
          </cell>
        </row>
        <row r="46">
          <cell r="B46" t="str">
            <v>215CSD</v>
          </cell>
          <cell r="C46" t="str">
            <v>4200 SHEPPARD AVE.E.</v>
          </cell>
          <cell r="D46" t="str">
            <v>SCARBOROUGH, ON</v>
          </cell>
          <cell r="E46">
            <v>224931</v>
          </cell>
        </row>
        <row r="47">
          <cell r="B47" t="str">
            <v>222CSD</v>
          </cell>
          <cell r="E47">
            <v>0</v>
          </cell>
        </row>
        <row r="48">
          <cell r="B48" t="str">
            <v>225CSD</v>
          </cell>
          <cell r="C48" t="str">
            <v>432 THE QUEENSWAY SOUTH</v>
          </cell>
          <cell r="D48" t="str">
            <v>KESWICK, ON</v>
          </cell>
          <cell r="E48">
            <v>802530</v>
          </cell>
        </row>
        <row r="49">
          <cell r="B49" t="str">
            <v>226CSD</v>
          </cell>
          <cell r="C49" t="str">
            <v>100 KING ST.W.  UNIT #213</v>
          </cell>
          <cell r="D49" t="str">
            <v>HAMILTON, ON</v>
          </cell>
          <cell r="E49">
            <v>388225</v>
          </cell>
        </row>
        <row r="50">
          <cell r="B50" t="str">
            <v>236CSD</v>
          </cell>
          <cell r="E50">
            <v>0</v>
          </cell>
        </row>
        <row r="51">
          <cell r="B51" t="str">
            <v>240CSD</v>
          </cell>
          <cell r="C51" t="str">
            <v>726 KINGSTON ROAD</v>
          </cell>
          <cell r="D51" t="str">
            <v>PICKERING, ON</v>
          </cell>
          <cell r="E51">
            <v>299710</v>
          </cell>
        </row>
        <row r="52">
          <cell r="B52" t="str">
            <v>245CSD</v>
          </cell>
          <cell r="C52" t="str">
            <v>1185 REGIONAL ROAD 21, UNIT 1</v>
          </cell>
          <cell r="D52" t="str">
            <v>MANCHESTER, ON</v>
          </cell>
          <cell r="E52">
            <v>838541</v>
          </cell>
        </row>
        <row r="53">
          <cell r="B53" t="str">
            <v>246CSD</v>
          </cell>
          <cell r="C53" t="str">
            <v>6035 MCLAUGHLIN ROAD</v>
          </cell>
          <cell r="D53" t="str">
            <v>MISSISSAUGA, ON</v>
          </cell>
          <cell r="E53">
            <v>532233</v>
          </cell>
        </row>
        <row r="54">
          <cell r="B54" t="str">
            <v>247CSD</v>
          </cell>
          <cell r="E54">
            <v>0</v>
          </cell>
        </row>
        <row r="55">
          <cell r="B55" t="str">
            <v>248CSD</v>
          </cell>
          <cell r="C55" t="str">
            <v>630 BURNHAMTHORPE RD.W.</v>
          </cell>
          <cell r="D55" t="str">
            <v>MISSISSAUGA, ON</v>
          </cell>
          <cell r="E55">
            <v>341390</v>
          </cell>
        </row>
        <row r="56">
          <cell r="B56" t="str">
            <v>249CSD</v>
          </cell>
          <cell r="C56" t="str">
            <v>104 KING STREET</v>
          </cell>
          <cell r="D56" t="str">
            <v>STONEY CREEK, ON</v>
          </cell>
          <cell r="E56">
            <v>603903</v>
          </cell>
        </row>
        <row r="57">
          <cell r="B57" t="str">
            <v>250CSD</v>
          </cell>
          <cell r="C57" t="str">
            <v>2867 ELLESMERE RD. CENTENARY H</v>
          </cell>
          <cell r="D57" t="str">
            <v>SCARBOROUGH, ON</v>
          </cell>
          <cell r="E57">
            <v>715899</v>
          </cell>
        </row>
        <row r="58">
          <cell r="B58" t="str">
            <v>252CSD</v>
          </cell>
          <cell r="C58" t="str">
            <v>1050 BROCK RD.</v>
          </cell>
          <cell r="D58" t="str">
            <v>PICKERING, ON</v>
          </cell>
          <cell r="E58">
            <v>481632</v>
          </cell>
        </row>
        <row r="59">
          <cell r="B59" t="str">
            <v>255CSD</v>
          </cell>
          <cell r="E59">
            <v>0</v>
          </cell>
        </row>
        <row r="60">
          <cell r="B60" t="str">
            <v>257CSD</v>
          </cell>
          <cell r="E60">
            <v>0</v>
          </cell>
        </row>
        <row r="61">
          <cell r="B61" t="str">
            <v>258CSD</v>
          </cell>
          <cell r="C61" t="str">
            <v>7575-7577 KEELE STREET</v>
          </cell>
          <cell r="D61" t="str">
            <v>CONCORD, ON</v>
          </cell>
          <cell r="E61">
            <v>699235</v>
          </cell>
        </row>
        <row r="62">
          <cell r="B62" t="str">
            <v>259CSD</v>
          </cell>
          <cell r="C62" t="str">
            <v>HWY #7 AND KEENE ROAD</v>
          </cell>
          <cell r="D62" t="str">
            <v>PETERBOROUGH, ON</v>
          </cell>
          <cell r="E62">
            <v>1099118</v>
          </cell>
        </row>
        <row r="63">
          <cell r="B63" t="str">
            <v>260CSD</v>
          </cell>
          <cell r="C63" t="str">
            <v>140 ATHERLY RD.</v>
          </cell>
          <cell r="D63" t="str">
            <v>ORILLIA, ON</v>
          </cell>
          <cell r="E63">
            <v>253006</v>
          </cell>
        </row>
        <row r="64">
          <cell r="B64" t="str">
            <v>262CSD</v>
          </cell>
          <cell r="E64">
            <v>0</v>
          </cell>
        </row>
        <row r="65">
          <cell r="B65" t="str">
            <v>263CSD</v>
          </cell>
          <cell r="C65" t="str">
            <v>10 ST. MARY STREET</v>
          </cell>
          <cell r="D65" t="str">
            <v>TORONTO, ON</v>
          </cell>
          <cell r="E65">
            <v>416926</v>
          </cell>
        </row>
        <row r="66">
          <cell r="B66" t="str">
            <v>264CSD</v>
          </cell>
          <cell r="C66" t="str">
            <v>5955 LESLIE STREET</v>
          </cell>
          <cell r="D66" t="str">
            <v>NORTH YORK, ON</v>
          </cell>
          <cell r="E66">
            <v>150762</v>
          </cell>
        </row>
        <row r="67">
          <cell r="B67" t="str">
            <v>265CSD</v>
          </cell>
          <cell r="C67" t="str">
            <v>65 FRONT STREET WEST</v>
          </cell>
          <cell r="D67" t="str">
            <v>TORONTO, ON</v>
          </cell>
          <cell r="E67">
            <v>255957</v>
          </cell>
        </row>
        <row r="68">
          <cell r="B68" t="str">
            <v>267CSD</v>
          </cell>
          <cell r="C68" t="str">
            <v>1550 LANSDOWNE ST.W.</v>
          </cell>
          <cell r="D68" t="str">
            <v>PETERBOROUGH, ON</v>
          </cell>
          <cell r="E68">
            <v>966986</v>
          </cell>
        </row>
        <row r="69">
          <cell r="B69" t="str">
            <v>268CSD</v>
          </cell>
          <cell r="C69" t="str">
            <v>1011 FINCH AVENUE WEST</v>
          </cell>
          <cell r="D69" t="str">
            <v>NORTH YORK, ON</v>
          </cell>
          <cell r="E69">
            <v>186918</v>
          </cell>
        </row>
        <row r="70">
          <cell r="B70" t="str">
            <v>269CSD</v>
          </cell>
          <cell r="C70" t="str">
            <v>212 QUEEN STREET</v>
          </cell>
          <cell r="D70" t="str">
            <v>BOLTON, ON</v>
          </cell>
          <cell r="E70">
            <v>648774</v>
          </cell>
        </row>
        <row r="71">
          <cell r="B71" t="str">
            <v>271CSD</v>
          </cell>
          <cell r="E71">
            <v>0</v>
          </cell>
        </row>
        <row r="72">
          <cell r="B72" t="str">
            <v>272CSD</v>
          </cell>
          <cell r="C72" t="str">
            <v>2444 FINCH AVE., W.</v>
          </cell>
          <cell r="D72" t="str">
            <v>NORTH YORK, ON</v>
          </cell>
          <cell r="E72">
            <v>877293</v>
          </cell>
        </row>
        <row r="73">
          <cell r="B73" t="str">
            <v>273CSD</v>
          </cell>
          <cell r="C73" t="str">
            <v>7240 WOODBINE AVE.</v>
          </cell>
          <cell r="D73" t="str">
            <v>MARKHAM, ON</v>
          </cell>
          <cell r="E73">
            <v>466184</v>
          </cell>
        </row>
        <row r="74">
          <cell r="B74" t="str">
            <v>277CSD</v>
          </cell>
          <cell r="C74" t="str">
            <v>375 FORAN STREET</v>
          </cell>
          <cell r="D74" t="str">
            <v>NORTH BAY, ON</v>
          </cell>
          <cell r="E74">
            <v>643250</v>
          </cell>
        </row>
        <row r="75">
          <cell r="B75" t="str">
            <v>281CSD</v>
          </cell>
          <cell r="C75" t="str">
            <v>1737 RICHMOND ST HYLAND CENTRE</v>
          </cell>
          <cell r="D75" t="str">
            <v>LONDON, ON</v>
          </cell>
          <cell r="E75">
            <v>505412</v>
          </cell>
        </row>
        <row r="76">
          <cell r="B76" t="str">
            <v>282CSD</v>
          </cell>
          <cell r="C76" t="str">
            <v>14980 YONGE STREET</v>
          </cell>
          <cell r="D76" t="str">
            <v>AURORA, ON</v>
          </cell>
          <cell r="E76">
            <v>686121</v>
          </cell>
        </row>
        <row r="77">
          <cell r="B77" t="str">
            <v>283CSD</v>
          </cell>
          <cell r="C77" t="str">
            <v>6255 BATHURST STREET</v>
          </cell>
          <cell r="D77" t="str">
            <v>WILLOWDALE, ON</v>
          </cell>
          <cell r="E77">
            <v>642991</v>
          </cell>
        </row>
        <row r="78">
          <cell r="B78" t="str">
            <v>284CSD</v>
          </cell>
          <cell r="C78" t="str">
            <v>2037 LONG LAKE ROAD, UNIT #1</v>
          </cell>
          <cell r="D78" t="str">
            <v>SUDBURY, ON</v>
          </cell>
          <cell r="E78">
            <v>505325</v>
          </cell>
        </row>
        <row r="79">
          <cell r="B79" t="str">
            <v>285CSD</v>
          </cell>
          <cell r="C79" t="str">
            <v>6555 LUNDY'S LANE</v>
          </cell>
          <cell r="D79" t="str">
            <v>NIAGARA FALLS, ON</v>
          </cell>
          <cell r="E79">
            <v>409462</v>
          </cell>
        </row>
        <row r="80">
          <cell r="B80" t="str">
            <v>286CSD</v>
          </cell>
          <cell r="E80">
            <v>0</v>
          </cell>
        </row>
        <row r="81">
          <cell r="B81" t="str">
            <v>287CSD</v>
          </cell>
          <cell r="C81" t="str">
            <v>1650 DERRY ROAD EAST</v>
          </cell>
          <cell r="D81" t="str">
            <v>MISSISSAUGA, ON</v>
          </cell>
          <cell r="E81">
            <v>486268</v>
          </cell>
        </row>
        <row r="82">
          <cell r="B82" t="str">
            <v>288CSD</v>
          </cell>
          <cell r="C82" t="str">
            <v>506 CANATARA COURT</v>
          </cell>
          <cell r="D82" t="str">
            <v>KINGSTON, ON</v>
          </cell>
          <cell r="E82">
            <v>673533.06</v>
          </cell>
        </row>
        <row r="83">
          <cell r="B83" t="str">
            <v>289CSD</v>
          </cell>
          <cell r="C83" t="str">
            <v>2118 KING RD.</v>
          </cell>
          <cell r="D83" t="str">
            <v>KING CITY, ON</v>
          </cell>
          <cell r="E83">
            <v>601963</v>
          </cell>
        </row>
        <row r="84">
          <cell r="B84" t="str">
            <v>291CSD</v>
          </cell>
          <cell r="C84" t="str">
            <v>1224 THE KINGSWAY</v>
          </cell>
          <cell r="D84" t="str">
            <v>SUDBURY, ON</v>
          </cell>
          <cell r="E84">
            <v>327254</v>
          </cell>
        </row>
        <row r="85">
          <cell r="B85" t="str">
            <v>305CSD</v>
          </cell>
          <cell r="C85" t="str">
            <v>17740 YONGE STREET NORTH</v>
          </cell>
          <cell r="D85" t="str">
            <v>NEWMARKET, ON</v>
          </cell>
          <cell r="E85">
            <v>178270.32</v>
          </cell>
        </row>
        <row r="86">
          <cell r="B86" t="str">
            <v>306CSD</v>
          </cell>
          <cell r="C86" t="str">
            <v>1333 WILSON ROAD NORTH</v>
          </cell>
          <cell r="D86" t="str">
            <v>OSHAWA, ON</v>
          </cell>
          <cell r="E86">
            <v>128710</v>
          </cell>
        </row>
        <row r="87">
          <cell r="B87" t="str">
            <v>309CSD</v>
          </cell>
          <cell r="C87" t="str">
            <v>6355 YONGE STREET</v>
          </cell>
          <cell r="D87" t="str">
            <v>NORTH YORK, ON</v>
          </cell>
          <cell r="E87">
            <v>911010</v>
          </cell>
        </row>
        <row r="88">
          <cell r="B88" t="str">
            <v>310CSD</v>
          </cell>
          <cell r="C88" t="str">
            <v>2011 HWY 11 SOUTH</v>
          </cell>
          <cell r="D88" t="str">
            <v>GRAVENHURST, ON</v>
          </cell>
          <cell r="E88">
            <v>399711</v>
          </cell>
        </row>
        <row r="89">
          <cell r="B89" t="str">
            <v>313CSD</v>
          </cell>
          <cell r="C89" t="str">
            <v>68 ELLIOT AVENUE</v>
          </cell>
          <cell r="D89" t="str">
            <v>KINGSTON, ON</v>
          </cell>
          <cell r="E89">
            <v>895582</v>
          </cell>
        </row>
        <row r="90">
          <cell r="B90" t="str">
            <v>314CSD</v>
          </cell>
          <cell r="C90" t="str">
            <v>1250 MAIN STREET</v>
          </cell>
          <cell r="D90" t="str">
            <v>STITTSVILLE, ON</v>
          </cell>
          <cell r="E90">
            <v>495820</v>
          </cell>
        </row>
        <row r="91">
          <cell r="B91" t="str">
            <v>315CSD</v>
          </cell>
          <cell r="C91" t="str">
            <v>17750 YONGE STREET</v>
          </cell>
          <cell r="D91" t="str">
            <v>NEWMARKET, ON</v>
          </cell>
          <cell r="E91">
            <v>13042</v>
          </cell>
        </row>
        <row r="92">
          <cell r="B92" t="str">
            <v>316CSD</v>
          </cell>
          <cell r="C92" t="str">
            <v>603 DAVENPORT RD.</v>
          </cell>
          <cell r="D92" t="str">
            <v>TORONTO, ON</v>
          </cell>
          <cell r="E92">
            <v>524607</v>
          </cell>
        </row>
        <row r="93">
          <cell r="B93" t="str">
            <v>319CSD</v>
          </cell>
          <cell r="E93">
            <v>0</v>
          </cell>
        </row>
        <row r="94">
          <cell r="B94" t="str">
            <v>325CSD</v>
          </cell>
          <cell r="E94">
            <v>0</v>
          </cell>
        </row>
        <row r="95">
          <cell r="B95" t="str">
            <v>326CSD</v>
          </cell>
          <cell r="C95" t="str">
            <v>3005 HWY 35 &amp; 115</v>
          </cell>
          <cell r="D95" t="str">
            <v>NEWCASTLE, ON</v>
          </cell>
          <cell r="E95">
            <v>1033968</v>
          </cell>
        </row>
        <row r="96">
          <cell r="B96" t="str">
            <v>327CSD</v>
          </cell>
          <cell r="E96">
            <v>0</v>
          </cell>
        </row>
        <row r="97">
          <cell r="B97" t="str">
            <v>329CSD</v>
          </cell>
          <cell r="C97" t="str">
            <v>1326 SIMCOE ST.N.</v>
          </cell>
          <cell r="D97" t="str">
            <v>OSHAWA, ON</v>
          </cell>
          <cell r="E97">
            <v>627889</v>
          </cell>
        </row>
        <row r="98">
          <cell r="B98" t="str">
            <v>330CSD</v>
          </cell>
          <cell r="C98" t="str">
            <v>205 ADVANCE BLVD.</v>
          </cell>
          <cell r="D98" t="str">
            <v>BRAMPTON, ON</v>
          </cell>
          <cell r="E98">
            <v>813905</v>
          </cell>
        </row>
        <row r="99">
          <cell r="B99" t="str">
            <v>331CSD</v>
          </cell>
          <cell r="C99" t="str">
            <v>6415 DIXIE RD. (ESSO STATION)</v>
          </cell>
          <cell r="D99" t="str">
            <v>MISSISSAUGA, ON</v>
          </cell>
          <cell r="E99">
            <v>156472</v>
          </cell>
        </row>
        <row r="100">
          <cell r="B100" t="str">
            <v>332CSD</v>
          </cell>
          <cell r="C100" t="str">
            <v>GEN.DEL,HWY 17 E &amp; INDUSTRIAL</v>
          </cell>
          <cell r="D100" t="str">
            <v>BLIND RIVER, ON</v>
          </cell>
          <cell r="E100">
            <v>413073</v>
          </cell>
        </row>
        <row r="101">
          <cell r="B101" t="str">
            <v>333CSD</v>
          </cell>
          <cell r="C101" t="str">
            <v>11108 YONGE STREET</v>
          </cell>
          <cell r="D101" t="str">
            <v>RICHMOND HILL, ON</v>
          </cell>
          <cell r="E101">
            <v>820297</v>
          </cell>
        </row>
        <row r="102">
          <cell r="B102" t="str">
            <v>335CSD</v>
          </cell>
          <cell r="C102" t="str">
            <v>107 QUEEN ST., P.O.BOX 1398</v>
          </cell>
          <cell r="D102" t="str">
            <v>LAKEFIELD, ON</v>
          </cell>
          <cell r="E102">
            <v>481783</v>
          </cell>
        </row>
        <row r="103">
          <cell r="B103" t="str">
            <v>336CSD</v>
          </cell>
          <cell r="C103" t="str">
            <v>1 INDUSTRIAL PARKWAY</v>
          </cell>
          <cell r="D103" t="str">
            <v>AURORA, ON</v>
          </cell>
          <cell r="E103">
            <v>556493</v>
          </cell>
        </row>
        <row r="104">
          <cell r="B104" t="str">
            <v>337CSD</v>
          </cell>
          <cell r="C104" t="str">
            <v>1401A SEYMOUR STREET</v>
          </cell>
          <cell r="D104" t="str">
            <v>NORTH BAY, ON</v>
          </cell>
          <cell r="E104">
            <v>683595</v>
          </cell>
        </row>
        <row r="105">
          <cell r="B105" t="str">
            <v>338CSD</v>
          </cell>
          <cell r="C105" t="str">
            <v>799 YORK MILLS ROAD</v>
          </cell>
          <cell r="D105" t="str">
            <v>NORTH YORK, ON</v>
          </cell>
          <cell r="E105">
            <v>500563</v>
          </cell>
        </row>
        <row r="106">
          <cell r="B106" t="str">
            <v>339CSD</v>
          </cell>
          <cell r="C106" t="str">
            <v>2387 KINGSTON ROAD</v>
          </cell>
          <cell r="D106" t="str">
            <v>SCARBOROUGH, ON</v>
          </cell>
          <cell r="E106">
            <v>556617</v>
          </cell>
        </row>
        <row r="107">
          <cell r="B107" t="str">
            <v>340CSD</v>
          </cell>
          <cell r="C107" t="str">
            <v>9218 YONGE STREET</v>
          </cell>
          <cell r="D107" t="str">
            <v>RICHMOND HILL , ON</v>
          </cell>
          <cell r="E107">
            <v>797576</v>
          </cell>
        </row>
        <row r="108">
          <cell r="B108" t="str">
            <v>341CSD</v>
          </cell>
          <cell r="C108" t="str">
            <v>24398 WOODBINE AVENUE</v>
          </cell>
          <cell r="D108" t="str">
            <v>KESWICK, ON</v>
          </cell>
          <cell r="E108">
            <v>635710</v>
          </cell>
        </row>
        <row r="109">
          <cell r="B109" t="str">
            <v>342CSD</v>
          </cell>
          <cell r="C109" t="str">
            <v>1 - 111 CENTRE ST.</v>
          </cell>
          <cell r="D109" t="str">
            <v>ESPANOLA, ON</v>
          </cell>
          <cell r="E109">
            <v>81140</v>
          </cell>
        </row>
        <row r="110">
          <cell r="B110" t="str">
            <v>347CSD</v>
          </cell>
          <cell r="C110" t="str">
            <v>396 HOLLAND ST.W. P.O.BOX 407</v>
          </cell>
          <cell r="D110" t="str">
            <v>BRADFORD, ON</v>
          </cell>
          <cell r="E110">
            <v>703725</v>
          </cell>
        </row>
        <row r="111">
          <cell r="B111" t="str">
            <v>348CSD</v>
          </cell>
          <cell r="C111" t="str">
            <v>371 LORNE STREET</v>
          </cell>
          <cell r="D111" t="str">
            <v>SUDBURY, ON</v>
          </cell>
          <cell r="E111">
            <v>680497</v>
          </cell>
        </row>
        <row r="112">
          <cell r="B112" t="str">
            <v>349CSD</v>
          </cell>
          <cell r="C112" t="str">
            <v>821 DIVISION STREET</v>
          </cell>
          <cell r="D112" t="str">
            <v>COBOURG, ON</v>
          </cell>
          <cell r="E112">
            <v>717901</v>
          </cell>
        </row>
        <row r="113">
          <cell r="B113" t="str">
            <v>350CSD</v>
          </cell>
          <cell r="C113" t="str">
            <v>197 GEORGE STREET NORTH</v>
          </cell>
          <cell r="D113" t="str">
            <v>PETERBOROUGH, ON</v>
          </cell>
          <cell r="E113">
            <v>386876</v>
          </cell>
        </row>
        <row r="114">
          <cell r="B114" t="str">
            <v>351CSD</v>
          </cell>
          <cell r="C114" t="str">
            <v>1735 KIPLING AVENUE</v>
          </cell>
          <cell r="D114" t="str">
            <v>ETOBICOKE, ON</v>
          </cell>
          <cell r="E114">
            <v>589739</v>
          </cell>
        </row>
        <row r="115">
          <cell r="B115" t="str">
            <v>353CSD</v>
          </cell>
          <cell r="C115" t="str">
            <v>2050B VICTORIA PARK AVENUE</v>
          </cell>
          <cell r="D115" t="str">
            <v>NORTH YORK, ON</v>
          </cell>
          <cell r="E115">
            <v>542400</v>
          </cell>
        </row>
        <row r="116">
          <cell r="B116" t="str">
            <v>354CSD</v>
          </cell>
          <cell r="C116" t="str">
            <v>131 TIFFIN STREET EAST</v>
          </cell>
          <cell r="D116" t="str">
            <v>BARRIE, ON</v>
          </cell>
          <cell r="E116">
            <v>695758</v>
          </cell>
        </row>
        <row r="117">
          <cell r="B117" t="str">
            <v>356CSD</v>
          </cell>
          <cell r="C117" t="str">
            <v>2512 JANE STREET</v>
          </cell>
          <cell r="D117" t="str">
            <v>NORTH YORK, ON</v>
          </cell>
          <cell r="E117">
            <v>798961</v>
          </cell>
        </row>
        <row r="118">
          <cell r="B118" t="str">
            <v>358CSD</v>
          </cell>
          <cell r="C118" t="str">
            <v>HWY 11 NORTHBOUND &amp; 2ND LINE</v>
          </cell>
          <cell r="D118" t="str">
            <v>SHANTY BAY, ON</v>
          </cell>
          <cell r="E118">
            <v>553468</v>
          </cell>
        </row>
        <row r="119">
          <cell r="B119" t="str">
            <v>361CSD</v>
          </cell>
          <cell r="C119" t="str">
            <v>2781 DUFFERIN ST.</v>
          </cell>
          <cell r="D119" t="str">
            <v>NORTH YORK, ON</v>
          </cell>
          <cell r="E119">
            <v>816033</v>
          </cell>
        </row>
        <row r="120">
          <cell r="B120" t="str">
            <v>363CSD</v>
          </cell>
          <cell r="C120" t="str">
            <v>1 RICHMOND BOULEVARD</v>
          </cell>
          <cell r="D120" t="str">
            <v>NAPANEE, ON</v>
          </cell>
          <cell r="E120">
            <v>806734</v>
          </cell>
        </row>
        <row r="121">
          <cell r="B121" t="str">
            <v>364CSD</v>
          </cell>
          <cell r="C121" t="str">
            <v>66 OVERLEA BLVD.</v>
          </cell>
          <cell r="D121" t="str">
            <v>EAST YORK, ON</v>
          </cell>
          <cell r="E121">
            <v>539021</v>
          </cell>
        </row>
        <row r="122">
          <cell r="B122" t="str">
            <v>365CSD</v>
          </cell>
          <cell r="C122" t="str">
            <v>1160 HIGHBURY AVENUE</v>
          </cell>
          <cell r="D122" t="str">
            <v>LONDON, ON</v>
          </cell>
          <cell r="E122">
            <v>417654</v>
          </cell>
        </row>
        <row r="123">
          <cell r="B123" t="str">
            <v>367CSD</v>
          </cell>
          <cell r="C123" t="str">
            <v>1387 EAST 41ST STREET</v>
          </cell>
          <cell r="D123" t="str">
            <v>VANCOUVER, BC</v>
          </cell>
          <cell r="E123">
            <v>66240</v>
          </cell>
        </row>
        <row r="124">
          <cell r="B124" t="str">
            <v>369CSD</v>
          </cell>
          <cell r="C124" t="str">
            <v>288 BLOOR ST.WEST</v>
          </cell>
          <cell r="D124" t="str">
            <v>OSHAWA, ON</v>
          </cell>
          <cell r="E124">
            <v>736603</v>
          </cell>
        </row>
        <row r="125">
          <cell r="B125" t="str">
            <v>372CSD</v>
          </cell>
          <cell r="C125" t="str">
            <v>2281 KIPLING AVENUE</v>
          </cell>
          <cell r="D125" t="str">
            <v>ETOBICOKE, ON</v>
          </cell>
          <cell r="E125">
            <v>842276</v>
          </cell>
        </row>
        <row r="126">
          <cell r="B126" t="str">
            <v>373CSD</v>
          </cell>
          <cell r="C126" t="str">
            <v>828 CHEMONG ROAD</v>
          </cell>
          <cell r="D126" t="str">
            <v>PETERBOROUGH, ON</v>
          </cell>
          <cell r="E126">
            <v>383754</v>
          </cell>
        </row>
        <row r="127">
          <cell r="B127" t="str">
            <v>375CSD</v>
          </cell>
          <cell r="E127">
            <v>0</v>
          </cell>
        </row>
        <row r="128">
          <cell r="B128" t="str">
            <v>376CSD</v>
          </cell>
          <cell r="C128" t="str">
            <v>5964 HIGHWAY #9</v>
          </cell>
          <cell r="D128" t="str">
            <v>NEW TECUMSETH, ON</v>
          </cell>
          <cell r="E128">
            <v>756926.53</v>
          </cell>
        </row>
        <row r="129">
          <cell r="B129" t="str">
            <v>380CSD</v>
          </cell>
          <cell r="C129" t="str">
            <v>590 KEELE ST.</v>
          </cell>
          <cell r="D129" t="str">
            <v>TORONTO, ON</v>
          </cell>
          <cell r="E129">
            <v>760074</v>
          </cell>
        </row>
        <row r="130">
          <cell r="B130" t="str">
            <v>381CSD</v>
          </cell>
          <cell r="C130" t="str">
            <v>554 LANSDOWNE ST., W.</v>
          </cell>
          <cell r="D130" t="str">
            <v>PETERBOROUGH, ON</v>
          </cell>
          <cell r="E130">
            <v>476482</v>
          </cell>
        </row>
        <row r="131">
          <cell r="B131" t="str">
            <v>383CSD</v>
          </cell>
          <cell r="C131" t="str">
            <v>120 BRICKYARD WAY, BLDG C</v>
          </cell>
          <cell r="D131" t="str">
            <v>BRAMPTON, ON</v>
          </cell>
          <cell r="E131">
            <v>617020</v>
          </cell>
        </row>
        <row r="132">
          <cell r="B132" t="str">
            <v>384CSD</v>
          </cell>
          <cell r="C132" t="str">
            <v>1465 AEROWOOD DRIVE</v>
          </cell>
          <cell r="D132" t="str">
            <v>MISSISSAUGA, ON</v>
          </cell>
          <cell r="E132">
            <v>838580</v>
          </cell>
        </row>
        <row r="133">
          <cell r="B133" t="str">
            <v>385CSD</v>
          </cell>
          <cell r="C133" t="str">
            <v>1585 WARDEN AVENUE</v>
          </cell>
          <cell r="D133" t="str">
            <v>SCARBOROUGH, ON</v>
          </cell>
          <cell r="E133">
            <v>575749</v>
          </cell>
        </row>
        <row r="134">
          <cell r="B134" t="str">
            <v>386CSD</v>
          </cell>
          <cell r="C134" t="str">
            <v>537 HESPELER ROAD</v>
          </cell>
          <cell r="D134" t="str">
            <v>CAMBRIDGE, ON</v>
          </cell>
          <cell r="E134">
            <v>316314</v>
          </cell>
        </row>
        <row r="135">
          <cell r="B135" t="str">
            <v>387CSD</v>
          </cell>
          <cell r="C135" t="str">
            <v>334 DUNDAS ST.E.</v>
          </cell>
          <cell r="D135" t="str">
            <v>MISSISSAUGA, ON</v>
          </cell>
          <cell r="E135">
            <v>618013</v>
          </cell>
        </row>
        <row r="136">
          <cell r="B136" t="str">
            <v>389CSD</v>
          </cell>
          <cell r="E136">
            <v>0</v>
          </cell>
        </row>
        <row r="137">
          <cell r="B137" t="str">
            <v>392CSD</v>
          </cell>
          <cell r="C137" t="str">
            <v>929 QUEEN ST.E.</v>
          </cell>
          <cell r="D137" t="str">
            <v>TORONTO, ON</v>
          </cell>
          <cell r="E137">
            <v>441433</v>
          </cell>
        </row>
        <row r="138">
          <cell r="B138" t="str">
            <v>393CSD</v>
          </cell>
          <cell r="C138" t="str">
            <v>204 HAMILTON RD.</v>
          </cell>
          <cell r="D138" t="str">
            <v>LONDON, ON</v>
          </cell>
          <cell r="E138">
            <v>687313.83</v>
          </cell>
        </row>
        <row r="139">
          <cell r="B139" t="str">
            <v>394CSD</v>
          </cell>
          <cell r="C139" t="str">
            <v>210 PINEBUSH ROAD</v>
          </cell>
          <cell r="D139" t="str">
            <v>CAMBRIDGE, ON</v>
          </cell>
          <cell r="E139">
            <v>296612</v>
          </cell>
        </row>
        <row r="140">
          <cell r="B140" t="str">
            <v>395CSD</v>
          </cell>
          <cell r="C140" t="str">
            <v>960 DUNDAS STREET WEST</v>
          </cell>
          <cell r="D140" t="str">
            <v>WHITBY, ON</v>
          </cell>
          <cell r="E140">
            <v>594518</v>
          </cell>
        </row>
        <row r="141">
          <cell r="B141" t="str">
            <v>396CSD</v>
          </cell>
          <cell r="C141" t="str">
            <v>11 JACOB KEFFER PARKWAY</v>
          </cell>
          <cell r="D141" t="str">
            <v>VAUGHAN, ON</v>
          </cell>
          <cell r="E141">
            <v>519316</v>
          </cell>
        </row>
        <row r="142">
          <cell r="B142" t="str">
            <v>399CSD</v>
          </cell>
          <cell r="C142" t="str">
            <v>362 LAKESHORE ROAD EAST</v>
          </cell>
          <cell r="D142" t="str">
            <v>MISSISSAUGA, ON</v>
          </cell>
          <cell r="E142">
            <v>525040</v>
          </cell>
        </row>
        <row r="143">
          <cell r="B143" t="str">
            <v>400BMB</v>
          </cell>
          <cell r="C143" t="str">
            <v>3-32905 VENTURA AVENUE</v>
          </cell>
          <cell r="D143" t="str">
            <v>ABBOTSFORD, BC</v>
          </cell>
          <cell r="E143">
            <v>329847</v>
          </cell>
        </row>
        <row r="144">
          <cell r="B144" t="str">
            <v>400CSD</v>
          </cell>
          <cell r="C144" t="str">
            <v>1156-58 KENNEDY ROAD</v>
          </cell>
          <cell r="D144" t="str">
            <v>SCARBOROUGH, ON</v>
          </cell>
          <cell r="E144">
            <v>577244</v>
          </cell>
        </row>
        <row r="145">
          <cell r="B145" t="str">
            <v>401BMB</v>
          </cell>
          <cell r="C145" t="str">
            <v>96 VICTORIA STREET</v>
          </cell>
          <cell r="D145" t="str">
            <v>BARRIE, ON</v>
          </cell>
          <cell r="E145">
            <v>994529</v>
          </cell>
        </row>
        <row r="146">
          <cell r="B146" t="str">
            <v>402BMB</v>
          </cell>
          <cell r="C146" t="str">
            <v>300 BELL BLVD.</v>
          </cell>
          <cell r="D146" t="str">
            <v>BELLEVILLE, ON</v>
          </cell>
          <cell r="E146">
            <v>424185</v>
          </cell>
        </row>
        <row r="147">
          <cell r="B147" t="str">
            <v>402CSD</v>
          </cell>
          <cell r="C147" t="str">
            <v>1146 VICTORIA ST.RR1GEN.DEL'V'</v>
          </cell>
          <cell r="D147" t="str">
            <v>ROSSEAU, ON</v>
          </cell>
          <cell r="E147">
            <v>252615</v>
          </cell>
        </row>
        <row r="148">
          <cell r="B148" t="str">
            <v>403BMB</v>
          </cell>
          <cell r="C148" t="str">
            <v>1 STAFFORD DRIVE</v>
          </cell>
          <cell r="D148" t="str">
            <v>BRAMPTON, ON</v>
          </cell>
          <cell r="E148">
            <v>152980</v>
          </cell>
        </row>
        <row r="149">
          <cell r="B149" t="str">
            <v>404CSD</v>
          </cell>
          <cell r="C149" t="str">
            <v>1620 BIRCHMOUNT ROAD</v>
          </cell>
          <cell r="D149" t="str">
            <v>SCARBOROUGH, ON</v>
          </cell>
          <cell r="E149">
            <v>401506</v>
          </cell>
        </row>
        <row r="150">
          <cell r="B150" t="str">
            <v>406CSD</v>
          </cell>
          <cell r="C150" t="str">
            <v>490 BAYFIELD ST. NORTH</v>
          </cell>
          <cell r="D150" t="str">
            <v>BARRIE, ON</v>
          </cell>
          <cell r="E150">
            <v>447473</v>
          </cell>
        </row>
        <row r="151">
          <cell r="B151" t="str">
            <v>407BMB</v>
          </cell>
          <cell r="C151" t="str">
            <v>7832-6TH STREET</v>
          </cell>
          <cell r="D151" t="str">
            <v>BURNABY, BC</v>
          </cell>
          <cell r="E151">
            <v>468634</v>
          </cell>
        </row>
        <row r="152">
          <cell r="B152" t="str">
            <v>408BMB</v>
          </cell>
          <cell r="E152">
            <v>0</v>
          </cell>
        </row>
        <row r="153">
          <cell r="B153" t="str">
            <v>409CSD</v>
          </cell>
          <cell r="C153" t="str">
            <v>231-235 EDINBURGH RD.SOUTH</v>
          </cell>
          <cell r="D153" t="str">
            <v>GUELPH, ON</v>
          </cell>
          <cell r="E153">
            <v>25726</v>
          </cell>
        </row>
        <row r="154">
          <cell r="B154" t="str">
            <v>410CSD</v>
          </cell>
          <cell r="E154">
            <v>0</v>
          </cell>
        </row>
        <row r="155">
          <cell r="B155" t="str">
            <v>411CSD</v>
          </cell>
          <cell r="C155" t="str">
            <v>304 TORONTO STREET SOUTH</v>
          </cell>
          <cell r="D155" t="str">
            <v>UXBRIDGE, ON</v>
          </cell>
          <cell r="E155">
            <v>638490</v>
          </cell>
        </row>
        <row r="156">
          <cell r="B156" t="str">
            <v>413BMB</v>
          </cell>
          <cell r="C156" t="str">
            <v>46 WELLINGTON ST.W.</v>
          </cell>
          <cell r="D156" t="str">
            <v>CHATHAM, ON</v>
          </cell>
          <cell r="E156">
            <v>525572</v>
          </cell>
        </row>
        <row r="157">
          <cell r="B157" t="str">
            <v>413CSD</v>
          </cell>
          <cell r="C157" t="str">
            <v>28 BRIDGE STREET</v>
          </cell>
          <cell r="D157" t="str">
            <v>BRADFORD, ON</v>
          </cell>
          <cell r="E157">
            <v>465210</v>
          </cell>
        </row>
        <row r="158">
          <cell r="B158" t="str">
            <v>414CSD</v>
          </cell>
          <cell r="C158" t="str">
            <v>598 ONTARIO STREET SOUTH</v>
          </cell>
          <cell r="D158" t="str">
            <v>MILTON, ON</v>
          </cell>
          <cell r="E158">
            <v>386772</v>
          </cell>
        </row>
        <row r="159">
          <cell r="B159" t="str">
            <v>415BMB</v>
          </cell>
          <cell r="C159" t="str">
            <v>726 ONTARIO STREET</v>
          </cell>
          <cell r="D159" t="str">
            <v>COBOURG, ON</v>
          </cell>
          <cell r="E159">
            <v>124888</v>
          </cell>
        </row>
        <row r="160">
          <cell r="B160" t="str">
            <v>417BMB</v>
          </cell>
          <cell r="C160" t="str">
            <v>#107-2071 KINGSWAY</v>
          </cell>
          <cell r="D160" t="str">
            <v>PORT COQUITLAM, BC</v>
          </cell>
          <cell r="E160">
            <v>399232</v>
          </cell>
        </row>
        <row r="161">
          <cell r="B161" t="str">
            <v>417CSD</v>
          </cell>
          <cell r="C161" t="str">
            <v>681 CHRISLEA ROAD</v>
          </cell>
          <cell r="D161" t="str">
            <v>VAUGHAN, ON</v>
          </cell>
          <cell r="E161">
            <v>1030171</v>
          </cell>
        </row>
        <row r="162">
          <cell r="B162" t="str">
            <v>418BMB</v>
          </cell>
          <cell r="C162" t="str">
            <v>900 PITT STREET</v>
          </cell>
          <cell r="D162" t="str">
            <v>CORNWALL, ON</v>
          </cell>
          <cell r="E162">
            <v>356605</v>
          </cell>
        </row>
        <row r="163">
          <cell r="B163" t="str">
            <v>418CSD</v>
          </cell>
          <cell r="C163" t="str">
            <v>169-C FRONT STREET</v>
          </cell>
          <cell r="D163" t="str">
            <v>STURGEON FALLS, ON</v>
          </cell>
          <cell r="E163">
            <v>382452</v>
          </cell>
        </row>
        <row r="164">
          <cell r="B164" t="str">
            <v>419BMB</v>
          </cell>
          <cell r="C164" t="str">
            <v>445-10TH ST.</v>
          </cell>
          <cell r="D164" t="str">
            <v>COURTENAY, BC</v>
          </cell>
          <cell r="E164">
            <v>608489</v>
          </cell>
        </row>
        <row r="165">
          <cell r="B165" t="str">
            <v>420BMB</v>
          </cell>
          <cell r="C165" t="str">
            <v>216 SLATER ROAD N.W.</v>
          </cell>
          <cell r="D165" t="str">
            <v>CRANBROOK, BC</v>
          </cell>
          <cell r="E165">
            <v>347713</v>
          </cell>
        </row>
        <row r="166">
          <cell r="B166" t="str">
            <v>420CSD</v>
          </cell>
          <cell r="C166" t="str">
            <v>5401 STEELES AVE., WEST</v>
          </cell>
          <cell r="D166" t="str">
            <v>TORONTO, ON</v>
          </cell>
          <cell r="E166">
            <v>440155</v>
          </cell>
        </row>
        <row r="167">
          <cell r="B167" t="str">
            <v>421BMB</v>
          </cell>
          <cell r="C167" t="str">
            <v>#3-11161 -84TH AVENUE</v>
          </cell>
          <cell r="D167" t="str">
            <v>DELTA, BC</v>
          </cell>
          <cell r="E167">
            <v>137151</v>
          </cell>
        </row>
        <row r="168">
          <cell r="B168" t="str">
            <v>421CSD</v>
          </cell>
          <cell r="C168" t="str">
            <v>1681 WILSON AVE.</v>
          </cell>
          <cell r="D168" t="str">
            <v>TORONTO, ON</v>
          </cell>
          <cell r="E168">
            <v>560211</v>
          </cell>
        </row>
        <row r="169">
          <cell r="B169" t="str">
            <v>422BMB</v>
          </cell>
          <cell r="C169" t="str">
            <v>2289 KING GEORGE HWY</v>
          </cell>
          <cell r="D169" t="str">
            <v>MIRAMICHI, N.B.</v>
          </cell>
          <cell r="E169">
            <v>187958</v>
          </cell>
        </row>
        <row r="170">
          <cell r="B170" t="str">
            <v>422CSD</v>
          </cell>
          <cell r="C170" t="str">
            <v>MALVERN TOWN CTR. 31 TAPSCOTT</v>
          </cell>
          <cell r="D170" t="str">
            <v>SCARBOROUGH, ON</v>
          </cell>
          <cell r="E170">
            <v>241848</v>
          </cell>
        </row>
        <row r="171">
          <cell r="B171" t="str">
            <v>424CSD</v>
          </cell>
          <cell r="E171">
            <v>178511</v>
          </cell>
        </row>
        <row r="172">
          <cell r="B172" t="str">
            <v>425BMB</v>
          </cell>
          <cell r="C172" t="str">
            <v>853 KIPLING AVENUE</v>
          </cell>
          <cell r="D172" t="str">
            <v>ETOBICOKE, ON</v>
          </cell>
          <cell r="E172">
            <v>814944</v>
          </cell>
        </row>
        <row r="173">
          <cell r="B173" t="str">
            <v>425CSD</v>
          </cell>
          <cell r="E173">
            <v>0</v>
          </cell>
        </row>
        <row r="174">
          <cell r="B174" t="str">
            <v>426BMB</v>
          </cell>
          <cell r="C174" t="str">
            <v>1331 MARTINGROVE ROAD</v>
          </cell>
          <cell r="D174" t="str">
            <v>ETOBICOKE, ON</v>
          </cell>
          <cell r="E174">
            <v>150600</v>
          </cell>
        </row>
        <row r="175">
          <cell r="B175" t="str">
            <v>426CSD</v>
          </cell>
          <cell r="C175" t="str">
            <v>1533 JANE ST.</v>
          </cell>
          <cell r="D175" t="str">
            <v>TORONTO, ON</v>
          </cell>
          <cell r="E175">
            <v>533711</v>
          </cell>
        </row>
        <row r="176">
          <cell r="B176" t="str">
            <v>427CSD</v>
          </cell>
          <cell r="C176" t="str">
            <v>16654 YONGE STREET</v>
          </cell>
          <cell r="D176" t="str">
            <v>NEWMARKET, ON</v>
          </cell>
          <cell r="E176">
            <v>543615</v>
          </cell>
        </row>
        <row r="177">
          <cell r="B177" t="str">
            <v>430BMB</v>
          </cell>
          <cell r="C177" t="str">
            <v>256 SILVERCREEK PARKWAY</v>
          </cell>
          <cell r="D177" t="str">
            <v>GUELPH, ON</v>
          </cell>
          <cell r="E177">
            <v>1043171</v>
          </cell>
        </row>
        <row r="178">
          <cell r="B178" t="str">
            <v>431BMB</v>
          </cell>
          <cell r="C178" t="str">
            <v>307 NASH ROAD N.</v>
          </cell>
          <cell r="D178" t="str">
            <v>HAMILTON, ON</v>
          </cell>
          <cell r="E178">
            <v>375764</v>
          </cell>
        </row>
        <row r="179">
          <cell r="B179" t="str">
            <v>433BMB</v>
          </cell>
          <cell r="C179" t="str">
            <v>325 REGENT STREET</v>
          </cell>
          <cell r="D179" t="str">
            <v>HAWKESBURY, ON</v>
          </cell>
          <cell r="E179">
            <v>313208</v>
          </cell>
        </row>
        <row r="180">
          <cell r="B180" t="str">
            <v>435BMB</v>
          </cell>
          <cell r="C180" t="str">
            <v>1231-12TH STREET</v>
          </cell>
          <cell r="D180" t="str">
            <v>KAMLOOPS, BC</v>
          </cell>
          <cell r="E180">
            <v>218342</v>
          </cell>
        </row>
        <row r="181">
          <cell r="B181" t="str">
            <v>435CSD</v>
          </cell>
          <cell r="C181" t="str">
            <v>430 KIPLING AVE.</v>
          </cell>
          <cell r="D181" t="str">
            <v>ETOBICOKE, ON</v>
          </cell>
          <cell r="E181">
            <v>40215</v>
          </cell>
        </row>
        <row r="182">
          <cell r="B182" t="str">
            <v>436BMB</v>
          </cell>
          <cell r="C182" t="str">
            <v>1891 SPRINGFIELD ROAD</v>
          </cell>
          <cell r="D182" t="str">
            <v>KELOWNA, BC</v>
          </cell>
          <cell r="E182">
            <v>0</v>
          </cell>
        </row>
        <row r="183">
          <cell r="B183" t="str">
            <v>436CSD</v>
          </cell>
          <cell r="C183" t="str">
            <v>38 MAIN STREET</v>
          </cell>
          <cell r="D183" t="str">
            <v>COLDWATER, ON</v>
          </cell>
          <cell r="E183">
            <v>548063</v>
          </cell>
        </row>
        <row r="184">
          <cell r="B184" t="str">
            <v>437CSD</v>
          </cell>
          <cell r="C184" t="str">
            <v>1 FISHERMAN DR.</v>
          </cell>
          <cell r="D184" t="str">
            <v>BRAMPTON, ON</v>
          </cell>
          <cell r="E184">
            <v>348467</v>
          </cell>
        </row>
        <row r="185">
          <cell r="B185" t="str">
            <v>438CSD</v>
          </cell>
          <cell r="C185" t="str">
            <v>932 BROCK STREET N.</v>
          </cell>
          <cell r="D185" t="str">
            <v>WHITBY, ON</v>
          </cell>
          <cell r="E185">
            <v>201009</v>
          </cell>
        </row>
        <row r="186">
          <cell r="B186" t="str">
            <v>439BMB</v>
          </cell>
          <cell r="C186" t="str">
            <v>20771 LANGLEY BYPASS HWY</v>
          </cell>
          <cell r="D186" t="str">
            <v>LANGLEY, BC</v>
          </cell>
          <cell r="E186">
            <v>616061</v>
          </cell>
        </row>
        <row r="187">
          <cell r="B187" t="str">
            <v>439CSD</v>
          </cell>
          <cell r="C187" t="str">
            <v>5060 SHEPPARD AVE. EAST</v>
          </cell>
          <cell r="D187" t="str">
            <v>SCARBOROUGH, ON</v>
          </cell>
          <cell r="E187">
            <v>234589</v>
          </cell>
        </row>
        <row r="188">
          <cell r="B188" t="str">
            <v>442BMB</v>
          </cell>
          <cell r="C188" t="str">
            <v>2190 DUNDAS ST.E.</v>
          </cell>
          <cell r="D188" t="str">
            <v>LONDON, ON</v>
          </cell>
          <cell r="E188">
            <v>0</v>
          </cell>
        </row>
        <row r="189">
          <cell r="B189" t="str">
            <v>442CSD</v>
          </cell>
          <cell r="E189">
            <v>234008</v>
          </cell>
        </row>
        <row r="190">
          <cell r="B190" t="str">
            <v>443CSD</v>
          </cell>
          <cell r="E190">
            <v>98020</v>
          </cell>
        </row>
        <row r="191">
          <cell r="B191" t="str">
            <v>448CSD</v>
          </cell>
          <cell r="E191">
            <v>0</v>
          </cell>
        </row>
        <row r="192">
          <cell r="B192" t="str">
            <v>451BMB</v>
          </cell>
          <cell r="C192" t="str">
            <v>1713-15 MAIN STREET</v>
          </cell>
          <cell r="D192" t="str">
            <v>MOOSE JAW, SK</v>
          </cell>
          <cell r="E192">
            <v>629711</v>
          </cell>
        </row>
        <row r="193">
          <cell r="B193" t="str">
            <v>452BMB</v>
          </cell>
          <cell r="C193" t="str">
            <v>1708 BOWEN ROAD</v>
          </cell>
          <cell r="D193" t="str">
            <v>NANAIMO, BC</v>
          </cell>
          <cell r="E193">
            <v>311106</v>
          </cell>
        </row>
        <row r="194">
          <cell r="B194" t="str">
            <v>455BMB</v>
          </cell>
          <cell r="C194" t="str">
            <v>250 GREENBANK ROAD</v>
          </cell>
          <cell r="D194" t="str">
            <v>NEPEAN, ON</v>
          </cell>
          <cell r="E194">
            <v>7500</v>
          </cell>
        </row>
        <row r="195">
          <cell r="B195" t="str">
            <v>457BMB</v>
          </cell>
          <cell r="C195" t="str">
            <v>745 CLARENCE STREET</v>
          </cell>
          <cell r="D195" t="str">
            <v>NORTH BAY, ON</v>
          </cell>
          <cell r="E195">
            <v>636439</v>
          </cell>
        </row>
        <row r="196">
          <cell r="B196" t="str">
            <v>463BMB</v>
          </cell>
          <cell r="C196" t="str">
            <v>1570 CARLING AVENUE</v>
          </cell>
          <cell r="D196" t="str">
            <v>OTTAWA, ON</v>
          </cell>
          <cell r="E196">
            <v>30000</v>
          </cell>
        </row>
        <row r="197">
          <cell r="B197" t="str">
            <v>464BMB</v>
          </cell>
          <cell r="C197" t="str">
            <v>2447-B KALADAR STREET</v>
          </cell>
          <cell r="D197" t="str">
            <v>OTTAWA, ON</v>
          </cell>
          <cell r="E197">
            <v>551764.79</v>
          </cell>
        </row>
        <row r="198">
          <cell r="B198" t="str">
            <v>465BMB</v>
          </cell>
          <cell r="C198" t="str">
            <v>471 HAZELDEAN ROAD</v>
          </cell>
          <cell r="D198" t="str">
            <v>KANATA, ON</v>
          </cell>
          <cell r="E198">
            <v>319184</v>
          </cell>
        </row>
        <row r="199">
          <cell r="B199" t="str">
            <v>468BMB</v>
          </cell>
          <cell r="C199" t="str">
            <v>130 HOWARD STREET</v>
          </cell>
          <cell r="D199" t="str">
            <v>PEMBROKE, ON</v>
          </cell>
          <cell r="E199">
            <v>469374</v>
          </cell>
        </row>
        <row r="200">
          <cell r="B200" t="str">
            <v>469BMB</v>
          </cell>
          <cell r="C200" t="str">
            <v>102-351 WESTMINSTER AVENUE</v>
          </cell>
          <cell r="D200" t="str">
            <v>PENTICTON, BC</v>
          </cell>
          <cell r="E200">
            <v>390987</v>
          </cell>
        </row>
        <row r="201">
          <cell r="B201" t="str">
            <v>472BMB</v>
          </cell>
          <cell r="E201">
            <v>0</v>
          </cell>
        </row>
        <row r="202">
          <cell r="B202" t="str">
            <v>473BMB</v>
          </cell>
          <cell r="E202">
            <v>0</v>
          </cell>
        </row>
        <row r="203">
          <cell r="B203" t="str">
            <v>478BMB</v>
          </cell>
          <cell r="C203" t="str">
            <v>5960 NO. 6 ROAD</v>
          </cell>
          <cell r="D203" t="str">
            <v>RICHMOND, BC</v>
          </cell>
          <cell r="E203">
            <v>959209</v>
          </cell>
        </row>
        <row r="204">
          <cell r="B204" t="str">
            <v>480BMB</v>
          </cell>
          <cell r="C204" t="str">
            <v>209 CARLTON ST.</v>
          </cell>
          <cell r="D204" t="str">
            <v>ST. CATHARINES, ON</v>
          </cell>
          <cell r="E204">
            <v>597095</v>
          </cell>
        </row>
        <row r="205">
          <cell r="B205" t="str">
            <v>484BMB</v>
          </cell>
          <cell r="C205" t="str">
            <v>242 INDIAN RD.S.EASTLAND PLAZA</v>
          </cell>
          <cell r="D205" t="str">
            <v>SARNIA, ON</v>
          </cell>
          <cell r="E205">
            <v>504353</v>
          </cell>
        </row>
        <row r="206">
          <cell r="B206" t="str">
            <v>486BMB</v>
          </cell>
          <cell r="C206" t="str">
            <v>2020 QUEBEC AVENUE</v>
          </cell>
          <cell r="D206" t="str">
            <v>SASKATOON, SK</v>
          </cell>
          <cell r="E206">
            <v>772364</v>
          </cell>
        </row>
        <row r="207">
          <cell r="B207" t="str">
            <v>490BMB</v>
          </cell>
          <cell r="E207">
            <v>0</v>
          </cell>
        </row>
        <row r="208">
          <cell r="B208" t="str">
            <v>491BMB</v>
          </cell>
          <cell r="C208" t="str">
            <v>1955 LASALLE BLVD.</v>
          </cell>
          <cell r="D208" t="str">
            <v>SUDBURY, ON</v>
          </cell>
          <cell r="E208">
            <v>348445</v>
          </cell>
        </row>
        <row r="209">
          <cell r="B209" t="str">
            <v>492BMB</v>
          </cell>
          <cell r="C209" t="str">
            <v>#3-7780 - 135A STREET</v>
          </cell>
          <cell r="D209" t="str">
            <v>SURREY, BC</v>
          </cell>
          <cell r="E209">
            <v>196434</v>
          </cell>
        </row>
        <row r="210">
          <cell r="B210" t="str">
            <v>493BMB</v>
          </cell>
          <cell r="E210">
            <v>0</v>
          </cell>
        </row>
        <row r="211">
          <cell r="B211" t="str">
            <v>494BMB</v>
          </cell>
          <cell r="C211" t="str">
            <v>55 VICTORIA ROAD</v>
          </cell>
          <cell r="D211" t="str">
            <v>SYDNEY, NS</v>
          </cell>
          <cell r="E211">
            <v>354737</v>
          </cell>
        </row>
        <row r="212">
          <cell r="B212" t="str">
            <v>497BMB</v>
          </cell>
          <cell r="C212" t="str">
            <v>100 WATERLOO RD.,HOLLINGER CT.</v>
          </cell>
          <cell r="D212" t="str">
            <v>TIMMINS, ON</v>
          </cell>
          <cell r="E212">
            <v>394438</v>
          </cell>
        </row>
        <row r="213">
          <cell r="B213" t="str">
            <v>498BMB</v>
          </cell>
          <cell r="C213" t="str">
            <v>5678-12TH AVENUE</v>
          </cell>
          <cell r="D213" t="str">
            <v>DELTA, BC</v>
          </cell>
          <cell r="E213">
            <v>109697</v>
          </cell>
        </row>
        <row r="214">
          <cell r="B214" t="str">
            <v>500BMB</v>
          </cell>
          <cell r="C214" t="str">
            <v>1630 SOUTH EAST MARINE DRIVE</v>
          </cell>
          <cell r="D214" t="str">
            <v>VANCOUVER, BC</v>
          </cell>
          <cell r="E214">
            <v>278657</v>
          </cell>
        </row>
        <row r="215">
          <cell r="B215" t="str">
            <v>506BMB</v>
          </cell>
          <cell r="C215" t="str">
            <v>750 HOPKINS STREET</v>
          </cell>
          <cell r="D215" t="str">
            <v>WHITBY, ON</v>
          </cell>
          <cell r="E215">
            <v>440948</v>
          </cell>
        </row>
        <row r="216">
          <cell r="B216" t="str">
            <v>507BMB</v>
          </cell>
          <cell r="E216">
            <v>0</v>
          </cell>
        </row>
        <row r="217">
          <cell r="B217" t="str">
            <v>509BMB</v>
          </cell>
          <cell r="C217" t="str">
            <v>2825 LAUZON PARKWAY</v>
          </cell>
          <cell r="D217" t="str">
            <v>WINDSOR, ON</v>
          </cell>
          <cell r="E217">
            <v>603992</v>
          </cell>
        </row>
        <row r="218">
          <cell r="B218" t="str">
            <v>512BMB</v>
          </cell>
          <cell r="C218" t="str">
            <v>32 SMITH STREET W.</v>
          </cell>
          <cell r="D218" t="str">
            <v>YORKTON, SK</v>
          </cell>
          <cell r="E218">
            <v>430040</v>
          </cell>
        </row>
        <row r="219">
          <cell r="B219" t="str">
            <v>517BMB</v>
          </cell>
          <cell r="C219" t="str">
            <v>#206-21183 88th AVENUE</v>
          </cell>
          <cell r="D219" t="str">
            <v>WALNUT GROVE, BC</v>
          </cell>
          <cell r="E219">
            <v>261835</v>
          </cell>
        </row>
        <row r="220">
          <cell r="B220" t="str">
            <v>518BMB</v>
          </cell>
          <cell r="C220" t="str">
            <v>2015A LONG LAKE ROAD</v>
          </cell>
          <cell r="D220" t="str">
            <v>SUDBURY, ON</v>
          </cell>
          <cell r="E220">
            <v>491972</v>
          </cell>
        </row>
        <row r="221">
          <cell r="B221" t="str">
            <v>527BMB</v>
          </cell>
          <cell r="C221" t="str">
            <v>#24, 1415 HILLSIDE DRIVE</v>
          </cell>
          <cell r="D221" t="str">
            <v>KAMLOOPS, BC</v>
          </cell>
          <cell r="E221">
            <v>87308</v>
          </cell>
        </row>
        <row r="222">
          <cell r="B222" t="str">
            <v>528BMB</v>
          </cell>
          <cell r="E222">
            <v>0</v>
          </cell>
        </row>
        <row r="223">
          <cell r="B223" t="str">
            <v>529BMB</v>
          </cell>
          <cell r="C223" t="str">
            <v>6750 ISLAND HIGHWAY</v>
          </cell>
          <cell r="D223" t="str">
            <v>NANAIMO, BC</v>
          </cell>
          <cell r="E223">
            <v>11706</v>
          </cell>
        </row>
        <row r="224">
          <cell r="B224" t="str">
            <v>530BMB</v>
          </cell>
          <cell r="C224" t="str">
            <v>3823 ALBERT STREET</v>
          </cell>
          <cell r="D224" t="str">
            <v>REGINA, SK</v>
          </cell>
          <cell r="E224">
            <v>81529</v>
          </cell>
        </row>
        <row r="225">
          <cell r="B225" t="str">
            <v>531BMB</v>
          </cell>
          <cell r="C225" t="str">
            <v>307 NASH ROAD NORTH</v>
          </cell>
          <cell r="D225" t="str">
            <v>HAMILTON, ON</v>
          </cell>
          <cell r="E225">
            <v>91212</v>
          </cell>
        </row>
        <row r="226">
          <cell r="B226" t="str">
            <v>AW0004</v>
          </cell>
          <cell r="C226" t="str">
            <v>625 3RD LINE ROAD</v>
          </cell>
          <cell r="D226" t="str">
            <v>OAKVILLE, ON</v>
          </cell>
          <cell r="E226">
            <v>22224</v>
          </cell>
        </row>
        <row r="227">
          <cell r="B227" t="str">
            <v>AW0006</v>
          </cell>
          <cell r="C227" t="str">
            <v>HUDSON BAY CTR,20 BLOOR ST E</v>
          </cell>
          <cell r="D227" t="str">
            <v>TORONTO, ON</v>
          </cell>
          <cell r="E227">
            <v>80700</v>
          </cell>
        </row>
        <row r="228">
          <cell r="B228" t="str">
            <v>AW0007</v>
          </cell>
          <cell r="C228" t="str">
            <v>970 PRINCESS STREET</v>
          </cell>
          <cell r="D228" t="str">
            <v>KINGSTON, ON</v>
          </cell>
          <cell r="E228">
            <v>233954.58</v>
          </cell>
        </row>
        <row r="229">
          <cell r="B229" t="str">
            <v>AW0008</v>
          </cell>
          <cell r="C229" t="str">
            <v>10 LEGEND COURT</v>
          </cell>
          <cell r="D229" t="str">
            <v>ANCASTER, ON</v>
          </cell>
          <cell r="E229">
            <v>98203</v>
          </cell>
        </row>
        <row r="230">
          <cell r="B230" t="str">
            <v>BING01</v>
          </cell>
          <cell r="C230" t="str">
            <v>2355 KEELE STREET</v>
          </cell>
          <cell r="D230" t="str">
            <v>NORTH YORK, ON</v>
          </cell>
          <cell r="E230">
            <v>0</v>
          </cell>
        </row>
        <row r="231">
          <cell r="B231" t="str">
            <v>BING02</v>
          </cell>
          <cell r="C231" t="str">
            <v>825 UPPER CANADA DRIVE</v>
          </cell>
          <cell r="D231" t="str">
            <v>SARNIA, ON</v>
          </cell>
          <cell r="E231">
            <v>165288.84</v>
          </cell>
        </row>
        <row r="232">
          <cell r="B232" t="str">
            <v>BING03</v>
          </cell>
          <cell r="E232">
            <v>0</v>
          </cell>
        </row>
        <row r="233">
          <cell r="B233" t="str">
            <v>BING04</v>
          </cell>
          <cell r="C233" t="str">
            <v>2208 LASALLE RD.</v>
          </cell>
          <cell r="D233" t="str">
            <v>SUDBURY, ON</v>
          </cell>
          <cell r="E233">
            <v>110823.29</v>
          </cell>
        </row>
        <row r="234">
          <cell r="B234" t="str">
            <v>BING05</v>
          </cell>
          <cell r="C234" t="str">
            <v>51 FRONT STEET</v>
          </cell>
          <cell r="D234" t="str">
            <v>STRATHROY, ON</v>
          </cell>
          <cell r="E234">
            <v>53694.31</v>
          </cell>
        </row>
        <row r="235">
          <cell r="B235" t="str">
            <v>BING06</v>
          </cell>
          <cell r="C235" t="str">
            <v>806 CHELSEA STREET</v>
          </cell>
          <cell r="D235" t="str">
            <v>BROCKVILLE, ON</v>
          </cell>
          <cell r="E235">
            <v>88098.53</v>
          </cell>
        </row>
        <row r="236">
          <cell r="B236" t="str">
            <v>BING07</v>
          </cell>
          <cell r="E236">
            <v>0</v>
          </cell>
        </row>
        <row r="237">
          <cell r="B237" t="str">
            <v>BING09</v>
          </cell>
          <cell r="E237">
            <v>0</v>
          </cell>
        </row>
        <row r="238">
          <cell r="B238" t="str">
            <v>BING10</v>
          </cell>
          <cell r="E238">
            <v>0</v>
          </cell>
        </row>
        <row r="239">
          <cell r="B239" t="str">
            <v>BING11</v>
          </cell>
          <cell r="C239" t="str">
            <v>190 HWY 7 WEST</v>
          </cell>
          <cell r="D239" t="str">
            <v>BRAMPTON, ON</v>
          </cell>
          <cell r="E239">
            <v>153095.82999999999</v>
          </cell>
        </row>
        <row r="240">
          <cell r="B240" t="str">
            <v>BING12</v>
          </cell>
          <cell r="C240" t="str">
            <v>2424 FINCH AVE. WEST</v>
          </cell>
          <cell r="D240" t="str">
            <v>NORTH YORK, ON</v>
          </cell>
          <cell r="E240">
            <v>200118.94</v>
          </cell>
        </row>
        <row r="241">
          <cell r="B241" t="str">
            <v>BING13</v>
          </cell>
          <cell r="C241" t="str">
            <v>2375 STEELES AVE., WEST</v>
          </cell>
          <cell r="D241" t="str">
            <v>NORTH YORK, ON</v>
          </cell>
          <cell r="E241">
            <v>104257.67</v>
          </cell>
        </row>
        <row r="242">
          <cell r="B242" t="str">
            <v>BING14</v>
          </cell>
          <cell r="E242">
            <v>0</v>
          </cell>
        </row>
        <row r="243">
          <cell r="B243" t="str">
            <v>BING15</v>
          </cell>
          <cell r="C243" t="str">
            <v>4465 DRUMMOND ROAD</v>
          </cell>
          <cell r="D243" t="str">
            <v>NIAGARA FALLS, ON</v>
          </cell>
          <cell r="E243">
            <v>27751</v>
          </cell>
        </row>
        <row r="244">
          <cell r="B244" t="str">
            <v>BING16</v>
          </cell>
          <cell r="C244" t="str">
            <v>1371 PEMBROKE ST., W.</v>
          </cell>
          <cell r="D244" t="str">
            <v>PEMBROKE, ON</v>
          </cell>
          <cell r="E244">
            <v>88809.62</v>
          </cell>
        </row>
        <row r="245">
          <cell r="B245" t="str">
            <v>BING17</v>
          </cell>
          <cell r="C245" t="str">
            <v>132 RICHMOND ST.</v>
          </cell>
          <cell r="D245" t="str">
            <v>CHATHAM, ON</v>
          </cell>
          <cell r="E245">
            <v>78538.63</v>
          </cell>
        </row>
        <row r="246">
          <cell r="B246" t="str">
            <v>BING18</v>
          </cell>
          <cell r="C246" t="str">
            <v>1356 WEBER STREET EAST</v>
          </cell>
          <cell r="D246" t="str">
            <v>KITCHENER, ON</v>
          </cell>
          <cell r="E246">
            <v>66313.490000000005</v>
          </cell>
        </row>
        <row r="247">
          <cell r="B247" t="str">
            <v>BING19</v>
          </cell>
          <cell r="E247">
            <v>0</v>
          </cell>
        </row>
        <row r="248">
          <cell r="B248" t="str">
            <v>BING20</v>
          </cell>
          <cell r="C248" t="str">
            <v>884 DIVISION ST.</v>
          </cell>
          <cell r="D248" t="str">
            <v>COBOURG, ON</v>
          </cell>
          <cell r="E248">
            <v>74737.759999999995</v>
          </cell>
        </row>
        <row r="249">
          <cell r="B249" t="str">
            <v>BING21</v>
          </cell>
          <cell r="C249" t="str">
            <v>610 MONARCH AVE.</v>
          </cell>
          <cell r="D249" t="str">
            <v>AJAX, ON</v>
          </cell>
          <cell r="E249">
            <v>106905.2</v>
          </cell>
        </row>
        <row r="250">
          <cell r="B250" t="str">
            <v>BING22</v>
          </cell>
          <cell r="C250" t="str">
            <v>140 EDWARD ST,</v>
          </cell>
          <cell r="D250" t="str">
            <v>ST. THOMAS, ON</v>
          </cell>
          <cell r="E250">
            <v>163085.73000000001</v>
          </cell>
        </row>
        <row r="251">
          <cell r="B251" t="str">
            <v>BING23</v>
          </cell>
          <cell r="C251" t="str">
            <v>299 HARRY WALKER PARKWAY</v>
          </cell>
          <cell r="D251" t="str">
            <v>NEWMARKET, ON</v>
          </cell>
          <cell r="E251">
            <v>90718.69</v>
          </cell>
        </row>
        <row r="252">
          <cell r="B252" t="str">
            <v>BING24</v>
          </cell>
          <cell r="C252" t="str">
            <v>285 TAUNTON RD., EAST</v>
          </cell>
          <cell r="D252" t="str">
            <v>OSHAWA, ON</v>
          </cell>
          <cell r="E252">
            <v>87240.58</v>
          </cell>
        </row>
        <row r="253">
          <cell r="B253" t="str">
            <v>BING25</v>
          </cell>
          <cell r="E253">
            <v>0</v>
          </cell>
        </row>
        <row r="254">
          <cell r="B254" t="str">
            <v>BING26</v>
          </cell>
          <cell r="C254" t="str">
            <v>1106 DEARNESS DR.</v>
          </cell>
          <cell r="D254" t="str">
            <v>LONDON, ON</v>
          </cell>
          <cell r="E254">
            <v>32134.13</v>
          </cell>
        </row>
        <row r="255">
          <cell r="B255" t="str">
            <v>BING27</v>
          </cell>
          <cell r="C255" t="str">
            <v>380 LYLE ST.</v>
          </cell>
          <cell r="D255" t="str">
            <v>LONDON, ON</v>
          </cell>
          <cell r="E255">
            <v>30582.41</v>
          </cell>
        </row>
        <row r="256">
          <cell r="B256" t="str">
            <v>BING28</v>
          </cell>
          <cell r="C256" t="str">
            <v>1851 SEYMOUR ST.</v>
          </cell>
          <cell r="D256" t="str">
            <v>NORTH BAY, ON</v>
          </cell>
          <cell r="E256">
            <v>89342.29</v>
          </cell>
        </row>
        <row r="257">
          <cell r="B257" t="str">
            <v>BING29</v>
          </cell>
          <cell r="C257" t="str">
            <v>8750 HIGHWAY #25 NORTH, RR#3</v>
          </cell>
          <cell r="D257" t="str">
            <v>MILTON, ON</v>
          </cell>
          <cell r="E257">
            <v>38794.71</v>
          </cell>
        </row>
        <row r="258">
          <cell r="B258" t="str">
            <v>BING30</v>
          </cell>
          <cell r="C258" t="str">
            <v>20 GLASTONBURY AVE.</v>
          </cell>
          <cell r="D258" t="str">
            <v>STRATFORD, ON</v>
          </cell>
          <cell r="E258">
            <v>31732.45</v>
          </cell>
        </row>
        <row r="259">
          <cell r="B259" t="str">
            <v>BING31</v>
          </cell>
          <cell r="C259" t="str">
            <v>440 JAMES ST. P.O.BOX 20045</v>
          </cell>
          <cell r="D259" t="str">
            <v>WALLACEBURG, ON</v>
          </cell>
          <cell r="E259">
            <v>3478</v>
          </cell>
        </row>
        <row r="260">
          <cell r="B260" t="str">
            <v>BING33</v>
          </cell>
          <cell r="C260" t="str">
            <v>14 TRENT AVE</v>
          </cell>
          <cell r="D260" t="str">
            <v>TORONTO, ON</v>
          </cell>
          <cell r="E260">
            <v>28741</v>
          </cell>
        </row>
        <row r="261">
          <cell r="B261" t="str">
            <v>BING34</v>
          </cell>
          <cell r="C261" t="str">
            <v>7155 KINGSWAY #302</v>
          </cell>
          <cell r="D261" t="str">
            <v>BURNABY, BC</v>
          </cell>
          <cell r="E261">
            <v>57599.87</v>
          </cell>
        </row>
        <row r="262">
          <cell r="B262" t="str">
            <v>BING35</v>
          </cell>
          <cell r="C262" t="str">
            <v>7093 KING GEORGE VI HWY</v>
          </cell>
          <cell r="D262" t="str">
            <v>SURREY, BC</v>
          </cell>
          <cell r="E262">
            <v>146590.54999999999</v>
          </cell>
        </row>
        <row r="263">
          <cell r="B263" t="str">
            <v>BUC001</v>
          </cell>
          <cell r="C263" t="str">
            <v>90 WOODBINE DOWN BLVD</v>
          </cell>
          <cell r="D263" t="str">
            <v>ETOBICOKE, ON</v>
          </cell>
          <cell r="E263">
            <v>0</v>
          </cell>
        </row>
        <row r="264">
          <cell r="B264" t="str">
            <v>BUC002</v>
          </cell>
          <cell r="C264" t="str">
            <v>4000 CHESSWOOD DR</v>
          </cell>
          <cell r="D264" t="str">
            <v>DOWNSVIEW, ON</v>
          </cell>
          <cell r="E264">
            <v>0</v>
          </cell>
        </row>
        <row r="265">
          <cell r="B265" t="str">
            <v>BUCK01</v>
          </cell>
          <cell r="C265" t="str">
            <v>140 ST. ANDREWS ST.</v>
          </cell>
          <cell r="D265" t="str">
            <v>CAMBRIDGE, ON</v>
          </cell>
          <cell r="E265">
            <v>63162</v>
          </cell>
        </row>
        <row r="266">
          <cell r="B266" t="str">
            <v>CRV001</v>
          </cell>
          <cell r="E266">
            <v>0</v>
          </cell>
        </row>
        <row r="267">
          <cell r="B267" t="str">
            <v>CTC012</v>
          </cell>
          <cell r="C267" t="str">
            <v>1125 WELLINGTON ROAD SOUTH</v>
          </cell>
          <cell r="D267" t="str">
            <v>LONDON, ON</v>
          </cell>
          <cell r="E267">
            <v>6459</v>
          </cell>
        </row>
        <row r="268">
          <cell r="B268" t="str">
            <v>ESS001</v>
          </cell>
          <cell r="C268" t="str">
            <v>540 EVANS AVENUE</v>
          </cell>
          <cell r="D268" t="str">
            <v>ETOBICOKE, ON</v>
          </cell>
          <cell r="E268">
            <v>726</v>
          </cell>
        </row>
        <row r="269">
          <cell r="B269" t="str">
            <v>ESS002</v>
          </cell>
          <cell r="C269" t="str">
            <v>4000 CHESSWOOD DR</v>
          </cell>
          <cell r="D269" t="str">
            <v>DOWNSVIEW, ON</v>
          </cell>
          <cell r="E269">
            <v>109371</v>
          </cell>
        </row>
        <row r="270">
          <cell r="B270" t="str">
            <v>ESS003</v>
          </cell>
          <cell r="C270" t="str">
            <v>6951-6953 STEELES AVENUE W</v>
          </cell>
          <cell r="D270" t="str">
            <v>ETOBICOKE, ON</v>
          </cell>
          <cell r="E270">
            <v>329605</v>
          </cell>
        </row>
        <row r="271">
          <cell r="B271" t="str">
            <v>ESS004</v>
          </cell>
          <cell r="C271" t="str">
            <v>436 KIPLING AVENUE</v>
          </cell>
          <cell r="D271" t="str">
            <v>ETOBICOKE, ON</v>
          </cell>
          <cell r="E271">
            <v>74923</v>
          </cell>
        </row>
        <row r="272">
          <cell r="B272" t="str">
            <v>ESS005</v>
          </cell>
          <cell r="E272">
            <v>0</v>
          </cell>
        </row>
        <row r="273">
          <cell r="B273" t="str">
            <v>ESS007</v>
          </cell>
          <cell r="E273">
            <v>0</v>
          </cell>
        </row>
        <row r="274">
          <cell r="B274" t="str">
            <v>ESS008</v>
          </cell>
          <cell r="E274">
            <v>0</v>
          </cell>
        </row>
        <row r="275">
          <cell r="B275" t="str">
            <v>GAL003</v>
          </cell>
          <cell r="C275" t="str">
            <v>293 BAY STREET</v>
          </cell>
          <cell r="D275" t="str">
            <v>SAULT STE. MARIE, ON</v>
          </cell>
          <cell r="E275">
            <v>13995.16</v>
          </cell>
        </row>
        <row r="276">
          <cell r="B276" t="str">
            <v>GAL004</v>
          </cell>
          <cell r="C276" t="str">
            <v xml:space="preserve">300 LAKESHORE DRIVE </v>
          </cell>
          <cell r="D276" t="str">
            <v>NORTH BAY, ON</v>
          </cell>
          <cell r="E276">
            <v>6419.92</v>
          </cell>
        </row>
        <row r="277">
          <cell r="B277" t="str">
            <v>GAL005</v>
          </cell>
          <cell r="C277" t="str">
            <v xml:space="preserve">85 FITH AVENUE </v>
          </cell>
          <cell r="D277" t="str">
            <v>ORANGEVILLE, ON</v>
          </cell>
          <cell r="E277">
            <v>4111.04</v>
          </cell>
        </row>
        <row r="278">
          <cell r="B278" t="str">
            <v>GAL006</v>
          </cell>
          <cell r="C278" t="str">
            <v>1020 10TH STREET WEST</v>
          </cell>
          <cell r="D278" t="str">
            <v>OWEN SOUND, ON</v>
          </cell>
          <cell r="E278">
            <v>4646.58</v>
          </cell>
        </row>
        <row r="279">
          <cell r="B279" t="str">
            <v>GAL007</v>
          </cell>
          <cell r="C279" t="str">
            <v>1325 SECOND ST EAST</v>
          </cell>
          <cell r="D279" t="str">
            <v>CORNWALL,ON</v>
          </cell>
          <cell r="E279">
            <v>3727.97</v>
          </cell>
        </row>
        <row r="280">
          <cell r="B280" t="str">
            <v>GAL008</v>
          </cell>
          <cell r="C280" t="str">
            <v xml:space="preserve">355 HESPELER ROAD </v>
          </cell>
          <cell r="D280" t="str">
            <v>CAMBRIDGE,ON</v>
          </cell>
          <cell r="E280">
            <v>5186.0600000000004</v>
          </cell>
        </row>
        <row r="281">
          <cell r="B281" t="str">
            <v>GAL009</v>
          </cell>
          <cell r="C281" t="str">
            <v>HWY#93, RR#2, BOX 2</v>
          </cell>
          <cell r="D281" t="str">
            <v>MIDLAND, ON</v>
          </cell>
          <cell r="E281">
            <v>4261.1000000000004</v>
          </cell>
        </row>
        <row r="282">
          <cell r="B282" t="str">
            <v>GAL010</v>
          </cell>
          <cell r="C282" t="str">
            <v>213-4750 RUTHERFORD RD</v>
          </cell>
          <cell r="D282" t="str">
            <v>NANAIMO,B.C.</v>
          </cell>
          <cell r="E282">
            <v>5033.5200000000004</v>
          </cell>
        </row>
        <row r="283">
          <cell r="B283" t="str">
            <v>GAL011</v>
          </cell>
          <cell r="C283" t="str">
            <v xml:space="preserve">2020 SHERWOOD DRIVE </v>
          </cell>
          <cell r="D283" t="str">
            <v xml:space="preserve">SHERWOOD PARK, AB </v>
          </cell>
          <cell r="E283">
            <v>2773.94</v>
          </cell>
        </row>
        <row r="284">
          <cell r="B284" t="str">
            <v>GAL012</v>
          </cell>
          <cell r="C284" t="str">
            <v xml:space="preserve">1235 MAIN STREET N. </v>
          </cell>
          <cell r="D284" t="str">
            <v>MOOSE JAW, SK</v>
          </cell>
          <cell r="E284">
            <v>1221.82</v>
          </cell>
        </row>
        <row r="285">
          <cell r="B285" t="str">
            <v>GAL013</v>
          </cell>
          <cell r="C285" t="str">
            <v>1C-2995 SECOND AVE. W</v>
          </cell>
          <cell r="D285" t="str">
            <v>PRINCE ALBERT, SK</v>
          </cell>
          <cell r="E285">
            <v>2443.9899999999998</v>
          </cell>
        </row>
        <row r="286">
          <cell r="B286" t="str">
            <v>GAL014</v>
          </cell>
          <cell r="C286" t="str">
            <v>UNIT 25-420 MCCARTHY BLVD. N</v>
          </cell>
          <cell r="D286" t="str">
            <v>REGINA, SK.</v>
          </cell>
          <cell r="E286">
            <v>7162.69</v>
          </cell>
        </row>
        <row r="287">
          <cell r="B287" t="str">
            <v>GAL015</v>
          </cell>
          <cell r="C287" t="str">
            <v>417 WELLINGTON STREET</v>
          </cell>
          <cell r="D287" t="str">
            <v>ST THOMAS, ON</v>
          </cell>
          <cell r="E287">
            <v>1464.68</v>
          </cell>
        </row>
        <row r="288">
          <cell r="B288" t="str">
            <v>GAL016</v>
          </cell>
          <cell r="C288" t="str">
            <v>485 WOODLAWN ROAD WEST</v>
          </cell>
          <cell r="D288" t="str">
            <v>GUELPH, ON</v>
          </cell>
          <cell r="E288">
            <v>4309.16</v>
          </cell>
        </row>
        <row r="289">
          <cell r="B289" t="str">
            <v>GLO001</v>
          </cell>
          <cell r="C289" t="str">
            <v>20 WYNFORD DRIVE</v>
          </cell>
          <cell r="D289" t="str">
            <v>TORONTO, ON</v>
          </cell>
          <cell r="E289">
            <v>0</v>
          </cell>
        </row>
        <row r="290">
          <cell r="B290" t="str">
            <v>GLO002</v>
          </cell>
          <cell r="E290">
            <v>0</v>
          </cell>
        </row>
        <row r="291">
          <cell r="B291" t="str">
            <v>GLO003</v>
          </cell>
          <cell r="E291">
            <v>0</v>
          </cell>
        </row>
        <row r="292">
          <cell r="B292" t="str">
            <v>IND002</v>
          </cell>
          <cell r="E292">
            <v>0</v>
          </cell>
        </row>
        <row r="293">
          <cell r="B293" t="str">
            <v>IND005</v>
          </cell>
          <cell r="C293" t="str">
            <v>C/O 65 FRONT ST.W.</v>
          </cell>
          <cell r="D293" t="str">
            <v>TORONTO, ON</v>
          </cell>
          <cell r="E293">
            <v>259313</v>
          </cell>
        </row>
        <row r="294">
          <cell r="B294" t="str">
            <v>IND006</v>
          </cell>
          <cell r="C294" t="str">
            <v>8 WILLIAM KITCHEN ROAD</v>
          </cell>
          <cell r="D294" t="str">
            <v>SCARBOROUGH, ON</v>
          </cell>
          <cell r="E294">
            <v>58462</v>
          </cell>
        </row>
        <row r="295">
          <cell r="B295" t="str">
            <v>IND007</v>
          </cell>
          <cell r="E295">
            <v>0</v>
          </cell>
        </row>
        <row r="296">
          <cell r="B296" t="str">
            <v>IND008</v>
          </cell>
          <cell r="E296">
            <v>0</v>
          </cell>
        </row>
        <row r="297">
          <cell r="B297" t="str">
            <v>IND009</v>
          </cell>
          <cell r="C297" t="str">
            <v>15 FRONT STREET</v>
          </cell>
          <cell r="D297" t="str">
            <v>MACTIER, ON</v>
          </cell>
          <cell r="E297">
            <v>239527</v>
          </cell>
        </row>
        <row r="298">
          <cell r="B298" t="str">
            <v>IND011</v>
          </cell>
          <cell r="E298">
            <v>0</v>
          </cell>
        </row>
        <row r="299">
          <cell r="B299" t="str">
            <v>IND012</v>
          </cell>
          <cell r="E299">
            <v>0</v>
          </cell>
        </row>
        <row r="300">
          <cell r="B300" t="str">
            <v>IND013</v>
          </cell>
          <cell r="E300">
            <v>0</v>
          </cell>
        </row>
        <row r="301">
          <cell r="B301" t="str">
            <v>IND014</v>
          </cell>
          <cell r="E301">
            <v>0</v>
          </cell>
        </row>
        <row r="302">
          <cell r="B302" t="str">
            <v>IND015</v>
          </cell>
          <cell r="E302">
            <v>0</v>
          </cell>
        </row>
        <row r="303">
          <cell r="B303" t="str">
            <v>IND016</v>
          </cell>
          <cell r="E303">
            <v>0</v>
          </cell>
        </row>
        <row r="304">
          <cell r="B304" t="str">
            <v>IND017</v>
          </cell>
          <cell r="E304">
            <v>0</v>
          </cell>
        </row>
        <row r="305">
          <cell r="B305" t="str">
            <v>IND018</v>
          </cell>
          <cell r="E305">
            <v>0</v>
          </cell>
        </row>
        <row r="306">
          <cell r="B306" t="str">
            <v>IND020</v>
          </cell>
          <cell r="E306">
            <v>0</v>
          </cell>
        </row>
        <row r="307">
          <cell r="B307" t="str">
            <v>IND021</v>
          </cell>
          <cell r="E307">
            <v>0</v>
          </cell>
        </row>
        <row r="308">
          <cell r="B308" t="str">
            <v>IND022</v>
          </cell>
          <cell r="E308">
            <v>0</v>
          </cell>
        </row>
        <row r="309">
          <cell r="B309" t="str">
            <v>IND023</v>
          </cell>
          <cell r="E309">
            <v>0</v>
          </cell>
        </row>
        <row r="310">
          <cell r="B310" t="str">
            <v>IND024</v>
          </cell>
          <cell r="E310">
            <v>0</v>
          </cell>
        </row>
        <row r="311">
          <cell r="B311" t="str">
            <v>IND025</v>
          </cell>
          <cell r="E311">
            <v>0</v>
          </cell>
        </row>
        <row r="312">
          <cell r="B312" t="str">
            <v>IND027</v>
          </cell>
          <cell r="C312" t="str">
            <v>4726 BANK STREET</v>
          </cell>
          <cell r="D312" t="str">
            <v>GLOUCESTER, ON</v>
          </cell>
          <cell r="E312">
            <v>209586</v>
          </cell>
        </row>
        <row r="313">
          <cell r="B313" t="str">
            <v>IND028</v>
          </cell>
          <cell r="C313" t="str">
            <v>C/O 4726 BANK STREET</v>
          </cell>
          <cell r="D313" t="str">
            <v>GLOUCESTER, ON</v>
          </cell>
          <cell r="E313">
            <v>616722</v>
          </cell>
        </row>
        <row r="314">
          <cell r="B314" t="str">
            <v>IND031</v>
          </cell>
          <cell r="C314" t="str">
            <v>5 MAIN ST. E.</v>
          </cell>
          <cell r="D314" t="str">
            <v>MILTON, ON</v>
          </cell>
          <cell r="E314">
            <v>50766</v>
          </cell>
        </row>
        <row r="315">
          <cell r="B315" t="str">
            <v>IND036</v>
          </cell>
          <cell r="C315" t="str">
            <v>211 KING ST.</v>
          </cell>
          <cell r="D315" t="str">
            <v>ELDEE, ON</v>
          </cell>
          <cell r="E315">
            <v>183596.2</v>
          </cell>
        </row>
        <row r="316">
          <cell r="B316" t="str">
            <v>IND038</v>
          </cell>
          <cell r="C316" t="str">
            <v>17551 WOODBINE AVE</v>
          </cell>
          <cell r="D316" t="str">
            <v>NEWMARKET, ON</v>
          </cell>
          <cell r="E316">
            <v>418042</v>
          </cell>
        </row>
        <row r="317">
          <cell r="B317" t="str">
            <v>IND041</v>
          </cell>
          <cell r="C317" t="str">
            <v>740 DUFFERIN ST.</v>
          </cell>
          <cell r="D317" t="str">
            <v>TORONTO, ON</v>
          </cell>
          <cell r="E317">
            <v>207628</v>
          </cell>
        </row>
        <row r="318">
          <cell r="B318" t="str">
            <v>IND044</v>
          </cell>
          <cell r="C318" t="str">
            <v>28020 FRASER HIGHWAY</v>
          </cell>
          <cell r="D318" t="str">
            <v>ABBOTSFORD, BC</v>
          </cell>
          <cell r="E318">
            <v>0</v>
          </cell>
        </row>
        <row r="319">
          <cell r="B319" t="str">
            <v>IND045</v>
          </cell>
          <cell r="C319" t="str">
            <v>2692 HWY.#12, P.O.BOX 66</v>
          </cell>
          <cell r="D319" t="str">
            <v>BRECHIN, ON</v>
          </cell>
          <cell r="E319">
            <v>356214</v>
          </cell>
        </row>
        <row r="320">
          <cell r="B320" t="str">
            <v>IND046</v>
          </cell>
          <cell r="C320" t="str">
            <v>229 RORKE AVE.</v>
          </cell>
          <cell r="D320" t="str">
            <v>HAILEYBURY, ON</v>
          </cell>
          <cell r="E320">
            <v>459461</v>
          </cell>
        </row>
        <row r="321">
          <cell r="B321" t="str">
            <v>IND048</v>
          </cell>
          <cell r="C321" t="str">
            <v>7060 - HIGHWAY 27</v>
          </cell>
          <cell r="D321" t="str">
            <v>THORNTON, ON</v>
          </cell>
          <cell r="E321">
            <v>449231</v>
          </cell>
        </row>
        <row r="322">
          <cell r="B322" t="str">
            <v>IND051</v>
          </cell>
          <cell r="C322" t="str">
            <v>701 KROSNOS BLVD.</v>
          </cell>
          <cell r="D322" t="str">
            <v>PICKERING, ON</v>
          </cell>
          <cell r="E322">
            <v>36903</v>
          </cell>
        </row>
        <row r="323">
          <cell r="B323" t="str">
            <v>IND052</v>
          </cell>
          <cell r="C323" t="str">
            <v>22766 WOODBINE AVENUE</v>
          </cell>
          <cell r="D323" t="str">
            <v>KESWICK, ON</v>
          </cell>
          <cell r="E323">
            <v>347269</v>
          </cell>
        </row>
        <row r="324">
          <cell r="B324" t="str">
            <v>IND053</v>
          </cell>
          <cell r="C324" t="str">
            <v>1515 KING RD. UNIT 1</v>
          </cell>
          <cell r="D324" t="str">
            <v>KING CITY, ON</v>
          </cell>
          <cell r="E324">
            <v>79833</v>
          </cell>
        </row>
        <row r="325">
          <cell r="B325" t="str">
            <v>IND056</v>
          </cell>
          <cell r="C325" t="str">
            <v>2141 CARP ROAD</v>
          </cell>
          <cell r="D325" t="str">
            <v>CARP, ON</v>
          </cell>
          <cell r="E325">
            <v>32364</v>
          </cell>
        </row>
        <row r="326">
          <cell r="B326" t="str">
            <v>IND060</v>
          </cell>
          <cell r="C326" t="str">
            <v>914 UPPER JAMES STREET</v>
          </cell>
          <cell r="D326" t="str">
            <v>HAMILTON, ON</v>
          </cell>
          <cell r="E326">
            <v>66421</v>
          </cell>
        </row>
        <row r="327">
          <cell r="B327" t="str">
            <v>IND061</v>
          </cell>
          <cell r="C327" t="str">
            <v>277 HESPELER ROAD</v>
          </cell>
          <cell r="D327" t="str">
            <v>CAMBRIDGE, ON</v>
          </cell>
          <cell r="E327">
            <v>32899</v>
          </cell>
        </row>
        <row r="328">
          <cell r="B328" t="str">
            <v>IND062</v>
          </cell>
          <cell r="C328" t="str">
            <v xml:space="preserve">HWY #11B, P.O. BOX 638 </v>
          </cell>
          <cell r="D328" t="str">
            <v>NEW LISKEARD, ON</v>
          </cell>
          <cell r="E328">
            <v>196488</v>
          </cell>
        </row>
        <row r="329">
          <cell r="B329" t="str">
            <v>IND064</v>
          </cell>
          <cell r="C329" t="str">
            <v>CONESTOGA MALL</v>
          </cell>
          <cell r="D329" t="str">
            <v>WATERLOO, ON</v>
          </cell>
          <cell r="E329">
            <v>23889.31</v>
          </cell>
        </row>
        <row r="330">
          <cell r="B330" t="str">
            <v>IND066</v>
          </cell>
          <cell r="C330" t="str">
            <v>151 KING GEORGE ROAD</v>
          </cell>
          <cell r="D330" t="str">
            <v>BRANTFORD, ON</v>
          </cell>
          <cell r="E330">
            <v>37208</v>
          </cell>
        </row>
        <row r="331">
          <cell r="B331" t="str">
            <v>IND067</v>
          </cell>
          <cell r="C331" t="str">
            <v>500 EAGLESON ROAD</v>
          </cell>
          <cell r="D331" t="str">
            <v>KANATA, ON</v>
          </cell>
          <cell r="E331">
            <v>26379</v>
          </cell>
        </row>
        <row r="332">
          <cell r="B332" t="str">
            <v>IND068</v>
          </cell>
          <cell r="C332" t="str">
            <v>1401 MATHESON BLVD.</v>
          </cell>
          <cell r="D332" t="str">
            <v>MISSISSAUGA, ON</v>
          </cell>
          <cell r="E332">
            <v>11487</v>
          </cell>
        </row>
        <row r="333">
          <cell r="B333" t="str">
            <v>IND069</v>
          </cell>
          <cell r="C333" t="str">
            <v>653 PARKHILL ROAD WEST</v>
          </cell>
          <cell r="D333" t="str">
            <v>PETERBOROUGH, ON</v>
          </cell>
          <cell r="E333">
            <v>52098</v>
          </cell>
        </row>
        <row r="334">
          <cell r="B334" t="str">
            <v>IND070</v>
          </cell>
          <cell r="C334" t="str">
            <v>5020 HIGHWAY 7 WEST</v>
          </cell>
          <cell r="D334" t="str">
            <v>WOODBRIDGE, ON</v>
          </cell>
          <cell r="E334">
            <v>6416</v>
          </cell>
        </row>
        <row r="335">
          <cell r="B335" t="str">
            <v>IND071</v>
          </cell>
          <cell r="C335" t="str">
            <v>1000 NEW WESTMINISTER DRIVE</v>
          </cell>
          <cell r="D335" t="str">
            <v>THORNHILL, ON</v>
          </cell>
          <cell r="E335">
            <v>10112</v>
          </cell>
        </row>
        <row r="336">
          <cell r="B336" t="str">
            <v>IND072</v>
          </cell>
          <cell r="C336" t="str">
            <v>8141 MARTINGROVE ROAD</v>
          </cell>
          <cell r="D336" t="str">
            <v>WOODBRIDGE, ON</v>
          </cell>
          <cell r="E336">
            <v>5904</v>
          </cell>
        </row>
        <row r="337">
          <cell r="B337" t="str">
            <v>IND073</v>
          </cell>
          <cell r="C337" t="str">
            <v>9201 ISLINGTON AVENUE</v>
          </cell>
          <cell r="D337" t="str">
            <v>WOODBRIDGE, ON</v>
          </cell>
          <cell r="E337">
            <v>29104</v>
          </cell>
        </row>
        <row r="338">
          <cell r="B338" t="str">
            <v>IND074</v>
          </cell>
          <cell r="C338" t="str">
            <v>501 CLARK AVENUE</v>
          </cell>
          <cell r="D338" t="str">
            <v>THORNHILL, ON</v>
          </cell>
          <cell r="E338">
            <v>19117</v>
          </cell>
        </row>
        <row r="339">
          <cell r="B339" t="str">
            <v>IND075</v>
          </cell>
          <cell r="C339" t="str">
            <v>320 WATER ST.</v>
          </cell>
          <cell r="D339" t="str">
            <v>PETERBOROUGH, ON</v>
          </cell>
          <cell r="E339">
            <v>34825.910000000003</v>
          </cell>
        </row>
        <row r="340">
          <cell r="B340" t="str">
            <v>IND076</v>
          </cell>
          <cell r="C340" t="str">
            <v>2317 ST. CLAIR AVE. WEST</v>
          </cell>
          <cell r="D340" t="str">
            <v>TORONTO, ON</v>
          </cell>
          <cell r="E340">
            <v>64366</v>
          </cell>
        </row>
        <row r="341">
          <cell r="B341" t="str">
            <v>IND077</v>
          </cell>
          <cell r="C341" t="str">
            <v xml:space="preserve">18 PETER STREET(C/O HOPE'S </v>
          </cell>
          <cell r="D341" t="str">
            <v>FOODLAND) NOVAR, ON</v>
          </cell>
          <cell r="E341">
            <v>130705.94</v>
          </cell>
        </row>
        <row r="342">
          <cell r="B342" t="str">
            <v>IND078</v>
          </cell>
          <cell r="C342" t="str">
            <v>375 GUELPH STREET</v>
          </cell>
          <cell r="D342" t="str">
            <v>GEORGETOWN, ON</v>
          </cell>
          <cell r="E342">
            <v>8893</v>
          </cell>
        </row>
        <row r="343">
          <cell r="B343" t="str">
            <v>IND084</v>
          </cell>
          <cell r="E343">
            <v>0</v>
          </cell>
        </row>
        <row r="344">
          <cell r="B344" t="str">
            <v>IND086</v>
          </cell>
          <cell r="E344">
            <v>0</v>
          </cell>
        </row>
        <row r="345">
          <cell r="B345" t="str">
            <v>IND087</v>
          </cell>
          <cell r="E345">
            <v>0</v>
          </cell>
        </row>
        <row r="346">
          <cell r="B346" t="str">
            <v>LAN001</v>
          </cell>
          <cell r="C346" t="str">
            <v>2832 HWY #60</v>
          </cell>
          <cell r="D346" t="str">
            <v>DWIGHT, ON</v>
          </cell>
          <cell r="E346">
            <v>346135</v>
          </cell>
        </row>
        <row r="347">
          <cell r="B347" t="str">
            <v>MEN001</v>
          </cell>
          <cell r="C347" t="str">
            <v>1001 FRANKLIN BLVD</v>
          </cell>
          <cell r="D347" t="str">
            <v>CAMBRIDGE, ON</v>
          </cell>
          <cell r="E347">
            <v>1962</v>
          </cell>
        </row>
        <row r="348">
          <cell r="B348" t="str">
            <v>MEN002</v>
          </cell>
          <cell r="C348" t="str">
            <v>3400 GRAND MORAIS ROAD EAST</v>
          </cell>
          <cell r="D348" t="str">
            <v>WINDSOR, ON</v>
          </cell>
          <cell r="E348">
            <v>5153</v>
          </cell>
        </row>
        <row r="349">
          <cell r="B349" t="str">
            <v>MEN003</v>
          </cell>
          <cell r="C349" t="str">
            <v>99 BROOKSIDE STREET</v>
          </cell>
          <cell r="D349" t="str">
            <v>LONDON, ONTARIO</v>
          </cell>
          <cell r="E349">
            <v>0</v>
          </cell>
        </row>
        <row r="350">
          <cell r="B350" t="str">
            <v>MRV006</v>
          </cell>
          <cell r="C350" t="str">
            <v>2467 EGLINTON AVENUE EAST</v>
          </cell>
          <cell r="D350" t="str">
            <v>SCARBOROUGH, ON</v>
          </cell>
          <cell r="E350">
            <v>6793</v>
          </cell>
        </row>
        <row r="351">
          <cell r="B351" t="str">
            <v>MRV007</v>
          </cell>
          <cell r="C351" t="str">
            <v>2231 LAWRENCE AVENUE EAST</v>
          </cell>
          <cell r="D351" t="str">
            <v>SCARBOROUGH, ON</v>
          </cell>
          <cell r="E351">
            <v>10751</v>
          </cell>
        </row>
        <row r="352">
          <cell r="B352" t="str">
            <v>MRV008</v>
          </cell>
          <cell r="C352" t="str">
            <v>4285 LAWRENCE AVENUE EAST</v>
          </cell>
          <cell r="D352" t="str">
            <v>SCARBOROUGH, ON</v>
          </cell>
          <cell r="E352">
            <v>22614</v>
          </cell>
        </row>
        <row r="353">
          <cell r="B353" t="str">
            <v>MRV009</v>
          </cell>
          <cell r="C353" t="str">
            <v>3600 KINGSTON ROAD</v>
          </cell>
          <cell r="D353" t="str">
            <v>SCARBOROUGH, ON</v>
          </cell>
          <cell r="E353">
            <v>10522</v>
          </cell>
        </row>
        <row r="354">
          <cell r="B354" t="str">
            <v>MRV010</v>
          </cell>
          <cell r="C354" t="str">
            <v>1967 ELLESMERE ROAD</v>
          </cell>
          <cell r="D354" t="str">
            <v>SCARBOROUGH, ON</v>
          </cell>
          <cell r="E354">
            <v>19324</v>
          </cell>
        </row>
        <row r="355">
          <cell r="B355" t="str">
            <v>MRV011</v>
          </cell>
          <cell r="C355" t="str">
            <v>30 SEWELLS ROAD</v>
          </cell>
          <cell r="D355" t="str">
            <v>SCARBOROUGH, ON</v>
          </cell>
          <cell r="E355">
            <v>24621</v>
          </cell>
        </row>
        <row r="356">
          <cell r="B356" t="str">
            <v>MRV012</v>
          </cell>
          <cell r="C356" t="str">
            <v>31 GLEN WATFORD DRIVE</v>
          </cell>
          <cell r="D356" t="str">
            <v>SCARBOROUGH, ON</v>
          </cell>
          <cell r="E356">
            <v>14587</v>
          </cell>
        </row>
        <row r="357">
          <cell r="B357" t="str">
            <v>MRV014</v>
          </cell>
          <cell r="C357" t="str">
            <v>1138 BATHURST ST</v>
          </cell>
          <cell r="D357" t="str">
            <v>TORONTO, ON</v>
          </cell>
          <cell r="E357">
            <v>55940</v>
          </cell>
        </row>
        <row r="358">
          <cell r="B358" t="str">
            <v>MRV015</v>
          </cell>
          <cell r="C358" t="str">
            <v>600 OSHAWA BLVD NORTH</v>
          </cell>
          <cell r="D358" t="str">
            <v>OSHAWA, ON</v>
          </cell>
          <cell r="E358">
            <v>40113</v>
          </cell>
        </row>
        <row r="359">
          <cell r="B359" t="str">
            <v>MRV016</v>
          </cell>
          <cell r="C359" t="str">
            <v>243 WILMINGTON AVENUE</v>
          </cell>
          <cell r="D359" t="str">
            <v>NORTH YORK, ON</v>
          </cell>
          <cell r="E359">
            <v>40653</v>
          </cell>
        </row>
        <row r="360">
          <cell r="B360" t="str">
            <v>MRV017</v>
          </cell>
          <cell r="C360" t="str">
            <v>1500 GULLEDEN DRIVE</v>
          </cell>
          <cell r="D360" t="str">
            <v>MISSISSAUGA, ON</v>
          </cell>
          <cell r="E360">
            <v>0</v>
          </cell>
        </row>
        <row r="361">
          <cell r="B361" t="str">
            <v>MRV018</v>
          </cell>
          <cell r="C361" t="str">
            <v xml:space="preserve">1399 CAWTHRA ROAD </v>
          </cell>
          <cell r="D361" t="str">
            <v>MISSISSAUGA, ON</v>
          </cell>
          <cell r="E361">
            <v>7604.25</v>
          </cell>
        </row>
        <row r="362">
          <cell r="B362" t="str">
            <v>MRV019</v>
          </cell>
          <cell r="C362" t="str">
            <v>2475 TRUSCOTT DR</v>
          </cell>
          <cell r="D362" t="str">
            <v>MISSISSAUGA, ON</v>
          </cell>
          <cell r="E362">
            <v>13209.59</v>
          </cell>
        </row>
        <row r="363">
          <cell r="B363" t="str">
            <v>MRV020</v>
          </cell>
          <cell r="C363" t="str">
            <v>3205 UNITY DRIVE</v>
          </cell>
          <cell r="D363" t="str">
            <v>MISSISSAUGA, ON</v>
          </cell>
          <cell r="E363">
            <v>19760.490000000002</v>
          </cell>
        </row>
        <row r="364">
          <cell r="B364" t="str">
            <v>MRV021</v>
          </cell>
          <cell r="C364" t="str">
            <v xml:space="preserve">3430 DERRY ROAD </v>
          </cell>
          <cell r="D364" t="str">
            <v>MISSISSAUGA, ON</v>
          </cell>
          <cell r="E364">
            <v>5496.52</v>
          </cell>
        </row>
        <row r="365">
          <cell r="B365" t="str">
            <v>MRV022</v>
          </cell>
          <cell r="C365" t="str">
            <v>705 MATHESON BLVD.,EAST</v>
          </cell>
          <cell r="D365" t="str">
            <v>MISSISSAUGA, ON</v>
          </cell>
          <cell r="E365">
            <v>49076.21</v>
          </cell>
        </row>
        <row r="366">
          <cell r="B366" t="str">
            <v>MRV023</v>
          </cell>
          <cell r="C366" t="str">
            <v>200 RATHBURN ROAD WEST</v>
          </cell>
          <cell r="D366" t="str">
            <v xml:space="preserve">MISSISSAUGA, ON </v>
          </cell>
          <cell r="E366">
            <v>53881.79</v>
          </cell>
        </row>
        <row r="367">
          <cell r="B367" t="str">
            <v>MRV024</v>
          </cell>
          <cell r="C367" t="str">
            <v>2160 TORQUAY MEWS</v>
          </cell>
          <cell r="D367" t="str">
            <v>MISSISSAUGA</v>
          </cell>
          <cell r="E367">
            <v>23868.3</v>
          </cell>
        </row>
        <row r="368">
          <cell r="B368" t="str">
            <v>MRV025</v>
          </cell>
          <cell r="C368" t="str">
            <v>1275 MISSISSAUGA VALLEY BLVD.</v>
          </cell>
          <cell r="D368" t="str">
            <v>MISSISSAUGA, ON</v>
          </cell>
          <cell r="E368">
            <v>0</v>
          </cell>
        </row>
        <row r="369">
          <cell r="B369" t="str">
            <v>MRV026</v>
          </cell>
          <cell r="C369" t="str">
            <v xml:space="preserve">40 STAVEBANK ROAD </v>
          </cell>
          <cell r="D369" t="str">
            <v xml:space="preserve">MISSISSAUGA, ON </v>
          </cell>
          <cell r="E369">
            <v>8718.7000000000007</v>
          </cell>
        </row>
        <row r="370">
          <cell r="B370" t="str">
            <v>MRV027</v>
          </cell>
          <cell r="C370" t="str">
            <v>135 LAKEFRONT PROMENAD</v>
          </cell>
          <cell r="D370" t="str">
            <v>MISSISSAUGA,ON</v>
          </cell>
          <cell r="E370">
            <v>2139.5</v>
          </cell>
        </row>
        <row r="371">
          <cell r="B371" t="str">
            <v>MRV028</v>
          </cell>
          <cell r="C371" t="str">
            <v>1190 DIXIE ROAD</v>
          </cell>
          <cell r="D371" t="str">
            <v xml:space="preserve">MISSISSAUGA, ON </v>
          </cell>
          <cell r="E371">
            <v>7676.58</v>
          </cell>
        </row>
        <row r="372">
          <cell r="B372" t="str">
            <v>MRV029</v>
          </cell>
          <cell r="C372" t="str">
            <v>5625 TERRY FOX WAY</v>
          </cell>
          <cell r="D372" t="str">
            <v>MISSISSAUGA, ON</v>
          </cell>
          <cell r="E372">
            <v>0</v>
          </cell>
        </row>
        <row r="373">
          <cell r="B373" t="str">
            <v>MRV030</v>
          </cell>
          <cell r="C373" t="str">
            <v>40 STAVEBANK ROAD</v>
          </cell>
          <cell r="D373" t="str">
            <v>MISSISSAUGA,ON</v>
          </cell>
          <cell r="E373">
            <v>6526.52</v>
          </cell>
        </row>
        <row r="374">
          <cell r="B374" t="str">
            <v>MRV031</v>
          </cell>
          <cell r="C374" t="str">
            <v>590 RATHBURN</v>
          </cell>
          <cell r="D374" t="str">
            <v>ETOBICOKE, ONTARIO</v>
          </cell>
          <cell r="E374">
            <v>0</v>
          </cell>
        </row>
        <row r="375">
          <cell r="B375" t="str">
            <v>MRV032</v>
          </cell>
          <cell r="C375" t="str">
            <v>5500 ROSE CHERRY PLACE</v>
          </cell>
          <cell r="D375" t="str">
            <v>MISSISSAUGA, ON</v>
          </cell>
          <cell r="E375">
            <v>0</v>
          </cell>
        </row>
        <row r="376">
          <cell r="B376" t="str">
            <v>MRV033</v>
          </cell>
          <cell r="C376" t="str">
            <v>5500 ROSE CHERRY PLACE</v>
          </cell>
          <cell r="D376" t="str">
            <v>MISSISSAUGA, ON</v>
          </cell>
          <cell r="E376">
            <v>0</v>
          </cell>
        </row>
        <row r="377">
          <cell r="B377" t="str">
            <v>MRV034</v>
          </cell>
          <cell r="C377" t="str">
            <v>4700 KEELE STREET</v>
          </cell>
          <cell r="D377" t="str">
            <v>TORONTO, ON</v>
          </cell>
          <cell r="E377">
            <v>20808</v>
          </cell>
        </row>
        <row r="378">
          <cell r="B378" t="str">
            <v>MRV035</v>
          </cell>
          <cell r="C378" t="str">
            <v>9050 BRAMALEA RD</v>
          </cell>
          <cell r="D378" t="str">
            <v>BRAMPTON, ON</v>
          </cell>
          <cell r="E378">
            <v>0</v>
          </cell>
        </row>
        <row r="379">
          <cell r="B379" t="str">
            <v>MRV036</v>
          </cell>
          <cell r="C379" t="str">
            <v>125 MCLAUGHLIN RD, NORTH</v>
          </cell>
          <cell r="D379" t="str">
            <v>BRAMPTON, ON</v>
          </cell>
          <cell r="E379">
            <v>13849.8</v>
          </cell>
        </row>
        <row r="380">
          <cell r="B380" t="str">
            <v>MRV037</v>
          </cell>
          <cell r="C380" t="str">
            <v>44 EASTBOURNE DRIVE</v>
          </cell>
          <cell r="D380" t="str">
            <v>BRAMPTON, ON</v>
          </cell>
          <cell r="E380">
            <v>15383.65</v>
          </cell>
        </row>
        <row r="381">
          <cell r="B381" t="str">
            <v>MRV038</v>
          </cell>
          <cell r="C381" t="str">
            <v>1100 CENTRAL PARK DRIVE</v>
          </cell>
          <cell r="D381" t="str">
            <v>BRAMPTON, ON</v>
          </cell>
          <cell r="E381">
            <v>14493.05</v>
          </cell>
        </row>
        <row r="382">
          <cell r="B382" t="str">
            <v>MRV039</v>
          </cell>
          <cell r="C382" t="str">
            <v>292 CONESTOGA DRIVE</v>
          </cell>
          <cell r="D382" t="str">
            <v>BRAMPTON, ON</v>
          </cell>
          <cell r="E382">
            <v>12331.6</v>
          </cell>
        </row>
        <row r="383">
          <cell r="B383" t="str">
            <v>MRV040</v>
          </cell>
          <cell r="C383" t="str">
            <v>30 LOAFER'S LAKE LAND</v>
          </cell>
          <cell r="D383" t="str">
            <v>BRAMPTON, ON</v>
          </cell>
          <cell r="E383">
            <v>3598.1</v>
          </cell>
        </row>
        <row r="384">
          <cell r="B384" t="str">
            <v>MRV041</v>
          </cell>
          <cell r="C384" t="str">
            <v>69 ELLIOT STREET</v>
          </cell>
          <cell r="D384" t="str">
            <v>BRAMPTON, ON</v>
          </cell>
          <cell r="E384">
            <v>25380.75</v>
          </cell>
        </row>
        <row r="385">
          <cell r="B385" t="str">
            <v>MRV042</v>
          </cell>
          <cell r="C385" t="str">
            <v>1295 WILLIAMS PARKWAY</v>
          </cell>
          <cell r="D385" t="str">
            <v>BRAMPTON, ON</v>
          </cell>
          <cell r="E385">
            <v>14731.4</v>
          </cell>
        </row>
        <row r="386">
          <cell r="B386" t="str">
            <v>MRV043</v>
          </cell>
          <cell r="C386" t="str">
            <v>20 VICTORIA CRESCENT</v>
          </cell>
          <cell r="D386" t="str">
            <v>BRAMPTON, ON</v>
          </cell>
          <cell r="E386">
            <v>18733.3</v>
          </cell>
        </row>
        <row r="387">
          <cell r="B387" t="str">
            <v>MRV044</v>
          </cell>
          <cell r="C387" t="str">
            <v>150 CENTRAL PARK DRIVE</v>
          </cell>
          <cell r="D387" t="str">
            <v>BRAMPTON, ON</v>
          </cell>
          <cell r="E387">
            <v>51207.45</v>
          </cell>
        </row>
        <row r="388">
          <cell r="B388" t="str">
            <v>MRV045</v>
          </cell>
          <cell r="C388" t="str">
            <v>150 CENTRAL PARK DRIVE</v>
          </cell>
          <cell r="D388" t="str">
            <v>BRAMPTON, ON</v>
          </cell>
          <cell r="E388">
            <v>0</v>
          </cell>
        </row>
        <row r="389">
          <cell r="B389" t="str">
            <v>MRV046</v>
          </cell>
          <cell r="C389" t="str">
            <v>340 VADDEN STREET EAST</v>
          </cell>
          <cell r="D389" t="str">
            <v>BRAMPTON, ON</v>
          </cell>
          <cell r="E389">
            <v>16878.400000000001</v>
          </cell>
        </row>
        <row r="390">
          <cell r="B390" t="str">
            <v>MRV047</v>
          </cell>
          <cell r="C390" t="str">
            <v>29A HARTFORD TRAIL</v>
          </cell>
          <cell r="D390" t="str">
            <v>BRAMPTON, ON</v>
          </cell>
          <cell r="E390">
            <v>0</v>
          </cell>
        </row>
        <row r="391">
          <cell r="B391" t="str">
            <v>MRV048</v>
          </cell>
          <cell r="C391" t="str">
            <v>789 YONGE STREET</v>
          </cell>
          <cell r="D391" t="str">
            <v>TORONTO, ON</v>
          </cell>
          <cell r="E391">
            <v>8194</v>
          </cell>
        </row>
        <row r="392">
          <cell r="B392" t="str">
            <v>MRV049</v>
          </cell>
          <cell r="E392">
            <v>0</v>
          </cell>
        </row>
        <row r="393">
          <cell r="B393" t="str">
            <v>MRV13A</v>
          </cell>
          <cell r="C393" t="str">
            <v>93 BIRCHMOUNT ROAD, KIOSK A</v>
          </cell>
          <cell r="D393" t="str">
            <v>SCARBOROUGH, ON</v>
          </cell>
          <cell r="E393">
            <v>1850</v>
          </cell>
        </row>
        <row r="394">
          <cell r="B394" t="str">
            <v>MRV13B</v>
          </cell>
          <cell r="C394" t="str">
            <v>75 BIRCHMOUNT ROAD</v>
          </cell>
          <cell r="D394" t="str">
            <v>SCARBOROUGH, ON</v>
          </cell>
          <cell r="E394">
            <v>14380</v>
          </cell>
        </row>
        <row r="395">
          <cell r="B395" t="str">
            <v>NEWNT</v>
          </cell>
          <cell r="E395">
            <v>0</v>
          </cell>
        </row>
        <row r="396">
          <cell r="B396" t="str">
            <v>PCW001</v>
          </cell>
          <cell r="C396" t="str">
            <v>9580 JANE STREET</v>
          </cell>
          <cell r="D396" t="str">
            <v>VAUGHAN, ON</v>
          </cell>
          <cell r="E396">
            <v>102147</v>
          </cell>
        </row>
        <row r="397">
          <cell r="B397" t="str">
            <v>PET001</v>
          </cell>
          <cell r="C397" t="str">
            <v xml:space="preserve">508 MAIN ST. EAST </v>
          </cell>
          <cell r="D397" t="str">
            <v>SHELBURNE, ON</v>
          </cell>
          <cell r="E397">
            <v>70055</v>
          </cell>
        </row>
        <row r="398">
          <cell r="B398" t="str">
            <v>PIO003</v>
          </cell>
          <cell r="C398" t="str">
            <v>4495 BATH ROAD</v>
          </cell>
          <cell r="D398" t="str">
            <v>AMHERSTVIEW, ON</v>
          </cell>
          <cell r="E398">
            <v>253311</v>
          </cell>
        </row>
        <row r="399">
          <cell r="B399" t="str">
            <v>PIO004</v>
          </cell>
          <cell r="C399" t="str">
            <v>1092 HIGHWAY #6 N</v>
          </cell>
          <cell r="D399" t="str">
            <v>HAMILTON, ON</v>
          </cell>
          <cell r="E399">
            <v>51019</v>
          </cell>
        </row>
        <row r="400">
          <cell r="B400" t="str">
            <v>PIO005</v>
          </cell>
          <cell r="C400" t="str">
            <v xml:space="preserve">93 KING STREET </v>
          </cell>
          <cell r="D400" t="str">
            <v>PARIS, ON</v>
          </cell>
          <cell r="E400">
            <v>45622</v>
          </cell>
        </row>
        <row r="401">
          <cell r="B401" t="str">
            <v>PIO006</v>
          </cell>
          <cell r="C401" t="str">
            <v>857 10TH STREET</v>
          </cell>
          <cell r="D401" t="str">
            <v>HANOVER, ON</v>
          </cell>
          <cell r="E401">
            <v>7730</v>
          </cell>
        </row>
        <row r="402">
          <cell r="B402" t="str">
            <v>PIO007</v>
          </cell>
          <cell r="C402" t="str">
            <v>859 UPPER JAMES STRET</v>
          </cell>
          <cell r="D402" t="str">
            <v>HAMILTON, ON</v>
          </cell>
          <cell r="E402">
            <v>13387</v>
          </cell>
        </row>
        <row r="403">
          <cell r="B403" t="str">
            <v>PIO008</v>
          </cell>
          <cell r="C403" t="str">
            <v>545 WOODWARD AVENUE</v>
          </cell>
          <cell r="D403" t="str">
            <v>HAMILTON, ON</v>
          </cell>
          <cell r="E403">
            <v>9197</v>
          </cell>
        </row>
        <row r="404">
          <cell r="B404" t="str">
            <v>PIO009</v>
          </cell>
          <cell r="C404" t="str">
            <v>6868 HYW #7 - R.R. #5</v>
          </cell>
          <cell r="D404" t="str">
            <v>SPRINGVILLE, ON</v>
          </cell>
          <cell r="E404">
            <v>60289</v>
          </cell>
        </row>
        <row r="405">
          <cell r="B405" t="str">
            <v>PIO010</v>
          </cell>
          <cell r="C405" t="str">
            <v>1105 KING STREET EAST</v>
          </cell>
          <cell r="D405" t="str">
            <v>KITCHENER, ON</v>
          </cell>
          <cell r="E405">
            <v>1130</v>
          </cell>
        </row>
        <row r="406">
          <cell r="B406" t="str">
            <v>PIO012</v>
          </cell>
          <cell r="E406">
            <v>0</v>
          </cell>
        </row>
        <row r="407">
          <cell r="B407" t="str">
            <v>RAB001</v>
          </cell>
          <cell r="C407" t="str">
            <v>20 BRISTOL ROAD</v>
          </cell>
          <cell r="D407" t="str">
            <v>MISSISSAUGA, ON</v>
          </cell>
          <cell r="E407">
            <v>23866</v>
          </cell>
        </row>
        <row r="408">
          <cell r="B408" t="str">
            <v>RAB002</v>
          </cell>
          <cell r="E408">
            <v>0</v>
          </cell>
        </row>
        <row r="409">
          <cell r="B409" t="str">
            <v>SHL002</v>
          </cell>
          <cell r="C409" t="str">
            <v>BOX 308 HIGHWAY 11 NORTH</v>
          </cell>
          <cell r="D409" t="str">
            <v>TEMAGAMI, ON</v>
          </cell>
          <cell r="E409">
            <v>263379</v>
          </cell>
        </row>
        <row r="410">
          <cell r="B410" t="str">
            <v>SHL003</v>
          </cell>
          <cell r="C410" t="str">
            <v>2881 MAJOR MACKENZIE DRIVE</v>
          </cell>
          <cell r="D410" t="str">
            <v>MARKHAM, ON</v>
          </cell>
          <cell r="E410">
            <v>106195</v>
          </cell>
        </row>
        <row r="411">
          <cell r="B411" t="str">
            <v>SHL004</v>
          </cell>
          <cell r="C411" t="str">
            <v>1221 GUELPH LINE ROAD</v>
          </cell>
          <cell r="D411" t="str">
            <v>BURLINGTON, ON</v>
          </cell>
          <cell r="E411">
            <v>82869</v>
          </cell>
        </row>
        <row r="412">
          <cell r="B412" t="str">
            <v>SHL008</v>
          </cell>
          <cell r="C412" t="str">
            <v>38 SPADINA AVENUE</v>
          </cell>
          <cell r="D412" t="str">
            <v>TORONTO, ON</v>
          </cell>
          <cell r="E412">
            <v>497531</v>
          </cell>
        </row>
        <row r="413">
          <cell r="B413" t="str">
            <v>STI001</v>
          </cell>
          <cell r="C413" t="str">
            <v>293 MACKAY STREET</v>
          </cell>
          <cell r="D413" t="str">
            <v>PEMBROKE, ON</v>
          </cell>
          <cell r="E413">
            <v>18788</v>
          </cell>
        </row>
        <row r="414">
          <cell r="B414" t="str">
            <v>SUD001</v>
          </cell>
          <cell r="C414" t="str">
            <v>318 LASALLE BOULEVARD</v>
          </cell>
          <cell r="D414" t="str">
            <v>SUDBURY, ON</v>
          </cell>
          <cell r="E414">
            <v>110348</v>
          </cell>
        </row>
        <row r="415">
          <cell r="B415" t="str">
            <v>SUN002</v>
          </cell>
          <cell r="C415" t="str">
            <v>7750 MCCOWAN RD.</v>
          </cell>
          <cell r="D415" t="str">
            <v>MARKHAM, ON</v>
          </cell>
          <cell r="E415">
            <v>7082.42</v>
          </cell>
        </row>
        <row r="416">
          <cell r="B416" t="str">
            <v>SUN003</v>
          </cell>
          <cell r="C416" t="str">
            <v>3515 UPPER MIDDLE ROAD</v>
          </cell>
          <cell r="D416" t="str">
            <v>BURLINGTON, ON</v>
          </cell>
          <cell r="E416">
            <v>20046.52</v>
          </cell>
        </row>
        <row r="417">
          <cell r="B417" t="str">
            <v>SUN004</v>
          </cell>
          <cell r="C417" t="str">
            <v>565 YONGE ST.</v>
          </cell>
          <cell r="D417" t="str">
            <v>BARRIE, ON</v>
          </cell>
          <cell r="E417">
            <v>46601.279999999999</v>
          </cell>
        </row>
        <row r="418">
          <cell r="B418" t="str">
            <v>SUN005</v>
          </cell>
          <cell r="C418" t="str">
            <v>1457 WOODROFFE AVE.</v>
          </cell>
          <cell r="D418" t="str">
            <v>NEPEAN, ON</v>
          </cell>
          <cell r="E418">
            <v>28316.99</v>
          </cell>
        </row>
        <row r="419">
          <cell r="B419" t="str">
            <v>SUN006</v>
          </cell>
          <cell r="C419" t="str">
            <v>1253 WELLINGTON ROAD SOUTH</v>
          </cell>
          <cell r="D419" t="str">
            <v>LONDON, ON</v>
          </cell>
          <cell r="E419">
            <v>79188.45</v>
          </cell>
        </row>
        <row r="420">
          <cell r="B420" t="str">
            <v>SUN007</v>
          </cell>
          <cell r="C420" t="str">
            <v>9266 GUELPH LINE @ HWY. 401</v>
          </cell>
          <cell r="D420" t="str">
            <v>CAMPBELLVILLE, ON</v>
          </cell>
          <cell r="E420">
            <v>248144.1</v>
          </cell>
        </row>
        <row r="421">
          <cell r="B421" t="str">
            <v>SUN008</v>
          </cell>
          <cell r="C421" t="str">
            <v>610 ATHERLEY RD.</v>
          </cell>
          <cell r="D421" t="str">
            <v>ORILLIA, ON</v>
          </cell>
          <cell r="E421">
            <v>133723.85999999999</v>
          </cell>
        </row>
        <row r="422">
          <cell r="B422" t="str">
            <v>SUN009</v>
          </cell>
          <cell r="C422" t="str">
            <v>1790 ERNEST AVENUE</v>
          </cell>
          <cell r="D422" t="str">
            <v>LONDON, ON</v>
          </cell>
          <cell r="E422">
            <v>154515.41</v>
          </cell>
        </row>
        <row r="423">
          <cell r="B423" t="str">
            <v>SUN010</v>
          </cell>
          <cell r="C423" t="str">
            <v>220 CENTENNIAL PARKWAY</v>
          </cell>
          <cell r="D423" t="str">
            <v>HAMILTON, ON</v>
          </cell>
          <cell r="E423">
            <v>6414.38</v>
          </cell>
        </row>
        <row r="424">
          <cell r="B424" t="str">
            <v>SUN011</v>
          </cell>
          <cell r="C424" t="str">
            <v>93 PARK AVENUE EAST</v>
          </cell>
          <cell r="D424" t="str">
            <v>CHATHAM, ON</v>
          </cell>
          <cell r="E424">
            <v>105161.18</v>
          </cell>
        </row>
        <row r="425">
          <cell r="B425" t="str">
            <v>SUN012</v>
          </cell>
          <cell r="C425" t="str">
            <v>5739 HWY #7 EAST &amp; GRANDVIEW</v>
          </cell>
          <cell r="D425" t="str">
            <v>MARKHAM, ON</v>
          </cell>
          <cell r="E425">
            <v>52349.27</v>
          </cell>
        </row>
        <row r="426">
          <cell r="B426" t="str">
            <v>SUN014</v>
          </cell>
          <cell r="C426" t="str">
            <v>3425 WINSTON CHURCHILL BLVD.</v>
          </cell>
          <cell r="D426" t="str">
            <v>MISSISSAUGA, ON</v>
          </cell>
          <cell r="E426">
            <v>34887.089999999997</v>
          </cell>
        </row>
        <row r="427">
          <cell r="B427" t="str">
            <v>SUN015</v>
          </cell>
          <cell r="C427" t="str">
            <v>6015 MCLAUGHLIN ROAD</v>
          </cell>
          <cell r="D427" t="str">
            <v>MISSISSAUGA, ON</v>
          </cell>
          <cell r="E427">
            <v>7724.37</v>
          </cell>
        </row>
        <row r="428">
          <cell r="B428" t="str">
            <v>SUN016</v>
          </cell>
          <cell r="C428" t="str">
            <v>2180 MONTREAL RD. &amp; SHEFFORD</v>
          </cell>
          <cell r="D428" t="str">
            <v>GLOUCESTER, ON</v>
          </cell>
          <cell r="E428">
            <v>97913.43</v>
          </cell>
        </row>
        <row r="429">
          <cell r="B429" t="str">
            <v>SUN017</v>
          </cell>
          <cell r="C429" t="str">
            <v>2850 VICTORIA PARK AVE.</v>
          </cell>
          <cell r="D429" t="str">
            <v>TORONTO, ON</v>
          </cell>
          <cell r="E429">
            <v>49843.03</v>
          </cell>
        </row>
        <row r="430">
          <cell r="B430" t="str">
            <v>SUN018</v>
          </cell>
          <cell r="C430" t="str">
            <v>195 NIAGARA STREET</v>
          </cell>
          <cell r="D430" t="str">
            <v>ST. CATHARINES, ON</v>
          </cell>
          <cell r="E430">
            <v>16952.080000000002</v>
          </cell>
        </row>
        <row r="431">
          <cell r="B431" t="str">
            <v>SUN019</v>
          </cell>
          <cell r="C431" t="str">
            <v>800 MORNINGSIDE AVE./MILITARY</v>
          </cell>
          <cell r="D431" t="str">
            <v>SCARBOROUGH, ON</v>
          </cell>
          <cell r="E431">
            <v>146788.98000000001</v>
          </cell>
        </row>
        <row r="432">
          <cell r="B432" t="str">
            <v>SUN020</v>
          </cell>
          <cell r="C432" t="str">
            <v>7991 MISSISSAUGA RD.</v>
          </cell>
          <cell r="D432" t="str">
            <v>BRAMPTON, ON</v>
          </cell>
          <cell r="E432">
            <v>79617.600000000006</v>
          </cell>
        </row>
        <row r="433">
          <cell r="B433" t="str">
            <v>SUN021</v>
          </cell>
          <cell r="C433" t="str">
            <v>320 BLAKE STREET</v>
          </cell>
          <cell r="D433" t="str">
            <v>BARRIE, ON</v>
          </cell>
          <cell r="E433">
            <v>422135.3</v>
          </cell>
        </row>
        <row r="434">
          <cell r="B434" t="str">
            <v>SUN022</v>
          </cell>
          <cell r="C434" t="str">
            <v>341 BAYFIELD STREET</v>
          </cell>
          <cell r="D434" t="str">
            <v>BARRIE, ON</v>
          </cell>
          <cell r="E434">
            <v>99783.66</v>
          </cell>
        </row>
        <row r="435">
          <cell r="B435" t="str">
            <v>SUN023</v>
          </cell>
          <cell r="C435" t="str">
            <v>1600 ROSSLAND ROAD EAST</v>
          </cell>
          <cell r="D435" t="str">
            <v>WHITBY, ON</v>
          </cell>
          <cell r="E435">
            <v>73951.990000000005</v>
          </cell>
        </row>
        <row r="436">
          <cell r="B436" t="str">
            <v>SUN024</v>
          </cell>
          <cell r="C436" t="str">
            <v>825 WALKERS LINE</v>
          </cell>
          <cell r="D436" t="str">
            <v>BURLINGTON, ON</v>
          </cell>
          <cell r="E436">
            <v>30730.31</v>
          </cell>
        </row>
        <row r="437">
          <cell r="B437" t="str">
            <v>SUN025</v>
          </cell>
          <cell r="C437" t="str">
            <v>2182 QUEEN STREET</v>
          </cell>
          <cell r="D437" t="str">
            <v>BRAMPTON, ON</v>
          </cell>
          <cell r="E437">
            <v>41802.01</v>
          </cell>
        </row>
        <row r="438">
          <cell r="B438" t="str">
            <v>SUN026</v>
          </cell>
          <cell r="C438" t="str">
            <v>514 VICTORIA STREET</v>
          </cell>
          <cell r="D438" t="str">
            <v>ALLISTON, ON</v>
          </cell>
          <cell r="E438">
            <v>345841.37</v>
          </cell>
        </row>
        <row r="439">
          <cell r="B439" t="str">
            <v>SUN027</v>
          </cell>
          <cell r="C439" t="str">
            <v>570 TERRY FOX DR.</v>
          </cell>
          <cell r="D439" t="str">
            <v>KANATA, ON</v>
          </cell>
          <cell r="E439">
            <v>100835.37</v>
          </cell>
        </row>
        <row r="440">
          <cell r="B440" t="str">
            <v>SUN028</v>
          </cell>
          <cell r="C440" t="str">
            <v>690 HUNT CLUB ROAD</v>
          </cell>
          <cell r="D440" t="str">
            <v>OTTAWA, ON</v>
          </cell>
          <cell r="E440">
            <v>113665.2</v>
          </cell>
        </row>
        <row r="441">
          <cell r="B441" t="str">
            <v>SUN029</v>
          </cell>
          <cell r="C441" t="str">
            <v>8830 YONGE STREET</v>
          </cell>
          <cell r="D441" t="str">
            <v>RICHMOND HILL, ON</v>
          </cell>
          <cell r="E441">
            <v>34776.51</v>
          </cell>
        </row>
        <row r="442">
          <cell r="B442" t="str">
            <v>SUN030</v>
          </cell>
          <cell r="C442" t="str">
            <v>R.R.#2, HIGHWAY 90</v>
          </cell>
          <cell r="D442" t="str">
            <v>BARRIE, ON</v>
          </cell>
          <cell r="E442">
            <v>220958.04</v>
          </cell>
        </row>
        <row r="443">
          <cell r="B443" t="str">
            <v>SUN031</v>
          </cell>
          <cell r="C443" t="str">
            <v>1020 DUNDAS ST. W.</v>
          </cell>
          <cell r="D443" t="str">
            <v>OAKVILLE, ON</v>
          </cell>
          <cell r="E443">
            <v>58666.57</v>
          </cell>
        </row>
        <row r="444">
          <cell r="B444" t="str">
            <v>SUN032</v>
          </cell>
          <cell r="C444" t="str">
            <v>8760 BAYVIEW AVE.</v>
          </cell>
          <cell r="D444" t="str">
            <v>RICHMOND HILL, ON</v>
          </cell>
          <cell r="E444">
            <v>110945.9</v>
          </cell>
        </row>
        <row r="445">
          <cell r="B445" t="str">
            <v>SUN033</v>
          </cell>
          <cell r="C445" t="str">
            <v>2125 SHEPPARD AVE.E.</v>
          </cell>
          <cell r="D445" t="str">
            <v>NORTH YORK, ON</v>
          </cell>
          <cell r="E445">
            <v>11320.43</v>
          </cell>
        </row>
        <row r="446">
          <cell r="B446" t="str">
            <v>SUN034</v>
          </cell>
          <cell r="C446" t="str">
            <v>250 MULOCK DRIVE</v>
          </cell>
          <cell r="D446" t="str">
            <v>NEWMARKET, ON</v>
          </cell>
          <cell r="E446">
            <v>139998.70000000001</v>
          </cell>
        </row>
        <row r="447">
          <cell r="B447" t="str">
            <v>SUN035</v>
          </cell>
          <cell r="C447" t="str">
            <v>1977 KENNEDY ROAD</v>
          </cell>
          <cell r="D447" t="str">
            <v>SCARBOROUGH, ON</v>
          </cell>
          <cell r="E447">
            <v>283973.18</v>
          </cell>
        </row>
        <row r="448">
          <cell r="B448" t="str">
            <v>SUN036</v>
          </cell>
          <cell r="C448" t="str">
            <v>1195 DAVIS DR.</v>
          </cell>
          <cell r="D448" t="str">
            <v>NEWMARKET, ON</v>
          </cell>
          <cell r="E448">
            <v>153549.48000000001</v>
          </cell>
        </row>
        <row r="449">
          <cell r="B449" t="str">
            <v>SUN037</v>
          </cell>
          <cell r="C449" t="str">
            <v>154 CLARKE SIDE ROAD</v>
          </cell>
          <cell r="D449" t="str">
            <v>LONDON, ON</v>
          </cell>
          <cell r="E449">
            <v>51191.839999999997</v>
          </cell>
        </row>
        <row r="450">
          <cell r="B450" t="str">
            <v>SUN038</v>
          </cell>
          <cell r="C450" t="str">
            <v>1514 RAVENSHOE ROAD</v>
          </cell>
          <cell r="D450" t="str">
            <v>KESWICK, ON</v>
          </cell>
          <cell r="E450">
            <v>293941.34000000003</v>
          </cell>
        </row>
        <row r="451">
          <cell r="B451" t="str">
            <v>SUN039</v>
          </cell>
          <cell r="C451" t="str">
            <v>7635 MARKHAM RD.(KIRKHAM RD.)</v>
          </cell>
          <cell r="D451" t="str">
            <v>MARKHAM, ON</v>
          </cell>
          <cell r="E451">
            <v>161621.29999999999</v>
          </cell>
        </row>
        <row r="452">
          <cell r="B452" t="str">
            <v>SUN040</v>
          </cell>
          <cell r="C452" t="str">
            <v>32 COOTES DRIVE</v>
          </cell>
          <cell r="D452" t="str">
            <v>DUNDAS, ON</v>
          </cell>
          <cell r="E452">
            <v>10105.51</v>
          </cell>
        </row>
        <row r="453">
          <cell r="B453" t="str">
            <v>SUN041</v>
          </cell>
          <cell r="C453" t="str">
            <v>1960 INNES ROAD</v>
          </cell>
          <cell r="D453" t="str">
            <v>GLOUCESTER, ON</v>
          </cell>
          <cell r="E453">
            <v>26144</v>
          </cell>
        </row>
        <row r="454">
          <cell r="B454" t="str">
            <v>SUN042</v>
          </cell>
          <cell r="C454" t="str">
            <v>9950 MCLAUGHLIN ROAD</v>
          </cell>
          <cell r="D454" t="str">
            <v>BRAMPTON, ON</v>
          </cell>
          <cell r="E454">
            <v>46976.959999999999</v>
          </cell>
        </row>
        <row r="455">
          <cell r="B455" t="str">
            <v>SUN043</v>
          </cell>
          <cell r="C455" t="str">
            <v>3201 CONROY</v>
          </cell>
          <cell r="D455" t="str">
            <v>OTTAWA, ON</v>
          </cell>
          <cell r="E455">
            <v>14460.93</v>
          </cell>
        </row>
        <row r="456">
          <cell r="B456" t="str">
            <v>SUN044</v>
          </cell>
          <cell r="C456" t="str">
            <v>BROCK ROAD</v>
          </cell>
          <cell r="D456" t="str">
            <v>WHITBY, ON</v>
          </cell>
          <cell r="E456">
            <v>79106.36</v>
          </cell>
        </row>
        <row r="457">
          <cell r="B457" t="str">
            <v>SUN045</v>
          </cell>
          <cell r="C457" t="str">
            <v xml:space="preserve">2630 INNES ROAD </v>
          </cell>
          <cell r="D457" t="str">
            <v>OTTAWA, ON</v>
          </cell>
          <cell r="E457">
            <v>34494.769999999997</v>
          </cell>
        </row>
        <row r="458">
          <cell r="B458" t="str">
            <v>SUN046</v>
          </cell>
          <cell r="C458" t="str">
            <v>301 THICKSON ROAD SOUTH</v>
          </cell>
          <cell r="D458" t="str">
            <v>WHITBY, ON</v>
          </cell>
          <cell r="E458">
            <v>11370.07</v>
          </cell>
        </row>
        <row r="459">
          <cell r="B459" t="str">
            <v>SUN047</v>
          </cell>
          <cell r="C459" t="str">
            <v>5336 BOUNDARY ROAD</v>
          </cell>
          <cell r="D459" t="str">
            <v>GLOUCESTER, ON</v>
          </cell>
          <cell r="E459">
            <v>36468.730000000003</v>
          </cell>
        </row>
        <row r="460">
          <cell r="B460" t="str">
            <v>SUN048</v>
          </cell>
          <cell r="C460" t="str">
            <v>18080 YONGE STREET</v>
          </cell>
          <cell r="D460" t="str">
            <v>NEWMARKET, ON</v>
          </cell>
          <cell r="E460">
            <v>21135.15</v>
          </cell>
        </row>
        <row r="461">
          <cell r="B461" t="str">
            <v>SUN049</v>
          </cell>
          <cell r="C461" t="str">
            <v>2535 OUELLETTE AVENUE</v>
          </cell>
          <cell r="D461" t="str">
            <v>WINDSOR, ON</v>
          </cell>
          <cell r="E461">
            <v>5985.29</v>
          </cell>
        </row>
        <row r="462">
          <cell r="B462" t="str">
            <v>SUN050</v>
          </cell>
          <cell r="C462" t="str">
            <v>311 CANNIFTON ROAD</v>
          </cell>
          <cell r="D462" t="str">
            <v>BELLEVILLE, ON</v>
          </cell>
          <cell r="E462">
            <v>43494.11</v>
          </cell>
        </row>
        <row r="463">
          <cell r="B463" t="str">
            <v>SUN051</v>
          </cell>
          <cell r="C463" t="str">
            <v>390 PARKDALE AVENUE</v>
          </cell>
          <cell r="D463" t="str">
            <v>OTTAWA, ON</v>
          </cell>
          <cell r="E463">
            <v>44135.76</v>
          </cell>
        </row>
        <row r="464">
          <cell r="B464" t="str">
            <v>SUN052</v>
          </cell>
          <cell r="C464" t="str">
            <v>1126 LONDON ROAD</v>
          </cell>
          <cell r="D464" t="str">
            <v>SARNIA, ON</v>
          </cell>
          <cell r="E464">
            <v>6351.73</v>
          </cell>
        </row>
        <row r="465">
          <cell r="B465" t="str">
            <v>SUN053</v>
          </cell>
          <cell r="C465" t="str">
            <v>1080 RUTHERFORD ROAD</v>
          </cell>
          <cell r="D465" t="str">
            <v>MAPLE, ON</v>
          </cell>
          <cell r="E465">
            <v>17906.96</v>
          </cell>
        </row>
        <row r="466">
          <cell r="B466" t="str">
            <v>SUN054</v>
          </cell>
          <cell r="C466" t="str">
            <v>3011 KING STREET</v>
          </cell>
          <cell r="D466" t="str">
            <v>KITCHENER, ON</v>
          </cell>
          <cell r="E466">
            <v>6910.43</v>
          </cell>
        </row>
        <row r="467">
          <cell r="B467" t="str">
            <v>SUN055</v>
          </cell>
          <cell r="C467" t="str">
            <v>2235 HURON CHURCH ROAD</v>
          </cell>
          <cell r="D467" t="str">
            <v>WINDSOR, ON</v>
          </cell>
          <cell r="E467">
            <v>6510.9</v>
          </cell>
        </row>
        <row r="468">
          <cell r="B468" t="str">
            <v>SUN056</v>
          </cell>
          <cell r="C468" t="str">
            <v>500 EAGLESON ROAD</v>
          </cell>
          <cell r="D468" t="str">
            <v>KANATA, ON</v>
          </cell>
          <cell r="E468">
            <v>27188.1</v>
          </cell>
        </row>
        <row r="469">
          <cell r="B469" t="str">
            <v>SUN057</v>
          </cell>
          <cell r="E469">
            <v>0</v>
          </cell>
        </row>
        <row r="470">
          <cell r="B470" t="str">
            <v>SUN058</v>
          </cell>
          <cell r="E470">
            <v>0</v>
          </cell>
        </row>
        <row r="471">
          <cell r="B471" t="str">
            <v>SUN059</v>
          </cell>
          <cell r="E471">
            <v>0</v>
          </cell>
        </row>
        <row r="472">
          <cell r="B472" t="str">
            <v>SUN060</v>
          </cell>
          <cell r="E472">
            <v>0</v>
          </cell>
        </row>
        <row r="473">
          <cell r="B473" t="str">
            <v>SUN061</v>
          </cell>
          <cell r="E473">
            <v>0</v>
          </cell>
        </row>
        <row r="474">
          <cell r="B474" t="str">
            <v>SUN062</v>
          </cell>
          <cell r="E474">
            <v>0</v>
          </cell>
        </row>
        <row r="475">
          <cell r="B475" t="str">
            <v>SUN063</v>
          </cell>
          <cell r="E475">
            <v>0</v>
          </cell>
        </row>
        <row r="476">
          <cell r="B476" t="str">
            <v>SUN064</v>
          </cell>
          <cell r="E476">
            <v>0</v>
          </cell>
        </row>
        <row r="477">
          <cell r="B477" t="str">
            <v>SUN065</v>
          </cell>
          <cell r="E477">
            <v>0</v>
          </cell>
        </row>
        <row r="478">
          <cell r="B478" t="str">
            <v>TWI001</v>
          </cell>
          <cell r="E478">
            <v>0</v>
          </cell>
        </row>
        <row r="479">
          <cell r="B479" t="str">
            <v>YF0001</v>
          </cell>
          <cell r="C479" t="str">
            <v>200 BAY ST.BOX 216 ROYAL BANK</v>
          </cell>
          <cell r="D479" t="str">
            <v>TORONTO, ON</v>
          </cell>
          <cell r="E479">
            <v>0</v>
          </cell>
        </row>
        <row r="480">
          <cell r="B480" t="str">
            <v>YF0003</v>
          </cell>
          <cell r="C480" t="str">
            <v>1 DUNDAS ST., WEST</v>
          </cell>
          <cell r="D480" t="str">
            <v>TORONO, ON</v>
          </cell>
          <cell r="E480">
            <v>0</v>
          </cell>
        </row>
        <row r="481">
          <cell r="B481" t="str">
            <v>YF0004</v>
          </cell>
          <cell r="C481" t="str">
            <v>501B CHURCH ST.</v>
          </cell>
          <cell r="D481" t="str">
            <v>TORONO, ON</v>
          </cell>
          <cell r="E481">
            <v>0</v>
          </cell>
        </row>
        <row r="482">
          <cell r="B482" t="str">
            <v>YF0005</v>
          </cell>
          <cell r="C482" t="str">
            <v>181 BAY STREET</v>
          </cell>
          <cell r="D482" t="str">
            <v>TORONO, ON</v>
          </cell>
          <cell r="E482">
            <v>0</v>
          </cell>
        </row>
        <row r="483">
          <cell r="B483" t="str">
            <v>YF0007</v>
          </cell>
          <cell r="C483" t="str">
            <v>499 MAIN STREET</v>
          </cell>
          <cell r="D483" t="str">
            <v>BRAMPTON, ON</v>
          </cell>
          <cell r="E483">
            <v>0</v>
          </cell>
        </row>
        <row r="484">
          <cell r="B484" t="str">
            <v>YF0009</v>
          </cell>
          <cell r="C484" t="str">
            <v>CONESTOGA MALL</v>
          </cell>
          <cell r="D484" t="str">
            <v>WATERLOO, ON</v>
          </cell>
          <cell r="E484">
            <v>0</v>
          </cell>
        </row>
        <row r="485">
          <cell r="B485" t="str">
            <v>YF0010</v>
          </cell>
          <cell r="C485" t="str">
            <v>5 POINTS MALL 285 TAUNTON RD E</v>
          </cell>
          <cell r="D485" t="str">
            <v>OSHAWA, ON</v>
          </cell>
          <cell r="E485">
            <v>0</v>
          </cell>
        </row>
        <row r="486">
          <cell r="B486" t="str">
            <v>YF0013</v>
          </cell>
          <cell r="C486" t="str">
            <v>419 KING ST.W. UNIT #2250</v>
          </cell>
          <cell r="D486" t="str">
            <v>OSHAWA, ON</v>
          </cell>
          <cell r="E486">
            <v>0</v>
          </cell>
        </row>
        <row r="487">
          <cell r="B487" t="str">
            <v>YF0014</v>
          </cell>
          <cell r="C487" t="str">
            <v>SIMCOE PLACE</v>
          </cell>
          <cell r="D487" t="str">
            <v>TORONO, ON</v>
          </cell>
          <cell r="E487">
            <v>0</v>
          </cell>
        </row>
        <row r="488">
          <cell r="B488" t="str">
            <v>YF0015</v>
          </cell>
          <cell r="C488" t="str">
            <v>2960 KINGSWAY DRIVE</v>
          </cell>
          <cell r="D488" t="str">
            <v>KITCHENER, ON</v>
          </cell>
          <cell r="E488">
            <v>0</v>
          </cell>
        </row>
        <row r="489">
          <cell r="B489" t="str">
            <v>YF0018</v>
          </cell>
          <cell r="C489" t="str">
            <v>6340 YONGE ST.</v>
          </cell>
          <cell r="D489" t="str">
            <v>WILLOWDALE, ON</v>
          </cell>
          <cell r="E489">
            <v>0</v>
          </cell>
        </row>
        <row r="490">
          <cell r="B490" t="str">
            <v>YF0019</v>
          </cell>
          <cell r="C490" t="str">
            <v>9350 YONGE ST., HILLCREST MALL</v>
          </cell>
          <cell r="D490" t="str">
            <v>RICHMOND HILL, ON</v>
          </cell>
          <cell r="E490">
            <v>0</v>
          </cell>
        </row>
        <row r="491">
          <cell r="B491" t="str">
            <v>YF0021</v>
          </cell>
          <cell r="C491" t="str">
            <v>2300 YONGE ST.</v>
          </cell>
          <cell r="D491" t="str">
            <v>TORONO, ON</v>
          </cell>
          <cell r="E491">
            <v>0</v>
          </cell>
        </row>
        <row r="492">
          <cell r="B492" t="str">
            <v>YF0022</v>
          </cell>
          <cell r="C492" t="str">
            <v>100 CITY CENTRE</v>
          </cell>
          <cell r="D492" t="str">
            <v>MISSISSAUGA, ON</v>
          </cell>
          <cell r="E492">
            <v>0</v>
          </cell>
        </row>
        <row r="493">
          <cell r="B493" t="str">
            <v>YF0023</v>
          </cell>
          <cell r="C493" t="str">
            <v xml:space="preserve">355 HESPELER ROAD </v>
          </cell>
          <cell r="D493" t="str">
            <v>CAMBRIDGE,ON</v>
          </cell>
          <cell r="E493">
            <v>0</v>
          </cell>
        </row>
        <row r="494">
          <cell r="B494" t="str">
            <v>YF0024</v>
          </cell>
          <cell r="C494" t="str">
            <v>PICKERING TOWN SQUARE</v>
          </cell>
          <cell r="D494" t="str">
            <v>PICKERING, ON</v>
          </cell>
          <cell r="E494">
            <v>0</v>
          </cell>
        </row>
        <row r="495">
          <cell r="B495" t="str">
            <v>YF0025</v>
          </cell>
          <cell r="C495" t="str">
            <v>1 - 70 EGLINTON SQUARE</v>
          </cell>
          <cell r="D495" t="str">
            <v>TORONTO, ON</v>
          </cell>
          <cell r="E495">
            <v>0</v>
          </cell>
        </row>
        <row r="496">
          <cell r="B496" t="str">
            <v>YF0026</v>
          </cell>
          <cell r="C496" t="str">
            <v>939 LAWRENCE AVE E.</v>
          </cell>
          <cell r="D496" t="str">
            <v>TORONTO, ON</v>
          </cell>
          <cell r="E496">
            <v>0</v>
          </cell>
        </row>
        <row r="497">
          <cell r="B497" t="str">
            <v>YF0027</v>
          </cell>
          <cell r="C497" t="str">
            <v>220 YONGE STREET</v>
          </cell>
          <cell r="D497" t="str">
            <v>TORONTO, ON</v>
          </cell>
          <cell r="E497">
            <v>0</v>
          </cell>
        </row>
        <row r="498">
          <cell r="B498" t="str">
            <v>YF0028</v>
          </cell>
          <cell r="C498" t="str">
            <v>25 PEEL CENTRE DR</v>
          </cell>
          <cell r="D498" t="str">
            <v>BRAMPTON, ON</v>
          </cell>
          <cell r="E498">
            <v>0</v>
          </cell>
        </row>
        <row r="499">
          <cell r="B499" t="str">
            <v>YF0029</v>
          </cell>
          <cell r="E499">
            <v>0</v>
          </cell>
        </row>
        <row r="500">
          <cell r="B500" t="str">
            <v>YF0030</v>
          </cell>
          <cell r="E500">
            <v>0</v>
          </cell>
        </row>
        <row r="501">
          <cell r="B501" t="str">
            <v>YF0031</v>
          </cell>
          <cell r="E501">
            <v>0</v>
          </cell>
        </row>
        <row r="502">
          <cell r="B502" t="str">
            <v>YF0032</v>
          </cell>
          <cell r="E502">
            <v>0</v>
          </cell>
        </row>
        <row r="503">
          <cell r="B503" t="str">
            <v>YF0033</v>
          </cell>
          <cell r="E503">
            <v>0</v>
          </cell>
        </row>
        <row r="504">
          <cell r="B504" t="str">
            <v>YF0034</v>
          </cell>
          <cell r="E504">
            <v>0</v>
          </cell>
        </row>
        <row r="505">
          <cell r="B505" t="str">
            <v>YF0035</v>
          </cell>
          <cell r="E505">
            <v>0</v>
          </cell>
        </row>
        <row r="506">
          <cell r="B506" t="str">
            <v>YF0036</v>
          </cell>
          <cell r="E506">
            <v>0</v>
          </cell>
        </row>
      </sheetData>
      <sheetData sheetId="4">
        <row r="6">
          <cell r="B6" t="str">
            <v>005CSD</v>
          </cell>
          <cell r="C6" t="str">
            <v>2929 DANFORTH AVE.,</v>
          </cell>
          <cell r="D6" t="str">
            <v>TORONTO, ON</v>
          </cell>
          <cell r="E6">
            <v>381231</v>
          </cell>
          <cell r="F6">
            <v>369951</v>
          </cell>
        </row>
        <row r="7">
          <cell r="B7" t="str">
            <v>012CSD</v>
          </cell>
          <cell r="E7">
            <v>0</v>
          </cell>
          <cell r="F7">
            <v>0</v>
          </cell>
        </row>
        <row r="8">
          <cell r="B8" t="str">
            <v>013CSD</v>
          </cell>
          <cell r="C8" t="str">
            <v>313 CHRISTINA ST.N.,</v>
          </cell>
          <cell r="D8" t="str">
            <v>SARNIA, ON</v>
          </cell>
          <cell r="E8">
            <v>165296</v>
          </cell>
          <cell r="F8">
            <v>178223</v>
          </cell>
        </row>
        <row r="9">
          <cell r="B9" t="str">
            <v>034CSD</v>
          </cell>
          <cell r="E9">
            <v>0</v>
          </cell>
          <cell r="F9">
            <v>0</v>
          </cell>
        </row>
        <row r="10">
          <cell r="B10" t="str">
            <v>039CSD</v>
          </cell>
          <cell r="C10" t="str">
            <v>8370 WOODBINE AVE.</v>
          </cell>
          <cell r="D10" t="str">
            <v>MARKHAM, ON</v>
          </cell>
          <cell r="E10">
            <v>287822</v>
          </cell>
          <cell r="F10">
            <v>308929</v>
          </cell>
        </row>
        <row r="11">
          <cell r="B11" t="str">
            <v>051CSD</v>
          </cell>
          <cell r="C11" t="str">
            <v>1708 QUEEN ST.E.,</v>
          </cell>
          <cell r="D11" t="str">
            <v>TORONTO, ON</v>
          </cell>
          <cell r="E11">
            <v>280714</v>
          </cell>
          <cell r="F11">
            <v>260573</v>
          </cell>
        </row>
        <row r="12">
          <cell r="B12" t="str">
            <v>053CSD</v>
          </cell>
          <cell r="C12" t="str">
            <v>524 WILSON HEIGHTS BLVD.</v>
          </cell>
          <cell r="D12" t="str">
            <v>DOWNSVIEW, ON.</v>
          </cell>
          <cell r="E12">
            <v>377125</v>
          </cell>
          <cell r="F12">
            <v>354290</v>
          </cell>
        </row>
        <row r="13">
          <cell r="B13" t="str">
            <v>074CSD</v>
          </cell>
          <cell r="C13" t="str">
            <v>357-359 TRUNK RD.</v>
          </cell>
          <cell r="D13" t="str">
            <v>SAULT STE.MARIE, ON</v>
          </cell>
          <cell r="E13">
            <v>653855</v>
          </cell>
          <cell r="F13">
            <v>504708</v>
          </cell>
        </row>
        <row r="14">
          <cell r="B14" t="str">
            <v>079CSD</v>
          </cell>
          <cell r="C14" t="str">
            <v>1082 CENTRE STREET</v>
          </cell>
          <cell r="D14" t="str">
            <v>THORNHILL, ON</v>
          </cell>
          <cell r="E14">
            <v>346637</v>
          </cell>
          <cell r="F14">
            <v>441561</v>
          </cell>
        </row>
        <row r="15">
          <cell r="B15" t="str">
            <v>081CSD</v>
          </cell>
          <cell r="C15" t="str">
            <v>3748 BATHURST ST.,</v>
          </cell>
          <cell r="D15" t="str">
            <v>DOWNSVIEW, ON</v>
          </cell>
          <cell r="E15">
            <v>617946</v>
          </cell>
          <cell r="F15">
            <v>600476</v>
          </cell>
        </row>
        <row r="16">
          <cell r="B16" t="str">
            <v>096CSD</v>
          </cell>
          <cell r="E16">
            <v>0</v>
          </cell>
          <cell r="F16">
            <v>0</v>
          </cell>
        </row>
        <row r="17">
          <cell r="B17" t="str">
            <v>101CSD</v>
          </cell>
          <cell r="C17" t="str">
            <v>4235 HIGHWAY #7 WEST</v>
          </cell>
          <cell r="D17" t="str">
            <v>WOODBRIDGE, ON</v>
          </cell>
          <cell r="E17">
            <v>439950.42</v>
          </cell>
          <cell r="F17">
            <v>336465</v>
          </cell>
        </row>
        <row r="18">
          <cell r="B18" t="str">
            <v>104CSD</v>
          </cell>
          <cell r="E18">
            <v>0</v>
          </cell>
          <cell r="F18">
            <v>0</v>
          </cell>
        </row>
        <row r="19">
          <cell r="B19" t="str">
            <v>117CSD</v>
          </cell>
          <cell r="E19">
            <v>0</v>
          </cell>
          <cell r="F19">
            <v>0</v>
          </cell>
        </row>
        <row r="20">
          <cell r="B20" t="str">
            <v>121CSD</v>
          </cell>
          <cell r="C20" t="str">
            <v>4681 HIGHWAY #7 EAST</v>
          </cell>
          <cell r="D20" t="str">
            <v>MARKHAM, ON.</v>
          </cell>
          <cell r="E20">
            <v>309412</v>
          </cell>
          <cell r="F20">
            <v>319693</v>
          </cell>
        </row>
        <row r="21">
          <cell r="B21" t="str">
            <v>123CSD</v>
          </cell>
          <cell r="C21" t="str">
            <v>996 CONFEDERATION ST.,</v>
          </cell>
          <cell r="D21" t="str">
            <v>SARNIA ONTARIO</v>
          </cell>
          <cell r="E21">
            <v>209054</v>
          </cell>
          <cell r="F21">
            <v>217189</v>
          </cell>
        </row>
        <row r="22">
          <cell r="B22" t="str">
            <v>134CSD</v>
          </cell>
          <cell r="C22" t="str">
            <v>161A RICHMOND STREET</v>
          </cell>
          <cell r="D22" t="str">
            <v>CHATHAM, ON</v>
          </cell>
          <cell r="E22">
            <v>253130</v>
          </cell>
          <cell r="F22">
            <v>233881</v>
          </cell>
        </row>
        <row r="23">
          <cell r="B23" t="str">
            <v>135CSD</v>
          </cell>
          <cell r="C23" t="str">
            <v>985 EGLINTON AVE. E.,</v>
          </cell>
          <cell r="D23" t="str">
            <v>MISSISSAUGA, ON</v>
          </cell>
          <cell r="E23">
            <v>426157</v>
          </cell>
          <cell r="F23">
            <v>491122</v>
          </cell>
        </row>
        <row r="24">
          <cell r="B24" t="str">
            <v>138CSD</v>
          </cell>
          <cell r="E24">
            <v>0</v>
          </cell>
          <cell r="F24">
            <v>0</v>
          </cell>
        </row>
        <row r="25">
          <cell r="B25" t="str">
            <v>141CSD</v>
          </cell>
          <cell r="C25" t="str">
            <v>320 THICKSON RD. R.R.#1</v>
          </cell>
          <cell r="D25" t="str">
            <v>WHITBY, ON</v>
          </cell>
          <cell r="E25">
            <v>414894</v>
          </cell>
          <cell r="F25">
            <v>404912</v>
          </cell>
        </row>
        <row r="26">
          <cell r="B26" t="str">
            <v>148CSD</v>
          </cell>
          <cell r="E26">
            <v>0</v>
          </cell>
          <cell r="F26">
            <v>0</v>
          </cell>
        </row>
        <row r="27">
          <cell r="B27" t="str">
            <v>149CSD</v>
          </cell>
          <cell r="C27" t="str">
            <v>734 SHEPPARD AVE. EAST,</v>
          </cell>
          <cell r="D27" t="str">
            <v>NORTH YORK, ON.</v>
          </cell>
          <cell r="E27">
            <v>240589</v>
          </cell>
          <cell r="F27">
            <v>227420</v>
          </cell>
        </row>
        <row r="28">
          <cell r="B28" t="str">
            <v>150CSD</v>
          </cell>
          <cell r="C28" t="str">
            <v>4926 BATHURST STREET</v>
          </cell>
          <cell r="D28" t="str">
            <v>TORONTO, ON</v>
          </cell>
          <cell r="E28">
            <v>312555</v>
          </cell>
          <cell r="F28">
            <v>284213</v>
          </cell>
        </row>
        <row r="29">
          <cell r="B29" t="str">
            <v>151CSD</v>
          </cell>
          <cell r="C29" t="str">
            <v>5495 EGLINTON AVE.WEST</v>
          </cell>
          <cell r="D29" t="str">
            <v>ETOBICOKE, ON</v>
          </cell>
          <cell r="E29">
            <v>340552</v>
          </cell>
          <cell r="F29">
            <v>356457</v>
          </cell>
        </row>
        <row r="30">
          <cell r="B30" t="str">
            <v>152CSD</v>
          </cell>
          <cell r="C30" t="str">
            <v>2 EAST BEAVER CREEK RD.</v>
          </cell>
          <cell r="D30" t="str">
            <v>RICHMOND HILL, ON</v>
          </cell>
          <cell r="E30">
            <v>276837</v>
          </cell>
          <cell r="F30">
            <v>272025</v>
          </cell>
        </row>
        <row r="31">
          <cell r="B31" t="str">
            <v>155CSD</v>
          </cell>
          <cell r="C31" t="str">
            <v>575 WEST STREET SOUTH UNIT 5</v>
          </cell>
          <cell r="D31" t="str">
            <v>ORILLIA, ON</v>
          </cell>
          <cell r="E31">
            <v>121961</v>
          </cell>
          <cell r="F31">
            <v>197500</v>
          </cell>
        </row>
        <row r="32">
          <cell r="B32" t="str">
            <v>168CSD</v>
          </cell>
          <cell r="C32" t="str">
            <v>1095 O'CONNOR DRIVE</v>
          </cell>
          <cell r="D32" t="str">
            <v>EAST YORK, ON</v>
          </cell>
          <cell r="E32">
            <v>360387</v>
          </cell>
          <cell r="F32">
            <v>346558</v>
          </cell>
        </row>
        <row r="33">
          <cell r="B33" t="str">
            <v>171CSD</v>
          </cell>
          <cell r="C33" t="str">
            <v>263 QUEEN ST. EAST</v>
          </cell>
          <cell r="D33" t="str">
            <v>BRAMPTON, ON</v>
          </cell>
          <cell r="E33">
            <v>412196</v>
          </cell>
          <cell r="F33">
            <v>398879</v>
          </cell>
        </row>
        <row r="34">
          <cell r="B34" t="str">
            <v>174CSD</v>
          </cell>
          <cell r="E34">
            <v>0</v>
          </cell>
          <cell r="F34">
            <v>0</v>
          </cell>
        </row>
        <row r="35">
          <cell r="B35" t="str">
            <v>180CSD</v>
          </cell>
          <cell r="C35" t="str">
            <v>1812 SCUGOG STREET WEST</v>
          </cell>
          <cell r="D35" t="str">
            <v>PORT PERRY, ON</v>
          </cell>
          <cell r="E35">
            <v>334244</v>
          </cell>
          <cell r="F35">
            <v>325100</v>
          </cell>
        </row>
        <row r="36">
          <cell r="B36" t="str">
            <v>187CSD</v>
          </cell>
          <cell r="C36" t="str">
            <v>64 KING WILLIAM STREET</v>
          </cell>
          <cell r="D36" t="str">
            <v>HUNTSVILLE, ON</v>
          </cell>
          <cell r="E36">
            <v>238261</v>
          </cell>
          <cell r="F36">
            <v>224183</v>
          </cell>
        </row>
        <row r="37">
          <cell r="B37" t="str">
            <v>189CSD</v>
          </cell>
          <cell r="C37" t="str">
            <v>3372 KEELE ST., UNIT F</v>
          </cell>
          <cell r="D37" t="str">
            <v>NORTH YORK, ON</v>
          </cell>
          <cell r="E37">
            <v>372957</v>
          </cell>
          <cell r="F37">
            <v>358150</v>
          </cell>
        </row>
        <row r="38">
          <cell r="B38" t="str">
            <v>190CSD</v>
          </cell>
          <cell r="C38" t="str">
            <v>R.R.#2 KILWORTHY</v>
          </cell>
          <cell r="D38" t="str">
            <v>GRAVENHURST, ON</v>
          </cell>
          <cell r="E38">
            <v>358924</v>
          </cell>
          <cell r="F38">
            <v>318838</v>
          </cell>
        </row>
        <row r="39">
          <cell r="B39" t="str">
            <v>192CSD</v>
          </cell>
          <cell r="C39" t="str">
            <v>861 DUFFERIN AVE.</v>
          </cell>
          <cell r="D39" t="str">
            <v>WALLACEBURG, ON</v>
          </cell>
          <cell r="E39">
            <v>645725</v>
          </cell>
          <cell r="F39">
            <v>611273</v>
          </cell>
        </row>
        <row r="40">
          <cell r="B40" t="str">
            <v>193CSD</v>
          </cell>
          <cell r="C40" t="str">
            <v>92 KING STREET EAST</v>
          </cell>
          <cell r="D40" t="str">
            <v>TORONTO, ON</v>
          </cell>
          <cell r="E40">
            <v>191086</v>
          </cell>
          <cell r="F40">
            <v>219579</v>
          </cell>
        </row>
        <row r="41">
          <cell r="B41" t="str">
            <v>198CSD</v>
          </cell>
          <cell r="E41">
            <v>0</v>
          </cell>
          <cell r="F41">
            <v>0</v>
          </cell>
        </row>
        <row r="42">
          <cell r="B42" t="str">
            <v>199CSD</v>
          </cell>
          <cell r="C42" t="str">
            <v>6585 AIRPORT ROAD</v>
          </cell>
          <cell r="D42" t="str">
            <v>MISSISSAUGA, ON</v>
          </cell>
          <cell r="E42">
            <v>528433.27</v>
          </cell>
          <cell r="F42">
            <v>508589</v>
          </cell>
        </row>
        <row r="43">
          <cell r="B43" t="str">
            <v>201CSD</v>
          </cell>
          <cell r="C43" t="str">
            <v>44 GERRARD ST.W. P.O BOX 2</v>
          </cell>
          <cell r="D43" t="str">
            <v>TORONTO, ON</v>
          </cell>
          <cell r="E43">
            <v>217197</v>
          </cell>
          <cell r="F43">
            <v>207488</v>
          </cell>
        </row>
        <row r="44">
          <cell r="B44" t="str">
            <v>202CSD</v>
          </cell>
          <cell r="C44" t="str">
            <v>606 DIXON RD</v>
          </cell>
          <cell r="D44" t="str">
            <v>ETOBICOKE, ON</v>
          </cell>
          <cell r="E44">
            <v>290027</v>
          </cell>
          <cell r="F44">
            <v>324087</v>
          </cell>
        </row>
        <row r="45">
          <cell r="B45" t="str">
            <v>211CSD</v>
          </cell>
          <cell r="E45">
            <v>0</v>
          </cell>
          <cell r="F45">
            <v>0</v>
          </cell>
        </row>
        <row r="46">
          <cell r="B46" t="str">
            <v>215CSD</v>
          </cell>
          <cell r="C46" t="str">
            <v>4200 SHEPPARD AVE.E.</v>
          </cell>
          <cell r="D46" t="str">
            <v>SCARBOROUGH, ON</v>
          </cell>
          <cell r="E46">
            <v>136282</v>
          </cell>
          <cell r="F46">
            <v>149241</v>
          </cell>
        </row>
        <row r="47">
          <cell r="B47" t="str">
            <v>222CSD</v>
          </cell>
          <cell r="E47">
            <v>0</v>
          </cell>
          <cell r="F47">
            <v>0</v>
          </cell>
        </row>
        <row r="48">
          <cell r="B48" t="str">
            <v>225CSD</v>
          </cell>
          <cell r="C48" t="str">
            <v>432 THE QUEENSWAY SOUTH</v>
          </cell>
          <cell r="D48" t="str">
            <v>KESWICK, ON</v>
          </cell>
          <cell r="E48">
            <v>542245</v>
          </cell>
          <cell r="F48">
            <v>523717</v>
          </cell>
        </row>
        <row r="49">
          <cell r="B49" t="str">
            <v>226CSD</v>
          </cell>
          <cell r="C49" t="str">
            <v>100 KING ST.W.  UNIT #213</v>
          </cell>
          <cell r="D49" t="str">
            <v>HAMILTON, ON</v>
          </cell>
          <cell r="E49">
            <v>257295</v>
          </cell>
          <cell r="F49">
            <v>254632</v>
          </cell>
        </row>
        <row r="50">
          <cell r="B50" t="str">
            <v>236CSD</v>
          </cell>
          <cell r="E50">
            <v>0</v>
          </cell>
          <cell r="F50">
            <v>0</v>
          </cell>
        </row>
        <row r="51">
          <cell r="B51" t="str">
            <v>240CSD</v>
          </cell>
          <cell r="C51" t="str">
            <v>726 KINGSTON ROAD</v>
          </cell>
          <cell r="D51" t="str">
            <v>PICKERING, ON</v>
          </cell>
          <cell r="E51">
            <v>193532</v>
          </cell>
          <cell r="F51">
            <v>190529</v>
          </cell>
        </row>
        <row r="52">
          <cell r="B52" t="str">
            <v>245CSD</v>
          </cell>
          <cell r="C52" t="str">
            <v>1185 REGIONAL ROAD 21, UNIT 1</v>
          </cell>
          <cell r="D52" t="str">
            <v>MANCHESTER, ON</v>
          </cell>
          <cell r="E52">
            <v>521390</v>
          </cell>
          <cell r="F52">
            <v>567178</v>
          </cell>
        </row>
        <row r="53">
          <cell r="B53" t="str">
            <v>246CSD</v>
          </cell>
          <cell r="C53" t="str">
            <v>6035 MCLAUGHLIN ROAD</v>
          </cell>
          <cell r="D53" t="str">
            <v>MISSISSAUGA, ON</v>
          </cell>
          <cell r="E53">
            <v>353223</v>
          </cell>
          <cell r="F53">
            <v>353711</v>
          </cell>
        </row>
        <row r="54">
          <cell r="B54" t="str">
            <v>247CSD</v>
          </cell>
          <cell r="E54">
            <v>0</v>
          </cell>
          <cell r="F54">
            <v>0</v>
          </cell>
        </row>
        <row r="55">
          <cell r="B55" t="str">
            <v>248CSD</v>
          </cell>
          <cell r="C55" t="str">
            <v>630 BURNHAMTHORPE RD.W.</v>
          </cell>
          <cell r="D55" t="str">
            <v>MISSISSAUGA, ON</v>
          </cell>
          <cell r="E55">
            <v>225781</v>
          </cell>
          <cell r="F55">
            <v>223134</v>
          </cell>
        </row>
        <row r="56">
          <cell r="B56" t="str">
            <v>249CSD</v>
          </cell>
          <cell r="C56" t="str">
            <v>104 KING STREET</v>
          </cell>
          <cell r="D56" t="str">
            <v>STONEY CREEK, ON</v>
          </cell>
          <cell r="E56">
            <v>465364</v>
          </cell>
          <cell r="F56">
            <v>384330</v>
          </cell>
        </row>
        <row r="57">
          <cell r="B57" t="str">
            <v>250CSD</v>
          </cell>
          <cell r="C57" t="str">
            <v>2867 ELLESMERE RD. CENTENARY H</v>
          </cell>
          <cell r="D57" t="str">
            <v>SCARBOROUGH, ON</v>
          </cell>
          <cell r="E57">
            <v>490795</v>
          </cell>
          <cell r="F57">
            <v>461969</v>
          </cell>
        </row>
        <row r="58">
          <cell r="B58" t="str">
            <v>252CSD</v>
          </cell>
          <cell r="C58" t="str">
            <v>1050 BROCK RD.</v>
          </cell>
          <cell r="D58" t="str">
            <v>PICKERING, ON</v>
          </cell>
          <cell r="E58">
            <v>315465</v>
          </cell>
          <cell r="F58">
            <v>318864</v>
          </cell>
        </row>
        <row r="59">
          <cell r="B59" t="str">
            <v>255CSD</v>
          </cell>
          <cell r="C59" t="str">
            <v>2040 HWY#11 SOUTH</v>
          </cell>
          <cell r="D59" t="str">
            <v>SHANTY BAY, ON</v>
          </cell>
          <cell r="E59">
            <v>272923</v>
          </cell>
          <cell r="F59">
            <v>0</v>
          </cell>
        </row>
        <row r="60">
          <cell r="B60" t="str">
            <v>257CSD</v>
          </cell>
          <cell r="E60">
            <v>0</v>
          </cell>
          <cell r="F60">
            <v>0</v>
          </cell>
        </row>
        <row r="61">
          <cell r="B61" t="str">
            <v>258CSD</v>
          </cell>
          <cell r="C61" t="str">
            <v>7575-7577 KEELE STREET</v>
          </cell>
          <cell r="D61" t="str">
            <v>CONCORD, ON</v>
          </cell>
          <cell r="E61">
            <v>462283</v>
          </cell>
          <cell r="F61">
            <v>449314</v>
          </cell>
        </row>
        <row r="62">
          <cell r="B62" t="str">
            <v>259CSD</v>
          </cell>
          <cell r="C62" t="str">
            <v>HWY #7 AND KEENE ROAD</v>
          </cell>
          <cell r="D62" t="str">
            <v>PETERBOROUGH, ON</v>
          </cell>
          <cell r="E62">
            <v>771836</v>
          </cell>
          <cell r="F62">
            <v>741738</v>
          </cell>
        </row>
        <row r="63">
          <cell r="B63" t="str">
            <v>260CSD</v>
          </cell>
          <cell r="C63" t="str">
            <v>140 ATHERLY RD.</v>
          </cell>
          <cell r="D63" t="str">
            <v>ORILLIA, ON</v>
          </cell>
          <cell r="E63">
            <v>207972</v>
          </cell>
          <cell r="F63">
            <v>223900</v>
          </cell>
        </row>
        <row r="64">
          <cell r="B64" t="str">
            <v>262CSD</v>
          </cell>
          <cell r="E64">
            <v>0</v>
          </cell>
          <cell r="F64">
            <v>0</v>
          </cell>
        </row>
        <row r="65">
          <cell r="B65" t="str">
            <v>263CSD</v>
          </cell>
          <cell r="C65" t="str">
            <v>10 ST. MARY STREET</v>
          </cell>
          <cell r="D65" t="str">
            <v>TORONTO, ON</v>
          </cell>
          <cell r="E65">
            <v>265915</v>
          </cell>
          <cell r="F65">
            <v>274228</v>
          </cell>
        </row>
        <row r="66">
          <cell r="B66" t="str">
            <v>264CSD</v>
          </cell>
          <cell r="E66">
            <v>0</v>
          </cell>
          <cell r="F66">
            <v>0</v>
          </cell>
        </row>
        <row r="67">
          <cell r="B67" t="str">
            <v>265CSD</v>
          </cell>
          <cell r="C67" t="str">
            <v>65 FRONT STREET WEST</v>
          </cell>
          <cell r="D67" t="str">
            <v>TORONTO, ON</v>
          </cell>
          <cell r="E67">
            <v>168275</v>
          </cell>
          <cell r="F67">
            <v>166818</v>
          </cell>
        </row>
        <row r="68">
          <cell r="B68" t="str">
            <v>267CSD</v>
          </cell>
          <cell r="C68" t="str">
            <v>1550 LANSDOWNE ST.W.</v>
          </cell>
          <cell r="D68" t="str">
            <v>PETERBOROUGH, ON</v>
          </cell>
          <cell r="E68">
            <v>657760</v>
          </cell>
          <cell r="F68">
            <v>639937</v>
          </cell>
        </row>
        <row r="69">
          <cell r="B69" t="str">
            <v>268CSD</v>
          </cell>
          <cell r="E69">
            <v>0</v>
          </cell>
          <cell r="F69">
            <v>0</v>
          </cell>
        </row>
        <row r="70">
          <cell r="B70" t="str">
            <v>269CSD</v>
          </cell>
          <cell r="C70" t="str">
            <v>212 QUEEN STREET</v>
          </cell>
          <cell r="D70" t="str">
            <v>BOLTON, ON</v>
          </cell>
          <cell r="E70">
            <v>342623</v>
          </cell>
          <cell r="F70">
            <v>423373</v>
          </cell>
        </row>
        <row r="71">
          <cell r="B71" t="str">
            <v>271CSD</v>
          </cell>
          <cell r="E71">
            <v>0</v>
          </cell>
          <cell r="F71">
            <v>0</v>
          </cell>
        </row>
        <row r="72">
          <cell r="B72" t="str">
            <v>272CSD</v>
          </cell>
          <cell r="C72" t="str">
            <v>2444 FINCH AVE., W.</v>
          </cell>
          <cell r="D72" t="str">
            <v>NORTH YORK, ON</v>
          </cell>
          <cell r="E72">
            <v>586020</v>
          </cell>
          <cell r="F72">
            <v>567337</v>
          </cell>
        </row>
        <row r="73">
          <cell r="B73" t="str">
            <v>273CSD</v>
          </cell>
          <cell r="C73" t="str">
            <v>7240 WOODBINE AVE.</v>
          </cell>
          <cell r="D73" t="str">
            <v>MARKHAM, ON</v>
          </cell>
          <cell r="E73">
            <v>356467</v>
          </cell>
          <cell r="F73">
            <v>310457</v>
          </cell>
        </row>
        <row r="74">
          <cell r="B74" t="str">
            <v>277CSD</v>
          </cell>
          <cell r="C74" t="str">
            <v>375 FORAN STREET</v>
          </cell>
          <cell r="D74" t="str">
            <v>NORTH BAY, ON</v>
          </cell>
          <cell r="E74">
            <v>419431</v>
          </cell>
          <cell r="F74">
            <v>423399</v>
          </cell>
        </row>
        <row r="75">
          <cell r="B75" t="str">
            <v>281CSD</v>
          </cell>
          <cell r="C75" t="str">
            <v>1737 RICHMOND ST HYLAND CENTRE</v>
          </cell>
          <cell r="D75" t="str">
            <v>LONDON, ON</v>
          </cell>
          <cell r="E75">
            <v>341661</v>
          </cell>
          <cell r="F75">
            <v>330535</v>
          </cell>
        </row>
        <row r="76">
          <cell r="B76" t="str">
            <v>282CSD</v>
          </cell>
          <cell r="C76" t="str">
            <v>14980 YONGE STREET</v>
          </cell>
          <cell r="D76" t="str">
            <v>AURORA, ON</v>
          </cell>
          <cell r="E76">
            <v>457643</v>
          </cell>
          <cell r="F76">
            <v>449704</v>
          </cell>
        </row>
        <row r="77">
          <cell r="B77" t="str">
            <v>283CSD</v>
          </cell>
          <cell r="C77" t="str">
            <v>6255 BATHURST STREET</v>
          </cell>
          <cell r="D77" t="str">
            <v>WILLOWDALE, ON</v>
          </cell>
          <cell r="E77">
            <v>458136</v>
          </cell>
          <cell r="F77">
            <v>407942.08</v>
          </cell>
        </row>
        <row r="78">
          <cell r="B78" t="str">
            <v>284CSD</v>
          </cell>
          <cell r="C78" t="str">
            <v>2037 LONG LAKE ROAD, UNIT #1</v>
          </cell>
          <cell r="D78" t="str">
            <v>SUDBURY, ON</v>
          </cell>
          <cell r="E78">
            <v>318249</v>
          </cell>
          <cell r="F78">
            <v>337372</v>
          </cell>
        </row>
        <row r="79">
          <cell r="B79" t="str">
            <v>285CSD</v>
          </cell>
          <cell r="C79" t="str">
            <v>6555 LUNDY'S LANE</v>
          </cell>
          <cell r="D79" t="str">
            <v>NIAGARA FALLS, ON</v>
          </cell>
          <cell r="E79">
            <v>257957</v>
          </cell>
          <cell r="F79">
            <v>258253</v>
          </cell>
        </row>
        <row r="80">
          <cell r="B80" t="str">
            <v>286CSD</v>
          </cell>
          <cell r="E80">
            <v>0</v>
          </cell>
          <cell r="F80">
            <v>0</v>
          </cell>
        </row>
        <row r="81">
          <cell r="B81" t="str">
            <v>287CSD</v>
          </cell>
          <cell r="C81" t="str">
            <v>1650 DERRY ROAD EAST</v>
          </cell>
          <cell r="D81" t="str">
            <v>MISSISSAUGA, ON</v>
          </cell>
          <cell r="E81">
            <v>326098</v>
          </cell>
          <cell r="F81">
            <v>324145</v>
          </cell>
        </row>
        <row r="82">
          <cell r="B82" t="str">
            <v>288CSD</v>
          </cell>
          <cell r="C82" t="str">
            <v>506 CANATARA COURT</v>
          </cell>
          <cell r="D82" t="str">
            <v>KINGSTON, ON</v>
          </cell>
          <cell r="E82">
            <v>479406</v>
          </cell>
          <cell r="F82">
            <v>427192.06</v>
          </cell>
        </row>
        <row r="83">
          <cell r="B83" t="str">
            <v>289CSD</v>
          </cell>
          <cell r="C83" t="str">
            <v>2118 KING RD.</v>
          </cell>
          <cell r="D83" t="str">
            <v>KING CITY, ON</v>
          </cell>
          <cell r="E83">
            <v>393916</v>
          </cell>
          <cell r="F83">
            <v>395681</v>
          </cell>
        </row>
        <row r="84">
          <cell r="B84" t="str">
            <v>291CSD</v>
          </cell>
          <cell r="E84">
            <v>0</v>
          </cell>
          <cell r="F84">
            <v>0</v>
          </cell>
        </row>
        <row r="85">
          <cell r="B85" t="str">
            <v>305CSD</v>
          </cell>
          <cell r="C85" t="str">
            <v>17740 YONGE STREET NORTH</v>
          </cell>
          <cell r="D85" t="str">
            <v>NEWMARKET, ON</v>
          </cell>
          <cell r="E85">
            <v>96784.36</v>
          </cell>
          <cell r="F85">
            <v>122716.32</v>
          </cell>
        </row>
        <row r="86">
          <cell r="B86" t="str">
            <v>306CSD</v>
          </cell>
          <cell r="C86" t="str">
            <v>1333 WILSON ROAD NORTH</v>
          </cell>
          <cell r="D86" t="str">
            <v>OSHAWA, ON</v>
          </cell>
          <cell r="E86">
            <v>77336.149999999994</v>
          </cell>
          <cell r="F86">
            <v>85346</v>
          </cell>
        </row>
        <row r="87">
          <cell r="B87" t="str">
            <v>309CSD</v>
          </cell>
          <cell r="C87" t="str">
            <v>6355 YONGE STREET</v>
          </cell>
          <cell r="D87" t="str">
            <v>NORTH YORK, ON</v>
          </cell>
          <cell r="E87">
            <v>604917</v>
          </cell>
          <cell r="F87">
            <v>602361</v>
          </cell>
        </row>
        <row r="88">
          <cell r="B88" t="str">
            <v>310CSD</v>
          </cell>
          <cell r="C88" t="str">
            <v>2011 HWY 11 SOUTH</v>
          </cell>
          <cell r="D88" t="str">
            <v>GRAVENHURST, ON</v>
          </cell>
          <cell r="E88">
            <v>307990</v>
          </cell>
          <cell r="F88">
            <v>272994</v>
          </cell>
        </row>
        <row r="89">
          <cell r="B89" t="str">
            <v>313CSD</v>
          </cell>
          <cell r="C89" t="str">
            <v>900 MONTREAL STREET</v>
          </cell>
          <cell r="D89" t="str">
            <v>KINGSTON, ON</v>
          </cell>
          <cell r="E89">
            <v>691747</v>
          </cell>
          <cell r="F89">
            <v>591081</v>
          </cell>
        </row>
        <row r="90">
          <cell r="B90" t="str">
            <v>314CSD</v>
          </cell>
          <cell r="C90" t="str">
            <v>1250 MAIN STREET</v>
          </cell>
          <cell r="D90" t="str">
            <v>STITTSVILLE, ON</v>
          </cell>
          <cell r="E90">
            <v>299895</v>
          </cell>
          <cell r="F90">
            <v>322606</v>
          </cell>
        </row>
        <row r="91">
          <cell r="B91" t="str">
            <v>315CSD</v>
          </cell>
          <cell r="E91">
            <v>0</v>
          </cell>
          <cell r="F91">
            <v>0</v>
          </cell>
        </row>
        <row r="92">
          <cell r="B92" t="str">
            <v>316CSD</v>
          </cell>
          <cell r="C92" t="str">
            <v>603 DAVENPORT RD.</v>
          </cell>
          <cell r="D92" t="str">
            <v>TORONTO, ON</v>
          </cell>
          <cell r="E92">
            <v>343509</v>
          </cell>
          <cell r="F92">
            <v>341640</v>
          </cell>
        </row>
        <row r="93">
          <cell r="B93" t="str">
            <v>319CSD</v>
          </cell>
          <cell r="E93">
            <v>0</v>
          </cell>
          <cell r="F93">
            <v>0</v>
          </cell>
        </row>
        <row r="94">
          <cell r="B94" t="str">
            <v>325CSD</v>
          </cell>
          <cell r="E94">
            <v>0</v>
          </cell>
          <cell r="F94">
            <v>0</v>
          </cell>
        </row>
        <row r="95">
          <cell r="B95" t="str">
            <v>326CSD</v>
          </cell>
          <cell r="C95" t="str">
            <v>3005 HWY 35 &amp; 115</v>
          </cell>
          <cell r="D95" t="str">
            <v>NEWCASTLE, ON</v>
          </cell>
          <cell r="E95">
            <v>692137</v>
          </cell>
          <cell r="F95">
            <v>658517.71</v>
          </cell>
        </row>
        <row r="96">
          <cell r="B96" t="str">
            <v>327CSD</v>
          </cell>
          <cell r="E96">
            <v>0</v>
          </cell>
          <cell r="F96">
            <v>0</v>
          </cell>
        </row>
        <row r="97">
          <cell r="B97" t="str">
            <v>329CSD</v>
          </cell>
          <cell r="C97" t="str">
            <v>1326 SIMCOE ST.N.</v>
          </cell>
          <cell r="D97" t="str">
            <v>OSHAWA, ON</v>
          </cell>
          <cell r="E97">
            <v>379499</v>
          </cell>
          <cell r="F97">
            <v>419668</v>
          </cell>
        </row>
        <row r="98">
          <cell r="B98" t="str">
            <v>330CSD</v>
          </cell>
          <cell r="C98" t="str">
            <v>205 ADVANCE BLVD.</v>
          </cell>
          <cell r="D98" t="str">
            <v>BRAMPTON, ON</v>
          </cell>
          <cell r="E98">
            <v>510394</v>
          </cell>
          <cell r="F98">
            <v>535482</v>
          </cell>
        </row>
        <row r="99">
          <cell r="B99" t="str">
            <v>331CSD</v>
          </cell>
          <cell r="C99" t="str">
            <v>6415 DIXIE RD. (ESSO STATION)</v>
          </cell>
          <cell r="D99" t="str">
            <v>MISSISSAUGA, ON</v>
          </cell>
          <cell r="E99">
            <v>100065</v>
          </cell>
          <cell r="F99">
            <v>103684</v>
          </cell>
        </row>
        <row r="100">
          <cell r="B100" t="str">
            <v>332CSD</v>
          </cell>
          <cell r="C100" t="str">
            <v>GEN.DEL,HWY 17 E &amp; INDUSTRIAL</v>
          </cell>
          <cell r="D100" t="str">
            <v>BLIND RIVER, ON</v>
          </cell>
          <cell r="E100">
            <v>265536</v>
          </cell>
          <cell r="F100">
            <v>273712</v>
          </cell>
        </row>
        <row r="101">
          <cell r="B101" t="str">
            <v>333CSD</v>
          </cell>
          <cell r="C101" t="str">
            <v>11108 YONGE STREET</v>
          </cell>
          <cell r="D101" t="str">
            <v>RICHMOND HILL, ON</v>
          </cell>
          <cell r="E101">
            <v>565418</v>
          </cell>
          <cell r="F101">
            <v>539239</v>
          </cell>
        </row>
        <row r="102">
          <cell r="B102" t="str">
            <v>335CSD</v>
          </cell>
          <cell r="C102" t="str">
            <v>107 QUEEN STREET</v>
          </cell>
          <cell r="D102" t="str">
            <v>LAKEFIELD, ON</v>
          </cell>
          <cell r="E102">
            <v>309674</v>
          </cell>
          <cell r="F102">
            <v>320529</v>
          </cell>
        </row>
        <row r="103">
          <cell r="B103" t="str">
            <v>336CSD</v>
          </cell>
          <cell r="C103" t="str">
            <v>1 INDUSTRIAL PARKWAY</v>
          </cell>
          <cell r="D103" t="str">
            <v>AURORA, ON</v>
          </cell>
          <cell r="E103">
            <v>348288</v>
          </cell>
          <cell r="F103">
            <v>362501</v>
          </cell>
        </row>
        <row r="104">
          <cell r="B104" t="str">
            <v>337CSD</v>
          </cell>
          <cell r="C104" t="str">
            <v>1401A SEYMOUR STREET</v>
          </cell>
          <cell r="D104" t="str">
            <v>NORTH BAY, ON</v>
          </cell>
          <cell r="E104">
            <v>445034</v>
          </cell>
          <cell r="F104">
            <v>459348</v>
          </cell>
        </row>
        <row r="105">
          <cell r="B105" t="str">
            <v>338CSD</v>
          </cell>
          <cell r="C105" t="str">
            <v>799 YORK MILLS ROAD</v>
          </cell>
          <cell r="D105" t="str">
            <v>NORTH YORK, ON</v>
          </cell>
          <cell r="E105">
            <v>316743.15000000002</v>
          </cell>
          <cell r="F105">
            <v>323702</v>
          </cell>
        </row>
        <row r="106">
          <cell r="B106" t="str">
            <v>339CSD</v>
          </cell>
          <cell r="C106" t="str">
            <v>2387 KINGSTON ROAD</v>
          </cell>
          <cell r="D106" t="str">
            <v>SCARBOROUGH, ON</v>
          </cell>
          <cell r="E106">
            <v>372908</v>
          </cell>
          <cell r="F106">
            <v>366309</v>
          </cell>
        </row>
        <row r="107">
          <cell r="B107" t="str">
            <v>340CSD</v>
          </cell>
          <cell r="C107" t="str">
            <v>9218 YONGE STREET</v>
          </cell>
          <cell r="D107" t="str">
            <v>RICHMOND HILL , ON</v>
          </cell>
          <cell r="E107">
            <v>516886.81</v>
          </cell>
          <cell r="F107">
            <v>522108</v>
          </cell>
        </row>
        <row r="108">
          <cell r="B108" t="str">
            <v>341CSD</v>
          </cell>
          <cell r="C108" t="str">
            <v>24398 WOODBINE AVENUE</v>
          </cell>
          <cell r="D108" t="str">
            <v>KESWICK, ON</v>
          </cell>
          <cell r="E108">
            <v>424038</v>
          </cell>
          <cell r="F108">
            <v>423407</v>
          </cell>
        </row>
        <row r="109">
          <cell r="B109" t="str">
            <v>342CSD</v>
          </cell>
          <cell r="E109">
            <v>0</v>
          </cell>
          <cell r="F109">
            <v>0</v>
          </cell>
        </row>
        <row r="110">
          <cell r="B110" t="str">
            <v>347CSD</v>
          </cell>
          <cell r="C110" t="str">
            <v>396 HOLLAND ST.W. P.O.BOX 407</v>
          </cell>
          <cell r="D110" t="str">
            <v>BRADFORD, ON</v>
          </cell>
          <cell r="E110">
            <v>494989</v>
          </cell>
          <cell r="F110">
            <v>457454</v>
          </cell>
        </row>
        <row r="111">
          <cell r="B111" t="str">
            <v>348CSD</v>
          </cell>
          <cell r="C111" t="str">
            <v>371 LORNE STREET</v>
          </cell>
          <cell r="D111" t="str">
            <v>SUDBURY, ON</v>
          </cell>
          <cell r="E111">
            <v>472225</v>
          </cell>
          <cell r="F111">
            <v>444922</v>
          </cell>
        </row>
        <row r="112">
          <cell r="B112" t="str">
            <v>349CSD</v>
          </cell>
          <cell r="C112" t="str">
            <v>821 DIVISION STREET</v>
          </cell>
          <cell r="D112" t="str">
            <v>COBOURG, ON</v>
          </cell>
          <cell r="E112">
            <v>504203</v>
          </cell>
          <cell r="F112">
            <v>462224</v>
          </cell>
        </row>
        <row r="113">
          <cell r="B113" t="str">
            <v>350CSD</v>
          </cell>
          <cell r="C113" t="str">
            <v>197 GEORGE STREET NORTH</v>
          </cell>
          <cell r="D113" t="str">
            <v>PETERBOROUGH, ON</v>
          </cell>
          <cell r="E113">
            <v>228623</v>
          </cell>
          <cell r="F113">
            <v>257206</v>
          </cell>
        </row>
        <row r="114">
          <cell r="B114" t="str">
            <v>351CSD</v>
          </cell>
          <cell r="C114" t="str">
            <v>1735 KIPLING AVENUE</v>
          </cell>
          <cell r="D114" t="str">
            <v>ETOBICOKE, ON</v>
          </cell>
          <cell r="E114">
            <v>411339</v>
          </cell>
          <cell r="F114">
            <v>378203</v>
          </cell>
        </row>
        <row r="115">
          <cell r="B115" t="str">
            <v>353CSD</v>
          </cell>
          <cell r="C115" t="str">
            <v>2050B VICTORIA PARK AVENUE</v>
          </cell>
          <cell r="D115" t="str">
            <v>NORTH YORK, ON</v>
          </cell>
          <cell r="E115">
            <v>351067</v>
          </cell>
          <cell r="F115">
            <v>353430</v>
          </cell>
        </row>
        <row r="116">
          <cell r="B116" t="str">
            <v>354CSD</v>
          </cell>
          <cell r="C116" t="str">
            <v>131 TIFFIN STREET EAST</v>
          </cell>
          <cell r="D116" t="str">
            <v>BARRIE, ON</v>
          </cell>
          <cell r="E116">
            <v>499999</v>
          </cell>
          <cell r="F116">
            <v>446643</v>
          </cell>
        </row>
        <row r="117">
          <cell r="B117" t="str">
            <v>356CSD</v>
          </cell>
          <cell r="C117" t="str">
            <v>2512 JANE STREET</v>
          </cell>
          <cell r="D117" t="str">
            <v>NORTH YORK, ON</v>
          </cell>
          <cell r="E117">
            <v>573448</v>
          </cell>
          <cell r="F117">
            <v>507448</v>
          </cell>
        </row>
        <row r="118">
          <cell r="B118" t="str">
            <v>358CSD</v>
          </cell>
          <cell r="C118" t="str">
            <v>HWY 11 NORTHBOUND &amp; 2ND LINE</v>
          </cell>
          <cell r="D118" t="str">
            <v>SHANTY BAY, ON</v>
          </cell>
          <cell r="E118">
            <v>384792</v>
          </cell>
          <cell r="F118">
            <v>362722</v>
          </cell>
        </row>
        <row r="119">
          <cell r="B119" t="str">
            <v>361CSD</v>
          </cell>
          <cell r="C119" t="str">
            <v>2781 DUFFERIN ST.</v>
          </cell>
          <cell r="D119" t="str">
            <v>NORTH YORK, ON</v>
          </cell>
          <cell r="E119">
            <v>540608</v>
          </cell>
          <cell r="F119">
            <v>531811</v>
          </cell>
        </row>
        <row r="120">
          <cell r="B120" t="str">
            <v>363CSD</v>
          </cell>
          <cell r="C120" t="str">
            <v>1 RICHMOND BOULEVARD</v>
          </cell>
          <cell r="D120" t="str">
            <v>NAPANEE, ON</v>
          </cell>
          <cell r="E120">
            <v>581506</v>
          </cell>
          <cell r="F120">
            <v>534031</v>
          </cell>
        </row>
        <row r="121">
          <cell r="B121" t="str">
            <v>364CSD</v>
          </cell>
          <cell r="C121" t="str">
            <v>66 OVERLEA BLVD.</v>
          </cell>
          <cell r="D121" t="str">
            <v>EAST YORK, ON</v>
          </cell>
          <cell r="E121">
            <v>339600</v>
          </cell>
          <cell r="F121">
            <v>348988</v>
          </cell>
        </row>
        <row r="122">
          <cell r="B122" t="str">
            <v>365CSD</v>
          </cell>
          <cell r="C122" t="str">
            <v>1160 HIGHBURY AVENUE</v>
          </cell>
          <cell r="D122" t="str">
            <v>LONDON, ON</v>
          </cell>
          <cell r="E122">
            <v>273684</v>
          </cell>
          <cell r="F122">
            <v>273710</v>
          </cell>
        </row>
        <row r="123">
          <cell r="B123" t="str">
            <v>367CSD</v>
          </cell>
          <cell r="C123" t="str">
            <v>1387 EAST 41ST STREET</v>
          </cell>
          <cell r="D123" t="str">
            <v>VANCOUVER, B.C.</v>
          </cell>
          <cell r="E123">
            <v>0</v>
          </cell>
          <cell r="F123">
            <v>0</v>
          </cell>
        </row>
        <row r="124">
          <cell r="B124" t="str">
            <v>369CSD</v>
          </cell>
          <cell r="C124" t="str">
            <v>288 BLOOR ST.WEST</v>
          </cell>
          <cell r="D124" t="str">
            <v>OSHAWA, ON</v>
          </cell>
          <cell r="E124">
            <v>491449</v>
          </cell>
          <cell r="F124">
            <v>475613</v>
          </cell>
        </row>
        <row r="125">
          <cell r="B125" t="str">
            <v>372CSD</v>
          </cell>
          <cell r="C125" t="str">
            <v>2281 KIPLING AVENUE</v>
          </cell>
          <cell r="D125" t="str">
            <v>ETOBICOKE, ON</v>
          </cell>
          <cell r="E125">
            <v>640811</v>
          </cell>
          <cell r="F125">
            <v>527315</v>
          </cell>
        </row>
        <row r="126">
          <cell r="B126" t="str">
            <v>373CSD</v>
          </cell>
          <cell r="C126" t="str">
            <v>828 CHEMONG ROAD</v>
          </cell>
          <cell r="D126" t="str">
            <v>PETERBOROUGH, ON</v>
          </cell>
          <cell r="E126">
            <v>66045</v>
          </cell>
          <cell r="F126">
            <v>57000</v>
          </cell>
        </row>
        <row r="127">
          <cell r="B127" t="str">
            <v>375CSD</v>
          </cell>
          <cell r="E127">
            <v>0</v>
          </cell>
          <cell r="F127">
            <v>0</v>
          </cell>
        </row>
        <row r="128">
          <cell r="B128" t="str">
            <v>376CSD</v>
          </cell>
          <cell r="C128" t="str">
            <v>5964 HIGHWAY #9</v>
          </cell>
          <cell r="D128" t="str">
            <v>NEW TECUMSETH, ON</v>
          </cell>
          <cell r="E128">
            <v>567008</v>
          </cell>
          <cell r="F128">
            <v>509303.53</v>
          </cell>
        </row>
        <row r="129">
          <cell r="B129" t="str">
            <v>380CSD</v>
          </cell>
          <cell r="C129" t="str">
            <v>590 KEELE ST.</v>
          </cell>
          <cell r="D129" t="str">
            <v>TORONTO, ON</v>
          </cell>
          <cell r="E129">
            <v>542862</v>
          </cell>
          <cell r="F129">
            <v>496930</v>
          </cell>
        </row>
        <row r="130">
          <cell r="B130" t="str">
            <v>381CSD</v>
          </cell>
          <cell r="C130" t="str">
            <v>554 LANSDOWNE ST., W.</v>
          </cell>
          <cell r="D130" t="str">
            <v>PETERBOROUGH, ON</v>
          </cell>
          <cell r="E130">
            <v>329486</v>
          </cell>
          <cell r="F130">
            <v>316093</v>
          </cell>
        </row>
        <row r="131">
          <cell r="B131" t="str">
            <v>383CSD</v>
          </cell>
          <cell r="C131" t="str">
            <v>120 BRICKYARD WAY, BLDG C</v>
          </cell>
          <cell r="D131" t="str">
            <v>BRAMPTON, ON</v>
          </cell>
          <cell r="E131">
            <v>416068.44</v>
          </cell>
          <cell r="F131">
            <v>401540</v>
          </cell>
        </row>
        <row r="132">
          <cell r="B132" t="str">
            <v>384CSD</v>
          </cell>
          <cell r="C132" t="str">
            <v>1465 AEROWOOD DRIVE</v>
          </cell>
          <cell r="D132" t="str">
            <v>MISSISSAUGA, ON</v>
          </cell>
          <cell r="E132">
            <v>536905</v>
          </cell>
          <cell r="F132">
            <v>548421</v>
          </cell>
        </row>
        <row r="133">
          <cell r="B133" t="str">
            <v>385CSD</v>
          </cell>
          <cell r="C133" t="str">
            <v>1585 WARDEN AVENUE</v>
          </cell>
          <cell r="D133" t="str">
            <v>SCARBOROUGH, ON</v>
          </cell>
          <cell r="E133">
            <v>414590</v>
          </cell>
          <cell r="F133">
            <v>370620</v>
          </cell>
        </row>
        <row r="134">
          <cell r="B134" t="str">
            <v>386CSD</v>
          </cell>
          <cell r="C134" t="str">
            <v>537 HESPELER ROAD</v>
          </cell>
          <cell r="D134" t="str">
            <v>CAMBRIDGE, ON</v>
          </cell>
          <cell r="E134">
            <v>236523</v>
          </cell>
          <cell r="F134">
            <v>209706</v>
          </cell>
        </row>
        <row r="135">
          <cell r="B135" t="str">
            <v>387CSD</v>
          </cell>
          <cell r="C135" t="str">
            <v>334 DUNDAS ST.E.</v>
          </cell>
          <cell r="D135" t="str">
            <v>MISSISSAUGA, ON</v>
          </cell>
          <cell r="E135">
            <v>422556</v>
          </cell>
          <cell r="F135">
            <v>387739</v>
          </cell>
        </row>
        <row r="136">
          <cell r="B136" t="str">
            <v>389CSD</v>
          </cell>
          <cell r="E136">
            <v>0</v>
          </cell>
          <cell r="F136">
            <v>0</v>
          </cell>
        </row>
        <row r="137">
          <cell r="B137" t="str">
            <v>392CSD</v>
          </cell>
          <cell r="C137" t="str">
            <v>929 QUEEN ST.E.</v>
          </cell>
          <cell r="D137" t="str">
            <v>TORONTO, ON</v>
          </cell>
          <cell r="E137">
            <v>299110</v>
          </cell>
          <cell r="F137">
            <v>288035</v>
          </cell>
        </row>
        <row r="138">
          <cell r="B138" t="str">
            <v>393CSD</v>
          </cell>
          <cell r="C138" t="str">
            <v>204 HAMILTON RD.</v>
          </cell>
          <cell r="D138" t="str">
            <v>LONDON, ON</v>
          </cell>
          <cell r="E138">
            <v>435609.15</v>
          </cell>
          <cell r="F138">
            <v>467974</v>
          </cell>
        </row>
        <row r="139">
          <cell r="B139" t="str">
            <v>394CSD</v>
          </cell>
          <cell r="C139" t="str">
            <v>210 PINEBUSH ROAD</v>
          </cell>
          <cell r="D139" t="str">
            <v>CAMBRIDGE, ON</v>
          </cell>
          <cell r="E139">
            <v>246998</v>
          </cell>
          <cell r="F139">
            <v>199710</v>
          </cell>
        </row>
        <row r="140">
          <cell r="B140" t="str">
            <v>395CSD</v>
          </cell>
          <cell r="C140" t="str">
            <v>960 DUNDAS STREET WEST</v>
          </cell>
          <cell r="D140" t="str">
            <v>WHITBY, ON</v>
          </cell>
          <cell r="E140">
            <v>364868</v>
          </cell>
          <cell r="F140">
            <v>390059</v>
          </cell>
        </row>
        <row r="141">
          <cell r="B141" t="str">
            <v>396CSD</v>
          </cell>
          <cell r="C141" t="str">
            <v>11 JACOB KEFFER PARKWAY</v>
          </cell>
          <cell r="D141" t="str">
            <v>VAUGHAN, ON</v>
          </cell>
          <cell r="E141">
            <v>335682</v>
          </cell>
          <cell r="F141">
            <v>348753</v>
          </cell>
        </row>
        <row r="142">
          <cell r="B142" t="str">
            <v>399CSD</v>
          </cell>
          <cell r="C142" t="str">
            <v>362 LAKESHORE ROAD EAST</v>
          </cell>
          <cell r="D142" t="str">
            <v>MISSISSAUGA, ON</v>
          </cell>
          <cell r="E142">
            <v>356647</v>
          </cell>
          <cell r="F142">
            <v>336039</v>
          </cell>
        </row>
        <row r="143">
          <cell r="B143" t="str">
            <v>400BMB</v>
          </cell>
          <cell r="C143" t="str">
            <v>3-32905 VENTURA AVENUE</v>
          </cell>
          <cell r="D143" t="str">
            <v>ABBOTSFORD, B.C.</v>
          </cell>
          <cell r="E143">
            <v>196406</v>
          </cell>
          <cell r="F143">
            <v>217036</v>
          </cell>
        </row>
        <row r="144">
          <cell r="B144" t="str">
            <v>400CSD</v>
          </cell>
          <cell r="C144" t="str">
            <v>1156-58 KENNEDY ROAD</v>
          </cell>
          <cell r="D144" t="str">
            <v>SCARBOROUGH, ON</v>
          </cell>
          <cell r="E144">
            <v>409209</v>
          </cell>
          <cell r="F144">
            <v>380577</v>
          </cell>
        </row>
        <row r="145">
          <cell r="B145" t="str">
            <v>401BMB</v>
          </cell>
          <cell r="C145" t="str">
            <v>96 VICTORIA STREET</v>
          </cell>
          <cell r="D145" t="str">
            <v>BARRIE, ON</v>
          </cell>
          <cell r="E145">
            <v>682396</v>
          </cell>
          <cell r="F145">
            <v>647839</v>
          </cell>
        </row>
        <row r="146">
          <cell r="B146" t="str">
            <v>402BMB</v>
          </cell>
          <cell r="E146">
            <v>0</v>
          </cell>
          <cell r="F146">
            <v>0</v>
          </cell>
        </row>
        <row r="147">
          <cell r="B147" t="str">
            <v>402CSD</v>
          </cell>
          <cell r="C147" t="str">
            <v>1146 VICTORIA ST.RR1GEN.DEL'V'</v>
          </cell>
          <cell r="D147" t="str">
            <v>ROSSEAU, ON</v>
          </cell>
          <cell r="E147">
            <v>0</v>
          </cell>
          <cell r="F147">
            <v>0</v>
          </cell>
        </row>
        <row r="148">
          <cell r="B148" t="str">
            <v>403BMB</v>
          </cell>
          <cell r="E148">
            <v>0</v>
          </cell>
          <cell r="F148">
            <v>0</v>
          </cell>
        </row>
        <row r="149">
          <cell r="B149" t="str">
            <v>404CSD</v>
          </cell>
          <cell r="C149" t="str">
            <v>1620 BIRCHMOUNT ROAD</v>
          </cell>
          <cell r="D149" t="str">
            <v>SCARBOROUGH, ON</v>
          </cell>
          <cell r="E149">
            <v>289778</v>
          </cell>
          <cell r="F149">
            <v>270203</v>
          </cell>
        </row>
        <row r="150">
          <cell r="B150" t="str">
            <v>406CSD</v>
          </cell>
          <cell r="C150" t="str">
            <v>490 BAYFIELD ST. NORTH</v>
          </cell>
          <cell r="D150" t="str">
            <v>BARRIE, ON</v>
          </cell>
          <cell r="E150">
            <v>314288</v>
          </cell>
          <cell r="F150">
            <v>284077</v>
          </cell>
        </row>
        <row r="151">
          <cell r="B151" t="str">
            <v>407BMB</v>
          </cell>
          <cell r="C151" t="str">
            <v>7832-6TH STREET</v>
          </cell>
          <cell r="D151" t="str">
            <v>BURNABY, B.C.</v>
          </cell>
          <cell r="E151">
            <v>277679</v>
          </cell>
          <cell r="F151">
            <v>306293</v>
          </cell>
        </row>
        <row r="152">
          <cell r="B152" t="str">
            <v>408BMB</v>
          </cell>
          <cell r="E152">
            <v>0</v>
          </cell>
          <cell r="F152">
            <v>0</v>
          </cell>
        </row>
        <row r="153">
          <cell r="B153" t="str">
            <v>409CSD</v>
          </cell>
          <cell r="E153">
            <v>0</v>
          </cell>
          <cell r="F153">
            <v>0</v>
          </cell>
        </row>
        <row r="154">
          <cell r="B154" t="str">
            <v>410CSD</v>
          </cell>
          <cell r="E154">
            <v>0</v>
          </cell>
          <cell r="F154">
            <v>0</v>
          </cell>
        </row>
        <row r="155">
          <cell r="B155" t="str">
            <v>411CSD</v>
          </cell>
          <cell r="C155" t="str">
            <v>304 TORONTO STREET SOUTH</v>
          </cell>
          <cell r="D155" t="str">
            <v>UXBRIDGE, ON</v>
          </cell>
          <cell r="E155">
            <v>465769</v>
          </cell>
          <cell r="F155">
            <v>403550</v>
          </cell>
        </row>
        <row r="156">
          <cell r="B156" t="str">
            <v>413BMB</v>
          </cell>
          <cell r="C156" t="str">
            <v>46 WELLINGTON ST.W.</v>
          </cell>
          <cell r="D156" t="str">
            <v>CHATHAM, ON</v>
          </cell>
          <cell r="E156">
            <v>341543</v>
          </cell>
          <cell r="F156">
            <v>347044</v>
          </cell>
        </row>
        <row r="157">
          <cell r="B157" t="str">
            <v>413CSD</v>
          </cell>
          <cell r="C157" t="str">
            <v>28 BRIDGE STREET</v>
          </cell>
          <cell r="D157" t="str">
            <v>BRADFORD, ON</v>
          </cell>
          <cell r="E157">
            <v>319179</v>
          </cell>
          <cell r="F157">
            <v>304489</v>
          </cell>
        </row>
        <row r="158">
          <cell r="B158" t="str">
            <v>414CSD</v>
          </cell>
          <cell r="C158" t="str">
            <v>598 ONTARIO STREET SOUTH</v>
          </cell>
          <cell r="D158" t="str">
            <v>MILTON, ON</v>
          </cell>
          <cell r="E158">
            <v>271165</v>
          </cell>
          <cell r="F158">
            <v>248835</v>
          </cell>
        </row>
        <row r="159">
          <cell r="B159" t="str">
            <v>415BMB</v>
          </cell>
          <cell r="C159" t="str">
            <v>726 ONTARIO STREET</v>
          </cell>
          <cell r="D159" t="str">
            <v>COBOURG, ON</v>
          </cell>
          <cell r="E159">
            <v>39043</v>
          </cell>
          <cell r="F159">
            <v>52812</v>
          </cell>
        </row>
        <row r="160">
          <cell r="B160" t="str">
            <v>417BMB</v>
          </cell>
          <cell r="C160" t="str">
            <v>#107-2071 KINGSWAY</v>
          </cell>
          <cell r="D160" t="str">
            <v>PORT COQUITLAM, B.C.</v>
          </cell>
          <cell r="E160">
            <v>254252</v>
          </cell>
          <cell r="F160">
            <v>257865</v>
          </cell>
        </row>
        <row r="161">
          <cell r="B161" t="str">
            <v>417CSD</v>
          </cell>
          <cell r="C161" t="str">
            <v>681 CHRISLEA ROAD</v>
          </cell>
          <cell r="D161" t="str">
            <v>VAUGHAN, ON</v>
          </cell>
          <cell r="E161">
            <v>743231</v>
          </cell>
          <cell r="F161">
            <v>659423</v>
          </cell>
        </row>
        <row r="162">
          <cell r="B162" t="str">
            <v>418BMB</v>
          </cell>
          <cell r="C162" t="str">
            <v>900 PITT STREET</v>
          </cell>
          <cell r="D162" t="str">
            <v>CORNWALL, ON</v>
          </cell>
          <cell r="E162">
            <v>247051</v>
          </cell>
          <cell r="F162">
            <v>239989</v>
          </cell>
        </row>
        <row r="163">
          <cell r="B163" t="str">
            <v>418CSD</v>
          </cell>
          <cell r="C163" t="str">
            <v>169-C FRONT STREET</v>
          </cell>
          <cell r="D163" t="str">
            <v>STURGEON FALLS, ON</v>
          </cell>
          <cell r="E163">
            <v>321992.09999999998</v>
          </cell>
          <cell r="F163">
            <v>258334</v>
          </cell>
        </row>
        <row r="164">
          <cell r="B164" t="str">
            <v>419BMB</v>
          </cell>
          <cell r="C164" t="str">
            <v>445-10TH ST.</v>
          </cell>
          <cell r="D164" t="str">
            <v>COURTENAY, B.C.</v>
          </cell>
          <cell r="E164">
            <v>371177</v>
          </cell>
          <cell r="F164">
            <v>404757</v>
          </cell>
        </row>
        <row r="165">
          <cell r="B165" t="str">
            <v>420BMB</v>
          </cell>
          <cell r="C165" t="str">
            <v>216 SLATER ROAD N.W.</v>
          </cell>
          <cell r="D165" t="str">
            <v>CRANBROOK, B.C.</v>
          </cell>
          <cell r="E165">
            <v>164365</v>
          </cell>
          <cell r="F165">
            <v>175485</v>
          </cell>
        </row>
        <row r="166">
          <cell r="B166" t="str">
            <v>420CSD</v>
          </cell>
          <cell r="C166" t="str">
            <v>5401 STEELES AVE., WEST</v>
          </cell>
          <cell r="D166" t="str">
            <v>TORONTO, ON</v>
          </cell>
          <cell r="E166">
            <v>294188</v>
          </cell>
          <cell r="F166">
            <v>285533</v>
          </cell>
        </row>
        <row r="167">
          <cell r="B167" t="str">
            <v>421BMB</v>
          </cell>
          <cell r="C167" t="str">
            <v>#3-11161 -84TH AVENUE</v>
          </cell>
          <cell r="D167" t="str">
            <v>DELTA, B.C.</v>
          </cell>
          <cell r="E167">
            <v>73626</v>
          </cell>
          <cell r="F167">
            <v>90355</v>
          </cell>
        </row>
        <row r="168">
          <cell r="B168" t="str">
            <v>421CSD</v>
          </cell>
          <cell r="C168" t="str">
            <v>1681 WILSON AVE.</v>
          </cell>
          <cell r="D168" t="str">
            <v>TORONTO, ON</v>
          </cell>
          <cell r="E168">
            <v>420648</v>
          </cell>
          <cell r="F168">
            <v>358200</v>
          </cell>
        </row>
        <row r="169">
          <cell r="B169" t="str">
            <v>422BMB</v>
          </cell>
          <cell r="E169">
            <v>0</v>
          </cell>
          <cell r="F169">
            <v>0</v>
          </cell>
        </row>
        <row r="170">
          <cell r="B170" t="str">
            <v>422CSD</v>
          </cell>
          <cell r="C170" t="str">
            <v>MALVERN TOWN CTR. 31 TAPSCOTT</v>
          </cell>
          <cell r="D170" t="str">
            <v>SCARBOROUGH, ON</v>
          </cell>
          <cell r="E170">
            <v>162142</v>
          </cell>
          <cell r="F170">
            <v>159302</v>
          </cell>
        </row>
        <row r="171">
          <cell r="B171" t="str">
            <v>424CSD</v>
          </cell>
          <cell r="C171" t="str">
            <v>688 HESPELER ROAD</v>
          </cell>
          <cell r="D171" t="str">
            <v>CAMBRIDGE, ON</v>
          </cell>
          <cell r="E171">
            <v>28961</v>
          </cell>
          <cell r="F171">
            <v>14000</v>
          </cell>
        </row>
        <row r="172">
          <cell r="B172" t="str">
            <v>425BMB</v>
          </cell>
          <cell r="C172" t="str">
            <v>853 KIPLING AVENUE</v>
          </cell>
          <cell r="D172" t="str">
            <v>ETOBICOKE, ON</v>
          </cell>
          <cell r="E172">
            <v>526196</v>
          </cell>
          <cell r="F172">
            <v>541713</v>
          </cell>
        </row>
        <row r="173">
          <cell r="B173" t="str">
            <v>425CSD</v>
          </cell>
          <cell r="E173">
            <v>0</v>
          </cell>
          <cell r="F173">
            <v>0</v>
          </cell>
        </row>
        <row r="174">
          <cell r="B174" t="str">
            <v>426BMB</v>
          </cell>
          <cell r="E174">
            <v>0</v>
          </cell>
          <cell r="F174">
            <v>0</v>
          </cell>
        </row>
        <row r="175">
          <cell r="B175" t="str">
            <v>426CSD</v>
          </cell>
          <cell r="C175" t="str">
            <v>1533 JANE ST.</v>
          </cell>
          <cell r="D175" t="str">
            <v>TORONTO, ON</v>
          </cell>
          <cell r="E175">
            <v>395096</v>
          </cell>
          <cell r="F175">
            <v>339028</v>
          </cell>
        </row>
        <row r="176">
          <cell r="B176" t="str">
            <v>427CSD</v>
          </cell>
          <cell r="C176" t="str">
            <v>16654 YONGE STREET</v>
          </cell>
          <cell r="D176" t="str">
            <v>NEWMARKET, ON</v>
          </cell>
          <cell r="E176">
            <v>395301</v>
          </cell>
          <cell r="F176">
            <v>347624.79</v>
          </cell>
        </row>
        <row r="177">
          <cell r="B177" t="str">
            <v>430BMB</v>
          </cell>
          <cell r="C177" t="str">
            <v>256 SILVERCREEK PARKWAY</v>
          </cell>
          <cell r="D177" t="str">
            <v>GUELPH, ON</v>
          </cell>
          <cell r="E177">
            <v>685576</v>
          </cell>
          <cell r="F177">
            <v>698420</v>
          </cell>
        </row>
        <row r="178">
          <cell r="B178" t="str">
            <v>431BMB</v>
          </cell>
          <cell r="E178">
            <v>0</v>
          </cell>
          <cell r="F178">
            <v>0</v>
          </cell>
        </row>
        <row r="179">
          <cell r="B179" t="str">
            <v>433BMB</v>
          </cell>
          <cell r="C179" t="str">
            <v>325 REGENT STREET</v>
          </cell>
          <cell r="D179" t="str">
            <v>HAWKESBURY, ON</v>
          </cell>
          <cell r="E179">
            <v>190522</v>
          </cell>
          <cell r="F179">
            <v>219535</v>
          </cell>
        </row>
        <row r="180">
          <cell r="B180" t="str">
            <v>435BMB</v>
          </cell>
          <cell r="E180">
            <v>0</v>
          </cell>
          <cell r="F180">
            <v>0</v>
          </cell>
        </row>
        <row r="181">
          <cell r="B181" t="str">
            <v>435CSD</v>
          </cell>
          <cell r="E181">
            <v>0</v>
          </cell>
          <cell r="F181">
            <v>0</v>
          </cell>
        </row>
        <row r="182">
          <cell r="B182" t="str">
            <v>436BMB</v>
          </cell>
          <cell r="E182">
            <v>0</v>
          </cell>
          <cell r="F182">
            <v>0</v>
          </cell>
        </row>
        <row r="183">
          <cell r="B183" t="str">
            <v>436CSD</v>
          </cell>
          <cell r="C183" t="str">
            <v>38 MAIN STREET</v>
          </cell>
          <cell r="D183" t="str">
            <v>COLDWATER, ON</v>
          </cell>
          <cell r="E183">
            <v>405115.48</v>
          </cell>
          <cell r="F183">
            <v>349751</v>
          </cell>
        </row>
        <row r="184">
          <cell r="B184" t="str">
            <v>437CSD</v>
          </cell>
          <cell r="C184" t="str">
            <v>1 FISHERMAN DR.</v>
          </cell>
          <cell r="D184" t="str">
            <v>BRAMPTON, ON</v>
          </cell>
          <cell r="E184">
            <v>259216.97</v>
          </cell>
          <cell r="F184">
            <v>220800</v>
          </cell>
        </row>
        <row r="185">
          <cell r="B185" t="str">
            <v>438CSD</v>
          </cell>
          <cell r="C185" t="str">
            <v>932 BROCK STREET N.</v>
          </cell>
          <cell r="D185" t="str">
            <v>WHITBY, ON</v>
          </cell>
          <cell r="E185">
            <v>123131</v>
          </cell>
          <cell r="F185">
            <v>133119</v>
          </cell>
        </row>
        <row r="186">
          <cell r="B186" t="str">
            <v>439BMB</v>
          </cell>
          <cell r="C186" t="str">
            <v>20771 LANGLEY BYPASS HWY</v>
          </cell>
          <cell r="D186" t="str">
            <v>LANGLEY, B.C.</v>
          </cell>
          <cell r="E186">
            <v>364075</v>
          </cell>
          <cell r="F186">
            <v>409098</v>
          </cell>
        </row>
        <row r="187">
          <cell r="B187" t="str">
            <v>439CSD</v>
          </cell>
          <cell r="C187" t="str">
            <v>5060 SHEPPARD AVE. EAST</v>
          </cell>
          <cell r="D187" t="str">
            <v>SCARBOROUGH, ON</v>
          </cell>
          <cell r="E187">
            <v>166916</v>
          </cell>
          <cell r="F187">
            <v>145740</v>
          </cell>
        </row>
        <row r="188">
          <cell r="B188" t="str">
            <v>442BMB</v>
          </cell>
          <cell r="E188">
            <v>0</v>
          </cell>
          <cell r="F188">
            <v>0</v>
          </cell>
        </row>
        <row r="189">
          <cell r="B189" t="str">
            <v>442CSD</v>
          </cell>
          <cell r="C189" t="str">
            <v>2270 MARKHAM ROAD</v>
          </cell>
          <cell r="D189" t="str">
            <v>TORONTO, ON</v>
          </cell>
          <cell r="E189">
            <v>219236</v>
          </cell>
          <cell r="F189">
            <v>135100</v>
          </cell>
        </row>
        <row r="190">
          <cell r="B190" t="str">
            <v>443CSD</v>
          </cell>
          <cell r="C190" t="str">
            <v xml:space="preserve">5886 MAIN STREET </v>
          </cell>
          <cell r="D190" t="str">
            <v xml:space="preserve">STOUFFVILLE, ON </v>
          </cell>
          <cell r="E190">
            <v>430153</v>
          </cell>
          <cell r="F190">
            <v>0</v>
          </cell>
        </row>
        <row r="191">
          <cell r="B191" t="str">
            <v>448CSD</v>
          </cell>
          <cell r="C191" t="str">
            <v>828 CHEMONG ROAD</v>
          </cell>
          <cell r="D191" t="str">
            <v>PETERBOROUGH, ON</v>
          </cell>
          <cell r="E191">
            <v>213376.74</v>
          </cell>
          <cell r="F191">
            <v>0</v>
          </cell>
        </row>
        <row r="192">
          <cell r="B192" t="str">
            <v>451BMB</v>
          </cell>
          <cell r="C192" t="str">
            <v>1713-15 MAIN STREET</v>
          </cell>
          <cell r="D192" t="str">
            <v>MOOSE JAW, SK</v>
          </cell>
          <cell r="E192">
            <v>383617</v>
          </cell>
          <cell r="F192">
            <v>421508</v>
          </cell>
        </row>
        <row r="193">
          <cell r="B193" t="str">
            <v>452BMB</v>
          </cell>
          <cell r="C193" t="str">
            <v>1708 BOWEN ROAD</v>
          </cell>
          <cell r="D193" t="str">
            <v>NANAIMO, B.C.</v>
          </cell>
          <cell r="E193">
            <v>225768</v>
          </cell>
          <cell r="F193">
            <v>204188</v>
          </cell>
        </row>
        <row r="194">
          <cell r="B194" t="str">
            <v>455BMB</v>
          </cell>
          <cell r="E194">
            <v>0</v>
          </cell>
          <cell r="F194">
            <v>0</v>
          </cell>
        </row>
        <row r="195">
          <cell r="B195" t="str">
            <v>457BMB</v>
          </cell>
          <cell r="C195" t="str">
            <v>745 CLARENCE STREET</v>
          </cell>
          <cell r="D195" t="str">
            <v>NORTH BAY, ON</v>
          </cell>
          <cell r="E195">
            <v>404449</v>
          </cell>
          <cell r="F195">
            <v>426431</v>
          </cell>
        </row>
        <row r="196">
          <cell r="B196" t="str">
            <v>463BMB</v>
          </cell>
          <cell r="E196">
            <v>0</v>
          </cell>
          <cell r="F196">
            <v>0</v>
          </cell>
        </row>
        <row r="197">
          <cell r="B197" t="str">
            <v>464BMB</v>
          </cell>
          <cell r="C197" t="str">
            <v>2447-B KALADAR STREET</v>
          </cell>
          <cell r="D197" t="str">
            <v>OTTAWA, ON</v>
          </cell>
          <cell r="E197">
            <v>387975</v>
          </cell>
          <cell r="F197">
            <v>358422.79</v>
          </cell>
        </row>
        <row r="198">
          <cell r="B198" t="str">
            <v>465BMB</v>
          </cell>
          <cell r="C198" t="str">
            <v>471 HAZELDEAN ROAD</v>
          </cell>
          <cell r="D198" t="str">
            <v>KANATA, ON</v>
          </cell>
          <cell r="E198">
            <v>192328</v>
          </cell>
          <cell r="F198">
            <v>216474</v>
          </cell>
        </row>
        <row r="199">
          <cell r="B199" t="str">
            <v>468BMB</v>
          </cell>
          <cell r="C199" t="str">
            <v>130 HOWARD STREET</v>
          </cell>
          <cell r="D199" t="str">
            <v>PEMBROKE, ON</v>
          </cell>
          <cell r="E199">
            <v>361110</v>
          </cell>
          <cell r="F199">
            <v>303006</v>
          </cell>
        </row>
        <row r="200">
          <cell r="B200" t="str">
            <v>469BMB</v>
          </cell>
          <cell r="C200" t="str">
            <v>102-351 WESTMINSTER AVENUE</v>
          </cell>
          <cell r="D200" t="str">
            <v>PENTICTON, B.C.</v>
          </cell>
          <cell r="E200">
            <v>268062</v>
          </cell>
          <cell r="F200">
            <v>252071</v>
          </cell>
        </row>
        <row r="201">
          <cell r="B201" t="str">
            <v>472BMB</v>
          </cell>
          <cell r="E201">
            <v>0</v>
          </cell>
          <cell r="F201">
            <v>0</v>
          </cell>
        </row>
        <row r="202">
          <cell r="B202" t="str">
            <v>473BMB</v>
          </cell>
          <cell r="E202">
            <v>0</v>
          </cell>
          <cell r="F202">
            <v>0</v>
          </cell>
        </row>
        <row r="203">
          <cell r="B203" t="str">
            <v>478BMB</v>
          </cell>
          <cell r="C203" t="str">
            <v>5960 NO. 6 ROAD</v>
          </cell>
          <cell r="D203" t="str">
            <v>RICHMOND, B.C.</v>
          </cell>
          <cell r="E203">
            <v>616219</v>
          </cell>
          <cell r="F203">
            <v>620031</v>
          </cell>
        </row>
        <row r="204">
          <cell r="B204" t="str">
            <v>480BMB</v>
          </cell>
          <cell r="C204" t="str">
            <v>209 CARLTON ST.</v>
          </cell>
          <cell r="D204" t="str">
            <v>ST. CATHARINES, ON</v>
          </cell>
          <cell r="E204">
            <v>395762</v>
          </cell>
          <cell r="F204">
            <v>388355</v>
          </cell>
        </row>
        <row r="205">
          <cell r="B205" t="str">
            <v>484BMB</v>
          </cell>
          <cell r="C205" t="str">
            <v>242 INDIAN RD.S.EASTLAND PLAZA</v>
          </cell>
          <cell r="D205" t="str">
            <v>SARNIA, ON</v>
          </cell>
          <cell r="E205">
            <v>316428</v>
          </cell>
          <cell r="F205">
            <v>338365</v>
          </cell>
        </row>
        <row r="206">
          <cell r="B206" t="str">
            <v>486BMB</v>
          </cell>
          <cell r="C206" t="str">
            <v>2020 QUEBEC AVENUE</v>
          </cell>
          <cell r="D206" t="str">
            <v>SASKATOON, SK</v>
          </cell>
          <cell r="E206">
            <v>479775</v>
          </cell>
          <cell r="F206">
            <v>525394</v>
          </cell>
        </row>
        <row r="207">
          <cell r="B207" t="str">
            <v>490BMB</v>
          </cell>
          <cell r="E207">
            <v>0</v>
          </cell>
          <cell r="F207">
            <v>0</v>
          </cell>
        </row>
        <row r="208">
          <cell r="B208" t="str">
            <v>491BMB</v>
          </cell>
          <cell r="C208" t="str">
            <v>1955 LASALLE BLVD.</v>
          </cell>
          <cell r="D208" t="str">
            <v>SUDBURY, ON</v>
          </cell>
          <cell r="E208">
            <v>458887</v>
          </cell>
          <cell r="F208">
            <v>148854</v>
          </cell>
        </row>
        <row r="209">
          <cell r="B209" t="str">
            <v>492BMB</v>
          </cell>
          <cell r="C209" t="str">
            <v>#3-7780 - 135A STREET</v>
          </cell>
          <cell r="D209" t="str">
            <v>SURREY, B.C.</v>
          </cell>
          <cell r="E209">
            <v>103548</v>
          </cell>
          <cell r="F209">
            <v>129645</v>
          </cell>
        </row>
        <row r="210">
          <cell r="B210" t="str">
            <v>493BMB</v>
          </cell>
          <cell r="E210">
            <v>0</v>
          </cell>
          <cell r="F210">
            <v>0</v>
          </cell>
        </row>
        <row r="211">
          <cell r="B211" t="str">
            <v>494BMB</v>
          </cell>
          <cell r="E211">
            <v>0</v>
          </cell>
          <cell r="F211">
            <v>0</v>
          </cell>
        </row>
        <row r="212">
          <cell r="B212" t="str">
            <v>497BMB</v>
          </cell>
          <cell r="C212" t="str">
            <v>100 WATERLOO RD.,HOLLINGER CT.</v>
          </cell>
          <cell r="D212" t="str">
            <v>TIMMINS, ON</v>
          </cell>
          <cell r="E212">
            <v>290029</v>
          </cell>
          <cell r="F212">
            <v>260044</v>
          </cell>
        </row>
        <row r="213">
          <cell r="B213" t="str">
            <v>498BMB</v>
          </cell>
          <cell r="C213" t="str">
            <v>5678-12TH AVENUE</v>
          </cell>
          <cell r="D213" t="str">
            <v>TSAWWASSEN(DELTA), B.C.</v>
          </cell>
          <cell r="E213">
            <v>51633</v>
          </cell>
          <cell r="F213">
            <v>55865</v>
          </cell>
        </row>
        <row r="214">
          <cell r="B214" t="str">
            <v>500BMB</v>
          </cell>
          <cell r="C214" t="str">
            <v>1630 SOUTH EAST MARINE DRIVE</v>
          </cell>
          <cell r="D214" t="str">
            <v>VANCOUVER, B.C.</v>
          </cell>
          <cell r="E214">
            <v>166698</v>
          </cell>
          <cell r="F214">
            <v>184204</v>
          </cell>
        </row>
        <row r="215">
          <cell r="B215" t="str">
            <v>506BMB</v>
          </cell>
          <cell r="C215" t="str">
            <v>750 HOPKINS STREET</v>
          </cell>
          <cell r="D215" t="str">
            <v>WHITBY, ON</v>
          </cell>
          <cell r="E215">
            <v>266195</v>
          </cell>
          <cell r="F215">
            <v>294159</v>
          </cell>
        </row>
        <row r="216">
          <cell r="B216" t="str">
            <v>507BMB</v>
          </cell>
          <cell r="E216">
            <v>0</v>
          </cell>
          <cell r="F216">
            <v>0</v>
          </cell>
        </row>
        <row r="217">
          <cell r="B217" t="str">
            <v>509BMB</v>
          </cell>
          <cell r="E217">
            <v>0</v>
          </cell>
          <cell r="F217">
            <v>0</v>
          </cell>
        </row>
        <row r="218">
          <cell r="B218" t="str">
            <v>512BMB</v>
          </cell>
          <cell r="C218" t="str">
            <v>32 SMITH STREET W.</v>
          </cell>
          <cell r="D218" t="str">
            <v>YORKTON, SK</v>
          </cell>
          <cell r="E218">
            <v>262411</v>
          </cell>
          <cell r="F218">
            <v>287463</v>
          </cell>
        </row>
        <row r="219">
          <cell r="B219" t="str">
            <v>517BMB</v>
          </cell>
          <cell r="C219" t="str">
            <v>#206-21183 88th AVENUE</v>
          </cell>
          <cell r="D219" t="str">
            <v>WALNUT GROVE, B.C.</v>
          </cell>
          <cell r="E219">
            <v>149841</v>
          </cell>
          <cell r="F219">
            <v>172127</v>
          </cell>
        </row>
        <row r="220">
          <cell r="B220" t="str">
            <v>518BMB</v>
          </cell>
          <cell r="C220" t="str">
            <v>2015A LONG LAKE ROAD</v>
          </cell>
          <cell r="D220" t="str">
            <v>SUDBURY, ON</v>
          </cell>
          <cell r="E220">
            <v>33069</v>
          </cell>
          <cell r="F220">
            <v>102570</v>
          </cell>
        </row>
        <row r="221">
          <cell r="B221" t="str">
            <v>527BMB</v>
          </cell>
          <cell r="E221">
            <v>0</v>
          </cell>
          <cell r="F221">
            <v>0</v>
          </cell>
        </row>
        <row r="222">
          <cell r="B222" t="str">
            <v>528BMB</v>
          </cell>
          <cell r="E222">
            <v>0</v>
          </cell>
          <cell r="F222">
            <v>0</v>
          </cell>
        </row>
        <row r="223">
          <cell r="B223" t="str">
            <v>529BMB</v>
          </cell>
          <cell r="E223">
            <v>0</v>
          </cell>
          <cell r="F223">
            <v>0</v>
          </cell>
        </row>
        <row r="224">
          <cell r="B224" t="str">
            <v>530BMB</v>
          </cell>
          <cell r="C224" t="str">
            <v>3823 ALBERT STREET</v>
          </cell>
          <cell r="D224" t="str">
            <v>REGINA, SK</v>
          </cell>
          <cell r="E224">
            <v>62954</v>
          </cell>
          <cell r="F224">
            <v>57036</v>
          </cell>
        </row>
        <row r="225">
          <cell r="B225" t="str">
            <v>531BMB</v>
          </cell>
          <cell r="C225" t="str">
            <v>307 NASH ROAD NORTH</v>
          </cell>
          <cell r="D225" t="str">
            <v>HAMILTON, ON</v>
          </cell>
          <cell r="E225">
            <v>209468</v>
          </cell>
          <cell r="F225">
            <v>0</v>
          </cell>
        </row>
        <row r="226">
          <cell r="B226" t="str">
            <v>AW0004</v>
          </cell>
          <cell r="C226" t="str">
            <v>625 3RD LINE ROAD</v>
          </cell>
          <cell r="D226" t="str">
            <v>OAKVILLE, ON</v>
          </cell>
          <cell r="E226">
            <v>16639.52</v>
          </cell>
          <cell r="F226">
            <v>14508</v>
          </cell>
        </row>
        <row r="227">
          <cell r="B227" t="str">
            <v>AW0006</v>
          </cell>
          <cell r="C227" t="str">
            <v>HUDSON BAY CTR,20 BLOOR ST E</v>
          </cell>
          <cell r="D227" t="str">
            <v>TORONTO, ON</v>
          </cell>
          <cell r="E227">
            <v>53435</v>
          </cell>
          <cell r="F227">
            <v>51350</v>
          </cell>
        </row>
        <row r="228">
          <cell r="B228" t="str">
            <v>AW0007</v>
          </cell>
          <cell r="C228" t="str">
            <v>970 PRINCESS STREET</v>
          </cell>
          <cell r="D228" t="str">
            <v>KINGSTON, ON</v>
          </cell>
          <cell r="E228">
            <v>185754.03</v>
          </cell>
          <cell r="F228">
            <v>145342</v>
          </cell>
        </row>
        <row r="229">
          <cell r="B229" t="str">
            <v>AW0008</v>
          </cell>
          <cell r="C229" t="str">
            <v>10 LEGEND COURT</v>
          </cell>
          <cell r="D229" t="str">
            <v>ANCASTER, ON</v>
          </cell>
          <cell r="E229">
            <v>73422</v>
          </cell>
          <cell r="F229">
            <v>62091</v>
          </cell>
        </row>
        <row r="230">
          <cell r="B230" t="str">
            <v>BING01</v>
          </cell>
          <cell r="E230">
            <v>0</v>
          </cell>
          <cell r="F230">
            <v>0</v>
          </cell>
        </row>
        <row r="231">
          <cell r="B231" t="str">
            <v>BING02</v>
          </cell>
          <cell r="C231" t="str">
            <v>825 UPPER CANADA DRIVE</v>
          </cell>
          <cell r="D231" t="str">
            <v>SARNIA, ON</v>
          </cell>
          <cell r="E231">
            <v>110500</v>
          </cell>
          <cell r="F231">
            <v>105439.84</v>
          </cell>
        </row>
        <row r="232">
          <cell r="B232" t="str">
            <v>BING03</v>
          </cell>
          <cell r="E232">
            <v>0</v>
          </cell>
          <cell r="F232">
            <v>0</v>
          </cell>
        </row>
        <row r="233">
          <cell r="B233" t="str">
            <v>BING04</v>
          </cell>
          <cell r="C233" t="str">
            <v>2208 LASALLE RD.</v>
          </cell>
          <cell r="D233" t="str">
            <v>SUDBURY, ON</v>
          </cell>
          <cell r="E233">
            <v>62702.42</v>
          </cell>
          <cell r="F233">
            <v>73690.289999999994</v>
          </cell>
        </row>
        <row r="234">
          <cell r="B234" t="str">
            <v>BING05</v>
          </cell>
          <cell r="C234" t="str">
            <v>51 FRONT STEET</v>
          </cell>
          <cell r="D234" t="str">
            <v>STRATHROY, ON</v>
          </cell>
          <cell r="E234">
            <v>34700</v>
          </cell>
          <cell r="F234">
            <v>34147.31</v>
          </cell>
        </row>
        <row r="235">
          <cell r="B235" t="str">
            <v>BING06</v>
          </cell>
          <cell r="C235" t="str">
            <v>806 CHELSEA STREET</v>
          </cell>
          <cell r="D235" t="str">
            <v>R.R.4, BROCKVILLE, ON</v>
          </cell>
          <cell r="E235">
            <v>47360</v>
          </cell>
          <cell r="F235">
            <v>63125.53</v>
          </cell>
        </row>
        <row r="236">
          <cell r="B236" t="str">
            <v>BING07</v>
          </cell>
          <cell r="E236">
            <v>0</v>
          </cell>
          <cell r="F236">
            <v>0</v>
          </cell>
        </row>
        <row r="237">
          <cell r="B237" t="str">
            <v>BING09</v>
          </cell>
          <cell r="E237">
            <v>0</v>
          </cell>
          <cell r="F237">
            <v>0</v>
          </cell>
        </row>
        <row r="238">
          <cell r="B238" t="str">
            <v>BING10</v>
          </cell>
          <cell r="E238">
            <v>0</v>
          </cell>
          <cell r="F238">
            <v>0</v>
          </cell>
        </row>
        <row r="239">
          <cell r="B239" t="str">
            <v>BING11</v>
          </cell>
          <cell r="C239" t="str">
            <v>190 HWY 7 WEST</v>
          </cell>
          <cell r="D239" t="str">
            <v>BRAMPTON, ON</v>
          </cell>
          <cell r="E239">
            <v>100000</v>
          </cell>
          <cell r="F239">
            <v>98053.83</v>
          </cell>
        </row>
        <row r="240">
          <cell r="B240" t="str">
            <v>BING12</v>
          </cell>
          <cell r="C240" t="str">
            <v>2424 FINCH AVE. WEST</v>
          </cell>
          <cell r="D240" t="str">
            <v>NORTH YORK, ON</v>
          </cell>
          <cell r="E240">
            <v>116439</v>
          </cell>
          <cell r="F240">
            <v>133949.94</v>
          </cell>
        </row>
        <row r="241">
          <cell r="B241" t="str">
            <v>BING13</v>
          </cell>
          <cell r="C241" t="str">
            <v>2375 STEELES AVE., WEST</v>
          </cell>
          <cell r="D241" t="str">
            <v>NORTH YORK, ON</v>
          </cell>
          <cell r="E241">
            <v>0</v>
          </cell>
          <cell r="F241">
            <v>0</v>
          </cell>
        </row>
        <row r="242">
          <cell r="B242" t="str">
            <v>BING14</v>
          </cell>
          <cell r="E242">
            <v>0</v>
          </cell>
          <cell r="F242">
            <v>0</v>
          </cell>
        </row>
        <row r="243">
          <cell r="B243" t="str">
            <v>BING15</v>
          </cell>
          <cell r="E243">
            <v>0</v>
          </cell>
          <cell r="F243">
            <v>0</v>
          </cell>
        </row>
        <row r="244">
          <cell r="B244" t="str">
            <v>BING16</v>
          </cell>
          <cell r="C244" t="str">
            <v>1371 PEMBROKE ST., W.</v>
          </cell>
          <cell r="D244" t="str">
            <v>PEMBROKE, ON</v>
          </cell>
          <cell r="E244">
            <v>58569.25</v>
          </cell>
          <cell r="F244">
            <v>57927.62</v>
          </cell>
        </row>
        <row r="245">
          <cell r="B245" t="str">
            <v>BING17</v>
          </cell>
          <cell r="C245" t="str">
            <v>132 RICHMOND ST.</v>
          </cell>
          <cell r="D245" t="str">
            <v>CHATHAM, ON</v>
          </cell>
          <cell r="E245">
            <v>60000</v>
          </cell>
          <cell r="F245">
            <v>44881.63</v>
          </cell>
        </row>
        <row r="246">
          <cell r="B246" t="str">
            <v>BING18</v>
          </cell>
          <cell r="C246" t="str">
            <v>1356 WEBER STREET EAST</v>
          </cell>
          <cell r="D246" t="str">
            <v>KITCHENER, ON</v>
          </cell>
          <cell r="E246">
            <v>44500</v>
          </cell>
          <cell r="F246">
            <v>38918.49</v>
          </cell>
        </row>
        <row r="247">
          <cell r="B247" t="str">
            <v>BING19</v>
          </cell>
          <cell r="E247">
            <v>0</v>
          </cell>
          <cell r="F247">
            <v>0</v>
          </cell>
        </row>
        <row r="248">
          <cell r="B248" t="str">
            <v>BING20</v>
          </cell>
          <cell r="C248" t="str">
            <v>884 DIVISION ST.</v>
          </cell>
          <cell r="D248" t="str">
            <v>COBOURG, ON</v>
          </cell>
          <cell r="E248">
            <v>48000</v>
          </cell>
          <cell r="F248">
            <v>49044.76</v>
          </cell>
        </row>
        <row r="249">
          <cell r="B249" t="str">
            <v>BING21</v>
          </cell>
          <cell r="C249" t="str">
            <v>610 MONARCH AVE.</v>
          </cell>
          <cell r="D249" t="str">
            <v>AJAX, ON</v>
          </cell>
          <cell r="E249">
            <v>69694</v>
          </cell>
          <cell r="F249">
            <v>68874.2</v>
          </cell>
        </row>
        <row r="250">
          <cell r="B250" t="str">
            <v>BING22</v>
          </cell>
          <cell r="C250" t="str">
            <v>140 EDWARD ST,</v>
          </cell>
          <cell r="D250" t="str">
            <v>ST. THOMAS, ON</v>
          </cell>
          <cell r="E250">
            <v>108400</v>
          </cell>
          <cell r="F250">
            <v>103248.73</v>
          </cell>
        </row>
        <row r="251">
          <cell r="B251" t="str">
            <v>BING23</v>
          </cell>
          <cell r="C251" t="str">
            <v>299 HARRY WALKER PARKWAY</v>
          </cell>
          <cell r="D251" t="str">
            <v>NEWMARKET, ON</v>
          </cell>
          <cell r="E251">
            <v>55742</v>
          </cell>
          <cell r="F251">
            <v>57942.73</v>
          </cell>
        </row>
        <row r="252">
          <cell r="B252" t="str">
            <v>BING24</v>
          </cell>
          <cell r="C252" t="str">
            <v>285 TAUNTON RD., EAST</v>
          </cell>
          <cell r="D252" t="str">
            <v>OSHAWA, ON</v>
          </cell>
          <cell r="E252">
            <v>46971</v>
          </cell>
          <cell r="F252">
            <v>60509.58</v>
          </cell>
        </row>
        <row r="253">
          <cell r="B253" t="str">
            <v>BING25</v>
          </cell>
          <cell r="E253">
            <v>0</v>
          </cell>
          <cell r="F253">
            <v>0</v>
          </cell>
        </row>
        <row r="254">
          <cell r="B254" t="str">
            <v>BING26</v>
          </cell>
          <cell r="C254" t="str">
            <v>1106 DEARNESS DR.</v>
          </cell>
          <cell r="D254" t="str">
            <v>LONDON, ON</v>
          </cell>
          <cell r="E254">
            <v>22200</v>
          </cell>
          <cell r="F254">
            <v>19910.13</v>
          </cell>
        </row>
        <row r="255">
          <cell r="B255" t="str">
            <v>BING27</v>
          </cell>
          <cell r="C255" t="str">
            <v>380 LYLE ST.</v>
          </cell>
          <cell r="D255" t="str">
            <v>LONDON, ON</v>
          </cell>
          <cell r="E255">
            <v>21200</v>
          </cell>
          <cell r="F255">
            <v>19040.41</v>
          </cell>
        </row>
        <row r="256">
          <cell r="B256" t="str">
            <v>BING28</v>
          </cell>
          <cell r="C256" t="str">
            <v>1851 SEYMOUR ST.</v>
          </cell>
          <cell r="D256" t="str">
            <v>NORTH BAY, ON</v>
          </cell>
          <cell r="E256">
            <v>56300</v>
          </cell>
          <cell r="F256">
            <v>55184.29</v>
          </cell>
        </row>
        <row r="257">
          <cell r="B257" t="str">
            <v>BING29</v>
          </cell>
          <cell r="C257" t="str">
            <v>8750 HIGHWAY #25 NORTH, RR#3</v>
          </cell>
          <cell r="D257" t="str">
            <v>MILTON, ON</v>
          </cell>
          <cell r="E257">
            <v>24600</v>
          </cell>
          <cell r="F257">
            <v>24156.63</v>
          </cell>
        </row>
        <row r="258">
          <cell r="B258" t="str">
            <v>BING30</v>
          </cell>
          <cell r="C258" t="str">
            <v>20 GLASTONBURY AVE.</v>
          </cell>
          <cell r="D258" t="str">
            <v>STRATFORD, ON</v>
          </cell>
          <cell r="E258">
            <v>20400</v>
          </cell>
          <cell r="F258">
            <v>19988.45</v>
          </cell>
        </row>
        <row r="259">
          <cell r="B259" t="str">
            <v>BING31</v>
          </cell>
          <cell r="E259">
            <v>0</v>
          </cell>
          <cell r="F259">
            <v>0</v>
          </cell>
        </row>
        <row r="260">
          <cell r="B260" t="str">
            <v>BING33</v>
          </cell>
          <cell r="E260">
            <v>0</v>
          </cell>
          <cell r="F260">
            <v>0</v>
          </cell>
        </row>
        <row r="261">
          <cell r="B261" t="str">
            <v>BING34</v>
          </cell>
          <cell r="C261" t="str">
            <v>7155 KINGSWAY #302</v>
          </cell>
          <cell r="D261" t="str">
            <v>BURNABY, B.C.</v>
          </cell>
          <cell r="E261">
            <v>38000</v>
          </cell>
          <cell r="F261">
            <v>39730.870000000003</v>
          </cell>
        </row>
        <row r="262">
          <cell r="B262" t="str">
            <v>BING35</v>
          </cell>
          <cell r="C262" t="str">
            <v>7093 KING GEORGE VI HWY</v>
          </cell>
          <cell r="D262" t="str">
            <v>SURREY, B.C.</v>
          </cell>
          <cell r="E262">
            <v>97000</v>
          </cell>
          <cell r="F262">
            <v>94004.55</v>
          </cell>
        </row>
        <row r="263">
          <cell r="B263" t="str">
            <v>BUC001</v>
          </cell>
          <cell r="C263" t="str">
            <v>90 WOODBINE DOWN BOULEVAR</v>
          </cell>
          <cell r="D263" t="str">
            <v>ETOBICOKE, ON</v>
          </cell>
          <cell r="E263">
            <v>0</v>
          </cell>
          <cell r="F263">
            <v>0</v>
          </cell>
        </row>
        <row r="264">
          <cell r="B264" t="str">
            <v>BUC002</v>
          </cell>
          <cell r="C264" t="str">
            <v xml:space="preserve">4000 CHESSWOOD DRIVE </v>
          </cell>
          <cell r="D264" t="str">
            <v>DOWNSVIEW, ON</v>
          </cell>
          <cell r="E264">
            <v>0</v>
          </cell>
          <cell r="F264">
            <v>0</v>
          </cell>
        </row>
        <row r="265">
          <cell r="B265" t="str">
            <v>BUCK01</v>
          </cell>
          <cell r="C265" t="str">
            <v>140 ST. ANDREWS ST.</v>
          </cell>
          <cell r="D265" t="str">
            <v>CAMBRIDGE, ON</v>
          </cell>
          <cell r="E265">
            <v>45481</v>
          </cell>
          <cell r="F265">
            <v>41847</v>
          </cell>
        </row>
        <row r="266">
          <cell r="B266" t="str">
            <v>CRV001</v>
          </cell>
          <cell r="C266" t="str">
            <v>555 MCKEOWN AVENUE</v>
          </cell>
          <cell r="D266" t="str">
            <v>NORTH BAY, ON</v>
          </cell>
          <cell r="E266">
            <v>13143</v>
          </cell>
          <cell r="F266">
            <v>0</v>
          </cell>
        </row>
        <row r="267">
          <cell r="B267" t="str">
            <v>CTC012</v>
          </cell>
          <cell r="E267">
            <v>0</v>
          </cell>
          <cell r="F267">
            <v>0</v>
          </cell>
        </row>
        <row r="268">
          <cell r="B268" t="str">
            <v>ESS001</v>
          </cell>
          <cell r="C268" t="str">
            <v>540 EVANS AVENUE</v>
          </cell>
          <cell r="D268" t="str">
            <v>ETOBICOKE, ON</v>
          </cell>
          <cell r="E268">
            <v>22744</v>
          </cell>
          <cell r="F268">
            <v>0</v>
          </cell>
        </row>
        <row r="269">
          <cell r="B269" t="str">
            <v>ESS002</v>
          </cell>
          <cell r="C269" t="str">
            <v>156 TORONTO ROAD</v>
          </cell>
          <cell r="D269" t="str">
            <v>PORT HOPE, ON</v>
          </cell>
          <cell r="E269">
            <v>169955</v>
          </cell>
          <cell r="F269">
            <v>23808</v>
          </cell>
        </row>
        <row r="270">
          <cell r="B270" t="str">
            <v>ESS003</v>
          </cell>
          <cell r="C270" t="str">
            <v>6951-6953 STEELES AVENUE W</v>
          </cell>
          <cell r="D270" t="str">
            <v>ETOBICOKE, ON</v>
          </cell>
          <cell r="E270">
            <v>286651</v>
          </cell>
          <cell r="F270">
            <v>196837</v>
          </cell>
        </row>
        <row r="271">
          <cell r="B271" t="str">
            <v>ESS004</v>
          </cell>
          <cell r="C271" t="str">
            <v>436 KIPLING AVENUE</v>
          </cell>
          <cell r="D271" t="str">
            <v>ETOBICOKE, ON</v>
          </cell>
          <cell r="E271">
            <v>75347</v>
          </cell>
          <cell r="F271">
            <v>36584</v>
          </cell>
        </row>
        <row r="272">
          <cell r="B272" t="str">
            <v>ESS005</v>
          </cell>
          <cell r="C272" t="str">
            <v>110 TALBOT STREET, WEST</v>
          </cell>
          <cell r="D272" t="str">
            <v>AYLMER, ON</v>
          </cell>
          <cell r="E272">
            <v>1442</v>
          </cell>
          <cell r="F272">
            <v>0</v>
          </cell>
        </row>
        <row r="273">
          <cell r="B273" t="str">
            <v>ESS007</v>
          </cell>
          <cell r="C273" t="str">
            <v>433 KENT STREET, WEST</v>
          </cell>
          <cell r="D273" t="str">
            <v>LINDSAY, ON</v>
          </cell>
          <cell r="E273">
            <v>3500</v>
          </cell>
          <cell r="F273">
            <v>0</v>
          </cell>
        </row>
        <row r="274">
          <cell r="B274" t="str">
            <v>ESS008</v>
          </cell>
          <cell r="C274" t="str">
            <v>2145 DUNDAS STREET WEST</v>
          </cell>
          <cell r="D274" t="str">
            <v>TORONTO, ON</v>
          </cell>
          <cell r="E274">
            <v>167</v>
          </cell>
          <cell r="F274">
            <v>0</v>
          </cell>
        </row>
        <row r="275">
          <cell r="B275" t="str">
            <v>GAL003</v>
          </cell>
          <cell r="C275" t="str">
            <v>293 BAY STREET</v>
          </cell>
          <cell r="D275" t="str">
            <v>SAULT STE. MARIE, ON</v>
          </cell>
          <cell r="E275">
            <v>8544</v>
          </cell>
          <cell r="F275">
            <v>9341.16</v>
          </cell>
        </row>
        <row r="276">
          <cell r="B276" t="str">
            <v>GAL004</v>
          </cell>
          <cell r="C276" t="str">
            <v xml:space="preserve">300 LAKESHORE DRIVE </v>
          </cell>
          <cell r="D276" t="str">
            <v>NORTH BAY, ON</v>
          </cell>
          <cell r="E276">
            <v>3958</v>
          </cell>
          <cell r="F276">
            <v>4184.92</v>
          </cell>
        </row>
        <row r="277">
          <cell r="B277" t="str">
            <v>GAL005</v>
          </cell>
          <cell r="C277" t="str">
            <v xml:space="preserve">85 FITH AVENUE </v>
          </cell>
          <cell r="D277" t="str">
            <v>ORANGEVILLE, ON</v>
          </cell>
          <cell r="E277">
            <v>2211</v>
          </cell>
          <cell r="F277">
            <v>2673.04</v>
          </cell>
        </row>
        <row r="278">
          <cell r="B278" t="str">
            <v>GAL006</v>
          </cell>
          <cell r="C278" t="str">
            <v>1020 10TH STREET WEST</v>
          </cell>
          <cell r="D278" t="str">
            <v>OWEN SOUND, ON</v>
          </cell>
          <cell r="E278">
            <v>2834</v>
          </cell>
          <cell r="F278">
            <v>3073.58</v>
          </cell>
        </row>
        <row r="279">
          <cell r="B279" t="str">
            <v>GAL007</v>
          </cell>
          <cell r="C279" t="str">
            <v>1325 SECOND ST EAST</v>
          </cell>
          <cell r="D279" t="str">
            <v>CORNWALL,ON</v>
          </cell>
          <cell r="E279">
            <v>2064</v>
          </cell>
          <cell r="F279">
            <v>2551.9699999999998</v>
          </cell>
        </row>
        <row r="280">
          <cell r="B280" t="str">
            <v>GAL008</v>
          </cell>
          <cell r="C280" t="str">
            <v xml:space="preserve">355 HESPELER ROAD </v>
          </cell>
          <cell r="D280" t="str">
            <v>CAMBRIDGE,ON</v>
          </cell>
          <cell r="E280">
            <v>1981</v>
          </cell>
          <cell r="F280">
            <v>3555.06</v>
          </cell>
        </row>
        <row r="281">
          <cell r="B281" t="str">
            <v>GAL009</v>
          </cell>
          <cell r="C281" t="str">
            <v>HWY#93, RR#2, BOX 2</v>
          </cell>
          <cell r="D281" t="str">
            <v>MIDLAND, ON</v>
          </cell>
          <cell r="E281">
            <v>2225</v>
          </cell>
          <cell r="F281">
            <v>2804.1</v>
          </cell>
        </row>
        <row r="282">
          <cell r="B282" t="str">
            <v>GAL010</v>
          </cell>
          <cell r="C282" t="str">
            <v>213-4750 RUTHERFORD RD</v>
          </cell>
          <cell r="D282" t="str">
            <v>NANAIMO,B.C.</v>
          </cell>
          <cell r="E282">
            <v>3645</v>
          </cell>
          <cell r="F282">
            <v>3438.52</v>
          </cell>
        </row>
        <row r="283">
          <cell r="B283" t="str">
            <v>GAL011</v>
          </cell>
          <cell r="C283" t="str">
            <v xml:space="preserve">2020 SHERWOOD DRIVE </v>
          </cell>
          <cell r="D283" t="str">
            <v xml:space="preserve">SHERWOOD PARK, AB </v>
          </cell>
          <cell r="E283">
            <v>1762</v>
          </cell>
          <cell r="F283">
            <v>1829.94</v>
          </cell>
        </row>
        <row r="284">
          <cell r="B284" t="str">
            <v>GAL012</v>
          </cell>
          <cell r="C284" t="str">
            <v xml:space="preserve">1235 MAIN STREET N. </v>
          </cell>
          <cell r="D284" t="str">
            <v>MOOSE JAW, SK</v>
          </cell>
          <cell r="E284">
            <v>835</v>
          </cell>
          <cell r="F284">
            <v>778.82</v>
          </cell>
        </row>
        <row r="285">
          <cell r="B285" t="str">
            <v>GAL013</v>
          </cell>
          <cell r="C285" t="str">
            <v>1C-2995 SECOND AVE. W</v>
          </cell>
          <cell r="D285" t="str">
            <v>PRINCE ALBERT, SASK</v>
          </cell>
          <cell r="E285">
            <v>1032</v>
          </cell>
          <cell r="F285">
            <v>1650.99</v>
          </cell>
        </row>
        <row r="286">
          <cell r="B286" t="str">
            <v>GAL014</v>
          </cell>
          <cell r="C286" t="str">
            <v>UNIT 25-420 MCCARTHY BLVD. N</v>
          </cell>
          <cell r="D286" t="str">
            <v>REGINA, SASK.</v>
          </cell>
          <cell r="E286">
            <v>3813</v>
          </cell>
          <cell r="F286">
            <v>4448.6899999999996</v>
          </cell>
        </row>
        <row r="287">
          <cell r="B287" t="str">
            <v>GAL015</v>
          </cell>
          <cell r="C287" t="str">
            <v>417 WELLINGTON STREET</v>
          </cell>
          <cell r="D287" t="str">
            <v>ST THOMAS, ON</v>
          </cell>
          <cell r="E287">
            <v>972</v>
          </cell>
          <cell r="F287">
            <v>753.68</v>
          </cell>
        </row>
        <row r="288">
          <cell r="B288" t="str">
            <v>GAL016</v>
          </cell>
          <cell r="C288" t="str">
            <v>485 WOODLAWN ROAD WEST</v>
          </cell>
          <cell r="D288" t="str">
            <v>GUELPH, ON</v>
          </cell>
          <cell r="E288">
            <v>6607</v>
          </cell>
          <cell r="F288">
            <v>789.16</v>
          </cell>
        </row>
        <row r="289">
          <cell r="B289" t="str">
            <v>GLO001</v>
          </cell>
          <cell r="C289" t="str">
            <v>20 WYNFORD DRIVE</v>
          </cell>
          <cell r="D289" t="str">
            <v>TORONTO, ON</v>
          </cell>
          <cell r="E289">
            <v>7996</v>
          </cell>
          <cell r="F289">
            <v>0</v>
          </cell>
        </row>
        <row r="290">
          <cell r="B290" t="str">
            <v>GLO002</v>
          </cell>
          <cell r="C290" t="str">
            <v>1120 FINCH AVENUE, WEST</v>
          </cell>
          <cell r="D290" t="str">
            <v>NORTH YORK, ON</v>
          </cell>
          <cell r="E290">
            <v>7863</v>
          </cell>
          <cell r="F290">
            <v>0</v>
          </cell>
        </row>
        <row r="291">
          <cell r="B291" t="str">
            <v>GLO003</v>
          </cell>
          <cell r="C291" t="str">
            <v>140 COMMANDER BOULEVARD</v>
          </cell>
          <cell r="D291" t="str">
            <v>SCARBOROUGH, ON</v>
          </cell>
          <cell r="E291">
            <v>5955</v>
          </cell>
          <cell r="F291">
            <v>0</v>
          </cell>
        </row>
        <row r="292">
          <cell r="B292" t="str">
            <v>IND002</v>
          </cell>
          <cell r="E292">
            <v>0</v>
          </cell>
          <cell r="F292">
            <v>0</v>
          </cell>
        </row>
        <row r="293">
          <cell r="B293" t="str">
            <v>IND005</v>
          </cell>
          <cell r="C293" t="str">
            <v>C/O 65 FRONT ST.W.</v>
          </cell>
          <cell r="D293" t="str">
            <v>TORONTO, ON</v>
          </cell>
          <cell r="E293">
            <v>165582</v>
          </cell>
          <cell r="F293">
            <v>171740</v>
          </cell>
        </row>
        <row r="294">
          <cell r="B294" t="str">
            <v>IND006</v>
          </cell>
          <cell r="C294" t="str">
            <v>8 WILLIAM KITCHEN ROAD</v>
          </cell>
          <cell r="D294" t="str">
            <v>SCARBOROUGH, ON</v>
          </cell>
          <cell r="E294">
            <v>42314</v>
          </cell>
          <cell r="F294">
            <v>38817</v>
          </cell>
        </row>
        <row r="295">
          <cell r="B295" t="str">
            <v>IND007</v>
          </cell>
          <cell r="E295">
            <v>0</v>
          </cell>
          <cell r="F295">
            <v>0</v>
          </cell>
        </row>
        <row r="296">
          <cell r="B296" t="str">
            <v>IND008</v>
          </cell>
          <cell r="E296">
            <v>0</v>
          </cell>
          <cell r="F296">
            <v>0</v>
          </cell>
        </row>
        <row r="297">
          <cell r="B297" t="str">
            <v>IND009</v>
          </cell>
          <cell r="C297" t="str">
            <v>15 FRONT STREET</v>
          </cell>
          <cell r="D297" t="str">
            <v>MACTIER, ON</v>
          </cell>
          <cell r="E297">
            <v>184728</v>
          </cell>
          <cell r="F297">
            <v>157358</v>
          </cell>
        </row>
        <row r="298">
          <cell r="B298" t="str">
            <v>IND011</v>
          </cell>
          <cell r="E298">
            <v>0</v>
          </cell>
          <cell r="F298">
            <v>0</v>
          </cell>
        </row>
        <row r="299">
          <cell r="B299" t="str">
            <v>IND012</v>
          </cell>
          <cell r="E299">
            <v>0</v>
          </cell>
          <cell r="F299">
            <v>0</v>
          </cell>
        </row>
        <row r="300">
          <cell r="B300" t="str">
            <v>IND013</v>
          </cell>
          <cell r="E300">
            <v>0</v>
          </cell>
          <cell r="F300">
            <v>0</v>
          </cell>
        </row>
        <row r="301">
          <cell r="B301" t="str">
            <v>IND014</v>
          </cell>
          <cell r="E301">
            <v>0</v>
          </cell>
          <cell r="F301">
            <v>0</v>
          </cell>
        </row>
        <row r="302">
          <cell r="B302" t="str">
            <v>IND015</v>
          </cell>
          <cell r="E302">
            <v>0</v>
          </cell>
          <cell r="F302">
            <v>0</v>
          </cell>
        </row>
        <row r="303">
          <cell r="B303" t="str">
            <v>IND016</v>
          </cell>
          <cell r="E303">
            <v>0</v>
          </cell>
          <cell r="F303">
            <v>0</v>
          </cell>
        </row>
        <row r="304">
          <cell r="B304" t="str">
            <v>IND017</v>
          </cell>
          <cell r="E304">
            <v>0</v>
          </cell>
          <cell r="F304">
            <v>0</v>
          </cell>
        </row>
        <row r="305">
          <cell r="B305" t="str">
            <v>IND018</v>
          </cell>
          <cell r="E305">
            <v>0</v>
          </cell>
          <cell r="F305">
            <v>0</v>
          </cell>
        </row>
        <row r="306">
          <cell r="B306" t="str">
            <v>IND020</v>
          </cell>
          <cell r="E306">
            <v>0</v>
          </cell>
          <cell r="F306">
            <v>0</v>
          </cell>
        </row>
        <row r="307">
          <cell r="B307" t="str">
            <v>IND021</v>
          </cell>
          <cell r="E307">
            <v>0</v>
          </cell>
          <cell r="F307">
            <v>0</v>
          </cell>
        </row>
        <row r="308">
          <cell r="B308" t="str">
            <v>IND022</v>
          </cell>
          <cell r="E308">
            <v>0</v>
          </cell>
          <cell r="F308">
            <v>0</v>
          </cell>
        </row>
        <row r="309">
          <cell r="B309" t="str">
            <v>IND023</v>
          </cell>
          <cell r="E309">
            <v>0</v>
          </cell>
          <cell r="F309">
            <v>0</v>
          </cell>
        </row>
        <row r="310">
          <cell r="B310" t="str">
            <v>IND024</v>
          </cell>
          <cell r="E310">
            <v>0</v>
          </cell>
          <cell r="F310">
            <v>0</v>
          </cell>
        </row>
        <row r="311">
          <cell r="B311" t="str">
            <v>IND025</v>
          </cell>
          <cell r="E311">
            <v>0</v>
          </cell>
          <cell r="F311">
            <v>0</v>
          </cell>
        </row>
        <row r="312">
          <cell r="B312" t="str">
            <v>IND027</v>
          </cell>
          <cell r="C312" t="str">
            <v>4726 BANK STREET</v>
          </cell>
          <cell r="D312" t="str">
            <v>GLOUCESTER, ON</v>
          </cell>
          <cell r="E312">
            <v>147754</v>
          </cell>
          <cell r="F312">
            <v>135756</v>
          </cell>
        </row>
        <row r="313">
          <cell r="B313" t="str">
            <v>IND028</v>
          </cell>
          <cell r="C313" t="str">
            <v>C/O 4726 BANK STREET</v>
          </cell>
          <cell r="D313" t="str">
            <v>GLOUCESTER, ON</v>
          </cell>
          <cell r="E313">
            <v>441653</v>
          </cell>
          <cell r="F313">
            <v>396480</v>
          </cell>
        </row>
        <row r="314">
          <cell r="B314" t="str">
            <v>IND031</v>
          </cell>
          <cell r="C314" t="str">
            <v>5 MAIN ST. E.</v>
          </cell>
          <cell r="D314" t="str">
            <v>MILTON, ON</v>
          </cell>
          <cell r="E314">
            <v>38489</v>
          </cell>
          <cell r="F314">
            <v>33014</v>
          </cell>
        </row>
        <row r="315">
          <cell r="B315" t="str">
            <v>IND036</v>
          </cell>
          <cell r="C315" t="str">
            <v>211 KING ST.</v>
          </cell>
          <cell r="D315" t="str">
            <v>ELDEE, ON</v>
          </cell>
          <cell r="E315">
            <v>133621</v>
          </cell>
          <cell r="F315">
            <v>119339.2</v>
          </cell>
        </row>
        <row r="316">
          <cell r="B316" t="str">
            <v>IND038</v>
          </cell>
          <cell r="C316" t="str">
            <v>17551 WOODBINE AVE</v>
          </cell>
          <cell r="D316" t="str">
            <v>NEWMARKET, ON</v>
          </cell>
          <cell r="E316">
            <v>295691</v>
          </cell>
          <cell r="F316">
            <v>276060</v>
          </cell>
        </row>
        <row r="317">
          <cell r="B317" t="str">
            <v>IND041</v>
          </cell>
          <cell r="C317" t="str">
            <v>740 DUFFERIN ST.</v>
          </cell>
          <cell r="D317" t="str">
            <v>TORONTO, ON</v>
          </cell>
          <cell r="E317">
            <v>159632</v>
          </cell>
          <cell r="F317">
            <v>133218</v>
          </cell>
        </row>
        <row r="318">
          <cell r="B318" t="str">
            <v>IND044</v>
          </cell>
          <cell r="E318">
            <v>0</v>
          </cell>
          <cell r="F318">
            <v>0</v>
          </cell>
        </row>
        <row r="319">
          <cell r="B319" t="str">
            <v>IND045</v>
          </cell>
          <cell r="C319" t="str">
            <v>2692 HWY.#12, P.O.BOX 66</v>
          </cell>
          <cell r="D319" t="str">
            <v>BRECHIN, ON</v>
          </cell>
          <cell r="E319">
            <v>231618</v>
          </cell>
          <cell r="F319">
            <v>242520</v>
          </cell>
        </row>
        <row r="320">
          <cell r="B320" t="str">
            <v>IND046</v>
          </cell>
          <cell r="C320" t="str">
            <v>229 RORKE AVE.</v>
          </cell>
          <cell r="D320" t="str">
            <v>HAILEYBURY, ON</v>
          </cell>
          <cell r="E320">
            <v>318855.74</v>
          </cell>
          <cell r="F320">
            <v>302661</v>
          </cell>
        </row>
        <row r="321">
          <cell r="B321" t="str">
            <v>IND048</v>
          </cell>
          <cell r="C321" t="str">
            <v>7060 - HIGHWAY 27</v>
          </cell>
          <cell r="D321" t="str">
            <v>THORNTON, ON</v>
          </cell>
          <cell r="E321">
            <v>305631.94</v>
          </cell>
          <cell r="F321">
            <v>296305</v>
          </cell>
        </row>
        <row r="322">
          <cell r="B322" t="str">
            <v>IND051</v>
          </cell>
          <cell r="C322" t="str">
            <v>701 KROSNOS BLVD.</v>
          </cell>
          <cell r="D322" t="str">
            <v>PICKERING, ON</v>
          </cell>
          <cell r="E322">
            <v>26000</v>
          </cell>
          <cell r="F322">
            <v>24903</v>
          </cell>
        </row>
        <row r="323">
          <cell r="B323" t="str">
            <v>IND052</v>
          </cell>
          <cell r="C323" t="str">
            <v>22766 WOODBINE AVENUE</v>
          </cell>
          <cell r="D323" t="str">
            <v>KESWICK, ON</v>
          </cell>
          <cell r="E323">
            <v>218592</v>
          </cell>
          <cell r="F323">
            <v>225090</v>
          </cell>
        </row>
        <row r="324">
          <cell r="B324" t="str">
            <v>IND053</v>
          </cell>
          <cell r="C324" t="str">
            <v>1515 KING RD. UNIT 1</v>
          </cell>
          <cell r="D324" t="str">
            <v>KING CITY, ON</v>
          </cell>
          <cell r="E324">
            <v>59514</v>
          </cell>
          <cell r="F324">
            <v>52796</v>
          </cell>
        </row>
        <row r="325">
          <cell r="B325" t="str">
            <v>IND056</v>
          </cell>
          <cell r="C325" t="str">
            <v>2141 CARP ROAD</v>
          </cell>
          <cell r="D325" t="str">
            <v>CARP, ON</v>
          </cell>
          <cell r="E325">
            <v>15279</v>
          </cell>
          <cell r="F325">
            <v>18888</v>
          </cell>
        </row>
        <row r="326">
          <cell r="B326" t="str">
            <v>IND060</v>
          </cell>
          <cell r="C326" t="str">
            <v>914 UPPER JAMES STREET</v>
          </cell>
          <cell r="D326" t="str">
            <v>HAMILTON, ON</v>
          </cell>
          <cell r="E326">
            <v>39173</v>
          </cell>
          <cell r="F326">
            <v>43765</v>
          </cell>
        </row>
        <row r="327">
          <cell r="B327" t="str">
            <v>IND061</v>
          </cell>
          <cell r="C327" t="str">
            <v>277 HESPELER ROAD</v>
          </cell>
          <cell r="D327" t="str">
            <v>CAMBRIDGE, ON</v>
          </cell>
          <cell r="E327">
            <v>23866</v>
          </cell>
          <cell r="F327">
            <v>22127</v>
          </cell>
        </row>
        <row r="328">
          <cell r="B328" t="str">
            <v>IND062</v>
          </cell>
          <cell r="C328" t="str">
            <v xml:space="preserve">HWY #11B, P.O. BOX 638 </v>
          </cell>
          <cell r="D328" t="str">
            <v>NEW LISKEARD, ON</v>
          </cell>
          <cell r="E328">
            <v>132481</v>
          </cell>
          <cell r="F328">
            <v>131409</v>
          </cell>
        </row>
        <row r="329">
          <cell r="B329" t="str">
            <v>IND064</v>
          </cell>
          <cell r="C329" t="str">
            <v>CONESTOGA MALL</v>
          </cell>
          <cell r="D329" t="str">
            <v>WATERLOO, ON</v>
          </cell>
          <cell r="E329">
            <v>17088</v>
          </cell>
          <cell r="F329">
            <v>15859.31</v>
          </cell>
        </row>
        <row r="330">
          <cell r="B330" t="str">
            <v>IND066</v>
          </cell>
          <cell r="C330" t="str">
            <v>151 KING GEORGE ROAD</v>
          </cell>
          <cell r="D330" t="str">
            <v>BRANTFORD, ON</v>
          </cell>
          <cell r="E330">
            <v>27637</v>
          </cell>
          <cell r="F330">
            <v>24813</v>
          </cell>
        </row>
        <row r="331">
          <cell r="B331" t="str">
            <v>IND067</v>
          </cell>
          <cell r="E331">
            <v>0</v>
          </cell>
          <cell r="F331">
            <v>0</v>
          </cell>
        </row>
        <row r="332">
          <cell r="B332" t="str">
            <v>IND068</v>
          </cell>
          <cell r="C332" t="str">
            <v>1401 MATHESON BLVD.</v>
          </cell>
          <cell r="D332" t="str">
            <v>MISSISSAUGA, ON</v>
          </cell>
          <cell r="E332">
            <v>7707</v>
          </cell>
          <cell r="F332">
            <v>7485</v>
          </cell>
        </row>
        <row r="333">
          <cell r="B333" t="str">
            <v>IND069</v>
          </cell>
          <cell r="C333" t="str">
            <v>653 PARKHILL ROAD WEST</v>
          </cell>
          <cell r="D333" t="str">
            <v>PETERBOROUGH, ON</v>
          </cell>
          <cell r="E333">
            <v>28889</v>
          </cell>
          <cell r="F333">
            <v>35899</v>
          </cell>
        </row>
        <row r="334">
          <cell r="B334" t="str">
            <v>IND070</v>
          </cell>
          <cell r="C334" t="str">
            <v>5020 HIGHWAY 7 WEST</v>
          </cell>
          <cell r="D334" t="str">
            <v>WOODBRIDGE, ON</v>
          </cell>
          <cell r="E334">
            <v>4608</v>
          </cell>
          <cell r="F334">
            <v>6416</v>
          </cell>
        </row>
        <row r="335">
          <cell r="B335" t="str">
            <v>IND071</v>
          </cell>
          <cell r="C335" t="str">
            <v>1000 NEW WESTMINISTER DRIVE</v>
          </cell>
          <cell r="D335" t="str">
            <v>THORNHILL, ON</v>
          </cell>
          <cell r="E335">
            <v>5401</v>
          </cell>
          <cell r="F335">
            <v>9833</v>
          </cell>
        </row>
        <row r="336">
          <cell r="B336" t="str">
            <v>IND072</v>
          </cell>
          <cell r="C336" t="str">
            <v>8141 MARTINGROVE ROAD</v>
          </cell>
          <cell r="D336" t="str">
            <v>WOODBRIDGE, ON</v>
          </cell>
          <cell r="E336">
            <v>4844</v>
          </cell>
          <cell r="F336">
            <v>4945</v>
          </cell>
        </row>
        <row r="337">
          <cell r="B337" t="str">
            <v>IND073</v>
          </cell>
          <cell r="C337" t="str">
            <v>9201 ISLINGTON AVENUE</v>
          </cell>
          <cell r="D337" t="str">
            <v>WOODBRIDGE, ON</v>
          </cell>
          <cell r="E337">
            <v>27222</v>
          </cell>
          <cell r="F337">
            <v>27403</v>
          </cell>
        </row>
        <row r="338">
          <cell r="B338" t="str">
            <v>IND074</v>
          </cell>
          <cell r="C338" t="str">
            <v>501 CLARK AVENUE</v>
          </cell>
          <cell r="D338" t="str">
            <v>THORNHILL, ON</v>
          </cell>
          <cell r="E338">
            <v>14180.51</v>
          </cell>
          <cell r="F338">
            <v>15907</v>
          </cell>
        </row>
        <row r="339">
          <cell r="B339" t="str">
            <v>IND075</v>
          </cell>
          <cell r="C339" t="str">
            <v>320 WATER ST.</v>
          </cell>
          <cell r="D339" t="str">
            <v>PETERBOROUGH, ON</v>
          </cell>
          <cell r="E339">
            <v>23344</v>
          </cell>
          <cell r="F339">
            <v>23716.91</v>
          </cell>
        </row>
        <row r="340">
          <cell r="B340" t="str">
            <v>IND076</v>
          </cell>
          <cell r="C340" t="str">
            <v>2317 ST. CLAIR AVE. WEST</v>
          </cell>
          <cell r="D340" t="str">
            <v>TORONTO, ON</v>
          </cell>
          <cell r="E340">
            <v>48795</v>
          </cell>
          <cell r="F340">
            <v>40336</v>
          </cell>
        </row>
        <row r="341">
          <cell r="B341" t="str">
            <v>IND077</v>
          </cell>
          <cell r="C341" t="str">
            <v xml:space="preserve">18 PETER STREET(C/O HOPE'S </v>
          </cell>
          <cell r="D341" t="str">
            <v>FOODLAND) NOVAR, ON</v>
          </cell>
          <cell r="E341">
            <v>99228.01</v>
          </cell>
          <cell r="F341">
            <v>87272.94</v>
          </cell>
        </row>
        <row r="342">
          <cell r="B342" t="str">
            <v>IND078</v>
          </cell>
          <cell r="C342" t="str">
            <v>375 GUELPH STREET</v>
          </cell>
          <cell r="D342" t="str">
            <v>GEORGETOWN, ON</v>
          </cell>
          <cell r="E342">
            <v>16902</v>
          </cell>
          <cell r="F342">
            <v>0</v>
          </cell>
        </row>
        <row r="343">
          <cell r="B343" t="str">
            <v>IND084</v>
          </cell>
          <cell r="C343" t="str">
            <v>545 ARMSTRONG ROAD</v>
          </cell>
          <cell r="D343" t="str">
            <v>KINGSTON, ON</v>
          </cell>
          <cell r="E343">
            <v>8470</v>
          </cell>
          <cell r="F343">
            <v>0</v>
          </cell>
        </row>
        <row r="344">
          <cell r="B344" t="str">
            <v>IND086</v>
          </cell>
          <cell r="C344" t="str">
            <v>705 QUEEN STREET EAST</v>
          </cell>
          <cell r="D344" t="str">
            <v>TORONTO, ON</v>
          </cell>
          <cell r="E344">
            <v>2935</v>
          </cell>
          <cell r="F344">
            <v>0</v>
          </cell>
        </row>
        <row r="345">
          <cell r="B345" t="str">
            <v>IND087</v>
          </cell>
          <cell r="C345" t="str">
            <v>1644 DUFFERIN AVENUE</v>
          </cell>
          <cell r="D345" t="str">
            <v>WALLACEBURG, ON</v>
          </cell>
          <cell r="E345">
            <v>10088</v>
          </cell>
          <cell r="F345">
            <v>0</v>
          </cell>
        </row>
        <row r="346">
          <cell r="B346" t="str">
            <v>LAN001</v>
          </cell>
          <cell r="C346" t="str">
            <v>2832 HWY #60</v>
          </cell>
          <cell r="D346" t="str">
            <v>DWIGHT, ON</v>
          </cell>
          <cell r="E346">
            <v>239133</v>
          </cell>
          <cell r="F346">
            <v>231857</v>
          </cell>
        </row>
        <row r="347">
          <cell r="B347" t="str">
            <v>MEN001</v>
          </cell>
          <cell r="C347" t="str">
            <v>1001 FRANKLIN BLVD</v>
          </cell>
          <cell r="D347" t="str">
            <v>CAMBRIDGE, ON</v>
          </cell>
          <cell r="E347">
            <v>850</v>
          </cell>
          <cell r="F347">
            <v>962</v>
          </cell>
        </row>
        <row r="348">
          <cell r="B348" t="str">
            <v>MEN002</v>
          </cell>
          <cell r="C348" t="str">
            <v>3400 GRAND MORAIS ROAD EAST</v>
          </cell>
          <cell r="D348" t="str">
            <v>WINDSOR, ON</v>
          </cell>
          <cell r="E348">
            <v>2400</v>
          </cell>
          <cell r="F348">
            <v>2653</v>
          </cell>
        </row>
        <row r="349">
          <cell r="B349" t="str">
            <v>MEN003</v>
          </cell>
          <cell r="C349" t="str">
            <v>99 BROOKSIDE STREET</v>
          </cell>
          <cell r="D349" t="str">
            <v>LONDON, ON</v>
          </cell>
          <cell r="E349">
            <v>0</v>
          </cell>
          <cell r="F349">
            <v>0</v>
          </cell>
        </row>
        <row r="350">
          <cell r="B350" t="str">
            <v>MRV006</v>
          </cell>
          <cell r="C350" t="str">
            <v>2467 EGLINTON AVENUE EAST</v>
          </cell>
          <cell r="D350" t="str">
            <v>SCARBOROUGH, ON</v>
          </cell>
          <cell r="E350">
            <v>22546</v>
          </cell>
          <cell r="F350">
            <v>6793</v>
          </cell>
        </row>
        <row r="351">
          <cell r="B351" t="str">
            <v>MRV007</v>
          </cell>
          <cell r="C351" t="str">
            <v>2231 LAWRENCE AVENUE EAST</v>
          </cell>
          <cell r="D351" t="str">
            <v>SCARBOROUGH, ON</v>
          </cell>
          <cell r="E351">
            <v>9643</v>
          </cell>
          <cell r="F351">
            <v>9691</v>
          </cell>
        </row>
        <row r="352">
          <cell r="B352" t="str">
            <v>MRV008</v>
          </cell>
          <cell r="C352" t="str">
            <v>4285 LAWRENCE AVENUE EAST</v>
          </cell>
          <cell r="D352" t="str">
            <v>SCARBOROUGH, ON</v>
          </cell>
          <cell r="E352">
            <v>18543</v>
          </cell>
          <cell r="F352">
            <v>19589</v>
          </cell>
        </row>
        <row r="353">
          <cell r="B353" t="str">
            <v>MRV009</v>
          </cell>
          <cell r="C353" t="str">
            <v>3600 KINGSTON ROAD</v>
          </cell>
          <cell r="D353" t="str">
            <v>SCARBOROUGH, ON</v>
          </cell>
          <cell r="E353">
            <v>7097</v>
          </cell>
          <cell r="F353">
            <v>8710</v>
          </cell>
        </row>
        <row r="354">
          <cell r="B354" t="str">
            <v>MRV010</v>
          </cell>
          <cell r="C354" t="str">
            <v>1967 ELLESMERE ROAD</v>
          </cell>
          <cell r="D354" t="str">
            <v>SCARBOROUGH, ON</v>
          </cell>
          <cell r="E354">
            <v>14924</v>
          </cell>
          <cell r="F354">
            <v>16560</v>
          </cell>
        </row>
        <row r="355">
          <cell r="B355" t="str">
            <v>MRV011</v>
          </cell>
          <cell r="C355" t="str">
            <v>30 SEWELLS ROAD</v>
          </cell>
          <cell r="D355" t="str">
            <v>SCARBOROUGH, ON</v>
          </cell>
          <cell r="E355">
            <v>13918</v>
          </cell>
          <cell r="F355">
            <v>21796</v>
          </cell>
        </row>
        <row r="356">
          <cell r="B356" t="str">
            <v>MRV012</v>
          </cell>
          <cell r="C356" t="str">
            <v>31 GLEN WATFORD DRIVE</v>
          </cell>
          <cell r="D356" t="str">
            <v>SCARBOROUGH, ON</v>
          </cell>
          <cell r="E356">
            <v>11786</v>
          </cell>
          <cell r="F356">
            <v>12969</v>
          </cell>
        </row>
        <row r="357">
          <cell r="B357" t="str">
            <v>MRV014</v>
          </cell>
          <cell r="C357" t="str">
            <v>1138 BATHURST ST</v>
          </cell>
          <cell r="D357" t="str">
            <v>TORONTO, ON</v>
          </cell>
          <cell r="E357">
            <v>37931.620000000003</v>
          </cell>
          <cell r="F357">
            <v>37224</v>
          </cell>
        </row>
        <row r="358">
          <cell r="B358" t="str">
            <v>MRV015</v>
          </cell>
          <cell r="C358" t="str">
            <v>600 OSHAWA BLVD NORTH</v>
          </cell>
          <cell r="D358" t="str">
            <v>OSHAWA, ON</v>
          </cell>
          <cell r="E358">
            <v>26414.16</v>
          </cell>
          <cell r="F358">
            <v>24959</v>
          </cell>
        </row>
        <row r="359">
          <cell r="B359" t="str">
            <v>MRV016</v>
          </cell>
          <cell r="C359" t="str">
            <v>243 WILMINGTON AVENUE</v>
          </cell>
          <cell r="D359" t="str">
            <v>NORTH YORK, ON</v>
          </cell>
          <cell r="E359">
            <v>20077.79</v>
          </cell>
          <cell r="F359">
            <v>26744</v>
          </cell>
        </row>
        <row r="360">
          <cell r="B360" t="str">
            <v>MRV017</v>
          </cell>
          <cell r="C360" t="str">
            <v>1500 GULLEDEN DRIVE</v>
          </cell>
          <cell r="D360" t="str">
            <v>MISSISSAUGA, ON</v>
          </cell>
          <cell r="E360">
            <v>3390.09</v>
          </cell>
          <cell r="F360">
            <v>0</v>
          </cell>
        </row>
        <row r="361">
          <cell r="B361" t="str">
            <v>MRV018</v>
          </cell>
          <cell r="C361" t="str">
            <v xml:space="preserve">1399 CAWTHRA ROAD </v>
          </cell>
          <cell r="D361" t="str">
            <v>MISSISSAUGA, ON</v>
          </cell>
          <cell r="E361">
            <v>4861.88</v>
          </cell>
          <cell r="F361">
            <v>6097.25</v>
          </cell>
        </row>
        <row r="362">
          <cell r="B362" t="str">
            <v>MRV019</v>
          </cell>
          <cell r="C362" t="str">
            <v>2475 TRUSCOTT DR</v>
          </cell>
          <cell r="D362" t="str">
            <v>MISSISSAUGA, ON</v>
          </cell>
          <cell r="E362">
            <v>3167.97</v>
          </cell>
          <cell r="F362">
            <v>11440.97</v>
          </cell>
        </row>
        <row r="363">
          <cell r="B363" t="str">
            <v>MRV020</v>
          </cell>
          <cell r="C363" t="str">
            <v>3205 UNITY DRIVE</v>
          </cell>
          <cell r="D363" t="str">
            <v>MISSISSAUGA, ON</v>
          </cell>
          <cell r="E363">
            <v>10519.83</v>
          </cell>
          <cell r="F363">
            <v>14036.65</v>
          </cell>
        </row>
        <row r="364">
          <cell r="B364" t="str">
            <v>MRV021</v>
          </cell>
          <cell r="C364" t="str">
            <v xml:space="preserve">3430 DERRY ROAD </v>
          </cell>
          <cell r="D364" t="str">
            <v>MISSISSAUGA, ON</v>
          </cell>
          <cell r="E364">
            <v>1072.1600000000001</v>
          </cell>
          <cell r="F364">
            <v>3915.41</v>
          </cell>
        </row>
        <row r="365">
          <cell r="B365" t="str">
            <v>MRV022</v>
          </cell>
          <cell r="C365" t="str">
            <v>705 MATHESON BLVD.,EAST</v>
          </cell>
          <cell r="D365" t="str">
            <v>MISSISSAUGA, ON</v>
          </cell>
          <cell r="E365">
            <v>32793.31</v>
          </cell>
          <cell r="F365">
            <v>33961.11</v>
          </cell>
        </row>
        <row r="366">
          <cell r="B366" t="str">
            <v>MRV023</v>
          </cell>
          <cell r="C366" t="str">
            <v>200 RATHBURN ROAD WEST</v>
          </cell>
          <cell r="D366" t="str">
            <v xml:space="preserve">MISSISSAUGA, ON </v>
          </cell>
          <cell r="E366">
            <v>29809.33</v>
          </cell>
          <cell r="F366">
            <v>35386.230000000003</v>
          </cell>
        </row>
        <row r="367">
          <cell r="B367" t="str">
            <v>MRV024</v>
          </cell>
          <cell r="C367" t="str">
            <v>2160 TORQUAY MEWS</v>
          </cell>
          <cell r="D367" t="str">
            <v>MISSISSAUGA</v>
          </cell>
          <cell r="E367">
            <v>16452.580000000002</v>
          </cell>
          <cell r="F367">
            <v>13790.78</v>
          </cell>
        </row>
        <row r="368">
          <cell r="B368" t="str">
            <v>MRV025</v>
          </cell>
          <cell r="C368" t="str">
            <v>1275 MISSISSAUGA VALLEY BLVD.</v>
          </cell>
          <cell r="D368" t="str">
            <v>MISSISSAUGA, ON</v>
          </cell>
          <cell r="E368">
            <v>4241.8999999999996</v>
          </cell>
          <cell r="F368">
            <v>0</v>
          </cell>
        </row>
        <row r="369">
          <cell r="B369" t="str">
            <v>MRV026</v>
          </cell>
          <cell r="C369" t="str">
            <v xml:space="preserve">40 STAVEBANK ROAD </v>
          </cell>
          <cell r="D369" t="str">
            <v xml:space="preserve">MISSISSAUGA, ON </v>
          </cell>
          <cell r="E369">
            <v>4914.47</v>
          </cell>
          <cell r="F369">
            <v>6190.25</v>
          </cell>
        </row>
        <row r="370">
          <cell r="B370" t="str">
            <v>MRV027</v>
          </cell>
          <cell r="C370" t="str">
            <v>135 LAKEFRONT PROMENAD</v>
          </cell>
          <cell r="D370" t="str">
            <v>MISSISSAUGA,ON</v>
          </cell>
          <cell r="E370">
            <v>2896.59</v>
          </cell>
          <cell r="F370">
            <v>2139.5</v>
          </cell>
        </row>
        <row r="371">
          <cell r="B371" t="str">
            <v>MRV028</v>
          </cell>
          <cell r="C371" t="str">
            <v>1190 DIXIE ROAD</v>
          </cell>
          <cell r="D371" t="str">
            <v xml:space="preserve">MISSISSAUGA, ON </v>
          </cell>
          <cell r="E371">
            <v>5803.34</v>
          </cell>
          <cell r="F371">
            <v>4426.43</v>
          </cell>
        </row>
        <row r="372">
          <cell r="B372" t="str">
            <v>MRV029</v>
          </cell>
          <cell r="C372" t="str">
            <v>5625 TERRY FOX WAY</v>
          </cell>
          <cell r="D372" t="str">
            <v>MISSISSAUGA, ON</v>
          </cell>
          <cell r="E372">
            <v>1353.45</v>
          </cell>
          <cell r="F372">
            <v>0</v>
          </cell>
        </row>
        <row r="373">
          <cell r="B373" t="str">
            <v>MRV030</v>
          </cell>
          <cell r="C373" t="str">
            <v>40 STAVEBANK ROAD</v>
          </cell>
          <cell r="D373" t="str">
            <v>MISSISSAUGA,ON</v>
          </cell>
          <cell r="E373">
            <v>1957.42</v>
          </cell>
          <cell r="F373">
            <v>0</v>
          </cell>
        </row>
        <row r="374">
          <cell r="B374" t="str">
            <v>MRV031</v>
          </cell>
          <cell r="C374" t="str">
            <v>590 RATHBURN ROAD</v>
          </cell>
          <cell r="D374" t="str">
            <v>ETOBICOKE, ON</v>
          </cell>
          <cell r="E374">
            <v>5450</v>
          </cell>
          <cell r="F374">
            <v>0</v>
          </cell>
        </row>
        <row r="375">
          <cell r="B375" t="str">
            <v>MRV032</v>
          </cell>
          <cell r="C375" t="str">
            <v>5500 ROSE CHERRY PLACE</v>
          </cell>
          <cell r="D375" t="str">
            <v>MISSISSAUGA,ON</v>
          </cell>
          <cell r="E375">
            <v>0</v>
          </cell>
          <cell r="F375">
            <v>0</v>
          </cell>
        </row>
        <row r="376">
          <cell r="B376" t="str">
            <v>MRV033</v>
          </cell>
          <cell r="C376" t="str">
            <v>3020 BATHURST STREET</v>
          </cell>
          <cell r="D376" t="str">
            <v>TORONTO, ON</v>
          </cell>
          <cell r="E376">
            <v>0</v>
          </cell>
          <cell r="F376">
            <v>0</v>
          </cell>
        </row>
        <row r="377">
          <cell r="B377" t="str">
            <v>MRV034</v>
          </cell>
          <cell r="C377" t="str">
            <v>4700 KEELE STREET</v>
          </cell>
          <cell r="D377" t="str">
            <v>TORONTO, ON</v>
          </cell>
          <cell r="E377">
            <v>21800</v>
          </cell>
          <cell r="F377">
            <v>14333</v>
          </cell>
        </row>
        <row r="378">
          <cell r="B378" t="str">
            <v>MRV035</v>
          </cell>
          <cell r="C378" t="str">
            <v>9050 BRAMALEA ROAD</v>
          </cell>
          <cell r="D378" t="str">
            <v>BRAMPTON, ON</v>
          </cell>
          <cell r="E378">
            <v>0</v>
          </cell>
          <cell r="F378">
            <v>0</v>
          </cell>
        </row>
        <row r="379">
          <cell r="B379" t="str">
            <v>MRV036</v>
          </cell>
          <cell r="C379" t="str">
            <v>125 MCLAUGHLIN RD., NORTH</v>
          </cell>
          <cell r="D379" t="str">
            <v>BRAMPTON, ON</v>
          </cell>
          <cell r="E379">
            <v>12386.15</v>
          </cell>
          <cell r="F379">
            <v>10830.55</v>
          </cell>
        </row>
        <row r="380">
          <cell r="B380" t="str">
            <v>MRV037</v>
          </cell>
          <cell r="C380" t="str">
            <v>44 EASTBOURNE DRIVE</v>
          </cell>
          <cell r="D380" t="str">
            <v>BRAMPTON, ON</v>
          </cell>
          <cell r="E380">
            <v>13898.85</v>
          </cell>
          <cell r="F380">
            <v>11709.6</v>
          </cell>
        </row>
        <row r="381">
          <cell r="B381" t="str">
            <v>MRV038</v>
          </cell>
          <cell r="C381" t="str">
            <v>1100 CENTRAL PARK DRIVE</v>
          </cell>
          <cell r="D381" t="str">
            <v>BRAMPTON, ON</v>
          </cell>
          <cell r="E381">
            <v>13333.95</v>
          </cell>
          <cell r="F381">
            <v>11558.35</v>
          </cell>
        </row>
        <row r="382">
          <cell r="B382" t="str">
            <v>MRV039</v>
          </cell>
          <cell r="C382" t="str">
            <v xml:space="preserve">292 CONESTOGA DRIVE, </v>
          </cell>
          <cell r="D382" t="str">
            <v>BRAMPTON, ON</v>
          </cell>
          <cell r="E382">
            <v>10902.05</v>
          </cell>
          <cell r="F382">
            <v>9313.1</v>
          </cell>
        </row>
        <row r="383">
          <cell r="B383" t="str">
            <v>MRV040</v>
          </cell>
          <cell r="C383" t="str">
            <v>30 LOAFER'S LAKE LAND</v>
          </cell>
          <cell r="D383" t="str">
            <v>BRAMPTON, ON</v>
          </cell>
          <cell r="E383">
            <v>3380.95</v>
          </cell>
          <cell r="F383">
            <v>2002.6</v>
          </cell>
        </row>
        <row r="384">
          <cell r="B384" t="str">
            <v>MRV041</v>
          </cell>
          <cell r="C384" t="str">
            <v>69 ELLIOT STREET</v>
          </cell>
          <cell r="D384" t="str">
            <v>BRAMPTON, ON</v>
          </cell>
          <cell r="E384">
            <v>21410.7</v>
          </cell>
          <cell r="F384">
            <v>18867.25</v>
          </cell>
        </row>
        <row r="385">
          <cell r="B385" t="str">
            <v>MRV042</v>
          </cell>
          <cell r="C385" t="str">
            <v>1295 WILLIAMS PARKWAY</v>
          </cell>
          <cell r="D385" t="str">
            <v>BRAMPTON, ON</v>
          </cell>
          <cell r="E385">
            <v>11732.6</v>
          </cell>
          <cell r="F385">
            <v>10470.700000000001</v>
          </cell>
        </row>
        <row r="386">
          <cell r="B386" t="str">
            <v>MRV043</v>
          </cell>
          <cell r="C386" t="str">
            <v>20 VICTORIA CRESCENT</v>
          </cell>
          <cell r="D386" t="str">
            <v>BRAMPTON, ON</v>
          </cell>
          <cell r="E386">
            <v>15967.8</v>
          </cell>
          <cell r="F386">
            <v>14455.25</v>
          </cell>
        </row>
        <row r="387">
          <cell r="B387" t="str">
            <v>MRV044</v>
          </cell>
          <cell r="C387" t="str">
            <v>150 CENTRAL PARK DRIVE</v>
          </cell>
          <cell r="D387" t="str">
            <v>BRAMPTON, ON</v>
          </cell>
          <cell r="E387">
            <v>52284</v>
          </cell>
          <cell r="F387">
            <v>27104.400000000001</v>
          </cell>
        </row>
        <row r="388">
          <cell r="B388" t="str">
            <v>MRV045</v>
          </cell>
          <cell r="C388" t="str">
            <v>370 BARTLEY BULL PARKWAY</v>
          </cell>
          <cell r="D388" t="str">
            <v>BRAMPTON, ON</v>
          </cell>
          <cell r="E388">
            <v>0</v>
          </cell>
          <cell r="F388">
            <v>0</v>
          </cell>
        </row>
        <row r="389">
          <cell r="B389" t="str">
            <v>MRV046</v>
          </cell>
          <cell r="C389" t="str">
            <v>340 VADDEN STREET EAST</v>
          </cell>
          <cell r="D389" t="str">
            <v>BRAMPTON, ON</v>
          </cell>
          <cell r="E389">
            <v>13477.2</v>
          </cell>
          <cell r="F389">
            <v>10969</v>
          </cell>
        </row>
        <row r="390">
          <cell r="B390" t="str">
            <v>MRV047</v>
          </cell>
          <cell r="C390" t="str">
            <v>29A HARTFORD TRAIL</v>
          </cell>
          <cell r="D390" t="str">
            <v>BRAMPTON, ON</v>
          </cell>
          <cell r="E390">
            <v>0</v>
          </cell>
          <cell r="F390">
            <v>0</v>
          </cell>
        </row>
        <row r="391">
          <cell r="B391" t="str">
            <v>MRV048</v>
          </cell>
          <cell r="C391" t="str">
            <v>789 YONGE STREET</v>
          </cell>
          <cell r="D391" t="str">
            <v>TORONTO, ON</v>
          </cell>
          <cell r="E391">
            <v>26986.43</v>
          </cell>
          <cell r="F391">
            <v>0</v>
          </cell>
        </row>
        <row r="392">
          <cell r="B392" t="str">
            <v>MRV049</v>
          </cell>
          <cell r="C392" t="str">
            <v>291 BROCK STREET, WEST</v>
          </cell>
          <cell r="D392" t="str">
            <v>UXBRIDGE, ON</v>
          </cell>
          <cell r="E392">
            <v>30081</v>
          </cell>
          <cell r="F392">
            <v>0</v>
          </cell>
        </row>
        <row r="393">
          <cell r="B393" t="str">
            <v>MRV13A</v>
          </cell>
          <cell r="C393" t="str">
            <v>93 BIRCHMOUNT ROAD, KIOSK A</v>
          </cell>
          <cell r="D393" t="str">
            <v>SCARBOROUGH, ON</v>
          </cell>
          <cell r="E393">
            <v>14623</v>
          </cell>
          <cell r="F393">
            <v>1515</v>
          </cell>
        </row>
        <row r="394">
          <cell r="B394" t="str">
            <v>MRV13B</v>
          </cell>
          <cell r="C394" t="str">
            <v>75 BIRCHMOUNT ROAD</v>
          </cell>
          <cell r="D394" t="str">
            <v>SCARBOROUGH, ON</v>
          </cell>
          <cell r="E394">
            <v>1000</v>
          </cell>
          <cell r="F394">
            <v>0</v>
          </cell>
        </row>
        <row r="395">
          <cell r="B395" t="str">
            <v>NEWNT</v>
          </cell>
          <cell r="E395">
            <v>0</v>
          </cell>
          <cell r="F395">
            <v>0</v>
          </cell>
        </row>
        <row r="396">
          <cell r="B396" t="str">
            <v>PCW001</v>
          </cell>
          <cell r="C396" t="str">
            <v>9580 JANE STREET</v>
          </cell>
          <cell r="D396" t="str">
            <v>VAUGHAN, ON</v>
          </cell>
          <cell r="E396">
            <v>208494</v>
          </cell>
          <cell r="F396">
            <v>0</v>
          </cell>
        </row>
        <row r="397">
          <cell r="B397" t="str">
            <v>PET001</v>
          </cell>
          <cell r="C397" t="str">
            <v xml:space="preserve">508 MAIN ST. EAST </v>
          </cell>
          <cell r="D397" t="str">
            <v>SHELBURNE, ON</v>
          </cell>
          <cell r="E397">
            <v>79921</v>
          </cell>
          <cell r="F397">
            <v>37307</v>
          </cell>
        </row>
        <row r="398">
          <cell r="B398" t="str">
            <v>PIO003</v>
          </cell>
          <cell r="C398" t="str">
            <v>4495 BATH ROAD</v>
          </cell>
          <cell r="D398" t="str">
            <v>AMHERSTVIEW, ON</v>
          </cell>
          <cell r="E398">
            <v>202914</v>
          </cell>
          <cell r="F398">
            <v>159670</v>
          </cell>
        </row>
        <row r="399">
          <cell r="B399" t="str">
            <v>PIO004</v>
          </cell>
          <cell r="C399" t="str">
            <v>1092 HIGHWAY #6 N</v>
          </cell>
          <cell r="D399" t="str">
            <v>HAMILTON, ON</v>
          </cell>
          <cell r="E399">
            <v>48369</v>
          </cell>
          <cell r="F399">
            <v>31762</v>
          </cell>
        </row>
        <row r="400">
          <cell r="B400" t="str">
            <v>PIO005</v>
          </cell>
          <cell r="C400" t="str">
            <v>99 KING STREET</v>
          </cell>
          <cell r="D400" t="str">
            <v>PARIS, ON</v>
          </cell>
          <cell r="E400">
            <v>43702</v>
          </cell>
          <cell r="F400">
            <v>28007</v>
          </cell>
        </row>
        <row r="401">
          <cell r="B401" t="str">
            <v>PIO006</v>
          </cell>
          <cell r="C401" t="str">
            <v>857 10TH STREET</v>
          </cell>
          <cell r="D401" t="str">
            <v>HANOVER, ON</v>
          </cell>
          <cell r="E401">
            <v>9095</v>
          </cell>
          <cell r="F401">
            <v>3801</v>
          </cell>
        </row>
        <row r="402">
          <cell r="B402" t="str">
            <v>PIO007</v>
          </cell>
          <cell r="C402" t="str">
            <v>859 UPPER JAMES STRET</v>
          </cell>
          <cell r="D402" t="str">
            <v>HAMILTON, ON</v>
          </cell>
          <cell r="E402">
            <v>12768</v>
          </cell>
          <cell r="F402">
            <v>6766</v>
          </cell>
        </row>
        <row r="403">
          <cell r="B403" t="str">
            <v>PIO008</v>
          </cell>
          <cell r="C403" t="str">
            <v>545 WOODWARD AVENUE</v>
          </cell>
          <cell r="D403" t="str">
            <v>HAMILTON, ON</v>
          </cell>
          <cell r="E403">
            <v>26450</v>
          </cell>
          <cell r="F403">
            <v>0</v>
          </cell>
        </row>
        <row r="404">
          <cell r="B404" t="str">
            <v>PIO009</v>
          </cell>
          <cell r="C404" t="str">
            <v>6868 HYW #7 - R.R. #5</v>
          </cell>
          <cell r="D404" t="str">
            <v>SPRINGVILLE, ON</v>
          </cell>
          <cell r="E404">
            <v>101962</v>
          </cell>
          <cell r="F404">
            <v>15904</v>
          </cell>
        </row>
        <row r="405">
          <cell r="B405" t="str">
            <v>PIO010</v>
          </cell>
          <cell r="C405" t="str">
            <v>1105 KING STREET EAST</v>
          </cell>
          <cell r="D405" t="str">
            <v>KITCHENER, ON</v>
          </cell>
          <cell r="E405">
            <v>7702</v>
          </cell>
          <cell r="F405">
            <v>0</v>
          </cell>
        </row>
        <row r="406">
          <cell r="B406" t="str">
            <v>PIO012</v>
          </cell>
          <cell r="C406" t="str">
            <v>4499 MAINWAY DRIVE</v>
          </cell>
          <cell r="D406" t="str">
            <v>BURLINGTON, ON</v>
          </cell>
          <cell r="E406">
            <v>26445</v>
          </cell>
          <cell r="F406">
            <v>0</v>
          </cell>
        </row>
        <row r="407">
          <cell r="B407" t="str">
            <v>RAB001</v>
          </cell>
          <cell r="C407" t="str">
            <v>20 BRISTOL ROAD</v>
          </cell>
          <cell r="D407" t="str">
            <v>MISSISSAUGA, ON</v>
          </cell>
          <cell r="E407">
            <v>35901</v>
          </cell>
          <cell r="F407">
            <v>5725</v>
          </cell>
        </row>
        <row r="408">
          <cell r="B408" t="str">
            <v>RAB002</v>
          </cell>
          <cell r="C408" t="str">
            <v>17 KINGS CROSS ROAD</v>
          </cell>
          <cell r="D408" t="str">
            <v>BRAMPTON, ON</v>
          </cell>
          <cell r="E408">
            <v>13963</v>
          </cell>
          <cell r="F408">
            <v>0</v>
          </cell>
        </row>
        <row r="409">
          <cell r="B409" t="str">
            <v>SHL002</v>
          </cell>
          <cell r="C409" t="str">
            <v>BOX 308 HIGHWAY 11 NORTH</v>
          </cell>
          <cell r="D409" t="str">
            <v>TEMAGAMI, ON</v>
          </cell>
          <cell r="E409">
            <v>192575</v>
          </cell>
          <cell r="F409">
            <v>172666</v>
          </cell>
        </row>
        <row r="410">
          <cell r="B410" t="str">
            <v>SHL003</v>
          </cell>
          <cell r="C410" t="str">
            <v>2881 MAJOR MACKENZIE DRIVE</v>
          </cell>
          <cell r="D410" t="str">
            <v>MARKHAM, ON</v>
          </cell>
          <cell r="E410">
            <v>58380</v>
          </cell>
          <cell r="F410">
            <v>71652</v>
          </cell>
        </row>
        <row r="411">
          <cell r="B411" t="str">
            <v>SHL004</v>
          </cell>
          <cell r="C411" t="str">
            <v>1221 GUELPH LINE ROAD</v>
          </cell>
          <cell r="D411" t="str">
            <v>BURLINGTON, ON</v>
          </cell>
          <cell r="E411">
            <v>53371</v>
          </cell>
          <cell r="F411">
            <v>55354</v>
          </cell>
        </row>
        <row r="412">
          <cell r="B412" t="str">
            <v>SHL008</v>
          </cell>
          <cell r="C412" t="str">
            <v>38 SPADINA AVENUE</v>
          </cell>
          <cell r="D412" t="str">
            <v>TORONTO, ON</v>
          </cell>
          <cell r="E412">
            <v>315906</v>
          </cell>
          <cell r="F412">
            <v>326739</v>
          </cell>
        </row>
        <row r="413">
          <cell r="B413" t="str">
            <v>STI001</v>
          </cell>
          <cell r="C413" t="str">
            <v>293 MACKAY STREET</v>
          </cell>
          <cell r="D413" t="str">
            <v>PEMBROKE, ON</v>
          </cell>
          <cell r="E413">
            <v>26828</v>
          </cell>
          <cell r="F413">
            <v>7042</v>
          </cell>
        </row>
        <row r="414">
          <cell r="B414" t="str">
            <v>SUD001</v>
          </cell>
          <cell r="C414" t="str">
            <v>318 LASALLE BOULEVARD</v>
          </cell>
          <cell r="D414" t="str">
            <v>SUDBURY, ON</v>
          </cell>
          <cell r="E414">
            <v>72811</v>
          </cell>
          <cell r="F414">
            <v>67598</v>
          </cell>
        </row>
        <row r="415">
          <cell r="B415" t="str">
            <v>SUN002</v>
          </cell>
          <cell r="C415" t="str">
            <v>7750 MCCOWAN RD.</v>
          </cell>
          <cell r="D415" t="str">
            <v>MARKHAM, ON</v>
          </cell>
          <cell r="E415">
            <v>4286.2</v>
          </cell>
          <cell r="F415">
            <v>4915.37</v>
          </cell>
        </row>
        <row r="416">
          <cell r="B416" t="str">
            <v>SUN003</v>
          </cell>
          <cell r="C416" t="str">
            <v>3515 UPPER MIDDLE ROAD</v>
          </cell>
          <cell r="D416" t="str">
            <v>BURLINGTON, ON</v>
          </cell>
          <cell r="E416">
            <v>13130.98</v>
          </cell>
          <cell r="F416">
            <v>13280.69</v>
          </cell>
        </row>
        <row r="417">
          <cell r="B417" t="str">
            <v>SUN004</v>
          </cell>
          <cell r="C417" t="str">
            <v>565 YONGE ST.</v>
          </cell>
          <cell r="D417" t="str">
            <v>BARRIE, ON</v>
          </cell>
          <cell r="E417">
            <v>33132.31</v>
          </cell>
          <cell r="F417">
            <v>30164.959999999999</v>
          </cell>
        </row>
        <row r="418">
          <cell r="B418" t="str">
            <v>SUN005</v>
          </cell>
          <cell r="C418" t="str">
            <v>1457 WOODROFFE AVE.</v>
          </cell>
          <cell r="D418" t="str">
            <v>NEPEAN, ON</v>
          </cell>
          <cell r="E418">
            <v>15217.47</v>
          </cell>
          <cell r="F418">
            <v>21719.87</v>
          </cell>
        </row>
        <row r="419">
          <cell r="B419" t="str">
            <v>SUN006</v>
          </cell>
          <cell r="C419" t="str">
            <v>1253 WELLINGTON ROAD SOUTH</v>
          </cell>
          <cell r="D419" t="str">
            <v>LONDON, ON</v>
          </cell>
          <cell r="E419">
            <v>52460.72</v>
          </cell>
          <cell r="F419">
            <v>52535.57</v>
          </cell>
        </row>
        <row r="420">
          <cell r="B420" t="str">
            <v>SUN007</v>
          </cell>
          <cell r="C420" t="str">
            <v>9266 GUELPH LINE @ HWY. 401</v>
          </cell>
          <cell r="D420" t="str">
            <v>CAMPBELLVILLE, ON</v>
          </cell>
          <cell r="E420">
            <v>196077</v>
          </cell>
          <cell r="F420">
            <v>150465.01</v>
          </cell>
        </row>
        <row r="421">
          <cell r="B421" t="str">
            <v>SUN008</v>
          </cell>
          <cell r="C421" t="str">
            <v>610 ATHERLEY RD.</v>
          </cell>
          <cell r="D421" t="str">
            <v>ORILLIA, ON</v>
          </cell>
          <cell r="E421">
            <v>82272.81</v>
          </cell>
          <cell r="F421">
            <v>87142.59</v>
          </cell>
        </row>
        <row r="422">
          <cell r="B422" t="str">
            <v>SUN009</v>
          </cell>
          <cell r="C422" t="str">
            <v>1790 ERNEST AVENUE</v>
          </cell>
          <cell r="D422" t="str">
            <v>LONDON, ON</v>
          </cell>
          <cell r="E422">
            <v>108396.55</v>
          </cell>
          <cell r="F422">
            <v>96703.82</v>
          </cell>
        </row>
        <row r="423">
          <cell r="B423" t="str">
            <v>SUN010</v>
          </cell>
          <cell r="C423" t="str">
            <v>220 CENTENNIAL PARKWAY</v>
          </cell>
          <cell r="D423" t="str">
            <v>HAMILTON, ON</v>
          </cell>
          <cell r="E423">
            <v>3985.54</v>
          </cell>
          <cell r="F423">
            <v>4237.33</v>
          </cell>
        </row>
        <row r="424">
          <cell r="B424" t="str">
            <v>SUN011</v>
          </cell>
          <cell r="C424" t="str">
            <v>93 PARK AVENUE EAST</v>
          </cell>
          <cell r="D424" t="str">
            <v>CHATHAM, ON</v>
          </cell>
          <cell r="E424">
            <v>67558.320000000007</v>
          </cell>
          <cell r="F424">
            <v>68267.16</v>
          </cell>
        </row>
        <row r="425">
          <cell r="B425" t="str">
            <v>SUN012</v>
          </cell>
          <cell r="C425" t="str">
            <v>5739 HWY #7 EAST &amp; GRANDVIEW</v>
          </cell>
          <cell r="D425" t="str">
            <v>MARKHAM, ON</v>
          </cell>
          <cell r="E425">
            <v>31998.93</v>
          </cell>
          <cell r="F425">
            <v>33954.82</v>
          </cell>
        </row>
        <row r="426">
          <cell r="B426" t="str">
            <v>SUN014</v>
          </cell>
          <cell r="C426" t="str">
            <v>3425 WINSTON CHURCHILL BLVD.</v>
          </cell>
          <cell r="D426" t="str">
            <v>MISSISSAUGA, ON</v>
          </cell>
          <cell r="E426">
            <v>20419.330000000002</v>
          </cell>
          <cell r="F426">
            <v>23015.98</v>
          </cell>
        </row>
        <row r="427">
          <cell r="B427" t="str">
            <v>SUN015</v>
          </cell>
          <cell r="C427" t="str">
            <v>6015 MCLAUGHLIN ROAD</v>
          </cell>
          <cell r="D427" t="str">
            <v>MISSISSAUGA, ON</v>
          </cell>
          <cell r="E427">
            <v>4699.8999999999996</v>
          </cell>
          <cell r="F427">
            <v>5255.62</v>
          </cell>
        </row>
        <row r="428">
          <cell r="B428" t="str">
            <v>SUN016</v>
          </cell>
          <cell r="C428" t="str">
            <v>2180 MONTREAL RD. &amp; SHEFFORD</v>
          </cell>
          <cell r="D428" t="str">
            <v>GLOUCESTER, ON</v>
          </cell>
          <cell r="E428">
            <v>69669.759999999995</v>
          </cell>
          <cell r="F428">
            <v>62238.54</v>
          </cell>
        </row>
        <row r="429">
          <cell r="B429" t="str">
            <v>SUN017</v>
          </cell>
          <cell r="C429" t="str">
            <v>2850 VICTORIA PARK AVE.</v>
          </cell>
          <cell r="D429" t="str">
            <v>TORONTO, ON</v>
          </cell>
          <cell r="E429">
            <v>35102.11</v>
          </cell>
          <cell r="F429">
            <v>31834.3</v>
          </cell>
        </row>
        <row r="430">
          <cell r="B430" t="str">
            <v>SUN018</v>
          </cell>
          <cell r="C430" t="str">
            <v>195 NIAGARA STREET</v>
          </cell>
          <cell r="D430" t="str">
            <v>ST. CATHARINES, ON</v>
          </cell>
          <cell r="E430">
            <v>10754.97</v>
          </cell>
          <cell r="F430">
            <v>11169.32</v>
          </cell>
        </row>
        <row r="431">
          <cell r="B431" t="str">
            <v>SUN019</v>
          </cell>
          <cell r="C431" t="str">
            <v>800 MORNINGSIDE AVE./MILITARY</v>
          </cell>
          <cell r="D431" t="str">
            <v>SCARBOROUGH, ON</v>
          </cell>
          <cell r="E431">
            <v>96947.24</v>
          </cell>
          <cell r="F431">
            <v>95243.54</v>
          </cell>
        </row>
        <row r="432">
          <cell r="B432" t="str">
            <v>SUN020</v>
          </cell>
          <cell r="C432" t="str">
            <v>7991 MISSISSAUGA RD.</v>
          </cell>
          <cell r="D432" t="str">
            <v>BRAMPTON, ON</v>
          </cell>
          <cell r="E432">
            <v>56718.6</v>
          </cell>
          <cell r="F432">
            <v>53613.32</v>
          </cell>
        </row>
        <row r="433">
          <cell r="B433" t="str">
            <v>SUN021</v>
          </cell>
          <cell r="C433" t="str">
            <v>320 BLAKE STREET</v>
          </cell>
          <cell r="D433" t="str">
            <v>BARRIE, ON</v>
          </cell>
          <cell r="E433">
            <v>289085.98</v>
          </cell>
          <cell r="F433">
            <v>274578.23</v>
          </cell>
        </row>
        <row r="434">
          <cell r="B434" t="str">
            <v>SUN022</v>
          </cell>
          <cell r="C434" t="str">
            <v>341 BAYFIELD STREET</v>
          </cell>
          <cell r="D434" t="str">
            <v>BARRIE, ON</v>
          </cell>
          <cell r="E434">
            <v>60544.47</v>
          </cell>
          <cell r="F434">
            <v>64759.68</v>
          </cell>
        </row>
        <row r="435">
          <cell r="B435" t="str">
            <v>SUN023</v>
          </cell>
          <cell r="C435" t="str">
            <v>1600 ROSSLAND ROAD EAST</v>
          </cell>
          <cell r="D435" t="str">
            <v>WHITBY, ON</v>
          </cell>
          <cell r="E435">
            <v>46237.69</v>
          </cell>
          <cell r="F435">
            <v>49913.85</v>
          </cell>
        </row>
        <row r="436">
          <cell r="B436" t="str">
            <v>SUN024</v>
          </cell>
          <cell r="C436" t="str">
            <v>825 WALKERS LINE</v>
          </cell>
          <cell r="D436" t="str">
            <v>BURLINGTON, ON</v>
          </cell>
          <cell r="E436">
            <v>26274.13</v>
          </cell>
          <cell r="F436">
            <v>19154.009999999998</v>
          </cell>
        </row>
        <row r="437">
          <cell r="B437" t="str">
            <v>SUN025</v>
          </cell>
          <cell r="C437" t="str">
            <v>2182 QUEEN STREET</v>
          </cell>
          <cell r="D437" t="str">
            <v>BRAMPTON, ON</v>
          </cell>
          <cell r="E437">
            <v>22790.26</v>
          </cell>
          <cell r="F437">
            <v>29834.22</v>
          </cell>
        </row>
        <row r="438">
          <cell r="B438" t="str">
            <v>SUN026</v>
          </cell>
          <cell r="C438" t="str">
            <v>514 VICTORIA STREET</v>
          </cell>
          <cell r="D438" t="str">
            <v>ALLISTON, ON</v>
          </cell>
          <cell r="E438">
            <v>221226.03</v>
          </cell>
          <cell r="F438">
            <v>228895.37</v>
          </cell>
        </row>
        <row r="439">
          <cell r="B439" t="str">
            <v>SUN027</v>
          </cell>
          <cell r="C439" t="str">
            <v>570 TERRY FOX DR.</v>
          </cell>
          <cell r="D439" t="str">
            <v>KANATA, ON</v>
          </cell>
          <cell r="E439">
            <v>71425.850000000006</v>
          </cell>
          <cell r="F439">
            <v>70714.53</v>
          </cell>
        </row>
        <row r="440">
          <cell r="B440" t="str">
            <v>SUN028</v>
          </cell>
          <cell r="C440" t="str">
            <v>690 HUNT CLUB ROAD</v>
          </cell>
          <cell r="D440" t="str">
            <v>OTTAWA, ON</v>
          </cell>
          <cell r="E440">
            <v>68117.83</v>
          </cell>
          <cell r="F440">
            <v>75277.919999999998</v>
          </cell>
        </row>
        <row r="441">
          <cell r="B441" t="str">
            <v>SUN029</v>
          </cell>
          <cell r="C441" t="str">
            <v>8830 YONGE STREET</v>
          </cell>
          <cell r="D441" t="str">
            <v>RICHMOND HILL, ON</v>
          </cell>
          <cell r="E441">
            <v>33053.11</v>
          </cell>
          <cell r="F441">
            <v>20928.509999999998</v>
          </cell>
        </row>
        <row r="442">
          <cell r="B442" t="str">
            <v>SUN030</v>
          </cell>
          <cell r="C442" t="str">
            <v>R.R.#2, HIGHWAY 90</v>
          </cell>
          <cell r="D442" t="str">
            <v>BARRIE, ON</v>
          </cell>
          <cell r="E442">
            <v>147818.54999999999</v>
          </cell>
          <cell r="F442">
            <v>146141.07999999999</v>
          </cell>
        </row>
        <row r="443">
          <cell r="B443" t="str">
            <v>SUN031</v>
          </cell>
          <cell r="C443" t="str">
            <v>1020 DUNDAS ST. W.</v>
          </cell>
          <cell r="D443" t="str">
            <v>OAKVILLE, ON</v>
          </cell>
          <cell r="E443">
            <v>34106.42</v>
          </cell>
          <cell r="F443">
            <v>38038.32</v>
          </cell>
        </row>
        <row r="444">
          <cell r="B444" t="str">
            <v>SUN032</v>
          </cell>
          <cell r="C444" t="str">
            <v>8760 BAYVIEW AVE.</v>
          </cell>
          <cell r="D444" t="str">
            <v>RICHMOND HILL, ON</v>
          </cell>
          <cell r="E444">
            <v>62824.55</v>
          </cell>
          <cell r="F444">
            <v>75148.350000000006</v>
          </cell>
        </row>
        <row r="445">
          <cell r="B445" t="str">
            <v>SUN033</v>
          </cell>
          <cell r="C445" t="str">
            <v>2125 SHEPPARD AVE.E.</v>
          </cell>
          <cell r="D445" t="str">
            <v>NORTH YORK, ON</v>
          </cell>
          <cell r="E445">
            <v>7727.11</v>
          </cell>
          <cell r="F445">
            <v>7516.85</v>
          </cell>
        </row>
        <row r="446">
          <cell r="B446" t="str">
            <v>SUN034</v>
          </cell>
          <cell r="C446" t="str">
            <v>250 MULOCK DRIVE</v>
          </cell>
          <cell r="D446" t="str">
            <v>NEWMARKET, ON</v>
          </cell>
          <cell r="E446">
            <v>74424.62</v>
          </cell>
          <cell r="F446">
            <v>91535.77</v>
          </cell>
        </row>
        <row r="447">
          <cell r="B447" t="str">
            <v>SUN035</v>
          </cell>
          <cell r="C447" t="str">
            <v>1977 KENNEDY ROAD</v>
          </cell>
          <cell r="D447" t="str">
            <v>SCARBOROUGH, ON</v>
          </cell>
          <cell r="E447">
            <v>170651.83</v>
          </cell>
          <cell r="F447">
            <v>188693.06</v>
          </cell>
        </row>
        <row r="448">
          <cell r="B448" t="str">
            <v>SUN036</v>
          </cell>
          <cell r="C448" t="str">
            <v>1195 DAVIS DR.</v>
          </cell>
          <cell r="D448" t="str">
            <v>NEWMARKET, ON</v>
          </cell>
          <cell r="E448">
            <v>112454.71</v>
          </cell>
          <cell r="F448">
            <v>98515.44</v>
          </cell>
        </row>
        <row r="449">
          <cell r="B449" t="str">
            <v>SUN037</v>
          </cell>
          <cell r="C449" t="str">
            <v>154 CLARKE SIDE ROAD</v>
          </cell>
          <cell r="D449" t="str">
            <v>LONDON, ON</v>
          </cell>
          <cell r="E449">
            <v>39039.74</v>
          </cell>
          <cell r="F449">
            <v>32511.17</v>
          </cell>
        </row>
        <row r="450">
          <cell r="B450" t="str">
            <v>SUN038</v>
          </cell>
          <cell r="C450" t="str">
            <v>1514 RAVENSHOE ROAD</v>
          </cell>
          <cell r="D450" t="str">
            <v>KESWICK, ON</v>
          </cell>
          <cell r="E450">
            <v>218613.5</v>
          </cell>
          <cell r="F450">
            <v>186183.93</v>
          </cell>
        </row>
        <row r="451">
          <cell r="B451" t="str">
            <v>SUN039</v>
          </cell>
          <cell r="C451" t="str">
            <v>7635 MARKHAM RD.(KIRKHAM RD.)</v>
          </cell>
          <cell r="D451" t="str">
            <v>MARKHAM, ON</v>
          </cell>
          <cell r="E451">
            <v>117270.23</v>
          </cell>
          <cell r="F451">
            <v>103827.37</v>
          </cell>
        </row>
        <row r="452">
          <cell r="B452" t="str">
            <v>SUN040</v>
          </cell>
          <cell r="C452" t="str">
            <v>32 COOTES DRIVE</v>
          </cell>
          <cell r="D452" t="str">
            <v>DUNDAS, ON</v>
          </cell>
          <cell r="E452">
            <v>9131.41</v>
          </cell>
          <cell r="F452">
            <v>6236.46</v>
          </cell>
        </row>
        <row r="453">
          <cell r="B453" t="str">
            <v>SUN041</v>
          </cell>
          <cell r="C453" t="str">
            <v>1960 INNES ROAD</v>
          </cell>
          <cell r="D453" t="str">
            <v>GLOUCESTER, ON</v>
          </cell>
          <cell r="E453">
            <v>19307.48</v>
          </cell>
          <cell r="F453">
            <v>17257.7</v>
          </cell>
        </row>
        <row r="454">
          <cell r="B454" t="str">
            <v>SUN042</v>
          </cell>
          <cell r="C454" t="str">
            <v>9950 MCLAUGHLIN ROAD</v>
          </cell>
          <cell r="D454" t="str">
            <v>BRAMPTON, ON</v>
          </cell>
          <cell r="E454">
            <v>35814.35</v>
          </cell>
          <cell r="F454">
            <v>30350.26</v>
          </cell>
        </row>
        <row r="455">
          <cell r="B455" t="str">
            <v>SUN043</v>
          </cell>
          <cell r="C455" t="str">
            <v>3201 CONROY</v>
          </cell>
          <cell r="D455" t="str">
            <v>OTTAWA, ON</v>
          </cell>
          <cell r="E455">
            <v>10626.57</v>
          </cell>
          <cell r="F455">
            <v>9778.1299999999992</v>
          </cell>
        </row>
        <row r="456">
          <cell r="B456" t="str">
            <v>SUN044</v>
          </cell>
          <cell r="C456" t="str">
            <v>3930 BROCK RD N</v>
          </cell>
          <cell r="D456" t="str">
            <v>WHITBY, ON</v>
          </cell>
          <cell r="E456">
            <v>29547.69</v>
          </cell>
          <cell r="F456">
            <v>56667.08</v>
          </cell>
        </row>
        <row r="457">
          <cell r="B457" t="str">
            <v>SUN045</v>
          </cell>
          <cell r="C457" t="str">
            <v xml:space="preserve">2630 INNES ROAD </v>
          </cell>
          <cell r="D457" t="str">
            <v>OTTAWA, ON</v>
          </cell>
          <cell r="E457">
            <v>27126.51</v>
          </cell>
          <cell r="F457">
            <v>20384.669999999998</v>
          </cell>
        </row>
        <row r="458">
          <cell r="B458" t="str">
            <v>SUN046</v>
          </cell>
          <cell r="C458" t="str">
            <v>301 THICKSON ROAD SOUTH</v>
          </cell>
          <cell r="D458" t="str">
            <v>WHITBY, ON</v>
          </cell>
          <cell r="E458">
            <v>11124.95</v>
          </cell>
          <cell r="F458">
            <v>7227.33</v>
          </cell>
        </row>
        <row r="459">
          <cell r="B459" t="str">
            <v>SUN047</v>
          </cell>
          <cell r="C459" t="str">
            <v>5336 BOUNDARY ROAD</v>
          </cell>
          <cell r="D459" t="str">
            <v>GLOUCESTER, ON</v>
          </cell>
          <cell r="E459">
            <v>41297.300000000003</v>
          </cell>
          <cell r="F459">
            <v>20070.66</v>
          </cell>
        </row>
        <row r="460">
          <cell r="B460" t="str">
            <v>SUN048</v>
          </cell>
          <cell r="C460" t="str">
            <v>18080 YONGE STREET</v>
          </cell>
          <cell r="D460" t="str">
            <v>NEWMARKET, ON</v>
          </cell>
          <cell r="E460">
            <v>24349.64</v>
          </cell>
          <cell r="F460">
            <v>10965.87</v>
          </cell>
        </row>
        <row r="461">
          <cell r="B461" t="str">
            <v>SUN049</v>
          </cell>
          <cell r="C461" t="str">
            <v>2535 OUELLETTE AVENUE</v>
          </cell>
          <cell r="D461" t="str">
            <v>WINDSOR, ON</v>
          </cell>
          <cell r="E461">
            <v>6504.98</v>
          </cell>
          <cell r="F461">
            <v>3389.77</v>
          </cell>
        </row>
        <row r="462">
          <cell r="B462" t="str">
            <v>SUN050</v>
          </cell>
          <cell r="C462" t="str">
            <v>311 CANNIFTON ROAD</v>
          </cell>
          <cell r="D462" t="str">
            <v>BELLEVILLE, ON</v>
          </cell>
          <cell r="E462">
            <v>44035.05</v>
          </cell>
          <cell r="F462">
            <v>24562.52</v>
          </cell>
        </row>
        <row r="463">
          <cell r="B463" t="str">
            <v>SUN051</v>
          </cell>
          <cell r="C463" t="str">
            <v>390 PARKDALE AVENUE</v>
          </cell>
          <cell r="D463" t="str">
            <v>OTTAWA, ON</v>
          </cell>
          <cell r="E463">
            <v>64295.94</v>
          </cell>
          <cell r="F463">
            <v>15092.64</v>
          </cell>
        </row>
        <row r="464">
          <cell r="B464" t="str">
            <v>SUN052</v>
          </cell>
          <cell r="C464" t="str">
            <v>1126 LONDON ROAD</v>
          </cell>
          <cell r="D464" t="str">
            <v>SARNIA, ON</v>
          </cell>
          <cell r="E464">
            <v>10644.29</v>
          </cell>
          <cell r="F464">
            <v>1814.36</v>
          </cell>
        </row>
        <row r="465">
          <cell r="B465" t="str">
            <v>SUN053</v>
          </cell>
          <cell r="C465" t="str">
            <v>1081 RUTHERFORD ROAD</v>
          </cell>
          <cell r="D465" t="str">
            <v>THORNHILL, ON</v>
          </cell>
          <cell r="E465">
            <v>34794.28</v>
          </cell>
          <cell r="F465">
            <v>3681</v>
          </cell>
        </row>
        <row r="466">
          <cell r="B466" t="str">
            <v>SUN054</v>
          </cell>
          <cell r="C466" t="str">
            <v>3011 KING STREET</v>
          </cell>
          <cell r="D466" t="str">
            <v>KITCHENER, ON</v>
          </cell>
          <cell r="E466">
            <v>11601.11</v>
          </cell>
          <cell r="F466">
            <v>2005.35</v>
          </cell>
        </row>
        <row r="467">
          <cell r="B467" t="str">
            <v>SUN055</v>
          </cell>
          <cell r="C467" t="str">
            <v>2235 HURON CHURCH ROAD</v>
          </cell>
          <cell r="D467" t="str">
            <v>WINDSOR, ON</v>
          </cell>
          <cell r="E467">
            <v>8772.16</v>
          </cell>
          <cell r="F467">
            <v>1347.22</v>
          </cell>
        </row>
        <row r="468">
          <cell r="B468" t="str">
            <v>SUN056</v>
          </cell>
          <cell r="C468" t="str">
            <v>500 EAGLESON ROAD</v>
          </cell>
          <cell r="D468" t="str">
            <v>KANATA, ON</v>
          </cell>
          <cell r="E468">
            <v>41422.99</v>
          </cell>
          <cell r="F468">
            <v>7879</v>
          </cell>
        </row>
        <row r="469">
          <cell r="B469" t="str">
            <v>SUN057</v>
          </cell>
          <cell r="C469" t="str">
            <v>4140 ERIN MILLS PARKWAY</v>
          </cell>
          <cell r="D469" t="str">
            <v>MISSISSAUGA, ON</v>
          </cell>
          <cell r="E469">
            <v>33584.61</v>
          </cell>
          <cell r="F469">
            <v>0</v>
          </cell>
        </row>
        <row r="470">
          <cell r="B470" t="str">
            <v>SUN058</v>
          </cell>
          <cell r="C470" t="str">
            <v>2985 SANDALWOOD PARKWAY</v>
          </cell>
          <cell r="D470" t="str">
            <v>BRAMPTON, ON</v>
          </cell>
          <cell r="E470">
            <v>43135</v>
          </cell>
          <cell r="F470">
            <v>0</v>
          </cell>
        </row>
        <row r="471">
          <cell r="B471" t="str">
            <v>SUN059</v>
          </cell>
          <cell r="C471" t="str">
            <v>80 IMPERIAL ROAD NORTH</v>
          </cell>
          <cell r="D471" t="str">
            <v>GUELPH, ON</v>
          </cell>
          <cell r="E471">
            <v>6831.78</v>
          </cell>
          <cell r="F471">
            <v>0</v>
          </cell>
        </row>
        <row r="472">
          <cell r="B472" t="str">
            <v>SUN060</v>
          </cell>
          <cell r="C472" t="str">
            <v>1465 PRINCESS STREET</v>
          </cell>
          <cell r="D472" t="str">
            <v>KINGSTON, ON</v>
          </cell>
          <cell r="E472">
            <v>17770.77</v>
          </cell>
          <cell r="F472">
            <v>0</v>
          </cell>
        </row>
        <row r="473">
          <cell r="B473" t="str">
            <v>SUN061</v>
          </cell>
          <cell r="C473" t="str">
            <v>1856 WHARNCLIFFE ROAD SOUTH</v>
          </cell>
          <cell r="D473" t="str">
            <v>LONDON, ON</v>
          </cell>
          <cell r="E473">
            <v>6704.52</v>
          </cell>
          <cell r="F473">
            <v>0</v>
          </cell>
        </row>
        <row r="474">
          <cell r="B474" t="str">
            <v>SUN062</v>
          </cell>
          <cell r="C474" t="str">
            <v>491 OXFORD STREET, WEST</v>
          </cell>
          <cell r="D474" t="str">
            <v>LONDON, ON</v>
          </cell>
          <cell r="E474">
            <v>7595.05</v>
          </cell>
          <cell r="F474">
            <v>0</v>
          </cell>
        </row>
        <row r="475">
          <cell r="B475" t="str">
            <v>SUN063</v>
          </cell>
          <cell r="C475" t="str">
            <v>1900 PRINCE OF WALES DRIVE</v>
          </cell>
          <cell r="D475" t="str">
            <v>NEPEAN (OTTAWA), ON</v>
          </cell>
          <cell r="E475">
            <v>19213.830000000002</v>
          </cell>
          <cell r="F475">
            <v>0</v>
          </cell>
        </row>
        <row r="476">
          <cell r="B476" t="str">
            <v>SUN064</v>
          </cell>
          <cell r="C476" t="str">
            <v>7400 BATHURST STREET</v>
          </cell>
          <cell r="D476" t="str">
            <v>THORNHILL, ON</v>
          </cell>
          <cell r="E476">
            <v>3254.25</v>
          </cell>
          <cell r="F476">
            <v>0</v>
          </cell>
        </row>
        <row r="477">
          <cell r="B477" t="str">
            <v>SUN065</v>
          </cell>
          <cell r="C477" t="str">
            <v>5 RED MAPLE ROAD</v>
          </cell>
          <cell r="D477" t="str">
            <v>RICHMOND HILL, ON</v>
          </cell>
          <cell r="E477">
            <v>1876.85</v>
          </cell>
          <cell r="F477">
            <v>0</v>
          </cell>
        </row>
        <row r="478">
          <cell r="B478" t="str">
            <v>TWI001</v>
          </cell>
          <cell r="C478" t="str">
            <v>1410 9TH LINE</v>
          </cell>
          <cell r="D478" t="str">
            <v>OAKVILLE, ON</v>
          </cell>
          <cell r="E478">
            <v>16631</v>
          </cell>
          <cell r="F478">
            <v>0</v>
          </cell>
        </row>
        <row r="479">
          <cell r="B479" t="str">
            <v>YF0001</v>
          </cell>
          <cell r="C479" t="str">
            <v>200 BAY ST.BOX 216 ROYAL BANK</v>
          </cell>
          <cell r="D479" t="str">
            <v>TORONTO, ON</v>
          </cell>
          <cell r="E479">
            <v>0</v>
          </cell>
          <cell r="F479">
            <v>0</v>
          </cell>
        </row>
        <row r="480">
          <cell r="B480" t="str">
            <v>YF0003</v>
          </cell>
          <cell r="E480">
            <v>0</v>
          </cell>
          <cell r="F480">
            <v>0</v>
          </cell>
        </row>
        <row r="481">
          <cell r="B481" t="str">
            <v>YF0004</v>
          </cell>
          <cell r="C481" t="str">
            <v>501B CHURCH ST.</v>
          </cell>
          <cell r="D481" t="str">
            <v>TORONTO, ON</v>
          </cell>
          <cell r="E481">
            <v>0</v>
          </cell>
          <cell r="F481">
            <v>0</v>
          </cell>
        </row>
        <row r="482">
          <cell r="B482" t="str">
            <v>YF0005</v>
          </cell>
          <cell r="C482" t="str">
            <v>181 BAY ST.BOX 122, UNIT 130</v>
          </cell>
          <cell r="D482" t="str">
            <v>TORONTO, ON</v>
          </cell>
          <cell r="E482">
            <v>0</v>
          </cell>
          <cell r="F482">
            <v>0</v>
          </cell>
        </row>
        <row r="483">
          <cell r="B483" t="str">
            <v>YF0007</v>
          </cell>
          <cell r="C483" t="str">
            <v>499 MAIN ST.S. UNIT 115B</v>
          </cell>
          <cell r="D483" t="str">
            <v>BRAMPTON, ON</v>
          </cell>
          <cell r="E483">
            <v>0</v>
          </cell>
          <cell r="F483">
            <v>0</v>
          </cell>
        </row>
        <row r="484">
          <cell r="B484" t="str">
            <v>YF0009</v>
          </cell>
          <cell r="C484" t="str">
            <v>CONESTOGA MALL, 550 KING ST.N.</v>
          </cell>
          <cell r="D484" t="str">
            <v xml:space="preserve">WATERLOO, ON </v>
          </cell>
          <cell r="E484">
            <v>0</v>
          </cell>
          <cell r="F484">
            <v>0</v>
          </cell>
        </row>
        <row r="485">
          <cell r="B485" t="str">
            <v>YF0010</v>
          </cell>
          <cell r="C485" t="str">
            <v>5 POINTS MALL 285 TAUNTON RD E</v>
          </cell>
          <cell r="D485" t="str">
            <v>OSHAWA, ON</v>
          </cell>
          <cell r="E485">
            <v>0</v>
          </cell>
          <cell r="F485">
            <v>0</v>
          </cell>
        </row>
        <row r="486">
          <cell r="B486" t="str">
            <v>YF0013</v>
          </cell>
          <cell r="C486" t="str">
            <v>419 KING ST.W. UNIT #2250</v>
          </cell>
          <cell r="D486" t="str">
            <v>OSHAWA, ON</v>
          </cell>
          <cell r="E486">
            <v>0</v>
          </cell>
          <cell r="F486">
            <v>0</v>
          </cell>
        </row>
        <row r="487">
          <cell r="B487" t="str">
            <v>YF0014</v>
          </cell>
          <cell r="C487" t="str">
            <v>SIMCOE PLACE, 200 FRONT ST.W</v>
          </cell>
          <cell r="D487" t="str">
            <v>TORONTO, ON</v>
          </cell>
          <cell r="E487">
            <v>0</v>
          </cell>
          <cell r="F487">
            <v>0</v>
          </cell>
        </row>
        <row r="488">
          <cell r="B488" t="str">
            <v>YF0015</v>
          </cell>
          <cell r="C488" t="str">
            <v>2960 KINGSWAY DR., UNIT G3</v>
          </cell>
          <cell r="D488" t="str">
            <v>KITCHENER, ON</v>
          </cell>
          <cell r="E488">
            <v>0</v>
          </cell>
          <cell r="F488">
            <v>0</v>
          </cell>
        </row>
        <row r="489">
          <cell r="B489" t="str">
            <v>YF0018</v>
          </cell>
          <cell r="C489" t="str">
            <v>6340 YONGE STREET</v>
          </cell>
          <cell r="D489" t="str">
            <v>WILLOWDALE, ON</v>
          </cell>
          <cell r="E489">
            <v>0</v>
          </cell>
          <cell r="F489">
            <v>0</v>
          </cell>
        </row>
        <row r="490">
          <cell r="B490" t="str">
            <v>YF0019</v>
          </cell>
          <cell r="C490" t="str">
            <v>9350 YONGE ST., HILLCREST MALL</v>
          </cell>
          <cell r="D490" t="str">
            <v>RICHMOND HILL, ON</v>
          </cell>
          <cell r="E490">
            <v>0</v>
          </cell>
          <cell r="F490">
            <v>0</v>
          </cell>
        </row>
        <row r="491">
          <cell r="B491" t="str">
            <v>YF0021</v>
          </cell>
          <cell r="C491" t="str">
            <v>2300 YONGE ST,UNIT S2</v>
          </cell>
          <cell r="D491" t="str">
            <v>TORONTO, ON</v>
          </cell>
          <cell r="E491">
            <v>0</v>
          </cell>
          <cell r="F491">
            <v>0</v>
          </cell>
        </row>
        <row r="492">
          <cell r="B492" t="str">
            <v>YF0022</v>
          </cell>
          <cell r="C492" t="str">
            <v>100 CITY CENTRE DR UNIT K1-3</v>
          </cell>
          <cell r="D492" t="str">
            <v>MISSISSAUGA, ON</v>
          </cell>
          <cell r="E492">
            <v>0</v>
          </cell>
          <cell r="F492">
            <v>0</v>
          </cell>
        </row>
        <row r="493">
          <cell r="B493" t="str">
            <v>YF0023</v>
          </cell>
          <cell r="C493" t="str">
            <v>355 HESPELER ROAD, UNIT K107</v>
          </cell>
          <cell r="D493" t="str">
            <v>CAMBRIDGE, ON</v>
          </cell>
          <cell r="E493">
            <v>0</v>
          </cell>
          <cell r="F493">
            <v>0</v>
          </cell>
        </row>
        <row r="494">
          <cell r="B494" t="str">
            <v>YF0024</v>
          </cell>
          <cell r="C494" t="str">
            <v>1355 KINGSTON RD.</v>
          </cell>
          <cell r="D494" t="str">
            <v>PICKERING, ON</v>
          </cell>
          <cell r="E494">
            <v>0</v>
          </cell>
          <cell r="F494">
            <v>0</v>
          </cell>
        </row>
        <row r="495">
          <cell r="B495" t="str">
            <v>YF0025</v>
          </cell>
          <cell r="C495" t="str">
            <v>1-70 EGLINTON SQUARE, UNIT K4</v>
          </cell>
          <cell r="D495" t="str">
            <v>TORONTO, ON</v>
          </cell>
          <cell r="E495">
            <v>0</v>
          </cell>
          <cell r="F495">
            <v>0</v>
          </cell>
        </row>
        <row r="496">
          <cell r="B496" t="str">
            <v>YF0026</v>
          </cell>
          <cell r="C496" t="str">
            <v>939 LAWRENCE AVE. E, UNIT 0002</v>
          </cell>
          <cell r="D496" t="str">
            <v>TORONTO, ON</v>
          </cell>
          <cell r="E496">
            <v>0</v>
          </cell>
          <cell r="F496">
            <v>0</v>
          </cell>
        </row>
        <row r="497">
          <cell r="B497" t="str">
            <v>YF0027</v>
          </cell>
          <cell r="C497" t="str">
            <v>220 YONGE STREET, UNIT H16A</v>
          </cell>
          <cell r="D497" t="str">
            <v>TORONTO, ON</v>
          </cell>
          <cell r="E497">
            <v>0</v>
          </cell>
          <cell r="F497">
            <v>0</v>
          </cell>
        </row>
        <row r="498">
          <cell r="B498" t="str">
            <v>YF0028</v>
          </cell>
          <cell r="C498" t="str">
            <v>25 PEEL CENTRE DR., UNIT 716K</v>
          </cell>
          <cell r="D498" t="str">
            <v>BRAMPTON, ON</v>
          </cell>
          <cell r="E498">
            <v>0</v>
          </cell>
          <cell r="F498">
            <v>0</v>
          </cell>
        </row>
        <row r="499">
          <cell r="B499" t="str">
            <v>YF0029</v>
          </cell>
          <cell r="C499" t="str">
            <v>0303-999 UPPER WENTWORTH ST.</v>
          </cell>
          <cell r="D499" t="str">
            <v>HAMILTON, ON</v>
          </cell>
          <cell r="E499">
            <v>0</v>
          </cell>
          <cell r="F499">
            <v>0</v>
          </cell>
        </row>
        <row r="500">
          <cell r="B500" t="str">
            <v>YF0030</v>
          </cell>
          <cell r="C500" t="str">
            <v>240 LEIGHLAND AVENUE</v>
          </cell>
          <cell r="D500" t="str">
            <v>OAKVILLE, ON</v>
          </cell>
          <cell r="E500">
            <v>0</v>
          </cell>
          <cell r="F500">
            <v>0</v>
          </cell>
        </row>
        <row r="501">
          <cell r="B501" t="str">
            <v>YF0031</v>
          </cell>
          <cell r="C501" t="str">
            <v>UNIT M-204A 777 BAY STREET</v>
          </cell>
          <cell r="D501" t="str">
            <v>TORONTO, ON</v>
          </cell>
          <cell r="E501">
            <v>0</v>
          </cell>
          <cell r="F501">
            <v>0</v>
          </cell>
        </row>
        <row r="502">
          <cell r="B502" t="str">
            <v>YF0032</v>
          </cell>
          <cell r="C502" t="str">
            <v>25 THE WEST MALL, UNIT G-22</v>
          </cell>
          <cell r="D502" t="str">
            <v>ETOBICOKE, ON</v>
          </cell>
          <cell r="E502">
            <v>0</v>
          </cell>
          <cell r="F502">
            <v>0</v>
          </cell>
        </row>
        <row r="503">
          <cell r="B503" t="str">
            <v>YF0033</v>
          </cell>
          <cell r="C503" t="str">
            <v>UNIT #M007 500 REXDALE CENTRE</v>
          </cell>
          <cell r="D503" t="str">
            <v>ETOBICOKE, ON</v>
          </cell>
          <cell r="E503">
            <v>0</v>
          </cell>
          <cell r="F503">
            <v>0</v>
          </cell>
        </row>
        <row r="504">
          <cell r="B504" t="str">
            <v>YF0034</v>
          </cell>
          <cell r="C504" t="str">
            <v>50 RIDEAU STREET</v>
          </cell>
          <cell r="D504" t="str">
            <v>OTTAWA, ON</v>
          </cell>
          <cell r="E504">
            <v>0</v>
          </cell>
          <cell r="F504">
            <v>0</v>
          </cell>
        </row>
        <row r="505">
          <cell r="B505" t="str">
            <v>YF0035</v>
          </cell>
          <cell r="C505" t="str">
            <v>45 SHEPPARD AVENUE EAST</v>
          </cell>
          <cell r="D505" t="str">
            <v>NORTH YORK, ON</v>
          </cell>
          <cell r="E505">
            <v>0</v>
          </cell>
          <cell r="F505">
            <v>0</v>
          </cell>
        </row>
        <row r="506">
          <cell r="B506" t="str">
            <v>YF0036</v>
          </cell>
          <cell r="C506" t="str">
            <v>1 PROMENADE CIRCLE</v>
          </cell>
          <cell r="D506" t="str">
            <v>THORNHILL, ON</v>
          </cell>
          <cell r="E506">
            <v>0</v>
          </cell>
          <cell r="F506">
            <v>0</v>
          </cell>
        </row>
      </sheetData>
      <sheetData sheetId="5" refreshError="1"/>
      <sheetData sheetId="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 BS"/>
      <sheetName val="Results PL"/>
      <sheetName val="Cash Flow"/>
      <sheetName val="FA Print"/>
      <sheetName val="Invst"/>
      <sheetName val="Notes"/>
      <sheetName val="Notes2"/>
      <sheetName val="Notes 3"/>
      <sheetName val="Notes4"/>
      <sheetName val="Bal Sheet"/>
      <sheetName val="Entries"/>
      <sheetName val="G'will"/>
      <sheetName val="FA"/>
      <sheetName val="AdInfo"/>
      <sheetName val="Analysis Wo Delhi"/>
      <sheetName val="Analysis withDelhi"/>
      <sheetName val="Summary Assets &lt;5000"/>
      <sheetName val="5000"/>
      <sheetName val="Sheet1"/>
      <sheetName val="Pending"/>
      <sheetName val="Part 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, PL, Sch 5 to 9"/>
      <sheetName val="Sch 1,2,3"/>
      <sheetName val="Sch-4"/>
      <sheetName val=" Sch 10 to 18"/>
      <sheetName val="Cash Flow"/>
      <sheetName val="Abstr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Ops Summary"/>
      <sheetName val="Ops Summary - Trended"/>
      <sheetName val="Gross Adds"/>
      <sheetName val="Deacts"/>
      <sheetName val="Churn"/>
      <sheetName val="Net Adds"/>
      <sheetName val="Total Revenue"/>
      <sheetName val="Net Serv Rev"/>
      <sheetName val="Rev Metrics"/>
      <sheetName val="Rev Metrics Trending"/>
      <sheetName val="NSR per Sub"/>
      <sheetName val="Roaming Rev"/>
      <sheetName val="Roaming MOU"/>
      <sheetName val="Roaming Yield"/>
      <sheetName val="Tot Op Exp"/>
      <sheetName val="COS Expense"/>
      <sheetName val="COS Exp Metrics"/>
      <sheetName val="COS Exp Trending"/>
      <sheetName val="Selling Expense"/>
      <sheetName val="Subscriber Metrics"/>
      <sheetName val="Subscriber Trending"/>
      <sheetName val="Acq Cost Per Add"/>
      <sheetName val="Acq Cost Trending"/>
      <sheetName val="Dist Chan Costs"/>
      <sheetName val="Dist Chan Cost Trend"/>
      <sheetName val="Analog Metrics"/>
      <sheetName val="Analog Trending"/>
      <sheetName val="Digital Metrics"/>
      <sheetName val="Digital Trending"/>
      <sheetName val="Prepaid Metrics"/>
      <sheetName val="Prepaid Trending"/>
      <sheetName val="G&amp;A Expense"/>
      <sheetName val="G&amp;A Expense Metrics"/>
      <sheetName val="G&amp;A Expense Trend"/>
      <sheetName val="A R Metrics"/>
      <sheetName val="Inventory"/>
      <sheetName val="EBITDA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ltiples"/>
      <sheetName val="DCF Assumptions"/>
      <sheetName val="Outputs"/>
      <sheetName val="DCC 10Y DCF"/>
      <sheetName val="Spin Off"/>
      <sheetName val="Inputs"/>
      <sheetName val="Resear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CRK"/>
      <sheetName val="DF"/>
      <sheetName val="NA"/>
      <sheetName val="HSY"/>
      <sheetName val="NESN"/>
      <sheetName val="TR"/>
      <sheetName val="WWY"/>
      <sheetName val="CBRY"/>
      <sheetName val="MO"/>
      <sheetName val="UB"/>
      <sheetName val="VM"/>
      <sheetName val="SW"/>
      <sheetName val="WLA"/>
      <sheetName val="LISN"/>
      <sheetName val="HUHKI"/>
      <sheetName val="EMPTY1"/>
      <sheetName val="Instructions"/>
      <sheetName val="Compco"/>
      <sheetName val="Control Panel"/>
      <sheetName val="Summary"/>
      <sheetName val="Purchase P analysis"/>
      <sheetName val="Financials"/>
      <sheetName val="Opening BS"/>
      <sheetName val="Ownership"/>
      <sheetName val="Returns"/>
      <sheetName val="Consolidated"/>
      <sheetName val="Existing Sites"/>
      <sheetName val="Total Acquisitions"/>
      <sheetName val="Small acquisition"/>
      <sheetName val="Large acquisition"/>
      <sheetName val="Depreciation"/>
      <sheetName val="Module1"/>
      <sheetName val="Module2"/>
      <sheetName val="Module3"/>
      <sheetName val="CC"/>
    </sheetNames>
    <definedNames>
      <definedName name="sName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IS"/>
      <sheetName val="SG&amp;A-Sales"/>
      <sheetName val="SG&amp;A"/>
      <sheetName val="CF"/>
      <sheetName val="BS-C"/>
      <sheetName val="IS-CM"/>
      <sheetName val="IS-CY"/>
      <sheetName val="SG&amp;A-CM"/>
      <sheetName val="SG&amp;A-CY"/>
      <sheetName val="CF-CM"/>
      <sheetName val="CF-CY"/>
      <sheetName val="Lead Sheets"/>
      <sheetName val="DATA"/>
      <sheetName val="GLRP01"/>
      <sheetName val="GLRP10"/>
      <sheetName val="Cap OH Calc 2003"/>
      <sheetName val="Cap OH Detail 2003"/>
      <sheetName val="Cap OH Inv 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_tab"/>
    </sheetNames>
    <definedNames>
      <definedName name="stav_akce"/>
    </defined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ÚVOD"/>
      <sheetName val="Servco_PROJ"/>
      <sheetName val="Servco_LIM"/>
      <sheetName val="Servco_SAP"/>
      <sheetName val="40003_SAP"/>
      <sheetName val="40001_SAP"/>
      <sheetName val="420001_SAP"/>
      <sheetName val="440000_SAP"/>
      <sheetName val="460002_SAP"/>
      <sheetName val="460004_SAP"/>
      <sheetName val="430006_SAP"/>
      <sheetName val="410001_SAP"/>
    </sheetNames>
    <sheetDataSet>
      <sheetData sheetId="0"/>
      <sheetData sheetId="1"/>
      <sheetData sheetId="2">
        <row r="3">
          <cell r="C3">
            <v>40693197</v>
          </cell>
          <cell r="D3">
            <v>0</v>
          </cell>
          <cell r="F3">
            <v>0</v>
          </cell>
        </row>
        <row r="6">
          <cell r="C6">
            <v>0</v>
          </cell>
          <cell r="F6">
            <v>0</v>
          </cell>
        </row>
        <row r="7">
          <cell r="C7">
            <v>0</v>
          </cell>
          <cell r="F7">
            <v>0</v>
          </cell>
        </row>
        <row r="8">
          <cell r="C8">
            <v>0</v>
          </cell>
          <cell r="F8">
            <v>0</v>
          </cell>
        </row>
        <row r="9">
          <cell r="C9">
            <v>0</v>
          </cell>
          <cell r="F9">
            <v>0</v>
          </cell>
        </row>
        <row r="10">
          <cell r="C10">
            <v>0</v>
          </cell>
        </row>
        <row r="13">
          <cell r="C13">
            <v>0</v>
          </cell>
          <cell r="D13">
            <v>0</v>
          </cell>
          <cell r="F13">
            <v>0</v>
          </cell>
        </row>
        <row r="18">
          <cell r="C18">
            <v>0</v>
          </cell>
          <cell r="D18">
            <v>0</v>
          </cell>
        </row>
        <row r="23">
          <cell r="C23">
            <v>0</v>
          </cell>
          <cell r="D23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_Sheet1 (2)"/>
      <sheetName val="TM_1"/>
      <sheetName val="TM_Sales"/>
      <sheetName val="Sales"/>
      <sheetName val="GM products (2)"/>
      <sheetName val="Revenues - annual (3)"/>
      <sheetName val="Annual PL Cons US GAAP reco"/>
      <sheetName val="Sheet9"/>
      <sheetName val="Annual PL Cons US GAAP Bsheet"/>
      <sheetName val="TM_Sheet2"/>
      <sheetName val="TM_Monthly PL"/>
      <sheetName val="Annual PL-Monthly P&amp;L sheets"/>
      <sheetName val="Detailed Income statement"/>
      <sheetName val="Detailed Income statement (2)"/>
      <sheetName val="Annual SVM + Others"/>
      <sheetName val="Sheet1"/>
      <sheetName val="Monthly PL(minus unusual items)"/>
      <sheetName val="Monthly PL"/>
      <sheetName val="Monthly PL bud and actual (2)"/>
      <sheetName val="Revenues - mthly"/>
      <sheetName val="Revenues - annual (2)"/>
      <sheetName val="TM_GM products"/>
      <sheetName val="Variance"/>
      <sheetName val="(Tons-value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 Sheet"/>
      <sheetName val="P&amp;L"/>
      <sheetName val="Schedule"/>
      <sheetName val="Schedule-Fixed assets "/>
      <sheetName val="Cashflow"/>
      <sheetName val="Cash Flow workings"/>
      <sheetName val="Notes1"/>
      <sheetName val="Notes2"/>
      <sheetName val="Notes3"/>
      <sheetName val="Notes4"/>
      <sheetName val="tb310307"/>
      <sheetName val="abstract"/>
      <sheetName val="tb310308"/>
      <sheetName val="Mar 08"/>
      <sheetName val="Deferred Tax_ECI"/>
      <sheetName val="P.1.1"/>
      <sheetName val="Assumptions"/>
      <sheetName val="Top Shee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-PERF"/>
      <sheetName val="GPVARBUD YTD MAY"/>
      <sheetName val="GPVARBUD2000 "/>
      <sheetName val="FINSUM"/>
      <sheetName val="EXP"/>
      <sheetName val="OH"/>
      <sheetName val="OI MT"/>
      <sheetName val="OIRSLACS"/>
      <sheetName val="SHIP MT"/>
      <sheetName val="SHIP RS LACS"/>
      <sheetName val="BL MT"/>
      <sheetName val="BL RS LACS"/>
      <sheetName val="MPOWER"/>
      <sheetName val="BSHEET"/>
      <sheetName val="CSFLOW"/>
      <sheetName val="INV"/>
      <sheetName val="VSE"/>
      <sheetName val="SHRS LACS"/>
      <sheetName val="SH RS LACS -MT"/>
      <sheetName val="GPGM"/>
      <sheetName val="OHR"/>
      <sheetName val="OPM%"/>
      <sheetName val="FC"/>
      <sheetName val="NPRS LACS"/>
      <sheetName val="WC"/>
      <sheetName val="INV (2)"/>
      <sheetName val="MC%S"/>
      <sheetName val="ROCE"/>
      <sheetName val="OPM"/>
      <sheetName val="SAL%"/>
      <sheetName val="ADVRS LACS"/>
      <sheetName val="OIEMP"/>
      <sheetName val="SPEMP"/>
      <sheetName val="OPEMP"/>
      <sheetName val="OTP%LC"/>
      <sheetName val="19_PERF"/>
      <sheetName val="Annexures (2)"/>
      <sheetName val="Workings"/>
      <sheetName val="Nov 02 &amp; Dec 02 sal"/>
      <sheetName val="YAAS"/>
      <sheetName val="Page1"/>
      <sheetName val="Assumptions"/>
      <sheetName val="Fcst vs Budgets"/>
      <sheetName val="accumdeprn"/>
      <sheetName val="5-F-PAR"/>
      <sheetName val="GRP"/>
      <sheetName val="Sheet1"/>
      <sheetName val="EXP LINE"/>
      <sheetName val="DTCT"/>
      <sheetName val="Financial statements"/>
      <sheetName val=""/>
      <sheetName val="Exhibit-1"/>
      <sheetName val="POV"/>
      <sheetName val="Settings"/>
      <sheetName val="OUVC"/>
      <sheetName val="120RECV"/>
      <sheetName val="GPVARBUD_YTD_MAY"/>
      <sheetName val="GPVARBUD2000_"/>
      <sheetName val="OI_MT"/>
      <sheetName val="SHIP_MT"/>
      <sheetName val="SHIP_RS_LACS"/>
      <sheetName val="BL_MT"/>
      <sheetName val="BL_RS_LACS"/>
      <sheetName val="SHRS_LACS"/>
      <sheetName val="SH_RS_LACS_-MT"/>
      <sheetName val="NPRS_LACS"/>
      <sheetName val="INV_(2)"/>
      <sheetName val="ADVRS_LACS"/>
      <sheetName val="Rates"/>
      <sheetName val="Lists"/>
      <sheetName val="gl asset &amp; liabilities"/>
      <sheetName val="S2-0 S2-1"/>
      <sheetName val="factor"/>
      <sheetName val="Part A General"/>
      <sheetName val="Sheet3 (2)"/>
      <sheetName val="UNIT-II"/>
      <sheetName val="ICICI"/>
      <sheetName val="HDFC"/>
      <sheetName val="Balance Sheet"/>
      <sheetName val="Annexures_(2)"/>
      <sheetName val="Nov_02_&amp;_Dec_02_sal"/>
      <sheetName val="Fcst_vs_Budgets"/>
      <sheetName val="Profit and Loss Total"/>
      <sheetName val="EXPENSES"/>
      <sheetName val="Sep WorkSheet"/>
      <sheetName val="PL6-Revenue Bridge"/>
      <sheetName val="Tickmarks"/>
      <sheetName val="Accrued Income"/>
    </sheetNames>
    <sheetDataSet>
      <sheetData sheetId="0" refreshError="1">
        <row r="1">
          <cell r="B1" t="str">
            <v>KIRBY INDIA</v>
          </cell>
        </row>
        <row r="2">
          <cell r="B2" t="str">
            <v>BUSINESS PLAN 2000</v>
          </cell>
        </row>
        <row r="3">
          <cell r="B3" t="str">
            <v>MEASUREMENT</v>
          </cell>
          <cell r="G3" t="str">
            <v>BUD 2000</v>
          </cell>
          <cell r="P3" t="str">
            <v>BUD 2000</v>
          </cell>
        </row>
        <row r="4">
          <cell r="B4" t="str">
            <v>CRITERIA</v>
          </cell>
          <cell r="C4" t="str">
            <v>JAN-MAY 00</v>
          </cell>
          <cell r="E4" t="str">
            <v>2000 F</v>
          </cell>
          <cell r="F4" t="str">
            <v>2000B</v>
          </cell>
          <cell r="G4" t="str">
            <v>Q1 2000</v>
          </cell>
          <cell r="I4" t="str">
            <v>Q2 2000</v>
          </cell>
          <cell r="K4" t="str">
            <v>Q3 2000</v>
          </cell>
          <cell r="M4" t="str">
            <v>Q4 2000</v>
          </cell>
          <cell r="P4" t="str">
            <v>JAN</v>
          </cell>
          <cell r="R4" t="str">
            <v>FEB</v>
          </cell>
          <cell r="T4" t="str">
            <v>MAR</v>
          </cell>
          <cell r="V4" t="str">
            <v>APR</v>
          </cell>
          <cell r="X4" t="str">
            <v>MAY</v>
          </cell>
          <cell r="Z4" t="str">
            <v>JUN</v>
          </cell>
          <cell r="AB4" t="str">
            <v>JUL</v>
          </cell>
          <cell r="AD4" t="str">
            <v>AUG</v>
          </cell>
          <cell r="AF4" t="str">
            <v>SEP</v>
          </cell>
          <cell r="AH4" t="str">
            <v>OCT</v>
          </cell>
          <cell r="AJ4" t="str">
            <v>NOV</v>
          </cell>
          <cell r="AL4" t="str">
            <v>DEC</v>
          </cell>
        </row>
        <row r="6">
          <cell r="B6" t="str">
            <v>FINANCIAL</v>
          </cell>
        </row>
        <row r="7">
          <cell r="B7" t="str">
            <v>MATERIAL COST % OF SALES</v>
          </cell>
        </row>
        <row r="8">
          <cell r="B8" t="str">
            <v>MATERIAL COST % OF SALES</v>
          </cell>
        </row>
        <row r="9">
          <cell r="B9" t="str">
            <v xml:space="preserve">    INCL. PROD. SUPPL.</v>
          </cell>
        </row>
        <row r="10">
          <cell r="B10" t="str">
            <v>RETURN ON SALES</v>
          </cell>
        </row>
        <row r="11">
          <cell r="B11" t="str">
            <v>RETURN ON CAPITAL  EMPLOYED</v>
          </cell>
        </row>
        <row r="12">
          <cell r="B12" t="str">
            <v>ASSET UTILISATION</v>
          </cell>
        </row>
        <row r="13">
          <cell r="B13" t="str">
            <v>GROSS MARGIN % ON SHIPMENTS</v>
          </cell>
        </row>
        <row r="14">
          <cell r="B14" t="str">
            <v>OPERATING MARGIN %</v>
          </cell>
        </row>
        <row r="15">
          <cell r="B15" t="str">
            <v>OVER HEAD AS % OF SALES</v>
          </cell>
        </row>
        <row r="16">
          <cell r="B16" t="str">
            <v>SALARY AND RELATED COST AS</v>
          </cell>
        </row>
        <row r="17">
          <cell r="B17" t="str">
            <v xml:space="preserve">   % OF SALES</v>
          </cell>
        </row>
        <row r="18">
          <cell r="B18" t="str">
            <v>ADVT. EXPENSES AS % OF SALES</v>
          </cell>
        </row>
        <row r="19">
          <cell r="B19" t="str">
            <v>ADVT. EXPENSES RS LACS</v>
          </cell>
        </row>
        <row r="20">
          <cell r="B20" t="str">
            <v>SALES/EMP /MTH RS LACS</v>
          </cell>
        </row>
        <row r="21">
          <cell r="B21" t="str">
            <v>SALES/EMP/MTH DIRECT RS LACS</v>
          </cell>
        </row>
        <row r="22">
          <cell r="B22" t="str">
            <v>SALES/EMP/MTH INDIRECT RS LAC</v>
          </cell>
        </row>
        <row r="23">
          <cell r="B23" t="str">
            <v>ORDER INTAKE/EMP/MTH RS LACS</v>
          </cell>
        </row>
        <row r="24">
          <cell r="B24" t="str">
            <v>OPERATING PROFIT / EMP RS LACS</v>
          </cell>
        </row>
        <row r="25">
          <cell r="B25" t="str">
            <v>ACCOUNT RECV. - DAYS</v>
          </cell>
        </row>
        <row r="26">
          <cell r="B26" t="str">
            <v>OT PREMIUM AS % OF NET SALES</v>
          </cell>
        </row>
        <row r="27">
          <cell r="B27" t="str">
            <v>OT PREMIUM AS % OF LABOR</v>
          </cell>
        </row>
        <row r="29">
          <cell r="B29" t="str">
            <v>NON FINANCIAL</v>
          </cell>
        </row>
        <row r="31">
          <cell r="B31" t="str">
            <v>QUOT.TRN.ARND CYCLES-DAYS</v>
          </cell>
        </row>
        <row r="32">
          <cell r="B32" t="str">
            <v>CYCLE TIME FOR APP DRAWINGS,</v>
          </cell>
        </row>
        <row r="33">
          <cell r="B33" t="str">
            <v>DELIVERY,ANCHOR BOLTS ETC</v>
          </cell>
        </row>
        <row r="34">
          <cell r="B34" t="str">
            <v>MACHINE UPTIME %</v>
          </cell>
        </row>
        <row r="35">
          <cell r="B35" t="str">
            <v>MANUFACTURE MH/MT ( GROSS )</v>
          </cell>
        </row>
        <row r="36">
          <cell r="B36" t="str">
            <v>MANUFACTURING MH/MT ( NET )</v>
          </cell>
        </row>
        <row r="37">
          <cell r="B37" t="str">
            <v>ENGN. +DRAFT.  MH/MT</v>
          </cell>
        </row>
        <row r="38">
          <cell r="B38" t="str">
            <v xml:space="preserve">     GROSS</v>
          </cell>
        </row>
        <row r="39">
          <cell r="B39" t="str">
            <v xml:space="preserve">     NET</v>
          </cell>
        </row>
        <row r="40">
          <cell r="B40" t="str">
            <v>TRADE PAYABLE DAYS</v>
          </cell>
        </row>
        <row r="41">
          <cell r="B41" t="str">
            <v>INVENTORY COVER</v>
          </cell>
        </row>
        <row r="42">
          <cell r="B42" t="str">
            <v xml:space="preserve">DIRECT TO INDIRECT </v>
          </cell>
        </row>
        <row r="43">
          <cell r="B43" t="str">
            <v xml:space="preserve">    MANPOWER RATIO</v>
          </cell>
        </row>
        <row r="44">
          <cell r="B44" t="str">
            <v>CLAIMS AS % OF SALES</v>
          </cell>
        </row>
        <row r="45">
          <cell r="B45" t="str">
            <v>CLAIMS  RS LACS</v>
          </cell>
        </row>
        <row r="46">
          <cell r="B46" t="str">
            <v>QUALITY INDEX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LAND"/>
      <sheetName val="Buildings"/>
      <sheetName val="construction equipment"/>
      <sheetName val="electrical equipment"/>
      <sheetName val="Furniture"/>
      <sheetName val="vehicles"/>
      <sheetName val="office equipment"/>
      <sheetName val="site wise addition 2018"/>
      <sheetName val="addition19"/>
      <sheetName val="addition 20"/>
      <sheetName val="EDP"/>
      <sheetName val="addition 21"/>
      <sheetName val="sales"/>
      <sheetName val="Add21-22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M7">
            <v>624000</v>
          </cell>
        </row>
        <row r="267">
          <cell r="M267">
            <v>9879797.9000000004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>
        <row r="4">
          <cell r="H4">
            <v>44558</v>
          </cell>
        </row>
        <row r="5">
          <cell r="H5">
            <v>44558</v>
          </cell>
        </row>
        <row r="6">
          <cell r="H6">
            <v>44558</v>
          </cell>
        </row>
        <row r="7">
          <cell r="H7">
            <v>44558</v>
          </cell>
        </row>
        <row r="9">
          <cell r="H9">
            <v>44558</v>
          </cell>
        </row>
        <row r="11">
          <cell r="H11">
            <v>44558</v>
          </cell>
        </row>
        <row r="12">
          <cell r="H12">
            <v>44558</v>
          </cell>
        </row>
        <row r="13">
          <cell r="H13">
            <v>44558</v>
          </cell>
        </row>
        <row r="14">
          <cell r="H14">
            <v>44558</v>
          </cell>
        </row>
        <row r="15">
          <cell r="H15">
            <v>44558</v>
          </cell>
        </row>
        <row r="16">
          <cell r="H16">
            <v>44558</v>
          </cell>
        </row>
        <row r="17">
          <cell r="H17">
            <v>44558</v>
          </cell>
        </row>
        <row r="18">
          <cell r="H18">
            <v>44558</v>
          </cell>
        </row>
        <row r="19">
          <cell r="H19">
            <v>44558</v>
          </cell>
        </row>
        <row r="20">
          <cell r="H20">
            <v>44558</v>
          </cell>
        </row>
        <row r="21">
          <cell r="H21">
            <v>44558</v>
          </cell>
        </row>
        <row r="22">
          <cell r="H22">
            <v>44558</v>
          </cell>
        </row>
        <row r="23">
          <cell r="H23">
            <v>44558</v>
          </cell>
        </row>
        <row r="24">
          <cell r="H24">
            <v>44558</v>
          </cell>
        </row>
        <row r="25">
          <cell r="H25">
            <v>44558</v>
          </cell>
        </row>
        <row r="26">
          <cell r="H26">
            <v>44558</v>
          </cell>
        </row>
        <row r="27">
          <cell r="H27">
            <v>44558</v>
          </cell>
        </row>
        <row r="28">
          <cell r="H28">
            <v>44580</v>
          </cell>
        </row>
        <row r="29">
          <cell r="H29">
            <v>44580</v>
          </cell>
        </row>
        <row r="30">
          <cell r="H30">
            <v>44558</v>
          </cell>
        </row>
        <row r="31">
          <cell r="H31">
            <v>44558</v>
          </cell>
        </row>
        <row r="32">
          <cell r="H32">
            <v>44558</v>
          </cell>
        </row>
        <row r="33">
          <cell r="H33">
            <v>44357</v>
          </cell>
        </row>
        <row r="34">
          <cell r="H34">
            <v>44357</v>
          </cell>
        </row>
        <row r="35">
          <cell r="H35">
            <v>44394</v>
          </cell>
        </row>
        <row r="36">
          <cell r="H36">
            <v>44412</v>
          </cell>
        </row>
        <row r="37">
          <cell r="H37">
            <v>44519</v>
          </cell>
        </row>
        <row r="38">
          <cell r="H38">
            <v>44513</v>
          </cell>
        </row>
        <row r="39">
          <cell r="H39">
            <v>44384</v>
          </cell>
        </row>
        <row r="40">
          <cell r="H40">
            <v>44620</v>
          </cell>
        </row>
        <row r="41">
          <cell r="H41">
            <v>44644</v>
          </cell>
        </row>
        <row r="42">
          <cell r="H42">
            <v>44581</v>
          </cell>
        </row>
        <row r="43">
          <cell r="H43">
            <v>44324</v>
          </cell>
        </row>
        <row r="44">
          <cell r="H44">
            <v>44323</v>
          </cell>
        </row>
        <row r="45">
          <cell r="H45">
            <v>44623</v>
          </cell>
        </row>
        <row r="46">
          <cell r="H46">
            <v>44434</v>
          </cell>
        </row>
        <row r="47">
          <cell r="H47">
            <v>44560</v>
          </cell>
        </row>
        <row r="48">
          <cell r="H48">
            <v>44592</v>
          </cell>
        </row>
        <row r="49">
          <cell r="H49">
            <v>44616</v>
          </cell>
        </row>
        <row r="50">
          <cell r="H50">
            <v>44613</v>
          </cell>
        </row>
        <row r="51">
          <cell r="H51">
            <v>44504</v>
          </cell>
        </row>
        <row r="52">
          <cell r="H52">
            <v>44504</v>
          </cell>
        </row>
        <row r="53">
          <cell r="H53">
            <v>44517</v>
          </cell>
        </row>
        <row r="54">
          <cell r="H54">
            <v>44517</v>
          </cell>
        </row>
        <row r="55">
          <cell r="H55">
            <v>44517</v>
          </cell>
        </row>
        <row r="56">
          <cell r="H56">
            <v>44517</v>
          </cell>
        </row>
        <row r="57">
          <cell r="H57">
            <v>44512</v>
          </cell>
        </row>
        <row r="58">
          <cell r="H58">
            <v>44512</v>
          </cell>
        </row>
        <row r="59">
          <cell r="H59">
            <v>44512</v>
          </cell>
        </row>
        <row r="60">
          <cell r="H60">
            <v>44512</v>
          </cell>
        </row>
        <row r="61">
          <cell r="H61">
            <v>44526</v>
          </cell>
        </row>
        <row r="62">
          <cell r="H62">
            <v>44526</v>
          </cell>
        </row>
        <row r="63">
          <cell r="H63">
            <v>44543</v>
          </cell>
        </row>
        <row r="64">
          <cell r="H64">
            <v>44543</v>
          </cell>
        </row>
        <row r="65">
          <cell r="H65">
            <v>44438</v>
          </cell>
        </row>
        <row r="66">
          <cell r="H66">
            <v>44592</v>
          </cell>
        </row>
        <row r="67">
          <cell r="H67">
            <v>44641</v>
          </cell>
        </row>
        <row r="68">
          <cell r="H68">
            <v>44644</v>
          </cell>
        </row>
        <row r="69">
          <cell r="H69">
            <v>44540</v>
          </cell>
        </row>
        <row r="70">
          <cell r="H70">
            <v>44651</v>
          </cell>
        </row>
        <row r="71">
          <cell r="H71">
            <v>44620</v>
          </cell>
        </row>
        <row r="72">
          <cell r="H72">
            <v>44624</v>
          </cell>
        </row>
        <row r="73">
          <cell r="H73">
            <v>44631</v>
          </cell>
        </row>
        <row r="74">
          <cell r="H74">
            <v>44631</v>
          </cell>
        </row>
        <row r="75">
          <cell r="H75">
            <v>44640</v>
          </cell>
        </row>
        <row r="76">
          <cell r="H76">
            <v>44469</v>
          </cell>
        </row>
        <row r="77">
          <cell r="H77">
            <v>44469</v>
          </cell>
        </row>
        <row r="78">
          <cell r="H78">
            <v>44469</v>
          </cell>
        </row>
        <row r="79">
          <cell r="H79">
            <v>44469</v>
          </cell>
        </row>
        <row r="80">
          <cell r="H80">
            <v>44469</v>
          </cell>
        </row>
        <row r="81">
          <cell r="H81">
            <v>44469</v>
          </cell>
        </row>
        <row r="82">
          <cell r="H82">
            <v>44513</v>
          </cell>
        </row>
        <row r="83">
          <cell r="H83">
            <v>44581</v>
          </cell>
        </row>
        <row r="84">
          <cell r="H84">
            <v>44581</v>
          </cell>
        </row>
        <row r="85">
          <cell r="H85">
            <v>44586</v>
          </cell>
        </row>
        <row r="86">
          <cell r="H86">
            <v>44586</v>
          </cell>
        </row>
        <row r="87">
          <cell r="H87">
            <v>44586</v>
          </cell>
        </row>
        <row r="88">
          <cell r="H88">
            <v>44625</v>
          </cell>
        </row>
        <row r="89">
          <cell r="H89">
            <v>44597</v>
          </cell>
        </row>
        <row r="90">
          <cell r="H90">
            <v>44613</v>
          </cell>
        </row>
        <row r="91">
          <cell r="H91">
            <v>44613</v>
          </cell>
        </row>
        <row r="92">
          <cell r="H92">
            <v>44613</v>
          </cell>
        </row>
        <row r="93">
          <cell r="H93">
            <v>44613</v>
          </cell>
        </row>
        <row r="94">
          <cell r="H94">
            <v>44643</v>
          </cell>
        </row>
        <row r="95">
          <cell r="H95">
            <v>44643</v>
          </cell>
        </row>
        <row r="96">
          <cell r="H96">
            <v>44643</v>
          </cell>
        </row>
        <row r="97">
          <cell r="H97">
            <v>44643</v>
          </cell>
        </row>
        <row r="98">
          <cell r="H98">
            <v>44643</v>
          </cell>
        </row>
        <row r="99">
          <cell r="H99">
            <v>44643</v>
          </cell>
        </row>
        <row r="100">
          <cell r="H100">
            <v>44643</v>
          </cell>
        </row>
        <row r="101">
          <cell r="H101">
            <v>44643</v>
          </cell>
        </row>
        <row r="102">
          <cell r="H102">
            <v>44643</v>
          </cell>
        </row>
        <row r="103">
          <cell r="H103">
            <v>44607</v>
          </cell>
        </row>
        <row r="104">
          <cell r="H104">
            <v>44607</v>
          </cell>
        </row>
        <row r="105">
          <cell r="H105">
            <v>44620</v>
          </cell>
        </row>
        <row r="106">
          <cell r="H106">
            <v>44526</v>
          </cell>
        </row>
        <row r="107">
          <cell r="H107">
            <v>44526</v>
          </cell>
        </row>
        <row r="108">
          <cell r="H108">
            <v>44526</v>
          </cell>
        </row>
        <row r="109">
          <cell r="H109">
            <v>44616</v>
          </cell>
        </row>
        <row r="110">
          <cell r="H110">
            <v>44616</v>
          </cell>
        </row>
        <row r="111">
          <cell r="H111">
            <v>44649</v>
          </cell>
        </row>
        <row r="112">
          <cell r="H112">
            <v>44649</v>
          </cell>
        </row>
        <row r="113">
          <cell r="H113">
            <v>44649</v>
          </cell>
        </row>
        <row r="114">
          <cell r="H114">
            <v>44649</v>
          </cell>
        </row>
        <row r="115">
          <cell r="H115">
            <v>44649</v>
          </cell>
        </row>
        <row r="116">
          <cell r="H116">
            <v>44649</v>
          </cell>
        </row>
        <row r="117">
          <cell r="H117">
            <v>44649</v>
          </cell>
        </row>
        <row r="118">
          <cell r="H118">
            <v>44649</v>
          </cell>
        </row>
        <row r="119">
          <cell r="H119">
            <v>44649</v>
          </cell>
        </row>
        <row r="120">
          <cell r="H120">
            <v>44649</v>
          </cell>
        </row>
        <row r="121">
          <cell r="H121">
            <v>44649</v>
          </cell>
        </row>
        <row r="122">
          <cell r="H122">
            <v>44649</v>
          </cell>
        </row>
        <row r="123">
          <cell r="H123">
            <v>44649</v>
          </cell>
        </row>
        <row r="124">
          <cell r="H124">
            <v>44649</v>
          </cell>
        </row>
        <row r="125">
          <cell r="H125">
            <v>44649</v>
          </cell>
        </row>
        <row r="126">
          <cell r="H126">
            <v>44649</v>
          </cell>
        </row>
        <row r="127">
          <cell r="H127">
            <v>44649</v>
          </cell>
        </row>
        <row r="128">
          <cell r="H128">
            <v>44649</v>
          </cell>
        </row>
        <row r="129">
          <cell r="H129">
            <v>44649</v>
          </cell>
        </row>
        <row r="130">
          <cell r="H130">
            <v>44649</v>
          </cell>
        </row>
        <row r="131">
          <cell r="H131">
            <v>44649</v>
          </cell>
        </row>
        <row r="132">
          <cell r="H132">
            <v>44649</v>
          </cell>
        </row>
        <row r="133">
          <cell r="H133">
            <v>44649</v>
          </cell>
        </row>
        <row r="134">
          <cell r="H134">
            <v>44649</v>
          </cell>
        </row>
        <row r="135">
          <cell r="H135">
            <v>44649</v>
          </cell>
        </row>
        <row r="136">
          <cell r="H136">
            <v>44649</v>
          </cell>
        </row>
        <row r="137">
          <cell r="H137">
            <v>44632</v>
          </cell>
        </row>
        <row r="138">
          <cell r="H138">
            <v>44305</v>
          </cell>
        </row>
        <row r="139">
          <cell r="H139">
            <v>44287</v>
          </cell>
        </row>
        <row r="140">
          <cell r="H140">
            <v>44365</v>
          </cell>
        </row>
        <row r="141">
          <cell r="H141">
            <v>44600</v>
          </cell>
        </row>
        <row r="142">
          <cell r="H142">
            <v>44643</v>
          </cell>
        </row>
        <row r="143">
          <cell r="H143">
            <v>44431</v>
          </cell>
        </row>
        <row r="144">
          <cell r="H144">
            <v>44581</v>
          </cell>
        </row>
        <row r="145">
          <cell r="H145">
            <v>44593</v>
          </cell>
        </row>
        <row r="146">
          <cell r="H146">
            <v>44613</v>
          </cell>
        </row>
        <row r="147">
          <cell r="H147">
            <v>44644</v>
          </cell>
        </row>
        <row r="148">
          <cell r="H148">
            <v>44623</v>
          </cell>
        </row>
        <row r="149">
          <cell r="H149">
            <v>44648</v>
          </cell>
        </row>
        <row r="150">
          <cell r="H150">
            <v>44648</v>
          </cell>
        </row>
        <row r="151">
          <cell r="H151">
            <v>44648</v>
          </cell>
        </row>
        <row r="152">
          <cell r="H152">
            <v>44634</v>
          </cell>
        </row>
        <row r="153">
          <cell r="H153">
            <v>44620</v>
          </cell>
        </row>
        <row r="154">
          <cell r="H154">
            <v>44620</v>
          </cell>
        </row>
        <row r="155">
          <cell r="H155">
            <v>44620</v>
          </cell>
        </row>
        <row r="196">
          <cell r="B196" t="str">
            <v>Laterite Stone/Bricks</v>
          </cell>
          <cell r="C196" t="str">
            <v>Brahmani Bridge</v>
          </cell>
          <cell r="H196">
            <v>44647</v>
          </cell>
          <cell r="M196">
            <v>325000</v>
          </cell>
        </row>
        <row r="197">
          <cell r="B197" t="str">
            <v>Aerocon Panels</v>
          </cell>
          <cell r="C197" t="str">
            <v>Brahmani Bridge</v>
          </cell>
          <cell r="H197">
            <v>44647</v>
          </cell>
          <cell r="M197">
            <v>208214.49</v>
          </cell>
        </row>
        <row r="198">
          <cell r="B198" t="str">
            <v>Doors &amp; Windows</v>
          </cell>
          <cell r="C198" t="str">
            <v>Brahmani Bridge</v>
          </cell>
          <cell r="H198">
            <v>44647</v>
          </cell>
          <cell r="M198">
            <v>396400</v>
          </cell>
        </row>
        <row r="199">
          <cell r="B199" t="str">
            <v>Aerocon Panels</v>
          </cell>
          <cell r="C199" t="str">
            <v>Brahmani Bridge</v>
          </cell>
          <cell r="H199">
            <v>44647</v>
          </cell>
          <cell r="M199">
            <v>208214.49</v>
          </cell>
        </row>
        <row r="200">
          <cell r="B200" t="str">
            <v>Aerocon Panels</v>
          </cell>
          <cell r="C200" t="str">
            <v>Brahmani Bridge</v>
          </cell>
          <cell r="H200">
            <v>44647</v>
          </cell>
          <cell r="M200">
            <v>214148</v>
          </cell>
        </row>
        <row r="201">
          <cell r="B201" t="str">
            <v>Aerocon Panels</v>
          </cell>
          <cell r="C201" t="str">
            <v>Brahmani Bridge</v>
          </cell>
          <cell r="H201">
            <v>44647</v>
          </cell>
          <cell r="M201">
            <v>213288</v>
          </cell>
        </row>
        <row r="202">
          <cell r="B202" t="str">
            <v>Bricks &amp; Sand</v>
          </cell>
          <cell r="C202" t="str">
            <v>Brahmani Bridge</v>
          </cell>
          <cell r="H202">
            <v>44647</v>
          </cell>
          <cell r="M202">
            <v>23350</v>
          </cell>
        </row>
        <row r="203">
          <cell r="B203" t="str">
            <v>Sand</v>
          </cell>
          <cell r="C203" t="str">
            <v>Brahmani Bridge</v>
          </cell>
          <cell r="H203">
            <v>44647</v>
          </cell>
          <cell r="M203">
            <v>2000</v>
          </cell>
        </row>
        <row r="204">
          <cell r="B204" t="str">
            <v>50 MM Window Frame &amp; Ventillators</v>
          </cell>
          <cell r="C204" t="str">
            <v>Brahmani Bridge</v>
          </cell>
          <cell r="H204">
            <v>44647</v>
          </cell>
          <cell r="M204">
            <v>35000</v>
          </cell>
        </row>
        <row r="205">
          <cell r="B205" t="str">
            <v>Ridges &amp; GC sheets</v>
          </cell>
          <cell r="C205" t="str">
            <v>Brahmani Bridge</v>
          </cell>
          <cell r="H205">
            <v>44647</v>
          </cell>
          <cell r="M205">
            <v>86983</v>
          </cell>
        </row>
        <row r="206">
          <cell r="B206" t="str">
            <v xml:space="preserve">Flush Doors &amp; Lam  8mm </v>
          </cell>
          <cell r="C206" t="str">
            <v>Brahmani Bridge</v>
          </cell>
          <cell r="H206">
            <v>44647</v>
          </cell>
          <cell r="M206">
            <v>113351</v>
          </cell>
        </row>
        <row r="207">
          <cell r="B207" t="str">
            <v>Windows Glass</v>
          </cell>
          <cell r="C207" t="str">
            <v>Brahmani Bridge</v>
          </cell>
          <cell r="H207">
            <v>44647</v>
          </cell>
          <cell r="M207">
            <v>72000</v>
          </cell>
        </row>
        <row r="208">
          <cell r="B208" t="str">
            <v>Bricks</v>
          </cell>
          <cell r="C208" t="str">
            <v>Brahmani Bridge</v>
          </cell>
          <cell r="H208">
            <v>44647</v>
          </cell>
          <cell r="M208">
            <v>21350</v>
          </cell>
        </row>
        <row r="209">
          <cell r="B209" t="str">
            <v>Aerocon Panels</v>
          </cell>
          <cell r="C209" t="str">
            <v>Sitammasagar</v>
          </cell>
          <cell r="H209">
            <v>44553</v>
          </cell>
          <cell r="M209">
            <v>184047.51</v>
          </cell>
        </row>
        <row r="210">
          <cell r="B210" t="str">
            <v>Shutters</v>
          </cell>
          <cell r="C210" t="str">
            <v>Sitammasagar</v>
          </cell>
          <cell r="H210">
            <v>44553</v>
          </cell>
          <cell r="M210">
            <v>26000</v>
          </cell>
        </row>
        <row r="211">
          <cell r="B211" t="str">
            <v>Aerocon Panels</v>
          </cell>
          <cell r="C211" t="str">
            <v>Sitammasagar</v>
          </cell>
          <cell r="H211">
            <v>44553</v>
          </cell>
          <cell r="M211">
            <v>184047.51</v>
          </cell>
        </row>
        <row r="212">
          <cell r="B212" t="str">
            <v>Consumables</v>
          </cell>
          <cell r="C212" t="str">
            <v>Sitammasagar</v>
          </cell>
          <cell r="H212">
            <v>44553</v>
          </cell>
          <cell r="M212">
            <v>42373.46</v>
          </cell>
        </row>
        <row r="213">
          <cell r="B213" t="str">
            <v>Consumables</v>
          </cell>
          <cell r="C213" t="str">
            <v>Sitammasagar</v>
          </cell>
          <cell r="H213">
            <v>44553</v>
          </cell>
          <cell r="M213">
            <v>42372.9</v>
          </cell>
        </row>
        <row r="214">
          <cell r="B214" t="str">
            <v>Consumables</v>
          </cell>
          <cell r="C214" t="str">
            <v>Sitammasagar</v>
          </cell>
          <cell r="H214">
            <v>44553</v>
          </cell>
          <cell r="M214">
            <v>50466.1</v>
          </cell>
        </row>
        <row r="215">
          <cell r="B215" t="str">
            <v>Aerocon Panels</v>
          </cell>
          <cell r="C215" t="str">
            <v>Sitammasagar</v>
          </cell>
          <cell r="H215">
            <v>44553</v>
          </cell>
          <cell r="M215">
            <v>189207.72</v>
          </cell>
        </row>
        <row r="216">
          <cell r="B216" t="str">
            <v>Aerocon Panels</v>
          </cell>
          <cell r="C216" t="str">
            <v>Sitammasagar</v>
          </cell>
          <cell r="H216">
            <v>44553</v>
          </cell>
          <cell r="M216">
            <v>185767.58</v>
          </cell>
        </row>
        <row r="217">
          <cell r="B217" t="str">
            <v>Aerocon Panels</v>
          </cell>
          <cell r="C217" t="str">
            <v>Sitammasagar</v>
          </cell>
          <cell r="H217">
            <v>44553</v>
          </cell>
          <cell r="M217">
            <v>185767.58</v>
          </cell>
        </row>
        <row r="218">
          <cell r="B218" t="str">
            <v>Doors &amp; Windows</v>
          </cell>
          <cell r="C218" t="str">
            <v>Sitammasagar</v>
          </cell>
          <cell r="H218">
            <v>44553</v>
          </cell>
          <cell r="M218">
            <v>38000</v>
          </cell>
        </row>
        <row r="219">
          <cell r="B219" t="str">
            <v>Doors &amp; Windows</v>
          </cell>
          <cell r="C219" t="str">
            <v>Sitammasagar</v>
          </cell>
          <cell r="H219">
            <v>44553</v>
          </cell>
          <cell r="M219">
            <v>15150</v>
          </cell>
        </row>
        <row r="220">
          <cell r="B220" t="str">
            <v>Doors &amp; Windows</v>
          </cell>
          <cell r="C220" t="str">
            <v>Sitammasagar</v>
          </cell>
          <cell r="H220">
            <v>44553</v>
          </cell>
          <cell r="M220">
            <v>58625</v>
          </cell>
        </row>
        <row r="221">
          <cell r="B221" t="str">
            <v>Aerocon Panels</v>
          </cell>
          <cell r="C221" t="str">
            <v>Sitammasagar</v>
          </cell>
          <cell r="H221">
            <v>44553</v>
          </cell>
          <cell r="M221">
            <v>163406.66</v>
          </cell>
        </row>
        <row r="222">
          <cell r="B222" t="str">
            <v>Door frame &amp; Bathroom shutter</v>
          </cell>
          <cell r="C222" t="str">
            <v>Sitammasagar</v>
          </cell>
          <cell r="H222">
            <v>44553</v>
          </cell>
          <cell r="M222">
            <v>32149</v>
          </cell>
        </row>
        <row r="223">
          <cell r="B223" t="str">
            <v>Door frame &amp; Bathroom shutter</v>
          </cell>
          <cell r="C223" t="str">
            <v>Sitammasagar</v>
          </cell>
          <cell r="H223">
            <v>44553</v>
          </cell>
          <cell r="M223">
            <v>191100</v>
          </cell>
        </row>
        <row r="224">
          <cell r="B224" t="str">
            <v>Aerocon Panels</v>
          </cell>
          <cell r="C224" t="str">
            <v>Sitammasagar</v>
          </cell>
          <cell r="H224">
            <v>44553</v>
          </cell>
          <cell r="M224">
            <v>65879</v>
          </cell>
        </row>
        <row r="225">
          <cell r="B225" t="str">
            <v>Door frame &amp; Bathroom shutter</v>
          </cell>
          <cell r="C225" t="str">
            <v>Sitammasagar</v>
          </cell>
          <cell r="H225">
            <v>44634</v>
          </cell>
          <cell r="M225">
            <v>252075</v>
          </cell>
        </row>
        <row r="226">
          <cell r="B226" t="str">
            <v>MS door &amp; Cement jali</v>
          </cell>
          <cell r="C226" t="str">
            <v>kammam Devarapally-Package IV</v>
          </cell>
          <cell r="H226">
            <v>44645</v>
          </cell>
          <cell r="M226">
            <v>28160</v>
          </cell>
        </row>
        <row r="227">
          <cell r="B227" t="str">
            <v>GC Sheets</v>
          </cell>
          <cell r="C227" t="str">
            <v>kammam Devarapally-Package IV</v>
          </cell>
          <cell r="H227">
            <v>44645</v>
          </cell>
          <cell r="M227">
            <v>745550</v>
          </cell>
        </row>
        <row r="228">
          <cell r="B228" t="str">
            <v>50 Mm GI Channels</v>
          </cell>
          <cell r="C228" t="str">
            <v>kammam Devarapally-Package IV</v>
          </cell>
          <cell r="H228">
            <v>44645</v>
          </cell>
          <cell r="M228">
            <v>80500</v>
          </cell>
        </row>
        <row r="229">
          <cell r="B229" t="str">
            <v>Aerocon Panels</v>
          </cell>
          <cell r="C229" t="str">
            <v>kammam Devarapally-Package IV</v>
          </cell>
          <cell r="H229">
            <v>44645</v>
          </cell>
          <cell r="M229">
            <v>214995</v>
          </cell>
        </row>
        <row r="230">
          <cell r="B230" t="str">
            <v>Aerocon Panels</v>
          </cell>
          <cell r="C230" t="str">
            <v>kammam Devarapally-Package IV</v>
          </cell>
          <cell r="H230">
            <v>44645</v>
          </cell>
          <cell r="M230">
            <v>214995</v>
          </cell>
        </row>
        <row r="231">
          <cell r="B231" t="str">
            <v>Main door frames and shutters</v>
          </cell>
          <cell r="C231" t="str">
            <v>kammam Devarapally-Package IV</v>
          </cell>
          <cell r="H231">
            <v>44645</v>
          </cell>
          <cell r="M231">
            <v>528250</v>
          </cell>
        </row>
        <row r="232">
          <cell r="B232" t="str">
            <v xml:space="preserve">MS door </v>
          </cell>
          <cell r="C232" t="str">
            <v>kammam Devarapally-Package IV</v>
          </cell>
          <cell r="H232">
            <v>44645</v>
          </cell>
          <cell r="M232">
            <v>25200</v>
          </cell>
        </row>
        <row r="233">
          <cell r="B233" t="str">
            <v>colour coated profile sheets</v>
          </cell>
          <cell r="C233" t="str">
            <v>kammam Devarapally-Package IV</v>
          </cell>
          <cell r="H233">
            <v>44645</v>
          </cell>
          <cell r="M233">
            <v>1096735</v>
          </cell>
        </row>
        <row r="234">
          <cell r="B234" t="str">
            <v>Aerocon Panels</v>
          </cell>
          <cell r="C234" t="str">
            <v>kammam Devarapally-Package IV</v>
          </cell>
          <cell r="H234">
            <v>44645</v>
          </cell>
          <cell r="M234">
            <v>222204</v>
          </cell>
        </row>
        <row r="235">
          <cell r="B235" t="str">
            <v>Aerocon Panels</v>
          </cell>
          <cell r="C235" t="str">
            <v>kammam Devarapally-Package IV</v>
          </cell>
          <cell r="H235">
            <v>44645</v>
          </cell>
          <cell r="M235">
            <v>207684</v>
          </cell>
        </row>
        <row r="236">
          <cell r="B236" t="str">
            <v>Main door frames and window frames</v>
          </cell>
          <cell r="C236" t="str">
            <v>kammam Devarapally-Package IV</v>
          </cell>
          <cell r="H236">
            <v>44645</v>
          </cell>
          <cell r="M236">
            <v>143076</v>
          </cell>
        </row>
        <row r="237">
          <cell r="B237" t="str">
            <v>tiles</v>
          </cell>
          <cell r="C237" t="str">
            <v>kammam Devarapally-Package IV</v>
          </cell>
          <cell r="H237">
            <v>44645</v>
          </cell>
          <cell r="M237">
            <v>15960</v>
          </cell>
        </row>
        <row r="238">
          <cell r="B238" t="str">
            <v>tiles</v>
          </cell>
          <cell r="C238" t="str">
            <v>kammam Devarapally-Package IV</v>
          </cell>
          <cell r="H238">
            <v>44645</v>
          </cell>
          <cell r="M238">
            <v>239068</v>
          </cell>
        </row>
        <row r="239">
          <cell r="B239" t="str">
            <v>ms pipe square</v>
          </cell>
          <cell r="C239" t="str">
            <v>kammam Devarapally-Package IV</v>
          </cell>
          <cell r="H239">
            <v>44645</v>
          </cell>
          <cell r="M239">
            <v>112200</v>
          </cell>
        </row>
        <row r="240">
          <cell r="B240" t="str">
            <v>ms pipe square</v>
          </cell>
          <cell r="C240" t="str">
            <v>kammam Devarapally-Package IV</v>
          </cell>
          <cell r="H240">
            <v>44645</v>
          </cell>
          <cell r="M240">
            <v>96720</v>
          </cell>
        </row>
        <row r="241">
          <cell r="B241" t="str">
            <v>Aerocon Panels</v>
          </cell>
          <cell r="C241" t="str">
            <v>kammam Devarapally-Package IV</v>
          </cell>
          <cell r="H241">
            <v>44645</v>
          </cell>
          <cell r="M241">
            <v>224404</v>
          </cell>
        </row>
        <row r="242">
          <cell r="B242" t="str">
            <v>Aerocon Panels</v>
          </cell>
          <cell r="C242" t="str">
            <v>kammam Devarapally-Package IV</v>
          </cell>
          <cell r="H242">
            <v>44645</v>
          </cell>
          <cell r="M242">
            <v>208564</v>
          </cell>
        </row>
        <row r="243">
          <cell r="B243" t="str">
            <v>Aerocon Panels</v>
          </cell>
          <cell r="C243" t="str">
            <v>kammam Devarapally-Package IV</v>
          </cell>
          <cell r="H243">
            <v>44645</v>
          </cell>
          <cell r="M243">
            <v>224404</v>
          </cell>
        </row>
        <row r="244">
          <cell r="B244" t="str">
            <v>Aerocon Panels</v>
          </cell>
          <cell r="C244" t="str">
            <v>kammam Devarapally-Package IV</v>
          </cell>
          <cell r="H244">
            <v>44645</v>
          </cell>
          <cell r="M244">
            <v>436385</v>
          </cell>
        </row>
        <row r="245">
          <cell r="B245" t="str">
            <v>Gi Channels</v>
          </cell>
          <cell r="C245" t="str">
            <v>kammam Devarapally-Package V</v>
          </cell>
          <cell r="H245">
            <v>44590</v>
          </cell>
          <cell r="M245">
            <v>23275</v>
          </cell>
        </row>
        <row r="246">
          <cell r="B246" t="str">
            <v>Aerocon Panels</v>
          </cell>
          <cell r="C246" t="str">
            <v>kammam Devarapally-Package V</v>
          </cell>
          <cell r="H246">
            <v>44607</v>
          </cell>
          <cell r="M246">
            <v>197796</v>
          </cell>
        </row>
        <row r="247">
          <cell r="B247" t="str">
            <v>Aerocon Panels</v>
          </cell>
          <cell r="C247" t="str">
            <v>kammam Devarapally-Package V</v>
          </cell>
          <cell r="H247">
            <v>44620</v>
          </cell>
          <cell r="M247">
            <v>207683</v>
          </cell>
        </row>
        <row r="248">
          <cell r="B248" t="str">
            <v>Aerocon Panels</v>
          </cell>
          <cell r="C248" t="str">
            <v>kammam Devarapally-Package V</v>
          </cell>
          <cell r="H248">
            <v>44625</v>
          </cell>
          <cell r="M248">
            <v>193604</v>
          </cell>
        </row>
        <row r="249">
          <cell r="B249" t="str">
            <v>Aerocon Panels</v>
          </cell>
          <cell r="C249" t="str">
            <v>kammam Devarapally-Package V</v>
          </cell>
          <cell r="H249">
            <v>44627</v>
          </cell>
          <cell r="M249">
            <v>209443</v>
          </cell>
        </row>
        <row r="250">
          <cell r="B250" t="str">
            <v>Aerocon Panels</v>
          </cell>
          <cell r="C250" t="str">
            <v>kammam Devarapally-Package V</v>
          </cell>
          <cell r="H250">
            <v>44635</v>
          </cell>
          <cell r="M250">
            <v>224402</v>
          </cell>
        </row>
        <row r="251">
          <cell r="B251" t="str">
            <v>Main door frames and window frames</v>
          </cell>
          <cell r="C251" t="str">
            <v>kammam Devarapally-Package V</v>
          </cell>
          <cell r="H251">
            <v>44635</v>
          </cell>
          <cell r="M251">
            <v>374450</v>
          </cell>
        </row>
        <row r="252">
          <cell r="B252" t="str">
            <v>colour coated profile sheets</v>
          </cell>
          <cell r="C252" t="str">
            <v>manufacturing</v>
          </cell>
          <cell r="H252">
            <v>44602</v>
          </cell>
          <cell r="M252">
            <v>470290</v>
          </cell>
        </row>
        <row r="253">
          <cell r="B253" t="str">
            <v>colour coated profile sheets</v>
          </cell>
          <cell r="C253" t="str">
            <v>manufacturing</v>
          </cell>
          <cell r="H253">
            <v>44602</v>
          </cell>
          <cell r="M253">
            <v>112534</v>
          </cell>
        </row>
        <row r="254">
          <cell r="B254" t="str">
            <v>Aerocon Panels</v>
          </cell>
          <cell r="C254" t="str">
            <v>manufacturing</v>
          </cell>
          <cell r="H254">
            <v>44620</v>
          </cell>
          <cell r="M254">
            <v>49281</v>
          </cell>
        </row>
        <row r="255">
          <cell r="B255" t="str">
            <v>colour coated profile sheets</v>
          </cell>
          <cell r="C255" t="str">
            <v>manufacturing</v>
          </cell>
          <cell r="H255">
            <v>44621</v>
          </cell>
          <cell r="M255">
            <v>61850</v>
          </cell>
        </row>
        <row r="256">
          <cell r="B256" t="str">
            <v>colour coated profile sheets</v>
          </cell>
          <cell r="C256" t="str">
            <v>manufacturing</v>
          </cell>
          <cell r="H256">
            <v>44643</v>
          </cell>
          <cell r="M256">
            <v>4321</v>
          </cell>
        </row>
        <row r="257">
          <cell r="B257" t="str">
            <v>colour coated profile sheets</v>
          </cell>
          <cell r="C257" t="str">
            <v>MRPL Marketing Termina Project</v>
          </cell>
          <cell r="H257">
            <v>44573</v>
          </cell>
          <cell r="M257">
            <v>861221</v>
          </cell>
        </row>
        <row r="273">
          <cell r="H273">
            <v>44501</v>
          </cell>
        </row>
        <row r="274">
          <cell r="H274">
            <v>44501</v>
          </cell>
        </row>
        <row r="275">
          <cell r="H275">
            <v>44530</v>
          </cell>
        </row>
        <row r="276">
          <cell r="H276">
            <v>44597</v>
          </cell>
        </row>
        <row r="277">
          <cell r="H277">
            <v>44597</v>
          </cell>
        </row>
        <row r="278">
          <cell r="H278">
            <v>44597</v>
          </cell>
        </row>
        <row r="279">
          <cell r="H279">
            <v>44607</v>
          </cell>
        </row>
        <row r="280">
          <cell r="H280">
            <v>44629</v>
          </cell>
        </row>
        <row r="281">
          <cell r="H281">
            <v>44629</v>
          </cell>
        </row>
        <row r="282">
          <cell r="H282">
            <v>44629</v>
          </cell>
        </row>
        <row r="283">
          <cell r="H283">
            <v>44592</v>
          </cell>
        </row>
        <row r="284">
          <cell r="H284">
            <v>44592</v>
          </cell>
        </row>
        <row r="285">
          <cell r="H285">
            <v>44592</v>
          </cell>
        </row>
        <row r="286">
          <cell r="H286">
            <v>44508</v>
          </cell>
        </row>
        <row r="287">
          <cell r="H287">
            <v>44508</v>
          </cell>
        </row>
        <row r="288">
          <cell r="H288">
            <v>44525</v>
          </cell>
        </row>
        <row r="289">
          <cell r="H289">
            <v>44354</v>
          </cell>
        </row>
        <row r="290">
          <cell r="H290">
            <v>44583</v>
          </cell>
        </row>
        <row r="291">
          <cell r="H291">
            <v>44583</v>
          </cell>
        </row>
        <row r="292">
          <cell r="H292">
            <v>44645</v>
          </cell>
        </row>
        <row r="293">
          <cell r="H293">
            <v>44412</v>
          </cell>
        </row>
        <row r="294">
          <cell r="H294">
            <v>44641</v>
          </cell>
        </row>
        <row r="295">
          <cell r="H295">
            <v>44288</v>
          </cell>
        </row>
        <row r="296">
          <cell r="H296">
            <v>44622</v>
          </cell>
        </row>
        <row r="297">
          <cell r="H297">
            <v>44538</v>
          </cell>
        </row>
        <row r="298">
          <cell r="H298">
            <v>44538</v>
          </cell>
        </row>
        <row r="299">
          <cell r="H299">
            <v>44642</v>
          </cell>
        </row>
        <row r="300">
          <cell r="H300">
            <v>44574</v>
          </cell>
        </row>
        <row r="301">
          <cell r="H301">
            <v>44574</v>
          </cell>
        </row>
        <row r="302">
          <cell r="H302">
            <v>44575</v>
          </cell>
        </row>
        <row r="303">
          <cell r="H303">
            <v>44627</v>
          </cell>
        </row>
        <row r="304">
          <cell r="H304">
            <v>44522</v>
          </cell>
        </row>
        <row r="305">
          <cell r="H305">
            <v>44522</v>
          </cell>
        </row>
        <row r="306">
          <cell r="H306">
            <v>44522</v>
          </cell>
        </row>
        <row r="307">
          <cell r="H307">
            <v>44522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 AS Entries"/>
      <sheetName val="Ind AS Transition Date"/>
      <sheetName val="Entries"/>
      <sheetName val="Balance Sheet"/>
      <sheetName val="P&amp;L"/>
      <sheetName val="Cash flow"/>
      <sheetName val="SOCIE"/>
      <sheetName val="P&amp;L 21-22 Ind AS"/>
      <sheetName val="BS -2020"/>
      <sheetName val="BS"/>
      <sheetName val="Note 3-4"/>
      <sheetName val="Note5-13"/>
      <sheetName val="Note14-25"/>
      <sheetName val="note 9"/>
      <sheetName val="Notes26-35"/>
      <sheetName val="computation"/>
      <sheetName val="P&amp;L 20-21 Ind AS"/>
      <sheetName val="22-30 P &amp; L"/>
      <sheetName val="COMB P&amp;L"/>
      <sheetName val="CONBS"/>
      <sheetName val="P1"/>
      <sheetName val="BS1"/>
      <sheetName val="P2"/>
      <sheetName val="BS2"/>
      <sheetName val="P3"/>
      <sheetName val="BS3"/>
      <sheetName val="P4"/>
      <sheetName val="BS4"/>
      <sheetName val="P5"/>
      <sheetName val="BS5"/>
      <sheetName val="csr23-24"/>
      <sheetName val="Balance Confirmations "/>
      <sheetName val="FDRs 22-23"/>
      <sheetName val="Profitloss"/>
      <sheetName val="FY Turnovers"/>
      <sheetName val="ki"/>
      <sheetName val="sales"/>
      <sheetName val="tlr23-24"/>
      <sheetName val="Cash Flow Workings"/>
      <sheetName val="Ind AS Adj Workings"/>
      <sheetName val="ROU Note"/>
      <sheetName val="5y Turnovers  (2)"/>
      <sheetName val="sc2122"/>
      <sheetName val="inventories"/>
      <sheetName val="Ratios"/>
      <sheetName val="Sheet2"/>
      <sheetName val="tlr23-24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8">
          <cell r="H8">
            <v>4422550758</v>
          </cell>
        </row>
        <row r="9">
          <cell r="H9">
            <v>19458050</v>
          </cell>
        </row>
        <row r="10">
          <cell r="H10">
            <v>98638202</v>
          </cell>
        </row>
        <row r="11">
          <cell r="H11">
            <v>691065</v>
          </cell>
        </row>
        <row r="12">
          <cell r="H12">
            <v>20320714</v>
          </cell>
        </row>
        <row r="13">
          <cell r="H13">
            <v>22819394</v>
          </cell>
        </row>
        <row r="14">
          <cell r="H14">
            <v>109505416</v>
          </cell>
        </row>
        <row r="15">
          <cell r="H15">
            <v>62577595</v>
          </cell>
        </row>
        <row r="16">
          <cell r="H16">
            <v>4756561194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d22-23"/>
      <sheetName val="Del22-23"/>
    </sheetNames>
    <sheetDataSet>
      <sheetData sheetId="0" refreshError="1">
        <row r="1">
          <cell r="N1">
            <v>45016</v>
          </cell>
        </row>
      </sheetData>
      <sheetData sheetId="1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d22-23"/>
    </sheetNames>
    <sheetDataSet>
      <sheetData sheetId="0" refreshError="1">
        <row r="1">
          <cell r="N1">
            <v>45016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kem ho4" id="{D208A16C-9585-48A5-9B5A-1192FD326498}" userId="S::ho4@bekemprojects.onmicrosoft.com::f2880f7c-b028-4fb6-bc55-b45ef894b11b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lchuri Vyaswanth" refreshedDate="45440.897136805557" createdVersion="8" refreshedVersion="8" minRefreshableVersion="3" recordCount="528" xr:uid="{60745867-F35A-4D2F-BDBE-35F707C691B5}">
  <cacheSource type="worksheet">
    <worksheetSource ref="B3:V531" sheet="Add23-24"/>
  </cacheSource>
  <cacheFields count="21">
    <cacheField name="Sl.No." numFmtId="0">
      <sharedItems containsBlank="1" containsMixedTypes="1" containsNumber="1" containsInteger="1" minValue="1" maxValue="330"/>
    </cacheField>
    <cacheField name="Construction Equipment" numFmtId="0">
      <sharedItems containsBlank="1" count="137">
        <m/>
        <s v="Vibrator"/>
        <s v="Welding Machine"/>
        <s v="Boom Pump"/>
        <s v="Gantry Crane"/>
        <s v="River Boat"/>
        <s v="Rebar bender"/>
        <s v="Wheel Loader"/>
        <s v="Testing Equipment"/>
        <s v="Leveling Machine"/>
        <s v="Genset"/>
        <s v="Mini Road Roller"/>
        <s v="Scaff Holding Materials"/>
        <s v="Shuttering Plates"/>
        <s v="Testing Inspection Equipment"/>
        <s v="Total Equipment"/>
        <s v="Tower Light"/>
        <s v="Batching Plant"/>
        <s v="Bolero Camper"/>
        <s v="Cement Silo"/>
        <s v="Cement Silo Accessories"/>
        <s v="Concrete Mixer Machine"/>
        <s v="Diesel Tanker"/>
        <s v="Generator"/>
        <s v="New Diesel Tanker-Registration Charges"/>
        <s v="Rock Breaker Machine"/>
        <s v="Telebelt"/>
        <s v="Testing Inspection Equipment Accessories"/>
        <s v="Total Station"/>
        <s v="Water Chilling Plant"/>
        <s v="ICE Plant"/>
        <s v="Dozer-Tractor Mounted"/>
        <s v="Registration Charges"/>
        <s v="Tipper"/>
        <s v="Tractor"/>
        <s v="Trailer"/>
        <s v="Crusher Accessories"/>
        <s v="ICV Truck"/>
        <s v="Motor Grader"/>
        <s v="Roller"/>
        <s v="Soil Vibratory Compactor"/>
        <s v="Tandom Roller"/>
        <s v="Trailer-Telescopic"/>
        <s v="Grout Pump &amp; Mixer"/>
        <s v="Bar Bending Machine"/>
        <s v="Bar Cutting Machine"/>
        <s v="Cutting Machine"/>
        <s v="Pressure Guage"/>
        <s v="Air Compressor"/>
        <s v="Concrete Pump"/>
        <s v="Excavator"/>
        <s v="Portable Mobile Lighting Tower"/>
        <s v="Wheel Loader-Accessories"/>
        <s v="WOW Ice Truck"/>
        <s v="Concrete Mixer Machine-Registration Charges"/>
        <s v="Dozer"/>
        <s v="Relative Density Test Apparatus"/>
        <s v="Voltage Stabilizer"/>
        <s v="Weigh Bridge"/>
        <s v="Total Rs."/>
        <s v="Laptop"/>
        <s v="Printer"/>
        <s v="Desk top and Printer"/>
        <s v="Computers"/>
        <s v="Desk Top"/>
        <s v="Desk top with all accessories"/>
        <s v="Bio Metric Machine"/>
        <s v="Computer"/>
        <s v="Laptop and Other Accessories"/>
        <s v="Mouse"/>
        <s v="Biometric Equipments-3 No's"/>
        <s v="Digital Camera"/>
        <s v="UPS"/>
        <s v="Cabin Tables &amp; Chairs"/>
        <s v="Sofa Sets"/>
        <s v="Air Cooler"/>
        <s v="Chair-Revolving"/>
        <s v="Furniture"/>
        <s v="Office Tables"/>
        <s v="Revolving Chair"/>
        <s v="Visitor Chairs"/>
        <s v="Wooden Almarahs"/>
        <s v="Almarah-Office"/>
        <s v="Chairs"/>
        <s v="Furniture-Office"/>
        <s v="Mattress"/>
        <s v="Tables"/>
        <s v="Wooden Cots"/>
        <s v="Wheel Chair"/>
        <s v="Land Conversion Charges"/>
        <s v="Land"/>
        <s v="G C Sheets"/>
        <s v="G I Sheets"/>
        <s v="Profile Sheets"/>
        <s v="GI Sheets"/>
        <s v="Cabin-Accommodation"/>
        <s v="Cabin-Office"/>
        <s v="Cabins"/>
        <s v="Cabin-Washroom"/>
        <s v="Container"/>
        <s v="G I Channel"/>
        <s v="GI Channels"/>
        <s v="Temporary Buildings"/>
        <s v="Glass Putty"/>
        <s v="Hanges 4&quot;"/>
        <s v="Misc. Items"/>
        <s v="Plumbing Material"/>
        <s v="PVC Pipes"/>
        <s v="Screws Dep Spanner"/>
        <s v="GI Sheets &amp; Pipes"/>
        <s v="Storage Container"/>
        <s v="GI Sheet"/>
        <s v="MS Pipe"/>
        <s v="Plywood"/>
        <s v="Accommodation Cabin"/>
        <s v="GC Sheets"/>
        <s v="MS portable office"/>
        <s v="Refrigerator"/>
        <s v="Solar Inverter with Batteries"/>
        <s v="Washing Machine"/>
        <s v="Chest Freezer"/>
        <s v="Stabilizer"/>
        <s v="Television"/>
        <s v="Air Conditioner"/>
        <s v="Airconditioner"/>
        <s v="Air Conditioners"/>
        <s v="Air Conditoner"/>
        <s v="Fogging Machine"/>
        <s v="Motor Cycle"/>
        <s v="Two Wheeler"/>
        <s v="Bolero Pick-up"/>
        <s v="Car"/>
        <s v="Kia-Carens"/>
        <s v="Kia-salots"/>
        <s v="Bus"/>
        <s v="3Phase Machine"/>
        <s v="Grand Total Rs."/>
      </sharedItems>
    </cacheField>
    <cacheField name="Location of the Asset" numFmtId="0">
      <sharedItems containsBlank="1" count="26">
        <m/>
        <s v="Brahmani Bridge"/>
        <s v="Brahmani  HL Bridge"/>
        <s v="ECR"/>
        <s v="FOB-TS"/>
        <s v="Foxconn"/>
        <s v="Hadua"/>
        <s v="Head Office"/>
        <s v="Kaiga"/>
        <s v="KDP-IV"/>
        <s v="KDP-V"/>
        <s v="Lower Tapi"/>
        <s v="Manufacturing Unit"/>
        <s v="MRPL Terminal Project"/>
        <s v="Pedasankarlapudi"/>
        <s v="Raipur-Visakhapatnam"/>
        <s v="Salandi Barrage"/>
        <s v="Sulwade"/>
        <s v="Uppar Tapi"/>
        <s v="YTPS"/>
        <s v="YTTP Terminal"/>
        <s v="Sitamma Sagar"/>
        <s v="Polavaram"/>
        <s v="RVNL-BBS-SLT"/>
        <s v="Sadarmat Barrage"/>
        <s v="Vynatheya"/>
      </sharedItems>
    </cacheField>
    <cacheField name=" Invoice No" numFmtId="0">
      <sharedItems containsBlank="1" containsMixedTypes="1" containsNumber="1" containsInteger="1" minValue="0" maxValue="7272311775"/>
    </cacheField>
    <cacheField name="Date of Invoice" numFmtId="0">
      <sharedItems containsNonDate="0" containsDate="1" containsString="0" containsBlank="1" minDate="2022-07-04T00:00:00" maxDate="2024-04-01T00:00:00"/>
    </cacheField>
    <cacheField name="Tally Date" numFmtId="0">
      <sharedItems containsNonDate="0" containsDate="1" containsString="0" containsBlank="1" minDate="2023-04-01T00:00:00" maxDate="2024-04-01T00:00:00"/>
    </cacheField>
    <cacheField name="Name of the Supplier" numFmtId="0">
      <sharedItems containsBlank="1"/>
    </cacheField>
    <cacheField name="Put into use" numFmtId="0">
      <sharedItems containsNonDate="0" containsDate="1" containsString="0" containsBlank="1" minDate="1899-12-30T00:00:00" maxDate="2024-04-01T00:00:00"/>
    </cacheField>
    <cacheField name="Gross Inv Value" numFmtId="0">
      <sharedItems containsString="0" containsBlank="1" containsNumber="1" minValue="0" maxValue="1030076022.1298001"/>
    </cacheField>
    <cacheField name="Discount" numFmtId="0">
      <sharedItems containsString="0" containsBlank="1" containsNumber="1" containsInteger="1" minValue="0" maxValue="0"/>
    </cacheField>
    <cacheField name="Registration charges &amp; Insurance" numFmtId="0">
      <sharedItems containsString="0" containsBlank="1" containsNumber="1" containsInteger="1" minValue="0" maxValue="3499405"/>
    </cacheField>
    <cacheField name="TCS" numFmtId="0">
      <sharedItems containsString="0" containsBlank="1" containsNumber="1" minValue="0" maxValue="7091351.2000000002"/>
    </cacheField>
    <cacheField name="GST" numFmtId="0">
      <sharedItems containsString="0" containsBlank="1" containsNumber="1" minValue="0" maxValue="210736728.49539328"/>
    </cacheField>
    <cacheField name="Capital Cost" numFmtId="0">
      <sharedItems containsString="0" containsBlank="1" containsNumber="1" minValue="0" maxValue="815747347.43440664"/>
    </cacheField>
    <cacheField name="No of Days" numFmtId="0">
      <sharedItems containsBlank="1" containsMixedTypes="1" containsNumber="1" containsInteger="1" minValue="0" maxValue="45382"/>
    </cacheField>
    <cacheField name="use full life/years" numFmtId="0">
      <sharedItems containsBlank="1" containsMixedTypes="1" containsNumber="1" containsInteger="1" minValue="0" maxValue="876591"/>
    </cacheField>
    <cacheField name="Bal years/days" numFmtId="0">
      <sharedItems containsBlank="1" containsMixedTypes="1" containsNumber="1" minValue="-119.33424657534246" maxValue="8323409"/>
    </cacheField>
    <cacheField name="Depreciation" numFmtId="0">
      <sharedItems containsBlank="1" containsMixedTypes="1" containsNumber="1" minValue="0" maxValue="82414971"/>
    </cacheField>
    <cacheField name="NET Block  as at 30/09/2023" numFmtId="0">
      <sharedItems containsBlank="1" containsMixedTypes="1" containsNumber="1" minValue="-214697.08000000002" maxValue="700343809.29999995"/>
    </cacheField>
    <cacheField name="before 30/09/23" numFmtId="0">
      <sharedItems containsString="0" containsBlank="1" containsNumber="1" minValue="0" maxValue="659349144.44000006" count="190">
        <m/>
        <n v="0"/>
        <n v="13849000"/>
        <n v="5599500"/>
        <n v="90678"/>
        <n v="4150000"/>
        <n v="410880"/>
        <n v="14050000"/>
        <n v="860678"/>
        <n v="6528"/>
        <n v="620000"/>
        <n v="3474576"/>
        <n v="1530000"/>
        <n v="19478"/>
        <n v="1025000"/>
        <n v="4427410"/>
        <n v="5145000"/>
        <n v="120000"/>
        <n v="6820"/>
        <n v="3205005"/>
        <n v="589000"/>
        <n v="1402541"/>
        <n v="1100000"/>
        <n v="3600000"/>
        <n v="714285.67999999993"/>
        <n v="537355"/>
        <n v="1199740"/>
        <n v="210445"/>
        <n v="358840"/>
        <n v="875137"/>
        <n v="75000"/>
        <n v="506709.38"/>
        <n v="595939.80000000005"/>
        <n v="403600.91000000003"/>
        <n v="467408"/>
        <n v="428162"/>
        <n v="382854"/>
        <n v="1033835"/>
        <n v="225388.98"/>
        <n v="1173866"/>
        <n v="181002"/>
        <n v="241485"/>
        <n v="1198850"/>
        <n v="3386447"/>
        <n v="4625573"/>
        <n v="755629.69"/>
        <n v="415390"/>
        <n v="240000"/>
        <n v="113000"/>
        <n v="20000"/>
        <n v="15000"/>
        <n v="226000"/>
        <n v="253500"/>
        <n v="115000"/>
        <n v="280700"/>
        <n v="42036"/>
        <n v="56540"/>
        <n v="137348"/>
        <n v="76577"/>
        <n v="205942"/>
        <n v="46338"/>
        <n v="66300"/>
        <n v="45600"/>
        <n v="140000"/>
        <n v="67000"/>
        <n v="57500"/>
        <n v="6750"/>
        <n v="41000"/>
        <n v="256251"/>
        <n v="1490000"/>
        <n v="1200000"/>
        <n v="2050000"/>
        <n v="19460"/>
        <n v="2341343"/>
        <n v="680000"/>
        <n v="575000"/>
        <n v="43000"/>
        <n v="3222500"/>
        <n v="287820"/>
        <n v="624038"/>
        <n v="733839"/>
        <n v="411767"/>
        <n v="305200"/>
        <n v="1835632"/>
        <n v="490928"/>
        <n v="716604"/>
        <n v="269139"/>
        <n v="634538"/>
        <n v="20700"/>
        <n v="10350"/>
        <n v="280000"/>
        <n v="32140"/>
        <n v="3650000"/>
        <n v="24390"/>
        <n v="29831.999999999996"/>
        <n v="9600000"/>
        <n v="8750294"/>
        <n v="9200000"/>
        <n v="5855486"/>
        <n v="5813641"/>
        <n v="88320"/>
        <n v="3257000"/>
        <n v="100000"/>
        <n v="16100"/>
        <n v="8416667"/>
        <n v="8971354"/>
        <n v="8991364"/>
        <n v="9166667"/>
        <n v="5073125"/>
        <n v="4760625"/>
        <n v="4375000"/>
        <n v="25250"/>
        <n v="1150000"/>
        <n v="659349144.44000006"/>
        <n v="9745.7627118644068"/>
        <n v="66186.440677966108"/>
        <n v="70847.457627118638"/>
        <n v="17288.135593220341"/>
        <n v="40042.379999999997"/>
        <n v="100170"/>
        <n v="55211.88"/>
        <n v="305084"/>
        <n v="428771.16000000003"/>
        <n v="77882"/>
        <n v="119159"/>
        <n v="2542.38"/>
        <n v="72500"/>
        <n v="52457.627118644072"/>
        <n v="2204"/>
        <n v="149000"/>
        <n v="70042.372881355928"/>
        <n v="1639134.5966101694"/>
        <n v="6500"/>
        <n v="5424"/>
        <n v="4915.2542372881353"/>
        <n v="8400"/>
        <n v="20500"/>
        <n v="18000"/>
        <n v="10400"/>
        <n v="74139.254237288143"/>
        <n v="50750"/>
        <n v="146161"/>
        <n v="145334"/>
        <n v="37000.406779661018"/>
        <n v="13424"/>
        <n v="17500"/>
        <n v="67900"/>
        <n v="25740"/>
        <n v="193920"/>
        <n v="686087"/>
        <n v="125520"/>
        <n v="108600"/>
        <n v="15600"/>
        <n v="3458"/>
        <n v="88640"/>
        <n v="3594"/>
        <n v="17068"/>
        <n v="21144"/>
        <n v="265000"/>
        <n v="10136"/>
        <n v="480000"/>
        <n v="135000"/>
        <n v="48060"/>
        <n v="12390"/>
        <n v="3293026.4067796608"/>
        <n v="28906"/>
        <n v="27344"/>
        <n v="26172"/>
        <n v="378100"/>
        <n v="55590"/>
        <n v="136718.74"/>
        <n v="73282"/>
        <n v="26562"/>
        <n v="9490"/>
        <n v="102000"/>
        <n v="72000"/>
        <n v="78516"/>
        <n v="23438"/>
        <n v="1038118.74"/>
        <n v="798764"/>
        <n v="730544"/>
        <n v="6169620"/>
        <n v="1434767"/>
        <n v="116259"/>
        <n v="96551"/>
        <n v="129095"/>
        <n v="92213"/>
        <n v="74654"/>
        <n v="1974922"/>
        <n v="11810491"/>
      </sharedItems>
    </cacheField>
    <cacheField name="After 01/10/23" numFmtId="0">
      <sharedItems containsString="0" containsBlank="1" containsNumber="1" minValue="0" maxValue="123409635.86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8">
  <r>
    <s v="Construction Equipment"/>
    <x v="0"/>
    <x v="0"/>
    <m/>
    <m/>
    <m/>
    <m/>
    <m/>
    <m/>
    <m/>
    <m/>
    <m/>
    <m/>
    <m/>
    <m/>
    <m/>
    <m/>
    <m/>
    <m/>
    <x v="0"/>
    <m/>
  </r>
  <r>
    <n v="1"/>
    <x v="1"/>
    <x v="1"/>
    <s v="KSS-4482"/>
    <d v="2024-01-12T00:00:00"/>
    <d v="2024-01-12T00:00:00"/>
    <s v="Kasi Sales &amp; Services Pvt. Ltd."/>
    <d v="2024-01-12T00:00:00"/>
    <n v="150510"/>
    <m/>
    <m/>
    <m/>
    <n v="22959.11"/>
    <n v="127550.89"/>
    <n v="79"/>
    <n v="3"/>
    <n v="2.7835616438356166"/>
    <n v="9202"/>
    <n v="118348.89"/>
    <x v="1"/>
    <n v="127550.89"/>
  </r>
  <r>
    <n v="2"/>
    <x v="1"/>
    <x v="1"/>
    <s v="KSS-4483"/>
    <d v="2024-01-12T00:00:00"/>
    <d v="2024-01-12T00:00:00"/>
    <s v="Kasi Sales &amp; Services Pvt. Ltd."/>
    <d v="2024-01-12T00:00:00"/>
    <n v="150510"/>
    <m/>
    <m/>
    <m/>
    <n v="22959.11"/>
    <n v="127550.89"/>
    <n v="79"/>
    <n v="3"/>
    <n v="2.7835616438356166"/>
    <n v="9202"/>
    <n v="118348.89"/>
    <x v="1"/>
    <n v="127550.89"/>
  </r>
  <r>
    <n v="3"/>
    <x v="2"/>
    <x v="1"/>
    <s v="SKM/23-24/3929"/>
    <d v="2024-02-10T00:00:00"/>
    <d v="2024-02-10T00:00:00"/>
    <s v="Shreekrishna Machinery"/>
    <d v="2024-02-10T00:00:00"/>
    <n v="108560"/>
    <m/>
    <m/>
    <m/>
    <n v="16560"/>
    <n v="92000"/>
    <n v="50"/>
    <n v="9"/>
    <n v="8.8630136986301373"/>
    <n v="1400"/>
    <n v="90600"/>
    <x v="1"/>
    <n v="92000"/>
  </r>
  <r>
    <n v="4"/>
    <x v="3"/>
    <x v="1"/>
    <n v="833074832"/>
    <d v="2023-09-30T00:00:00"/>
    <d v="2023-10-30T00:00:00"/>
    <s v="Schwing Stetter (India) Pvt. Ltd."/>
    <d v="2023-10-30T00:00:00"/>
    <n v="10620000"/>
    <n v="0"/>
    <m/>
    <n v="0"/>
    <n v="1620000"/>
    <n v="9000000"/>
    <n v="153"/>
    <n v="9"/>
    <n v="8.580821917808219"/>
    <n v="419178"/>
    <n v="8580822"/>
    <x v="1"/>
    <n v="9000000"/>
  </r>
  <r>
    <n v="5"/>
    <x v="3"/>
    <x v="1"/>
    <s v="mvi 1913"/>
    <d v="2023-10-25T00:00:00"/>
    <d v="2023-10-30T00:00:00"/>
    <s v="Automotive Manufactures Pvt. Ltd."/>
    <d v="2023-10-30T00:00:00"/>
    <n v="3793750"/>
    <n v="0"/>
    <m/>
    <n v="39109"/>
    <n v="855507"/>
    <n v="2899134"/>
    <n v="153"/>
    <n v="9"/>
    <n v="8.580821917808219"/>
    <n v="135028"/>
    <n v="2764106"/>
    <x v="1"/>
    <n v="2899134"/>
  </r>
  <r>
    <n v="6"/>
    <x v="4"/>
    <x v="1"/>
    <s v="AP/KH/23-24/0041"/>
    <d v="2023-06-26T00:00:00"/>
    <d v="2023-07-11T00:00:00"/>
    <s v="A.P.Industries"/>
    <d v="2023-07-11T00:00:00"/>
    <n v="16341820"/>
    <m/>
    <m/>
    <m/>
    <n v="2492820"/>
    <n v="13849000"/>
    <n v="264"/>
    <n v="9"/>
    <n v="8.2767123287671236"/>
    <n v="1112979"/>
    <n v="12736021"/>
    <x v="2"/>
    <n v="0"/>
  </r>
  <r>
    <n v="7"/>
    <x v="4"/>
    <x v="1"/>
    <s v="AP/KH/23-24/0042"/>
    <d v="2023-06-26T00:00:00"/>
    <d v="2023-07-11T00:00:00"/>
    <s v="A.P.Industries"/>
    <d v="2023-07-11T00:00:00"/>
    <n v="6607410"/>
    <m/>
    <m/>
    <m/>
    <n v="1007910"/>
    <n v="5599500"/>
    <n v="264"/>
    <n v="9"/>
    <n v="8.2767123287671236"/>
    <n v="450005"/>
    <n v="5149495"/>
    <x v="3"/>
    <n v="0"/>
  </r>
  <r>
    <n v="8"/>
    <x v="5"/>
    <x v="2"/>
    <n v="201"/>
    <d v="2024-03-03T00:00:00"/>
    <d v="2024-03-03T00:00:00"/>
    <s v="Maa ramchinadi Boat "/>
    <d v="2024-03-03T00:00:00"/>
    <n v="205320"/>
    <m/>
    <m/>
    <m/>
    <n v="0"/>
    <n v="205320"/>
    <n v="28"/>
    <n v="9"/>
    <n v="8.9232876712328775"/>
    <n v="1750"/>
    <n v="203570"/>
    <x v="1"/>
    <n v="205320"/>
  </r>
  <r>
    <n v="9"/>
    <x v="5"/>
    <x v="2"/>
    <n v="202"/>
    <d v="2024-03-03T00:00:00"/>
    <d v="2024-03-03T00:00:00"/>
    <s v="Maa ramchinadi Boat "/>
    <d v="2024-03-03T00:00:00"/>
    <n v="205230"/>
    <m/>
    <m/>
    <m/>
    <m/>
    <n v="205230"/>
    <n v="28"/>
    <n v="9"/>
    <n v="8.9232876712328775"/>
    <n v="1749"/>
    <n v="203481"/>
    <x v="1"/>
    <n v="205230"/>
  </r>
  <r>
    <n v="10"/>
    <x v="5"/>
    <x v="2"/>
    <n v="205"/>
    <d v="2024-03-22T00:00:00"/>
    <d v="2024-03-22T00:00:00"/>
    <s v="Maa ramchinadi Boat "/>
    <d v="2024-03-22T00:00:00"/>
    <n v="241900"/>
    <m/>
    <m/>
    <m/>
    <n v="36900"/>
    <n v="205000"/>
    <n v="9"/>
    <n v="9"/>
    <n v="8.9753424657534246"/>
    <n v="562"/>
    <n v="204438"/>
    <x v="1"/>
    <n v="205000"/>
  </r>
  <r>
    <n v="11"/>
    <x v="5"/>
    <x v="2"/>
    <n v="207"/>
    <d v="2024-03-22T00:00:00"/>
    <d v="2024-03-22T00:00:00"/>
    <s v="Maa ramchinadi Boat "/>
    <d v="2024-03-22T00:00:00"/>
    <n v="241900"/>
    <m/>
    <m/>
    <m/>
    <n v="36900"/>
    <n v="205000"/>
    <n v="9"/>
    <n v="9"/>
    <n v="8.9753424657534246"/>
    <n v="562"/>
    <n v="204438"/>
    <x v="1"/>
    <n v="205000"/>
  </r>
  <r>
    <n v="12"/>
    <x v="6"/>
    <x v="3"/>
    <n v="7275"/>
    <d v="2023-07-07T00:00:00"/>
    <d v="2023-07-07T00:00:00"/>
    <s v="Lucky Machinery Stores"/>
    <d v="2023-07-07T00:00:00"/>
    <n v="107000"/>
    <m/>
    <m/>
    <m/>
    <n v="16322"/>
    <n v="90678"/>
    <n v="268"/>
    <n v="9"/>
    <n v="8.2657534246575342"/>
    <n v="7398"/>
    <n v="83280"/>
    <x v="4"/>
    <n v="0"/>
  </r>
  <r>
    <n v="13"/>
    <x v="7"/>
    <x v="3"/>
    <s v="MC-9/23-24"/>
    <d v="2023-04-27T00:00:00"/>
    <d v="2023-05-18T00:00:00"/>
    <s v="Shanti Automotives India Pvt. Ltd."/>
    <d v="2023-05-18T00:00:00"/>
    <n v="4945970"/>
    <m/>
    <m/>
    <n v="48970"/>
    <n v="747000"/>
    <n v="4150000"/>
    <n v="318"/>
    <n v="9"/>
    <n v="8.1287671232876715"/>
    <n v="401735"/>
    <n v="3748265"/>
    <x v="5"/>
    <n v="0"/>
  </r>
  <r>
    <n v="14"/>
    <x v="8"/>
    <x v="4"/>
    <n v="168"/>
    <d v="2023-09-29T00:00:00"/>
    <d v="2023-09-29T00:00:00"/>
    <s v="APT Survey Solutions Pvt. Ltd."/>
    <d v="2023-09-29T00:00:00"/>
    <n v="484838"/>
    <m/>
    <m/>
    <m/>
    <n v="73958"/>
    <n v="410880"/>
    <n v="184"/>
    <n v="3"/>
    <n v="2.495890410958904"/>
    <n v="69043"/>
    <n v="341837"/>
    <x v="6"/>
    <n v="0"/>
  </r>
  <r>
    <n v="15"/>
    <x v="9"/>
    <x v="4"/>
    <n v="285"/>
    <d v="2024-02-17T00:00:00"/>
    <d v="2024-02-29T00:00:00"/>
    <s v="Apt Engineering Company"/>
    <d v="2024-02-29T00:00:00"/>
    <n v="22438"/>
    <m/>
    <m/>
    <m/>
    <n v="3422.7"/>
    <n v="19015.3"/>
    <n v="31"/>
    <n v="9"/>
    <n v="8.9150684931506845"/>
    <n v="179"/>
    <n v="18836.3"/>
    <x v="1"/>
    <n v="19015.3"/>
  </r>
  <r>
    <n v="16"/>
    <x v="10"/>
    <x v="5"/>
    <s v="SPS/2324/1211"/>
    <d v="2023-10-17T00:00:00"/>
    <d v="2023-10-19T00:00:00"/>
    <s v="Sri Power Systems"/>
    <d v="2023-10-19T00:00:00"/>
    <n v="532180"/>
    <m/>
    <m/>
    <m/>
    <n v="81180"/>
    <n v="451000"/>
    <n v="164"/>
    <n v="9"/>
    <n v="8.5506849315068489"/>
    <n v="22516"/>
    <n v="428484"/>
    <x v="1"/>
    <n v="451000"/>
  </r>
  <r>
    <n v="17"/>
    <x v="10"/>
    <x v="5"/>
    <s v="SPS/2324/1212"/>
    <d v="2023-10-17T00:00:00"/>
    <d v="2023-10-19T00:00:00"/>
    <s v="Sri Power Systems"/>
    <d v="2023-10-19T00:00:00"/>
    <n v="532180"/>
    <m/>
    <m/>
    <m/>
    <n v="81180"/>
    <n v="451000"/>
    <n v="164"/>
    <n v="9"/>
    <n v="8.5506849315068489"/>
    <n v="22516"/>
    <n v="428484"/>
    <x v="1"/>
    <n v="451000"/>
  </r>
  <r>
    <n v="18"/>
    <x v="11"/>
    <x v="5"/>
    <s v="AEPL/399/23-24"/>
    <d v="2023-11-18T00:00:00"/>
    <d v="2023-11-18T00:00:00"/>
    <s v="Avensis Engineering Pvt. Ltd."/>
    <d v="2023-11-18T00:00:00"/>
    <n v="649000"/>
    <m/>
    <m/>
    <m/>
    <n v="99000"/>
    <n v="550000"/>
    <n v="134"/>
    <n v="3"/>
    <n v="2.6328767123287671"/>
    <n v="67306"/>
    <n v="482694"/>
    <x v="1"/>
    <n v="550000"/>
  </r>
  <r>
    <n v="19"/>
    <x v="12"/>
    <x v="5"/>
    <s v="AEW-23-24-0772"/>
    <d v="2024-02-08T00:00:00"/>
    <d v="2024-02-15T00:00:00"/>
    <s v="D.E.C Industries Pvt. Ltd."/>
    <d v="2024-02-15T00:00:00"/>
    <n v="1394618"/>
    <m/>
    <m/>
    <m/>
    <n v="212738.4"/>
    <n v="1181879.6000000001"/>
    <n v="45"/>
    <n v="3"/>
    <n v="2.8767123287671232"/>
    <n v="48570"/>
    <n v="1133309.6000000001"/>
    <x v="1"/>
    <n v="1181879.6000000001"/>
  </r>
  <r>
    <n v="20"/>
    <x v="12"/>
    <x v="5"/>
    <s v="AEW-23-24-0785"/>
    <d v="2024-02-11T00:00:00"/>
    <d v="2024-02-11T00:00:00"/>
    <s v="D.E.C Industries Pvt. Ltd."/>
    <d v="2024-02-11T00:00:00"/>
    <n v="2010495.8"/>
    <m/>
    <m/>
    <m/>
    <n v="306685.8"/>
    <n v="1703810"/>
    <n v="49"/>
    <n v="3"/>
    <n v="2.8657534246575342"/>
    <n v="76244"/>
    <n v="1627566"/>
    <x v="1"/>
    <n v="1703810"/>
  </r>
  <r>
    <n v="21"/>
    <x v="12"/>
    <x v="5"/>
    <s v="AEW-23-24-0794"/>
    <d v="2024-02-15T00:00:00"/>
    <d v="2024-02-15T00:00:00"/>
    <s v="D.E.C Industries Pvt. Ltd."/>
    <d v="2024-02-15T00:00:00"/>
    <n v="1950543.54"/>
    <m/>
    <m/>
    <m/>
    <n v="297540.53999999998"/>
    <n v="1653003"/>
    <n v="45"/>
    <n v="3"/>
    <n v="2.8767123287671232"/>
    <n v="67932"/>
    <n v="1585071"/>
    <x v="1"/>
    <n v="1653003"/>
  </r>
  <r>
    <n v="22"/>
    <x v="12"/>
    <x v="5"/>
    <s v="AEW-23-24-0807"/>
    <d v="2024-02-17T00:00:00"/>
    <d v="2024-02-17T00:00:00"/>
    <s v="D.E.C Industries Pvt. Ltd."/>
    <d v="2024-02-17T00:00:00"/>
    <n v="1944876"/>
    <m/>
    <m/>
    <m/>
    <n v="296676"/>
    <n v="1648200"/>
    <n v="43"/>
    <n v="3"/>
    <n v="2.882191780821918"/>
    <n v="64724"/>
    <n v="1583476"/>
    <x v="1"/>
    <n v="1648200"/>
  </r>
  <r>
    <n v="23"/>
    <x v="12"/>
    <x v="5"/>
    <s v="AEW-23-24-0817"/>
    <d v="2024-02-21T00:00:00"/>
    <d v="2024-02-21T00:00:00"/>
    <s v="D.E.C Industries Pvt. Ltd."/>
    <d v="2024-02-21T00:00:00"/>
    <n v="1940132.4"/>
    <m/>
    <m/>
    <m/>
    <n v="295952.40000000002"/>
    <n v="1644180"/>
    <n v="39"/>
    <n v="3"/>
    <n v="2.893150684931507"/>
    <n v="58560"/>
    <n v="1585620"/>
    <x v="1"/>
    <n v="1644180"/>
  </r>
  <r>
    <n v="24"/>
    <x v="12"/>
    <x v="5"/>
    <s v="AEW-23-24-0853"/>
    <d v="2024-02-27T00:00:00"/>
    <d v="2024-03-05T00:00:00"/>
    <s v="D.E.C Industries Pvt. Ltd."/>
    <d v="2024-03-05T00:00:00"/>
    <n v="1673779.26"/>
    <m/>
    <m/>
    <m/>
    <n v="255322.26"/>
    <n v="1418457"/>
    <n v="26"/>
    <n v="3"/>
    <n v="2.9287671232876713"/>
    <n v="33680"/>
    <n v="1384777"/>
    <x v="1"/>
    <n v="1418457"/>
  </r>
  <r>
    <n v="25"/>
    <x v="12"/>
    <x v="5"/>
    <s v="AEW-23-24-0909"/>
    <d v="2024-03-12T00:00:00"/>
    <d v="2024-03-12T00:00:00"/>
    <s v="D.E.C Industries Pvt. Ltd."/>
    <d v="2024-03-12T00:00:00"/>
    <n v="1683187.4"/>
    <m/>
    <m/>
    <m/>
    <n v="256757.4"/>
    <n v="1426430"/>
    <n v="19"/>
    <n v="3"/>
    <n v="2.9479452054794519"/>
    <n v="24751"/>
    <n v="1401679"/>
    <x v="1"/>
    <n v="1426430"/>
  </r>
  <r>
    <n v="26"/>
    <x v="13"/>
    <x v="5"/>
    <s v="DAF-23-24-0336"/>
    <d v="2023-11-20T00:00:00"/>
    <d v="2023-11-20T00:00:00"/>
    <s v="D.E.C Industries Pvt. Ltd."/>
    <d v="2023-11-20T00:00:00"/>
    <n v="569940"/>
    <m/>
    <m/>
    <m/>
    <n v="86940"/>
    <n v="483000"/>
    <n v="132"/>
    <n v="3"/>
    <n v="2.6383561643835618"/>
    <n v="58225"/>
    <n v="424775"/>
    <x v="1"/>
    <n v="483000"/>
  </r>
  <r>
    <n v="27"/>
    <x v="13"/>
    <x v="5"/>
    <m/>
    <d v="2024-03-23T00:00:00"/>
    <d v="2024-03-23T00:00:00"/>
    <s v="D.E.C Industries Pvt. Ltd."/>
    <d v="2024-03-23T00:00:00"/>
    <n v="1389077"/>
    <m/>
    <m/>
    <m/>
    <n v="211893"/>
    <n v="1177184"/>
    <n v="8"/>
    <n v="3"/>
    <n v="2.978082191780822"/>
    <n v="8600"/>
    <n v="1168584"/>
    <x v="1"/>
    <n v="1177184"/>
  </r>
  <r>
    <n v="28"/>
    <x v="13"/>
    <x v="5"/>
    <m/>
    <d v="2024-03-28T00:00:00"/>
    <d v="2024-03-28T00:00:00"/>
    <s v="D.E.C Industries Pvt. Ltd."/>
    <d v="2024-03-28T00:00:00"/>
    <n v="1433189"/>
    <m/>
    <m/>
    <m/>
    <n v="218622"/>
    <n v="1214567"/>
    <n v="3"/>
    <n v="3"/>
    <n v="2.9917808219178084"/>
    <n v="3328"/>
    <n v="1211239"/>
    <x v="1"/>
    <n v="1214567"/>
  </r>
  <r>
    <n v="29"/>
    <x v="13"/>
    <x v="5"/>
    <m/>
    <d v="2024-03-31T00:00:00"/>
    <d v="2024-03-31T00:00:00"/>
    <s v="D.E.C Industries Pvt. Ltd."/>
    <d v="2024-03-31T00:00:00"/>
    <n v="1572503"/>
    <m/>
    <m/>
    <m/>
    <n v="239873"/>
    <n v="1332630"/>
    <n v="0"/>
    <n v="3"/>
    <n v="3"/>
    <n v="0"/>
    <n v="1332630"/>
    <x v="1"/>
    <n v="1332630"/>
  </r>
  <r>
    <n v="30"/>
    <x v="13"/>
    <x v="5"/>
    <n v="137"/>
    <d v="2024-02-11T00:00:00"/>
    <d v="2024-02-11T00:00:00"/>
    <s v="Expert Fabrication &amp; Engineering Works"/>
    <d v="2024-02-11T00:00:00"/>
    <n v="767095"/>
    <m/>
    <m/>
    <m/>
    <n v="117014"/>
    <n v="650081"/>
    <n v="49"/>
    <n v="3"/>
    <n v="2.8657534246575342"/>
    <n v="29090"/>
    <n v="620991"/>
    <x v="1"/>
    <n v="650081"/>
  </r>
  <r>
    <n v="31"/>
    <x v="8"/>
    <x v="5"/>
    <n v="242"/>
    <d v="2024-01-06T00:00:00"/>
    <d v="2024-01-06T00:00:00"/>
    <s v="APT Survey Solutions Pvt. Ltd."/>
    <d v="2024-01-06T00:00:00"/>
    <n v="636752"/>
    <m/>
    <m/>
    <m/>
    <n v="97131.6"/>
    <n v="539620.4"/>
    <n v="85"/>
    <n v="3"/>
    <n v="2.7671232876712328"/>
    <n v="41888"/>
    <n v="497732.4"/>
    <x v="1"/>
    <n v="539620.4"/>
  </r>
  <r>
    <n v="32"/>
    <x v="14"/>
    <x v="5"/>
    <n v="1768"/>
    <d v="2023-11-21T00:00:00"/>
    <d v="2023-11-21T00:00:00"/>
    <s v="Apt Engineering Company"/>
    <d v="2023-11-21T00:00:00"/>
    <n v="179124"/>
    <m/>
    <m/>
    <m/>
    <n v="27324"/>
    <n v="151800"/>
    <n v="131"/>
    <n v="3"/>
    <n v="2.6410958904109587"/>
    <n v="18161"/>
    <n v="133639"/>
    <x v="1"/>
    <n v="151800"/>
  </r>
  <r>
    <n v="33"/>
    <x v="15"/>
    <x v="5"/>
    <n v="184"/>
    <d v="2023-10-13T00:00:00"/>
    <d v="2023-10-13T00:00:00"/>
    <s v="APT Survey Solutions Pvt. Ltd."/>
    <d v="2023-10-13T00:00:00"/>
    <n v="624952"/>
    <m/>
    <m/>
    <m/>
    <n v="95331.6"/>
    <n v="529620.4"/>
    <n v="170"/>
    <n v="3"/>
    <n v="2.5342465753424657"/>
    <n v="82224"/>
    <n v="447396.4"/>
    <x v="1"/>
    <n v="529620.4"/>
  </r>
  <r>
    <n v="34"/>
    <x v="16"/>
    <x v="5"/>
    <n v="10214254"/>
    <d v="2023-10-21T00:00:00"/>
    <d v="2023-10-21T00:00:00"/>
    <s v="Schwing Stetter (India) Pvt. Ltd."/>
    <d v="2023-10-21T00:00:00"/>
    <n v="700000"/>
    <m/>
    <m/>
    <m/>
    <n v="75000"/>
    <n v="625000"/>
    <n v="162"/>
    <n v="3"/>
    <n v="2.5561643835616437"/>
    <n v="92466"/>
    <n v="532534"/>
    <x v="1"/>
    <n v="625000"/>
  </r>
  <r>
    <n v="35"/>
    <x v="16"/>
    <x v="5"/>
    <n v="10214268"/>
    <d v="2023-10-26T00:00:00"/>
    <d v="2023-11-01T00:00:00"/>
    <s v="Schwing Stetter (India) Pvt. Ltd."/>
    <d v="2023-11-01T00:00:00"/>
    <n v="700000"/>
    <m/>
    <m/>
    <m/>
    <n v="75000"/>
    <n v="625000"/>
    <n v="151"/>
    <n v="3"/>
    <n v="2.5863013698630137"/>
    <n v="86187"/>
    <n v="538813"/>
    <x v="1"/>
    <n v="625000"/>
  </r>
  <r>
    <n v="36"/>
    <x v="16"/>
    <x v="5"/>
    <n v="10214269"/>
    <d v="2023-10-26T00:00:00"/>
    <d v="2023-11-01T00:00:00"/>
    <s v="Schwing Stetter (India) Pvt. Ltd."/>
    <d v="2023-11-01T00:00:00"/>
    <n v="700000"/>
    <m/>
    <m/>
    <m/>
    <n v="75000"/>
    <n v="625000"/>
    <n v="151"/>
    <n v="3"/>
    <n v="2.5863013698630137"/>
    <n v="86187"/>
    <n v="538813"/>
    <x v="1"/>
    <n v="625000"/>
  </r>
  <r>
    <n v="37"/>
    <x v="17"/>
    <x v="6"/>
    <s v="HE/CONMAT/MS25"/>
    <d v="2023-08-14T00:00:00"/>
    <d v="2023-08-23T00:00:00"/>
    <s v="Haecon Equipments"/>
    <d v="2023-08-23T00:00:00"/>
    <n v="16622756"/>
    <n v="0"/>
    <m/>
    <n v="16756"/>
    <n v="2556000"/>
    <n v="14050000"/>
    <n v="221"/>
    <n v="9"/>
    <n v="8.3945205479452056"/>
    <n v="945221"/>
    <n v="13104779"/>
    <x v="7"/>
    <n v="0"/>
  </r>
  <r>
    <n v="38"/>
    <x v="18"/>
    <x v="6"/>
    <s v="INV24A000565"/>
    <d v="2023-06-05T00:00:00"/>
    <d v="2023-06-05T00:00:00"/>
    <s v="Aditya Motors"/>
    <d v="2023-06-05T00:00:00"/>
    <n v="1032220"/>
    <m/>
    <n v="62240"/>
    <n v="10220"/>
    <n v="223562"/>
    <n v="860678"/>
    <n v="300"/>
    <n v="9"/>
    <n v="8.1780821917808222"/>
    <n v="78601"/>
    <n v="782077"/>
    <x v="8"/>
    <n v="0"/>
  </r>
  <r>
    <n v="39"/>
    <x v="18"/>
    <x v="6"/>
    <s v="CSR24A001068"/>
    <d v="2023-06-12T00:00:00"/>
    <d v="2023-06-12T00:00:00"/>
    <s v="Aditya Motors"/>
    <d v="2023-06-12T00:00:00"/>
    <n v="7990"/>
    <m/>
    <m/>
    <m/>
    <n v="1462"/>
    <n v="6528"/>
    <n v="293"/>
    <n v="9"/>
    <n v="8.1972602739726028"/>
    <n v="582"/>
    <n v="5946"/>
    <x v="9"/>
    <n v="0"/>
  </r>
  <r>
    <n v="40"/>
    <x v="18"/>
    <x v="6"/>
    <s v="INV24A001954"/>
    <d v="2023-10-18T00:00:00"/>
    <d v="2023-11-20T00:00:00"/>
    <s v="Adtiya Motors"/>
    <d v="2023-11-20T00:00:00"/>
    <n v="1048077"/>
    <m/>
    <n v="72442"/>
    <n v="10377"/>
    <n v="226996.8"/>
    <n v="883145.2"/>
    <n v="132"/>
    <n v="3"/>
    <n v="2.6383561643835618"/>
    <n v="106461"/>
    <n v="776684.2"/>
    <x v="1"/>
    <n v="883145.2"/>
  </r>
  <r>
    <n v="41"/>
    <x v="19"/>
    <x v="6"/>
    <s v="VST/23-24/235"/>
    <d v="2023-10-06T00:00:00"/>
    <d v="2023-10-06T00:00:00"/>
    <s v="VST Industries"/>
    <d v="2023-10-06T00:00:00"/>
    <n v="1137520"/>
    <m/>
    <m/>
    <m/>
    <n v="173520"/>
    <n v="964000"/>
    <n v="177"/>
    <n v="9"/>
    <n v="8.5150684931506841"/>
    <n v="51942"/>
    <n v="912058"/>
    <x v="1"/>
    <n v="964000"/>
  </r>
  <r>
    <n v="42"/>
    <x v="19"/>
    <x v="6"/>
    <s v="VST/23-24/241"/>
    <d v="2023-10-10T00:00:00"/>
    <d v="2023-10-10T00:00:00"/>
    <s v="VST Industries"/>
    <d v="2023-10-10T00:00:00"/>
    <n v="1170560"/>
    <m/>
    <m/>
    <m/>
    <n v="178560"/>
    <n v="992000"/>
    <n v="173"/>
    <n v="9"/>
    <n v="8.5260273972602736"/>
    <n v="52242"/>
    <n v="939758"/>
    <x v="1"/>
    <n v="992000"/>
  </r>
  <r>
    <n v="43"/>
    <x v="20"/>
    <x v="6"/>
    <s v="VST/23-24/236"/>
    <d v="2023-10-06T00:00:00"/>
    <d v="2023-10-06T00:00:00"/>
    <s v="VST Industries"/>
    <d v="2023-10-06T00:00:00"/>
    <n v="129800"/>
    <m/>
    <m/>
    <m/>
    <n v="19800"/>
    <n v="110000"/>
    <n v="177"/>
    <n v="9"/>
    <n v="8.5150684931506841"/>
    <n v="5927"/>
    <n v="104073"/>
    <x v="1"/>
    <n v="110000"/>
  </r>
  <r>
    <n v="44"/>
    <x v="20"/>
    <x v="6"/>
    <s v="VST/23-24/242"/>
    <d v="2023-10-10T00:00:00"/>
    <d v="2023-10-10T00:00:00"/>
    <s v="VST Industries"/>
    <d v="2023-10-10T00:00:00"/>
    <n v="259600"/>
    <m/>
    <m/>
    <m/>
    <n v="39600"/>
    <n v="220000"/>
    <n v="173"/>
    <n v="9"/>
    <n v="8.5260273972602736"/>
    <n v="11586"/>
    <n v="208414"/>
    <x v="1"/>
    <n v="220000"/>
  </r>
  <r>
    <n v="45"/>
    <x v="21"/>
    <x v="6"/>
    <n v="81045900"/>
    <d v="2023-10-27T00:00:00"/>
    <d v="2023-11-01T00:00:00"/>
    <s v="Schwing Stetter (India) Pvt. Ltd."/>
    <d v="2023-11-01T00:00:00"/>
    <n v="1032500"/>
    <m/>
    <m/>
    <m/>
    <n v="157500"/>
    <n v="875000"/>
    <n v="151"/>
    <n v="9"/>
    <n v="8.5863013698630137"/>
    <n v="40221"/>
    <n v="834779"/>
    <x v="1"/>
    <n v="875000"/>
  </r>
  <r>
    <n v="46"/>
    <x v="21"/>
    <x v="6"/>
    <n v="81045899"/>
    <d v="2023-10-27T00:00:00"/>
    <d v="2023-11-01T00:00:00"/>
    <s v="Schwing Stetter (India) Pvt. Ltd."/>
    <d v="2023-11-01T00:00:00"/>
    <n v="1032500"/>
    <m/>
    <m/>
    <m/>
    <n v="157500"/>
    <n v="875000"/>
    <n v="151"/>
    <n v="9"/>
    <n v="8.5863013698630137"/>
    <n v="40221"/>
    <n v="834779"/>
    <x v="1"/>
    <n v="875000"/>
  </r>
  <r>
    <n v="47"/>
    <x v="21"/>
    <x v="6"/>
    <n v="81045898"/>
    <d v="2023-10-27T00:00:00"/>
    <d v="2023-11-01T00:00:00"/>
    <s v="Schwing Stetter (India) Pvt. Ltd."/>
    <d v="2023-11-01T00:00:00"/>
    <n v="1032500"/>
    <m/>
    <m/>
    <m/>
    <n v="157500"/>
    <n v="875000"/>
    <n v="151"/>
    <n v="9"/>
    <n v="8.5863013698630137"/>
    <n v="40221"/>
    <n v="834779"/>
    <x v="1"/>
    <n v="875000"/>
  </r>
  <r>
    <n v="48"/>
    <x v="21"/>
    <x v="6"/>
    <n v="81045897"/>
    <d v="2023-10-27T00:00:00"/>
    <d v="2023-11-01T00:00:00"/>
    <s v="Schwing Stetter (India) Pvt. Ltd."/>
    <d v="2023-11-01T00:00:00"/>
    <n v="1032500"/>
    <m/>
    <m/>
    <m/>
    <n v="157500"/>
    <n v="875000"/>
    <n v="151"/>
    <n v="9"/>
    <n v="8.5863013698630137"/>
    <n v="40221"/>
    <n v="834779"/>
    <x v="1"/>
    <n v="875000"/>
  </r>
  <r>
    <n v="49"/>
    <x v="21"/>
    <x v="6"/>
    <n v="81045901"/>
    <d v="2023-10-27T00:00:00"/>
    <d v="2023-11-01T00:00:00"/>
    <s v="Schwing Stetter (India) Pvt. Ltd."/>
    <d v="2023-11-01T00:00:00"/>
    <n v="1032500"/>
    <m/>
    <m/>
    <m/>
    <n v="157500"/>
    <n v="875000"/>
    <n v="151"/>
    <n v="9"/>
    <n v="8.5863013698630137"/>
    <n v="40221"/>
    <n v="834779"/>
    <x v="1"/>
    <n v="875000"/>
  </r>
  <r>
    <n v="50"/>
    <x v="22"/>
    <x v="6"/>
    <n v="2"/>
    <d v="2023-04-24T00:00:00"/>
    <d v="2023-04-24T00:00:00"/>
    <s v="Anuradha Body Building works"/>
    <d v="2023-04-24T00:00:00"/>
    <n v="731600"/>
    <m/>
    <m/>
    <m/>
    <n v="111600"/>
    <n v="620000"/>
    <n v="342"/>
    <n v="9"/>
    <n v="8.0630136986301366"/>
    <n v="64548"/>
    <n v="555452"/>
    <x v="10"/>
    <n v="0"/>
  </r>
  <r>
    <n v="51"/>
    <x v="23"/>
    <x v="6"/>
    <m/>
    <d v="2023-09-29T00:00:00"/>
    <d v="2023-09-29T00:00:00"/>
    <s v="Gainwell Commonsales Pvt. Ltd."/>
    <d v="2023-09-29T00:00:00"/>
    <n v="4100000"/>
    <m/>
    <m/>
    <m/>
    <n v="625424"/>
    <n v="3474576"/>
    <n v="184"/>
    <n v="9"/>
    <n v="8.4958904109589035"/>
    <n v="194619"/>
    <n v="3279957"/>
    <x v="11"/>
    <n v="0"/>
  </r>
  <r>
    <n v="52"/>
    <x v="23"/>
    <x v="6"/>
    <s v="SPS/2324/1197"/>
    <d v="2023-09-30T00:00:00"/>
    <d v="2023-09-30T00:00:00"/>
    <s v="Sri Power Systems"/>
    <d v="2023-09-30T00:00:00"/>
    <n v="1805400"/>
    <m/>
    <m/>
    <m/>
    <n v="275400"/>
    <n v="1530000"/>
    <n v="183"/>
    <n v="9"/>
    <n v="8.4986301369863018"/>
    <n v="85233"/>
    <n v="1444767"/>
    <x v="12"/>
    <n v="0"/>
  </r>
  <r>
    <n v="53"/>
    <x v="24"/>
    <x v="6"/>
    <m/>
    <d v="2023-08-10T00:00:00"/>
    <d v="2023-08-10T00:00:00"/>
    <s v="Cash"/>
    <d v="2023-08-10T00:00:00"/>
    <n v="0"/>
    <m/>
    <n v="19478"/>
    <m/>
    <m/>
    <n v="19478"/>
    <n v="234"/>
    <n v="8"/>
    <n v="7.3589041095890408"/>
    <n v="1561"/>
    <n v="17917"/>
    <x v="13"/>
    <n v="0"/>
  </r>
  <r>
    <n v="54"/>
    <x v="25"/>
    <x v="6"/>
    <s v="S0205"/>
    <d v="2023-04-28T00:00:00"/>
    <d v="2023-05-23T00:00:00"/>
    <s v="Madhura Engineering Services Pvt. Ltd."/>
    <d v="2023-05-23T00:00:00"/>
    <n v="1209500"/>
    <m/>
    <m/>
    <m/>
    <n v="184500"/>
    <n v="1025000"/>
    <n v="313"/>
    <n v="9"/>
    <n v="8.1424657534246574"/>
    <n v="97664"/>
    <n v="927336"/>
    <x v="14"/>
    <n v="0"/>
  </r>
  <r>
    <n v="55"/>
    <x v="26"/>
    <x v="6"/>
    <n v="0"/>
    <d v="2023-10-21T00:00:00"/>
    <d v="2023-11-01T00:00:00"/>
    <s v="Sri SCL Infratech Limited"/>
    <d v="2023-11-01T00:00:00"/>
    <n v="10000000"/>
    <m/>
    <m/>
    <m/>
    <n v="1525423.68"/>
    <n v="8474576.3200000003"/>
    <n v="151"/>
    <n v="3"/>
    <n v="2.5863013698630137"/>
    <n v="1168640"/>
    <n v="7305936.3200000003"/>
    <x v="1"/>
    <n v="8474576.3200000003"/>
  </r>
  <r>
    <n v="56"/>
    <x v="14"/>
    <x v="6"/>
    <n v="1512"/>
    <d v="2023-10-16T00:00:00"/>
    <d v="2023-10-20T00:00:00"/>
    <s v="Apt Engineering Company"/>
    <d v="2023-10-20T00:00:00"/>
    <n v="387630"/>
    <m/>
    <m/>
    <m/>
    <n v="59130"/>
    <n v="328500"/>
    <n v="163"/>
    <n v="3"/>
    <n v="2.5534246575342467"/>
    <n v="48900"/>
    <n v="279600"/>
    <x v="1"/>
    <n v="328500"/>
  </r>
  <r>
    <n v="57"/>
    <x v="27"/>
    <x v="6"/>
    <n v="1578"/>
    <d v="2023-10-26T00:00:00"/>
    <d v="2023-10-31T00:00:00"/>
    <s v="Apt Engineering Company"/>
    <d v="2023-10-31T00:00:00"/>
    <n v="58297"/>
    <m/>
    <m/>
    <m/>
    <n v="8893"/>
    <n v="49404"/>
    <n v="152"/>
    <n v="3"/>
    <n v="2.5835616438356164"/>
    <n v="6858"/>
    <n v="42546"/>
    <x v="1"/>
    <n v="49404"/>
  </r>
  <r>
    <n v="58"/>
    <x v="27"/>
    <x v="6"/>
    <n v="1816"/>
    <d v="2023-11-28T00:00:00"/>
    <d v="2023-12-02T00:00:00"/>
    <s v="Apt Engineering Company"/>
    <d v="2023-12-02T00:00:00"/>
    <n v="183718"/>
    <m/>
    <m/>
    <m/>
    <n v="27042"/>
    <n v="156676"/>
    <n v="120"/>
    <n v="3"/>
    <n v="2.6712328767123288"/>
    <n v="17170"/>
    <n v="139506"/>
    <x v="1"/>
    <n v="156676"/>
  </r>
  <r>
    <n v="59"/>
    <x v="27"/>
    <x v="6"/>
    <n v="1868"/>
    <d v="2023-12-06T00:00:00"/>
    <d v="2023-12-12T00:00:00"/>
    <s v="Apt Engineering Company"/>
    <d v="2023-12-12T00:00:00"/>
    <n v="107474"/>
    <m/>
    <m/>
    <m/>
    <n v="16394"/>
    <n v="91080"/>
    <n v="110"/>
    <n v="3"/>
    <n v="2.6986301369863015"/>
    <n v="9150"/>
    <n v="81930"/>
    <x v="1"/>
    <n v="91080"/>
  </r>
  <r>
    <n v="60"/>
    <x v="28"/>
    <x v="6"/>
    <n v="166"/>
    <d v="2023-09-27T00:00:00"/>
    <d v="2023-09-27T00:00:00"/>
    <s v="APT Survey Solutions Pvt. Ltd."/>
    <d v="2023-09-27T00:00:00"/>
    <n v="484838"/>
    <m/>
    <m/>
    <m/>
    <n v="73958"/>
    <n v="410880"/>
    <n v="186"/>
    <n v="3"/>
    <n v="2.4904109589041097"/>
    <n v="69793"/>
    <n v="341087"/>
    <x v="6"/>
    <n v="0"/>
  </r>
  <r>
    <n v="61"/>
    <x v="29"/>
    <x v="6"/>
    <s v="IGST-212/23-24"/>
    <d v="2023-08-05T00:00:00"/>
    <d v="2023-08-26T00:00:00"/>
    <s v="MARS Constromat"/>
    <d v="2023-08-26T00:00:00"/>
    <n v="5224344"/>
    <m/>
    <m/>
    <m/>
    <n v="796934"/>
    <n v="4427410"/>
    <n v="218"/>
    <n v="3"/>
    <n v="2.4027397260273973"/>
    <n v="881439"/>
    <n v="3545971"/>
    <x v="15"/>
    <n v="0"/>
  </r>
  <r>
    <n v="62"/>
    <x v="29"/>
    <x v="6"/>
    <s v="IGST-218/23-24"/>
    <d v="2024-01-04T00:00:00"/>
    <d v="2024-02-03T00:00:00"/>
    <s v="MARS Constromat"/>
    <d v="2024-02-03T00:00:00"/>
    <n v="4307000"/>
    <m/>
    <m/>
    <m/>
    <n v="657000"/>
    <n v="3650000"/>
    <n v="57"/>
    <n v="3"/>
    <n v="2.8438356164383563"/>
    <n v="190000"/>
    <n v="3460000"/>
    <x v="1"/>
    <n v="3650000"/>
  </r>
  <r>
    <n v="63"/>
    <x v="7"/>
    <x v="6"/>
    <s v="SSI/MS/598/2022-23"/>
    <d v="2023-08-02T00:00:00"/>
    <d v="2023-08-23T00:00:00"/>
    <s v="Sri Sai Infra Equipment Pvt. Ltd."/>
    <d v="2023-08-23T00:00:00"/>
    <n v="6142360"/>
    <n v="0"/>
    <m/>
    <n v="61360"/>
    <n v="936000"/>
    <n v="5145000"/>
    <n v="221"/>
    <n v="9"/>
    <n v="8.3945205479452056"/>
    <n v="346132"/>
    <n v="4798868"/>
    <x v="16"/>
    <n v="0"/>
  </r>
  <r>
    <n v="64"/>
    <x v="7"/>
    <x v="6"/>
    <s v="SSI/MS/599/2022-23"/>
    <d v="2023-08-02T00:00:00"/>
    <d v="2023-08-23T00:00:00"/>
    <s v="Sri Sai Infra Equipment Pvt. Ltd."/>
    <d v="2023-08-23T00:00:00"/>
    <n v="6142360"/>
    <n v="0"/>
    <m/>
    <n v="61360"/>
    <n v="936000"/>
    <n v="5145000"/>
    <n v="221"/>
    <n v="9"/>
    <n v="8.3945205479452056"/>
    <n v="346132"/>
    <n v="4798868"/>
    <x v="16"/>
    <n v="0"/>
  </r>
  <r>
    <n v="65"/>
    <x v="30"/>
    <x v="6"/>
    <n v="2616286"/>
    <d v="2024-03-17T00:00:00"/>
    <d v="2024-03-31T00:00:00"/>
    <s v="VIP Various ICE Products FZE"/>
    <d v="2024-03-31T00:00:00"/>
    <n v="20050176"/>
    <m/>
    <m/>
    <m/>
    <n v="11272025"/>
    <n v="8778151"/>
    <n v="0"/>
    <n v="9"/>
    <n v="9"/>
    <n v="0"/>
    <n v="8778151"/>
    <x v="1"/>
    <n v="8778151"/>
  </r>
  <r>
    <n v="66"/>
    <x v="31"/>
    <x v="7"/>
    <n v="53"/>
    <d v="2023-07-25T00:00:00"/>
    <d v="2023-07-25T00:00:00"/>
    <s v="Tirumala Engineering Works"/>
    <d v="2023-07-25T00:00:00"/>
    <n v="141600"/>
    <m/>
    <m/>
    <m/>
    <n v="21600"/>
    <n v="120000"/>
    <n v="250"/>
    <n v="3"/>
    <n v="2.3150684931506849"/>
    <n v="27397"/>
    <n v="92603"/>
    <x v="17"/>
    <n v="0"/>
  </r>
  <r>
    <n v="67"/>
    <x v="32"/>
    <x v="7"/>
    <m/>
    <d v="2023-08-17T00:00:00"/>
    <d v="2023-08-19T00:00:00"/>
    <s v="Sri Harsha Trucking Pvt. Ltd."/>
    <d v="2023-08-19T00:00:00"/>
    <n v="6820"/>
    <m/>
    <m/>
    <m/>
    <m/>
    <n v="6820"/>
    <n v="225"/>
    <n v="9"/>
    <n v="8.3835616438356162"/>
    <n v="467"/>
    <n v="6353"/>
    <x v="18"/>
    <n v="0"/>
  </r>
  <r>
    <n v="68"/>
    <x v="32"/>
    <x v="7"/>
    <m/>
    <d v="2023-08-17T00:00:00"/>
    <d v="2023-08-19T00:00:00"/>
    <s v="Sri Harsha Trucking Pvt. Ltd."/>
    <d v="2023-08-19T00:00:00"/>
    <n v="6820"/>
    <m/>
    <m/>
    <m/>
    <m/>
    <n v="6820"/>
    <n v="225"/>
    <n v="9"/>
    <n v="8.3835616438356162"/>
    <n v="467"/>
    <n v="6353"/>
    <x v="18"/>
    <n v="0"/>
  </r>
  <r>
    <n v="69"/>
    <x v="33"/>
    <x v="7"/>
    <s v="INV01010A2300271"/>
    <d v="2023-08-14T00:00:00"/>
    <d v="2023-08-23T00:00:00"/>
    <s v="Sri Harsha Trucking Pvt. Ltd."/>
    <d v="2023-08-23T00:00:00"/>
    <n v="4143431"/>
    <m/>
    <m/>
    <n v="41024"/>
    <n v="897402"/>
    <n v="3205005"/>
    <n v="221"/>
    <n v="9"/>
    <n v="8.3945205479452056"/>
    <n v="215618"/>
    <n v="2989387"/>
    <x v="19"/>
    <n v="0"/>
  </r>
  <r>
    <n v="70"/>
    <x v="33"/>
    <x v="7"/>
    <s v="INV01010A2300270"/>
    <d v="2023-08-14T00:00:00"/>
    <d v="2023-08-23T00:00:00"/>
    <s v="Sri Harsha Trucking Pvt. Ltd."/>
    <d v="2023-08-23T00:00:00"/>
    <n v="4143431"/>
    <m/>
    <m/>
    <n v="41024"/>
    <n v="897402"/>
    <n v="3205005"/>
    <n v="221"/>
    <n v="9"/>
    <n v="8.3945205479452056"/>
    <n v="215618"/>
    <n v="2989387"/>
    <x v="19"/>
    <n v="0"/>
  </r>
  <r>
    <n v="71"/>
    <x v="34"/>
    <x v="7"/>
    <n v="12"/>
    <d v="2023-08-28T00:00:00"/>
    <d v="2023-09-13T00:00:00"/>
    <s v="Sri Durga Bhavani Trailer Works"/>
    <d v="2023-09-13T00:00:00"/>
    <n v="695020"/>
    <m/>
    <m/>
    <m/>
    <n v="106020"/>
    <n v="589000"/>
    <n v="200"/>
    <n v="9"/>
    <n v="8.4520547945205475"/>
    <n v="35860"/>
    <n v="553140"/>
    <x v="20"/>
    <n v="0"/>
  </r>
  <r>
    <n v="72"/>
    <x v="34"/>
    <x v="7"/>
    <n v="10"/>
    <d v="2023-08-28T00:00:00"/>
    <d v="2023-09-13T00:00:00"/>
    <s v="Sri Durga Bhavani Trailer Works"/>
    <d v="2023-09-13T00:00:00"/>
    <n v="695020"/>
    <m/>
    <m/>
    <m/>
    <n v="106020"/>
    <n v="589000"/>
    <n v="200"/>
    <n v="9"/>
    <n v="8.4520547945205475"/>
    <n v="35860"/>
    <n v="553140"/>
    <x v="20"/>
    <n v="0"/>
  </r>
  <r>
    <n v="73"/>
    <x v="35"/>
    <x v="7"/>
    <n v="8"/>
    <d v="2022-07-04T00:00:00"/>
    <d v="2023-07-17T00:00:00"/>
    <s v="Sri Durga Bhavani Trailer Works"/>
    <d v="2023-07-17T00:00:00"/>
    <n v="695020"/>
    <m/>
    <m/>
    <m/>
    <n v="106020"/>
    <n v="589000"/>
    <n v="258"/>
    <n v="9"/>
    <n v="8.2931506849315078"/>
    <n v="46259"/>
    <n v="542741"/>
    <x v="20"/>
    <n v="0"/>
  </r>
  <r>
    <n v="74"/>
    <x v="35"/>
    <x v="7"/>
    <n v="18"/>
    <d v="2023-07-04T00:00:00"/>
    <d v="2023-07-17T00:00:00"/>
    <s v="Sri Durga Bhavani Trailer Works"/>
    <d v="2023-07-17T00:00:00"/>
    <n v="695020"/>
    <m/>
    <m/>
    <m/>
    <n v="106020"/>
    <n v="589000"/>
    <n v="258"/>
    <n v="9"/>
    <n v="8.2931506849315078"/>
    <n v="46259"/>
    <n v="542741"/>
    <x v="20"/>
    <n v="0"/>
  </r>
  <r>
    <n v="75"/>
    <x v="36"/>
    <x v="8"/>
    <s v="PUZZ/23-24/00014"/>
    <d v="2023-04-01T00:00:00"/>
    <d v="2023-04-01T00:00:00"/>
    <s v="Puzzolana Machinery Fabricators (Hyd) LLP"/>
    <d v="2023-04-01T00:00:00"/>
    <n v="1654999"/>
    <m/>
    <m/>
    <m/>
    <n v="252458"/>
    <n v="1402541"/>
    <n v="365"/>
    <n v="9"/>
    <n v="8"/>
    <n v="155838"/>
    <n v="1246703"/>
    <x v="21"/>
    <n v="0"/>
  </r>
  <r>
    <n v="76"/>
    <x v="36"/>
    <x v="8"/>
    <s v="PUZZ/23-24/00013"/>
    <d v="2023-04-01T00:00:00"/>
    <d v="2023-04-01T00:00:00"/>
    <s v="Puzzolana Machinery Fabricators (Hyd) LLP"/>
    <d v="2023-04-01T00:00:00"/>
    <n v="1298000"/>
    <m/>
    <m/>
    <m/>
    <n v="198000"/>
    <n v="1100000"/>
    <n v="365"/>
    <n v="9"/>
    <n v="8"/>
    <n v="122222"/>
    <n v="977778"/>
    <x v="22"/>
    <n v="0"/>
  </r>
  <r>
    <n v="77"/>
    <x v="36"/>
    <x v="8"/>
    <s v="PUZZ/23-24/00012"/>
    <d v="2023-04-01T00:00:00"/>
    <d v="2023-04-01T00:00:00"/>
    <s v="Puzzolana Machinery Fabricators (Hyd) LLP"/>
    <d v="2023-04-01T00:00:00"/>
    <n v="4248000"/>
    <m/>
    <m/>
    <m/>
    <n v="648000"/>
    <n v="3600000"/>
    <n v="365"/>
    <n v="9"/>
    <n v="8"/>
    <n v="400000"/>
    <n v="3200000"/>
    <x v="23"/>
    <n v="0"/>
  </r>
  <r>
    <n v="78"/>
    <x v="37"/>
    <x v="9"/>
    <n v="816273793"/>
    <d v="2023-06-08T00:00:00"/>
    <d v="2023-07-17T00:00:00"/>
    <s v="Ashok Leyland Limited"/>
    <d v="2023-07-17T00:00:00"/>
    <n v="800000"/>
    <m/>
    <m/>
    <m/>
    <n v="85714.32"/>
    <n v="714285.67999999993"/>
    <n v="258"/>
    <n v="3"/>
    <n v="2.2931506849315069"/>
    <n v="168297"/>
    <n v="545988.67999999993"/>
    <x v="24"/>
    <n v="0"/>
  </r>
  <r>
    <n v="79"/>
    <x v="38"/>
    <x v="9"/>
    <s v="AP237/APR2023/000682"/>
    <d v="2023-04-11T00:00:00"/>
    <d v="2023-04-11T00:00:00"/>
    <s v="Govt. of Andhra Pradesh"/>
    <d v="2023-04-11T00:00:00"/>
    <n v="537355"/>
    <m/>
    <n v="0"/>
    <m/>
    <m/>
    <n v="537355"/>
    <n v="355"/>
    <n v="9"/>
    <n v="8.0273972602739718"/>
    <n v="58070"/>
    <n v="479285"/>
    <x v="25"/>
    <n v="0"/>
  </r>
  <r>
    <n v="80"/>
    <x v="38"/>
    <x v="9"/>
    <s v="AP237/APR2023/000696"/>
    <d v="2023-04-11T00:00:00"/>
    <d v="2023-04-11T00:00:00"/>
    <s v="Govt. of Andhra Pradesh"/>
    <d v="2023-04-11T00:00:00"/>
    <n v="537355"/>
    <m/>
    <n v="0"/>
    <m/>
    <m/>
    <n v="537355"/>
    <n v="355"/>
    <n v="9"/>
    <n v="8.0273972602739718"/>
    <n v="58070"/>
    <n v="479285"/>
    <x v="25"/>
    <n v="0"/>
  </r>
  <r>
    <n v="81"/>
    <x v="33"/>
    <x v="9"/>
    <n v="11"/>
    <d v="2023-04-11T00:00:00"/>
    <d v="2023-04-23T00:00:00"/>
    <s v="VE Commercial Vehicles Limited"/>
    <d v="2023-04-23T00:00:00"/>
    <n v="0"/>
    <n v="0"/>
    <m/>
    <n v="0"/>
    <n v="0"/>
    <n v="0"/>
    <n v="355"/>
    <n v="0"/>
    <n v="0"/>
    <n v="0"/>
    <n v="0"/>
    <x v="1"/>
    <n v="0"/>
  </r>
  <r>
    <n v="82"/>
    <x v="33"/>
    <x v="9"/>
    <n v="23"/>
    <d v="2023-04-11T00:00:00"/>
    <d v="2023-04-23T00:00:00"/>
    <s v="VE Commercial Vehicles Limited"/>
    <d v="2023-04-23T00:00:00"/>
    <n v="0"/>
    <n v="0"/>
    <m/>
    <n v="0"/>
    <n v="0"/>
    <n v="0"/>
    <n v="355"/>
    <n v="0"/>
    <n v="0"/>
    <n v="0"/>
    <n v="0"/>
    <x v="1"/>
    <n v="0"/>
  </r>
  <r>
    <n v="83"/>
    <x v="39"/>
    <x v="9"/>
    <s v="AEPL/VIJ3/23-24"/>
    <d v="2023-05-02T00:00:00"/>
    <d v="2023-05-31T00:00:00"/>
    <s v="Avenisis Engineering Pvt. Ltd."/>
    <d v="2023-05-31T00:00:00"/>
    <n v="1295255"/>
    <n v="0"/>
    <n v="102485"/>
    <m/>
    <n v="198000"/>
    <n v="1199740"/>
    <n v="305"/>
    <n v="9"/>
    <n v="8.1643835616438363"/>
    <n v="111391"/>
    <n v="1088349"/>
    <x v="26"/>
    <n v="0"/>
  </r>
  <r>
    <n v="84"/>
    <x v="39"/>
    <x v="9"/>
    <s v="AEPL/VIJ1/23-24"/>
    <d v="2023-05-02T00:00:00"/>
    <d v="2023-05-31T00:00:00"/>
    <s v="Avenisis Engineering Pvt. Ltd."/>
    <d v="2023-05-31T00:00:00"/>
    <n v="1295255"/>
    <n v="0"/>
    <n v="102485"/>
    <m/>
    <n v="198000"/>
    <n v="1199740"/>
    <n v="305"/>
    <n v="9"/>
    <n v="8.1643835616438363"/>
    <n v="111391"/>
    <n v="1088349"/>
    <x v="26"/>
    <n v="0"/>
  </r>
  <r>
    <n v="85"/>
    <x v="39"/>
    <x v="9"/>
    <s v="AEPL/VIJ2/23-24"/>
    <d v="2023-05-02T00:00:00"/>
    <d v="2023-05-31T00:00:00"/>
    <s v="Avenisis Engineering Pvt. Ltd."/>
    <d v="2023-05-31T00:00:00"/>
    <n v="1295255"/>
    <n v="0"/>
    <n v="102485"/>
    <m/>
    <n v="198000"/>
    <n v="1199740"/>
    <n v="305"/>
    <n v="9"/>
    <n v="8.1643835616438363"/>
    <n v="111391"/>
    <n v="1088349"/>
    <x v="26"/>
    <n v="0"/>
  </r>
  <r>
    <n v="86"/>
    <x v="39"/>
    <x v="9"/>
    <s v="AEPL/431/23-24"/>
    <d v="2023-12-07T00:00:00"/>
    <d v="2023-12-29T00:00:00"/>
    <s v="Avensis Engineering Pvt. Ltd."/>
    <d v="2023-12-29T00:00:00"/>
    <n v="649000"/>
    <m/>
    <m/>
    <m/>
    <n v="99000"/>
    <n v="550000"/>
    <n v="93"/>
    <n v="9"/>
    <n v="8.7452054794520553"/>
    <n v="15571"/>
    <n v="534429"/>
    <x v="1"/>
    <n v="550000"/>
  </r>
  <r>
    <n v="87"/>
    <x v="39"/>
    <x v="9"/>
    <s v="AEPL/430/23-24"/>
    <d v="2023-12-07T00:00:00"/>
    <d v="2023-12-29T00:00:00"/>
    <s v="Avensis Engineering Pvt. Ltd."/>
    <d v="2023-12-29T00:00:00"/>
    <n v="649000"/>
    <m/>
    <m/>
    <m/>
    <n v="99000"/>
    <n v="550000"/>
    <n v="93"/>
    <n v="9"/>
    <n v="8.7452054794520553"/>
    <n v="15571"/>
    <n v="534429"/>
    <x v="1"/>
    <n v="550000"/>
  </r>
  <r>
    <n v="88"/>
    <x v="12"/>
    <x v="9"/>
    <s v="DAF-23-24-0367"/>
    <d v="2023-12-14T00:00:00"/>
    <d v="2023-12-16T00:00:00"/>
    <s v="D.E.C Industries Pvt. Ltd."/>
    <d v="2023-12-16T00:00:00"/>
    <n v="898275"/>
    <m/>
    <m/>
    <m/>
    <n v="137025"/>
    <n v="761250"/>
    <n v="106"/>
    <n v="3"/>
    <n v="2.7095890410958905"/>
    <n v="73692"/>
    <n v="687558"/>
    <x v="1"/>
    <n v="761250"/>
  </r>
  <r>
    <n v="89"/>
    <x v="12"/>
    <x v="9"/>
    <n v="25304"/>
    <d v="2024-02-01T00:00:00"/>
    <d v="2024-02-05T00:00:00"/>
    <s v="Somani Ispat Pvt. Ltd."/>
    <d v="2024-02-05T00:00:00"/>
    <n v="2004418"/>
    <m/>
    <m/>
    <m/>
    <n v="305758.62"/>
    <n v="1698659.38"/>
    <n v="55"/>
    <n v="3"/>
    <n v="2.8493150684931505"/>
    <n v="85321"/>
    <n v="1613338.38"/>
    <x v="1"/>
    <n v="1698659.38"/>
  </r>
  <r>
    <n v="90"/>
    <x v="13"/>
    <x v="9"/>
    <s v="2022-23/DRL/127"/>
    <d v="2023-04-01T00:00:00"/>
    <d v="2023-04-02T00:00:00"/>
    <s v="DRL Engineering and Fabrication Works"/>
    <d v="2023-04-02T00:00:00"/>
    <n v="248325"/>
    <m/>
    <m/>
    <m/>
    <n v="37880"/>
    <n v="210445"/>
    <n v="364"/>
    <n v="3"/>
    <n v="2.0027397260273974"/>
    <n v="69956"/>
    <n v="140489"/>
    <x v="27"/>
    <n v="0"/>
  </r>
  <r>
    <n v="91"/>
    <x v="13"/>
    <x v="9"/>
    <s v="2022-23/DRL/128"/>
    <d v="2023-04-05T00:00:00"/>
    <d v="2023-04-24T00:00:00"/>
    <s v="DRL Engineering and Fabrication Works"/>
    <d v="2023-04-24T00:00:00"/>
    <n v="423431"/>
    <m/>
    <m/>
    <m/>
    <n v="64591"/>
    <n v="358840"/>
    <n v="342"/>
    <n v="3"/>
    <n v="2.0630136986301371"/>
    <n v="112076"/>
    <n v="246764"/>
    <x v="28"/>
    <n v="0"/>
  </r>
  <r>
    <n v="92"/>
    <x v="13"/>
    <x v="9"/>
    <s v="2023-24/DRL/010"/>
    <d v="2023-04-27T00:00:00"/>
    <d v="2023-04-30T00:00:00"/>
    <s v="DRL Engineering and Fabrication Works"/>
    <d v="2023-04-30T00:00:00"/>
    <n v="1032662"/>
    <m/>
    <m/>
    <m/>
    <n v="157525"/>
    <n v="875137"/>
    <n v="336"/>
    <n v="3"/>
    <n v="2.0794520547945208"/>
    <n v="268535"/>
    <n v="606602"/>
    <x v="29"/>
    <n v="0"/>
  </r>
  <r>
    <n v="93"/>
    <x v="13"/>
    <x v="9"/>
    <s v="2023-24/DRL/015"/>
    <d v="2023-05-07T00:00:00"/>
    <d v="2023-05-09T00:00:00"/>
    <s v="DRL Engineering and Fabrication Works"/>
    <d v="2023-05-09T00:00:00"/>
    <n v="88500"/>
    <m/>
    <m/>
    <m/>
    <n v="13500"/>
    <n v="75000"/>
    <n v="327"/>
    <n v="3"/>
    <n v="2.1041095890410961"/>
    <n v="22397"/>
    <n v="52603"/>
    <x v="30"/>
    <n v="0"/>
  </r>
  <r>
    <n v="94"/>
    <x v="13"/>
    <x v="9"/>
    <s v="2023-24/DRL/021"/>
    <d v="2023-05-17T00:00:00"/>
    <d v="2023-05-21T00:00:00"/>
    <s v="DRL Engineering and Fabrication Works"/>
    <d v="2023-05-21T00:00:00"/>
    <n v="597917"/>
    <m/>
    <m/>
    <m/>
    <n v="91207.62"/>
    <n v="506709.38"/>
    <n v="315"/>
    <n v="3"/>
    <n v="2.1369863013698631"/>
    <n v="145766"/>
    <n v="360943.38"/>
    <x v="31"/>
    <n v="0"/>
  </r>
  <r>
    <n v="95"/>
    <x v="13"/>
    <x v="9"/>
    <s v="2023-24/DRL/023"/>
    <d v="2023-05-18T00:00:00"/>
    <d v="2023-05-21T00:00:00"/>
    <s v="DRL Engineering and Fabrication Works"/>
    <d v="2023-05-21T00:00:00"/>
    <n v="703209"/>
    <m/>
    <m/>
    <m/>
    <n v="107269.2"/>
    <n v="595939.80000000005"/>
    <n v="315"/>
    <n v="3"/>
    <n v="2.1369863013698631"/>
    <n v="171435"/>
    <n v="424504.80000000005"/>
    <x v="32"/>
    <n v="0"/>
  </r>
  <r>
    <n v="96"/>
    <x v="13"/>
    <x v="9"/>
    <s v="2023-24/DRL/026"/>
    <d v="2023-05-25T00:00:00"/>
    <d v="2023-05-27T00:00:00"/>
    <s v="DRL Engineering and Fabrication Works"/>
    <d v="2023-05-27T00:00:00"/>
    <n v="476249"/>
    <m/>
    <m/>
    <m/>
    <n v="72648.09"/>
    <n v="403600.91000000003"/>
    <n v="309"/>
    <n v="3"/>
    <n v="2.1534246575342468"/>
    <n v="113893"/>
    <n v="289707.91000000003"/>
    <x v="33"/>
    <n v="0"/>
  </r>
  <r>
    <n v="97"/>
    <x v="13"/>
    <x v="9"/>
    <s v="2023-24/DRL/028"/>
    <d v="2023-05-29T00:00:00"/>
    <d v="2023-05-30T00:00:00"/>
    <s v="DRL Engineering and Fabrication Works"/>
    <d v="2023-05-30T00:00:00"/>
    <n v="551541"/>
    <m/>
    <m/>
    <m/>
    <n v="84133"/>
    <n v="467408"/>
    <n v="306"/>
    <n v="3"/>
    <n v="2.1616438356164385"/>
    <n v="130618"/>
    <n v="336790"/>
    <x v="34"/>
    <n v="0"/>
  </r>
  <r>
    <n v="98"/>
    <x v="13"/>
    <x v="9"/>
    <s v="2023-24/DRL/029"/>
    <d v="2023-06-02T00:00:00"/>
    <d v="2023-06-04T00:00:00"/>
    <s v="DRL Engineering and Fabrication Works"/>
    <d v="2023-06-04T00:00:00"/>
    <n v="505231"/>
    <m/>
    <m/>
    <m/>
    <n v="77069"/>
    <n v="428162"/>
    <n v="301"/>
    <n v="3"/>
    <n v="2.1753424657534248"/>
    <n v="117696"/>
    <n v="310466"/>
    <x v="35"/>
    <n v="0"/>
  </r>
  <r>
    <n v="99"/>
    <x v="13"/>
    <x v="9"/>
    <s v="2023-24/DRL/030"/>
    <d v="2023-06-04T00:00:00"/>
    <d v="2023-06-04T00:00:00"/>
    <s v="DRL Engineering and Fabrication Works"/>
    <d v="2023-06-04T00:00:00"/>
    <n v="451768"/>
    <m/>
    <m/>
    <m/>
    <n v="68914"/>
    <n v="382854"/>
    <n v="301"/>
    <n v="3"/>
    <n v="2.1753424657534248"/>
    <n v="105241"/>
    <n v="277613"/>
    <x v="36"/>
    <n v="0"/>
  </r>
  <r>
    <n v="100"/>
    <x v="13"/>
    <x v="9"/>
    <s v="2023-24/DRL/037"/>
    <d v="2023-06-18T00:00:00"/>
    <d v="2023-07-01T00:00:00"/>
    <s v="DRL Engineering and Fabrication Works"/>
    <d v="2023-07-01T00:00:00"/>
    <n v="1219925"/>
    <m/>
    <m/>
    <m/>
    <n v="186090"/>
    <n v="1033835"/>
    <n v="274"/>
    <n v="3"/>
    <n v="2.2493150684931509"/>
    <n v="258695"/>
    <n v="775140"/>
    <x v="37"/>
    <n v="0"/>
  </r>
  <r>
    <n v="101"/>
    <x v="13"/>
    <x v="9"/>
    <s v="2023-24/DRL/039"/>
    <d v="2023-06-22T00:00:00"/>
    <d v="2023-07-01T00:00:00"/>
    <s v="DRL Engineering and Fabrication Works"/>
    <d v="2023-07-01T00:00:00"/>
    <n v="265959"/>
    <m/>
    <m/>
    <m/>
    <n v="40570.019999999997"/>
    <n v="225388.98"/>
    <n v="274"/>
    <n v="3"/>
    <n v="2.2493150684931509"/>
    <n v="56399"/>
    <n v="168989.98"/>
    <x v="38"/>
    <n v="0"/>
  </r>
  <r>
    <n v="102"/>
    <x v="13"/>
    <x v="9"/>
    <s v="2023-24/DRL/045"/>
    <d v="2023-07-06T00:00:00"/>
    <d v="2023-07-07T00:00:00"/>
    <s v="DRL Engineering and Fabrication Works"/>
    <d v="2023-07-07T00:00:00"/>
    <n v="1385162"/>
    <m/>
    <m/>
    <m/>
    <n v="211296"/>
    <n v="1173866"/>
    <n v="268"/>
    <n v="3"/>
    <n v="2.2657534246575342"/>
    <n v="287302"/>
    <n v="886564"/>
    <x v="39"/>
    <n v="0"/>
  </r>
  <r>
    <n v="103"/>
    <x v="13"/>
    <x v="9"/>
    <s v="2023-24/DRL/046"/>
    <d v="2023-07-08T00:00:00"/>
    <d v="2023-07-09T00:00:00"/>
    <s v="DRL Engineering and Fabrication Works"/>
    <d v="2023-07-09T00:00:00"/>
    <n v="213582"/>
    <m/>
    <m/>
    <m/>
    <n v="32580"/>
    <n v="181002"/>
    <n v="266"/>
    <n v="3"/>
    <n v="2.2712328767123289"/>
    <n v="43969"/>
    <n v="137033"/>
    <x v="40"/>
    <n v="0"/>
  </r>
  <r>
    <n v="104"/>
    <x v="40"/>
    <x v="9"/>
    <s v="AP237/APR2023/000688"/>
    <d v="2023-04-11T00:00:00"/>
    <d v="2023-04-11T00:00:00"/>
    <s v="Govt. of Andhra Pradesh"/>
    <d v="2023-04-11T00:00:00"/>
    <n v="241485"/>
    <m/>
    <n v="0"/>
    <m/>
    <m/>
    <n v="241485"/>
    <n v="355"/>
    <n v="9"/>
    <n v="8.0273972602739718"/>
    <n v="26097"/>
    <n v="215388"/>
    <x v="41"/>
    <n v="0"/>
  </r>
  <r>
    <n v="105"/>
    <x v="40"/>
    <x v="9"/>
    <s v="AP237/APR2023/000699"/>
    <d v="2023-04-11T00:00:00"/>
    <d v="2023-04-11T00:00:00"/>
    <s v="Govt. of Andhra Pradesh"/>
    <d v="2023-04-11T00:00:00"/>
    <n v="241485"/>
    <m/>
    <n v="0"/>
    <m/>
    <m/>
    <n v="241485"/>
    <n v="355"/>
    <n v="9"/>
    <n v="8.0273972602739718"/>
    <n v="26097"/>
    <n v="215388"/>
    <x v="41"/>
    <n v="0"/>
  </r>
  <r>
    <n v="106"/>
    <x v="41"/>
    <x v="9"/>
    <s v="AEPL/VIJ12/23-24"/>
    <d v="2023-09-23T00:00:00"/>
    <d v="2023-09-26T00:00:00"/>
    <s v="Avensis Engineering Pvt. Ltd."/>
    <d v="2023-09-26T00:00:00"/>
    <n v="1310980"/>
    <m/>
    <n v="98850"/>
    <n v="12980"/>
    <n v="198000"/>
    <n v="1198850"/>
    <n v="187"/>
    <n v="9"/>
    <n v="8.4876712328767123"/>
    <n v="68245"/>
    <n v="1130605"/>
    <x v="42"/>
    <n v="0"/>
  </r>
  <r>
    <n v="107"/>
    <x v="41"/>
    <x v="9"/>
    <s v="AEPL/VIJ13/23-24"/>
    <d v="2023-09-23T00:00:00"/>
    <d v="2023-09-26T00:00:00"/>
    <s v="Avensis Engineering Pvt. Ltd."/>
    <d v="2023-09-26T00:00:00"/>
    <n v="1310980"/>
    <m/>
    <n v="98850"/>
    <n v="12980"/>
    <n v="198000"/>
    <n v="1198850"/>
    <n v="187"/>
    <n v="9"/>
    <n v="8.4876712328767123"/>
    <n v="68245"/>
    <n v="1130605"/>
    <x v="42"/>
    <n v="0"/>
  </r>
  <r>
    <n v="108"/>
    <x v="27"/>
    <x v="9"/>
    <n v="1722"/>
    <d v="2023-11-15T00:00:00"/>
    <d v="2023-11-27T00:00:00"/>
    <s v="APT Engineering Company"/>
    <d v="2023-11-27T00:00:00"/>
    <n v="64829"/>
    <m/>
    <m/>
    <m/>
    <n v="9889"/>
    <n v="54940"/>
    <n v="125"/>
    <n v="3"/>
    <n v="2.6575342465753424"/>
    <n v="6272"/>
    <n v="48668"/>
    <x v="1"/>
    <n v="54940"/>
  </r>
  <r>
    <n v="109"/>
    <x v="33"/>
    <x v="9"/>
    <s v="MVI642230000027"/>
    <d v="2023-04-24T00:00:00"/>
    <d v="2023-04-24T00:00:00"/>
    <s v="Automotive Manufactures Pvt. Ltd."/>
    <d v="2023-04-24T00:00:00"/>
    <n v="4423750"/>
    <n v="0"/>
    <n v="0"/>
    <n v="45347"/>
    <n v="991956"/>
    <n v="3386447"/>
    <n v="342"/>
    <n v="9"/>
    <n v="8.0630136986301366"/>
    <n v="352562"/>
    <n v="3033885"/>
    <x v="43"/>
    <n v="0"/>
  </r>
  <r>
    <n v="110"/>
    <x v="33"/>
    <x v="9"/>
    <s v="MVI642230000028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1"/>
    <x v="33"/>
    <x v="9"/>
    <s v="MVI642230000023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2"/>
    <x v="33"/>
    <x v="9"/>
    <s v="MVI642230000024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3"/>
    <x v="33"/>
    <x v="9"/>
    <s v="MVI642230000029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4"/>
    <x v="33"/>
    <x v="9"/>
    <s v="MVI642230000025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5"/>
    <x v="33"/>
    <x v="9"/>
    <s v="MVI642230000022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6"/>
    <x v="33"/>
    <x v="9"/>
    <s v="MVI642230000026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7"/>
    <x v="33"/>
    <x v="9"/>
    <s v="MVI642230000030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8"/>
    <x v="33"/>
    <x v="9"/>
    <s v="MVI642230000021"/>
    <d v="2023-04-24T00:00:00"/>
    <d v="2023-04-24T00:00:00"/>
    <s v="Automotive Manufactures Pvt. Ltd."/>
    <d v="2023-04-24T00:00:00"/>
    <n v="4423750"/>
    <n v="0"/>
    <m/>
    <n v="45347"/>
    <n v="991956"/>
    <n v="3386447"/>
    <n v="342"/>
    <n v="9"/>
    <n v="8.0630136986301366"/>
    <n v="352562"/>
    <n v="3033885"/>
    <x v="43"/>
    <n v="0"/>
  </r>
  <r>
    <n v="119"/>
    <x v="33"/>
    <x v="9"/>
    <s v="MVI642230000042"/>
    <d v="2023-05-04T00:00:00"/>
    <d v="2023-05-24T00:00:00"/>
    <s v="Automotive Manufactures Pvt. Ltd."/>
    <d v="2023-05-24T00:00:00"/>
    <n v="4423750"/>
    <n v="0"/>
    <m/>
    <n v="45347"/>
    <n v="991956"/>
    <n v="3386447"/>
    <n v="312"/>
    <n v="9"/>
    <n v="8.1452054794520556"/>
    <n v="321635"/>
    <n v="3064812"/>
    <x v="43"/>
    <n v="0"/>
  </r>
  <r>
    <n v="120"/>
    <x v="33"/>
    <x v="9"/>
    <s v="MVI642230000043"/>
    <d v="2023-05-04T00:00:00"/>
    <d v="2023-05-24T00:00:00"/>
    <s v="Automotive Manufactures Pvt. Ltd."/>
    <d v="2023-05-24T00:00:00"/>
    <n v="4423750"/>
    <n v="0"/>
    <m/>
    <n v="45347"/>
    <n v="991956"/>
    <n v="3386447"/>
    <n v="312"/>
    <n v="9"/>
    <n v="8.1452054794520556"/>
    <n v="321635"/>
    <n v="3064812"/>
    <x v="43"/>
    <n v="0"/>
  </r>
  <r>
    <n v="121"/>
    <x v="33"/>
    <x v="9"/>
    <s v="MVI1642230000470"/>
    <d v="2023-10-04T00:00:00"/>
    <d v="2023-10-10T00:00:00"/>
    <s v="Automotive Manufactures Pvt. Ltd."/>
    <d v="2023-10-10T00:00:00"/>
    <n v="4493750"/>
    <n v="0"/>
    <n v="0"/>
    <n v="46040"/>
    <n v="1007116.32"/>
    <n v="3440593.68"/>
    <n v="173"/>
    <n v="3"/>
    <n v="2.526027397260274"/>
    <n v="543582"/>
    <n v="2897011.68"/>
    <x v="1"/>
    <n v="3440593.68"/>
  </r>
  <r>
    <n v="122"/>
    <x v="33"/>
    <x v="9"/>
    <s v="MVI1642230000467"/>
    <d v="2023-10-04T00:00:00"/>
    <d v="2023-10-10T00:00:00"/>
    <s v="Automotive Manufactures Pvt. Ltd."/>
    <d v="2023-10-10T00:00:00"/>
    <n v="4493750"/>
    <n v="0"/>
    <m/>
    <n v="46040"/>
    <n v="1007116.32"/>
    <n v="3440593.68"/>
    <n v="173"/>
    <n v="9"/>
    <n v="8.5260273972602736"/>
    <n v="181194"/>
    <n v="3259399.68"/>
    <x v="1"/>
    <n v="3440593.68"/>
  </r>
  <r>
    <n v="123"/>
    <x v="33"/>
    <x v="9"/>
    <s v="MVI1642230000466"/>
    <d v="2023-10-04T00:00:00"/>
    <d v="2023-10-10T00:00:00"/>
    <s v="Automotive Manufactures Pvt. Ltd."/>
    <d v="2023-10-10T00:00:00"/>
    <n v="4493750"/>
    <n v="0"/>
    <m/>
    <n v="46040"/>
    <n v="1007116.32"/>
    <n v="3440593.68"/>
    <n v="173"/>
    <n v="9"/>
    <n v="8.5260273972602736"/>
    <n v="181194"/>
    <n v="3259399.68"/>
    <x v="1"/>
    <n v="3440593.68"/>
  </r>
  <r>
    <n v="124"/>
    <x v="33"/>
    <x v="9"/>
    <s v="MVI1642230000464"/>
    <d v="2023-10-04T00:00:00"/>
    <d v="2023-10-10T00:00:00"/>
    <s v="Automotive Manufactures Pvt. Ltd."/>
    <d v="2023-10-10T00:00:00"/>
    <n v="4493750"/>
    <n v="0"/>
    <m/>
    <n v="46040"/>
    <n v="1007116.32"/>
    <n v="3440593.68"/>
    <n v="173"/>
    <n v="9"/>
    <n v="8.5260273972602736"/>
    <n v="181194"/>
    <n v="3259399.68"/>
    <x v="1"/>
    <n v="3440593.68"/>
  </r>
  <r>
    <n v="125"/>
    <x v="33"/>
    <x v="9"/>
    <s v="MVI1642230000463"/>
    <d v="2023-10-04T00:00:00"/>
    <d v="2023-10-10T00:00:00"/>
    <s v="Automotive Manufactures Pvt. Ltd."/>
    <d v="2023-10-10T00:00:00"/>
    <n v="4493750"/>
    <n v="0"/>
    <m/>
    <n v="46040"/>
    <n v="1007116.32"/>
    <n v="3440593.68"/>
    <n v="173"/>
    <n v="9"/>
    <n v="8.5260273972602736"/>
    <n v="181194"/>
    <n v="3259399.68"/>
    <x v="1"/>
    <n v="3440593.68"/>
  </r>
  <r>
    <n v="126"/>
    <x v="33"/>
    <x v="9"/>
    <s v="MVI1642230000462"/>
    <d v="2023-10-04T00:00:00"/>
    <d v="2023-10-10T00:00:00"/>
    <s v="Automotive Manufactures Pvt. Ltd."/>
    <d v="2023-10-10T00:00:00"/>
    <n v="4493750"/>
    <n v="0"/>
    <m/>
    <n v="46040"/>
    <n v="1007116.32"/>
    <n v="3440593.68"/>
    <n v="173"/>
    <n v="9"/>
    <n v="8.5260273972602736"/>
    <n v="181194"/>
    <n v="3259399.68"/>
    <x v="1"/>
    <n v="3440593.68"/>
  </r>
  <r>
    <n v="127"/>
    <x v="33"/>
    <x v="9"/>
    <s v="MVI1642230000465"/>
    <d v="2023-10-04T00:00:00"/>
    <d v="2023-10-10T00:00:00"/>
    <s v="Automotive Manufactures Pvt. Ltd."/>
    <d v="2023-10-10T00:00:00"/>
    <n v="4493750"/>
    <n v="0"/>
    <m/>
    <n v="46040"/>
    <n v="1007116.32"/>
    <n v="3440593.68"/>
    <n v="173"/>
    <n v="9"/>
    <n v="8.5260273972602736"/>
    <n v="181194"/>
    <n v="3259399.68"/>
    <x v="1"/>
    <n v="3440593.68"/>
  </r>
  <r>
    <n v="128"/>
    <x v="33"/>
    <x v="9"/>
    <s v="MVI1642230000468"/>
    <d v="2023-10-04T00:00:00"/>
    <d v="2023-10-10T00:00:00"/>
    <s v="Automotive Manufactures Pvt. Ltd."/>
    <d v="2023-10-10T00:00:00"/>
    <n v="4493750"/>
    <n v="0"/>
    <m/>
    <n v="46040"/>
    <n v="1007116.32"/>
    <n v="3440593.68"/>
    <n v="173"/>
    <n v="3"/>
    <n v="2.526027397260274"/>
    <n v="543582"/>
    <n v="2897011.68"/>
    <x v="1"/>
    <n v="3440593.68"/>
  </r>
  <r>
    <n v="129"/>
    <x v="33"/>
    <x v="9"/>
    <s v="MVI1642230000469"/>
    <d v="2023-10-04T00:00:00"/>
    <d v="2023-10-10T00:00:00"/>
    <s v="Automotive Manufactures Pvt. Ltd."/>
    <d v="2023-10-10T00:00:00"/>
    <n v="4493750"/>
    <n v="0"/>
    <m/>
    <n v="46040"/>
    <n v="1007116.32"/>
    <n v="3440593.68"/>
    <n v="173"/>
    <n v="9"/>
    <n v="8.5260273972602736"/>
    <n v="181194"/>
    <n v="3259399.68"/>
    <x v="1"/>
    <n v="3440593.68"/>
  </r>
  <r>
    <n v="130"/>
    <x v="33"/>
    <x v="9"/>
    <s v="MVI1642230000512"/>
    <d v="2023-10-11T00:00:00"/>
    <d v="2023-10-26T00:00:00"/>
    <s v="Automotive Manufactures Pvt. Ltd."/>
    <d v="2023-10-26T00:00:00"/>
    <n v="4493750"/>
    <n v="0"/>
    <m/>
    <n v="46040"/>
    <n v="1007116.32"/>
    <n v="3440593.68"/>
    <n v="157"/>
    <n v="9"/>
    <n v="8.5698630136986296"/>
    <n v="164436"/>
    <n v="3276157.68"/>
    <x v="1"/>
    <n v="3440593.68"/>
  </r>
  <r>
    <n v="131"/>
    <x v="42"/>
    <x v="9"/>
    <s v="NAA/23-24/360"/>
    <d v="2023-11-02T00:00:00"/>
    <d v="2023-11-14T00:00:00"/>
    <s v="Nasik Auto Ancillaries"/>
    <d v="2023-11-14T00:00:00"/>
    <n v="5839820"/>
    <n v="0"/>
    <m/>
    <n v="57820"/>
    <n v="882000"/>
    <n v="4900000"/>
    <n v="138"/>
    <n v="9"/>
    <n v="8.6219178082191785"/>
    <n v="205845"/>
    <n v="4694155"/>
    <x v="1"/>
    <n v="4900000"/>
  </r>
  <r>
    <n v="132"/>
    <x v="7"/>
    <x v="9"/>
    <s v="222900107/R"/>
    <d v="2023-04-17T00:00:00"/>
    <d v="2023-05-18T00:00:00"/>
    <s v="MGB Motors and Auto Agencies Pvt. Ltd."/>
    <d v="2023-05-18T00:00:00"/>
    <n v="5060422"/>
    <m/>
    <n v="379540"/>
    <n v="50103"/>
    <n v="764286"/>
    <n v="4625573"/>
    <n v="318"/>
    <n v="9"/>
    <n v="8.1287671232876715"/>
    <n v="447772"/>
    <n v="4177801"/>
    <x v="44"/>
    <n v="0"/>
  </r>
  <r>
    <n v="133"/>
    <x v="7"/>
    <x v="9"/>
    <s v="222900106/R"/>
    <d v="2023-04-17T00:00:00"/>
    <d v="2023-05-18T00:00:00"/>
    <s v="MGB Motors and Auto Agencies Pvt. Ltd."/>
    <d v="2023-05-18T00:00:00"/>
    <n v="5060422"/>
    <m/>
    <n v="379540"/>
    <n v="50103"/>
    <n v="764286"/>
    <n v="4625573"/>
    <n v="318"/>
    <n v="9"/>
    <n v="8.1287671232876715"/>
    <n v="447772"/>
    <n v="4177801"/>
    <x v="44"/>
    <n v="0"/>
  </r>
  <r>
    <n v="134"/>
    <x v="39"/>
    <x v="9"/>
    <s v="STS/BIP/0324/001"/>
    <d v="2024-03-07T00:00:00"/>
    <d v="2024-03-19T00:00:00"/>
    <s v="Sociam Equipment Solutions Pvt. Ltd."/>
    <d v="2024-03-19T00:00:00"/>
    <n v="296800"/>
    <m/>
    <m/>
    <m/>
    <n v="31799.999999999996"/>
    <n v="265000"/>
    <n v="12"/>
    <n v="9"/>
    <n v="8.9671232876712335"/>
    <n v="968"/>
    <n v="264032"/>
    <x v="1"/>
    <n v="265000"/>
  </r>
  <r>
    <n v="135"/>
    <x v="39"/>
    <x v="9"/>
    <s v="STS/BIP/0325/001"/>
    <d v="2024-03-07T00:00:00"/>
    <d v="2024-03-19T00:00:00"/>
    <s v="Sociam Equipment Solutions Pvt. Ltd."/>
    <d v="2024-03-19T00:00:00"/>
    <n v="296800"/>
    <m/>
    <m/>
    <m/>
    <n v="31799.999999999996"/>
    <n v="265000"/>
    <n v="12"/>
    <n v="9"/>
    <n v="8.9671232876712335"/>
    <n v="968"/>
    <n v="264032"/>
    <x v="1"/>
    <n v="265000"/>
  </r>
  <r>
    <n v="136"/>
    <x v="12"/>
    <x v="10"/>
    <s v="111023311073"/>
    <d v="2024-01-27T00:00:00"/>
    <d v="2024-01-29T00:00:00"/>
    <s v="Pennar Industries Ltd."/>
    <d v="2024-01-29T00:00:00"/>
    <n v="976141.6"/>
    <m/>
    <m/>
    <m/>
    <n v="148902.96"/>
    <n v="827238.64"/>
    <n v="62"/>
    <n v="3"/>
    <n v="2.8301369863013699"/>
    <n v="46839"/>
    <n v="780399.64"/>
    <x v="1"/>
    <n v="827238.64"/>
  </r>
  <r>
    <n v="137"/>
    <x v="13"/>
    <x v="10"/>
    <s v="2023-24DRL/77"/>
    <d v="2023-08-28T00:00:00"/>
    <d v="2023-09-01T00:00:00"/>
    <s v="DRL Engineering and Fabrication Works"/>
    <d v="2023-09-01T00:00:00"/>
    <n v="891643"/>
    <m/>
    <m/>
    <m/>
    <n v="136013.31"/>
    <n v="755629.69"/>
    <n v="212"/>
    <n v="3"/>
    <n v="2.419178082191781"/>
    <n v="146295"/>
    <n v="609334.68999999994"/>
    <x v="45"/>
    <n v="0"/>
  </r>
  <r>
    <n v="138"/>
    <x v="13"/>
    <x v="10"/>
    <s v="2023-24DRL/80"/>
    <d v="2023-08-31T00:00:00"/>
    <d v="2023-09-03T00:00:00"/>
    <s v="DRL Engineering and Fabrication Works"/>
    <d v="2023-09-03T00:00:00"/>
    <n v="490160"/>
    <m/>
    <m/>
    <m/>
    <n v="74770"/>
    <n v="415390"/>
    <n v="210"/>
    <n v="3"/>
    <n v="2.4246575342465753"/>
    <n v="79664"/>
    <n v="335726"/>
    <x v="46"/>
    <n v="0"/>
  </r>
  <r>
    <n v="139"/>
    <x v="13"/>
    <x v="10"/>
    <s v="2023-24/DRL/116"/>
    <d v="2023-10-29T00:00:00"/>
    <d v="2023-11-12T00:00:00"/>
    <s v="DRL Engineering and Fabrication Works"/>
    <d v="2023-11-12T00:00:00"/>
    <n v="1309460"/>
    <m/>
    <m/>
    <m/>
    <n v="199748"/>
    <n v="1109712"/>
    <n v="140"/>
    <n v="3"/>
    <n v="2.6164383561643838"/>
    <n v="141881"/>
    <n v="967831"/>
    <x v="1"/>
    <n v="1109712"/>
  </r>
  <r>
    <n v="140"/>
    <x v="13"/>
    <x v="10"/>
    <s v="2023-24/DRL/117"/>
    <d v="2023-11-04T00:00:00"/>
    <d v="2023-11-12T00:00:00"/>
    <s v="DRL Engineering and Fabrication Works"/>
    <d v="2023-11-12T00:00:00"/>
    <n v="390577"/>
    <m/>
    <m/>
    <m/>
    <n v="59579"/>
    <n v="330998"/>
    <n v="140"/>
    <n v="3"/>
    <n v="2.6164383561643838"/>
    <n v="42319"/>
    <n v="288679"/>
    <x v="1"/>
    <n v="330998"/>
  </r>
  <r>
    <n v="141"/>
    <x v="14"/>
    <x v="10"/>
    <n v="21"/>
    <d v="2023-04-24T00:00:00"/>
    <d v="2023-04-30T00:00:00"/>
    <s v="APT Survey Solutions Pvt. Ltd."/>
    <d v="2023-04-30T00:00:00"/>
    <n v="484838"/>
    <m/>
    <m/>
    <m/>
    <n v="73958"/>
    <n v="410880"/>
    <n v="336"/>
    <n v="3"/>
    <n v="2.0794520547945208"/>
    <n v="126078"/>
    <n v="284802"/>
    <x v="6"/>
    <n v="0"/>
  </r>
  <r>
    <n v="142"/>
    <x v="43"/>
    <x v="11"/>
    <s v="IV0124/30006044"/>
    <d v="2024-03-15T00:00:00"/>
    <d v="2024-03-15T00:00:00"/>
    <s v="Dynamic Prestress (I) Pvt. Ltd."/>
    <d v="2024-03-15T00:00:00"/>
    <n v="481440"/>
    <m/>
    <m/>
    <m/>
    <n v="73440"/>
    <n v="408000"/>
    <n v="16"/>
    <n v="9"/>
    <n v="8.956164383561644"/>
    <n v="1987"/>
    <n v="406013"/>
    <x v="1"/>
    <n v="408000"/>
  </r>
  <r>
    <n v="143"/>
    <x v="44"/>
    <x v="12"/>
    <s v="NKW5166"/>
    <d v="2023-07-03T00:00:00"/>
    <d v="2023-07-28T00:00:00"/>
    <s v="NKW Industrial Solutions"/>
    <d v="2023-07-28T00:00:00"/>
    <n v="141600"/>
    <m/>
    <m/>
    <m/>
    <n v="21600"/>
    <n v="120000"/>
    <n v="247"/>
    <n v="9"/>
    <n v="8.3232876712328761"/>
    <n v="9023"/>
    <n v="110977"/>
    <x v="17"/>
    <n v="0"/>
  </r>
  <r>
    <n v="144"/>
    <x v="44"/>
    <x v="12"/>
    <s v="NKW5209"/>
    <d v="2023-07-19T00:00:00"/>
    <d v="2023-07-31T00:00:00"/>
    <s v="NKW Industrial Solutions"/>
    <d v="2023-07-31T00:00:00"/>
    <n v="283200"/>
    <m/>
    <m/>
    <m/>
    <n v="43200"/>
    <n v="240000"/>
    <n v="244"/>
    <n v="9"/>
    <n v="8.331506849315069"/>
    <n v="17826"/>
    <n v="222174"/>
    <x v="47"/>
    <n v="0"/>
  </r>
  <r>
    <n v="145"/>
    <x v="44"/>
    <x v="12"/>
    <s v="NKW5237"/>
    <d v="2023-08-01T00:00:00"/>
    <d v="2023-08-10T00:00:00"/>
    <s v="NKW Industrial Solutions"/>
    <d v="2023-08-10T00:00:00"/>
    <n v="283200"/>
    <m/>
    <m/>
    <m/>
    <n v="43200"/>
    <n v="240000"/>
    <n v="234"/>
    <n v="9"/>
    <n v="8.3589041095890408"/>
    <n v="17096"/>
    <n v="222904"/>
    <x v="47"/>
    <n v="0"/>
  </r>
  <r>
    <n v="146"/>
    <x v="44"/>
    <x v="12"/>
    <s v="NKW5382"/>
    <d v="2023-10-14T00:00:00"/>
    <d v="2023-11-14T00:00:00"/>
    <s v="NKW Industrial Solutions"/>
    <d v="2023-11-14T00:00:00"/>
    <n v="283200"/>
    <m/>
    <m/>
    <m/>
    <n v="43200"/>
    <n v="240000"/>
    <n v="138"/>
    <n v="9"/>
    <n v="8.6219178082191785"/>
    <n v="10082"/>
    <n v="229918"/>
    <x v="1"/>
    <n v="240000"/>
  </r>
  <r>
    <n v="147"/>
    <x v="44"/>
    <x v="12"/>
    <s v="NKW5442"/>
    <d v="2023-11-16T00:00:00"/>
    <d v="2023-11-30T00:00:00"/>
    <s v="NKW Industrial Solutions"/>
    <d v="2023-11-30T00:00:00"/>
    <n v="283200"/>
    <m/>
    <m/>
    <m/>
    <n v="43200"/>
    <n v="240000"/>
    <n v="122"/>
    <n v="9"/>
    <n v="8.6657534246575345"/>
    <n v="8913"/>
    <n v="231087"/>
    <x v="1"/>
    <n v="240000"/>
  </r>
  <r>
    <n v="148"/>
    <x v="44"/>
    <x v="12"/>
    <s v="NKW5519"/>
    <d v="2023-12-12T00:00:00"/>
    <d v="2023-12-31T00:00:00"/>
    <s v="NKW Industrial Solutions"/>
    <d v="2023-12-31T00:00:00"/>
    <n v="283200"/>
    <m/>
    <m/>
    <m/>
    <n v="43200"/>
    <n v="240000"/>
    <n v="91"/>
    <n v="9"/>
    <n v="8.75068493150685"/>
    <n v="6648"/>
    <n v="233352"/>
    <x v="1"/>
    <n v="240000"/>
  </r>
  <r>
    <n v="149"/>
    <x v="44"/>
    <x v="12"/>
    <s v="NKW5594"/>
    <d v="2024-01-13T00:00:00"/>
    <d v="2024-01-13T00:00:00"/>
    <s v="NKW Industrial Solutions"/>
    <d v="2024-01-13T00:00:00"/>
    <n v="824820"/>
    <m/>
    <m/>
    <m/>
    <n v="125820"/>
    <n v="699000"/>
    <n v="78"/>
    <n v="9"/>
    <n v="8.786301369863013"/>
    <n v="16597"/>
    <n v="682403"/>
    <x v="1"/>
    <n v="699000"/>
  </r>
  <r>
    <n v="150"/>
    <x v="44"/>
    <x v="12"/>
    <s v="NKW5624"/>
    <d v="2024-01-24T00:00:00"/>
    <d v="2024-01-24T00:00:00"/>
    <s v="NKW Industrial Solutions"/>
    <d v="2024-01-24T00:00:00"/>
    <n v="274940"/>
    <m/>
    <m/>
    <m/>
    <n v="41940"/>
    <n v="233000"/>
    <n v="67"/>
    <n v="9"/>
    <n v="8.8164383561643831"/>
    <n v="4752"/>
    <n v="228248"/>
    <x v="1"/>
    <n v="233000"/>
  </r>
  <r>
    <n v="151"/>
    <x v="45"/>
    <x v="12"/>
    <s v="NKW5381"/>
    <d v="2023-10-14T00:00:00"/>
    <d v="2023-11-14T00:00:00"/>
    <s v="NKW Industrial Solutions"/>
    <d v="2023-11-14T00:00:00"/>
    <n v="266680"/>
    <m/>
    <m/>
    <m/>
    <n v="40680"/>
    <n v="226000"/>
    <n v="138"/>
    <n v="3"/>
    <n v="2.6219178082191781"/>
    <n v="28482"/>
    <n v="197518"/>
    <x v="1"/>
    <n v="226000"/>
  </r>
  <r>
    <n v="152"/>
    <x v="45"/>
    <x v="12"/>
    <s v="NKW5441"/>
    <d v="2023-11-16T00:00:00"/>
    <d v="2023-11-30T00:00:00"/>
    <s v="NKW Industrial Solutions"/>
    <d v="2023-11-30T00:00:00"/>
    <n v="266680"/>
    <m/>
    <m/>
    <m/>
    <n v="40680"/>
    <n v="226000"/>
    <n v="122"/>
    <n v="9"/>
    <n v="8.6657534246575345"/>
    <n v="8393"/>
    <n v="217607"/>
    <x v="1"/>
    <n v="226000"/>
  </r>
  <r>
    <n v="153"/>
    <x v="45"/>
    <x v="12"/>
    <s v="NKW5220"/>
    <d v="2023-12-12T00:00:00"/>
    <d v="2023-12-31T00:00:00"/>
    <s v="NKW Industrial Solutions"/>
    <d v="2023-12-31T00:00:00"/>
    <n v="266680"/>
    <m/>
    <m/>
    <m/>
    <n v="40680"/>
    <n v="226000"/>
    <n v="91"/>
    <n v="9"/>
    <n v="8.75068493150685"/>
    <n v="6261"/>
    <n v="219739"/>
    <x v="1"/>
    <n v="226000"/>
  </r>
  <r>
    <n v="154"/>
    <x v="46"/>
    <x v="12"/>
    <s v="NKW5011"/>
    <d v="2023-04-09T00:00:00"/>
    <d v="2023-04-26T00:00:00"/>
    <s v="NKW Industrial Solutions"/>
    <d v="2023-04-26T00:00:00"/>
    <n v="141600"/>
    <m/>
    <m/>
    <m/>
    <n v="21600"/>
    <n v="120000"/>
    <n v="340"/>
    <n v="9"/>
    <n v="8.0684931506849313"/>
    <n v="12420"/>
    <n v="107580"/>
    <x v="17"/>
    <n v="0"/>
  </r>
  <r>
    <n v="155"/>
    <x v="46"/>
    <x v="12"/>
    <s v="NKW5010"/>
    <d v="2023-04-09T00:00:00"/>
    <d v="2023-04-26T00:00:00"/>
    <s v="NKW Industrial Solutions"/>
    <d v="2023-04-26T00:00:00"/>
    <n v="133340"/>
    <m/>
    <m/>
    <m/>
    <n v="20340"/>
    <n v="113000"/>
    <n v="340"/>
    <n v="9"/>
    <n v="8.0684931506849313"/>
    <n v="11696"/>
    <n v="101304"/>
    <x v="48"/>
    <n v="0"/>
  </r>
  <r>
    <n v="156"/>
    <x v="46"/>
    <x v="12"/>
    <s v="NKW5012"/>
    <d v="2023-04-10T00:00:00"/>
    <d v="2023-04-26T00:00:00"/>
    <s v="NKW Industrial Solutions"/>
    <d v="2023-04-26T00:00:00"/>
    <n v="141600"/>
    <m/>
    <m/>
    <m/>
    <n v="21600"/>
    <n v="120000"/>
    <n v="340"/>
    <n v="9"/>
    <n v="8.0684931506849313"/>
    <n v="12420"/>
    <n v="107580"/>
    <x v="17"/>
    <n v="0"/>
  </r>
  <r>
    <n v="157"/>
    <x v="46"/>
    <x v="12"/>
    <s v="NKW5013"/>
    <d v="2023-04-10T00:00:00"/>
    <d v="2023-04-26T00:00:00"/>
    <s v="NKW Industrial Solutions"/>
    <d v="2023-04-26T00:00:00"/>
    <n v="133340"/>
    <m/>
    <m/>
    <m/>
    <n v="20340"/>
    <n v="113000"/>
    <n v="340"/>
    <n v="9"/>
    <n v="8.0684931506849313"/>
    <n v="11696"/>
    <n v="101304"/>
    <x v="48"/>
    <n v="0"/>
  </r>
  <r>
    <n v="158"/>
    <x v="46"/>
    <x v="12"/>
    <s v="NKW5033"/>
    <d v="2023-04-20T00:00:00"/>
    <d v="2023-04-20T00:00:00"/>
    <s v="NKW Industrial Solutions"/>
    <d v="2023-04-20T00:00:00"/>
    <n v="141600"/>
    <m/>
    <m/>
    <m/>
    <n v="21600"/>
    <n v="120000"/>
    <n v="346"/>
    <n v="9"/>
    <n v="8.0520547945205472"/>
    <n v="12639"/>
    <n v="107361"/>
    <x v="17"/>
    <n v="0"/>
  </r>
  <r>
    <n v="159"/>
    <x v="46"/>
    <x v="12"/>
    <s v="NKW5111"/>
    <d v="2023-06-02T00:00:00"/>
    <d v="2023-06-30T00:00:00"/>
    <s v="NKW Industrial Solutions"/>
    <d v="2023-06-30T00:00:00"/>
    <n v="23600"/>
    <m/>
    <m/>
    <m/>
    <n v="3600"/>
    <n v="20000"/>
    <n v="275"/>
    <n v="9"/>
    <n v="8.2465753424657535"/>
    <n v="1674"/>
    <n v="18326"/>
    <x v="49"/>
    <n v="0"/>
  </r>
  <r>
    <n v="160"/>
    <x v="46"/>
    <x v="12"/>
    <s v="NKW5112"/>
    <d v="2023-06-02T00:00:00"/>
    <d v="2023-06-30T00:00:00"/>
    <s v="NKW Industrial Solutions"/>
    <d v="2023-06-30T00:00:00"/>
    <n v="17700"/>
    <m/>
    <m/>
    <m/>
    <n v="2700"/>
    <n v="15000"/>
    <n v="275"/>
    <n v="9"/>
    <n v="8.2465753424657535"/>
    <n v="1256"/>
    <n v="13744"/>
    <x v="50"/>
    <n v="0"/>
  </r>
  <r>
    <n v="161"/>
    <x v="46"/>
    <x v="12"/>
    <s v="NKW5239"/>
    <d v="2023-08-01T00:00:00"/>
    <d v="2023-08-10T00:00:00"/>
    <s v="NKW Industrial Solutions"/>
    <d v="2023-08-10T00:00:00"/>
    <n v="266680"/>
    <m/>
    <m/>
    <m/>
    <n v="40680"/>
    <n v="226000"/>
    <n v="234"/>
    <n v="9"/>
    <n v="8.3589041095890408"/>
    <n v="16099"/>
    <n v="209901"/>
    <x v="51"/>
    <n v="0"/>
  </r>
  <r>
    <n v="162"/>
    <x v="13"/>
    <x v="12"/>
    <n v="13"/>
    <d v="2023-04-14T00:00:00"/>
    <d v="2023-04-14T00:00:00"/>
    <s v="Expert Fabrication &amp; Engineering Works"/>
    <d v="2023-04-14T00:00:00"/>
    <n v="299130"/>
    <m/>
    <m/>
    <m/>
    <n v="45630"/>
    <n v="253500"/>
    <n v="352"/>
    <n v="3"/>
    <n v="2.0356164383561643"/>
    <n v="81490"/>
    <n v="172010"/>
    <x v="52"/>
    <n v="0"/>
  </r>
  <r>
    <n v="163"/>
    <x v="13"/>
    <x v="12"/>
    <n v="15"/>
    <d v="2023-05-20T00:00:00"/>
    <d v="2023-06-12T00:00:00"/>
    <s v="Sri Venkata Sai Engineering Works"/>
    <d v="2023-06-12T00:00:00"/>
    <n v="135700"/>
    <m/>
    <m/>
    <m/>
    <n v="20700"/>
    <n v="115000"/>
    <n v="293"/>
    <n v="3"/>
    <n v="2.1972602739726028"/>
    <n v="30772"/>
    <n v="84228"/>
    <x v="53"/>
    <n v="0"/>
  </r>
  <r>
    <n v="164"/>
    <x v="13"/>
    <x v="12"/>
    <n v="19"/>
    <d v="2023-05-25T00:00:00"/>
    <d v="2023-06-12T00:00:00"/>
    <s v="Sri Venkata Sai Engineering Works"/>
    <d v="2023-06-12T00:00:00"/>
    <n v="331226"/>
    <m/>
    <m/>
    <m/>
    <n v="50526"/>
    <n v="280700"/>
    <n v="293"/>
    <n v="3"/>
    <n v="2.1972602739726028"/>
    <n v="75110"/>
    <n v="205590"/>
    <x v="54"/>
    <n v="0"/>
  </r>
  <r>
    <n v="165"/>
    <x v="13"/>
    <x v="12"/>
    <s v="EF/SL/23-24/39"/>
    <d v="2023-06-24T00:00:00"/>
    <d v="2023-07-17T00:00:00"/>
    <s v="Expert Fabrication &amp; Engineering Works"/>
    <d v="2023-07-17T00:00:00"/>
    <n v="49602"/>
    <m/>
    <m/>
    <m/>
    <n v="7566"/>
    <n v="42036"/>
    <n v="258"/>
    <n v="3"/>
    <n v="2.2931506849315069"/>
    <n v="9904"/>
    <n v="32132"/>
    <x v="55"/>
    <n v="0"/>
  </r>
  <r>
    <n v="166"/>
    <x v="13"/>
    <x v="12"/>
    <s v="2023-24DRL/70"/>
    <d v="2023-08-12T00:00:00"/>
    <d v="2023-08-31T00:00:00"/>
    <s v="DRL Engineering and Fabrication Works"/>
    <d v="2023-08-31T00:00:00"/>
    <n v="66718"/>
    <m/>
    <m/>
    <m/>
    <n v="10178"/>
    <n v="56540"/>
    <n v="213"/>
    <n v="3"/>
    <n v="2.4164383561643836"/>
    <n v="10998"/>
    <n v="45542"/>
    <x v="56"/>
    <n v="0"/>
  </r>
  <r>
    <n v="167"/>
    <x v="13"/>
    <x v="12"/>
    <s v="2023-24DRL/69"/>
    <d v="2023-08-12T00:00:00"/>
    <d v="2023-08-31T00:00:00"/>
    <s v="DRL Engineering and Fabrication Works"/>
    <d v="2023-08-31T00:00:00"/>
    <n v="162070"/>
    <m/>
    <m/>
    <m/>
    <n v="24722"/>
    <n v="137348"/>
    <n v="213"/>
    <n v="3"/>
    <n v="2.4164383561643836"/>
    <n v="26717"/>
    <n v="110631"/>
    <x v="57"/>
    <n v="0"/>
  </r>
  <r>
    <n v="168"/>
    <x v="13"/>
    <x v="12"/>
    <s v="2023-24DRL/68"/>
    <d v="2023-08-12T00:00:00"/>
    <d v="2023-08-31T00:00:00"/>
    <s v="DRL Engineering and Fabrication Works"/>
    <d v="2023-08-31T00:00:00"/>
    <n v="90361"/>
    <m/>
    <m/>
    <m/>
    <n v="13784"/>
    <n v="76577"/>
    <n v="213"/>
    <n v="3"/>
    <n v="2.4164383561643836"/>
    <n v="14896"/>
    <n v="61681"/>
    <x v="58"/>
    <n v="0"/>
  </r>
  <r>
    <n v="169"/>
    <x v="13"/>
    <x v="12"/>
    <s v="2023-24DRL/67"/>
    <d v="2023-08-12T00:00:00"/>
    <d v="2023-08-31T00:00:00"/>
    <s v="DRL Engineering and Fabrication Works"/>
    <d v="2023-08-31T00:00:00"/>
    <n v="243012"/>
    <m/>
    <m/>
    <m/>
    <n v="37070"/>
    <n v="205942"/>
    <n v="213"/>
    <n v="3"/>
    <n v="2.4164383561643836"/>
    <n v="40060"/>
    <n v="165882"/>
    <x v="59"/>
    <n v="0"/>
  </r>
  <r>
    <n v="170"/>
    <x v="13"/>
    <x v="12"/>
    <s v="2023-24DRL/86"/>
    <d v="2023-09-06T00:00:00"/>
    <d v="2023-09-29T00:00:00"/>
    <s v="DRL Engineering and Fabrication Works"/>
    <d v="2023-09-29T00:00:00"/>
    <n v="54678"/>
    <m/>
    <m/>
    <m/>
    <n v="8340"/>
    <n v="46338"/>
    <n v="184"/>
    <n v="3"/>
    <n v="2.495890410958904"/>
    <n v="7786"/>
    <n v="38552"/>
    <x v="60"/>
    <n v="0"/>
  </r>
  <r>
    <n v="171"/>
    <x v="13"/>
    <x v="12"/>
    <s v="2023-24/DRL/121"/>
    <d v="2023-11-08T00:00:00"/>
    <d v="2023-11-30T00:00:00"/>
    <s v="DRL Engineering and Fabrication Works"/>
    <d v="2023-11-30T00:00:00"/>
    <n v="97891"/>
    <m/>
    <m/>
    <m/>
    <n v="14932"/>
    <n v="82959"/>
    <n v="122"/>
    <n v="3"/>
    <n v="2.6657534246575341"/>
    <n v="9243"/>
    <n v="73716"/>
    <x v="1"/>
    <n v="82959"/>
  </r>
  <r>
    <n v="172"/>
    <x v="13"/>
    <x v="12"/>
    <n v="100"/>
    <d v="2023-12-14T00:00:00"/>
    <d v="2023-12-31T00:00:00"/>
    <s v="Expert Fabrication &amp; Engineering Works"/>
    <d v="2023-12-31T00:00:00"/>
    <n v="42362"/>
    <m/>
    <m/>
    <m/>
    <n v="6462"/>
    <n v="35900"/>
    <n v="91"/>
    <n v="3"/>
    <n v="2.7506849315068491"/>
    <n v="2983"/>
    <n v="32917"/>
    <x v="1"/>
    <n v="35900"/>
  </r>
  <r>
    <n v="173"/>
    <x v="13"/>
    <x v="12"/>
    <n v="104"/>
    <d v="2023-12-28T00:00:00"/>
    <d v="2024-01-09T00:00:00"/>
    <s v="Expert Fabrication &amp; Engineering Works"/>
    <d v="2024-01-09T00:00:00"/>
    <n v="86140"/>
    <m/>
    <m/>
    <m/>
    <n v="13140"/>
    <n v="73000"/>
    <n v="82"/>
    <n v="3"/>
    <n v="2.7753424657534245"/>
    <n v="5467"/>
    <n v="67533"/>
    <x v="1"/>
    <n v="73000"/>
  </r>
  <r>
    <n v="174"/>
    <x v="13"/>
    <x v="12"/>
    <n v="123"/>
    <d v="2024-01-19T00:00:00"/>
    <d v="2024-02-10T00:00:00"/>
    <s v="Expert Fabrication &amp; Engineering Works"/>
    <d v="2024-02-10T00:00:00"/>
    <n v="66611"/>
    <m/>
    <m/>
    <m/>
    <n v="10161"/>
    <n v="56450"/>
    <n v="50"/>
    <n v="3"/>
    <n v="2.8630136986301369"/>
    <n v="2578"/>
    <n v="53872"/>
    <x v="1"/>
    <n v="56450"/>
  </r>
  <r>
    <n v="175"/>
    <x v="1"/>
    <x v="12"/>
    <n v="148"/>
    <d v="2023-05-29T00:00:00"/>
    <d v="2023-05-31T00:00:00"/>
    <s v="Agarwal Machine Tools"/>
    <d v="2023-05-31T00:00:00"/>
    <n v="78234"/>
    <m/>
    <m/>
    <m/>
    <n v="11934"/>
    <n v="66300"/>
    <n v="305"/>
    <n v="9"/>
    <n v="8.1643835616438363"/>
    <n v="6156"/>
    <n v="60144"/>
    <x v="61"/>
    <n v="0"/>
  </r>
  <r>
    <n v="176"/>
    <x v="1"/>
    <x v="12"/>
    <n v="287"/>
    <d v="2023-07-20T00:00:00"/>
    <d v="2023-07-31T00:00:00"/>
    <s v="Agarwal Machine Tools"/>
    <d v="2023-07-31T00:00:00"/>
    <n v="53808"/>
    <m/>
    <m/>
    <m/>
    <n v="8208"/>
    <n v="45600"/>
    <n v="244"/>
    <n v="9"/>
    <n v="8.331506849315069"/>
    <n v="3387"/>
    <n v="42213"/>
    <x v="62"/>
    <n v="0"/>
  </r>
  <r>
    <n v="177"/>
    <x v="1"/>
    <x v="12"/>
    <n v="434"/>
    <d v="2023-09-21T00:00:00"/>
    <d v="2023-10-10T00:00:00"/>
    <s v="Agarwal Machine Tools"/>
    <d v="2023-10-10T00:00:00"/>
    <n v="71744"/>
    <m/>
    <m/>
    <m/>
    <n v="10944"/>
    <n v="60800"/>
    <n v="173"/>
    <n v="3"/>
    <n v="2.526027397260274"/>
    <n v="9606"/>
    <n v="51194"/>
    <x v="1"/>
    <n v="60800"/>
  </r>
  <r>
    <n v="178"/>
    <x v="1"/>
    <x v="12"/>
    <n v="563"/>
    <d v="2023-11-23T00:00:00"/>
    <d v="2023-12-11T00:00:00"/>
    <s v="Agarwal Machine Tools"/>
    <d v="2023-12-11T00:00:00"/>
    <n v="39648"/>
    <m/>
    <m/>
    <m/>
    <n v="6048"/>
    <n v="33600"/>
    <n v="111"/>
    <n v="3"/>
    <n v="2.6958904109589041"/>
    <n v="3406"/>
    <n v="30194"/>
    <x v="1"/>
    <n v="33600"/>
  </r>
  <r>
    <n v="179"/>
    <x v="1"/>
    <x v="12"/>
    <n v="577"/>
    <d v="2023-11-28T00:00:00"/>
    <d v="2023-12-11T00:00:00"/>
    <s v="Agarwal Machine Tools"/>
    <d v="2023-12-11T00:00:00"/>
    <n v="35872"/>
    <m/>
    <m/>
    <m/>
    <n v="5472"/>
    <n v="30400"/>
    <n v="111"/>
    <n v="3"/>
    <n v="2.6958904109589041"/>
    <n v="3082"/>
    <n v="27318"/>
    <x v="1"/>
    <n v="30400"/>
  </r>
  <r>
    <n v="180"/>
    <x v="1"/>
    <x v="12"/>
    <n v="687"/>
    <d v="2024-01-17T00:00:00"/>
    <d v="2024-02-10T00:00:00"/>
    <s v="Agarwal Machine Tools"/>
    <d v="2024-02-10T00:00:00"/>
    <n v="17936"/>
    <m/>
    <m/>
    <m/>
    <n v="2736"/>
    <n v="15200"/>
    <n v="50"/>
    <n v="3"/>
    <n v="2.8630136986301369"/>
    <n v="694"/>
    <n v="14506"/>
    <x v="1"/>
    <n v="15200"/>
  </r>
  <r>
    <n v="181"/>
    <x v="1"/>
    <x v="12"/>
    <n v="694"/>
    <d v="2024-01-20T00:00:00"/>
    <d v="2024-02-10T00:00:00"/>
    <s v="Agarwal Machine Tools"/>
    <d v="2024-02-10T00:00:00"/>
    <n v="60888"/>
    <m/>
    <m/>
    <m/>
    <n v="9288"/>
    <n v="51600"/>
    <n v="50"/>
    <n v="3"/>
    <n v="2.8630136986301369"/>
    <n v="2356"/>
    <n v="49244"/>
    <x v="1"/>
    <n v="51600"/>
  </r>
  <r>
    <n v="182"/>
    <x v="2"/>
    <x v="12"/>
    <n v="192"/>
    <d v="2023-04-20T00:00:00"/>
    <d v="2023-04-25T00:00:00"/>
    <s v="S.R.Advan Tech Systems Pvt. Ltd."/>
    <d v="2023-04-25T00:00:00"/>
    <n v="165200"/>
    <m/>
    <m/>
    <m/>
    <n v="25200"/>
    <n v="140000"/>
    <n v="341"/>
    <n v="9"/>
    <n v="8.0657534246575349"/>
    <n v="14533"/>
    <n v="125467"/>
    <x v="63"/>
    <n v="0"/>
  </r>
  <r>
    <n v="183"/>
    <x v="2"/>
    <x v="12"/>
    <n v="244"/>
    <d v="2023-04-26T00:00:00"/>
    <d v="2023-04-30T00:00:00"/>
    <s v="S.R.Advan Tech Systems Pvt. Ltd."/>
    <d v="2023-04-30T00:00:00"/>
    <n v="79060"/>
    <m/>
    <m/>
    <m/>
    <n v="12060"/>
    <n v="67000"/>
    <n v="336"/>
    <n v="9"/>
    <n v="8.0794520547945208"/>
    <n v="6853"/>
    <n v="60147"/>
    <x v="64"/>
    <n v="0"/>
  </r>
  <r>
    <n v="184"/>
    <x v="2"/>
    <x v="12"/>
    <n v="1416"/>
    <d v="2023-08-11T00:00:00"/>
    <d v="2023-08-31T00:00:00"/>
    <s v="S.R.Advan Tech Systems Pvt. Ltd."/>
    <d v="2023-08-31T00:00:00"/>
    <n v="135700"/>
    <m/>
    <m/>
    <m/>
    <n v="20700"/>
    <n v="115000"/>
    <n v="213"/>
    <n v="9"/>
    <n v="8.4164383561643827"/>
    <n v="7457"/>
    <n v="107543"/>
    <x v="53"/>
    <n v="0"/>
  </r>
  <r>
    <n v="185"/>
    <x v="2"/>
    <x v="12"/>
    <n v="1444"/>
    <d v="2023-08-16T00:00:00"/>
    <d v="2023-08-31T00:00:00"/>
    <s v="S.R.Advan Tech Systems Pvt. Ltd."/>
    <d v="2023-08-31T00:00:00"/>
    <n v="67850"/>
    <m/>
    <m/>
    <m/>
    <n v="10350"/>
    <n v="57500"/>
    <n v="213"/>
    <n v="9"/>
    <n v="8.4164383561643827"/>
    <n v="3728"/>
    <n v="53772"/>
    <x v="65"/>
    <n v="0"/>
  </r>
  <r>
    <n v="186"/>
    <x v="2"/>
    <x v="12"/>
    <n v="3039"/>
    <d v="2024-01-17T00:00:00"/>
    <d v="2024-01-31T00:00:00"/>
    <s v="S.R.Advan Tech Systems Pvt. Ltd."/>
    <d v="2024-01-31T00:00:00"/>
    <n v="66080"/>
    <m/>
    <m/>
    <m/>
    <n v="10080"/>
    <n v="56000"/>
    <n v="60"/>
    <n v="9"/>
    <n v="8.8356164383561637"/>
    <n v="1023"/>
    <n v="54977"/>
    <x v="1"/>
    <n v="56000"/>
  </r>
  <r>
    <n v="187"/>
    <x v="13"/>
    <x v="12"/>
    <s v="1932/23-24"/>
    <d v="2024-03-31T00:00:00"/>
    <d v="2024-03-31T00:00:00"/>
    <s v="Dhanashree Engineers Pvt. Ltd."/>
    <d v="2024-03-31T00:00:00"/>
    <n v="85965"/>
    <m/>
    <m/>
    <m/>
    <n v="13113.36"/>
    <n v="72851.64"/>
    <n v="0"/>
    <n v="9"/>
    <n v="9"/>
    <n v="0"/>
    <n v="72851.64"/>
    <x v="1"/>
    <n v="72851.64"/>
  </r>
  <r>
    <n v="188"/>
    <x v="13"/>
    <x v="12"/>
    <s v="1933/23-24"/>
    <d v="2024-03-31T00:00:00"/>
    <d v="2024-03-31T00:00:00"/>
    <s v="Dhanashree Engineers Pvt. Ltd."/>
    <d v="2024-03-31T00:00:00"/>
    <n v="18868"/>
    <m/>
    <m/>
    <m/>
    <n v="2878"/>
    <n v="15990"/>
    <n v="0"/>
    <n v="9"/>
    <n v="9"/>
    <n v="0"/>
    <n v="15990"/>
    <x v="1"/>
    <n v="15990"/>
  </r>
  <r>
    <n v="189"/>
    <x v="47"/>
    <x v="13"/>
    <n v="33342"/>
    <d v="2023-07-29T00:00:00"/>
    <d v="2023-07-29T00:00:00"/>
    <s v="Famous Paneumatic Valves"/>
    <d v="2023-07-29T00:00:00"/>
    <n v="7966"/>
    <m/>
    <m/>
    <m/>
    <n v="1216"/>
    <n v="6750"/>
    <n v="246"/>
    <n v="9"/>
    <n v="8.3260273972602743"/>
    <n v="505"/>
    <n v="6245"/>
    <x v="66"/>
    <n v="0"/>
  </r>
  <r>
    <n v="190"/>
    <x v="14"/>
    <x v="13"/>
    <n v="23241099"/>
    <d v="2023-04-18T00:00:00"/>
    <d v="2023-04-18T00:00:00"/>
    <s v="ATPRO Systems &amp; Controls Pvt. Ltd."/>
    <d v="2023-04-18T00:00:00"/>
    <n v="48380"/>
    <m/>
    <m/>
    <m/>
    <n v="7380"/>
    <n v="41000"/>
    <n v="348"/>
    <n v="3"/>
    <n v="2.0465753424657533"/>
    <n v="13030"/>
    <n v="27970"/>
    <x v="67"/>
    <n v="0"/>
  </r>
  <r>
    <n v="191"/>
    <x v="1"/>
    <x v="13"/>
    <s v="H3054/23-24"/>
    <d v="2024-03-05T00:00:00"/>
    <d v="2024-03-05T00:00:00"/>
    <s v="Hindustan Electricals &amp; Hardware"/>
    <d v="2024-03-05T00:00:00"/>
    <n v="36385"/>
    <n v="0"/>
    <m/>
    <m/>
    <n v="6300"/>
    <n v="30085"/>
    <n v="26"/>
    <n v="9"/>
    <n v="8.9287671232876704"/>
    <n v="238"/>
    <n v="29847"/>
    <x v="1"/>
    <n v="30085"/>
  </r>
  <r>
    <n v="192"/>
    <x v="48"/>
    <x v="14"/>
    <s v="1717/2023-24"/>
    <d v="2023-08-29T00:00:00"/>
    <d v="2023-09-30T00:00:00"/>
    <s v="Coastal Pneumatic Agencies"/>
    <d v="2023-09-30T00:00:00"/>
    <n v="302375"/>
    <m/>
    <m/>
    <m/>
    <n v="46124"/>
    <n v="256251"/>
    <n v="183"/>
    <n v="9"/>
    <n v="8.4986301369863018"/>
    <n v="14275"/>
    <n v="241976"/>
    <x v="68"/>
    <n v="0"/>
  </r>
  <r>
    <n v="193"/>
    <x v="48"/>
    <x v="15"/>
    <s v="SI100143"/>
    <d v="2023-04-29T00:00:00"/>
    <d v="2023-04-29T00:00:00"/>
    <s v="Airospares &amp; Equipments"/>
    <d v="2023-04-29T00:00:00"/>
    <n v="1758200"/>
    <m/>
    <m/>
    <m/>
    <n v="268200"/>
    <n v="1490000"/>
    <n v="337"/>
    <n v="9"/>
    <n v="8.0767123287671225"/>
    <n v="152855"/>
    <n v="1337145"/>
    <x v="69"/>
    <n v="0"/>
  </r>
  <r>
    <n v="194"/>
    <x v="48"/>
    <x v="15"/>
    <s v="SI100144"/>
    <d v="2023-04-29T00:00:00"/>
    <d v="2023-05-02T00:00:00"/>
    <s v="Airospares &amp; Equipments"/>
    <d v="2023-05-02T00:00:00"/>
    <n v="1758200"/>
    <m/>
    <m/>
    <m/>
    <n v="268200"/>
    <n v="1490000"/>
    <n v="334"/>
    <n v="9"/>
    <n v="8.0849315068493155"/>
    <n v="151495"/>
    <n v="1338505"/>
    <x v="69"/>
    <n v="0"/>
  </r>
  <r>
    <n v="195"/>
    <x v="44"/>
    <x v="15"/>
    <s v="074/2023-24"/>
    <d v="2023-12-13T00:00:00"/>
    <d v="2023-12-30T00:00:00"/>
    <s v="Royal Hydraulic Equipment"/>
    <d v="2023-12-30T00:00:00"/>
    <n v="442500"/>
    <m/>
    <m/>
    <m/>
    <n v="67500"/>
    <n v="375000"/>
    <n v="92"/>
    <n v="9"/>
    <n v="8.7479452054794518"/>
    <n v="10502"/>
    <n v="364498"/>
    <x v="1"/>
    <n v="375000"/>
  </r>
  <r>
    <n v="196"/>
    <x v="49"/>
    <x v="15"/>
    <n v="833063166"/>
    <d v="2023-04-26T00:00:00"/>
    <d v="2023-05-10T00:00:00"/>
    <s v="Schwing Stetter (India) Pvt. Ltd."/>
    <d v="2023-05-10T00:00:00"/>
    <n v="1632000"/>
    <n v="0"/>
    <m/>
    <m/>
    <n v="432000"/>
    <n v="1200000"/>
    <n v="326"/>
    <n v="9"/>
    <n v="8.1068493150684926"/>
    <n v="119087"/>
    <n v="1080913"/>
    <x v="70"/>
    <n v="0"/>
  </r>
  <r>
    <n v="197"/>
    <x v="49"/>
    <x v="15"/>
    <n v="633063170"/>
    <d v="2023-04-26T00:00:00"/>
    <d v="2023-05-10T00:00:00"/>
    <s v="Schwing Stetter (India) Pvt. Ltd."/>
    <d v="2023-05-10T00:00:00"/>
    <n v="1632000"/>
    <n v="0"/>
    <m/>
    <m/>
    <n v="432000"/>
    <n v="1200000"/>
    <n v="326"/>
    <n v="9"/>
    <n v="8.1068493150684926"/>
    <n v="119087"/>
    <n v="1080913"/>
    <x v="70"/>
    <n v="0"/>
  </r>
  <r>
    <n v="198"/>
    <x v="49"/>
    <x v="15"/>
    <n v="833063172"/>
    <d v="2023-04-26T00:00:00"/>
    <d v="2023-05-10T00:00:00"/>
    <s v="Schwing Stetter (India) Pvt. Ltd."/>
    <d v="2023-05-10T00:00:00"/>
    <n v="1632000"/>
    <n v="0"/>
    <m/>
    <m/>
    <n v="432000"/>
    <n v="1200000"/>
    <n v="326"/>
    <n v="9"/>
    <n v="8.1068493150684926"/>
    <n v="119087"/>
    <n v="1080913"/>
    <x v="70"/>
    <n v="0"/>
  </r>
  <r>
    <n v="199"/>
    <x v="49"/>
    <x v="15"/>
    <n v="833063219"/>
    <d v="2023-04-26T00:00:00"/>
    <d v="2023-05-10T00:00:00"/>
    <s v="Schwing Stetter (India) Pvt. Ltd."/>
    <d v="2023-05-10T00:00:00"/>
    <n v="1632000"/>
    <n v="0"/>
    <m/>
    <m/>
    <n v="432000"/>
    <n v="1200000"/>
    <n v="326"/>
    <n v="9"/>
    <n v="8.1068493150684926"/>
    <n v="119087"/>
    <n v="1080913"/>
    <x v="70"/>
    <n v="0"/>
  </r>
  <r>
    <n v="200"/>
    <x v="49"/>
    <x v="15"/>
    <n v="833063220"/>
    <d v="2023-04-26T00:00:00"/>
    <d v="2023-05-15T00:00:00"/>
    <s v="Schwing Stetter (India) Pvt. Ltd."/>
    <d v="2023-05-15T00:00:00"/>
    <n v="1632000"/>
    <n v="0"/>
    <m/>
    <m/>
    <n v="432000"/>
    <n v="1200000"/>
    <n v="321"/>
    <n v="9"/>
    <n v="8.1205479452054803"/>
    <n v="117260"/>
    <n v="1082740"/>
    <x v="70"/>
    <n v="0"/>
  </r>
  <r>
    <n v="201"/>
    <x v="49"/>
    <x v="15"/>
    <n v="833063495"/>
    <d v="2023-04-29T00:00:00"/>
    <d v="2023-05-15T00:00:00"/>
    <s v="Schwing Stetter (India) Pvt. Ltd."/>
    <d v="2023-05-15T00:00:00"/>
    <n v="2419000"/>
    <m/>
    <m/>
    <m/>
    <n v="369000"/>
    <n v="2050000"/>
    <n v="321"/>
    <n v="9"/>
    <n v="8.1205479452054803"/>
    <n v="200320"/>
    <n v="1849680"/>
    <x v="71"/>
    <n v="0"/>
  </r>
  <r>
    <n v="202"/>
    <x v="49"/>
    <x v="15"/>
    <n v="833063500"/>
    <d v="2023-04-29T00:00:00"/>
    <d v="2023-05-15T00:00:00"/>
    <s v="Schwing Stetter (India) Pvt. Ltd."/>
    <d v="2023-05-15T00:00:00"/>
    <n v="2419000"/>
    <m/>
    <m/>
    <m/>
    <n v="369000"/>
    <n v="2050000"/>
    <n v="321"/>
    <n v="3"/>
    <n v="2.1205479452054794"/>
    <n v="600959"/>
    <n v="1449041"/>
    <x v="71"/>
    <n v="0"/>
  </r>
  <r>
    <n v="203"/>
    <x v="49"/>
    <x v="15"/>
    <n v="833063591"/>
    <d v="2023-04-30T00:00:00"/>
    <d v="2023-05-15T00:00:00"/>
    <s v="Schwing Stetter (India) Pvt. Ltd."/>
    <d v="2023-05-15T00:00:00"/>
    <n v="2419000"/>
    <m/>
    <m/>
    <m/>
    <n v="369000"/>
    <n v="2050000"/>
    <n v="321"/>
    <n v="9"/>
    <n v="8.1205479452054803"/>
    <n v="200320"/>
    <n v="1849680"/>
    <x v="71"/>
    <n v="0"/>
  </r>
  <r>
    <n v="204"/>
    <x v="49"/>
    <x v="15"/>
    <n v="833063588"/>
    <d v="2023-04-30T00:00:00"/>
    <d v="2023-05-15T00:00:00"/>
    <s v="Schwing Stetter (India) Pvt. Ltd."/>
    <d v="2023-05-15T00:00:00"/>
    <n v="2419000"/>
    <m/>
    <m/>
    <m/>
    <n v="369000"/>
    <n v="2050000"/>
    <n v="321"/>
    <n v="9"/>
    <n v="8.1205479452054803"/>
    <n v="200320"/>
    <n v="1849680"/>
    <x v="71"/>
    <n v="0"/>
  </r>
  <r>
    <n v="205"/>
    <x v="49"/>
    <x v="15"/>
    <n v="833063589"/>
    <d v="2023-04-30T00:00:00"/>
    <d v="2023-05-15T00:00:00"/>
    <s v="Schwing Stetter (India) Pvt. Ltd."/>
    <d v="2023-05-15T00:00:00"/>
    <n v="2419000"/>
    <m/>
    <m/>
    <m/>
    <n v="369000"/>
    <n v="2050000"/>
    <n v="321"/>
    <n v="9"/>
    <n v="8.1205479452054803"/>
    <n v="200320"/>
    <n v="1849680"/>
    <x v="71"/>
    <n v="0"/>
  </r>
  <r>
    <n v="206"/>
    <x v="46"/>
    <x v="15"/>
    <n v="3223"/>
    <d v="2023-08-10T00:00:00"/>
    <d v="2023-08-11T00:00:00"/>
    <s v="Shree Ram Trading"/>
    <d v="2023-08-11T00:00:00"/>
    <n v="22963"/>
    <m/>
    <m/>
    <m/>
    <n v="3503"/>
    <n v="19460"/>
    <n v="233"/>
    <n v="3"/>
    <n v="2.3616438356164382"/>
    <n v="4141"/>
    <n v="15319"/>
    <x v="72"/>
    <n v="0"/>
  </r>
  <r>
    <n v="207"/>
    <x v="50"/>
    <x v="15"/>
    <s v="M1/EX/23-24/56"/>
    <d v="2023-05-10T00:00:00"/>
    <d v="2023-05-20T00:00:00"/>
    <s v="Madhura Engineering Services Pvt. Ltd."/>
    <d v="2023-05-20T00:00:00"/>
    <n v="2773343"/>
    <n v="0"/>
    <m/>
    <m/>
    <n v="432000"/>
    <n v="2341343"/>
    <n v="316"/>
    <n v="9"/>
    <n v="8.1342465753424662"/>
    <n v="225225"/>
    <n v="2116118"/>
    <x v="73"/>
    <n v="0"/>
  </r>
  <r>
    <n v="208"/>
    <x v="50"/>
    <x v="15"/>
    <s v="M1/EX/23-24/55"/>
    <d v="2023-05-10T00:00:00"/>
    <d v="2023-05-20T00:00:00"/>
    <s v="Madhura Engineering Services Pvt. Ltd."/>
    <d v="2023-05-20T00:00:00"/>
    <n v="2773343"/>
    <n v="0"/>
    <m/>
    <m/>
    <n v="432000"/>
    <n v="2341343"/>
    <n v="316"/>
    <n v="9"/>
    <n v="8.1342465753424662"/>
    <n v="225225"/>
    <n v="2116118"/>
    <x v="73"/>
    <n v="0"/>
  </r>
  <r>
    <n v="209"/>
    <x v="23"/>
    <x v="15"/>
    <s v="SPS/2324/1005"/>
    <d v="2023-04-10T00:00:00"/>
    <d v="2023-04-18T00:00:00"/>
    <s v="Sri Power Systems"/>
    <d v="2023-04-18T00:00:00"/>
    <n v="802400"/>
    <m/>
    <m/>
    <m/>
    <n v="122400"/>
    <n v="680000"/>
    <n v="348"/>
    <n v="9"/>
    <n v="8.0465753424657542"/>
    <n v="72037"/>
    <n v="607963"/>
    <x v="74"/>
    <n v="0"/>
  </r>
  <r>
    <n v="210"/>
    <x v="51"/>
    <x v="15"/>
    <n v="10214086"/>
    <d v="2023-09-16T00:00:00"/>
    <d v="2023-09-20T00:00:00"/>
    <s v="Schwing Stetter (India) Pvt. Ltd."/>
    <d v="2023-09-20T00:00:00"/>
    <n v="644000"/>
    <m/>
    <m/>
    <m/>
    <n v="69000"/>
    <n v="575000"/>
    <n v="193"/>
    <n v="9"/>
    <n v="8.4712328767123282"/>
    <n v="33782"/>
    <n v="541218"/>
    <x v="75"/>
    <n v="0"/>
  </r>
  <r>
    <n v="211"/>
    <x v="25"/>
    <x v="15"/>
    <s v="INV/23-24/012"/>
    <d v="2023-06-03T00:00:00"/>
    <d v="2023-06-04T00:00:00"/>
    <s v="Rafi Traders"/>
    <d v="2023-06-04T00:00:00"/>
    <n v="50740"/>
    <m/>
    <m/>
    <m/>
    <n v="7740"/>
    <n v="43000"/>
    <n v="301"/>
    <n v="9"/>
    <n v="8.1753424657534239"/>
    <n v="3940"/>
    <n v="39060"/>
    <x v="76"/>
    <n v="0"/>
  </r>
  <r>
    <n v="212"/>
    <x v="25"/>
    <x v="15"/>
    <s v="M1RB/23-24/176"/>
    <d v="2023-09-22T00:00:00"/>
    <d v="2023-10-02T00:00:00"/>
    <s v="Madhura Engineering Services Pvt. Ltd."/>
    <d v="2023-10-02T00:00:00"/>
    <n v="1180000"/>
    <m/>
    <m/>
    <m/>
    <n v="180000"/>
    <n v="1000000"/>
    <n v="181"/>
    <n v="9"/>
    <n v="8.5041095890410965"/>
    <n v="55099"/>
    <n v="944901"/>
    <x v="1"/>
    <n v="1000000"/>
  </r>
  <r>
    <n v="213"/>
    <x v="25"/>
    <x v="15"/>
    <s v="M1RB/23-24/177"/>
    <d v="2023-09-22T00:00:00"/>
    <d v="2023-10-03T00:00:00"/>
    <s v="Madhura Engineering Services Pvt. Ltd."/>
    <d v="2023-10-03T00:00:00"/>
    <n v="1180000"/>
    <m/>
    <m/>
    <m/>
    <n v="180000"/>
    <n v="1000000"/>
    <n v="180"/>
    <n v="9"/>
    <n v="8.506849315068493"/>
    <n v="54795"/>
    <n v="945205"/>
    <x v="1"/>
    <n v="1000000"/>
  </r>
  <r>
    <n v="214"/>
    <x v="39"/>
    <x v="15"/>
    <n v="7272311774"/>
    <d v="2023-09-06T00:00:00"/>
    <d v="2023-09-25T00:00:00"/>
    <s v="Wirtgen India Pvt. Ltd."/>
    <d v="2023-09-25T00:00:00"/>
    <n v="3847193"/>
    <n v="0"/>
    <m/>
    <n v="38433"/>
    <n v="586260"/>
    <n v="3222500"/>
    <n v="188"/>
    <n v="9"/>
    <n v="8.4849315068493159"/>
    <n v="184423"/>
    <n v="3038077"/>
    <x v="77"/>
    <n v="0"/>
  </r>
  <r>
    <n v="215"/>
    <x v="39"/>
    <x v="15"/>
    <n v="7272311775"/>
    <d v="2023-09-06T00:00:00"/>
    <d v="2023-09-25T00:00:00"/>
    <s v="Wirtgen India Pvt. Ltd."/>
    <d v="2023-09-25T00:00:00"/>
    <n v="3847193"/>
    <n v="0"/>
    <m/>
    <n v="38433"/>
    <n v="586260"/>
    <n v="3222500"/>
    <n v="188"/>
    <n v="9"/>
    <n v="8.4849315068493159"/>
    <n v="184423"/>
    <n v="3038077"/>
    <x v="77"/>
    <n v="0"/>
  </r>
  <r>
    <n v="216"/>
    <x v="12"/>
    <x v="15"/>
    <n v="1"/>
    <d v="2023-04-02T00:00:00"/>
    <d v="2023-04-03T00:00:00"/>
    <s v="Sri Venkata Sai Engineering Works"/>
    <d v="2023-04-03T00:00:00"/>
    <n v="339628"/>
    <m/>
    <m/>
    <m/>
    <n v="51808"/>
    <n v="287820"/>
    <n v="363"/>
    <n v="3"/>
    <n v="2.0054794520547947"/>
    <n v="95414"/>
    <n v="192406"/>
    <x v="78"/>
    <n v="0"/>
  </r>
  <r>
    <n v="217"/>
    <x v="12"/>
    <x v="15"/>
    <s v="2023-24/DRL/004"/>
    <d v="2023-04-16T00:00:00"/>
    <d v="2023-04-18T00:00:00"/>
    <s v="DRL Engineering and Fabrication Works"/>
    <d v="2023-04-18T00:00:00"/>
    <n v="736365"/>
    <m/>
    <m/>
    <m/>
    <n v="112327"/>
    <n v="624038"/>
    <n v="348"/>
    <n v="3"/>
    <n v="2.0465753424657533"/>
    <n v="198324"/>
    <n v="425714"/>
    <x v="79"/>
    <n v="0"/>
  </r>
  <r>
    <n v="218"/>
    <x v="12"/>
    <x v="15"/>
    <s v="IV0124/30003217"/>
    <d v="2023-07-10T00:00:00"/>
    <d v="2023-07-12T00:00:00"/>
    <s v="Dynamic Prestress (I) Pvt. Ltd."/>
    <d v="2023-07-12T00:00:00"/>
    <n v="865931"/>
    <m/>
    <m/>
    <m/>
    <n v="132092"/>
    <n v="733839"/>
    <n v="263"/>
    <n v="3"/>
    <n v="2.2794520547945205"/>
    <n v="176255"/>
    <n v="557584"/>
    <x v="80"/>
    <n v="0"/>
  </r>
  <r>
    <n v="219"/>
    <x v="12"/>
    <x v="15"/>
    <s v="IV0124/20002685"/>
    <d v="2023-07-10T00:00:00"/>
    <d v="2023-07-12T00:00:00"/>
    <s v="Dynamic Prestress (I) Pvt. Ltd."/>
    <d v="2023-07-12T00:00:00"/>
    <n v="485886"/>
    <m/>
    <m/>
    <m/>
    <n v="74119"/>
    <n v="411767"/>
    <n v="263"/>
    <n v="3"/>
    <n v="2.2794520547945205"/>
    <n v="98899"/>
    <n v="312868"/>
    <x v="81"/>
    <n v="0"/>
  </r>
  <r>
    <n v="220"/>
    <x v="12"/>
    <x v="15"/>
    <s v="IV0124/30004459"/>
    <d v="2023-11-02T00:00:00"/>
    <d v="2023-11-09T00:00:00"/>
    <s v="Dynamic Prestress (I) Pvt. Ltd."/>
    <d v="2023-11-09T00:00:00"/>
    <n v="1275108"/>
    <m/>
    <m/>
    <m/>
    <n v="194508"/>
    <n v="1080600"/>
    <n v="143"/>
    <n v="3"/>
    <n v="2.6082191780821917"/>
    <n v="141119"/>
    <n v="939481"/>
    <x v="1"/>
    <n v="1080600"/>
  </r>
  <r>
    <n v="221"/>
    <x v="12"/>
    <x v="15"/>
    <s v="IV0124/10002356"/>
    <d v="2023-11-02T00:00:00"/>
    <d v="2023-11-09T00:00:00"/>
    <s v="Dynamic Prestress (I) Pvt. Ltd."/>
    <d v="2023-11-09T00:00:00"/>
    <n v="483706"/>
    <m/>
    <m/>
    <m/>
    <n v="73785.600000000006"/>
    <n v="409920.4"/>
    <n v="143"/>
    <n v="3"/>
    <n v="2.6082191780821917"/>
    <n v="53533"/>
    <n v="356387.4"/>
    <x v="1"/>
    <n v="409920.4"/>
  </r>
  <r>
    <n v="222"/>
    <x v="12"/>
    <x v="15"/>
    <s v="IV0124/10002355"/>
    <d v="2023-11-02T00:00:00"/>
    <d v="2023-11-09T00:00:00"/>
    <s v="Dynamic Prestress (I) Pvt. Ltd."/>
    <d v="2023-11-09T00:00:00"/>
    <n v="1837562"/>
    <m/>
    <m/>
    <m/>
    <n v="280306"/>
    <n v="1557256"/>
    <n v="143"/>
    <n v="3"/>
    <n v="2.6082191780821917"/>
    <n v="203368"/>
    <n v="1353888"/>
    <x v="1"/>
    <n v="1557256"/>
  </r>
  <r>
    <n v="223"/>
    <x v="13"/>
    <x v="15"/>
    <n v="7"/>
    <d v="2023-04-17T00:00:00"/>
    <d v="2023-04-18T00:00:00"/>
    <s v="Sri Venkata Sai Engineering Works"/>
    <d v="2023-04-18T00:00:00"/>
    <n v="360136"/>
    <m/>
    <m/>
    <m/>
    <n v="54936"/>
    <n v="305200"/>
    <n v="348"/>
    <n v="3"/>
    <n v="2.0465753424657533"/>
    <n v="96995"/>
    <n v="208205"/>
    <x v="82"/>
    <n v="0"/>
  </r>
  <r>
    <n v="224"/>
    <x v="13"/>
    <x v="15"/>
    <n v="17"/>
    <d v="2023-04-19T00:00:00"/>
    <d v="2023-04-19T00:00:00"/>
    <s v="Expert Fabrication &amp; Engineering Works"/>
    <d v="2023-04-19T00:00:00"/>
    <n v="2166046"/>
    <m/>
    <m/>
    <m/>
    <n v="330414"/>
    <n v="1835632"/>
    <n v="347"/>
    <n v="3"/>
    <n v="2.0493150684931507"/>
    <n v="581703"/>
    <n v="1253929"/>
    <x v="83"/>
    <n v="0"/>
  </r>
  <r>
    <n v="225"/>
    <x v="13"/>
    <x v="15"/>
    <s v="2023-24/DRL/007"/>
    <d v="2023-04-20T00:00:00"/>
    <d v="2023-04-20T00:00:00"/>
    <s v="DRL Engineering and Fabrication Works"/>
    <d v="2023-04-20T00:00:00"/>
    <n v="579296"/>
    <m/>
    <m/>
    <m/>
    <n v="88368"/>
    <n v="490928"/>
    <n v="346"/>
    <n v="3"/>
    <n v="2.0520547945205481"/>
    <n v="155124"/>
    <n v="335804"/>
    <x v="84"/>
    <n v="0"/>
  </r>
  <r>
    <n v="226"/>
    <x v="13"/>
    <x v="15"/>
    <s v="DAF-23-24-0061"/>
    <d v="2023-05-20T00:00:00"/>
    <d v="2023-05-31T00:00:00"/>
    <s v="D.E.C Industries Pvt. Ltd."/>
    <d v="2023-05-31T00:00:00"/>
    <n v="845593"/>
    <m/>
    <m/>
    <m/>
    <n v="128989"/>
    <n v="716604"/>
    <n v="305"/>
    <n v="3"/>
    <n v="2.1643835616438354"/>
    <n v="199602"/>
    <n v="517002"/>
    <x v="85"/>
    <n v="0"/>
  </r>
  <r>
    <n v="227"/>
    <x v="13"/>
    <x v="15"/>
    <n v="30"/>
    <d v="2023-07-25T00:00:00"/>
    <d v="2023-07-27T00:00:00"/>
    <s v="Sri Venkata Sai Engineering Works"/>
    <d v="2023-07-27T00:00:00"/>
    <n v="317585"/>
    <m/>
    <m/>
    <m/>
    <n v="48446"/>
    <n v="269139"/>
    <n v="248"/>
    <n v="2"/>
    <n v="1.3205479452054796"/>
    <n v="91434"/>
    <n v="177705"/>
    <x v="86"/>
    <n v="0"/>
  </r>
  <r>
    <n v="228"/>
    <x v="13"/>
    <x v="15"/>
    <s v="2023-24/DRL/056"/>
    <d v="2023-07-26T00:00:00"/>
    <d v="2023-07-26T00:00:00"/>
    <s v="DRL Engineering and Fabrication Works"/>
    <d v="2023-07-26T00:00:00"/>
    <n v="748756"/>
    <m/>
    <m/>
    <m/>
    <n v="114218"/>
    <n v="634538"/>
    <n v="249"/>
    <n v="3"/>
    <n v="2.3178082191780822"/>
    <n v="144292"/>
    <n v="490246"/>
    <x v="87"/>
    <n v="0"/>
  </r>
  <r>
    <n v="229"/>
    <x v="13"/>
    <x v="15"/>
    <s v="SAS1924/2023-24"/>
    <d v="2024-01-13T00:00:00"/>
    <d v="2024-01-18T00:00:00"/>
    <s v="Sri Ambica Steels &amp; Metals (India) Pvt. Ltd."/>
    <d v="2024-01-18T00:00:00"/>
    <n v="2081024"/>
    <m/>
    <m/>
    <m/>
    <n v="317445"/>
    <n v="1763579"/>
    <n v="73"/>
    <n v="3"/>
    <n v="2.8"/>
    <n v="117572"/>
    <n v="1646007"/>
    <x v="1"/>
    <n v="1763579"/>
  </r>
  <r>
    <n v="230"/>
    <x v="13"/>
    <x v="15"/>
    <s v="AFW-23-24-0886"/>
    <d v="2024-03-06T00:00:00"/>
    <d v="2024-03-11T00:00:00"/>
    <s v="D.E.C Industries Pvt. Ltd."/>
    <d v="2024-03-11T00:00:00"/>
    <n v="1377414"/>
    <m/>
    <m/>
    <m/>
    <n v="210114"/>
    <n v="1167300"/>
    <n v="20"/>
    <n v="3"/>
    <n v="2.9452054794520546"/>
    <n v="21321"/>
    <n v="1145979"/>
    <x v="1"/>
    <n v="1167300"/>
  </r>
  <r>
    <n v="231"/>
    <x v="13"/>
    <x v="15"/>
    <s v="AFW-23-24-0908"/>
    <d v="2024-03-12T00:00:00"/>
    <d v="2024-03-16T00:00:00"/>
    <s v="D.E.C Industries Pvt. Ltd."/>
    <d v="2024-03-16T00:00:00"/>
    <n v="1605897"/>
    <m/>
    <m/>
    <m/>
    <n v="244968"/>
    <n v="1360929"/>
    <n v="15"/>
    <n v="3"/>
    <n v="2.9589041095890409"/>
    <n v="18643"/>
    <n v="1342286"/>
    <x v="1"/>
    <n v="1360929"/>
  </r>
  <r>
    <n v="232"/>
    <x v="14"/>
    <x v="15"/>
    <s v="MKT/460/23-24"/>
    <d v="2023-10-28T00:00:00"/>
    <d v="2023-10-28T00:00:00"/>
    <s v="M.K.T.Engineering"/>
    <d v="2023-10-28T00:00:00"/>
    <n v="16520"/>
    <m/>
    <m/>
    <m/>
    <n v="2520"/>
    <n v="14000"/>
    <n v="155"/>
    <n v="3"/>
    <n v="2.5753424657534247"/>
    <n v="1982"/>
    <n v="12018"/>
    <x v="1"/>
    <n v="14000"/>
  </r>
  <r>
    <n v="233"/>
    <x v="1"/>
    <x v="15"/>
    <s v="OTC/00600/23-24"/>
    <d v="2023-09-25T00:00:00"/>
    <d v="2023-09-25T00:00:00"/>
    <s v="Orissa Trade Centre"/>
    <d v="2023-09-25T00:00:00"/>
    <n v="24426"/>
    <m/>
    <m/>
    <m/>
    <n v="3726"/>
    <n v="20700"/>
    <n v="188"/>
    <n v="9"/>
    <n v="8.4849315068493159"/>
    <n v="1185"/>
    <n v="19515"/>
    <x v="88"/>
    <n v="0"/>
  </r>
  <r>
    <n v="234"/>
    <x v="1"/>
    <x v="15"/>
    <s v="OTC/00625/23-24"/>
    <d v="2023-09-25T00:00:00"/>
    <d v="2023-09-25T00:00:00"/>
    <s v="Orissa Trade Centre"/>
    <d v="2023-09-25T00:00:00"/>
    <n v="12213"/>
    <m/>
    <m/>
    <m/>
    <n v="1863"/>
    <n v="10350"/>
    <n v="188"/>
    <n v="9"/>
    <n v="8.4849315068493159"/>
    <n v="592"/>
    <n v="9758"/>
    <x v="89"/>
    <n v="0"/>
  </r>
  <r>
    <n v="235"/>
    <x v="2"/>
    <x v="15"/>
    <n v="1054"/>
    <d v="2023-07-15T00:00:00"/>
    <d v="2023-07-23T00:00:00"/>
    <s v="S.R.Advan Tech Systems Pvt. Ltd."/>
    <d v="2023-07-23T00:00:00"/>
    <n v="330400"/>
    <m/>
    <m/>
    <m/>
    <n v="50400"/>
    <n v="280000"/>
    <n v="252"/>
    <n v="9"/>
    <n v="8.3095890410958901"/>
    <n v="21479"/>
    <n v="258521"/>
    <x v="90"/>
    <n v="0"/>
  </r>
  <r>
    <n v="236"/>
    <x v="52"/>
    <x v="15"/>
    <m/>
    <d v="2023-06-30T00:00:00"/>
    <d v="2023-06-30T00:00:00"/>
    <m/>
    <d v="2023-06-30T00:00:00"/>
    <n v="32140"/>
    <m/>
    <n v="0"/>
    <m/>
    <m/>
    <n v="32140"/>
    <n v="275"/>
    <n v="9"/>
    <n v="8.2465753424657535"/>
    <n v="2691"/>
    <n v="29449"/>
    <x v="91"/>
    <n v="0"/>
  </r>
  <r>
    <n v="237"/>
    <x v="53"/>
    <x v="15"/>
    <s v="TN2372015176"/>
    <d v="2024-01-30T00:00:00"/>
    <d v="2024-02-27T00:00:00"/>
    <s v="Ashok Leyland Limited"/>
    <d v="2024-02-27T00:00:00"/>
    <n v="750000"/>
    <m/>
    <m/>
    <m/>
    <n v="80358"/>
    <n v="669642"/>
    <n v="33"/>
    <n v="9"/>
    <n v="8.9095890410958898"/>
    <n v="6727"/>
    <n v="662915"/>
    <x v="1"/>
    <n v="669642"/>
  </r>
  <r>
    <n v="238"/>
    <x v="21"/>
    <x v="16"/>
    <n v="87151394"/>
    <d v="2023-05-31T00:00:00"/>
    <d v="2023-05-31T00:00:00"/>
    <s v="Schwing Stetter (India) Pvt. Ltd."/>
    <d v="2023-05-31T00:00:00"/>
    <n v="4350070"/>
    <m/>
    <m/>
    <n v="43070"/>
    <n v="657000"/>
    <n v="3650000"/>
    <n v="305"/>
    <n v="9"/>
    <n v="8.1643835616438363"/>
    <n v="338889"/>
    <n v="3311111"/>
    <x v="92"/>
    <n v="0"/>
  </r>
  <r>
    <n v="239"/>
    <x v="54"/>
    <x v="16"/>
    <m/>
    <d v="2023-07-20T00:00:00"/>
    <d v="2023-07-20T00:00:00"/>
    <m/>
    <d v="2023-07-20T00:00:00"/>
    <n v="24390"/>
    <m/>
    <m/>
    <m/>
    <m/>
    <n v="24390"/>
    <n v="255"/>
    <n v="9"/>
    <n v="8.3013698630136989"/>
    <n v="1893"/>
    <n v="22497"/>
    <x v="93"/>
    <n v="0"/>
  </r>
  <r>
    <n v="240"/>
    <x v="2"/>
    <x v="16"/>
    <n v="522"/>
    <d v="2023-06-19T00:00:00"/>
    <d v="2023-06-19T00:00:00"/>
    <s v="Sanjeev Agencies"/>
    <d v="2023-06-19T00:00:00"/>
    <n v="35201.759999999995"/>
    <m/>
    <m/>
    <m/>
    <n v="5369.7599999999993"/>
    <n v="29831.999999999996"/>
    <n v="286"/>
    <n v="9"/>
    <n v="8.2164383561643834"/>
    <n v="2597"/>
    <n v="27234.999999999996"/>
    <x v="94"/>
    <n v="0"/>
  </r>
  <r>
    <n v="241"/>
    <x v="53"/>
    <x v="3"/>
    <n v="816869893"/>
    <d v="2024-01-30T00:00:00"/>
    <d v="2024-02-27T00:00:00"/>
    <s v="Ashok Leyland Limited"/>
    <d v="2024-02-27T00:00:00"/>
    <n v="750000"/>
    <m/>
    <m/>
    <m/>
    <n v="80357"/>
    <n v="669643"/>
    <n v="33"/>
    <n v="9"/>
    <n v="8.9095890410958898"/>
    <n v="6727"/>
    <n v="662916"/>
    <x v="1"/>
    <n v="669643"/>
  </r>
  <r>
    <n v="242"/>
    <x v="55"/>
    <x v="17"/>
    <n v="1010230860"/>
    <d v="2023-06-02T00:00:00"/>
    <d v="2023-06-02T00:00:00"/>
    <s v="Dozco (India) Pvt. Ltd."/>
    <d v="2023-06-02T00:00:00"/>
    <n v="11328000"/>
    <m/>
    <m/>
    <m/>
    <n v="1728000"/>
    <n v="9600000"/>
    <n v="303"/>
    <n v="9"/>
    <n v="8.169863013698631"/>
    <n v="885479"/>
    <n v="8714521"/>
    <x v="95"/>
    <n v="0"/>
  </r>
  <r>
    <n v="243"/>
    <x v="55"/>
    <x v="17"/>
    <n v="1010230861"/>
    <d v="2023-06-02T00:00:00"/>
    <d v="2023-06-02T00:00:00"/>
    <s v="Dozco (India) Pvt. Ltd."/>
    <d v="2023-06-02T00:00:00"/>
    <n v="11328000"/>
    <m/>
    <m/>
    <m/>
    <n v="1728000"/>
    <n v="9600000"/>
    <n v="303"/>
    <n v="9"/>
    <n v="8.169863013698631"/>
    <n v="885479"/>
    <n v="8714521"/>
    <x v="95"/>
    <n v="0"/>
  </r>
  <r>
    <n v="244"/>
    <x v="50"/>
    <x v="17"/>
    <s v="M1/EX/23-24/21"/>
    <d v="2023-04-20T00:00:00"/>
    <d v="2023-04-26T00:00:00"/>
    <s v="Madhura Engineering Services Pvt. Ltd."/>
    <d v="2023-04-26T00:00:00"/>
    <n v="10406294"/>
    <n v="0"/>
    <n v="0"/>
    <m/>
    <n v="1656000"/>
    <n v="8750294"/>
    <n v="340"/>
    <n v="9"/>
    <n v="8.0684931506849313"/>
    <n v="905662"/>
    <n v="7844632"/>
    <x v="96"/>
    <n v="0"/>
  </r>
  <r>
    <n v="245"/>
    <x v="50"/>
    <x v="17"/>
    <s v="M1/EX/23-24/22"/>
    <d v="2023-04-20T00:00:00"/>
    <d v="2023-04-26T00:00:00"/>
    <s v="Madhura Engineering Services Pvt. Ltd."/>
    <d v="2023-04-26T00:00:00"/>
    <n v="10856000"/>
    <n v="0"/>
    <m/>
    <m/>
    <n v="1656000"/>
    <n v="9200000"/>
    <n v="340"/>
    <n v="9"/>
    <n v="8.0684931506849313"/>
    <n v="952207"/>
    <n v="8247793"/>
    <x v="97"/>
    <n v="0"/>
  </r>
  <r>
    <n v="246"/>
    <x v="50"/>
    <x v="17"/>
    <s v="M1/EX/23-24/23"/>
    <d v="2023-04-20T00:00:00"/>
    <d v="2023-04-26T00:00:00"/>
    <s v="Madhura Engineering Services Pvt. Ltd."/>
    <d v="2023-04-26T00:00:00"/>
    <n v="10856000"/>
    <n v="0"/>
    <m/>
    <m/>
    <n v="1656000"/>
    <n v="9200000"/>
    <n v="340"/>
    <n v="9"/>
    <n v="8.0684931506849313"/>
    <n v="952207"/>
    <n v="8247793"/>
    <x v="97"/>
    <n v="0"/>
  </r>
  <r>
    <n v="247"/>
    <x v="50"/>
    <x v="17"/>
    <s v="M1/EX/23-24/24"/>
    <d v="2023-04-20T00:00:00"/>
    <d v="2023-04-26T00:00:00"/>
    <s v="Madhura Engineering Services Pvt. Ltd."/>
    <d v="2023-04-26T00:00:00"/>
    <n v="10856000"/>
    <n v="0"/>
    <m/>
    <m/>
    <n v="1656000"/>
    <n v="9200000"/>
    <n v="340"/>
    <n v="9"/>
    <n v="8.0684931506849313"/>
    <n v="952207"/>
    <n v="8247793"/>
    <x v="97"/>
    <n v="0"/>
  </r>
  <r>
    <n v="248"/>
    <x v="50"/>
    <x v="17"/>
    <s v="M1/EX/23-24/57"/>
    <d v="2023-05-01T00:00:00"/>
    <d v="2023-05-23T00:00:00"/>
    <s v="Madhura Engineering Services Pvt. Ltd."/>
    <d v="2023-05-23T00:00:00"/>
    <n v="10856000"/>
    <n v="0"/>
    <m/>
    <m/>
    <n v="1656000"/>
    <n v="9200000"/>
    <n v="313"/>
    <n v="9"/>
    <n v="8.1424657534246574"/>
    <n v="876591"/>
    <n v="8323409"/>
    <x v="97"/>
    <n v="0"/>
  </r>
  <r>
    <n v="249"/>
    <x v="50"/>
    <x v="17"/>
    <s v="M1/EX/23-24/58"/>
    <d v="2023-05-01T00:00:00"/>
    <d v="2023-05-23T00:00:00"/>
    <s v="Madhura Engineering Services Pvt. Ltd."/>
    <d v="2023-05-23T00:00:00"/>
    <n v="10856000"/>
    <n v="0"/>
    <m/>
    <m/>
    <n v="1656000"/>
    <n v="9200000"/>
    <n v="313"/>
    <n v="9"/>
    <n v="8.1424657534246574"/>
    <n v="876591"/>
    <n v="8323409"/>
    <x v="97"/>
    <n v="0"/>
  </r>
  <r>
    <n v="250"/>
    <x v="50"/>
    <x v="17"/>
    <s v=" "/>
    <d v="2023-05-23T00:00:00"/>
    <d v="2023-05-23T00:00:00"/>
    <s v="Madhura Engineering Services Pvt. Ltd."/>
    <d v="2023-05-23T00:00:00"/>
    <n v="0"/>
    <n v="0"/>
    <m/>
    <m/>
    <n v="0"/>
    <n v="0"/>
    <n v="313"/>
    <n v="876591"/>
    <n v="8323409"/>
    <n v="0"/>
    <n v="0"/>
    <x v="0"/>
    <m/>
  </r>
  <r>
    <n v="251"/>
    <x v="38"/>
    <x v="17"/>
    <s v="M1/MG/23-24/61"/>
    <d v="2023-05-13T00:00:00"/>
    <d v="2023-05-23T00:00:00"/>
    <s v="Madhura Engineering Services Pvt. Ltd."/>
    <d v="2023-05-23T00:00:00"/>
    <n v="6964441"/>
    <n v="0"/>
    <n v="41845"/>
    <n v="70800"/>
    <n v="1080000"/>
    <n v="5855486"/>
    <n v="313"/>
    <n v="9"/>
    <n v="8.1424657534246574"/>
    <n v="557920"/>
    <n v="5297566"/>
    <x v="98"/>
    <n v="0"/>
  </r>
  <r>
    <n v="252"/>
    <x v="38"/>
    <x v="17"/>
    <s v="M1/MG/23-24/77"/>
    <d v="2023-06-09T00:00:00"/>
    <d v="2023-06-20T00:00:00"/>
    <s v="Madhura Engineering Services Pvt. Ltd."/>
    <d v="2023-06-20T00:00:00"/>
    <n v="6964441"/>
    <n v="0"/>
    <m/>
    <n v="70800"/>
    <n v="1080000"/>
    <n v="5813641"/>
    <n v="285"/>
    <n v="9"/>
    <n v="8.2191780821917817"/>
    <n v="504380"/>
    <n v="5309261"/>
    <x v="99"/>
    <n v="0"/>
  </r>
  <r>
    <n v="253"/>
    <x v="51"/>
    <x v="17"/>
    <n v="10213387"/>
    <d v="2023-04-29T00:00:00"/>
    <d v="2023-06-20T00:00:00"/>
    <s v="Schwing Stetter (India) Pvt. Ltd."/>
    <d v="2023-06-20T00:00:00"/>
    <n v="644000"/>
    <m/>
    <m/>
    <m/>
    <n v="69000"/>
    <n v="575000"/>
    <n v="285"/>
    <n v="3"/>
    <n v="2.2191780821917808"/>
    <n v="149658"/>
    <n v="425342"/>
    <x v="75"/>
    <n v="0"/>
  </r>
  <r>
    <n v="254"/>
    <x v="51"/>
    <x v="17"/>
    <n v="10213386"/>
    <d v="2023-04-29T00:00:00"/>
    <d v="2023-06-20T00:00:00"/>
    <s v="Schwing Stetter (India) Pvt. Ltd."/>
    <d v="2023-06-20T00:00:00"/>
    <n v="644000"/>
    <m/>
    <m/>
    <m/>
    <n v="69000"/>
    <n v="575000"/>
    <n v="285"/>
    <n v="3"/>
    <n v="2.2191780821917808"/>
    <n v="149658"/>
    <n v="425342"/>
    <x v="75"/>
    <n v="0"/>
  </r>
  <r>
    <n v="255"/>
    <x v="56"/>
    <x v="17"/>
    <n v="819"/>
    <d v="2023-07-15T00:00:00"/>
    <d v="2023-07-15T00:00:00"/>
    <s v="Apt Engineering Company"/>
    <d v="2023-07-15T00:00:00"/>
    <n v="104218"/>
    <m/>
    <m/>
    <m/>
    <n v="15898"/>
    <n v="88320"/>
    <n v="260"/>
    <n v="3"/>
    <n v="2.2876712328767121"/>
    <n v="20971"/>
    <n v="67349"/>
    <x v="100"/>
    <n v="0"/>
  </r>
  <r>
    <n v="256"/>
    <x v="40"/>
    <x v="17"/>
    <n v="7272306596"/>
    <d v="2023-06-21T00:00:00"/>
    <d v="2023-06-30T00:00:00"/>
    <s v="Wirtgen India Pvt. Ltd."/>
    <d v="2023-06-30T00:00:00"/>
    <n v="3881692.6"/>
    <m/>
    <m/>
    <n v="38432.6"/>
    <n v="586260"/>
    <n v="3257000"/>
    <n v="275"/>
    <n v="9"/>
    <n v="8.2465753424657535"/>
    <n v="272656"/>
    <n v="2984344"/>
    <x v="101"/>
    <n v="0"/>
  </r>
  <r>
    <n v="257"/>
    <x v="40"/>
    <x v="17"/>
    <n v="7272306168"/>
    <d v="2023-06-21T00:00:00"/>
    <d v="2023-06-30T00:00:00"/>
    <s v="Wirtgen India Pvt. Ltd."/>
    <d v="2023-06-30T00:00:00"/>
    <n v="3881692.6"/>
    <m/>
    <m/>
    <n v="38432.6"/>
    <n v="586260"/>
    <n v="3257000"/>
    <n v="275"/>
    <n v="9"/>
    <n v="8.2465753424657535"/>
    <n v="272656"/>
    <n v="2984344"/>
    <x v="101"/>
    <n v="0"/>
  </r>
  <r>
    <n v="258"/>
    <x v="14"/>
    <x v="17"/>
    <n v="14"/>
    <d v="2023-02-01T00:00:00"/>
    <d v="2023-05-27T00:00:00"/>
    <s v="Mise and Sons Constructions"/>
    <d v="2023-05-27T00:00:00"/>
    <n v="118000"/>
    <m/>
    <m/>
    <m/>
    <n v="18000"/>
    <n v="100000"/>
    <n v="309"/>
    <n v="3"/>
    <n v="2.1534246575342468"/>
    <n v="28219"/>
    <n v="71781"/>
    <x v="102"/>
    <n v="0"/>
  </r>
  <r>
    <n v="259"/>
    <x v="14"/>
    <x v="17"/>
    <n v="15"/>
    <d v="2023-02-02T00:00:00"/>
    <d v="2023-05-27T00:00:00"/>
    <s v="Mise and Sons Constructions"/>
    <d v="2023-05-27T00:00:00"/>
    <n v="118000"/>
    <m/>
    <m/>
    <m/>
    <n v="18000"/>
    <n v="100000"/>
    <n v="309"/>
    <n v="3"/>
    <n v="2.1534246575342468"/>
    <n v="28219"/>
    <n v="71781"/>
    <x v="102"/>
    <n v="0"/>
  </r>
  <r>
    <n v="260"/>
    <x v="14"/>
    <x v="17"/>
    <n v="16"/>
    <d v="2023-02-03T00:00:00"/>
    <d v="2023-05-27T00:00:00"/>
    <s v="Mise and Sons Constructions"/>
    <d v="2023-05-27T00:00:00"/>
    <n v="118000"/>
    <m/>
    <m/>
    <m/>
    <n v="18000"/>
    <n v="100000"/>
    <n v="309"/>
    <n v="3"/>
    <n v="2.1534246575342468"/>
    <n v="28219"/>
    <n v="71781"/>
    <x v="102"/>
    <n v="0"/>
  </r>
  <r>
    <n v="261"/>
    <x v="14"/>
    <x v="17"/>
    <n v="198"/>
    <d v="2023-04-25T00:00:00"/>
    <d v="2023-06-06T00:00:00"/>
    <s v="Apt Engineering Company"/>
    <d v="2023-06-06T00:00:00"/>
    <n v="18998"/>
    <m/>
    <m/>
    <m/>
    <n v="2898"/>
    <n v="16100"/>
    <n v="299"/>
    <n v="3"/>
    <n v="2.1808219178082191"/>
    <n v="4396"/>
    <n v="11704"/>
    <x v="103"/>
    <n v="0"/>
  </r>
  <r>
    <n v="262"/>
    <x v="33"/>
    <x v="17"/>
    <s v="KA2412000042"/>
    <d v="2023-04-23T00:00:00"/>
    <d v="2023-04-23T00:00:00"/>
    <s v="VE Commercial Vehicles Limited"/>
    <d v="2023-04-23T00:00:00"/>
    <n v="11491067"/>
    <n v="0"/>
    <m/>
    <n v="134400"/>
    <n v="2940000"/>
    <n v="8416667"/>
    <n v="343"/>
    <n v="9"/>
    <n v="8.0602739726027401"/>
    <n v="878818"/>
    <n v="7537849"/>
    <x v="104"/>
    <n v="0"/>
  </r>
  <r>
    <n v="263"/>
    <x v="33"/>
    <x v="17"/>
    <s v="KA2412000041"/>
    <d v="2023-04-23T00:00:00"/>
    <d v="2023-04-23T00:00:00"/>
    <s v="VE Commercial Vehicles Limited"/>
    <d v="2023-04-23T00:00:00"/>
    <n v="11491067"/>
    <n v="0"/>
    <m/>
    <n v="134400"/>
    <n v="2940000"/>
    <n v="8416667"/>
    <n v="343"/>
    <n v="9"/>
    <n v="8.0602739726027401"/>
    <n v="878818"/>
    <n v="7537849"/>
    <x v="104"/>
    <n v="0"/>
  </r>
  <r>
    <n v="264"/>
    <x v="33"/>
    <x v="17"/>
    <s v="KA2412000040"/>
    <d v="2023-04-23T00:00:00"/>
    <d v="2023-04-23T00:00:00"/>
    <s v="VE Commercial Vehicles Limited"/>
    <d v="2023-04-23T00:00:00"/>
    <n v="11491067"/>
    <n v="0"/>
    <m/>
    <n v="134400"/>
    <n v="2940000"/>
    <n v="8416667"/>
    <n v="343"/>
    <n v="9"/>
    <n v="8.0602739726027401"/>
    <n v="878818"/>
    <n v="7537849"/>
    <x v="104"/>
    <n v="0"/>
  </r>
  <r>
    <n v="265"/>
    <x v="33"/>
    <x v="17"/>
    <s v="KA2412000039"/>
    <d v="2023-04-23T00:00:00"/>
    <d v="2023-04-23T00:00:00"/>
    <s v="VE Commercial Vehicles Limited"/>
    <d v="2023-04-23T00:00:00"/>
    <n v="11491067"/>
    <n v="0"/>
    <m/>
    <n v="134400"/>
    <n v="2940000"/>
    <n v="8416667"/>
    <n v="343"/>
    <n v="3"/>
    <n v="2.0602739726027397"/>
    <n v="2636454"/>
    <n v="5780213"/>
    <x v="104"/>
    <n v="0"/>
  </r>
  <r>
    <n v="266"/>
    <x v="33"/>
    <x v="17"/>
    <s v="KA2412000038"/>
    <d v="2023-04-23T00:00:00"/>
    <d v="2023-04-23T00:00:00"/>
    <s v="VE Commercial Vehicles Limited"/>
    <d v="2023-04-23T00:00:00"/>
    <n v="11491067"/>
    <n v="0"/>
    <m/>
    <n v="134400"/>
    <n v="2940000"/>
    <n v="8416667"/>
    <n v="343"/>
    <n v="9"/>
    <n v="8.0602739726027401"/>
    <n v="878818"/>
    <n v="7537849"/>
    <x v="104"/>
    <n v="0"/>
  </r>
  <r>
    <n v="267"/>
    <x v="33"/>
    <x v="17"/>
    <s v="KA2412000037"/>
    <d v="2023-04-23T00:00:00"/>
    <d v="2023-04-24T00:00:00"/>
    <s v="VE Commercial Vehicles Limited"/>
    <d v="2023-04-24T00:00:00"/>
    <n v="11491067"/>
    <n v="0"/>
    <m/>
    <n v="134400"/>
    <n v="2940000"/>
    <n v="8416667"/>
    <n v="342"/>
    <n v="9"/>
    <n v="8.0630136986301366"/>
    <n v="876256"/>
    <n v="7540411"/>
    <x v="104"/>
    <n v="0"/>
  </r>
  <r>
    <n v="268"/>
    <x v="33"/>
    <x v="17"/>
    <s v="KA2412000036"/>
    <d v="2023-04-23T00:00:00"/>
    <d v="2023-04-24T00:00:00"/>
    <s v="VE Commercial Vehicles Limited"/>
    <d v="2023-04-24T00:00:00"/>
    <n v="11491067"/>
    <n v="0"/>
    <m/>
    <n v="134400"/>
    <n v="2940000"/>
    <n v="8416667"/>
    <n v="342"/>
    <n v="9"/>
    <n v="8.0630136986301366"/>
    <n v="876256"/>
    <n v="7540411"/>
    <x v="104"/>
    <n v="0"/>
  </r>
  <r>
    <n v="269"/>
    <x v="33"/>
    <x v="17"/>
    <s v="KA2412000055"/>
    <d v="2023-04-24T00:00:00"/>
    <d v="2023-04-24T00:00:00"/>
    <s v="VE Commercial Vehicles Limited"/>
    <d v="2023-04-24T00:00:00"/>
    <n v="11491067"/>
    <n v="0"/>
    <m/>
    <n v="134400"/>
    <n v="2940000"/>
    <n v="8416667"/>
    <n v="342"/>
    <n v="9"/>
    <n v="8.0630136986301366"/>
    <n v="876256"/>
    <n v="7540411"/>
    <x v="104"/>
    <n v="0"/>
  </r>
  <r>
    <n v="270"/>
    <x v="33"/>
    <x v="17"/>
    <s v="KA2412000054"/>
    <d v="2023-04-24T00:00:00"/>
    <d v="2023-04-24T00:00:00"/>
    <s v="VE Commercial Vehicles Limited"/>
    <d v="2023-04-24T00:00:00"/>
    <n v="11491067"/>
    <n v="0"/>
    <m/>
    <n v="134400"/>
    <n v="2940000"/>
    <n v="8416667"/>
    <n v="342"/>
    <n v="9"/>
    <n v="8.0630136986301366"/>
    <n v="876256"/>
    <n v="7540411"/>
    <x v="104"/>
    <n v="0"/>
  </r>
  <r>
    <n v="271"/>
    <x v="33"/>
    <x v="17"/>
    <s v="KA2412000056"/>
    <d v="2023-04-24T00:00:00"/>
    <d v="2023-04-24T00:00:00"/>
    <s v="VE Commercial Vehicles Limited"/>
    <d v="2023-04-24T00:00:00"/>
    <n v="11491067"/>
    <n v="0"/>
    <m/>
    <n v="134400"/>
    <n v="2940000"/>
    <n v="8416667"/>
    <n v="342"/>
    <n v="9"/>
    <n v="8.0630136986301366"/>
    <n v="876256"/>
    <n v="7540411"/>
    <x v="104"/>
    <n v="0"/>
  </r>
  <r>
    <n v="272"/>
    <x v="33"/>
    <x v="17"/>
    <s v="KA2412000221"/>
    <d v="2023-05-25T00:00:00"/>
    <d v="2023-05-25T00:00:00"/>
    <s v="VE Commercial Vehicles Limited"/>
    <d v="2023-05-25T00:00:00"/>
    <n v="12045754"/>
    <n v="0"/>
    <m/>
    <n v="134400"/>
    <n v="2940000"/>
    <n v="8971354"/>
    <n v="311"/>
    <n v="9"/>
    <n v="8.1479452054794521"/>
    <n v="849343"/>
    <n v="8122011"/>
    <x v="105"/>
    <n v="0"/>
  </r>
  <r>
    <n v="273"/>
    <x v="33"/>
    <x v="17"/>
    <s v="KA2412000222"/>
    <d v="2023-05-25T00:00:00"/>
    <d v="2023-05-25T00:00:00"/>
    <s v="VE Commercial Vehicles Limited"/>
    <d v="2023-05-25T00:00:00"/>
    <n v="12045754"/>
    <n v="0"/>
    <m/>
    <n v="134400"/>
    <n v="2940000"/>
    <n v="8971354"/>
    <n v="311"/>
    <n v="9"/>
    <n v="8.1479452054794521"/>
    <n v="849343"/>
    <n v="8122011"/>
    <x v="105"/>
    <n v="0"/>
  </r>
  <r>
    <n v="274"/>
    <x v="33"/>
    <x v="17"/>
    <s v="KA2412000223"/>
    <d v="2023-05-25T00:00:00"/>
    <d v="2023-05-25T00:00:00"/>
    <s v="VE Commercial Vehicles Limited"/>
    <d v="2023-05-25T00:00:00"/>
    <n v="12045754"/>
    <n v="0"/>
    <m/>
    <n v="134400"/>
    <n v="2940000"/>
    <n v="8971354"/>
    <n v="311"/>
    <n v="9"/>
    <n v="8.1479452054794521"/>
    <n v="849343"/>
    <n v="8122011"/>
    <x v="105"/>
    <n v="0"/>
  </r>
  <r>
    <n v="275"/>
    <x v="33"/>
    <x v="17"/>
    <s v="KA2412000220"/>
    <d v="2023-05-25T00:00:00"/>
    <d v="2023-05-25T00:00:00"/>
    <s v="VE Commercial Vehicles Limited"/>
    <d v="2023-05-25T00:00:00"/>
    <n v="12045754"/>
    <n v="0"/>
    <m/>
    <n v="134400"/>
    <n v="2940000"/>
    <n v="8971354"/>
    <n v="311"/>
    <n v="9"/>
    <n v="8.1479452054794521"/>
    <n v="849343"/>
    <n v="8122011"/>
    <x v="105"/>
    <n v="0"/>
  </r>
  <r>
    <n v="276"/>
    <x v="33"/>
    <x v="17"/>
    <s v="KA2412000224"/>
    <d v="2023-05-25T00:00:00"/>
    <d v="2023-05-25T00:00:00"/>
    <s v="VE Commercial Vehicles Limited"/>
    <d v="2023-05-25T00:00:00"/>
    <n v="12045754"/>
    <n v="0"/>
    <n v="20010"/>
    <n v="134400"/>
    <n v="2940000"/>
    <n v="8991364"/>
    <n v="311"/>
    <n v="9"/>
    <n v="8.1479452054794521"/>
    <n v="851237"/>
    <n v="8140127"/>
    <x v="106"/>
    <n v="0"/>
  </r>
  <r>
    <n v="277"/>
    <x v="33"/>
    <x v="17"/>
    <s v="KA2412000244"/>
    <d v="2023-05-27T00:00:00"/>
    <d v="2023-05-31T00:00:00"/>
    <s v="VE Commercial Vehicles Limited"/>
    <d v="2023-05-31T00:00:00"/>
    <n v="12241067"/>
    <n v="0"/>
    <m/>
    <n v="134400"/>
    <n v="2940000"/>
    <n v="9166667"/>
    <n v="305"/>
    <n v="9"/>
    <n v="8.1643835616438363"/>
    <n v="851091"/>
    <n v="8315576"/>
    <x v="107"/>
    <n v="0"/>
  </r>
  <r>
    <n v="278"/>
    <x v="33"/>
    <x v="17"/>
    <s v="KA1333100103"/>
    <d v="2023-08-22T00:00:00"/>
    <d v="2023-08-31T00:00:00"/>
    <s v="VE Commercial Vehicles"/>
    <d v="2023-08-31T00:00:00"/>
    <n v="12241067"/>
    <n v="0"/>
    <m/>
    <n v="134400"/>
    <n v="2940000"/>
    <n v="9166667"/>
    <n v="213"/>
    <n v="9"/>
    <n v="8.4164383561643827"/>
    <n v="594368"/>
    <n v="8572299"/>
    <x v="107"/>
    <n v="0"/>
  </r>
  <r>
    <n v="279"/>
    <x v="33"/>
    <x v="17"/>
    <s v="KA1333100104"/>
    <d v="2023-08-22T00:00:00"/>
    <d v="2023-08-31T00:00:00"/>
    <s v="VE Commercial Vehicles"/>
    <d v="2023-08-31T00:00:00"/>
    <n v="12241067"/>
    <n v="0"/>
    <m/>
    <n v="134400"/>
    <n v="2940000"/>
    <n v="9166667"/>
    <n v="213"/>
    <n v="9"/>
    <n v="8.4164383561643827"/>
    <n v="594368"/>
    <n v="8572299"/>
    <x v="107"/>
    <n v="0"/>
  </r>
  <r>
    <n v="280"/>
    <x v="33"/>
    <x v="17"/>
    <s v="MP2421002443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81"/>
    <x v="33"/>
    <x v="17"/>
    <s v="MP2421002444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3"/>
    <n v="2.1287671232876715"/>
    <n v="1473291"/>
    <n v="3599834"/>
    <x v="108"/>
    <n v="0"/>
  </r>
  <r>
    <n v="282"/>
    <x v="33"/>
    <x v="17"/>
    <s v="MP2421002445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83"/>
    <x v="33"/>
    <x v="17"/>
    <s v="MP2421002446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3"/>
    <n v="2.1287671232876715"/>
    <n v="1473291"/>
    <n v="3599834"/>
    <x v="108"/>
    <n v="0"/>
  </r>
  <r>
    <n v="284"/>
    <x v="33"/>
    <x v="17"/>
    <s v="MP2421002447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85"/>
    <x v="33"/>
    <x v="17"/>
    <s v="MP2421002448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86"/>
    <x v="33"/>
    <x v="17"/>
    <s v="MP2421002450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87"/>
    <x v="33"/>
    <x v="17"/>
    <s v="MP2421002451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88"/>
    <x v="33"/>
    <x v="17"/>
    <s v="MP2421002454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89"/>
    <x v="33"/>
    <x v="17"/>
    <s v="MP2421002457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90"/>
    <x v="33"/>
    <x v="17"/>
    <s v="MP2421002458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91"/>
    <x v="33"/>
    <x v="17"/>
    <s v="MP2421002459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92"/>
    <x v="33"/>
    <x v="17"/>
    <s v="MP2421002460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93"/>
    <x v="33"/>
    <x v="17"/>
    <s v="MP2421002461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94"/>
    <x v="33"/>
    <x v="17"/>
    <s v="MP2421002439"/>
    <d v="2023-04-27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95"/>
    <x v="33"/>
    <x v="17"/>
    <s v="MP2421004228"/>
    <d v="2023-04-30T00:00:00"/>
    <d v="2023-05-18T00:00:00"/>
    <s v="VE Commercial Vehicles Limited"/>
    <d v="2023-05-18T00:00:00"/>
    <n v="6560000"/>
    <n v="0"/>
    <m/>
    <n v="65000"/>
    <n v="1421875"/>
    <n v="5073125"/>
    <n v="318"/>
    <n v="9"/>
    <n v="8.1287671232876715"/>
    <n v="491097"/>
    <n v="4582028"/>
    <x v="108"/>
    <n v="0"/>
  </r>
  <r>
    <n v="296"/>
    <x v="33"/>
    <x v="17"/>
    <s v="MP2421006934"/>
    <d v="2023-05-27T00:00:00"/>
    <d v="2023-05-31T00:00:00"/>
    <s v="VE Commercial Vehicles Limited"/>
    <d v="2023-05-31T00:00:00"/>
    <n v="6560000"/>
    <n v="0"/>
    <m/>
    <n v="65000"/>
    <n v="1421875"/>
    <n v="5073125"/>
    <n v="305"/>
    <n v="9"/>
    <n v="8.1643835616438363"/>
    <n v="471021"/>
    <n v="4602104"/>
    <x v="108"/>
    <n v="0"/>
  </r>
  <r>
    <n v="297"/>
    <x v="33"/>
    <x v="17"/>
    <s v="MP2421006944"/>
    <d v="2023-05-27T00:00:00"/>
    <d v="2023-05-31T00:00:00"/>
    <s v="VE Commercial Vehicles Limited"/>
    <d v="2023-05-31T00:00:00"/>
    <n v="6560000"/>
    <n v="0"/>
    <m/>
    <n v="65000"/>
    <n v="1421875"/>
    <n v="5073125"/>
    <n v="305"/>
    <n v="3"/>
    <n v="2.1643835616438354"/>
    <n v="1413062"/>
    <n v="3660063"/>
    <x v="108"/>
    <n v="0"/>
  </r>
  <r>
    <n v="298"/>
    <x v="33"/>
    <x v="17"/>
    <s v="MP2421006943"/>
    <d v="2023-05-27T00:00:00"/>
    <d v="2023-05-31T00:00:00"/>
    <s v="VE Commercial Vehicles Limited"/>
    <d v="2023-05-31T00:00:00"/>
    <n v="6560000"/>
    <n v="0"/>
    <m/>
    <n v="65000"/>
    <n v="1421875"/>
    <n v="5073125"/>
    <n v="305"/>
    <n v="9"/>
    <n v="8.1643835616438363"/>
    <n v="471021"/>
    <n v="4602104"/>
    <x v="108"/>
    <n v="0"/>
  </r>
  <r>
    <n v="299"/>
    <x v="33"/>
    <x v="17"/>
    <s v="MP2421006942"/>
    <d v="2023-05-27T00:00:00"/>
    <d v="2023-05-31T00:00:00"/>
    <s v="VE Commercial Vehicles Limited"/>
    <d v="2023-05-31T00:00:00"/>
    <n v="6560000"/>
    <n v="0"/>
    <m/>
    <n v="65000"/>
    <n v="1421875"/>
    <n v="5073125"/>
    <n v="305"/>
    <n v="3"/>
    <n v="2.1643835616438354"/>
    <n v="1413062"/>
    <n v="3660063"/>
    <x v="108"/>
    <n v="0"/>
  </r>
  <r>
    <n v="300"/>
    <x v="33"/>
    <x v="17"/>
    <s v="MP2421006940"/>
    <d v="2023-05-27T00:00:00"/>
    <d v="2023-05-31T00:00:00"/>
    <s v="VE Commercial Vehicles Limited"/>
    <d v="2023-05-31T00:00:00"/>
    <n v="6560000"/>
    <n v="0"/>
    <m/>
    <n v="65000"/>
    <n v="1421875"/>
    <n v="5073125"/>
    <n v="305"/>
    <n v="3"/>
    <n v="2.1643835616438354"/>
    <n v="1413062"/>
    <n v="3660063"/>
    <x v="108"/>
    <n v="0"/>
  </r>
  <r>
    <n v="301"/>
    <x v="33"/>
    <x v="17"/>
    <s v="MP2421006939"/>
    <d v="2023-05-27T00:00:00"/>
    <d v="2023-05-31T00:00:00"/>
    <s v="VE Commercial Vehicles Limited"/>
    <d v="2023-05-31T00:00:00"/>
    <n v="6560000"/>
    <n v="0"/>
    <m/>
    <n v="65000"/>
    <n v="1421875"/>
    <n v="5073125"/>
    <n v="305"/>
    <n v="3"/>
    <n v="2.1643835616438354"/>
    <n v="1413062"/>
    <n v="3660063"/>
    <x v="108"/>
    <n v="0"/>
  </r>
  <r>
    <n v="302"/>
    <x v="33"/>
    <x v="17"/>
    <s v="MP2421006937"/>
    <d v="2023-05-27T00:00:00"/>
    <d v="2023-05-31T00:00:00"/>
    <s v="VE Commercial Vehicles Limited"/>
    <d v="2023-05-31T00:00:00"/>
    <n v="6560000"/>
    <n v="0"/>
    <m/>
    <n v="65000"/>
    <n v="1421875"/>
    <n v="5073125"/>
    <n v="305"/>
    <n v="3"/>
    <n v="2.1643835616438354"/>
    <n v="1413062"/>
    <n v="3660063"/>
    <x v="108"/>
    <n v="0"/>
  </r>
  <r>
    <n v="303"/>
    <x v="33"/>
    <x v="17"/>
    <s v="MP2421006936"/>
    <d v="2023-05-27T00:00:00"/>
    <d v="2023-05-31T00:00:00"/>
    <s v="VE Commercial Vehicles Limited"/>
    <d v="2023-05-31T00:00:00"/>
    <n v="6560000"/>
    <n v="0"/>
    <m/>
    <n v="65000"/>
    <n v="1421875"/>
    <n v="5073125"/>
    <n v="305"/>
    <n v="3"/>
    <n v="2.1643835616438354"/>
    <n v="1413062"/>
    <n v="3660063"/>
    <x v="108"/>
    <n v="0"/>
  </r>
  <r>
    <n v="304"/>
    <x v="33"/>
    <x v="17"/>
    <s v="MP2421009098"/>
    <d v="2023-05-31T00:00:00"/>
    <d v="2023-06-19T00:00:00"/>
    <s v="VE Commercial Vehicles Limited"/>
    <d v="2023-06-19T00:00:00"/>
    <n v="6156000"/>
    <n v="0"/>
    <m/>
    <n v="61000"/>
    <n v="1334375"/>
    <n v="4760625"/>
    <n v="286"/>
    <n v="9"/>
    <n v="8.2164383561643834"/>
    <n v="414471"/>
    <n v="4346154"/>
    <x v="109"/>
    <n v="0"/>
  </r>
  <r>
    <n v="305"/>
    <x v="33"/>
    <x v="17"/>
    <s v="MP2421009097"/>
    <d v="2023-05-31T00:00:00"/>
    <d v="2023-06-19T00:00:00"/>
    <s v="VE Commercial Vehicles Limited"/>
    <d v="2023-06-19T00:00:00"/>
    <n v="6156000"/>
    <n v="0"/>
    <m/>
    <n v="61000"/>
    <n v="1334375"/>
    <n v="4760625"/>
    <n v="286"/>
    <n v="9"/>
    <n v="8.2164383561643834"/>
    <n v="414471"/>
    <n v="4346154"/>
    <x v="109"/>
    <n v="0"/>
  </r>
  <r>
    <n v="306"/>
    <x v="33"/>
    <x v="17"/>
    <s v="MP2421009091"/>
    <d v="2023-05-31T00:00:00"/>
    <d v="2023-06-19T00:00:00"/>
    <s v="VE Commercial Vehicles Limited"/>
    <d v="2023-06-19T00:00:00"/>
    <n v="6156000"/>
    <n v="0"/>
    <m/>
    <n v="61000"/>
    <n v="1334375"/>
    <n v="4760625"/>
    <n v="286"/>
    <n v="9"/>
    <n v="8.2164383561643834"/>
    <n v="414471"/>
    <n v="4346154"/>
    <x v="109"/>
    <n v="0"/>
  </r>
  <r>
    <n v="307"/>
    <x v="33"/>
    <x v="17"/>
    <s v="MP2421009094"/>
    <d v="2023-05-31T00:00:00"/>
    <d v="2023-06-19T00:00:00"/>
    <s v="VE Commercial Vehicles Limited"/>
    <d v="2023-06-19T00:00:00"/>
    <n v="6156000"/>
    <n v="0"/>
    <m/>
    <n v="61000"/>
    <n v="1334375"/>
    <n v="4760625"/>
    <n v="286"/>
    <n v="9"/>
    <n v="8.2164383561643834"/>
    <n v="414471"/>
    <n v="4346154"/>
    <x v="109"/>
    <n v="0"/>
  </r>
  <r>
    <n v="308"/>
    <x v="33"/>
    <x v="17"/>
    <s v="MP2421010357"/>
    <d v="2023-06-16T00:00:00"/>
    <d v="2023-06-16T00:00:00"/>
    <s v="VE Commercial Vehicles Limited"/>
    <d v="2023-06-16T00:00:00"/>
    <n v="6560000"/>
    <n v="0"/>
    <m/>
    <n v="65000"/>
    <n v="1421875"/>
    <n v="5073125"/>
    <n v="289"/>
    <n v="3"/>
    <n v="2.2082191780821918"/>
    <n v="1338934"/>
    <n v="3734191"/>
    <x v="108"/>
    <n v="0"/>
  </r>
  <r>
    <n v="309"/>
    <x v="33"/>
    <x v="17"/>
    <s v="MP2421010341"/>
    <d v="2023-06-16T00:00:00"/>
    <d v="2023-06-16T00:00:00"/>
    <s v="VE Commercial Vehicles Limited"/>
    <d v="2023-06-16T00:00:00"/>
    <n v="6560000"/>
    <n v="0"/>
    <m/>
    <n v="65000"/>
    <n v="1421875"/>
    <n v="5073125"/>
    <n v="289"/>
    <n v="9"/>
    <n v="8.2082191780821923"/>
    <n v="446311"/>
    <n v="4626814"/>
    <x v="108"/>
    <n v="0"/>
  </r>
  <r>
    <n v="310"/>
    <x v="33"/>
    <x v="17"/>
    <s v="MP2421010340"/>
    <d v="2023-06-16T00:00:00"/>
    <d v="2023-06-16T00:00:00"/>
    <s v="VE Commercial Vehicles Limited"/>
    <d v="2023-06-16T00:00:00"/>
    <n v="6560000"/>
    <n v="0"/>
    <m/>
    <n v="65000"/>
    <n v="1421875"/>
    <n v="5073125"/>
    <n v="289"/>
    <n v="9"/>
    <n v="8.2082191780821923"/>
    <n v="446311"/>
    <n v="4626814"/>
    <x v="108"/>
    <n v="0"/>
  </r>
  <r>
    <n v="311"/>
    <x v="33"/>
    <x v="17"/>
    <s v="MP2421010339"/>
    <d v="2023-06-16T00:00:00"/>
    <d v="2023-06-16T00:00:00"/>
    <s v="VE Commercial Vehicles Limited"/>
    <d v="2023-06-16T00:00:00"/>
    <n v="6560000"/>
    <n v="0"/>
    <m/>
    <n v="65000"/>
    <n v="1421875"/>
    <n v="5073125"/>
    <n v="289"/>
    <n v="9"/>
    <n v="8.2082191780821923"/>
    <n v="446311"/>
    <n v="4626814"/>
    <x v="108"/>
    <n v="0"/>
  </r>
  <r>
    <n v="312"/>
    <x v="33"/>
    <x v="17"/>
    <s v="MP2421010338"/>
    <d v="2023-06-16T00:00:00"/>
    <d v="2023-06-16T00:00:00"/>
    <s v="VE Commercial Vehicles Limited"/>
    <d v="2023-06-16T00:00:00"/>
    <n v="6560000"/>
    <n v="0"/>
    <m/>
    <n v="65000"/>
    <n v="1421875"/>
    <n v="5073125"/>
    <n v="289"/>
    <n v="9"/>
    <n v="8.2082191780821923"/>
    <n v="446311"/>
    <n v="4626814"/>
    <x v="108"/>
    <n v="0"/>
  </r>
  <r>
    <n v="313"/>
    <x v="33"/>
    <x v="17"/>
    <s v="MP2421010299"/>
    <d v="2023-06-16T00:00:00"/>
    <d v="2023-06-16T00:00:00"/>
    <s v="VE Commercial Vehicles Limited"/>
    <d v="2023-06-16T00:00:00"/>
    <n v="6560000"/>
    <n v="0"/>
    <m/>
    <n v="65000"/>
    <n v="1421875"/>
    <n v="5073125"/>
    <n v="289"/>
    <n v="9"/>
    <n v="8.2082191780821923"/>
    <n v="446311"/>
    <n v="4626814"/>
    <x v="108"/>
    <n v="0"/>
  </r>
  <r>
    <n v="314"/>
    <x v="33"/>
    <x v="17"/>
    <s v="MP2421017445"/>
    <d v="2023-07-31T00:00:00"/>
    <d v="2023-08-31T00:00:00"/>
    <s v="VE Commercial Vehicles"/>
    <d v="2023-08-31T00:00:00"/>
    <n v="6156000"/>
    <n v="0"/>
    <m/>
    <n v="61000"/>
    <n v="1334375"/>
    <n v="4760625"/>
    <n v="213"/>
    <n v="9"/>
    <n v="8.4164383561643827"/>
    <n v="308680"/>
    <n v="4451945"/>
    <x v="109"/>
    <n v="0"/>
  </r>
  <r>
    <n v="315"/>
    <x v="33"/>
    <x v="17"/>
    <s v="IJIPHD2324002221"/>
    <d v="2023-09-25T00:00:00"/>
    <d v="2023-09-30T00:00:00"/>
    <s v="Jasper Industries Pvt. Ltd."/>
    <d v="2023-09-30T00:00:00"/>
    <n v="5656000"/>
    <m/>
    <n v="0"/>
    <n v="56000"/>
    <n v="1225000"/>
    <n v="4375000"/>
    <n v="183"/>
    <n v="9"/>
    <n v="8.4986301369863018"/>
    <n v="243721"/>
    <n v="4131279"/>
    <x v="110"/>
    <n v="0"/>
  </r>
  <r>
    <n v="316"/>
    <x v="33"/>
    <x v="17"/>
    <s v="IJIPHD2324002222"/>
    <d v="2023-09-25T00:00:00"/>
    <d v="2023-09-30T00:00:00"/>
    <s v="Jasper Industries Pvt. Ltd."/>
    <d v="2023-09-30T00:00:00"/>
    <n v="5656000"/>
    <m/>
    <m/>
    <n v="56000"/>
    <n v="1225000"/>
    <n v="4375000"/>
    <n v="183"/>
    <n v="3"/>
    <n v="2.4986301369863013"/>
    <n v="731164"/>
    <n v="3643836"/>
    <x v="110"/>
    <n v="0"/>
  </r>
  <r>
    <n v="317"/>
    <x v="33"/>
    <x v="17"/>
    <s v="IJIPHD2324002223"/>
    <d v="2023-09-25T00:00:00"/>
    <d v="2023-09-30T00:00:00"/>
    <s v="Jasper Industries Pvt. Ltd."/>
    <d v="2023-09-30T00:00:00"/>
    <n v="5656000"/>
    <m/>
    <m/>
    <n v="56000"/>
    <n v="1225000"/>
    <n v="4375000"/>
    <n v="183"/>
    <n v="3"/>
    <n v="2.4986301369863013"/>
    <n v="731164"/>
    <n v="3643836"/>
    <x v="110"/>
    <n v="0"/>
  </r>
  <r>
    <n v="318"/>
    <x v="33"/>
    <x v="17"/>
    <s v="IJIPHD2324002218"/>
    <d v="2023-09-25T00:00:00"/>
    <d v="2023-09-30T00:00:00"/>
    <s v="Jasper Industries Pvt. Ltd."/>
    <d v="2023-09-30T00:00:00"/>
    <n v="5656000"/>
    <m/>
    <m/>
    <n v="56000"/>
    <n v="1225000"/>
    <n v="4375000"/>
    <n v="183"/>
    <n v="9"/>
    <n v="8.4986301369863018"/>
    <n v="243721"/>
    <n v="4131279"/>
    <x v="110"/>
    <n v="0"/>
  </r>
  <r>
    <n v="319"/>
    <x v="33"/>
    <x v="17"/>
    <s v="IJIPHD2324002217"/>
    <d v="2023-09-25T00:00:00"/>
    <d v="2023-09-30T00:00:00"/>
    <s v="Jasper Industries Pvt. Ltd."/>
    <d v="2023-09-30T00:00:00"/>
    <n v="5656000"/>
    <m/>
    <m/>
    <n v="56000"/>
    <n v="1225000"/>
    <n v="4375000"/>
    <n v="183"/>
    <n v="9"/>
    <n v="8.4986301369863018"/>
    <n v="243721"/>
    <n v="4131279"/>
    <x v="110"/>
    <n v="0"/>
  </r>
  <r>
    <n v="320"/>
    <x v="33"/>
    <x v="17"/>
    <s v="IJIPHD2324002220"/>
    <d v="2023-09-25T00:00:00"/>
    <d v="2023-09-30T00:00:00"/>
    <s v="Jasper Industries Pvt. Ltd."/>
    <d v="2023-09-30T00:00:00"/>
    <n v="5656000"/>
    <m/>
    <m/>
    <n v="56000"/>
    <n v="1225000"/>
    <n v="4375000"/>
    <n v="183"/>
    <n v="9"/>
    <n v="8.4986301369863018"/>
    <n v="243721"/>
    <n v="4131279"/>
    <x v="110"/>
    <n v="0"/>
  </r>
  <r>
    <n v="321"/>
    <x v="33"/>
    <x v="17"/>
    <s v="IJIPHD2324002219"/>
    <d v="2023-09-25T00:00:00"/>
    <d v="2023-09-30T00:00:00"/>
    <s v="Jasper Industries Pvt. Ltd."/>
    <d v="2023-09-30T00:00:00"/>
    <n v="5656000"/>
    <m/>
    <m/>
    <n v="56000"/>
    <n v="1225000"/>
    <n v="4375000"/>
    <n v="183"/>
    <n v="9"/>
    <n v="8.4986301369863018"/>
    <n v="243721"/>
    <n v="4131279"/>
    <x v="110"/>
    <n v="0"/>
  </r>
  <r>
    <n v="322"/>
    <x v="33"/>
    <x v="17"/>
    <s v="IJIPHD2324002224"/>
    <d v="2023-09-25T00:00:00"/>
    <d v="2023-09-30T00:00:00"/>
    <s v="Jasper Industries Pvt. Ltd."/>
    <d v="2023-09-30T00:00:00"/>
    <n v="5656000"/>
    <m/>
    <m/>
    <n v="56000"/>
    <n v="1225000"/>
    <n v="4375000"/>
    <n v="183"/>
    <n v="9"/>
    <n v="8.4986301369863018"/>
    <n v="243721"/>
    <n v="4131279"/>
    <x v="110"/>
    <n v="0"/>
  </r>
  <r>
    <n v="323"/>
    <x v="33"/>
    <x v="17"/>
    <s v="IJIPHD2324002263"/>
    <d v="2023-09-27T00:00:00"/>
    <d v="2023-09-30T00:00:00"/>
    <s v="Jasper Industries Pvt. Ltd."/>
    <d v="2023-09-30T00:00:00"/>
    <n v="5656000"/>
    <m/>
    <n v="0"/>
    <n v="56000"/>
    <n v="1225000"/>
    <n v="4375000"/>
    <n v="183"/>
    <n v="9"/>
    <n v="8.4986301369863018"/>
    <n v="243721"/>
    <n v="4131279"/>
    <x v="110"/>
    <n v="0"/>
  </r>
  <r>
    <n v="324"/>
    <x v="33"/>
    <x v="17"/>
    <s v="IJIPHD2324002264"/>
    <d v="2023-09-27T00:00:00"/>
    <d v="2023-09-30T00:00:00"/>
    <s v="Jasper Industries Pvt. Ltd."/>
    <d v="2023-09-30T00:00:00"/>
    <n v="5656000"/>
    <m/>
    <n v="0"/>
    <n v="56000"/>
    <n v="1225000"/>
    <n v="4375000"/>
    <n v="183"/>
    <n v="9"/>
    <n v="8.4986301369863018"/>
    <n v="243721"/>
    <n v="4131279"/>
    <x v="110"/>
    <n v="0"/>
  </r>
  <r>
    <n v="325"/>
    <x v="57"/>
    <x v="17"/>
    <s v="EEE/23-24/91"/>
    <d v="2023-05-31T00:00:00"/>
    <d v="2023-06-09T00:00:00"/>
    <s v="Escon Electronics &amp; Electricals"/>
    <d v="2023-06-09T00:00:00"/>
    <n v="29795"/>
    <m/>
    <m/>
    <m/>
    <n v="4545"/>
    <n v="25250"/>
    <n v="296"/>
    <n v="9"/>
    <n v="8.1890410958904116"/>
    <n v="2275"/>
    <n v="22975"/>
    <x v="111"/>
    <n v="0"/>
  </r>
  <r>
    <n v="326"/>
    <x v="58"/>
    <x v="17"/>
    <n v="241120074"/>
    <d v="2023-05-12T00:00:00"/>
    <d v="2023-07-07T00:00:00"/>
    <s v="Essae Digitronics Pvt. Ltd."/>
    <d v="2023-07-07T00:00:00"/>
    <n v="1357000"/>
    <m/>
    <m/>
    <m/>
    <n v="207000"/>
    <n v="1150000"/>
    <n v="268"/>
    <n v="9"/>
    <n v="8.2657534246575342"/>
    <n v="93820"/>
    <n v="1056180"/>
    <x v="112"/>
    <n v="0"/>
  </r>
  <r>
    <n v="327"/>
    <x v="25"/>
    <x v="18"/>
    <s v="M1/RB/23-24/189"/>
    <d v="2023-10-17T00:00:00"/>
    <d v="2023-10-17T00:00:00"/>
    <s v="Madhura Engineering Services Pvt. Ltd."/>
    <d v="2023-10-17T00:00:00"/>
    <n v="1180000"/>
    <m/>
    <m/>
    <m/>
    <n v="180000"/>
    <n v="1000000"/>
    <n v="166"/>
    <n v="9"/>
    <n v="8.5452054794520542"/>
    <n v="50533"/>
    <n v="949467"/>
    <x v="1"/>
    <n v="1000000"/>
  </r>
  <r>
    <n v="328"/>
    <x v="1"/>
    <x v="19"/>
    <n v="565"/>
    <d v="2023-11-24T00:00:00"/>
    <d v="2023-12-11T00:00:00"/>
    <s v="Agarwal Machine Tools"/>
    <d v="2023-12-11T00:00:00"/>
    <n v="35872"/>
    <m/>
    <m/>
    <m/>
    <n v="5472"/>
    <n v="30400"/>
    <n v="111"/>
    <n v="9"/>
    <n v="8.6958904109589046"/>
    <n v="1027"/>
    <n v="29373"/>
    <x v="1"/>
    <n v="30400"/>
  </r>
  <r>
    <n v="329"/>
    <x v="44"/>
    <x v="20"/>
    <s v="NKW5263"/>
    <d v="2023-08-11T00:00:00"/>
    <d v="2023-08-31T00:00:00"/>
    <s v="NKW Industrial Solutions"/>
    <d v="2023-08-31T00:00:00"/>
    <n v="141600"/>
    <m/>
    <m/>
    <m/>
    <n v="21600"/>
    <n v="120000"/>
    <n v="213"/>
    <n v="9"/>
    <n v="8.4164383561643827"/>
    <n v="7781"/>
    <n v="112219"/>
    <x v="17"/>
    <n v="0"/>
  </r>
  <r>
    <n v="330"/>
    <x v="44"/>
    <x v="20"/>
    <s v="NKW5262"/>
    <d v="2023-08-11T00:00:00"/>
    <d v="2023-08-31T00:00:00"/>
    <s v="NKW Industrial Solutions"/>
    <d v="2023-08-31T00:00:00"/>
    <n v="133340"/>
    <m/>
    <m/>
    <m/>
    <n v="20340"/>
    <n v="113000"/>
    <n v="213"/>
    <n v="9"/>
    <n v="8.4164383561643827"/>
    <n v="7327"/>
    <n v="105673"/>
    <x v="48"/>
    <n v="0"/>
  </r>
  <r>
    <m/>
    <x v="59"/>
    <x v="0"/>
    <m/>
    <m/>
    <m/>
    <m/>
    <m/>
    <n v="995635806.96000004"/>
    <n v="0"/>
    <n v="1480250"/>
    <n v="7091351.2000000002"/>
    <n v="207265925.46000004"/>
    <n v="782758780.29999995"/>
    <m/>
    <m/>
    <m/>
    <n v="82414971"/>
    <n v="700343809.29999995"/>
    <x v="113"/>
    <n v="123409635.86000007"/>
  </r>
  <r>
    <s v="EDP Equipment"/>
    <x v="0"/>
    <x v="0"/>
    <m/>
    <m/>
    <m/>
    <m/>
    <m/>
    <m/>
    <m/>
    <m/>
    <m/>
    <m/>
    <m/>
    <m/>
    <m/>
    <m/>
    <m/>
    <m/>
    <x v="0"/>
    <m/>
  </r>
  <r>
    <n v="1"/>
    <x v="60"/>
    <x v="1"/>
    <s v="AS/631/23-24"/>
    <d v="2024-02-05T00:00:00"/>
    <d v="2024-02-05T00:00:00"/>
    <s v="Aeon Solutions"/>
    <d v="2024-02-05T00:00:00"/>
    <n v="68000"/>
    <m/>
    <m/>
    <m/>
    <n v="10372.879999999999"/>
    <n v="57627.12"/>
    <n v="55"/>
    <n v="3"/>
    <n v="2.8493150684931505"/>
    <n v="2749.7872328767121"/>
    <n v="54877.332767123291"/>
    <x v="1"/>
    <n v="57627.12"/>
  </r>
  <r>
    <n v="2"/>
    <x v="61"/>
    <x v="3"/>
    <s v="BC/TI/23-24/495"/>
    <d v="2023-08-22T00:00:00"/>
    <d v="2023-08-22T00:00:00"/>
    <s v="Bhushan Computer"/>
    <d v="2023-08-22T00:00:00"/>
    <n v="11500"/>
    <m/>
    <m/>
    <m/>
    <n v="1754.2372881355932"/>
    <n v="9745.7627118644068"/>
    <n v="222"/>
    <n v="3"/>
    <n v="2.3917808219178083"/>
    <n v="1877.0605990248432"/>
    <n v="7868.7021128395636"/>
    <x v="114"/>
    <n v="0"/>
  </r>
  <r>
    <n v="3"/>
    <x v="60"/>
    <x v="3"/>
    <s v="BC/TI/23-24/1912"/>
    <d v="2024-03-02T00:00:00"/>
    <d v="2024-03-02T00:00:00"/>
    <s v="Bhushan Computer"/>
    <d v="2024-03-02T00:00:00"/>
    <n v="69500"/>
    <m/>
    <m/>
    <m/>
    <n v="10601.7"/>
    <n v="58898.3"/>
    <n v="29"/>
    <n v="3"/>
    <n v="2.9205479452054792"/>
    <n v="1481.8704703196347"/>
    <n v="57416.429529680368"/>
    <x v="1"/>
    <n v="58898.3"/>
  </r>
  <r>
    <n v="4"/>
    <x v="62"/>
    <x v="4"/>
    <s v="23-24-229"/>
    <d v="2023-10-07T00:00:00"/>
    <d v="2023-10-07T00:00:00"/>
    <s v="Alfa Technologies Inc."/>
    <d v="2023-10-07T00:00:00"/>
    <n v="72900"/>
    <m/>
    <m/>
    <m/>
    <n v="11120"/>
    <n v="61780"/>
    <n v="176"/>
    <n v="3"/>
    <n v="2.5178082191780824"/>
    <n v="9433.4392694063936"/>
    <n v="52346.560730593606"/>
    <x v="1"/>
    <n v="61780"/>
  </r>
  <r>
    <n v="5"/>
    <x v="63"/>
    <x v="5"/>
    <s v="23-24-255"/>
    <d v="2023-10-26T00:00:00"/>
    <d v="2023-10-31T00:00:00"/>
    <s v="Alfa Technologies Inc."/>
    <d v="2023-10-31T00:00:00"/>
    <n v="240300"/>
    <m/>
    <m/>
    <m/>
    <n v="36656"/>
    <n v="203644"/>
    <n v="152"/>
    <n v="3"/>
    <n v="2.5835616438356164"/>
    <n v="26854.971324200913"/>
    <n v="176789.02867579908"/>
    <x v="1"/>
    <n v="203644"/>
  </r>
  <r>
    <n v="6"/>
    <x v="60"/>
    <x v="5"/>
    <s v="23-24-305"/>
    <d v="2023-11-27T00:00:00"/>
    <d v="2023-11-27T00:00:00"/>
    <s v="Alfa Technologies Inc."/>
    <d v="2023-11-27T00:00:00"/>
    <n v="113300"/>
    <m/>
    <m/>
    <m/>
    <n v="17283"/>
    <n v="96017"/>
    <n v="125"/>
    <n v="3"/>
    <n v="2.6575342465753424"/>
    <n v="10412.802511415524"/>
    <n v="85604.197488584468"/>
    <x v="1"/>
    <n v="96017"/>
  </r>
  <r>
    <n v="7"/>
    <x v="64"/>
    <x v="6"/>
    <s v="SW/21-22/966"/>
    <d v="2023-10-27T00:00:00"/>
    <d v="2023-10-27T00:00:00"/>
    <s v="System World"/>
    <d v="2023-10-27T00:00:00"/>
    <n v="180299"/>
    <m/>
    <m/>
    <m/>
    <n v="27504"/>
    <n v="152795"/>
    <n v="156"/>
    <n v="3"/>
    <n v="2.5726027397260274"/>
    <n v="20679.652054794522"/>
    <n v="132115.34794520549"/>
    <x v="1"/>
    <n v="152795"/>
  </r>
  <r>
    <n v="8"/>
    <x v="65"/>
    <x v="6"/>
    <s v="CYTI-01150-23/24"/>
    <d v="2023-07-14T00:00:00"/>
    <d v="2023-07-14T00:00:00"/>
    <s v="Cyberian Informatics"/>
    <d v="2023-07-14T00:00:00"/>
    <n v="78100"/>
    <m/>
    <m/>
    <m/>
    <n v="11913.559322033898"/>
    <n v="66186.440677966108"/>
    <n v="261"/>
    <n v="3"/>
    <n v="2.2849315068493152"/>
    <n v="14987.148827490135"/>
    <n v="51199.291850475973"/>
    <x v="115"/>
    <n v="0"/>
  </r>
  <r>
    <n v="9"/>
    <x v="65"/>
    <x v="6"/>
    <s v="SW/21-22/572"/>
    <d v="2023-08-04T00:00:00"/>
    <d v="2023-08-09T00:00:00"/>
    <s v="System World"/>
    <d v="2023-08-09T00:00:00"/>
    <n v="83600"/>
    <m/>
    <m/>
    <m/>
    <n v="12752.542372881357"/>
    <n v="70847.457627118638"/>
    <n v="235"/>
    <n v="3"/>
    <n v="2.3561643835616439"/>
    <n v="14444.47024224131"/>
    <n v="56402.987384877328"/>
    <x v="116"/>
    <n v="0"/>
  </r>
  <r>
    <n v="10"/>
    <x v="61"/>
    <x v="6"/>
    <s v="SW/21-22/539"/>
    <d v="2023-07-28T00:00:00"/>
    <d v="2023-07-28T00:00:00"/>
    <s v="System World"/>
    <d v="2023-07-28T00:00:00"/>
    <n v="20400"/>
    <m/>
    <m/>
    <m/>
    <n v="3111.8644067796608"/>
    <n v="17288.135593220341"/>
    <n v="247"/>
    <n v="3"/>
    <n v="2.3232876712328769"/>
    <n v="3704.7132574878106"/>
    <n v="13583.42233573253"/>
    <x v="117"/>
    <n v="0"/>
  </r>
  <r>
    <n v="11"/>
    <x v="61"/>
    <x v="6"/>
    <n v="764"/>
    <d v="2023-11-16T00:00:00"/>
    <d v="2023-11-16T00:00:00"/>
    <s v="Glocal Digital Pvt. Ltd."/>
    <d v="2023-11-16T00:00:00"/>
    <n v="175820"/>
    <m/>
    <m/>
    <m/>
    <n v="26820"/>
    <n v="149000"/>
    <n v="136"/>
    <n v="3"/>
    <n v="2.6273972602739724"/>
    <n v="17580.639269406394"/>
    <n v="131419.36073059362"/>
    <x v="1"/>
    <n v="149000"/>
  </r>
  <r>
    <n v="12"/>
    <x v="66"/>
    <x v="7"/>
    <n v="569"/>
    <d v="2023-10-19T00:00:00"/>
    <d v="2023-10-26T00:00:00"/>
    <s v="Shanvi IT Services"/>
    <d v="2023-10-26T00:00:00"/>
    <n v="20665"/>
    <m/>
    <m/>
    <m/>
    <n v="3152"/>
    <n v="17513"/>
    <n v="157"/>
    <n v="3"/>
    <n v="2.56986301369863"/>
    <n v="2385.4465296803651"/>
    <n v="15127.553470319635"/>
    <x v="1"/>
    <n v="17513"/>
  </r>
  <r>
    <n v="13"/>
    <x v="67"/>
    <x v="7"/>
    <s v="23-24-122"/>
    <d v="2023-07-14T00:00:00"/>
    <d v="2023-07-17T00:00:00"/>
    <s v="Alfa Technologies Inc."/>
    <d v="2023-07-17T00:00:00"/>
    <n v="47250"/>
    <m/>
    <m/>
    <m/>
    <n v="7207.62"/>
    <n v="40042.379999999997"/>
    <n v="258"/>
    <n v="3"/>
    <n v="2.2931506849315069"/>
    <n v="8962.9108109589033"/>
    <n v="31079.469189041094"/>
    <x v="118"/>
    <n v="0"/>
  </r>
  <r>
    <n v="14"/>
    <x v="67"/>
    <x v="7"/>
    <s v="23-24-202"/>
    <d v="2023-09-19T00:00:00"/>
    <d v="2023-09-19T00:00:00"/>
    <s v="Alfa Technologies Inc."/>
    <d v="2023-09-19T00:00:00"/>
    <n v="118200"/>
    <m/>
    <m/>
    <m/>
    <n v="18030"/>
    <n v="100170"/>
    <n v="194"/>
    <n v="3"/>
    <n v="2.4684931506849317"/>
    <n v="16859.663013698631"/>
    <n v="83310.336986301365"/>
    <x v="119"/>
    <n v="0"/>
  </r>
  <r>
    <n v="15"/>
    <x v="63"/>
    <x v="7"/>
    <s v="23-24-7"/>
    <d v="2023-04-13T00:00:00"/>
    <d v="2023-04-15T00:00:00"/>
    <s v="Alfa Technologies Inc."/>
    <d v="2023-04-15T00:00:00"/>
    <n v="65150"/>
    <m/>
    <m/>
    <m/>
    <n v="9938.1200000000008"/>
    <n v="55211.88"/>
    <n v="351"/>
    <n v="3"/>
    <n v="2.0383561643835617"/>
    <n v="16813.151950684929"/>
    <n v="38398.728049315068"/>
    <x v="120"/>
    <n v="0"/>
  </r>
  <r>
    <n v="16"/>
    <x v="63"/>
    <x v="7"/>
    <s v="23-24-24"/>
    <d v="2023-05-01T00:00:00"/>
    <d v="2023-05-01T00:00:00"/>
    <s v="Alfa Technologies Inc."/>
    <d v="2023-05-01T00:00:00"/>
    <n v="360000"/>
    <m/>
    <m/>
    <m/>
    <n v="54916"/>
    <n v="305084"/>
    <n v="335"/>
    <n v="3"/>
    <n v="2.0821917808219177"/>
    <n v="88669.390867579918"/>
    <n v="216414.6091324201"/>
    <x v="121"/>
    <n v="0"/>
  </r>
  <r>
    <n v="17"/>
    <x v="63"/>
    <x v="7"/>
    <s v="23-24-23"/>
    <d v="2023-05-01T00:00:00"/>
    <d v="2023-05-01T00:00:00"/>
    <s v="Alfa Technologies Inc."/>
    <d v="2023-05-01T00:00:00"/>
    <n v="505950"/>
    <m/>
    <m/>
    <m/>
    <n v="77178.84"/>
    <n v="428771.16000000003"/>
    <n v="335"/>
    <n v="3"/>
    <n v="2.0821917808219177"/>
    <n v="124617.73668493153"/>
    <n v="304153.42331506847"/>
    <x v="122"/>
    <n v="0"/>
  </r>
  <r>
    <n v="18"/>
    <x v="63"/>
    <x v="7"/>
    <s v="1801/23/S-900"/>
    <d v="2023-05-25T00:00:00"/>
    <d v="2023-05-31T00:00:00"/>
    <s v="Alfa Technologies Inc."/>
    <d v="2023-05-31T00:00:00"/>
    <n v="91900"/>
    <m/>
    <m/>
    <m/>
    <n v="14018"/>
    <n v="77882"/>
    <n v="305"/>
    <n v="3"/>
    <n v="2.1643835616438354"/>
    <n v="20608.501826484018"/>
    <n v="57273.498173515982"/>
    <x v="123"/>
    <n v="0"/>
  </r>
  <r>
    <n v="19"/>
    <x v="63"/>
    <x v="7"/>
    <s v="23-24-92"/>
    <d v="2023-06-23T00:00:00"/>
    <d v="2023-06-23T00:00:00"/>
    <s v="Alfa Technologies Inc."/>
    <d v="2023-06-23T00:00:00"/>
    <n v="140607"/>
    <m/>
    <m/>
    <m/>
    <n v="21448"/>
    <n v="119159"/>
    <n v="282"/>
    <n v="3"/>
    <n v="2.2273972602739724"/>
    <n v="29153.147123287665"/>
    <n v="90005.852876712335"/>
    <x v="124"/>
    <n v="0"/>
  </r>
  <r>
    <n v="20"/>
    <x v="68"/>
    <x v="7"/>
    <s v="23-24-373"/>
    <d v="2024-01-23T00:00:00"/>
    <d v="2024-01-23T00:00:00"/>
    <s v="Alfa Technologies Inc."/>
    <d v="2024-01-23T00:00:00"/>
    <n v="424200"/>
    <m/>
    <m/>
    <m/>
    <n v="64708.42"/>
    <n v="359491.58"/>
    <n v="68"/>
    <n v="3"/>
    <n v="2.8136986301369862"/>
    <n v="21208.361705936073"/>
    <n v="338283.21829406393"/>
    <x v="1"/>
    <n v="359491.58"/>
  </r>
  <r>
    <n v="21"/>
    <x v="69"/>
    <x v="7"/>
    <s v="23-24-110"/>
    <d v="2023-07-03T00:00:00"/>
    <d v="2023-07-17T00:00:00"/>
    <s v="Alfa Technologies Inc."/>
    <d v="2023-07-17T00:00:00"/>
    <n v="3000"/>
    <m/>
    <m/>
    <m/>
    <n v="457.62"/>
    <n v="2542.38"/>
    <n v="258"/>
    <n v="3"/>
    <n v="2.2931506849315069"/>
    <n v="569.07519452054794"/>
    <n v="1973.3048054794522"/>
    <x v="125"/>
    <n v="0"/>
  </r>
  <r>
    <n v="22"/>
    <x v="61"/>
    <x v="7"/>
    <s v="23-24-262"/>
    <d v="2023-10-28T00:00:00"/>
    <d v="2023-10-28T00:00:00"/>
    <s v="Alfa Technologies Inc."/>
    <d v="2023-10-28T00:00:00"/>
    <n v="25800"/>
    <m/>
    <m/>
    <m/>
    <n v="3936"/>
    <n v="21864"/>
    <n v="155"/>
    <n v="3"/>
    <n v="2.5753424657534247"/>
    <n v="2940.158904109589"/>
    <n v="18923.84109589041"/>
    <x v="1"/>
    <n v="21864"/>
  </r>
  <r>
    <n v="23"/>
    <x v="61"/>
    <x v="7"/>
    <s v="23-24-317"/>
    <d v="2023-12-08T00:00:00"/>
    <d v="2023-12-11T00:00:00"/>
    <s v="Alfa Technologies Inc."/>
    <d v="2023-12-11T00:00:00"/>
    <n v="13300"/>
    <m/>
    <m/>
    <m/>
    <n v="2028.82"/>
    <n v="11271.18"/>
    <n v="111"/>
    <n v="3"/>
    <n v="2.6958904109589041"/>
    <n v="1085.4300739726027"/>
    <n v="10185.749926027398"/>
    <x v="1"/>
    <n v="11271.18"/>
  </r>
  <r>
    <n v="24"/>
    <x v="70"/>
    <x v="9"/>
    <n v="551"/>
    <d v="2023-08-29T00:00:00"/>
    <d v="2023-08-29T00:00:00"/>
    <s v="Shanvi IT Services"/>
    <d v="2023-08-29T00:00:00"/>
    <n v="85550"/>
    <m/>
    <m/>
    <m/>
    <n v="13050"/>
    <n v="72500"/>
    <n v="215"/>
    <n v="3"/>
    <n v="2.4109589041095889"/>
    <n v="13523.401826484016"/>
    <n v="58976.598173515988"/>
    <x v="126"/>
    <n v="0"/>
  </r>
  <r>
    <n v="25"/>
    <x v="64"/>
    <x v="9"/>
    <n v="199"/>
    <d v="2023-10-25T00:00:00"/>
    <d v="2023-10-27T00:00:00"/>
    <s v="Swarna Computers &amp; Peripherals"/>
    <d v="2023-10-27T00:00:00"/>
    <n v="69550"/>
    <m/>
    <m/>
    <m/>
    <n v="10609.38"/>
    <n v="58940.62"/>
    <n v="156"/>
    <n v="3"/>
    <n v="2.5726027397260274"/>
    <n v="7977.1688438356168"/>
    <n v="50963.451156164389"/>
    <x v="1"/>
    <n v="58940.62"/>
  </r>
  <r>
    <n v="26"/>
    <x v="64"/>
    <x v="9"/>
    <n v="55"/>
    <d v="2023-11-11T00:00:00"/>
    <d v="2023-11-15T00:00:00"/>
    <s v="Swarna Computers &amp; Peripherals"/>
    <d v="2023-11-15T00:00:00"/>
    <n v="69750"/>
    <m/>
    <m/>
    <m/>
    <n v="10639.82"/>
    <n v="59110.18"/>
    <n v="137"/>
    <n v="3"/>
    <n v="2.6246575342465754"/>
    <n v="7025.7442255707747"/>
    <n v="52084.435774429228"/>
    <x v="1"/>
    <n v="59110.18"/>
  </r>
  <r>
    <n v="27"/>
    <x v="71"/>
    <x v="9"/>
    <m/>
    <m/>
    <d v="2023-11-15T00:00:00"/>
    <s v="Appario Retail Private Limited"/>
    <d v="2023-11-15T00:00:00"/>
    <n v="11789"/>
    <m/>
    <m/>
    <m/>
    <m/>
    <n v="11789"/>
    <n v="137"/>
    <n v="3"/>
    <n v="2.6246575342465754"/>
    <n v="1401.2222374429223"/>
    <n v="10387.777762557078"/>
    <x v="1"/>
    <n v="11789"/>
  </r>
  <r>
    <n v="28"/>
    <x v="60"/>
    <x v="9"/>
    <n v="192"/>
    <d v="2023-09-09T00:00:00"/>
    <d v="2023-09-11T00:00:00"/>
    <s v="Swarna Computers &amp; Peripherals"/>
    <d v="2023-09-11T00:00:00"/>
    <n v="61900"/>
    <m/>
    <m/>
    <m/>
    <n v="9442.3728813559319"/>
    <n v="52457.627118644072"/>
    <n v="202"/>
    <n v="3"/>
    <n v="2.4465753424657537"/>
    <n v="9193.259035678353"/>
    <n v="43264.368082965717"/>
    <x v="127"/>
    <n v="0"/>
  </r>
  <r>
    <n v="29"/>
    <x v="72"/>
    <x v="9"/>
    <n v="441"/>
    <d v="2023-06-10T00:00:00"/>
    <d v="2023-06-10T00:00:00"/>
    <s v="Prasad Computers &amp; Peripherals"/>
    <d v="2023-06-10T00:00:00"/>
    <n v="2600"/>
    <m/>
    <m/>
    <m/>
    <n v="396"/>
    <n v="2204"/>
    <n v="295"/>
    <n v="3"/>
    <n v="2.1917808219178081"/>
    <n v="564.08310502283098"/>
    <n v="1639.916894977169"/>
    <x v="128"/>
    <n v="0"/>
  </r>
  <r>
    <n v="30"/>
    <x v="60"/>
    <x v="11"/>
    <s v="SB1389"/>
    <d v="2024-01-27T00:00:00"/>
    <d v="2024-01-27T00:00:00"/>
    <s v="Indu Computers"/>
    <d v="2024-01-27T00:00:00"/>
    <n v="64000"/>
    <m/>
    <m/>
    <m/>
    <n v="9762.7199999999993"/>
    <n v="54237.279999999999"/>
    <n v="64"/>
    <n v="3"/>
    <n v="2.8246575342465752"/>
    <n v="3011.5311634703194"/>
    <n v="51225.748836529681"/>
    <x v="1"/>
    <n v="54237.279999999999"/>
  </r>
  <r>
    <n v="31"/>
    <x v="61"/>
    <x v="16"/>
    <n v="544"/>
    <d v="2023-09-21T00:00:00"/>
    <d v="2023-09-21T00:00:00"/>
    <s v="Glocal Digital Pvt. Ltd."/>
    <d v="2023-09-21T00:00:00"/>
    <n v="175820"/>
    <m/>
    <m/>
    <m/>
    <n v="26820"/>
    <n v="149000"/>
    <n v="192"/>
    <n v="3"/>
    <n v="2.473972602739726"/>
    <n v="24819.726027397261"/>
    <n v="124180.27397260274"/>
    <x v="129"/>
    <n v="0"/>
  </r>
  <r>
    <n v="32"/>
    <x v="65"/>
    <x v="17"/>
    <s v="SB455"/>
    <d v="2023-07-10T00:00:00"/>
    <d v="2023-07-10T00:00:00"/>
    <s v="Indu Computers"/>
    <d v="2023-07-10T00:00:00"/>
    <n v="82650"/>
    <m/>
    <m/>
    <m/>
    <n v="12607.627118644068"/>
    <n v="70042.372881355928"/>
    <n v="265"/>
    <n v="3"/>
    <n v="2.2739726027397262"/>
    <n v="16103.349198978405"/>
    <n v="53939.023682377519"/>
    <x v="130"/>
    <n v="0"/>
  </r>
  <r>
    <m/>
    <x v="0"/>
    <x v="0"/>
    <m/>
    <m/>
    <m/>
    <m/>
    <m/>
    <n v="3553350"/>
    <m/>
    <n v="0"/>
    <n v="0"/>
    <n v="540237.14338983037"/>
    <n v="3013112.8566101696"/>
    <m/>
    <m/>
    <m/>
    <n v="541699.01540838927"/>
    <n v="2471413.8412017794"/>
    <x v="131"/>
    <n v="1373978.26"/>
  </r>
  <r>
    <s v="Furniture &amp; Fittings"/>
    <x v="0"/>
    <x v="0"/>
    <m/>
    <m/>
    <m/>
    <m/>
    <m/>
    <m/>
    <m/>
    <m/>
    <m/>
    <m/>
    <m/>
    <s v=" "/>
    <m/>
    <m/>
    <m/>
    <m/>
    <x v="0"/>
    <m/>
  </r>
  <r>
    <n v="1"/>
    <x v="73"/>
    <x v="7"/>
    <s v="HO/795"/>
    <d v="2023-12-26T00:00:00"/>
    <d v="2023-12-26T00:00:00"/>
    <s v="Choice Marketing Associates"/>
    <d v="2023-12-26T00:00:00"/>
    <n v="152444"/>
    <m/>
    <m/>
    <m/>
    <n v="23254"/>
    <n v="129190"/>
    <n v="96"/>
    <n v="5"/>
    <n v="4.7369863013698632"/>
    <n v="6455.9605479452048"/>
    <n v="122734.0394520548"/>
    <x v="1"/>
    <n v="129190"/>
  </r>
  <r>
    <n v="2"/>
    <x v="74"/>
    <x v="7"/>
    <s v="TXBP150223012779"/>
    <d v="2024-02-23T00:00:00"/>
    <d v="2024-02-26T00:00:00"/>
    <s v="FabIndia Limited"/>
    <d v="2024-02-26T00:00:00"/>
    <n v="183596"/>
    <m/>
    <m/>
    <m/>
    <n v="28006.240000000002"/>
    <n v="155589.76000000001"/>
    <n v="34"/>
    <n v="5"/>
    <n v="4.9068493150684933"/>
    <n v="2753.725615342466"/>
    <n v="152836.03438465754"/>
    <x v="1"/>
    <n v="155589.76000000001"/>
  </r>
  <r>
    <n v="3"/>
    <x v="74"/>
    <x v="7"/>
    <s v="LCO72"/>
    <d v="2024-02-23T00:00:00"/>
    <d v="2024-02-26T00:00:00"/>
    <s v="FabIndia Limited"/>
    <d v="2024-02-26T00:00:00"/>
    <n v="169196"/>
    <m/>
    <m/>
    <m/>
    <n v="25809.56"/>
    <n v="143386.44"/>
    <n v="34"/>
    <n v="5"/>
    <n v="4.9068493150684933"/>
    <n v="2537.7435682191776"/>
    <n v="140848.69643178082"/>
    <x v="1"/>
    <n v="143386.44"/>
  </r>
  <r>
    <n v="4"/>
    <x v="75"/>
    <x v="9"/>
    <s v="BENZC-23"/>
    <d v="2023-04-16T00:00:00"/>
    <d v="2023-08-25T00:00:00"/>
    <s v="Pai International Electronics Ltd."/>
    <d v="2023-08-25T00:00:00"/>
    <n v="6500"/>
    <m/>
    <m/>
    <m/>
    <m/>
    <n v="6500"/>
    <n v="219"/>
    <n v="5"/>
    <n v="4.4000000000000004"/>
    <n v="741"/>
    <n v="5759"/>
    <x v="132"/>
    <n v="0"/>
  </r>
  <r>
    <n v="5"/>
    <x v="76"/>
    <x v="9"/>
    <n v="126"/>
    <d v="2023-10-19T00:00:00"/>
    <d v="2023-10-20T00:00:00"/>
    <s v="Yamin Furniture and Furnishing"/>
    <d v="2023-10-20T00:00:00"/>
    <n v="3799.6"/>
    <m/>
    <m/>
    <m/>
    <n v="579.6"/>
    <n v="3220"/>
    <n v="163"/>
    <n v="5"/>
    <n v="4.5534246575342463"/>
    <n v="273.21479452054791"/>
    <n v="2946.7852054794521"/>
    <x v="1"/>
    <n v="3220"/>
  </r>
  <r>
    <n v="6"/>
    <x v="77"/>
    <x v="9"/>
    <n v="24"/>
    <d v="2023-09-25T00:00:00"/>
    <d v="2023-10-04T00:00:00"/>
    <s v="Balaji Steel Furniture Works"/>
    <d v="2023-10-04T00:00:00"/>
    <n v="34000"/>
    <m/>
    <m/>
    <m/>
    <m/>
    <n v="34000"/>
    <n v="179"/>
    <n v="5"/>
    <n v="4.5095890410958903"/>
    <n v="3168.0547945205481"/>
    <n v="30831.945205479453"/>
    <x v="1"/>
    <n v="34000"/>
  </r>
  <r>
    <n v="7"/>
    <x v="77"/>
    <x v="9"/>
    <n v="23"/>
    <d v="2023-09-27T00:00:00"/>
    <d v="2023-10-04T00:00:00"/>
    <s v="Balaji Steel Furniture Works"/>
    <d v="2023-10-04T00:00:00"/>
    <n v="25000"/>
    <m/>
    <m/>
    <m/>
    <n v="0"/>
    <n v="25000"/>
    <n v="179"/>
    <n v="5"/>
    <n v="4.5095890410958903"/>
    <n v="2329.4520547945203"/>
    <n v="22670.547945205479"/>
    <x v="1"/>
    <n v="25000"/>
  </r>
  <r>
    <n v="8"/>
    <x v="78"/>
    <x v="9"/>
    <n v="4"/>
    <d v="2023-04-03T00:00:00"/>
    <d v="2023-04-12T00:00:00"/>
    <s v="Yamin Furniture and Furnishing"/>
    <d v="2023-04-12T00:00:00"/>
    <n v="6400"/>
    <m/>
    <m/>
    <m/>
    <n v="976"/>
    <n v="5424"/>
    <n v="354"/>
    <n v="5"/>
    <n v="4.0301369863013701"/>
    <n v="999.50202739726024"/>
    <n v="4424.4979726027395"/>
    <x v="133"/>
    <n v="0"/>
  </r>
  <r>
    <n v="9"/>
    <x v="78"/>
    <x v="9"/>
    <n v="182"/>
    <d v="2023-10-15T00:00:00"/>
    <d v="2023-12-31T00:00:00"/>
    <s v="Yamin Furniture and Furnishing"/>
    <d v="2023-12-31T00:00:00"/>
    <n v="16600"/>
    <m/>
    <m/>
    <m/>
    <n v="2532"/>
    <n v="14068"/>
    <n v="91"/>
    <n v="5"/>
    <n v="4.7506849315068491"/>
    <n v="666.39923287671229"/>
    <n v="13401.600767123287"/>
    <x v="1"/>
    <n v="14068"/>
  </r>
  <r>
    <n v="10"/>
    <x v="79"/>
    <x v="9"/>
    <n v="81"/>
    <d v="2023-08-30T00:00:00"/>
    <d v="2023-08-31T00:00:00"/>
    <s v="Yamini Furniture and Furnishing"/>
    <d v="2023-08-31T00:00:00"/>
    <n v="5800"/>
    <m/>
    <m/>
    <m/>
    <n v="884.74576271186447"/>
    <n v="4915.2542372881353"/>
    <n v="213"/>
    <n v="5"/>
    <n v="4.4164383561643836"/>
    <n v="544.98723009055027"/>
    <n v="4370.2670071975854"/>
    <x v="134"/>
    <n v="0"/>
  </r>
  <r>
    <n v="11"/>
    <x v="80"/>
    <x v="9"/>
    <n v="558"/>
    <d v="2023-09-29T00:00:00"/>
    <d v="2023-09-30T00:00:00"/>
    <s v="Sri Chaitanya Furniture and Furnishings"/>
    <d v="2023-09-30T00:00:00"/>
    <n v="8400"/>
    <m/>
    <m/>
    <m/>
    <m/>
    <n v="8400"/>
    <n v="183"/>
    <n v="5"/>
    <n v="4.4986301369863018"/>
    <n v="800.18630136986303"/>
    <n v="7599.813698630137"/>
    <x v="135"/>
    <n v="0"/>
  </r>
  <r>
    <n v="12"/>
    <x v="81"/>
    <x v="9"/>
    <n v="396"/>
    <d v="2023-06-23T00:00:00"/>
    <d v="2023-06-28T00:00:00"/>
    <s v="Balaji Steel Furniture Works"/>
    <d v="2023-06-28T00:00:00"/>
    <n v="20500"/>
    <m/>
    <m/>
    <m/>
    <m/>
    <n v="20500"/>
    <n v="277"/>
    <n v="5"/>
    <n v="4.2410958904109588"/>
    <n v="2955.9315068493152"/>
    <n v="17544.068493150684"/>
    <x v="136"/>
    <n v="0"/>
  </r>
  <r>
    <n v="13"/>
    <x v="81"/>
    <x v="9"/>
    <n v="397"/>
    <d v="2023-06-23T00:00:00"/>
    <d v="2023-06-28T00:00:00"/>
    <s v="Balaji Steel Furniture Works"/>
    <d v="2023-06-28T00:00:00"/>
    <n v="18000"/>
    <m/>
    <m/>
    <m/>
    <m/>
    <n v="18000"/>
    <n v="277"/>
    <n v="5"/>
    <n v="4.2410958904109588"/>
    <n v="2595.4520547945203"/>
    <n v="15404.547945205479"/>
    <x v="137"/>
    <n v="0"/>
  </r>
  <r>
    <n v="14"/>
    <x v="77"/>
    <x v="12"/>
    <n v="90"/>
    <d v="2023-10-01T00:00:00"/>
    <d v="2024-03-31T00:00:00"/>
    <s v="Home Needs Furniture"/>
    <d v="2024-03-31T00:00:00"/>
    <n v="206420"/>
    <m/>
    <m/>
    <m/>
    <n v="31487.759999999998"/>
    <n v="174932.24"/>
    <n v="0"/>
    <n v="5"/>
    <n v="5"/>
    <n v="0"/>
    <n v="174932.24"/>
    <x v="1"/>
    <n v="174932.24"/>
  </r>
  <r>
    <n v="15"/>
    <x v="77"/>
    <x v="12"/>
    <n v="128"/>
    <d v="2024-01-13T00:00:00"/>
    <d v="2024-03-31T00:00:00"/>
    <s v="Home Needs Furniture"/>
    <d v="2024-03-31T00:00:00"/>
    <n v="187626"/>
    <m/>
    <m/>
    <m/>
    <n v="28620"/>
    <n v="159006"/>
    <n v="0"/>
    <n v="5"/>
    <n v="5"/>
    <n v="0"/>
    <n v="159006"/>
    <x v="1"/>
    <n v="159006"/>
  </r>
  <r>
    <n v="16"/>
    <x v="82"/>
    <x v="12"/>
    <n v="34633"/>
    <d v="2023-09-20T00:00:00"/>
    <d v="2023-10-10T00:00:00"/>
    <s v="Sowmya Furniture"/>
    <d v="2023-10-10T00:00:00"/>
    <n v="34600"/>
    <m/>
    <m/>
    <m/>
    <n v="5278"/>
    <n v="29322"/>
    <n v="173"/>
    <n v="5"/>
    <n v="4.5260273972602736"/>
    <n v="2640.5866849315066"/>
    <n v="26681.413315068494"/>
    <x v="1"/>
    <n v="29322"/>
  </r>
  <r>
    <n v="17"/>
    <x v="83"/>
    <x v="12"/>
    <n v="34640"/>
    <d v="2023-09-27T00:00:00"/>
    <d v="2023-10-10T00:00:00"/>
    <s v="Sowmya Furniture"/>
    <d v="2023-10-10T00:00:00"/>
    <n v="75800"/>
    <m/>
    <m/>
    <m/>
    <n v="11562"/>
    <n v="64238"/>
    <n v="173"/>
    <n v="5"/>
    <n v="4.5260273972602736"/>
    <n v="5784.9398904109594"/>
    <n v="58453.060109589038"/>
    <x v="1"/>
    <n v="64238"/>
  </r>
  <r>
    <n v="18"/>
    <x v="84"/>
    <x v="12"/>
    <n v="34628"/>
    <d v="2023-09-19T00:00:00"/>
    <d v="2023-10-10T00:00:00"/>
    <s v="Sowmya Furniture"/>
    <d v="2023-10-10T00:00:00"/>
    <n v="96000"/>
    <m/>
    <m/>
    <m/>
    <n v="14644"/>
    <n v="81356"/>
    <n v="173"/>
    <n v="5"/>
    <n v="4.5260273972602736"/>
    <n v="7326.4978630136975"/>
    <n v="74029.502136986295"/>
    <x v="1"/>
    <n v="81356"/>
  </r>
  <r>
    <n v="19"/>
    <x v="84"/>
    <x v="12"/>
    <n v="34653"/>
    <d v="2023-10-07T00:00:00"/>
    <d v="2023-11-30T00:00:00"/>
    <s v="Sowmya Furniture"/>
    <d v="2023-11-30T00:00:00"/>
    <n v="46200"/>
    <m/>
    <m/>
    <m/>
    <n v="7048"/>
    <n v="39152"/>
    <n v="122"/>
    <n v="5"/>
    <n v="4.6657534246575345"/>
    <n v="2486.4201643835618"/>
    <n v="36665.579835616438"/>
    <x v="1"/>
    <n v="39152"/>
  </r>
  <r>
    <n v="20"/>
    <x v="84"/>
    <x v="12"/>
    <n v="34654"/>
    <d v="2023-10-07T00:00:00"/>
    <d v="2023-11-30T00:00:00"/>
    <s v="Sowmya Furniture"/>
    <d v="2023-11-30T00:00:00"/>
    <n v="46100"/>
    <m/>
    <m/>
    <m/>
    <n v="7032"/>
    <n v="39068"/>
    <n v="122"/>
    <n v="5"/>
    <n v="4.6657534246575345"/>
    <n v="2481.0855890410958"/>
    <n v="36586.914410958903"/>
    <x v="1"/>
    <n v="39068"/>
  </r>
  <r>
    <n v="21"/>
    <x v="84"/>
    <x v="12"/>
    <n v="34752"/>
    <d v="2023-12-07T00:00:00"/>
    <d v="2023-12-29T00:00:00"/>
    <s v="Sowmya Furniture"/>
    <d v="2023-12-29T00:00:00"/>
    <n v="13100"/>
    <m/>
    <m/>
    <m/>
    <n v="1998"/>
    <n v="11102"/>
    <n v="93"/>
    <n v="5"/>
    <n v="4.7452054794520544"/>
    <n v="537.45846575342466"/>
    <n v="10564.541534246575"/>
    <x v="1"/>
    <n v="11102"/>
  </r>
  <r>
    <n v="22"/>
    <x v="85"/>
    <x v="12"/>
    <n v="34630"/>
    <d v="2023-09-19T00:00:00"/>
    <d v="2023-10-10T00:00:00"/>
    <s v="Sowmya Furniture"/>
    <d v="2023-10-10T00:00:00"/>
    <n v="79000"/>
    <m/>
    <m/>
    <m/>
    <n v="12050.84"/>
    <n v="66949.16"/>
    <n v="173"/>
    <n v="5"/>
    <n v="4.5260273972602736"/>
    <n v="6029.0928471232864"/>
    <n v="60920.06715287672"/>
    <x v="1"/>
    <n v="66949.16"/>
  </r>
  <r>
    <n v="23"/>
    <x v="86"/>
    <x v="12"/>
    <n v="34629"/>
    <d v="2023-09-19T00:00:00"/>
    <d v="2023-10-10T00:00:00"/>
    <s v="Furniture &amp; Fittings"/>
    <d v="2023-10-10T00:00:00"/>
    <n v="108800"/>
    <m/>
    <m/>
    <m/>
    <n v="16596"/>
    <n v="92204"/>
    <n v="173"/>
    <n v="5"/>
    <n v="4.5260273972602736"/>
    <n v="8303.4122739726045"/>
    <n v="83900.587726027399"/>
    <x v="1"/>
    <n v="92204"/>
  </r>
  <r>
    <n v="24"/>
    <x v="87"/>
    <x v="12"/>
    <n v="34632"/>
    <d v="2023-09-20T00:00:00"/>
    <d v="2023-10-10T00:00:00"/>
    <s v="Sowmya Furniture"/>
    <d v="2023-10-10T00:00:00"/>
    <n v="87000"/>
    <m/>
    <m/>
    <m/>
    <n v="13272"/>
    <n v="73728"/>
    <n v="173"/>
    <n v="5"/>
    <n v="4.5260273972602736"/>
    <n v="6639.5598904109575"/>
    <n v="67088.44010958905"/>
    <x v="1"/>
    <n v="73728"/>
  </r>
  <r>
    <n v="25"/>
    <x v="88"/>
    <x v="13"/>
    <n v="1185"/>
    <d v="2023-07-01T00:00:00"/>
    <d v="2023-07-01T00:00:00"/>
    <s v="Home Concept"/>
    <d v="2023-07-01T00:00:00"/>
    <n v="10400"/>
    <m/>
    <m/>
    <m/>
    <m/>
    <n v="10400"/>
    <n v="274"/>
    <n v="5"/>
    <n v="4.2493150684931509"/>
    <n v="1483.3534246575343"/>
    <n v="8916.6465753424654"/>
    <x v="138"/>
    <n v="0"/>
  </r>
  <r>
    <m/>
    <x v="59"/>
    <x v="0"/>
    <m/>
    <m/>
    <m/>
    <m/>
    <m/>
    <n v="1641281.6"/>
    <m/>
    <n v="0"/>
    <n v="0"/>
    <n v="231630.74576271189"/>
    <n v="1409650.854237288"/>
    <m/>
    <m/>
    <m/>
    <n v="70534.016822419318"/>
    <n v="1339116.8374148691"/>
    <x v="139"/>
    <n v="1335511.5999999999"/>
  </r>
  <r>
    <s v="Land"/>
    <x v="0"/>
    <x v="0"/>
    <m/>
    <m/>
    <m/>
    <m/>
    <m/>
    <m/>
    <m/>
    <m/>
    <m/>
    <m/>
    <m/>
    <m/>
    <m/>
    <m/>
    <m/>
    <m/>
    <x v="0"/>
    <m/>
  </r>
  <r>
    <n v="1"/>
    <x v="89"/>
    <x v="7"/>
    <m/>
    <d v="2023-09-29T00:00:00"/>
    <d v="2023-09-29T00:00:00"/>
    <s v="Cash"/>
    <d v="2023-09-29T00:00:00"/>
    <n v="171450"/>
    <m/>
    <m/>
    <m/>
    <m/>
    <n v="171450"/>
    <m/>
    <n v="0"/>
    <m/>
    <m/>
    <n v="171450"/>
    <x v="1"/>
    <n v="0"/>
  </r>
  <r>
    <n v="2"/>
    <x v="90"/>
    <x v="7"/>
    <m/>
    <d v="2023-07-27T00:00:00"/>
    <d v="2023-07-27T00:00:00"/>
    <s v="Siva Raj Kumar R"/>
    <d v="2023-07-27T00:00:00"/>
    <n v="546000"/>
    <m/>
    <m/>
    <m/>
    <m/>
    <n v="546000"/>
    <m/>
    <n v="0"/>
    <m/>
    <m/>
    <n v="546000"/>
    <x v="1"/>
    <n v="0"/>
  </r>
  <r>
    <n v="3"/>
    <x v="90"/>
    <x v="7"/>
    <m/>
    <d v="2023-04-12T00:00:00"/>
    <d v="2023-04-12T00:00:00"/>
    <s v="Thumu Raja"/>
    <d v="2023-04-12T00:00:00"/>
    <n v="948000"/>
    <m/>
    <m/>
    <m/>
    <m/>
    <n v="948000"/>
    <m/>
    <n v="0"/>
    <m/>
    <m/>
    <n v="948000"/>
    <x v="1"/>
    <n v="0"/>
  </r>
  <r>
    <n v="4"/>
    <x v="90"/>
    <x v="7"/>
    <m/>
    <d v="2023-04-12T00:00:00"/>
    <d v="2023-04-12T00:00:00"/>
    <s v="Thumu Veerabhadreswara Rao"/>
    <d v="2023-04-12T00:00:00"/>
    <n v="600000"/>
    <m/>
    <m/>
    <m/>
    <m/>
    <n v="600000"/>
    <m/>
    <n v="0"/>
    <m/>
    <m/>
    <n v="600000"/>
    <x v="1"/>
    <n v="0"/>
  </r>
  <r>
    <n v="5"/>
    <x v="90"/>
    <x v="7"/>
    <m/>
    <d v="2024-03-28T00:00:00"/>
    <d v="2024-03-28T00:00:00"/>
    <s v="Jakku Sri Ramamurthi"/>
    <d v="2024-03-28T00:00:00"/>
    <n v="464000"/>
    <m/>
    <m/>
    <m/>
    <m/>
    <n v="464000"/>
    <m/>
    <n v="0"/>
    <m/>
    <m/>
    <n v="464000"/>
    <x v="0"/>
    <n v="464000"/>
  </r>
  <r>
    <m/>
    <x v="0"/>
    <x v="0"/>
    <m/>
    <m/>
    <m/>
    <m/>
    <m/>
    <n v="2729450"/>
    <m/>
    <n v="0"/>
    <n v="0"/>
    <n v="0"/>
    <n v="2729450"/>
    <s v=" "/>
    <m/>
    <m/>
    <n v="0"/>
    <n v="2729450"/>
    <x v="1"/>
    <n v="0"/>
  </r>
  <r>
    <s v="Temp.Buildings"/>
    <x v="0"/>
    <x v="0"/>
    <m/>
    <m/>
    <m/>
    <m/>
    <m/>
    <m/>
    <m/>
    <m/>
    <m/>
    <m/>
    <m/>
    <s v=" "/>
    <m/>
    <m/>
    <m/>
    <m/>
    <x v="0"/>
    <m/>
  </r>
  <r>
    <n v="1"/>
    <x v="91"/>
    <x v="1"/>
    <s v="LM/23-24/APR/236"/>
    <d v="2023-04-30T00:00:00"/>
    <d v="2023-06-30T00:00:00"/>
    <s v="Laxmi Motors"/>
    <d v="2023-06-30T00:00:00"/>
    <n v="59885"/>
    <m/>
    <m/>
    <m/>
    <n v="9135"/>
    <n v="50750"/>
    <n v="275"/>
    <n v="2"/>
    <n v="1.2465753424657535"/>
    <n v="18162.243150684932"/>
    <n v="32587.756849315068"/>
    <x v="140"/>
    <n v="0"/>
  </r>
  <r>
    <n v="2"/>
    <x v="91"/>
    <x v="1"/>
    <s v="LM/23-24/OCT/124"/>
    <d v="2023-10-17T00:00:00"/>
    <d v="2023-10-31T00:00:00"/>
    <s v="Laxmi Motors"/>
    <d v="2023-10-31T00:00:00"/>
    <n v="89208"/>
    <m/>
    <m/>
    <m/>
    <n v="13608"/>
    <n v="75600"/>
    <n v="152"/>
    <n v="2"/>
    <n v="1.5835616438356164"/>
    <n v="14954.301369863013"/>
    <n v="60645.698630136991"/>
    <x v="1"/>
    <n v="75600"/>
  </r>
  <r>
    <n v="3"/>
    <x v="91"/>
    <x v="1"/>
    <s v="LM/23-24/DEC/078"/>
    <d v="2023-12-11T00:00:00"/>
    <d v="2023-12-21T00:00:00"/>
    <s v="Laxmi Motors"/>
    <d v="2023-12-21T00:00:00"/>
    <n v="42362"/>
    <m/>
    <m/>
    <m/>
    <n v="6462"/>
    <n v="35900"/>
    <n v="101"/>
    <n v="2"/>
    <n v="1.7232876712328768"/>
    <n v="4718.6369863013697"/>
    <n v="31181.363013698632"/>
    <x v="1"/>
    <n v="35900"/>
  </r>
  <r>
    <n v="4"/>
    <x v="92"/>
    <x v="1"/>
    <s v="LM/23-24/OCT/2033"/>
    <d v="2023-10-28T00:00:00"/>
    <d v="2023-10-28T00:00:00"/>
    <s v="Laxmi Motors"/>
    <d v="2023-10-28T00:00:00"/>
    <n v="127440"/>
    <m/>
    <m/>
    <m/>
    <n v="19440"/>
    <n v="108000"/>
    <n v="155"/>
    <n v="2"/>
    <n v="1.5753424657534247"/>
    <n v="21784.931506849316"/>
    <n v="86215.068493150684"/>
    <x v="1"/>
    <n v="108000"/>
  </r>
  <r>
    <n v="5"/>
    <x v="93"/>
    <x v="1"/>
    <s v="TS/23-24/395"/>
    <d v="2023-08-22T00:00:00"/>
    <d v="2023-08-22T00:00:00"/>
    <s v="Trinath Steel"/>
    <d v="2023-08-22T00:00:00"/>
    <n v="172469"/>
    <m/>
    <m/>
    <m/>
    <n v="26308"/>
    <n v="146161"/>
    <n v="222"/>
    <n v="2"/>
    <n v="1.3917808219178083"/>
    <n v="42226.513561643827"/>
    <n v="103934.48643835617"/>
    <x v="141"/>
    <n v="0"/>
  </r>
  <r>
    <n v="6"/>
    <x v="93"/>
    <x v="1"/>
    <s v="TS/23-24/398"/>
    <d v="2023-08-23T00:00:00"/>
    <d v="2023-08-23T00:00:00"/>
    <s v="Trinath Steel"/>
    <d v="2023-08-23T00:00:00"/>
    <n v="171494"/>
    <m/>
    <m/>
    <m/>
    <n v="26160"/>
    <n v="145334"/>
    <n v="221"/>
    <n v="2"/>
    <n v="1.3945205479452056"/>
    <n v="41798.456575342461"/>
    <n v="103535.54342465755"/>
    <x v="142"/>
    <n v="0"/>
  </r>
  <r>
    <n v="7"/>
    <x v="94"/>
    <x v="3"/>
    <s v="LM/23-24/MAY/027"/>
    <d v="2023-05-05T00:00:00"/>
    <d v="2023-06-30T00:00:00"/>
    <s v="Laxmi Motors"/>
    <d v="2023-06-30T00:00:00"/>
    <n v="43660.480000000003"/>
    <m/>
    <m/>
    <m/>
    <n v="6660.0732203389834"/>
    <n v="37000.406779661018"/>
    <n v="275"/>
    <n v="2"/>
    <n v="1.2465753424657535"/>
    <n v="13241.583933132111"/>
    <n v="23758.822846528907"/>
    <x v="143"/>
    <n v="0"/>
  </r>
  <r>
    <n v="8"/>
    <x v="93"/>
    <x v="3"/>
    <s v="LM/23-24/MAY/059"/>
    <d v="2023-05-09T00:00:00"/>
    <d v="2023-05-10T00:00:00"/>
    <s v="Laxmi Motors"/>
    <d v="2023-05-10T00:00:00"/>
    <n v="15840"/>
    <m/>
    <m/>
    <m/>
    <n v="2416"/>
    <n v="13424"/>
    <n v="326"/>
    <n v="2"/>
    <n v="1.106849315068493"/>
    <n v="5695.0860273972603"/>
    <n v="7728.9139726027397"/>
    <x v="144"/>
    <n v="0"/>
  </r>
  <r>
    <n v="9"/>
    <x v="95"/>
    <x v="5"/>
    <s v="495/BLR/23-24"/>
    <d v="2023-12-09T00:00:00"/>
    <d v="2023-12-09T00:00:00"/>
    <s v="AM Office Solutions"/>
    <d v="2023-12-09T00:00:00"/>
    <n v="318600"/>
    <m/>
    <m/>
    <m/>
    <n v="48600"/>
    <n v="270000"/>
    <n v="113"/>
    <n v="2"/>
    <n v="1.6904109589041096"/>
    <n v="39704.794520547948"/>
    <n v="230295.20547945204"/>
    <x v="1"/>
    <n v="270000"/>
  </r>
  <r>
    <n v="10"/>
    <x v="96"/>
    <x v="5"/>
    <s v="494/BLR/23-24"/>
    <d v="2023-12-09T00:00:00"/>
    <d v="2023-12-09T00:00:00"/>
    <s v="AM Office Solutions"/>
    <d v="2023-12-09T00:00:00"/>
    <n v="259600"/>
    <m/>
    <m/>
    <m/>
    <n v="39600"/>
    <n v="220000"/>
    <n v="113"/>
    <n v="2"/>
    <n v="1.6904109589041096"/>
    <n v="32352.054794520547"/>
    <n v="187647.94520547945"/>
    <x v="1"/>
    <n v="220000"/>
  </r>
  <r>
    <n v="11"/>
    <x v="97"/>
    <x v="5"/>
    <s v="536/BLR/23-24"/>
    <d v="2023-12-14T00:00:00"/>
    <d v="2023-12-14T00:00:00"/>
    <s v="AM Office Solutions"/>
    <d v="2023-12-14T00:00:00"/>
    <n v="467280"/>
    <m/>
    <m/>
    <m/>
    <n v="71280"/>
    <n v="396000"/>
    <n v="108"/>
    <n v="2"/>
    <n v="1.7041095890410958"/>
    <n v="55656.986301369863"/>
    <n v="340343.01369863015"/>
    <x v="1"/>
    <n v="396000"/>
  </r>
  <r>
    <n v="12"/>
    <x v="98"/>
    <x v="5"/>
    <s v="496/BLR/23-24"/>
    <d v="2023-12-09T00:00:00"/>
    <d v="2023-12-09T00:00:00"/>
    <s v="AM Office Solutions"/>
    <d v="2023-12-09T00:00:00"/>
    <n v="217120"/>
    <m/>
    <m/>
    <m/>
    <n v="33120"/>
    <n v="184000"/>
    <n v="113"/>
    <n v="2"/>
    <n v="1.6904109589041096"/>
    <n v="27058.082191780821"/>
    <n v="156941.91780821918"/>
    <x v="1"/>
    <n v="184000"/>
  </r>
  <r>
    <n v="13"/>
    <x v="99"/>
    <x v="5"/>
    <s v="INV-000537"/>
    <d v="2023-10-14T00:00:00"/>
    <d v="2023-10-14T00:00:00"/>
    <s v="GSTR Interiors"/>
    <d v="2023-10-14T00:00:00"/>
    <n v="523920"/>
    <m/>
    <m/>
    <m/>
    <n v="79920"/>
    <n v="444000"/>
    <n v="169"/>
    <n v="2"/>
    <n v="1.536986301369863"/>
    <n v="97649.589041095896"/>
    <n v="346350.41095890407"/>
    <x v="1"/>
    <n v="444000"/>
  </r>
  <r>
    <n v="14"/>
    <x v="99"/>
    <x v="5"/>
    <s v="INV-000544"/>
    <d v="2023-11-04T00:00:00"/>
    <d v="2023-11-04T00:00:00"/>
    <s v="GSTR Interiors"/>
    <d v="2023-11-04T00:00:00"/>
    <n v="304440"/>
    <m/>
    <m/>
    <m/>
    <n v="46440"/>
    <n v="258000"/>
    <n v="148"/>
    <n v="2"/>
    <n v="1.5945205479452054"/>
    <n v="49691.506849315068"/>
    <n v="208308.49315068492"/>
    <x v="1"/>
    <n v="258000"/>
  </r>
  <r>
    <n v="15"/>
    <x v="100"/>
    <x v="6"/>
    <n v="206"/>
    <d v="2023-07-20T00:00:00"/>
    <d v="2023-09-26T00:00:00"/>
    <s v="RoI Form Engineering and Profile"/>
    <d v="2023-09-26T00:00:00"/>
    <n v="20650"/>
    <m/>
    <m/>
    <m/>
    <n v="3150"/>
    <n v="17500"/>
    <n v="187"/>
    <n v="2"/>
    <n v="1.4876712328767123"/>
    <n v="4258.732876712329"/>
    <n v="13241.267123287671"/>
    <x v="145"/>
    <n v="0"/>
  </r>
  <r>
    <n v="16"/>
    <x v="101"/>
    <x v="6"/>
    <n v="381"/>
    <d v="2023-11-18T00:00:00"/>
    <d v="2023-11-18T00:00:00"/>
    <s v="RoI Form Engineering and Profile"/>
    <d v="2023-11-18T00:00:00"/>
    <n v="10325"/>
    <m/>
    <m/>
    <m/>
    <n v="1575"/>
    <n v="8750"/>
    <n v="134"/>
    <n v="2"/>
    <n v="1.6328767123287671"/>
    <n v="1525.8561643835617"/>
    <n v="7224.1438356164381"/>
    <x v="1"/>
    <n v="8750"/>
  </r>
  <r>
    <n v="17"/>
    <x v="102"/>
    <x v="6"/>
    <n v="146"/>
    <d v="2023-06-15T00:00:00"/>
    <d v="2023-06-30T00:00:00"/>
    <s v="RoL Form Engineering and Profile"/>
    <d v="2023-06-30T00:00:00"/>
    <n v="80122"/>
    <m/>
    <m/>
    <m/>
    <n v="12222"/>
    <n v="67900"/>
    <n v="275"/>
    <n v="2"/>
    <n v="1.2465753424657535"/>
    <n v="24299.828767123287"/>
    <n v="43600.171232876717"/>
    <x v="146"/>
    <n v="0"/>
  </r>
  <r>
    <n v="18"/>
    <x v="100"/>
    <x v="12"/>
    <n v="160"/>
    <d v="2023-06-22T00:00:00"/>
    <d v="2023-07-17T00:00:00"/>
    <s v="RoI Form Engineering and Profile"/>
    <d v="2023-07-17T00:00:00"/>
    <n v="30374"/>
    <m/>
    <m/>
    <m/>
    <n v="4634"/>
    <n v="25740"/>
    <n v="258"/>
    <n v="2"/>
    <n v="1.2931506849315069"/>
    <n v="8642.2931506849309"/>
    <n v="17097.706849315069"/>
    <x v="147"/>
    <n v="0"/>
  </r>
  <r>
    <n v="19"/>
    <x v="93"/>
    <x v="12"/>
    <s v="SME/23-24/321"/>
    <d v="2023-04-19T00:00:00"/>
    <d v="2023-04-22T00:00:00"/>
    <s v="SME Steels Pvt. Ltd."/>
    <d v="2023-04-22T00:00:00"/>
    <n v="228826"/>
    <m/>
    <m/>
    <m/>
    <n v="34906"/>
    <n v="193920"/>
    <n v="344"/>
    <n v="2"/>
    <n v="1.0575342465753423"/>
    <n v="86812.405479452049"/>
    <n v="107107.59452054795"/>
    <x v="148"/>
    <n v="0"/>
  </r>
  <r>
    <n v="20"/>
    <x v="93"/>
    <x v="12"/>
    <s v="SME/23-24/1088"/>
    <d v="2023-05-25T00:00:00"/>
    <d v="2023-05-31T00:00:00"/>
    <s v="SME Steels Pvt. Ltd."/>
    <d v="2023-05-31T00:00:00"/>
    <n v="809583"/>
    <m/>
    <m/>
    <m/>
    <n v="123496"/>
    <n v="686087"/>
    <n v="305"/>
    <n v="2"/>
    <n v="1.1643835616438356"/>
    <n v="272320.14828767121"/>
    <n v="413766.85171232879"/>
    <x v="149"/>
    <n v="0"/>
  </r>
  <r>
    <n v="21"/>
    <x v="93"/>
    <x v="12"/>
    <s v="SME/23-24/1183"/>
    <d v="2023-05-30T00:00:00"/>
    <d v="2023-05-31T00:00:00"/>
    <s v="SME Steels Pvt. Ltd."/>
    <d v="2023-05-31T00:00:00"/>
    <n v="148114"/>
    <m/>
    <m/>
    <m/>
    <n v="22594"/>
    <n v="125520"/>
    <n v="305"/>
    <n v="2"/>
    <n v="1.1643835616438356"/>
    <n v="49821.123287671231"/>
    <n v="75698.876712328769"/>
    <x v="150"/>
    <n v="0"/>
  </r>
  <r>
    <n v="22"/>
    <x v="102"/>
    <x v="12"/>
    <n v="131"/>
    <d v="2023-06-10T00:00:00"/>
    <d v="2023-06-30T00:00:00"/>
    <s v="RoL Form Engineering and Profile"/>
    <d v="2023-06-30T00:00:00"/>
    <n v="128148"/>
    <m/>
    <m/>
    <m/>
    <n v="19548"/>
    <n v="108600"/>
    <n v="275"/>
    <n v="2"/>
    <n v="1.2465753424657535"/>
    <n v="38865.410958904111"/>
    <n v="69734.589041095896"/>
    <x v="151"/>
    <n v="0"/>
  </r>
  <r>
    <n v="23"/>
    <x v="103"/>
    <x v="15"/>
    <s v="GS/114/2023-24"/>
    <d v="2023-09-29T00:00:00"/>
    <d v="2023-09-29T00:00:00"/>
    <s v="Giria Sales Corporation"/>
    <d v="2023-09-29T00:00:00"/>
    <n v="18408"/>
    <m/>
    <m/>
    <m/>
    <n v="2808"/>
    <n v="15600"/>
    <n v="184"/>
    <n v="2"/>
    <n v="1.495890410958904"/>
    <n v="3735.4520547945203"/>
    <n v="11864.547945205479"/>
    <x v="152"/>
    <n v="0"/>
  </r>
  <r>
    <n v="24"/>
    <x v="104"/>
    <x v="15"/>
    <n v="2024"/>
    <d v="2023-07-13T00:00:00"/>
    <d v="2023-07-25T00:00:00"/>
    <s v="Sri Gupteswar Glass &amp; Plywoods"/>
    <d v="2023-07-25T00:00:00"/>
    <n v="4080"/>
    <m/>
    <m/>
    <m/>
    <n v="622"/>
    <n v="3458"/>
    <n v="250"/>
    <n v="2"/>
    <n v="1.3150684931506849"/>
    <n v="1125.0342465753424"/>
    <n v="2332.9657534246576"/>
    <x v="153"/>
    <n v="0"/>
  </r>
  <r>
    <n v="25"/>
    <x v="105"/>
    <x v="15"/>
    <s v="SE/193/2023-24"/>
    <d v="2023-09-01T00:00:00"/>
    <d v="2023-09-01T00:00:00"/>
    <s v="Shyam Enterprises"/>
    <d v="2023-09-01T00:00:00"/>
    <n v="103569"/>
    <m/>
    <m/>
    <m/>
    <n v="14929"/>
    <n v="88640"/>
    <n v="212"/>
    <n v="2"/>
    <n v="1.419178082191781"/>
    <n v="24454.926027397261"/>
    <n v="64185.073972602739"/>
    <x v="154"/>
    <n v="0"/>
  </r>
  <r>
    <n v="26"/>
    <x v="106"/>
    <x v="15"/>
    <s v="MI/23-24/209"/>
    <d v="2023-07-14T00:00:00"/>
    <d v="2023-08-31T00:00:00"/>
    <s v="Murthy Industries"/>
    <d v="2023-08-31T00:00:00"/>
    <n v="4241"/>
    <m/>
    <m/>
    <m/>
    <n v="647"/>
    <n v="3594"/>
    <n v="213"/>
    <n v="2"/>
    <n v="1.4164383561643836"/>
    <n v="996.22726027397243"/>
    <n v="2597.7727397260278"/>
    <x v="155"/>
    <n v="0"/>
  </r>
  <r>
    <n v="27"/>
    <x v="107"/>
    <x v="15"/>
    <s v="MI/23-24/158"/>
    <d v="2023-06-16T00:00:00"/>
    <d v="2023-06-16T00:00:00"/>
    <s v="Murthy Industries"/>
    <d v="2023-06-16T00:00:00"/>
    <n v="20140"/>
    <m/>
    <m/>
    <m/>
    <n v="3072"/>
    <n v="17068"/>
    <n v="289"/>
    <n v="2"/>
    <n v="1.2082191780821918"/>
    <n v="6419.2046575342456"/>
    <n v="10648.795342465753"/>
    <x v="156"/>
    <n v="0"/>
  </r>
  <r>
    <n v="28"/>
    <x v="108"/>
    <x v="15"/>
    <s v="RE/55/2023-24"/>
    <d v="2023-07-16T00:00:00"/>
    <d v="2023-07-23T00:00:00"/>
    <s v="Rising Enterprises"/>
    <d v="2023-07-23T00:00:00"/>
    <n v="24950"/>
    <m/>
    <m/>
    <m/>
    <n v="3806"/>
    <n v="21144"/>
    <n v="252"/>
    <n v="2"/>
    <n v="1.3095890410958904"/>
    <n v="6934.0734246575339"/>
    <n v="14209.926575342466"/>
    <x v="157"/>
    <n v="0"/>
  </r>
  <r>
    <n v="29"/>
    <x v="102"/>
    <x v="15"/>
    <s v="ME/2023-24/20"/>
    <d v="2024-01-09T00:00:00"/>
    <d v="2024-02-09T00:00:00"/>
    <s v="Mallikarjuna Enterprises"/>
    <d v="2024-02-09T00:00:00"/>
    <n v="63312"/>
    <m/>
    <m/>
    <m/>
    <n v="9657.7199999999993"/>
    <n v="53654.28"/>
    <n v="51"/>
    <n v="2"/>
    <n v="1.8602739726027397"/>
    <n v="3561.02721369863"/>
    <n v="50093.252786301367"/>
    <x v="1"/>
    <n v="53654.28"/>
  </r>
  <r>
    <n v="30"/>
    <x v="109"/>
    <x v="16"/>
    <s v="ATTI/23-24/717"/>
    <d v="2023-12-27T00:00:00"/>
    <d v="2023-12-27T00:00:00"/>
    <s v="Ambika Trader"/>
    <d v="2023-12-27T00:00:00"/>
    <n v="111771"/>
    <m/>
    <m/>
    <m/>
    <n v="17049.82"/>
    <n v="94721.18"/>
    <n v="95"/>
    <n v="2"/>
    <n v="1.7397260273972603"/>
    <n v="11710.392458904109"/>
    <n v="83010.78754109588"/>
    <x v="1"/>
    <n v="94721.18"/>
  </r>
  <r>
    <n v="31"/>
    <x v="110"/>
    <x v="16"/>
    <s v="INV-000516"/>
    <d v="2023-07-08T00:00:00"/>
    <d v="2023-08-21T00:00:00"/>
    <s v="GSTR Interiors"/>
    <d v="2023-08-21T00:00:00"/>
    <n v="312700"/>
    <m/>
    <m/>
    <m/>
    <n v="47700"/>
    <n v="265000"/>
    <n v="223"/>
    <n v="2"/>
    <n v="1.3890410958904109"/>
    <n v="76904.452054794514"/>
    <n v="188095.54794520547"/>
    <x v="158"/>
    <n v="0"/>
  </r>
  <r>
    <n v="32"/>
    <x v="111"/>
    <x v="16"/>
    <s v="ATTI/23-24/865"/>
    <d v="2024-01-22T00:00:00"/>
    <d v="2024-01-22T00:00:00"/>
    <s v="Ambika Trader"/>
    <d v="2024-01-22T00:00:00"/>
    <n v="103920.23999999999"/>
    <m/>
    <m/>
    <m/>
    <n v="15852.24"/>
    <n v="88067.999999999985"/>
    <n v="69"/>
    <n v="2"/>
    <n v="1.810958904109589"/>
    <n v="7908.0238356164364"/>
    <n v="80159.976164383552"/>
    <x v="1"/>
    <n v="88067.999999999985"/>
  </r>
  <r>
    <n v="33"/>
    <x v="111"/>
    <x v="16"/>
    <s v="G/2084/23-24"/>
    <d v="2024-02-06T00:00:00"/>
    <d v="2024-02-06T00:00:00"/>
    <s v="Ruliram Agarwala"/>
    <d v="2024-02-06T00:00:00"/>
    <n v="14534"/>
    <m/>
    <m/>
    <m/>
    <n v="2217.06"/>
    <n v="12316.94"/>
    <n v="54"/>
    <n v="2"/>
    <n v="1.8520547945205479"/>
    <n v="865.56030410958908"/>
    <n v="11451.379695890411"/>
    <x v="1"/>
    <n v="12316.94"/>
  </r>
  <r>
    <n v="34"/>
    <x v="112"/>
    <x v="16"/>
    <s v="ATTI/23-24/864"/>
    <d v="2024-01-22T00:00:00"/>
    <d v="2024-01-22T00:00:00"/>
    <s v="Ambika Trader"/>
    <d v="2024-01-22T00:00:00"/>
    <n v="40124.849799999996"/>
    <m/>
    <m/>
    <m/>
    <n v="6120.7397999999994"/>
    <n v="34004.11"/>
    <n v="69"/>
    <n v="2"/>
    <n v="1.810958904109589"/>
    <n v="3053.3827541095893"/>
    <n v="30950.727245890412"/>
    <x v="1"/>
    <n v="34004.11"/>
  </r>
  <r>
    <n v="35"/>
    <x v="94"/>
    <x v="16"/>
    <s v="G/2264/23-24"/>
    <d v="2024-03-21T00:00:00"/>
    <d v="2024-03-21T00:00:00"/>
    <s v="Ruliram Agarwala"/>
    <d v="2024-03-21T00:00:00"/>
    <n v="10829"/>
    <m/>
    <m/>
    <m/>
    <n v="1651.88"/>
    <n v="9177.119999999999"/>
    <n v="10"/>
    <n v="2"/>
    <n v="1.9726027397260273"/>
    <n v="119.42827397260272"/>
    <n v="9057.6917260273967"/>
    <x v="1"/>
    <n v="9177.119999999999"/>
  </r>
  <r>
    <n v="36"/>
    <x v="113"/>
    <x v="21"/>
    <s v="HPCVSK/39/2324"/>
    <d v="2023-06-12T00:00:00"/>
    <d v="2023-06-19T00:00:00"/>
    <s v="Hindustan Portable Cabins"/>
    <d v="2023-06-19T00:00:00"/>
    <n v="11960"/>
    <m/>
    <m/>
    <m/>
    <n v="1824"/>
    <n v="10136"/>
    <n v="286"/>
    <n v="2"/>
    <n v="1.2164383561643834"/>
    <n v="3772.5358904109585"/>
    <n v="6363.464109589042"/>
    <x v="159"/>
    <n v="0"/>
  </r>
  <r>
    <n v="37"/>
    <x v="114"/>
    <x v="17"/>
    <s v="HPCVSK/14/2324"/>
    <d v="2023-04-24T00:00:00"/>
    <d v="2023-04-24T00:00:00"/>
    <s v="Hindustan Portable Cabins"/>
    <d v="2023-04-24T00:00:00"/>
    <n v="678500"/>
    <m/>
    <m/>
    <m/>
    <n v="103500"/>
    <n v="575000"/>
    <n v="342"/>
    <n v="2"/>
    <n v="1.0630136986301371"/>
    <n v="255914.38356164383"/>
    <n v="319085.61643835617"/>
    <x v="75"/>
    <n v="0"/>
  </r>
  <r>
    <n v="38"/>
    <x v="114"/>
    <x v="17"/>
    <s v="HPCVSK/13/2324"/>
    <d v="2023-04-24T00:00:00"/>
    <d v="2023-04-24T00:00:00"/>
    <s v="Hindustan Portable Cabins"/>
    <d v="2023-04-24T00:00:00"/>
    <n v="566400"/>
    <m/>
    <m/>
    <m/>
    <n v="86400"/>
    <n v="480000"/>
    <n v="342"/>
    <n v="2"/>
    <n v="1.0630136986301371"/>
    <n v="213632.87671232875"/>
    <n v="266367.12328767125"/>
    <x v="160"/>
    <n v="0"/>
  </r>
  <r>
    <n v="39"/>
    <x v="115"/>
    <x v="17"/>
    <s v="MMB/23-24/254"/>
    <d v="2023-06-07T00:00:00"/>
    <d v="2023-12-16T00:00:00"/>
    <s v="M.M.Brothers"/>
    <d v="2023-12-16T00:00:00"/>
    <n v="23820"/>
    <m/>
    <m/>
    <m/>
    <n v="3633.56"/>
    <n v="20186.439999999999"/>
    <n v="106"/>
    <n v="2"/>
    <n v="1.7095890410958905"/>
    <n v="2784.6226136986302"/>
    <n v="17401.817386301369"/>
    <x v="1"/>
    <n v="20186.439999999999"/>
  </r>
  <r>
    <n v="40"/>
    <x v="116"/>
    <x v="17"/>
    <s v="HPCVSK/58/2324"/>
    <d v="2023-07-07T00:00:00"/>
    <d v="2023-07-31T00:00:00"/>
    <s v="Hindustan Portable cabins"/>
    <d v="2023-07-31T00:00:00"/>
    <n v="159300"/>
    <m/>
    <m/>
    <m/>
    <n v="24300"/>
    <n v="135000"/>
    <n v="244"/>
    <n v="2"/>
    <n v="1.3315068493150686"/>
    <n v="42867.123287671231"/>
    <n v="92132.876712328769"/>
    <x v="161"/>
    <n v="0"/>
  </r>
  <r>
    <n v="41"/>
    <x v="93"/>
    <x v="17"/>
    <s v="SME/23-24/575"/>
    <d v="2023-05-04T00:00:00"/>
    <d v="2023-05-04T00:00:00"/>
    <s v="SME Steels Pvt. Ltd."/>
    <d v="2023-05-04T00:00:00"/>
    <n v="56711"/>
    <m/>
    <m/>
    <m/>
    <n v="8651"/>
    <n v="48060"/>
    <n v="332"/>
    <n v="2"/>
    <n v="1.0904109589041096"/>
    <n v="20764.553424657533"/>
    <n v="27295.446575342467"/>
    <x v="162"/>
    <n v="0"/>
  </r>
  <r>
    <n v="42"/>
    <x v="93"/>
    <x v="17"/>
    <s v="MMB/23-24/143"/>
    <d v="2023-05-11T00:00:00"/>
    <d v="2023-05-24T00:00:00"/>
    <s v="M.M.Brothers"/>
    <d v="2023-05-24T00:00:00"/>
    <n v="14620"/>
    <m/>
    <m/>
    <m/>
    <n v="2230"/>
    <n v="12390"/>
    <n v="312"/>
    <n v="2"/>
    <n v="1.1452054794520548"/>
    <n v="5030.6794520547946"/>
    <n v="7359.3205479452054"/>
    <x v="163"/>
    <n v="0"/>
  </r>
  <r>
    <m/>
    <x v="0"/>
    <x v="0"/>
    <m/>
    <m/>
    <m/>
    <m/>
    <m/>
    <n v="6613350.5698000006"/>
    <m/>
    <n v="0"/>
    <n v="0"/>
    <n v="1007946.0930203389"/>
    <n v="5605404.4767796621"/>
    <s v=" "/>
    <m/>
    <m/>
    <n v="1643794.5252913511"/>
    <n v="3961609.9514883109"/>
    <x v="164"/>
    <n v="2312378.0699999998"/>
  </r>
  <r>
    <s v="Office equipement"/>
    <x v="0"/>
    <x v="0"/>
    <m/>
    <m/>
    <m/>
    <m/>
    <m/>
    <m/>
    <m/>
    <m/>
    <m/>
    <m/>
    <m/>
    <m/>
    <m/>
    <m/>
    <m/>
    <m/>
    <x v="0"/>
    <m/>
  </r>
  <r>
    <n v="1"/>
    <x v="117"/>
    <x v="3"/>
    <s v="GICRANG-2508"/>
    <d v="2023-12-18T00:00:00"/>
    <d v="2023-12-18T00:00:00"/>
    <s v="Raj Electronics"/>
    <d v="2023-12-18T00:00:00"/>
    <n v="14800"/>
    <m/>
    <m/>
    <m/>
    <n v="2257.62"/>
    <n v="12542.380000000001"/>
    <n v="104"/>
    <n v="5"/>
    <n v="4.7150684931506852"/>
    <n v="679.00665424657529"/>
    <n v="11863.373345753425"/>
    <x v="1"/>
    <n v="12542.380000000001"/>
  </r>
  <r>
    <n v="2"/>
    <x v="118"/>
    <x v="5"/>
    <s v="MPSHY/23-24/309"/>
    <d v="2023-11-07T00:00:00"/>
    <d v="2023-11-15T00:00:00"/>
    <s v="Meenakshi Power Solutions"/>
    <d v="2023-11-15T00:00:00"/>
    <n v="440716"/>
    <m/>
    <m/>
    <m/>
    <n v="71516"/>
    <n v="369200"/>
    <n v="137"/>
    <n v="5"/>
    <n v="4.624657534246575"/>
    <n v="26329.523287671233"/>
    <n v="342870.47671232879"/>
    <x v="1"/>
    <n v="369200"/>
  </r>
  <r>
    <n v="3"/>
    <x v="119"/>
    <x v="5"/>
    <s v="KA-RENR-193227635-2324"/>
    <d v="2023-11-21T00:00:00"/>
    <d v="2023-12-01T00:00:00"/>
    <s v="Dawntech Electronics Pvt. Ltd."/>
    <d v="2023-12-01T00:00:00"/>
    <n v="15790"/>
    <m/>
    <m/>
    <m/>
    <m/>
    <n v="15790"/>
    <n v="121"/>
    <n v="5"/>
    <n v="4.6684931506849319"/>
    <n v="994.55369863013698"/>
    <n v="14795.446301369862"/>
    <x v="1"/>
    <n v="15790"/>
  </r>
  <r>
    <n v="4"/>
    <x v="119"/>
    <x v="5"/>
    <s v="BLX1-342265"/>
    <d v="2023-11-27T00:00:00"/>
    <d v="2023-12-01T00:00:00"/>
    <s v="Dawntech Electronics Pvt. Ltd."/>
    <d v="2023-12-01T00:00:00"/>
    <n v="12290"/>
    <m/>
    <m/>
    <m/>
    <n v="1874.74"/>
    <n v="10415.26"/>
    <n v="121"/>
    <n v="5"/>
    <n v="4.6684931506849319"/>
    <n v="656.01870520547936"/>
    <n v="9759.2412947945213"/>
    <x v="1"/>
    <n v="10415.26"/>
  </r>
  <r>
    <n v="5"/>
    <x v="120"/>
    <x v="6"/>
    <s v="BCR/SA2324/04518"/>
    <d v="2024-01-19T00:00:00"/>
    <d v="2024-01-19T00:00:00"/>
    <s v="Gupta Distributors"/>
    <d v="2024-01-19T00:00:00"/>
    <n v="22420"/>
    <m/>
    <m/>
    <m/>
    <n v="3420"/>
    <n v="19000"/>
    <n v="72"/>
    <n v="5"/>
    <n v="4.8027397260273972"/>
    <n v="712.10958904109589"/>
    <n v="18287.890410958906"/>
    <x v="1"/>
    <n v="19000"/>
  </r>
  <r>
    <n v="6"/>
    <x v="117"/>
    <x v="6"/>
    <s v="BCR/SA2324/04518"/>
    <d v="2024-01-19T00:00:00"/>
    <d v="2024-01-19T00:00:00"/>
    <s v="Gupta Distributors"/>
    <d v="2024-01-19T00:00:00"/>
    <n v="21500"/>
    <m/>
    <m/>
    <m/>
    <n v="3279.6610169491528"/>
    <n v="18220.338983050846"/>
    <n v="72"/>
    <n v="5"/>
    <n v="4.8027397260273972"/>
    <n v="682.88832133735764"/>
    <n v="17537.450661713487"/>
    <x v="1"/>
    <n v="18220.338983050846"/>
  </r>
  <r>
    <n v="7"/>
    <x v="121"/>
    <x v="6"/>
    <s v="SIPL/HYD/00864"/>
    <d v="2024-01-30T00:00:00"/>
    <d v="2024-01-30T00:00:00"/>
    <s v="Servomax Industries Pvt. Ltd."/>
    <d v="2024-01-30T00:00:00"/>
    <n v="575840"/>
    <m/>
    <m/>
    <m/>
    <n v="87840"/>
    <n v="488000"/>
    <n v="61"/>
    <n v="5"/>
    <n v="4.8328767123287673"/>
    <n v="15495.671232876712"/>
    <n v="472504.32876712328"/>
    <x v="1"/>
    <n v="488000"/>
  </r>
  <r>
    <n v="8"/>
    <x v="121"/>
    <x v="6"/>
    <s v="SIPL/HYD/00972"/>
    <d v="2024-03-15T00:00:00"/>
    <d v="2024-03-15T00:00:00"/>
    <s v="Servomax Industries Pvt. Ltd."/>
    <d v="2024-03-15T00:00:00"/>
    <n v="885000"/>
    <m/>
    <m/>
    <m/>
    <n v="135000"/>
    <n v="750000"/>
    <n v="16"/>
    <n v="5"/>
    <n v="4.956164383561644"/>
    <n v="6246.5753424657532"/>
    <n v="743753.42465753423"/>
    <x v="1"/>
    <n v="750000"/>
  </r>
  <r>
    <n v="9"/>
    <x v="122"/>
    <x v="6"/>
    <s v="BCR/SA2324/04518"/>
    <d v="2024-01-19T00:00:00"/>
    <d v="2024-01-19T00:00:00"/>
    <s v="Gupta Distributors"/>
    <d v="2024-01-19T00:00:00"/>
    <n v="13500"/>
    <m/>
    <m/>
    <m/>
    <n v="2059.3220338983051"/>
    <n v="11440.677966101695"/>
    <n v="72"/>
    <n v="5"/>
    <n v="4.8027397260273972"/>
    <n v="428.79034130485252"/>
    <n v="11011.887624796844"/>
    <x v="1"/>
    <n v="11440.677966101695"/>
  </r>
  <r>
    <n v="10"/>
    <x v="122"/>
    <x v="6"/>
    <s v="BCR/SA2324/04518"/>
    <d v="2024-01-19T00:00:00"/>
    <d v="2024-01-19T00:00:00"/>
    <s v="Gupta Distributors"/>
    <d v="2024-01-19T00:00:00"/>
    <n v="13500"/>
    <m/>
    <m/>
    <m/>
    <n v="2059.3220338983051"/>
    <n v="11440.677966101695"/>
    <n v="72"/>
    <n v="5"/>
    <n v="4.8027397260273972"/>
    <n v="428.79034130485252"/>
    <n v="11011.887624796844"/>
    <x v="1"/>
    <n v="11440.677966101695"/>
  </r>
  <r>
    <n v="11"/>
    <x v="123"/>
    <x v="7"/>
    <s v="DE/421"/>
    <d v="2023-11-24T00:00:00"/>
    <d v="2023-12-15T00:00:00"/>
    <s v="Deccanair Conditioner's Pvt. Ltd."/>
    <d v="2023-12-15T00:00:00"/>
    <n v="64310"/>
    <m/>
    <m/>
    <m/>
    <n v="9810"/>
    <n v="54500"/>
    <n v="107"/>
    <n v="5"/>
    <n v="4.7068493150684931"/>
    <n v="3035.5753424657532"/>
    <n v="51464.424657534248"/>
    <x v="1"/>
    <n v="54500"/>
  </r>
  <r>
    <n v="12"/>
    <x v="123"/>
    <x v="7"/>
    <s v="DE/420"/>
    <d v="2023-11-24T00:00:00"/>
    <d v="2023-12-15T00:00:00"/>
    <s v="Deccanair Conditioner's Pvt. Ltd."/>
    <d v="2023-12-15T00:00:00"/>
    <n v="40960"/>
    <m/>
    <m/>
    <m/>
    <n v="8960"/>
    <n v="32000"/>
    <n v="107"/>
    <n v="5"/>
    <n v="4.7068493150684931"/>
    <n v="1782.3561643835617"/>
    <n v="30217.64383561644"/>
    <x v="1"/>
    <n v="32000"/>
  </r>
  <r>
    <n v="13"/>
    <x v="124"/>
    <x v="7"/>
    <s v="DE/541"/>
    <d v="2024-01-04T00:00:00"/>
    <d v="2024-01-18T00:00:00"/>
    <s v="Deccanair Conditioner's Pvt. Ltd."/>
    <d v="2024-01-18T00:00:00"/>
    <n v="46180"/>
    <m/>
    <m/>
    <m/>
    <n v="10101.84"/>
    <n v="36078.160000000003"/>
    <n v="73"/>
    <n v="5"/>
    <n v="4.8"/>
    <n v="1370.9700800000001"/>
    <n v="34707.189920000004"/>
    <x v="1"/>
    <n v="36078.160000000003"/>
  </r>
  <r>
    <n v="14"/>
    <x v="124"/>
    <x v="7"/>
    <s v="202324HYD001131"/>
    <d v="2024-02-29T00:00:00"/>
    <d v="2024-03-01T00:00:00"/>
    <s v="National Aircon India Pvt. Ltd."/>
    <d v="2024-03-01T00:00:00"/>
    <n v="45770"/>
    <m/>
    <m/>
    <m/>
    <n v="9895"/>
    <n v="35875"/>
    <n v="30"/>
    <n v="5"/>
    <n v="4.9178082191780819"/>
    <n v="560.2397260273973"/>
    <n v="35314.760273972606"/>
    <x v="1"/>
    <n v="35875"/>
  </r>
  <r>
    <n v="15"/>
    <x v="83"/>
    <x v="7"/>
    <s v="B18460"/>
    <d v="2024-01-11T00:00:00"/>
    <d v="2024-02-02T00:00:00"/>
    <s v="Plastic World"/>
    <d v="2024-02-02T00:00:00"/>
    <n v="10829"/>
    <m/>
    <m/>
    <m/>
    <m/>
    <n v="10829"/>
    <n v="58"/>
    <n v="5"/>
    <n v="4.8410958904109584"/>
    <n v="326.94679452054788"/>
    <n v="10502.053205479453"/>
    <x v="1"/>
    <n v="10829"/>
  </r>
  <r>
    <n v="16"/>
    <x v="117"/>
    <x v="7"/>
    <n v="1005"/>
    <d v="2024-01-27T00:00:00"/>
    <d v="2024-01-27T00:00:00"/>
    <s v="Infiniti Retail Ltd (Croma)"/>
    <d v="2024-01-27T00:00:00"/>
    <n v="97659"/>
    <m/>
    <m/>
    <m/>
    <m/>
    <n v="97659"/>
    <n v="64"/>
    <n v="5"/>
    <n v="4.8246575342465752"/>
    <n v="3253.5162739726024"/>
    <n v="94405.483726027393"/>
    <x v="1"/>
    <n v="97659"/>
  </r>
  <r>
    <n v="17"/>
    <x v="74"/>
    <x v="7"/>
    <s v="T096169358"/>
    <d v="2024-01-30T00:00:00"/>
    <d v="2024-02-02T00:00:00"/>
    <s v="Urbanladder(Online)"/>
    <d v="2024-02-02T00:00:00"/>
    <n v="33863"/>
    <m/>
    <m/>
    <m/>
    <m/>
    <n v="33863"/>
    <n v="58"/>
    <n v="5"/>
    <n v="4.8410958904109584"/>
    <n v="1022.3842739726026"/>
    <n v="32840.615726027398"/>
    <x v="1"/>
    <n v="33863"/>
  </r>
  <r>
    <n v="18"/>
    <x v="74"/>
    <x v="7"/>
    <s v="T476571856"/>
    <d v="2024-01-30T00:00:00"/>
    <d v="2024-02-02T00:00:00"/>
    <s v="Urbanladder(Online)"/>
    <d v="2024-02-02T00:00:00"/>
    <n v="36195"/>
    <m/>
    <m/>
    <m/>
    <m/>
    <n v="36195"/>
    <n v="58"/>
    <n v="5"/>
    <n v="4.8410958904109584"/>
    <n v="1092.7915068493151"/>
    <n v="35102.208493150683"/>
    <x v="1"/>
    <n v="36195"/>
  </r>
  <r>
    <n v="19"/>
    <x v="123"/>
    <x v="9"/>
    <n v="259"/>
    <d v="2023-06-09T00:00:00"/>
    <d v="2023-06-25T00:00:00"/>
    <s v="New SL Electronics"/>
    <d v="2023-06-25T00:00:00"/>
    <n v="37000"/>
    <m/>
    <m/>
    <m/>
    <n v="8094"/>
    <n v="28906"/>
    <n v="280"/>
    <n v="5"/>
    <n v="4.2328767123287676"/>
    <n v="4213.1484931506839"/>
    <n v="24692.851506849314"/>
    <x v="165"/>
    <n v="0"/>
  </r>
  <r>
    <n v="20"/>
    <x v="123"/>
    <x v="9"/>
    <n v="377"/>
    <d v="2023-08-28T00:00:00"/>
    <d v="2023-08-28T00:00:00"/>
    <s v="New SL Electronics"/>
    <d v="2023-08-28T00:00:00"/>
    <n v="35000"/>
    <m/>
    <m/>
    <m/>
    <n v="7656"/>
    <n v="27344"/>
    <n v="216"/>
    <n v="5"/>
    <n v="4.4082191780821915"/>
    <n v="3074.5144109589041"/>
    <n v="24269.485589041094"/>
    <x v="166"/>
    <n v="0"/>
  </r>
  <r>
    <n v="21"/>
    <x v="123"/>
    <x v="9"/>
    <s v="A/MA/DLS-597"/>
    <d v="2023-10-30T00:00:00"/>
    <d v="2023-10-30T00:00:00"/>
    <s v="Mattupalli Associates"/>
    <d v="2023-10-30T00:00:00"/>
    <n v="265300"/>
    <m/>
    <m/>
    <m/>
    <n v="56888"/>
    <n v="208412"/>
    <n v="153"/>
    <n v="5"/>
    <n v="4.580821917808219"/>
    <n v="16598.731068493151"/>
    <n v="191813.26893150684"/>
    <x v="1"/>
    <n v="208412"/>
  </r>
  <r>
    <n v="22"/>
    <x v="125"/>
    <x v="9"/>
    <s v="E/331"/>
    <d v="2023-04-12T00:00:00"/>
    <d v="2023-04-12T00:00:00"/>
    <s v="Lakshmi Durga Electronics"/>
    <d v="2023-04-12T00:00:00"/>
    <n v="33500"/>
    <m/>
    <m/>
    <m/>
    <n v="7328"/>
    <n v="26172"/>
    <n v="354"/>
    <n v="5"/>
    <n v="4.0301369863013701"/>
    <n v="4822.8184109589038"/>
    <n v="21349.181589041094"/>
    <x v="167"/>
    <n v="0"/>
  </r>
  <r>
    <n v="23"/>
    <x v="123"/>
    <x v="10"/>
    <n v="403"/>
    <d v="2023-09-26T00:00:00"/>
    <d v="2023-10-20T00:00:00"/>
    <s v="New SL Electronics"/>
    <d v="2023-10-20T00:00:00"/>
    <n v="35000"/>
    <m/>
    <m/>
    <m/>
    <n v="7656"/>
    <n v="27344"/>
    <n v="163"/>
    <n v="5"/>
    <n v="4.5534246575342463"/>
    <n v="2320.1196712328765"/>
    <n v="25023.880328767125"/>
    <x v="1"/>
    <n v="27344"/>
  </r>
  <r>
    <n v="24"/>
    <x v="121"/>
    <x v="12"/>
    <s v="SIPL/HYD/00427"/>
    <d v="2023-08-23T00:00:00"/>
    <d v="2023-08-23T00:00:00"/>
    <s v="Servomax Industries Pvt. Ltd."/>
    <d v="2023-08-23T00:00:00"/>
    <n v="446158"/>
    <m/>
    <m/>
    <m/>
    <n v="68058"/>
    <n v="378100"/>
    <n v="221"/>
    <n v="5"/>
    <n v="4.3945205479452056"/>
    <n v="43497.038356164383"/>
    <n v="334602.96164383565"/>
    <x v="168"/>
    <n v="0"/>
  </r>
  <r>
    <n v="25"/>
    <x v="123"/>
    <x v="22"/>
    <s v="SIT-526"/>
    <d v="2023-09-16T00:00:00"/>
    <d v="2023-09-16T00:00:00"/>
    <s v="Karthik Agencies"/>
    <d v="2023-09-16T00:00:00"/>
    <n v="70400"/>
    <m/>
    <m/>
    <m/>
    <n v="14810"/>
    <n v="55590"/>
    <n v="197"/>
    <n v="5"/>
    <n v="4.4602739726027396"/>
    <n v="5700.6402739726036"/>
    <n v="49889.359726027396"/>
    <x v="169"/>
    <n v="0"/>
  </r>
  <r>
    <n v="26"/>
    <x v="123"/>
    <x v="15"/>
    <s v="SGE/GST/002298"/>
    <d v="2023-07-01T00:00:00"/>
    <d v="2023-07-01T00:00:00"/>
    <s v="Sri Gupteswar Enterprises"/>
    <d v="2023-07-01T00:00:00"/>
    <n v="175000"/>
    <m/>
    <m/>
    <m/>
    <n v="38281.26"/>
    <n v="136718.74"/>
    <n v="274"/>
    <n v="5"/>
    <n v="4.2493150684931509"/>
    <n v="19500.21261479452"/>
    <n v="117218.52738520547"/>
    <x v="170"/>
    <n v="0"/>
  </r>
  <r>
    <n v="27"/>
    <x v="123"/>
    <x v="15"/>
    <s v="SGE/GST/002606"/>
    <d v="2023-07-14T00:00:00"/>
    <d v="2023-07-15T00:00:00"/>
    <s v="Sri Gupteswar Enterprises"/>
    <d v="2023-07-15T00:00:00"/>
    <n v="93800"/>
    <m/>
    <m/>
    <m/>
    <n v="20518"/>
    <n v="73282"/>
    <n v="260"/>
    <n v="5"/>
    <n v="4.2876712328767121"/>
    <n v="9918.1665753424641"/>
    <n v="63363.83342465754"/>
    <x v="171"/>
    <n v="0"/>
  </r>
  <r>
    <n v="28"/>
    <x v="125"/>
    <x v="15"/>
    <s v="SGE/GST/001819"/>
    <d v="2023-06-11T00:00:00"/>
    <d v="2023-06-11T00:00:00"/>
    <s v="Sri Gupteswar Enterprises"/>
    <d v="2023-06-11T00:00:00"/>
    <n v="34000"/>
    <m/>
    <m/>
    <m/>
    <n v="7438"/>
    <n v="26562"/>
    <n v="294"/>
    <n v="5"/>
    <n v="4.1945205479452055"/>
    <n v="4065.0775890410955"/>
    <n v="22496.922410958905"/>
    <x v="172"/>
    <n v="0"/>
  </r>
  <r>
    <n v="29"/>
    <x v="117"/>
    <x v="15"/>
    <m/>
    <m/>
    <m/>
    <s v="Reliance Retail Limited"/>
    <d v="1899-12-30T00:00:00"/>
    <n v="9490"/>
    <m/>
    <m/>
    <m/>
    <m/>
    <n v="9490"/>
    <n v="45382"/>
    <n v="5"/>
    <n v="-119.33424657534246"/>
    <n v="224187.08000000002"/>
    <n v="-214697.08000000002"/>
    <x v="173"/>
    <n v="0"/>
  </r>
  <r>
    <n v="30"/>
    <x v="122"/>
    <x v="15"/>
    <s v="SHYB-196614"/>
    <d v="2023-11-06T00:00:00"/>
    <d v="2023-11-30T00:00:00"/>
    <s v="Dawntech Electronics Pvt. Ltd."/>
    <d v="2023-11-30T00:00:00"/>
    <n v="29999"/>
    <m/>
    <m/>
    <m/>
    <m/>
    <n v="29999"/>
    <n v="122"/>
    <n v="5"/>
    <n v="4.6657534246575345"/>
    <n v="1905.1419726027395"/>
    <n v="28093.858027397262"/>
    <x v="1"/>
    <n v="29999"/>
  </r>
  <r>
    <n v="31"/>
    <x v="119"/>
    <x v="15"/>
    <n v="11"/>
    <d v="2023-10-23T00:00:00"/>
    <d v="2023-12-31T00:00:00"/>
    <s v="Aafreen &amp; Zoya Furntiure &amp; Electronics"/>
    <d v="2023-12-31T00:00:00"/>
    <n v="24500"/>
    <m/>
    <m/>
    <m/>
    <n v="3737.2881355932204"/>
    <n v="20762.711864406781"/>
    <n v="91"/>
    <n v="5"/>
    <n v="4.7506849315068491"/>
    <n v="983.52681680984449"/>
    <n v="19779.185047596937"/>
    <x v="1"/>
    <n v="20762.711864406781"/>
  </r>
  <r>
    <n v="32"/>
    <x v="126"/>
    <x v="23"/>
    <s v="BCR/SA2324/02770"/>
    <d v="2023-08-02T00:00:00"/>
    <d v="2024-03-01T00:00:00"/>
    <s v="Gupta Distributors"/>
    <d v="2024-03-01T00:00:00"/>
    <n v="118016"/>
    <m/>
    <m/>
    <m/>
    <n v="25816"/>
    <n v="92200"/>
    <n v="30"/>
    <n v="5"/>
    <n v="4.9178082191780819"/>
    <n v="1439.8356164383561"/>
    <n v="90760.164383561641"/>
    <x v="1"/>
    <n v="92200"/>
  </r>
  <r>
    <n v="33"/>
    <x v="126"/>
    <x v="23"/>
    <s v="BCR/SA2324/02769"/>
    <d v="2023-08-23T00:00:00"/>
    <d v="2023-08-23T00:00:00"/>
    <s v="Gupta Distributors"/>
    <d v="2023-08-23T00:00:00"/>
    <n v="130560"/>
    <m/>
    <m/>
    <m/>
    <n v="28560"/>
    <n v="102000"/>
    <n v="221"/>
    <n v="5"/>
    <n v="4.3945205479452056"/>
    <n v="11734.191780821919"/>
    <n v="90265.808219178085"/>
    <x v="174"/>
    <n v="0"/>
  </r>
  <r>
    <n v="34"/>
    <x v="127"/>
    <x v="24"/>
    <n v="8515"/>
    <d v="2023-08-24T00:00:00"/>
    <d v="2023-09-11T00:00:00"/>
    <s v="Target Pest Controls 'n' Equipments"/>
    <d v="2023-09-11T00:00:00"/>
    <n v="72000"/>
    <m/>
    <m/>
    <m/>
    <n v="0"/>
    <n v="72000"/>
    <n v="202"/>
    <n v="5"/>
    <n v="4.4465753424657537"/>
    <n v="7570.8493150684935"/>
    <n v="64429.150684931505"/>
    <x v="175"/>
    <n v="0"/>
  </r>
  <r>
    <n v="35"/>
    <x v="125"/>
    <x v="17"/>
    <s v="CEC2324-342"/>
    <d v="2023-06-02T00:00:00"/>
    <d v="2023-06-02T00:00:00"/>
    <s v="Cyber Peripherals Pvt. Ltd."/>
    <d v="2023-06-02T00:00:00"/>
    <n v="100500"/>
    <m/>
    <m/>
    <m/>
    <n v="21984"/>
    <n v="78516"/>
    <n v="303"/>
    <n v="5"/>
    <n v="4.1698630136986301"/>
    <n v="12384.016767123288"/>
    <n v="66131.983232876708"/>
    <x v="176"/>
    <n v="0"/>
  </r>
  <r>
    <n v="36"/>
    <x v="125"/>
    <x v="25"/>
    <s v="AMLP/437"/>
    <d v="2023-04-27T00:00:00"/>
    <d v="2023-05-09T00:00:00"/>
    <s v="Sri Rama Marketing"/>
    <d v="2023-05-09T00:00:00"/>
    <n v="30000"/>
    <m/>
    <m/>
    <m/>
    <n v="6562"/>
    <n v="23438"/>
    <n v="327"/>
    <n v="5"/>
    <n v="4.1041095890410961"/>
    <n v="3989.5970958904099"/>
    <n v="19448.402904109589"/>
    <x v="177"/>
    <n v="0"/>
  </r>
  <r>
    <n v="37"/>
    <x v="124"/>
    <x v="20"/>
    <s v="TG9V10324900008"/>
    <d v="2024-02-07T00:00:00"/>
    <d v="2024-02-20T00:00:00"/>
    <s v="Reliance Retail Limited"/>
    <d v="2024-02-20T00:00:00"/>
    <n v="35519"/>
    <m/>
    <m/>
    <m/>
    <m/>
    <n v="35519"/>
    <n v="40"/>
    <n v="5"/>
    <n v="4.8904109589041092"/>
    <n v="739.57369863013685"/>
    <n v="34779.426301369866"/>
    <x v="1"/>
    <n v="35519"/>
  </r>
  <r>
    <m/>
    <x v="59"/>
    <x v="0"/>
    <m/>
    <m/>
    <m/>
    <m/>
    <m/>
    <n v="4166864"/>
    <m/>
    <n v="0"/>
    <n v="0"/>
    <n v="671460.053220339"/>
    <n v="3495403.9467796613"/>
    <s v=" "/>
    <m/>
    <m/>
    <n v="443742.98820377077"/>
    <n v="3051660.9585758909"/>
    <x v="178"/>
    <n v="2457285.2067796611"/>
  </r>
  <r>
    <s v="Vehicles"/>
    <x v="0"/>
    <x v="0"/>
    <m/>
    <m/>
    <m/>
    <m/>
    <m/>
    <m/>
    <m/>
    <m/>
    <m/>
    <m/>
    <m/>
    <s v=" "/>
    <m/>
    <m/>
    <m/>
    <m/>
    <x v="0"/>
    <m/>
  </r>
  <r>
    <n v="1"/>
    <x v="128"/>
    <x v="3"/>
    <s v="65618BJ23S153"/>
    <d v="2023-10-28T00:00:00"/>
    <d v="2023-10-28T00:00:00"/>
    <s v="Durga Auto"/>
    <d v="2023-10-28T00:00:00"/>
    <n v="68768"/>
    <m/>
    <m/>
    <m/>
    <m/>
    <n v="68768"/>
    <n v="155"/>
    <n v="10"/>
    <n v="9.5753424657534243"/>
    <n v="2774.2706849315068"/>
    <n v="65993.7293150685"/>
    <x v="1"/>
    <n v="68768"/>
  </r>
  <r>
    <n v="2"/>
    <x v="128"/>
    <x v="3"/>
    <s v="65618BJ23S156"/>
    <d v="2023-10-28T00:00:00"/>
    <d v="2023-10-28T00:00:00"/>
    <s v="Durga Auto"/>
    <d v="2023-10-28T00:00:00"/>
    <n v="68768"/>
    <m/>
    <m/>
    <m/>
    <m/>
    <n v="68768"/>
    <n v="155"/>
    <n v="8"/>
    <n v="7.5753424657534243"/>
    <n v="3467.8383561643836"/>
    <n v="65300.161643835614"/>
    <x v="1"/>
    <n v="68768"/>
  </r>
  <r>
    <n v="3"/>
    <x v="128"/>
    <x v="3"/>
    <s v="65618BJ23S155"/>
    <d v="2023-10-28T00:00:00"/>
    <d v="2023-10-28T00:00:00"/>
    <s v="Durga Auto"/>
    <d v="2023-10-28T00:00:00"/>
    <n v="68768"/>
    <m/>
    <m/>
    <m/>
    <m/>
    <n v="68768"/>
    <n v="155"/>
    <n v="8"/>
    <n v="7.5753424657534243"/>
    <n v="3467.8383561643836"/>
    <n v="65300.161643835614"/>
    <x v="1"/>
    <n v="68768"/>
  </r>
  <r>
    <n v="4"/>
    <x v="128"/>
    <x v="3"/>
    <s v="65618BJ23S154"/>
    <d v="2023-10-28T00:00:00"/>
    <d v="2023-10-28T00:00:00"/>
    <s v="Durga Auto"/>
    <d v="2023-10-28T00:00:00"/>
    <n v="68768"/>
    <m/>
    <m/>
    <m/>
    <m/>
    <n v="68768"/>
    <n v="155"/>
    <n v="8"/>
    <n v="7.5753424657534243"/>
    <n v="3467.8383561643836"/>
    <n v="65300.161643835614"/>
    <x v="1"/>
    <n v="68768"/>
  </r>
  <r>
    <n v="5"/>
    <x v="128"/>
    <x v="5"/>
    <s v="12052BL23S6565"/>
    <d v="2023-12-04T00:00:00"/>
    <d v="2023-12-29T00:00:00"/>
    <s v="Tirumala Motors"/>
    <d v="2023-12-29T00:00:00"/>
    <n v="76261"/>
    <m/>
    <n v="18298"/>
    <m/>
    <m/>
    <n v="94559"/>
    <n v="155"/>
    <n v="10"/>
    <n v="9.5753424657534243"/>
    <n v="3814.7432191780817"/>
    <n v="90744.256780821917"/>
    <x v="1"/>
    <n v="94559"/>
  </r>
  <r>
    <n v="6"/>
    <x v="128"/>
    <x v="5"/>
    <s v="12052BL23S6564"/>
    <d v="2023-12-04T00:00:00"/>
    <d v="2023-12-29T00:00:00"/>
    <s v="Tirumala Motors"/>
    <d v="2023-12-29T00:00:00"/>
    <n v="77361"/>
    <m/>
    <n v="18298"/>
    <m/>
    <m/>
    <n v="95659"/>
    <n v="93"/>
    <n v="10"/>
    <n v="9.7452054794520553"/>
    <n v="2315.4719589041097"/>
    <n v="93343.528041095895"/>
    <x v="1"/>
    <n v="95659"/>
  </r>
  <r>
    <n v="7"/>
    <x v="128"/>
    <x v="6"/>
    <s v="63857BK23S407"/>
    <d v="2023-11-18T00:00:00"/>
    <d v="2023-11-18T00:00:00"/>
    <s v="Ambika Motorcop"/>
    <d v="2023-11-18T00:00:00"/>
    <n v="77871"/>
    <m/>
    <m/>
    <m/>
    <m/>
    <n v="77871"/>
    <n v="134"/>
    <n v="10"/>
    <n v="9.632876712328768"/>
    <n v="2715.8844657534246"/>
    <n v="75155.115534246579"/>
    <x v="1"/>
    <n v="77871"/>
  </r>
  <r>
    <n v="8"/>
    <x v="128"/>
    <x v="6"/>
    <s v="63857BK23S408"/>
    <d v="2023-11-18T00:00:00"/>
    <d v="2023-11-18T00:00:00"/>
    <s v="Ambika Motorcop"/>
    <d v="2023-11-18T00:00:00"/>
    <n v="77871"/>
    <m/>
    <m/>
    <m/>
    <m/>
    <n v="77871"/>
    <n v="134"/>
    <n v="10"/>
    <n v="9.632876712328768"/>
    <n v="2715.8844657534246"/>
    <n v="75155.115534246579"/>
    <x v="1"/>
    <n v="77871"/>
  </r>
  <r>
    <n v="9"/>
    <x v="129"/>
    <x v="6"/>
    <s v="OR01000123V02843"/>
    <d v="2023-12-29T00:00:00"/>
    <d v="2024-01-30T00:00:00"/>
    <s v="Shivam Automobiles"/>
    <d v="2024-01-30T00:00:00"/>
    <n v="88590"/>
    <m/>
    <n v="6573"/>
    <m/>
    <m/>
    <n v="95163"/>
    <n v="61"/>
    <n v="8"/>
    <n v="7.8328767123287673"/>
    <n v="1888.5944691780821"/>
    <n v="93274.405530821925"/>
    <x v="1"/>
    <n v="95163"/>
  </r>
  <r>
    <n v="10"/>
    <x v="129"/>
    <x v="6"/>
    <s v="OR01000123V02844"/>
    <d v="2023-12-29T00:00:00"/>
    <d v="2024-01-30T00:00:00"/>
    <s v="Shivam Automobiles"/>
    <d v="2024-01-30T00:00:00"/>
    <n v="88590"/>
    <m/>
    <n v="6573"/>
    <m/>
    <m/>
    <n v="95163"/>
    <n v="61"/>
    <n v="8"/>
    <n v="7.8328767123287673"/>
    <n v="1888.5944691780821"/>
    <n v="93274.405530821925"/>
    <x v="1"/>
    <n v="95163"/>
  </r>
  <r>
    <n v="11"/>
    <x v="18"/>
    <x v="7"/>
    <s v="VVCHYD-2324-0185"/>
    <d v="2023-04-18T00:00:00"/>
    <d v="2023-04-24T00:00:00"/>
    <s v="V V C Motors Pvt. Ltd."/>
    <d v="2023-04-24T00:00:00"/>
    <n v="1018500"/>
    <m/>
    <n v="3060"/>
    <m/>
    <n v="222796"/>
    <n v="798764"/>
    <n v="275"/>
    <n v="10"/>
    <n v="9.2465753424657535"/>
    <n v="57171.806849315057"/>
    <n v="741592.19315068494"/>
    <x v="179"/>
    <n v="0"/>
  </r>
  <r>
    <n v="12"/>
    <x v="130"/>
    <x v="7"/>
    <s v="VVCHYD-2324-0186"/>
    <d v="2023-04-18T00:00:00"/>
    <d v="2023-04-24T00:00:00"/>
    <s v="V V C Motors Pvt. Ltd."/>
    <d v="2023-04-24T00:00:00"/>
    <n v="931000"/>
    <m/>
    <n v="3200"/>
    <m/>
    <n v="203656"/>
    <n v="730544"/>
    <n v="342"/>
    <n v="8"/>
    <n v="7.0630136986301366"/>
    <n v="81285.529315068474"/>
    <n v="649258.4706849315"/>
    <x v="180"/>
    <n v="0"/>
  </r>
  <r>
    <n v="13"/>
    <x v="131"/>
    <x v="7"/>
    <s v="SVB/23-24/000052"/>
    <d v="2023-04-27T00:00:00"/>
    <d v="2023-09-09T00:00:00"/>
    <s v="Kun Moteren Pvt. Ltd."/>
    <d v="2023-09-09T00:00:00"/>
    <n v="4789999"/>
    <m/>
    <n v="1379621"/>
    <m/>
    <m/>
    <n v="6169620"/>
    <n v="204"/>
    <n v="8"/>
    <n v="7.441095890410959"/>
    <n v="409476.83424657537"/>
    <n v="5760143.1657534242"/>
    <x v="181"/>
    <n v="0"/>
  </r>
  <r>
    <n v="14"/>
    <x v="132"/>
    <x v="7"/>
    <s v="TS40122232605"/>
    <d v="2023-05-09T00:00:00"/>
    <d v="2023-05-23T00:00:00"/>
    <s v="Car Automotive LLP"/>
    <d v="2023-05-23T00:00:00"/>
    <n v="1164900"/>
    <m/>
    <n v="269867"/>
    <m/>
    <m/>
    <n v="1434767"/>
    <n v="313"/>
    <n v="8"/>
    <n v="7.1424657534246574"/>
    <n v="146105.46830479451"/>
    <n v="1288661.5316952055"/>
    <x v="182"/>
    <n v="0"/>
  </r>
  <r>
    <n v="15"/>
    <x v="128"/>
    <x v="7"/>
    <s v="AP01000323V02861"/>
    <d v="2023-09-28T00:00:00"/>
    <d v="2023-10-17T00:00:00"/>
    <s v="Prathul Automobiles Pvt. Ltd."/>
    <d v="2023-10-17T00:00:00"/>
    <n v="90764"/>
    <m/>
    <m/>
    <m/>
    <m/>
    <n v="90764"/>
    <n v="166"/>
    <n v="10"/>
    <n v="9.5452054794520542"/>
    <n v="3921.5021369863016"/>
    <n v="86842.497863013705"/>
    <x v="1"/>
    <n v="90764"/>
  </r>
  <r>
    <n v="16"/>
    <x v="128"/>
    <x v="7"/>
    <s v="AP01000323V02865"/>
    <d v="2023-09-29T00:00:00"/>
    <d v="2023-10-17T00:00:00"/>
    <s v="Prathul Automobiles Pvt. Ltd."/>
    <d v="2023-10-17T00:00:00"/>
    <n v="90764"/>
    <m/>
    <m/>
    <m/>
    <m/>
    <n v="90764"/>
    <n v="47"/>
    <n v="10"/>
    <n v="9.8712328767123285"/>
    <n v="1110.3048219178083"/>
    <n v="89653.695178082198"/>
    <x v="1"/>
    <n v="90764"/>
  </r>
  <r>
    <n v="17"/>
    <x v="128"/>
    <x v="7"/>
    <s v="AP01000323V02864"/>
    <d v="2023-09-29T00:00:00"/>
    <d v="2023-10-17T00:00:00"/>
    <s v="Prathul Automobiles Pvt. Ltd."/>
    <d v="2023-10-17T00:00:00"/>
    <n v="90764"/>
    <m/>
    <m/>
    <m/>
    <m/>
    <n v="90764"/>
    <n v="47"/>
    <n v="10"/>
    <n v="9.8712328767123285"/>
    <n v="1110.3048219178083"/>
    <n v="89653.695178082198"/>
    <x v="1"/>
    <n v="90764"/>
  </r>
  <r>
    <n v="18"/>
    <x v="128"/>
    <x v="7"/>
    <s v="AP01000323V04208"/>
    <d v="2023-12-15T00:00:00"/>
    <d v="2023-12-31T00:00:00"/>
    <s v="Prathul Automobiles Pvt. Ltd."/>
    <d v="2023-12-31T00:00:00"/>
    <n v="116050"/>
    <m/>
    <m/>
    <m/>
    <m/>
    <n v="116050"/>
    <n v="47"/>
    <n v="10"/>
    <n v="9.8712328767123285"/>
    <n v="1419.6253424657534"/>
    <n v="114630.37465753425"/>
    <x v="1"/>
    <n v="116050"/>
  </r>
  <r>
    <n v="19"/>
    <x v="129"/>
    <x v="7"/>
    <s v="AP01000323V01278"/>
    <d v="2023-06-21T00:00:00"/>
    <d v="2023-08-22T00:00:00"/>
    <s v="Prathul Automobiles Pvt. Ltd."/>
    <d v="2023-08-22T00:00:00"/>
    <n v="116259"/>
    <m/>
    <m/>
    <m/>
    <m/>
    <n v="116259"/>
    <n v="222"/>
    <n v="8"/>
    <n v="7.3917808219178083"/>
    <n v="8396.9257191780816"/>
    <n v="107862.07428082192"/>
    <x v="183"/>
    <n v="0"/>
  </r>
  <r>
    <n v="20"/>
    <x v="133"/>
    <x v="7"/>
    <s v=" "/>
    <d v="2024-02-16T00:00:00"/>
    <d v="2024-02-16T00:00:00"/>
    <s v="Car Automotive LLP"/>
    <d v="2024-02-16T00:00:00"/>
    <n v="2573223"/>
    <m/>
    <n v="0"/>
    <m/>
    <n v="20299"/>
    <n v="2552924"/>
    <n v="44"/>
    <n v="8"/>
    <n v="7.8794520547945206"/>
    <n v="36545.281917808214"/>
    <n v="2516378.7180821919"/>
    <x v="1"/>
    <n v="2552924"/>
  </r>
  <r>
    <n v="21"/>
    <x v="128"/>
    <x v="9"/>
    <s v="11021BK23S1693"/>
    <d v="2023-11-18T00:00:00"/>
    <d v="2023-11-19T00:00:00"/>
    <s v="Sri Lakshmi Motors"/>
    <d v="2023-11-19T00:00:00"/>
    <n v="76751"/>
    <m/>
    <n v="20910"/>
    <m/>
    <m/>
    <n v="97661"/>
    <n v="47"/>
    <n v="10"/>
    <n v="9.8712328767123285"/>
    <n v="1194.6749726027397"/>
    <n v="96466.325027397266"/>
    <x v="1"/>
    <n v="97661"/>
  </r>
  <r>
    <n v="22"/>
    <x v="128"/>
    <x v="9"/>
    <s v="11021BK23S1694"/>
    <d v="2023-11-18T00:00:00"/>
    <d v="2023-11-19T00:00:00"/>
    <s v="Sri Lakshmi Motors"/>
    <d v="2023-11-19T00:00:00"/>
    <n v="76751"/>
    <m/>
    <n v="20910"/>
    <m/>
    <m/>
    <n v="97661"/>
    <n v="47"/>
    <n v="10"/>
    <n v="9.8712328767123285"/>
    <n v="1194.6749726027397"/>
    <n v="96466.325027397266"/>
    <x v="1"/>
    <n v="97661"/>
  </r>
  <r>
    <n v="23"/>
    <x v="128"/>
    <x v="9"/>
    <s v="11021BK23S1695"/>
    <d v="2023-11-18T00:00:00"/>
    <d v="2023-11-19T00:00:00"/>
    <s v="Sri Lakshmi Motors"/>
    <d v="2023-11-19T00:00:00"/>
    <n v="76751"/>
    <m/>
    <n v="20910"/>
    <m/>
    <m/>
    <n v="97661"/>
    <n v="47"/>
    <n v="10"/>
    <n v="9.8712328767123285"/>
    <n v="1194.6749726027397"/>
    <n v="96466.325027397266"/>
    <x v="1"/>
    <n v="97661"/>
  </r>
  <r>
    <n v="24"/>
    <x v="128"/>
    <x v="9"/>
    <s v="11021BL23S1761"/>
    <d v="2023-12-07T00:00:00"/>
    <d v="2023-12-15T00:00:00"/>
    <s v="Sri Lakshmi Motors"/>
    <d v="2023-12-15T00:00:00"/>
    <n v="76751"/>
    <m/>
    <n v="20910"/>
    <m/>
    <m/>
    <n v="97661"/>
    <n v="107"/>
    <n v="8"/>
    <n v="7.7068493150684931"/>
    <n v="3399.739948630137"/>
    <n v="94261.260051369856"/>
    <x v="1"/>
    <n v="97661"/>
  </r>
  <r>
    <n v="25"/>
    <x v="128"/>
    <x v="9"/>
    <s v="11021BL23S1760"/>
    <d v="2023-12-07T00:00:00"/>
    <d v="2023-12-15T00:00:00"/>
    <s v="Sri Lakshmi Motors"/>
    <d v="2023-12-15T00:00:00"/>
    <n v="76751"/>
    <m/>
    <n v="20910"/>
    <m/>
    <m/>
    <n v="97661"/>
    <n v="107"/>
    <n v="8"/>
    <n v="7.7068493150684931"/>
    <n v="3399.739948630137"/>
    <n v="94261.260051369856"/>
    <x v="1"/>
    <n v="97661"/>
  </r>
  <r>
    <n v="26"/>
    <x v="128"/>
    <x v="9"/>
    <s v="11021BL23S1759"/>
    <d v="2023-12-07T00:00:00"/>
    <d v="2023-12-15T00:00:00"/>
    <s v="Sri Lakshmi Motors"/>
    <d v="2023-12-15T00:00:00"/>
    <n v="76751"/>
    <m/>
    <n v="20910"/>
    <m/>
    <m/>
    <n v="97661"/>
    <n v="107"/>
    <n v="10"/>
    <n v="9.7068493150684922"/>
    <n v="2719.7919589041098"/>
    <n v="94941.208041095888"/>
    <x v="1"/>
    <n v="97661"/>
  </r>
  <r>
    <n v="27"/>
    <x v="129"/>
    <x v="9"/>
    <s v="11021BI23S933"/>
    <d v="2024-02-05T00:00:00"/>
    <d v="2024-03-13T00:00:00"/>
    <s v="Sri Lakshmi Motors"/>
    <d v="2024-03-13T00:00:00"/>
    <n v="81900"/>
    <m/>
    <n v="21030"/>
    <m/>
    <m/>
    <n v="102930"/>
    <n v="18"/>
    <n v="8"/>
    <n v="7.9506849315068493"/>
    <n v="602.77499999999998"/>
    <n v="102327.22500000001"/>
    <x v="1"/>
    <n v="102930"/>
  </r>
  <r>
    <n v="28"/>
    <x v="129"/>
    <x v="14"/>
    <s v="11021BF23S442"/>
    <d v="2023-06-28T00:00:00"/>
    <d v="2023-08-28T00:00:00"/>
    <s v="Sri Lakshmi Motors"/>
    <d v="2023-08-28T00:00:00"/>
    <n v="75751"/>
    <m/>
    <n v="20800"/>
    <m/>
    <m/>
    <n v="96551"/>
    <n v="216"/>
    <n v="8"/>
    <n v="7.4082191780821915"/>
    <n v="6785.0223287671233"/>
    <n v="89765.977671232875"/>
    <x v="184"/>
    <n v="0"/>
  </r>
  <r>
    <n v="29"/>
    <x v="129"/>
    <x v="14"/>
    <s v="11021BF23S441"/>
    <d v="2023-06-28T00:00:00"/>
    <d v="2023-08-28T00:00:00"/>
    <s v="Sri Lakshmi Motors"/>
    <d v="2023-08-28T00:00:00"/>
    <n v="75751"/>
    <m/>
    <n v="20800"/>
    <m/>
    <m/>
    <n v="96551"/>
    <n v="216"/>
    <n v="8"/>
    <n v="7.4082191780821915"/>
    <n v="6785.0223287671233"/>
    <n v="89765.977671232875"/>
    <x v="184"/>
    <n v="0"/>
  </r>
  <r>
    <n v="30"/>
    <x v="129"/>
    <x v="14"/>
    <s v="11021BH23S817"/>
    <d v="2023-08-24T00:00:00"/>
    <d v="2023-09-30T00:00:00"/>
    <s v="Sri Lakshmi Motors"/>
    <d v="2023-09-30T00:00:00"/>
    <n v="75751"/>
    <m/>
    <n v="20800"/>
    <m/>
    <m/>
    <n v="96551"/>
    <n v="183"/>
    <n v="10"/>
    <n v="9.4986301369863018"/>
    <n v="4598.7373561643826"/>
    <n v="91952.262643835624"/>
    <x v="184"/>
    <n v="0"/>
  </r>
  <r>
    <n v="31"/>
    <x v="128"/>
    <x v="15"/>
    <s v="20945CL23S1184"/>
    <d v="2023-12-09T00:00:00"/>
    <d v="2023-12-09T00:00:00"/>
    <s v="K.P.Enterprises"/>
    <d v="2023-12-09T00:00:00"/>
    <n v="77871"/>
    <m/>
    <n v="3851"/>
    <m/>
    <m/>
    <n v="81722"/>
    <n v="113"/>
    <n v="10"/>
    <n v="9.6904109589041099"/>
    <n v="2403.5223835616434"/>
    <n v="79318.477616438351"/>
    <x v="1"/>
    <n v="81722"/>
  </r>
  <r>
    <n v="32"/>
    <x v="129"/>
    <x v="15"/>
    <s v="20945CF23S288"/>
    <d v="2023-06-21T00:00:00"/>
    <d v="2023-06-30T00:00:00"/>
    <s v="K.P.Enterprises"/>
    <d v="2023-06-30T00:00:00"/>
    <n v="76221"/>
    <m/>
    <n v="52874"/>
    <m/>
    <m/>
    <n v="129095"/>
    <n v="275"/>
    <n v="10"/>
    <n v="9.2465753424657535"/>
    <n v="9240.0188356164381"/>
    <n v="119854.98116438356"/>
    <x v="185"/>
    <n v="0"/>
  </r>
  <r>
    <n v="33"/>
    <x v="129"/>
    <x v="23"/>
    <s v="11194BD23S25"/>
    <d v="2023-04-20T00:00:00"/>
    <d v="2023-05-18T00:00:00"/>
    <s v="D D Motors"/>
    <d v="2023-05-18T00:00:00"/>
    <n v="84638"/>
    <m/>
    <n v="7575"/>
    <m/>
    <m/>
    <n v="92213"/>
    <n v="318"/>
    <n v="10"/>
    <n v="9.1287671232876715"/>
    <n v="7632.2047397260258"/>
    <n v="84580.795260273968"/>
    <x v="186"/>
    <n v="0"/>
  </r>
  <r>
    <n v="34"/>
    <x v="129"/>
    <x v="23"/>
    <s v="1685/2023-24"/>
    <d v="2024-01-03T00:00:00"/>
    <d v="2024-01-18T00:00:00"/>
    <s v="Three S Automotives Pvt. Ltd."/>
    <d v="2024-01-18T00:00:00"/>
    <n v="96592"/>
    <m/>
    <n v="12116"/>
    <m/>
    <m/>
    <n v="108708"/>
    <n v="73"/>
    <n v="8"/>
    <n v="7.8"/>
    <n v="2581.8150000000001"/>
    <n v="106126.185"/>
    <x v="1"/>
    <n v="108708"/>
  </r>
  <r>
    <n v="35"/>
    <x v="128"/>
    <x v="16"/>
    <s v="66493BK23S407"/>
    <d v="2023-11-10T00:00:00"/>
    <d v="2023-11-16T00:00:00"/>
    <s v="Aadvik Automobiles"/>
    <d v="2023-11-16T00:00:00"/>
    <n v="88298"/>
    <m/>
    <n v="22473"/>
    <m/>
    <m/>
    <n v="110771"/>
    <n v="136"/>
    <n v="10"/>
    <n v="9.6273972602739732"/>
    <n v="3920.9899178082187"/>
    <n v="106850.01008219179"/>
    <x v="1"/>
    <n v="110771"/>
  </r>
  <r>
    <n v="36"/>
    <x v="129"/>
    <x v="16"/>
    <s v="66493BH23S243"/>
    <d v="2023-08-31T00:00:00"/>
    <d v="2023-08-31T00:00:00"/>
    <s v="Aadvik Automobiles"/>
    <d v="2023-08-31T00:00:00"/>
    <n v="68768"/>
    <m/>
    <n v="5886"/>
    <m/>
    <m/>
    <n v="74654"/>
    <n v="213"/>
    <n v="10"/>
    <n v="9.4164383561643827"/>
    <n v="4138.6950410958907"/>
    <n v="70515.304958904104"/>
    <x v="187"/>
    <n v="0"/>
  </r>
  <r>
    <n v="37"/>
    <x v="129"/>
    <x v="16"/>
    <s v="11029BC24S3580"/>
    <d v="2024-03-15T00:00:00"/>
    <d v="2024-03-15T00:00:00"/>
    <s v="Sanjib Automobiles"/>
    <d v="2024-03-15T00:00:00"/>
    <n v="66268"/>
    <m/>
    <m/>
    <m/>
    <m/>
    <n v="66268"/>
    <n v="16"/>
    <n v="10"/>
    <n v="9.956164383561644"/>
    <n v="275.96536986301368"/>
    <n v="65992.034630136986"/>
    <x v="1"/>
    <n v="66268"/>
  </r>
  <r>
    <n v="38"/>
    <x v="129"/>
    <x v="16"/>
    <s v="331009/31/24/017303"/>
    <d v="2024-03-15T00:00:00"/>
    <d v="2024-03-19T00:00:00"/>
    <s v="Sanjib Automobiles"/>
    <d v="2024-03-19T00:00:00"/>
    <n v="6065"/>
    <m/>
    <m/>
    <m/>
    <m/>
    <n v="6065"/>
    <n v="12"/>
    <n v="10"/>
    <n v="9.9671232876712335"/>
    <n v="18.942739726027394"/>
    <n v="6046.057260273973"/>
    <x v="1"/>
    <n v="6065"/>
  </r>
  <r>
    <n v="39"/>
    <x v="134"/>
    <x v="21"/>
    <n v="780004333"/>
    <d v="2023-08-31T00:00:00"/>
    <d v="2023-09-30T00:00:00"/>
    <s v="Ashok Leyland Limited"/>
    <d v="2023-09-30T00:00:00"/>
    <n v="2527900"/>
    <m/>
    <m/>
    <m/>
    <n v="552978"/>
    <n v="1974922"/>
    <n v="155"/>
    <n v="10"/>
    <n v="9.5753424657534243"/>
    <n v="79673.223150684935"/>
    <n v="1895248.776849315"/>
    <x v="188"/>
    <n v="0"/>
  </r>
  <r>
    <m/>
    <x v="59"/>
    <x v="0"/>
    <m/>
    <m/>
    <m/>
    <m/>
    <m/>
    <n v="15606119"/>
    <m/>
    <n v="2019155"/>
    <n v="0"/>
    <n v="999729"/>
    <n v="16625545"/>
    <m/>
    <m/>
    <m/>
    <n v="916820.77324315032"/>
    <n v="15708724.226756848"/>
    <x v="189"/>
    <n v="4815054"/>
  </r>
  <r>
    <s v="Electrical Equipment"/>
    <x v="0"/>
    <x v="0"/>
    <m/>
    <m/>
    <m/>
    <m/>
    <m/>
    <m/>
    <m/>
    <m/>
    <m/>
    <m/>
    <n v="0"/>
    <s v=" "/>
    <s v=" "/>
    <s v=" "/>
    <s v=" "/>
    <s v=" "/>
    <x v="1"/>
    <n v="0"/>
  </r>
  <r>
    <n v="1"/>
    <x v="135"/>
    <x v="12"/>
    <n v="36"/>
    <d v="2024-01-12T00:00:00"/>
    <d v="2024-02-10T00:00:00"/>
    <s v="Anika Machines"/>
    <d v="2024-02-10T00:00:00"/>
    <n v="129800"/>
    <m/>
    <m/>
    <m/>
    <n v="19800"/>
    <n v="110000"/>
    <n v="335"/>
    <n v="3"/>
    <n v="2.0821917808219177"/>
    <n v="31970.319634703199"/>
    <n v="78029.680365296808"/>
    <x v="1"/>
    <n v="110000"/>
  </r>
  <r>
    <m/>
    <x v="59"/>
    <x v="0"/>
    <m/>
    <m/>
    <m/>
    <m/>
    <m/>
    <n v="129800"/>
    <m/>
    <n v="0"/>
    <n v="0"/>
    <n v="19800"/>
    <n v="110000"/>
    <s v=" "/>
    <s v=" "/>
    <s v=" "/>
    <n v="31970.319634703199"/>
    <n v="78029.680365296808"/>
    <x v="1"/>
    <n v="110000"/>
  </r>
  <r>
    <m/>
    <x v="136"/>
    <x v="0"/>
    <m/>
    <m/>
    <m/>
    <m/>
    <m/>
    <n v="1030076022.1298001"/>
    <n v="0"/>
    <n v="3499405"/>
    <n v="7091351.2000000002"/>
    <n v="210736728.49539328"/>
    <n v="815747347.43440664"/>
    <m/>
    <m/>
    <m/>
    <n v="948791.09287785355"/>
    <n v="15786753.907122144"/>
    <x v="189"/>
    <n v="49250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E55B1-5485-407D-8240-87FB2D379D9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21">
    <pivotField showAll="0"/>
    <pivotField showAll="0"/>
    <pivotField axis="axisRow" showAll="0">
      <items count="27"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2"/>
        <item x="15"/>
        <item x="23"/>
        <item x="24"/>
        <item x="16"/>
        <item x="21"/>
        <item x="17"/>
        <item x="18"/>
        <item x="25"/>
        <item x="1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>
      <items count="191">
        <item x="1"/>
        <item x="128"/>
        <item x="125"/>
        <item x="153"/>
        <item x="155"/>
        <item x="134"/>
        <item x="133"/>
        <item x="132"/>
        <item x="9"/>
        <item x="66"/>
        <item x="18"/>
        <item x="135"/>
        <item x="173"/>
        <item x="114"/>
        <item x="159"/>
        <item x="89"/>
        <item x="138"/>
        <item x="163"/>
        <item x="144"/>
        <item x="50"/>
        <item x="152"/>
        <item x="103"/>
        <item x="156"/>
        <item x="117"/>
        <item x="145"/>
        <item x="137"/>
        <item x="72"/>
        <item x="13"/>
        <item x="49"/>
        <item x="136"/>
        <item x="88"/>
        <item x="157"/>
        <item x="177"/>
        <item x="93"/>
        <item x="111"/>
        <item x="147"/>
        <item x="167"/>
        <item x="172"/>
        <item x="166"/>
        <item x="165"/>
        <item x="94"/>
        <item x="91"/>
        <item x="143"/>
        <item x="118"/>
        <item x="67"/>
        <item x="55"/>
        <item x="76"/>
        <item x="62"/>
        <item x="60"/>
        <item x="162"/>
        <item x="140"/>
        <item x="127"/>
        <item x="120"/>
        <item x="169"/>
        <item x="56"/>
        <item x="65"/>
        <item x="115"/>
        <item x="61"/>
        <item x="64"/>
        <item x="146"/>
        <item x="130"/>
        <item x="116"/>
        <item x="175"/>
        <item x="126"/>
        <item x="171"/>
        <item x="139"/>
        <item x="187"/>
        <item x="30"/>
        <item x="58"/>
        <item x="123"/>
        <item x="176"/>
        <item x="100"/>
        <item x="154"/>
        <item x="4"/>
        <item x="186"/>
        <item x="184"/>
        <item x="102"/>
        <item x="119"/>
        <item x="174"/>
        <item x="151"/>
        <item x="48"/>
        <item x="53"/>
        <item x="183"/>
        <item x="124"/>
        <item x="17"/>
        <item x="150"/>
        <item x="185"/>
        <item x="161"/>
        <item x="170"/>
        <item x="57"/>
        <item x="63"/>
        <item x="142"/>
        <item x="141"/>
        <item x="129"/>
        <item x="40"/>
        <item x="148"/>
        <item x="59"/>
        <item x="27"/>
        <item x="38"/>
        <item x="51"/>
        <item x="47"/>
        <item x="41"/>
        <item x="52"/>
        <item x="68"/>
        <item x="158"/>
        <item x="86"/>
        <item x="90"/>
        <item x="54"/>
        <item x="78"/>
        <item x="121"/>
        <item x="82"/>
        <item x="28"/>
        <item x="168"/>
        <item x="36"/>
        <item x="33"/>
        <item x="6"/>
        <item x="81"/>
        <item x="46"/>
        <item x="35"/>
        <item x="122"/>
        <item x="34"/>
        <item x="160"/>
        <item x="84"/>
        <item x="31"/>
        <item x="25"/>
        <item x="75"/>
        <item x="20"/>
        <item x="32"/>
        <item x="10"/>
        <item x="79"/>
        <item x="87"/>
        <item x="74"/>
        <item x="149"/>
        <item x="24"/>
        <item x="85"/>
        <item x="180"/>
        <item x="80"/>
        <item x="45"/>
        <item x="179"/>
        <item x="8"/>
        <item x="29"/>
        <item x="14"/>
        <item x="37"/>
        <item x="178"/>
        <item x="22"/>
        <item x="112"/>
        <item x="39"/>
        <item x="42"/>
        <item x="26"/>
        <item x="70"/>
        <item x="21"/>
        <item x="182"/>
        <item x="69"/>
        <item x="12"/>
        <item x="131"/>
        <item x="83"/>
        <item x="188"/>
        <item x="71"/>
        <item x="73"/>
        <item x="19"/>
        <item x="77"/>
        <item x="101"/>
        <item x="164"/>
        <item x="43"/>
        <item x="11"/>
        <item x="23"/>
        <item x="92"/>
        <item x="5"/>
        <item x="110"/>
        <item x="15"/>
        <item x="44"/>
        <item x="109"/>
        <item x="108"/>
        <item x="16"/>
        <item x="3"/>
        <item x="99"/>
        <item x="98"/>
        <item x="181"/>
        <item x="104"/>
        <item x="96"/>
        <item x="105"/>
        <item x="106"/>
        <item x="107"/>
        <item x="97"/>
        <item x="95"/>
        <item x="189"/>
        <item x="2"/>
        <item x="7"/>
        <item x="113"/>
        <item x="0"/>
        <item t="default"/>
      </items>
    </pivotField>
    <pivotField showAll="0"/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apital Cost" fld="13" baseField="0" baseItem="0"/>
    <dataField name="Count of Depreciation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569F-8D58-4551-B175-0F187DC9978C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4" firstHeaderRow="1" firstDataRow="1" firstDataCol="1"/>
  <pivotFields count="21">
    <pivotField showAll="0"/>
    <pivotField axis="axisRow" showAll="0">
      <items count="138">
        <item x="135"/>
        <item x="114"/>
        <item x="48"/>
        <item x="123"/>
        <item x="125"/>
        <item x="126"/>
        <item x="75"/>
        <item x="124"/>
        <item x="82"/>
        <item x="44"/>
        <item x="45"/>
        <item x="17"/>
        <item x="66"/>
        <item x="70"/>
        <item x="18"/>
        <item x="130"/>
        <item x="3"/>
        <item x="134"/>
        <item x="73"/>
        <item x="95"/>
        <item x="96"/>
        <item x="97"/>
        <item x="98"/>
        <item x="131"/>
        <item x="19"/>
        <item x="20"/>
        <item x="76"/>
        <item x="83"/>
        <item x="120"/>
        <item x="67"/>
        <item x="63"/>
        <item x="21"/>
        <item x="54"/>
        <item x="49"/>
        <item x="99"/>
        <item x="36"/>
        <item x="46"/>
        <item x="64"/>
        <item x="62"/>
        <item x="65"/>
        <item x="22"/>
        <item x="71"/>
        <item x="55"/>
        <item x="31"/>
        <item x="50"/>
        <item x="127"/>
        <item x="77"/>
        <item x="84"/>
        <item x="91"/>
        <item x="100"/>
        <item x="92"/>
        <item x="4"/>
        <item x="115"/>
        <item x="23"/>
        <item x="10"/>
        <item x="101"/>
        <item x="111"/>
        <item x="94"/>
        <item x="109"/>
        <item x="103"/>
        <item x="136"/>
        <item x="43"/>
        <item x="104"/>
        <item x="30"/>
        <item x="37"/>
        <item x="132"/>
        <item x="133"/>
        <item x="90"/>
        <item x="89"/>
        <item x="60"/>
        <item x="68"/>
        <item x="9"/>
        <item x="85"/>
        <item x="11"/>
        <item x="105"/>
        <item x="128"/>
        <item x="38"/>
        <item x="69"/>
        <item x="112"/>
        <item x="116"/>
        <item x="24"/>
        <item x="78"/>
        <item x="106"/>
        <item x="113"/>
        <item x="51"/>
        <item x="47"/>
        <item x="61"/>
        <item x="93"/>
        <item x="107"/>
        <item x="6"/>
        <item x="117"/>
        <item x="32"/>
        <item x="56"/>
        <item x="79"/>
        <item x="5"/>
        <item x="25"/>
        <item x="39"/>
        <item x="12"/>
        <item x="108"/>
        <item x="13"/>
        <item x="74"/>
        <item x="40"/>
        <item x="118"/>
        <item x="121"/>
        <item x="110"/>
        <item x="86"/>
        <item x="41"/>
        <item x="26"/>
        <item x="122"/>
        <item x="102"/>
        <item x="8"/>
        <item x="14"/>
        <item x="27"/>
        <item x="33"/>
        <item x="15"/>
        <item x="59"/>
        <item x="28"/>
        <item x="16"/>
        <item x="34"/>
        <item x="35"/>
        <item x="42"/>
        <item x="129"/>
        <item x="72"/>
        <item x="1"/>
        <item x="80"/>
        <item x="57"/>
        <item x="119"/>
        <item x="29"/>
        <item x="58"/>
        <item x="2"/>
        <item x="88"/>
        <item x="7"/>
        <item x="52"/>
        <item x="81"/>
        <item x="87"/>
        <item x="53"/>
        <item x="0"/>
        <item t="default"/>
      </items>
    </pivotField>
    <pivotField axis="axisRow" showAll="0">
      <items count="27">
        <item x="2"/>
        <item sd="0"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2"/>
        <item x="15"/>
        <item x="23"/>
        <item x="24"/>
        <item x="16"/>
        <item x="21"/>
        <item x="17"/>
        <item x="18"/>
        <item x="25"/>
        <item x="1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1"/>
  </rowFields>
  <rowItems count="241">
    <i>
      <x/>
    </i>
    <i r="1">
      <x v="94"/>
    </i>
    <i>
      <x v="1"/>
    </i>
    <i>
      <x v="2"/>
    </i>
    <i r="1">
      <x v="57"/>
    </i>
    <i r="1">
      <x v="69"/>
    </i>
    <i r="1">
      <x v="75"/>
    </i>
    <i r="1">
      <x v="86"/>
    </i>
    <i r="1">
      <x v="87"/>
    </i>
    <i r="1">
      <x v="89"/>
    </i>
    <i r="1">
      <x v="90"/>
    </i>
    <i r="1">
      <x v="131"/>
    </i>
    <i r="1">
      <x v="135"/>
    </i>
    <i>
      <x v="3"/>
    </i>
    <i r="1">
      <x v="38"/>
    </i>
    <i r="1">
      <x v="71"/>
    </i>
    <i r="1">
      <x v="110"/>
    </i>
    <i>
      <x v="4"/>
    </i>
    <i r="1">
      <x v="19"/>
    </i>
    <i r="1">
      <x v="20"/>
    </i>
    <i r="1">
      <x v="21"/>
    </i>
    <i r="1">
      <x v="22"/>
    </i>
    <i r="1">
      <x v="30"/>
    </i>
    <i r="1">
      <x v="34"/>
    </i>
    <i r="1">
      <x v="54"/>
    </i>
    <i r="1">
      <x v="69"/>
    </i>
    <i r="1">
      <x v="73"/>
    </i>
    <i r="1">
      <x v="75"/>
    </i>
    <i r="1">
      <x v="97"/>
    </i>
    <i r="1">
      <x v="99"/>
    </i>
    <i r="1">
      <x v="102"/>
    </i>
    <i r="1">
      <x v="110"/>
    </i>
    <i r="1">
      <x v="111"/>
    </i>
    <i r="1">
      <x v="114"/>
    </i>
    <i r="1">
      <x v="117"/>
    </i>
    <i r="1">
      <x v="126"/>
    </i>
    <i>
      <x v="5"/>
    </i>
    <i r="1">
      <x v="11"/>
    </i>
    <i r="1">
      <x v="14"/>
    </i>
    <i r="1">
      <x v="24"/>
    </i>
    <i r="1">
      <x v="25"/>
    </i>
    <i r="1">
      <x v="28"/>
    </i>
    <i r="1">
      <x v="31"/>
    </i>
    <i r="1">
      <x v="37"/>
    </i>
    <i r="1">
      <x v="39"/>
    </i>
    <i r="1">
      <x v="40"/>
    </i>
    <i r="1">
      <x v="49"/>
    </i>
    <i r="1">
      <x v="53"/>
    </i>
    <i r="1">
      <x v="55"/>
    </i>
    <i r="1">
      <x v="63"/>
    </i>
    <i r="1">
      <x v="75"/>
    </i>
    <i r="1">
      <x v="80"/>
    </i>
    <i r="1">
      <x v="86"/>
    </i>
    <i r="1">
      <x v="90"/>
    </i>
    <i r="1">
      <x v="95"/>
    </i>
    <i r="1">
      <x v="103"/>
    </i>
    <i r="1">
      <x v="107"/>
    </i>
    <i r="1">
      <x v="108"/>
    </i>
    <i r="1">
      <x v="109"/>
    </i>
    <i r="1">
      <x v="111"/>
    </i>
    <i r="1">
      <x v="112"/>
    </i>
    <i r="1">
      <x v="116"/>
    </i>
    <i r="1">
      <x v="121"/>
    </i>
    <i r="1">
      <x v="127"/>
    </i>
    <i r="1">
      <x v="131"/>
    </i>
    <i>
      <x v="6"/>
    </i>
    <i r="1">
      <x v="3"/>
    </i>
    <i r="1">
      <x v="7"/>
    </i>
    <i r="1">
      <x v="12"/>
    </i>
    <i r="1">
      <x v="14"/>
    </i>
    <i r="1">
      <x v="15"/>
    </i>
    <i r="1">
      <x v="18"/>
    </i>
    <i r="1">
      <x v="23"/>
    </i>
    <i r="1">
      <x v="27"/>
    </i>
    <i r="1">
      <x v="29"/>
    </i>
    <i r="1">
      <x v="30"/>
    </i>
    <i r="1">
      <x v="43"/>
    </i>
    <i r="1">
      <x v="65"/>
    </i>
    <i r="1">
      <x v="66"/>
    </i>
    <i r="1">
      <x v="67"/>
    </i>
    <i r="1">
      <x v="68"/>
    </i>
    <i r="1">
      <x v="70"/>
    </i>
    <i r="1">
      <x v="75"/>
    </i>
    <i r="1">
      <x v="77"/>
    </i>
    <i r="1">
      <x v="86"/>
    </i>
    <i r="1">
      <x v="90"/>
    </i>
    <i r="1">
      <x v="91"/>
    </i>
    <i r="1">
      <x v="100"/>
    </i>
    <i r="1">
      <x v="113"/>
    </i>
    <i r="1">
      <x v="118"/>
    </i>
    <i r="1">
      <x v="119"/>
    </i>
    <i r="1">
      <x v="121"/>
    </i>
    <i>
      <x v="7"/>
    </i>
    <i r="1">
      <x v="35"/>
    </i>
    <i>
      <x v="8"/>
    </i>
    <i r="1">
      <x v="3"/>
    </i>
    <i r="1">
      <x v="4"/>
    </i>
    <i r="1">
      <x v="6"/>
    </i>
    <i r="1">
      <x v="13"/>
    </i>
    <i r="1">
      <x v="26"/>
    </i>
    <i r="1">
      <x v="37"/>
    </i>
    <i r="1">
      <x v="41"/>
    </i>
    <i r="1">
      <x v="46"/>
    </i>
    <i r="1">
      <x v="64"/>
    </i>
    <i r="1">
      <x v="69"/>
    </i>
    <i r="1">
      <x v="75"/>
    </i>
    <i r="1">
      <x v="76"/>
    </i>
    <i r="1">
      <x v="81"/>
    </i>
    <i r="1">
      <x v="93"/>
    </i>
    <i r="1">
      <x v="96"/>
    </i>
    <i r="1">
      <x v="97"/>
    </i>
    <i r="1">
      <x v="99"/>
    </i>
    <i r="1">
      <x v="101"/>
    </i>
    <i r="1">
      <x v="106"/>
    </i>
    <i r="1">
      <x v="112"/>
    </i>
    <i r="1">
      <x v="113"/>
    </i>
    <i r="1">
      <x v="120"/>
    </i>
    <i r="1">
      <x v="121"/>
    </i>
    <i r="1">
      <x v="122"/>
    </i>
    <i r="1">
      <x v="124"/>
    </i>
    <i r="1">
      <x v="131"/>
    </i>
    <i r="1">
      <x v="133"/>
    </i>
    <i>
      <x v="9"/>
    </i>
    <i r="1">
      <x v="3"/>
    </i>
    <i r="1">
      <x v="97"/>
    </i>
    <i r="1">
      <x v="99"/>
    </i>
    <i r="1">
      <x v="111"/>
    </i>
    <i>
      <x v="10"/>
    </i>
    <i r="1">
      <x v="61"/>
    </i>
    <i r="1">
      <x v="69"/>
    </i>
    <i>
      <x v="11"/>
    </i>
    <i r="1">
      <x/>
    </i>
    <i r="1">
      <x v="8"/>
    </i>
    <i r="1">
      <x v="9"/>
    </i>
    <i r="1">
      <x v="10"/>
    </i>
    <i r="1">
      <x v="27"/>
    </i>
    <i r="1">
      <x v="36"/>
    </i>
    <i r="1">
      <x v="46"/>
    </i>
    <i r="1">
      <x v="47"/>
    </i>
    <i r="1">
      <x v="49"/>
    </i>
    <i r="1">
      <x v="72"/>
    </i>
    <i r="1">
      <x v="87"/>
    </i>
    <i r="1">
      <x v="99"/>
    </i>
    <i r="1">
      <x v="103"/>
    </i>
    <i r="1">
      <x v="105"/>
    </i>
    <i r="1">
      <x v="109"/>
    </i>
    <i r="1">
      <x v="123"/>
    </i>
    <i r="1">
      <x v="129"/>
    </i>
    <i r="1">
      <x v="134"/>
    </i>
    <i>
      <x v="12"/>
    </i>
    <i r="1">
      <x v="85"/>
    </i>
    <i r="1">
      <x v="111"/>
    </i>
    <i r="1">
      <x v="123"/>
    </i>
    <i r="1">
      <x v="130"/>
    </i>
    <i>
      <x v="13"/>
    </i>
    <i r="1">
      <x v="2"/>
    </i>
    <i r="1">
      <x v="121"/>
    </i>
    <i>
      <x v="14"/>
    </i>
    <i r="1">
      <x v="3"/>
    </i>
    <i>
      <x v="15"/>
    </i>
    <i r="1">
      <x v="2"/>
    </i>
    <i r="1">
      <x v="3"/>
    </i>
    <i r="1">
      <x v="4"/>
    </i>
    <i r="1">
      <x v="9"/>
    </i>
    <i r="1">
      <x v="33"/>
    </i>
    <i r="1">
      <x v="36"/>
    </i>
    <i r="1">
      <x v="44"/>
    </i>
    <i r="1">
      <x v="53"/>
    </i>
    <i r="1">
      <x v="59"/>
    </i>
    <i r="1">
      <x v="62"/>
    </i>
    <i r="1">
      <x v="74"/>
    </i>
    <i r="1">
      <x v="75"/>
    </i>
    <i r="1">
      <x v="82"/>
    </i>
    <i r="1">
      <x v="84"/>
    </i>
    <i r="1">
      <x v="88"/>
    </i>
    <i r="1">
      <x v="90"/>
    </i>
    <i r="1">
      <x v="95"/>
    </i>
    <i r="1">
      <x v="96"/>
    </i>
    <i r="1">
      <x v="97"/>
    </i>
    <i r="1">
      <x v="98"/>
    </i>
    <i r="1">
      <x v="99"/>
    </i>
    <i r="1">
      <x v="108"/>
    </i>
    <i r="1">
      <x v="109"/>
    </i>
    <i r="1">
      <x v="111"/>
    </i>
    <i r="1">
      <x v="121"/>
    </i>
    <i r="1">
      <x v="123"/>
    </i>
    <i r="1">
      <x v="126"/>
    </i>
    <i r="1">
      <x v="129"/>
    </i>
    <i r="1">
      <x v="132"/>
    </i>
    <i r="1">
      <x v="135"/>
    </i>
    <i>
      <x v="16"/>
    </i>
    <i r="1">
      <x v="5"/>
    </i>
    <i r="1">
      <x v="121"/>
    </i>
    <i>
      <x v="17"/>
    </i>
    <i r="1">
      <x v="45"/>
    </i>
    <i>
      <x v="18"/>
    </i>
    <i r="1">
      <x v="31"/>
    </i>
    <i r="1">
      <x v="32"/>
    </i>
    <i r="1">
      <x v="56"/>
    </i>
    <i r="1">
      <x v="57"/>
    </i>
    <i r="1">
      <x v="58"/>
    </i>
    <i r="1">
      <x v="75"/>
    </i>
    <i r="1">
      <x v="78"/>
    </i>
    <i r="1">
      <x v="86"/>
    </i>
    <i r="1">
      <x v="104"/>
    </i>
    <i r="1">
      <x v="121"/>
    </i>
    <i r="1">
      <x v="129"/>
    </i>
    <i>
      <x v="19"/>
    </i>
    <i r="1">
      <x v="17"/>
    </i>
    <i r="1">
      <x v="83"/>
    </i>
    <i>
      <x v="20"/>
    </i>
    <i r="1">
      <x v="1"/>
    </i>
    <i r="1">
      <x v="4"/>
    </i>
    <i r="1">
      <x v="39"/>
    </i>
    <i r="1">
      <x v="42"/>
    </i>
    <i r="1">
      <x v="44"/>
    </i>
    <i r="1">
      <x v="52"/>
    </i>
    <i r="1">
      <x v="76"/>
    </i>
    <i r="1">
      <x v="79"/>
    </i>
    <i r="1">
      <x v="84"/>
    </i>
    <i r="1">
      <x v="87"/>
    </i>
    <i r="1">
      <x v="92"/>
    </i>
    <i r="1">
      <x v="101"/>
    </i>
    <i r="1">
      <x v="111"/>
    </i>
    <i r="1">
      <x v="113"/>
    </i>
    <i r="1">
      <x v="125"/>
    </i>
    <i r="1">
      <x v="128"/>
    </i>
    <i>
      <x v="21"/>
    </i>
    <i r="1">
      <x v="95"/>
    </i>
    <i>
      <x v="22"/>
    </i>
    <i r="1">
      <x v="4"/>
    </i>
    <i>
      <x v="23"/>
    </i>
    <i r="1">
      <x v="123"/>
    </i>
    <i>
      <x v="24"/>
    </i>
    <i r="1">
      <x v="7"/>
    </i>
    <i r="1">
      <x v="9"/>
    </i>
    <i>
      <x v="25"/>
    </i>
    <i r="1">
      <x v="60"/>
    </i>
    <i r="1">
      <x v="115"/>
    </i>
    <i r="1">
      <x v="136"/>
    </i>
    <i t="grand">
      <x/>
    </i>
  </rowItems>
  <colItems count="1">
    <i/>
  </colItems>
  <dataFields count="1">
    <dataField name="Sum of Capital Cos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266" dT="2024-05-10T12:54:43.69" personId="{D208A16C-9585-48A5-9B5A-1192FD326498}" id="{F35D547B-8047-436B-BB6D-A8BE99460EAA}">
    <text>Discount Amount of Rs.75 lacs considered in Sulwade project for 10 tippers</text>
  </threadedComment>
  <threadedComment ref="K267" dT="2024-05-10T12:54:43.69" personId="{D208A16C-9585-48A5-9B5A-1192FD326498}" id="{DC711011-FBAF-442C-A2A0-D3F89150D94B}">
    <text>Discount Amount of Rs.75 lacs considered in Sulwade project for 10 tippers</text>
  </threadedComment>
  <threadedComment ref="K268" dT="2024-05-10T12:54:43.69" personId="{D208A16C-9585-48A5-9B5A-1192FD326498}" id="{407EE363-663D-4E5E-B2DF-12F563F3F82C}">
    <text>Discount Amount of Rs.75 lacs considered in Sulwade project for 10 tippers</text>
  </threadedComment>
  <threadedComment ref="K269" dT="2024-05-10T12:54:43.69" personId="{D208A16C-9585-48A5-9B5A-1192FD326498}" id="{4CB69569-0B38-4F74-8666-12ABCED482B4}">
    <text>Discount Amount of Rs.75 lacs considered in Sulwade project for 10 tippers</text>
  </threadedComment>
  <threadedComment ref="K270" dT="2024-05-10T12:54:43.69" personId="{D208A16C-9585-48A5-9B5A-1192FD326498}" id="{3F16A04D-F3B0-4F36-8689-8DC1E53BEC66}">
    <text>Discount Amount of Rs.75 lacs considered in Sulwade project for 10 tippers</text>
  </threadedComment>
  <threadedComment ref="K271" dT="2024-05-10T12:54:43.69" personId="{D208A16C-9585-48A5-9B5A-1192FD326498}" id="{D06DBA97-AA2C-4B41-AE52-44B0D200D83D}">
    <text>Discount Amount of Rs.75 lacs considered in Sulwade project for 10 tippers</text>
  </threadedComment>
  <threadedComment ref="K272" dT="2024-05-10T12:54:43.69" personId="{D208A16C-9585-48A5-9B5A-1192FD326498}" id="{70F5FCB0-ADE7-4B9A-BBA3-A3DFFE0BB5FA}">
    <text>Discount Amount of Rs.75 lacs considered in Sulwade project for 10 tippers</text>
  </threadedComment>
  <threadedComment ref="K273" dT="2024-05-10T12:54:43.69" personId="{D208A16C-9585-48A5-9B5A-1192FD326498}" id="{E121F6B4-4772-4A51-82D3-FBE54057B20A}">
    <text>Discount Amount of Rs.75 lacs considered in Sulwade project for 10 tippers</text>
  </threadedComment>
  <threadedComment ref="K274" dT="2024-05-10T12:54:43.69" personId="{D208A16C-9585-48A5-9B5A-1192FD326498}" id="{8B788512-EB40-4EB5-9178-4FE0F6AE6E67}">
    <text>Discount Amount of Rs.75 lacs considered in Sulwade project for 10 tippers</text>
  </threadedComment>
  <threadedComment ref="K275" dT="2024-05-10T12:54:43.69" personId="{D208A16C-9585-48A5-9B5A-1192FD326498}" id="{4645EB50-1071-4A07-AFA3-98091595AE03}">
    <text>Discount Amount of Rs.75 lacs considered in Sulwade project for 10 tippers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716E4E1-28C7-496E-89FB-7EC6365E232B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AcAvwRGofefQVrOD-SfvV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.bin"/><Relationship Id="rId3" Type="http://schemas.openxmlformats.org/officeDocument/2006/relationships/hyperlink" Target="../../../../Desktop/bekem%202018-19/Fixet%20Assets%20-%20Depreciation%20schedule-%202017-18%20v.xlsx" TargetMode="External"/><Relationship Id="rId7" Type="http://schemas.openxmlformats.org/officeDocument/2006/relationships/hyperlink" Target="../../../../Desktop/bekem%202018-19/Fixet%20Assets%20-%20Depreciation%20schedule-%202017-18%20v.xlsx" TargetMode="External"/><Relationship Id="rId2" Type="http://schemas.openxmlformats.org/officeDocument/2006/relationships/hyperlink" Target="../../../../Desktop/bekem%202018-19/Fixet%20Assets%20-%20Depreciation%20schedule-%202017-18%20v.xlsx" TargetMode="External"/><Relationship Id="rId1" Type="http://schemas.openxmlformats.org/officeDocument/2006/relationships/hyperlink" Target="../../../../Desktop/bekem%202018-19/Fixet%20Assets%20-%20Depreciation%20schedule-%202017-18%20v.xlsx" TargetMode="External"/><Relationship Id="rId6" Type="http://schemas.openxmlformats.org/officeDocument/2006/relationships/hyperlink" Target="../../../../Desktop/bekem%202018-19/Fixet%20Assets%20-%20Depreciation%20schedule-%202017-18%20v.xlsx" TargetMode="External"/><Relationship Id="rId5" Type="http://schemas.openxmlformats.org/officeDocument/2006/relationships/hyperlink" Target="../../../../Desktop/bekem%202018-19/Fixet%20Assets%20-%20Depreciation%20schedule-%202017-18%20v.xlsx" TargetMode="External"/><Relationship Id="rId4" Type="http://schemas.openxmlformats.org/officeDocument/2006/relationships/hyperlink" Target="../../../../Desktop/bekem%202018-19/Fixet%20Assets%20-%20Depreciation%20schedule-%202017-18%20v.xlsx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../../vinodh.ch/AppData/Roaming/Microsoft/Excel/Documents/MH19CV3366-K41416" TargetMode="External"/><Relationship Id="rId13" Type="http://schemas.openxmlformats.org/officeDocument/2006/relationships/comments" Target="../comments3.xml"/><Relationship Id="rId3" Type="http://schemas.openxmlformats.org/officeDocument/2006/relationships/hyperlink" Target="../../vinodh.ch/AppData/Roaming/Microsoft/Excel/Documents/TS07FZ6888%20(INNOVA)" TargetMode="External"/><Relationship Id="rId7" Type="http://schemas.openxmlformats.org/officeDocument/2006/relationships/hyperlink" Target="../../vinodh.ch/AppData/Roaming/Microsoft/Excel/Documents/AP05ER8055-21137" TargetMode="External"/><Relationship Id="rId12" Type="http://schemas.openxmlformats.org/officeDocument/2006/relationships/vmlDrawing" Target="../drawings/vmlDrawing3.vml"/><Relationship Id="rId2" Type="http://schemas.openxmlformats.org/officeDocument/2006/relationships/hyperlink" Target="../../vinodh.ch/AppData/Roaming/Microsoft/Excel/Documents/TS09EY6888%20(INNOVA)" TargetMode="External"/><Relationship Id="rId1" Type="http://schemas.openxmlformats.org/officeDocument/2006/relationships/hyperlink" Target="../../vinodh.ch/AppData/Roaming/Microsoft/Excel/Documents/TS07FX6888%20(FORTUNER)" TargetMode="External"/><Relationship Id="rId6" Type="http://schemas.openxmlformats.org/officeDocument/2006/relationships/hyperlink" Target="../../vinodh.ch/AppData/Roaming/Microsoft/Excel/Documents/TS07ER6888-806FF" TargetMode="External"/><Relationship Id="rId11" Type="http://schemas.openxmlformats.org/officeDocument/2006/relationships/printerSettings" Target="../printerSettings/printerSettings18.bin"/><Relationship Id="rId5" Type="http://schemas.openxmlformats.org/officeDocument/2006/relationships/hyperlink" Target="../../vinodh.ch/AppData/Roaming/Microsoft/Excel/Documents/OD04K2345-12138" TargetMode="External"/><Relationship Id="rId10" Type="http://schemas.openxmlformats.org/officeDocument/2006/relationships/hyperlink" Target="../../vinodh.ch/AppData/Roaming/Microsoft/Excel/Documents/AP07BX3939-249BD" TargetMode="External"/><Relationship Id="rId4" Type="http://schemas.openxmlformats.org/officeDocument/2006/relationships/hyperlink" Target="../../vinodh.ch/AppData/Roaming/Microsoft/Excel/Documents/OD02AB2345-14019" TargetMode="External"/><Relationship Id="rId9" Type="http://schemas.openxmlformats.org/officeDocument/2006/relationships/hyperlink" Target="../../vinodh.ch/AppData/Roaming/Microsoft/Excel/Documents/MH19CV3888-453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18"/>
  <sheetViews>
    <sheetView topLeftCell="D1" zoomScaleNormal="100" workbookViewId="0">
      <selection activeCell="D14" sqref="D14"/>
    </sheetView>
  </sheetViews>
  <sheetFormatPr defaultRowHeight="14.25"/>
  <cols>
    <col min="1" max="1" width="11.86328125" customWidth="1"/>
    <col min="2" max="2" width="7.46484375" customWidth="1"/>
    <col min="3" max="3" width="27.46484375" bestFit="1" customWidth="1"/>
    <col min="4" max="4" width="20" bestFit="1" customWidth="1"/>
    <col min="5" max="5" width="14.6640625" customWidth="1"/>
    <col min="6" max="6" width="14.6640625" bestFit="1" customWidth="1"/>
    <col min="7" max="7" width="22.33203125" bestFit="1" customWidth="1"/>
    <col min="8" max="8" width="9.86328125" hidden="1" customWidth="1"/>
    <col min="9" max="9" width="9.1328125" hidden="1" customWidth="1"/>
    <col min="10" max="10" width="18.1328125" bestFit="1" customWidth="1"/>
    <col min="11" max="11" width="19.86328125" customWidth="1"/>
    <col min="12" max="12" width="14.6640625" bestFit="1" customWidth="1"/>
    <col min="13" max="13" width="17.46484375" bestFit="1" customWidth="1"/>
    <col min="14" max="15" width="20.46484375" bestFit="1" customWidth="1"/>
    <col min="16" max="16" width="12.6640625" bestFit="1" customWidth="1"/>
    <col min="17" max="17" width="11.53125" customWidth="1"/>
    <col min="257" max="257" width="11.86328125" customWidth="1"/>
    <col min="258" max="258" width="7.46484375" customWidth="1"/>
    <col min="259" max="259" width="34.1328125" customWidth="1"/>
    <col min="260" max="260" width="15.33203125" customWidth="1"/>
    <col min="261" max="261" width="10.6640625" bestFit="1" customWidth="1"/>
    <col min="262" max="262" width="11.86328125" customWidth="1"/>
    <col min="263" max="263" width="16" customWidth="1"/>
    <col min="264" max="265" width="0" hidden="1" customWidth="1"/>
    <col min="266" max="266" width="15.33203125" customWidth="1"/>
    <col min="267" max="267" width="15.6640625" customWidth="1"/>
    <col min="268" max="268" width="11.6640625" customWidth="1"/>
    <col min="269" max="269" width="14.33203125" customWidth="1"/>
    <col min="270" max="270" width="14.46484375" customWidth="1"/>
    <col min="271" max="271" width="15" customWidth="1"/>
    <col min="272" max="272" width="10.33203125" bestFit="1" customWidth="1"/>
    <col min="273" max="273" width="11.53125" customWidth="1"/>
    <col min="513" max="513" width="11.86328125" customWidth="1"/>
    <col min="514" max="514" width="7.46484375" customWidth="1"/>
    <col min="515" max="515" width="34.1328125" customWidth="1"/>
    <col min="516" max="516" width="15.33203125" customWidth="1"/>
    <col min="517" max="517" width="10.6640625" bestFit="1" customWidth="1"/>
    <col min="518" max="518" width="11.86328125" customWidth="1"/>
    <col min="519" max="519" width="16" customWidth="1"/>
    <col min="520" max="521" width="0" hidden="1" customWidth="1"/>
    <col min="522" max="522" width="15.33203125" customWidth="1"/>
    <col min="523" max="523" width="15.6640625" customWidth="1"/>
    <col min="524" max="524" width="11.6640625" customWidth="1"/>
    <col min="525" max="525" width="14.33203125" customWidth="1"/>
    <col min="526" max="526" width="14.46484375" customWidth="1"/>
    <col min="527" max="527" width="15" customWidth="1"/>
    <col min="528" max="528" width="10.33203125" bestFit="1" customWidth="1"/>
    <col min="529" max="529" width="11.53125" customWidth="1"/>
    <col min="769" max="769" width="11.86328125" customWidth="1"/>
    <col min="770" max="770" width="7.46484375" customWidth="1"/>
    <col min="771" max="771" width="34.1328125" customWidth="1"/>
    <col min="772" max="772" width="15.33203125" customWidth="1"/>
    <col min="773" max="773" width="10.6640625" bestFit="1" customWidth="1"/>
    <col min="774" max="774" width="11.86328125" customWidth="1"/>
    <col min="775" max="775" width="16" customWidth="1"/>
    <col min="776" max="777" width="0" hidden="1" customWidth="1"/>
    <col min="778" max="778" width="15.33203125" customWidth="1"/>
    <col min="779" max="779" width="15.6640625" customWidth="1"/>
    <col min="780" max="780" width="11.6640625" customWidth="1"/>
    <col min="781" max="781" width="14.33203125" customWidth="1"/>
    <col min="782" max="782" width="14.46484375" customWidth="1"/>
    <col min="783" max="783" width="15" customWidth="1"/>
    <col min="784" max="784" width="10.33203125" bestFit="1" customWidth="1"/>
    <col min="785" max="785" width="11.53125" customWidth="1"/>
    <col min="1025" max="1025" width="11.86328125" customWidth="1"/>
    <col min="1026" max="1026" width="7.46484375" customWidth="1"/>
    <col min="1027" max="1027" width="34.1328125" customWidth="1"/>
    <col min="1028" max="1028" width="15.33203125" customWidth="1"/>
    <col min="1029" max="1029" width="10.6640625" bestFit="1" customWidth="1"/>
    <col min="1030" max="1030" width="11.86328125" customWidth="1"/>
    <col min="1031" max="1031" width="16" customWidth="1"/>
    <col min="1032" max="1033" width="0" hidden="1" customWidth="1"/>
    <col min="1034" max="1034" width="15.33203125" customWidth="1"/>
    <col min="1035" max="1035" width="15.6640625" customWidth="1"/>
    <col min="1036" max="1036" width="11.6640625" customWidth="1"/>
    <col min="1037" max="1037" width="14.33203125" customWidth="1"/>
    <col min="1038" max="1038" width="14.46484375" customWidth="1"/>
    <col min="1039" max="1039" width="15" customWidth="1"/>
    <col min="1040" max="1040" width="10.33203125" bestFit="1" customWidth="1"/>
    <col min="1041" max="1041" width="11.53125" customWidth="1"/>
    <col min="1281" max="1281" width="11.86328125" customWidth="1"/>
    <col min="1282" max="1282" width="7.46484375" customWidth="1"/>
    <col min="1283" max="1283" width="34.1328125" customWidth="1"/>
    <col min="1284" max="1284" width="15.33203125" customWidth="1"/>
    <col min="1285" max="1285" width="10.6640625" bestFit="1" customWidth="1"/>
    <col min="1286" max="1286" width="11.86328125" customWidth="1"/>
    <col min="1287" max="1287" width="16" customWidth="1"/>
    <col min="1288" max="1289" width="0" hidden="1" customWidth="1"/>
    <col min="1290" max="1290" width="15.33203125" customWidth="1"/>
    <col min="1291" max="1291" width="15.6640625" customWidth="1"/>
    <col min="1292" max="1292" width="11.6640625" customWidth="1"/>
    <col min="1293" max="1293" width="14.33203125" customWidth="1"/>
    <col min="1294" max="1294" width="14.46484375" customWidth="1"/>
    <col min="1295" max="1295" width="15" customWidth="1"/>
    <col min="1296" max="1296" width="10.33203125" bestFit="1" customWidth="1"/>
    <col min="1297" max="1297" width="11.53125" customWidth="1"/>
    <col min="1537" max="1537" width="11.86328125" customWidth="1"/>
    <col min="1538" max="1538" width="7.46484375" customWidth="1"/>
    <col min="1539" max="1539" width="34.1328125" customWidth="1"/>
    <col min="1540" max="1540" width="15.33203125" customWidth="1"/>
    <col min="1541" max="1541" width="10.6640625" bestFit="1" customWidth="1"/>
    <col min="1542" max="1542" width="11.86328125" customWidth="1"/>
    <col min="1543" max="1543" width="16" customWidth="1"/>
    <col min="1544" max="1545" width="0" hidden="1" customWidth="1"/>
    <col min="1546" max="1546" width="15.33203125" customWidth="1"/>
    <col min="1547" max="1547" width="15.6640625" customWidth="1"/>
    <col min="1548" max="1548" width="11.6640625" customWidth="1"/>
    <col min="1549" max="1549" width="14.33203125" customWidth="1"/>
    <col min="1550" max="1550" width="14.46484375" customWidth="1"/>
    <col min="1551" max="1551" width="15" customWidth="1"/>
    <col min="1552" max="1552" width="10.33203125" bestFit="1" customWidth="1"/>
    <col min="1553" max="1553" width="11.53125" customWidth="1"/>
    <col min="1793" max="1793" width="11.86328125" customWidth="1"/>
    <col min="1794" max="1794" width="7.46484375" customWidth="1"/>
    <col min="1795" max="1795" width="34.1328125" customWidth="1"/>
    <col min="1796" max="1796" width="15.33203125" customWidth="1"/>
    <col min="1797" max="1797" width="10.6640625" bestFit="1" customWidth="1"/>
    <col min="1798" max="1798" width="11.86328125" customWidth="1"/>
    <col min="1799" max="1799" width="16" customWidth="1"/>
    <col min="1800" max="1801" width="0" hidden="1" customWidth="1"/>
    <col min="1802" max="1802" width="15.33203125" customWidth="1"/>
    <col min="1803" max="1803" width="15.6640625" customWidth="1"/>
    <col min="1804" max="1804" width="11.6640625" customWidth="1"/>
    <col min="1805" max="1805" width="14.33203125" customWidth="1"/>
    <col min="1806" max="1806" width="14.46484375" customWidth="1"/>
    <col min="1807" max="1807" width="15" customWidth="1"/>
    <col min="1808" max="1808" width="10.33203125" bestFit="1" customWidth="1"/>
    <col min="1809" max="1809" width="11.53125" customWidth="1"/>
    <col min="2049" max="2049" width="11.86328125" customWidth="1"/>
    <col min="2050" max="2050" width="7.46484375" customWidth="1"/>
    <col min="2051" max="2051" width="34.1328125" customWidth="1"/>
    <col min="2052" max="2052" width="15.33203125" customWidth="1"/>
    <col min="2053" max="2053" width="10.6640625" bestFit="1" customWidth="1"/>
    <col min="2054" max="2054" width="11.86328125" customWidth="1"/>
    <col min="2055" max="2055" width="16" customWidth="1"/>
    <col min="2056" max="2057" width="0" hidden="1" customWidth="1"/>
    <col min="2058" max="2058" width="15.33203125" customWidth="1"/>
    <col min="2059" max="2059" width="15.6640625" customWidth="1"/>
    <col min="2060" max="2060" width="11.6640625" customWidth="1"/>
    <col min="2061" max="2061" width="14.33203125" customWidth="1"/>
    <col min="2062" max="2062" width="14.46484375" customWidth="1"/>
    <col min="2063" max="2063" width="15" customWidth="1"/>
    <col min="2064" max="2064" width="10.33203125" bestFit="1" customWidth="1"/>
    <col min="2065" max="2065" width="11.53125" customWidth="1"/>
    <col min="2305" max="2305" width="11.86328125" customWidth="1"/>
    <col min="2306" max="2306" width="7.46484375" customWidth="1"/>
    <col min="2307" max="2307" width="34.1328125" customWidth="1"/>
    <col min="2308" max="2308" width="15.33203125" customWidth="1"/>
    <col min="2309" max="2309" width="10.6640625" bestFit="1" customWidth="1"/>
    <col min="2310" max="2310" width="11.86328125" customWidth="1"/>
    <col min="2311" max="2311" width="16" customWidth="1"/>
    <col min="2312" max="2313" width="0" hidden="1" customWidth="1"/>
    <col min="2314" max="2314" width="15.33203125" customWidth="1"/>
    <col min="2315" max="2315" width="15.6640625" customWidth="1"/>
    <col min="2316" max="2316" width="11.6640625" customWidth="1"/>
    <col min="2317" max="2317" width="14.33203125" customWidth="1"/>
    <col min="2318" max="2318" width="14.46484375" customWidth="1"/>
    <col min="2319" max="2319" width="15" customWidth="1"/>
    <col min="2320" max="2320" width="10.33203125" bestFit="1" customWidth="1"/>
    <col min="2321" max="2321" width="11.53125" customWidth="1"/>
    <col min="2561" max="2561" width="11.86328125" customWidth="1"/>
    <col min="2562" max="2562" width="7.46484375" customWidth="1"/>
    <col min="2563" max="2563" width="34.1328125" customWidth="1"/>
    <col min="2564" max="2564" width="15.33203125" customWidth="1"/>
    <col min="2565" max="2565" width="10.6640625" bestFit="1" customWidth="1"/>
    <col min="2566" max="2566" width="11.86328125" customWidth="1"/>
    <col min="2567" max="2567" width="16" customWidth="1"/>
    <col min="2568" max="2569" width="0" hidden="1" customWidth="1"/>
    <col min="2570" max="2570" width="15.33203125" customWidth="1"/>
    <col min="2571" max="2571" width="15.6640625" customWidth="1"/>
    <col min="2572" max="2572" width="11.6640625" customWidth="1"/>
    <col min="2573" max="2573" width="14.33203125" customWidth="1"/>
    <col min="2574" max="2574" width="14.46484375" customWidth="1"/>
    <col min="2575" max="2575" width="15" customWidth="1"/>
    <col min="2576" max="2576" width="10.33203125" bestFit="1" customWidth="1"/>
    <col min="2577" max="2577" width="11.53125" customWidth="1"/>
    <col min="2817" max="2817" width="11.86328125" customWidth="1"/>
    <col min="2818" max="2818" width="7.46484375" customWidth="1"/>
    <col min="2819" max="2819" width="34.1328125" customWidth="1"/>
    <col min="2820" max="2820" width="15.33203125" customWidth="1"/>
    <col min="2821" max="2821" width="10.6640625" bestFit="1" customWidth="1"/>
    <col min="2822" max="2822" width="11.86328125" customWidth="1"/>
    <col min="2823" max="2823" width="16" customWidth="1"/>
    <col min="2824" max="2825" width="0" hidden="1" customWidth="1"/>
    <col min="2826" max="2826" width="15.33203125" customWidth="1"/>
    <col min="2827" max="2827" width="15.6640625" customWidth="1"/>
    <col min="2828" max="2828" width="11.6640625" customWidth="1"/>
    <col min="2829" max="2829" width="14.33203125" customWidth="1"/>
    <col min="2830" max="2830" width="14.46484375" customWidth="1"/>
    <col min="2831" max="2831" width="15" customWidth="1"/>
    <col min="2832" max="2832" width="10.33203125" bestFit="1" customWidth="1"/>
    <col min="2833" max="2833" width="11.53125" customWidth="1"/>
    <col min="3073" max="3073" width="11.86328125" customWidth="1"/>
    <col min="3074" max="3074" width="7.46484375" customWidth="1"/>
    <col min="3075" max="3075" width="34.1328125" customWidth="1"/>
    <col min="3076" max="3076" width="15.33203125" customWidth="1"/>
    <col min="3077" max="3077" width="10.6640625" bestFit="1" customWidth="1"/>
    <col min="3078" max="3078" width="11.86328125" customWidth="1"/>
    <col min="3079" max="3079" width="16" customWidth="1"/>
    <col min="3080" max="3081" width="0" hidden="1" customWidth="1"/>
    <col min="3082" max="3082" width="15.33203125" customWidth="1"/>
    <col min="3083" max="3083" width="15.6640625" customWidth="1"/>
    <col min="3084" max="3084" width="11.6640625" customWidth="1"/>
    <col min="3085" max="3085" width="14.33203125" customWidth="1"/>
    <col min="3086" max="3086" width="14.46484375" customWidth="1"/>
    <col min="3087" max="3087" width="15" customWidth="1"/>
    <col min="3088" max="3088" width="10.33203125" bestFit="1" customWidth="1"/>
    <col min="3089" max="3089" width="11.53125" customWidth="1"/>
    <col min="3329" max="3329" width="11.86328125" customWidth="1"/>
    <col min="3330" max="3330" width="7.46484375" customWidth="1"/>
    <col min="3331" max="3331" width="34.1328125" customWidth="1"/>
    <col min="3332" max="3332" width="15.33203125" customWidth="1"/>
    <col min="3333" max="3333" width="10.6640625" bestFit="1" customWidth="1"/>
    <col min="3334" max="3334" width="11.86328125" customWidth="1"/>
    <col min="3335" max="3335" width="16" customWidth="1"/>
    <col min="3336" max="3337" width="0" hidden="1" customWidth="1"/>
    <col min="3338" max="3338" width="15.33203125" customWidth="1"/>
    <col min="3339" max="3339" width="15.6640625" customWidth="1"/>
    <col min="3340" max="3340" width="11.6640625" customWidth="1"/>
    <col min="3341" max="3341" width="14.33203125" customWidth="1"/>
    <col min="3342" max="3342" width="14.46484375" customWidth="1"/>
    <col min="3343" max="3343" width="15" customWidth="1"/>
    <col min="3344" max="3344" width="10.33203125" bestFit="1" customWidth="1"/>
    <col min="3345" max="3345" width="11.53125" customWidth="1"/>
    <col min="3585" max="3585" width="11.86328125" customWidth="1"/>
    <col min="3586" max="3586" width="7.46484375" customWidth="1"/>
    <col min="3587" max="3587" width="34.1328125" customWidth="1"/>
    <col min="3588" max="3588" width="15.33203125" customWidth="1"/>
    <col min="3589" max="3589" width="10.6640625" bestFit="1" customWidth="1"/>
    <col min="3590" max="3590" width="11.86328125" customWidth="1"/>
    <col min="3591" max="3591" width="16" customWidth="1"/>
    <col min="3592" max="3593" width="0" hidden="1" customWidth="1"/>
    <col min="3594" max="3594" width="15.33203125" customWidth="1"/>
    <col min="3595" max="3595" width="15.6640625" customWidth="1"/>
    <col min="3596" max="3596" width="11.6640625" customWidth="1"/>
    <col min="3597" max="3597" width="14.33203125" customWidth="1"/>
    <col min="3598" max="3598" width="14.46484375" customWidth="1"/>
    <col min="3599" max="3599" width="15" customWidth="1"/>
    <col min="3600" max="3600" width="10.33203125" bestFit="1" customWidth="1"/>
    <col min="3601" max="3601" width="11.53125" customWidth="1"/>
    <col min="3841" max="3841" width="11.86328125" customWidth="1"/>
    <col min="3842" max="3842" width="7.46484375" customWidth="1"/>
    <col min="3843" max="3843" width="34.1328125" customWidth="1"/>
    <col min="3844" max="3844" width="15.33203125" customWidth="1"/>
    <col min="3845" max="3845" width="10.6640625" bestFit="1" customWidth="1"/>
    <col min="3846" max="3846" width="11.86328125" customWidth="1"/>
    <col min="3847" max="3847" width="16" customWidth="1"/>
    <col min="3848" max="3849" width="0" hidden="1" customWidth="1"/>
    <col min="3850" max="3850" width="15.33203125" customWidth="1"/>
    <col min="3851" max="3851" width="15.6640625" customWidth="1"/>
    <col min="3852" max="3852" width="11.6640625" customWidth="1"/>
    <col min="3853" max="3853" width="14.33203125" customWidth="1"/>
    <col min="3854" max="3854" width="14.46484375" customWidth="1"/>
    <col min="3855" max="3855" width="15" customWidth="1"/>
    <col min="3856" max="3856" width="10.33203125" bestFit="1" customWidth="1"/>
    <col min="3857" max="3857" width="11.53125" customWidth="1"/>
    <col min="4097" max="4097" width="11.86328125" customWidth="1"/>
    <col min="4098" max="4098" width="7.46484375" customWidth="1"/>
    <col min="4099" max="4099" width="34.1328125" customWidth="1"/>
    <col min="4100" max="4100" width="15.33203125" customWidth="1"/>
    <col min="4101" max="4101" width="10.6640625" bestFit="1" customWidth="1"/>
    <col min="4102" max="4102" width="11.86328125" customWidth="1"/>
    <col min="4103" max="4103" width="16" customWidth="1"/>
    <col min="4104" max="4105" width="0" hidden="1" customWidth="1"/>
    <col min="4106" max="4106" width="15.33203125" customWidth="1"/>
    <col min="4107" max="4107" width="15.6640625" customWidth="1"/>
    <col min="4108" max="4108" width="11.6640625" customWidth="1"/>
    <col min="4109" max="4109" width="14.33203125" customWidth="1"/>
    <col min="4110" max="4110" width="14.46484375" customWidth="1"/>
    <col min="4111" max="4111" width="15" customWidth="1"/>
    <col min="4112" max="4112" width="10.33203125" bestFit="1" customWidth="1"/>
    <col min="4113" max="4113" width="11.53125" customWidth="1"/>
    <col min="4353" max="4353" width="11.86328125" customWidth="1"/>
    <col min="4354" max="4354" width="7.46484375" customWidth="1"/>
    <col min="4355" max="4355" width="34.1328125" customWidth="1"/>
    <col min="4356" max="4356" width="15.33203125" customWidth="1"/>
    <col min="4357" max="4357" width="10.6640625" bestFit="1" customWidth="1"/>
    <col min="4358" max="4358" width="11.86328125" customWidth="1"/>
    <col min="4359" max="4359" width="16" customWidth="1"/>
    <col min="4360" max="4361" width="0" hidden="1" customWidth="1"/>
    <col min="4362" max="4362" width="15.33203125" customWidth="1"/>
    <col min="4363" max="4363" width="15.6640625" customWidth="1"/>
    <col min="4364" max="4364" width="11.6640625" customWidth="1"/>
    <col min="4365" max="4365" width="14.33203125" customWidth="1"/>
    <col min="4366" max="4366" width="14.46484375" customWidth="1"/>
    <col min="4367" max="4367" width="15" customWidth="1"/>
    <col min="4368" max="4368" width="10.33203125" bestFit="1" customWidth="1"/>
    <col min="4369" max="4369" width="11.53125" customWidth="1"/>
    <col min="4609" max="4609" width="11.86328125" customWidth="1"/>
    <col min="4610" max="4610" width="7.46484375" customWidth="1"/>
    <col min="4611" max="4611" width="34.1328125" customWidth="1"/>
    <col min="4612" max="4612" width="15.33203125" customWidth="1"/>
    <col min="4613" max="4613" width="10.6640625" bestFit="1" customWidth="1"/>
    <col min="4614" max="4614" width="11.86328125" customWidth="1"/>
    <col min="4615" max="4615" width="16" customWidth="1"/>
    <col min="4616" max="4617" width="0" hidden="1" customWidth="1"/>
    <col min="4618" max="4618" width="15.33203125" customWidth="1"/>
    <col min="4619" max="4619" width="15.6640625" customWidth="1"/>
    <col min="4620" max="4620" width="11.6640625" customWidth="1"/>
    <col min="4621" max="4621" width="14.33203125" customWidth="1"/>
    <col min="4622" max="4622" width="14.46484375" customWidth="1"/>
    <col min="4623" max="4623" width="15" customWidth="1"/>
    <col min="4624" max="4624" width="10.33203125" bestFit="1" customWidth="1"/>
    <col min="4625" max="4625" width="11.53125" customWidth="1"/>
    <col min="4865" max="4865" width="11.86328125" customWidth="1"/>
    <col min="4866" max="4866" width="7.46484375" customWidth="1"/>
    <col min="4867" max="4867" width="34.1328125" customWidth="1"/>
    <col min="4868" max="4868" width="15.33203125" customWidth="1"/>
    <col min="4869" max="4869" width="10.6640625" bestFit="1" customWidth="1"/>
    <col min="4870" max="4870" width="11.86328125" customWidth="1"/>
    <col min="4871" max="4871" width="16" customWidth="1"/>
    <col min="4872" max="4873" width="0" hidden="1" customWidth="1"/>
    <col min="4874" max="4874" width="15.33203125" customWidth="1"/>
    <col min="4875" max="4875" width="15.6640625" customWidth="1"/>
    <col min="4876" max="4876" width="11.6640625" customWidth="1"/>
    <col min="4877" max="4877" width="14.33203125" customWidth="1"/>
    <col min="4878" max="4878" width="14.46484375" customWidth="1"/>
    <col min="4879" max="4879" width="15" customWidth="1"/>
    <col min="4880" max="4880" width="10.33203125" bestFit="1" customWidth="1"/>
    <col min="4881" max="4881" width="11.53125" customWidth="1"/>
    <col min="5121" max="5121" width="11.86328125" customWidth="1"/>
    <col min="5122" max="5122" width="7.46484375" customWidth="1"/>
    <col min="5123" max="5123" width="34.1328125" customWidth="1"/>
    <col min="5124" max="5124" width="15.33203125" customWidth="1"/>
    <col min="5125" max="5125" width="10.6640625" bestFit="1" customWidth="1"/>
    <col min="5126" max="5126" width="11.86328125" customWidth="1"/>
    <col min="5127" max="5127" width="16" customWidth="1"/>
    <col min="5128" max="5129" width="0" hidden="1" customWidth="1"/>
    <col min="5130" max="5130" width="15.33203125" customWidth="1"/>
    <col min="5131" max="5131" width="15.6640625" customWidth="1"/>
    <col min="5132" max="5132" width="11.6640625" customWidth="1"/>
    <col min="5133" max="5133" width="14.33203125" customWidth="1"/>
    <col min="5134" max="5134" width="14.46484375" customWidth="1"/>
    <col min="5135" max="5135" width="15" customWidth="1"/>
    <col min="5136" max="5136" width="10.33203125" bestFit="1" customWidth="1"/>
    <col min="5137" max="5137" width="11.53125" customWidth="1"/>
    <col min="5377" max="5377" width="11.86328125" customWidth="1"/>
    <col min="5378" max="5378" width="7.46484375" customWidth="1"/>
    <col min="5379" max="5379" width="34.1328125" customWidth="1"/>
    <col min="5380" max="5380" width="15.33203125" customWidth="1"/>
    <col min="5381" max="5381" width="10.6640625" bestFit="1" customWidth="1"/>
    <col min="5382" max="5382" width="11.86328125" customWidth="1"/>
    <col min="5383" max="5383" width="16" customWidth="1"/>
    <col min="5384" max="5385" width="0" hidden="1" customWidth="1"/>
    <col min="5386" max="5386" width="15.33203125" customWidth="1"/>
    <col min="5387" max="5387" width="15.6640625" customWidth="1"/>
    <col min="5388" max="5388" width="11.6640625" customWidth="1"/>
    <col min="5389" max="5389" width="14.33203125" customWidth="1"/>
    <col min="5390" max="5390" width="14.46484375" customWidth="1"/>
    <col min="5391" max="5391" width="15" customWidth="1"/>
    <col min="5392" max="5392" width="10.33203125" bestFit="1" customWidth="1"/>
    <col min="5393" max="5393" width="11.53125" customWidth="1"/>
    <col min="5633" max="5633" width="11.86328125" customWidth="1"/>
    <col min="5634" max="5634" width="7.46484375" customWidth="1"/>
    <col min="5635" max="5635" width="34.1328125" customWidth="1"/>
    <col min="5636" max="5636" width="15.33203125" customWidth="1"/>
    <col min="5637" max="5637" width="10.6640625" bestFit="1" customWidth="1"/>
    <col min="5638" max="5638" width="11.86328125" customWidth="1"/>
    <col min="5639" max="5639" width="16" customWidth="1"/>
    <col min="5640" max="5641" width="0" hidden="1" customWidth="1"/>
    <col min="5642" max="5642" width="15.33203125" customWidth="1"/>
    <col min="5643" max="5643" width="15.6640625" customWidth="1"/>
    <col min="5644" max="5644" width="11.6640625" customWidth="1"/>
    <col min="5645" max="5645" width="14.33203125" customWidth="1"/>
    <col min="5646" max="5646" width="14.46484375" customWidth="1"/>
    <col min="5647" max="5647" width="15" customWidth="1"/>
    <col min="5648" max="5648" width="10.33203125" bestFit="1" customWidth="1"/>
    <col min="5649" max="5649" width="11.53125" customWidth="1"/>
    <col min="5889" max="5889" width="11.86328125" customWidth="1"/>
    <col min="5890" max="5890" width="7.46484375" customWidth="1"/>
    <col min="5891" max="5891" width="34.1328125" customWidth="1"/>
    <col min="5892" max="5892" width="15.33203125" customWidth="1"/>
    <col min="5893" max="5893" width="10.6640625" bestFit="1" customWidth="1"/>
    <col min="5894" max="5894" width="11.86328125" customWidth="1"/>
    <col min="5895" max="5895" width="16" customWidth="1"/>
    <col min="5896" max="5897" width="0" hidden="1" customWidth="1"/>
    <col min="5898" max="5898" width="15.33203125" customWidth="1"/>
    <col min="5899" max="5899" width="15.6640625" customWidth="1"/>
    <col min="5900" max="5900" width="11.6640625" customWidth="1"/>
    <col min="5901" max="5901" width="14.33203125" customWidth="1"/>
    <col min="5902" max="5902" width="14.46484375" customWidth="1"/>
    <col min="5903" max="5903" width="15" customWidth="1"/>
    <col min="5904" max="5904" width="10.33203125" bestFit="1" customWidth="1"/>
    <col min="5905" max="5905" width="11.53125" customWidth="1"/>
    <col min="6145" max="6145" width="11.86328125" customWidth="1"/>
    <col min="6146" max="6146" width="7.46484375" customWidth="1"/>
    <col min="6147" max="6147" width="34.1328125" customWidth="1"/>
    <col min="6148" max="6148" width="15.33203125" customWidth="1"/>
    <col min="6149" max="6149" width="10.6640625" bestFit="1" customWidth="1"/>
    <col min="6150" max="6150" width="11.86328125" customWidth="1"/>
    <col min="6151" max="6151" width="16" customWidth="1"/>
    <col min="6152" max="6153" width="0" hidden="1" customWidth="1"/>
    <col min="6154" max="6154" width="15.33203125" customWidth="1"/>
    <col min="6155" max="6155" width="15.6640625" customWidth="1"/>
    <col min="6156" max="6156" width="11.6640625" customWidth="1"/>
    <col min="6157" max="6157" width="14.33203125" customWidth="1"/>
    <col min="6158" max="6158" width="14.46484375" customWidth="1"/>
    <col min="6159" max="6159" width="15" customWidth="1"/>
    <col min="6160" max="6160" width="10.33203125" bestFit="1" customWidth="1"/>
    <col min="6161" max="6161" width="11.53125" customWidth="1"/>
    <col min="6401" max="6401" width="11.86328125" customWidth="1"/>
    <col min="6402" max="6402" width="7.46484375" customWidth="1"/>
    <col min="6403" max="6403" width="34.1328125" customWidth="1"/>
    <col min="6404" max="6404" width="15.33203125" customWidth="1"/>
    <col min="6405" max="6405" width="10.6640625" bestFit="1" customWidth="1"/>
    <col min="6406" max="6406" width="11.86328125" customWidth="1"/>
    <col min="6407" max="6407" width="16" customWidth="1"/>
    <col min="6408" max="6409" width="0" hidden="1" customWidth="1"/>
    <col min="6410" max="6410" width="15.33203125" customWidth="1"/>
    <col min="6411" max="6411" width="15.6640625" customWidth="1"/>
    <col min="6412" max="6412" width="11.6640625" customWidth="1"/>
    <col min="6413" max="6413" width="14.33203125" customWidth="1"/>
    <col min="6414" max="6414" width="14.46484375" customWidth="1"/>
    <col min="6415" max="6415" width="15" customWidth="1"/>
    <col min="6416" max="6416" width="10.33203125" bestFit="1" customWidth="1"/>
    <col min="6417" max="6417" width="11.53125" customWidth="1"/>
    <col min="6657" max="6657" width="11.86328125" customWidth="1"/>
    <col min="6658" max="6658" width="7.46484375" customWidth="1"/>
    <col min="6659" max="6659" width="34.1328125" customWidth="1"/>
    <col min="6660" max="6660" width="15.33203125" customWidth="1"/>
    <col min="6661" max="6661" width="10.6640625" bestFit="1" customWidth="1"/>
    <col min="6662" max="6662" width="11.86328125" customWidth="1"/>
    <col min="6663" max="6663" width="16" customWidth="1"/>
    <col min="6664" max="6665" width="0" hidden="1" customWidth="1"/>
    <col min="6666" max="6666" width="15.33203125" customWidth="1"/>
    <col min="6667" max="6667" width="15.6640625" customWidth="1"/>
    <col min="6668" max="6668" width="11.6640625" customWidth="1"/>
    <col min="6669" max="6669" width="14.33203125" customWidth="1"/>
    <col min="6670" max="6670" width="14.46484375" customWidth="1"/>
    <col min="6671" max="6671" width="15" customWidth="1"/>
    <col min="6672" max="6672" width="10.33203125" bestFit="1" customWidth="1"/>
    <col min="6673" max="6673" width="11.53125" customWidth="1"/>
    <col min="6913" max="6913" width="11.86328125" customWidth="1"/>
    <col min="6914" max="6914" width="7.46484375" customWidth="1"/>
    <col min="6915" max="6915" width="34.1328125" customWidth="1"/>
    <col min="6916" max="6916" width="15.33203125" customWidth="1"/>
    <col min="6917" max="6917" width="10.6640625" bestFit="1" customWidth="1"/>
    <col min="6918" max="6918" width="11.86328125" customWidth="1"/>
    <col min="6919" max="6919" width="16" customWidth="1"/>
    <col min="6920" max="6921" width="0" hidden="1" customWidth="1"/>
    <col min="6922" max="6922" width="15.33203125" customWidth="1"/>
    <col min="6923" max="6923" width="15.6640625" customWidth="1"/>
    <col min="6924" max="6924" width="11.6640625" customWidth="1"/>
    <col min="6925" max="6925" width="14.33203125" customWidth="1"/>
    <col min="6926" max="6926" width="14.46484375" customWidth="1"/>
    <col min="6927" max="6927" width="15" customWidth="1"/>
    <col min="6928" max="6928" width="10.33203125" bestFit="1" customWidth="1"/>
    <col min="6929" max="6929" width="11.53125" customWidth="1"/>
    <col min="7169" max="7169" width="11.86328125" customWidth="1"/>
    <col min="7170" max="7170" width="7.46484375" customWidth="1"/>
    <col min="7171" max="7171" width="34.1328125" customWidth="1"/>
    <col min="7172" max="7172" width="15.33203125" customWidth="1"/>
    <col min="7173" max="7173" width="10.6640625" bestFit="1" customWidth="1"/>
    <col min="7174" max="7174" width="11.86328125" customWidth="1"/>
    <col min="7175" max="7175" width="16" customWidth="1"/>
    <col min="7176" max="7177" width="0" hidden="1" customWidth="1"/>
    <col min="7178" max="7178" width="15.33203125" customWidth="1"/>
    <col min="7179" max="7179" width="15.6640625" customWidth="1"/>
    <col min="7180" max="7180" width="11.6640625" customWidth="1"/>
    <col min="7181" max="7181" width="14.33203125" customWidth="1"/>
    <col min="7182" max="7182" width="14.46484375" customWidth="1"/>
    <col min="7183" max="7183" width="15" customWidth="1"/>
    <col min="7184" max="7184" width="10.33203125" bestFit="1" customWidth="1"/>
    <col min="7185" max="7185" width="11.53125" customWidth="1"/>
    <col min="7425" max="7425" width="11.86328125" customWidth="1"/>
    <col min="7426" max="7426" width="7.46484375" customWidth="1"/>
    <col min="7427" max="7427" width="34.1328125" customWidth="1"/>
    <col min="7428" max="7428" width="15.33203125" customWidth="1"/>
    <col min="7429" max="7429" width="10.6640625" bestFit="1" customWidth="1"/>
    <col min="7430" max="7430" width="11.86328125" customWidth="1"/>
    <col min="7431" max="7431" width="16" customWidth="1"/>
    <col min="7432" max="7433" width="0" hidden="1" customWidth="1"/>
    <col min="7434" max="7434" width="15.33203125" customWidth="1"/>
    <col min="7435" max="7435" width="15.6640625" customWidth="1"/>
    <col min="7436" max="7436" width="11.6640625" customWidth="1"/>
    <col min="7437" max="7437" width="14.33203125" customWidth="1"/>
    <col min="7438" max="7438" width="14.46484375" customWidth="1"/>
    <col min="7439" max="7439" width="15" customWidth="1"/>
    <col min="7440" max="7440" width="10.33203125" bestFit="1" customWidth="1"/>
    <col min="7441" max="7441" width="11.53125" customWidth="1"/>
    <col min="7681" max="7681" width="11.86328125" customWidth="1"/>
    <col min="7682" max="7682" width="7.46484375" customWidth="1"/>
    <col min="7683" max="7683" width="34.1328125" customWidth="1"/>
    <col min="7684" max="7684" width="15.33203125" customWidth="1"/>
    <col min="7685" max="7685" width="10.6640625" bestFit="1" customWidth="1"/>
    <col min="7686" max="7686" width="11.86328125" customWidth="1"/>
    <col min="7687" max="7687" width="16" customWidth="1"/>
    <col min="7688" max="7689" width="0" hidden="1" customWidth="1"/>
    <col min="7690" max="7690" width="15.33203125" customWidth="1"/>
    <col min="7691" max="7691" width="15.6640625" customWidth="1"/>
    <col min="7692" max="7692" width="11.6640625" customWidth="1"/>
    <col min="7693" max="7693" width="14.33203125" customWidth="1"/>
    <col min="7694" max="7694" width="14.46484375" customWidth="1"/>
    <col min="7695" max="7695" width="15" customWidth="1"/>
    <col min="7696" max="7696" width="10.33203125" bestFit="1" customWidth="1"/>
    <col min="7697" max="7697" width="11.53125" customWidth="1"/>
    <col min="7937" max="7937" width="11.86328125" customWidth="1"/>
    <col min="7938" max="7938" width="7.46484375" customWidth="1"/>
    <col min="7939" max="7939" width="34.1328125" customWidth="1"/>
    <col min="7940" max="7940" width="15.33203125" customWidth="1"/>
    <col min="7941" max="7941" width="10.6640625" bestFit="1" customWidth="1"/>
    <col min="7942" max="7942" width="11.86328125" customWidth="1"/>
    <col min="7943" max="7943" width="16" customWidth="1"/>
    <col min="7944" max="7945" width="0" hidden="1" customWidth="1"/>
    <col min="7946" max="7946" width="15.33203125" customWidth="1"/>
    <col min="7947" max="7947" width="15.6640625" customWidth="1"/>
    <col min="7948" max="7948" width="11.6640625" customWidth="1"/>
    <col min="7949" max="7949" width="14.33203125" customWidth="1"/>
    <col min="7950" max="7950" width="14.46484375" customWidth="1"/>
    <col min="7951" max="7951" width="15" customWidth="1"/>
    <col min="7952" max="7952" width="10.33203125" bestFit="1" customWidth="1"/>
    <col min="7953" max="7953" width="11.53125" customWidth="1"/>
    <col min="8193" max="8193" width="11.86328125" customWidth="1"/>
    <col min="8194" max="8194" width="7.46484375" customWidth="1"/>
    <col min="8195" max="8195" width="34.1328125" customWidth="1"/>
    <col min="8196" max="8196" width="15.33203125" customWidth="1"/>
    <col min="8197" max="8197" width="10.6640625" bestFit="1" customWidth="1"/>
    <col min="8198" max="8198" width="11.86328125" customWidth="1"/>
    <col min="8199" max="8199" width="16" customWidth="1"/>
    <col min="8200" max="8201" width="0" hidden="1" customWidth="1"/>
    <col min="8202" max="8202" width="15.33203125" customWidth="1"/>
    <col min="8203" max="8203" width="15.6640625" customWidth="1"/>
    <col min="8204" max="8204" width="11.6640625" customWidth="1"/>
    <col min="8205" max="8205" width="14.33203125" customWidth="1"/>
    <col min="8206" max="8206" width="14.46484375" customWidth="1"/>
    <col min="8207" max="8207" width="15" customWidth="1"/>
    <col min="8208" max="8208" width="10.33203125" bestFit="1" customWidth="1"/>
    <col min="8209" max="8209" width="11.53125" customWidth="1"/>
    <col min="8449" max="8449" width="11.86328125" customWidth="1"/>
    <col min="8450" max="8450" width="7.46484375" customWidth="1"/>
    <col min="8451" max="8451" width="34.1328125" customWidth="1"/>
    <col min="8452" max="8452" width="15.33203125" customWidth="1"/>
    <col min="8453" max="8453" width="10.6640625" bestFit="1" customWidth="1"/>
    <col min="8454" max="8454" width="11.86328125" customWidth="1"/>
    <col min="8455" max="8455" width="16" customWidth="1"/>
    <col min="8456" max="8457" width="0" hidden="1" customWidth="1"/>
    <col min="8458" max="8458" width="15.33203125" customWidth="1"/>
    <col min="8459" max="8459" width="15.6640625" customWidth="1"/>
    <col min="8460" max="8460" width="11.6640625" customWidth="1"/>
    <col min="8461" max="8461" width="14.33203125" customWidth="1"/>
    <col min="8462" max="8462" width="14.46484375" customWidth="1"/>
    <col min="8463" max="8463" width="15" customWidth="1"/>
    <col min="8464" max="8464" width="10.33203125" bestFit="1" customWidth="1"/>
    <col min="8465" max="8465" width="11.53125" customWidth="1"/>
    <col min="8705" max="8705" width="11.86328125" customWidth="1"/>
    <col min="8706" max="8706" width="7.46484375" customWidth="1"/>
    <col min="8707" max="8707" width="34.1328125" customWidth="1"/>
    <col min="8708" max="8708" width="15.33203125" customWidth="1"/>
    <col min="8709" max="8709" width="10.6640625" bestFit="1" customWidth="1"/>
    <col min="8710" max="8710" width="11.86328125" customWidth="1"/>
    <col min="8711" max="8711" width="16" customWidth="1"/>
    <col min="8712" max="8713" width="0" hidden="1" customWidth="1"/>
    <col min="8714" max="8714" width="15.33203125" customWidth="1"/>
    <col min="8715" max="8715" width="15.6640625" customWidth="1"/>
    <col min="8716" max="8716" width="11.6640625" customWidth="1"/>
    <col min="8717" max="8717" width="14.33203125" customWidth="1"/>
    <col min="8718" max="8718" width="14.46484375" customWidth="1"/>
    <col min="8719" max="8719" width="15" customWidth="1"/>
    <col min="8720" max="8720" width="10.33203125" bestFit="1" customWidth="1"/>
    <col min="8721" max="8721" width="11.53125" customWidth="1"/>
    <col min="8961" max="8961" width="11.86328125" customWidth="1"/>
    <col min="8962" max="8962" width="7.46484375" customWidth="1"/>
    <col min="8963" max="8963" width="34.1328125" customWidth="1"/>
    <col min="8964" max="8964" width="15.33203125" customWidth="1"/>
    <col min="8965" max="8965" width="10.6640625" bestFit="1" customWidth="1"/>
    <col min="8966" max="8966" width="11.86328125" customWidth="1"/>
    <col min="8967" max="8967" width="16" customWidth="1"/>
    <col min="8968" max="8969" width="0" hidden="1" customWidth="1"/>
    <col min="8970" max="8970" width="15.33203125" customWidth="1"/>
    <col min="8971" max="8971" width="15.6640625" customWidth="1"/>
    <col min="8972" max="8972" width="11.6640625" customWidth="1"/>
    <col min="8973" max="8973" width="14.33203125" customWidth="1"/>
    <col min="8974" max="8974" width="14.46484375" customWidth="1"/>
    <col min="8975" max="8975" width="15" customWidth="1"/>
    <col min="8976" max="8976" width="10.33203125" bestFit="1" customWidth="1"/>
    <col min="8977" max="8977" width="11.53125" customWidth="1"/>
    <col min="9217" max="9217" width="11.86328125" customWidth="1"/>
    <col min="9218" max="9218" width="7.46484375" customWidth="1"/>
    <col min="9219" max="9219" width="34.1328125" customWidth="1"/>
    <col min="9220" max="9220" width="15.33203125" customWidth="1"/>
    <col min="9221" max="9221" width="10.6640625" bestFit="1" customWidth="1"/>
    <col min="9222" max="9222" width="11.86328125" customWidth="1"/>
    <col min="9223" max="9223" width="16" customWidth="1"/>
    <col min="9224" max="9225" width="0" hidden="1" customWidth="1"/>
    <col min="9226" max="9226" width="15.33203125" customWidth="1"/>
    <col min="9227" max="9227" width="15.6640625" customWidth="1"/>
    <col min="9228" max="9228" width="11.6640625" customWidth="1"/>
    <col min="9229" max="9229" width="14.33203125" customWidth="1"/>
    <col min="9230" max="9230" width="14.46484375" customWidth="1"/>
    <col min="9231" max="9231" width="15" customWidth="1"/>
    <col min="9232" max="9232" width="10.33203125" bestFit="1" customWidth="1"/>
    <col min="9233" max="9233" width="11.53125" customWidth="1"/>
    <col min="9473" max="9473" width="11.86328125" customWidth="1"/>
    <col min="9474" max="9474" width="7.46484375" customWidth="1"/>
    <col min="9475" max="9475" width="34.1328125" customWidth="1"/>
    <col min="9476" max="9476" width="15.33203125" customWidth="1"/>
    <col min="9477" max="9477" width="10.6640625" bestFit="1" customWidth="1"/>
    <col min="9478" max="9478" width="11.86328125" customWidth="1"/>
    <col min="9479" max="9479" width="16" customWidth="1"/>
    <col min="9480" max="9481" width="0" hidden="1" customWidth="1"/>
    <col min="9482" max="9482" width="15.33203125" customWidth="1"/>
    <col min="9483" max="9483" width="15.6640625" customWidth="1"/>
    <col min="9484" max="9484" width="11.6640625" customWidth="1"/>
    <col min="9485" max="9485" width="14.33203125" customWidth="1"/>
    <col min="9486" max="9486" width="14.46484375" customWidth="1"/>
    <col min="9487" max="9487" width="15" customWidth="1"/>
    <col min="9488" max="9488" width="10.33203125" bestFit="1" customWidth="1"/>
    <col min="9489" max="9489" width="11.53125" customWidth="1"/>
    <col min="9729" max="9729" width="11.86328125" customWidth="1"/>
    <col min="9730" max="9730" width="7.46484375" customWidth="1"/>
    <col min="9731" max="9731" width="34.1328125" customWidth="1"/>
    <col min="9732" max="9732" width="15.33203125" customWidth="1"/>
    <col min="9733" max="9733" width="10.6640625" bestFit="1" customWidth="1"/>
    <col min="9734" max="9734" width="11.86328125" customWidth="1"/>
    <col min="9735" max="9735" width="16" customWidth="1"/>
    <col min="9736" max="9737" width="0" hidden="1" customWidth="1"/>
    <col min="9738" max="9738" width="15.33203125" customWidth="1"/>
    <col min="9739" max="9739" width="15.6640625" customWidth="1"/>
    <col min="9740" max="9740" width="11.6640625" customWidth="1"/>
    <col min="9741" max="9741" width="14.33203125" customWidth="1"/>
    <col min="9742" max="9742" width="14.46484375" customWidth="1"/>
    <col min="9743" max="9743" width="15" customWidth="1"/>
    <col min="9744" max="9744" width="10.33203125" bestFit="1" customWidth="1"/>
    <col min="9745" max="9745" width="11.53125" customWidth="1"/>
    <col min="9985" max="9985" width="11.86328125" customWidth="1"/>
    <col min="9986" max="9986" width="7.46484375" customWidth="1"/>
    <col min="9987" max="9987" width="34.1328125" customWidth="1"/>
    <col min="9988" max="9988" width="15.33203125" customWidth="1"/>
    <col min="9989" max="9989" width="10.6640625" bestFit="1" customWidth="1"/>
    <col min="9990" max="9990" width="11.86328125" customWidth="1"/>
    <col min="9991" max="9991" width="16" customWidth="1"/>
    <col min="9992" max="9993" width="0" hidden="1" customWidth="1"/>
    <col min="9994" max="9994" width="15.33203125" customWidth="1"/>
    <col min="9995" max="9995" width="15.6640625" customWidth="1"/>
    <col min="9996" max="9996" width="11.6640625" customWidth="1"/>
    <col min="9997" max="9997" width="14.33203125" customWidth="1"/>
    <col min="9998" max="9998" width="14.46484375" customWidth="1"/>
    <col min="9999" max="9999" width="15" customWidth="1"/>
    <col min="10000" max="10000" width="10.33203125" bestFit="1" customWidth="1"/>
    <col min="10001" max="10001" width="11.53125" customWidth="1"/>
    <col min="10241" max="10241" width="11.86328125" customWidth="1"/>
    <col min="10242" max="10242" width="7.46484375" customWidth="1"/>
    <col min="10243" max="10243" width="34.1328125" customWidth="1"/>
    <col min="10244" max="10244" width="15.33203125" customWidth="1"/>
    <col min="10245" max="10245" width="10.6640625" bestFit="1" customWidth="1"/>
    <col min="10246" max="10246" width="11.86328125" customWidth="1"/>
    <col min="10247" max="10247" width="16" customWidth="1"/>
    <col min="10248" max="10249" width="0" hidden="1" customWidth="1"/>
    <col min="10250" max="10250" width="15.33203125" customWidth="1"/>
    <col min="10251" max="10251" width="15.6640625" customWidth="1"/>
    <col min="10252" max="10252" width="11.6640625" customWidth="1"/>
    <col min="10253" max="10253" width="14.33203125" customWidth="1"/>
    <col min="10254" max="10254" width="14.46484375" customWidth="1"/>
    <col min="10255" max="10255" width="15" customWidth="1"/>
    <col min="10256" max="10256" width="10.33203125" bestFit="1" customWidth="1"/>
    <col min="10257" max="10257" width="11.53125" customWidth="1"/>
    <col min="10497" max="10497" width="11.86328125" customWidth="1"/>
    <col min="10498" max="10498" width="7.46484375" customWidth="1"/>
    <col min="10499" max="10499" width="34.1328125" customWidth="1"/>
    <col min="10500" max="10500" width="15.33203125" customWidth="1"/>
    <col min="10501" max="10501" width="10.6640625" bestFit="1" customWidth="1"/>
    <col min="10502" max="10502" width="11.86328125" customWidth="1"/>
    <col min="10503" max="10503" width="16" customWidth="1"/>
    <col min="10504" max="10505" width="0" hidden="1" customWidth="1"/>
    <col min="10506" max="10506" width="15.33203125" customWidth="1"/>
    <col min="10507" max="10507" width="15.6640625" customWidth="1"/>
    <col min="10508" max="10508" width="11.6640625" customWidth="1"/>
    <col min="10509" max="10509" width="14.33203125" customWidth="1"/>
    <col min="10510" max="10510" width="14.46484375" customWidth="1"/>
    <col min="10511" max="10511" width="15" customWidth="1"/>
    <col min="10512" max="10512" width="10.33203125" bestFit="1" customWidth="1"/>
    <col min="10513" max="10513" width="11.53125" customWidth="1"/>
    <col min="10753" max="10753" width="11.86328125" customWidth="1"/>
    <col min="10754" max="10754" width="7.46484375" customWidth="1"/>
    <col min="10755" max="10755" width="34.1328125" customWidth="1"/>
    <col min="10756" max="10756" width="15.33203125" customWidth="1"/>
    <col min="10757" max="10757" width="10.6640625" bestFit="1" customWidth="1"/>
    <col min="10758" max="10758" width="11.86328125" customWidth="1"/>
    <col min="10759" max="10759" width="16" customWidth="1"/>
    <col min="10760" max="10761" width="0" hidden="1" customWidth="1"/>
    <col min="10762" max="10762" width="15.33203125" customWidth="1"/>
    <col min="10763" max="10763" width="15.6640625" customWidth="1"/>
    <col min="10764" max="10764" width="11.6640625" customWidth="1"/>
    <col min="10765" max="10765" width="14.33203125" customWidth="1"/>
    <col min="10766" max="10766" width="14.46484375" customWidth="1"/>
    <col min="10767" max="10767" width="15" customWidth="1"/>
    <col min="10768" max="10768" width="10.33203125" bestFit="1" customWidth="1"/>
    <col min="10769" max="10769" width="11.53125" customWidth="1"/>
    <col min="11009" max="11009" width="11.86328125" customWidth="1"/>
    <col min="11010" max="11010" width="7.46484375" customWidth="1"/>
    <col min="11011" max="11011" width="34.1328125" customWidth="1"/>
    <col min="11012" max="11012" width="15.33203125" customWidth="1"/>
    <col min="11013" max="11013" width="10.6640625" bestFit="1" customWidth="1"/>
    <col min="11014" max="11014" width="11.86328125" customWidth="1"/>
    <col min="11015" max="11015" width="16" customWidth="1"/>
    <col min="11016" max="11017" width="0" hidden="1" customWidth="1"/>
    <col min="11018" max="11018" width="15.33203125" customWidth="1"/>
    <col min="11019" max="11019" width="15.6640625" customWidth="1"/>
    <col min="11020" max="11020" width="11.6640625" customWidth="1"/>
    <col min="11021" max="11021" width="14.33203125" customWidth="1"/>
    <col min="11022" max="11022" width="14.46484375" customWidth="1"/>
    <col min="11023" max="11023" width="15" customWidth="1"/>
    <col min="11024" max="11024" width="10.33203125" bestFit="1" customWidth="1"/>
    <col min="11025" max="11025" width="11.53125" customWidth="1"/>
    <col min="11265" max="11265" width="11.86328125" customWidth="1"/>
    <col min="11266" max="11266" width="7.46484375" customWidth="1"/>
    <col min="11267" max="11267" width="34.1328125" customWidth="1"/>
    <col min="11268" max="11268" width="15.33203125" customWidth="1"/>
    <col min="11269" max="11269" width="10.6640625" bestFit="1" customWidth="1"/>
    <col min="11270" max="11270" width="11.86328125" customWidth="1"/>
    <col min="11271" max="11271" width="16" customWidth="1"/>
    <col min="11272" max="11273" width="0" hidden="1" customWidth="1"/>
    <col min="11274" max="11274" width="15.33203125" customWidth="1"/>
    <col min="11275" max="11275" width="15.6640625" customWidth="1"/>
    <col min="11276" max="11276" width="11.6640625" customWidth="1"/>
    <col min="11277" max="11277" width="14.33203125" customWidth="1"/>
    <col min="11278" max="11278" width="14.46484375" customWidth="1"/>
    <col min="11279" max="11279" width="15" customWidth="1"/>
    <col min="11280" max="11280" width="10.33203125" bestFit="1" customWidth="1"/>
    <col min="11281" max="11281" width="11.53125" customWidth="1"/>
    <col min="11521" max="11521" width="11.86328125" customWidth="1"/>
    <col min="11522" max="11522" width="7.46484375" customWidth="1"/>
    <col min="11523" max="11523" width="34.1328125" customWidth="1"/>
    <col min="11524" max="11524" width="15.33203125" customWidth="1"/>
    <col min="11525" max="11525" width="10.6640625" bestFit="1" customWidth="1"/>
    <col min="11526" max="11526" width="11.86328125" customWidth="1"/>
    <col min="11527" max="11527" width="16" customWidth="1"/>
    <col min="11528" max="11529" width="0" hidden="1" customWidth="1"/>
    <col min="11530" max="11530" width="15.33203125" customWidth="1"/>
    <col min="11531" max="11531" width="15.6640625" customWidth="1"/>
    <col min="11532" max="11532" width="11.6640625" customWidth="1"/>
    <col min="11533" max="11533" width="14.33203125" customWidth="1"/>
    <col min="11534" max="11534" width="14.46484375" customWidth="1"/>
    <col min="11535" max="11535" width="15" customWidth="1"/>
    <col min="11536" max="11536" width="10.33203125" bestFit="1" customWidth="1"/>
    <col min="11537" max="11537" width="11.53125" customWidth="1"/>
    <col min="11777" max="11777" width="11.86328125" customWidth="1"/>
    <col min="11778" max="11778" width="7.46484375" customWidth="1"/>
    <col min="11779" max="11779" width="34.1328125" customWidth="1"/>
    <col min="11780" max="11780" width="15.33203125" customWidth="1"/>
    <col min="11781" max="11781" width="10.6640625" bestFit="1" customWidth="1"/>
    <col min="11782" max="11782" width="11.86328125" customWidth="1"/>
    <col min="11783" max="11783" width="16" customWidth="1"/>
    <col min="11784" max="11785" width="0" hidden="1" customWidth="1"/>
    <col min="11786" max="11786" width="15.33203125" customWidth="1"/>
    <col min="11787" max="11787" width="15.6640625" customWidth="1"/>
    <col min="11788" max="11788" width="11.6640625" customWidth="1"/>
    <col min="11789" max="11789" width="14.33203125" customWidth="1"/>
    <col min="11790" max="11790" width="14.46484375" customWidth="1"/>
    <col min="11791" max="11791" width="15" customWidth="1"/>
    <col min="11792" max="11792" width="10.33203125" bestFit="1" customWidth="1"/>
    <col min="11793" max="11793" width="11.53125" customWidth="1"/>
    <col min="12033" max="12033" width="11.86328125" customWidth="1"/>
    <col min="12034" max="12034" width="7.46484375" customWidth="1"/>
    <col min="12035" max="12035" width="34.1328125" customWidth="1"/>
    <col min="12036" max="12036" width="15.33203125" customWidth="1"/>
    <col min="12037" max="12037" width="10.6640625" bestFit="1" customWidth="1"/>
    <col min="12038" max="12038" width="11.86328125" customWidth="1"/>
    <col min="12039" max="12039" width="16" customWidth="1"/>
    <col min="12040" max="12041" width="0" hidden="1" customWidth="1"/>
    <col min="12042" max="12042" width="15.33203125" customWidth="1"/>
    <col min="12043" max="12043" width="15.6640625" customWidth="1"/>
    <col min="12044" max="12044" width="11.6640625" customWidth="1"/>
    <col min="12045" max="12045" width="14.33203125" customWidth="1"/>
    <col min="12046" max="12046" width="14.46484375" customWidth="1"/>
    <col min="12047" max="12047" width="15" customWidth="1"/>
    <col min="12048" max="12048" width="10.33203125" bestFit="1" customWidth="1"/>
    <col min="12049" max="12049" width="11.53125" customWidth="1"/>
    <col min="12289" max="12289" width="11.86328125" customWidth="1"/>
    <col min="12290" max="12290" width="7.46484375" customWidth="1"/>
    <col min="12291" max="12291" width="34.1328125" customWidth="1"/>
    <col min="12292" max="12292" width="15.33203125" customWidth="1"/>
    <col min="12293" max="12293" width="10.6640625" bestFit="1" customWidth="1"/>
    <col min="12294" max="12294" width="11.86328125" customWidth="1"/>
    <col min="12295" max="12295" width="16" customWidth="1"/>
    <col min="12296" max="12297" width="0" hidden="1" customWidth="1"/>
    <col min="12298" max="12298" width="15.33203125" customWidth="1"/>
    <col min="12299" max="12299" width="15.6640625" customWidth="1"/>
    <col min="12300" max="12300" width="11.6640625" customWidth="1"/>
    <col min="12301" max="12301" width="14.33203125" customWidth="1"/>
    <col min="12302" max="12302" width="14.46484375" customWidth="1"/>
    <col min="12303" max="12303" width="15" customWidth="1"/>
    <col min="12304" max="12304" width="10.33203125" bestFit="1" customWidth="1"/>
    <col min="12305" max="12305" width="11.53125" customWidth="1"/>
    <col min="12545" max="12545" width="11.86328125" customWidth="1"/>
    <col min="12546" max="12546" width="7.46484375" customWidth="1"/>
    <col min="12547" max="12547" width="34.1328125" customWidth="1"/>
    <col min="12548" max="12548" width="15.33203125" customWidth="1"/>
    <col min="12549" max="12549" width="10.6640625" bestFit="1" customWidth="1"/>
    <col min="12550" max="12550" width="11.86328125" customWidth="1"/>
    <col min="12551" max="12551" width="16" customWidth="1"/>
    <col min="12552" max="12553" width="0" hidden="1" customWidth="1"/>
    <col min="12554" max="12554" width="15.33203125" customWidth="1"/>
    <col min="12555" max="12555" width="15.6640625" customWidth="1"/>
    <col min="12556" max="12556" width="11.6640625" customWidth="1"/>
    <col min="12557" max="12557" width="14.33203125" customWidth="1"/>
    <col min="12558" max="12558" width="14.46484375" customWidth="1"/>
    <col min="12559" max="12559" width="15" customWidth="1"/>
    <col min="12560" max="12560" width="10.33203125" bestFit="1" customWidth="1"/>
    <col min="12561" max="12561" width="11.53125" customWidth="1"/>
    <col min="12801" max="12801" width="11.86328125" customWidth="1"/>
    <col min="12802" max="12802" width="7.46484375" customWidth="1"/>
    <col min="12803" max="12803" width="34.1328125" customWidth="1"/>
    <col min="12804" max="12804" width="15.33203125" customWidth="1"/>
    <col min="12805" max="12805" width="10.6640625" bestFit="1" customWidth="1"/>
    <col min="12806" max="12806" width="11.86328125" customWidth="1"/>
    <col min="12807" max="12807" width="16" customWidth="1"/>
    <col min="12808" max="12809" width="0" hidden="1" customWidth="1"/>
    <col min="12810" max="12810" width="15.33203125" customWidth="1"/>
    <col min="12811" max="12811" width="15.6640625" customWidth="1"/>
    <col min="12812" max="12812" width="11.6640625" customWidth="1"/>
    <col min="12813" max="12813" width="14.33203125" customWidth="1"/>
    <col min="12814" max="12814" width="14.46484375" customWidth="1"/>
    <col min="12815" max="12815" width="15" customWidth="1"/>
    <col min="12816" max="12816" width="10.33203125" bestFit="1" customWidth="1"/>
    <col min="12817" max="12817" width="11.53125" customWidth="1"/>
    <col min="13057" max="13057" width="11.86328125" customWidth="1"/>
    <col min="13058" max="13058" width="7.46484375" customWidth="1"/>
    <col min="13059" max="13059" width="34.1328125" customWidth="1"/>
    <col min="13060" max="13060" width="15.33203125" customWidth="1"/>
    <col min="13061" max="13061" width="10.6640625" bestFit="1" customWidth="1"/>
    <col min="13062" max="13062" width="11.86328125" customWidth="1"/>
    <col min="13063" max="13063" width="16" customWidth="1"/>
    <col min="13064" max="13065" width="0" hidden="1" customWidth="1"/>
    <col min="13066" max="13066" width="15.33203125" customWidth="1"/>
    <col min="13067" max="13067" width="15.6640625" customWidth="1"/>
    <col min="13068" max="13068" width="11.6640625" customWidth="1"/>
    <col min="13069" max="13069" width="14.33203125" customWidth="1"/>
    <col min="13070" max="13070" width="14.46484375" customWidth="1"/>
    <col min="13071" max="13071" width="15" customWidth="1"/>
    <col min="13072" max="13072" width="10.33203125" bestFit="1" customWidth="1"/>
    <col min="13073" max="13073" width="11.53125" customWidth="1"/>
    <col min="13313" max="13313" width="11.86328125" customWidth="1"/>
    <col min="13314" max="13314" width="7.46484375" customWidth="1"/>
    <col min="13315" max="13315" width="34.1328125" customWidth="1"/>
    <col min="13316" max="13316" width="15.33203125" customWidth="1"/>
    <col min="13317" max="13317" width="10.6640625" bestFit="1" customWidth="1"/>
    <col min="13318" max="13318" width="11.86328125" customWidth="1"/>
    <col min="13319" max="13319" width="16" customWidth="1"/>
    <col min="13320" max="13321" width="0" hidden="1" customWidth="1"/>
    <col min="13322" max="13322" width="15.33203125" customWidth="1"/>
    <col min="13323" max="13323" width="15.6640625" customWidth="1"/>
    <col min="13324" max="13324" width="11.6640625" customWidth="1"/>
    <col min="13325" max="13325" width="14.33203125" customWidth="1"/>
    <col min="13326" max="13326" width="14.46484375" customWidth="1"/>
    <col min="13327" max="13327" width="15" customWidth="1"/>
    <col min="13328" max="13328" width="10.33203125" bestFit="1" customWidth="1"/>
    <col min="13329" max="13329" width="11.53125" customWidth="1"/>
    <col min="13569" max="13569" width="11.86328125" customWidth="1"/>
    <col min="13570" max="13570" width="7.46484375" customWidth="1"/>
    <col min="13571" max="13571" width="34.1328125" customWidth="1"/>
    <col min="13572" max="13572" width="15.33203125" customWidth="1"/>
    <col min="13573" max="13573" width="10.6640625" bestFit="1" customWidth="1"/>
    <col min="13574" max="13574" width="11.86328125" customWidth="1"/>
    <col min="13575" max="13575" width="16" customWidth="1"/>
    <col min="13576" max="13577" width="0" hidden="1" customWidth="1"/>
    <col min="13578" max="13578" width="15.33203125" customWidth="1"/>
    <col min="13579" max="13579" width="15.6640625" customWidth="1"/>
    <col min="13580" max="13580" width="11.6640625" customWidth="1"/>
    <col min="13581" max="13581" width="14.33203125" customWidth="1"/>
    <col min="13582" max="13582" width="14.46484375" customWidth="1"/>
    <col min="13583" max="13583" width="15" customWidth="1"/>
    <col min="13584" max="13584" width="10.33203125" bestFit="1" customWidth="1"/>
    <col min="13585" max="13585" width="11.53125" customWidth="1"/>
    <col min="13825" max="13825" width="11.86328125" customWidth="1"/>
    <col min="13826" max="13826" width="7.46484375" customWidth="1"/>
    <col min="13827" max="13827" width="34.1328125" customWidth="1"/>
    <col min="13828" max="13828" width="15.33203125" customWidth="1"/>
    <col min="13829" max="13829" width="10.6640625" bestFit="1" customWidth="1"/>
    <col min="13830" max="13830" width="11.86328125" customWidth="1"/>
    <col min="13831" max="13831" width="16" customWidth="1"/>
    <col min="13832" max="13833" width="0" hidden="1" customWidth="1"/>
    <col min="13834" max="13834" width="15.33203125" customWidth="1"/>
    <col min="13835" max="13835" width="15.6640625" customWidth="1"/>
    <col min="13836" max="13836" width="11.6640625" customWidth="1"/>
    <col min="13837" max="13837" width="14.33203125" customWidth="1"/>
    <col min="13838" max="13838" width="14.46484375" customWidth="1"/>
    <col min="13839" max="13839" width="15" customWidth="1"/>
    <col min="13840" max="13840" width="10.33203125" bestFit="1" customWidth="1"/>
    <col min="13841" max="13841" width="11.53125" customWidth="1"/>
    <col min="14081" max="14081" width="11.86328125" customWidth="1"/>
    <col min="14082" max="14082" width="7.46484375" customWidth="1"/>
    <col min="14083" max="14083" width="34.1328125" customWidth="1"/>
    <col min="14084" max="14084" width="15.33203125" customWidth="1"/>
    <col min="14085" max="14085" width="10.6640625" bestFit="1" customWidth="1"/>
    <col min="14086" max="14086" width="11.86328125" customWidth="1"/>
    <col min="14087" max="14087" width="16" customWidth="1"/>
    <col min="14088" max="14089" width="0" hidden="1" customWidth="1"/>
    <col min="14090" max="14090" width="15.33203125" customWidth="1"/>
    <col min="14091" max="14091" width="15.6640625" customWidth="1"/>
    <col min="14092" max="14092" width="11.6640625" customWidth="1"/>
    <col min="14093" max="14093" width="14.33203125" customWidth="1"/>
    <col min="14094" max="14094" width="14.46484375" customWidth="1"/>
    <col min="14095" max="14095" width="15" customWidth="1"/>
    <col min="14096" max="14096" width="10.33203125" bestFit="1" customWidth="1"/>
    <col min="14097" max="14097" width="11.53125" customWidth="1"/>
    <col min="14337" max="14337" width="11.86328125" customWidth="1"/>
    <col min="14338" max="14338" width="7.46484375" customWidth="1"/>
    <col min="14339" max="14339" width="34.1328125" customWidth="1"/>
    <col min="14340" max="14340" width="15.33203125" customWidth="1"/>
    <col min="14341" max="14341" width="10.6640625" bestFit="1" customWidth="1"/>
    <col min="14342" max="14342" width="11.86328125" customWidth="1"/>
    <col min="14343" max="14343" width="16" customWidth="1"/>
    <col min="14344" max="14345" width="0" hidden="1" customWidth="1"/>
    <col min="14346" max="14346" width="15.33203125" customWidth="1"/>
    <col min="14347" max="14347" width="15.6640625" customWidth="1"/>
    <col min="14348" max="14348" width="11.6640625" customWidth="1"/>
    <col min="14349" max="14349" width="14.33203125" customWidth="1"/>
    <col min="14350" max="14350" width="14.46484375" customWidth="1"/>
    <col min="14351" max="14351" width="15" customWidth="1"/>
    <col min="14352" max="14352" width="10.33203125" bestFit="1" customWidth="1"/>
    <col min="14353" max="14353" width="11.53125" customWidth="1"/>
    <col min="14593" max="14593" width="11.86328125" customWidth="1"/>
    <col min="14594" max="14594" width="7.46484375" customWidth="1"/>
    <col min="14595" max="14595" width="34.1328125" customWidth="1"/>
    <col min="14596" max="14596" width="15.33203125" customWidth="1"/>
    <col min="14597" max="14597" width="10.6640625" bestFit="1" customWidth="1"/>
    <col min="14598" max="14598" width="11.86328125" customWidth="1"/>
    <col min="14599" max="14599" width="16" customWidth="1"/>
    <col min="14600" max="14601" width="0" hidden="1" customWidth="1"/>
    <col min="14602" max="14602" width="15.33203125" customWidth="1"/>
    <col min="14603" max="14603" width="15.6640625" customWidth="1"/>
    <col min="14604" max="14604" width="11.6640625" customWidth="1"/>
    <col min="14605" max="14605" width="14.33203125" customWidth="1"/>
    <col min="14606" max="14606" width="14.46484375" customWidth="1"/>
    <col min="14607" max="14607" width="15" customWidth="1"/>
    <col min="14608" max="14608" width="10.33203125" bestFit="1" customWidth="1"/>
    <col min="14609" max="14609" width="11.53125" customWidth="1"/>
    <col min="14849" max="14849" width="11.86328125" customWidth="1"/>
    <col min="14850" max="14850" width="7.46484375" customWidth="1"/>
    <col min="14851" max="14851" width="34.1328125" customWidth="1"/>
    <col min="14852" max="14852" width="15.33203125" customWidth="1"/>
    <col min="14853" max="14853" width="10.6640625" bestFit="1" customWidth="1"/>
    <col min="14854" max="14854" width="11.86328125" customWidth="1"/>
    <col min="14855" max="14855" width="16" customWidth="1"/>
    <col min="14856" max="14857" width="0" hidden="1" customWidth="1"/>
    <col min="14858" max="14858" width="15.33203125" customWidth="1"/>
    <col min="14859" max="14859" width="15.6640625" customWidth="1"/>
    <col min="14860" max="14860" width="11.6640625" customWidth="1"/>
    <col min="14861" max="14861" width="14.33203125" customWidth="1"/>
    <col min="14862" max="14862" width="14.46484375" customWidth="1"/>
    <col min="14863" max="14863" width="15" customWidth="1"/>
    <col min="14864" max="14864" width="10.33203125" bestFit="1" customWidth="1"/>
    <col min="14865" max="14865" width="11.53125" customWidth="1"/>
    <col min="15105" max="15105" width="11.86328125" customWidth="1"/>
    <col min="15106" max="15106" width="7.46484375" customWidth="1"/>
    <col min="15107" max="15107" width="34.1328125" customWidth="1"/>
    <col min="15108" max="15108" width="15.33203125" customWidth="1"/>
    <col min="15109" max="15109" width="10.6640625" bestFit="1" customWidth="1"/>
    <col min="15110" max="15110" width="11.86328125" customWidth="1"/>
    <col min="15111" max="15111" width="16" customWidth="1"/>
    <col min="15112" max="15113" width="0" hidden="1" customWidth="1"/>
    <col min="15114" max="15114" width="15.33203125" customWidth="1"/>
    <col min="15115" max="15115" width="15.6640625" customWidth="1"/>
    <col min="15116" max="15116" width="11.6640625" customWidth="1"/>
    <col min="15117" max="15117" width="14.33203125" customWidth="1"/>
    <col min="15118" max="15118" width="14.46484375" customWidth="1"/>
    <col min="15119" max="15119" width="15" customWidth="1"/>
    <col min="15120" max="15120" width="10.33203125" bestFit="1" customWidth="1"/>
    <col min="15121" max="15121" width="11.53125" customWidth="1"/>
    <col min="15361" max="15361" width="11.86328125" customWidth="1"/>
    <col min="15362" max="15362" width="7.46484375" customWidth="1"/>
    <col min="15363" max="15363" width="34.1328125" customWidth="1"/>
    <col min="15364" max="15364" width="15.33203125" customWidth="1"/>
    <col min="15365" max="15365" width="10.6640625" bestFit="1" customWidth="1"/>
    <col min="15366" max="15366" width="11.86328125" customWidth="1"/>
    <col min="15367" max="15367" width="16" customWidth="1"/>
    <col min="15368" max="15369" width="0" hidden="1" customWidth="1"/>
    <col min="15370" max="15370" width="15.33203125" customWidth="1"/>
    <col min="15371" max="15371" width="15.6640625" customWidth="1"/>
    <col min="15372" max="15372" width="11.6640625" customWidth="1"/>
    <col min="15373" max="15373" width="14.33203125" customWidth="1"/>
    <col min="15374" max="15374" width="14.46484375" customWidth="1"/>
    <col min="15375" max="15375" width="15" customWidth="1"/>
    <col min="15376" max="15376" width="10.33203125" bestFit="1" customWidth="1"/>
    <col min="15377" max="15377" width="11.53125" customWidth="1"/>
    <col min="15617" max="15617" width="11.86328125" customWidth="1"/>
    <col min="15618" max="15618" width="7.46484375" customWidth="1"/>
    <col min="15619" max="15619" width="34.1328125" customWidth="1"/>
    <col min="15620" max="15620" width="15.33203125" customWidth="1"/>
    <col min="15621" max="15621" width="10.6640625" bestFit="1" customWidth="1"/>
    <col min="15622" max="15622" width="11.86328125" customWidth="1"/>
    <col min="15623" max="15623" width="16" customWidth="1"/>
    <col min="15624" max="15625" width="0" hidden="1" customWidth="1"/>
    <col min="15626" max="15626" width="15.33203125" customWidth="1"/>
    <col min="15627" max="15627" width="15.6640625" customWidth="1"/>
    <col min="15628" max="15628" width="11.6640625" customWidth="1"/>
    <col min="15629" max="15629" width="14.33203125" customWidth="1"/>
    <col min="15630" max="15630" width="14.46484375" customWidth="1"/>
    <col min="15631" max="15631" width="15" customWidth="1"/>
    <col min="15632" max="15632" width="10.33203125" bestFit="1" customWidth="1"/>
    <col min="15633" max="15633" width="11.53125" customWidth="1"/>
    <col min="15873" max="15873" width="11.86328125" customWidth="1"/>
    <col min="15874" max="15874" width="7.46484375" customWidth="1"/>
    <col min="15875" max="15875" width="34.1328125" customWidth="1"/>
    <col min="15876" max="15876" width="15.33203125" customWidth="1"/>
    <col min="15877" max="15877" width="10.6640625" bestFit="1" customWidth="1"/>
    <col min="15878" max="15878" width="11.86328125" customWidth="1"/>
    <col min="15879" max="15879" width="16" customWidth="1"/>
    <col min="15880" max="15881" width="0" hidden="1" customWidth="1"/>
    <col min="15882" max="15882" width="15.33203125" customWidth="1"/>
    <col min="15883" max="15883" width="15.6640625" customWidth="1"/>
    <col min="15884" max="15884" width="11.6640625" customWidth="1"/>
    <col min="15885" max="15885" width="14.33203125" customWidth="1"/>
    <col min="15886" max="15886" width="14.46484375" customWidth="1"/>
    <col min="15887" max="15887" width="15" customWidth="1"/>
    <col min="15888" max="15888" width="10.33203125" bestFit="1" customWidth="1"/>
    <col min="15889" max="15889" width="11.53125" customWidth="1"/>
    <col min="16129" max="16129" width="11.86328125" customWidth="1"/>
    <col min="16130" max="16130" width="7.46484375" customWidth="1"/>
    <col min="16131" max="16131" width="34.1328125" customWidth="1"/>
    <col min="16132" max="16132" width="15.33203125" customWidth="1"/>
    <col min="16133" max="16133" width="10.6640625" bestFit="1" customWidth="1"/>
    <col min="16134" max="16134" width="11.86328125" customWidth="1"/>
    <col min="16135" max="16135" width="16" customWidth="1"/>
    <col min="16136" max="16137" width="0" hidden="1" customWidth="1"/>
    <col min="16138" max="16138" width="15.33203125" customWidth="1"/>
    <col min="16139" max="16139" width="15.6640625" customWidth="1"/>
    <col min="16140" max="16140" width="11.6640625" customWidth="1"/>
    <col min="16141" max="16141" width="14.33203125" customWidth="1"/>
    <col min="16142" max="16142" width="14.46484375" customWidth="1"/>
    <col min="16143" max="16143" width="15" customWidth="1"/>
    <col min="16144" max="16144" width="10.33203125" bestFit="1" customWidth="1"/>
    <col min="16145" max="16145" width="11.53125" customWidth="1"/>
  </cols>
  <sheetData>
    <row r="1" spans="2:17" ht="18.75">
      <c r="B1" s="266" t="s">
        <v>1338</v>
      </c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</row>
    <row r="2" spans="2:17" ht="19.149999999999999" thickBot="1">
      <c r="B2" s="266" t="s">
        <v>3658</v>
      </c>
      <c r="C2" s="266"/>
      <c r="D2" s="266"/>
      <c r="E2" s="266"/>
      <c r="F2" s="266"/>
      <c r="G2" s="266"/>
      <c r="H2" s="266"/>
      <c r="I2" s="266"/>
      <c r="J2" s="267"/>
      <c r="K2" s="267"/>
      <c r="L2" s="267"/>
      <c r="M2" s="267"/>
      <c r="N2" s="267"/>
      <c r="O2" s="267"/>
    </row>
    <row r="3" spans="2:17" ht="19.5" thickTop="1" thickBot="1">
      <c r="B3" s="268"/>
      <c r="C3" s="269"/>
      <c r="D3" s="1051" t="s">
        <v>1339</v>
      </c>
      <c r="E3" s="1052"/>
      <c r="F3" s="1052"/>
      <c r="G3" s="1053"/>
      <c r="H3" s="270"/>
      <c r="I3" s="271"/>
      <c r="J3" s="1054" t="s">
        <v>1340</v>
      </c>
      <c r="K3" s="1055"/>
      <c r="L3" s="1055"/>
      <c r="M3" s="1056"/>
      <c r="N3" s="1057" t="s">
        <v>890</v>
      </c>
      <c r="O3" s="1058"/>
    </row>
    <row r="4" spans="2:17" ht="19.149999999999999" thickTop="1">
      <c r="B4" s="1059" t="s">
        <v>1289</v>
      </c>
      <c r="C4" s="1059" t="s">
        <v>1290</v>
      </c>
      <c r="D4" s="1061" t="s">
        <v>3657</v>
      </c>
      <c r="E4" s="1063" t="s">
        <v>891</v>
      </c>
      <c r="F4" s="1065" t="s">
        <v>892</v>
      </c>
      <c r="G4" s="1067" t="s">
        <v>3667</v>
      </c>
      <c r="H4" s="272" t="s">
        <v>1341</v>
      </c>
      <c r="I4" s="273" t="s">
        <v>1342</v>
      </c>
      <c r="J4" s="1069" t="s">
        <v>3666</v>
      </c>
      <c r="K4" s="1071" t="s">
        <v>1343</v>
      </c>
      <c r="L4" s="1063" t="s">
        <v>892</v>
      </c>
      <c r="M4" s="1073" t="s">
        <v>3665</v>
      </c>
      <c r="N4" s="1075" t="s">
        <v>3664</v>
      </c>
      <c r="O4" s="1077" t="s">
        <v>1344</v>
      </c>
    </row>
    <row r="5" spans="2:17" ht="19.149999999999999" thickBot="1">
      <c r="B5" s="1060"/>
      <c r="C5" s="1060"/>
      <c r="D5" s="1062"/>
      <c r="E5" s="1064"/>
      <c r="F5" s="1066"/>
      <c r="G5" s="1068"/>
      <c r="H5" s="274"/>
      <c r="I5" s="275"/>
      <c r="J5" s="1070"/>
      <c r="K5" s="1072"/>
      <c r="L5" s="1064"/>
      <c r="M5" s="1074"/>
      <c r="N5" s="1076"/>
      <c r="O5" s="1078"/>
    </row>
    <row r="6" spans="2:17" ht="19.149999999999999" thickTop="1">
      <c r="B6" s="276">
        <v>1</v>
      </c>
      <c r="C6" s="277" t="s">
        <v>33</v>
      </c>
      <c r="D6" s="278">
        <f>+LAND!E10</f>
        <v>59848145</v>
      </c>
      <c r="E6" s="279">
        <v>0</v>
      </c>
      <c r="F6" s="279"/>
      <c r="G6" s="280">
        <f>+LAND!H10</f>
        <v>59848145</v>
      </c>
      <c r="H6" s="279"/>
      <c r="I6" s="279"/>
      <c r="J6" s="281">
        <v>0</v>
      </c>
      <c r="K6" s="282">
        <v>0</v>
      </c>
      <c r="L6" s="283">
        <v>0</v>
      </c>
      <c r="M6" s="284">
        <v>0</v>
      </c>
      <c r="N6" s="285">
        <f t="shared" ref="N6:N13" si="0">+G6-M6</f>
        <v>59848145</v>
      </c>
      <c r="O6" s="286">
        <f>+D6-J6</f>
        <v>59848145</v>
      </c>
    </row>
    <row r="7" spans="2:17" ht="18.75">
      <c r="B7" s="276">
        <v>2</v>
      </c>
      <c r="C7" s="287" t="s">
        <v>1345</v>
      </c>
      <c r="D7" s="278">
        <f>+Buildings!E226</f>
        <v>93033892.061864391</v>
      </c>
      <c r="E7" s="278">
        <f>+Buildings!F226</f>
        <v>0</v>
      </c>
      <c r="F7" s="278">
        <f>+Buildings!G226</f>
        <v>0</v>
      </c>
      <c r="G7" s="280">
        <f>+Buildings!H226</f>
        <v>93033892.061864391</v>
      </c>
      <c r="H7" s="288"/>
      <c r="I7" s="289"/>
      <c r="J7" s="290">
        <f>+Buildings!J226</f>
        <v>53872317.602869593</v>
      </c>
      <c r="K7" s="291">
        <f>+Buildings!Q226</f>
        <v>26672285.243298933</v>
      </c>
      <c r="L7" s="292">
        <v>0</v>
      </c>
      <c r="M7" s="293">
        <f t="shared" ref="M7:M13" si="1">+J7+K7-L7</f>
        <v>80544602.846168518</v>
      </c>
      <c r="N7" s="285">
        <f t="shared" si="0"/>
        <v>12489289.215695873</v>
      </c>
      <c r="O7" s="286">
        <f>+D7-J7</f>
        <v>39161574.458994798</v>
      </c>
      <c r="P7" s="294">
        <f>+D7-J7-O7</f>
        <v>0</v>
      </c>
      <c r="Q7" s="294">
        <f t="shared" ref="Q7:Q13" si="2">+G7-M7-N7</f>
        <v>0</v>
      </c>
    </row>
    <row r="8" spans="2:17" ht="18.75">
      <c r="B8" s="295">
        <v>3</v>
      </c>
      <c r="C8" s="287" t="s">
        <v>1346</v>
      </c>
      <c r="D8" s="278">
        <f>+'construction equipment'!H1840</f>
        <v>3652931068.3697786</v>
      </c>
      <c r="E8" s="278">
        <v>0</v>
      </c>
      <c r="F8" s="278">
        <f>+'sold mc 24'!G13</f>
        <v>13138880</v>
      </c>
      <c r="G8" s="280">
        <f>+'construction equipment'!K1840</f>
        <v>3639792188.3697786</v>
      </c>
      <c r="H8" s="288"/>
      <c r="I8" s="289"/>
      <c r="J8" s="958">
        <f>+'construction equipment'!M1840</f>
        <v>972418562.14721179</v>
      </c>
      <c r="K8" s="291">
        <f>+'construction equipment'!U1840</f>
        <v>339677872.00141329</v>
      </c>
      <c r="L8" s="292">
        <f>+'sold mc 24'!H13</f>
        <v>1347189</v>
      </c>
      <c r="M8" s="293">
        <f t="shared" si="1"/>
        <v>1310749245.1486251</v>
      </c>
      <c r="N8" s="285">
        <f t="shared" si="0"/>
        <v>2329042943.2211533</v>
      </c>
      <c r="O8" s="286">
        <f t="shared" ref="O8:O13" si="3">+D8-J8</f>
        <v>2680512506.2225666</v>
      </c>
      <c r="P8" s="294" t="s">
        <v>24</v>
      </c>
      <c r="Q8" s="294">
        <f t="shared" si="2"/>
        <v>0</v>
      </c>
    </row>
    <row r="9" spans="2:17" ht="18.75">
      <c r="B9" s="295">
        <v>4</v>
      </c>
      <c r="C9" s="287" t="s">
        <v>1347</v>
      </c>
      <c r="D9" s="278">
        <f>+'electrical equipment'!H24</f>
        <v>581065</v>
      </c>
      <c r="E9" s="278">
        <f>+'electrical equipment'!I24</f>
        <v>0</v>
      </c>
      <c r="F9" s="278">
        <f>+'electrical equipment'!J24</f>
        <v>0</v>
      </c>
      <c r="G9" s="280">
        <f>+'electrical equipment'!K24</f>
        <v>581065</v>
      </c>
      <c r="H9" s="288"/>
      <c r="I9" s="289"/>
      <c r="J9" s="278">
        <f>+'electrical equipment'!M24</f>
        <v>568341.55925938359</v>
      </c>
      <c r="K9" s="291">
        <f>+'electrical equipment'!T24</f>
        <v>12723</v>
      </c>
      <c r="L9" s="292"/>
      <c r="M9" s="293">
        <f t="shared" si="1"/>
        <v>581064.55925938359</v>
      </c>
      <c r="N9" s="285">
        <f t="shared" si="0"/>
        <v>0.44074061641003937</v>
      </c>
      <c r="O9" s="286">
        <f t="shared" si="3"/>
        <v>12723.44074061641</v>
      </c>
      <c r="P9" s="294">
        <f>+D9-J9-O9</f>
        <v>0</v>
      </c>
      <c r="Q9" s="294">
        <f t="shared" si="2"/>
        <v>0</v>
      </c>
    </row>
    <row r="10" spans="2:17" ht="18.75">
      <c r="B10" s="295">
        <v>5</v>
      </c>
      <c r="C10" s="287" t="s">
        <v>1348</v>
      </c>
      <c r="D10" s="278">
        <f>+Furniture!H313</f>
        <v>18911062.759999998</v>
      </c>
      <c r="E10" s="278">
        <v>0</v>
      </c>
      <c r="F10" s="278">
        <v>0</v>
      </c>
      <c r="G10" s="280">
        <f>+Furniture!K313</f>
        <v>18911062.759999998</v>
      </c>
      <c r="H10" s="288"/>
      <c r="I10" s="289"/>
      <c r="J10" s="290">
        <f>+Furniture!M313</f>
        <v>13890181.046755498</v>
      </c>
      <c r="K10" s="291">
        <f>+Furniture!T313</f>
        <v>1689207.4740000004</v>
      </c>
      <c r="L10" s="292"/>
      <c r="M10" s="293">
        <f t="shared" si="1"/>
        <v>15579388.5207555</v>
      </c>
      <c r="N10" s="285">
        <f t="shared" si="0"/>
        <v>3331674.2392444983</v>
      </c>
      <c r="O10" s="286">
        <f t="shared" si="3"/>
        <v>5020881.7132444996</v>
      </c>
      <c r="P10" s="294" t="s">
        <v>24</v>
      </c>
      <c r="Q10" s="294">
        <f t="shared" si="2"/>
        <v>0</v>
      </c>
    </row>
    <row r="11" spans="2:17" ht="18.75">
      <c r="B11" s="295">
        <v>6</v>
      </c>
      <c r="C11" s="287" t="s">
        <v>1349</v>
      </c>
      <c r="D11" s="278">
        <f>+vehicles!H229</f>
        <v>93065134.620000005</v>
      </c>
      <c r="E11" s="278">
        <v>0</v>
      </c>
      <c r="F11" s="278">
        <f>+vehicles!J229</f>
        <v>188651</v>
      </c>
      <c r="G11" s="280">
        <f>+vehicles!K229</f>
        <v>92876483.620000005</v>
      </c>
      <c r="H11" s="288"/>
      <c r="I11" s="289"/>
      <c r="J11" s="290">
        <f>+vehicles!M229</f>
        <v>42171217.11949081</v>
      </c>
      <c r="K11" s="291">
        <f>+vehicles!T229</f>
        <v>10409655.867374986</v>
      </c>
      <c r="L11" s="292">
        <f>+'sold mc 24'!H16</f>
        <v>188651</v>
      </c>
      <c r="M11" s="293">
        <f t="shared" si="1"/>
        <v>52392221.986865796</v>
      </c>
      <c r="N11" s="285">
        <f t="shared" si="0"/>
        <v>40484261.633134209</v>
      </c>
      <c r="O11" s="286">
        <f t="shared" si="3"/>
        <v>50893917.500509195</v>
      </c>
      <c r="P11" s="294" t="s">
        <v>24</v>
      </c>
      <c r="Q11" s="294">
        <f t="shared" si="2"/>
        <v>0</v>
      </c>
    </row>
    <row r="12" spans="2:17" ht="18.75">
      <c r="B12" s="295">
        <v>7</v>
      </c>
      <c r="C12" s="287" t="s">
        <v>1350</v>
      </c>
      <c r="D12" s="278">
        <f>+'office equipment'!H334</f>
        <v>19323103.890000001</v>
      </c>
      <c r="E12" s="278">
        <v>0</v>
      </c>
      <c r="F12" s="278">
        <v>0</v>
      </c>
      <c r="G12" s="280">
        <f>+'office equipment'!K334</f>
        <v>19323103.890000001</v>
      </c>
      <c r="H12" s="288"/>
      <c r="I12" s="289"/>
      <c r="J12" s="290">
        <f>+'office equipment'!M334</f>
        <v>16178549.349103615</v>
      </c>
      <c r="K12" s="291">
        <f>+'office equipment'!T334</f>
        <v>1138679.8069337248</v>
      </c>
      <c r="L12" s="292"/>
      <c r="M12" s="293">
        <f t="shared" si="1"/>
        <v>17317229.156037338</v>
      </c>
      <c r="N12" s="285">
        <f t="shared" si="0"/>
        <v>2005874.7339626625</v>
      </c>
      <c r="O12" s="286">
        <f t="shared" si="3"/>
        <v>3144554.5408963859</v>
      </c>
      <c r="P12" s="294">
        <f>+D12-J12-O12</f>
        <v>0</v>
      </c>
      <c r="Q12" s="294">
        <f t="shared" si="2"/>
        <v>0</v>
      </c>
    </row>
    <row r="13" spans="2:17" ht="18.75">
      <c r="B13" s="296">
        <v>8</v>
      </c>
      <c r="C13" s="297" t="s">
        <v>1351</v>
      </c>
      <c r="D13" s="298">
        <f>+EDP!H315</f>
        <v>16445110.500338983</v>
      </c>
      <c r="E13" s="298">
        <f>+EDP!I315</f>
        <v>0</v>
      </c>
      <c r="F13" s="298">
        <f>+EDP!J315</f>
        <v>0</v>
      </c>
      <c r="G13" s="299">
        <f>+EDP!K315</f>
        <v>16445110.500338983</v>
      </c>
      <c r="H13" s="300"/>
      <c r="I13" s="301"/>
      <c r="J13" s="290">
        <f>+EDP!M315</f>
        <v>11222150.662137432</v>
      </c>
      <c r="K13" s="302">
        <f>+EDP!T315</f>
        <v>2016823.5462740117</v>
      </c>
      <c r="L13" s="303">
        <v>0</v>
      </c>
      <c r="M13" s="293">
        <f t="shared" si="1"/>
        <v>13238974.208411444</v>
      </c>
      <c r="N13" s="285">
        <f t="shared" si="0"/>
        <v>3206136.2919275388</v>
      </c>
      <c r="O13" s="286">
        <f t="shared" si="3"/>
        <v>5222959.8382015508</v>
      </c>
      <c r="P13" s="294" t="s">
        <v>24</v>
      </c>
      <c r="Q13" s="294">
        <f t="shared" si="2"/>
        <v>0</v>
      </c>
    </row>
    <row r="14" spans="2:17" ht="19.149999999999999" thickBot="1">
      <c r="B14" s="304">
        <v>3</v>
      </c>
      <c r="C14" s="305" t="s">
        <v>40</v>
      </c>
      <c r="D14" s="306">
        <f>SUM(D6:D13)</f>
        <v>3954138582.201982</v>
      </c>
      <c r="E14" s="306">
        <f t="shared" ref="E14:G14" si="4">SUM(E6:E13)</f>
        <v>0</v>
      </c>
      <c r="F14" s="306">
        <f t="shared" si="4"/>
        <v>13327531</v>
      </c>
      <c r="G14" s="306">
        <f t="shared" si="4"/>
        <v>3940811051.201982</v>
      </c>
      <c r="H14" s="307">
        <f t="shared" ref="H14:I14" si="5">SUM(H7:H13)</f>
        <v>0</v>
      </c>
      <c r="I14" s="307">
        <f t="shared" si="5"/>
        <v>0</v>
      </c>
      <c r="J14" s="306">
        <f t="shared" ref="J14:O14" si="6">SUM(J6:J13)</f>
        <v>1110321319.4868283</v>
      </c>
      <c r="K14" s="306">
        <f t="shared" si="6"/>
        <v>381617246.93929493</v>
      </c>
      <c r="L14" s="306">
        <f t="shared" si="6"/>
        <v>1535840</v>
      </c>
      <c r="M14" s="306">
        <f t="shared" si="6"/>
        <v>1490402726.4261231</v>
      </c>
      <c r="N14" s="306">
        <f>SUM(N6:N13)</f>
        <v>2450408324.7758584</v>
      </c>
      <c r="O14" s="306">
        <f t="shared" si="6"/>
        <v>2843817262.7151537</v>
      </c>
      <c r="Q14" s="294" t="s">
        <v>24</v>
      </c>
    </row>
    <row r="15" spans="2:17" ht="14.65" thickTop="1"/>
    <row r="16" spans="2:17">
      <c r="F16">
        <f>+'construction equipment'!J1840</f>
        <v>13138880</v>
      </c>
    </row>
    <row r="17" spans="6:6">
      <c r="F17" s="294">
        <f>+F14-F16</f>
        <v>188651</v>
      </c>
    </row>
    <row r="18" spans="6:6">
      <c r="F18" s="294" t="s">
        <v>24</v>
      </c>
    </row>
  </sheetData>
  <mergeCells count="15">
    <mergeCell ref="D3:G3"/>
    <mergeCell ref="J3:M3"/>
    <mergeCell ref="N3:O3"/>
    <mergeCell ref="B4:B5"/>
    <mergeCell ref="C4:C5"/>
    <mergeCell ref="D4:D5"/>
    <mergeCell ref="E4:E5"/>
    <mergeCell ref="F4:F5"/>
    <mergeCell ref="G4:G5"/>
    <mergeCell ref="J4:J5"/>
    <mergeCell ref="K4:K5"/>
    <mergeCell ref="L4:L5"/>
    <mergeCell ref="M4:M5"/>
    <mergeCell ref="N4:N5"/>
    <mergeCell ref="O4:O5"/>
  </mergeCells>
  <pageMargins left="0.70866141732283472" right="0.70866141732283472" top="0.74803149606299213" bottom="0.74803149606299213" header="0.31496062992125984" footer="0.31496062992125984"/>
  <pageSetup paperSize="9" scale="5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V11"/>
  <sheetViews>
    <sheetView zoomScaleNormal="100" workbookViewId="0"/>
  </sheetViews>
  <sheetFormatPr defaultColWidth="10" defaultRowHeight="12.75"/>
  <cols>
    <col min="1" max="1" width="10" style="313"/>
    <col min="2" max="2" width="6.86328125" style="313" customWidth="1"/>
    <col min="3" max="3" width="24.1328125" style="313" bestFit="1" customWidth="1"/>
    <col min="4" max="4" width="10.1328125" style="313" bestFit="1" customWidth="1"/>
    <col min="5" max="5" width="15" style="313" customWidth="1"/>
    <col min="6" max="6" width="9.46484375" style="333" bestFit="1" customWidth="1"/>
    <col min="7" max="7" width="9.1328125" style="313" bestFit="1" customWidth="1"/>
    <col min="8" max="8" width="13.6640625" style="313" bestFit="1" customWidth="1"/>
    <col min="9" max="9" width="9.33203125" style="334" bestFit="1" customWidth="1"/>
    <col min="10" max="10" width="15.53125" style="313" customWidth="1"/>
    <col min="11" max="11" width="13.6640625" style="313" bestFit="1" customWidth="1"/>
    <col min="12" max="12" width="11.86328125" style="336" hidden="1" customWidth="1"/>
    <col min="13" max="13" width="10" style="313" hidden="1" customWidth="1"/>
    <col min="14" max="15" width="15.33203125" style="313" hidden="1" customWidth="1"/>
    <col min="16" max="16" width="11.33203125" style="313" hidden="1" customWidth="1"/>
    <col min="17" max="17" width="15.46484375" style="313" customWidth="1"/>
    <col min="18" max="18" width="14.1328125" style="313" customWidth="1"/>
    <col min="19" max="19" width="12.33203125" style="313" customWidth="1"/>
    <col min="20" max="21" width="12.86328125" style="313" customWidth="1"/>
    <col min="22" max="22" width="16.6640625" style="313" bestFit="1" customWidth="1"/>
    <col min="23" max="25" width="10.46484375" style="313" bestFit="1" customWidth="1"/>
    <col min="26" max="26" width="17.1328125" style="313" customWidth="1"/>
    <col min="27" max="27" width="14.86328125" style="313" customWidth="1"/>
    <col min="28" max="28" width="16.86328125" style="313" customWidth="1"/>
    <col min="29" max="29" width="17.33203125" style="313" customWidth="1"/>
    <col min="30" max="31" width="11.33203125" style="313" bestFit="1" customWidth="1"/>
    <col min="32" max="32" width="10.46484375" style="313" bestFit="1" customWidth="1"/>
    <col min="33" max="33" width="10.1328125" style="313" bestFit="1" customWidth="1"/>
    <col min="34" max="16384" width="10" style="313"/>
  </cols>
  <sheetData>
    <row r="1" spans="2:22" ht="15.75">
      <c r="B1" s="308" t="s">
        <v>1338</v>
      </c>
      <c r="C1" s="309"/>
      <c r="D1" s="309"/>
      <c r="E1" s="309"/>
      <c r="F1" s="310"/>
      <c r="G1" s="309"/>
      <c r="H1" s="309"/>
      <c r="I1" s="311"/>
      <c r="J1" s="309"/>
      <c r="K1" s="309"/>
      <c r="L1" s="312"/>
      <c r="M1" s="309"/>
      <c r="N1" s="309"/>
      <c r="O1" s="309"/>
      <c r="P1" s="309"/>
      <c r="Q1" s="309"/>
      <c r="R1" s="309"/>
      <c r="S1" s="309"/>
    </row>
    <row r="2" spans="2:22" ht="15.75">
      <c r="B2" s="314" t="s">
        <v>1345</v>
      </c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</row>
    <row r="3" spans="2:22" ht="16.149999999999999" thickBot="1">
      <c r="B3" s="308" t="s">
        <v>3651</v>
      </c>
      <c r="C3" s="308"/>
      <c r="D3" s="308"/>
      <c r="E3" s="308"/>
      <c r="F3" s="308"/>
      <c r="G3" s="308"/>
      <c r="H3" s="308"/>
      <c r="I3" s="308"/>
      <c r="J3" s="315"/>
      <c r="K3" s="315"/>
      <c r="L3" s="316">
        <v>45016</v>
      </c>
      <c r="M3" s="315"/>
      <c r="N3" s="315"/>
      <c r="O3" s="315"/>
      <c r="P3" s="315"/>
      <c r="Q3" s="315"/>
      <c r="R3" s="315"/>
      <c r="S3" s="315"/>
    </row>
    <row r="4" spans="2:22" ht="14" customHeight="1" thickTop="1">
      <c r="B4" s="1091" t="s">
        <v>1289</v>
      </c>
      <c r="C4" s="1094" t="s">
        <v>1290</v>
      </c>
      <c r="D4" s="1097" t="s">
        <v>1352</v>
      </c>
      <c r="E4" s="1094" t="s">
        <v>3652</v>
      </c>
      <c r="F4" s="1100" t="s">
        <v>1353</v>
      </c>
      <c r="G4" s="1101"/>
      <c r="H4" s="1094" t="s">
        <v>3653</v>
      </c>
      <c r="I4" s="1094" t="s">
        <v>1354</v>
      </c>
      <c r="J4" s="1094" t="s">
        <v>3659</v>
      </c>
      <c r="K4" s="1103" t="s">
        <v>3654</v>
      </c>
      <c r="L4" s="1088" t="s">
        <v>1355</v>
      </c>
      <c r="M4" s="1079" t="s">
        <v>1356</v>
      </c>
      <c r="N4" s="1079" t="s">
        <v>1357</v>
      </c>
      <c r="O4" s="1079" t="s">
        <v>1358</v>
      </c>
      <c r="P4" s="1081" t="s">
        <v>1359</v>
      </c>
      <c r="Q4" s="1084" t="s">
        <v>3655</v>
      </c>
      <c r="R4" s="1079" t="s">
        <v>3656</v>
      </c>
      <c r="S4" s="1086" t="s">
        <v>1360</v>
      </c>
    </row>
    <row r="5" spans="2:22" ht="13.25" customHeight="1">
      <c r="B5" s="1092"/>
      <c r="C5" s="1095"/>
      <c r="D5" s="1098"/>
      <c r="E5" s="1095"/>
      <c r="F5" s="1102" t="s">
        <v>891</v>
      </c>
      <c r="G5" s="1102" t="s">
        <v>892</v>
      </c>
      <c r="H5" s="1095"/>
      <c r="I5" s="1095"/>
      <c r="J5" s="1095"/>
      <c r="K5" s="1104"/>
      <c r="L5" s="1089"/>
      <c r="M5" s="1080"/>
      <c r="N5" s="1080"/>
      <c r="O5" s="1080"/>
      <c r="P5" s="1082"/>
      <c r="Q5" s="1085"/>
      <c r="R5" s="1080"/>
      <c r="S5" s="1087"/>
    </row>
    <row r="6" spans="2:22" ht="13.25" customHeight="1">
      <c r="B6" s="1092"/>
      <c r="C6" s="1095"/>
      <c r="D6" s="1098"/>
      <c r="E6" s="1095"/>
      <c r="F6" s="1098"/>
      <c r="G6" s="1098"/>
      <c r="H6" s="1095"/>
      <c r="I6" s="1095"/>
      <c r="J6" s="1095"/>
      <c r="K6" s="1104"/>
      <c r="L6" s="1089"/>
      <c r="M6" s="1080"/>
      <c r="N6" s="1080"/>
      <c r="O6" s="1080"/>
      <c r="P6" s="1082"/>
      <c r="Q6" s="1085"/>
      <c r="R6" s="1080"/>
      <c r="S6" s="1087"/>
    </row>
    <row r="7" spans="2:22" ht="13.25" customHeight="1">
      <c r="B7" s="1093"/>
      <c r="C7" s="1096"/>
      <c r="D7" s="1099"/>
      <c r="E7" s="1096"/>
      <c r="F7" s="1099"/>
      <c r="G7" s="1099"/>
      <c r="H7" s="1096"/>
      <c r="I7" s="1096"/>
      <c r="J7" s="1096"/>
      <c r="K7" s="1104"/>
      <c r="L7" s="1090"/>
      <c r="M7" s="1080"/>
      <c r="N7" s="1080"/>
      <c r="O7" s="1080"/>
      <c r="P7" s="1083"/>
      <c r="Q7" s="1085"/>
      <c r="R7" s="1080"/>
      <c r="S7" s="1087"/>
    </row>
    <row r="8" spans="2:22" ht="15.75">
      <c r="B8" s="317">
        <v>1</v>
      </c>
      <c r="C8" s="318" t="s">
        <v>1361</v>
      </c>
      <c r="D8" s="317"/>
      <c r="E8" s="319">
        <f>42130750+17717395</f>
        <v>59848145</v>
      </c>
      <c r="F8" s="320"/>
      <c r="G8" s="319"/>
      <c r="H8" s="321">
        <f>+E8+F8-G8</f>
        <v>59848145</v>
      </c>
      <c r="I8" s="322">
        <v>0</v>
      </c>
      <c r="J8" s="319">
        <v>0</v>
      </c>
      <c r="K8" s="319">
        <f>+H8</f>
        <v>59848145</v>
      </c>
      <c r="L8" s="321">
        <v>45017</v>
      </c>
      <c r="M8" s="323">
        <v>3</v>
      </c>
      <c r="N8" s="319">
        <v>123.33424657534246</v>
      </c>
      <c r="O8" s="319">
        <v>-120.33424657534246</v>
      </c>
      <c r="P8" s="324">
        <v>0.31666666666666665</v>
      </c>
      <c r="Q8" s="319">
        <v>0</v>
      </c>
      <c r="R8" s="319">
        <f>+K8</f>
        <v>59848145</v>
      </c>
      <c r="S8" s="319">
        <v>0</v>
      </c>
      <c r="T8" s="325"/>
      <c r="V8" s="326"/>
    </row>
    <row r="9" spans="2:22" ht="15.75">
      <c r="B9" s="731"/>
      <c r="C9" s="740"/>
      <c r="D9" s="731"/>
      <c r="E9" s="732"/>
      <c r="F9" s="733"/>
      <c r="G9" s="732"/>
      <c r="H9" s="734"/>
      <c r="I9" s="741"/>
      <c r="J9" s="732"/>
      <c r="K9" s="732"/>
      <c r="L9" s="735"/>
      <c r="M9" s="736"/>
      <c r="N9" s="737"/>
      <c r="O9" s="737"/>
      <c r="P9" s="738"/>
      <c r="Q9" s="732"/>
      <c r="R9" s="732"/>
      <c r="S9" s="732"/>
      <c r="T9" s="325"/>
      <c r="V9" s="326"/>
    </row>
    <row r="10" spans="2:22" ht="16.149999999999999" thickBot="1">
      <c r="B10" s="327"/>
      <c r="C10" s="328"/>
      <c r="D10" s="328"/>
      <c r="E10" s="329">
        <f>SUM(E8:E8)</f>
        <v>59848145</v>
      </c>
      <c r="F10" s="329">
        <f>SUM(F8:F8)</f>
        <v>0</v>
      </c>
      <c r="G10" s="329">
        <f>SUM(G8:G8)</f>
        <v>0</v>
      </c>
      <c r="H10" s="329">
        <f>SUM(H8:H8)</f>
        <v>59848145</v>
      </c>
      <c r="I10" s="330"/>
      <c r="J10" s="329">
        <f>SUM(J8:J8)</f>
        <v>0</v>
      </c>
      <c r="K10" s="329">
        <f>SUM(K8:K8)</f>
        <v>59848145</v>
      </c>
      <c r="L10" s="331"/>
      <c r="M10" s="332"/>
      <c r="N10" s="332"/>
      <c r="O10" s="332"/>
      <c r="P10" s="332"/>
      <c r="Q10" s="329">
        <f>SUM(Q8:Q8)</f>
        <v>0</v>
      </c>
      <c r="R10" s="329">
        <f>SUM(R8:R8)</f>
        <v>59848145</v>
      </c>
      <c r="S10" s="329">
        <f>SUM(S8:S8)</f>
        <v>0</v>
      </c>
    </row>
    <row r="11" spans="2:22" ht="13.15" thickTop="1">
      <c r="J11" s="335" t="s">
        <v>24</v>
      </c>
    </row>
  </sheetData>
  <mergeCells count="19">
    <mergeCell ref="L4:L7"/>
    <mergeCell ref="M4:M7"/>
    <mergeCell ref="N4:N7"/>
    <mergeCell ref="B4:B7"/>
    <mergeCell ref="C4:C7"/>
    <mergeCell ref="D4:D7"/>
    <mergeCell ref="E4:E7"/>
    <mergeCell ref="F4:G4"/>
    <mergeCell ref="H4:H7"/>
    <mergeCell ref="F5:F7"/>
    <mergeCell ref="G5:G7"/>
    <mergeCell ref="I4:I7"/>
    <mergeCell ref="J4:J7"/>
    <mergeCell ref="K4:K7"/>
    <mergeCell ref="O4:O7"/>
    <mergeCell ref="P4:P7"/>
    <mergeCell ref="Q4:Q7"/>
    <mergeCell ref="R4:R7"/>
    <mergeCell ref="S4:S7"/>
  </mergeCells>
  <pageMargins left="0.7" right="0.7" top="0.75" bottom="0.75" header="0.3" footer="0.3"/>
  <pageSetup scale="74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T227"/>
  <sheetViews>
    <sheetView topLeftCell="B218" zoomScaleNormal="100" workbookViewId="0">
      <selection activeCell="E226" sqref="E226"/>
    </sheetView>
  </sheetViews>
  <sheetFormatPr defaultColWidth="10" defaultRowHeight="12.75"/>
  <cols>
    <col min="1" max="1" width="10" style="313"/>
    <col min="2" max="2" width="6.86328125" style="313" customWidth="1"/>
    <col min="3" max="3" width="24.1328125" style="313" bestFit="1" customWidth="1"/>
    <col min="4" max="4" width="10.1328125" style="313" bestFit="1" customWidth="1"/>
    <col min="5" max="5" width="15" style="313" customWidth="1"/>
    <col min="6" max="6" width="10.53125" style="333" customWidth="1"/>
    <col min="7" max="7" width="10.86328125" style="313" bestFit="1" customWidth="1"/>
    <col min="8" max="8" width="14" style="313" bestFit="1" customWidth="1"/>
    <col min="9" max="9" width="11.46484375" style="334" bestFit="1" customWidth="1"/>
    <col min="10" max="10" width="15.53125" style="313" customWidth="1"/>
    <col min="11" max="11" width="13.6640625" style="313" customWidth="1"/>
    <col min="12" max="12" width="11.33203125" style="336" hidden="1" customWidth="1"/>
    <col min="13" max="13" width="4.86328125" style="313" hidden="1" customWidth="1"/>
    <col min="14" max="14" width="12.33203125" style="313" hidden="1" customWidth="1"/>
    <col min="15" max="15" width="14.46484375" style="313" hidden="1" customWidth="1"/>
    <col min="16" max="16" width="10.53125" style="313" hidden="1" customWidth="1"/>
    <col min="17" max="17" width="13.86328125" style="313" bestFit="1" customWidth="1"/>
    <col min="18" max="18" width="14.1328125" style="313" customWidth="1"/>
    <col min="19" max="19" width="12.33203125" style="313" customWidth="1"/>
    <col min="20" max="20" width="16.6640625" style="313" bestFit="1" customWidth="1"/>
    <col min="21" max="23" width="10.46484375" style="313" bestFit="1" customWidth="1"/>
    <col min="24" max="24" width="17.1328125" style="313" customWidth="1"/>
    <col min="25" max="25" width="14.86328125" style="313" customWidth="1"/>
    <col min="26" max="26" width="16.86328125" style="313" customWidth="1"/>
    <col min="27" max="27" width="17.33203125" style="313" customWidth="1"/>
    <col min="28" max="29" width="11.33203125" style="313" bestFit="1" customWidth="1"/>
    <col min="30" max="30" width="10.46484375" style="313" bestFit="1" customWidth="1"/>
    <col min="31" max="31" width="10.1328125" style="313" bestFit="1" customWidth="1"/>
    <col min="32" max="16384" width="10" style="313"/>
  </cols>
  <sheetData>
    <row r="1" spans="2:20" ht="15.75">
      <c r="B1" s="308" t="s">
        <v>1338</v>
      </c>
      <c r="C1" s="309"/>
      <c r="D1" s="309"/>
      <c r="E1" s="309"/>
      <c r="F1" s="310"/>
      <c r="G1" s="309"/>
      <c r="H1" s="309"/>
      <c r="I1" s="311"/>
      <c r="J1" s="309"/>
      <c r="K1" s="309"/>
      <c r="L1" s="312"/>
      <c r="M1" s="309"/>
      <c r="N1" s="309"/>
      <c r="O1" s="309"/>
      <c r="P1" s="309"/>
      <c r="Q1" s="309"/>
      <c r="R1" s="309"/>
      <c r="S1" s="309"/>
    </row>
    <row r="2" spans="2:20" ht="15.75">
      <c r="B2" s="314" t="s">
        <v>1345</v>
      </c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</row>
    <row r="3" spans="2:20" ht="16.149999999999999" thickBot="1">
      <c r="B3" s="308" t="s">
        <v>3651</v>
      </c>
      <c r="C3" s="308"/>
      <c r="D3" s="308"/>
      <c r="E3" s="308"/>
      <c r="F3" s="308"/>
      <c r="G3" s="308"/>
      <c r="H3" s="308"/>
      <c r="I3" s="308"/>
      <c r="J3" s="315"/>
      <c r="K3" s="315"/>
      <c r="L3" s="316">
        <v>45382</v>
      </c>
      <c r="M3" s="315"/>
      <c r="N3" s="315"/>
      <c r="O3" s="315"/>
      <c r="P3" s="315"/>
      <c r="Q3" s="315"/>
      <c r="R3" s="315"/>
      <c r="S3" s="315"/>
    </row>
    <row r="4" spans="2:20" ht="14" customHeight="1" thickTop="1">
      <c r="B4" s="1091" t="s">
        <v>1289</v>
      </c>
      <c r="C4" s="1094" t="s">
        <v>1290</v>
      </c>
      <c r="D4" s="1097" t="s">
        <v>1352</v>
      </c>
      <c r="E4" s="1094" t="s">
        <v>3652</v>
      </c>
      <c r="F4" s="1100" t="s">
        <v>1353</v>
      </c>
      <c r="G4" s="1101"/>
      <c r="H4" s="1094" t="s">
        <v>3653</v>
      </c>
      <c r="I4" s="1094" t="s">
        <v>1354</v>
      </c>
      <c r="J4" s="1094" t="s">
        <v>2422</v>
      </c>
      <c r="K4" s="1103" t="s">
        <v>3654</v>
      </c>
      <c r="L4" s="1088" t="s">
        <v>1355</v>
      </c>
      <c r="M4" s="1079" t="s">
        <v>1356</v>
      </c>
      <c r="N4" s="1079" t="s">
        <v>1357</v>
      </c>
      <c r="O4" s="1079" t="s">
        <v>1358</v>
      </c>
      <c r="P4" s="1081" t="s">
        <v>1359</v>
      </c>
      <c r="Q4" s="1084" t="s">
        <v>3655</v>
      </c>
      <c r="R4" s="1079" t="s">
        <v>3656</v>
      </c>
      <c r="S4" s="1086" t="s">
        <v>1360</v>
      </c>
    </row>
    <row r="5" spans="2:20" ht="13.25" customHeight="1">
      <c r="B5" s="1092"/>
      <c r="C5" s="1095"/>
      <c r="D5" s="1098"/>
      <c r="E5" s="1095"/>
      <c r="F5" s="1102" t="s">
        <v>891</v>
      </c>
      <c r="G5" s="1102" t="s">
        <v>892</v>
      </c>
      <c r="H5" s="1095"/>
      <c r="I5" s="1095"/>
      <c r="J5" s="1095"/>
      <c r="K5" s="1104"/>
      <c r="L5" s="1089"/>
      <c r="M5" s="1080"/>
      <c r="N5" s="1080"/>
      <c r="O5" s="1080"/>
      <c r="P5" s="1082"/>
      <c r="Q5" s="1085"/>
      <c r="R5" s="1080"/>
      <c r="S5" s="1087"/>
    </row>
    <row r="6" spans="2:20" ht="13.25" customHeight="1">
      <c r="B6" s="1092"/>
      <c r="C6" s="1095"/>
      <c r="D6" s="1098"/>
      <c r="E6" s="1095"/>
      <c r="F6" s="1098"/>
      <c r="G6" s="1098"/>
      <c r="H6" s="1095"/>
      <c r="I6" s="1095"/>
      <c r="J6" s="1095"/>
      <c r="K6" s="1104"/>
      <c r="L6" s="1089"/>
      <c r="M6" s="1080"/>
      <c r="N6" s="1080"/>
      <c r="O6" s="1080"/>
      <c r="P6" s="1082"/>
      <c r="Q6" s="1085"/>
      <c r="R6" s="1080"/>
      <c r="S6" s="1087"/>
    </row>
    <row r="7" spans="2:20" ht="13.25" customHeight="1">
      <c r="B7" s="1093"/>
      <c r="C7" s="1096"/>
      <c r="D7" s="1099"/>
      <c r="E7" s="1096"/>
      <c r="F7" s="1099"/>
      <c r="G7" s="1099"/>
      <c r="H7" s="1096"/>
      <c r="I7" s="1096"/>
      <c r="J7" s="1096"/>
      <c r="K7" s="1104"/>
      <c r="L7" s="1090"/>
      <c r="M7" s="1080"/>
      <c r="N7" s="1080"/>
      <c r="O7" s="1080"/>
      <c r="P7" s="1083"/>
      <c r="Q7" s="1085"/>
      <c r="R7" s="1080"/>
      <c r="S7" s="1087"/>
    </row>
    <row r="8" spans="2:20" ht="15.75">
      <c r="B8" s="317">
        <v>1</v>
      </c>
      <c r="C8" s="318" t="s">
        <v>1285</v>
      </c>
      <c r="D8" s="317"/>
      <c r="E8" s="319">
        <v>4956508</v>
      </c>
      <c r="F8" s="320"/>
      <c r="G8" s="319"/>
      <c r="H8" s="321">
        <f>+E8+F8-G8</f>
        <v>4956508</v>
      </c>
      <c r="I8" s="729">
        <v>41005</v>
      </c>
      <c r="J8" s="728">
        <v>4931887.94666667</v>
      </c>
      <c r="K8" s="319">
        <f t="shared" ref="K8:K71" si="0">+E8-J8</f>
        <v>24620.053333329968</v>
      </c>
      <c r="L8" s="321">
        <f t="shared" ref="L8:L16" si="1">+$L$3-I8+1</f>
        <v>4378</v>
      </c>
      <c r="M8" s="323">
        <v>3</v>
      </c>
      <c r="N8" s="319">
        <f>+L8/365</f>
        <v>11.994520547945205</v>
      </c>
      <c r="O8" s="319">
        <f>+M8-N8</f>
        <v>-8.9945205479452053</v>
      </c>
      <c r="P8" s="739">
        <f>1/M8*0.95</f>
        <v>0.31666666666666665</v>
      </c>
      <c r="Q8" s="319">
        <v>0</v>
      </c>
      <c r="R8" s="319">
        <f>+K8-Q8</f>
        <v>24620.053333329968</v>
      </c>
      <c r="S8" s="319">
        <f>ROUND(+E8*0.5%,0)</f>
        <v>24783</v>
      </c>
      <c r="T8" s="326"/>
    </row>
    <row r="9" spans="2:20" ht="14.45" customHeight="1">
      <c r="B9" s="317">
        <f>+B8+1</f>
        <v>2</v>
      </c>
      <c r="C9" s="318" t="s">
        <v>1362</v>
      </c>
      <c r="D9" s="317"/>
      <c r="E9" s="319">
        <v>5429242</v>
      </c>
      <c r="F9" s="320"/>
      <c r="G9" s="319"/>
      <c r="H9" s="321">
        <f t="shared" ref="H9:H72" si="2">+E9+F9-G9</f>
        <v>5429242</v>
      </c>
      <c r="I9" s="730">
        <v>42094</v>
      </c>
      <c r="J9" s="728">
        <v>5402095.8566666665</v>
      </c>
      <c r="K9" s="319">
        <f t="shared" si="0"/>
        <v>27146.143333333544</v>
      </c>
      <c r="L9" s="321">
        <f t="shared" si="1"/>
        <v>3289</v>
      </c>
      <c r="M9" s="323">
        <v>3</v>
      </c>
      <c r="N9" s="319">
        <f t="shared" ref="N9:N16" si="3">+L9/365</f>
        <v>9.0109589041095894</v>
      </c>
      <c r="O9" s="319">
        <f t="shared" ref="O9:O72" si="4">+M9-N9</f>
        <v>-6.0109589041095894</v>
      </c>
      <c r="P9" s="739">
        <f>1/M9*0.95</f>
        <v>0.31666666666666665</v>
      </c>
      <c r="Q9" s="319">
        <v>0</v>
      </c>
      <c r="R9" s="319">
        <f t="shared" ref="R9:R16" si="5">+K9-Q9</f>
        <v>27146.143333333544</v>
      </c>
      <c r="S9" s="319">
        <f t="shared" ref="S9:S72" si="6">ROUND(+E9*0.5%,0)</f>
        <v>27146</v>
      </c>
      <c r="T9" s="326"/>
    </row>
    <row r="10" spans="2:20" ht="15.75">
      <c r="B10" s="317">
        <f t="shared" ref="B10:B73" si="7">+B9+1</f>
        <v>3</v>
      </c>
      <c r="C10" s="318" t="s">
        <v>1362</v>
      </c>
      <c r="D10" s="317"/>
      <c r="E10" s="319">
        <v>69500</v>
      </c>
      <c r="F10" s="320"/>
      <c r="G10" s="319"/>
      <c r="H10" s="321">
        <f t="shared" si="2"/>
        <v>69500</v>
      </c>
      <c r="I10" s="730">
        <v>42275</v>
      </c>
      <c r="J10" s="728">
        <v>69152.833333333328</v>
      </c>
      <c r="K10" s="319">
        <f t="shared" si="0"/>
        <v>347.16666666667152</v>
      </c>
      <c r="L10" s="321">
        <f t="shared" si="1"/>
        <v>3108</v>
      </c>
      <c r="M10" s="323">
        <v>3</v>
      </c>
      <c r="N10" s="319">
        <f t="shared" si="3"/>
        <v>8.5150684931506841</v>
      </c>
      <c r="O10" s="319">
        <f t="shared" si="4"/>
        <v>-5.5150684931506841</v>
      </c>
      <c r="P10" s="739">
        <f t="shared" ref="P10:P73" si="8">1/M10*0.95</f>
        <v>0.31666666666666665</v>
      </c>
      <c r="Q10" s="319">
        <v>0</v>
      </c>
      <c r="R10" s="319">
        <f t="shared" si="5"/>
        <v>347.16666666667152</v>
      </c>
      <c r="S10" s="319">
        <f t="shared" si="6"/>
        <v>348</v>
      </c>
      <c r="T10" s="326"/>
    </row>
    <row r="11" spans="2:20" ht="15.75">
      <c r="B11" s="317">
        <f t="shared" si="7"/>
        <v>4</v>
      </c>
      <c r="C11" s="318" t="s">
        <v>1362</v>
      </c>
      <c r="D11" s="317"/>
      <c r="E11" s="319">
        <v>9233343</v>
      </c>
      <c r="F11" s="320"/>
      <c r="G11" s="319"/>
      <c r="H11" s="321">
        <f t="shared" si="2"/>
        <v>9233343</v>
      </c>
      <c r="I11" s="730">
        <v>42460</v>
      </c>
      <c r="J11" s="728">
        <v>9187176.3849999998</v>
      </c>
      <c r="K11" s="319">
        <f t="shared" si="0"/>
        <v>46166.615000000224</v>
      </c>
      <c r="L11" s="321">
        <f t="shared" si="1"/>
        <v>2923</v>
      </c>
      <c r="M11" s="323">
        <v>3</v>
      </c>
      <c r="N11" s="319">
        <f t="shared" si="3"/>
        <v>8.0082191780821912</v>
      </c>
      <c r="O11" s="319">
        <f t="shared" si="4"/>
        <v>-5.0082191780821912</v>
      </c>
      <c r="P11" s="739">
        <f t="shared" si="8"/>
        <v>0.31666666666666665</v>
      </c>
      <c r="Q11" s="319">
        <v>0</v>
      </c>
      <c r="R11" s="319">
        <f t="shared" si="5"/>
        <v>46166.615000000224</v>
      </c>
      <c r="S11" s="319">
        <f t="shared" si="6"/>
        <v>46167</v>
      </c>
      <c r="T11" s="326"/>
    </row>
    <row r="12" spans="2:20" ht="15.75">
      <c r="B12" s="317">
        <f t="shared" si="7"/>
        <v>5</v>
      </c>
      <c r="C12" s="317" t="s">
        <v>1363</v>
      </c>
      <c r="D12" s="317"/>
      <c r="E12" s="319">
        <v>249912</v>
      </c>
      <c r="F12" s="320"/>
      <c r="G12" s="319"/>
      <c r="H12" s="321">
        <f t="shared" si="2"/>
        <v>249912</v>
      </c>
      <c r="I12" s="730">
        <v>42825</v>
      </c>
      <c r="J12" s="728">
        <v>248661.84</v>
      </c>
      <c r="K12" s="319">
        <f t="shared" si="0"/>
        <v>1250.1600000000035</v>
      </c>
      <c r="L12" s="321">
        <f t="shared" si="1"/>
        <v>2558</v>
      </c>
      <c r="M12" s="323">
        <v>3</v>
      </c>
      <c r="N12" s="319">
        <f t="shared" si="3"/>
        <v>7.0082191780821921</v>
      </c>
      <c r="O12" s="319">
        <f t="shared" si="4"/>
        <v>-4.0082191780821921</v>
      </c>
      <c r="P12" s="739">
        <f t="shared" si="8"/>
        <v>0.31666666666666665</v>
      </c>
      <c r="Q12" s="319">
        <v>0</v>
      </c>
      <c r="R12" s="319">
        <f t="shared" si="5"/>
        <v>1250.1600000000035</v>
      </c>
      <c r="S12" s="319">
        <f t="shared" si="6"/>
        <v>1250</v>
      </c>
      <c r="T12" s="326"/>
    </row>
    <row r="13" spans="2:20" ht="15.75">
      <c r="B13" s="317">
        <f t="shared" si="7"/>
        <v>6</v>
      </c>
      <c r="C13" s="337" t="s">
        <v>819</v>
      </c>
      <c r="D13" s="317"/>
      <c r="E13" s="319">
        <v>1511059</v>
      </c>
      <c r="F13" s="320"/>
      <c r="G13" s="319"/>
      <c r="H13" s="321">
        <f t="shared" si="2"/>
        <v>1511059</v>
      </c>
      <c r="I13" s="730">
        <v>42825</v>
      </c>
      <c r="J13" s="728">
        <v>1503503.6716666666</v>
      </c>
      <c r="K13" s="319">
        <f t="shared" si="0"/>
        <v>7555.3283333333675</v>
      </c>
      <c r="L13" s="321">
        <f t="shared" si="1"/>
        <v>2558</v>
      </c>
      <c r="M13" s="323">
        <v>3</v>
      </c>
      <c r="N13" s="319">
        <f t="shared" si="3"/>
        <v>7.0082191780821921</v>
      </c>
      <c r="O13" s="319">
        <f t="shared" si="4"/>
        <v>-4.0082191780821921</v>
      </c>
      <c r="P13" s="739">
        <f t="shared" si="8"/>
        <v>0.31666666666666665</v>
      </c>
      <c r="Q13" s="319">
        <v>0</v>
      </c>
      <c r="R13" s="319">
        <f t="shared" si="5"/>
        <v>7555.3283333333675</v>
      </c>
      <c r="S13" s="319">
        <f t="shared" si="6"/>
        <v>7555</v>
      </c>
      <c r="T13" s="326"/>
    </row>
    <row r="14" spans="2:20" ht="15.75">
      <c r="B14" s="317">
        <f t="shared" si="7"/>
        <v>7</v>
      </c>
      <c r="C14" s="317" t="s">
        <v>1364</v>
      </c>
      <c r="D14" s="317"/>
      <c r="E14" s="319">
        <v>1401560</v>
      </c>
      <c r="F14" s="320"/>
      <c r="G14" s="319"/>
      <c r="H14" s="321">
        <f t="shared" si="2"/>
        <v>1401560</v>
      </c>
      <c r="I14" s="730">
        <v>42825</v>
      </c>
      <c r="J14" s="728">
        <v>1394552.5333333332</v>
      </c>
      <c r="K14" s="319">
        <f t="shared" si="0"/>
        <v>7007.4666666667908</v>
      </c>
      <c r="L14" s="321">
        <f t="shared" si="1"/>
        <v>2558</v>
      </c>
      <c r="M14" s="323">
        <v>3</v>
      </c>
      <c r="N14" s="319">
        <f t="shared" si="3"/>
        <v>7.0082191780821921</v>
      </c>
      <c r="O14" s="319">
        <f t="shared" si="4"/>
        <v>-4.0082191780821921</v>
      </c>
      <c r="P14" s="739">
        <f t="shared" si="8"/>
        <v>0.31666666666666665</v>
      </c>
      <c r="Q14" s="319">
        <v>0</v>
      </c>
      <c r="R14" s="319">
        <f t="shared" si="5"/>
        <v>7007.4666666667908</v>
      </c>
      <c r="S14" s="319">
        <f t="shared" si="6"/>
        <v>7008</v>
      </c>
      <c r="T14" s="326"/>
    </row>
    <row r="15" spans="2:20" ht="15.75">
      <c r="B15" s="317">
        <f t="shared" si="7"/>
        <v>8</v>
      </c>
      <c r="C15" s="317" t="s">
        <v>1365</v>
      </c>
      <c r="D15" s="317"/>
      <c r="E15" s="319">
        <v>1124224</v>
      </c>
      <c r="F15" s="320"/>
      <c r="G15" s="319"/>
      <c r="H15" s="321">
        <f t="shared" si="2"/>
        <v>1124224</v>
      </c>
      <c r="I15" s="730">
        <v>42825</v>
      </c>
      <c r="J15" s="728">
        <v>1118603.3466666667</v>
      </c>
      <c r="K15" s="319">
        <f t="shared" si="0"/>
        <v>5620.6533333333209</v>
      </c>
      <c r="L15" s="321">
        <f t="shared" si="1"/>
        <v>2558</v>
      </c>
      <c r="M15" s="323">
        <v>3</v>
      </c>
      <c r="N15" s="319">
        <f t="shared" si="3"/>
        <v>7.0082191780821921</v>
      </c>
      <c r="O15" s="319">
        <f t="shared" si="4"/>
        <v>-4.0082191780821921</v>
      </c>
      <c r="P15" s="739">
        <f t="shared" si="8"/>
        <v>0.31666666666666665</v>
      </c>
      <c r="Q15" s="319">
        <v>0</v>
      </c>
      <c r="R15" s="319">
        <f t="shared" si="5"/>
        <v>5620.6533333333209</v>
      </c>
      <c r="S15" s="319">
        <f t="shared" si="6"/>
        <v>5621</v>
      </c>
      <c r="T15" s="326"/>
    </row>
    <row r="16" spans="2:20" ht="15.75">
      <c r="B16" s="317">
        <f t="shared" si="7"/>
        <v>9</v>
      </c>
      <c r="C16" s="317" t="s">
        <v>1363</v>
      </c>
      <c r="D16" s="317"/>
      <c r="E16" s="319">
        <v>2658297</v>
      </c>
      <c r="F16" s="320"/>
      <c r="G16" s="319"/>
      <c r="H16" s="321">
        <f t="shared" si="2"/>
        <v>2658297</v>
      </c>
      <c r="I16" s="730">
        <v>42825</v>
      </c>
      <c r="J16" s="728">
        <v>2645005.415</v>
      </c>
      <c r="K16" s="319">
        <f t="shared" si="0"/>
        <v>13291.584999999963</v>
      </c>
      <c r="L16" s="321">
        <f t="shared" si="1"/>
        <v>2558</v>
      </c>
      <c r="M16" s="323">
        <v>3</v>
      </c>
      <c r="N16" s="319">
        <f t="shared" si="3"/>
        <v>7.0082191780821921</v>
      </c>
      <c r="O16" s="319">
        <f t="shared" si="4"/>
        <v>-4.0082191780821921</v>
      </c>
      <c r="P16" s="739">
        <f t="shared" si="8"/>
        <v>0.31666666666666665</v>
      </c>
      <c r="Q16" s="319">
        <v>0</v>
      </c>
      <c r="R16" s="319">
        <f t="shared" si="5"/>
        <v>13291.584999999963</v>
      </c>
      <c r="S16" s="319">
        <f t="shared" si="6"/>
        <v>13291</v>
      </c>
      <c r="T16" s="326"/>
    </row>
    <row r="17" spans="2:20" ht="15.75">
      <c r="B17" s="317">
        <f t="shared" si="7"/>
        <v>10</v>
      </c>
      <c r="C17" s="317" t="s">
        <v>1363</v>
      </c>
      <c r="D17" s="317"/>
      <c r="E17" s="319">
        <f>+[84]addition19!M267</f>
        <v>9879797.9000000004</v>
      </c>
      <c r="F17" s="320"/>
      <c r="G17" s="319"/>
      <c r="H17" s="321">
        <f t="shared" si="2"/>
        <v>9879797.9000000004</v>
      </c>
      <c r="I17" s="730">
        <v>43555</v>
      </c>
      <c r="J17" s="728">
        <v>9830398.8848767113</v>
      </c>
      <c r="K17" s="319">
        <f t="shared" si="0"/>
        <v>49399.015123289078</v>
      </c>
      <c r="L17" s="321">
        <f>+$L$3-I17+1</f>
        <v>1828</v>
      </c>
      <c r="M17" s="323">
        <v>2</v>
      </c>
      <c r="N17" s="319">
        <f>+L17/365</f>
        <v>5.0082191780821921</v>
      </c>
      <c r="O17" s="319">
        <f t="shared" si="4"/>
        <v>-3.0082191780821921</v>
      </c>
      <c r="P17" s="739">
        <f t="shared" si="8"/>
        <v>0.47499999999999998</v>
      </c>
      <c r="Q17" s="319">
        <v>0</v>
      </c>
      <c r="R17" s="319">
        <f>+K17-Q17</f>
        <v>49399.015123289078</v>
      </c>
      <c r="S17" s="319">
        <f t="shared" si="6"/>
        <v>49399</v>
      </c>
      <c r="T17" s="326"/>
    </row>
    <row r="18" spans="2:20" ht="15.75">
      <c r="B18" s="317">
        <f t="shared" si="7"/>
        <v>11</v>
      </c>
      <c r="C18" s="317" t="str">
        <f>+'[84]Add21-22 (2)'!B196</f>
        <v>Laterite Stone/Bricks</v>
      </c>
      <c r="D18" s="317" t="str">
        <f>+'[84]Add21-22 (2)'!C196</f>
        <v>Brahmani Bridge</v>
      </c>
      <c r="E18" s="319">
        <f>+'[84]Add21-22 (2)'!M196</f>
        <v>325000</v>
      </c>
      <c r="F18" s="320"/>
      <c r="G18" s="319"/>
      <c r="H18" s="321">
        <f t="shared" si="2"/>
        <v>325000</v>
      </c>
      <c r="I18" s="730">
        <f>+'[84]Add21-22 (2)'!H196</f>
        <v>44647</v>
      </c>
      <c r="J18" s="728">
        <v>163379.28082191781</v>
      </c>
      <c r="K18" s="319">
        <f t="shared" si="0"/>
        <v>161620.71917808219</v>
      </c>
      <c r="L18" s="321">
        <f t="shared" ref="L18:L81" si="9">+$L$3-I18+1</f>
        <v>736</v>
      </c>
      <c r="M18" s="323">
        <v>2</v>
      </c>
      <c r="N18" s="319">
        <f t="shared" ref="N18:N81" si="10">+L18/365</f>
        <v>2.0164383561643837</v>
      </c>
      <c r="O18" s="319">
        <f t="shared" si="4"/>
        <v>-1.6438356164383716E-2</v>
      </c>
      <c r="P18" s="739">
        <f t="shared" si="8"/>
        <v>0.47499999999999998</v>
      </c>
      <c r="Q18" s="319">
        <v>159996</v>
      </c>
      <c r="R18" s="319">
        <f>+K18-Q18</f>
        <v>1624.7191780821886</v>
      </c>
      <c r="S18" s="319">
        <f t="shared" si="6"/>
        <v>1625</v>
      </c>
      <c r="T18" s="326"/>
    </row>
    <row r="19" spans="2:20" ht="15.75">
      <c r="B19" s="317">
        <f t="shared" si="7"/>
        <v>12</v>
      </c>
      <c r="C19" s="317" t="str">
        <f>+'[84]Add21-22 (2)'!B197</f>
        <v>Aerocon Panels</v>
      </c>
      <c r="D19" s="317" t="str">
        <f>+'[84]Add21-22 (2)'!C197</f>
        <v>Brahmani Bridge</v>
      </c>
      <c r="E19" s="319">
        <f>+'[84]Add21-22 (2)'!M197</f>
        <v>208214.49</v>
      </c>
      <c r="F19" s="320"/>
      <c r="G19" s="319"/>
      <c r="H19" s="321">
        <f t="shared" si="2"/>
        <v>208214.49</v>
      </c>
      <c r="I19" s="730">
        <f>+'[84]Add21-22 (2)'!H197</f>
        <v>44647</v>
      </c>
      <c r="J19" s="728">
        <v>104670.56502431506</v>
      </c>
      <c r="K19" s="319">
        <f t="shared" si="0"/>
        <v>103543.92497568493</v>
      </c>
      <c r="L19" s="321">
        <f t="shared" si="9"/>
        <v>736</v>
      </c>
      <c r="M19" s="323">
        <v>2</v>
      </c>
      <c r="N19" s="319">
        <f t="shared" si="10"/>
        <v>2.0164383561643837</v>
      </c>
      <c r="O19" s="319">
        <f t="shared" si="4"/>
        <v>-1.6438356164383716E-2</v>
      </c>
      <c r="P19" s="739">
        <f t="shared" si="8"/>
        <v>0.47499999999999998</v>
      </c>
      <c r="Q19" s="319">
        <v>102503</v>
      </c>
      <c r="R19" s="319">
        <f t="shared" ref="R19:R82" si="11">+K19-Q19</f>
        <v>1040.9249756849313</v>
      </c>
      <c r="S19" s="319">
        <f t="shared" si="6"/>
        <v>1041</v>
      </c>
      <c r="T19" s="326"/>
    </row>
    <row r="20" spans="2:20" ht="15.75">
      <c r="B20" s="317">
        <f t="shared" si="7"/>
        <v>13</v>
      </c>
      <c r="C20" s="317" t="str">
        <f>+'[84]Add21-22 (2)'!B198</f>
        <v>Doors &amp; Windows</v>
      </c>
      <c r="D20" s="317" t="str">
        <f>+'[84]Add21-22 (2)'!C198</f>
        <v>Brahmani Bridge</v>
      </c>
      <c r="E20" s="319">
        <f>+'[84]Add21-22 (2)'!M198</f>
        <v>396400</v>
      </c>
      <c r="F20" s="320"/>
      <c r="G20" s="319"/>
      <c r="H20" s="321">
        <f t="shared" si="2"/>
        <v>396400</v>
      </c>
      <c r="I20" s="730">
        <f>+'[84]Add21-22 (2)'!H198</f>
        <v>44647</v>
      </c>
      <c r="J20" s="728">
        <v>199272.45205479453</v>
      </c>
      <c r="K20" s="319">
        <f t="shared" si="0"/>
        <v>197127.54794520547</v>
      </c>
      <c r="L20" s="321">
        <f t="shared" si="9"/>
        <v>736</v>
      </c>
      <c r="M20" s="323">
        <v>2</v>
      </c>
      <c r="N20" s="319">
        <f t="shared" si="10"/>
        <v>2.0164383561643837</v>
      </c>
      <c r="O20" s="319">
        <f t="shared" si="4"/>
        <v>-1.6438356164383716E-2</v>
      </c>
      <c r="P20" s="739">
        <f t="shared" si="8"/>
        <v>0.47499999999999998</v>
      </c>
      <c r="Q20" s="728">
        <v>195145.54794520547</v>
      </c>
      <c r="R20" s="319">
        <f t="shared" si="11"/>
        <v>1982</v>
      </c>
      <c r="S20" s="319">
        <f t="shared" si="6"/>
        <v>1982</v>
      </c>
      <c r="T20" s="326"/>
    </row>
    <row r="21" spans="2:20" ht="15.75">
      <c r="B21" s="317">
        <f t="shared" si="7"/>
        <v>14</v>
      </c>
      <c r="C21" s="317" t="str">
        <f>+'[84]Add21-22 (2)'!B199</f>
        <v>Aerocon Panels</v>
      </c>
      <c r="D21" s="317" t="str">
        <f>+'[84]Add21-22 (2)'!C199</f>
        <v>Brahmani Bridge</v>
      </c>
      <c r="E21" s="319">
        <f>+'[84]Add21-22 (2)'!M199</f>
        <v>208214.49</v>
      </c>
      <c r="F21" s="320"/>
      <c r="G21" s="319"/>
      <c r="H21" s="321">
        <f t="shared" si="2"/>
        <v>208214.49</v>
      </c>
      <c r="I21" s="730">
        <f>+'[84]Add21-22 (2)'!H199</f>
        <v>44647</v>
      </c>
      <c r="J21" s="728">
        <v>104670.56502431506</v>
      </c>
      <c r="K21" s="319">
        <f t="shared" si="0"/>
        <v>103543.92497568493</v>
      </c>
      <c r="L21" s="321">
        <f t="shared" si="9"/>
        <v>736</v>
      </c>
      <c r="M21" s="323">
        <v>2</v>
      </c>
      <c r="N21" s="319">
        <f t="shared" si="10"/>
        <v>2.0164383561643837</v>
      </c>
      <c r="O21" s="319">
        <f t="shared" si="4"/>
        <v>-1.6438356164383716E-2</v>
      </c>
      <c r="P21" s="739">
        <f t="shared" si="8"/>
        <v>0.47499999999999998</v>
      </c>
      <c r="Q21" s="728">
        <v>102502.92497568493</v>
      </c>
      <c r="R21" s="319">
        <f t="shared" si="11"/>
        <v>1041</v>
      </c>
      <c r="S21" s="319">
        <f t="shared" si="6"/>
        <v>1041</v>
      </c>
      <c r="T21" s="326"/>
    </row>
    <row r="22" spans="2:20" ht="15.75">
      <c r="B22" s="317">
        <f t="shared" si="7"/>
        <v>15</v>
      </c>
      <c r="C22" s="317" t="str">
        <f>+'[84]Add21-22 (2)'!B200</f>
        <v>Aerocon Panels</v>
      </c>
      <c r="D22" s="317" t="str">
        <f>+'[84]Add21-22 (2)'!C200</f>
        <v>Brahmani Bridge</v>
      </c>
      <c r="E22" s="319">
        <f>+'[84]Add21-22 (2)'!M200</f>
        <v>214148</v>
      </c>
      <c r="F22" s="320"/>
      <c r="G22" s="319"/>
      <c r="H22" s="321">
        <f t="shared" si="2"/>
        <v>214148</v>
      </c>
      <c r="I22" s="730">
        <f>+'[84]Add21-22 (2)'!H200</f>
        <v>44647</v>
      </c>
      <c r="J22" s="728">
        <v>107653.37301369864</v>
      </c>
      <c r="K22" s="319">
        <f t="shared" si="0"/>
        <v>106494.62698630136</v>
      </c>
      <c r="L22" s="321">
        <f t="shared" si="9"/>
        <v>736</v>
      </c>
      <c r="M22" s="323">
        <v>2</v>
      </c>
      <c r="N22" s="319">
        <f t="shared" si="10"/>
        <v>2.0164383561643837</v>
      </c>
      <c r="O22" s="319">
        <f t="shared" si="4"/>
        <v>-1.6438356164383716E-2</v>
      </c>
      <c r="P22" s="739">
        <f t="shared" si="8"/>
        <v>0.47499999999999998</v>
      </c>
      <c r="Q22" s="728">
        <v>105423.62698630136</v>
      </c>
      <c r="R22" s="319">
        <f t="shared" si="11"/>
        <v>1071</v>
      </c>
      <c r="S22" s="319">
        <f t="shared" si="6"/>
        <v>1071</v>
      </c>
      <c r="T22" s="326"/>
    </row>
    <row r="23" spans="2:20" ht="15.75">
      <c r="B23" s="317">
        <f t="shared" si="7"/>
        <v>16</v>
      </c>
      <c r="C23" s="317" t="str">
        <f>+'[84]Add21-22 (2)'!B201</f>
        <v>Aerocon Panels</v>
      </c>
      <c r="D23" s="317" t="str">
        <f>+'[84]Add21-22 (2)'!C201</f>
        <v>Brahmani Bridge</v>
      </c>
      <c r="E23" s="319">
        <f>+'[84]Add21-22 (2)'!M201</f>
        <v>213288</v>
      </c>
      <c r="F23" s="320"/>
      <c r="G23" s="319"/>
      <c r="H23" s="321">
        <f t="shared" si="2"/>
        <v>213288</v>
      </c>
      <c r="I23" s="730">
        <f>+'[84]Add21-22 (2)'!H201</f>
        <v>44647</v>
      </c>
      <c r="J23" s="728">
        <v>107221.04630136986</v>
      </c>
      <c r="K23" s="319">
        <f t="shared" si="0"/>
        <v>106066.95369863014</v>
      </c>
      <c r="L23" s="321">
        <f t="shared" si="9"/>
        <v>736</v>
      </c>
      <c r="M23" s="323">
        <v>2</v>
      </c>
      <c r="N23" s="319">
        <f t="shared" si="10"/>
        <v>2.0164383561643837</v>
      </c>
      <c r="O23" s="319">
        <f t="shared" si="4"/>
        <v>-1.6438356164383716E-2</v>
      </c>
      <c r="P23" s="739">
        <f t="shared" si="8"/>
        <v>0.47499999999999998</v>
      </c>
      <c r="Q23" s="728">
        <v>105000.95369863014</v>
      </c>
      <c r="R23" s="319">
        <f t="shared" si="11"/>
        <v>1066</v>
      </c>
      <c r="S23" s="319">
        <f t="shared" si="6"/>
        <v>1066</v>
      </c>
      <c r="T23" s="326"/>
    </row>
    <row r="24" spans="2:20" ht="15.75">
      <c r="B24" s="317">
        <f t="shared" si="7"/>
        <v>17</v>
      </c>
      <c r="C24" s="317" t="str">
        <f>+'[84]Add21-22 (2)'!B202</f>
        <v>Bricks &amp; Sand</v>
      </c>
      <c r="D24" s="317" t="str">
        <f>+'[84]Add21-22 (2)'!C202</f>
        <v>Brahmani Bridge</v>
      </c>
      <c r="E24" s="319">
        <f>+'[84]Add21-22 (2)'!M202</f>
        <v>23350</v>
      </c>
      <c r="F24" s="320"/>
      <c r="G24" s="319"/>
      <c r="H24" s="321">
        <f t="shared" si="2"/>
        <v>23350</v>
      </c>
      <c r="I24" s="730">
        <f>+'[84]Add21-22 (2)'!H202</f>
        <v>44647</v>
      </c>
      <c r="J24" s="728">
        <v>11738.172945205479</v>
      </c>
      <c r="K24" s="319">
        <f t="shared" si="0"/>
        <v>11611.827054794521</v>
      </c>
      <c r="L24" s="321">
        <f t="shared" si="9"/>
        <v>736</v>
      </c>
      <c r="M24" s="323">
        <v>2</v>
      </c>
      <c r="N24" s="319">
        <f t="shared" si="10"/>
        <v>2.0164383561643837</v>
      </c>
      <c r="O24" s="319">
        <f t="shared" si="4"/>
        <v>-1.6438356164383716E-2</v>
      </c>
      <c r="P24" s="739">
        <f t="shared" si="8"/>
        <v>0.47499999999999998</v>
      </c>
      <c r="Q24" s="728">
        <v>11494.827054794521</v>
      </c>
      <c r="R24" s="319">
        <f t="shared" si="11"/>
        <v>117</v>
      </c>
      <c r="S24" s="319">
        <f t="shared" si="6"/>
        <v>117</v>
      </c>
      <c r="T24" s="326"/>
    </row>
    <row r="25" spans="2:20" ht="15.75">
      <c r="B25" s="317">
        <f t="shared" si="7"/>
        <v>18</v>
      </c>
      <c r="C25" s="317" t="str">
        <f>+'[84]Add21-22 (2)'!B203</f>
        <v>Sand</v>
      </c>
      <c r="D25" s="317" t="str">
        <f>+'[84]Add21-22 (2)'!C203</f>
        <v>Brahmani Bridge</v>
      </c>
      <c r="E25" s="319">
        <f>+'[84]Add21-22 (2)'!M203</f>
        <v>2000</v>
      </c>
      <c r="F25" s="320"/>
      <c r="G25" s="319"/>
      <c r="H25" s="321">
        <f t="shared" si="2"/>
        <v>2000</v>
      </c>
      <c r="I25" s="730">
        <f>+'[84]Add21-22 (2)'!H203</f>
        <v>44647</v>
      </c>
      <c r="J25" s="728">
        <v>1005.4109589041096</v>
      </c>
      <c r="K25" s="319">
        <f t="shared" si="0"/>
        <v>994.58904109589037</v>
      </c>
      <c r="L25" s="321">
        <f t="shared" si="9"/>
        <v>736</v>
      </c>
      <c r="M25" s="323">
        <v>2</v>
      </c>
      <c r="N25" s="319">
        <f t="shared" si="10"/>
        <v>2.0164383561643837</v>
      </c>
      <c r="O25" s="319">
        <f t="shared" si="4"/>
        <v>-1.6438356164383716E-2</v>
      </c>
      <c r="P25" s="739">
        <f t="shared" si="8"/>
        <v>0.47499999999999998</v>
      </c>
      <c r="Q25" s="728">
        <v>984.58904109589037</v>
      </c>
      <c r="R25" s="319">
        <f t="shared" si="11"/>
        <v>10</v>
      </c>
      <c r="S25" s="319">
        <f t="shared" si="6"/>
        <v>10</v>
      </c>
      <c r="T25" s="326"/>
    </row>
    <row r="26" spans="2:20" ht="15.75">
      <c r="B26" s="317">
        <f t="shared" si="7"/>
        <v>19</v>
      </c>
      <c r="C26" s="317" t="str">
        <f>+'[84]Add21-22 (2)'!B204</f>
        <v>50 MM Window Frame &amp; Ventillators</v>
      </c>
      <c r="D26" s="317" t="str">
        <f>+'[84]Add21-22 (2)'!C204</f>
        <v>Brahmani Bridge</v>
      </c>
      <c r="E26" s="319">
        <f>+'[84]Add21-22 (2)'!M204</f>
        <v>35000</v>
      </c>
      <c r="F26" s="320"/>
      <c r="G26" s="319"/>
      <c r="H26" s="321">
        <f t="shared" si="2"/>
        <v>35000</v>
      </c>
      <c r="I26" s="730">
        <f>+'[84]Add21-22 (2)'!H204</f>
        <v>44647</v>
      </c>
      <c r="J26" s="728">
        <v>17594.691780821919</v>
      </c>
      <c r="K26" s="319">
        <f t="shared" si="0"/>
        <v>17405.308219178081</v>
      </c>
      <c r="L26" s="321">
        <f t="shared" si="9"/>
        <v>736</v>
      </c>
      <c r="M26" s="323">
        <v>2</v>
      </c>
      <c r="N26" s="319">
        <f t="shared" si="10"/>
        <v>2.0164383561643837</v>
      </c>
      <c r="O26" s="319">
        <f t="shared" si="4"/>
        <v>-1.6438356164383716E-2</v>
      </c>
      <c r="P26" s="739">
        <f t="shared" si="8"/>
        <v>0.47499999999999998</v>
      </c>
      <c r="Q26" s="728">
        <v>17230.308219178081</v>
      </c>
      <c r="R26" s="319">
        <f t="shared" si="11"/>
        <v>175</v>
      </c>
      <c r="S26" s="319">
        <f t="shared" si="6"/>
        <v>175</v>
      </c>
      <c r="T26" s="326"/>
    </row>
    <row r="27" spans="2:20" ht="15.75">
      <c r="B27" s="317">
        <f t="shared" si="7"/>
        <v>20</v>
      </c>
      <c r="C27" s="317" t="str">
        <f>+'[84]Add21-22 (2)'!B205</f>
        <v>Ridges &amp; GC sheets</v>
      </c>
      <c r="D27" s="317" t="str">
        <f>+'[84]Add21-22 (2)'!C205</f>
        <v>Brahmani Bridge</v>
      </c>
      <c r="E27" s="319">
        <f>+'[84]Add21-22 (2)'!M205</f>
        <v>86983</v>
      </c>
      <c r="F27" s="320"/>
      <c r="G27" s="319"/>
      <c r="H27" s="321">
        <f t="shared" si="2"/>
        <v>86983</v>
      </c>
      <c r="I27" s="730">
        <f>+'[84]Add21-22 (2)'!H205</f>
        <v>44647</v>
      </c>
      <c r="J27" s="728">
        <v>43726.830719178084</v>
      </c>
      <c r="K27" s="319">
        <f t="shared" si="0"/>
        <v>43256.169280821916</v>
      </c>
      <c r="L27" s="321">
        <f t="shared" si="9"/>
        <v>736</v>
      </c>
      <c r="M27" s="323">
        <v>2</v>
      </c>
      <c r="N27" s="319">
        <f t="shared" si="10"/>
        <v>2.0164383561643837</v>
      </c>
      <c r="O27" s="319">
        <f t="shared" si="4"/>
        <v>-1.6438356164383716E-2</v>
      </c>
      <c r="P27" s="739">
        <f t="shared" si="8"/>
        <v>0.47499999999999998</v>
      </c>
      <c r="Q27" s="728">
        <v>42821.169280821916</v>
      </c>
      <c r="R27" s="319">
        <f t="shared" si="11"/>
        <v>435</v>
      </c>
      <c r="S27" s="319">
        <f t="shared" si="6"/>
        <v>435</v>
      </c>
      <c r="T27" s="326"/>
    </row>
    <row r="28" spans="2:20" ht="15.75">
      <c r="B28" s="317">
        <f t="shared" si="7"/>
        <v>21</v>
      </c>
      <c r="C28" s="317" t="str">
        <f>+'[84]Add21-22 (2)'!B206</f>
        <v xml:space="preserve">Flush Doors &amp; Lam  8mm </v>
      </c>
      <c r="D28" s="317" t="str">
        <f>+'[84]Add21-22 (2)'!C206</f>
        <v>Brahmani Bridge</v>
      </c>
      <c r="E28" s="319">
        <f>+'[84]Add21-22 (2)'!M206</f>
        <v>113351</v>
      </c>
      <c r="F28" s="320"/>
      <c r="G28" s="319"/>
      <c r="H28" s="321">
        <f t="shared" si="2"/>
        <v>113351</v>
      </c>
      <c r="I28" s="730">
        <f>+'[84]Add21-22 (2)'!H206</f>
        <v>44647</v>
      </c>
      <c r="J28" s="728">
        <v>56982.168801369859</v>
      </c>
      <c r="K28" s="319">
        <f t="shared" si="0"/>
        <v>56368.831198630141</v>
      </c>
      <c r="L28" s="321">
        <f t="shared" si="9"/>
        <v>736</v>
      </c>
      <c r="M28" s="323">
        <v>2</v>
      </c>
      <c r="N28" s="319">
        <f t="shared" si="10"/>
        <v>2.0164383561643837</v>
      </c>
      <c r="O28" s="319">
        <f t="shared" si="4"/>
        <v>-1.6438356164383716E-2</v>
      </c>
      <c r="P28" s="739">
        <f t="shared" si="8"/>
        <v>0.47499999999999998</v>
      </c>
      <c r="Q28" s="728">
        <v>55801.831198630141</v>
      </c>
      <c r="R28" s="319">
        <f t="shared" si="11"/>
        <v>567</v>
      </c>
      <c r="S28" s="319">
        <f t="shared" si="6"/>
        <v>567</v>
      </c>
      <c r="T28" s="326"/>
    </row>
    <row r="29" spans="2:20" ht="15.75">
      <c r="B29" s="317">
        <f t="shared" si="7"/>
        <v>22</v>
      </c>
      <c r="C29" s="317" t="str">
        <f>+'[84]Add21-22 (2)'!B207</f>
        <v>Windows Glass</v>
      </c>
      <c r="D29" s="317" t="str">
        <f>+'[84]Add21-22 (2)'!C207</f>
        <v>Brahmani Bridge</v>
      </c>
      <c r="E29" s="319">
        <f>+'[84]Add21-22 (2)'!M207</f>
        <v>72000</v>
      </c>
      <c r="F29" s="320"/>
      <c r="G29" s="319"/>
      <c r="H29" s="321">
        <f t="shared" si="2"/>
        <v>72000</v>
      </c>
      <c r="I29" s="730">
        <f>+'[84]Add21-22 (2)'!H207</f>
        <v>44647</v>
      </c>
      <c r="J29" s="728">
        <v>36194.794520547948</v>
      </c>
      <c r="K29" s="319">
        <f t="shared" si="0"/>
        <v>35805.205479452052</v>
      </c>
      <c r="L29" s="321">
        <f t="shared" si="9"/>
        <v>736</v>
      </c>
      <c r="M29" s="323">
        <v>2</v>
      </c>
      <c r="N29" s="319">
        <f t="shared" si="10"/>
        <v>2.0164383561643837</v>
      </c>
      <c r="O29" s="319">
        <f t="shared" si="4"/>
        <v>-1.6438356164383716E-2</v>
      </c>
      <c r="P29" s="739">
        <f t="shared" si="8"/>
        <v>0.47499999999999998</v>
      </c>
      <c r="Q29" s="728">
        <v>35445.205479452052</v>
      </c>
      <c r="R29" s="319">
        <f t="shared" si="11"/>
        <v>360</v>
      </c>
      <c r="S29" s="319">
        <f t="shared" si="6"/>
        <v>360</v>
      </c>
      <c r="T29" s="326"/>
    </row>
    <row r="30" spans="2:20" ht="15.75">
      <c r="B30" s="317">
        <f t="shared" si="7"/>
        <v>23</v>
      </c>
      <c r="C30" s="317" t="str">
        <f>+'[84]Add21-22 (2)'!B208</f>
        <v>Bricks</v>
      </c>
      <c r="D30" s="317" t="str">
        <f>+'[84]Add21-22 (2)'!C208</f>
        <v>Brahmani Bridge</v>
      </c>
      <c r="E30" s="319">
        <f>+'[84]Add21-22 (2)'!M208</f>
        <v>21350</v>
      </c>
      <c r="F30" s="320"/>
      <c r="G30" s="319"/>
      <c r="H30" s="321">
        <f t="shared" si="2"/>
        <v>21350</v>
      </c>
      <c r="I30" s="730">
        <f>+'[84]Add21-22 (2)'!H208</f>
        <v>44647</v>
      </c>
      <c r="J30" s="728">
        <v>10732.76198630137</v>
      </c>
      <c r="K30" s="319">
        <f t="shared" si="0"/>
        <v>10617.23801369863</v>
      </c>
      <c r="L30" s="321">
        <f t="shared" si="9"/>
        <v>736</v>
      </c>
      <c r="M30" s="323">
        <v>2</v>
      </c>
      <c r="N30" s="319">
        <f t="shared" si="10"/>
        <v>2.0164383561643837</v>
      </c>
      <c r="O30" s="319">
        <f t="shared" si="4"/>
        <v>-1.6438356164383716E-2</v>
      </c>
      <c r="P30" s="739">
        <f t="shared" si="8"/>
        <v>0.47499999999999998</v>
      </c>
      <c r="Q30" s="728">
        <v>10510.23801369863</v>
      </c>
      <c r="R30" s="319">
        <f t="shared" si="11"/>
        <v>107</v>
      </c>
      <c r="S30" s="319">
        <f t="shared" si="6"/>
        <v>107</v>
      </c>
      <c r="T30" s="326"/>
    </row>
    <row r="31" spans="2:20" ht="15.75">
      <c r="B31" s="317">
        <f t="shared" si="7"/>
        <v>24</v>
      </c>
      <c r="C31" s="317" t="str">
        <f>+'[84]Add21-22 (2)'!B209</f>
        <v>Aerocon Panels</v>
      </c>
      <c r="D31" s="317" t="str">
        <f>+'[84]Add21-22 (2)'!C209</f>
        <v>Sitammasagar</v>
      </c>
      <c r="E31" s="319">
        <f>+'[84]Add21-22 (2)'!M209</f>
        <v>184047.51</v>
      </c>
      <c r="F31" s="320"/>
      <c r="G31" s="319"/>
      <c r="H31" s="321">
        <f t="shared" si="2"/>
        <v>184047.51</v>
      </c>
      <c r="I31" s="730">
        <f>+'[84]Add21-22 (2)'!H209</f>
        <v>44553</v>
      </c>
      <c r="J31" s="728">
        <v>115035.99674691782</v>
      </c>
      <c r="K31" s="319">
        <f t="shared" si="0"/>
        <v>69011.513253082187</v>
      </c>
      <c r="L31" s="321">
        <f t="shared" si="9"/>
        <v>830</v>
      </c>
      <c r="M31" s="323">
        <v>2</v>
      </c>
      <c r="N31" s="319">
        <f t="shared" si="10"/>
        <v>2.2739726027397262</v>
      </c>
      <c r="O31" s="319">
        <f t="shared" si="4"/>
        <v>-0.27397260273972623</v>
      </c>
      <c r="P31" s="739">
        <f t="shared" si="8"/>
        <v>0.47499999999999998</v>
      </c>
      <c r="Q31" s="728">
        <v>68091.513253082187</v>
      </c>
      <c r="R31" s="319">
        <f t="shared" si="11"/>
        <v>920</v>
      </c>
      <c r="S31" s="319">
        <f t="shared" si="6"/>
        <v>920</v>
      </c>
      <c r="T31" s="326"/>
    </row>
    <row r="32" spans="2:20" ht="15.75">
      <c r="B32" s="317">
        <f t="shared" si="7"/>
        <v>25</v>
      </c>
      <c r="C32" s="317" t="str">
        <f>+'[84]Add21-22 (2)'!B210</f>
        <v>Shutters</v>
      </c>
      <c r="D32" s="317" t="str">
        <f>+'[84]Add21-22 (2)'!C210</f>
        <v>Sitammasagar</v>
      </c>
      <c r="E32" s="319">
        <f>+'[84]Add21-22 (2)'!M210</f>
        <v>26000</v>
      </c>
      <c r="F32" s="320"/>
      <c r="G32" s="319"/>
      <c r="H32" s="321">
        <f t="shared" si="2"/>
        <v>26000</v>
      </c>
      <c r="I32" s="730">
        <f>+'[84]Add21-22 (2)'!H210</f>
        <v>44553</v>
      </c>
      <c r="J32" s="728">
        <v>16250.890410958904</v>
      </c>
      <c r="K32" s="319">
        <f t="shared" si="0"/>
        <v>9749.1095890410961</v>
      </c>
      <c r="L32" s="321">
        <f t="shared" si="9"/>
        <v>830</v>
      </c>
      <c r="M32" s="323">
        <v>2</v>
      </c>
      <c r="N32" s="319">
        <f t="shared" si="10"/>
        <v>2.2739726027397262</v>
      </c>
      <c r="O32" s="319">
        <f t="shared" si="4"/>
        <v>-0.27397260273972623</v>
      </c>
      <c r="P32" s="739">
        <f t="shared" si="8"/>
        <v>0.47499999999999998</v>
      </c>
      <c r="Q32" s="728">
        <v>9619.1095890410961</v>
      </c>
      <c r="R32" s="319">
        <f t="shared" si="11"/>
        <v>130</v>
      </c>
      <c r="S32" s="319">
        <f t="shared" si="6"/>
        <v>130</v>
      </c>
      <c r="T32" s="326"/>
    </row>
    <row r="33" spans="2:20" ht="15.75">
      <c r="B33" s="317">
        <f t="shared" si="7"/>
        <v>26</v>
      </c>
      <c r="C33" s="317" t="str">
        <f>+'[84]Add21-22 (2)'!B211</f>
        <v>Aerocon Panels</v>
      </c>
      <c r="D33" s="317" t="str">
        <f>+'[84]Add21-22 (2)'!C211</f>
        <v>Sitammasagar</v>
      </c>
      <c r="E33" s="319">
        <f>+'[84]Add21-22 (2)'!M211</f>
        <v>184047.51</v>
      </c>
      <c r="F33" s="320"/>
      <c r="G33" s="319"/>
      <c r="H33" s="321">
        <f t="shared" si="2"/>
        <v>184047.51</v>
      </c>
      <c r="I33" s="730">
        <f>+'[84]Add21-22 (2)'!H211</f>
        <v>44553</v>
      </c>
      <c r="J33" s="728">
        <v>115035.99674691782</v>
      </c>
      <c r="K33" s="319">
        <f t="shared" si="0"/>
        <v>69011.513253082187</v>
      </c>
      <c r="L33" s="321">
        <f t="shared" si="9"/>
        <v>830</v>
      </c>
      <c r="M33" s="323">
        <v>2</v>
      </c>
      <c r="N33" s="319">
        <f t="shared" si="10"/>
        <v>2.2739726027397262</v>
      </c>
      <c r="O33" s="319">
        <f t="shared" si="4"/>
        <v>-0.27397260273972623</v>
      </c>
      <c r="P33" s="739">
        <f t="shared" si="8"/>
        <v>0.47499999999999998</v>
      </c>
      <c r="Q33" s="728">
        <v>68091.513253082187</v>
      </c>
      <c r="R33" s="319">
        <f t="shared" si="11"/>
        <v>920</v>
      </c>
      <c r="S33" s="319">
        <f t="shared" si="6"/>
        <v>920</v>
      </c>
      <c r="T33" s="326"/>
    </row>
    <row r="34" spans="2:20" ht="15.75">
      <c r="B34" s="317">
        <f t="shared" si="7"/>
        <v>27</v>
      </c>
      <c r="C34" s="317" t="str">
        <f>+'[84]Add21-22 (2)'!B212</f>
        <v>Consumables</v>
      </c>
      <c r="D34" s="317" t="str">
        <f>+'[84]Add21-22 (2)'!C212</f>
        <v>Sitammasagar</v>
      </c>
      <c r="E34" s="319">
        <f>+'[84]Add21-22 (2)'!M212</f>
        <v>42373.46</v>
      </c>
      <c r="F34" s="320"/>
      <c r="G34" s="319"/>
      <c r="H34" s="321">
        <f t="shared" si="2"/>
        <v>42373.46</v>
      </c>
      <c r="I34" s="730">
        <f>+'[84]Add21-22 (2)'!H212</f>
        <v>44553</v>
      </c>
      <c r="J34" s="728">
        <v>26484.863645890411</v>
      </c>
      <c r="K34" s="319">
        <f t="shared" si="0"/>
        <v>15888.596354109588</v>
      </c>
      <c r="L34" s="321">
        <f t="shared" si="9"/>
        <v>830</v>
      </c>
      <c r="M34" s="323">
        <v>2</v>
      </c>
      <c r="N34" s="319">
        <f t="shared" si="10"/>
        <v>2.2739726027397262</v>
      </c>
      <c r="O34" s="319">
        <f t="shared" si="4"/>
        <v>-0.27397260273972623</v>
      </c>
      <c r="P34" s="739">
        <f t="shared" si="8"/>
        <v>0.47499999999999998</v>
      </c>
      <c r="Q34" s="728">
        <v>15676.596354109588</v>
      </c>
      <c r="R34" s="319">
        <f t="shared" si="11"/>
        <v>212</v>
      </c>
      <c r="S34" s="319">
        <f t="shared" si="6"/>
        <v>212</v>
      </c>
      <c r="T34" s="326"/>
    </row>
    <row r="35" spans="2:20" ht="15.75">
      <c r="B35" s="317">
        <f t="shared" si="7"/>
        <v>28</v>
      </c>
      <c r="C35" s="317" t="str">
        <f>+'[84]Add21-22 (2)'!B213</f>
        <v>Consumables</v>
      </c>
      <c r="D35" s="317" t="str">
        <f>+'[84]Add21-22 (2)'!C213</f>
        <v>Sitammasagar</v>
      </c>
      <c r="E35" s="319">
        <f>+'[84]Add21-22 (2)'!M213</f>
        <v>42372.9</v>
      </c>
      <c r="F35" s="320"/>
      <c r="G35" s="319"/>
      <c r="H35" s="321">
        <f t="shared" si="2"/>
        <v>42372.9</v>
      </c>
      <c r="I35" s="730">
        <f>+'[84]Add21-22 (2)'!H213</f>
        <v>44553</v>
      </c>
      <c r="J35" s="728">
        <v>26484.513626712327</v>
      </c>
      <c r="K35" s="319">
        <f t="shared" si="0"/>
        <v>15888.386373287674</v>
      </c>
      <c r="L35" s="321">
        <f t="shared" si="9"/>
        <v>830</v>
      </c>
      <c r="M35" s="323">
        <v>2</v>
      </c>
      <c r="N35" s="319">
        <f t="shared" si="10"/>
        <v>2.2739726027397262</v>
      </c>
      <c r="O35" s="319">
        <f t="shared" si="4"/>
        <v>-0.27397260273972623</v>
      </c>
      <c r="P35" s="739">
        <f t="shared" si="8"/>
        <v>0.47499999999999998</v>
      </c>
      <c r="Q35" s="728">
        <v>15676.386373287674</v>
      </c>
      <c r="R35" s="319">
        <f t="shared" si="11"/>
        <v>212</v>
      </c>
      <c r="S35" s="319">
        <f t="shared" si="6"/>
        <v>212</v>
      </c>
      <c r="T35" s="326"/>
    </row>
    <row r="36" spans="2:20" ht="15.75">
      <c r="B36" s="317">
        <f t="shared" si="7"/>
        <v>29</v>
      </c>
      <c r="C36" s="317" t="str">
        <f>+'[84]Add21-22 (2)'!B214</f>
        <v>Consumables</v>
      </c>
      <c r="D36" s="317" t="str">
        <f>+'[84]Add21-22 (2)'!C214</f>
        <v>Sitammasagar</v>
      </c>
      <c r="E36" s="319">
        <f>+'[84]Add21-22 (2)'!M214</f>
        <v>50466.1</v>
      </c>
      <c r="F36" s="320"/>
      <c r="G36" s="319"/>
      <c r="H36" s="321">
        <f t="shared" si="2"/>
        <v>50466.1</v>
      </c>
      <c r="I36" s="730">
        <f>+'[84]Add21-22 (2)'!H214</f>
        <v>44553</v>
      </c>
      <c r="J36" s="728">
        <v>31543.040791095889</v>
      </c>
      <c r="K36" s="319">
        <f t="shared" si="0"/>
        <v>18923.059208904109</v>
      </c>
      <c r="L36" s="321">
        <f t="shared" si="9"/>
        <v>830</v>
      </c>
      <c r="M36" s="323">
        <v>2</v>
      </c>
      <c r="N36" s="319">
        <f t="shared" si="10"/>
        <v>2.2739726027397262</v>
      </c>
      <c r="O36" s="319">
        <f t="shared" si="4"/>
        <v>-0.27397260273972623</v>
      </c>
      <c r="P36" s="739">
        <f t="shared" si="8"/>
        <v>0.47499999999999998</v>
      </c>
      <c r="Q36" s="728">
        <v>18671.059208904109</v>
      </c>
      <c r="R36" s="319">
        <f t="shared" si="11"/>
        <v>252</v>
      </c>
      <c r="S36" s="319">
        <f t="shared" si="6"/>
        <v>252</v>
      </c>
      <c r="T36" s="326"/>
    </row>
    <row r="37" spans="2:20" ht="15.75">
      <c r="B37" s="317">
        <f t="shared" si="7"/>
        <v>30</v>
      </c>
      <c r="C37" s="317" t="str">
        <f>+'[84]Add21-22 (2)'!B215</f>
        <v>Aerocon Panels</v>
      </c>
      <c r="D37" s="317" t="str">
        <f>+'[84]Add21-22 (2)'!C215</f>
        <v>Sitammasagar</v>
      </c>
      <c r="E37" s="319">
        <f>+'[84]Add21-22 (2)'!M215</f>
        <v>189207.72</v>
      </c>
      <c r="F37" s="320"/>
      <c r="G37" s="319"/>
      <c r="H37" s="321">
        <f t="shared" si="2"/>
        <v>189207.72</v>
      </c>
      <c r="I37" s="730">
        <f>+'[84]Add21-22 (2)'!H215</f>
        <v>44553</v>
      </c>
      <c r="J37" s="728">
        <v>118261.30471643836</v>
      </c>
      <c r="K37" s="319">
        <f t="shared" si="0"/>
        <v>70946.415283561641</v>
      </c>
      <c r="L37" s="321">
        <f t="shared" si="9"/>
        <v>830</v>
      </c>
      <c r="M37" s="323">
        <v>2</v>
      </c>
      <c r="N37" s="319">
        <f t="shared" si="10"/>
        <v>2.2739726027397262</v>
      </c>
      <c r="O37" s="319">
        <f t="shared" si="4"/>
        <v>-0.27397260273972623</v>
      </c>
      <c r="P37" s="739">
        <f t="shared" si="8"/>
        <v>0.47499999999999998</v>
      </c>
      <c r="Q37" s="728">
        <v>70000.415283561641</v>
      </c>
      <c r="R37" s="319">
        <f t="shared" si="11"/>
        <v>946</v>
      </c>
      <c r="S37" s="319">
        <f t="shared" si="6"/>
        <v>946</v>
      </c>
      <c r="T37" s="326"/>
    </row>
    <row r="38" spans="2:20" ht="15.75">
      <c r="B38" s="317">
        <f t="shared" si="7"/>
        <v>31</v>
      </c>
      <c r="C38" s="317" t="str">
        <f>+'[84]Add21-22 (2)'!B216</f>
        <v>Aerocon Panels</v>
      </c>
      <c r="D38" s="317" t="str">
        <f>+'[84]Add21-22 (2)'!C216</f>
        <v>Sitammasagar</v>
      </c>
      <c r="E38" s="319">
        <f>+'[84]Add21-22 (2)'!M216</f>
        <v>185767.58</v>
      </c>
      <c r="F38" s="320"/>
      <c r="G38" s="319"/>
      <c r="H38" s="321">
        <f t="shared" si="2"/>
        <v>185767.58</v>
      </c>
      <c r="I38" s="730">
        <f>+'[84]Add21-22 (2)'!H216</f>
        <v>44553</v>
      </c>
      <c r="J38" s="728">
        <v>116111.09940342464</v>
      </c>
      <c r="K38" s="319">
        <f t="shared" si="0"/>
        <v>69656.480596575348</v>
      </c>
      <c r="L38" s="321">
        <f t="shared" si="9"/>
        <v>830</v>
      </c>
      <c r="M38" s="323">
        <v>2</v>
      </c>
      <c r="N38" s="319">
        <f t="shared" si="10"/>
        <v>2.2739726027397262</v>
      </c>
      <c r="O38" s="319">
        <f t="shared" si="4"/>
        <v>-0.27397260273972623</v>
      </c>
      <c r="P38" s="739">
        <f t="shared" si="8"/>
        <v>0.47499999999999998</v>
      </c>
      <c r="Q38" s="728">
        <v>68727.480596575348</v>
      </c>
      <c r="R38" s="319">
        <f t="shared" si="11"/>
        <v>929</v>
      </c>
      <c r="S38" s="319">
        <f t="shared" si="6"/>
        <v>929</v>
      </c>
      <c r="T38" s="326"/>
    </row>
    <row r="39" spans="2:20" ht="15.75">
      <c r="B39" s="317">
        <f t="shared" si="7"/>
        <v>32</v>
      </c>
      <c r="C39" s="317" t="str">
        <f>+'[84]Add21-22 (2)'!B217</f>
        <v>Aerocon Panels</v>
      </c>
      <c r="D39" s="317" t="str">
        <f>+'[84]Add21-22 (2)'!C217</f>
        <v>Sitammasagar</v>
      </c>
      <c r="E39" s="319">
        <f>+'[84]Add21-22 (2)'!M217</f>
        <v>185767.58</v>
      </c>
      <c r="F39" s="320"/>
      <c r="G39" s="319"/>
      <c r="H39" s="321">
        <f t="shared" si="2"/>
        <v>185767.58</v>
      </c>
      <c r="I39" s="730">
        <f>+'[84]Add21-22 (2)'!H217</f>
        <v>44553</v>
      </c>
      <c r="J39" s="728">
        <v>116111.09940342464</v>
      </c>
      <c r="K39" s="319">
        <f t="shared" si="0"/>
        <v>69656.480596575348</v>
      </c>
      <c r="L39" s="321">
        <f t="shared" si="9"/>
        <v>830</v>
      </c>
      <c r="M39" s="323">
        <v>2</v>
      </c>
      <c r="N39" s="319">
        <f t="shared" si="10"/>
        <v>2.2739726027397262</v>
      </c>
      <c r="O39" s="319">
        <f t="shared" si="4"/>
        <v>-0.27397260273972623</v>
      </c>
      <c r="P39" s="739">
        <f t="shared" si="8"/>
        <v>0.47499999999999998</v>
      </c>
      <c r="Q39" s="728">
        <v>68727.480596575348</v>
      </c>
      <c r="R39" s="319">
        <f t="shared" si="11"/>
        <v>929</v>
      </c>
      <c r="S39" s="319">
        <f t="shared" si="6"/>
        <v>929</v>
      </c>
      <c r="T39" s="326"/>
    </row>
    <row r="40" spans="2:20" ht="15.75">
      <c r="B40" s="317">
        <f t="shared" si="7"/>
        <v>33</v>
      </c>
      <c r="C40" s="317" t="str">
        <f>+'[84]Add21-22 (2)'!B218</f>
        <v>Doors &amp; Windows</v>
      </c>
      <c r="D40" s="317" t="str">
        <f>+'[84]Add21-22 (2)'!C218</f>
        <v>Sitammasagar</v>
      </c>
      <c r="E40" s="319">
        <f>+'[84]Add21-22 (2)'!M218</f>
        <v>38000</v>
      </c>
      <c r="F40" s="320"/>
      <c r="G40" s="319"/>
      <c r="H40" s="321">
        <f t="shared" si="2"/>
        <v>38000</v>
      </c>
      <c r="I40" s="730">
        <f>+'[84]Add21-22 (2)'!H218</f>
        <v>44553</v>
      </c>
      <c r="J40" s="728">
        <v>23751.301369863013</v>
      </c>
      <c r="K40" s="319">
        <f t="shared" si="0"/>
        <v>14248.698630136987</v>
      </c>
      <c r="L40" s="321">
        <f t="shared" si="9"/>
        <v>830</v>
      </c>
      <c r="M40" s="323">
        <v>2</v>
      </c>
      <c r="N40" s="319">
        <f t="shared" si="10"/>
        <v>2.2739726027397262</v>
      </c>
      <c r="O40" s="319">
        <f t="shared" si="4"/>
        <v>-0.27397260273972623</v>
      </c>
      <c r="P40" s="739">
        <f t="shared" si="8"/>
        <v>0.47499999999999998</v>
      </c>
      <c r="Q40" s="728">
        <v>14058.698630136987</v>
      </c>
      <c r="R40" s="319">
        <f t="shared" si="11"/>
        <v>190</v>
      </c>
      <c r="S40" s="319">
        <f t="shared" si="6"/>
        <v>190</v>
      </c>
      <c r="T40" s="326"/>
    </row>
    <row r="41" spans="2:20" ht="15.75">
      <c r="B41" s="317">
        <f t="shared" si="7"/>
        <v>34</v>
      </c>
      <c r="C41" s="317" t="str">
        <f>+'[84]Add21-22 (2)'!B219</f>
        <v>Doors &amp; Windows</v>
      </c>
      <c r="D41" s="317" t="str">
        <f>+'[84]Add21-22 (2)'!C219</f>
        <v>Sitammasagar</v>
      </c>
      <c r="E41" s="319">
        <f>+'[84]Add21-22 (2)'!M219</f>
        <v>15150</v>
      </c>
      <c r="F41" s="320"/>
      <c r="G41" s="319"/>
      <c r="H41" s="321">
        <f t="shared" si="2"/>
        <v>15150</v>
      </c>
      <c r="I41" s="730">
        <f>+'[84]Add21-22 (2)'!H219</f>
        <v>44553</v>
      </c>
      <c r="J41" s="728">
        <v>9469.2688356164381</v>
      </c>
      <c r="K41" s="319">
        <f t="shared" si="0"/>
        <v>5680.7311643835619</v>
      </c>
      <c r="L41" s="321">
        <f t="shared" si="9"/>
        <v>830</v>
      </c>
      <c r="M41" s="323">
        <v>2</v>
      </c>
      <c r="N41" s="319">
        <f t="shared" si="10"/>
        <v>2.2739726027397262</v>
      </c>
      <c r="O41" s="319">
        <f t="shared" si="4"/>
        <v>-0.27397260273972623</v>
      </c>
      <c r="P41" s="739">
        <f t="shared" si="8"/>
        <v>0.47499999999999998</v>
      </c>
      <c r="Q41" s="728">
        <v>5604.7311643835619</v>
      </c>
      <c r="R41" s="319">
        <f t="shared" si="11"/>
        <v>76</v>
      </c>
      <c r="S41" s="319">
        <f t="shared" si="6"/>
        <v>76</v>
      </c>
      <c r="T41" s="326"/>
    </row>
    <row r="42" spans="2:20" ht="15.75">
      <c r="B42" s="317">
        <f t="shared" si="7"/>
        <v>35</v>
      </c>
      <c r="C42" s="317" t="str">
        <f>+'[84]Add21-22 (2)'!B220</f>
        <v>Doors &amp; Windows</v>
      </c>
      <c r="D42" s="317" t="str">
        <f>+'[84]Add21-22 (2)'!C220</f>
        <v>Sitammasagar</v>
      </c>
      <c r="E42" s="319">
        <f>+'[84]Add21-22 (2)'!M220</f>
        <v>58625</v>
      </c>
      <c r="F42" s="320"/>
      <c r="G42" s="319"/>
      <c r="H42" s="321">
        <f t="shared" si="2"/>
        <v>58625</v>
      </c>
      <c r="I42" s="730">
        <f>+'[84]Add21-22 (2)'!H220</f>
        <v>44553</v>
      </c>
      <c r="J42" s="728">
        <v>36642.632705479453</v>
      </c>
      <c r="K42" s="319">
        <f t="shared" si="0"/>
        <v>21982.367294520547</v>
      </c>
      <c r="L42" s="321">
        <f t="shared" si="9"/>
        <v>830</v>
      </c>
      <c r="M42" s="323">
        <v>2</v>
      </c>
      <c r="N42" s="319">
        <f t="shared" si="10"/>
        <v>2.2739726027397262</v>
      </c>
      <c r="O42" s="319">
        <f t="shared" si="4"/>
        <v>-0.27397260273972623</v>
      </c>
      <c r="P42" s="739">
        <f t="shared" si="8"/>
        <v>0.47499999999999998</v>
      </c>
      <c r="Q42" s="728">
        <v>21689.367294520547</v>
      </c>
      <c r="R42" s="319">
        <f t="shared" si="11"/>
        <v>293</v>
      </c>
      <c r="S42" s="319">
        <f t="shared" si="6"/>
        <v>293</v>
      </c>
      <c r="T42" s="326"/>
    </row>
    <row r="43" spans="2:20" ht="15.75">
      <c r="B43" s="317">
        <f t="shared" si="7"/>
        <v>36</v>
      </c>
      <c r="C43" s="317" t="str">
        <f>+'[84]Add21-22 (2)'!B221</f>
        <v>Aerocon Panels</v>
      </c>
      <c r="D43" s="317" t="str">
        <f>+'[84]Add21-22 (2)'!C221</f>
        <v>Sitammasagar</v>
      </c>
      <c r="E43" s="319">
        <f>+'[84]Add21-22 (2)'!M221</f>
        <v>163406.66</v>
      </c>
      <c r="F43" s="320"/>
      <c r="G43" s="319"/>
      <c r="H43" s="321">
        <f t="shared" si="2"/>
        <v>163406.66</v>
      </c>
      <c r="I43" s="730">
        <f>+'[84]Add21-22 (2)'!H221</f>
        <v>44553</v>
      </c>
      <c r="J43" s="728">
        <v>102134.75861849314</v>
      </c>
      <c r="K43" s="319">
        <f t="shared" si="0"/>
        <v>61271.901381506861</v>
      </c>
      <c r="L43" s="321">
        <f t="shared" si="9"/>
        <v>830</v>
      </c>
      <c r="M43" s="323">
        <v>2</v>
      </c>
      <c r="N43" s="319">
        <f t="shared" si="10"/>
        <v>2.2739726027397262</v>
      </c>
      <c r="O43" s="319">
        <f t="shared" si="4"/>
        <v>-0.27397260273972623</v>
      </c>
      <c r="P43" s="739">
        <f t="shared" si="8"/>
        <v>0.47499999999999998</v>
      </c>
      <c r="Q43" s="728">
        <v>60454.901381506861</v>
      </c>
      <c r="R43" s="319">
        <f t="shared" si="11"/>
        <v>817</v>
      </c>
      <c r="S43" s="319">
        <f t="shared" si="6"/>
        <v>817</v>
      </c>
      <c r="T43" s="326"/>
    </row>
    <row r="44" spans="2:20" ht="15.75">
      <c r="B44" s="317">
        <f t="shared" si="7"/>
        <v>37</v>
      </c>
      <c r="C44" s="317" t="str">
        <f>+'[84]Add21-22 (2)'!B222</f>
        <v>Door frame &amp; Bathroom shutter</v>
      </c>
      <c r="D44" s="317" t="str">
        <f>+'[84]Add21-22 (2)'!C222</f>
        <v>Sitammasagar</v>
      </c>
      <c r="E44" s="319">
        <f>+'[84]Add21-22 (2)'!M222</f>
        <v>32149</v>
      </c>
      <c r="F44" s="320"/>
      <c r="G44" s="319"/>
      <c r="H44" s="321">
        <f t="shared" si="2"/>
        <v>32149</v>
      </c>
      <c r="I44" s="730">
        <f>+'[84]Add21-22 (2)'!H222</f>
        <v>44553</v>
      </c>
      <c r="J44" s="728">
        <v>20094.225993150685</v>
      </c>
      <c r="K44" s="319">
        <f t="shared" si="0"/>
        <v>12054.774006849315</v>
      </c>
      <c r="L44" s="321">
        <f t="shared" si="9"/>
        <v>830</v>
      </c>
      <c r="M44" s="323">
        <v>2</v>
      </c>
      <c r="N44" s="319">
        <f t="shared" si="10"/>
        <v>2.2739726027397262</v>
      </c>
      <c r="O44" s="319">
        <f t="shared" si="4"/>
        <v>-0.27397260273972623</v>
      </c>
      <c r="P44" s="739">
        <f t="shared" si="8"/>
        <v>0.47499999999999998</v>
      </c>
      <c r="Q44" s="728">
        <v>11893.774006849315</v>
      </c>
      <c r="R44" s="319">
        <f t="shared" si="11"/>
        <v>161</v>
      </c>
      <c r="S44" s="319">
        <f t="shared" si="6"/>
        <v>161</v>
      </c>
      <c r="T44" s="326"/>
    </row>
    <row r="45" spans="2:20" ht="15.75">
      <c r="B45" s="317">
        <f t="shared" si="7"/>
        <v>38</v>
      </c>
      <c r="C45" s="317" t="str">
        <f>+'[84]Add21-22 (2)'!B223</f>
        <v>Door frame &amp; Bathroom shutter</v>
      </c>
      <c r="D45" s="317" t="str">
        <f>+'[84]Add21-22 (2)'!C223</f>
        <v>Sitammasagar</v>
      </c>
      <c r="E45" s="319">
        <f>+'[84]Add21-22 (2)'!M223</f>
        <v>191100</v>
      </c>
      <c r="F45" s="320"/>
      <c r="G45" s="319"/>
      <c r="H45" s="321">
        <f t="shared" si="2"/>
        <v>191100</v>
      </c>
      <c r="I45" s="730">
        <f>+'[84]Add21-22 (2)'!H223</f>
        <v>44553</v>
      </c>
      <c r="J45" s="728">
        <v>119444.04452054795</v>
      </c>
      <c r="K45" s="319">
        <f t="shared" si="0"/>
        <v>71655.955479452052</v>
      </c>
      <c r="L45" s="321">
        <f t="shared" si="9"/>
        <v>830</v>
      </c>
      <c r="M45" s="323">
        <v>2</v>
      </c>
      <c r="N45" s="319">
        <f t="shared" si="10"/>
        <v>2.2739726027397262</v>
      </c>
      <c r="O45" s="319">
        <f t="shared" si="4"/>
        <v>-0.27397260273972623</v>
      </c>
      <c r="P45" s="739">
        <f t="shared" si="8"/>
        <v>0.47499999999999998</v>
      </c>
      <c r="Q45" s="728">
        <v>70699.955479452052</v>
      </c>
      <c r="R45" s="319">
        <f t="shared" si="11"/>
        <v>956</v>
      </c>
      <c r="S45" s="319">
        <f t="shared" si="6"/>
        <v>956</v>
      </c>
      <c r="T45" s="326"/>
    </row>
    <row r="46" spans="2:20" ht="15.75">
      <c r="B46" s="317">
        <f t="shared" si="7"/>
        <v>39</v>
      </c>
      <c r="C46" s="317" t="str">
        <f>+'[84]Add21-22 (2)'!B224</f>
        <v>Aerocon Panels</v>
      </c>
      <c r="D46" s="317" t="str">
        <f>+'[84]Add21-22 (2)'!C224</f>
        <v>Sitammasagar</v>
      </c>
      <c r="E46" s="319">
        <f>+'[84]Add21-22 (2)'!M224</f>
        <v>65879</v>
      </c>
      <c r="F46" s="320"/>
      <c r="G46" s="319"/>
      <c r="H46" s="321">
        <f t="shared" si="2"/>
        <v>65879</v>
      </c>
      <c r="I46" s="730">
        <f>+'[84]Add21-22 (2)'!H224</f>
        <v>44553</v>
      </c>
      <c r="J46" s="728">
        <v>41176.631130136986</v>
      </c>
      <c r="K46" s="319">
        <f t="shared" si="0"/>
        <v>24702.368869863014</v>
      </c>
      <c r="L46" s="321">
        <f t="shared" si="9"/>
        <v>830</v>
      </c>
      <c r="M46" s="323">
        <v>2</v>
      </c>
      <c r="N46" s="319">
        <f t="shared" si="10"/>
        <v>2.2739726027397262</v>
      </c>
      <c r="O46" s="319">
        <f t="shared" si="4"/>
        <v>-0.27397260273972623</v>
      </c>
      <c r="P46" s="739">
        <f t="shared" si="8"/>
        <v>0.47499999999999998</v>
      </c>
      <c r="Q46" s="728">
        <v>24373.368869863014</v>
      </c>
      <c r="R46" s="319">
        <f t="shared" si="11"/>
        <v>329</v>
      </c>
      <c r="S46" s="319">
        <f t="shared" si="6"/>
        <v>329</v>
      </c>
      <c r="T46" s="326"/>
    </row>
    <row r="47" spans="2:20" ht="15.75">
      <c r="B47" s="317">
        <f t="shared" si="7"/>
        <v>40</v>
      </c>
      <c r="C47" s="317" t="str">
        <f>+'[84]Add21-22 (2)'!B225</f>
        <v>Door frame &amp; Bathroom shutter</v>
      </c>
      <c r="D47" s="317" t="str">
        <f>+'[84]Add21-22 (2)'!C225</f>
        <v>Sitammasagar</v>
      </c>
      <c r="E47" s="319">
        <f>+'[84]Add21-22 (2)'!M225</f>
        <v>252075</v>
      </c>
      <c r="F47" s="320"/>
      <c r="G47" s="319"/>
      <c r="H47" s="321">
        <f t="shared" si="2"/>
        <v>252075</v>
      </c>
      <c r="I47" s="730">
        <f>+'[84]Add21-22 (2)'!H225</f>
        <v>44634</v>
      </c>
      <c r="J47" s="728">
        <v>130984.04023972603</v>
      </c>
      <c r="K47" s="319">
        <f t="shared" si="0"/>
        <v>121090.95976027397</v>
      </c>
      <c r="L47" s="321">
        <f t="shared" si="9"/>
        <v>749</v>
      </c>
      <c r="M47" s="323">
        <v>2</v>
      </c>
      <c r="N47" s="319">
        <f t="shared" si="10"/>
        <v>2.0520547945205481</v>
      </c>
      <c r="O47" s="319">
        <f t="shared" si="4"/>
        <v>-5.2054794520548064E-2</v>
      </c>
      <c r="P47" s="739">
        <f t="shared" si="8"/>
        <v>0.47499999999999998</v>
      </c>
      <c r="Q47" s="728">
        <v>119830.95976027397</v>
      </c>
      <c r="R47" s="319">
        <f t="shared" si="11"/>
        <v>1260</v>
      </c>
      <c r="S47" s="319">
        <f t="shared" si="6"/>
        <v>1260</v>
      </c>
      <c r="T47" s="326"/>
    </row>
    <row r="48" spans="2:20" ht="15.75">
      <c r="B48" s="317">
        <f t="shared" si="7"/>
        <v>41</v>
      </c>
      <c r="C48" s="317" t="str">
        <f>+'[84]Add21-22 (2)'!B226</f>
        <v>MS door &amp; Cement jali</v>
      </c>
      <c r="D48" s="317" t="str">
        <f>+'[84]Add21-22 (2)'!C226</f>
        <v>kammam Devarapally-Package IV</v>
      </c>
      <c r="E48" s="319">
        <f>+'[84]Add21-22 (2)'!M226</f>
        <v>28160</v>
      </c>
      <c r="F48" s="320"/>
      <c r="G48" s="319"/>
      <c r="H48" s="321">
        <f t="shared" si="2"/>
        <v>28160</v>
      </c>
      <c r="I48" s="730">
        <f>+'[84]Add21-22 (2)'!H226</f>
        <v>44645</v>
      </c>
      <c r="J48" s="728">
        <v>14229.479452054795</v>
      </c>
      <c r="K48" s="319">
        <f t="shared" si="0"/>
        <v>13930.520547945205</v>
      </c>
      <c r="L48" s="321">
        <f t="shared" si="9"/>
        <v>738</v>
      </c>
      <c r="M48" s="323">
        <v>2</v>
      </c>
      <c r="N48" s="319">
        <f t="shared" si="10"/>
        <v>2.021917808219178</v>
      </c>
      <c r="O48" s="319">
        <f t="shared" si="4"/>
        <v>-2.1917808219177992E-2</v>
      </c>
      <c r="P48" s="739">
        <f t="shared" si="8"/>
        <v>0.47499999999999998</v>
      </c>
      <c r="Q48" s="728">
        <v>13789.520547945205</v>
      </c>
      <c r="R48" s="319">
        <f t="shared" si="11"/>
        <v>141</v>
      </c>
      <c r="S48" s="319">
        <f t="shared" si="6"/>
        <v>141</v>
      </c>
      <c r="T48" s="326"/>
    </row>
    <row r="49" spans="2:20" ht="15.75">
      <c r="B49" s="317">
        <f t="shared" si="7"/>
        <v>42</v>
      </c>
      <c r="C49" s="317" t="str">
        <f>+'[84]Add21-22 (2)'!B227</f>
        <v>GC Sheets</v>
      </c>
      <c r="D49" s="317" t="str">
        <f>+'[84]Add21-22 (2)'!C227</f>
        <v>kammam Devarapally-Package IV</v>
      </c>
      <c r="E49" s="319">
        <f>+'[84]Add21-22 (2)'!M227</f>
        <v>745550</v>
      </c>
      <c r="F49" s="320"/>
      <c r="G49" s="319"/>
      <c r="H49" s="321">
        <f t="shared" si="2"/>
        <v>745550</v>
      </c>
      <c r="I49" s="730">
        <f>+'[84]Add21-22 (2)'!H227</f>
        <v>44645</v>
      </c>
      <c r="J49" s="728">
        <v>376732.54280821915</v>
      </c>
      <c r="K49" s="319">
        <f t="shared" si="0"/>
        <v>368817.45719178085</v>
      </c>
      <c r="L49" s="321">
        <f t="shared" si="9"/>
        <v>738</v>
      </c>
      <c r="M49" s="323">
        <v>2</v>
      </c>
      <c r="N49" s="319">
        <f t="shared" si="10"/>
        <v>2.021917808219178</v>
      </c>
      <c r="O49" s="319">
        <f t="shared" si="4"/>
        <v>-2.1917808219177992E-2</v>
      </c>
      <c r="P49" s="739">
        <f t="shared" si="8"/>
        <v>0.47499999999999998</v>
      </c>
      <c r="Q49" s="728">
        <v>365089.45719178085</v>
      </c>
      <c r="R49" s="319">
        <f t="shared" si="11"/>
        <v>3728</v>
      </c>
      <c r="S49" s="319">
        <f t="shared" si="6"/>
        <v>3728</v>
      </c>
      <c r="T49" s="326"/>
    </row>
    <row r="50" spans="2:20" ht="15.75">
      <c r="B50" s="317">
        <f t="shared" si="7"/>
        <v>43</v>
      </c>
      <c r="C50" s="317" t="str">
        <f>+'[84]Add21-22 (2)'!B228</f>
        <v>50 Mm GI Channels</v>
      </c>
      <c r="D50" s="317" t="str">
        <f>+'[84]Add21-22 (2)'!C228</f>
        <v>kammam Devarapally-Package IV</v>
      </c>
      <c r="E50" s="319">
        <f>+'[84]Add21-22 (2)'!M228</f>
        <v>80500</v>
      </c>
      <c r="F50" s="320"/>
      <c r="G50" s="319"/>
      <c r="H50" s="321">
        <f t="shared" si="2"/>
        <v>80500</v>
      </c>
      <c r="I50" s="730">
        <f>+'[84]Add21-22 (2)'!H228</f>
        <v>44645</v>
      </c>
      <c r="J50" s="728">
        <v>40677.311643835616</v>
      </c>
      <c r="K50" s="319">
        <f t="shared" si="0"/>
        <v>39822.688356164384</v>
      </c>
      <c r="L50" s="321">
        <f t="shared" si="9"/>
        <v>738</v>
      </c>
      <c r="M50" s="323">
        <v>2</v>
      </c>
      <c r="N50" s="319">
        <f t="shared" si="10"/>
        <v>2.021917808219178</v>
      </c>
      <c r="O50" s="319">
        <f t="shared" si="4"/>
        <v>-2.1917808219177992E-2</v>
      </c>
      <c r="P50" s="739">
        <f t="shared" si="8"/>
        <v>0.47499999999999998</v>
      </c>
      <c r="Q50" s="728">
        <v>39419.688356164384</v>
      </c>
      <c r="R50" s="319">
        <f t="shared" si="11"/>
        <v>403</v>
      </c>
      <c r="S50" s="319">
        <f t="shared" si="6"/>
        <v>403</v>
      </c>
      <c r="T50" s="326"/>
    </row>
    <row r="51" spans="2:20" ht="15.75">
      <c r="B51" s="317">
        <f t="shared" si="7"/>
        <v>44</v>
      </c>
      <c r="C51" s="317" t="str">
        <f>+'[84]Add21-22 (2)'!B229</f>
        <v>Aerocon Panels</v>
      </c>
      <c r="D51" s="317" t="str">
        <f>+'[84]Add21-22 (2)'!C229</f>
        <v>kammam Devarapally-Package IV</v>
      </c>
      <c r="E51" s="319">
        <f>+'[84]Add21-22 (2)'!M229</f>
        <v>214995</v>
      </c>
      <c r="F51" s="320"/>
      <c r="G51" s="319"/>
      <c r="H51" s="321">
        <f t="shared" si="2"/>
        <v>214995</v>
      </c>
      <c r="I51" s="730">
        <f>+'[84]Add21-22 (2)'!H229</f>
        <v>44645</v>
      </c>
      <c r="J51" s="728">
        <v>108638.74058219178</v>
      </c>
      <c r="K51" s="319">
        <f t="shared" si="0"/>
        <v>106356.25941780822</v>
      </c>
      <c r="L51" s="321">
        <f t="shared" si="9"/>
        <v>738</v>
      </c>
      <c r="M51" s="323">
        <v>2</v>
      </c>
      <c r="N51" s="319">
        <f t="shared" si="10"/>
        <v>2.021917808219178</v>
      </c>
      <c r="O51" s="319">
        <f t="shared" si="4"/>
        <v>-2.1917808219177992E-2</v>
      </c>
      <c r="P51" s="739">
        <f t="shared" si="8"/>
        <v>0.47499999999999998</v>
      </c>
      <c r="Q51" s="728">
        <v>105281.25941780822</v>
      </c>
      <c r="R51" s="319">
        <f t="shared" si="11"/>
        <v>1075</v>
      </c>
      <c r="S51" s="319">
        <f t="shared" si="6"/>
        <v>1075</v>
      </c>
      <c r="T51" s="326"/>
    </row>
    <row r="52" spans="2:20" ht="15.75">
      <c r="B52" s="317">
        <f t="shared" si="7"/>
        <v>45</v>
      </c>
      <c r="C52" s="317" t="str">
        <f>+'[84]Add21-22 (2)'!B230</f>
        <v>Aerocon Panels</v>
      </c>
      <c r="D52" s="317" t="str">
        <f>+'[84]Add21-22 (2)'!C230</f>
        <v>kammam Devarapally-Package IV</v>
      </c>
      <c r="E52" s="319">
        <f>+'[84]Add21-22 (2)'!M230</f>
        <v>214995</v>
      </c>
      <c r="F52" s="320"/>
      <c r="G52" s="319"/>
      <c r="H52" s="321">
        <f t="shared" si="2"/>
        <v>214995</v>
      </c>
      <c r="I52" s="730">
        <f>+'[84]Add21-22 (2)'!H230</f>
        <v>44645</v>
      </c>
      <c r="J52" s="728">
        <v>108638.74058219178</v>
      </c>
      <c r="K52" s="319">
        <f t="shared" si="0"/>
        <v>106356.25941780822</v>
      </c>
      <c r="L52" s="321">
        <f t="shared" si="9"/>
        <v>738</v>
      </c>
      <c r="M52" s="323">
        <v>2</v>
      </c>
      <c r="N52" s="319">
        <f t="shared" si="10"/>
        <v>2.021917808219178</v>
      </c>
      <c r="O52" s="319">
        <f t="shared" si="4"/>
        <v>-2.1917808219177992E-2</v>
      </c>
      <c r="P52" s="739">
        <f t="shared" si="8"/>
        <v>0.47499999999999998</v>
      </c>
      <c r="Q52" s="728">
        <v>105281.25941780822</v>
      </c>
      <c r="R52" s="319">
        <f t="shared" si="11"/>
        <v>1075</v>
      </c>
      <c r="S52" s="319">
        <f t="shared" si="6"/>
        <v>1075</v>
      </c>
      <c r="T52" s="326"/>
    </row>
    <row r="53" spans="2:20" ht="15.75">
      <c r="B53" s="317">
        <f t="shared" si="7"/>
        <v>46</v>
      </c>
      <c r="C53" s="317" t="str">
        <f>+'[84]Add21-22 (2)'!B231</f>
        <v>Main door frames and shutters</v>
      </c>
      <c r="D53" s="317" t="str">
        <f>+'[84]Add21-22 (2)'!C231</f>
        <v>kammam Devarapally-Package IV</v>
      </c>
      <c r="E53" s="319">
        <f>+'[84]Add21-22 (2)'!M231</f>
        <v>528250</v>
      </c>
      <c r="F53" s="320"/>
      <c r="G53" s="319"/>
      <c r="H53" s="321">
        <f t="shared" si="2"/>
        <v>528250</v>
      </c>
      <c r="I53" s="730">
        <f>+'[84]Add21-22 (2)'!H231</f>
        <v>44645</v>
      </c>
      <c r="J53" s="728">
        <v>266929.06678082194</v>
      </c>
      <c r="K53" s="319">
        <f t="shared" si="0"/>
        <v>261320.93321917806</v>
      </c>
      <c r="L53" s="321">
        <f t="shared" si="9"/>
        <v>738</v>
      </c>
      <c r="M53" s="323">
        <v>2</v>
      </c>
      <c r="N53" s="319">
        <f t="shared" si="10"/>
        <v>2.021917808219178</v>
      </c>
      <c r="O53" s="319">
        <f t="shared" si="4"/>
        <v>-2.1917808219177992E-2</v>
      </c>
      <c r="P53" s="739">
        <f t="shared" si="8"/>
        <v>0.47499999999999998</v>
      </c>
      <c r="Q53" s="728">
        <v>258679.93321917806</v>
      </c>
      <c r="R53" s="319">
        <f t="shared" si="11"/>
        <v>2641</v>
      </c>
      <c r="S53" s="319">
        <f t="shared" si="6"/>
        <v>2641</v>
      </c>
      <c r="T53" s="326"/>
    </row>
    <row r="54" spans="2:20" ht="15.75">
      <c r="B54" s="317">
        <f t="shared" si="7"/>
        <v>47</v>
      </c>
      <c r="C54" s="317" t="str">
        <f>+'[84]Add21-22 (2)'!B232</f>
        <v xml:space="preserve">MS door </v>
      </c>
      <c r="D54" s="317" t="str">
        <f>+'[84]Add21-22 (2)'!C232</f>
        <v>kammam Devarapally-Package IV</v>
      </c>
      <c r="E54" s="319">
        <f>+'[84]Add21-22 (2)'!M232</f>
        <v>25200</v>
      </c>
      <c r="F54" s="320"/>
      <c r="G54" s="319"/>
      <c r="H54" s="321">
        <f t="shared" si="2"/>
        <v>25200</v>
      </c>
      <c r="I54" s="730">
        <f>+'[84]Add21-22 (2)'!H232</f>
        <v>44645</v>
      </c>
      <c r="J54" s="728">
        <v>12733.767123287671</v>
      </c>
      <c r="K54" s="319">
        <f t="shared" si="0"/>
        <v>12466.232876712329</v>
      </c>
      <c r="L54" s="321">
        <f t="shared" si="9"/>
        <v>738</v>
      </c>
      <c r="M54" s="323">
        <v>2</v>
      </c>
      <c r="N54" s="319">
        <f t="shared" si="10"/>
        <v>2.021917808219178</v>
      </c>
      <c r="O54" s="319">
        <f t="shared" si="4"/>
        <v>-2.1917808219177992E-2</v>
      </c>
      <c r="P54" s="739">
        <f t="shared" si="8"/>
        <v>0.47499999999999998</v>
      </c>
      <c r="Q54" s="728">
        <v>12340.232876712329</v>
      </c>
      <c r="R54" s="319">
        <f t="shared" si="11"/>
        <v>126</v>
      </c>
      <c r="S54" s="319">
        <f t="shared" si="6"/>
        <v>126</v>
      </c>
      <c r="T54" s="326"/>
    </row>
    <row r="55" spans="2:20" ht="15.75">
      <c r="B55" s="317">
        <f t="shared" si="7"/>
        <v>48</v>
      </c>
      <c r="C55" s="317" t="str">
        <f>+'[84]Add21-22 (2)'!B233</f>
        <v>colour coated profile sheets</v>
      </c>
      <c r="D55" s="317" t="str">
        <f>+'[84]Add21-22 (2)'!C233</f>
        <v>kammam Devarapally-Package IV</v>
      </c>
      <c r="E55" s="319">
        <f>+'[84]Add21-22 (2)'!M233</f>
        <v>1096735</v>
      </c>
      <c r="F55" s="320"/>
      <c r="G55" s="319"/>
      <c r="H55" s="321">
        <f t="shared" si="2"/>
        <v>1096735</v>
      </c>
      <c r="I55" s="730">
        <f>+'[84]Add21-22 (2)'!H233</f>
        <v>44645</v>
      </c>
      <c r="J55" s="728">
        <v>554189.20976027392</v>
      </c>
      <c r="K55" s="319">
        <f t="shared" si="0"/>
        <v>542545.79023972608</v>
      </c>
      <c r="L55" s="321">
        <f t="shared" si="9"/>
        <v>738</v>
      </c>
      <c r="M55" s="323">
        <v>2</v>
      </c>
      <c r="N55" s="319">
        <f t="shared" si="10"/>
        <v>2.021917808219178</v>
      </c>
      <c r="O55" s="319">
        <f t="shared" si="4"/>
        <v>-2.1917808219177992E-2</v>
      </c>
      <c r="P55" s="739">
        <f t="shared" si="8"/>
        <v>0.47499999999999998</v>
      </c>
      <c r="Q55" s="728">
        <v>537061.79023972608</v>
      </c>
      <c r="R55" s="319">
        <f t="shared" si="11"/>
        <v>5484</v>
      </c>
      <c r="S55" s="319">
        <f t="shared" si="6"/>
        <v>5484</v>
      </c>
      <c r="T55" s="326"/>
    </row>
    <row r="56" spans="2:20" ht="15.75">
      <c r="B56" s="317">
        <f t="shared" si="7"/>
        <v>49</v>
      </c>
      <c r="C56" s="317" t="str">
        <f>+'[84]Add21-22 (2)'!B234</f>
        <v>Aerocon Panels</v>
      </c>
      <c r="D56" s="317" t="str">
        <f>+'[84]Add21-22 (2)'!C234</f>
        <v>kammam Devarapally-Package IV</v>
      </c>
      <c r="E56" s="319">
        <f>+'[84]Add21-22 (2)'!M234</f>
        <v>222204</v>
      </c>
      <c r="F56" s="320"/>
      <c r="G56" s="319"/>
      <c r="H56" s="321">
        <f t="shared" si="2"/>
        <v>222204</v>
      </c>
      <c r="I56" s="730">
        <f>+'[84]Add21-22 (2)'!H234</f>
        <v>44645</v>
      </c>
      <c r="J56" s="728">
        <v>112281.50753424659</v>
      </c>
      <c r="K56" s="319">
        <f t="shared" si="0"/>
        <v>109922.49246575341</v>
      </c>
      <c r="L56" s="321">
        <f t="shared" si="9"/>
        <v>738</v>
      </c>
      <c r="M56" s="323">
        <v>2</v>
      </c>
      <c r="N56" s="319">
        <f t="shared" si="10"/>
        <v>2.021917808219178</v>
      </c>
      <c r="O56" s="319">
        <f t="shared" si="4"/>
        <v>-2.1917808219177992E-2</v>
      </c>
      <c r="P56" s="739">
        <f t="shared" si="8"/>
        <v>0.47499999999999998</v>
      </c>
      <c r="Q56" s="728">
        <v>108811.49246575341</v>
      </c>
      <c r="R56" s="319">
        <f t="shared" si="11"/>
        <v>1111</v>
      </c>
      <c r="S56" s="319">
        <f t="shared" si="6"/>
        <v>1111</v>
      </c>
      <c r="T56" s="326"/>
    </row>
    <row r="57" spans="2:20" ht="15.75">
      <c r="B57" s="317">
        <f t="shared" si="7"/>
        <v>50</v>
      </c>
      <c r="C57" s="317" t="str">
        <f>+'[84]Add21-22 (2)'!B235</f>
        <v>Aerocon Panels</v>
      </c>
      <c r="D57" s="317" t="str">
        <f>+'[84]Add21-22 (2)'!C235</f>
        <v>kammam Devarapally-Package IV</v>
      </c>
      <c r="E57" s="319">
        <f>+'[84]Add21-22 (2)'!M235</f>
        <v>207684</v>
      </c>
      <c r="F57" s="320"/>
      <c r="G57" s="319"/>
      <c r="H57" s="321">
        <f t="shared" si="2"/>
        <v>207684</v>
      </c>
      <c r="I57" s="730">
        <f>+'[84]Add21-22 (2)'!H235</f>
        <v>44645</v>
      </c>
      <c r="J57" s="728">
        <v>104944.43219178081</v>
      </c>
      <c r="K57" s="319">
        <f t="shared" si="0"/>
        <v>102739.56780821919</v>
      </c>
      <c r="L57" s="321">
        <f t="shared" si="9"/>
        <v>738</v>
      </c>
      <c r="M57" s="323">
        <v>2</v>
      </c>
      <c r="N57" s="319">
        <f t="shared" si="10"/>
        <v>2.021917808219178</v>
      </c>
      <c r="O57" s="319">
        <f t="shared" si="4"/>
        <v>-2.1917808219177992E-2</v>
      </c>
      <c r="P57" s="739">
        <f t="shared" si="8"/>
        <v>0.47499999999999998</v>
      </c>
      <c r="Q57" s="728">
        <v>101701.56780821919</v>
      </c>
      <c r="R57" s="319">
        <f t="shared" si="11"/>
        <v>1038</v>
      </c>
      <c r="S57" s="319">
        <f t="shared" si="6"/>
        <v>1038</v>
      </c>
      <c r="T57" s="326"/>
    </row>
    <row r="58" spans="2:20" ht="15.75">
      <c r="B58" s="317">
        <f t="shared" si="7"/>
        <v>51</v>
      </c>
      <c r="C58" s="317" t="str">
        <f>+'[84]Add21-22 (2)'!B236</f>
        <v>Main door frames and window frames</v>
      </c>
      <c r="D58" s="317" t="str">
        <f>+'[84]Add21-22 (2)'!C236</f>
        <v>kammam Devarapally-Package IV</v>
      </c>
      <c r="E58" s="319">
        <f>+'[84]Add21-22 (2)'!M236</f>
        <v>143076</v>
      </c>
      <c r="F58" s="320"/>
      <c r="G58" s="319"/>
      <c r="H58" s="321">
        <f t="shared" si="2"/>
        <v>143076</v>
      </c>
      <c r="I58" s="730">
        <f>+'[84]Add21-22 (2)'!H236</f>
        <v>44645</v>
      </c>
      <c r="J58" s="728">
        <v>72297.478767123292</v>
      </c>
      <c r="K58" s="319">
        <f t="shared" si="0"/>
        <v>70778.521232876708</v>
      </c>
      <c r="L58" s="321">
        <f t="shared" si="9"/>
        <v>738</v>
      </c>
      <c r="M58" s="323">
        <v>2</v>
      </c>
      <c r="N58" s="319">
        <f t="shared" si="10"/>
        <v>2.021917808219178</v>
      </c>
      <c r="O58" s="319">
        <f t="shared" si="4"/>
        <v>-2.1917808219177992E-2</v>
      </c>
      <c r="P58" s="739">
        <f t="shared" si="8"/>
        <v>0.47499999999999998</v>
      </c>
      <c r="Q58" s="728">
        <v>70063.521232876708</v>
      </c>
      <c r="R58" s="319">
        <f t="shared" si="11"/>
        <v>715</v>
      </c>
      <c r="S58" s="319">
        <f t="shared" si="6"/>
        <v>715</v>
      </c>
      <c r="T58" s="326"/>
    </row>
    <row r="59" spans="2:20" ht="15.75">
      <c r="B59" s="317">
        <f t="shared" si="7"/>
        <v>52</v>
      </c>
      <c r="C59" s="317" t="str">
        <f>+'[84]Add21-22 (2)'!B237</f>
        <v>tiles</v>
      </c>
      <c r="D59" s="317" t="str">
        <f>+'[84]Add21-22 (2)'!C237</f>
        <v>kammam Devarapally-Package IV</v>
      </c>
      <c r="E59" s="319">
        <f>+'[84]Add21-22 (2)'!M237</f>
        <v>15960</v>
      </c>
      <c r="F59" s="320"/>
      <c r="G59" s="319"/>
      <c r="H59" s="321">
        <f t="shared" si="2"/>
        <v>15960</v>
      </c>
      <c r="I59" s="730">
        <f>+'[84]Add21-22 (2)'!H237</f>
        <v>44645</v>
      </c>
      <c r="J59" s="728">
        <v>8064.7191780821922</v>
      </c>
      <c r="K59" s="319">
        <f t="shared" si="0"/>
        <v>7895.2808219178078</v>
      </c>
      <c r="L59" s="321">
        <f t="shared" si="9"/>
        <v>738</v>
      </c>
      <c r="M59" s="323">
        <v>2</v>
      </c>
      <c r="N59" s="319">
        <f t="shared" si="10"/>
        <v>2.021917808219178</v>
      </c>
      <c r="O59" s="319">
        <f t="shared" si="4"/>
        <v>-2.1917808219177992E-2</v>
      </c>
      <c r="P59" s="739">
        <f t="shared" si="8"/>
        <v>0.47499999999999998</v>
      </c>
      <c r="Q59" s="728">
        <v>7815.2808219178078</v>
      </c>
      <c r="R59" s="319">
        <f t="shared" si="11"/>
        <v>80</v>
      </c>
      <c r="S59" s="319">
        <f t="shared" si="6"/>
        <v>80</v>
      </c>
      <c r="T59" s="326"/>
    </row>
    <row r="60" spans="2:20" ht="15.75">
      <c r="B60" s="317">
        <f t="shared" si="7"/>
        <v>53</v>
      </c>
      <c r="C60" s="317" t="str">
        <f>+'[84]Add21-22 (2)'!B238</f>
        <v>tiles</v>
      </c>
      <c r="D60" s="317" t="str">
        <f>+'[84]Add21-22 (2)'!C238</f>
        <v>kammam Devarapally-Package IV</v>
      </c>
      <c r="E60" s="319">
        <f>+'[84]Add21-22 (2)'!M238</f>
        <v>239068</v>
      </c>
      <c r="F60" s="320"/>
      <c r="G60" s="319"/>
      <c r="H60" s="321">
        <f t="shared" si="2"/>
        <v>239068</v>
      </c>
      <c r="I60" s="730">
        <f>+'[84]Add21-22 (2)'!H238</f>
        <v>44645</v>
      </c>
      <c r="J60" s="728">
        <v>120803.02534246576</v>
      </c>
      <c r="K60" s="319">
        <f t="shared" si="0"/>
        <v>118264.97465753424</v>
      </c>
      <c r="L60" s="321">
        <f t="shared" si="9"/>
        <v>738</v>
      </c>
      <c r="M60" s="323">
        <v>2</v>
      </c>
      <c r="N60" s="319">
        <f t="shared" si="10"/>
        <v>2.021917808219178</v>
      </c>
      <c r="O60" s="319">
        <f t="shared" si="4"/>
        <v>-2.1917808219177992E-2</v>
      </c>
      <c r="P60" s="739">
        <f t="shared" si="8"/>
        <v>0.47499999999999998</v>
      </c>
      <c r="Q60" s="728">
        <v>117069.97465753424</v>
      </c>
      <c r="R60" s="319">
        <f t="shared" si="11"/>
        <v>1195</v>
      </c>
      <c r="S60" s="319">
        <f t="shared" si="6"/>
        <v>1195</v>
      </c>
      <c r="T60" s="326"/>
    </row>
    <row r="61" spans="2:20" ht="15.75">
      <c r="B61" s="317">
        <f t="shared" si="7"/>
        <v>54</v>
      </c>
      <c r="C61" s="317" t="str">
        <f>+'[84]Add21-22 (2)'!B239</f>
        <v>ms pipe square</v>
      </c>
      <c r="D61" s="317" t="str">
        <f>+'[84]Add21-22 (2)'!C239</f>
        <v>kammam Devarapally-Package IV</v>
      </c>
      <c r="E61" s="319">
        <f>+'[84]Add21-22 (2)'!M239</f>
        <v>112200</v>
      </c>
      <c r="F61" s="320"/>
      <c r="G61" s="319"/>
      <c r="H61" s="321">
        <f t="shared" si="2"/>
        <v>112200</v>
      </c>
      <c r="I61" s="730">
        <f>+'[84]Add21-22 (2)'!H239</f>
        <v>44645</v>
      </c>
      <c r="J61" s="728">
        <v>56695.582191780821</v>
      </c>
      <c r="K61" s="319">
        <f t="shared" si="0"/>
        <v>55504.417808219179</v>
      </c>
      <c r="L61" s="321">
        <f t="shared" si="9"/>
        <v>738</v>
      </c>
      <c r="M61" s="323">
        <v>2</v>
      </c>
      <c r="N61" s="319">
        <f t="shared" si="10"/>
        <v>2.021917808219178</v>
      </c>
      <c r="O61" s="319">
        <f t="shared" si="4"/>
        <v>-2.1917808219177992E-2</v>
      </c>
      <c r="P61" s="739">
        <f t="shared" si="8"/>
        <v>0.47499999999999998</v>
      </c>
      <c r="Q61" s="728">
        <v>54943.417808219179</v>
      </c>
      <c r="R61" s="319">
        <f t="shared" si="11"/>
        <v>561</v>
      </c>
      <c r="S61" s="319">
        <f t="shared" si="6"/>
        <v>561</v>
      </c>
      <c r="T61" s="326"/>
    </row>
    <row r="62" spans="2:20" ht="15.75">
      <c r="B62" s="317">
        <f t="shared" si="7"/>
        <v>55</v>
      </c>
      <c r="C62" s="317" t="str">
        <f>+'[84]Add21-22 (2)'!B240</f>
        <v>ms pipe square</v>
      </c>
      <c r="D62" s="317" t="str">
        <f>+'[84]Add21-22 (2)'!C240</f>
        <v>kammam Devarapally-Package IV</v>
      </c>
      <c r="E62" s="319">
        <f>+'[84]Add21-22 (2)'!M240</f>
        <v>96720</v>
      </c>
      <c r="F62" s="320"/>
      <c r="G62" s="319"/>
      <c r="H62" s="321">
        <f t="shared" si="2"/>
        <v>96720</v>
      </c>
      <c r="I62" s="730">
        <f>+'[84]Add21-22 (2)'!H240</f>
        <v>44645</v>
      </c>
      <c r="J62" s="728">
        <v>48873.410958904104</v>
      </c>
      <c r="K62" s="319">
        <f t="shared" si="0"/>
        <v>47846.589041095896</v>
      </c>
      <c r="L62" s="321">
        <f t="shared" si="9"/>
        <v>738</v>
      </c>
      <c r="M62" s="323">
        <v>2</v>
      </c>
      <c r="N62" s="319">
        <f t="shared" si="10"/>
        <v>2.021917808219178</v>
      </c>
      <c r="O62" s="319">
        <f t="shared" si="4"/>
        <v>-2.1917808219177992E-2</v>
      </c>
      <c r="P62" s="739">
        <f t="shared" si="8"/>
        <v>0.47499999999999998</v>
      </c>
      <c r="Q62" s="728">
        <v>47362.589041095896</v>
      </c>
      <c r="R62" s="319">
        <f t="shared" si="11"/>
        <v>484</v>
      </c>
      <c r="S62" s="319">
        <f t="shared" si="6"/>
        <v>484</v>
      </c>
      <c r="T62" s="326"/>
    </row>
    <row r="63" spans="2:20" ht="15.75">
      <c r="B63" s="317">
        <f t="shared" si="7"/>
        <v>56</v>
      </c>
      <c r="C63" s="317" t="str">
        <f>+'[84]Add21-22 (2)'!B241</f>
        <v>Aerocon Panels</v>
      </c>
      <c r="D63" s="317" t="str">
        <f>+'[84]Add21-22 (2)'!C241</f>
        <v>kammam Devarapally-Package IV</v>
      </c>
      <c r="E63" s="319">
        <f>+'[84]Add21-22 (2)'!M241</f>
        <v>224404</v>
      </c>
      <c r="F63" s="320"/>
      <c r="G63" s="319"/>
      <c r="H63" s="321">
        <f t="shared" si="2"/>
        <v>224404</v>
      </c>
      <c r="I63" s="730">
        <f>+'[84]Add21-22 (2)'!H241</f>
        <v>44645</v>
      </c>
      <c r="J63" s="728">
        <v>113393.18561643836</v>
      </c>
      <c r="K63" s="319">
        <f t="shared" si="0"/>
        <v>111010.81438356164</v>
      </c>
      <c r="L63" s="321">
        <f t="shared" si="9"/>
        <v>738</v>
      </c>
      <c r="M63" s="323">
        <v>2</v>
      </c>
      <c r="N63" s="319">
        <f t="shared" si="10"/>
        <v>2.021917808219178</v>
      </c>
      <c r="O63" s="319">
        <f t="shared" si="4"/>
        <v>-2.1917808219177992E-2</v>
      </c>
      <c r="P63" s="739">
        <f t="shared" si="8"/>
        <v>0.47499999999999998</v>
      </c>
      <c r="Q63" s="728">
        <v>109888.81438356164</v>
      </c>
      <c r="R63" s="319">
        <f t="shared" si="11"/>
        <v>1122</v>
      </c>
      <c r="S63" s="319">
        <f t="shared" si="6"/>
        <v>1122</v>
      </c>
      <c r="T63" s="326"/>
    </row>
    <row r="64" spans="2:20" ht="15.75">
      <c r="B64" s="317">
        <f t="shared" si="7"/>
        <v>57</v>
      </c>
      <c r="C64" s="317" t="str">
        <f>+'[84]Add21-22 (2)'!B242</f>
        <v>Aerocon Panels</v>
      </c>
      <c r="D64" s="317" t="str">
        <f>+'[84]Add21-22 (2)'!C242</f>
        <v>kammam Devarapally-Package IV</v>
      </c>
      <c r="E64" s="319">
        <f>+'[84]Add21-22 (2)'!M242</f>
        <v>208564</v>
      </c>
      <c r="F64" s="320"/>
      <c r="G64" s="319"/>
      <c r="H64" s="321">
        <f t="shared" si="2"/>
        <v>208564</v>
      </c>
      <c r="I64" s="730">
        <f>+'[84]Add21-22 (2)'!H242</f>
        <v>44645</v>
      </c>
      <c r="J64" s="728">
        <v>105389.10342465753</v>
      </c>
      <c r="K64" s="319">
        <f t="shared" si="0"/>
        <v>103174.89657534247</v>
      </c>
      <c r="L64" s="321">
        <f t="shared" si="9"/>
        <v>738</v>
      </c>
      <c r="M64" s="323">
        <v>2</v>
      </c>
      <c r="N64" s="319">
        <f t="shared" si="10"/>
        <v>2.021917808219178</v>
      </c>
      <c r="O64" s="319">
        <f t="shared" si="4"/>
        <v>-2.1917808219177992E-2</v>
      </c>
      <c r="P64" s="739">
        <f t="shared" si="8"/>
        <v>0.47499999999999998</v>
      </c>
      <c r="Q64" s="728">
        <v>102131.89657534247</v>
      </c>
      <c r="R64" s="319">
        <f t="shared" si="11"/>
        <v>1043</v>
      </c>
      <c r="S64" s="319">
        <f t="shared" si="6"/>
        <v>1043</v>
      </c>
      <c r="T64" s="326"/>
    </row>
    <row r="65" spans="2:20" ht="15.75">
      <c r="B65" s="317">
        <f t="shared" si="7"/>
        <v>58</v>
      </c>
      <c r="C65" s="317" t="str">
        <f>+'[84]Add21-22 (2)'!B243</f>
        <v>Aerocon Panels</v>
      </c>
      <c r="D65" s="317" t="str">
        <f>+'[84]Add21-22 (2)'!C243</f>
        <v>kammam Devarapally-Package IV</v>
      </c>
      <c r="E65" s="319">
        <f>+'[84]Add21-22 (2)'!M243</f>
        <v>224404</v>
      </c>
      <c r="F65" s="320"/>
      <c r="G65" s="319"/>
      <c r="H65" s="321">
        <f t="shared" si="2"/>
        <v>224404</v>
      </c>
      <c r="I65" s="730">
        <f>+'[84]Add21-22 (2)'!H243</f>
        <v>44645</v>
      </c>
      <c r="J65" s="728">
        <v>113393.18561643836</v>
      </c>
      <c r="K65" s="319">
        <f t="shared" si="0"/>
        <v>111010.81438356164</v>
      </c>
      <c r="L65" s="321">
        <f t="shared" si="9"/>
        <v>738</v>
      </c>
      <c r="M65" s="323">
        <v>2</v>
      </c>
      <c r="N65" s="319">
        <f t="shared" si="10"/>
        <v>2.021917808219178</v>
      </c>
      <c r="O65" s="319">
        <f t="shared" si="4"/>
        <v>-2.1917808219177992E-2</v>
      </c>
      <c r="P65" s="739">
        <f t="shared" si="8"/>
        <v>0.47499999999999998</v>
      </c>
      <c r="Q65" s="728">
        <v>109888.81438356164</v>
      </c>
      <c r="R65" s="319">
        <f t="shared" si="11"/>
        <v>1122</v>
      </c>
      <c r="S65" s="319">
        <f t="shared" si="6"/>
        <v>1122</v>
      </c>
      <c r="T65" s="326"/>
    </row>
    <row r="66" spans="2:20" ht="15.75">
      <c r="B66" s="317">
        <f t="shared" si="7"/>
        <v>59</v>
      </c>
      <c r="C66" s="317" t="str">
        <f>+'[84]Add21-22 (2)'!B244</f>
        <v>Aerocon Panels</v>
      </c>
      <c r="D66" s="317" t="str">
        <f>+'[84]Add21-22 (2)'!C244</f>
        <v>kammam Devarapally-Package IV</v>
      </c>
      <c r="E66" s="319">
        <f>+'[84]Add21-22 (2)'!M244</f>
        <v>436385</v>
      </c>
      <c r="F66" s="320"/>
      <c r="G66" s="319"/>
      <c r="H66" s="321">
        <f t="shared" si="2"/>
        <v>436385</v>
      </c>
      <c r="I66" s="730">
        <f>+'[84]Add21-22 (2)'!H244</f>
        <v>44645</v>
      </c>
      <c r="J66" s="728">
        <v>220508.92722602742</v>
      </c>
      <c r="K66" s="319">
        <f t="shared" si="0"/>
        <v>215876.07277397258</v>
      </c>
      <c r="L66" s="321">
        <f t="shared" si="9"/>
        <v>738</v>
      </c>
      <c r="M66" s="323">
        <v>2</v>
      </c>
      <c r="N66" s="319">
        <f t="shared" si="10"/>
        <v>2.021917808219178</v>
      </c>
      <c r="O66" s="319">
        <f t="shared" si="4"/>
        <v>-2.1917808219177992E-2</v>
      </c>
      <c r="P66" s="739">
        <f t="shared" si="8"/>
        <v>0.47499999999999998</v>
      </c>
      <c r="Q66" s="728">
        <v>213694.07277397258</v>
      </c>
      <c r="R66" s="319">
        <f t="shared" si="11"/>
        <v>2182</v>
      </c>
      <c r="S66" s="319">
        <f t="shared" si="6"/>
        <v>2182</v>
      </c>
      <c r="T66" s="326"/>
    </row>
    <row r="67" spans="2:20" ht="15.75">
      <c r="B67" s="317">
        <f t="shared" si="7"/>
        <v>60</v>
      </c>
      <c r="C67" s="317" t="str">
        <f>+'[84]Add21-22 (2)'!B245</f>
        <v>Gi Channels</v>
      </c>
      <c r="D67" s="317" t="str">
        <f>+'[84]Add21-22 (2)'!C245</f>
        <v>kammam Devarapally-Package V</v>
      </c>
      <c r="E67" s="319">
        <f>+'[84]Add21-22 (2)'!M245</f>
        <v>23275</v>
      </c>
      <c r="F67" s="320"/>
      <c r="G67" s="319"/>
      <c r="H67" s="321">
        <f t="shared" si="2"/>
        <v>23275</v>
      </c>
      <c r="I67" s="730">
        <f>+'[84]Add21-22 (2)'!H245</f>
        <v>44590</v>
      </c>
      <c r="J67" s="728">
        <v>13426.964897260274</v>
      </c>
      <c r="K67" s="319">
        <f t="shared" si="0"/>
        <v>9848.0351027397264</v>
      </c>
      <c r="L67" s="321">
        <f t="shared" si="9"/>
        <v>793</v>
      </c>
      <c r="M67" s="323">
        <v>2</v>
      </c>
      <c r="N67" s="319">
        <f t="shared" si="10"/>
        <v>2.1726027397260275</v>
      </c>
      <c r="O67" s="319">
        <f t="shared" si="4"/>
        <v>-0.17260273972602747</v>
      </c>
      <c r="P67" s="739">
        <f t="shared" si="8"/>
        <v>0.47499999999999998</v>
      </c>
      <c r="Q67" s="728">
        <v>9732.0351027397264</v>
      </c>
      <c r="R67" s="319">
        <f t="shared" si="11"/>
        <v>116</v>
      </c>
      <c r="S67" s="319">
        <f t="shared" si="6"/>
        <v>116</v>
      </c>
      <c r="T67" s="326"/>
    </row>
    <row r="68" spans="2:20" ht="15.75">
      <c r="B68" s="317">
        <f t="shared" si="7"/>
        <v>61</v>
      </c>
      <c r="C68" s="317" t="str">
        <f>+'[84]Add21-22 (2)'!B246</f>
        <v>Aerocon Panels</v>
      </c>
      <c r="D68" s="317" t="str">
        <f>+'[84]Add21-22 (2)'!C246</f>
        <v>kammam Devarapally-Package V</v>
      </c>
      <c r="E68" s="319">
        <f>+'[84]Add21-22 (2)'!M246</f>
        <v>197796</v>
      </c>
      <c r="F68" s="320"/>
      <c r="G68" s="319"/>
      <c r="H68" s="321">
        <f t="shared" si="2"/>
        <v>197796</v>
      </c>
      <c r="I68" s="730">
        <f>+'[84]Add21-22 (2)'!H246</f>
        <v>44607</v>
      </c>
      <c r="J68" s="728">
        <v>109729.36315068492</v>
      </c>
      <c r="K68" s="319">
        <f t="shared" si="0"/>
        <v>88066.63684931508</v>
      </c>
      <c r="L68" s="321">
        <f t="shared" si="9"/>
        <v>776</v>
      </c>
      <c r="M68" s="323">
        <v>2</v>
      </c>
      <c r="N68" s="319">
        <f t="shared" si="10"/>
        <v>2.1260273972602741</v>
      </c>
      <c r="O68" s="319">
        <f t="shared" si="4"/>
        <v>-0.12602739726027412</v>
      </c>
      <c r="P68" s="739">
        <f t="shared" si="8"/>
        <v>0.47499999999999998</v>
      </c>
      <c r="Q68" s="728">
        <v>87077.63684931508</v>
      </c>
      <c r="R68" s="319">
        <f t="shared" si="11"/>
        <v>989</v>
      </c>
      <c r="S68" s="319">
        <f t="shared" si="6"/>
        <v>989</v>
      </c>
      <c r="T68" s="326"/>
    </row>
    <row r="69" spans="2:20" ht="15.75">
      <c r="B69" s="317">
        <f t="shared" si="7"/>
        <v>62</v>
      </c>
      <c r="C69" s="317" t="str">
        <f>+'[84]Add21-22 (2)'!B247</f>
        <v>Aerocon Panels</v>
      </c>
      <c r="D69" s="317" t="str">
        <f>+'[84]Add21-22 (2)'!C247</f>
        <v>kammam Devarapally-Package V</v>
      </c>
      <c r="E69" s="319">
        <f>+'[84]Add21-22 (2)'!M247</f>
        <v>207683</v>
      </c>
      <c r="F69" s="320"/>
      <c r="G69" s="319"/>
      <c r="H69" s="321">
        <f t="shared" si="2"/>
        <v>207683</v>
      </c>
      <c r="I69" s="730">
        <f>+'[84]Add21-22 (2)'!H247</f>
        <v>44620</v>
      </c>
      <c r="J69" s="728">
        <v>111700.73681506849</v>
      </c>
      <c r="K69" s="319">
        <f t="shared" si="0"/>
        <v>95982.263184931508</v>
      </c>
      <c r="L69" s="321">
        <f t="shared" si="9"/>
        <v>763</v>
      </c>
      <c r="M69" s="323">
        <v>2</v>
      </c>
      <c r="N69" s="319">
        <f t="shared" si="10"/>
        <v>2.0904109589041098</v>
      </c>
      <c r="O69" s="319">
        <f t="shared" si="4"/>
        <v>-9.0410958904109773E-2</v>
      </c>
      <c r="P69" s="739">
        <f t="shared" si="8"/>
        <v>0.47499999999999998</v>
      </c>
      <c r="Q69" s="728">
        <v>94944.263184931508</v>
      </c>
      <c r="R69" s="319">
        <f t="shared" si="11"/>
        <v>1038</v>
      </c>
      <c r="S69" s="319">
        <f t="shared" si="6"/>
        <v>1038</v>
      </c>
      <c r="T69" s="326"/>
    </row>
    <row r="70" spans="2:20" ht="15.75">
      <c r="B70" s="317">
        <f t="shared" si="7"/>
        <v>63</v>
      </c>
      <c r="C70" s="317" t="str">
        <f>+'[84]Add21-22 (2)'!B248</f>
        <v>Aerocon Panels</v>
      </c>
      <c r="D70" s="317" t="str">
        <f>+'[84]Add21-22 (2)'!C248</f>
        <v>kammam Devarapally-Package V</v>
      </c>
      <c r="E70" s="319">
        <f>+'[84]Add21-22 (2)'!M248</f>
        <v>193604</v>
      </c>
      <c r="F70" s="320"/>
      <c r="G70" s="319"/>
      <c r="H70" s="321">
        <f t="shared" si="2"/>
        <v>193604</v>
      </c>
      <c r="I70" s="730">
        <f>+'[84]Add21-22 (2)'!H248</f>
        <v>44625</v>
      </c>
      <c r="J70" s="728">
        <v>102868.70068493151</v>
      </c>
      <c r="K70" s="319">
        <f t="shared" si="0"/>
        <v>90735.299315068492</v>
      </c>
      <c r="L70" s="321">
        <f t="shared" si="9"/>
        <v>758</v>
      </c>
      <c r="M70" s="323">
        <v>2</v>
      </c>
      <c r="N70" s="319">
        <f t="shared" si="10"/>
        <v>2.0767123287671234</v>
      </c>
      <c r="O70" s="319">
        <f t="shared" si="4"/>
        <v>-7.6712328767123417E-2</v>
      </c>
      <c r="P70" s="739">
        <f t="shared" si="8"/>
        <v>0.47499999999999998</v>
      </c>
      <c r="Q70" s="728">
        <v>89767.299315068492</v>
      </c>
      <c r="R70" s="319">
        <f t="shared" si="11"/>
        <v>968</v>
      </c>
      <c r="S70" s="319">
        <f t="shared" si="6"/>
        <v>968</v>
      </c>
      <c r="T70" s="326"/>
    </row>
    <row r="71" spans="2:20" ht="15.75">
      <c r="B71" s="317">
        <f t="shared" si="7"/>
        <v>64</v>
      </c>
      <c r="C71" s="317" t="str">
        <f>+'[84]Add21-22 (2)'!B249</f>
        <v>Aerocon Panels</v>
      </c>
      <c r="D71" s="317" t="str">
        <f>+'[84]Add21-22 (2)'!C249</f>
        <v>kammam Devarapally-Package V</v>
      </c>
      <c r="E71" s="319">
        <f>+'[84]Add21-22 (2)'!M249</f>
        <v>209443</v>
      </c>
      <c r="F71" s="320"/>
      <c r="G71" s="319"/>
      <c r="H71" s="321">
        <f t="shared" si="2"/>
        <v>209443</v>
      </c>
      <c r="I71" s="730">
        <f>+'[84]Add21-22 (2)'!H249</f>
        <v>44627</v>
      </c>
      <c r="J71" s="728">
        <v>110739.39989726027</v>
      </c>
      <c r="K71" s="319">
        <f t="shared" si="0"/>
        <v>98703.600102739729</v>
      </c>
      <c r="L71" s="321">
        <f t="shared" si="9"/>
        <v>756</v>
      </c>
      <c r="M71" s="323">
        <v>2</v>
      </c>
      <c r="N71" s="319">
        <f t="shared" si="10"/>
        <v>2.0712328767123287</v>
      </c>
      <c r="O71" s="319">
        <f t="shared" si="4"/>
        <v>-7.1232876712328697E-2</v>
      </c>
      <c r="P71" s="739">
        <f t="shared" si="8"/>
        <v>0.47499999999999998</v>
      </c>
      <c r="Q71" s="728">
        <v>97656.600102739729</v>
      </c>
      <c r="R71" s="319">
        <f t="shared" si="11"/>
        <v>1047</v>
      </c>
      <c r="S71" s="319">
        <f t="shared" si="6"/>
        <v>1047</v>
      </c>
      <c r="T71" s="326"/>
    </row>
    <row r="72" spans="2:20" ht="15.75">
      <c r="B72" s="317">
        <f t="shared" si="7"/>
        <v>65</v>
      </c>
      <c r="C72" s="317" t="str">
        <f>+'[84]Add21-22 (2)'!B250</f>
        <v>Aerocon Panels</v>
      </c>
      <c r="D72" s="317" t="str">
        <f>+'[84]Add21-22 (2)'!C250</f>
        <v>kammam Devarapally-Package V</v>
      </c>
      <c r="E72" s="319">
        <f>+'[84]Add21-22 (2)'!M250</f>
        <v>224402</v>
      </c>
      <c r="F72" s="320"/>
      <c r="G72" s="319"/>
      <c r="H72" s="321">
        <f t="shared" si="2"/>
        <v>224402</v>
      </c>
      <c r="I72" s="730">
        <f>+'[84]Add21-22 (2)'!H250</f>
        <v>44635</v>
      </c>
      <c r="J72" s="728">
        <v>116312.47499999999</v>
      </c>
      <c r="K72" s="319">
        <f t="shared" ref="K72:K135" si="12">+E72-J72</f>
        <v>108089.52500000001</v>
      </c>
      <c r="L72" s="321">
        <f t="shared" si="9"/>
        <v>748</v>
      </c>
      <c r="M72" s="323">
        <v>2</v>
      </c>
      <c r="N72" s="319">
        <f t="shared" si="10"/>
        <v>2.0493150684931507</v>
      </c>
      <c r="O72" s="319">
        <f t="shared" si="4"/>
        <v>-4.9315068493150704E-2</v>
      </c>
      <c r="P72" s="739">
        <f t="shared" si="8"/>
        <v>0.47499999999999998</v>
      </c>
      <c r="Q72" s="728">
        <v>106967.52500000001</v>
      </c>
      <c r="R72" s="319">
        <f t="shared" si="11"/>
        <v>1122</v>
      </c>
      <c r="S72" s="319">
        <f t="shared" si="6"/>
        <v>1122</v>
      </c>
      <c r="T72" s="326"/>
    </row>
    <row r="73" spans="2:20" ht="15.75">
      <c r="B73" s="317">
        <f t="shared" si="7"/>
        <v>66</v>
      </c>
      <c r="C73" s="317" t="str">
        <f>+'[84]Add21-22 (2)'!B251</f>
        <v>Main door frames and window frames</v>
      </c>
      <c r="D73" s="317" t="str">
        <f>+'[84]Add21-22 (2)'!C251</f>
        <v>kammam Devarapally-Package V</v>
      </c>
      <c r="E73" s="319">
        <f>+'[84]Add21-22 (2)'!M251</f>
        <v>374450</v>
      </c>
      <c r="F73" s="320"/>
      <c r="G73" s="319"/>
      <c r="H73" s="321">
        <f t="shared" ref="H73:H136" si="13">+E73+F73-G73</f>
        <v>374450</v>
      </c>
      <c r="I73" s="730">
        <f>+'[84]Add21-22 (2)'!H251</f>
        <v>44635</v>
      </c>
      <c r="J73" s="728">
        <v>194085.64212328766</v>
      </c>
      <c r="K73" s="319">
        <f t="shared" si="12"/>
        <v>180364.35787671234</v>
      </c>
      <c r="L73" s="321">
        <f t="shared" si="9"/>
        <v>748</v>
      </c>
      <c r="M73" s="323">
        <v>2</v>
      </c>
      <c r="N73" s="319">
        <f t="shared" si="10"/>
        <v>2.0493150684931507</v>
      </c>
      <c r="O73" s="319">
        <f t="shared" ref="O73:O136" si="14">+M73-N73</f>
        <v>-4.9315068493150704E-2</v>
      </c>
      <c r="P73" s="739">
        <f t="shared" si="8"/>
        <v>0.47499999999999998</v>
      </c>
      <c r="Q73" s="728">
        <v>178492.35787671234</v>
      </c>
      <c r="R73" s="319">
        <f t="shared" si="11"/>
        <v>1872</v>
      </c>
      <c r="S73" s="319">
        <f t="shared" ref="S73:S136" si="15">ROUND(+E73*0.5%,0)</f>
        <v>1872</v>
      </c>
      <c r="T73" s="326"/>
    </row>
    <row r="74" spans="2:20" ht="15.75">
      <c r="B74" s="317">
        <f t="shared" ref="B74:B137" si="16">+B73+1</f>
        <v>67</v>
      </c>
      <c r="C74" s="317" t="str">
        <f>+'[84]Add21-22 (2)'!B252</f>
        <v>colour coated profile sheets</v>
      </c>
      <c r="D74" s="317" t="str">
        <f>+'[84]Add21-22 (2)'!C252</f>
        <v>manufacturing</v>
      </c>
      <c r="E74" s="319">
        <f>+'[84]Add21-22 (2)'!M252</f>
        <v>470290</v>
      </c>
      <c r="F74" s="320"/>
      <c r="G74" s="319"/>
      <c r="H74" s="321">
        <f t="shared" si="13"/>
        <v>470290</v>
      </c>
      <c r="I74" s="730">
        <f>+'[84]Add21-22 (2)'!H252</f>
        <v>44602</v>
      </c>
      <c r="J74" s="728">
        <v>263958.31541095889</v>
      </c>
      <c r="K74" s="319">
        <f t="shared" si="12"/>
        <v>206331.68458904111</v>
      </c>
      <c r="L74" s="321">
        <f t="shared" si="9"/>
        <v>781</v>
      </c>
      <c r="M74" s="323">
        <v>2</v>
      </c>
      <c r="N74" s="319">
        <f t="shared" si="10"/>
        <v>2.1397260273972605</v>
      </c>
      <c r="O74" s="319">
        <f t="shared" si="14"/>
        <v>-0.13972602739726048</v>
      </c>
      <c r="P74" s="739">
        <f t="shared" ref="P74:P137" si="17">1/M74*0.95</f>
        <v>0.47499999999999998</v>
      </c>
      <c r="Q74" s="728">
        <v>203980.68458904111</v>
      </c>
      <c r="R74" s="319">
        <f t="shared" si="11"/>
        <v>2351</v>
      </c>
      <c r="S74" s="319">
        <f t="shared" si="15"/>
        <v>2351</v>
      </c>
      <c r="T74" s="326"/>
    </row>
    <row r="75" spans="2:20" ht="15.75">
      <c r="B75" s="317">
        <f t="shared" si="16"/>
        <v>68</v>
      </c>
      <c r="C75" s="317" t="str">
        <f>+'[84]Add21-22 (2)'!B253</f>
        <v>colour coated profile sheets</v>
      </c>
      <c r="D75" s="317" t="str">
        <f>+'[84]Add21-22 (2)'!C253</f>
        <v>manufacturing</v>
      </c>
      <c r="E75" s="319">
        <f>+'[84]Add21-22 (2)'!M253</f>
        <v>112534</v>
      </c>
      <c r="F75" s="320"/>
      <c r="G75" s="319"/>
      <c r="H75" s="321">
        <f t="shared" si="13"/>
        <v>112534</v>
      </c>
      <c r="I75" s="730">
        <f>+'[84]Add21-22 (2)'!H253</f>
        <v>44602</v>
      </c>
      <c r="J75" s="728">
        <v>63161.634452054794</v>
      </c>
      <c r="K75" s="319">
        <f t="shared" si="12"/>
        <v>49372.365547945206</v>
      </c>
      <c r="L75" s="321">
        <f t="shared" si="9"/>
        <v>781</v>
      </c>
      <c r="M75" s="323">
        <v>2</v>
      </c>
      <c r="N75" s="319">
        <f t="shared" si="10"/>
        <v>2.1397260273972605</v>
      </c>
      <c r="O75" s="319">
        <f t="shared" si="14"/>
        <v>-0.13972602739726048</v>
      </c>
      <c r="P75" s="739">
        <f t="shared" si="17"/>
        <v>0.47499999999999998</v>
      </c>
      <c r="Q75" s="728">
        <v>48809.365547945206</v>
      </c>
      <c r="R75" s="319">
        <f t="shared" si="11"/>
        <v>563</v>
      </c>
      <c r="S75" s="319">
        <f t="shared" si="15"/>
        <v>563</v>
      </c>
      <c r="T75" s="326"/>
    </row>
    <row r="76" spans="2:20" ht="15.75">
      <c r="B76" s="317">
        <f t="shared" si="16"/>
        <v>69</v>
      </c>
      <c r="C76" s="317" t="str">
        <f>+'[84]Add21-22 (2)'!B254</f>
        <v>Aerocon Panels</v>
      </c>
      <c r="D76" s="317" t="str">
        <f>+'[84]Add21-22 (2)'!C254</f>
        <v>manufacturing</v>
      </c>
      <c r="E76" s="319">
        <f>+'[84]Add21-22 (2)'!M254</f>
        <v>49281</v>
      </c>
      <c r="F76" s="320"/>
      <c r="G76" s="319"/>
      <c r="H76" s="321">
        <f t="shared" si="13"/>
        <v>49281</v>
      </c>
      <c r="I76" s="730">
        <f>+'[84]Add21-22 (2)'!H254</f>
        <v>44620</v>
      </c>
      <c r="J76" s="728">
        <v>26505.414554794523</v>
      </c>
      <c r="K76" s="319">
        <f t="shared" si="12"/>
        <v>22775.585445205477</v>
      </c>
      <c r="L76" s="321">
        <f t="shared" si="9"/>
        <v>763</v>
      </c>
      <c r="M76" s="323">
        <v>2</v>
      </c>
      <c r="N76" s="319">
        <f t="shared" si="10"/>
        <v>2.0904109589041098</v>
      </c>
      <c r="O76" s="319">
        <f t="shared" si="14"/>
        <v>-9.0410958904109773E-2</v>
      </c>
      <c r="P76" s="739">
        <f t="shared" si="17"/>
        <v>0.47499999999999998</v>
      </c>
      <c r="Q76" s="728">
        <v>22529.585445205477</v>
      </c>
      <c r="R76" s="319">
        <f t="shared" si="11"/>
        <v>246</v>
      </c>
      <c r="S76" s="319">
        <f t="shared" si="15"/>
        <v>246</v>
      </c>
      <c r="T76" s="326"/>
    </row>
    <row r="77" spans="2:20" ht="15.75">
      <c r="B77" s="317">
        <f t="shared" si="16"/>
        <v>70</v>
      </c>
      <c r="C77" s="317" t="str">
        <f>+'[84]Add21-22 (2)'!B255</f>
        <v>colour coated profile sheets</v>
      </c>
      <c r="D77" s="317" t="str">
        <f>+'[84]Add21-22 (2)'!C255</f>
        <v>manufacturing</v>
      </c>
      <c r="E77" s="319">
        <f>+'[84]Add21-22 (2)'!M255</f>
        <v>61850</v>
      </c>
      <c r="F77" s="320"/>
      <c r="G77" s="319"/>
      <c r="H77" s="321">
        <f t="shared" si="13"/>
        <v>61850</v>
      </c>
      <c r="I77" s="730">
        <f>+'[84]Add21-22 (2)'!H255</f>
        <v>44621</v>
      </c>
      <c r="J77" s="728">
        <v>33185.066780821915</v>
      </c>
      <c r="K77" s="319">
        <f t="shared" si="12"/>
        <v>28664.933219178085</v>
      </c>
      <c r="L77" s="321">
        <f t="shared" si="9"/>
        <v>762</v>
      </c>
      <c r="M77" s="323">
        <v>2</v>
      </c>
      <c r="N77" s="319">
        <f t="shared" si="10"/>
        <v>2.0876712328767124</v>
      </c>
      <c r="O77" s="319">
        <f t="shared" si="14"/>
        <v>-8.7671232876712413E-2</v>
      </c>
      <c r="P77" s="739">
        <f t="shared" si="17"/>
        <v>0.47499999999999998</v>
      </c>
      <c r="Q77" s="728">
        <v>28355.933219178085</v>
      </c>
      <c r="R77" s="319">
        <f t="shared" si="11"/>
        <v>309</v>
      </c>
      <c r="S77" s="319">
        <f t="shared" si="15"/>
        <v>309</v>
      </c>
      <c r="T77" s="326"/>
    </row>
    <row r="78" spans="2:20" ht="15.75">
      <c r="B78" s="317">
        <f t="shared" si="16"/>
        <v>71</v>
      </c>
      <c r="C78" s="317" t="str">
        <f>+'[84]Add21-22 (2)'!B256</f>
        <v>colour coated profile sheets</v>
      </c>
      <c r="D78" s="317" t="str">
        <f>+'[84]Add21-22 (2)'!C256</f>
        <v>manufacturing</v>
      </c>
      <c r="E78" s="319">
        <f>+'[84]Add21-22 (2)'!M256</f>
        <v>4321</v>
      </c>
      <c r="F78" s="320"/>
      <c r="G78" s="319"/>
      <c r="H78" s="321">
        <f t="shared" si="13"/>
        <v>4321</v>
      </c>
      <c r="I78" s="730">
        <f>+'[84]Add21-22 (2)'!H256</f>
        <v>44643</v>
      </c>
      <c r="J78" s="728">
        <v>2194.6832534246573</v>
      </c>
      <c r="K78" s="319">
        <f t="shared" si="12"/>
        <v>2126.3167465753427</v>
      </c>
      <c r="L78" s="321">
        <f t="shared" si="9"/>
        <v>740</v>
      </c>
      <c r="M78" s="323">
        <v>2</v>
      </c>
      <c r="N78" s="319">
        <f t="shared" si="10"/>
        <v>2.0273972602739727</v>
      </c>
      <c r="O78" s="319">
        <f t="shared" si="14"/>
        <v>-2.7397260273972712E-2</v>
      </c>
      <c r="P78" s="739">
        <f t="shared" si="17"/>
        <v>0.47499999999999998</v>
      </c>
      <c r="Q78" s="728">
        <v>2104.3167465753427</v>
      </c>
      <c r="R78" s="319">
        <f t="shared" si="11"/>
        <v>22</v>
      </c>
      <c r="S78" s="319">
        <f t="shared" si="15"/>
        <v>22</v>
      </c>
      <c r="T78" s="326"/>
    </row>
    <row r="79" spans="2:20" ht="15.75">
      <c r="B79" s="317">
        <f t="shared" si="16"/>
        <v>72</v>
      </c>
      <c r="C79" s="317" t="str">
        <f>+'[84]Add21-22 (2)'!B257</f>
        <v>colour coated profile sheets</v>
      </c>
      <c r="D79" s="317" t="str">
        <f>+'[84]Add21-22 (2)'!C257</f>
        <v>MRPL Marketing Termina Project</v>
      </c>
      <c r="E79" s="319">
        <f>+'[84]Add21-22 (2)'!M257</f>
        <v>861221</v>
      </c>
      <c r="F79" s="320"/>
      <c r="G79" s="319"/>
      <c r="H79" s="321">
        <f t="shared" si="13"/>
        <v>861221</v>
      </c>
      <c r="I79" s="730">
        <f>+'[84]Add21-22 (2)'!H257</f>
        <v>44573</v>
      </c>
      <c r="J79" s="728">
        <v>515877.2777739726</v>
      </c>
      <c r="K79" s="319">
        <f t="shared" si="12"/>
        <v>345343.7222260274</v>
      </c>
      <c r="L79" s="321">
        <f t="shared" si="9"/>
        <v>810</v>
      </c>
      <c r="M79" s="323">
        <v>2</v>
      </c>
      <c r="N79" s="319">
        <f t="shared" si="10"/>
        <v>2.2191780821917808</v>
      </c>
      <c r="O79" s="319">
        <f t="shared" si="14"/>
        <v>-0.21917808219178081</v>
      </c>
      <c r="P79" s="739">
        <f t="shared" si="17"/>
        <v>0.47499999999999998</v>
      </c>
      <c r="Q79" s="728">
        <v>341037.7222260274</v>
      </c>
      <c r="R79" s="319">
        <f t="shared" si="11"/>
        <v>4306</v>
      </c>
      <c r="S79" s="319">
        <f t="shared" si="15"/>
        <v>4306</v>
      </c>
      <c r="T79" s="326"/>
    </row>
    <row r="80" spans="2:20" ht="15.75">
      <c r="B80" s="317">
        <f t="shared" si="16"/>
        <v>73</v>
      </c>
      <c r="C80" s="14" t="s">
        <v>222</v>
      </c>
      <c r="D80" s="111" t="s">
        <v>35</v>
      </c>
      <c r="E80" s="732">
        <v>270446</v>
      </c>
      <c r="F80" s="733"/>
      <c r="G80" s="732"/>
      <c r="H80" s="321">
        <f t="shared" si="13"/>
        <v>270446</v>
      </c>
      <c r="I80" s="15">
        <v>44676</v>
      </c>
      <c r="J80" s="728">
        <v>119663.09315068493</v>
      </c>
      <c r="K80" s="319">
        <f t="shared" si="12"/>
        <v>150782.90684931507</v>
      </c>
      <c r="L80" s="321">
        <f t="shared" si="9"/>
        <v>707</v>
      </c>
      <c r="M80" s="323">
        <v>2</v>
      </c>
      <c r="N80" s="319">
        <f t="shared" si="10"/>
        <v>1.9369863013698629</v>
      </c>
      <c r="O80" s="319">
        <f t="shared" si="14"/>
        <v>6.3013698630137061E-2</v>
      </c>
      <c r="P80" s="739">
        <f t="shared" si="17"/>
        <v>0.47499999999999998</v>
      </c>
      <c r="Q80" s="362">
        <f>+H80*P80</f>
        <v>128461.84999999999</v>
      </c>
      <c r="R80" s="319">
        <f t="shared" si="11"/>
        <v>22321.056849315079</v>
      </c>
      <c r="S80" s="319">
        <f t="shared" si="15"/>
        <v>1352</v>
      </c>
      <c r="T80" s="326"/>
    </row>
    <row r="81" spans="2:20" ht="15.75">
      <c r="B81" s="317">
        <f t="shared" si="16"/>
        <v>74</v>
      </c>
      <c r="C81" s="14" t="s">
        <v>223</v>
      </c>
      <c r="D81" s="111" t="s">
        <v>35</v>
      </c>
      <c r="E81" s="732">
        <v>11809.52</v>
      </c>
      <c r="F81" s="733"/>
      <c r="G81" s="732"/>
      <c r="H81" s="321">
        <f t="shared" si="13"/>
        <v>11809.52</v>
      </c>
      <c r="I81" s="15">
        <v>44676</v>
      </c>
      <c r="J81" s="728">
        <v>5225.3081643835612</v>
      </c>
      <c r="K81" s="319">
        <f t="shared" si="12"/>
        <v>6584.2118356164392</v>
      </c>
      <c r="L81" s="321">
        <f t="shared" si="9"/>
        <v>707</v>
      </c>
      <c r="M81" s="323">
        <v>2</v>
      </c>
      <c r="N81" s="319">
        <f t="shared" si="10"/>
        <v>1.9369863013698629</v>
      </c>
      <c r="O81" s="319">
        <f t="shared" si="14"/>
        <v>6.3013698630137061E-2</v>
      </c>
      <c r="P81" s="739">
        <f t="shared" si="17"/>
        <v>0.47499999999999998</v>
      </c>
      <c r="Q81" s="362">
        <f t="shared" ref="Q81:Q144" si="18">+H81*P81</f>
        <v>5609.5219999999999</v>
      </c>
      <c r="R81" s="319">
        <f t="shared" si="11"/>
        <v>974.68983561643927</v>
      </c>
      <c r="S81" s="319">
        <f t="shared" si="15"/>
        <v>59</v>
      </c>
      <c r="T81" s="326"/>
    </row>
    <row r="82" spans="2:20" ht="15.75">
      <c r="B82" s="317">
        <f t="shared" si="16"/>
        <v>75</v>
      </c>
      <c r="C82" s="14" t="s">
        <v>223</v>
      </c>
      <c r="D82" s="111" t="s">
        <v>35</v>
      </c>
      <c r="E82" s="732">
        <v>11809.52</v>
      </c>
      <c r="F82" s="733"/>
      <c r="G82" s="732"/>
      <c r="H82" s="321">
        <f t="shared" si="13"/>
        <v>11809.52</v>
      </c>
      <c r="I82" s="15">
        <v>44680</v>
      </c>
      <c r="J82" s="728">
        <v>5163.8339506849316</v>
      </c>
      <c r="K82" s="319">
        <f t="shared" si="12"/>
        <v>6645.6860493150689</v>
      </c>
      <c r="L82" s="321">
        <f t="shared" ref="L82:L145" si="19">+$L$3-I82+1</f>
        <v>703</v>
      </c>
      <c r="M82" s="323">
        <v>2</v>
      </c>
      <c r="N82" s="319">
        <f t="shared" ref="N82:N145" si="20">+L82/365</f>
        <v>1.9260273972602739</v>
      </c>
      <c r="O82" s="319">
        <f t="shared" si="14"/>
        <v>7.3972602739726057E-2</v>
      </c>
      <c r="P82" s="739">
        <f t="shared" si="17"/>
        <v>0.47499999999999998</v>
      </c>
      <c r="Q82" s="362">
        <f t="shared" si="18"/>
        <v>5609.5219999999999</v>
      </c>
      <c r="R82" s="319">
        <f t="shared" si="11"/>
        <v>1036.164049315069</v>
      </c>
      <c r="S82" s="319">
        <f t="shared" si="15"/>
        <v>59</v>
      </c>
      <c r="T82" s="326"/>
    </row>
    <row r="83" spans="2:20" ht="15.75">
      <c r="B83" s="317">
        <f t="shared" si="16"/>
        <v>76</v>
      </c>
      <c r="C83" s="14" t="s">
        <v>223</v>
      </c>
      <c r="D83" s="111" t="s">
        <v>35</v>
      </c>
      <c r="E83" s="732">
        <v>11809.52</v>
      </c>
      <c r="F83" s="733"/>
      <c r="G83" s="732"/>
      <c r="H83" s="321">
        <f t="shared" si="13"/>
        <v>11809.52</v>
      </c>
      <c r="I83" s="15">
        <v>44717</v>
      </c>
      <c r="J83" s="728">
        <v>4595.1974739726029</v>
      </c>
      <c r="K83" s="319">
        <f t="shared" si="12"/>
        <v>7214.3225260273975</v>
      </c>
      <c r="L83" s="321">
        <f t="shared" si="19"/>
        <v>666</v>
      </c>
      <c r="M83" s="323">
        <v>2</v>
      </c>
      <c r="N83" s="319">
        <f t="shared" si="20"/>
        <v>1.8246575342465754</v>
      </c>
      <c r="O83" s="319">
        <f t="shared" si="14"/>
        <v>0.1753424657534246</v>
      </c>
      <c r="P83" s="739">
        <f t="shared" si="17"/>
        <v>0.47499999999999998</v>
      </c>
      <c r="Q83" s="362">
        <f t="shared" si="18"/>
        <v>5609.5219999999999</v>
      </c>
      <c r="R83" s="319">
        <f t="shared" ref="R83:R146" si="21">+K83-Q83</f>
        <v>1604.8005260273976</v>
      </c>
      <c r="S83" s="319">
        <f t="shared" si="15"/>
        <v>59</v>
      </c>
      <c r="T83" s="326"/>
    </row>
    <row r="84" spans="2:20" ht="15.75">
      <c r="B84" s="317">
        <f t="shared" si="16"/>
        <v>77</v>
      </c>
      <c r="C84" s="14" t="s">
        <v>223</v>
      </c>
      <c r="D84" s="111" t="s">
        <v>35</v>
      </c>
      <c r="E84" s="732">
        <v>11809.52</v>
      </c>
      <c r="F84" s="733"/>
      <c r="G84" s="732"/>
      <c r="H84" s="321">
        <f t="shared" si="13"/>
        <v>11809.52</v>
      </c>
      <c r="I84" s="15">
        <v>44717</v>
      </c>
      <c r="J84" s="728">
        <v>4595.1974739726029</v>
      </c>
      <c r="K84" s="319">
        <f t="shared" si="12"/>
        <v>7214.3225260273975</v>
      </c>
      <c r="L84" s="321">
        <f t="shared" si="19"/>
        <v>666</v>
      </c>
      <c r="M84" s="323">
        <v>2</v>
      </c>
      <c r="N84" s="319">
        <f t="shared" si="20"/>
        <v>1.8246575342465754</v>
      </c>
      <c r="O84" s="319">
        <f t="shared" si="14"/>
        <v>0.1753424657534246</v>
      </c>
      <c r="P84" s="739">
        <f t="shared" si="17"/>
        <v>0.47499999999999998</v>
      </c>
      <c r="Q84" s="362">
        <f t="shared" si="18"/>
        <v>5609.5219999999999</v>
      </c>
      <c r="R84" s="319">
        <f t="shared" si="21"/>
        <v>1604.8005260273976</v>
      </c>
      <c r="S84" s="319">
        <f t="shared" si="15"/>
        <v>59</v>
      </c>
      <c r="T84" s="326"/>
    </row>
    <row r="85" spans="2:20" ht="15.75">
      <c r="B85" s="317">
        <f t="shared" si="16"/>
        <v>78</v>
      </c>
      <c r="C85" s="82" t="s">
        <v>223</v>
      </c>
      <c r="D85" s="87" t="s">
        <v>35</v>
      </c>
      <c r="E85" s="732">
        <v>11810</v>
      </c>
      <c r="F85" s="733"/>
      <c r="G85" s="732"/>
      <c r="H85" s="321">
        <f t="shared" si="13"/>
        <v>11810</v>
      </c>
      <c r="I85" s="23">
        <v>44859</v>
      </c>
      <c r="J85" s="728">
        <v>2412.9609589041097</v>
      </c>
      <c r="K85" s="319">
        <f t="shared" si="12"/>
        <v>9397.0390410958898</v>
      </c>
      <c r="L85" s="321">
        <f t="shared" si="19"/>
        <v>524</v>
      </c>
      <c r="M85" s="323">
        <v>2</v>
      </c>
      <c r="N85" s="319">
        <f t="shared" si="20"/>
        <v>1.4356164383561645</v>
      </c>
      <c r="O85" s="319">
        <f t="shared" si="14"/>
        <v>0.56438356164383552</v>
      </c>
      <c r="P85" s="739">
        <f t="shared" si="17"/>
        <v>0.47499999999999998</v>
      </c>
      <c r="Q85" s="362">
        <f t="shared" si="18"/>
        <v>5609.75</v>
      </c>
      <c r="R85" s="319">
        <f t="shared" si="21"/>
        <v>3787.2890410958898</v>
      </c>
      <c r="S85" s="319">
        <f t="shared" si="15"/>
        <v>59</v>
      </c>
      <c r="T85" s="326"/>
    </row>
    <row r="86" spans="2:20" ht="15.75">
      <c r="B86" s="317">
        <f t="shared" si="16"/>
        <v>79</v>
      </c>
      <c r="C86" s="530" t="s">
        <v>3435</v>
      </c>
      <c r="D86" s="626" t="s">
        <v>3427</v>
      </c>
      <c r="E86" s="732">
        <v>245000</v>
      </c>
      <c r="F86" s="733"/>
      <c r="G86" s="732"/>
      <c r="H86" s="321">
        <f t="shared" si="13"/>
        <v>245000</v>
      </c>
      <c r="I86" s="623">
        <v>44954</v>
      </c>
      <c r="J86" s="728">
        <v>19767.808219178081</v>
      </c>
      <c r="K86" s="319">
        <f t="shared" si="12"/>
        <v>225232.19178082192</v>
      </c>
      <c r="L86" s="321">
        <f t="shared" si="19"/>
        <v>429</v>
      </c>
      <c r="M86" s="323">
        <v>2</v>
      </c>
      <c r="N86" s="319">
        <f t="shared" si="20"/>
        <v>1.1753424657534246</v>
      </c>
      <c r="O86" s="319">
        <f t="shared" si="14"/>
        <v>0.8246575342465754</v>
      </c>
      <c r="P86" s="739">
        <f t="shared" si="17"/>
        <v>0.47499999999999998</v>
      </c>
      <c r="Q86" s="362">
        <f t="shared" si="18"/>
        <v>116375</v>
      </c>
      <c r="R86" s="319">
        <f t="shared" si="21"/>
        <v>108857.19178082192</v>
      </c>
      <c r="S86" s="319">
        <f t="shared" si="15"/>
        <v>1225</v>
      </c>
      <c r="T86" s="326"/>
    </row>
    <row r="87" spans="2:20" ht="15.75">
      <c r="B87" s="317">
        <f t="shared" si="16"/>
        <v>80</v>
      </c>
      <c r="C87" s="14" t="s">
        <v>224</v>
      </c>
      <c r="D87" s="91" t="s">
        <v>3459</v>
      </c>
      <c r="E87" s="732">
        <v>15254.24</v>
      </c>
      <c r="F87" s="733"/>
      <c r="G87" s="732"/>
      <c r="H87" s="321">
        <f t="shared" si="13"/>
        <v>15254.24</v>
      </c>
      <c r="I87" s="15">
        <v>44679</v>
      </c>
      <c r="J87" s="728">
        <v>6689.9245698630129</v>
      </c>
      <c r="K87" s="319">
        <f t="shared" si="12"/>
        <v>8564.3154301369868</v>
      </c>
      <c r="L87" s="321">
        <f t="shared" si="19"/>
        <v>704</v>
      </c>
      <c r="M87" s="323">
        <v>2</v>
      </c>
      <c r="N87" s="319">
        <f t="shared" si="20"/>
        <v>1.9287671232876713</v>
      </c>
      <c r="O87" s="319">
        <f t="shared" si="14"/>
        <v>7.1232876712328697E-2</v>
      </c>
      <c r="P87" s="739">
        <f t="shared" si="17"/>
        <v>0.47499999999999998</v>
      </c>
      <c r="Q87" s="362">
        <f t="shared" si="18"/>
        <v>7245.7639999999992</v>
      </c>
      <c r="R87" s="319">
        <f t="shared" si="21"/>
        <v>1318.5514301369876</v>
      </c>
      <c r="S87" s="319">
        <f t="shared" si="15"/>
        <v>76</v>
      </c>
      <c r="T87" s="326"/>
    </row>
    <row r="88" spans="2:20" ht="15.75">
      <c r="B88" s="317">
        <f t="shared" si="16"/>
        <v>81</v>
      </c>
      <c r="C88" s="14" t="s">
        <v>225</v>
      </c>
      <c r="D88" s="91" t="s">
        <v>3459</v>
      </c>
      <c r="E88" s="732">
        <v>46616.76</v>
      </c>
      <c r="F88" s="733"/>
      <c r="G88" s="732"/>
      <c r="H88" s="321">
        <f t="shared" si="13"/>
        <v>46616.76</v>
      </c>
      <c r="I88" s="15">
        <v>44697</v>
      </c>
      <c r="J88" s="728">
        <v>19352.341257534245</v>
      </c>
      <c r="K88" s="319">
        <f t="shared" si="12"/>
        <v>27264.418742465758</v>
      </c>
      <c r="L88" s="321">
        <f t="shared" si="19"/>
        <v>686</v>
      </c>
      <c r="M88" s="323">
        <v>2</v>
      </c>
      <c r="N88" s="319">
        <f t="shared" si="20"/>
        <v>1.8794520547945206</v>
      </c>
      <c r="O88" s="319">
        <f t="shared" si="14"/>
        <v>0.1205479452054794</v>
      </c>
      <c r="P88" s="739">
        <f t="shared" si="17"/>
        <v>0.47499999999999998</v>
      </c>
      <c r="Q88" s="362">
        <f t="shared" si="18"/>
        <v>22142.960999999999</v>
      </c>
      <c r="R88" s="319">
        <f t="shared" si="21"/>
        <v>5121.4577424657582</v>
      </c>
      <c r="S88" s="319">
        <f t="shared" si="15"/>
        <v>233</v>
      </c>
      <c r="T88" s="326"/>
    </row>
    <row r="89" spans="2:20" ht="15.75">
      <c r="B89" s="317">
        <f t="shared" si="16"/>
        <v>82</v>
      </c>
      <c r="C89" s="14" t="s">
        <v>226</v>
      </c>
      <c r="D89" s="91" t="s">
        <v>3459</v>
      </c>
      <c r="E89" s="732">
        <v>17796.62</v>
      </c>
      <c r="F89" s="733"/>
      <c r="G89" s="732"/>
      <c r="H89" s="321">
        <f t="shared" si="13"/>
        <v>17796.62</v>
      </c>
      <c r="I89" s="15">
        <v>44706</v>
      </c>
      <c r="J89" s="728">
        <v>7179.5953287671218</v>
      </c>
      <c r="K89" s="319">
        <f t="shared" si="12"/>
        <v>10617.024671232877</v>
      </c>
      <c r="L89" s="321">
        <f t="shared" si="19"/>
        <v>677</v>
      </c>
      <c r="M89" s="323">
        <v>2</v>
      </c>
      <c r="N89" s="319">
        <f t="shared" si="20"/>
        <v>1.8547945205479452</v>
      </c>
      <c r="O89" s="319">
        <f t="shared" si="14"/>
        <v>0.14520547945205475</v>
      </c>
      <c r="P89" s="739">
        <f t="shared" si="17"/>
        <v>0.47499999999999998</v>
      </c>
      <c r="Q89" s="362">
        <f t="shared" si="18"/>
        <v>8453.3944999999985</v>
      </c>
      <c r="R89" s="319">
        <f t="shared" si="21"/>
        <v>2163.6301712328786</v>
      </c>
      <c r="S89" s="319">
        <f t="shared" si="15"/>
        <v>89</v>
      </c>
      <c r="T89" s="326"/>
    </row>
    <row r="90" spans="2:20" ht="15.75">
      <c r="B90" s="317">
        <f t="shared" si="16"/>
        <v>83</v>
      </c>
      <c r="C90" s="14" t="s">
        <v>227</v>
      </c>
      <c r="D90" s="91" t="s">
        <v>3459</v>
      </c>
      <c r="E90" s="732">
        <v>220003.28</v>
      </c>
      <c r="F90" s="733"/>
      <c r="G90" s="732"/>
      <c r="H90" s="321">
        <f t="shared" si="13"/>
        <v>220003.28</v>
      </c>
      <c r="I90" s="15">
        <v>44656</v>
      </c>
      <c r="J90" s="728">
        <v>103070.02980821916</v>
      </c>
      <c r="K90" s="319">
        <f t="shared" si="12"/>
        <v>116933.25019178084</v>
      </c>
      <c r="L90" s="321">
        <f t="shared" si="19"/>
        <v>727</v>
      </c>
      <c r="M90" s="323">
        <v>2</v>
      </c>
      <c r="N90" s="319">
        <f t="shared" si="20"/>
        <v>1.9917808219178081</v>
      </c>
      <c r="O90" s="319">
        <f t="shared" si="14"/>
        <v>8.2191780821918581E-3</v>
      </c>
      <c r="P90" s="739">
        <f t="shared" si="17"/>
        <v>0.47499999999999998</v>
      </c>
      <c r="Q90" s="362">
        <f t="shared" si="18"/>
        <v>104501.55799999999</v>
      </c>
      <c r="R90" s="319">
        <f t="shared" si="21"/>
        <v>12431.69219178085</v>
      </c>
      <c r="S90" s="319">
        <f t="shared" si="15"/>
        <v>1100</v>
      </c>
      <c r="T90" s="326"/>
    </row>
    <row r="91" spans="2:20" ht="15.75">
      <c r="B91" s="317">
        <f t="shared" si="16"/>
        <v>84</v>
      </c>
      <c r="C91" s="14" t="s">
        <v>228</v>
      </c>
      <c r="D91" s="91" t="s">
        <v>3459</v>
      </c>
      <c r="E91" s="732">
        <v>15516.94</v>
      </c>
      <c r="F91" s="733"/>
      <c r="G91" s="732"/>
      <c r="H91" s="321">
        <f t="shared" si="13"/>
        <v>15516.94</v>
      </c>
      <c r="I91" s="15">
        <v>44742</v>
      </c>
      <c r="J91" s="728">
        <v>5532.9581945205473</v>
      </c>
      <c r="K91" s="319">
        <f t="shared" si="12"/>
        <v>9983.9818054794523</v>
      </c>
      <c r="L91" s="321">
        <f t="shared" si="19"/>
        <v>641</v>
      </c>
      <c r="M91" s="323">
        <v>2</v>
      </c>
      <c r="N91" s="319">
        <f t="shared" si="20"/>
        <v>1.7561643835616438</v>
      </c>
      <c r="O91" s="319">
        <f t="shared" si="14"/>
        <v>0.24383561643835616</v>
      </c>
      <c r="P91" s="739">
        <f t="shared" si="17"/>
        <v>0.47499999999999998</v>
      </c>
      <c r="Q91" s="362">
        <f t="shared" si="18"/>
        <v>7370.5464999999995</v>
      </c>
      <c r="R91" s="319">
        <f t="shared" si="21"/>
        <v>2613.4353054794528</v>
      </c>
      <c r="S91" s="319">
        <f t="shared" si="15"/>
        <v>78</v>
      </c>
      <c r="T91" s="326"/>
    </row>
    <row r="92" spans="2:20" ht="15.75">
      <c r="B92" s="317">
        <f t="shared" si="16"/>
        <v>85</v>
      </c>
      <c r="C92" s="82" t="s">
        <v>483</v>
      </c>
      <c r="D92" s="91" t="s">
        <v>3459</v>
      </c>
      <c r="E92" s="732">
        <v>10000</v>
      </c>
      <c r="F92" s="733"/>
      <c r="G92" s="732"/>
      <c r="H92" s="321">
        <f t="shared" si="13"/>
        <v>10000</v>
      </c>
      <c r="I92" s="23">
        <v>44756</v>
      </c>
      <c r="J92" s="728">
        <v>3383.5616438356165</v>
      </c>
      <c r="K92" s="319">
        <f t="shared" si="12"/>
        <v>6616.4383561643835</v>
      </c>
      <c r="L92" s="321">
        <f t="shared" si="19"/>
        <v>627</v>
      </c>
      <c r="M92" s="323">
        <v>2</v>
      </c>
      <c r="N92" s="319">
        <f t="shared" si="20"/>
        <v>1.7178082191780821</v>
      </c>
      <c r="O92" s="319">
        <f t="shared" si="14"/>
        <v>0.28219178082191787</v>
      </c>
      <c r="P92" s="739">
        <f t="shared" si="17"/>
        <v>0.47499999999999998</v>
      </c>
      <c r="Q92" s="362">
        <f t="shared" si="18"/>
        <v>4750</v>
      </c>
      <c r="R92" s="319">
        <f t="shared" si="21"/>
        <v>1866.4383561643835</v>
      </c>
      <c r="S92" s="319">
        <f t="shared" si="15"/>
        <v>50</v>
      </c>
      <c r="T92" s="326"/>
    </row>
    <row r="93" spans="2:20" ht="15.75">
      <c r="B93" s="317">
        <f t="shared" si="16"/>
        <v>86</v>
      </c>
      <c r="C93" s="82" t="s">
        <v>483</v>
      </c>
      <c r="D93" s="91" t="s">
        <v>3459</v>
      </c>
      <c r="E93" s="732">
        <v>5560</v>
      </c>
      <c r="F93" s="733"/>
      <c r="G93" s="732"/>
      <c r="H93" s="321">
        <f t="shared" si="13"/>
        <v>5560</v>
      </c>
      <c r="I93" s="23">
        <v>44756</v>
      </c>
      <c r="J93" s="728">
        <v>1881.2602739726028</v>
      </c>
      <c r="K93" s="319">
        <f t="shared" si="12"/>
        <v>3678.7397260273974</v>
      </c>
      <c r="L93" s="321">
        <f t="shared" si="19"/>
        <v>627</v>
      </c>
      <c r="M93" s="323">
        <v>2</v>
      </c>
      <c r="N93" s="319">
        <f t="shared" si="20"/>
        <v>1.7178082191780821</v>
      </c>
      <c r="O93" s="319">
        <f t="shared" si="14"/>
        <v>0.28219178082191787</v>
      </c>
      <c r="P93" s="739">
        <f t="shared" si="17"/>
        <v>0.47499999999999998</v>
      </c>
      <c r="Q93" s="362">
        <f t="shared" si="18"/>
        <v>2641</v>
      </c>
      <c r="R93" s="319">
        <f t="shared" si="21"/>
        <v>1037.7397260273974</v>
      </c>
      <c r="S93" s="319">
        <f t="shared" si="15"/>
        <v>28</v>
      </c>
      <c r="T93" s="326"/>
    </row>
    <row r="94" spans="2:20" ht="15.75">
      <c r="B94" s="317">
        <f t="shared" si="16"/>
        <v>87</v>
      </c>
      <c r="C94" s="82" t="s">
        <v>484</v>
      </c>
      <c r="D94" s="91" t="s">
        <v>3459</v>
      </c>
      <c r="E94" s="732">
        <v>10811.06</v>
      </c>
      <c r="F94" s="733"/>
      <c r="G94" s="732"/>
      <c r="H94" s="321">
        <f t="shared" si="13"/>
        <v>10811.06</v>
      </c>
      <c r="I94" s="23">
        <v>44810</v>
      </c>
      <c r="J94" s="728">
        <v>2898.2526602739722</v>
      </c>
      <c r="K94" s="319">
        <f t="shared" si="12"/>
        <v>7912.8073397260268</v>
      </c>
      <c r="L94" s="321">
        <f t="shared" si="19"/>
        <v>573</v>
      </c>
      <c r="M94" s="323">
        <v>2</v>
      </c>
      <c r="N94" s="319">
        <f t="shared" si="20"/>
        <v>1.5698630136986302</v>
      </c>
      <c r="O94" s="319">
        <f t="shared" si="14"/>
        <v>0.43013698630136976</v>
      </c>
      <c r="P94" s="739">
        <f t="shared" si="17"/>
        <v>0.47499999999999998</v>
      </c>
      <c r="Q94" s="362">
        <f t="shared" si="18"/>
        <v>5135.2534999999998</v>
      </c>
      <c r="R94" s="319">
        <f t="shared" si="21"/>
        <v>2777.553839726027</v>
      </c>
      <c r="S94" s="319">
        <f t="shared" si="15"/>
        <v>54</v>
      </c>
      <c r="T94" s="326"/>
    </row>
    <row r="95" spans="2:20" ht="15.75">
      <c r="B95" s="317">
        <f t="shared" si="16"/>
        <v>88</v>
      </c>
      <c r="C95" s="82" t="s">
        <v>819</v>
      </c>
      <c r="D95" s="91" t="s">
        <v>3459</v>
      </c>
      <c r="E95" s="732">
        <v>169129</v>
      </c>
      <c r="F95" s="733"/>
      <c r="G95" s="732"/>
      <c r="H95" s="321">
        <f t="shared" si="13"/>
        <v>169129</v>
      </c>
      <c r="I95" s="23">
        <v>44838</v>
      </c>
      <c r="J95" s="728">
        <v>39177.690273972599</v>
      </c>
      <c r="K95" s="319">
        <f t="shared" si="12"/>
        <v>129951.30972602739</v>
      </c>
      <c r="L95" s="321">
        <f t="shared" si="19"/>
        <v>545</v>
      </c>
      <c r="M95" s="323">
        <v>2</v>
      </c>
      <c r="N95" s="319">
        <f t="shared" si="20"/>
        <v>1.4931506849315068</v>
      </c>
      <c r="O95" s="319">
        <f t="shared" si="14"/>
        <v>0.50684931506849318</v>
      </c>
      <c r="P95" s="739">
        <f t="shared" si="17"/>
        <v>0.47499999999999998</v>
      </c>
      <c r="Q95" s="362">
        <f t="shared" si="18"/>
        <v>80336.274999999994</v>
      </c>
      <c r="R95" s="319">
        <f t="shared" si="21"/>
        <v>49615.034726027399</v>
      </c>
      <c r="S95" s="319">
        <f t="shared" si="15"/>
        <v>846</v>
      </c>
      <c r="T95" s="326"/>
    </row>
    <row r="96" spans="2:20" ht="15.75">
      <c r="B96" s="317">
        <f t="shared" si="16"/>
        <v>89</v>
      </c>
      <c r="C96" s="82" t="s">
        <v>819</v>
      </c>
      <c r="D96" s="91" t="s">
        <v>3459</v>
      </c>
      <c r="E96" s="732">
        <v>280860</v>
      </c>
      <c r="F96" s="733"/>
      <c r="G96" s="732"/>
      <c r="H96" s="321">
        <f t="shared" si="13"/>
        <v>280860</v>
      </c>
      <c r="I96" s="23">
        <v>44844</v>
      </c>
      <c r="J96" s="728">
        <v>62866.471232876713</v>
      </c>
      <c r="K96" s="319">
        <f t="shared" si="12"/>
        <v>217993.52876712329</v>
      </c>
      <c r="L96" s="321">
        <f t="shared" si="19"/>
        <v>539</v>
      </c>
      <c r="M96" s="323">
        <v>2</v>
      </c>
      <c r="N96" s="319">
        <f t="shared" si="20"/>
        <v>1.4767123287671233</v>
      </c>
      <c r="O96" s="319">
        <f t="shared" si="14"/>
        <v>0.52328767123287667</v>
      </c>
      <c r="P96" s="739">
        <f t="shared" si="17"/>
        <v>0.47499999999999998</v>
      </c>
      <c r="Q96" s="362">
        <f t="shared" si="18"/>
        <v>133408.5</v>
      </c>
      <c r="R96" s="319">
        <f t="shared" si="21"/>
        <v>84585.028767123295</v>
      </c>
      <c r="S96" s="319">
        <f t="shared" si="15"/>
        <v>1404</v>
      </c>
      <c r="T96" s="326"/>
    </row>
    <row r="97" spans="2:20" ht="15.75">
      <c r="B97" s="317">
        <f t="shared" si="16"/>
        <v>90</v>
      </c>
      <c r="C97" s="82" t="s">
        <v>819</v>
      </c>
      <c r="D97" s="91" t="s">
        <v>3459</v>
      </c>
      <c r="E97" s="732">
        <v>814059</v>
      </c>
      <c r="F97" s="733"/>
      <c r="G97" s="732"/>
      <c r="H97" s="321">
        <f t="shared" si="13"/>
        <v>814059</v>
      </c>
      <c r="I97" s="23">
        <v>44844</v>
      </c>
      <c r="J97" s="728">
        <v>182215.39808219176</v>
      </c>
      <c r="K97" s="319">
        <f t="shared" si="12"/>
        <v>631843.60191780818</v>
      </c>
      <c r="L97" s="321">
        <f t="shared" si="19"/>
        <v>539</v>
      </c>
      <c r="M97" s="323">
        <v>2</v>
      </c>
      <c r="N97" s="319">
        <f t="shared" si="20"/>
        <v>1.4767123287671233</v>
      </c>
      <c r="O97" s="319">
        <f t="shared" si="14"/>
        <v>0.52328767123287667</v>
      </c>
      <c r="P97" s="739">
        <f t="shared" si="17"/>
        <v>0.47499999999999998</v>
      </c>
      <c r="Q97" s="362">
        <f t="shared" si="18"/>
        <v>386678.02499999997</v>
      </c>
      <c r="R97" s="319">
        <f t="shared" si="21"/>
        <v>245165.57691780821</v>
      </c>
      <c r="S97" s="319">
        <f t="shared" si="15"/>
        <v>4070</v>
      </c>
      <c r="T97" s="326"/>
    </row>
    <row r="98" spans="2:20" ht="15.75">
      <c r="B98" s="317">
        <f t="shared" si="16"/>
        <v>91</v>
      </c>
      <c r="C98" s="82" t="s">
        <v>819</v>
      </c>
      <c r="D98" s="91" t="s">
        <v>3459</v>
      </c>
      <c r="E98" s="732">
        <v>129694.9</v>
      </c>
      <c r="F98" s="733"/>
      <c r="G98" s="732"/>
      <c r="H98" s="321">
        <f t="shared" si="13"/>
        <v>129694.9</v>
      </c>
      <c r="I98" s="23">
        <v>44891</v>
      </c>
      <c r="J98" s="728">
        <v>21097.629280821915</v>
      </c>
      <c r="K98" s="319">
        <f t="shared" si="12"/>
        <v>108597.27071917808</v>
      </c>
      <c r="L98" s="321">
        <f t="shared" si="19"/>
        <v>492</v>
      </c>
      <c r="M98" s="323">
        <v>2</v>
      </c>
      <c r="N98" s="319">
        <f t="shared" si="20"/>
        <v>1.3479452054794521</v>
      </c>
      <c r="O98" s="319">
        <f t="shared" si="14"/>
        <v>0.65205479452054793</v>
      </c>
      <c r="P98" s="739">
        <f t="shared" si="17"/>
        <v>0.47499999999999998</v>
      </c>
      <c r="Q98" s="362">
        <f t="shared" si="18"/>
        <v>61605.077499999992</v>
      </c>
      <c r="R98" s="319">
        <f t="shared" si="21"/>
        <v>46992.193219178087</v>
      </c>
      <c r="S98" s="319">
        <f t="shared" si="15"/>
        <v>648</v>
      </c>
      <c r="T98" s="326"/>
    </row>
    <row r="99" spans="2:20" ht="15.75">
      <c r="B99" s="317">
        <f t="shared" si="16"/>
        <v>92</v>
      </c>
      <c r="C99" s="82" t="s">
        <v>819</v>
      </c>
      <c r="D99" s="91" t="s">
        <v>3459</v>
      </c>
      <c r="E99" s="732">
        <v>129694.9</v>
      </c>
      <c r="F99" s="733"/>
      <c r="G99" s="732"/>
      <c r="H99" s="321">
        <f t="shared" si="13"/>
        <v>129694.9</v>
      </c>
      <c r="I99" s="23">
        <v>44895</v>
      </c>
      <c r="J99" s="728">
        <v>20422.505143835617</v>
      </c>
      <c r="K99" s="319">
        <f t="shared" si="12"/>
        <v>109272.39485616438</v>
      </c>
      <c r="L99" s="321">
        <f t="shared" si="19"/>
        <v>488</v>
      </c>
      <c r="M99" s="323">
        <v>2</v>
      </c>
      <c r="N99" s="319">
        <f t="shared" si="20"/>
        <v>1.3369863013698631</v>
      </c>
      <c r="O99" s="319">
        <f t="shared" si="14"/>
        <v>0.66301369863013693</v>
      </c>
      <c r="P99" s="739">
        <f t="shared" si="17"/>
        <v>0.47499999999999998</v>
      </c>
      <c r="Q99" s="362">
        <f t="shared" si="18"/>
        <v>61605.077499999992</v>
      </c>
      <c r="R99" s="319">
        <f t="shared" si="21"/>
        <v>47667.317356164385</v>
      </c>
      <c r="S99" s="319">
        <f t="shared" si="15"/>
        <v>648</v>
      </c>
      <c r="T99" s="326"/>
    </row>
    <row r="100" spans="2:20" ht="15.75">
      <c r="B100" s="317">
        <f t="shared" si="16"/>
        <v>93</v>
      </c>
      <c r="C100" s="82" t="s">
        <v>819</v>
      </c>
      <c r="D100" s="91" t="s">
        <v>3459</v>
      </c>
      <c r="E100" s="732">
        <v>145127</v>
      </c>
      <c r="F100" s="733"/>
      <c r="G100" s="732"/>
      <c r="H100" s="321">
        <f t="shared" si="13"/>
        <v>145127</v>
      </c>
      <c r="I100" s="23">
        <v>44902</v>
      </c>
      <c r="J100" s="728">
        <v>21530.485068493152</v>
      </c>
      <c r="K100" s="319">
        <f t="shared" si="12"/>
        <v>123596.51493150686</v>
      </c>
      <c r="L100" s="321">
        <f t="shared" si="19"/>
        <v>481</v>
      </c>
      <c r="M100" s="323">
        <v>2</v>
      </c>
      <c r="N100" s="319">
        <f t="shared" si="20"/>
        <v>1.3178082191780822</v>
      </c>
      <c r="O100" s="319">
        <f t="shared" si="14"/>
        <v>0.68219178082191778</v>
      </c>
      <c r="P100" s="739">
        <f t="shared" si="17"/>
        <v>0.47499999999999998</v>
      </c>
      <c r="Q100" s="362">
        <f t="shared" si="18"/>
        <v>68935.324999999997</v>
      </c>
      <c r="R100" s="319">
        <f t="shared" si="21"/>
        <v>54661.189931506859</v>
      </c>
      <c r="S100" s="319">
        <f t="shared" si="15"/>
        <v>726</v>
      </c>
      <c r="T100" s="326"/>
    </row>
    <row r="101" spans="2:20" ht="15.75">
      <c r="B101" s="317">
        <f t="shared" si="16"/>
        <v>94</v>
      </c>
      <c r="C101" s="82" t="s">
        <v>819</v>
      </c>
      <c r="D101" s="91" t="s">
        <v>3459</v>
      </c>
      <c r="E101" s="732">
        <v>145127</v>
      </c>
      <c r="F101" s="733"/>
      <c r="G101" s="732"/>
      <c r="H101" s="321">
        <f t="shared" si="13"/>
        <v>145127</v>
      </c>
      <c r="I101" s="23">
        <v>44912</v>
      </c>
      <c r="J101" s="728">
        <v>19641.84602739726</v>
      </c>
      <c r="K101" s="319">
        <f t="shared" si="12"/>
        <v>125485.15397260274</v>
      </c>
      <c r="L101" s="321">
        <f t="shared" si="19"/>
        <v>471</v>
      </c>
      <c r="M101" s="323">
        <v>2</v>
      </c>
      <c r="N101" s="319">
        <f t="shared" si="20"/>
        <v>1.2904109589041095</v>
      </c>
      <c r="O101" s="319">
        <f t="shared" si="14"/>
        <v>0.70958904109589049</v>
      </c>
      <c r="P101" s="739">
        <f t="shared" si="17"/>
        <v>0.47499999999999998</v>
      </c>
      <c r="Q101" s="362">
        <f t="shared" si="18"/>
        <v>68935.324999999997</v>
      </c>
      <c r="R101" s="319">
        <f t="shared" si="21"/>
        <v>56549.828972602743</v>
      </c>
      <c r="S101" s="319">
        <f t="shared" si="15"/>
        <v>726</v>
      </c>
      <c r="T101" s="326"/>
    </row>
    <row r="102" spans="2:20" ht="15.75">
      <c r="B102" s="317">
        <f t="shared" si="16"/>
        <v>95</v>
      </c>
      <c r="C102" s="82" t="s">
        <v>819</v>
      </c>
      <c r="D102" s="91" t="s">
        <v>3459</v>
      </c>
      <c r="E102" s="732">
        <v>145127</v>
      </c>
      <c r="F102" s="733"/>
      <c r="G102" s="732"/>
      <c r="H102" s="321">
        <f t="shared" si="13"/>
        <v>145127</v>
      </c>
      <c r="I102" s="23">
        <v>44916</v>
      </c>
      <c r="J102" s="728">
        <v>18886.390410958906</v>
      </c>
      <c r="K102" s="319">
        <f t="shared" si="12"/>
        <v>126240.60958904109</v>
      </c>
      <c r="L102" s="321">
        <f t="shared" si="19"/>
        <v>467</v>
      </c>
      <c r="M102" s="323">
        <v>2</v>
      </c>
      <c r="N102" s="319">
        <f t="shared" si="20"/>
        <v>1.2794520547945205</v>
      </c>
      <c r="O102" s="319">
        <f t="shared" si="14"/>
        <v>0.72054794520547949</v>
      </c>
      <c r="P102" s="739">
        <f t="shared" si="17"/>
        <v>0.47499999999999998</v>
      </c>
      <c r="Q102" s="362">
        <f t="shared" si="18"/>
        <v>68935.324999999997</v>
      </c>
      <c r="R102" s="319">
        <f t="shared" si="21"/>
        <v>57305.284589041097</v>
      </c>
      <c r="S102" s="319">
        <f t="shared" si="15"/>
        <v>726</v>
      </c>
      <c r="T102" s="326"/>
    </row>
    <row r="103" spans="2:20" ht="15.75">
      <c r="B103" s="317">
        <f t="shared" si="16"/>
        <v>96</v>
      </c>
      <c r="C103" s="82" t="s">
        <v>819</v>
      </c>
      <c r="D103" s="91" t="s">
        <v>3459</v>
      </c>
      <c r="E103" s="732">
        <v>145127</v>
      </c>
      <c r="F103" s="733"/>
      <c r="G103" s="732"/>
      <c r="H103" s="321">
        <f t="shared" si="13"/>
        <v>145127</v>
      </c>
      <c r="I103" s="23">
        <v>44926</v>
      </c>
      <c r="J103" s="728">
        <v>16997.751369863014</v>
      </c>
      <c r="K103" s="319">
        <f t="shared" si="12"/>
        <v>128129.24863013698</v>
      </c>
      <c r="L103" s="321">
        <f t="shared" si="19"/>
        <v>457</v>
      </c>
      <c r="M103" s="323">
        <v>2</v>
      </c>
      <c r="N103" s="319">
        <f t="shared" si="20"/>
        <v>1.252054794520548</v>
      </c>
      <c r="O103" s="319">
        <f t="shared" si="14"/>
        <v>0.74794520547945198</v>
      </c>
      <c r="P103" s="739">
        <f t="shared" si="17"/>
        <v>0.47499999999999998</v>
      </c>
      <c r="Q103" s="362">
        <f t="shared" si="18"/>
        <v>68935.324999999997</v>
      </c>
      <c r="R103" s="319">
        <f t="shared" si="21"/>
        <v>59193.923630136982</v>
      </c>
      <c r="S103" s="319">
        <f t="shared" si="15"/>
        <v>726</v>
      </c>
      <c r="T103" s="326"/>
    </row>
    <row r="104" spans="2:20" ht="15.75">
      <c r="B104" s="317">
        <f t="shared" si="16"/>
        <v>97</v>
      </c>
      <c r="C104" s="14" t="s">
        <v>229</v>
      </c>
      <c r="D104" s="91" t="s">
        <v>3460</v>
      </c>
      <c r="E104" s="732">
        <v>650320</v>
      </c>
      <c r="F104" s="733"/>
      <c r="G104" s="732"/>
      <c r="H104" s="321">
        <f t="shared" si="13"/>
        <v>650320</v>
      </c>
      <c r="I104" s="23">
        <v>44728</v>
      </c>
      <c r="J104" s="728">
        <v>243736.37260273972</v>
      </c>
      <c r="K104" s="319">
        <f t="shared" si="12"/>
        <v>406583.62739726028</v>
      </c>
      <c r="L104" s="321">
        <f t="shared" si="19"/>
        <v>655</v>
      </c>
      <c r="M104" s="323">
        <v>2</v>
      </c>
      <c r="N104" s="319">
        <f t="shared" si="20"/>
        <v>1.7945205479452055</v>
      </c>
      <c r="O104" s="319">
        <f t="shared" si="14"/>
        <v>0.20547945205479445</v>
      </c>
      <c r="P104" s="739">
        <f t="shared" si="17"/>
        <v>0.47499999999999998</v>
      </c>
      <c r="Q104" s="362">
        <f t="shared" si="18"/>
        <v>308902</v>
      </c>
      <c r="R104" s="319">
        <f t="shared" si="21"/>
        <v>97681.627397260279</v>
      </c>
      <c r="S104" s="319">
        <f t="shared" si="15"/>
        <v>3252</v>
      </c>
      <c r="T104" s="326"/>
    </row>
    <row r="105" spans="2:20" ht="15.75">
      <c r="B105" s="317">
        <f t="shared" si="16"/>
        <v>98</v>
      </c>
      <c r="C105" s="14" t="s">
        <v>230</v>
      </c>
      <c r="D105" s="91" t="s">
        <v>3460</v>
      </c>
      <c r="E105" s="732">
        <v>1355246.4</v>
      </c>
      <c r="F105" s="733"/>
      <c r="G105" s="732"/>
      <c r="H105" s="321">
        <f t="shared" si="13"/>
        <v>1355246.4</v>
      </c>
      <c r="I105" s="23">
        <v>44741</v>
      </c>
      <c r="J105" s="728">
        <v>485011.12602739717</v>
      </c>
      <c r="K105" s="319">
        <f t="shared" si="12"/>
        <v>870235.27397260279</v>
      </c>
      <c r="L105" s="321">
        <f t="shared" si="19"/>
        <v>642</v>
      </c>
      <c r="M105" s="323">
        <v>2</v>
      </c>
      <c r="N105" s="319">
        <f t="shared" si="20"/>
        <v>1.7589041095890412</v>
      </c>
      <c r="O105" s="319">
        <f t="shared" si="14"/>
        <v>0.2410958904109588</v>
      </c>
      <c r="P105" s="739">
        <f t="shared" si="17"/>
        <v>0.47499999999999998</v>
      </c>
      <c r="Q105" s="362">
        <f t="shared" si="18"/>
        <v>643742.03999999992</v>
      </c>
      <c r="R105" s="319">
        <f t="shared" si="21"/>
        <v>226493.23397260287</v>
      </c>
      <c r="S105" s="319">
        <f t="shared" si="15"/>
        <v>6776</v>
      </c>
      <c r="T105" s="326"/>
    </row>
    <row r="106" spans="2:20" ht="15.75">
      <c r="B106" s="317">
        <f t="shared" si="16"/>
        <v>99</v>
      </c>
      <c r="C106" s="82" t="s">
        <v>484</v>
      </c>
      <c r="D106" s="91" t="s">
        <v>3460</v>
      </c>
      <c r="E106" s="732">
        <v>545590</v>
      </c>
      <c r="F106" s="733"/>
      <c r="G106" s="732"/>
      <c r="H106" s="321">
        <f t="shared" si="13"/>
        <v>545590</v>
      </c>
      <c r="I106" s="23">
        <v>44773</v>
      </c>
      <c r="J106" s="728">
        <v>172533.49520547944</v>
      </c>
      <c r="K106" s="319">
        <f t="shared" si="12"/>
        <v>373056.50479452056</v>
      </c>
      <c r="L106" s="321">
        <f t="shared" si="19"/>
        <v>610</v>
      </c>
      <c r="M106" s="323">
        <v>2</v>
      </c>
      <c r="N106" s="319">
        <f t="shared" si="20"/>
        <v>1.6712328767123288</v>
      </c>
      <c r="O106" s="319">
        <f t="shared" si="14"/>
        <v>0.32876712328767121</v>
      </c>
      <c r="P106" s="739">
        <f t="shared" si="17"/>
        <v>0.47499999999999998</v>
      </c>
      <c r="Q106" s="362">
        <f t="shared" si="18"/>
        <v>259155.25</v>
      </c>
      <c r="R106" s="319">
        <f t="shared" si="21"/>
        <v>113901.25479452056</v>
      </c>
      <c r="S106" s="319">
        <f t="shared" si="15"/>
        <v>2728</v>
      </c>
      <c r="T106" s="326"/>
    </row>
    <row r="107" spans="2:20" ht="15.75">
      <c r="B107" s="317">
        <f t="shared" si="16"/>
        <v>100</v>
      </c>
      <c r="C107" s="82" t="s">
        <v>484</v>
      </c>
      <c r="D107" s="91" t="s">
        <v>3460</v>
      </c>
      <c r="E107" s="732">
        <v>1109630</v>
      </c>
      <c r="F107" s="733"/>
      <c r="G107" s="732"/>
      <c r="H107" s="321">
        <f t="shared" si="13"/>
        <v>1109630</v>
      </c>
      <c r="I107" s="23">
        <v>44804</v>
      </c>
      <c r="J107" s="728">
        <v>306136.27671232878</v>
      </c>
      <c r="K107" s="319">
        <f t="shared" si="12"/>
        <v>803493.72328767122</v>
      </c>
      <c r="L107" s="321">
        <f t="shared" si="19"/>
        <v>579</v>
      </c>
      <c r="M107" s="323">
        <v>2</v>
      </c>
      <c r="N107" s="319">
        <f t="shared" si="20"/>
        <v>1.5863013698630137</v>
      </c>
      <c r="O107" s="319">
        <f t="shared" si="14"/>
        <v>0.41369863013698627</v>
      </c>
      <c r="P107" s="739">
        <f t="shared" si="17"/>
        <v>0.47499999999999998</v>
      </c>
      <c r="Q107" s="362">
        <f t="shared" si="18"/>
        <v>527074.25</v>
      </c>
      <c r="R107" s="319">
        <f t="shared" si="21"/>
        <v>276419.47328767122</v>
      </c>
      <c r="S107" s="319">
        <f t="shared" si="15"/>
        <v>5548</v>
      </c>
      <c r="T107" s="326"/>
    </row>
    <row r="108" spans="2:20" ht="15.75">
      <c r="B108" s="317">
        <f t="shared" si="16"/>
        <v>101</v>
      </c>
      <c r="C108" s="82" t="s">
        <v>484</v>
      </c>
      <c r="D108" s="91" t="s">
        <v>3460</v>
      </c>
      <c r="E108" s="732">
        <v>559050</v>
      </c>
      <c r="F108" s="733"/>
      <c r="G108" s="732"/>
      <c r="H108" s="321">
        <f t="shared" si="13"/>
        <v>559050</v>
      </c>
      <c r="I108" s="23">
        <v>44804</v>
      </c>
      <c r="J108" s="728">
        <v>154236.53424657535</v>
      </c>
      <c r="K108" s="319">
        <f t="shared" si="12"/>
        <v>404813.46575342468</v>
      </c>
      <c r="L108" s="321">
        <f t="shared" si="19"/>
        <v>579</v>
      </c>
      <c r="M108" s="323">
        <v>2</v>
      </c>
      <c r="N108" s="319">
        <f t="shared" si="20"/>
        <v>1.5863013698630137</v>
      </c>
      <c r="O108" s="319">
        <f t="shared" si="14"/>
        <v>0.41369863013698627</v>
      </c>
      <c r="P108" s="739">
        <f t="shared" si="17"/>
        <v>0.47499999999999998</v>
      </c>
      <c r="Q108" s="362">
        <f t="shared" si="18"/>
        <v>265548.75</v>
      </c>
      <c r="R108" s="319">
        <f t="shared" si="21"/>
        <v>139264.71575342468</v>
      </c>
      <c r="S108" s="319">
        <f t="shared" si="15"/>
        <v>2795</v>
      </c>
      <c r="T108" s="326"/>
    </row>
    <row r="109" spans="2:20" ht="15.75">
      <c r="B109" s="317">
        <f t="shared" si="16"/>
        <v>102</v>
      </c>
      <c r="C109" s="82" t="s">
        <v>484</v>
      </c>
      <c r="D109" s="91" t="s">
        <v>3460</v>
      </c>
      <c r="E109" s="732">
        <v>108300</v>
      </c>
      <c r="F109" s="733"/>
      <c r="G109" s="732"/>
      <c r="H109" s="321">
        <f t="shared" si="13"/>
        <v>108300</v>
      </c>
      <c r="I109" s="23">
        <v>44805</v>
      </c>
      <c r="J109" s="728">
        <v>29737.993150684932</v>
      </c>
      <c r="K109" s="319">
        <f t="shared" si="12"/>
        <v>78562.006849315076</v>
      </c>
      <c r="L109" s="321">
        <f t="shared" si="19"/>
        <v>578</v>
      </c>
      <c r="M109" s="323">
        <v>2</v>
      </c>
      <c r="N109" s="319">
        <f t="shared" si="20"/>
        <v>1.5835616438356164</v>
      </c>
      <c r="O109" s="319">
        <f t="shared" si="14"/>
        <v>0.41643835616438363</v>
      </c>
      <c r="P109" s="739">
        <f t="shared" si="17"/>
        <v>0.47499999999999998</v>
      </c>
      <c r="Q109" s="362">
        <f t="shared" si="18"/>
        <v>51442.5</v>
      </c>
      <c r="R109" s="319">
        <f t="shared" si="21"/>
        <v>27119.506849315076</v>
      </c>
      <c r="S109" s="319">
        <f t="shared" si="15"/>
        <v>542</v>
      </c>
      <c r="T109" s="326"/>
    </row>
    <row r="110" spans="2:20" ht="15.75">
      <c r="B110" s="317">
        <f t="shared" si="16"/>
        <v>103</v>
      </c>
      <c r="C110" s="82" t="s">
        <v>491</v>
      </c>
      <c r="D110" s="91" t="s">
        <v>3460</v>
      </c>
      <c r="E110" s="732">
        <v>825840</v>
      </c>
      <c r="F110" s="733"/>
      <c r="G110" s="732"/>
      <c r="H110" s="321">
        <f t="shared" si="13"/>
        <v>825840</v>
      </c>
      <c r="I110" s="23">
        <v>44834</v>
      </c>
      <c r="J110" s="728">
        <v>195599.63835616439</v>
      </c>
      <c r="K110" s="319">
        <f t="shared" si="12"/>
        <v>630240.36164383567</v>
      </c>
      <c r="L110" s="321">
        <f t="shared" si="19"/>
        <v>549</v>
      </c>
      <c r="M110" s="323">
        <v>2</v>
      </c>
      <c r="N110" s="319">
        <f t="shared" si="20"/>
        <v>1.5041095890410958</v>
      </c>
      <c r="O110" s="319">
        <f t="shared" si="14"/>
        <v>0.49589041095890418</v>
      </c>
      <c r="P110" s="739">
        <f t="shared" si="17"/>
        <v>0.47499999999999998</v>
      </c>
      <c r="Q110" s="362">
        <f t="shared" si="18"/>
        <v>392274</v>
      </c>
      <c r="R110" s="319">
        <f t="shared" si="21"/>
        <v>237966.36164383567</v>
      </c>
      <c r="S110" s="319">
        <f t="shared" si="15"/>
        <v>4129</v>
      </c>
      <c r="T110" s="326"/>
    </row>
    <row r="111" spans="2:20" ht="15.75">
      <c r="B111" s="317">
        <f t="shared" si="16"/>
        <v>104</v>
      </c>
      <c r="C111" s="82" t="s">
        <v>819</v>
      </c>
      <c r="D111" s="91" t="s">
        <v>3460</v>
      </c>
      <c r="E111" s="732">
        <v>219867</v>
      </c>
      <c r="F111" s="733"/>
      <c r="G111" s="732"/>
      <c r="H111" s="321">
        <f t="shared" si="13"/>
        <v>219867</v>
      </c>
      <c r="I111" s="23">
        <v>44839</v>
      </c>
      <c r="J111" s="728">
        <v>50644.706917808217</v>
      </c>
      <c r="K111" s="319">
        <f t="shared" si="12"/>
        <v>169222.29308219178</v>
      </c>
      <c r="L111" s="321">
        <f t="shared" si="19"/>
        <v>544</v>
      </c>
      <c r="M111" s="323">
        <v>2</v>
      </c>
      <c r="N111" s="319">
        <f t="shared" si="20"/>
        <v>1.4904109589041097</v>
      </c>
      <c r="O111" s="319">
        <f t="shared" si="14"/>
        <v>0.50958904109589032</v>
      </c>
      <c r="P111" s="739">
        <f t="shared" si="17"/>
        <v>0.47499999999999998</v>
      </c>
      <c r="Q111" s="362">
        <f t="shared" si="18"/>
        <v>104436.825</v>
      </c>
      <c r="R111" s="319">
        <f t="shared" si="21"/>
        <v>64785.468082191786</v>
      </c>
      <c r="S111" s="319">
        <f t="shared" si="15"/>
        <v>1099</v>
      </c>
      <c r="T111" s="326"/>
    </row>
    <row r="112" spans="2:20" ht="15.75">
      <c r="B112" s="317">
        <f t="shared" si="16"/>
        <v>105</v>
      </c>
      <c r="C112" s="82" t="s">
        <v>820</v>
      </c>
      <c r="D112" s="91" t="s">
        <v>3460</v>
      </c>
      <c r="E112" s="732">
        <v>1097921</v>
      </c>
      <c r="F112" s="733"/>
      <c r="G112" s="732"/>
      <c r="H112" s="321">
        <f t="shared" si="13"/>
        <v>1097921</v>
      </c>
      <c r="I112" s="23">
        <v>44844</v>
      </c>
      <c r="J112" s="728">
        <v>245753.82383561644</v>
      </c>
      <c r="K112" s="319">
        <f t="shared" si="12"/>
        <v>852167.17616438353</v>
      </c>
      <c r="L112" s="321">
        <f t="shared" si="19"/>
        <v>539</v>
      </c>
      <c r="M112" s="323">
        <v>2</v>
      </c>
      <c r="N112" s="319">
        <f t="shared" si="20"/>
        <v>1.4767123287671233</v>
      </c>
      <c r="O112" s="319">
        <f t="shared" si="14"/>
        <v>0.52328767123287667</v>
      </c>
      <c r="P112" s="739">
        <f t="shared" si="17"/>
        <v>0.47499999999999998</v>
      </c>
      <c r="Q112" s="362">
        <f t="shared" si="18"/>
        <v>521512.47499999998</v>
      </c>
      <c r="R112" s="319">
        <f t="shared" si="21"/>
        <v>330654.70116438356</v>
      </c>
      <c r="S112" s="319">
        <f t="shared" si="15"/>
        <v>5490</v>
      </c>
      <c r="T112" s="326"/>
    </row>
    <row r="113" spans="2:20" ht="15.75">
      <c r="B113" s="317">
        <f t="shared" si="16"/>
        <v>106</v>
      </c>
      <c r="C113" s="82" t="s">
        <v>820</v>
      </c>
      <c r="D113" s="91" t="s">
        <v>3460</v>
      </c>
      <c r="E113" s="732">
        <v>141000</v>
      </c>
      <c r="F113" s="733"/>
      <c r="G113" s="732"/>
      <c r="H113" s="321">
        <f t="shared" si="13"/>
        <v>141000</v>
      </c>
      <c r="I113" s="23">
        <v>44844</v>
      </c>
      <c r="J113" s="728">
        <v>31560.821917808218</v>
      </c>
      <c r="K113" s="319">
        <f t="shared" si="12"/>
        <v>109439.17808219178</v>
      </c>
      <c r="L113" s="321">
        <f t="shared" si="19"/>
        <v>539</v>
      </c>
      <c r="M113" s="323">
        <v>2</v>
      </c>
      <c r="N113" s="319">
        <f t="shared" si="20"/>
        <v>1.4767123287671233</v>
      </c>
      <c r="O113" s="319">
        <f t="shared" si="14"/>
        <v>0.52328767123287667</v>
      </c>
      <c r="P113" s="739">
        <f t="shared" si="17"/>
        <v>0.47499999999999998</v>
      </c>
      <c r="Q113" s="362">
        <f t="shared" si="18"/>
        <v>66975</v>
      </c>
      <c r="R113" s="319">
        <f t="shared" si="21"/>
        <v>42464.178082191778</v>
      </c>
      <c r="S113" s="319">
        <f t="shared" si="15"/>
        <v>705</v>
      </c>
      <c r="T113" s="326"/>
    </row>
    <row r="114" spans="2:20" ht="15.75">
      <c r="B114" s="317">
        <f t="shared" si="16"/>
        <v>107</v>
      </c>
      <c r="C114" s="82" t="s">
        <v>821</v>
      </c>
      <c r="D114" s="91" t="s">
        <v>3460</v>
      </c>
      <c r="E114" s="732">
        <v>57300</v>
      </c>
      <c r="F114" s="733"/>
      <c r="G114" s="732"/>
      <c r="H114" s="321">
        <f t="shared" si="13"/>
        <v>57300</v>
      </c>
      <c r="I114" s="23">
        <v>44865</v>
      </c>
      <c r="J114" s="728">
        <v>11259.842465753425</v>
      </c>
      <c r="K114" s="319">
        <f t="shared" si="12"/>
        <v>46040.157534246573</v>
      </c>
      <c r="L114" s="321">
        <f t="shared" si="19"/>
        <v>518</v>
      </c>
      <c r="M114" s="323">
        <v>2</v>
      </c>
      <c r="N114" s="319">
        <f t="shared" si="20"/>
        <v>1.4191780821917808</v>
      </c>
      <c r="O114" s="319">
        <f t="shared" si="14"/>
        <v>0.58082191780821923</v>
      </c>
      <c r="P114" s="739">
        <f t="shared" si="17"/>
        <v>0.47499999999999998</v>
      </c>
      <c r="Q114" s="362">
        <f t="shared" si="18"/>
        <v>27217.5</v>
      </c>
      <c r="R114" s="319">
        <f t="shared" si="21"/>
        <v>18822.657534246573</v>
      </c>
      <c r="S114" s="319">
        <f t="shared" si="15"/>
        <v>287</v>
      </c>
      <c r="T114" s="326"/>
    </row>
    <row r="115" spans="2:20" ht="15.75">
      <c r="B115" s="317">
        <f t="shared" si="16"/>
        <v>108</v>
      </c>
      <c r="C115" s="82" t="s">
        <v>538</v>
      </c>
      <c r="D115" s="91" t="s">
        <v>3460</v>
      </c>
      <c r="E115" s="732">
        <v>566600</v>
      </c>
      <c r="F115" s="733"/>
      <c r="G115" s="732"/>
      <c r="H115" s="321">
        <f t="shared" si="13"/>
        <v>566600</v>
      </c>
      <c r="I115" s="23">
        <v>44924</v>
      </c>
      <c r="J115" s="728">
        <v>67836.767123287675</v>
      </c>
      <c r="K115" s="319">
        <f t="shared" si="12"/>
        <v>498763.23287671234</v>
      </c>
      <c r="L115" s="321">
        <f t="shared" si="19"/>
        <v>459</v>
      </c>
      <c r="M115" s="323">
        <v>2</v>
      </c>
      <c r="N115" s="319">
        <f t="shared" si="20"/>
        <v>1.2575342465753425</v>
      </c>
      <c r="O115" s="319">
        <f t="shared" si="14"/>
        <v>0.74246575342465748</v>
      </c>
      <c r="P115" s="739">
        <f t="shared" si="17"/>
        <v>0.47499999999999998</v>
      </c>
      <c r="Q115" s="362">
        <f t="shared" si="18"/>
        <v>269135</v>
      </c>
      <c r="R115" s="319">
        <f t="shared" si="21"/>
        <v>229628.23287671234</v>
      </c>
      <c r="S115" s="319">
        <f t="shared" si="15"/>
        <v>2833</v>
      </c>
      <c r="T115" s="326"/>
    </row>
    <row r="116" spans="2:20" ht="15.75">
      <c r="B116" s="317">
        <f t="shared" si="16"/>
        <v>109</v>
      </c>
      <c r="C116" s="621" t="s">
        <v>3435</v>
      </c>
      <c r="D116" s="91" t="s">
        <v>3460</v>
      </c>
      <c r="E116" s="732">
        <v>234998</v>
      </c>
      <c r="F116" s="733"/>
      <c r="G116" s="732"/>
      <c r="H116" s="321">
        <f t="shared" si="13"/>
        <v>234998</v>
      </c>
      <c r="I116" s="620">
        <v>44946</v>
      </c>
      <c r="J116" s="728">
        <v>22534</v>
      </c>
      <c r="K116" s="319">
        <f t="shared" si="12"/>
        <v>212464</v>
      </c>
      <c r="L116" s="321">
        <f t="shared" si="19"/>
        <v>437</v>
      </c>
      <c r="M116" s="323">
        <v>2</v>
      </c>
      <c r="N116" s="319">
        <f t="shared" si="20"/>
        <v>1.1972602739726028</v>
      </c>
      <c r="O116" s="319">
        <f t="shared" si="14"/>
        <v>0.80273972602739718</v>
      </c>
      <c r="P116" s="739">
        <f t="shared" si="17"/>
        <v>0.47499999999999998</v>
      </c>
      <c r="Q116" s="362">
        <f t="shared" si="18"/>
        <v>111624.04999999999</v>
      </c>
      <c r="R116" s="319">
        <f t="shared" si="21"/>
        <v>100839.95000000001</v>
      </c>
      <c r="S116" s="319">
        <f t="shared" si="15"/>
        <v>1175</v>
      </c>
      <c r="T116" s="326"/>
    </row>
    <row r="117" spans="2:20" ht="15.75">
      <c r="B117" s="317">
        <f t="shared" si="16"/>
        <v>110</v>
      </c>
      <c r="C117" s="621" t="s">
        <v>3435</v>
      </c>
      <c r="D117" s="91" t="s">
        <v>3460</v>
      </c>
      <c r="E117" s="732">
        <v>9400</v>
      </c>
      <c r="F117" s="733"/>
      <c r="G117" s="732"/>
      <c r="H117" s="321">
        <f t="shared" si="13"/>
        <v>9400</v>
      </c>
      <c r="I117" s="620">
        <v>44946</v>
      </c>
      <c r="J117" s="728">
        <v>901</v>
      </c>
      <c r="K117" s="319">
        <f t="shared" si="12"/>
        <v>8499</v>
      </c>
      <c r="L117" s="321">
        <f t="shared" si="19"/>
        <v>437</v>
      </c>
      <c r="M117" s="323">
        <v>2</v>
      </c>
      <c r="N117" s="319">
        <f t="shared" si="20"/>
        <v>1.1972602739726028</v>
      </c>
      <c r="O117" s="319">
        <f t="shared" si="14"/>
        <v>0.80273972602739718</v>
      </c>
      <c r="P117" s="739">
        <f t="shared" si="17"/>
        <v>0.47499999999999998</v>
      </c>
      <c r="Q117" s="362">
        <f t="shared" si="18"/>
        <v>4465</v>
      </c>
      <c r="R117" s="319">
        <f t="shared" si="21"/>
        <v>4034</v>
      </c>
      <c r="S117" s="319">
        <f t="shared" si="15"/>
        <v>47</v>
      </c>
      <c r="T117" s="326"/>
    </row>
    <row r="118" spans="2:20" ht="15.75">
      <c r="B118" s="317">
        <f t="shared" si="16"/>
        <v>111</v>
      </c>
      <c r="C118" s="621" t="s">
        <v>3435</v>
      </c>
      <c r="D118" s="91" t="s">
        <v>3460</v>
      </c>
      <c r="E118" s="732">
        <v>97224</v>
      </c>
      <c r="F118" s="733"/>
      <c r="G118" s="732"/>
      <c r="H118" s="321">
        <f t="shared" si="13"/>
        <v>97224</v>
      </c>
      <c r="I118" s="620">
        <v>44948</v>
      </c>
      <c r="J118" s="728">
        <v>9056</v>
      </c>
      <c r="K118" s="319">
        <f t="shared" si="12"/>
        <v>88168</v>
      </c>
      <c r="L118" s="321">
        <f t="shared" si="19"/>
        <v>435</v>
      </c>
      <c r="M118" s="323">
        <v>2</v>
      </c>
      <c r="N118" s="319">
        <f t="shared" si="20"/>
        <v>1.1917808219178083</v>
      </c>
      <c r="O118" s="319">
        <f t="shared" si="14"/>
        <v>0.80821917808219168</v>
      </c>
      <c r="P118" s="739">
        <f t="shared" si="17"/>
        <v>0.47499999999999998</v>
      </c>
      <c r="Q118" s="362">
        <f t="shared" si="18"/>
        <v>46181.4</v>
      </c>
      <c r="R118" s="319">
        <f t="shared" si="21"/>
        <v>41986.6</v>
      </c>
      <c r="S118" s="319">
        <f t="shared" si="15"/>
        <v>486</v>
      </c>
      <c r="T118" s="326"/>
    </row>
    <row r="119" spans="2:20" ht="15.75">
      <c r="B119" s="317">
        <f t="shared" si="16"/>
        <v>112</v>
      </c>
      <c r="C119" s="14" t="s">
        <v>231</v>
      </c>
      <c r="D119" s="26" t="s">
        <v>22</v>
      </c>
      <c r="E119" s="732">
        <v>161042</v>
      </c>
      <c r="F119" s="733"/>
      <c r="G119" s="732"/>
      <c r="H119" s="321">
        <f t="shared" si="13"/>
        <v>161042</v>
      </c>
      <c r="I119" s="23">
        <v>44652</v>
      </c>
      <c r="J119" s="728">
        <v>76285.374794520554</v>
      </c>
      <c r="K119" s="319">
        <f t="shared" si="12"/>
        <v>84756.625205479446</v>
      </c>
      <c r="L119" s="321">
        <f t="shared" si="19"/>
        <v>731</v>
      </c>
      <c r="M119" s="323">
        <v>2</v>
      </c>
      <c r="N119" s="319">
        <f t="shared" si="20"/>
        <v>2.0027397260273974</v>
      </c>
      <c r="O119" s="319">
        <f t="shared" si="14"/>
        <v>-2.73972602739736E-3</v>
      </c>
      <c r="P119" s="739">
        <f t="shared" si="17"/>
        <v>0.47499999999999998</v>
      </c>
      <c r="Q119" s="362">
        <f t="shared" si="18"/>
        <v>76494.95</v>
      </c>
      <c r="R119" s="319">
        <f t="shared" si="21"/>
        <v>8261.6752054794488</v>
      </c>
      <c r="S119" s="319">
        <f t="shared" si="15"/>
        <v>805</v>
      </c>
      <c r="T119" s="326"/>
    </row>
    <row r="120" spans="2:20" ht="15.75">
      <c r="B120" s="317">
        <f t="shared" si="16"/>
        <v>113</v>
      </c>
      <c r="C120" s="14" t="s">
        <v>231</v>
      </c>
      <c r="D120" s="26" t="s">
        <v>22</v>
      </c>
      <c r="E120" s="732">
        <v>76160</v>
      </c>
      <c r="F120" s="733"/>
      <c r="G120" s="732"/>
      <c r="H120" s="321">
        <f t="shared" si="13"/>
        <v>76160</v>
      </c>
      <c r="I120" s="23">
        <v>44660</v>
      </c>
      <c r="J120" s="728">
        <v>35283.989041095891</v>
      </c>
      <c r="K120" s="319">
        <f t="shared" si="12"/>
        <v>40876.010958904109</v>
      </c>
      <c r="L120" s="321">
        <f t="shared" si="19"/>
        <v>723</v>
      </c>
      <c r="M120" s="323">
        <v>2</v>
      </c>
      <c r="N120" s="319">
        <f t="shared" si="20"/>
        <v>1.9808219178082191</v>
      </c>
      <c r="O120" s="319">
        <f t="shared" si="14"/>
        <v>1.9178082191780854E-2</v>
      </c>
      <c r="P120" s="739">
        <f t="shared" si="17"/>
        <v>0.47499999999999998</v>
      </c>
      <c r="Q120" s="362">
        <f t="shared" si="18"/>
        <v>36176</v>
      </c>
      <c r="R120" s="319">
        <f t="shared" si="21"/>
        <v>4700.0109589041094</v>
      </c>
      <c r="S120" s="319">
        <f t="shared" si="15"/>
        <v>381</v>
      </c>
      <c r="T120" s="326"/>
    </row>
    <row r="121" spans="2:20" ht="15.75">
      <c r="B121" s="317">
        <f t="shared" si="16"/>
        <v>114</v>
      </c>
      <c r="C121" s="14" t="s">
        <v>231</v>
      </c>
      <c r="D121" s="26" t="s">
        <v>22</v>
      </c>
      <c r="E121" s="732">
        <v>39406</v>
      </c>
      <c r="F121" s="733"/>
      <c r="G121" s="732"/>
      <c r="H121" s="321">
        <f t="shared" si="13"/>
        <v>39406</v>
      </c>
      <c r="I121" s="23">
        <v>44688</v>
      </c>
      <c r="J121" s="728">
        <v>16820.424109589039</v>
      </c>
      <c r="K121" s="319">
        <f t="shared" si="12"/>
        <v>22585.575890410961</v>
      </c>
      <c r="L121" s="321">
        <f t="shared" si="19"/>
        <v>695</v>
      </c>
      <c r="M121" s="323">
        <v>2</v>
      </c>
      <c r="N121" s="319">
        <f t="shared" si="20"/>
        <v>1.904109589041096</v>
      </c>
      <c r="O121" s="319">
        <f t="shared" si="14"/>
        <v>9.5890410958904049E-2</v>
      </c>
      <c r="P121" s="739">
        <f t="shared" si="17"/>
        <v>0.47499999999999998</v>
      </c>
      <c r="Q121" s="362">
        <f t="shared" si="18"/>
        <v>18717.849999999999</v>
      </c>
      <c r="R121" s="319">
        <f t="shared" si="21"/>
        <v>3867.7258904109622</v>
      </c>
      <c r="S121" s="319">
        <f t="shared" si="15"/>
        <v>197</v>
      </c>
      <c r="T121" s="326"/>
    </row>
    <row r="122" spans="2:20" ht="15.75">
      <c r="B122" s="317">
        <f t="shared" si="16"/>
        <v>115</v>
      </c>
      <c r="C122" s="14" t="s">
        <v>232</v>
      </c>
      <c r="D122" s="26" t="s">
        <v>22</v>
      </c>
      <c r="E122" s="732">
        <v>52900</v>
      </c>
      <c r="F122" s="733"/>
      <c r="G122" s="732"/>
      <c r="H122" s="321">
        <f t="shared" si="13"/>
        <v>52900</v>
      </c>
      <c r="I122" s="23">
        <v>44720</v>
      </c>
      <c r="J122" s="728">
        <v>20377.369863013697</v>
      </c>
      <c r="K122" s="319">
        <f t="shared" si="12"/>
        <v>32522.630136986303</v>
      </c>
      <c r="L122" s="321">
        <f t="shared" si="19"/>
        <v>663</v>
      </c>
      <c r="M122" s="323">
        <v>2</v>
      </c>
      <c r="N122" s="319">
        <f t="shared" si="20"/>
        <v>1.8164383561643835</v>
      </c>
      <c r="O122" s="319">
        <f t="shared" si="14"/>
        <v>0.18356164383561646</v>
      </c>
      <c r="P122" s="739">
        <f t="shared" si="17"/>
        <v>0.47499999999999998</v>
      </c>
      <c r="Q122" s="362">
        <f t="shared" si="18"/>
        <v>25127.5</v>
      </c>
      <c r="R122" s="319">
        <f t="shared" si="21"/>
        <v>7395.1301369863031</v>
      </c>
      <c r="S122" s="319">
        <f t="shared" si="15"/>
        <v>265</v>
      </c>
      <c r="T122" s="326"/>
    </row>
    <row r="123" spans="2:20" ht="15.75">
      <c r="B123" s="317">
        <f t="shared" si="16"/>
        <v>116</v>
      </c>
      <c r="C123" s="14" t="s">
        <v>231</v>
      </c>
      <c r="D123" s="26" t="s">
        <v>22</v>
      </c>
      <c r="E123" s="732">
        <v>93740</v>
      </c>
      <c r="F123" s="733"/>
      <c r="G123" s="732"/>
      <c r="H123" s="321">
        <f t="shared" si="13"/>
        <v>93740</v>
      </c>
      <c r="I123" s="23">
        <v>44726</v>
      </c>
      <c r="J123" s="728">
        <v>35377.219178082189</v>
      </c>
      <c r="K123" s="319">
        <f t="shared" si="12"/>
        <v>58362.780821917811</v>
      </c>
      <c r="L123" s="321">
        <f t="shared" si="19"/>
        <v>657</v>
      </c>
      <c r="M123" s="323">
        <v>2</v>
      </c>
      <c r="N123" s="319">
        <f t="shared" si="20"/>
        <v>1.8</v>
      </c>
      <c r="O123" s="319">
        <f t="shared" si="14"/>
        <v>0.19999999999999996</v>
      </c>
      <c r="P123" s="739">
        <f t="shared" si="17"/>
        <v>0.47499999999999998</v>
      </c>
      <c r="Q123" s="362">
        <f t="shared" si="18"/>
        <v>44526.5</v>
      </c>
      <c r="R123" s="319">
        <f t="shared" si="21"/>
        <v>13836.280821917811</v>
      </c>
      <c r="S123" s="319">
        <f t="shared" si="15"/>
        <v>469</v>
      </c>
      <c r="T123" s="326"/>
    </row>
    <row r="124" spans="2:20" ht="15.75">
      <c r="B124" s="317">
        <f t="shared" si="16"/>
        <v>117</v>
      </c>
      <c r="C124" s="14" t="s">
        <v>233</v>
      </c>
      <c r="D124" s="26" t="s">
        <v>22</v>
      </c>
      <c r="E124" s="732">
        <v>32800</v>
      </c>
      <c r="F124" s="733"/>
      <c r="G124" s="732"/>
      <c r="H124" s="321">
        <f t="shared" si="13"/>
        <v>32800</v>
      </c>
      <c r="I124" s="23">
        <v>44733</v>
      </c>
      <c r="J124" s="728">
        <v>12079.835616438357</v>
      </c>
      <c r="K124" s="319">
        <f t="shared" si="12"/>
        <v>20720.164383561641</v>
      </c>
      <c r="L124" s="321">
        <f t="shared" si="19"/>
        <v>650</v>
      </c>
      <c r="M124" s="323">
        <v>2</v>
      </c>
      <c r="N124" s="319">
        <f t="shared" si="20"/>
        <v>1.7808219178082192</v>
      </c>
      <c r="O124" s="319">
        <f t="shared" si="14"/>
        <v>0.21917808219178081</v>
      </c>
      <c r="P124" s="739">
        <f t="shared" si="17"/>
        <v>0.47499999999999998</v>
      </c>
      <c r="Q124" s="362">
        <f t="shared" si="18"/>
        <v>15580</v>
      </c>
      <c r="R124" s="319">
        <f t="shared" si="21"/>
        <v>5140.1643835616414</v>
      </c>
      <c r="S124" s="319">
        <f t="shared" si="15"/>
        <v>164</v>
      </c>
      <c r="T124" s="326"/>
    </row>
    <row r="125" spans="2:20" ht="15.75">
      <c r="B125" s="317">
        <f t="shared" si="16"/>
        <v>118</v>
      </c>
      <c r="C125" s="14" t="s">
        <v>231</v>
      </c>
      <c r="D125" s="26" t="s">
        <v>22</v>
      </c>
      <c r="E125" s="732">
        <v>14140</v>
      </c>
      <c r="F125" s="733"/>
      <c r="G125" s="732"/>
      <c r="H125" s="321">
        <f t="shared" si="13"/>
        <v>14140</v>
      </c>
      <c r="I125" s="23">
        <v>44742</v>
      </c>
      <c r="J125" s="728">
        <v>5041.9753424657538</v>
      </c>
      <c r="K125" s="319">
        <f t="shared" si="12"/>
        <v>9098.0246575342462</v>
      </c>
      <c r="L125" s="321">
        <f t="shared" si="19"/>
        <v>641</v>
      </c>
      <c r="M125" s="323">
        <v>2</v>
      </c>
      <c r="N125" s="319">
        <f t="shared" si="20"/>
        <v>1.7561643835616438</v>
      </c>
      <c r="O125" s="319">
        <f t="shared" si="14"/>
        <v>0.24383561643835616</v>
      </c>
      <c r="P125" s="739">
        <f t="shared" si="17"/>
        <v>0.47499999999999998</v>
      </c>
      <c r="Q125" s="362">
        <f t="shared" si="18"/>
        <v>6716.5</v>
      </c>
      <c r="R125" s="319">
        <f t="shared" si="21"/>
        <v>2381.5246575342462</v>
      </c>
      <c r="S125" s="319">
        <f t="shared" si="15"/>
        <v>71</v>
      </c>
      <c r="T125" s="326"/>
    </row>
    <row r="126" spans="2:20" ht="15.75">
      <c r="B126" s="317">
        <f t="shared" si="16"/>
        <v>119</v>
      </c>
      <c r="C126" s="82" t="s">
        <v>494</v>
      </c>
      <c r="D126" s="82" t="s">
        <v>22</v>
      </c>
      <c r="E126" s="732">
        <v>36150</v>
      </c>
      <c r="F126" s="733"/>
      <c r="G126" s="732"/>
      <c r="H126" s="321">
        <f t="shared" si="13"/>
        <v>36150</v>
      </c>
      <c r="I126" s="23">
        <v>44755</v>
      </c>
      <c r="J126" s="728">
        <v>12278.619863013699</v>
      </c>
      <c r="K126" s="319">
        <f t="shared" si="12"/>
        <v>23871.380136986299</v>
      </c>
      <c r="L126" s="321">
        <f t="shared" si="19"/>
        <v>628</v>
      </c>
      <c r="M126" s="323">
        <v>2</v>
      </c>
      <c r="N126" s="319">
        <f t="shared" si="20"/>
        <v>1.7205479452054795</v>
      </c>
      <c r="O126" s="319">
        <f t="shared" si="14"/>
        <v>0.27945205479452051</v>
      </c>
      <c r="P126" s="739">
        <f t="shared" si="17"/>
        <v>0.47499999999999998</v>
      </c>
      <c r="Q126" s="362">
        <f t="shared" si="18"/>
        <v>17171.25</v>
      </c>
      <c r="R126" s="319">
        <f t="shared" si="21"/>
        <v>6700.1301369862995</v>
      </c>
      <c r="S126" s="319">
        <f t="shared" si="15"/>
        <v>181</v>
      </c>
      <c r="T126" s="326"/>
    </row>
    <row r="127" spans="2:20" ht="15.75">
      <c r="B127" s="317">
        <f t="shared" si="16"/>
        <v>120</v>
      </c>
      <c r="C127" s="82" t="s">
        <v>496</v>
      </c>
      <c r="D127" s="82" t="s">
        <v>22</v>
      </c>
      <c r="E127" s="732">
        <v>1004444</v>
      </c>
      <c r="F127" s="733"/>
      <c r="G127" s="732"/>
      <c r="H127" s="321">
        <f t="shared" si="13"/>
        <v>1004444</v>
      </c>
      <c r="I127" s="23">
        <v>44761</v>
      </c>
      <c r="J127" s="728">
        <v>333324.0534246575</v>
      </c>
      <c r="K127" s="319">
        <f t="shared" si="12"/>
        <v>671119.94657534244</v>
      </c>
      <c r="L127" s="321">
        <f t="shared" si="19"/>
        <v>622</v>
      </c>
      <c r="M127" s="323">
        <v>2</v>
      </c>
      <c r="N127" s="319">
        <f t="shared" si="20"/>
        <v>1.704109589041096</v>
      </c>
      <c r="O127" s="319">
        <f t="shared" si="14"/>
        <v>0.295890410958904</v>
      </c>
      <c r="P127" s="739">
        <f t="shared" si="17"/>
        <v>0.47499999999999998</v>
      </c>
      <c r="Q127" s="362">
        <f t="shared" si="18"/>
        <v>477110.89999999997</v>
      </c>
      <c r="R127" s="319">
        <f t="shared" si="21"/>
        <v>194009.04657534248</v>
      </c>
      <c r="S127" s="319">
        <f t="shared" si="15"/>
        <v>5022</v>
      </c>
      <c r="T127" s="326"/>
    </row>
    <row r="128" spans="2:20" ht="15.75">
      <c r="B128" s="317">
        <f t="shared" si="16"/>
        <v>121</v>
      </c>
      <c r="C128" s="82" t="s">
        <v>496</v>
      </c>
      <c r="D128" s="82" t="s">
        <v>22</v>
      </c>
      <c r="E128" s="732">
        <v>225736</v>
      </c>
      <c r="F128" s="733"/>
      <c r="G128" s="732"/>
      <c r="H128" s="321">
        <f t="shared" si="13"/>
        <v>225736</v>
      </c>
      <c r="I128" s="23">
        <v>44761</v>
      </c>
      <c r="J128" s="728">
        <v>74910.336986301365</v>
      </c>
      <c r="K128" s="319">
        <f t="shared" si="12"/>
        <v>150825.66301369865</v>
      </c>
      <c r="L128" s="321">
        <f t="shared" si="19"/>
        <v>622</v>
      </c>
      <c r="M128" s="323">
        <v>2</v>
      </c>
      <c r="N128" s="319">
        <f t="shared" si="20"/>
        <v>1.704109589041096</v>
      </c>
      <c r="O128" s="319">
        <f t="shared" si="14"/>
        <v>0.295890410958904</v>
      </c>
      <c r="P128" s="739">
        <f t="shared" si="17"/>
        <v>0.47499999999999998</v>
      </c>
      <c r="Q128" s="362">
        <f t="shared" si="18"/>
        <v>107224.59999999999</v>
      </c>
      <c r="R128" s="319">
        <f t="shared" si="21"/>
        <v>43601.063013698658</v>
      </c>
      <c r="S128" s="319">
        <f t="shared" si="15"/>
        <v>1129</v>
      </c>
      <c r="T128" s="326"/>
    </row>
    <row r="129" spans="2:20" ht="15.75">
      <c r="B129" s="317">
        <f t="shared" si="16"/>
        <v>122</v>
      </c>
      <c r="C129" s="82" t="s">
        <v>499</v>
      </c>
      <c r="D129" s="82" t="s">
        <v>22</v>
      </c>
      <c r="E129" s="732">
        <v>247716.12</v>
      </c>
      <c r="F129" s="733"/>
      <c r="G129" s="732"/>
      <c r="H129" s="321">
        <f t="shared" si="13"/>
        <v>247716.12</v>
      </c>
      <c r="I129" s="23">
        <v>44761</v>
      </c>
      <c r="J129" s="728">
        <v>82204.424753424653</v>
      </c>
      <c r="K129" s="319">
        <f t="shared" si="12"/>
        <v>165511.69524657534</v>
      </c>
      <c r="L129" s="321">
        <f t="shared" si="19"/>
        <v>622</v>
      </c>
      <c r="M129" s="323">
        <v>2</v>
      </c>
      <c r="N129" s="319">
        <f t="shared" si="20"/>
        <v>1.704109589041096</v>
      </c>
      <c r="O129" s="319">
        <f t="shared" si="14"/>
        <v>0.295890410958904</v>
      </c>
      <c r="P129" s="739">
        <f t="shared" si="17"/>
        <v>0.47499999999999998</v>
      </c>
      <c r="Q129" s="362">
        <f t="shared" si="18"/>
        <v>117665.15699999999</v>
      </c>
      <c r="R129" s="319">
        <f t="shared" si="21"/>
        <v>47846.53824657535</v>
      </c>
      <c r="S129" s="319">
        <f t="shared" si="15"/>
        <v>1239</v>
      </c>
      <c r="T129" s="326"/>
    </row>
    <row r="130" spans="2:20" ht="15.75">
      <c r="B130" s="317">
        <f t="shared" si="16"/>
        <v>123</v>
      </c>
      <c r="C130" s="82" t="s">
        <v>496</v>
      </c>
      <c r="D130" s="82" t="s">
        <v>22</v>
      </c>
      <c r="E130" s="732">
        <v>276080</v>
      </c>
      <c r="F130" s="733"/>
      <c r="G130" s="732"/>
      <c r="H130" s="321">
        <f t="shared" si="13"/>
        <v>276080</v>
      </c>
      <c r="I130" s="23">
        <v>44790</v>
      </c>
      <c r="J130" s="728">
        <v>81197.775342465757</v>
      </c>
      <c r="K130" s="319">
        <f t="shared" si="12"/>
        <v>194882.22465753424</v>
      </c>
      <c r="L130" s="321">
        <f t="shared" si="19"/>
        <v>593</v>
      </c>
      <c r="M130" s="323">
        <v>2</v>
      </c>
      <c r="N130" s="319">
        <f t="shared" si="20"/>
        <v>1.6246575342465754</v>
      </c>
      <c r="O130" s="319">
        <f t="shared" si="14"/>
        <v>0.37534246575342456</v>
      </c>
      <c r="P130" s="739">
        <f t="shared" si="17"/>
        <v>0.47499999999999998</v>
      </c>
      <c r="Q130" s="362">
        <f t="shared" si="18"/>
        <v>131138</v>
      </c>
      <c r="R130" s="319">
        <f t="shared" si="21"/>
        <v>63744.224657534243</v>
      </c>
      <c r="S130" s="319">
        <f t="shared" si="15"/>
        <v>1380</v>
      </c>
      <c r="T130" s="326"/>
    </row>
    <row r="131" spans="2:20" ht="15.75">
      <c r="B131" s="317">
        <f t="shared" si="16"/>
        <v>124</v>
      </c>
      <c r="C131" s="82" t="s">
        <v>496</v>
      </c>
      <c r="D131" s="82" t="s">
        <v>22</v>
      </c>
      <c r="E131" s="732">
        <v>511561</v>
      </c>
      <c r="F131" s="733"/>
      <c r="G131" s="732"/>
      <c r="H131" s="321">
        <f t="shared" si="13"/>
        <v>511561</v>
      </c>
      <c r="I131" s="23">
        <v>44790</v>
      </c>
      <c r="J131" s="728">
        <v>150454.99547945205</v>
      </c>
      <c r="K131" s="319">
        <f t="shared" si="12"/>
        <v>361106.00452054793</v>
      </c>
      <c r="L131" s="321">
        <f t="shared" si="19"/>
        <v>593</v>
      </c>
      <c r="M131" s="323">
        <v>2</v>
      </c>
      <c r="N131" s="319">
        <f t="shared" si="20"/>
        <v>1.6246575342465754</v>
      </c>
      <c r="O131" s="319">
        <f t="shared" si="14"/>
        <v>0.37534246575342456</v>
      </c>
      <c r="P131" s="739">
        <f t="shared" si="17"/>
        <v>0.47499999999999998</v>
      </c>
      <c r="Q131" s="362">
        <f t="shared" si="18"/>
        <v>242991.47499999998</v>
      </c>
      <c r="R131" s="319">
        <f t="shared" si="21"/>
        <v>118114.52952054795</v>
      </c>
      <c r="S131" s="319">
        <f t="shared" si="15"/>
        <v>2558</v>
      </c>
      <c r="T131" s="326"/>
    </row>
    <row r="132" spans="2:20" ht="15.75">
      <c r="B132" s="317">
        <f t="shared" si="16"/>
        <v>125</v>
      </c>
      <c r="C132" s="82" t="s">
        <v>496</v>
      </c>
      <c r="D132" s="82" t="s">
        <v>22</v>
      </c>
      <c r="E132" s="732">
        <v>170520</v>
      </c>
      <c r="F132" s="733"/>
      <c r="G132" s="732"/>
      <c r="H132" s="321">
        <f t="shared" si="13"/>
        <v>170520</v>
      </c>
      <c r="I132" s="23">
        <v>44790</v>
      </c>
      <c r="J132" s="728">
        <v>50151.56712328767</v>
      </c>
      <c r="K132" s="319">
        <f t="shared" si="12"/>
        <v>120368.43287671232</v>
      </c>
      <c r="L132" s="321">
        <f t="shared" si="19"/>
        <v>593</v>
      </c>
      <c r="M132" s="323">
        <v>2</v>
      </c>
      <c r="N132" s="319">
        <f t="shared" si="20"/>
        <v>1.6246575342465754</v>
      </c>
      <c r="O132" s="319">
        <f t="shared" si="14"/>
        <v>0.37534246575342456</v>
      </c>
      <c r="P132" s="739">
        <f t="shared" si="17"/>
        <v>0.47499999999999998</v>
      </c>
      <c r="Q132" s="362">
        <f t="shared" si="18"/>
        <v>80997</v>
      </c>
      <c r="R132" s="319">
        <f t="shared" si="21"/>
        <v>39371.432876712322</v>
      </c>
      <c r="S132" s="319">
        <f t="shared" si="15"/>
        <v>853</v>
      </c>
      <c r="T132" s="326"/>
    </row>
    <row r="133" spans="2:20" ht="15.75">
      <c r="B133" s="317">
        <f t="shared" si="16"/>
        <v>126</v>
      </c>
      <c r="C133" s="82" t="s">
        <v>496</v>
      </c>
      <c r="D133" s="82" t="s">
        <v>22</v>
      </c>
      <c r="E133" s="732">
        <v>548912</v>
      </c>
      <c r="F133" s="733"/>
      <c r="G133" s="732"/>
      <c r="H133" s="321">
        <f t="shared" si="13"/>
        <v>548912</v>
      </c>
      <c r="I133" s="23">
        <v>44791</v>
      </c>
      <c r="J133" s="728">
        <v>160725.94520547942</v>
      </c>
      <c r="K133" s="319">
        <f t="shared" si="12"/>
        <v>388186.05479452061</v>
      </c>
      <c r="L133" s="321">
        <f t="shared" si="19"/>
        <v>592</v>
      </c>
      <c r="M133" s="323">
        <v>2</v>
      </c>
      <c r="N133" s="319">
        <f t="shared" si="20"/>
        <v>1.6219178082191781</v>
      </c>
      <c r="O133" s="319">
        <f t="shared" si="14"/>
        <v>0.37808219178082192</v>
      </c>
      <c r="P133" s="739">
        <f t="shared" si="17"/>
        <v>0.47499999999999998</v>
      </c>
      <c r="Q133" s="362">
        <f t="shared" si="18"/>
        <v>260733.19999999998</v>
      </c>
      <c r="R133" s="319">
        <f t="shared" si="21"/>
        <v>127452.85479452062</v>
      </c>
      <c r="S133" s="319">
        <f t="shared" si="15"/>
        <v>2745</v>
      </c>
      <c r="T133" s="326"/>
    </row>
    <row r="134" spans="2:20" ht="15.75">
      <c r="B134" s="317">
        <f t="shared" si="16"/>
        <v>127</v>
      </c>
      <c r="C134" s="82" t="s">
        <v>496</v>
      </c>
      <c r="D134" s="82" t="s">
        <v>22</v>
      </c>
      <c r="E134" s="732">
        <v>881020</v>
      </c>
      <c r="F134" s="733"/>
      <c r="G134" s="732"/>
      <c r="H134" s="321">
        <f t="shared" si="13"/>
        <v>881020</v>
      </c>
      <c r="I134" s="23">
        <v>44791</v>
      </c>
      <c r="J134" s="728">
        <v>257969.89726027398</v>
      </c>
      <c r="K134" s="319">
        <f t="shared" si="12"/>
        <v>623050.10273972596</v>
      </c>
      <c r="L134" s="321">
        <f t="shared" si="19"/>
        <v>592</v>
      </c>
      <c r="M134" s="323">
        <v>2</v>
      </c>
      <c r="N134" s="319">
        <f t="shared" si="20"/>
        <v>1.6219178082191781</v>
      </c>
      <c r="O134" s="319">
        <f t="shared" si="14"/>
        <v>0.37808219178082192</v>
      </c>
      <c r="P134" s="739">
        <f t="shared" si="17"/>
        <v>0.47499999999999998</v>
      </c>
      <c r="Q134" s="362">
        <f t="shared" si="18"/>
        <v>418484.5</v>
      </c>
      <c r="R134" s="319">
        <f t="shared" si="21"/>
        <v>204565.60273972596</v>
      </c>
      <c r="S134" s="319">
        <f t="shared" si="15"/>
        <v>4405</v>
      </c>
      <c r="T134" s="326"/>
    </row>
    <row r="135" spans="2:20" ht="15.75">
      <c r="B135" s="317">
        <f t="shared" si="16"/>
        <v>128</v>
      </c>
      <c r="C135" s="82" t="s">
        <v>496</v>
      </c>
      <c r="D135" s="82" t="s">
        <v>22</v>
      </c>
      <c r="E135" s="732">
        <v>49995.72</v>
      </c>
      <c r="F135" s="733"/>
      <c r="G135" s="732"/>
      <c r="H135" s="321">
        <f t="shared" si="13"/>
        <v>49995.72</v>
      </c>
      <c r="I135" s="23">
        <v>44803</v>
      </c>
      <c r="J135" s="728">
        <v>13858.402660273972</v>
      </c>
      <c r="K135" s="319">
        <f t="shared" si="12"/>
        <v>36137.317339726025</v>
      </c>
      <c r="L135" s="321">
        <f t="shared" si="19"/>
        <v>580</v>
      </c>
      <c r="M135" s="323">
        <v>2</v>
      </c>
      <c r="N135" s="319">
        <f t="shared" si="20"/>
        <v>1.5890410958904109</v>
      </c>
      <c r="O135" s="319">
        <f t="shared" si="14"/>
        <v>0.41095890410958913</v>
      </c>
      <c r="P135" s="739">
        <f t="shared" si="17"/>
        <v>0.47499999999999998</v>
      </c>
      <c r="Q135" s="362">
        <f t="shared" si="18"/>
        <v>23747.967000000001</v>
      </c>
      <c r="R135" s="319">
        <f t="shared" si="21"/>
        <v>12389.350339726025</v>
      </c>
      <c r="S135" s="319">
        <f t="shared" si="15"/>
        <v>250</v>
      </c>
      <c r="T135" s="326"/>
    </row>
    <row r="136" spans="2:20" ht="15.75">
      <c r="B136" s="317">
        <f t="shared" si="16"/>
        <v>129</v>
      </c>
      <c r="C136" s="82" t="s">
        <v>484</v>
      </c>
      <c r="D136" s="82" t="s">
        <v>22</v>
      </c>
      <c r="E136" s="732">
        <v>764380</v>
      </c>
      <c r="F136" s="733"/>
      <c r="G136" s="732"/>
      <c r="H136" s="321">
        <f t="shared" si="13"/>
        <v>764380</v>
      </c>
      <c r="I136" s="23">
        <v>44804</v>
      </c>
      <c r="J136" s="728">
        <v>210885.11232876714</v>
      </c>
      <c r="K136" s="319">
        <f t="shared" ref="K136:K199" si="22">+E136-J136</f>
        <v>553494.88767123292</v>
      </c>
      <c r="L136" s="321">
        <f t="shared" si="19"/>
        <v>579</v>
      </c>
      <c r="M136" s="323">
        <v>2</v>
      </c>
      <c r="N136" s="319">
        <f t="shared" si="20"/>
        <v>1.5863013698630137</v>
      </c>
      <c r="O136" s="319">
        <f t="shared" si="14"/>
        <v>0.41369863013698627</v>
      </c>
      <c r="P136" s="739">
        <f t="shared" si="17"/>
        <v>0.47499999999999998</v>
      </c>
      <c r="Q136" s="362">
        <f t="shared" si="18"/>
        <v>363080.5</v>
      </c>
      <c r="R136" s="319">
        <f t="shared" si="21"/>
        <v>190414.38767123292</v>
      </c>
      <c r="S136" s="319">
        <f t="shared" si="15"/>
        <v>3822</v>
      </c>
      <c r="T136" s="326"/>
    </row>
    <row r="137" spans="2:20" ht="15.75">
      <c r="B137" s="317">
        <f t="shared" si="16"/>
        <v>130</v>
      </c>
      <c r="C137" s="82" t="s">
        <v>508</v>
      </c>
      <c r="D137" s="82" t="s">
        <v>22</v>
      </c>
      <c r="E137" s="732">
        <v>95643</v>
      </c>
      <c r="F137" s="733"/>
      <c r="G137" s="732"/>
      <c r="H137" s="321">
        <f t="shared" ref="H137:H200" si="23">+E137+F137-G137</f>
        <v>95643</v>
      </c>
      <c r="I137" s="23">
        <v>44809</v>
      </c>
      <c r="J137" s="728">
        <v>25764.651986301367</v>
      </c>
      <c r="K137" s="319">
        <f t="shared" si="22"/>
        <v>69878.348013698633</v>
      </c>
      <c r="L137" s="321">
        <f t="shared" si="19"/>
        <v>574</v>
      </c>
      <c r="M137" s="323">
        <v>2</v>
      </c>
      <c r="N137" s="319">
        <f t="shared" si="20"/>
        <v>1.5726027397260274</v>
      </c>
      <c r="O137" s="319">
        <f t="shared" ref="O137:O200" si="24">+M137-N137</f>
        <v>0.42739726027397262</v>
      </c>
      <c r="P137" s="739">
        <f t="shared" si="17"/>
        <v>0.47499999999999998</v>
      </c>
      <c r="Q137" s="362">
        <f t="shared" si="18"/>
        <v>45430.424999999996</v>
      </c>
      <c r="R137" s="319">
        <f t="shared" si="21"/>
        <v>24447.923013698637</v>
      </c>
      <c r="S137" s="319">
        <f t="shared" ref="S137:S200" si="25">ROUND(+E137*0.5%,0)</f>
        <v>478</v>
      </c>
      <c r="T137" s="326"/>
    </row>
    <row r="138" spans="2:20" ht="15.75">
      <c r="B138" s="317">
        <f t="shared" ref="B138:B201" si="26">+B137+1</f>
        <v>131</v>
      </c>
      <c r="C138" s="82" t="s">
        <v>499</v>
      </c>
      <c r="D138" s="82" t="s">
        <v>22</v>
      </c>
      <c r="E138" s="732">
        <v>639359.38</v>
      </c>
      <c r="F138" s="733"/>
      <c r="G138" s="732"/>
      <c r="H138" s="321">
        <f t="shared" si="23"/>
        <v>639359.38</v>
      </c>
      <c r="I138" s="23">
        <v>44834</v>
      </c>
      <c r="J138" s="728">
        <v>151431.83123561641</v>
      </c>
      <c r="K138" s="319">
        <f t="shared" si="22"/>
        <v>487927.54876438359</v>
      </c>
      <c r="L138" s="321">
        <f t="shared" si="19"/>
        <v>549</v>
      </c>
      <c r="M138" s="323">
        <v>2</v>
      </c>
      <c r="N138" s="319">
        <f t="shared" si="20"/>
        <v>1.5041095890410958</v>
      </c>
      <c r="O138" s="319">
        <f t="shared" si="24"/>
        <v>0.49589041095890418</v>
      </c>
      <c r="P138" s="739">
        <f t="shared" ref="P138:P201" si="27">1/M138*0.95</f>
        <v>0.47499999999999998</v>
      </c>
      <c r="Q138" s="362">
        <f t="shared" si="18"/>
        <v>303695.70549999998</v>
      </c>
      <c r="R138" s="319">
        <f t="shared" si="21"/>
        <v>184231.84326438361</v>
      </c>
      <c r="S138" s="319">
        <f t="shared" si="25"/>
        <v>3197</v>
      </c>
      <c r="T138" s="326"/>
    </row>
    <row r="139" spans="2:20" ht="15.75">
      <c r="B139" s="317">
        <f t="shared" si="26"/>
        <v>132</v>
      </c>
      <c r="C139" s="82" t="s">
        <v>496</v>
      </c>
      <c r="D139" s="82" t="s">
        <v>22</v>
      </c>
      <c r="E139" s="732">
        <v>695415.3</v>
      </c>
      <c r="F139" s="733"/>
      <c r="G139" s="732"/>
      <c r="H139" s="321">
        <f t="shared" si="23"/>
        <v>695415.3</v>
      </c>
      <c r="I139" s="23">
        <v>44834</v>
      </c>
      <c r="J139" s="728">
        <v>164708.63749315069</v>
      </c>
      <c r="K139" s="319">
        <f t="shared" si="22"/>
        <v>530706.66250684939</v>
      </c>
      <c r="L139" s="321">
        <f t="shared" si="19"/>
        <v>549</v>
      </c>
      <c r="M139" s="323">
        <v>2</v>
      </c>
      <c r="N139" s="319">
        <f t="shared" si="20"/>
        <v>1.5041095890410958</v>
      </c>
      <c r="O139" s="319">
        <f t="shared" si="24"/>
        <v>0.49589041095890418</v>
      </c>
      <c r="P139" s="739">
        <f t="shared" si="27"/>
        <v>0.47499999999999998</v>
      </c>
      <c r="Q139" s="362">
        <f t="shared" si="18"/>
        <v>330322.26750000002</v>
      </c>
      <c r="R139" s="319">
        <f t="shared" si="21"/>
        <v>200384.39500684937</v>
      </c>
      <c r="S139" s="319">
        <f t="shared" si="25"/>
        <v>3477</v>
      </c>
      <c r="T139" s="326"/>
    </row>
    <row r="140" spans="2:20" ht="15.75">
      <c r="B140" s="317">
        <f t="shared" si="26"/>
        <v>133</v>
      </c>
      <c r="C140" s="82" t="s">
        <v>512</v>
      </c>
      <c r="D140" s="82" t="s">
        <v>22</v>
      </c>
      <c r="E140" s="732">
        <v>38850</v>
      </c>
      <c r="F140" s="733"/>
      <c r="G140" s="732"/>
      <c r="H140" s="321">
        <f t="shared" si="23"/>
        <v>38850</v>
      </c>
      <c r="I140" s="23">
        <v>44834</v>
      </c>
      <c r="J140" s="728">
        <v>9201.5958904109593</v>
      </c>
      <c r="K140" s="319">
        <f t="shared" si="22"/>
        <v>29648.404109589042</v>
      </c>
      <c r="L140" s="321">
        <f t="shared" si="19"/>
        <v>549</v>
      </c>
      <c r="M140" s="323">
        <v>2</v>
      </c>
      <c r="N140" s="319">
        <f t="shared" si="20"/>
        <v>1.5041095890410958</v>
      </c>
      <c r="O140" s="319">
        <f t="shared" si="24"/>
        <v>0.49589041095890418</v>
      </c>
      <c r="P140" s="739">
        <f t="shared" si="27"/>
        <v>0.47499999999999998</v>
      </c>
      <c r="Q140" s="362">
        <f t="shared" si="18"/>
        <v>18453.75</v>
      </c>
      <c r="R140" s="319">
        <f t="shared" si="21"/>
        <v>11194.654109589042</v>
      </c>
      <c r="S140" s="319">
        <f t="shared" si="25"/>
        <v>194</v>
      </c>
      <c r="T140" s="326"/>
    </row>
    <row r="141" spans="2:20" ht="15.75">
      <c r="B141" s="317">
        <f t="shared" si="26"/>
        <v>134</v>
      </c>
      <c r="C141" s="82" t="s">
        <v>822</v>
      </c>
      <c r="D141" s="85" t="s">
        <v>22</v>
      </c>
      <c r="E141" s="732">
        <v>72541</v>
      </c>
      <c r="F141" s="733"/>
      <c r="G141" s="732"/>
      <c r="H141" s="321">
        <f t="shared" si="23"/>
        <v>72541</v>
      </c>
      <c r="I141" s="23">
        <v>44835</v>
      </c>
      <c r="J141" s="728">
        <v>17086.883493150683</v>
      </c>
      <c r="K141" s="319">
        <f t="shared" si="22"/>
        <v>55454.116506849314</v>
      </c>
      <c r="L141" s="321">
        <f t="shared" si="19"/>
        <v>548</v>
      </c>
      <c r="M141" s="323">
        <v>2</v>
      </c>
      <c r="N141" s="319">
        <f t="shared" si="20"/>
        <v>1.5013698630136987</v>
      </c>
      <c r="O141" s="319">
        <f t="shared" si="24"/>
        <v>0.49863013698630132</v>
      </c>
      <c r="P141" s="739">
        <f t="shared" si="27"/>
        <v>0.47499999999999998</v>
      </c>
      <c r="Q141" s="362">
        <f t="shared" si="18"/>
        <v>34456.974999999999</v>
      </c>
      <c r="R141" s="319">
        <f t="shared" si="21"/>
        <v>20997.141506849315</v>
      </c>
      <c r="S141" s="319">
        <f t="shared" si="25"/>
        <v>363</v>
      </c>
      <c r="T141" s="326"/>
    </row>
    <row r="142" spans="2:20" ht="15.75">
      <c r="B142" s="317">
        <f t="shared" si="26"/>
        <v>135</v>
      </c>
      <c r="C142" s="82" t="s">
        <v>822</v>
      </c>
      <c r="D142" s="85" t="s">
        <v>22</v>
      </c>
      <c r="E142" s="732">
        <v>330836</v>
      </c>
      <c r="F142" s="733"/>
      <c r="G142" s="732"/>
      <c r="H142" s="321">
        <f t="shared" si="23"/>
        <v>330836</v>
      </c>
      <c r="I142" s="23">
        <v>44859</v>
      </c>
      <c r="J142" s="728">
        <v>67594.78</v>
      </c>
      <c r="K142" s="319">
        <f t="shared" si="22"/>
        <v>263241.21999999997</v>
      </c>
      <c r="L142" s="321">
        <f t="shared" si="19"/>
        <v>524</v>
      </c>
      <c r="M142" s="323">
        <v>2</v>
      </c>
      <c r="N142" s="319">
        <f t="shared" si="20"/>
        <v>1.4356164383561645</v>
      </c>
      <c r="O142" s="319">
        <f t="shared" si="24"/>
        <v>0.56438356164383552</v>
      </c>
      <c r="P142" s="739">
        <f t="shared" si="27"/>
        <v>0.47499999999999998</v>
      </c>
      <c r="Q142" s="362">
        <f t="shared" si="18"/>
        <v>157147.1</v>
      </c>
      <c r="R142" s="319">
        <f t="shared" si="21"/>
        <v>106094.11999999997</v>
      </c>
      <c r="S142" s="319">
        <f t="shared" si="25"/>
        <v>1654</v>
      </c>
      <c r="T142" s="326"/>
    </row>
    <row r="143" spans="2:20" ht="15.75">
      <c r="B143" s="317">
        <f t="shared" si="26"/>
        <v>136</v>
      </c>
      <c r="C143" s="82" t="s">
        <v>823</v>
      </c>
      <c r="D143" s="85" t="s">
        <v>22</v>
      </c>
      <c r="E143" s="732">
        <v>278943</v>
      </c>
      <c r="F143" s="733"/>
      <c r="G143" s="732"/>
      <c r="H143" s="321">
        <f t="shared" si="23"/>
        <v>278943</v>
      </c>
      <c r="I143" s="23">
        <v>44859</v>
      </c>
      <c r="J143" s="728">
        <v>56992.258150684924</v>
      </c>
      <c r="K143" s="319">
        <f t="shared" si="22"/>
        <v>221950.74184931506</v>
      </c>
      <c r="L143" s="321">
        <f t="shared" si="19"/>
        <v>524</v>
      </c>
      <c r="M143" s="323">
        <v>2</v>
      </c>
      <c r="N143" s="319">
        <f t="shared" si="20"/>
        <v>1.4356164383561645</v>
      </c>
      <c r="O143" s="319">
        <f t="shared" si="24"/>
        <v>0.56438356164383552</v>
      </c>
      <c r="P143" s="739">
        <f t="shared" si="27"/>
        <v>0.47499999999999998</v>
      </c>
      <c r="Q143" s="362">
        <f t="shared" si="18"/>
        <v>132497.92499999999</v>
      </c>
      <c r="R143" s="319">
        <f t="shared" si="21"/>
        <v>89452.816849315073</v>
      </c>
      <c r="S143" s="319">
        <f t="shared" si="25"/>
        <v>1395</v>
      </c>
      <c r="T143" s="326"/>
    </row>
    <row r="144" spans="2:20" ht="15.75">
      <c r="B144" s="317">
        <f t="shared" si="26"/>
        <v>137</v>
      </c>
      <c r="C144" s="82" t="s">
        <v>822</v>
      </c>
      <c r="D144" s="85" t="s">
        <v>22</v>
      </c>
      <c r="E144" s="732">
        <v>24526</v>
      </c>
      <c r="F144" s="733"/>
      <c r="G144" s="732"/>
      <c r="H144" s="321">
        <f t="shared" si="23"/>
        <v>24526</v>
      </c>
      <c r="I144" s="23">
        <v>44869</v>
      </c>
      <c r="J144" s="728">
        <v>4691.8573972602735</v>
      </c>
      <c r="K144" s="319">
        <f t="shared" si="22"/>
        <v>19834.142602739725</v>
      </c>
      <c r="L144" s="321">
        <f t="shared" si="19"/>
        <v>514</v>
      </c>
      <c r="M144" s="323">
        <v>2</v>
      </c>
      <c r="N144" s="319">
        <f t="shared" si="20"/>
        <v>1.4082191780821918</v>
      </c>
      <c r="O144" s="319">
        <f t="shared" si="24"/>
        <v>0.59178082191780823</v>
      </c>
      <c r="P144" s="739">
        <f t="shared" si="27"/>
        <v>0.47499999999999998</v>
      </c>
      <c r="Q144" s="362">
        <f t="shared" si="18"/>
        <v>11649.85</v>
      </c>
      <c r="R144" s="319">
        <f t="shared" si="21"/>
        <v>8184.2926027397243</v>
      </c>
      <c r="S144" s="319">
        <f t="shared" si="25"/>
        <v>123</v>
      </c>
      <c r="T144" s="326"/>
    </row>
    <row r="145" spans="2:20" ht="15.75">
      <c r="B145" s="317">
        <f t="shared" si="26"/>
        <v>138</v>
      </c>
      <c r="C145" s="82" t="s">
        <v>822</v>
      </c>
      <c r="D145" s="85" t="s">
        <v>22</v>
      </c>
      <c r="E145" s="732">
        <v>430850</v>
      </c>
      <c r="F145" s="733"/>
      <c r="G145" s="732"/>
      <c r="H145" s="321">
        <f t="shared" si="23"/>
        <v>430850</v>
      </c>
      <c r="I145" s="23">
        <v>44895</v>
      </c>
      <c r="J145" s="728">
        <v>67844.119863013693</v>
      </c>
      <c r="K145" s="319">
        <f t="shared" si="22"/>
        <v>363005.88013698632</v>
      </c>
      <c r="L145" s="321">
        <f t="shared" si="19"/>
        <v>488</v>
      </c>
      <c r="M145" s="323">
        <v>2</v>
      </c>
      <c r="N145" s="319">
        <f t="shared" si="20"/>
        <v>1.3369863013698631</v>
      </c>
      <c r="O145" s="319">
        <f t="shared" si="24"/>
        <v>0.66301369863013693</v>
      </c>
      <c r="P145" s="739">
        <f t="shared" si="27"/>
        <v>0.47499999999999998</v>
      </c>
      <c r="Q145" s="362">
        <f t="shared" ref="Q145:Q208" si="28">+H145*P145</f>
        <v>204653.75</v>
      </c>
      <c r="R145" s="319">
        <f t="shared" si="21"/>
        <v>158352.13013698632</v>
      </c>
      <c r="S145" s="319">
        <f t="shared" si="25"/>
        <v>2154</v>
      </c>
      <c r="T145" s="326"/>
    </row>
    <row r="146" spans="2:20" ht="15.75">
      <c r="B146" s="317">
        <f t="shared" si="26"/>
        <v>139</v>
      </c>
      <c r="C146" s="82" t="s">
        <v>822</v>
      </c>
      <c r="D146" s="85" t="s">
        <v>22</v>
      </c>
      <c r="E146" s="732">
        <v>63439</v>
      </c>
      <c r="F146" s="733"/>
      <c r="G146" s="732"/>
      <c r="H146" s="321">
        <f t="shared" si="23"/>
        <v>63439</v>
      </c>
      <c r="I146" s="23">
        <v>44895</v>
      </c>
      <c r="J146" s="728">
        <v>9989.4699315068483</v>
      </c>
      <c r="K146" s="319">
        <f t="shared" si="22"/>
        <v>53449.53006849315</v>
      </c>
      <c r="L146" s="321">
        <f t="shared" ref="L146:L209" si="29">+$L$3-I146+1</f>
        <v>488</v>
      </c>
      <c r="M146" s="323">
        <v>2</v>
      </c>
      <c r="N146" s="319">
        <f t="shared" ref="N146:N209" si="30">+L146/365</f>
        <v>1.3369863013698631</v>
      </c>
      <c r="O146" s="319">
        <f t="shared" si="24"/>
        <v>0.66301369863013693</v>
      </c>
      <c r="P146" s="739">
        <f t="shared" si="27"/>
        <v>0.47499999999999998</v>
      </c>
      <c r="Q146" s="362">
        <f t="shared" si="28"/>
        <v>30133.524999999998</v>
      </c>
      <c r="R146" s="319">
        <f t="shared" si="21"/>
        <v>23316.005068493152</v>
      </c>
      <c r="S146" s="319">
        <f t="shared" si="25"/>
        <v>317</v>
      </c>
      <c r="T146" s="326"/>
    </row>
    <row r="147" spans="2:20" ht="15.75">
      <c r="B147" s="317">
        <f t="shared" si="26"/>
        <v>140</v>
      </c>
      <c r="C147" s="82" t="s">
        <v>822</v>
      </c>
      <c r="D147" s="85" t="s">
        <v>22</v>
      </c>
      <c r="E147" s="732">
        <v>69000</v>
      </c>
      <c r="F147" s="733"/>
      <c r="G147" s="732"/>
      <c r="H147" s="321">
        <f t="shared" si="23"/>
        <v>69000</v>
      </c>
      <c r="I147" s="23">
        <v>44895</v>
      </c>
      <c r="J147" s="728">
        <v>10865.13698630137</v>
      </c>
      <c r="K147" s="319">
        <f t="shared" si="22"/>
        <v>58134.863013698632</v>
      </c>
      <c r="L147" s="321">
        <f t="shared" si="29"/>
        <v>488</v>
      </c>
      <c r="M147" s="323">
        <v>2</v>
      </c>
      <c r="N147" s="319">
        <f t="shared" si="30"/>
        <v>1.3369863013698631</v>
      </c>
      <c r="O147" s="319">
        <f t="shared" si="24"/>
        <v>0.66301369863013693</v>
      </c>
      <c r="P147" s="739">
        <f t="shared" si="27"/>
        <v>0.47499999999999998</v>
      </c>
      <c r="Q147" s="362">
        <f t="shared" si="28"/>
        <v>32775</v>
      </c>
      <c r="R147" s="319">
        <f t="shared" ref="R147:R210" si="31">+K147-Q147</f>
        <v>25359.863013698632</v>
      </c>
      <c r="S147" s="319">
        <f t="shared" si="25"/>
        <v>345</v>
      </c>
      <c r="T147" s="326"/>
    </row>
    <row r="148" spans="2:20" ht="15.75">
      <c r="B148" s="317">
        <f t="shared" si="26"/>
        <v>141</v>
      </c>
      <c r="C148" s="82" t="s">
        <v>822</v>
      </c>
      <c r="D148" s="85" t="s">
        <v>22</v>
      </c>
      <c r="E148" s="732">
        <v>176300</v>
      </c>
      <c r="F148" s="733"/>
      <c r="G148" s="732"/>
      <c r="H148" s="321">
        <f t="shared" si="23"/>
        <v>176300</v>
      </c>
      <c r="I148" s="23">
        <v>44912</v>
      </c>
      <c r="J148" s="728">
        <v>23860.876712328769</v>
      </c>
      <c r="K148" s="319">
        <f t="shared" si="22"/>
        <v>152439.12328767125</v>
      </c>
      <c r="L148" s="321">
        <f t="shared" si="29"/>
        <v>471</v>
      </c>
      <c r="M148" s="323">
        <v>2</v>
      </c>
      <c r="N148" s="319">
        <f t="shared" si="30"/>
        <v>1.2904109589041095</v>
      </c>
      <c r="O148" s="319">
        <f t="shared" si="24"/>
        <v>0.70958904109589049</v>
      </c>
      <c r="P148" s="739">
        <f t="shared" si="27"/>
        <v>0.47499999999999998</v>
      </c>
      <c r="Q148" s="362">
        <f t="shared" si="28"/>
        <v>83742.5</v>
      </c>
      <c r="R148" s="319">
        <f t="shared" si="31"/>
        <v>68696.623287671246</v>
      </c>
      <c r="S148" s="319">
        <f t="shared" si="25"/>
        <v>882</v>
      </c>
      <c r="T148" s="326"/>
    </row>
    <row r="149" spans="2:20" ht="15.75">
      <c r="B149" s="317">
        <f t="shared" si="26"/>
        <v>142</v>
      </c>
      <c r="C149" s="530" t="s">
        <v>3435</v>
      </c>
      <c r="D149" s="85" t="s">
        <v>22</v>
      </c>
      <c r="E149" s="732">
        <v>96000</v>
      </c>
      <c r="F149" s="733"/>
      <c r="G149" s="732"/>
      <c r="H149" s="321">
        <f t="shared" si="23"/>
        <v>96000</v>
      </c>
      <c r="I149" s="623">
        <v>44946</v>
      </c>
      <c r="J149" s="728">
        <v>8745.2054794520554</v>
      </c>
      <c r="K149" s="319">
        <f t="shared" si="22"/>
        <v>87254.794520547948</v>
      </c>
      <c r="L149" s="321">
        <f t="shared" si="29"/>
        <v>437</v>
      </c>
      <c r="M149" s="323">
        <v>2</v>
      </c>
      <c r="N149" s="319">
        <f t="shared" si="30"/>
        <v>1.1972602739726028</v>
      </c>
      <c r="O149" s="319">
        <f t="shared" si="24"/>
        <v>0.80273972602739718</v>
      </c>
      <c r="P149" s="739">
        <f t="shared" si="27"/>
        <v>0.47499999999999998</v>
      </c>
      <c r="Q149" s="362">
        <f t="shared" si="28"/>
        <v>45600</v>
      </c>
      <c r="R149" s="319">
        <f t="shared" si="31"/>
        <v>41654.794520547948</v>
      </c>
      <c r="S149" s="319">
        <f t="shared" si="25"/>
        <v>480</v>
      </c>
      <c r="T149" s="326"/>
    </row>
    <row r="150" spans="2:20" ht="15.75">
      <c r="B150" s="317">
        <f t="shared" si="26"/>
        <v>143</v>
      </c>
      <c r="C150" s="530" t="s">
        <v>3435</v>
      </c>
      <c r="D150" s="85" t="s">
        <v>22</v>
      </c>
      <c r="E150" s="732">
        <v>464494</v>
      </c>
      <c r="F150" s="733"/>
      <c r="G150" s="732"/>
      <c r="H150" s="321">
        <f t="shared" si="23"/>
        <v>464494</v>
      </c>
      <c r="I150" s="623">
        <v>44965</v>
      </c>
      <c r="J150" s="728">
        <v>30828.403150684931</v>
      </c>
      <c r="K150" s="319">
        <f t="shared" si="22"/>
        <v>433665.59684931504</v>
      </c>
      <c r="L150" s="321">
        <f t="shared" si="29"/>
        <v>418</v>
      </c>
      <c r="M150" s="323">
        <v>2</v>
      </c>
      <c r="N150" s="319">
        <f t="shared" si="30"/>
        <v>1.1452054794520548</v>
      </c>
      <c r="O150" s="319">
        <f t="shared" si="24"/>
        <v>0.85479452054794525</v>
      </c>
      <c r="P150" s="739">
        <f t="shared" si="27"/>
        <v>0.47499999999999998</v>
      </c>
      <c r="Q150" s="362">
        <f t="shared" si="28"/>
        <v>220634.65</v>
      </c>
      <c r="R150" s="319">
        <f t="shared" si="31"/>
        <v>213030.94684931505</v>
      </c>
      <c r="S150" s="319">
        <f t="shared" si="25"/>
        <v>2322</v>
      </c>
      <c r="T150" s="326"/>
    </row>
    <row r="151" spans="2:20" ht="15.75">
      <c r="B151" s="317">
        <f t="shared" si="26"/>
        <v>144</v>
      </c>
      <c r="C151" s="530" t="s">
        <v>3435</v>
      </c>
      <c r="D151" s="85" t="s">
        <v>22</v>
      </c>
      <c r="E151" s="732">
        <v>530832</v>
      </c>
      <c r="F151" s="733"/>
      <c r="G151" s="732"/>
      <c r="H151" s="321">
        <f t="shared" si="23"/>
        <v>530832</v>
      </c>
      <c r="I151" s="623">
        <v>44965</v>
      </c>
      <c r="J151" s="728">
        <v>35231.247123287671</v>
      </c>
      <c r="K151" s="319">
        <f t="shared" si="22"/>
        <v>495600.75287671236</v>
      </c>
      <c r="L151" s="321">
        <f t="shared" si="29"/>
        <v>418</v>
      </c>
      <c r="M151" s="323">
        <v>2</v>
      </c>
      <c r="N151" s="319">
        <f t="shared" si="30"/>
        <v>1.1452054794520548</v>
      </c>
      <c r="O151" s="319">
        <f t="shared" si="24"/>
        <v>0.85479452054794525</v>
      </c>
      <c r="P151" s="739">
        <f t="shared" si="27"/>
        <v>0.47499999999999998</v>
      </c>
      <c r="Q151" s="362">
        <f t="shared" si="28"/>
        <v>252145.19999999998</v>
      </c>
      <c r="R151" s="319">
        <f t="shared" si="31"/>
        <v>243455.55287671238</v>
      </c>
      <c r="S151" s="319">
        <f t="shared" si="25"/>
        <v>2654</v>
      </c>
      <c r="T151" s="326"/>
    </row>
    <row r="152" spans="2:20" ht="15.75">
      <c r="B152" s="317">
        <f t="shared" si="26"/>
        <v>145</v>
      </c>
      <c r="C152" s="530" t="s">
        <v>3435</v>
      </c>
      <c r="D152" s="85" t="s">
        <v>22</v>
      </c>
      <c r="E152" s="732">
        <v>610127</v>
      </c>
      <c r="F152" s="733"/>
      <c r="G152" s="732"/>
      <c r="H152" s="321">
        <f t="shared" si="23"/>
        <v>610127</v>
      </c>
      <c r="I152" s="623">
        <v>44973</v>
      </c>
      <c r="J152" s="728">
        <v>34142.038287671232</v>
      </c>
      <c r="K152" s="319">
        <f t="shared" si="22"/>
        <v>575984.96171232872</v>
      </c>
      <c r="L152" s="321">
        <f t="shared" si="29"/>
        <v>410</v>
      </c>
      <c r="M152" s="323">
        <v>2</v>
      </c>
      <c r="N152" s="319">
        <f t="shared" si="30"/>
        <v>1.1232876712328768</v>
      </c>
      <c r="O152" s="319">
        <f t="shared" si="24"/>
        <v>0.87671232876712324</v>
      </c>
      <c r="P152" s="739">
        <f t="shared" si="27"/>
        <v>0.47499999999999998</v>
      </c>
      <c r="Q152" s="362">
        <f t="shared" si="28"/>
        <v>289810.32500000001</v>
      </c>
      <c r="R152" s="319">
        <f t="shared" si="31"/>
        <v>286174.63671232871</v>
      </c>
      <c r="S152" s="319">
        <f t="shared" si="25"/>
        <v>3051</v>
      </c>
      <c r="T152" s="326"/>
    </row>
    <row r="153" spans="2:20" ht="15.75">
      <c r="B153" s="317">
        <f t="shared" si="26"/>
        <v>146</v>
      </c>
      <c r="C153" s="530" t="s">
        <v>3613</v>
      </c>
      <c r="D153" s="85" t="s">
        <v>22</v>
      </c>
      <c r="E153" s="732">
        <v>115738</v>
      </c>
      <c r="F153" s="733"/>
      <c r="G153" s="732"/>
      <c r="H153" s="321">
        <f t="shared" si="23"/>
        <v>115738</v>
      </c>
      <c r="I153" s="623">
        <v>44972</v>
      </c>
      <c r="J153" s="728">
        <v>6627.1895890410951</v>
      </c>
      <c r="K153" s="319">
        <f t="shared" si="22"/>
        <v>109110.8104109589</v>
      </c>
      <c r="L153" s="321">
        <f t="shared" si="29"/>
        <v>411</v>
      </c>
      <c r="M153" s="323">
        <v>2</v>
      </c>
      <c r="N153" s="319">
        <f t="shared" si="30"/>
        <v>1.1260273972602739</v>
      </c>
      <c r="O153" s="319">
        <f t="shared" si="24"/>
        <v>0.8739726027397261</v>
      </c>
      <c r="P153" s="739">
        <f t="shared" si="27"/>
        <v>0.47499999999999998</v>
      </c>
      <c r="Q153" s="362">
        <f t="shared" si="28"/>
        <v>54975.549999999996</v>
      </c>
      <c r="R153" s="319">
        <f t="shared" si="31"/>
        <v>54135.260410958908</v>
      </c>
      <c r="S153" s="319">
        <f t="shared" si="25"/>
        <v>579</v>
      </c>
      <c r="T153" s="326"/>
    </row>
    <row r="154" spans="2:20" ht="15.75">
      <c r="B154" s="317">
        <f t="shared" si="26"/>
        <v>147</v>
      </c>
      <c r="C154" s="14" t="s">
        <v>234</v>
      </c>
      <c r="D154" s="665" t="s">
        <v>3461</v>
      </c>
      <c r="E154" s="732">
        <v>25175</v>
      </c>
      <c r="F154" s="733"/>
      <c r="G154" s="732"/>
      <c r="H154" s="321">
        <f t="shared" si="23"/>
        <v>25175</v>
      </c>
      <c r="I154" s="23">
        <v>44727</v>
      </c>
      <c r="J154" s="728">
        <v>9468.2140410958909</v>
      </c>
      <c r="K154" s="319">
        <f t="shared" si="22"/>
        <v>15706.785958904109</v>
      </c>
      <c r="L154" s="321">
        <f t="shared" si="29"/>
        <v>656</v>
      </c>
      <c r="M154" s="323">
        <v>2</v>
      </c>
      <c r="N154" s="319">
        <f t="shared" si="30"/>
        <v>1.7972602739726027</v>
      </c>
      <c r="O154" s="319">
        <f t="shared" si="24"/>
        <v>0.20273972602739732</v>
      </c>
      <c r="P154" s="739">
        <f t="shared" si="27"/>
        <v>0.47499999999999998</v>
      </c>
      <c r="Q154" s="362">
        <f t="shared" si="28"/>
        <v>11958.125</v>
      </c>
      <c r="R154" s="319">
        <f t="shared" si="31"/>
        <v>3748.6609589041091</v>
      </c>
      <c r="S154" s="319">
        <f t="shared" si="25"/>
        <v>126</v>
      </c>
      <c r="T154" s="326"/>
    </row>
    <row r="155" spans="2:20" ht="15.75">
      <c r="B155" s="317">
        <f t="shared" si="26"/>
        <v>148</v>
      </c>
      <c r="C155" s="14" t="s">
        <v>227</v>
      </c>
      <c r="D155" s="665" t="s">
        <v>3461</v>
      </c>
      <c r="E155" s="732">
        <v>155160</v>
      </c>
      <c r="F155" s="733"/>
      <c r="G155" s="732"/>
      <c r="H155" s="321">
        <f t="shared" si="23"/>
        <v>155160</v>
      </c>
      <c r="I155" s="23">
        <v>44727</v>
      </c>
      <c r="J155" s="728">
        <v>58355.038356164383</v>
      </c>
      <c r="K155" s="319">
        <f t="shared" si="22"/>
        <v>96804.961643835617</v>
      </c>
      <c r="L155" s="321">
        <f t="shared" si="29"/>
        <v>656</v>
      </c>
      <c r="M155" s="323">
        <v>2</v>
      </c>
      <c r="N155" s="319">
        <f t="shared" si="30"/>
        <v>1.7972602739726027</v>
      </c>
      <c r="O155" s="319">
        <f t="shared" si="24"/>
        <v>0.20273972602739732</v>
      </c>
      <c r="P155" s="739">
        <f t="shared" si="27"/>
        <v>0.47499999999999998</v>
      </c>
      <c r="Q155" s="362">
        <f t="shared" si="28"/>
        <v>73701</v>
      </c>
      <c r="R155" s="319">
        <f t="shared" si="31"/>
        <v>23103.961643835617</v>
      </c>
      <c r="S155" s="319">
        <f t="shared" si="25"/>
        <v>776</v>
      </c>
      <c r="T155" s="326"/>
    </row>
    <row r="156" spans="2:20" ht="15.75">
      <c r="B156" s="317">
        <f t="shared" si="26"/>
        <v>149</v>
      </c>
      <c r="C156" s="82" t="s">
        <v>514</v>
      </c>
      <c r="D156" s="665" t="s">
        <v>3461</v>
      </c>
      <c r="E156" s="732">
        <v>35600</v>
      </c>
      <c r="F156" s="733"/>
      <c r="G156" s="732"/>
      <c r="H156" s="321">
        <f t="shared" si="23"/>
        <v>35600</v>
      </c>
      <c r="I156" s="23">
        <v>44773</v>
      </c>
      <c r="J156" s="728">
        <v>11257.890410958904</v>
      </c>
      <c r="K156" s="319">
        <f t="shared" si="22"/>
        <v>24342.109589041094</v>
      </c>
      <c r="L156" s="321">
        <f t="shared" si="29"/>
        <v>610</v>
      </c>
      <c r="M156" s="323">
        <v>2</v>
      </c>
      <c r="N156" s="319">
        <f t="shared" si="30"/>
        <v>1.6712328767123288</v>
      </c>
      <c r="O156" s="319">
        <f t="shared" si="24"/>
        <v>0.32876712328767121</v>
      </c>
      <c r="P156" s="739">
        <f t="shared" si="27"/>
        <v>0.47499999999999998</v>
      </c>
      <c r="Q156" s="362">
        <f t="shared" si="28"/>
        <v>16910</v>
      </c>
      <c r="R156" s="319">
        <f t="shared" si="31"/>
        <v>7432.1095890410943</v>
      </c>
      <c r="S156" s="319">
        <f t="shared" si="25"/>
        <v>178</v>
      </c>
      <c r="T156" s="326"/>
    </row>
    <row r="157" spans="2:20" ht="15.75">
      <c r="B157" s="317">
        <f t="shared" si="26"/>
        <v>150</v>
      </c>
      <c r="C157" s="82" t="s">
        <v>223</v>
      </c>
      <c r="D157" s="665" t="s">
        <v>3461</v>
      </c>
      <c r="E157" s="732">
        <v>102000</v>
      </c>
      <c r="F157" s="733"/>
      <c r="G157" s="732"/>
      <c r="H157" s="321">
        <f t="shared" si="23"/>
        <v>102000</v>
      </c>
      <c r="I157" s="23">
        <v>44781</v>
      </c>
      <c r="J157" s="728">
        <v>31193.835616438355</v>
      </c>
      <c r="K157" s="319">
        <f t="shared" si="22"/>
        <v>70806.164383561641</v>
      </c>
      <c r="L157" s="321">
        <f t="shared" si="29"/>
        <v>602</v>
      </c>
      <c r="M157" s="323">
        <v>2</v>
      </c>
      <c r="N157" s="319">
        <f t="shared" si="30"/>
        <v>1.6493150684931508</v>
      </c>
      <c r="O157" s="319">
        <f t="shared" si="24"/>
        <v>0.35068493150684921</v>
      </c>
      <c r="P157" s="739">
        <f t="shared" si="27"/>
        <v>0.47499999999999998</v>
      </c>
      <c r="Q157" s="362">
        <f t="shared" si="28"/>
        <v>48450</v>
      </c>
      <c r="R157" s="319">
        <f t="shared" si="31"/>
        <v>22356.164383561641</v>
      </c>
      <c r="S157" s="319">
        <f t="shared" si="25"/>
        <v>510</v>
      </c>
      <c r="T157" s="326"/>
    </row>
    <row r="158" spans="2:20" ht="15.75">
      <c r="B158" s="317">
        <f t="shared" si="26"/>
        <v>151</v>
      </c>
      <c r="C158" s="14" t="s">
        <v>234</v>
      </c>
      <c r="D158" s="87" t="s">
        <v>18</v>
      </c>
      <c r="E158" s="732">
        <v>49350</v>
      </c>
      <c r="F158" s="733"/>
      <c r="G158" s="732"/>
      <c r="H158" s="321">
        <f t="shared" si="23"/>
        <v>49350</v>
      </c>
      <c r="I158" s="86">
        <v>44958</v>
      </c>
      <c r="J158" s="728">
        <v>3724.9109589041095</v>
      </c>
      <c r="K158" s="319">
        <f t="shared" si="22"/>
        <v>45625.089041095889</v>
      </c>
      <c r="L158" s="321">
        <f t="shared" si="29"/>
        <v>425</v>
      </c>
      <c r="M158" s="323">
        <v>2</v>
      </c>
      <c r="N158" s="319">
        <f t="shared" si="30"/>
        <v>1.1643835616438356</v>
      </c>
      <c r="O158" s="319">
        <f t="shared" si="24"/>
        <v>0.83561643835616439</v>
      </c>
      <c r="P158" s="739">
        <f t="shared" si="27"/>
        <v>0.47499999999999998</v>
      </c>
      <c r="Q158" s="362">
        <f t="shared" si="28"/>
        <v>23441.25</v>
      </c>
      <c r="R158" s="319">
        <f t="shared" si="31"/>
        <v>22183.839041095889</v>
      </c>
      <c r="S158" s="319">
        <f t="shared" si="25"/>
        <v>247</v>
      </c>
      <c r="T158" s="326"/>
    </row>
    <row r="159" spans="2:20" ht="15.75">
      <c r="B159" s="317">
        <f t="shared" si="26"/>
        <v>152</v>
      </c>
      <c r="C159" s="14" t="s">
        <v>227</v>
      </c>
      <c r="D159" s="87" t="s">
        <v>18</v>
      </c>
      <c r="E159" s="732">
        <v>188000</v>
      </c>
      <c r="F159" s="733"/>
      <c r="G159" s="732"/>
      <c r="H159" s="321">
        <f t="shared" si="23"/>
        <v>188000</v>
      </c>
      <c r="I159" s="86">
        <v>44977</v>
      </c>
      <c r="J159" s="728">
        <v>9541.6438356164381</v>
      </c>
      <c r="K159" s="319">
        <f t="shared" si="22"/>
        <v>178458.35616438356</v>
      </c>
      <c r="L159" s="321">
        <f t="shared" si="29"/>
        <v>406</v>
      </c>
      <c r="M159" s="323">
        <v>2</v>
      </c>
      <c r="N159" s="319">
        <f t="shared" si="30"/>
        <v>1.1123287671232878</v>
      </c>
      <c r="O159" s="319">
        <f t="shared" si="24"/>
        <v>0.88767123287671224</v>
      </c>
      <c r="P159" s="739">
        <f t="shared" si="27"/>
        <v>0.47499999999999998</v>
      </c>
      <c r="Q159" s="362">
        <f t="shared" si="28"/>
        <v>89300</v>
      </c>
      <c r="R159" s="319">
        <f t="shared" si="31"/>
        <v>89158.356164383556</v>
      </c>
      <c r="S159" s="319">
        <f t="shared" si="25"/>
        <v>940</v>
      </c>
      <c r="T159" s="326"/>
    </row>
    <row r="160" spans="2:20" ht="15.75">
      <c r="B160" s="317">
        <f t="shared" si="26"/>
        <v>153</v>
      </c>
      <c r="C160" s="82" t="s">
        <v>518</v>
      </c>
      <c r="D160" s="85" t="s">
        <v>586</v>
      </c>
      <c r="E160" s="732">
        <v>440000</v>
      </c>
      <c r="F160" s="733"/>
      <c r="G160" s="732"/>
      <c r="H160" s="321">
        <f t="shared" si="23"/>
        <v>440000</v>
      </c>
      <c r="I160" s="23">
        <v>44804</v>
      </c>
      <c r="J160" s="728">
        <v>121391.78082191781</v>
      </c>
      <c r="K160" s="319">
        <f t="shared" si="22"/>
        <v>318608.21917808219</v>
      </c>
      <c r="L160" s="321">
        <f t="shared" si="29"/>
        <v>579</v>
      </c>
      <c r="M160" s="323">
        <v>2</v>
      </c>
      <c r="N160" s="319">
        <f t="shared" si="30"/>
        <v>1.5863013698630137</v>
      </c>
      <c r="O160" s="319">
        <f t="shared" si="24"/>
        <v>0.41369863013698627</v>
      </c>
      <c r="P160" s="739">
        <f t="shared" si="27"/>
        <v>0.47499999999999998</v>
      </c>
      <c r="Q160" s="362">
        <f t="shared" si="28"/>
        <v>209000</v>
      </c>
      <c r="R160" s="319">
        <f t="shared" si="31"/>
        <v>109608.21917808219</v>
      </c>
      <c r="S160" s="319">
        <f t="shared" si="25"/>
        <v>2200</v>
      </c>
      <c r="T160" s="326"/>
    </row>
    <row r="161" spans="2:20" ht="15.75">
      <c r="B161" s="317">
        <f t="shared" si="26"/>
        <v>154</v>
      </c>
      <c r="C161" s="82" t="s">
        <v>824</v>
      </c>
      <c r="D161" s="87" t="s">
        <v>18</v>
      </c>
      <c r="E161" s="732">
        <v>97440</v>
      </c>
      <c r="F161" s="733"/>
      <c r="G161" s="732"/>
      <c r="H161" s="321">
        <f t="shared" si="23"/>
        <v>97440</v>
      </c>
      <c r="I161" s="23">
        <v>44920</v>
      </c>
      <c r="J161" s="728">
        <v>12173.326027397261</v>
      </c>
      <c r="K161" s="319">
        <f t="shared" si="22"/>
        <v>85266.673972602744</v>
      </c>
      <c r="L161" s="321">
        <f t="shared" si="29"/>
        <v>463</v>
      </c>
      <c r="M161" s="323">
        <v>2</v>
      </c>
      <c r="N161" s="319">
        <f t="shared" si="30"/>
        <v>1.2684931506849315</v>
      </c>
      <c r="O161" s="319">
        <f t="shared" si="24"/>
        <v>0.73150684931506849</v>
      </c>
      <c r="P161" s="739">
        <f t="shared" si="27"/>
        <v>0.47499999999999998</v>
      </c>
      <c r="Q161" s="362">
        <f t="shared" si="28"/>
        <v>46284</v>
      </c>
      <c r="R161" s="319">
        <f t="shared" si="31"/>
        <v>38982.673972602744</v>
      </c>
      <c r="S161" s="319">
        <f t="shared" si="25"/>
        <v>487</v>
      </c>
      <c r="T161" s="326"/>
    </row>
    <row r="162" spans="2:20" ht="15.75">
      <c r="B162" s="317">
        <f t="shared" si="26"/>
        <v>155</v>
      </c>
      <c r="C162" s="82" t="s">
        <v>825</v>
      </c>
      <c r="D162" s="87" t="s">
        <v>18</v>
      </c>
      <c r="E162" s="732">
        <v>776212.71186440671</v>
      </c>
      <c r="F162" s="733"/>
      <c r="G162" s="732"/>
      <c r="H162" s="321">
        <f t="shared" si="23"/>
        <v>776212.71186440671</v>
      </c>
      <c r="I162" s="23">
        <v>44887</v>
      </c>
      <c r="J162" s="728">
        <v>130308.0381355932</v>
      </c>
      <c r="K162" s="319">
        <f t="shared" si="22"/>
        <v>645904.67372881353</v>
      </c>
      <c r="L162" s="321">
        <f t="shared" si="29"/>
        <v>496</v>
      </c>
      <c r="M162" s="323">
        <v>2</v>
      </c>
      <c r="N162" s="319">
        <f t="shared" si="30"/>
        <v>1.3589041095890411</v>
      </c>
      <c r="O162" s="319">
        <f t="shared" si="24"/>
        <v>0.64109589041095894</v>
      </c>
      <c r="P162" s="739">
        <f t="shared" si="27"/>
        <v>0.47499999999999998</v>
      </c>
      <c r="Q162" s="362">
        <f t="shared" si="28"/>
        <v>368701.03813559317</v>
      </c>
      <c r="R162" s="319">
        <f t="shared" si="31"/>
        <v>277203.63559322036</v>
      </c>
      <c r="S162" s="319">
        <f t="shared" si="25"/>
        <v>3881</v>
      </c>
      <c r="T162" s="326"/>
    </row>
    <row r="163" spans="2:20" ht="15.75">
      <c r="B163" s="317">
        <f t="shared" si="26"/>
        <v>156</v>
      </c>
      <c r="C163" s="14" t="s">
        <v>219</v>
      </c>
      <c r="D163" s="112" t="s">
        <v>29</v>
      </c>
      <c r="E163" s="732">
        <v>2220049</v>
      </c>
      <c r="F163" s="733"/>
      <c r="G163" s="732"/>
      <c r="H163" s="321">
        <f t="shared" si="23"/>
        <v>2220049</v>
      </c>
      <c r="I163" s="15">
        <v>44671</v>
      </c>
      <c r="J163" s="728">
        <v>996741.17773972591</v>
      </c>
      <c r="K163" s="319">
        <f t="shared" si="22"/>
        <v>1223307.8222602741</v>
      </c>
      <c r="L163" s="321">
        <f t="shared" si="29"/>
        <v>712</v>
      </c>
      <c r="M163" s="323">
        <v>2</v>
      </c>
      <c r="N163" s="319">
        <f t="shared" si="30"/>
        <v>1.9506849315068493</v>
      </c>
      <c r="O163" s="319">
        <f t="shared" si="24"/>
        <v>4.9315068493150704E-2</v>
      </c>
      <c r="P163" s="739">
        <f t="shared" si="27"/>
        <v>0.47499999999999998</v>
      </c>
      <c r="Q163" s="362">
        <f t="shared" si="28"/>
        <v>1054523.2749999999</v>
      </c>
      <c r="R163" s="319">
        <f t="shared" si="31"/>
        <v>168784.54726027418</v>
      </c>
      <c r="S163" s="319">
        <f t="shared" si="25"/>
        <v>11100</v>
      </c>
      <c r="T163" s="326"/>
    </row>
    <row r="164" spans="2:20" ht="15.75">
      <c r="B164" s="317">
        <f t="shared" si="26"/>
        <v>157</v>
      </c>
      <c r="C164" s="14" t="s">
        <v>220</v>
      </c>
      <c r="D164" s="112" t="s">
        <v>29</v>
      </c>
      <c r="E164" s="732">
        <v>480000</v>
      </c>
      <c r="F164" s="733"/>
      <c r="G164" s="732"/>
      <c r="H164" s="321">
        <f t="shared" si="23"/>
        <v>480000</v>
      </c>
      <c r="I164" s="15">
        <v>44712</v>
      </c>
      <c r="J164" s="728">
        <v>189895.89041095891</v>
      </c>
      <c r="K164" s="319">
        <f t="shared" si="22"/>
        <v>290104.10958904109</v>
      </c>
      <c r="L164" s="321">
        <f t="shared" si="29"/>
        <v>671</v>
      </c>
      <c r="M164" s="323">
        <v>2</v>
      </c>
      <c r="N164" s="319">
        <f t="shared" si="30"/>
        <v>1.8383561643835618</v>
      </c>
      <c r="O164" s="319">
        <f t="shared" si="24"/>
        <v>0.16164383561643825</v>
      </c>
      <c r="P164" s="739">
        <f t="shared" si="27"/>
        <v>0.47499999999999998</v>
      </c>
      <c r="Q164" s="362">
        <f t="shared" si="28"/>
        <v>228000</v>
      </c>
      <c r="R164" s="319">
        <f t="shared" si="31"/>
        <v>62104.109589041094</v>
      </c>
      <c r="S164" s="319">
        <f t="shared" si="25"/>
        <v>2400</v>
      </c>
      <c r="T164" s="326"/>
    </row>
    <row r="165" spans="2:20" ht="15.75">
      <c r="B165" s="317">
        <f t="shared" si="26"/>
        <v>158</v>
      </c>
      <c r="C165" s="14" t="s">
        <v>221</v>
      </c>
      <c r="D165" s="112" t="s">
        <v>29</v>
      </c>
      <c r="E165" s="732">
        <v>700000</v>
      </c>
      <c r="F165" s="733"/>
      <c r="G165" s="732"/>
      <c r="H165" s="321">
        <f t="shared" si="23"/>
        <v>700000</v>
      </c>
      <c r="I165" s="15">
        <v>44728</v>
      </c>
      <c r="J165" s="728">
        <v>262356.16438356164</v>
      </c>
      <c r="K165" s="319">
        <f t="shared" si="22"/>
        <v>437643.83561643836</v>
      </c>
      <c r="L165" s="321">
        <f t="shared" si="29"/>
        <v>655</v>
      </c>
      <c r="M165" s="323">
        <v>2</v>
      </c>
      <c r="N165" s="319">
        <f t="shared" si="30"/>
        <v>1.7945205479452055</v>
      </c>
      <c r="O165" s="319">
        <f t="shared" si="24"/>
        <v>0.20547945205479445</v>
      </c>
      <c r="P165" s="739">
        <f t="shared" si="27"/>
        <v>0.47499999999999998</v>
      </c>
      <c r="Q165" s="362">
        <f t="shared" si="28"/>
        <v>332500</v>
      </c>
      <c r="R165" s="319">
        <f t="shared" si="31"/>
        <v>105143.83561643836</v>
      </c>
      <c r="S165" s="319">
        <f t="shared" si="25"/>
        <v>3500</v>
      </c>
      <c r="T165" s="326"/>
    </row>
    <row r="166" spans="2:20" ht="15.75">
      <c r="B166" s="317">
        <f t="shared" si="26"/>
        <v>159</v>
      </c>
      <c r="C166" s="82" t="s">
        <v>520</v>
      </c>
      <c r="D166" s="85" t="s">
        <v>29</v>
      </c>
      <c r="E166" s="732">
        <v>346274.5</v>
      </c>
      <c r="F166" s="733"/>
      <c r="G166" s="732"/>
      <c r="H166" s="321">
        <f t="shared" si="23"/>
        <v>346274.5</v>
      </c>
      <c r="I166" s="23">
        <v>44757</v>
      </c>
      <c r="J166" s="728">
        <v>116713.48044520547</v>
      </c>
      <c r="K166" s="319">
        <f t="shared" si="22"/>
        <v>229561.01955479453</v>
      </c>
      <c r="L166" s="321">
        <f t="shared" si="29"/>
        <v>626</v>
      </c>
      <c r="M166" s="323">
        <v>2</v>
      </c>
      <c r="N166" s="319">
        <f t="shared" si="30"/>
        <v>1.715068493150685</v>
      </c>
      <c r="O166" s="319">
        <f t="shared" si="24"/>
        <v>0.28493150684931501</v>
      </c>
      <c r="P166" s="739">
        <f t="shared" si="27"/>
        <v>0.47499999999999998</v>
      </c>
      <c r="Q166" s="362">
        <f t="shared" si="28"/>
        <v>164480.38749999998</v>
      </c>
      <c r="R166" s="319">
        <f t="shared" si="31"/>
        <v>65080.632054794551</v>
      </c>
      <c r="S166" s="319">
        <f t="shared" si="25"/>
        <v>1731</v>
      </c>
      <c r="T166" s="326"/>
    </row>
    <row r="167" spans="2:20" ht="15.75">
      <c r="B167" s="317">
        <f t="shared" si="26"/>
        <v>160</v>
      </c>
      <c r="C167" s="82" t="s">
        <v>227</v>
      </c>
      <c r="D167" s="85" t="s">
        <v>29</v>
      </c>
      <c r="E167" s="732">
        <v>195783.09</v>
      </c>
      <c r="F167" s="733"/>
      <c r="G167" s="732"/>
      <c r="H167" s="321">
        <f t="shared" si="23"/>
        <v>195783.09</v>
      </c>
      <c r="I167" s="23">
        <v>44758</v>
      </c>
      <c r="J167" s="728">
        <v>65734.842957534245</v>
      </c>
      <c r="K167" s="319">
        <f t="shared" si="22"/>
        <v>130048.24704246575</v>
      </c>
      <c r="L167" s="321">
        <f t="shared" si="29"/>
        <v>625</v>
      </c>
      <c r="M167" s="323">
        <v>2</v>
      </c>
      <c r="N167" s="319">
        <f t="shared" si="30"/>
        <v>1.7123287671232876</v>
      </c>
      <c r="O167" s="319">
        <f t="shared" si="24"/>
        <v>0.28767123287671237</v>
      </c>
      <c r="P167" s="739">
        <f t="shared" si="27"/>
        <v>0.47499999999999998</v>
      </c>
      <c r="Q167" s="362">
        <f t="shared" si="28"/>
        <v>92996.967749999996</v>
      </c>
      <c r="R167" s="319">
        <f t="shared" si="31"/>
        <v>37051.279292465755</v>
      </c>
      <c r="S167" s="319">
        <f t="shared" si="25"/>
        <v>979</v>
      </c>
      <c r="T167" s="326"/>
    </row>
    <row r="168" spans="2:20" ht="15.75">
      <c r="B168" s="317">
        <f t="shared" si="26"/>
        <v>161</v>
      </c>
      <c r="C168" s="82" t="s">
        <v>227</v>
      </c>
      <c r="D168" s="85" t="s">
        <v>29</v>
      </c>
      <c r="E168" s="732">
        <v>204682.03</v>
      </c>
      <c r="F168" s="733"/>
      <c r="G168" s="732"/>
      <c r="H168" s="321">
        <f t="shared" si="23"/>
        <v>204682.03</v>
      </c>
      <c r="I168" s="23">
        <v>44767</v>
      </c>
      <c r="J168" s="728">
        <v>66325.389310273968</v>
      </c>
      <c r="K168" s="319">
        <f t="shared" si="22"/>
        <v>138356.64068972605</v>
      </c>
      <c r="L168" s="321">
        <f t="shared" si="29"/>
        <v>616</v>
      </c>
      <c r="M168" s="323">
        <v>2</v>
      </c>
      <c r="N168" s="319">
        <f t="shared" si="30"/>
        <v>1.6876712328767123</v>
      </c>
      <c r="O168" s="319">
        <f t="shared" si="24"/>
        <v>0.31232876712328772</v>
      </c>
      <c r="P168" s="739">
        <f t="shared" si="27"/>
        <v>0.47499999999999998</v>
      </c>
      <c r="Q168" s="362">
        <f t="shared" si="28"/>
        <v>97223.96424999999</v>
      </c>
      <c r="R168" s="319">
        <f t="shared" si="31"/>
        <v>41132.676439726056</v>
      </c>
      <c r="S168" s="319">
        <f t="shared" si="25"/>
        <v>1023</v>
      </c>
      <c r="T168" s="326"/>
    </row>
    <row r="169" spans="2:20" ht="15.75">
      <c r="B169" s="317">
        <f t="shared" si="26"/>
        <v>162</v>
      </c>
      <c r="C169" s="82" t="s">
        <v>227</v>
      </c>
      <c r="D169" s="85" t="s">
        <v>29</v>
      </c>
      <c r="E169" s="732">
        <v>156626</v>
      </c>
      <c r="F169" s="733"/>
      <c r="G169" s="732"/>
      <c r="H169" s="321">
        <f t="shared" si="23"/>
        <v>156626</v>
      </c>
      <c r="I169" s="23">
        <v>44774</v>
      </c>
      <c r="J169" s="728">
        <v>49326.462191780818</v>
      </c>
      <c r="K169" s="319">
        <f t="shared" si="22"/>
        <v>107299.53780821917</v>
      </c>
      <c r="L169" s="321">
        <f t="shared" si="29"/>
        <v>609</v>
      </c>
      <c r="M169" s="323">
        <v>2</v>
      </c>
      <c r="N169" s="319">
        <f t="shared" si="30"/>
        <v>1.6684931506849314</v>
      </c>
      <c r="O169" s="319">
        <f t="shared" si="24"/>
        <v>0.33150684931506857</v>
      </c>
      <c r="P169" s="739">
        <f t="shared" si="27"/>
        <v>0.47499999999999998</v>
      </c>
      <c r="Q169" s="362">
        <f t="shared" si="28"/>
        <v>74397.349999999991</v>
      </c>
      <c r="R169" s="319">
        <f t="shared" si="31"/>
        <v>32902.187808219183</v>
      </c>
      <c r="S169" s="319">
        <f t="shared" si="25"/>
        <v>783</v>
      </c>
      <c r="T169" s="326"/>
    </row>
    <row r="170" spans="2:20" ht="15.75">
      <c r="B170" s="317">
        <f t="shared" si="26"/>
        <v>163</v>
      </c>
      <c r="C170" s="82" t="s">
        <v>499</v>
      </c>
      <c r="D170" s="85" t="s">
        <v>29</v>
      </c>
      <c r="E170" s="732">
        <v>1101022.8599999999</v>
      </c>
      <c r="F170" s="733"/>
      <c r="G170" s="732"/>
      <c r="H170" s="321">
        <f t="shared" si="23"/>
        <v>1101022.8599999999</v>
      </c>
      <c r="I170" s="23">
        <v>44778</v>
      </c>
      <c r="J170" s="728">
        <v>341015.43650136981</v>
      </c>
      <c r="K170" s="319">
        <f t="shared" si="22"/>
        <v>760007.42349863006</v>
      </c>
      <c r="L170" s="321">
        <f t="shared" si="29"/>
        <v>605</v>
      </c>
      <c r="M170" s="323">
        <v>2</v>
      </c>
      <c r="N170" s="319">
        <f t="shared" si="30"/>
        <v>1.6575342465753424</v>
      </c>
      <c r="O170" s="319">
        <f t="shared" si="24"/>
        <v>0.34246575342465757</v>
      </c>
      <c r="P170" s="739">
        <f t="shared" si="27"/>
        <v>0.47499999999999998</v>
      </c>
      <c r="Q170" s="362">
        <f t="shared" si="28"/>
        <v>522985.85849999991</v>
      </c>
      <c r="R170" s="319">
        <f t="shared" si="31"/>
        <v>237021.56499863014</v>
      </c>
      <c r="S170" s="319">
        <f t="shared" si="25"/>
        <v>5505</v>
      </c>
      <c r="T170" s="326"/>
    </row>
    <row r="171" spans="2:20" ht="15.75">
      <c r="B171" s="317">
        <f t="shared" si="26"/>
        <v>164</v>
      </c>
      <c r="C171" s="82" t="s">
        <v>227</v>
      </c>
      <c r="D171" s="85" t="s">
        <v>29</v>
      </c>
      <c r="E171" s="732">
        <v>195782.82</v>
      </c>
      <c r="F171" s="733"/>
      <c r="G171" s="732"/>
      <c r="H171" s="321">
        <f t="shared" si="23"/>
        <v>195782.82</v>
      </c>
      <c r="I171" s="15">
        <v>44783</v>
      </c>
      <c r="J171" s="728">
        <v>59365.1057630137</v>
      </c>
      <c r="K171" s="319">
        <f t="shared" si="22"/>
        <v>136417.7142369863</v>
      </c>
      <c r="L171" s="321">
        <f t="shared" si="29"/>
        <v>600</v>
      </c>
      <c r="M171" s="323">
        <v>2</v>
      </c>
      <c r="N171" s="319">
        <f t="shared" si="30"/>
        <v>1.6438356164383561</v>
      </c>
      <c r="O171" s="319">
        <f t="shared" si="24"/>
        <v>0.35616438356164393</v>
      </c>
      <c r="P171" s="739">
        <f t="shared" si="27"/>
        <v>0.47499999999999998</v>
      </c>
      <c r="Q171" s="362">
        <f t="shared" si="28"/>
        <v>92996.839500000002</v>
      </c>
      <c r="R171" s="319">
        <f t="shared" si="31"/>
        <v>43420.874736986298</v>
      </c>
      <c r="S171" s="319">
        <f t="shared" si="25"/>
        <v>979</v>
      </c>
      <c r="T171" s="326"/>
    </row>
    <row r="172" spans="2:20" ht="15.75">
      <c r="B172" s="317">
        <f t="shared" si="26"/>
        <v>165</v>
      </c>
      <c r="C172" s="82" t="s">
        <v>499</v>
      </c>
      <c r="D172" s="85" t="s">
        <v>29</v>
      </c>
      <c r="E172" s="732">
        <v>267454.28000000003</v>
      </c>
      <c r="F172" s="733"/>
      <c r="G172" s="732"/>
      <c r="H172" s="321">
        <f t="shared" si="23"/>
        <v>267454.28000000003</v>
      </c>
      <c r="I172" s="23">
        <v>44798</v>
      </c>
      <c r="J172" s="728">
        <v>75876.41286027398</v>
      </c>
      <c r="K172" s="319">
        <f t="shared" si="22"/>
        <v>191577.86713972606</v>
      </c>
      <c r="L172" s="321">
        <f t="shared" si="29"/>
        <v>585</v>
      </c>
      <c r="M172" s="323">
        <v>2</v>
      </c>
      <c r="N172" s="319">
        <f t="shared" si="30"/>
        <v>1.6027397260273972</v>
      </c>
      <c r="O172" s="319">
        <f t="shared" si="24"/>
        <v>0.39726027397260277</v>
      </c>
      <c r="P172" s="739">
        <f t="shared" si="27"/>
        <v>0.47499999999999998</v>
      </c>
      <c r="Q172" s="362">
        <f t="shared" si="28"/>
        <v>127040.78300000001</v>
      </c>
      <c r="R172" s="319">
        <f t="shared" si="31"/>
        <v>64537.084139726052</v>
      </c>
      <c r="S172" s="319">
        <f t="shared" si="25"/>
        <v>1337</v>
      </c>
      <c r="T172" s="326"/>
    </row>
    <row r="173" spans="2:20" ht="15.75">
      <c r="B173" s="317">
        <f t="shared" si="26"/>
        <v>166</v>
      </c>
      <c r="C173" s="82" t="s">
        <v>499</v>
      </c>
      <c r="D173" s="85" t="s">
        <v>29</v>
      </c>
      <c r="E173" s="732">
        <v>400577.14</v>
      </c>
      <c r="F173" s="733"/>
      <c r="G173" s="732"/>
      <c r="H173" s="321">
        <f t="shared" si="23"/>
        <v>400577.14</v>
      </c>
      <c r="I173" s="23">
        <v>44798</v>
      </c>
      <c r="J173" s="728">
        <v>113643.18588219178</v>
      </c>
      <c r="K173" s="319">
        <f t="shared" si="22"/>
        <v>286933.95411780826</v>
      </c>
      <c r="L173" s="321">
        <f t="shared" si="29"/>
        <v>585</v>
      </c>
      <c r="M173" s="323">
        <v>2</v>
      </c>
      <c r="N173" s="319">
        <f t="shared" si="30"/>
        <v>1.6027397260273972</v>
      </c>
      <c r="O173" s="319">
        <f t="shared" si="24"/>
        <v>0.39726027397260277</v>
      </c>
      <c r="P173" s="739">
        <f t="shared" si="27"/>
        <v>0.47499999999999998</v>
      </c>
      <c r="Q173" s="362">
        <f t="shared" si="28"/>
        <v>190274.1415</v>
      </c>
      <c r="R173" s="319">
        <f t="shared" si="31"/>
        <v>96659.81261780826</v>
      </c>
      <c r="S173" s="319">
        <f t="shared" si="25"/>
        <v>2003</v>
      </c>
      <c r="T173" s="326"/>
    </row>
    <row r="174" spans="2:20" ht="15.75">
      <c r="B174" s="317">
        <f t="shared" si="26"/>
        <v>167</v>
      </c>
      <c r="C174" s="82" t="s">
        <v>499</v>
      </c>
      <c r="D174" s="85" t="s">
        <v>29</v>
      </c>
      <c r="E174" s="732">
        <v>174508.47</v>
      </c>
      <c r="F174" s="733"/>
      <c r="G174" s="732"/>
      <c r="H174" s="321">
        <f t="shared" si="23"/>
        <v>174508.47</v>
      </c>
      <c r="I174" s="23">
        <v>44798</v>
      </c>
      <c r="J174" s="728">
        <v>49507.813886301374</v>
      </c>
      <c r="K174" s="319">
        <f t="shared" si="22"/>
        <v>125000.65611369863</v>
      </c>
      <c r="L174" s="321">
        <f t="shared" si="29"/>
        <v>585</v>
      </c>
      <c r="M174" s="323">
        <v>2</v>
      </c>
      <c r="N174" s="319">
        <f t="shared" si="30"/>
        <v>1.6027397260273972</v>
      </c>
      <c r="O174" s="319">
        <f t="shared" si="24"/>
        <v>0.39726027397260277</v>
      </c>
      <c r="P174" s="739">
        <f t="shared" si="27"/>
        <v>0.47499999999999998</v>
      </c>
      <c r="Q174" s="362">
        <f t="shared" si="28"/>
        <v>82891.523249999998</v>
      </c>
      <c r="R174" s="319">
        <f t="shared" si="31"/>
        <v>42109.132863698629</v>
      </c>
      <c r="S174" s="319">
        <f t="shared" si="25"/>
        <v>873</v>
      </c>
      <c r="T174" s="326"/>
    </row>
    <row r="175" spans="2:20" ht="15.75">
      <c r="B175" s="317">
        <f t="shared" si="26"/>
        <v>168</v>
      </c>
      <c r="C175" s="82" t="s">
        <v>499</v>
      </c>
      <c r="D175" s="85" t="s">
        <v>29</v>
      </c>
      <c r="E175" s="732">
        <v>763895</v>
      </c>
      <c r="F175" s="733"/>
      <c r="G175" s="732"/>
      <c r="H175" s="321">
        <f t="shared" si="23"/>
        <v>763895</v>
      </c>
      <c r="I175" s="23">
        <v>44798</v>
      </c>
      <c r="J175" s="728">
        <v>216715.96506849315</v>
      </c>
      <c r="K175" s="319">
        <f t="shared" si="22"/>
        <v>547179.03493150685</v>
      </c>
      <c r="L175" s="321">
        <f t="shared" si="29"/>
        <v>585</v>
      </c>
      <c r="M175" s="323">
        <v>2</v>
      </c>
      <c r="N175" s="319">
        <f t="shared" si="30"/>
        <v>1.6027397260273972</v>
      </c>
      <c r="O175" s="319">
        <f t="shared" si="24"/>
        <v>0.39726027397260277</v>
      </c>
      <c r="P175" s="739">
        <f t="shared" si="27"/>
        <v>0.47499999999999998</v>
      </c>
      <c r="Q175" s="362">
        <f t="shared" si="28"/>
        <v>362850.125</v>
      </c>
      <c r="R175" s="319">
        <f t="shared" si="31"/>
        <v>184328.90993150685</v>
      </c>
      <c r="S175" s="319">
        <f t="shared" si="25"/>
        <v>3819</v>
      </c>
      <c r="T175" s="326"/>
    </row>
    <row r="176" spans="2:20" ht="15.75">
      <c r="B176" s="317">
        <f t="shared" si="26"/>
        <v>169</v>
      </c>
      <c r="C176" s="82" t="s">
        <v>309</v>
      </c>
      <c r="D176" s="85" t="s">
        <v>29</v>
      </c>
      <c r="E176" s="732">
        <v>1177116.1200000001</v>
      </c>
      <c r="F176" s="733"/>
      <c r="G176" s="732"/>
      <c r="H176" s="321">
        <f t="shared" si="23"/>
        <v>1177116.1200000001</v>
      </c>
      <c r="I176" s="23">
        <v>44800</v>
      </c>
      <c r="J176" s="728">
        <v>330882.50386849314</v>
      </c>
      <c r="K176" s="319">
        <f t="shared" si="22"/>
        <v>846233.61613150698</v>
      </c>
      <c r="L176" s="321">
        <f t="shared" si="29"/>
        <v>583</v>
      </c>
      <c r="M176" s="323">
        <v>2</v>
      </c>
      <c r="N176" s="319">
        <f t="shared" si="30"/>
        <v>1.5972602739726027</v>
      </c>
      <c r="O176" s="319">
        <f t="shared" si="24"/>
        <v>0.40273972602739727</v>
      </c>
      <c r="P176" s="739">
        <f t="shared" si="27"/>
        <v>0.47499999999999998</v>
      </c>
      <c r="Q176" s="362">
        <f t="shared" si="28"/>
        <v>559130.15700000001</v>
      </c>
      <c r="R176" s="319">
        <f t="shared" si="31"/>
        <v>287103.45913150697</v>
      </c>
      <c r="S176" s="319">
        <f t="shared" si="25"/>
        <v>5886</v>
      </c>
      <c r="T176" s="326"/>
    </row>
    <row r="177" spans="2:20" ht="15.75">
      <c r="B177" s="317">
        <f t="shared" si="26"/>
        <v>170</v>
      </c>
      <c r="C177" s="82" t="s">
        <v>528</v>
      </c>
      <c r="D177" s="85" t="s">
        <v>29</v>
      </c>
      <c r="E177" s="732">
        <v>162962</v>
      </c>
      <c r="F177" s="733"/>
      <c r="G177" s="732"/>
      <c r="H177" s="321">
        <f t="shared" si="23"/>
        <v>162962</v>
      </c>
      <c r="I177" s="23">
        <v>44800</v>
      </c>
      <c r="J177" s="728">
        <v>45807.948493150681</v>
      </c>
      <c r="K177" s="319">
        <f t="shared" si="22"/>
        <v>117154.05150684933</v>
      </c>
      <c r="L177" s="321">
        <f t="shared" si="29"/>
        <v>583</v>
      </c>
      <c r="M177" s="323">
        <v>2</v>
      </c>
      <c r="N177" s="319">
        <f t="shared" si="30"/>
        <v>1.5972602739726027</v>
      </c>
      <c r="O177" s="319">
        <f t="shared" si="24"/>
        <v>0.40273972602739727</v>
      </c>
      <c r="P177" s="739">
        <f t="shared" si="27"/>
        <v>0.47499999999999998</v>
      </c>
      <c r="Q177" s="362">
        <f t="shared" si="28"/>
        <v>77406.95</v>
      </c>
      <c r="R177" s="319">
        <f t="shared" si="31"/>
        <v>39747.101506849329</v>
      </c>
      <c r="S177" s="319">
        <f t="shared" si="25"/>
        <v>815</v>
      </c>
      <c r="T177" s="326"/>
    </row>
    <row r="178" spans="2:20" ht="15.75">
      <c r="B178" s="317">
        <f t="shared" si="26"/>
        <v>171</v>
      </c>
      <c r="C178" s="82" t="s">
        <v>528</v>
      </c>
      <c r="D178" s="85" t="s">
        <v>29</v>
      </c>
      <c r="E178" s="732">
        <v>191940</v>
      </c>
      <c r="F178" s="733"/>
      <c r="G178" s="732"/>
      <c r="H178" s="321">
        <f t="shared" si="23"/>
        <v>191940</v>
      </c>
      <c r="I178" s="23">
        <v>44800</v>
      </c>
      <c r="J178" s="728">
        <v>53953.545205479451</v>
      </c>
      <c r="K178" s="319">
        <f t="shared" si="22"/>
        <v>137986.45479452054</v>
      </c>
      <c r="L178" s="321">
        <f t="shared" si="29"/>
        <v>583</v>
      </c>
      <c r="M178" s="323">
        <v>2</v>
      </c>
      <c r="N178" s="319">
        <f t="shared" si="30"/>
        <v>1.5972602739726027</v>
      </c>
      <c r="O178" s="319">
        <f t="shared" si="24"/>
        <v>0.40273972602739727</v>
      </c>
      <c r="P178" s="739">
        <f t="shared" si="27"/>
        <v>0.47499999999999998</v>
      </c>
      <c r="Q178" s="362">
        <f t="shared" si="28"/>
        <v>91171.5</v>
      </c>
      <c r="R178" s="319">
        <f t="shared" si="31"/>
        <v>46814.954794520541</v>
      </c>
      <c r="S178" s="319">
        <f t="shared" si="25"/>
        <v>960</v>
      </c>
      <c r="T178" s="326"/>
    </row>
    <row r="179" spans="2:20" ht="15.75">
      <c r="B179" s="317">
        <f t="shared" si="26"/>
        <v>172</v>
      </c>
      <c r="C179" s="82" t="s">
        <v>227</v>
      </c>
      <c r="D179" s="85" t="s">
        <v>29</v>
      </c>
      <c r="E179" s="732">
        <v>186511</v>
      </c>
      <c r="F179" s="733"/>
      <c r="G179" s="732"/>
      <c r="H179" s="321">
        <f t="shared" si="23"/>
        <v>186511</v>
      </c>
      <c r="I179" s="23">
        <v>44814</v>
      </c>
      <c r="J179" s="728">
        <v>49029.398493150686</v>
      </c>
      <c r="K179" s="319">
        <f t="shared" si="22"/>
        <v>137481.60150684931</v>
      </c>
      <c r="L179" s="321">
        <f t="shared" si="29"/>
        <v>569</v>
      </c>
      <c r="M179" s="323">
        <v>2</v>
      </c>
      <c r="N179" s="319">
        <f t="shared" si="30"/>
        <v>1.558904109589041</v>
      </c>
      <c r="O179" s="319">
        <f t="shared" si="24"/>
        <v>0.44109589041095898</v>
      </c>
      <c r="P179" s="739">
        <f t="shared" si="27"/>
        <v>0.47499999999999998</v>
      </c>
      <c r="Q179" s="362">
        <f t="shared" si="28"/>
        <v>88592.724999999991</v>
      </c>
      <c r="R179" s="319">
        <f t="shared" si="31"/>
        <v>48888.876506849323</v>
      </c>
      <c r="S179" s="319">
        <f t="shared" si="25"/>
        <v>933</v>
      </c>
      <c r="T179" s="326"/>
    </row>
    <row r="180" spans="2:20" ht="15.75">
      <c r="B180" s="317">
        <f t="shared" si="26"/>
        <v>173</v>
      </c>
      <c r="C180" s="82" t="s">
        <v>227</v>
      </c>
      <c r="D180" s="85" t="s">
        <v>29</v>
      </c>
      <c r="E180" s="732">
        <v>216108.46</v>
      </c>
      <c r="F180" s="733"/>
      <c r="G180" s="732"/>
      <c r="H180" s="321">
        <f t="shared" si="23"/>
        <v>216108.46</v>
      </c>
      <c r="I180" s="23">
        <v>44816</v>
      </c>
      <c r="J180" s="728">
        <v>56247.407397260271</v>
      </c>
      <c r="K180" s="319">
        <f t="shared" si="22"/>
        <v>159861.05260273971</v>
      </c>
      <c r="L180" s="321">
        <f t="shared" si="29"/>
        <v>567</v>
      </c>
      <c r="M180" s="323">
        <v>2</v>
      </c>
      <c r="N180" s="319">
        <f t="shared" si="30"/>
        <v>1.5534246575342465</v>
      </c>
      <c r="O180" s="319">
        <f t="shared" si="24"/>
        <v>0.44657534246575348</v>
      </c>
      <c r="P180" s="739">
        <f t="shared" si="27"/>
        <v>0.47499999999999998</v>
      </c>
      <c r="Q180" s="362">
        <f t="shared" si="28"/>
        <v>102651.51849999999</v>
      </c>
      <c r="R180" s="319">
        <f t="shared" si="31"/>
        <v>57209.534102739723</v>
      </c>
      <c r="S180" s="319">
        <f t="shared" si="25"/>
        <v>1081</v>
      </c>
      <c r="T180" s="326"/>
    </row>
    <row r="181" spans="2:20" ht="15.75">
      <c r="B181" s="317">
        <f t="shared" si="26"/>
        <v>174</v>
      </c>
      <c r="C181" s="82" t="s">
        <v>463</v>
      </c>
      <c r="D181" s="85" t="s">
        <v>29</v>
      </c>
      <c r="E181" s="732">
        <v>50000</v>
      </c>
      <c r="F181" s="733"/>
      <c r="G181" s="732"/>
      <c r="H181" s="321">
        <f t="shared" si="23"/>
        <v>50000</v>
      </c>
      <c r="I181" s="23">
        <v>44816</v>
      </c>
      <c r="J181" s="728">
        <v>13013.698630136987</v>
      </c>
      <c r="K181" s="319">
        <f t="shared" si="22"/>
        <v>36986.301369863009</v>
      </c>
      <c r="L181" s="321">
        <f t="shared" si="29"/>
        <v>567</v>
      </c>
      <c r="M181" s="323">
        <v>2</v>
      </c>
      <c r="N181" s="319">
        <f t="shared" si="30"/>
        <v>1.5534246575342465</v>
      </c>
      <c r="O181" s="319">
        <f t="shared" si="24"/>
        <v>0.44657534246575348</v>
      </c>
      <c r="P181" s="739">
        <f t="shared" si="27"/>
        <v>0.47499999999999998</v>
      </c>
      <c r="Q181" s="362">
        <f t="shared" si="28"/>
        <v>23750</v>
      </c>
      <c r="R181" s="319">
        <f t="shared" si="31"/>
        <v>13236.301369863009</v>
      </c>
      <c r="S181" s="319">
        <f t="shared" si="25"/>
        <v>250</v>
      </c>
      <c r="T181" s="326"/>
    </row>
    <row r="182" spans="2:20" ht="15.75">
      <c r="B182" s="317">
        <f t="shared" si="26"/>
        <v>175</v>
      </c>
      <c r="C182" s="82" t="s">
        <v>227</v>
      </c>
      <c r="D182" s="85" t="s">
        <v>29</v>
      </c>
      <c r="E182" s="732">
        <v>216108.46</v>
      </c>
      <c r="F182" s="733"/>
      <c r="G182" s="732"/>
      <c r="H182" s="321">
        <f t="shared" si="23"/>
        <v>216108.46</v>
      </c>
      <c r="I182" s="23">
        <v>44817</v>
      </c>
      <c r="J182" s="728">
        <v>55966.170360273973</v>
      </c>
      <c r="K182" s="319">
        <f t="shared" si="22"/>
        <v>160142.28963972602</v>
      </c>
      <c r="L182" s="321">
        <f t="shared" si="29"/>
        <v>566</v>
      </c>
      <c r="M182" s="323">
        <v>2</v>
      </c>
      <c r="N182" s="319">
        <f t="shared" si="30"/>
        <v>1.5506849315068494</v>
      </c>
      <c r="O182" s="319">
        <f t="shared" si="24"/>
        <v>0.44931506849315062</v>
      </c>
      <c r="P182" s="739">
        <f t="shared" si="27"/>
        <v>0.47499999999999998</v>
      </c>
      <c r="Q182" s="362">
        <f t="shared" si="28"/>
        <v>102651.51849999999</v>
      </c>
      <c r="R182" s="319">
        <f t="shared" si="31"/>
        <v>57490.771139726028</v>
      </c>
      <c r="S182" s="319">
        <f t="shared" si="25"/>
        <v>1081</v>
      </c>
      <c r="T182" s="326"/>
    </row>
    <row r="183" spans="2:20" ht="15.75">
      <c r="B183" s="317">
        <f t="shared" si="26"/>
        <v>176</v>
      </c>
      <c r="C183" s="82" t="s">
        <v>227</v>
      </c>
      <c r="D183" s="85" t="s">
        <v>29</v>
      </c>
      <c r="E183" s="732">
        <v>206712.53</v>
      </c>
      <c r="F183" s="733"/>
      <c r="G183" s="732"/>
      <c r="H183" s="321">
        <f t="shared" si="23"/>
        <v>206712.53</v>
      </c>
      <c r="I183" s="23">
        <v>44822</v>
      </c>
      <c r="J183" s="728">
        <v>52187.834628767123</v>
      </c>
      <c r="K183" s="319">
        <f t="shared" si="22"/>
        <v>154524.69537123287</v>
      </c>
      <c r="L183" s="321">
        <f t="shared" si="29"/>
        <v>561</v>
      </c>
      <c r="M183" s="323">
        <v>2</v>
      </c>
      <c r="N183" s="319">
        <f t="shared" si="30"/>
        <v>1.536986301369863</v>
      </c>
      <c r="O183" s="319">
        <f t="shared" si="24"/>
        <v>0.46301369863013697</v>
      </c>
      <c r="P183" s="739">
        <f t="shared" si="27"/>
        <v>0.47499999999999998</v>
      </c>
      <c r="Q183" s="362">
        <f t="shared" si="28"/>
        <v>98188.451749999993</v>
      </c>
      <c r="R183" s="319">
        <f t="shared" si="31"/>
        <v>56336.243621232876</v>
      </c>
      <c r="S183" s="319">
        <f t="shared" si="25"/>
        <v>1034</v>
      </c>
      <c r="T183" s="326"/>
    </row>
    <row r="184" spans="2:20" ht="15.75">
      <c r="B184" s="317">
        <f t="shared" si="26"/>
        <v>177</v>
      </c>
      <c r="C184" s="82" t="s">
        <v>531</v>
      </c>
      <c r="D184" s="85" t="s">
        <v>29</v>
      </c>
      <c r="E184" s="732">
        <v>7627.12</v>
      </c>
      <c r="F184" s="733"/>
      <c r="G184" s="732"/>
      <c r="H184" s="321">
        <f t="shared" si="23"/>
        <v>7627.12</v>
      </c>
      <c r="I184" s="23">
        <v>44826</v>
      </c>
      <c r="J184" s="728">
        <v>1885.8837808219178</v>
      </c>
      <c r="K184" s="319">
        <f t="shared" si="22"/>
        <v>5741.2362191780821</v>
      </c>
      <c r="L184" s="321">
        <f t="shared" si="29"/>
        <v>557</v>
      </c>
      <c r="M184" s="323">
        <v>2</v>
      </c>
      <c r="N184" s="319">
        <f t="shared" si="30"/>
        <v>1.526027397260274</v>
      </c>
      <c r="O184" s="319">
        <f t="shared" si="24"/>
        <v>0.47397260273972597</v>
      </c>
      <c r="P184" s="739">
        <f t="shared" si="27"/>
        <v>0.47499999999999998</v>
      </c>
      <c r="Q184" s="362">
        <f t="shared" si="28"/>
        <v>3622.8819999999996</v>
      </c>
      <c r="R184" s="319">
        <f t="shared" si="31"/>
        <v>2118.3542191780825</v>
      </c>
      <c r="S184" s="319">
        <f t="shared" si="25"/>
        <v>38</v>
      </c>
      <c r="T184" s="326"/>
    </row>
    <row r="185" spans="2:20" ht="15.75">
      <c r="B185" s="317">
        <f t="shared" si="26"/>
        <v>178</v>
      </c>
      <c r="C185" s="82" t="s">
        <v>533</v>
      </c>
      <c r="D185" s="85" t="s">
        <v>29</v>
      </c>
      <c r="E185" s="732">
        <v>1173000</v>
      </c>
      <c r="F185" s="733"/>
      <c r="G185" s="732"/>
      <c r="H185" s="321">
        <f t="shared" si="23"/>
        <v>1173000</v>
      </c>
      <c r="I185" s="23">
        <v>44834</v>
      </c>
      <c r="J185" s="728">
        <v>277824.24657534249</v>
      </c>
      <c r="K185" s="319">
        <f t="shared" si="22"/>
        <v>895175.75342465751</v>
      </c>
      <c r="L185" s="321">
        <f t="shared" si="29"/>
        <v>549</v>
      </c>
      <c r="M185" s="323">
        <v>2</v>
      </c>
      <c r="N185" s="319">
        <f t="shared" si="30"/>
        <v>1.5041095890410958</v>
      </c>
      <c r="O185" s="319">
        <f t="shared" si="24"/>
        <v>0.49589041095890418</v>
      </c>
      <c r="P185" s="739">
        <f t="shared" si="27"/>
        <v>0.47499999999999998</v>
      </c>
      <c r="Q185" s="362">
        <f t="shared" si="28"/>
        <v>557175</v>
      </c>
      <c r="R185" s="319">
        <f t="shared" si="31"/>
        <v>338000.75342465751</v>
      </c>
      <c r="S185" s="319">
        <f t="shared" si="25"/>
        <v>5865</v>
      </c>
      <c r="T185" s="326"/>
    </row>
    <row r="186" spans="2:20" ht="15.75">
      <c r="B186" s="317">
        <f t="shared" si="26"/>
        <v>179</v>
      </c>
      <c r="C186" s="82" t="s">
        <v>535</v>
      </c>
      <c r="D186" s="85" t="s">
        <v>29</v>
      </c>
      <c r="E186" s="732">
        <v>204915.25</v>
      </c>
      <c r="F186" s="733"/>
      <c r="G186" s="732"/>
      <c r="H186" s="321">
        <f t="shared" si="23"/>
        <v>204915.25</v>
      </c>
      <c r="I186" s="23">
        <v>44834</v>
      </c>
      <c r="J186" s="728">
        <v>48534.036609589042</v>
      </c>
      <c r="K186" s="319">
        <f t="shared" si="22"/>
        <v>156381.21339041097</v>
      </c>
      <c r="L186" s="321">
        <f t="shared" si="29"/>
        <v>549</v>
      </c>
      <c r="M186" s="323">
        <v>2</v>
      </c>
      <c r="N186" s="319">
        <f t="shared" si="30"/>
        <v>1.5041095890410958</v>
      </c>
      <c r="O186" s="319">
        <f t="shared" si="24"/>
        <v>0.49589041095890418</v>
      </c>
      <c r="P186" s="739">
        <f t="shared" si="27"/>
        <v>0.47499999999999998</v>
      </c>
      <c r="Q186" s="362">
        <f t="shared" si="28"/>
        <v>97334.743749999994</v>
      </c>
      <c r="R186" s="319">
        <f t="shared" si="31"/>
        <v>59046.469640410971</v>
      </c>
      <c r="S186" s="319">
        <f t="shared" si="25"/>
        <v>1025</v>
      </c>
      <c r="T186" s="326"/>
    </row>
    <row r="187" spans="2:20" ht="15.75">
      <c r="B187" s="317">
        <f t="shared" si="26"/>
        <v>180</v>
      </c>
      <c r="C187" s="82" t="s">
        <v>227</v>
      </c>
      <c r="D187" s="85" t="s">
        <v>29</v>
      </c>
      <c r="E187" s="732">
        <v>206712.74</v>
      </c>
      <c r="F187" s="733"/>
      <c r="G187" s="732"/>
      <c r="H187" s="321">
        <f t="shared" si="23"/>
        <v>206712.74</v>
      </c>
      <c r="I187" s="23">
        <v>44834</v>
      </c>
      <c r="J187" s="728">
        <v>48959.770884931495</v>
      </c>
      <c r="K187" s="319">
        <f t="shared" si="22"/>
        <v>157752.9691150685</v>
      </c>
      <c r="L187" s="321">
        <f t="shared" si="29"/>
        <v>549</v>
      </c>
      <c r="M187" s="323">
        <v>2</v>
      </c>
      <c r="N187" s="319">
        <f t="shared" si="30"/>
        <v>1.5041095890410958</v>
      </c>
      <c r="O187" s="319">
        <f t="shared" si="24"/>
        <v>0.49589041095890418</v>
      </c>
      <c r="P187" s="739">
        <f t="shared" si="27"/>
        <v>0.47499999999999998</v>
      </c>
      <c r="Q187" s="362">
        <f t="shared" si="28"/>
        <v>98188.551499999987</v>
      </c>
      <c r="R187" s="319">
        <f t="shared" si="31"/>
        <v>59564.417615068509</v>
      </c>
      <c r="S187" s="319">
        <f t="shared" si="25"/>
        <v>1034</v>
      </c>
      <c r="T187" s="326"/>
    </row>
    <row r="188" spans="2:20" ht="15.75">
      <c r="B188" s="317">
        <f t="shared" si="26"/>
        <v>181</v>
      </c>
      <c r="C188" s="82" t="s">
        <v>483</v>
      </c>
      <c r="D188" s="85" t="s">
        <v>29</v>
      </c>
      <c r="E188" s="732">
        <v>39600</v>
      </c>
      <c r="F188" s="733"/>
      <c r="G188" s="732"/>
      <c r="H188" s="321">
        <f t="shared" si="23"/>
        <v>39600</v>
      </c>
      <c r="I188" s="23">
        <v>44834</v>
      </c>
      <c r="J188" s="728">
        <v>9379.232876712329</v>
      </c>
      <c r="K188" s="319">
        <f t="shared" si="22"/>
        <v>30220.767123287671</v>
      </c>
      <c r="L188" s="321">
        <f t="shared" si="29"/>
        <v>549</v>
      </c>
      <c r="M188" s="323">
        <v>2</v>
      </c>
      <c r="N188" s="319">
        <f t="shared" si="30"/>
        <v>1.5041095890410958</v>
      </c>
      <c r="O188" s="319">
        <f t="shared" si="24"/>
        <v>0.49589041095890418</v>
      </c>
      <c r="P188" s="739">
        <f t="shared" si="27"/>
        <v>0.47499999999999998</v>
      </c>
      <c r="Q188" s="362">
        <f t="shared" si="28"/>
        <v>18810</v>
      </c>
      <c r="R188" s="319">
        <f t="shared" si="31"/>
        <v>11410.767123287671</v>
      </c>
      <c r="S188" s="319">
        <f t="shared" si="25"/>
        <v>198</v>
      </c>
      <c r="T188" s="326"/>
    </row>
    <row r="189" spans="2:20" ht="15.75">
      <c r="B189" s="317">
        <f t="shared" si="26"/>
        <v>182</v>
      </c>
      <c r="C189" s="82" t="s">
        <v>826</v>
      </c>
      <c r="D189" s="85" t="s">
        <v>29</v>
      </c>
      <c r="E189" s="732">
        <v>18114.48</v>
      </c>
      <c r="F189" s="733"/>
      <c r="G189" s="732"/>
      <c r="H189" s="321">
        <f t="shared" si="23"/>
        <v>18114.48</v>
      </c>
      <c r="I189" s="23">
        <v>44840</v>
      </c>
      <c r="J189" s="728">
        <v>4148.9603506849307</v>
      </c>
      <c r="K189" s="319">
        <f t="shared" si="22"/>
        <v>13965.519649315069</v>
      </c>
      <c r="L189" s="321">
        <f t="shared" si="29"/>
        <v>543</v>
      </c>
      <c r="M189" s="323">
        <v>2</v>
      </c>
      <c r="N189" s="319">
        <f t="shared" si="30"/>
        <v>1.4876712328767123</v>
      </c>
      <c r="O189" s="319">
        <f t="shared" si="24"/>
        <v>0.51232876712328768</v>
      </c>
      <c r="P189" s="739">
        <f t="shared" si="27"/>
        <v>0.47499999999999998</v>
      </c>
      <c r="Q189" s="362">
        <f t="shared" si="28"/>
        <v>8604.3779999999988</v>
      </c>
      <c r="R189" s="319">
        <f t="shared" si="31"/>
        <v>5361.14164931507</v>
      </c>
      <c r="S189" s="319">
        <f t="shared" si="25"/>
        <v>91</v>
      </c>
      <c r="T189" s="326"/>
    </row>
    <row r="190" spans="2:20" ht="15.75">
      <c r="B190" s="317">
        <f t="shared" si="26"/>
        <v>183</v>
      </c>
      <c r="C190" s="82" t="s">
        <v>826</v>
      </c>
      <c r="D190" s="85" t="s">
        <v>29</v>
      </c>
      <c r="E190" s="732">
        <v>156509</v>
      </c>
      <c r="F190" s="733"/>
      <c r="G190" s="732"/>
      <c r="H190" s="321">
        <f t="shared" si="23"/>
        <v>156509</v>
      </c>
      <c r="I190" s="23">
        <v>44840</v>
      </c>
      <c r="J190" s="728">
        <v>35846.992876712327</v>
      </c>
      <c r="K190" s="319">
        <f t="shared" si="22"/>
        <v>120662.00712328768</v>
      </c>
      <c r="L190" s="321">
        <f t="shared" si="29"/>
        <v>543</v>
      </c>
      <c r="M190" s="323">
        <v>2</v>
      </c>
      <c r="N190" s="319">
        <f t="shared" si="30"/>
        <v>1.4876712328767123</v>
      </c>
      <c r="O190" s="319">
        <f t="shared" si="24"/>
        <v>0.51232876712328768</v>
      </c>
      <c r="P190" s="739">
        <f t="shared" si="27"/>
        <v>0.47499999999999998</v>
      </c>
      <c r="Q190" s="362">
        <f t="shared" si="28"/>
        <v>74341.774999999994</v>
      </c>
      <c r="R190" s="319">
        <f t="shared" si="31"/>
        <v>46320.232123287686</v>
      </c>
      <c r="S190" s="319">
        <f t="shared" si="25"/>
        <v>783</v>
      </c>
      <c r="T190" s="326"/>
    </row>
    <row r="191" spans="2:20" ht="15.75">
      <c r="B191" s="317">
        <f t="shared" si="26"/>
        <v>184</v>
      </c>
      <c r="C191" s="82" t="s">
        <v>826</v>
      </c>
      <c r="D191" s="85" t="s">
        <v>29</v>
      </c>
      <c r="E191" s="732">
        <v>23050</v>
      </c>
      <c r="F191" s="733"/>
      <c r="G191" s="732"/>
      <c r="H191" s="321">
        <f t="shared" si="23"/>
        <v>23050</v>
      </c>
      <c r="I191" s="23">
        <v>44842</v>
      </c>
      <c r="J191" s="728">
        <v>5219.4041095890407</v>
      </c>
      <c r="K191" s="319">
        <f t="shared" si="22"/>
        <v>17830.595890410958</v>
      </c>
      <c r="L191" s="321">
        <f t="shared" si="29"/>
        <v>541</v>
      </c>
      <c r="M191" s="323">
        <v>2</v>
      </c>
      <c r="N191" s="319">
        <f t="shared" si="30"/>
        <v>1.4821917808219178</v>
      </c>
      <c r="O191" s="319">
        <f t="shared" si="24"/>
        <v>0.51780821917808217</v>
      </c>
      <c r="P191" s="739">
        <f t="shared" si="27"/>
        <v>0.47499999999999998</v>
      </c>
      <c r="Q191" s="362">
        <f t="shared" si="28"/>
        <v>10948.75</v>
      </c>
      <c r="R191" s="319">
        <f t="shared" si="31"/>
        <v>6881.8458904109575</v>
      </c>
      <c r="S191" s="319">
        <f t="shared" si="25"/>
        <v>115</v>
      </c>
      <c r="T191" s="326"/>
    </row>
    <row r="192" spans="2:20" ht="15.75">
      <c r="B192" s="317">
        <f t="shared" si="26"/>
        <v>185</v>
      </c>
      <c r="C192" s="82" t="s">
        <v>826</v>
      </c>
      <c r="D192" s="85" t="s">
        <v>29</v>
      </c>
      <c r="E192" s="732">
        <v>21807</v>
      </c>
      <c r="F192" s="733"/>
      <c r="G192" s="732"/>
      <c r="H192" s="321">
        <f t="shared" si="23"/>
        <v>21807</v>
      </c>
      <c r="I192" s="23">
        <v>44842</v>
      </c>
      <c r="J192" s="728">
        <v>4937.9412328767121</v>
      </c>
      <c r="K192" s="319">
        <f t="shared" si="22"/>
        <v>16869.058767123286</v>
      </c>
      <c r="L192" s="321">
        <f t="shared" si="29"/>
        <v>541</v>
      </c>
      <c r="M192" s="323">
        <v>2</v>
      </c>
      <c r="N192" s="319">
        <f t="shared" si="30"/>
        <v>1.4821917808219178</v>
      </c>
      <c r="O192" s="319">
        <f t="shared" si="24"/>
        <v>0.51780821917808217</v>
      </c>
      <c r="P192" s="739">
        <f t="shared" si="27"/>
        <v>0.47499999999999998</v>
      </c>
      <c r="Q192" s="362">
        <f t="shared" si="28"/>
        <v>10358.324999999999</v>
      </c>
      <c r="R192" s="319">
        <f t="shared" si="31"/>
        <v>6510.7337671232872</v>
      </c>
      <c r="S192" s="319">
        <f t="shared" si="25"/>
        <v>109</v>
      </c>
      <c r="T192" s="326"/>
    </row>
    <row r="193" spans="2:20" ht="15.75">
      <c r="B193" s="317">
        <f t="shared" si="26"/>
        <v>186</v>
      </c>
      <c r="C193" s="82" t="s">
        <v>821</v>
      </c>
      <c r="D193" s="85" t="s">
        <v>29</v>
      </c>
      <c r="E193" s="732">
        <v>524412</v>
      </c>
      <c r="F193" s="733"/>
      <c r="G193" s="732"/>
      <c r="H193" s="321">
        <f t="shared" si="23"/>
        <v>524412</v>
      </c>
      <c r="I193" s="23">
        <v>44842</v>
      </c>
      <c r="J193" s="728">
        <v>118746.99123287671</v>
      </c>
      <c r="K193" s="319">
        <f t="shared" si="22"/>
        <v>405665.00876712328</v>
      </c>
      <c r="L193" s="321">
        <f t="shared" si="29"/>
        <v>541</v>
      </c>
      <c r="M193" s="323">
        <v>2</v>
      </c>
      <c r="N193" s="319">
        <f t="shared" si="30"/>
        <v>1.4821917808219178</v>
      </c>
      <c r="O193" s="319">
        <f t="shared" si="24"/>
        <v>0.51780821917808217</v>
      </c>
      <c r="P193" s="739">
        <f t="shared" si="27"/>
        <v>0.47499999999999998</v>
      </c>
      <c r="Q193" s="362">
        <f t="shared" si="28"/>
        <v>249095.69999999998</v>
      </c>
      <c r="R193" s="319">
        <f t="shared" si="31"/>
        <v>156569.30876712329</v>
      </c>
      <c r="S193" s="319">
        <f t="shared" si="25"/>
        <v>2622</v>
      </c>
      <c r="T193" s="326"/>
    </row>
    <row r="194" spans="2:20" ht="15.75">
      <c r="B194" s="317">
        <f t="shared" si="26"/>
        <v>187</v>
      </c>
      <c r="C194" s="82" t="s">
        <v>535</v>
      </c>
      <c r="D194" s="85" t="s">
        <v>29</v>
      </c>
      <c r="E194" s="732">
        <v>16102</v>
      </c>
      <c r="F194" s="733"/>
      <c r="G194" s="732"/>
      <c r="H194" s="321">
        <f t="shared" si="23"/>
        <v>16102</v>
      </c>
      <c r="I194" s="23">
        <v>44848</v>
      </c>
      <c r="J194" s="728">
        <v>3520.3824657534242</v>
      </c>
      <c r="K194" s="319">
        <f t="shared" si="22"/>
        <v>12581.617534246576</v>
      </c>
      <c r="L194" s="321">
        <f t="shared" si="29"/>
        <v>535</v>
      </c>
      <c r="M194" s="323">
        <v>2</v>
      </c>
      <c r="N194" s="319">
        <f t="shared" si="30"/>
        <v>1.4657534246575343</v>
      </c>
      <c r="O194" s="319">
        <f t="shared" si="24"/>
        <v>0.53424657534246567</v>
      </c>
      <c r="P194" s="739">
        <f t="shared" si="27"/>
        <v>0.47499999999999998</v>
      </c>
      <c r="Q194" s="362">
        <f t="shared" si="28"/>
        <v>7648.45</v>
      </c>
      <c r="R194" s="319">
        <f t="shared" si="31"/>
        <v>4933.167534246576</v>
      </c>
      <c r="S194" s="319">
        <f t="shared" si="25"/>
        <v>81</v>
      </c>
      <c r="T194" s="326"/>
    </row>
    <row r="195" spans="2:20" ht="15.75">
      <c r="B195" s="317">
        <f t="shared" si="26"/>
        <v>188</v>
      </c>
      <c r="C195" s="82" t="s">
        <v>819</v>
      </c>
      <c r="D195" s="85" t="s">
        <v>29</v>
      </c>
      <c r="E195" s="732">
        <v>207652</v>
      </c>
      <c r="F195" s="733"/>
      <c r="G195" s="732"/>
      <c r="H195" s="321">
        <f t="shared" si="23"/>
        <v>207652</v>
      </c>
      <c r="I195" s="23">
        <v>44851</v>
      </c>
      <c r="J195" s="728">
        <v>44588.289041095893</v>
      </c>
      <c r="K195" s="319">
        <f t="shared" si="22"/>
        <v>163063.71095890412</v>
      </c>
      <c r="L195" s="321">
        <f t="shared" si="29"/>
        <v>532</v>
      </c>
      <c r="M195" s="323">
        <v>2</v>
      </c>
      <c r="N195" s="319">
        <f t="shared" si="30"/>
        <v>1.4575342465753425</v>
      </c>
      <c r="O195" s="319">
        <f t="shared" si="24"/>
        <v>0.54246575342465753</v>
      </c>
      <c r="P195" s="739">
        <f t="shared" si="27"/>
        <v>0.47499999999999998</v>
      </c>
      <c r="Q195" s="362">
        <f t="shared" si="28"/>
        <v>98634.7</v>
      </c>
      <c r="R195" s="319">
        <f t="shared" si="31"/>
        <v>64429.010958904124</v>
      </c>
      <c r="S195" s="319">
        <f t="shared" si="25"/>
        <v>1038</v>
      </c>
      <c r="T195" s="326"/>
    </row>
    <row r="196" spans="2:20" ht="15.75">
      <c r="B196" s="317">
        <f t="shared" si="26"/>
        <v>189</v>
      </c>
      <c r="C196" s="82" t="s">
        <v>827</v>
      </c>
      <c r="D196" s="85" t="s">
        <v>29</v>
      </c>
      <c r="E196" s="732">
        <v>16000</v>
      </c>
      <c r="F196" s="733"/>
      <c r="G196" s="732"/>
      <c r="H196" s="321">
        <f t="shared" si="23"/>
        <v>16000</v>
      </c>
      <c r="I196" s="23">
        <v>44856</v>
      </c>
      <c r="J196" s="728">
        <v>3331.5068493150684</v>
      </c>
      <c r="K196" s="319">
        <f t="shared" si="22"/>
        <v>12668.493150684932</v>
      </c>
      <c r="L196" s="321">
        <f t="shared" si="29"/>
        <v>527</v>
      </c>
      <c r="M196" s="323">
        <v>2</v>
      </c>
      <c r="N196" s="319">
        <f t="shared" si="30"/>
        <v>1.4438356164383561</v>
      </c>
      <c r="O196" s="319">
        <f t="shared" si="24"/>
        <v>0.55616438356164388</v>
      </c>
      <c r="P196" s="739">
        <f t="shared" si="27"/>
        <v>0.47499999999999998</v>
      </c>
      <c r="Q196" s="362">
        <f t="shared" si="28"/>
        <v>7600</v>
      </c>
      <c r="R196" s="319">
        <f t="shared" si="31"/>
        <v>5068.4931506849316</v>
      </c>
      <c r="S196" s="319">
        <f t="shared" si="25"/>
        <v>80</v>
      </c>
      <c r="T196" s="326"/>
    </row>
    <row r="197" spans="2:20" ht="15.75">
      <c r="B197" s="317">
        <f t="shared" si="26"/>
        <v>190</v>
      </c>
      <c r="C197" s="82" t="s">
        <v>819</v>
      </c>
      <c r="D197" s="85" t="s">
        <v>29</v>
      </c>
      <c r="E197" s="732">
        <v>206712</v>
      </c>
      <c r="F197" s="733"/>
      <c r="G197" s="732"/>
      <c r="H197" s="321">
        <f t="shared" si="23"/>
        <v>206712</v>
      </c>
      <c r="I197" s="23">
        <v>44861</v>
      </c>
      <c r="J197" s="728">
        <v>41696.358904109591</v>
      </c>
      <c r="K197" s="319">
        <f t="shared" si="22"/>
        <v>165015.6410958904</v>
      </c>
      <c r="L197" s="321">
        <f t="shared" si="29"/>
        <v>522</v>
      </c>
      <c r="M197" s="323">
        <v>2</v>
      </c>
      <c r="N197" s="319">
        <f t="shared" si="30"/>
        <v>1.4301369863013698</v>
      </c>
      <c r="O197" s="319">
        <f t="shared" si="24"/>
        <v>0.56986301369863024</v>
      </c>
      <c r="P197" s="739">
        <f t="shared" si="27"/>
        <v>0.47499999999999998</v>
      </c>
      <c r="Q197" s="362">
        <f t="shared" si="28"/>
        <v>98188.2</v>
      </c>
      <c r="R197" s="319">
        <f t="shared" si="31"/>
        <v>66827.441095890405</v>
      </c>
      <c r="S197" s="319">
        <f t="shared" si="25"/>
        <v>1034</v>
      </c>
      <c r="T197" s="326"/>
    </row>
    <row r="198" spans="2:20" ht="15.75">
      <c r="B198" s="317">
        <f t="shared" si="26"/>
        <v>191</v>
      </c>
      <c r="C198" s="82" t="s">
        <v>828</v>
      </c>
      <c r="D198" s="85" t="s">
        <v>29</v>
      </c>
      <c r="E198" s="732">
        <v>590603</v>
      </c>
      <c r="F198" s="733"/>
      <c r="G198" s="732"/>
      <c r="H198" s="321">
        <f t="shared" si="23"/>
        <v>590603</v>
      </c>
      <c r="I198" s="23">
        <v>44862</v>
      </c>
      <c r="J198" s="728">
        <v>118363.31356164382</v>
      </c>
      <c r="K198" s="319">
        <f t="shared" si="22"/>
        <v>472239.68643835618</v>
      </c>
      <c r="L198" s="321">
        <f t="shared" si="29"/>
        <v>521</v>
      </c>
      <c r="M198" s="323">
        <v>2</v>
      </c>
      <c r="N198" s="319">
        <f t="shared" si="30"/>
        <v>1.4273972602739726</v>
      </c>
      <c r="O198" s="319">
        <f t="shared" si="24"/>
        <v>0.57260273972602738</v>
      </c>
      <c r="P198" s="739">
        <f t="shared" si="27"/>
        <v>0.47499999999999998</v>
      </c>
      <c r="Q198" s="362">
        <f t="shared" si="28"/>
        <v>280536.42499999999</v>
      </c>
      <c r="R198" s="319">
        <f t="shared" si="31"/>
        <v>191703.26143835619</v>
      </c>
      <c r="S198" s="319">
        <f t="shared" si="25"/>
        <v>2953</v>
      </c>
      <c r="T198" s="326"/>
    </row>
    <row r="199" spans="2:20" ht="15.75">
      <c r="B199" s="317">
        <f t="shared" si="26"/>
        <v>192</v>
      </c>
      <c r="C199" s="82" t="s">
        <v>819</v>
      </c>
      <c r="D199" s="85" t="s">
        <v>29</v>
      </c>
      <c r="E199" s="732">
        <v>202954</v>
      </c>
      <c r="F199" s="733"/>
      <c r="G199" s="732"/>
      <c r="H199" s="321">
        <f t="shared" si="23"/>
        <v>202954</v>
      </c>
      <c r="I199" s="23">
        <v>44865</v>
      </c>
      <c r="J199" s="728">
        <v>39881.851095890408</v>
      </c>
      <c r="K199" s="319">
        <f t="shared" si="22"/>
        <v>163072.14890410961</v>
      </c>
      <c r="L199" s="321">
        <f t="shared" si="29"/>
        <v>518</v>
      </c>
      <c r="M199" s="323">
        <v>2</v>
      </c>
      <c r="N199" s="319">
        <f t="shared" si="30"/>
        <v>1.4191780821917808</v>
      </c>
      <c r="O199" s="319">
        <f t="shared" si="24"/>
        <v>0.58082191780821923</v>
      </c>
      <c r="P199" s="739">
        <f t="shared" si="27"/>
        <v>0.47499999999999998</v>
      </c>
      <c r="Q199" s="362">
        <f t="shared" si="28"/>
        <v>96403.15</v>
      </c>
      <c r="R199" s="319">
        <f t="shared" si="31"/>
        <v>66668.998904109612</v>
      </c>
      <c r="S199" s="319">
        <f t="shared" si="25"/>
        <v>1015</v>
      </c>
      <c r="T199" s="326"/>
    </row>
    <row r="200" spans="2:20" ht="15.75">
      <c r="B200" s="317">
        <f t="shared" si="26"/>
        <v>193</v>
      </c>
      <c r="C200" s="82" t="s">
        <v>829</v>
      </c>
      <c r="D200" s="85" t="s">
        <v>29</v>
      </c>
      <c r="E200" s="732">
        <v>89639</v>
      </c>
      <c r="F200" s="733"/>
      <c r="G200" s="732"/>
      <c r="H200" s="321">
        <f t="shared" si="23"/>
        <v>89639</v>
      </c>
      <c r="I200" s="23">
        <v>44828</v>
      </c>
      <c r="J200" s="728">
        <v>21930.856712328768</v>
      </c>
      <c r="K200" s="319">
        <f t="shared" ref="K200:K225" si="32">+E200-J200</f>
        <v>67708.143287671235</v>
      </c>
      <c r="L200" s="321">
        <f t="shared" si="29"/>
        <v>555</v>
      </c>
      <c r="M200" s="323">
        <v>2</v>
      </c>
      <c r="N200" s="319">
        <f t="shared" si="30"/>
        <v>1.5205479452054795</v>
      </c>
      <c r="O200" s="319">
        <f t="shared" si="24"/>
        <v>0.47945205479452047</v>
      </c>
      <c r="P200" s="739">
        <f t="shared" si="27"/>
        <v>0.47499999999999998</v>
      </c>
      <c r="Q200" s="362">
        <f t="shared" si="28"/>
        <v>42578.525000000001</v>
      </c>
      <c r="R200" s="319">
        <f t="shared" si="31"/>
        <v>25129.618287671234</v>
      </c>
      <c r="S200" s="319">
        <f t="shared" si="25"/>
        <v>448</v>
      </c>
      <c r="T200" s="326"/>
    </row>
    <row r="201" spans="2:20" ht="15.75">
      <c r="B201" s="317">
        <f t="shared" si="26"/>
        <v>194</v>
      </c>
      <c r="C201" s="82" t="s">
        <v>819</v>
      </c>
      <c r="D201" s="85" t="s">
        <v>29</v>
      </c>
      <c r="E201" s="732">
        <v>216109</v>
      </c>
      <c r="F201" s="733"/>
      <c r="G201" s="732"/>
      <c r="H201" s="321">
        <f t="shared" ref="H201:H225" si="33">+E201+F201-G201</f>
        <v>216109</v>
      </c>
      <c r="I201" s="23">
        <v>44869</v>
      </c>
      <c r="J201" s="728">
        <v>41341.947739726027</v>
      </c>
      <c r="K201" s="319">
        <f t="shared" si="32"/>
        <v>174767.05226027398</v>
      </c>
      <c r="L201" s="321">
        <f t="shared" si="29"/>
        <v>514</v>
      </c>
      <c r="M201" s="323">
        <v>2</v>
      </c>
      <c r="N201" s="319">
        <f t="shared" si="30"/>
        <v>1.4082191780821918</v>
      </c>
      <c r="O201" s="319">
        <f t="shared" ref="O201:O225" si="34">+M201-N201</f>
        <v>0.59178082191780823</v>
      </c>
      <c r="P201" s="739">
        <f t="shared" si="27"/>
        <v>0.47499999999999998</v>
      </c>
      <c r="Q201" s="362">
        <f t="shared" si="28"/>
        <v>102651.77499999999</v>
      </c>
      <c r="R201" s="319">
        <f t="shared" si="31"/>
        <v>72115.277260273986</v>
      </c>
      <c r="S201" s="319">
        <f t="shared" ref="S201:S225" si="35">ROUND(+E201*0.5%,0)</f>
        <v>1081</v>
      </c>
      <c r="T201" s="326"/>
    </row>
    <row r="202" spans="2:20" ht="15.75">
      <c r="B202" s="317">
        <f t="shared" ref="B202:B225" si="36">+B201+1</f>
        <v>195</v>
      </c>
      <c r="C202" s="82" t="s">
        <v>475</v>
      </c>
      <c r="D202" s="85" t="s">
        <v>29</v>
      </c>
      <c r="E202" s="732">
        <v>270000</v>
      </c>
      <c r="F202" s="733"/>
      <c r="G202" s="732"/>
      <c r="H202" s="321">
        <f t="shared" si="33"/>
        <v>270000</v>
      </c>
      <c r="I202" s="23">
        <v>44876</v>
      </c>
      <c r="J202" s="728">
        <v>49191.780821917811</v>
      </c>
      <c r="K202" s="319">
        <f t="shared" si="32"/>
        <v>220808.21917808219</v>
      </c>
      <c r="L202" s="321">
        <f t="shared" si="29"/>
        <v>507</v>
      </c>
      <c r="M202" s="323">
        <v>2</v>
      </c>
      <c r="N202" s="319">
        <f t="shared" si="30"/>
        <v>1.3890410958904109</v>
      </c>
      <c r="O202" s="319">
        <f t="shared" si="34"/>
        <v>0.61095890410958908</v>
      </c>
      <c r="P202" s="739">
        <f t="shared" ref="P202:P225" si="37">1/M202*0.95</f>
        <v>0.47499999999999998</v>
      </c>
      <c r="Q202" s="362">
        <f t="shared" si="28"/>
        <v>128250</v>
      </c>
      <c r="R202" s="319">
        <f t="shared" si="31"/>
        <v>92558.219178082189</v>
      </c>
      <c r="S202" s="319">
        <f t="shared" si="35"/>
        <v>1350</v>
      </c>
      <c r="T202" s="326"/>
    </row>
    <row r="203" spans="2:20" ht="15.75">
      <c r="B203" s="317">
        <f t="shared" si="36"/>
        <v>196</v>
      </c>
      <c r="C203" s="82" t="s">
        <v>830</v>
      </c>
      <c r="D203" s="85" t="s">
        <v>29</v>
      </c>
      <c r="E203" s="732">
        <v>1439150</v>
      </c>
      <c r="F203" s="733"/>
      <c r="G203" s="732"/>
      <c r="H203" s="321">
        <f t="shared" si="33"/>
        <v>1439150</v>
      </c>
      <c r="I203" s="23">
        <v>44883</v>
      </c>
      <c r="J203" s="728">
        <v>249091.23630136985</v>
      </c>
      <c r="K203" s="319">
        <f t="shared" si="32"/>
        <v>1190058.76369863</v>
      </c>
      <c r="L203" s="321">
        <f t="shared" si="29"/>
        <v>500</v>
      </c>
      <c r="M203" s="323">
        <v>2</v>
      </c>
      <c r="N203" s="319">
        <f t="shared" si="30"/>
        <v>1.3698630136986301</v>
      </c>
      <c r="O203" s="319">
        <f t="shared" si="34"/>
        <v>0.63013698630136994</v>
      </c>
      <c r="P203" s="739">
        <f t="shared" si="37"/>
        <v>0.47499999999999998</v>
      </c>
      <c r="Q203" s="362">
        <f t="shared" si="28"/>
        <v>683596.25</v>
      </c>
      <c r="R203" s="319">
        <f t="shared" si="31"/>
        <v>506462.51369863003</v>
      </c>
      <c r="S203" s="319">
        <f t="shared" si="35"/>
        <v>7196</v>
      </c>
      <c r="T203" s="326"/>
    </row>
    <row r="204" spans="2:20" ht="15.75">
      <c r="B204" s="317">
        <f t="shared" si="36"/>
        <v>197</v>
      </c>
      <c r="C204" s="82" t="s">
        <v>831</v>
      </c>
      <c r="D204" s="85" t="s">
        <v>29</v>
      </c>
      <c r="E204" s="732">
        <v>437250</v>
      </c>
      <c r="F204" s="733"/>
      <c r="G204" s="732"/>
      <c r="H204" s="321">
        <f t="shared" si="33"/>
        <v>437250</v>
      </c>
      <c r="I204" s="23">
        <v>44888</v>
      </c>
      <c r="J204" s="728">
        <v>72835.068493150684</v>
      </c>
      <c r="K204" s="319">
        <f t="shared" si="32"/>
        <v>364414.9315068493</v>
      </c>
      <c r="L204" s="321">
        <f t="shared" si="29"/>
        <v>495</v>
      </c>
      <c r="M204" s="323">
        <v>2</v>
      </c>
      <c r="N204" s="319">
        <f t="shared" si="30"/>
        <v>1.3561643835616439</v>
      </c>
      <c r="O204" s="319">
        <f t="shared" si="34"/>
        <v>0.64383561643835607</v>
      </c>
      <c r="P204" s="739">
        <f t="shared" si="37"/>
        <v>0.47499999999999998</v>
      </c>
      <c r="Q204" s="362">
        <f t="shared" si="28"/>
        <v>207693.75</v>
      </c>
      <c r="R204" s="319">
        <f t="shared" si="31"/>
        <v>156721.1815068493</v>
      </c>
      <c r="S204" s="319">
        <f t="shared" si="35"/>
        <v>2186</v>
      </c>
      <c r="T204" s="326"/>
    </row>
    <row r="205" spans="2:20" ht="15.75">
      <c r="B205" s="317">
        <f t="shared" si="36"/>
        <v>198</v>
      </c>
      <c r="C205" s="82" t="s">
        <v>832</v>
      </c>
      <c r="D205" s="85" t="s">
        <v>29</v>
      </c>
      <c r="E205" s="732">
        <v>1071179</v>
      </c>
      <c r="F205" s="733"/>
      <c r="G205" s="732"/>
      <c r="H205" s="321">
        <f t="shared" si="33"/>
        <v>1071179</v>
      </c>
      <c r="I205" s="23">
        <v>44899</v>
      </c>
      <c r="J205" s="728">
        <v>163098.00801369862</v>
      </c>
      <c r="K205" s="319">
        <f t="shared" si="32"/>
        <v>908080.99198630138</v>
      </c>
      <c r="L205" s="321">
        <f t="shared" si="29"/>
        <v>484</v>
      </c>
      <c r="M205" s="323">
        <v>2</v>
      </c>
      <c r="N205" s="319">
        <f t="shared" si="30"/>
        <v>1.3260273972602741</v>
      </c>
      <c r="O205" s="319">
        <f t="shared" si="34"/>
        <v>0.67397260273972592</v>
      </c>
      <c r="P205" s="739">
        <f t="shared" si="37"/>
        <v>0.47499999999999998</v>
      </c>
      <c r="Q205" s="362">
        <f t="shared" si="28"/>
        <v>508810.02499999997</v>
      </c>
      <c r="R205" s="319">
        <f t="shared" si="31"/>
        <v>399270.96698630141</v>
      </c>
      <c r="S205" s="319">
        <f t="shared" si="35"/>
        <v>5356</v>
      </c>
      <c r="T205" s="326"/>
    </row>
    <row r="206" spans="2:20" ht="15.75">
      <c r="B206" s="317">
        <f t="shared" si="36"/>
        <v>199</v>
      </c>
      <c r="C206" s="82" t="s">
        <v>3633</v>
      </c>
      <c r="D206" s="85" t="s">
        <v>29</v>
      </c>
      <c r="E206" s="732">
        <v>1298322</v>
      </c>
      <c r="F206" s="733"/>
      <c r="G206" s="732"/>
      <c r="H206" s="321">
        <f t="shared" si="33"/>
        <v>1298322</v>
      </c>
      <c r="I206" s="23">
        <v>44985</v>
      </c>
      <c r="J206" s="728">
        <v>52377.510821917807</v>
      </c>
      <c r="K206" s="319">
        <f t="shared" si="32"/>
        <v>1245944.4891780822</v>
      </c>
      <c r="L206" s="321">
        <f t="shared" si="29"/>
        <v>398</v>
      </c>
      <c r="M206" s="323">
        <v>2</v>
      </c>
      <c r="N206" s="319">
        <f t="shared" si="30"/>
        <v>1.0904109589041096</v>
      </c>
      <c r="O206" s="319">
        <f t="shared" si="34"/>
        <v>0.90958904109589045</v>
      </c>
      <c r="P206" s="739">
        <f t="shared" si="37"/>
        <v>0.47499999999999998</v>
      </c>
      <c r="Q206" s="362">
        <f t="shared" si="28"/>
        <v>616702.94999999995</v>
      </c>
      <c r="R206" s="319">
        <f t="shared" si="31"/>
        <v>629241.53917808225</v>
      </c>
      <c r="S206" s="319">
        <f t="shared" si="35"/>
        <v>6492</v>
      </c>
      <c r="T206" s="326"/>
    </row>
    <row r="207" spans="2:20" ht="15.75">
      <c r="B207" s="317">
        <f t="shared" si="36"/>
        <v>200</v>
      </c>
      <c r="C207" s="82" t="s">
        <v>538</v>
      </c>
      <c r="D207" s="85" t="s">
        <v>74</v>
      </c>
      <c r="E207" s="732">
        <v>16546.599999999999</v>
      </c>
      <c r="F207" s="733"/>
      <c r="G207" s="732"/>
      <c r="H207" s="321">
        <f t="shared" si="33"/>
        <v>16546.599999999999</v>
      </c>
      <c r="I207" s="23">
        <v>44804</v>
      </c>
      <c r="J207" s="728">
        <v>4565.0482739726021</v>
      </c>
      <c r="K207" s="319">
        <f t="shared" si="32"/>
        <v>11981.551726027395</v>
      </c>
      <c r="L207" s="321">
        <f t="shared" si="29"/>
        <v>579</v>
      </c>
      <c r="M207" s="323">
        <v>2</v>
      </c>
      <c r="N207" s="319">
        <f t="shared" si="30"/>
        <v>1.5863013698630137</v>
      </c>
      <c r="O207" s="319">
        <f t="shared" si="34"/>
        <v>0.41369863013698627</v>
      </c>
      <c r="P207" s="739">
        <f t="shared" si="37"/>
        <v>0.47499999999999998</v>
      </c>
      <c r="Q207" s="362">
        <f t="shared" si="28"/>
        <v>7859.6349999999993</v>
      </c>
      <c r="R207" s="319">
        <f t="shared" si="31"/>
        <v>4121.9167260273962</v>
      </c>
      <c r="S207" s="319">
        <f t="shared" si="35"/>
        <v>83</v>
      </c>
      <c r="T207" s="326"/>
    </row>
    <row r="208" spans="2:20" ht="15.75">
      <c r="B208" s="317">
        <f t="shared" si="36"/>
        <v>201</v>
      </c>
      <c r="C208" s="82" t="s">
        <v>833</v>
      </c>
      <c r="D208" s="85" t="s">
        <v>74</v>
      </c>
      <c r="E208" s="732">
        <v>270000</v>
      </c>
      <c r="F208" s="733"/>
      <c r="G208" s="732"/>
      <c r="H208" s="321">
        <f t="shared" si="33"/>
        <v>270000</v>
      </c>
      <c r="I208" s="23">
        <v>44853</v>
      </c>
      <c r="J208" s="728">
        <v>57273.28767123288</v>
      </c>
      <c r="K208" s="319">
        <f t="shared" si="32"/>
        <v>212726.71232876711</v>
      </c>
      <c r="L208" s="321">
        <f t="shared" si="29"/>
        <v>530</v>
      </c>
      <c r="M208" s="323">
        <v>2</v>
      </c>
      <c r="N208" s="319">
        <f t="shared" si="30"/>
        <v>1.452054794520548</v>
      </c>
      <c r="O208" s="319">
        <f t="shared" si="34"/>
        <v>0.54794520547945202</v>
      </c>
      <c r="P208" s="739">
        <f t="shared" si="37"/>
        <v>0.47499999999999998</v>
      </c>
      <c r="Q208" s="362">
        <f t="shared" si="28"/>
        <v>128250</v>
      </c>
      <c r="R208" s="319">
        <f t="shared" si="31"/>
        <v>84476.712328767113</v>
      </c>
      <c r="S208" s="319">
        <f t="shared" si="35"/>
        <v>1350</v>
      </c>
      <c r="T208" s="326"/>
    </row>
    <row r="209" spans="2:20" ht="15.75">
      <c r="B209" s="317">
        <f t="shared" si="36"/>
        <v>202</v>
      </c>
      <c r="C209" s="82" t="s">
        <v>834</v>
      </c>
      <c r="D209" s="85" t="s">
        <v>74</v>
      </c>
      <c r="E209" s="732">
        <v>30084</v>
      </c>
      <c r="F209" s="733"/>
      <c r="G209" s="732"/>
      <c r="H209" s="321">
        <f t="shared" si="33"/>
        <v>30084</v>
      </c>
      <c r="I209" s="23">
        <v>44881</v>
      </c>
      <c r="J209" s="728">
        <v>5285.3054794520549</v>
      </c>
      <c r="K209" s="319">
        <f t="shared" si="32"/>
        <v>24798.694520547946</v>
      </c>
      <c r="L209" s="321">
        <f t="shared" si="29"/>
        <v>502</v>
      </c>
      <c r="M209" s="323">
        <v>2</v>
      </c>
      <c r="N209" s="319">
        <f t="shared" si="30"/>
        <v>1.3753424657534246</v>
      </c>
      <c r="O209" s="319">
        <f t="shared" si="34"/>
        <v>0.62465753424657544</v>
      </c>
      <c r="P209" s="739">
        <f t="shared" si="37"/>
        <v>0.47499999999999998</v>
      </c>
      <c r="Q209" s="362">
        <f t="shared" ref="Q209:Q225" si="38">+H209*P209</f>
        <v>14289.9</v>
      </c>
      <c r="R209" s="319">
        <f t="shared" si="31"/>
        <v>10508.794520547946</v>
      </c>
      <c r="S209" s="319">
        <f t="shared" si="35"/>
        <v>150</v>
      </c>
      <c r="T209" s="326"/>
    </row>
    <row r="210" spans="2:20" ht="15.75">
      <c r="B210" s="317">
        <f t="shared" si="36"/>
        <v>203</v>
      </c>
      <c r="C210" s="82" t="s">
        <v>835</v>
      </c>
      <c r="D210" s="85" t="s">
        <v>74</v>
      </c>
      <c r="E210" s="732">
        <v>21000</v>
      </c>
      <c r="F210" s="733"/>
      <c r="G210" s="732"/>
      <c r="H210" s="321">
        <f t="shared" si="33"/>
        <v>21000</v>
      </c>
      <c r="I210" s="23">
        <v>44885</v>
      </c>
      <c r="J210" s="728">
        <v>3580.0684931506848</v>
      </c>
      <c r="K210" s="319">
        <f t="shared" si="32"/>
        <v>17419.931506849316</v>
      </c>
      <c r="L210" s="321">
        <f t="shared" ref="L210:L225" si="39">+$L$3-I210+1</f>
        <v>498</v>
      </c>
      <c r="M210" s="323">
        <v>2</v>
      </c>
      <c r="N210" s="319">
        <f t="shared" ref="N210:N225" si="40">+L210/365</f>
        <v>1.3643835616438356</v>
      </c>
      <c r="O210" s="319">
        <f t="shared" si="34"/>
        <v>0.63561643835616444</v>
      </c>
      <c r="P210" s="739">
        <f t="shared" si="37"/>
        <v>0.47499999999999998</v>
      </c>
      <c r="Q210" s="362">
        <f t="shared" si="38"/>
        <v>9975</v>
      </c>
      <c r="R210" s="319">
        <f t="shared" si="31"/>
        <v>7444.9315068493161</v>
      </c>
      <c r="S210" s="319">
        <f t="shared" si="35"/>
        <v>105</v>
      </c>
      <c r="T210" s="326"/>
    </row>
    <row r="211" spans="2:20" ht="15.75">
      <c r="B211" s="317">
        <f t="shared" si="36"/>
        <v>204</v>
      </c>
      <c r="C211" s="82" t="s">
        <v>835</v>
      </c>
      <c r="D211" s="85" t="s">
        <v>74</v>
      </c>
      <c r="E211" s="732">
        <v>31419</v>
      </c>
      <c r="F211" s="733"/>
      <c r="G211" s="732"/>
      <c r="H211" s="321">
        <f t="shared" si="33"/>
        <v>31419</v>
      </c>
      <c r="I211" s="23">
        <v>44890</v>
      </c>
      <c r="J211" s="728">
        <v>5151.8552054794518</v>
      </c>
      <c r="K211" s="319">
        <f t="shared" si="32"/>
        <v>26267.144794520547</v>
      </c>
      <c r="L211" s="321">
        <f t="shared" si="39"/>
        <v>493</v>
      </c>
      <c r="M211" s="323">
        <v>2</v>
      </c>
      <c r="N211" s="319">
        <f t="shared" si="40"/>
        <v>1.3506849315068492</v>
      </c>
      <c r="O211" s="319">
        <f t="shared" si="34"/>
        <v>0.64931506849315079</v>
      </c>
      <c r="P211" s="739">
        <f t="shared" si="37"/>
        <v>0.47499999999999998</v>
      </c>
      <c r="Q211" s="362">
        <f t="shared" si="38"/>
        <v>14924.025</v>
      </c>
      <c r="R211" s="319">
        <f t="shared" ref="R211:R224" si="41">+K211-Q211</f>
        <v>11343.119794520548</v>
      </c>
      <c r="S211" s="319">
        <f t="shared" si="35"/>
        <v>157</v>
      </c>
      <c r="T211" s="326"/>
    </row>
    <row r="212" spans="2:20" ht="15.75">
      <c r="B212" s="317">
        <f t="shared" si="36"/>
        <v>205</v>
      </c>
      <c r="C212" s="82" t="s">
        <v>475</v>
      </c>
      <c r="D212" s="85" t="s">
        <v>74</v>
      </c>
      <c r="E212" s="732">
        <v>570000</v>
      </c>
      <c r="F212" s="733"/>
      <c r="G212" s="732"/>
      <c r="H212" s="321">
        <f t="shared" si="33"/>
        <v>570000</v>
      </c>
      <c r="I212" s="23">
        <v>44896</v>
      </c>
      <c r="J212" s="728">
        <v>89013.698630136991</v>
      </c>
      <c r="K212" s="319">
        <f t="shared" si="32"/>
        <v>480986.30136986298</v>
      </c>
      <c r="L212" s="321">
        <f t="shared" si="39"/>
        <v>487</v>
      </c>
      <c r="M212" s="323">
        <v>2</v>
      </c>
      <c r="N212" s="319">
        <f t="shared" si="40"/>
        <v>1.3342465753424657</v>
      </c>
      <c r="O212" s="319">
        <f t="shared" si="34"/>
        <v>0.66575342465753429</v>
      </c>
      <c r="P212" s="739">
        <f t="shared" si="37"/>
        <v>0.47499999999999998</v>
      </c>
      <c r="Q212" s="362">
        <f t="shared" si="38"/>
        <v>270750</v>
      </c>
      <c r="R212" s="319">
        <f t="shared" si="41"/>
        <v>210236.30136986298</v>
      </c>
      <c r="S212" s="319">
        <f t="shared" si="35"/>
        <v>2850</v>
      </c>
      <c r="T212" s="326"/>
    </row>
    <row r="213" spans="2:20" ht="15.75">
      <c r="B213" s="317">
        <f t="shared" si="36"/>
        <v>206</v>
      </c>
      <c r="C213" s="82" t="s">
        <v>475</v>
      </c>
      <c r="D213" s="85" t="s">
        <v>74</v>
      </c>
      <c r="E213" s="732">
        <v>485000</v>
      </c>
      <c r="F213" s="733"/>
      <c r="G213" s="732"/>
      <c r="H213" s="321">
        <f t="shared" si="33"/>
        <v>485000</v>
      </c>
      <c r="I213" s="23">
        <v>44896</v>
      </c>
      <c r="J213" s="728">
        <v>75739.726027397264</v>
      </c>
      <c r="K213" s="319">
        <f t="shared" si="32"/>
        <v>409260.27397260274</v>
      </c>
      <c r="L213" s="321">
        <f t="shared" si="39"/>
        <v>487</v>
      </c>
      <c r="M213" s="323">
        <v>2</v>
      </c>
      <c r="N213" s="319">
        <f t="shared" si="40"/>
        <v>1.3342465753424657</v>
      </c>
      <c r="O213" s="319">
        <f t="shared" si="34"/>
        <v>0.66575342465753429</v>
      </c>
      <c r="P213" s="739">
        <f t="shared" si="37"/>
        <v>0.47499999999999998</v>
      </c>
      <c r="Q213" s="362">
        <f t="shared" si="38"/>
        <v>230375</v>
      </c>
      <c r="R213" s="319">
        <f t="shared" si="41"/>
        <v>178885.27397260274</v>
      </c>
      <c r="S213" s="319">
        <f t="shared" si="35"/>
        <v>2425</v>
      </c>
      <c r="T213" s="326"/>
    </row>
    <row r="214" spans="2:20" ht="15.75">
      <c r="B214" s="317">
        <f t="shared" si="36"/>
        <v>207</v>
      </c>
      <c r="C214" s="82" t="s">
        <v>475</v>
      </c>
      <c r="D214" s="85" t="s">
        <v>74</v>
      </c>
      <c r="E214" s="732">
        <v>800000</v>
      </c>
      <c r="F214" s="733"/>
      <c r="G214" s="732"/>
      <c r="H214" s="321">
        <f t="shared" si="33"/>
        <v>800000</v>
      </c>
      <c r="I214" s="23">
        <v>44896</v>
      </c>
      <c r="J214" s="728">
        <v>124931.50684931508</v>
      </c>
      <c r="K214" s="319">
        <f t="shared" si="32"/>
        <v>675068.49315068498</v>
      </c>
      <c r="L214" s="321">
        <f t="shared" si="39"/>
        <v>487</v>
      </c>
      <c r="M214" s="323">
        <v>2</v>
      </c>
      <c r="N214" s="319">
        <f t="shared" si="40"/>
        <v>1.3342465753424657</v>
      </c>
      <c r="O214" s="319">
        <f t="shared" si="34"/>
        <v>0.66575342465753429</v>
      </c>
      <c r="P214" s="739">
        <f t="shared" si="37"/>
        <v>0.47499999999999998</v>
      </c>
      <c r="Q214" s="362">
        <f t="shared" si="38"/>
        <v>380000</v>
      </c>
      <c r="R214" s="319">
        <f t="shared" si="41"/>
        <v>295068.49315068498</v>
      </c>
      <c r="S214" s="319">
        <f t="shared" si="35"/>
        <v>4000</v>
      </c>
      <c r="T214" s="326"/>
    </row>
    <row r="215" spans="2:20" ht="15.75">
      <c r="B215" s="317">
        <f t="shared" si="36"/>
        <v>208</v>
      </c>
      <c r="C215" s="82" t="s">
        <v>835</v>
      </c>
      <c r="D215" s="85" t="s">
        <v>74</v>
      </c>
      <c r="E215" s="732">
        <v>30720</v>
      </c>
      <c r="F215" s="733"/>
      <c r="G215" s="732"/>
      <c r="H215" s="321">
        <f t="shared" si="33"/>
        <v>30720</v>
      </c>
      <c r="I215" s="23">
        <v>44899</v>
      </c>
      <c r="J215" s="728">
        <v>4677.4356164383562</v>
      </c>
      <c r="K215" s="319">
        <f t="shared" si="32"/>
        <v>26042.564383561643</v>
      </c>
      <c r="L215" s="321">
        <f t="shared" si="39"/>
        <v>484</v>
      </c>
      <c r="M215" s="323">
        <v>2</v>
      </c>
      <c r="N215" s="319">
        <f t="shared" si="40"/>
        <v>1.3260273972602741</v>
      </c>
      <c r="O215" s="319">
        <f t="shared" si="34"/>
        <v>0.67397260273972592</v>
      </c>
      <c r="P215" s="739">
        <f t="shared" si="37"/>
        <v>0.47499999999999998</v>
      </c>
      <c r="Q215" s="362">
        <f t="shared" si="38"/>
        <v>14592</v>
      </c>
      <c r="R215" s="319">
        <f t="shared" si="41"/>
        <v>11450.564383561643</v>
      </c>
      <c r="S215" s="319">
        <f t="shared" si="35"/>
        <v>154</v>
      </c>
      <c r="T215" s="326"/>
    </row>
    <row r="216" spans="2:20" ht="15.75">
      <c r="B216" s="317">
        <f t="shared" si="36"/>
        <v>209</v>
      </c>
      <c r="C216" s="82" t="s">
        <v>475</v>
      </c>
      <c r="D216" s="85" t="s">
        <v>74</v>
      </c>
      <c r="E216" s="732">
        <v>80000</v>
      </c>
      <c r="F216" s="733"/>
      <c r="G216" s="732"/>
      <c r="H216" s="321">
        <f t="shared" si="33"/>
        <v>80000</v>
      </c>
      <c r="I216" s="23">
        <v>44920</v>
      </c>
      <c r="J216" s="728">
        <v>9994.5205479452052</v>
      </c>
      <c r="K216" s="319">
        <f t="shared" si="32"/>
        <v>70005.479452054802</v>
      </c>
      <c r="L216" s="321">
        <f t="shared" si="39"/>
        <v>463</v>
      </c>
      <c r="M216" s="323">
        <v>2</v>
      </c>
      <c r="N216" s="319">
        <f t="shared" si="40"/>
        <v>1.2684931506849315</v>
      </c>
      <c r="O216" s="319">
        <f t="shared" si="34"/>
        <v>0.73150684931506849</v>
      </c>
      <c r="P216" s="739">
        <f t="shared" si="37"/>
        <v>0.47499999999999998</v>
      </c>
      <c r="Q216" s="362">
        <f t="shared" si="38"/>
        <v>38000</v>
      </c>
      <c r="R216" s="319">
        <f t="shared" si="41"/>
        <v>32005.479452054802</v>
      </c>
      <c r="S216" s="319">
        <f t="shared" si="35"/>
        <v>400</v>
      </c>
      <c r="T216" s="326"/>
    </row>
    <row r="217" spans="2:20" ht="15.75">
      <c r="B217" s="317">
        <f t="shared" si="36"/>
        <v>210</v>
      </c>
      <c r="C217" s="82" t="s">
        <v>499</v>
      </c>
      <c r="D217" s="26" t="s">
        <v>28</v>
      </c>
      <c r="E217" s="732">
        <v>188516.94</v>
      </c>
      <c r="F217" s="733"/>
      <c r="G217" s="732"/>
      <c r="H217" s="321">
        <f t="shared" si="33"/>
        <v>188516.94</v>
      </c>
      <c r="I217" s="23">
        <v>44834</v>
      </c>
      <c r="J217" s="728">
        <v>44650.108117808217</v>
      </c>
      <c r="K217" s="319">
        <f t="shared" si="32"/>
        <v>143866.83188219179</v>
      </c>
      <c r="L217" s="321">
        <f t="shared" si="39"/>
        <v>549</v>
      </c>
      <c r="M217" s="323">
        <v>2</v>
      </c>
      <c r="N217" s="319">
        <f t="shared" si="40"/>
        <v>1.5041095890410958</v>
      </c>
      <c r="O217" s="319">
        <f t="shared" si="34"/>
        <v>0.49589041095890418</v>
      </c>
      <c r="P217" s="739">
        <f t="shared" si="37"/>
        <v>0.47499999999999998</v>
      </c>
      <c r="Q217" s="362">
        <f t="shared" si="38"/>
        <v>89545.546499999997</v>
      </c>
      <c r="R217" s="319">
        <f t="shared" si="41"/>
        <v>54321.285382191796</v>
      </c>
      <c r="S217" s="319">
        <f t="shared" si="35"/>
        <v>943</v>
      </c>
      <c r="T217" s="326"/>
    </row>
    <row r="218" spans="2:20" ht="15.75">
      <c r="B218" s="317">
        <f t="shared" si="36"/>
        <v>211</v>
      </c>
      <c r="C218" s="14" t="s">
        <v>227</v>
      </c>
      <c r="D218" s="26" t="s">
        <v>28</v>
      </c>
      <c r="E218" s="732">
        <v>132029</v>
      </c>
      <c r="F218" s="733"/>
      <c r="G218" s="732"/>
      <c r="H218" s="321">
        <f t="shared" si="33"/>
        <v>132029</v>
      </c>
      <c r="I218" s="23">
        <v>44658</v>
      </c>
      <c r="J218" s="728">
        <v>61511.045068493149</v>
      </c>
      <c r="K218" s="319">
        <f t="shared" si="32"/>
        <v>70517.954931506858</v>
      </c>
      <c r="L218" s="321">
        <f t="shared" si="39"/>
        <v>725</v>
      </c>
      <c r="M218" s="323">
        <v>2</v>
      </c>
      <c r="N218" s="319">
        <f t="shared" si="40"/>
        <v>1.9863013698630136</v>
      </c>
      <c r="O218" s="319">
        <f t="shared" si="34"/>
        <v>1.3698630136986356E-2</v>
      </c>
      <c r="P218" s="739">
        <f t="shared" si="37"/>
        <v>0.47499999999999998</v>
      </c>
      <c r="Q218" s="362">
        <f t="shared" si="38"/>
        <v>62713.774999999994</v>
      </c>
      <c r="R218" s="319">
        <f t="shared" si="41"/>
        <v>7804.1799315068638</v>
      </c>
      <c r="S218" s="319">
        <f t="shared" si="35"/>
        <v>660</v>
      </c>
      <c r="T218" s="326"/>
    </row>
    <row r="219" spans="2:20" ht="15.75">
      <c r="B219" s="317">
        <f t="shared" si="36"/>
        <v>212</v>
      </c>
      <c r="C219" s="14" t="s">
        <v>231</v>
      </c>
      <c r="D219" s="26" t="s">
        <v>28</v>
      </c>
      <c r="E219" s="732">
        <v>132190</v>
      </c>
      <c r="F219" s="733"/>
      <c r="G219" s="732"/>
      <c r="H219" s="321">
        <f t="shared" si="33"/>
        <v>132190</v>
      </c>
      <c r="I219" s="23">
        <v>44672</v>
      </c>
      <c r="J219" s="728">
        <v>59177.6602739726</v>
      </c>
      <c r="K219" s="319">
        <f t="shared" si="32"/>
        <v>73012.339726027392</v>
      </c>
      <c r="L219" s="321">
        <f t="shared" si="39"/>
        <v>711</v>
      </c>
      <c r="M219" s="323">
        <v>2</v>
      </c>
      <c r="N219" s="319">
        <f t="shared" si="40"/>
        <v>1.9479452054794522</v>
      </c>
      <c r="O219" s="319">
        <f t="shared" si="34"/>
        <v>5.2054794520547842E-2</v>
      </c>
      <c r="P219" s="739">
        <f t="shared" si="37"/>
        <v>0.47499999999999998</v>
      </c>
      <c r="Q219" s="362">
        <f t="shared" si="38"/>
        <v>62790.25</v>
      </c>
      <c r="R219" s="319">
        <f t="shared" si="41"/>
        <v>10222.089726027392</v>
      </c>
      <c r="S219" s="319">
        <f t="shared" si="35"/>
        <v>661</v>
      </c>
      <c r="T219" s="326"/>
    </row>
    <row r="220" spans="2:20" ht="15.75">
      <c r="B220" s="317">
        <f t="shared" si="36"/>
        <v>213</v>
      </c>
      <c r="C220" s="14" t="s">
        <v>223</v>
      </c>
      <c r="D220" s="26" t="s">
        <v>28</v>
      </c>
      <c r="E220" s="732">
        <v>36000</v>
      </c>
      <c r="F220" s="733"/>
      <c r="G220" s="732"/>
      <c r="H220" s="321">
        <f t="shared" si="33"/>
        <v>36000</v>
      </c>
      <c r="I220" s="23">
        <v>44672</v>
      </c>
      <c r="J220" s="728">
        <v>16116.164383561643</v>
      </c>
      <c r="K220" s="319">
        <f t="shared" si="32"/>
        <v>19883.835616438359</v>
      </c>
      <c r="L220" s="321">
        <f t="shared" si="39"/>
        <v>711</v>
      </c>
      <c r="M220" s="323">
        <v>2</v>
      </c>
      <c r="N220" s="319">
        <f t="shared" si="40"/>
        <v>1.9479452054794522</v>
      </c>
      <c r="O220" s="319">
        <f t="shared" si="34"/>
        <v>5.2054794520547842E-2</v>
      </c>
      <c r="P220" s="739">
        <f t="shared" si="37"/>
        <v>0.47499999999999998</v>
      </c>
      <c r="Q220" s="362">
        <f t="shared" si="38"/>
        <v>17100</v>
      </c>
      <c r="R220" s="319">
        <f t="shared" si="41"/>
        <v>2783.8356164383586</v>
      </c>
      <c r="S220" s="319">
        <f t="shared" si="35"/>
        <v>180</v>
      </c>
      <c r="T220" s="326"/>
    </row>
    <row r="221" spans="2:20" ht="15.75">
      <c r="B221" s="317">
        <f t="shared" si="36"/>
        <v>214</v>
      </c>
      <c r="C221" s="82" t="s">
        <v>475</v>
      </c>
      <c r="D221" s="82" t="s">
        <v>21</v>
      </c>
      <c r="E221" s="732">
        <v>585000</v>
      </c>
      <c r="F221" s="733"/>
      <c r="G221" s="732"/>
      <c r="H221" s="321">
        <f t="shared" si="33"/>
        <v>585000</v>
      </c>
      <c r="I221" s="23">
        <v>44775</v>
      </c>
      <c r="J221" s="728">
        <v>183473.63013698629</v>
      </c>
      <c r="K221" s="319">
        <f t="shared" si="32"/>
        <v>401526.36986301374</v>
      </c>
      <c r="L221" s="321">
        <f t="shared" si="39"/>
        <v>608</v>
      </c>
      <c r="M221" s="323">
        <v>2</v>
      </c>
      <c r="N221" s="319">
        <f t="shared" si="40"/>
        <v>1.6657534246575343</v>
      </c>
      <c r="O221" s="319">
        <f t="shared" si="34"/>
        <v>0.33424657534246571</v>
      </c>
      <c r="P221" s="739">
        <f t="shared" si="37"/>
        <v>0.47499999999999998</v>
      </c>
      <c r="Q221" s="362">
        <f t="shared" si="38"/>
        <v>277875</v>
      </c>
      <c r="R221" s="319">
        <f t="shared" si="41"/>
        <v>123651.36986301374</v>
      </c>
      <c r="S221" s="319">
        <f t="shared" si="35"/>
        <v>2925</v>
      </c>
      <c r="T221" s="326"/>
    </row>
    <row r="222" spans="2:20" ht="15.75">
      <c r="B222" s="317">
        <f t="shared" si="36"/>
        <v>215</v>
      </c>
      <c r="C222" s="82" t="s">
        <v>475</v>
      </c>
      <c r="D222" s="82" t="s">
        <v>21</v>
      </c>
      <c r="E222" s="732">
        <v>605000</v>
      </c>
      <c r="F222" s="733"/>
      <c r="G222" s="732"/>
      <c r="H222" s="321">
        <f t="shared" si="33"/>
        <v>605000</v>
      </c>
      <c r="I222" s="23">
        <v>44775</v>
      </c>
      <c r="J222" s="728">
        <v>189746.23287671234</v>
      </c>
      <c r="K222" s="319">
        <f t="shared" si="32"/>
        <v>415253.76712328766</v>
      </c>
      <c r="L222" s="321">
        <f t="shared" si="39"/>
        <v>608</v>
      </c>
      <c r="M222" s="323">
        <v>2</v>
      </c>
      <c r="N222" s="319">
        <f t="shared" si="40"/>
        <v>1.6657534246575343</v>
      </c>
      <c r="O222" s="319">
        <f t="shared" si="34"/>
        <v>0.33424657534246571</v>
      </c>
      <c r="P222" s="739">
        <f t="shared" si="37"/>
        <v>0.47499999999999998</v>
      </c>
      <c r="Q222" s="362">
        <f t="shared" si="38"/>
        <v>287375</v>
      </c>
      <c r="R222" s="319">
        <f t="shared" si="41"/>
        <v>127878.76712328766</v>
      </c>
      <c r="S222" s="319">
        <f t="shared" si="35"/>
        <v>3025</v>
      </c>
      <c r="T222" s="326"/>
    </row>
    <row r="223" spans="2:20" ht="15.75">
      <c r="B223" s="317">
        <f t="shared" si="36"/>
        <v>216</v>
      </c>
      <c r="C223" s="82" t="s">
        <v>475</v>
      </c>
      <c r="D223" s="82" t="s">
        <v>21</v>
      </c>
      <c r="E223" s="732">
        <v>92000</v>
      </c>
      <c r="F223" s="733"/>
      <c r="G223" s="732"/>
      <c r="H223" s="321">
        <f t="shared" si="33"/>
        <v>92000</v>
      </c>
      <c r="I223" s="23">
        <v>44775</v>
      </c>
      <c r="J223" s="728">
        <v>28853.972602739726</v>
      </c>
      <c r="K223" s="319">
        <f t="shared" si="32"/>
        <v>63146.027397260274</v>
      </c>
      <c r="L223" s="321">
        <f t="shared" si="39"/>
        <v>608</v>
      </c>
      <c r="M223" s="323">
        <v>2</v>
      </c>
      <c r="N223" s="319">
        <f t="shared" si="40"/>
        <v>1.6657534246575343</v>
      </c>
      <c r="O223" s="319">
        <f t="shared" si="34"/>
        <v>0.33424657534246571</v>
      </c>
      <c r="P223" s="739">
        <f t="shared" si="37"/>
        <v>0.47499999999999998</v>
      </c>
      <c r="Q223" s="362">
        <f t="shared" si="38"/>
        <v>43700</v>
      </c>
      <c r="R223" s="319">
        <f t="shared" si="41"/>
        <v>19446.027397260274</v>
      </c>
      <c r="S223" s="319">
        <f t="shared" si="35"/>
        <v>460</v>
      </c>
      <c r="T223" s="326"/>
    </row>
    <row r="224" spans="2:20" ht="15.75">
      <c r="B224" s="317">
        <f t="shared" si="36"/>
        <v>217</v>
      </c>
      <c r="C224" s="82" t="s">
        <v>480</v>
      </c>
      <c r="D224" s="82" t="s">
        <v>21</v>
      </c>
      <c r="E224" s="732">
        <v>42677.86</v>
      </c>
      <c r="F224" s="733"/>
      <c r="G224" s="732"/>
      <c r="H224" s="321">
        <f t="shared" si="33"/>
        <v>42677.86</v>
      </c>
      <c r="I224" s="23">
        <v>44795</v>
      </c>
      <c r="J224" s="728">
        <v>12274.269461643833</v>
      </c>
      <c r="K224" s="319">
        <f t="shared" si="32"/>
        <v>30403.590538356169</v>
      </c>
      <c r="L224" s="321">
        <f t="shared" si="39"/>
        <v>588</v>
      </c>
      <c r="M224" s="323">
        <v>2</v>
      </c>
      <c r="N224" s="319">
        <f t="shared" si="40"/>
        <v>1.6109589041095891</v>
      </c>
      <c r="O224" s="319">
        <f t="shared" si="34"/>
        <v>0.38904109589041092</v>
      </c>
      <c r="P224" s="739">
        <f t="shared" si="37"/>
        <v>0.47499999999999998</v>
      </c>
      <c r="Q224" s="362">
        <f t="shared" si="38"/>
        <v>20271.983499999998</v>
      </c>
      <c r="R224" s="319">
        <f t="shared" si="41"/>
        <v>10131.607038356171</v>
      </c>
      <c r="S224" s="319">
        <f t="shared" si="35"/>
        <v>213</v>
      </c>
      <c r="T224" s="326"/>
    </row>
    <row r="225" spans="2:20" ht="15.75">
      <c r="B225" s="317">
        <f t="shared" si="36"/>
        <v>218</v>
      </c>
      <c r="C225" s="82" t="s">
        <v>535</v>
      </c>
      <c r="D225" s="85" t="s">
        <v>21</v>
      </c>
      <c r="E225" s="732">
        <f>51975+1000</f>
        <v>52975</v>
      </c>
      <c r="F225" s="733"/>
      <c r="G225" s="732"/>
      <c r="H225" s="321">
        <f t="shared" si="33"/>
        <v>52975</v>
      </c>
      <c r="I225" s="23">
        <v>44836</v>
      </c>
      <c r="J225" s="728">
        <v>12174.965753424658</v>
      </c>
      <c r="K225" s="319">
        <f t="shared" si="32"/>
        <v>40800.034246575342</v>
      </c>
      <c r="L225" s="321">
        <f t="shared" si="39"/>
        <v>547</v>
      </c>
      <c r="M225" s="323">
        <v>2</v>
      </c>
      <c r="N225" s="319">
        <f t="shared" si="40"/>
        <v>1.4986301369863013</v>
      </c>
      <c r="O225" s="319">
        <f t="shared" si="34"/>
        <v>0.50136986301369868</v>
      </c>
      <c r="P225" s="739">
        <f t="shared" si="37"/>
        <v>0.47499999999999998</v>
      </c>
      <c r="Q225" s="362">
        <f t="shared" si="38"/>
        <v>25163.125</v>
      </c>
      <c r="R225" s="319">
        <f>+K225-Q225</f>
        <v>15636.909246575342</v>
      </c>
      <c r="S225" s="319">
        <f t="shared" si="35"/>
        <v>265</v>
      </c>
      <c r="T225" s="326"/>
    </row>
    <row r="226" spans="2:20" ht="16.149999999999999" thickBot="1">
      <c r="B226" s="317" t="s">
        <v>24</v>
      </c>
      <c r="C226" s="328"/>
      <c r="D226" s="328"/>
      <c r="E226" s="329">
        <f>SUM(E8:E225)</f>
        <v>93033892.061864391</v>
      </c>
      <c r="F226" s="329">
        <f t="shared" ref="F226:H226" si="42">SUM(F8:F225)</f>
        <v>0</v>
      </c>
      <c r="G226" s="329">
        <f t="shared" si="42"/>
        <v>0</v>
      </c>
      <c r="H226" s="329">
        <f t="shared" si="42"/>
        <v>93033892.061864391</v>
      </c>
      <c r="I226" s="330"/>
      <c r="J226" s="329">
        <f t="shared" ref="J226" si="43">SUM(J8:J225)</f>
        <v>53872317.602869593</v>
      </c>
      <c r="K226" s="329">
        <f t="shared" ref="K226" si="44">SUM(K8:K225)</f>
        <v>39161574.458994813</v>
      </c>
      <c r="L226" s="331"/>
      <c r="M226" s="332"/>
      <c r="N226" s="332"/>
      <c r="O226" s="332"/>
      <c r="P226" s="329">
        <f t="shared" ref="P226" si="45">SUM(P8:P225)</f>
        <v>102.12499999999967</v>
      </c>
      <c r="Q226" s="329">
        <f t="shared" ref="Q226" si="46">SUM(Q8:Q225)</f>
        <v>26672285.243298933</v>
      </c>
      <c r="R226" s="329">
        <f t="shared" ref="R226" si="47">SUM(R8:R225)</f>
        <v>12489289.215695845</v>
      </c>
      <c r="S226" s="329">
        <f t="shared" ref="S226" si="48">SUM(S8:S225)</f>
        <v>465178</v>
      </c>
    </row>
    <row r="227" spans="2:20" ht="16.149999999999999" thickTop="1">
      <c r="B227" s="317" t="s">
        <v>24</v>
      </c>
      <c r="J227" s="335" t="s">
        <v>24</v>
      </c>
    </row>
  </sheetData>
  <mergeCells count="19">
    <mergeCell ref="L4:L7"/>
    <mergeCell ref="M4:M7"/>
    <mergeCell ref="N4:N7"/>
    <mergeCell ref="B4:B7"/>
    <mergeCell ref="C4:C7"/>
    <mergeCell ref="D4:D7"/>
    <mergeCell ref="E4:E7"/>
    <mergeCell ref="F4:G4"/>
    <mergeCell ref="H4:H7"/>
    <mergeCell ref="F5:F7"/>
    <mergeCell ref="G5:G7"/>
    <mergeCell ref="I4:I7"/>
    <mergeCell ref="J4:J7"/>
    <mergeCell ref="K4:K7"/>
    <mergeCell ref="O4:O7"/>
    <mergeCell ref="P4:P7"/>
    <mergeCell ref="Q4:Q7"/>
    <mergeCell ref="R4:R7"/>
    <mergeCell ref="S4:S7"/>
  </mergeCells>
  <pageMargins left="0.7" right="0.7" top="0.75" bottom="0.75" header="0.3" footer="0.3"/>
  <pageSetup scale="3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972"/>
  <sheetViews>
    <sheetView topLeftCell="F1823" zoomScale="145" zoomScaleNormal="145" workbookViewId="0">
      <selection activeCell="F1832" sqref="F1832"/>
    </sheetView>
  </sheetViews>
  <sheetFormatPr defaultColWidth="10" defaultRowHeight="12.75"/>
  <cols>
    <col min="1" max="1" width="5.6640625" style="313" customWidth="1"/>
    <col min="2" max="2" width="19.86328125" style="313" customWidth="1"/>
    <col min="3" max="3" width="28.53125" style="313" bestFit="1" customWidth="1"/>
    <col min="4" max="4" width="10.46484375" style="313" customWidth="1"/>
    <col min="5" max="5" width="30.46484375" style="313" customWidth="1"/>
    <col min="6" max="6" width="30.33203125" style="313" bestFit="1" customWidth="1"/>
    <col min="7" max="7" width="13.46484375" style="313" customWidth="1"/>
    <col min="8" max="8" width="13.1328125" style="313" customWidth="1"/>
    <col min="9" max="9" width="11.33203125" style="313" customWidth="1"/>
    <col min="10" max="10" width="12.33203125" style="313" customWidth="1"/>
    <col min="11" max="11" width="13" style="333" customWidth="1"/>
    <col min="12" max="12" width="11.6640625" style="313" customWidth="1"/>
    <col min="13" max="13" width="11.1328125" style="334" customWidth="1"/>
    <col min="14" max="14" width="17.1328125" style="313" bestFit="1" customWidth="1"/>
    <col min="15" max="15" width="0.1328125" style="313" hidden="1" customWidth="1"/>
    <col min="16" max="16" width="15.33203125" style="313" hidden="1" customWidth="1"/>
    <col min="17" max="17" width="14.1328125" style="313" hidden="1" customWidth="1"/>
    <col min="18" max="18" width="17.53125" style="313" hidden="1" customWidth="1"/>
    <col min="19" max="19" width="14.6640625" style="313" bestFit="1" customWidth="1"/>
    <col min="20" max="20" width="7.46484375" style="313" customWidth="1"/>
    <col min="21" max="21" width="10.6640625" style="313" customWidth="1"/>
    <col min="22" max="22" width="12.6640625" style="313" customWidth="1"/>
    <col min="23" max="23" width="11.33203125" style="313" bestFit="1" customWidth="1"/>
    <col min="24" max="16384" width="10" style="313"/>
  </cols>
  <sheetData>
    <row r="1" spans="1:24" ht="15" thickBot="1">
      <c r="A1" s="338" t="s">
        <v>1338</v>
      </c>
      <c r="B1" s="339"/>
      <c r="C1" s="340"/>
      <c r="D1" s="340"/>
      <c r="E1" s="340"/>
      <c r="F1" s="340"/>
      <c r="G1" s="340"/>
      <c r="H1" s="340"/>
      <c r="I1" s="341"/>
      <c r="J1" s="340"/>
      <c r="K1" s="340"/>
      <c r="L1" s="342"/>
      <c r="M1" s="340"/>
      <c r="N1" s="340"/>
      <c r="O1" s="343"/>
      <c r="P1" s="340"/>
      <c r="Q1" s="340"/>
      <c r="R1" s="340"/>
      <c r="S1" s="340"/>
      <c r="T1" s="340"/>
      <c r="U1" s="340"/>
      <c r="V1" s="340"/>
      <c r="W1" s="340"/>
    </row>
    <row r="2" spans="1:24" ht="14.65">
      <c r="A2" s="344" t="s">
        <v>1366</v>
      </c>
      <c r="B2" s="345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</row>
    <row r="3" spans="1:24" ht="15" thickBot="1">
      <c r="A3" s="347" t="str">
        <f>+Buildings!B3</f>
        <v>CALCULATION OF DEPRECIATION FOR THE YEAR  ENDED  31-03-2024</v>
      </c>
      <c r="B3" s="347"/>
      <c r="C3" s="347"/>
      <c r="D3" s="347"/>
      <c r="E3" s="347"/>
      <c r="F3" s="347"/>
      <c r="G3" s="347"/>
      <c r="H3" s="347" t="s">
        <v>24</v>
      </c>
      <c r="I3" s="347"/>
      <c r="J3" s="347"/>
      <c r="K3" s="347"/>
      <c r="L3" s="347"/>
      <c r="M3" s="346"/>
      <c r="N3" s="346"/>
      <c r="O3" s="348">
        <v>45382</v>
      </c>
      <c r="P3" s="346"/>
      <c r="Q3" s="346"/>
      <c r="R3" s="346"/>
      <c r="S3" s="346"/>
      <c r="T3" s="346"/>
      <c r="U3" s="346"/>
      <c r="V3" s="346"/>
      <c r="W3" s="346"/>
    </row>
    <row r="4" spans="1:24" ht="13.15" thickTop="1">
      <c r="A4" s="1133" t="s">
        <v>1289</v>
      </c>
      <c r="B4" s="1133" t="s">
        <v>1290</v>
      </c>
      <c r="C4" s="1135" t="s">
        <v>1352</v>
      </c>
      <c r="D4" s="1121" t="s">
        <v>1367</v>
      </c>
      <c r="E4" s="1121" t="s">
        <v>1368</v>
      </c>
      <c r="F4" s="1131" t="s">
        <v>1369</v>
      </c>
      <c r="G4" s="1127" t="s">
        <v>1370</v>
      </c>
      <c r="H4" s="1122" t="s">
        <v>3662</v>
      </c>
      <c r="I4" s="1129" t="s">
        <v>1353</v>
      </c>
      <c r="J4" s="1130"/>
      <c r="K4" s="1125" t="s">
        <v>3661</v>
      </c>
      <c r="L4" s="1125" t="s">
        <v>1371</v>
      </c>
      <c r="M4" s="1125" t="s">
        <v>3660</v>
      </c>
      <c r="N4" s="1120" t="s">
        <v>3654</v>
      </c>
      <c r="O4" s="1123" t="s">
        <v>1355</v>
      </c>
      <c r="P4" s="1110" t="s">
        <v>1356</v>
      </c>
      <c r="Q4" s="1110" t="s">
        <v>1357</v>
      </c>
      <c r="R4" s="1110" t="s">
        <v>1358</v>
      </c>
      <c r="S4" s="1105" t="s">
        <v>1372</v>
      </c>
      <c r="T4" s="1105" t="s">
        <v>1373</v>
      </c>
      <c r="U4" s="1107" t="s">
        <v>3655</v>
      </c>
      <c r="V4" s="1110" t="s">
        <v>3656</v>
      </c>
      <c r="W4" s="1113" t="s">
        <v>1374</v>
      </c>
    </row>
    <row r="5" spans="1:24" ht="16.25" customHeight="1">
      <c r="A5" s="1133"/>
      <c r="B5" s="1133"/>
      <c r="C5" s="1135"/>
      <c r="D5" s="1121"/>
      <c r="E5" s="1121"/>
      <c r="F5" s="1131"/>
      <c r="G5" s="1127"/>
      <c r="H5" s="1126"/>
      <c r="I5" s="1116" t="s">
        <v>891</v>
      </c>
      <c r="J5" s="1118" t="s">
        <v>892</v>
      </c>
      <c r="K5" s="1126"/>
      <c r="L5" s="1126"/>
      <c r="M5" s="1126"/>
      <c r="N5" s="1121"/>
      <c r="O5" s="1124"/>
      <c r="P5" s="1111"/>
      <c r="Q5" s="1111"/>
      <c r="R5" s="1111"/>
      <c r="S5" s="1106"/>
      <c r="T5" s="1106"/>
      <c r="U5" s="1108"/>
      <c r="V5" s="1111"/>
      <c r="W5" s="1114"/>
    </row>
    <row r="6" spans="1:24" ht="16.25" customHeight="1">
      <c r="A6" s="1133"/>
      <c r="B6" s="1133"/>
      <c r="C6" s="1135"/>
      <c r="D6" s="1121"/>
      <c r="E6" s="1121"/>
      <c r="F6" s="1131"/>
      <c r="G6" s="1127"/>
      <c r="H6" s="1126"/>
      <c r="I6" s="1117"/>
      <c r="J6" s="1119"/>
      <c r="K6" s="1126"/>
      <c r="L6" s="1126"/>
      <c r="M6" s="1126"/>
      <c r="N6" s="1121"/>
      <c r="O6" s="1124"/>
      <c r="P6" s="1111"/>
      <c r="Q6" s="1111"/>
      <c r="R6" s="1111"/>
      <c r="S6" s="1106"/>
      <c r="T6" s="1106"/>
      <c r="U6" s="1108"/>
      <c r="V6" s="1111"/>
      <c r="W6" s="1114"/>
    </row>
    <row r="7" spans="1:24" ht="10.25" customHeight="1">
      <c r="A7" s="1134"/>
      <c r="B7" s="1134"/>
      <c r="C7" s="1118"/>
      <c r="D7" s="1122"/>
      <c r="E7" s="1122"/>
      <c r="F7" s="1132"/>
      <c r="G7" s="1128"/>
      <c r="H7" s="1126"/>
      <c r="I7" s="1117"/>
      <c r="J7" s="1119"/>
      <c r="K7" s="1126"/>
      <c r="L7" s="1126"/>
      <c r="M7" s="1126"/>
      <c r="N7" s="1122"/>
      <c r="O7" s="1124"/>
      <c r="P7" s="1112"/>
      <c r="Q7" s="1112"/>
      <c r="R7" s="1112"/>
      <c r="S7" s="1106"/>
      <c r="T7" s="1106"/>
      <c r="U7" s="1109"/>
      <c r="V7" s="1112"/>
      <c r="W7" s="1115"/>
    </row>
    <row r="8" spans="1:24" ht="10.25" customHeight="1">
      <c r="A8" s="812"/>
      <c r="B8" s="812"/>
      <c r="C8" s="805"/>
      <c r="D8" s="807"/>
      <c r="E8" s="807"/>
      <c r="F8" s="811"/>
      <c r="G8" s="810"/>
      <c r="H8" s="809"/>
      <c r="I8" s="804"/>
      <c r="J8" s="806"/>
      <c r="K8" s="809"/>
      <c r="L8" s="809"/>
      <c r="M8" s="814"/>
      <c r="N8" s="807"/>
      <c r="O8" s="808"/>
      <c r="P8" s="803"/>
      <c r="Q8" s="803"/>
      <c r="R8" s="803"/>
      <c r="S8" s="801"/>
      <c r="T8" s="801"/>
      <c r="U8" s="802"/>
      <c r="V8" s="803"/>
      <c r="W8" s="815"/>
    </row>
    <row r="9" spans="1:24" ht="13.9">
      <c r="A9" s="349">
        <v>1</v>
      </c>
      <c r="B9" s="350" t="s">
        <v>1375</v>
      </c>
      <c r="C9" s="350"/>
      <c r="D9" s="350" t="s">
        <v>1376</v>
      </c>
      <c r="E9" s="350" t="s">
        <v>1377</v>
      </c>
      <c r="F9" s="350" t="s">
        <v>1378</v>
      </c>
      <c r="G9" s="351"/>
      <c r="H9" s="352">
        <v>930241.2</v>
      </c>
      <c r="I9" s="353" t="s">
        <v>1379</v>
      </c>
      <c r="J9" s="353" t="s">
        <v>1379</v>
      </c>
      <c r="K9" s="354">
        <f t="shared" ref="K9:K72" si="0">+H9+I9-J9</f>
        <v>930241.2</v>
      </c>
      <c r="L9" s="355" t="s">
        <v>1380</v>
      </c>
      <c r="M9" s="742">
        <v>883729</v>
      </c>
      <c r="N9" s="352">
        <f>+K9-M9</f>
        <v>46512.199999999953</v>
      </c>
      <c r="O9" s="357">
        <f t="shared" ref="O9:O72" si="1">+$O$3-L9+1</f>
        <v>6078</v>
      </c>
      <c r="P9" s="357">
        <v>9</v>
      </c>
      <c r="Q9" s="358">
        <v>9</v>
      </c>
      <c r="R9" s="359">
        <f t="shared" ref="R9:R72" si="2">+P9-Q9</f>
        <v>0</v>
      </c>
      <c r="S9" s="360">
        <f t="shared" ref="S9:S72" si="3">IF(R9&lt;0,0,IF(R9&gt;365,365,R9))</f>
        <v>0</v>
      </c>
      <c r="T9" s="361">
        <f t="shared" ref="T9:T72" si="4">1/P9*0.95</f>
        <v>0.10555555555555554</v>
      </c>
      <c r="U9" s="362">
        <v>0</v>
      </c>
      <c r="V9" s="362">
        <f>+N9-U9</f>
        <v>46512.199999999953</v>
      </c>
      <c r="W9" s="362">
        <f t="shared" ref="W9:W72" si="5">ROUND(+H9*5%,0)</f>
        <v>46512</v>
      </c>
      <c r="X9" s="742">
        <f>+V9-W9</f>
        <v>0.19999999995343387</v>
      </c>
    </row>
    <row r="10" spans="1:24" ht="13.9">
      <c r="A10" s="349">
        <f t="shared" ref="A10:A73" si="6">+A9+1</f>
        <v>2</v>
      </c>
      <c r="B10" s="350" t="s">
        <v>1375</v>
      </c>
      <c r="C10" s="350"/>
      <c r="D10" s="350" t="s">
        <v>1376</v>
      </c>
      <c r="E10" s="350" t="s">
        <v>1377</v>
      </c>
      <c r="F10" s="350" t="s">
        <v>1381</v>
      </c>
      <c r="G10" s="351"/>
      <c r="H10" s="352">
        <v>930241.2</v>
      </c>
      <c r="I10" s="353" t="s">
        <v>1379</v>
      </c>
      <c r="J10" s="353" t="s">
        <v>1379</v>
      </c>
      <c r="K10" s="354">
        <f t="shared" si="0"/>
        <v>930241.2</v>
      </c>
      <c r="L10" s="363">
        <v>39499</v>
      </c>
      <c r="M10" s="742">
        <v>883729</v>
      </c>
      <c r="N10" s="352">
        <f>+K10-M10</f>
        <v>46512.199999999953</v>
      </c>
      <c r="O10" s="357">
        <f t="shared" si="1"/>
        <v>5884</v>
      </c>
      <c r="P10" s="357">
        <v>9</v>
      </c>
      <c r="Q10" s="358">
        <v>9</v>
      </c>
      <c r="R10" s="359">
        <f t="shared" si="2"/>
        <v>0</v>
      </c>
      <c r="S10" s="360">
        <f t="shared" si="3"/>
        <v>0</v>
      </c>
      <c r="T10" s="361">
        <f t="shared" si="4"/>
        <v>0.10555555555555554</v>
      </c>
      <c r="U10" s="362">
        <v>0</v>
      </c>
      <c r="V10" s="362">
        <f t="shared" ref="V10:V73" si="7">+N10-U10</f>
        <v>46512.199999999953</v>
      </c>
      <c r="W10" s="362">
        <f t="shared" si="5"/>
        <v>46512</v>
      </c>
      <c r="X10" s="742">
        <f t="shared" ref="X10:X73" si="8">+V10-W10</f>
        <v>0.19999999995343387</v>
      </c>
    </row>
    <row r="11" spans="1:24" ht="13.9">
      <c r="A11" s="349">
        <f t="shared" si="6"/>
        <v>3</v>
      </c>
      <c r="B11" s="350" t="s">
        <v>1375</v>
      </c>
      <c r="C11" s="350"/>
      <c r="D11" s="350" t="s">
        <v>1376</v>
      </c>
      <c r="E11" s="350" t="s">
        <v>1377</v>
      </c>
      <c r="F11" s="350" t="s">
        <v>1382</v>
      </c>
      <c r="G11" s="351"/>
      <c r="H11" s="352">
        <v>930241.2</v>
      </c>
      <c r="I11" s="353" t="s">
        <v>1379</v>
      </c>
      <c r="J11" s="353" t="s">
        <v>1379</v>
      </c>
      <c r="K11" s="354">
        <f t="shared" si="0"/>
        <v>930241.2</v>
      </c>
      <c r="L11" s="363">
        <v>39499</v>
      </c>
      <c r="M11" s="742">
        <v>883729</v>
      </c>
      <c r="N11" s="352">
        <f t="shared" ref="N11:N74" si="9">+K11-M11</f>
        <v>46512.199999999953</v>
      </c>
      <c r="O11" s="357">
        <f t="shared" si="1"/>
        <v>5884</v>
      </c>
      <c r="P11" s="357">
        <v>9</v>
      </c>
      <c r="Q11" s="358">
        <v>9</v>
      </c>
      <c r="R11" s="359">
        <f t="shared" si="2"/>
        <v>0</v>
      </c>
      <c r="S11" s="360">
        <f t="shared" si="3"/>
        <v>0</v>
      </c>
      <c r="T11" s="361">
        <f t="shared" si="4"/>
        <v>0.10555555555555554</v>
      </c>
      <c r="U11" s="362">
        <v>0</v>
      </c>
      <c r="V11" s="362">
        <f t="shared" si="7"/>
        <v>46512.199999999953</v>
      </c>
      <c r="W11" s="362">
        <f t="shared" si="5"/>
        <v>46512</v>
      </c>
      <c r="X11" s="742">
        <f t="shared" si="8"/>
        <v>0.19999999995343387</v>
      </c>
    </row>
    <row r="12" spans="1:24" s="364" customFormat="1" ht="13.9">
      <c r="A12" s="349">
        <f t="shared" si="6"/>
        <v>4</v>
      </c>
      <c r="B12" s="350" t="s">
        <v>307</v>
      </c>
      <c r="C12" s="350"/>
      <c r="D12" s="350" t="s">
        <v>1376</v>
      </c>
      <c r="E12" s="350" t="s">
        <v>1383</v>
      </c>
      <c r="F12" s="350" t="s">
        <v>1384</v>
      </c>
      <c r="G12" s="351"/>
      <c r="H12" s="352">
        <v>1147603</v>
      </c>
      <c r="I12" s="353" t="s">
        <v>1379</v>
      </c>
      <c r="J12" s="353" t="s">
        <v>1379</v>
      </c>
      <c r="K12" s="354">
        <f t="shared" si="0"/>
        <v>1147603</v>
      </c>
      <c r="L12" s="363">
        <v>39444</v>
      </c>
      <c r="M12" s="742">
        <v>1090223</v>
      </c>
      <c r="N12" s="352">
        <f t="shared" si="9"/>
        <v>57380</v>
      </c>
      <c r="O12" s="357">
        <f t="shared" si="1"/>
        <v>5939</v>
      </c>
      <c r="P12" s="357">
        <v>9</v>
      </c>
      <c r="Q12" s="358">
        <v>9</v>
      </c>
      <c r="R12" s="359">
        <f t="shared" si="2"/>
        <v>0</v>
      </c>
      <c r="S12" s="360">
        <f t="shared" si="3"/>
        <v>0</v>
      </c>
      <c r="T12" s="361">
        <f t="shared" si="4"/>
        <v>0.10555555555555554</v>
      </c>
      <c r="U12" s="362">
        <v>0</v>
      </c>
      <c r="V12" s="362">
        <f t="shared" si="7"/>
        <v>57380</v>
      </c>
      <c r="W12" s="362">
        <f t="shared" si="5"/>
        <v>57380</v>
      </c>
      <c r="X12" s="742">
        <f t="shared" si="8"/>
        <v>0</v>
      </c>
    </row>
    <row r="13" spans="1:24" ht="13.9">
      <c r="A13" s="349">
        <f t="shared" si="6"/>
        <v>5</v>
      </c>
      <c r="B13" s="350" t="s">
        <v>307</v>
      </c>
      <c r="C13" s="350"/>
      <c r="D13" s="350" t="s">
        <v>1376</v>
      </c>
      <c r="E13" s="350" t="s">
        <v>1383</v>
      </c>
      <c r="F13" s="350" t="s">
        <v>1385</v>
      </c>
      <c r="G13" s="351"/>
      <c r="H13" s="352">
        <v>1147603</v>
      </c>
      <c r="I13" s="353" t="s">
        <v>1379</v>
      </c>
      <c r="J13" s="353" t="s">
        <v>1379</v>
      </c>
      <c r="K13" s="354">
        <f t="shared" si="0"/>
        <v>1147603</v>
      </c>
      <c r="L13" s="363">
        <v>39444</v>
      </c>
      <c r="M13" s="742">
        <v>1090223</v>
      </c>
      <c r="N13" s="352">
        <f t="shared" si="9"/>
        <v>57380</v>
      </c>
      <c r="O13" s="357">
        <f t="shared" si="1"/>
        <v>5939</v>
      </c>
      <c r="P13" s="357">
        <v>9</v>
      </c>
      <c r="Q13" s="358">
        <v>9</v>
      </c>
      <c r="R13" s="359">
        <f t="shared" si="2"/>
        <v>0</v>
      </c>
      <c r="S13" s="360">
        <f t="shared" si="3"/>
        <v>0</v>
      </c>
      <c r="T13" s="361">
        <f t="shared" si="4"/>
        <v>0.10555555555555554</v>
      </c>
      <c r="U13" s="362">
        <v>0</v>
      </c>
      <c r="V13" s="362">
        <f t="shared" si="7"/>
        <v>57380</v>
      </c>
      <c r="W13" s="362">
        <f t="shared" si="5"/>
        <v>57380</v>
      </c>
      <c r="X13" s="742">
        <f t="shared" si="8"/>
        <v>0</v>
      </c>
    </row>
    <row r="14" spans="1:24" ht="13.9">
      <c r="A14" s="349">
        <f t="shared" si="6"/>
        <v>6</v>
      </c>
      <c r="B14" s="350" t="s">
        <v>307</v>
      </c>
      <c r="C14" s="350"/>
      <c r="D14" s="350" t="s">
        <v>1376</v>
      </c>
      <c r="E14" s="350" t="s">
        <v>1383</v>
      </c>
      <c r="F14" s="350" t="s">
        <v>1386</v>
      </c>
      <c r="G14" s="351"/>
      <c r="H14" s="352">
        <v>1147603</v>
      </c>
      <c r="I14" s="353" t="s">
        <v>1379</v>
      </c>
      <c r="J14" s="353" t="s">
        <v>1379</v>
      </c>
      <c r="K14" s="354">
        <f t="shared" si="0"/>
        <v>1147603</v>
      </c>
      <c r="L14" s="363">
        <v>39447</v>
      </c>
      <c r="M14" s="742">
        <v>1090223</v>
      </c>
      <c r="N14" s="352">
        <f t="shared" si="9"/>
        <v>57380</v>
      </c>
      <c r="O14" s="357">
        <f t="shared" si="1"/>
        <v>5936</v>
      </c>
      <c r="P14" s="357">
        <v>9</v>
      </c>
      <c r="Q14" s="358">
        <v>9</v>
      </c>
      <c r="R14" s="359">
        <f t="shared" si="2"/>
        <v>0</v>
      </c>
      <c r="S14" s="360">
        <f t="shared" si="3"/>
        <v>0</v>
      </c>
      <c r="T14" s="361">
        <f t="shared" si="4"/>
        <v>0.10555555555555554</v>
      </c>
      <c r="U14" s="362">
        <v>0</v>
      </c>
      <c r="V14" s="362">
        <f t="shared" si="7"/>
        <v>57380</v>
      </c>
      <c r="W14" s="362">
        <f t="shared" si="5"/>
        <v>57380</v>
      </c>
      <c r="X14" s="742">
        <f t="shared" si="8"/>
        <v>0</v>
      </c>
    </row>
    <row r="15" spans="1:24" ht="13.9">
      <c r="A15" s="349">
        <f t="shared" si="6"/>
        <v>7</v>
      </c>
      <c r="B15" s="350" t="s">
        <v>307</v>
      </c>
      <c r="C15" s="350"/>
      <c r="D15" s="350" t="s">
        <v>1376</v>
      </c>
      <c r="E15" s="350" t="s">
        <v>1383</v>
      </c>
      <c r="F15" s="350" t="s">
        <v>1387</v>
      </c>
      <c r="G15" s="351"/>
      <c r="H15" s="352">
        <v>1230535.8</v>
      </c>
      <c r="I15" s="353" t="s">
        <v>1379</v>
      </c>
      <c r="J15" s="353" t="s">
        <v>1379</v>
      </c>
      <c r="K15" s="354">
        <f t="shared" si="0"/>
        <v>1230535.8</v>
      </c>
      <c r="L15" s="363">
        <v>39507</v>
      </c>
      <c r="M15" s="742">
        <v>1169009</v>
      </c>
      <c r="N15" s="352">
        <f t="shared" si="9"/>
        <v>61526.800000000047</v>
      </c>
      <c r="O15" s="357">
        <f t="shared" si="1"/>
        <v>5876</v>
      </c>
      <c r="P15" s="357">
        <v>9</v>
      </c>
      <c r="Q15" s="358">
        <v>9</v>
      </c>
      <c r="R15" s="359">
        <f t="shared" si="2"/>
        <v>0</v>
      </c>
      <c r="S15" s="360">
        <f t="shared" si="3"/>
        <v>0</v>
      </c>
      <c r="T15" s="361">
        <f t="shared" si="4"/>
        <v>0.10555555555555554</v>
      </c>
      <c r="U15" s="362">
        <v>0</v>
      </c>
      <c r="V15" s="362">
        <f t="shared" si="7"/>
        <v>61526.800000000047</v>
      </c>
      <c r="W15" s="362">
        <f t="shared" si="5"/>
        <v>61527</v>
      </c>
      <c r="X15" s="742">
        <f t="shared" si="8"/>
        <v>-0.19999999995343387</v>
      </c>
    </row>
    <row r="16" spans="1:24" ht="13.9">
      <c r="A16" s="349">
        <f t="shared" si="6"/>
        <v>8</v>
      </c>
      <c r="B16" s="350" t="s">
        <v>307</v>
      </c>
      <c r="C16" s="350"/>
      <c r="D16" s="350" t="s">
        <v>1376</v>
      </c>
      <c r="E16" s="350" t="s">
        <v>1383</v>
      </c>
      <c r="F16" s="350" t="s">
        <v>1388</v>
      </c>
      <c r="G16" s="351"/>
      <c r="H16" s="352">
        <v>1230535.8</v>
      </c>
      <c r="I16" s="353" t="s">
        <v>1379</v>
      </c>
      <c r="J16" s="353" t="s">
        <v>1379</v>
      </c>
      <c r="K16" s="354">
        <f t="shared" si="0"/>
        <v>1230535.8</v>
      </c>
      <c r="L16" s="363">
        <v>39533</v>
      </c>
      <c r="M16" s="742">
        <v>1169009</v>
      </c>
      <c r="N16" s="352">
        <f t="shared" si="9"/>
        <v>61526.800000000047</v>
      </c>
      <c r="O16" s="357">
        <f t="shared" si="1"/>
        <v>5850</v>
      </c>
      <c r="P16" s="357">
        <v>9</v>
      </c>
      <c r="Q16" s="358">
        <v>9</v>
      </c>
      <c r="R16" s="359">
        <f t="shared" si="2"/>
        <v>0</v>
      </c>
      <c r="S16" s="360">
        <f t="shared" si="3"/>
        <v>0</v>
      </c>
      <c r="T16" s="361">
        <f t="shared" si="4"/>
        <v>0.10555555555555554</v>
      </c>
      <c r="U16" s="362">
        <v>0</v>
      </c>
      <c r="V16" s="362">
        <f t="shared" si="7"/>
        <v>61526.800000000047</v>
      </c>
      <c r="W16" s="362">
        <f t="shared" si="5"/>
        <v>61527</v>
      </c>
      <c r="X16" s="742">
        <f t="shared" si="8"/>
        <v>-0.19999999995343387</v>
      </c>
    </row>
    <row r="17" spans="1:24" ht="13.9">
      <c r="A17" s="349">
        <f t="shared" si="6"/>
        <v>9</v>
      </c>
      <c r="B17" s="350" t="s">
        <v>307</v>
      </c>
      <c r="C17" s="350"/>
      <c r="D17" s="350" t="s">
        <v>1376</v>
      </c>
      <c r="E17" s="350" t="s">
        <v>1383</v>
      </c>
      <c r="F17" s="350" t="s">
        <v>1389</v>
      </c>
      <c r="G17" s="351"/>
      <c r="H17" s="352">
        <v>1230535.8</v>
      </c>
      <c r="I17" s="353" t="s">
        <v>1379</v>
      </c>
      <c r="J17" s="353" t="s">
        <v>1379</v>
      </c>
      <c r="K17" s="354">
        <f t="shared" si="0"/>
        <v>1230535.8</v>
      </c>
      <c r="L17" s="363">
        <v>39533</v>
      </c>
      <c r="M17" s="742">
        <v>1169009</v>
      </c>
      <c r="N17" s="352">
        <f t="shared" si="9"/>
        <v>61526.800000000047</v>
      </c>
      <c r="O17" s="357">
        <f t="shared" si="1"/>
        <v>5850</v>
      </c>
      <c r="P17" s="357">
        <v>9</v>
      </c>
      <c r="Q17" s="358">
        <v>9</v>
      </c>
      <c r="R17" s="359">
        <f t="shared" si="2"/>
        <v>0</v>
      </c>
      <c r="S17" s="360">
        <f t="shared" si="3"/>
        <v>0</v>
      </c>
      <c r="T17" s="361">
        <f t="shared" si="4"/>
        <v>0.10555555555555554</v>
      </c>
      <c r="U17" s="362">
        <v>0</v>
      </c>
      <c r="V17" s="362">
        <f t="shared" si="7"/>
        <v>61526.800000000047</v>
      </c>
      <c r="W17" s="362">
        <f t="shared" si="5"/>
        <v>61527</v>
      </c>
      <c r="X17" s="742">
        <f t="shared" si="8"/>
        <v>-0.19999999995343387</v>
      </c>
    </row>
    <row r="18" spans="1:24" ht="13.9">
      <c r="A18" s="349">
        <f t="shared" si="6"/>
        <v>10</v>
      </c>
      <c r="B18" s="350" t="s">
        <v>307</v>
      </c>
      <c r="C18" s="350"/>
      <c r="D18" s="350" t="s">
        <v>1376</v>
      </c>
      <c r="E18" s="350" t="s">
        <v>1383</v>
      </c>
      <c r="F18" s="350" t="s">
        <v>1390</v>
      </c>
      <c r="G18" s="351"/>
      <c r="H18" s="352">
        <v>1266672.8</v>
      </c>
      <c r="I18" s="353" t="s">
        <v>1379</v>
      </c>
      <c r="J18" s="353" t="s">
        <v>1379</v>
      </c>
      <c r="K18" s="354">
        <f t="shared" si="0"/>
        <v>1266672.8</v>
      </c>
      <c r="L18" s="363">
        <v>39442</v>
      </c>
      <c r="M18" s="742">
        <v>1203339</v>
      </c>
      <c r="N18" s="352">
        <f t="shared" si="9"/>
        <v>63333.800000000047</v>
      </c>
      <c r="O18" s="357">
        <f t="shared" si="1"/>
        <v>5941</v>
      </c>
      <c r="P18" s="357">
        <v>9</v>
      </c>
      <c r="Q18" s="358">
        <v>9</v>
      </c>
      <c r="R18" s="359">
        <f t="shared" si="2"/>
        <v>0</v>
      </c>
      <c r="S18" s="360">
        <f t="shared" si="3"/>
        <v>0</v>
      </c>
      <c r="T18" s="361">
        <f t="shared" si="4"/>
        <v>0.10555555555555554</v>
      </c>
      <c r="U18" s="362">
        <v>0</v>
      </c>
      <c r="V18" s="362">
        <f t="shared" si="7"/>
        <v>63333.800000000047</v>
      </c>
      <c r="W18" s="362">
        <f t="shared" si="5"/>
        <v>63334</v>
      </c>
      <c r="X18" s="742">
        <f t="shared" si="8"/>
        <v>-0.19999999995343387</v>
      </c>
    </row>
    <row r="19" spans="1:24" ht="13.9">
      <c r="A19" s="349">
        <f t="shared" si="6"/>
        <v>11</v>
      </c>
      <c r="B19" s="350" t="s">
        <v>1391</v>
      </c>
      <c r="C19" s="350"/>
      <c r="D19" s="350" t="s">
        <v>1376</v>
      </c>
      <c r="E19" s="350" t="s">
        <v>1392</v>
      </c>
      <c r="F19" s="350" t="s">
        <v>1393</v>
      </c>
      <c r="G19" s="351" t="s">
        <v>1394</v>
      </c>
      <c r="H19" s="352">
        <v>156754</v>
      </c>
      <c r="I19" s="353" t="s">
        <v>1379</v>
      </c>
      <c r="J19" s="353" t="s">
        <v>1379</v>
      </c>
      <c r="K19" s="354">
        <f t="shared" si="0"/>
        <v>156754</v>
      </c>
      <c r="L19" s="363">
        <v>39287</v>
      </c>
      <c r="M19" s="742">
        <v>148916</v>
      </c>
      <c r="N19" s="352">
        <f t="shared" si="9"/>
        <v>7838</v>
      </c>
      <c r="O19" s="357">
        <f t="shared" si="1"/>
        <v>6096</v>
      </c>
      <c r="P19" s="357">
        <v>9</v>
      </c>
      <c r="Q19" s="358">
        <v>9</v>
      </c>
      <c r="R19" s="359">
        <f t="shared" si="2"/>
        <v>0</v>
      </c>
      <c r="S19" s="360">
        <f t="shared" si="3"/>
        <v>0</v>
      </c>
      <c r="T19" s="361">
        <f t="shared" si="4"/>
        <v>0.10555555555555554</v>
      </c>
      <c r="U19" s="362">
        <v>0</v>
      </c>
      <c r="V19" s="362">
        <f t="shared" si="7"/>
        <v>7838</v>
      </c>
      <c r="W19" s="362">
        <f t="shared" si="5"/>
        <v>7838</v>
      </c>
      <c r="X19" s="742">
        <f t="shared" si="8"/>
        <v>0</v>
      </c>
    </row>
    <row r="20" spans="1:24" ht="13.9">
      <c r="A20" s="349">
        <f t="shared" si="6"/>
        <v>12</v>
      </c>
      <c r="B20" s="350" t="s">
        <v>1391</v>
      </c>
      <c r="C20" s="350"/>
      <c r="D20" s="350" t="s">
        <v>1376</v>
      </c>
      <c r="E20" s="350" t="s">
        <v>169</v>
      </c>
      <c r="F20" s="350" t="s">
        <v>1395</v>
      </c>
      <c r="G20" s="351"/>
      <c r="H20" s="352">
        <f>36377+36377</f>
        <v>72754</v>
      </c>
      <c r="I20" s="353" t="s">
        <v>1379</v>
      </c>
      <c r="J20" s="353" t="s">
        <v>1379</v>
      </c>
      <c r="K20" s="354">
        <f t="shared" si="0"/>
        <v>72754</v>
      </c>
      <c r="L20" s="363">
        <v>39472</v>
      </c>
      <c r="M20" s="742">
        <v>69117</v>
      </c>
      <c r="N20" s="352">
        <f t="shared" si="9"/>
        <v>3637</v>
      </c>
      <c r="O20" s="357">
        <f t="shared" si="1"/>
        <v>5911</v>
      </c>
      <c r="P20" s="357">
        <v>9</v>
      </c>
      <c r="Q20" s="358">
        <v>9</v>
      </c>
      <c r="R20" s="359">
        <f t="shared" si="2"/>
        <v>0</v>
      </c>
      <c r="S20" s="360">
        <f t="shared" si="3"/>
        <v>0</v>
      </c>
      <c r="T20" s="361">
        <f t="shared" si="4"/>
        <v>0.10555555555555554</v>
      </c>
      <c r="U20" s="362">
        <v>0</v>
      </c>
      <c r="V20" s="362">
        <f t="shared" si="7"/>
        <v>3637</v>
      </c>
      <c r="W20" s="362">
        <f t="shared" si="5"/>
        <v>3638</v>
      </c>
      <c r="X20" s="742">
        <f t="shared" si="8"/>
        <v>-1</v>
      </c>
    </row>
    <row r="21" spans="1:24" ht="13.9">
      <c r="A21" s="349">
        <f t="shared" si="6"/>
        <v>13</v>
      </c>
      <c r="B21" s="350" t="s">
        <v>935</v>
      </c>
      <c r="C21" s="350"/>
      <c r="D21" s="350" t="s">
        <v>1396</v>
      </c>
      <c r="E21" s="350" t="s">
        <v>1397</v>
      </c>
      <c r="F21" s="350"/>
      <c r="G21" s="351"/>
      <c r="H21" s="352">
        <v>29608</v>
      </c>
      <c r="I21" s="353" t="s">
        <v>1379</v>
      </c>
      <c r="J21" s="353" t="s">
        <v>1379</v>
      </c>
      <c r="K21" s="354">
        <f t="shared" si="0"/>
        <v>29608</v>
      </c>
      <c r="L21" s="363">
        <v>38832</v>
      </c>
      <c r="M21" s="742">
        <v>28128</v>
      </c>
      <c r="N21" s="352">
        <f t="shared" si="9"/>
        <v>1480</v>
      </c>
      <c r="O21" s="357">
        <f t="shared" si="1"/>
        <v>6551</v>
      </c>
      <c r="P21" s="357">
        <v>9</v>
      </c>
      <c r="Q21" s="358">
        <v>9</v>
      </c>
      <c r="R21" s="359">
        <f t="shared" si="2"/>
        <v>0</v>
      </c>
      <c r="S21" s="360">
        <f t="shared" si="3"/>
        <v>0</v>
      </c>
      <c r="T21" s="361">
        <f t="shared" si="4"/>
        <v>0.10555555555555554</v>
      </c>
      <c r="U21" s="362">
        <v>0</v>
      </c>
      <c r="V21" s="362">
        <f t="shared" si="7"/>
        <v>1480</v>
      </c>
      <c r="W21" s="362">
        <f t="shared" si="5"/>
        <v>1480</v>
      </c>
      <c r="X21" s="742">
        <f t="shared" si="8"/>
        <v>0</v>
      </c>
    </row>
    <row r="22" spans="1:24" ht="13.9">
      <c r="A22" s="349">
        <f t="shared" si="6"/>
        <v>14</v>
      </c>
      <c r="B22" s="350" t="s">
        <v>935</v>
      </c>
      <c r="C22" s="350"/>
      <c r="D22" s="350" t="s">
        <v>1396</v>
      </c>
      <c r="E22" s="350" t="s">
        <v>1398</v>
      </c>
      <c r="F22" s="350" t="s">
        <v>1399</v>
      </c>
      <c r="G22" s="351"/>
      <c r="H22" s="352">
        <v>243594.8</v>
      </c>
      <c r="I22" s="353" t="s">
        <v>1379</v>
      </c>
      <c r="J22" s="353" t="s">
        <v>1379</v>
      </c>
      <c r="K22" s="354">
        <f t="shared" si="0"/>
        <v>243594.8</v>
      </c>
      <c r="L22" s="363">
        <v>38834</v>
      </c>
      <c r="M22" s="742">
        <v>231415</v>
      </c>
      <c r="N22" s="352">
        <f t="shared" si="9"/>
        <v>12179.799999999988</v>
      </c>
      <c r="O22" s="357">
        <f t="shared" si="1"/>
        <v>6549</v>
      </c>
      <c r="P22" s="357">
        <v>9</v>
      </c>
      <c r="Q22" s="358">
        <v>9</v>
      </c>
      <c r="R22" s="359">
        <f t="shared" si="2"/>
        <v>0</v>
      </c>
      <c r="S22" s="360">
        <f t="shared" si="3"/>
        <v>0</v>
      </c>
      <c r="T22" s="361">
        <f t="shared" si="4"/>
        <v>0.10555555555555554</v>
      </c>
      <c r="U22" s="362">
        <v>0</v>
      </c>
      <c r="V22" s="362">
        <f t="shared" si="7"/>
        <v>12179.799999999988</v>
      </c>
      <c r="W22" s="362">
        <f t="shared" si="5"/>
        <v>12180</v>
      </c>
      <c r="X22" s="742">
        <f t="shared" si="8"/>
        <v>-0.20000000001164153</v>
      </c>
    </row>
    <row r="23" spans="1:24" ht="13.9">
      <c r="A23" s="349">
        <f t="shared" si="6"/>
        <v>15</v>
      </c>
      <c r="B23" s="350" t="s">
        <v>935</v>
      </c>
      <c r="C23" s="350"/>
      <c r="D23" s="350" t="s">
        <v>1396</v>
      </c>
      <c r="E23" s="350" t="s">
        <v>1398</v>
      </c>
      <c r="F23" s="350" t="s">
        <v>1400</v>
      </c>
      <c r="G23" s="351"/>
      <c r="H23" s="352">
        <v>286661.8</v>
      </c>
      <c r="I23" s="353" t="s">
        <v>1379</v>
      </c>
      <c r="J23" s="353" t="s">
        <v>1379</v>
      </c>
      <c r="K23" s="354">
        <f t="shared" si="0"/>
        <v>286661.8</v>
      </c>
      <c r="L23" s="363">
        <v>38834</v>
      </c>
      <c r="M23" s="742">
        <v>272329</v>
      </c>
      <c r="N23" s="352">
        <f t="shared" si="9"/>
        <v>14332.799999999988</v>
      </c>
      <c r="O23" s="357">
        <f t="shared" si="1"/>
        <v>6549</v>
      </c>
      <c r="P23" s="357">
        <v>9</v>
      </c>
      <c r="Q23" s="358">
        <v>9</v>
      </c>
      <c r="R23" s="359">
        <f t="shared" si="2"/>
        <v>0</v>
      </c>
      <c r="S23" s="360">
        <f t="shared" si="3"/>
        <v>0</v>
      </c>
      <c r="T23" s="361">
        <f t="shared" si="4"/>
        <v>0.10555555555555554</v>
      </c>
      <c r="U23" s="362">
        <v>0</v>
      </c>
      <c r="V23" s="362">
        <f t="shared" si="7"/>
        <v>14332.799999999988</v>
      </c>
      <c r="W23" s="362">
        <f t="shared" si="5"/>
        <v>14333</v>
      </c>
      <c r="X23" s="742">
        <f t="shared" si="8"/>
        <v>-0.20000000001164153</v>
      </c>
    </row>
    <row r="24" spans="1:24" ht="13.9">
      <c r="A24" s="349">
        <f t="shared" si="6"/>
        <v>16</v>
      </c>
      <c r="B24" s="350" t="s">
        <v>935</v>
      </c>
      <c r="C24" s="350"/>
      <c r="D24" s="350" t="s">
        <v>1396</v>
      </c>
      <c r="E24" s="350" t="s">
        <v>1398</v>
      </c>
      <c r="F24" s="350" t="s">
        <v>1401</v>
      </c>
      <c r="G24" s="351"/>
      <c r="H24" s="352">
        <v>425239.8</v>
      </c>
      <c r="I24" s="353" t="s">
        <v>1379</v>
      </c>
      <c r="J24" s="353" t="s">
        <v>1379</v>
      </c>
      <c r="K24" s="354">
        <f t="shared" si="0"/>
        <v>425239.8</v>
      </c>
      <c r="L24" s="363">
        <v>39029</v>
      </c>
      <c r="M24" s="742">
        <v>403978</v>
      </c>
      <c r="N24" s="352">
        <f t="shared" si="9"/>
        <v>21261.799999999988</v>
      </c>
      <c r="O24" s="357">
        <f t="shared" si="1"/>
        <v>6354</v>
      </c>
      <c r="P24" s="357">
        <v>9</v>
      </c>
      <c r="Q24" s="358">
        <v>9</v>
      </c>
      <c r="R24" s="359">
        <f t="shared" si="2"/>
        <v>0</v>
      </c>
      <c r="S24" s="360">
        <f t="shared" si="3"/>
        <v>0</v>
      </c>
      <c r="T24" s="361">
        <f t="shared" si="4"/>
        <v>0.10555555555555554</v>
      </c>
      <c r="U24" s="362">
        <v>0</v>
      </c>
      <c r="V24" s="362">
        <f t="shared" si="7"/>
        <v>21261.799999999988</v>
      </c>
      <c r="W24" s="362">
        <f t="shared" si="5"/>
        <v>21262</v>
      </c>
      <c r="X24" s="742">
        <f t="shared" si="8"/>
        <v>-0.20000000001164153</v>
      </c>
    </row>
    <row r="25" spans="1:24" ht="13.9">
      <c r="A25" s="349">
        <f t="shared" si="6"/>
        <v>17</v>
      </c>
      <c r="B25" s="350" t="s">
        <v>935</v>
      </c>
      <c r="C25" s="350"/>
      <c r="D25" s="350" t="s">
        <v>1376</v>
      </c>
      <c r="E25" s="350" t="s">
        <v>1402</v>
      </c>
      <c r="F25" s="365" t="s">
        <v>1403</v>
      </c>
      <c r="G25" s="351"/>
      <c r="H25" s="352">
        <v>487576.8</v>
      </c>
      <c r="I25" s="353" t="s">
        <v>1379</v>
      </c>
      <c r="J25" s="353" t="s">
        <v>1379</v>
      </c>
      <c r="K25" s="354">
        <f t="shared" si="0"/>
        <v>487576.8</v>
      </c>
      <c r="L25" s="363">
        <v>39212</v>
      </c>
      <c r="M25" s="742">
        <v>463198</v>
      </c>
      <c r="N25" s="352">
        <f t="shared" si="9"/>
        <v>24378.799999999988</v>
      </c>
      <c r="O25" s="357">
        <f t="shared" si="1"/>
        <v>6171</v>
      </c>
      <c r="P25" s="357">
        <v>9</v>
      </c>
      <c r="Q25" s="358">
        <v>9</v>
      </c>
      <c r="R25" s="359">
        <f t="shared" si="2"/>
        <v>0</v>
      </c>
      <c r="S25" s="360">
        <f t="shared" si="3"/>
        <v>0</v>
      </c>
      <c r="T25" s="361">
        <f t="shared" si="4"/>
        <v>0.10555555555555554</v>
      </c>
      <c r="U25" s="362">
        <v>0</v>
      </c>
      <c r="V25" s="362">
        <f t="shared" si="7"/>
        <v>24378.799999999988</v>
      </c>
      <c r="W25" s="362">
        <f t="shared" si="5"/>
        <v>24379</v>
      </c>
      <c r="X25" s="742">
        <f t="shared" si="8"/>
        <v>-0.20000000001164153</v>
      </c>
    </row>
    <row r="26" spans="1:24" ht="13.9">
      <c r="A26" s="349">
        <f t="shared" si="6"/>
        <v>18</v>
      </c>
      <c r="B26" s="350" t="s">
        <v>935</v>
      </c>
      <c r="C26" s="350"/>
      <c r="D26" s="350" t="s">
        <v>1376</v>
      </c>
      <c r="E26" s="350" t="s">
        <v>1402</v>
      </c>
      <c r="F26" s="365" t="s">
        <v>1404</v>
      </c>
      <c r="G26" s="351"/>
      <c r="H26" s="352">
        <v>487576.8</v>
      </c>
      <c r="I26" s="353" t="s">
        <v>1379</v>
      </c>
      <c r="J26" s="353" t="s">
        <v>1379</v>
      </c>
      <c r="K26" s="354">
        <f t="shared" si="0"/>
        <v>487576.8</v>
      </c>
      <c r="L26" s="363">
        <v>39213</v>
      </c>
      <c r="M26" s="742">
        <v>463198</v>
      </c>
      <c r="N26" s="352">
        <f t="shared" si="9"/>
        <v>24378.799999999988</v>
      </c>
      <c r="O26" s="357">
        <f t="shared" si="1"/>
        <v>6170</v>
      </c>
      <c r="P26" s="357">
        <v>9</v>
      </c>
      <c r="Q26" s="358">
        <v>9</v>
      </c>
      <c r="R26" s="359">
        <f t="shared" si="2"/>
        <v>0</v>
      </c>
      <c r="S26" s="360">
        <f t="shared" si="3"/>
        <v>0</v>
      </c>
      <c r="T26" s="361">
        <f t="shared" si="4"/>
        <v>0.10555555555555554</v>
      </c>
      <c r="U26" s="362">
        <v>0</v>
      </c>
      <c r="V26" s="362">
        <f t="shared" si="7"/>
        <v>24378.799999999988</v>
      </c>
      <c r="W26" s="362">
        <f t="shared" si="5"/>
        <v>24379</v>
      </c>
      <c r="X26" s="742">
        <f t="shared" si="8"/>
        <v>-0.20000000001164153</v>
      </c>
    </row>
    <row r="27" spans="1:24" ht="13.9">
      <c r="A27" s="349">
        <f t="shared" si="6"/>
        <v>19</v>
      </c>
      <c r="B27" s="350" t="s">
        <v>935</v>
      </c>
      <c r="C27" s="350"/>
      <c r="D27" s="350" t="s">
        <v>1376</v>
      </c>
      <c r="E27" s="350" t="s">
        <v>1402</v>
      </c>
      <c r="F27" s="350" t="s">
        <v>1405</v>
      </c>
      <c r="G27" s="351"/>
      <c r="H27" s="352">
        <v>486695</v>
      </c>
      <c r="I27" s="353" t="s">
        <v>1379</v>
      </c>
      <c r="J27" s="353" t="s">
        <v>1379</v>
      </c>
      <c r="K27" s="354">
        <f t="shared" si="0"/>
        <v>486695</v>
      </c>
      <c r="L27" s="363">
        <v>39410</v>
      </c>
      <c r="M27" s="742">
        <v>462360</v>
      </c>
      <c r="N27" s="352">
        <f t="shared" si="9"/>
        <v>24335</v>
      </c>
      <c r="O27" s="357">
        <f t="shared" si="1"/>
        <v>5973</v>
      </c>
      <c r="P27" s="357">
        <v>9</v>
      </c>
      <c r="Q27" s="358">
        <v>9</v>
      </c>
      <c r="R27" s="359">
        <f t="shared" si="2"/>
        <v>0</v>
      </c>
      <c r="S27" s="360">
        <f t="shared" si="3"/>
        <v>0</v>
      </c>
      <c r="T27" s="361">
        <f t="shared" si="4"/>
        <v>0.10555555555555554</v>
      </c>
      <c r="U27" s="362">
        <v>0</v>
      </c>
      <c r="V27" s="362">
        <f t="shared" si="7"/>
        <v>24335</v>
      </c>
      <c r="W27" s="362">
        <f t="shared" si="5"/>
        <v>24335</v>
      </c>
      <c r="X27" s="742">
        <f t="shared" si="8"/>
        <v>0</v>
      </c>
    </row>
    <row r="28" spans="1:24" ht="13.9">
      <c r="A28" s="349">
        <f t="shared" si="6"/>
        <v>20</v>
      </c>
      <c r="B28" s="350" t="s">
        <v>935</v>
      </c>
      <c r="C28" s="350"/>
      <c r="D28" s="350" t="s">
        <v>1376</v>
      </c>
      <c r="E28" s="350" t="s">
        <v>1402</v>
      </c>
      <c r="F28" s="350" t="s">
        <v>1406</v>
      </c>
      <c r="G28" s="351"/>
      <c r="H28" s="352">
        <v>478088</v>
      </c>
      <c r="I28" s="353" t="s">
        <v>1379</v>
      </c>
      <c r="J28" s="353" t="s">
        <v>1379</v>
      </c>
      <c r="K28" s="354">
        <f t="shared" si="0"/>
        <v>478088</v>
      </c>
      <c r="L28" s="363">
        <v>39514</v>
      </c>
      <c r="M28" s="742">
        <v>454184</v>
      </c>
      <c r="N28" s="352">
        <f t="shared" si="9"/>
        <v>23904</v>
      </c>
      <c r="O28" s="357">
        <f t="shared" si="1"/>
        <v>5869</v>
      </c>
      <c r="P28" s="357">
        <v>9</v>
      </c>
      <c r="Q28" s="358">
        <v>9</v>
      </c>
      <c r="R28" s="359">
        <f t="shared" si="2"/>
        <v>0</v>
      </c>
      <c r="S28" s="360">
        <f t="shared" si="3"/>
        <v>0</v>
      </c>
      <c r="T28" s="361">
        <f t="shared" si="4"/>
        <v>0.10555555555555554</v>
      </c>
      <c r="U28" s="362">
        <v>0</v>
      </c>
      <c r="V28" s="362">
        <f t="shared" si="7"/>
        <v>23904</v>
      </c>
      <c r="W28" s="362">
        <f t="shared" si="5"/>
        <v>23904</v>
      </c>
      <c r="X28" s="742">
        <f t="shared" si="8"/>
        <v>0</v>
      </c>
    </row>
    <row r="29" spans="1:24" ht="13.9">
      <c r="A29" s="349">
        <f t="shared" si="6"/>
        <v>21</v>
      </c>
      <c r="B29" s="350" t="s">
        <v>935</v>
      </c>
      <c r="C29" s="350"/>
      <c r="D29" s="350" t="s">
        <v>1376</v>
      </c>
      <c r="E29" s="350" t="s">
        <v>1402</v>
      </c>
      <c r="F29" s="350" t="s">
        <v>1407</v>
      </c>
      <c r="G29" s="351"/>
      <c r="H29" s="352">
        <v>394299</v>
      </c>
      <c r="I29" s="353" t="s">
        <v>1379</v>
      </c>
      <c r="J29" s="353" t="s">
        <v>1379</v>
      </c>
      <c r="K29" s="354">
        <f t="shared" si="0"/>
        <v>394299</v>
      </c>
      <c r="L29" s="363">
        <v>39535</v>
      </c>
      <c r="M29" s="742">
        <v>374584</v>
      </c>
      <c r="N29" s="352">
        <f t="shared" si="9"/>
        <v>19715</v>
      </c>
      <c r="O29" s="357">
        <f t="shared" si="1"/>
        <v>5848</v>
      </c>
      <c r="P29" s="357">
        <v>9</v>
      </c>
      <c r="Q29" s="358">
        <v>9</v>
      </c>
      <c r="R29" s="359">
        <f t="shared" si="2"/>
        <v>0</v>
      </c>
      <c r="S29" s="360">
        <f t="shared" si="3"/>
        <v>0</v>
      </c>
      <c r="T29" s="361">
        <f t="shared" si="4"/>
        <v>0.10555555555555554</v>
      </c>
      <c r="U29" s="362">
        <v>0</v>
      </c>
      <c r="V29" s="362">
        <f t="shared" si="7"/>
        <v>19715</v>
      </c>
      <c r="W29" s="362">
        <f t="shared" si="5"/>
        <v>19715</v>
      </c>
      <c r="X29" s="742">
        <f t="shared" si="8"/>
        <v>0</v>
      </c>
    </row>
    <row r="30" spans="1:24" ht="13.9">
      <c r="A30" s="349">
        <f t="shared" si="6"/>
        <v>22</v>
      </c>
      <c r="B30" s="350" t="s">
        <v>935</v>
      </c>
      <c r="C30" s="350" t="s">
        <v>1408</v>
      </c>
      <c r="D30" s="350" t="s">
        <v>1409</v>
      </c>
      <c r="E30" s="350"/>
      <c r="F30" s="350"/>
      <c r="G30" s="351"/>
      <c r="H30" s="352">
        <f>527508-112664</f>
        <v>414844</v>
      </c>
      <c r="I30" s="353" t="s">
        <v>1379</v>
      </c>
      <c r="J30" s="353" t="s">
        <v>1379</v>
      </c>
      <c r="K30" s="354">
        <f t="shared" si="0"/>
        <v>414844</v>
      </c>
      <c r="L30" s="363">
        <v>39539</v>
      </c>
      <c r="M30" s="742">
        <v>414844</v>
      </c>
      <c r="N30" s="352">
        <f t="shared" si="9"/>
        <v>0</v>
      </c>
      <c r="O30" s="357">
        <f t="shared" si="1"/>
        <v>5844</v>
      </c>
      <c r="P30" s="357">
        <v>9</v>
      </c>
      <c r="Q30" s="358">
        <v>9</v>
      </c>
      <c r="R30" s="359">
        <f t="shared" si="2"/>
        <v>0</v>
      </c>
      <c r="S30" s="360">
        <f t="shared" si="3"/>
        <v>0</v>
      </c>
      <c r="T30" s="361">
        <f t="shared" si="4"/>
        <v>0.10555555555555554</v>
      </c>
      <c r="U30" s="362">
        <v>0</v>
      </c>
      <c r="V30" s="362">
        <f t="shared" si="7"/>
        <v>0</v>
      </c>
      <c r="W30" s="362">
        <f t="shared" si="5"/>
        <v>20742</v>
      </c>
      <c r="X30" s="742">
        <f t="shared" si="8"/>
        <v>-20742</v>
      </c>
    </row>
    <row r="31" spans="1:24" ht="13.9">
      <c r="A31" s="349">
        <f t="shared" si="6"/>
        <v>23</v>
      </c>
      <c r="B31" s="350" t="s">
        <v>935</v>
      </c>
      <c r="C31" s="350" t="s">
        <v>1410</v>
      </c>
      <c r="D31" s="350" t="s">
        <v>1409</v>
      </c>
      <c r="E31" s="350"/>
      <c r="F31" s="350"/>
      <c r="G31" s="351"/>
      <c r="H31" s="352">
        <v>527508</v>
      </c>
      <c r="I31" s="353" t="s">
        <v>1379</v>
      </c>
      <c r="J31" s="353" t="s">
        <v>1379</v>
      </c>
      <c r="K31" s="354">
        <f t="shared" si="0"/>
        <v>527508</v>
      </c>
      <c r="L31" s="363">
        <v>39539</v>
      </c>
      <c r="M31" s="742">
        <v>501133</v>
      </c>
      <c r="N31" s="352">
        <f t="shared" si="9"/>
        <v>26375</v>
      </c>
      <c r="O31" s="357">
        <f t="shared" si="1"/>
        <v>5844</v>
      </c>
      <c r="P31" s="357">
        <v>9</v>
      </c>
      <c r="Q31" s="358">
        <v>9</v>
      </c>
      <c r="R31" s="359">
        <f t="shared" si="2"/>
        <v>0</v>
      </c>
      <c r="S31" s="360">
        <f t="shared" si="3"/>
        <v>0</v>
      </c>
      <c r="T31" s="361">
        <f t="shared" si="4"/>
        <v>0.10555555555555554</v>
      </c>
      <c r="U31" s="362">
        <v>0</v>
      </c>
      <c r="V31" s="362">
        <f t="shared" si="7"/>
        <v>26375</v>
      </c>
      <c r="W31" s="362">
        <f t="shared" si="5"/>
        <v>26375</v>
      </c>
      <c r="X31" s="742">
        <f t="shared" si="8"/>
        <v>0</v>
      </c>
    </row>
    <row r="32" spans="1:24" ht="13.9">
      <c r="A32" s="349">
        <f t="shared" si="6"/>
        <v>24</v>
      </c>
      <c r="B32" s="350" t="s">
        <v>1411</v>
      </c>
      <c r="C32" s="350"/>
      <c r="D32" s="350" t="s">
        <v>1396</v>
      </c>
      <c r="E32" s="350" t="s">
        <v>1412</v>
      </c>
      <c r="F32" s="350" t="s">
        <v>1413</v>
      </c>
      <c r="G32" s="351"/>
      <c r="H32" s="352">
        <v>26875</v>
      </c>
      <c r="I32" s="353" t="s">
        <v>1379</v>
      </c>
      <c r="J32" s="353" t="s">
        <v>1379</v>
      </c>
      <c r="K32" s="354">
        <f t="shared" si="0"/>
        <v>26875</v>
      </c>
      <c r="L32" s="363">
        <v>38811</v>
      </c>
      <c r="M32" s="742">
        <v>25531</v>
      </c>
      <c r="N32" s="352">
        <f t="shared" si="9"/>
        <v>1344</v>
      </c>
      <c r="O32" s="357">
        <f t="shared" si="1"/>
        <v>6572</v>
      </c>
      <c r="P32" s="357">
        <v>9</v>
      </c>
      <c r="Q32" s="358">
        <v>9</v>
      </c>
      <c r="R32" s="359">
        <f t="shared" si="2"/>
        <v>0</v>
      </c>
      <c r="S32" s="360">
        <f t="shared" si="3"/>
        <v>0</v>
      </c>
      <c r="T32" s="361">
        <f t="shared" si="4"/>
        <v>0.10555555555555554</v>
      </c>
      <c r="U32" s="362">
        <v>0</v>
      </c>
      <c r="V32" s="362">
        <f t="shared" si="7"/>
        <v>1344</v>
      </c>
      <c r="W32" s="362">
        <f t="shared" si="5"/>
        <v>1344</v>
      </c>
      <c r="X32" s="742">
        <f t="shared" si="8"/>
        <v>0</v>
      </c>
    </row>
    <row r="33" spans="1:24" ht="13.9">
      <c r="A33" s="349">
        <f t="shared" si="6"/>
        <v>25</v>
      </c>
      <c r="B33" s="350" t="s">
        <v>1411</v>
      </c>
      <c r="C33" s="350"/>
      <c r="D33" s="350" t="s">
        <v>1396</v>
      </c>
      <c r="E33" s="350" t="s">
        <v>1414</v>
      </c>
      <c r="F33" s="350" t="s">
        <v>1415</v>
      </c>
      <c r="G33" s="351"/>
      <c r="H33" s="352">
        <v>75247</v>
      </c>
      <c r="I33" s="353" t="s">
        <v>1379</v>
      </c>
      <c r="J33" s="353" t="s">
        <v>1379</v>
      </c>
      <c r="K33" s="354">
        <f t="shared" si="0"/>
        <v>75247</v>
      </c>
      <c r="L33" s="363">
        <v>39023</v>
      </c>
      <c r="M33" s="742">
        <v>71485</v>
      </c>
      <c r="N33" s="352">
        <f t="shared" si="9"/>
        <v>3762</v>
      </c>
      <c r="O33" s="357">
        <f t="shared" si="1"/>
        <v>6360</v>
      </c>
      <c r="P33" s="357">
        <v>9</v>
      </c>
      <c r="Q33" s="358">
        <v>9</v>
      </c>
      <c r="R33" s="359">
        <f t="shared" si="2"/>
        <v>0</v>
      </c>
      <c r="S33" s="360">
        <f t="shared" si="3"/>
        <v>0</v>
      </c>
      <c r="T33" s="361">
        <f t="shared" si="4"/>
        <v>0.10555555555555554</v>
      </c>
      <c r="U33" s="362">
        <v>0</v>
      </c>
      <c r="V33" s="362">
        <f t="shared" si="7"/>
        <v>3762</v>
      </c>
      <c r="W33" s="362">
        <f t="shared" si="5"/>
        <v>3762</v>
      </c>
      <c r="X33" s="742">
        <f t="shared" si="8"/>
        <v>0</v>
      </c>
    </row>
    <row r="34" spans="1:24" ht="13.9">
      <c r="A34" s="349">
        <f t="shared" si="6"/>
        <v>26</v>
      </c>
      <c r="B34" s="350" t="s">
        <v>1411</v>
      </c>
      <c r="C34" s="350"/>
      <c r="D34" s="350" t="s">
        <v>1396</v>
      </c>
      <c r="E34" s="350" t="s">
        <v>1414</v>
      </c>
      <c r="F34" s="350" t="s">
        <v>1416</v>
      </c>
      <c r="G34" s="351"/>
      <c r="H34" s="352">
        <v>34565</v>
      </c>
      <c r="I34" s="353" t="s">
        <v>1379</v>
      </c>
      <c r="J34" s="353" t="s">
        <v>1379</v>
      </c>
      <c r="K34" s="354">
        <f t="shared" si="0"/>
        <v>34565</v>
      </c>
      <c r="L34" s="363">
        <v>39114</v>
      </c>
      <c r="M34" s="742">
        <v>32837</v>
      </c>
      <c r="N34" s="352">
        <f t="shared" si="9"/>
        <v>1728</v>
      </c>
      <c r="O34" s="357">
        <f t="shared" si="1"/>
        <v>6269</v>
      </c>
      <c r="P34" s="357">
        <v>9</v>
      </c>
      <c r="Q34" s="358">
        <v>9</v>
      </c>
      <c r="R34" s="359">
        <f t="shared" si="2"/>
        <v>0</v>
      </c>
      <c r="S34" s="360">
        <f t="shared" si="3"/>
        <v>0</v>
      </c>
      <c r="T34" s="361">
        <f t="shared" si="4"/>
        <v>0.10555555555555554</v>
      </c>
      <c r="U34" s="362">
        <v>0</v>
      </c>
      <c r="V34" s="362">
        <f t="shared" si="7"/>
        <v>1728</v>
      </c>
      <c r="W34" s="362">
        <f t="shared" si="5"/>
        <v>1728</v>
      </c>
      <c r="X34" s="742">
        <f t="shared" si="8"/>
        <v>0</v>
      </c>
    </row>
    <row r="35" spans="1:24" ht="13.9">
      <c r="A35" s="349">
        <f t="shared" si="6"/>
        <v>27</v>
      </c>
      <c r="B35" s="350" t="s">
        <v>1411</v>
      </c>
      <c r="C35" s="350"/>
      <c r="D35" s="350" t="s">
        <v>1396</v>
      </c>
      <c r="E35" s="350" t="s">
        <v>1414</v>
      </c>
      <c r="F35" s="350" t="s">
        <v>1417</v>
      </c>
      <c r="G35" s="351"/>
      <c r="H35" s="352">
        <v>22063</v>
      </c>
      <c r="I35" s="353" t="s">
        <v>1379</v>
      </c>
      <c r="J35" s="353" t="s">
        <v>1379</v>
      </c>
      <c r="K35" s="354">
        <f t="shared" si="0"/>
        <v>22063</v>
      </c>
      <c r="L35" s="363">
        <v>39160</v>
      </c>
      <c r="M35" s="742">
        <v>20960</v>
      </c>
      <c r="N35" s="352">
        <f t="shared" si="9"/>
        <v>1103</v>
      </c>
      <c r="O35" s="357">
        <f t="shared" si="1"/>
        <v>6223</v>
      </c>
      <c r="P35" s="357">
        <v>9</v>
      </c>
      <c r="Q35" s="358">
        <v>9</v>
      </c>
      <c r="R35" s="359">
        <f t="shared" si="2"/>
        <v>0</v>
      </c>
      <c r="S35" s="360">
        <f t="shared" si="3"/>
        <v>0</v>
      </c>
      <c r="T35" s="361">
        <f t="shared" si="4"/>
        <v>0.10555555555555554</v>
      </c>
      <c r="U35" s="362">
        <v>0</v>
      </c>
      <c r="V35" s="362">
        <f t="shared" si="7"/>
        <v>1103</v>
      </c>
      <c r="W35" s="362">
        <f t="shared" si="5"/>
        <v>1103</v>
      </c>
      <c r="X35" s="742">
        <f t="shared" si="8"/>
        <v>0</v>
      </c>
    </row>
    <row r="36" spans="1:24" ht="13.9">
      <c r="A36" s="349">
        <f t="shared" si="6"/>
        <v>28</v>
      </c>
      <c r="B36" s="350" t="s">
        <v>1411</v>
      </c>
      <c r="C36" s="350"/>
      <c r="D36" s="350" t="s">
        <v>1376</v>
      </c>
      <c r="E36" s="350" t="s">
        <v>169</v>
      </c>
      <c r="F36" s="350" t="s">
        <v>1418</v>
      </c>
      <c r="G36" s="351"/>
      <c r="H36" s="352">
        <v>27857</v>
      </c>
      <c r="I36" s="353" t="s">
        <v>1379</v>
      </c>
      <c r="J36" s="353" t="s">
        <v>1379</v>
      </c>
      <c r="K36" s="354">
        <f t="shared" si="0"/>
        <v>27857</v>
      </c>
      <c r="L36" s="363">
        <v>39318</v>
      </c>
      <c r="M36" s="742">
        <v>26464</v>
      </c>
      <c r="N36" s="352">
        <f t="shared" si="9"/>
        <v>1393</v>
      </c>
      <c r="O36" s="357">
        <f t="shared" si="1"/>
        <v>6065</v>
      </c>
      <c r="P36" s="357">
        <v>9</v>
      </c>
      <c r="Q36" s="358">
        <v>9</v>
      </c>
      <c r="R36" s="359">
        <f t="shared" si="2"/>
        <v>0</v>
      </c>
      <c r="S36" s="360">
        <f t="shared" si="3"/>
        <v>0</v>
      </c>
      <c r="T36" s="361">
        <f t="shared" si="4"/>
        <v>0.10555555555555554</v>
      </c>
      <c r="U36" s="362">
        <v>0</v>
      </c>
      <c r="V36" s="362">
        <f t="shared" si="7"/>
        <v>1393</v>
      </c>
      <c r="W36" s="362">
        <f t="shared" si="5"/>
        <v>1393</v>
      </c>
      <c r="X36" s="742">
        <f t="shared" si="8"/>
        <v>0</v>
      </c>
    </row>
    <row r="37" spans="1:24" ht="13.9">
      <c r="A37" s="349">
        <f t="shared" si="6"/>
        <v>29</v>
      </c>
      <c r="B37" s="350" t="s">
        <v>1411</v>
      </c>
      <c r="C37" s="350"/>
      <c r="D37" s="350" t="s">
        <v>1376</v>
      </c>
      <c r="E37" s="350" t="s">
        <v>169</v>
      </c>
      <c r="F37" s="350" t="s">
        <v>1419</v>
      </c>
      <c r="G37" s="351"/>
      <c r="H37" s="352">
        <v>24442</v>
      </c>
      <c r="I37" s="353" t="s">
        <v>1379</v>
      </c>
      <c r="J37" s="353" t="s">
        <v>1379</v>
      </c>
      <c r="K37" s="354">
        <f t="shared" si="0"/>
        <v>24442</v>
      </c>
      <c r="L37" s="363">
        <v>39532</v>
      </c>
      <c r="M37" s="742">
        <v>23220</v>
      </c>
      <c r="N37" s="352">
        <f t="shared" si="9"/>
        <v>1222</v>
      </c>
      <c r="O37" s="357">
        <f t="shared" si="1"/>
        <v>5851</v>
      </c>
      <c r="P37" s="357">
        <v>9</v>
      </c>
      <c r="Q37" s="358">
        <v>9</v>
      </c>
      <c r="R37" s="359">
        <f t="shared" si="2"/>
        <v>0</v>
      </c>
      <c r="S37" s="360">
        <f t="shared" si="3"/>
        <v>0</v>
      </c>
      <c r="T37" s="361">
        <f t="shared" si="4"/>
        <v>0.10555555555555554</v>
      </c>
      <c r="U37" s="362">
        <v>0</v>
      </c>
      <c r="V37" s="362">
        <f t="shared" si="7"/>
        <v>1222</v>
      </c>
      <c r="W37" s="362">
        <f t="shared" si="5"/>
        <v>1222</v>
      </c>
      <c r="X37" s="742">
        <f t="shared" si="8"/>
        <v>0</v>
      </c>
    </row>
    <row r="38" spans="1:24" ht="13.9">
      <c r="A38" s="349">
        <f t="shared" si="6"/>
        <v>30</v>
      </c>
      <c r="B38" s="350" t="s">
        <v>1411</v>
      </c>
      <c r="C38" s="350"/>
      <c r="D38" s="350" t="s">
        <v>1409</v>
      </c>
      <c r="E38" s="350" t="s">
        <v>169</v>
      </c>
      <c r="F38" s="350" t="s">
        <v>1420</v>
      </c>
      <c r="G38" s="351"/>
      <c r="H38" s="352">
        <v>28934</v>
      </c>
      <c r="I38" s="353" t="s">
        <v>1379</v>
      </c>
      <c r="J38" s="353" t="s">
        <v>1379</v>
      </c>
      <c r="K38" s="354">
        <f t="shared" si="0"/>
        <v>28934</v>
      </c>
      <c r="L38" s="363">
        <v>39634</v>
      </c>
      <c r="M38" s="742">
        <v>27487</v>
      </c>
      <c r="N38" s="352">
        <f t="shared" si="9"/>
        <v>1447</v>
      </c>
      <c r="O38" s="357">
        <f t="shared" si="1"/>
        <v>5749</v>
      </c>
      <c r="P38" s="357">
        <v>9</v>
      </c>
      <c r="Q38" s="358">
        <v>9</v>
      </c>
      <c r="R38" s="359">
        <f t="shared" si="2"/>
        <v>0</v>
      </c>
      <c r="S38" s="360">
        <f t="shared" si="3"/>
        <v>0</v>
      </c>
      <c r="T38" s="361">
        <f t="shared" si="4"/>
        <v>0.10555555555555554</v>
      </c>
      <c r="U38" s="362">
        <v>0</v>
      </c>
      <c r="V38" s="362">
        <f t="shared" si="7"/>
        <v>1447</v>
      </c>
      <c r="W38" s="362">
        <f t="shared" si="5"/>
        <v>1447</v>
      </c>
      <c r="X38" s="742">
        <f t="shared" si="8"/>
        <v>0</v>
      </c>
    </row>
    <row r="39" spans="1:24" ht="13.9">
      <c r="A39" s="349">
        <f t="shared" si="6"/>
        <v>31</v>
      </c>
      <c r="B39" s="350" t="s">
        <v>1421</v>
      </c>
      <c r="C39" s="350"/>
      <c r="D39" s="350" t="s">
        <v>1376</v>
      </c>
      <c r="E39" s="350" t="s">
        <v>1422</v>
      </c>
      <c r="F39" s="350" t="s">
        <v>1423</v>
      </c>
      <c r="G39" s="351"/>
      <c r="H39" s="352">
        <v>57182.75</v>
      </c>
      <c r="I39" s="353" t="s">
        <v>1379</v>
      </c>
      <c r="J39" s="353" t="s">
        <v>1379</v>
      </c>
      <c r="K39" s="354">
        <f t="shared" si="0"/>
        <v>57182.75</v>
      </c>
      <c r="L39" s="363">
        <v>39445</v>
      </c>
      <c r="M39" s="742">
        <v>54324</v>
      </c>
      <c r="N39" s="352">
        <f t="shared" si="9"/>
        <v>2858.75</v>
      </c>
      <c r="O39" s="357">
        <f t="shared" si="1"/>
        <v>5938</v>
      </c>
      <c r="P39" s="357">
        <v>9</v>
      </c>
      <c r="Q39" s="358">
        <v>9</v>
      </c>
      <c r="R39" s="359">
        <f t="shared" si="2"/>
        <v>0</v>
      </c>
      <c r="S39" s="360">
        <f t="shared" si="3"/>
        <v>0</v>
      </c>
      <c r="T39" s="361">
        <f t="shared" si="4"/>
        <v>0.10555555555555554</v>
      </c>
      <c r="U39" s="362">
        <v>0</v>
      </c>
      <c r="V39" s="362">
        <f t="shared" si="7"/>
        <v>2858.75</v>
      </c>
      <c r="W39" s="362">
        <f t="shared" si="5"/>
        <v>2859</v>
      </c>
      <c r="X39" s="742">
        <f t="shared" si="8"/>
        <v>-0.25</v>
      </c>
    </row>
    <row r="40" spans="1:24" ht="13.9">
      <c r="A40" s="349">
        <f t="shared" si="6"/>
        <v>32</v>
      </c>
      <c r="B40" s="350" t="s">
        <v>1421</v>
      </c>
      <c r="C40" s="350"/>
      <c r="D40" s="350" t="s">
        <v>1376</v>
      </c>
      <c r="E40" s="350" t="s">
        <v>1424</v>
      </c>
      <c r="F40" s="350"/>
      <c r="G40" s="351"/>
      <c r="H40" s="352">
        <v>83721.75</v>
      </c>
      <c r="I40" s="353" t="s">
        <v>1379</v>
      </c>
      <c r="J40" s="353" t="s">
        <v>1379</v>
      </c>
      <c r="K40" s="354">
        <f t="shared" si="0"/>
        <v>83721.75</v>
      </c>
      <c r="L40" s="363">
        <v>39466</v>
      </c>
      <c r="M40" s="742">
        <v>79536</v>
      </c>
      <c r="N40" s="352">
        <f t="shared" si="9"/>
        <v>4185.75</v>
      </c>
      <c r="O40" s="357">
        <f t="shared" si="1"/>
        <v>5917</v>
      </c>
      <c r="P40" s="357">
        <v>9</v>
      </c>
      <c r="Q40" s="358">
        <v>9</v>
      </c>
      <c r="R40" s="359">
        <f t="shared" si="2"/>
        <v>0</v>
      </c>
      <c r="S40" s="360">
        <f t="shared" si="3"/>
        <v>0</v>
      </c>
      <c r="T40" s="361">
        <f t="shared" si="4"/>
        <v>0.10555555555555554</v>
      </c>
      <c r="U40" s="362">
        <v>0</v>
      </c>
      <c r="V40" s="362">
        <f t="shared" si="7"/>
        <v>4185.75</v>
      </c>
      <c r="W40" s="362">
        <f t="shared" si="5"/>
        <v>4186</v>
      </c>
      <c r="X40" s="742">
        <f t="shared" si="8"/>
        <v>-0.25</v>
      </c>
    </row>
    <row r="41" spans="1:24" ht="13.9">
      <c r="A41" s="349">
        <f t="shared" si="6"/>
        <v>33</v>
      </c>
      <c r="B41" s="350" t="s">
        <v>1421</v>
      </c>
      <c r="C41" s="350"/>
      <c r="D41" s="350" t="s">
        <v>1376</v>
      </c>
      <c r="E41" s="350" t="s">
        <v>1425</v>
      </c>
      <c r="F41" s="350" t="s">
        <v>1426</v>
      </c>
      <c r="G41" s="351"/>
      <c r="H41" s="352">
        <v>130812.5</v>
      </c>
      <c r="I41" s="353" t="s">
        <v>1379</v>
      </c>
      <c r="J41" s="353" t="s">
        <v>1379</v>
      </c>
      <c r="K41" s="354">
        <f t="shared" si="0"/>
        <v>130812.5</v>
      </c>
      <c r="L41" s="363">
        <v>39488</v>
      </c>
      <c r="M41" s="742">
        <v>124272</v>
      </c>
      <c r="N41" s="352">
        <f t="shared" si="9"/>
        <v>6540.5</v>
      </c>
      <c r="O41" s="357">
        <f t="shared" si="1"/>
        <v>5895</v>
      </c>
      <c r="P41" s="357">
        <v>9</v>
      </c>
      <c r="Q41" s="358">
        <v>9</v>
      </c>
      <c r="R41" s="359">
        <f t="shared" si="2"/>
        <v>0</v>
      </c>
      <c r="S41" s="360">
        <f t="shared" si="3"/>
        <v>0</v>
      </c>
      <c r="T41" s="361">
        <f t="shared" si="4"/>
        <v>0.10555555555555554</v>
      </c>
      <c r="U41" s="362">
        <v>0</v>
      </c>
      <c r="V41" s="362">
        <f t="shared" si="7"/>
        <v>6540.5</v>
      </c>
      <c r="W41" s="362">
        <f t="shared" si="5"/>
        <v>6541</v>
      </c>
      <c r="X41" s="742">
        <f t="shared" si="8"/>
        <v>-0.5</v>
      </c>
    </row>
    <row r="42" spans="1:24" ht="13.9">
      <c r="A42" s="349">
        <f t="shared" si="6"/>
        <v>34</v>
      </c>
      <c r="B42" s="350" t="s">
        <v>1427</v>
      </c>
      <c r="C42" s="350"/>
      <c r="D42" s="350" t="s">
        <v>1409</v>
      </c>
      <c r="E42" s="350" t="s">
        <v>1428</v>
      </c>
      <c r="F42" s="350" t="s">
        <v>1429</v>
      </c>
      <c r="G42" s="351"/>
      <c r="H42" s="352">
        <v>242050</v>
      </c>
      <c r="I42" s="353" t="s">
        <v>1379</v>
      </c>
      <c r="J42" s="353" t="s">
        <v>1379</v>
      </c>
      <c r="K42" s="354">
        <f t="shared" si="0"/>
        <v>242050</v>
      </c>
      <c r="L42" s="363">
        <v>39560</v>
      </c>
      <c r="M42" s="742">
        <v>229948</v>
      </c>
      <c r="N42" s="352">
        <f t="shared" si="9"/>
        <v>12102</v>
      </c>
      <c r="O42" s="357">
        <f t="shared" si="1"/>
        <v>5823</v>
      </c>
      <c r="P42" s="357">
        <v>9</v>
      </c>
      <c r="Q42" s="358">
        <v>9</v>
      </c>
      <c r="R42" s="359">
        <f t="shared" si="2"/>
        <v>0</v>
      </c>
      <c r="S42" s="360">
        <f t="shared" si="3"/>
        <v>0</v>
      </c>
      <c r="T42" s="361">
        <f t="shared" si="4"/>
        <v>0.10555555555555554</v>
      </c>
      <c r="U42" s="362">
        <v>0</v>
      </c>
      <c r="V42" s="362">
        <f t="shared" si="7"/>
        <v>12102</v>
      </c>
      <c r="W42" s="362">
        <f t="shared" si="5"/>
        <v>12103</v>
      </c>
      <c r="X42" s="742">
        <f t="shared" si="8"/>
        <v>-1</v>
      </c>
    </row>
    <row r="43" spans="1:24" ht="13.9">
      <c r="A43" s="349">
        <f t="shared" si="6"/>
        <v>35</v>
      </c>
      <c r="B43" s="350" t="s">
        <v>1430</v>
      </c>
      <c r="C43" s="350"/>
      <c r="D43" s="350" t="s">
        <v>1409</v>
      </c>
      <c r="E43" s="350"/>
      <c r="F43" s="350"/>
      <c r="G43" s="351"/>
      <c r="H43" s="352">
        <v>2071761</v>
      </c>
      <c r="I43" s="353" t="s">
        <v>1379</v>
      </c>
      <c r="J43" s="353" t="s">
        <v>1379</v>
      </c>
      <c r="K43" s="354">
        <f t="shared" si="0"/>
        <v>2071761</v>
      </c>
      <c r="L43" s="363">
        <v>39669</v>
      </c>
      <c r="M43" s="742">
        <v>1968173</v>
      </c>
      <c r="N43" s="352">
        <f t="shared" si="9"/>
        <v>103588</v>
      </c>
      <c r="O43" s="357">
        <f t="shared" si="1"/>
        <v>5714</v>
      </c>
      <c r="P43" s="357">
        <v>9</v>
      </c>
      <c r="Q43" s="358">
        <v>9</v>
      </c>
      <c r="R43" s="359">
        <f t="shared" si="2"/>
        <v>0</v>
      </c>
      <c r="S43" s="360">
        <f t="shared" si="3"/>
        <v>0</v>
      </c>
      <c r="T43" s="361">
        <f t="shared" si="4"/>
        <v>0.10555555555555554</v>
      </c>
      <c r="U43" s="362">
        <v>0</v>
      </c>
      <c r="V43" s="362">
        <f t="shared" si="7"/>
        <v>103588</v>
      </c>
      <c r="W43" s="362">
        <f t="shared" si="5"/>
        <v>103588</v>
      </c>
      <c r="X43" s="742">
        <f t="shared" si="8"/>
        <v>0</v>
      </c>
    </row>
    <row r="44" spans="1:24" ht="13.9">
      <c r="A44" s="349">
        <f t="shared" si="6"/>
        <v>36</v>
      </c>
      <c r="B44" s="350" t="s">
        <v>1430</v>
      </c>
      <c r="C44" s="350"/>
      <c r="D44" s="350" t="s">
        <v>1409</v>
      </c>
      <c r="E44" s="350"/>
      <c r="F44" s="350"/>
      <c r="G44" s="351"/>
      <c r="H44" s="352">
        <v>397699</v>
      </c>
      <c r="I44" s="353" t="s">
        <v>1379</v>
      </c>
      <c r="J44" s="353" t="s">
        <v>1379</v>
      </c>
      <c r="K44" s="354">
        <f t="shared" si="0"/>
        <v>397699</v>
      </c>
      <c r="L44" s="363">
        <v>39692</v>
      </c>
      <c r="M44" s="742">
        <v>377814</v>
      </c>
      <c r="N44" s="352">
        <f t="shared" si="9"/>
        <v>19885</v>
      </c>
      <c r="O44" s="357">
        <f t="shared" si="1"/>
        <v>5691</v>
      </c>
      <c r="P44" s="357">
        <v>9</v>
      </c>
      <c r="Q44" s="358">
        <v>9</v>
      </c>
      <c r="R44" s="359">
        <f t="shared" si="2"/>
        <v>0</v>
      </c>
      <c r="S44" s="360">
        <f t="shared" si="3"/>
        <v>0</v>
      </c>
      <c r="T44" s="361">
        <f t="shared" si="4"/>
        <v>0.10555555555555554</v>
      </c>
      <c r="U44" s="362">
        <v>0</v>
      </c>
      <c r="V44" s="362">
        <f t="shared" si="7"/>
        <v>19885</v>
      </c>
      <c r="W44" s="362">
        <f t="shared" si="5"/>
        <v>19885</v>
      </c>
      <c r="X44" s="742">
        <f t="shared" si="8"/>
        <v>0</v>
      </c>
    </row>
    <row r="45" spans="1:24" ht="13.9">
      <c r="A45" s="349">
        <f t="shared" si="6"/>
        <v>37</v>
      </c>
      <c r="B45" s="350" t="s">
        <v>983</v>
      </c>
      <c r="C45" s="350"/>
      <c r="D45" s="350" t="s">
        <v>1431</v>
      </c>
      <c r="E45" s="350" t="s">
        <v>1432</v>
      </c>
      <c r="F45" s="350" t="s">
        <v>1433</v>
      </c>
      <c r="G45" s="351"/>
      <c r="H45" s="352">
        <v>252090</v>
      </c>
      <c r="I45" s="353" t="s">
        <v>1379</v>
      </c>
      <c r="J45" s="353" t="s">
        <v>1379</v>
      </c>
      <c r="K45" s="354">
        <f t="shared" si="0"/>
        <v>252090</v>
      </c>
      <c r="L45" s="363">
        <v>38807</v>
      </c>
      <c r="M45" s="742">
        <v>239486</v>
      </c>
      <c r="N45" s="352">
        <f t="shared" si="9"/>
        <v>12604</v>
      </c>
      <c r="O45" s="357">
        <f t="shared" si="1"/>
        <v>6576</v>
      </c>
      <c r="P45" s="357">
        <v>9</v>
      </c>
      <c r="Q45" s="358">
        <v>9</v>
      </c>
      <c r="R45" s="359">
        <f t="shared" si="2"/>
        <v>0</v>
      </c>
      <c r="S45" s="360">
        <f t="shared" si="3"/>
        <v>0</v>
      </c>
      <c r="T45" s="361">
        <f t="shared" si="4"/>
        <v>0.10555555555555554</v>
      </c>
      <c r="U45" s="362">
        <v>0</v>
      </c>
      <c r="V45" s="362">
        <f t="shared" si="7"/>
        <v>12604</v>
      </c>
      <c r="W45" s="362">
        <f t="shared" si="5"/>
        <v>12605</v>
      </c>
      <c r="X45" s="742">
        <f t="shared" si="8"/>
        <v>-1</v>
      </c>
    </row>
    <row r="46" spans="1:24" ht="13.9">
      <c r="A46" s="349">
        <f t="shared" si="6"/>
        <v>38</v>
      </c>
      <c r="B46" s="350" t="s">
        <v>983</v>
      </c>
      <c r="C46" s="350"/>
      <c r="D46" s="350" t="s">
        <v>1431</v>
      </c>
      <c r="E46" s="350" t="s">
        <v>1432</v>
      </c>
      <c r="F46" s="350" t="s">
        <v>1434</v>
      </c>
      <c r="G46" s="351"/>
      <c r="H46" s="352">
        <v>207975</v>
      </c>
      <c r="I46" s="353" t="s">
        <v>1379</v>
      </c>
      <c r="J46" s="353" t="s">
        <v>1379</v>
      </c>
      <c r="K46" s="354">
        <f t="shared" si="0"/>
        <v>207975</v>
      </c>
      <c r="L46" s="363">
        <v>38807</v>
      </c>
      <c r="M46" s="742">
        <v>197576</v>
      </c>
      <c r="N46" s="352">
        <f t="shared" si="9"/>
        <v>10399</v>
      </c>
      <c r="O46" s="357">
        <f t="shared" si="1"/>
        <v>6576</v>
      </c>
      <c r="P46" s="357">
        <v>9</v>
      </c>
      <c r="Q46" s="358">
        <v>9</v>
      </c>
      <c r="R46" s="359">
        <f t="shared" si="2"/>
        <v>0</v>
      </c>
      <c r="S46" s="360">
        <f t="shared" si="3"/>
        <v>0</v>
      </c>
      <c r="T46" s="361">
        <f t="shared" si="4"/>
        <v>0.10555555555555554</v>
      </c>
      <c r="U46" s="362">
        <v>0</v>
      </c>
      <c r="V46" s="362">
        <f t="shared" si="7"/>
        <v>10399</v>
      </c>
      <c r="W46" s="362">
        <f t="shared" si="5"/>
        <v>10399</v>
      </c>
      <c r="X46" s="742">
        <f t="shared" si="8"/>
        <v>0</v>
      </c>
    </row>
    <row r="47" spans="1:24" ht="13.9">
      <c r="A47" s="349">
        <f t="shared" si="6"/>
        <v>39</v>
      </c>
      <c r="B47" s="350" t="s">
        <v>983</v>
      </c>
      <c r="C47" s="350"/>
      <c r="D47" s="350" t="s">
        <v>1431</v>
      </c>
      <c r="E47" s="350" t="s">
        <v>1432</v>
      </c>
      <c r="F47" s="350" t="s">
        <v>1435</v>
      </c>
      <c r="G47" s="351"/>
      <c r="H47" s="352">
        <v>462165</v>
      </c>
      <c r="I47" s="353" t="s">
        <v>1379</v>
      </c>
      <c r="J47" s="353" t="s">
        <v>1379</v>
      </c>
      <c r="K47" s="354">
        <f t="shared" si="0"/>
        <v>462165</v>
      </c>
      <c r="L47" s="363">
        <v>38807</v>
      </c>
      <c r="M47" s="742">
        <v>439057</v>
      </c>
      <c r="N47" s="352">
        <f t="shared" si="9"/>
        <v>23108</v>
      </c>
      <c r="O47" s="357">
        <f t="shared" si="1"/>
        <v>6576</v>
      </c>
      <c r="P47" s="357">
        <v>9</v>
      </c>
      <c r="Q47" s="358">
        <v>9</v>
      </c>
      <c r="R47" s="359">
        <f t="shared" si="2"/>
        <v>0</v>
      </c>
      <c r="S47" s="360">
        <f t="shared" si="3"/>
        <v>0</v>
      </c>
      <c r="T47" s="361">
        <f t="shared" si="4"/>
        <v>0.10555555555555554</v>
      </c>
      <c r="U47" s="362">
        <v>0</v>
      </c>
      <c r="V47" s="362">
        <f t="shared" si="7"/>
        <v>23108</v>
      </c>
      <c r="W47" s="362">
        <f t="shared" si="5"/>
        <v>23108</v>
      </c>
      <c r="X47" s="742">
        <f t="shared" si="8"/>
        <v>0</v>
      </c>
    </row>
    <row r="48" spans="1:24" ht="13.9">
      <c r="A48" s="349">
        <f t="shared" si="6"/>
        <v>40</v>
      </c>
      <c r="B48" s="350" t="s">
        <v>983</v>
      </c>
      <c r="C48" s="350"/>
      <c r="D48" s="350" t="s">
        <v>1431</v>
      </c>
      <c r="E48" s="350" t="s">
        <v>1432</v>
      </c>
      <c r="F48" s="350" t="s">
        <v>1436</v>
      </c>
      <c r="G48" s="351"/>
      <c r="H48" s="352">
        <v>413149</v>
      </c>
      <c r="I48" s="353" t="s">
        <v>1379</v>
      </c>
      <c r="J48" s="353" t="s">
        <v>1379</v>
      </c>
      <c r="K48" s="354">
        <f t="shared" si="0"/>
        <v>413149</v>
      </c>
      <c r="L48" s="363">
        <v>38807</v>
      </c>
      <c r="M48" s="742">
        <v>392492</v>
      </c>
      <c r="N48" s="352">
        <f t="shared" si="9"/>
        <v>20657</v>
      </c>
      <c r="O48" s="357">
        <f t="shared" si="1"/>
        <v>6576</v>
      </c>
      <c r="P48" s="357">
        <v>9</v>
      </c>
      <c r="Q48" s="358">
        <v>9</v>
      </c>
      <c r="R48" s="359">
        <f t="shared" si="2"/>
        <v>0</v>
      </c>
      <c r="S48" s="360">
        <f t="shared" si="3"/>
        <v>0</v>
      </c>
      <c r="T48" s="361">
        <f t="shared" si="4"/>
        <v>0.10555555555555554</v>
      </c>
      <c r="U48" s="362">
        <v>0</v>
      </c>
      <c r="V48" s="362">
        <f t="shared" si="7"/>
        <v>20657</v>
      </c>
      <c r="W48" s="362">
        <f t="shared" si="5"/>
        <v>20657</v>
      </c>
      <c r="X48" s="742">
        <f t="shared" si="8"/>
        <v>0</v>
      </c>
    </row>
    <row r="49" spans="1:24" ht="13.9">
      <c r="A49" s="349">
        <f t="shared" si="6"/>
        <v>41</v>
      </c>
      <c r="B49" s="350" t="s">
        <v>983</v>
      </c>
      <c r="C49" s="365"/>
      <c r="D49" s="350" t="s">
        <v>1396</v>
      </c>
      <c r="E49" s="350" t="s">
        <v>1437</v>
      </c>
      <c r="F49" s="350" t="s">
        <v>1438</v>
      </c>
      <c r="G49" s="351"/>
      <c r="H49" s="352">
        <v>45422</v>
      </c>
      <c r="I49" s="353" t="s">
        <v>1379</v>
      </c>
      <c r="J49" s="353" t="s">
        <v>1379</v>
      </c>
      <c r="K49" s="354">
        <f t="shared" si="0"/>
        <v>45422</v>
      </c>
      <c r="L49" s="363">
        <v>38958</v>
      </c>
      <c r="M49" s="742">
        <v>43151</v>
      </c>
      <c r="N49" s="352">
        <f t="shared" si="9"/>
        <v>2271</v>
      </c>
      <c r="O49" s="357">
        <f t="shared" si="1"/>
        <v>6425</v>
      </c>
      <c r="P49" s="357">
        <v>9</v>
      </c>
      <c r="Q49" s="358">
        <v>9</v>
      </c>
      <c r="R49" s="359">
        <f t="shared" si="2"/>
        <v>0</v>
      </c>
      <c r="S49" s="360">
        <f t="shared" si="3"/>
        <v>0</v>
      </c>
      <c r="T49" s="361">
        <f t="shared" si="4"/>
        <v>0.10555555555555554</v>
      </c>
      <c r="U49" s="362">
        <v>0</v>
      </c>
      <c r="V49" s="362">
        <f t="shared" si="7"/>
        <v>2271</v>
      </c>
      <c r="W49" s="362">
        <f t="shared" si="5"/>
        <v>2271</v>
      </c>
      <c r="X49" s="742">
        <f t="shared" si="8"/>
        <v>0</v>
      </c>
    </row>
    <row r="50" spans="1:24" ht="13.9">
      <c r="A50" s="349">
        <f t="shared" si="6"/>
        <v>42</v>
      </c>
      <c r="B50" s="350" t="s">
        <v>983</v>
      </c>
      <c r="C50" s="365"/>
      <c r="D50" s="350" t="s">
        <v>1396</v>
      </c>
      <c r="E50" s="350" t="s">
        <v>1439</v>
      </c>
      <c r="F50" s="365" t="s">
        <v>1440</v>
      </c>
      <c r="G50" s="351"/>
      <c r="H50" s="352">
        <v>2513220</v>
      </c>
      <c r="I50" s="353" t="s">
        <v>1379</v>
      </c>
      <c r="J50" s="353" t="s">
        <v>1379</v>
      </c>
      <c r="K50" s="354">
        <f t="shared" si="0"/>
        <v>2513220</v>
      </c>
      <c r="L50" s="363">
        <v>39170</v>
      </c>
      <c r="M50" s="742">
        <v>2387559</v>
      </c>
      <c r="N50" s="352">
        <f t="shared" si="9"/>
        <v>125661</v>
      </c>
      <c r="O50" s="357">
        <f t="shared" si="1"/>
        <v>6213</v>
      </c>
      <c r="P50" s="357">
        <v>9</v>
      </c>
      <c r="Q50" s="358">
        <v>9</v>
      </c>
      <c r="R50" s="359">
        <f t="shared" si="2"/>
        <v>0</v>
      </c>
      <c r="S50" s="360">
        <f t="shared" si="3"/>
        <v>0</v>
      </c>
      <c r="T50" s="361">
        <f t="shared" si="4"/>
        <v>0.10555555555555554</v>
      </c>
      <c r="U50" s="362">
        <v>0</v>
      </c>
      <c r="V50" s="362">
        <f t="shared" si="7"/>
        <v>125661</v>
      </c>
      <c r="W50" s="362">
        <f t="shared" si="5"/>
        <v>125661</v>
      </c>
      <c r="X50" s="742">
        <f t="shared" si="8"/>
        <v>0</v>
      </c>
    </row>
    <row r="51" spans="1:24" ht="13.9">
      <c r="A51" s="349">
        <f t="shared" si="6"/>
        <v>43</v>
      </c>
      <c r="B51" s="350" t="s">
        <v>983</v>
      </c>
      <c r="C51" s="365"/>
      <c r="D51" s="350" t="s">
        <v>1396</v>
      </c>
      <c r="E51" s="350" t="s">
        <v>1437</v>
      </c>
      <c r="F51" s="365" t="s">
        <v>1441</v>
      </c>
      <c r="G51" s="351"/>
      <c r="H51" s="352">
        <v>913897</v>
      </c>
      <c r="I51" s="353" t="s">
        <v>1379</v>
      </c>
      <c r="J51" s="353" t="s">
        <v>1379</v>
      </c>
      <c r="K51" s="354">
        <f t="shared" si="0"/>
        <v>913897</v>
      </c>
      <c r="L51" s="363">
        <v>39172</v>
      </c>
      <c r="M51" s="742">
        <v>868202</v>
      </c>
      <c r="N51" s="352">
        <f t="shared" si="9"/>
        <v>45695</v>
      </c>
      <c r="O51" s="357">
        <f t="shared" si="1"/>
        <v>6211</v>
      </c>
      <c r="P51" s="357">
        <v>9</v>
      </c>
      <c r="Q51" s="358">
        <v>9</v>
      </c>
      <c r="R51" s="359">
        <f t="shared" si="2"/>
        <v>0</v>
      </c>
      <c r="S51" s="360">
        <f t="shared" si="3"/>
        <v>0</v>
      </c>
      <c r="T51" s="361">
        <f t="shared" si="4"/>
        <v>0.10555555555555554</v>
      </c>
      <c r="U51" s="362">
        <v>0</v>
      </c>
      <c r="V51" s="362">
        <f t="shared" si="7"/>
        <v>45695</v>
      </c>
      <c r="W51" s="362">
        <f t="shared" si="5"/>
        <v>45695</v>
      </c>
      <c r="X51" s="742">
        <f t="shared" si="8"/>
        <v>0</v>
      </c>
    </row>
    <row r="52" spans="1:24" ht="13.9">
      <c r="A52" s="349">
        <f t="shared" si="6"/>
        <v>44</v>
      </c>
      <c r="B52" s="350" t="s">
        <v>983</v>
      </c>
      <c r="C52" s="365"/>
      <c r="D52" s="350" t="s">
        <v>1396</v>
      </c>
      <c r="E52" s="350" t="s">
        <v>1437</v>
      </c>
      <c r="F52" s="365" t="s">
        <v>1442</v>
      </c>
      <c r="G52" s="351"/>
      <c r="H52" s="352">
        <v>45695</v>
      </c>
      <c r="I52" s="353" t="s">
        <v>1379</v>
      </c>
      <c r="J52" s="353" t="s">
        <v>1379</v>
      </c>
      <c r="K52" s="354">
        <f t="shared" si="0"/>
        <v>45695</v>
      </c>
      <c r="L52" s="363">
        <v>39172</v>
      </c>
      <c r="M52" s="742">
        <v>43410</v>
      </c>
      <c r="N52" s="352">
        <f t="shared" si="9"/>
        <v>2285</v>
      </c>
      <c r="O52" s="357">
        <f t="shared" si="1"/>
        <v>6211</v>
      </c>
      <c r="P52" s="357">
        <v>9</v>
      </c>
      <c r="Q52" s="358">
        <v>9</v>
      </c>
      <c r="R52" s="359">
        <f t="shared" si="2"/>
        <v>0</v>
      </c>
      <c r="S52" s="360">
        <f t="shared" si="3"/>
        <v>0</v>
      </c>
      <c r="T52" s="361">
        <f t="shared" si="4"/>
        <v>0.10555555555555554</v>
      </c>
      <c r="U52" s="362">
        <v>0</v>
      </c>
      <c r="V52" s="362">
        <f t="shared" si="7"/>
        <v>2285</v>
      </c>
      <c r="W52" s="362">
        <f t="shared" si="5"/>
        <v>2285</v>
      </c>
      <c r="X52" s="742">
        <f t="shared" si="8"/>
        <v>0</v>
      </c>
    </row>
    <row r="53" spans="1:24" ht="13.9">
      <c r="A53" s="349">
        <f t="shared" si="6"/>
        <v>45</v>
      </c>
      <c r="B53" s="350" t="s">
        <v>983</v>
      </c>
      <c r="C53" s="350"/>
      <c r="D53" s="350" t="s">
        <v>1376</v>
      </c>
      <c r="E53" s="350" t="s">
        <v>1443</v>
      </c>
      <c r="F53" s="365" t="s">
        <v>1444</v>
      </c>
      <c r="G53" s="351"/>
      <c r="H53" s="352">
        <v>1234996</v>
      </c>
      <c r="I53" s="353" t="s">
        <v>1379</v>
      </c>
      <c r="J53" s="353" t="s">
        <v>1379</v>
      </c>
      <c r="K53" s="354">
        <f t="shared" si="0"/>
        <v>1234996</v>
      </c>
      <c r="L53" s="363">
        <v>39264</v>
      </c>
      <c r="M53" s="742">
        <v>1173246</v>
      </c>
      <c r="N53" s="352">
        <f t="shared" si="9"/>
        <v>61750</v>
      </c>
      <c r="O53" s="357">
        <f t="shared" si="1"/>
        <v>6119</v>
      </c>
      <c r="P53" s="357">
        <v>9</v>
      </c>
      <c r="Q53" s="358">
        <v>9</v>
      </c>
      <c r="R53" s="359">
        <f t="shared" si="2"/>
        <v>0</v>
      </c>
      <c r="S53" s="360">
        <f t="shared" si="3"/>
        <v>0</v>
      </c>
      <c r="T53" s="361">
        <f t="shared" si="4"/>
        <v>0.10555555555555554</v>
      </c>
      <c r="U53" s="362">
        <v>0</v>
      </c>
      <c r="V53" s="362">
        <f t="shared" si="7"/>
        <v>61750</v>
      </c>
      <c r="W53" s="362">
        <f t="shared" si="5"/>
        <v>61750</v>
      </c>
      <c r="X53" s="742">
        <f t="shared" si="8"/>
        <v>0</v>
      </c>
    </row>
    <row r="54" spans="1:24" ht="13.9">
      <c r="A54" s="349">
        <f t="shared" si="6"/>
        <v>46</v>
      </c>
      <c r="B54" s="350" t="s">
        <v>983</v>
      </c>
      <c r="C54" s="350"/>
      <c r="D54" s="350" t="s">
        <v>1376</v>
      </c>
      <c r="E54" s="350" t="s">
        <v>1443</v>
      </c>
      <c r="F54" s="350" t="s">
        <v>1445</v>
      </c>
      <c r="G54" s="351"/>
      <c r="H54" s="352">
        <v>111973</v>
      </c>
      <c r="I54" s="353" t="s">
        <v>1379</v>
      </c>
      <c r="J54" s="353" t="s">
        <v>1379</v>
      </c>
      <c r="K54" s="354">
        <f t="shared" si="0"/>
        <v>111973</v>
      </c>
      <c r="L54" s="363">
        <v>39325</v>
      </c>
      <c r="M54" s="742">
        <v>106374</v>
      </c>
      <c r="N54" s="352">
        <f t="shared" si="9"/>
        <v>5599</v>
      </c>
      <c r="O54" s="357">
        <f t="shared" si="1"/>
        <v>6058</v>
      </c>
      <c r="P54" s="357">
        <v>9</v>
      </c>
      <c r="Q54" s="358">
        <v>9</v>
      </c>
      <c r="R54" s="359">
        <f t="shared" si="2"/>
        <v>0</v>
      </c>
      <c r="S54" s="360">
        <f t="shared" si="3"/>
        <v>0</v>
      </c>
      <c r="T54" s="361">
        <f t="shared" si="4"/>
        <v>0.10555555555555554</v>
      </c>
      <c r="U54" s="362">
        <v>0</v>
      </c>
      <c r="V54" s="362">
        <f t="shared" si="7"/>
        <v>5599</v>
      </c>
      <c r="W54" s="362">
        <f t="shared" si="5"/>
        <v>5599</v>
      </c>
      <c r="X54" s="742">
        <f t="shared" si="8"/>
        <v>0</v>
      </c>
    </row>
    <row r="55" spans="1:24" ht="13.9">
      <c r="A55" s="349">
        <f t="shared" si="6"/>
        <v>47</v>
      </c>
      <c r="B55" s="350" t="s">
        <v>983</v>
      </c>
      <c r="C55" s="350"/>
      <c r="D55" s="350" t="s">
        <v>1376</v>
      </c>
      <c r="E55" s="350" t="s">
        <v>1446</v>
      </c>
      <c r="F55" s="350" t="s">
        <v>1447</v>
      </c>
      <c r="G55" s="351"/>
      <c r="H55" s="352">
        <v>29076</v>
      </c>
      <c r="I55" s="353" t="s">
        <v>1379</v>
      </c>
      <c r="J55" s="353" t="s">
        <v>1379</v>
      </c>
      <c r="K55" s="354">
        <f t="shared" si="0"/>
        <v>29076</v>
      </c>
      <c r="L55" s="363">
        <v>39360</v>
      </c>
      <c r="M55" s="742">
        <v>27622</v>
      </c>
      <c r="N55" s="352">
        <f t="shared" si="9"/>
        <v>1454</v>
      </c>
      <c r="O55" s="357">
        <f t="shared" si="1"/>
        <v>6023</v>
      </c>
      <c r="P55" s="357">
        <v>9</v>
      </c>
      <c r="Q55" s="358">
        <v>9</v>
      </c>
      <c r="R55" s="359">
        <f t="shared" si="2"/>
        <v>0</v>
      </c>
      <c r="S55" s="360">
        <f t="shared" si="3"/>
        <v>0</v>
      </c>
      <c r="T55" s="361">
        <f t="shared" si="4"/>
        <v>0.10555555555555554</v>
      </c>
      <c r="U55" s="362">
        <v>0</v>
      </c>
      <c r="V55" s="362">
        <f t="shared" si="7"/>
        <v>1454</v>
      </c>
      <c r="W55" s="362">
        <f t="shared" si="5"/>
        <v>1454</v>
      </c>
      <c r="X55" s="742">
        <f t="shared" si="8"/>
        <v>0</v>
      </c>
    </row>
    <row r="56" spans="1:24" ht="13.9">
      <c r="A56" s="349">
        <f t="shared" si="6"/>
        <v>48</v>
      </c>
      <c r="B56" s="350" t="s">
        <v>983</v>
      </c>
      <c r="C56" s="350"/>
      <c r="D56" s="350" t="s">
        <v>1376</v>
      </c>
      <c r="E56" s="350" t="s">
        <v>1443</v>
      </c>
      <c r="F56" s="350" t="s">
        <v>1448</v>
      </c>
      <c r="G56" s="351"/>
      <c r="H56" s="352">
        <v>268793</v>
      </c>
      <c r="I56" s="353" t="s">
        <v>1379</v>
      </c>
      <c r="J56" s="353" t="s">
        <v>1379</v>
      </c>
      <c r="K56" s="354">
        <f t="shared" si="0"/>
        <v>268793</v>
      </c>
      <c r="L56" s="363">
        <v>39410</v>
      </c>
      <c r="M56" s="742">
        <v>255353</v>
      </c>
      <c r="N56" s="352">
        <f t="shared" si="9"/>
        <v>13440</v>
      </c>
      <c r="O56" s="357">
        <f t="shared" si="1"/>
        <v>5973</v>
      </c>
      <c r="P56" s="357">
        <v>9</v>
      </c>
      <c r="Q56" s="358">
        <v>9</v>
      </c>
      <c r="R56" s="359">
        <f t="shared" si="2"/>
        <v>0</v>
      </c>
      <c r="S56" s="360">
        <f t="shared" si="3"/>
        <v>0</v>
      </c>
      <c r="T56" s="361">
        <f t="shared" si="4"/>
        <v>0.10555555555555554</v>
      </c>
      <c r="U56" s="362">
        <v>0</v>
      </c>
      <c r="V56" s="362">
        <f t="shared" si="7"/>
        <v>13440</v>
      </c>
      <c r="W56" s="362">
        <f t="shared" si="5"/>
        <v>13440</v>
      </c>
      <c r="X56" s="742">
        <f t="shared" si="8"/>
        <v>0</v>
      </c>
    </row>
    <row r="57" spans="1:24" ht="13.9">
      <c r="A57" s="349">
        <f t="shared" si="6"/>
        <v>49</v>
      </c>
      <c r="B57" s="350" t="s">
        <v>983</v>
      </c>
      <c r="C57" s="350"/>
      <c r="D57" s="350" t="s">
        <v>1376</v>
      </c>
      <c r="E57" s="350" t="s">
        <v>1446</v>
      </c>
      <c r="F57" s="350" t="s">
        <v>1449</v>
      </c>
      <c r="G57" s="351"/>
      <c r="H57" s="352">
        <v>264313</v>
      </c>
      <c r="I57" s="353" t="s">
        <v>1379</v>
      </c>
      <c r="J57" s="353" t="s">
        <v>1379</v>
      </c>
      <c r="K57" s="354">
        <f t="shared" si="0"/>
        <v>264313</v>
      </c>
      <c r="L57" s="363">
        <v>39415</v>
      </c>
      <c r="M57" s="742">
        <v>251097</v>
      </c>
      <c r="N57" s="352">
        <f t="shared" si="9"/>
        <v>13216</v>
      </c>
      <c r="O57" s="357">
        <f t="shared" si="1"/>
        <v>5968</v>
      </c>
      <c r="P57" s="357">
        <v>9</v>
      </c>
      <c r="Q57" s="358">
        <v>9</v>
      </c>
      <c r="R57" s="359">
        <f t="shared" si="2"/>
        <v>0</v>
      </c>
      <c r="S57" s="360">
        <f t="shared" si="3"/>
        <v>0</v>
      </c>
      <c r="T57" s="361">
        <f t="shared" si="4"/>
        <v>0.10555555555555554</v>
      </c>
      <c r="U57" s="362">
        <v>0</v>
      </c>
      <c r="V57" s="362">
        <f t="shared" si="7"/>
        <v>13216</v>
      </c>
      <c r="W57" s="362">
        <f t="shared" si="5"/>
        <v>13216</v>
      </c>
      <c r="X57" s="742">
        <f t="shared" si="8"/>
        <v>0</v>
      </c>
    </row>
    <row r="58" spans="1:24" ht="13.9">
      <c r="A58" s="349">
        <f t="shared" si="6"/>
        <v>50</v>
      </c>
      <c r="B58" s="350" t="s">
        <v>983</v>
      </c>
      <c r="C58" s="350"/>
      <c r="D58" s="350" t="s">
        <v>1376</v>
      </c>
      <c r="E58" s="350" t="s">
        <v>1443</v>
      </c>
      <c r="F58" s="350" t="s">
        <v>1450</v>
      </c>
      <c r="G58" s="351"/>
      <c r="H58" s="352">
        <v>281781</v>
      </c>
      <c r="I58" s="353" t="s">
        <v>1379</v>
      </c>
      <c r="J58" s="353" t="s">
        <v>1379</v>
      </c>
      <c r="K58" s="354">
        <f t="shared" si="0"/>
        <v>281781</v>
      </c>
      <c r="L58" s="363">
        <v>39485</v>
      </c>
      <c r="M58" s="742">
        <v>267692</v>
      </c>
      <c r="N58" s="352">
        <f t="shared" si="9"/>
        <v>14089</v>
      </c>
      <c r="O58" s="357">
        <f t="shared" si="1"/>
        <v>5898</v>
      </c>
      <c r="P58" s="357">
        <v>9</v>
      </c>
      <c r="Q58" s="358">
        <v>9</v>
      </c>
      <c r="R58" s="359">
        <f t="shared" si="2"/>
        <v>0</v>
      </c>
      <c r="S58" s="360">
        <f t="shared" si="3"/>
        <v>0</v>
      </c>
      <c r="T58" s="361">
        <f t="shared" si="4"/>
        <v>0.10555555555555554</v>
      </c>
      <c r="U58" s="362">
        <v>0</v>
      </c>
      <c r="V58" s="362">
        <f t="shared" si="7"/>
        <v>14089</v>
      </c>
      <c r="W58" s="362">
        <f t="shared" si="5"/>
        <v>14089</v>
      </c>
      <c r="X58" s="742">
        <f t="shared" si="8"/>
        <v>0</v>
      </c>
    </row>
    <row r="59" spans="1:24" ht="13.9">
      <c r="A59" s="349">
        <f t="shared" si="6"/>
        <v>51</v>
      </c>
      <c r="B59" s="350" t="s">
        <v>983</v>
      </c>
      <c r="C59" s="350"/>
      <c r="D59" s="350" t="s">
        <v>1376</v>
      </c>
      <c r="E59" s="350" t="s">
        <v>1443</v>
      </c>
      <c r="F59" s="350" t="s">
        <v>1451</v>
      </c>
      <c r="G59" s="351"/>
      <c r="H59" s="352">
        <v>112713</v>
      </c>
      <c r="I59" s="353" t="s">
        <v>1379</v>
      </c>
      <c r="J59" s="353" t="s">
        <v>1379</v>
      </c>
      <c r="K59" s="354">
        <f t="shared" si="0"/>
        <v>112713</v>
      </c>
      <c r="L59" s="363">
        <v>39489</v>
      </c>
      <c r="M59" s="742">
        <v>107077</v>
      </c>
      <c r="N59" s="352">
        <f t="shared" si="9"/>
        <v>5636</v>
      </c>
      <c r="O59" s="357">
        <f t="shared" si="1"/>
        <v>5894</v>
      </c>
      <c r="P59" s="357">
        <v>9</v>
      </c>
      <c r="Q59" s="358">
        <v>9</v>
      </c>
      <c r="R59" s="359">
        <f t="shared" si="2"/>
        <v>0</v>
      </c>
      <c r="S59" s="360">
        <f t="shared" si="3"/>
        <v>0</v>
      </c>
      <c r="T59" s="361">
        <f t="shared" si="4"/>
        <v>0.10555555555555554</v>
      </c>
      <c r="U59" s="362">
        <v>0</v>
      </c>
      <c r="V59" s="362">
        <f t="shared" si="7"/>
        <v>5636</v>
      </c>
      <c r="W59" s="362">
        <f t="shared" si="5"/>
        <v>5636</v>
      </c>
      <c r="X59" s="742">
        <f t="shared" si="8"/>
        <v>0</v>
      </c>
    </row>
    <row r="60" spans="1:24" ht="13.9">
      <c r="A60" s="349">
        <f t="shared" si="6"/>
        <v>52</v>
      </c>
      <c r="B60" s="350" t="s">
        <v>983</v>
      </c>
      <c r="C60" s="350"/>
      <c r="D60" s="350" t="s">
        <v>1376</v>
      </c>
      <c r="E60" s="350" t="s">
        <v>1446</v>
      </c>
      <c r="F60" s="350" t="s">
        <v>1452</v>
      </c>
      <c r="G60" s="351"/>
      <c r="H60" s="352">
        <v>1057254</v>
      </c>
      <c r="I60" s="353" t="s">
        <v>1379</v>
      </c>
      <c r="J60" s="353" t="s">
        <v>1379</v>
      </c>
      <c r="K60" s="354">
        <f t="shared" si="0"/>
        <v>1057254</v>
      </c>
      <c r="L60" s="363">
        <v>39493</v>
      </c>
      <c r="M60" s="742">
        <v>1004391</v>
      </c>
      <c r="N60" s="352">
        <f t="shared" si="9"/>
        <v>52863</v>
      </c>
      <c r="O60" s="357">
        <f t="shared" si="1"/>
        <v>5890</v>
      </c>
      <c r="P60" s="357">
        <v>9</v>
      </c>
      <c r="Q60" s="358">
        <v>9</v>
      </c>
      <c r="R60" s="359">
        <f t="shared" si="2"/>
        <v>0</v>
      </c>
      <c r="S60" s="360">
        <f t="shared" si="3"/>
        <v>0</v>
      </c>
      <c r="T60" s="361">
        <f t="shared" si="4"/>
        <v>0.10555555555555554</v>
      </c>
      <c r="U60" s="362">
        <v>0</v>
      </c>
      <c r="V60" s="362">
        <f t="shared" si="7"/>
        <v>52863</v>
      </c>
      <c r="W60" s="362">
        <f t="shared" si="5"/>
        <v>52863</v>
      </c>
      <c r="X60" s="742">
        <f t="shared" si="8"/>
        <v>0</v>
      </c>
    </row>
    <row r="61" spans="1:24" ht="13.9">
      <c r="A61" s="349">
        <f t="shared" si="6"/>
        <v>53</v>
      </c>
      <c r="B61" s="350" t="s">
        <v>983</v>
      </c>
      <c r="C61" s="350" t="s">
        <v>1410</v>
      </c>
      <c r="D61" s="350" t="s">
        <v>1409</v>
      </c>
      <c r="E61" s="350"/>
      <c r="F61" s="350"/>
      <c r="G61" s="351"/>
      <c r="H61" s="352">
        <v>228595</v>
      </c>
      <c r="I61" s="353" t="s">
        <v>1379</v>
      </c>
      <c r="J61" s="353" t="s">
        <v>1379</v>
      </c>
      <c r="K61" s="354">
        <f t="shared" si="0"/>
        <v>228595</v>
      </c>
      <c r="L61" s="363">
        <v>39539</v>
      </c>
      <c r="M61" s="742">
        <v>217165</v>
      </c>
      <c r="N61" s="352">
        <f t="shared" si="9"/>
        <v>11430</v>
      </c>
      <c r="O61" s="357">
        <f t="shared" si="1"/>
        <v>5844</v>
      </c>
      <c r="P61" s="357">
        <v>9</v>
      </c>
      <c r="Q61" s="358">
        <v>9</v>
      </c>
      <c r="R61" s="359">
        <f t="shared" si="2"/>
        <v>0</v>
      </c>
      <c r="S61" s="360">
        <f t="shared" si="3"/>
        <v>0</v>
      </c>
      <c r="T61" s="361">
        <f t="shared" si="4"/>
        <v>0.10555555555555554</v>
      </c>
      <c r="U61" s="362">
        <v>0</v>
      </c>
      <c r="V61" s="362">
        <f t="shared" si="7"/>
        <v>11430</v>
      </c>
      <c r="W61" s="362">
        <f t="shared" si="5"/>
        <v>11430</v>
      </c>
      <c r="X61" s="742">
        <f t="shared" si="8"/>
        <v>0</v>
      </c>
    </row>
    <row r="62" spans="1:24" ht="13.9">
      <c r="A62" s="349">
        <f t="shared" si="6"/>
        <v>54</v>
      </c>
      <c r="B62" s="350" t="s">
        <v>983</v>
      </c>
      <c r="C62" s="350" t="s">
        <v>1410</v>
      </c>
      <c r="D62" s="350" t="s">
        <v>1409</v>
      </c>
      <c r="E62" s="350"/>
      <c r="F62" s="350"/>
      <c r="G62" s="351"/>
      <c r="H62" s="352">
        <v>303586</v>
      </c>
      <c r="I62" s="353" t="s">
        <v>1379</v>
      </c>
      <c r="J62" s="353" t="s">
        <v>1379</v>
      </c>
      <c r="K62" s="354">
        <f t="shared" si="0"/>
        <v>303586</v>
      </c>
      <c r="L62" s="363">
        <v>39564</v>
      </c>
      <c r="M62" s="742">
        <v>288407</v>
      </c>
      <c r="N62" s="352">
        <f t="shared" si="9"/>
        <v>15179</v>
      </c>
      <c r="O62" s="357">
        <f t="shared" si="1"/>
        <v>5819</v>
      </c>
      <c r="P62" s="357">
        <v>9</v>
      </c>
      <c r="Q62" s="358">
        <v>9</v>
      </c>
      <c r="R62" s="359">
        <f t="shared" si="2"/>
        <v>0</v>
      </c>
      <c r="S62" s="360">
        <f t="shared" si="3"/>
        <v>0</v>
      </c>
      <c r="T62" s="361">
        <f t="shared" si="4"/>
        <v>0.10555555555555554</v>
      </c>
      <c r="U62" s="362">
        <v>0</v>
      </c>
      <c r="V62" s="362">
        <f t="shared" si="7"/>
        <v>15179</v>
      </c>
      <c r="W62" s="362">
        <f t="shared" si="5"/>
        <v>15179</v>
      </c>
      <c r="X62" s="742">
        <f t="shared" si="8"/>
        <v>0</v>
      </c>
    </row>
    <row r="63" spans="1:24" ht="13.9">
      <c r="A63" s="349">
        <f t="shared" si="6"/>
        <v>55</v>
      </c>
      <c r="B63" s="350" t="s">
        <v>983</v>
      </c>
      <c r="C63" s="350"/>
      <c r="D63" s="350" t="s">
        <v>1409</v>
      </c>
      <c r="E63" s="350" t="s">
        <v>1446</v>
      </c>
      <c r="F63" s="350" t="s">
        <v>1453</v>
      </c>
      <c r="G63" s="351"/>
      <c r="H63" s="352">
        <v>20830</v>
      </c>
      <c r="I63" s="353" t="s">
        <v>1379</v>
      </c>
      <c r="J63" s="353" t="s">
        <v>1379</v>
      </c>
      <c r="K63" s="354">
        <f t="shared" si="0"/>
        <v>20830</v>
      </c>
      <c r="L63" s="363">
        <v>39566</v>
      </c>
      <c r="M63" s="742">
        <v>20830</v>
      </c>
      <c r="N63" s="352">
        <f t="shared" si="9"/>
        <v>0</v>
      </c>
      <c r="O63" s="357">
        <f t="shared" si="1"/>
        <v>5817</v>
      </c>
      <c r="P63" s="357">
        <v>9</v>
      </c>
      <c r="Q63" s="358">
        <v>9</v>
      </c>
      <c r="R63" s="359">
        <f t="shared" si="2"/>
        <v>0</v>
      </c>
      <c r="S63" s="360">
        <f t="shared" si="3"/>
        <v>0</v>
      </c>
      <c r="T63" s="361">
        <f t="shared" si="4"/>
        <v>0.10555555555555554</v>
      </c>
      <c r="U63" s="362">
        <v>0</v>
      </c>
      <c r="V63" s="362">
        <f t="shared" si="7"/>
        <v>0</v>
      </c>
      <c r="W63" s="362">
        <f t="shared" si="5"/>
        <v>1042</v>
      </c>
      <c r="X63" s="742">
        <f t="shared" si="8"/>
        <v>-1042</v>
      </c>
    </row>
    <row r="64" spans="1:24" ht="13.9">
      <c r="A64" s="349">
        <f t="shared" si="6"/>
        <v>56</v>
      </c>
      <c r="B64" s="350" t="s">
        <v>1454</v>
      </c>
      <c r="C64" s="350"/>
      <c r="D64" s="350" t="s">
        <v>1409</v>
      </c>
      <c r="E64" s="350" t="s">
        <v>1455</v>
      </c>
      <c r="F64" s="350"/>
      <c r="G64" s="351"/>
      <c r="H64" s="352">
        <v>868192</v>
      </c>
      <c r="I64" s="353" t="s">
        <v>1379</v>
      </c>
      <c r="J64" s="353" t="s">
        <v>1379</v>
      </c>
      <c r="K64" s="354">
        <f t="shared" si="0"/>
        <v>868192</v>
      </c>
      <c r="L64" s="363">
        <v>39620</v>
      </c>
      <c r="M64" s="742">
        <v>824782</v>
      </c>
      <c r="N64" s="352">
        <f t="shared" si="9"/>
        <v>43410</v>
      </c>
      <c r="O64" s="357">
        <f t="shared" si="1"/>
        <v>5763</v>
      </c>
      <c r="P64" s="357">
        <v>9</v>
      </c>
      <c r="Q64" s="358">
        <v>9</v>
      </c>
      <c r="R64" s="359">
        <f t="shared" si="2"/>
        <v>0</v>
      </c>
      <c r="S64" s="360">
        <f t="shared" si="3"/>
        <v>0</v>
      </c>
      <c r="T64" s="361">
        <f t="shared" si="4"/>
        <v>0.10555555555555554</v>
      </c>
      <c r="U64" s="362">
        <v>0</v>
      </c>
      <c r="V64" s="362">
        <f t="shared" si="7"/>
        <v>43410</v>
      </c>
      <c r="W64" s="362">
        <f t="shared" si="5"/>
        <v>43410</v>
      </c>
      <c r="X64" s="742">
        <f t="shared" si="8"/>
        <v>0</v>
      </c>
    </row>
    <row r="65" spans="1:24" ht="13.9">
      <c r="A65" s="349">
        <f t="shared" si="6"/>
        <v>57</v>
      </c>
      <c r="B65" s="350" t="s">
        <v>1454</v>
      </c>
      <c r="C65" s="350"/>
      <c r="D65" s="350" t="s">
        <v>1376</v>
      </c>
      <c r="E65" s="350" t="s">
        <v>1455</v>
      </c>
      <c r="F65" s="350"/>
      <c r="G65" s="351" t="s">
        <v>1456</v>
      </c>
      <c r="H65" s="352">
        <v>464311</v>
      </c>
      <c r="I65" s="353" t="s">
        <v>1379</v>
      </c>
      <c r="J65" s="353" t="s">
        <v>1379</v>
      </c>
      <c r="K65" s="354">
        <f t="shared" si="0"/>
        <v>464311</v>
      </c>
      <c r="L65" s="363" t="s">
        <v>1456</v>
      </c>
      <c r="M65" s="742">
        <v>441095</v>
      </c>
      <c r="N65" s="352">
        <f t="shared" si="9"/>
        <v>23216</v>
      </c>
      <c r="O65" s="357">
        <f t="shared" si="1"/>
        <v>6209</v>
      </c>
      <c r="P65" s="357">
        <v>9</v>
      </c>
      <c r="Q65" s="358">
        <v>9</v>
      </c>
      <c r="R65" s="359">
        <f t="shared" si="2"/>
        <v>0</v>
      </c>
      <c r="S65" s="360">
        <f t="shared" si="3"/>
        <v>0</v>
      </c>
      <c r="T65" s="361">
        <f t="shared" si="4"/>
        <v>0.10555555555555554</v>
      </c>
      <c r="U65" s="362">
        <v>0</v>
      </c>
      <c r="V65" s="362">
        <f t="shared" si="7"/>
        <v>23216</v>
      </c>
      <c r="W65" s="362">
        <f t="shared" si="5"/>
        <v>23216</v>
      </c>
      <c r="X65" s="742">
        <f t="shared" si="8"/>
        <v>0</v>
      </c>
    </row>
    <row r="66" spans="1:24" ht="13.9">
      <c r="A66" s="349">
        <f t="shared" si="6"/>
        <v>58</v>
      </c>
      <c r="B66" s="350" t="s">
        <v>1457</v>
      </c>
      <c r="C66" s="350" t="s">
        <v>1458</v>
      </c>
      <c r="D66" s="350" t="s">
        <v>1409</v>
      </c>
      <c r="E66" s="350" t="s">
        <v>1459</v>
      </c>
      <c r="F66" s="350" t="s">
        <v>1460</v>
      </c>
      <c r="G66" s="351" t="s">
        <v>1461</v>
      </c>
      <c r="H66" s="352">
        <v>1939749</v>
      </c>
      <c r="I66" s="353" t="s">
        <v>1379</v>
      </c>
      <c r="J66" s="353" t="s">
        <v>1379</v>
      </c>
      <c r="K66" s="354">
        <f t="shared" si="0"/>
        <v>1939749</v>
      </c>
      <c r="L66" s="363">
        <v>39782</v>
      </c>
      <c r="M66" s="742">
        <v>1842762</v>
      </c>
      <c r="N66" s="352">
        <f t="shared" si="9"/>
        <v>96987</v>
      </c>
      <c r="O66" s="357">
        <f t="shared" si="1"/>
        <v>5601</v>
      </c>
      <c r="P66" s="357">
        <v>9</v>
      </c>
      <c r="Q66" s="358">
        <v>9</v>
      </c>
      <c r="R66" s="359">
        <f t="shared" si="2"/>
        <v>0</v>
      </c>
      <c r="S66" s="360">
        <f t="shared" si="3"/>
        <v>0</v>
      </c>
      <c r="T66" s="361">
        <f t="shared" si="4"/>
        <v>0.10555555555555554</v>
      </c>
      <c r="U66" s="362">
        <v>0</v>
      </c>
      <c r="V66" s="362">
        <f t="shared" si="7"/>
        <v>96987</v>
      </c>
      <c r="W66" s="362">
        <f t="shared" si="5"/>
        <v>96987</v>
      </c>
      <c r="X66" s="742">
        <f t="shared" si="8"/>
        <v>0</v>
      </c>
    </row>
    <row r="67" spans="1:24" ht="13.9">
      <c r="A67" s="349">
        <f t="shared" si="6"/>
        <v>59</v>
      </c>
      <c r="B67" s="350" t="s">
        <v>1457</v>
      </c>
      <c r="C67" s="350" t="s">
        <v>1458</v>
      </c>
      <c r="D67" s="350" t="s">
        <v>1409</v>
      </c>
      <c r="E67" s="350" t="s">
        <v>1459</v>
      </c>
      <c r="F67" s="350" t="s">
        <v>1462</v>
      </c>
      <c r="G67" s="351" t="s">
        <v>1461</v>
      </c>
      <c r="H67" s="352">
        <v>3133640</v>
      </c>
      <c r="I67" s="353" t="s">
        <v>1379</v>
      </c>
      <c r="J67" s="353" t="s">
        <v>1379</v>
      </c>
      <c r="K67" s="354">
        <f t="shared" si="0"/>
        <v>3133640</v>
      </c>
      <c r="L67" s="363">
        <v>39782</v>
      </c>
      <c r="M67" s="742">
        <v>2976958</v>
      </c>
      <c r="N67" s="352">
        <f t="shared" si="9"/>
        <v>156682</v>
      </c>
      <c r="O67" s="357">
        <f t="shared" si="1"/>
        <v>5601</v>
      </c>
      <c r="P67" s="357">
        <v>9</v>
      </c>
      <c r="Q67" s="358">
        <v>9</v>
      </c>
      <c r="R67" s="359">
        <f t="shared" si="2"/>
        <v>0</v>
      </c>
      <c r="S67" s="360">
        <f t="shared" si="3"/>
        <v>0</v>
      </c>
      <c r="T67" s="361">
        <f t="shared" si="4"/>
        <v>0.10555555555555554</v>
      </c>
      <c r="U67" s="362">
        <v>0</v>
      </c>
      <c r="V67" s="362">
        <f t="shared" si="7"/>
        <v>156682</v>
      </c>
      <c r="W67" s="362">
        <f t="shared" si="5"/>
        <v>156682</v>
      </c>
      <c r="X67" s="742">
        <f t="shared" si="8"/>
        <v>0</v>
      </c>
    </row>
    <row r="68" spans="1:24" ht="13.9">
      <c r="A68" s="349">
        <f t="shared" si="6"/>
        <v>60</v>
      </c>
      <c r="B68" s="350" t="s">
        <v>1463</v>
      </c>
      <c r="C68" s="350"/>
      <c r="D68" s="350" t="s">
        <v>1409</v>
      </c>
      <c r="E68" s="350" t="s">
        <v>1464</v>
      </c>
      <c r="F68" s="350" t="s">
        <v>1465</v>
      </c>
      <c r="G68" s="366">
        <v>39813</v>
      </c>
      <c r="H68" s="352">
        <v>3532538</v>
      </c>
      <c r="I68" s="353" t="s">
        <v>1379</v>
      </c>
      <c r="J68" s="353" t="s">
        <v>1379</v>
      </c>
      <c r="K68" s="354">
        <f t="shared" si="0"/>
        <v>3532538</v>
      </c>
      <c r="L68" s="363">
        <v>39813</v>
      </c>
      <c r="M68" s="742">
        <v>3355911</v>
      </c>
      <c r="N68" s="352">
        <f t="shared" si="9"/>
        <v>176627</v>
      </c>
      <c r="O68" s="357">
        <f t="shared" si="1"/>
        <v>5570</v>
      </c>
      <c r="P68" s="357">
        <v>9</v>
      </c>
      <c r="Q68" s="358">
        <v>9</v>
      </c>
      <c r="R68" s="359">
        <f t="shared" si="2"/>
        <v>0</v>
      </c>
      <c r="S68" s="360">
        <f t="shared" si="3"/>
        <v>0</v>
      </c>
      <c r="T68" s="361">
        <f t="shared" si="4"/>
        <v>0.10555555555555554</v>
      </c>
      <c r="U68" s="362">
        <v>0</v>
      </c>
      <c r="V68" s="362">
        <f t="shared" si="7"/>
        <v>176627</v>
      </c>
      <c r="W68" s="362">
        <f t="shared" si="5"/>
        <v>176627</v>
      </c>
      <c r="X68" s="742">
        <f t="shared" si="8"/>
        <v>0</v>
      </c>
    </row>
    <row r="69" spans="1:24" ht="13.9">
      <c r="A69" s="349">
        <f t="shared" si="6"/>
        <v>61</v>
      </c>
      <c r="B69" s="350" t="s">
        <v>1466</v>
      </c>
      <c r="C69" s="350"/>
      <c r="D69" s="350" t="s">
        <v>1409</v>
      </c>
      <c r="E69" s="350" t="s">
        <v>1467</v>
      </c>
      <c r="F69" s="350"/>
      <c r="G69" s="366">
        <v>39898</v>
      </c>
      <c r="H69" s="352">
        <v>700000</v>
      </c>
      <c r="I69" s="353" t="s">
        <v>1379</v>
      </c>
      <c r="J69" s="353" t="s">
        <v>1379</v>
      </c>
      <c r="K69" s="354">
        <f t="shared" si="0"/>
        <v>700000</v>
      </c>
      <c r="L69" s="363">
        <v>39898</v>
      </c>
      <c r="M69" s="742">
        <v>665000</v>
      </c>
      <c r="N69" s="352">
        <f t="shared" si="9"/>
        <v>35000</v>
      </c>
      <c r="O69" s="357">
        <f t="shared" si="1"/>
        <v>5485</v>
      </c>
      <c r="P69" s="357">
        <v>9</v>
      </c>
      <c r="Q69" s="358">
        <v>9</v>
      </c>
      <c r="R69" s="359">
        <f t="shared" si="2"/>
        <v>0</v>
      </c>
      <c r="S69" s="360">
        <f t="shared" si="3"/>
        <v>0</v>
      </c>
      <c r="T69" s="361">
        <f t="shared" si="4"/>
        <v>0.10555555555555554</v>
      </c>
      <c r="U69" s="362">
        <v>0</v>
      </c>
      <c r="V69" s="362">
        <f t="shared" si="7"/>
        <v>35000</v>
      </c>
      <c r="W69" s="362">
        <f t="shared" si="5"/>
        <v>35000</v>
      </c>
      <c r="X69" s="742">
        <f t="shared" si="8"/>
        <v>0</v>
      </c>
    </row>
    <row r="70" spans="1:24" ht="13.9">
      <c r="A70" s="349">
        <f t="shared" si="6"/>
        <v>62</v>
      </c>
      <c r="B70" s="350" t="s">
        <v>1468</v>
      </c>
      <c r="C70" s="350" t="s">
        <v>1458</v>
      </c>
      <c r="D70" s="350" t="s">
        <v>1409</v>
      </c>
      <c r="E70" s="350" t="s">
        <v>1469</v>
      </c>
      <c r="F70" s="350" t="s">
        <v>1470</v>
      </c>
      <c r="G70" s="351" t="s">
        <v>1461</v>
      </c>
      <c r="H70" s="352">
        <v>5087165</v>
      </c>
      <c r="I70" s="353" t="s">
        <v>1379</v>
      </c>
      <c r="J70" s="353" t="s">
        <v>1379</v>
      </c>
      <c r="K70" s="354">
        <f t="shared" si="0"/>
        <v>5087165</v>
      </c>
      <c r="L70" s="363">
        <v>39794</v>
      </c>
      <c r="M70" s="742">
        <v>4832807</v>
      </c>
      <c r="N70" s="352">
        <f t="shared" si="9"/>
        <v>254358</v>
      </c>
      <c r="O70" s="357">
        <f t="shared" si="1"/>
        <v>5589</v>
      </c>
      <c r="P70" s="357">
        <v>9</v>
      </c>
      <c r="Q70" s="358">
        <v>9</v>
      </c>
      <c r="R70" s="359">
        <f t="shared" si="2"/>
        <v>0</v>
      </c>
      <c r="S70" s="360">
        <f t="shared" si="3"/>
        <v>0</v>
      </c>
      <c r="T70" s="361">
        <f t="shared" si="4"/>
        <v>0.10555555555555554</v>
      </c>
      <c r="U70" s="362">
        <v>0</v>
      </c>
      <c r="V70" s="362">
        <f t="shared" si="7"/>
        <v>254358</v>
      </c>
      <c r="W70" s="362">
        <f t="shared" si="5"/>
        <v>254358</v>
      </c>
      <c r="X70" s="742">
        <f t="shared" si="8"/>
        <v>0</v>
      </c>
    </row>
    <row r="71" spans="1:24" ht="13.9">
      <c r="A71" s="349">
        <f t="shared" si="6"/>
        <v>63</v>
      </c>
      <c r="B71" s="350" t="s">
        <v>1471</v>
      </c>
      <c r="C71" s="350" t="s">
        <v>1458</v>
      </c>
      <c r="D71" s="350" t="s">
        <v>1409</v>
      </c>
      <c r="E71" s="350" t="s">
        <v>1464</v>
      </c>
      <c r="F71" s="350" t="s">
        <v>1472</v>
      </c>
      <c r="G71" s="351" t="s">
        <v>1473</v>
      </c>
      <c r="H71" s="352">
        <v>2376400</v>
      </c>
      <c r="I71" s="353" t="s">
        <v>1379</v>
      </c>
      <c r="J71" s="353" t="s">
        <v>1379</v>
      </c>
      <c r="K71" s="354">
        <f t="shared" si="0"/>
        <v>2376400</v>
      </c>
      <c r="L71" s="363">
        <v>39813</v>
      </c>
      <c r="M71" s="742">
        <v>2257580</v>
      </c>
      <c r="N71" s="352">
        <f t="shared" si="9"/>
        <v>118820</v>
      </c>
      <c r="O71" s="357">
        <f t="shared" si="1"/>
        <v>5570</v>
      </c>
      <c r="P71" s="357">
        <v>9</v>
      </c>
      <c r="Q71" s="358">
        <v>9</v>
      </c>
      <c r="R71" s="359">
        <f t="shared" si="2"/>
        <v>0</v>
      </c>
      <c r="S71" s="360">
        <f t="shared" si="3"/>
        <v>0</v>
      </c>
      <c r="T71" s="361">
        <f t="shared" si="4"/>
        <v>0.10555555555555554</v>
      </c>
      <c r="U71" s="362">
        <v>0</v>
      </c>
      <c r="V71" s="362">
        <f t="shared" si="7"/>
        <v>118820</v>
      </c>
      <c r="W71" s="362">
        <f t="shared" si="5"/>
        <v>118820</v>
      </c>
      <c r="X71" s="742">
        <f t="shared" si="8"/>
        <v>0</v>
      </c>
    </row>
    <row r="72" spans="1:24" ht="13.9">
      <c r="A72" s="349">
        <f t="shared" si="6"/>
        <v>64</v>
      </c>
      <c r="B72" s="350" t="s">
        <v>1474</v>
      </c>
      <c r="C72" s="350" t="s">
        <v>1458</v>
      </c>
      <c r="D72" s="350" t="s">
        <v>1409</v>
      </c>
      <c r="E72" s="350" t="s">
        <v>1464</v>
      </c>
      <c r="F72" s="350" t="s">
        <v>1475</v>
      </c>
      <c r="G72" s="351" t="s">
        <v>1473</v>
      </c>
      <c r="H72" s="352">
        <v>2376400</v>
      </c>
      <c r="I72" s="353" t="s">
        <v>1379</v>
      </c>
      <c r="J72" s="353" t="s">
        <v>1379</v>
      </c>
      <c r="K72" s="354">
        <f t="shared" si="0"/>
        <v>2376400</v>
      </c>
      <c r="L72" s="363">
        <v>39813</v>
      </c>
      <c r="M72" s="742">
        <v>2257580</v>
      </c>
      <c r="N72" s="352">
        <f t="shared" si="9"/>
        <v>118820</v>
      </c>
      <c r="O72" s="357">
        <f t="shared" si="1"/>
        <v>5570</v>
      </c>
      <c r="P72" s="357">
        <v>9</v>
      </c>
      <c r="Q72" s="358">
        <v>9</v>
      </c>
      <c r="R72" s="359">
        <f t="shared" si="2"/>
        <v>0</v>
      </c>
      <c r="S72" s="360">
        <f t="shared" si="3"/>
        <v>0</v>
      </c>
      <c r="T72" s="361">
        <f t="shared" si="4"/>
        <v>0.10555555555555554</v>
      </c>
      <c r="U72" s="362">
        <v>0</v>
      </c>
      <c r="V72" s="362">
        <f t="shared" si="7"/>
        <v>118820</v>
      </c>
      <c r="W72" s="362">
        <f t="shared" si="5"/>
        <v>118820</v>
      </c>
      <c r="X72" s="742">
        <f t="shared" si="8"/>
        <v>0</v>
      </c>
    </row>
    <row r="73" spans="1:24" ht="13.9">
      <c r="A73" s="349">
        <f t="shared" si="6"/>
        <v>65</v>
      </c>
      <c r="B73" s="350" t="s">
        <v>1476</v>
      </c>
      <c r="C73" s="350" t="s">
        <v>1458</v>
      </c>
      <c r="D73" s="350" t="s">
        <v>1409</v>
      </c>
      <c r="E73" s="350" t="s">
        <v>1464</v>
      </c>
      <c r="F73" s="350" t="s">
        <v>1477</v>
      </c>
      <c r="G73" s="351" t="s">
        <v>1473</v>
      </c>
      <c r="H73" s="352">
        <v>2376400</v>
      </c>
      <c r="I73" s="353" t="s">
        <v>1379</v>
      </c>
      <c r="J73" s="353" t="s">
        <v>1379</v>
      </c>
      <c r="K73" s="354">
        <f t="shared" ref="K73:K136" si="10">+H73+I73-J73</f>
        <v>2376400</v>
      </c>
      <c r="L73" s="363">
        <v>39813</v>
      </c>
      <c r="M73" s="742">
        <v>2257580</v>
      </c>
      <c r="N73" s="352">
        <f t="shared" si="9"/>
        <v>118820</v>
      </c>
      <c r="O73" s="357">
        <f t="shared" ref="O73:O136" si="11">+$O$3-L73+1</f>
        <v>5570</v>
      </c>
      <c r="P73" s="357">
        <v>9</v>
      </c>
      <c r="Q73" s="358">
        <v>9</v>
      </c>
      <c r="R73" s="359">
        <f t="shared" ref="R73:R136" si="12">+P73-Q73</f>
        <v>0</v>
      </c>
      <c r="S73" s="360">
        <f t="shared" ref="S73:S136" si="13">IF(R73&lt;0,0,IF(R73&gt;365,365,R73))</f>
        <v>0</v>
      </c>
      <c r="T73" s="361">
        <f t="shared" ref="T73:T136" si="14">1/P73*0.95</f>
        <v>0.10555555555555554</v>
      </c>
      <c r="U73" s="362">
        <v>0</v>
      </c>
      <c r="V73" s="362">
        <f t="shared" si="7"/>
        <v>118820</v>
      </c>
      <c r="W73" s="362">
        <f t="shared" ref="W73:W136" si="15">ROUND(+H73*5%,0)</f>
        <v>118820</v>
      </c>
      <c r="X73" s="742">
        <f t="shared" si="8"/>
        <v>0</v>
      </c>
    </row>
    <row r="74" spans="1:24" ht="13.9">
      <c r="A74" s="349">
        <f t="shared" ref="A74:A137" si="16">+A73+1</f>
        <v>66</v>
      </c>
      <c r="B74" s="350" t="s">
        <v>320</v>
      </c>
      <c r="C74" s="350" t="s">
        <v>1458</v>
      </c>
      <c r="D74" s="350" t="s">
        <v>1409</v>
      </c>
      <c r="E74" s="350" t="s">
        <v>1478</v>
      </c>
      <c r="F74" s="350" t="s">
        <v>1479</v>
      </c>
      <c r="G74" s="366">
        <v>39759</v>
      </c>
      <c r="H74" s="352">
        <v>88995</v>
      </c>
      <c r="I74" s="353" t="s">
        <v>1379</v>
      </c>
      <c r="J74" s="353" t="s">
        <v>1379</v>
      </c>
      <c r="K74" s="354">
        <f t="shared" si="10"/>
        <v>88995</v>
      </c>
      <c r="L74" s="363">
        <v>39759</v>
      </c>
      <c r="M74" s="742">
        <v>84545</v>
      </c>
      <c r="N74" s="352">
        <f t="shared" si="9"/>
        <v>4450</v>
      </c>
      <c r="O74" s="357">
        <f t="shared" si="11"/>
        <v>5624</v>
      </c>
      <c r="P74" s="357">
        <v>9</v>
      </c>
      <c r="Q74" s="358">
        <v>9</v>
      </c>
      <c r="R74" s="359">
        <f t="shared" si="12"/>
        <v>0</v>
      </c>
      <c r="S74" s="360">
        <f t="shared" si="13"/>
        <v>0</v>
      </c>
      <c r="T74" s="361">
        <f t="shared" si="14"/>
        <v>0.10555555555555554</v>
      </c>
      <c r="U74" s="362">
        <v>0</v>
      </c>
      <c r="V74" s="362">
        <f t="shared" ref="V74:V137" si="17">+N74-U74</f>
        <v>4450</v>
      </c>
      <c r="W74" s="362">
        <f t="shared" si="15"/>
        <v>4450</v>
      </c>
      <c r="X74" s="742">
        <f t="shared" ref="X74:X137" si="18">+V74-W74</f>
        <v>0</v>
      </c>
    </row>
    <row r="75" spans="1:24" ht="13.9">
      <c r="A75" s="349">
        <f t="shared" si="16"/>
        <v>67</v>
      </c>
      <c r="B75" s="350" t="s">
        <v>320</v>
      </c>
      <c r="C75" s="350" t="s">
        <v>1458</v>
      </c>
      <c r="D75" s="350" t="s">
        <v>1409</v>
      </c>
      <c r="E75" s="350" t="s">
        <v>1478</v>
      </c>
      <c r="F75" s="350" t="s">
        <v>1480</v>
      </c>
      <c r="G75" s="366">
        <v>39833</v>
      </c>
      <c r="H75" s="352">
        <v>50689</v>
      </c>
      <c r="I75" s="353" t="s">
        <v>1379</v>
      </c>
      <c r="J75" s="353" t="s">
        <v>1379</v>
      </c>
      <c r="K75" s="354">
        <f t="shared" si="10"/>
        <v>50689</v>
      </c>
      <c r="L75" s="363">
        <v>39833</v>
      </c>
      <c r="M75" s="742">
        <v>48155</v>
      </c>
      <c r="N75" s="352">
        <f t="shared" ref="N75:N138" si="19">+K75-M75</f>
        <v>2534</v>
      </c>
      <c r="O75" s="357">
        <f t="shared" si="11"/>
        <v>5550</v>
      </c>
      <c r="P75" s="357">
        <v>9</v>
      </c>
      <c r="Q75" s="358">
        <v>9</v>
      </c>
      <c r="R75" s="359">
        <f t="shared" si="12"/>
        <v>0</v>
      </c>
      <c r="S75" s="360">
        <f t="shared" si="13"/>
        <v>0</v>
      </c>
      <c r="T75" s="361">
        <f t="shared" si="14"/>
        <v>0.10555555555555554</v>
      </c>
      <c r="U75" s="362">
        <v>0</v>
      </c>
      <c r="V75" s="362">
        <f t="shared" si="17"/>
        <v>2534</v>
      </c>
      <c r="W75" s="362">
        <f t="shared" si="15"/>
        <v>2534</v>
      </c>
      <c r="X75" s="742">
        <f t="shared" si="18"/>
        <v>0</v>
      </c>
    </row>
    <row r="76" spans="1:24" ht="13.9">
      <c r="A76" s="349">
        <f t="shared" si="16"/>
        <v>68</v>
      </c>
      <c r="B76" s="350" t="s">
        <v>578</v>
      </c>
      <c r="C76" s="350" t="s">
        <v>1481</v>
      </c>
      <c r="D76" s="350" t="s">
        <v>1409</v>
      </c>
      <c r="E76" s="350" t="s">
        <v>1482</v>
      </c>
      <c r="F76" s="350" t="s">
        <v>1483</v>
      </c>
      <c r="G76" s="351" t="s">
        <v>1484</v>
      </c>
      <c r="H76" s="352">
        <v>9384000</v>
      </c>
      <c r="I76" s="353" t="s">
        <v>1379</v>
      </c>
      <c r="J76" s="353" t="s">
        <v>1379</v>
      </c>
      <c r="K76" s="354">
        <f t="shared" si="10"/>
        <v>9384000</v>
      </c>
      <c r="L76" s="363">
        <v>39802</v>
      </c>
      <c r="M76" s="742">
        <v>8914800</v>
      </c>
      <c r="N76" s="352">
        <f t="shared" si="19"/>
        <v>469200</v>
      </c>
      <c r="O76" s="357">
        <f t="shared" si="11"/>
        <v>5581</v>
      </c>
      <c r="P76" s="357">
        <v>9</v>
      </c>
      <c r="Q76" s="358">
        <v>9</v>
      </c>
      <c r="R76" s="359">
        <f t="shared" si="12"/>
        <v>0</v>
      </c>
      <c r="S76" s="360">
        <f t="shared" si="13"/>
        <v>0</v>
      </c>
      <c r="T76" s="361">
        <f t="shared" si="14"/>
        <v>0.10555555555555554</v>
      </c>
      <c r="U76" s="362">
        <v>0</v>
      </c>
      <c r="V76" s="362">
        <f t="shared" si="17"/>
        <v>469200</v>
      </c>
      <c r="W76" s="362">
        <f t="shared" si="15"/>
        <v>469200</v>
      </c>
      <c r="X76" s="742">
        <f t="shared" si="18"/>
        <v>0</v>
      </c>
    </row>
    <row r="77" spans="1:24" ht="13.9">
      <c r="A77" s="349">
        <f t="shared" si="16"/>
        <v>69</v>
      </c>
      <c r="B77" s="350" t="s">
        <v>1485</v>
      </c>
      <c r="C77" s="350" t="s">
        <v>1481</v>
      </c>
      <c r="D77" s="350" t="s">
        <v>1409</v>
      </c>
      <c r="E77" s="350" t="s">
        <v>1486</v>
      </c>
      <c r="F77" s="350" t="s">
        <v>1487</v>
      </c>
      <c r="G77" s="351" t="s">
        <v>1488</v>
      </c>
      <c r="H77" s="352">
        <v>3125451</v>
      </c>
      <c r="I77" s="353" t="s">
        <v>1379</v>
      </c>
      <c r="J77" s="353" t="s">
        <v>1379</v>
      </c>
      <c r="K77" s="354">
        <f t="shared" si="10"/>
        <v>3125451</v>
      </c>
      <c r="L77" s="363">
        <v>39714</v>
      </c>
      <c r="M77" s="742">
        <v>2969178</v>
      </c>
      <c r="N77" s="352">
        <f t="shared" si="19"/>
        <v>156273</v>
      </c>
      <c r="O77" s="357">
        <f t="shared" si="11"/>
        <v>5669</v>
      </c>
      <c r="P77" s="357">
        <v>9</v>
      </c>
      <c r="Q77" s="358">
        <v>9</v>
      </c>
      <c r="R77" s="359">
        <f t="shared" si="12"/>
        <v>0</v>
      </c>
      <c r="S77" s="360">
        <f>IF(R77&lt;0,0,IF(R77&gt;365,365,R77))</f>
        <v>0</v>
      </c>
      <c r="T77" s="361">
        <f t="shared" si="14"/>
        <v>0.10555555555555554</v>
      </c>
      <c r="U77" s="362">
        <v>0</v>
      </c>
      <c r="V77" s="362">
        <f t="shared" si="17"/>
        <v>156273</v>
      </c>
      <c r="W77" s="362">
        <f t="shared" si="15"/>
        <v>156273</v>
      </c>
      <c r="X77" s="742">
        <f t="shared" si="18"/>
        <v>0</v>
      </c>
    </row>
    <row r="78" spans="1:24" ht="13.9">
      <c r="A78" s="349">
        <f t="shared" si="16"/>
        <v>70</v>
      </c>
      <c r="B78" s="350" t="s">
        <v>1489</v>
      </c>
      <c r="C78" s="350" t="s">
        <v>1458</v>
      </c>
      <c r="D78" s="350" t="s">
        <v>1409</v>
      </c>
      <c r="E78" s="350" t="s">
        <v>1490</v>
      </c>
      <c r="F78" s="350" t="s">
        <v>1491</v>
      </c>
      <c r="G78" s="366">
        <v>39811</v>
      </c>
      <c r="H78" s="352">
        <v>1922788</v>
      </c>
      <c r="I78" s="353" t="s">
        <v>1379</v>
      </c>
      <c r="J78" s="353" t="s">
        <v>1379</v>
      </c>
      <c r="K78" s="354">
        <f t="shared" si="10"/>
        <v>1922788</v>
      </c>
      <c r="L78" s="363">
        <v>39811</v>
      </c>
      <c r="M78" s="742">
        <v>1826649</v>
      </c>
      <c r="N78" s="352">
        <f t="shared" si="19"/>
        <v>96139</v>
      </c>
      <c r="O78" s="357">
        <f t="shared" si="11"/>
        <v>5572</v>
      </c>
      <c r="P78" s="357">
        <v>9</v>
      </c>
      <c r="Q78" s="358">
        <v>9</v>
      </c>
      <c r="R78" s="359">
        <f t="shared" si="12"/>
        <v>0</v>
      </c>
      <c r="S78" s="360">
        <f t="shared" si="13"/>
        <v>0</v>
      </c>
      <c r="T78" s="361">
        <f t="shared" si="14"/>
        <v>0.10555555555555554</v>
      </c>
      <c r="U78" s="362">
        <v>0</v>
      </c>
      <c r="V78" s="362">
        <f t="shared" si="17"/>
        <v>96139</v>
      </c>
      <c r="W78" s="362">
        <f t="shared" si="15"/>
        <v>96139</v>
      </c>
      <c r="X78" s="742">
        <f t="shared" si="18"/>
        <v>0</v>
      </c>
    </row>
    <row r="79" spans="1:24" ht="13.9">
      <c r="A79" s="349">
        <f t="shared" si="16"/>
        <v>71</v>
      </c>
      <c r="B79" s="350" t="s">
        <v>1492</v>
      </c>
      <c r="C79" s="350" t="s">
        <v>1458</v>
      </c>
      <c r="D79" s="350" t="s">
        <v>1409</v>
      </c>
      <c r="E79" s="350" t="s">
        <v>1490</v>
      </c>
      <c r="F79" s="350" t="s">
        <v>1493</v>
      </c>
      <c r="G79" s="366">
        <v>39811</v>
      </c>
      <c r="H79" s="352">
        <v>1922788</v>
      </c>
      <c r="I79" s="353" t="s">
        <v>1379</v>
      </c>
      <c r="J79" s="353" t="s">
        <v>1379</v>
      </c>
      <c r="K79" s="354">
        <f t="shared" si="10"/>
        <v>1922788</v>
      </c>
      <c r="L79" s="363">
        <v>39811</v>
      </c>
      <c r="M79" s="742">
        <v>1826649</v>
      </c>
      <c r="N79" s="352">
        <f t="shared" si="19"/>
        <v>96139</v>
      </c>
      <c r="O79" s="357">
        <f t="shared" si="11"/>
        <v>5572</v>
      </c>
      <c r="P79" s="357">
        <v>9</v>
      </c>
      <c r="Q79" s="358">
        <v>9</v>
      </c>
      <c r="R79" s="359">
        <f t="shared" si="12"/>
        <v>0</v>
      </c>
      <c r="S79" s="360">
        <f t="shared" si="13"/>
        <v>0</v>
      </c>
      <c r="T79" s="361">
        <f t="shared" si="14"/>
        <v>0.10555555555555554</v>
      </c>
      <c r="U79" s="362">
        <v>0</v>
      </c>
      <c r="V79" s="362">
        <f t="shared" si="17"/>
        <v>96139</v>
      </c>
      <c r="W79" s="362">
        <f t="shared" si="15"/>
        <v>96139</v>
      </c>
      <c r="X79" s="742">
        <f t="shared" si="18"/>
        <v>0</v>
      </c>
    </row>
    <row r="80" spans="1:24" ht="13.9">
      <c r="A80" s="349">
        <f t="shared" si="16"/>
        <v>72</v>
      </c>
      <c r="B80" s="350" t="s">
        <v>1494</v>
      </c>
      <c r="C80" s="350" t="s">
        <v>1458</v>
      </c>
      <c r="D80" s="350" t="s">
        <v>1409</v>
      </c>
      <c r="E80" s="350" t="s">
        <v>1490</v>
      </c>
      <c r="F80" s="350" t="s">
        <v>1495</v>
      </c>
      <c r="G80" s="366">
        <v>39811</v>
      </c>
      <c r="H80" s="352">
        <v>1922788</v>
      </c>
      <c r="I80" s="353" t="s">
        <v>1379</v>
      </c>
      <c r="J80" s="353" t="s">
        <v>1379</v>
      </c>
      <c r="K80" s="354">
        <f t="shared" si="10"/>
        <v>1922788</v>
      </c>
      <c r="L80" s="363">
        <v>39811</v>
      </c>
      <c r="M80" s="742">
        <v>1826649</v>
      </c>
      <c r="N80" s="352">
        <f t="shared" si="19"/>
        <v>96139</v>
      </c>
      <c r="O80" s="357">
        <f t="shared" si="11"/>
        <v>5572</v>
      </c>
      <c r="P80" s="357">
        <v>9</v>
      </c>
      <c r="Q80" s="358">
        <v>9</v>
      </c>
      <c r="R80" s="359">
        <f t="shared" si="12"/>
        <v>0</v>
      </c>
      <c r="S80" s="360">
        <f t="shared" si="13"/>
        <v>0</v>
      </c>
      <c r="T80" s="361">
        <f t="shared" si="14"/>
        <v>0.10555555555555554</v>
      </c>
      <c r="U80" s="362">
        <v>0</v>
      </c>
      <c r="V80" s="362">
        <f t="shared" si="17"/>
        <v>96139</v>
      </c>
      <c r="W80" s="362">
        <f t="shared" si="15"/>
        <v>96139</v>
      </c>
      <c r="X80" s="742">
        <f t="shared" si="18"/>
        <v>0</v>
      </c>
    </row>
    <row r="81" spans="1:24" ht="13.9">
      <c r="A81" s="349">
        <f t="shared" si="16"/>
        <v>73</v>
      </c>
      <c r="B81" s="350" t="s">
        <v>1496</v>
      </c>
      <c r="C81" s="350" t="s">
        <v>1458</v>
      </c>
      <c r="D81" s="350" t="s">
        <v>1409</v>
      </c>
      <c r="E81" s="350" t="s">
        <v>1490</v>
      </c>
      <c r="F81" s="350" t="s">
        <v>1497</v>
      </c>
      <c r="G81" s="366">
        <v>39811</v>
      </c>
      <c r="H81" s="352">
        <v>1922788</v>
      </c>
      <c r="I81" s="353" t="s">
        <v>1379</v>
      </c>
      <c r="J81" s="353" t="s">
        <v>1379</v>
      </c>
      <c r="K81" s="354">
        <f t="shared" si="10"/>
        <v>1922788</v>
      </c>
      <c r="L81" s="363">
        <v>39811</v>
      </c>
      <c r="M81" s="742">
        <v>1826649</v>
      </c>
      <c r="N81" s="352">
        <f t="shared" si="19"/>
        <v>96139</v>
      </c>
      <c r="O81" s="357">
        <f t="shared" si="11"/>
        <v>5572</v>
      </c>
      <c r="P81" s="357">
        <v>9</v>
      </c>
      <c r="Q81" s="358">
        <v>9</v>
      </c>
      <c r="R81" s="359">
        <f t="shared" si="12"/>
        <v>0</v>
      </c>
      <c r="S81" s="360">
        <f t="shared" si="13"/>
        <v>0</v>
      </c>
      <c r="T81" s="361">
        <f t="shared" si="14"/>
        <v>0.10555555555555554</v>
      </c>
      <c r="U81" s="362">
        <v>0</v>
      </c>
      <c r="V81" s="362">
        <f t="shared" si="17"/>
        <v>96139</v>
      </c>
      <c r="W81" s="362">
        <f t="shared" si="15"/>
        <v>96139</v>
      </c>
      <c r="X81" s="742">
        <f t="shared" si="18"/>
        <v>0</v>
      </c>
    </row>
    <row r="82" spans="1:24" ht="13.9">
      <c r="A82" s="349">
        <f t="shared" si="16"/>
        <v>74</v>
      </c>
      <c r="B82" s="350" t="s">
        <v>1498</v>
      </c>
      <c r="C82" s="350" t="s">
        <v>1458</v>
      </c>
      <c r="D82" s="350" t="s">
        <v>1409</v>
      </c>
      <c r="E82" s="350" t="s">
        <v>1490</v>
      </c>
      <c r="F82" s="350" t="s">
        <v>1499</v>
      </c>
      <c r="G82" s="366">
        <v>39811</v>
      </c>
      <c r="H82" s="352">
        <v>1922788</v>
      </c>
      <c r="I82" s="353" t="s">
        <v>1379</v>
      </c>
      <c r="J82" s="353" t="s">
        <v>1379</v>
      </c>
      <c r="K82" s="354">
        <f t="shared" si="10"/>
        <v>1922788</v>
      </c>
      <c r="L82" s="363">
        <v>39811</v>
      </c>
      <c r="M82" s="742">
        <v>1826649</v>
      </c>
      <c r="N82" s="352">
        <f t="shared" si="19"/>
        <v>96139</v>
      </c>
      <c r="O82" s="357">
        <f t="shared" si="11"/>
        <v>5572</v>
      </c>
      <c r="P82" s="357">
        <v>9</v>
      </c>
      <c r="Q82" s="358">
        <v>9</v>
      </c>
      <c r="R82" s="359">
        <f t="shared" si="12"/>
        <v>0</v>
      </c>
      <c r="S82" s="360">
        <f t="shared" si="13"/>
        <v>0</v>
      </c>
      <c r="T82" s="361">
        <f t="shared" si="14"/>
        <v>0.10555555555555554</v>
      </c>
      <c r="U82" s="362">
        <v>0</v>
      </c>
      <c r="V82" s="362">
        <f t="shared" si="17"/>
        <v>96139</v>
      </c>
      <c r="W82" s="362">
        <f t="shared" si="15"/>
        <v>96139</v>
      </c>
      <c r="X82" s="742">
        <f t="shared" si="18"/>
        <v>0</v>
      </c>
    </row>
    <row r="83" spans="1:24" ht="13.9">
      <c r="A83" s="349">
        <f t="shared" si="16"/>
        <v>75</v>
      </c>
      <c r="B83" s="350" t="s">
        <v>1500</v>
      </c>
      <c r="C83" s="350" t="s">
        <v>1458</v>
      </c>
      <c r="D83" s="350" t="s">
        <v>1409</v>
      </c>
      <c r="E83" s="350" t="s">
        <v>1490</v>
      </c>
      <c r="F83" s="350" t="s">
        <v>1501</v>
      </c>
      <c r="G83" s="366">
        <v>39811</v>
      </c>
      <c r="H83" s="352">
        <v>1922788</v>
      </c>
      <c r="I83" s="353" t="s">
        <v>1379</v>
      </c>
      <c r="J83" s="353" t="s">
        <v>1379</v>
      </c>
      <c r="K83" s="354">
        <f t="shared" si="10"/>
        <v>1922788</v>
      </c>
      <c r="L83" s="363">
        <v>39811</v>
      </c>
      <c r="M83" s="742">
        <v>1826649</v>
      </c>
      <c r="N83" s="352">
        <f t="shared" si="19"/>
        <v>96139</v>
      </c>
      <c r="O83" s="357">
        <f t="shared" si="11"/>
        <v>5572</v>
      </c>
      <c r="P83" s="357">
        <v>9</v>
      </c>
      <c r="Q83" s="358">
        <v>9</v>
      </c>
      <c r="R83" s="359">
        <f t="shared" si="12"/>
        <v>0</v>
      </c>
      <c r="S83" s="360">
        <f t="shared" si="13"/>
        <v>0</v>
      </c>
      <c r="T83" s="361">
        <f t="shared" si="14"/>
        <v>0.10555555555555554</v>
      </c>
      <c r="U83" s="362">
        <v>0</v>
      </c>
      <c r="V83" s="362">
        <f t="shared" si="17"/>
        <v>96139</v>
      </c>
      <c r="W83" s="362">
        <f t="shared" si="15"/>
        <v>96139</v>
      </c>
      <c r="X83" s="742">
        <f t="shared" si="18"/>
        <v>0</v>
      </c>
    </row>
    <row r="84" spans="1:24" ht="13.9">
      <c r="A84" s="349">
        <f t="shared" si="16"/>
        <v>76</v>
      </c>
      <c r="B84" s="350" t="s">
        <v>1502</v>
      </c>
      <c r="C84" s="350" t="s">
        <v>1458</v>
      </c>
      <c r="D84" s="350" t="s">
        <v>1409</v>
      </c>
      <c r="E84" s="350" t="s">
        <v>1490</v>
      </c>
      <c r="F84" s="350" t="s">
        <v>1503</v>
      </c>
      <c r="G84" s="366">
        <v>39811</v>
      </c>
      <c r="H84" s="352">
        <v>1922788</v>
      </c>
      <c r="I84" s="353" t="s">
        <v>1379</v>
      </c>
      <c r="J84" s="353" t="s">
        <v>1379</v>
      </c>
      <c r="K84" s="354">
        <f t="shared" si="10"/>
        <v>1922788</v>
      </c>
      <c r="L84" s="363">
        <v>39811</v>
      </c>
      <c r="M84" s="742">
        <v>1826649</v>
      </c>
      <c r="N84" s="352">
        <f t="shared" si="19"/>
        <v>96139</v>
      </c>
      <c r="O84" s="357">
        <f t="shared" si="11"/>
        <v>5572</v>
      </c>
      <c r="P84" s="357">
        <v>9</v>
      </c>
      <c r="Q84" s="358">
        <v>9</v>
      </c>
      <c r="R84" s="359">
        <f t="shared" si="12"/>
        <v>0</v>
      </c>
      <c r="S84" s="360">
        <f t="shared" si="13"/>
        <v>0</v>
      </c>
      <c r="T84" s="361">
        <f t="shared" si="14"/>
        <v>0.10555555555555554</v>
      </c>
      <c r="U84" s="362">
        <v>0</v>
      </c>
      <c r="V84" s="362">
        <f t="shared" si="17"/>
        <v>96139</v>
      </c>
      <c r="W84" s="362">
        <f t="shared" si="15"/>
        <v>96139</v>
      </c>
      <c r="X84" s="742">
        <f t="shared" si="18"/>
        <v>0</v>
      </c>
    </row>
    <row r="85" spans="1:24" ht="13.9">
      <c r="A85" s="349">
        <f t="shared" si="16"/>
        <v>77</v>
      </c>
      <c r="B85" s="350" t="s">
        <v>1504</v>
      </c>
      <c r="C85" s="350" t="s">
        <v>1458</v>
      </c>
      <c r="D85" s="350" t="s">
        <v>1409</v>
      </c>
      <c r="E85" s="350" t="s">
        <v>1490</v>
      </c>
      <c r="F85" s="350" t="s">
        <v>1505</v>
      </c>
      <c r="G85" s="366">
        <v>39811</v>
      </c>
      <c r="H85" s="352">
        <v>1922788</v>
      </c>
      <c r="I85" s="353" t="s">
        <v>1379</v>
      </c>
      <c r="J85" s="353" t="s">
        <v>1379</v>
      </c>
      <c r="K85" s="354">
        <f t="shared" si="10"/>
        <v>1922788</v>
      </c>
      <c r="L85" s="363">
        <v>39811</v>
      </c>
      <c r="M85" s="742">
        <v>1826649</v>
      </c>
      <c r="N85" s="352">
        <f t="shared" si="19"/>
        <v>96139</v>
      </c>
      <c r="O85" s="357">
        <f t="shared" si="11"/>
        <v>5572</v>
      </c>
      <c r="P85" s="357">
        <v>9</v>
      </c>
      <c r="Q85" s="358">
        <v>9</v>
      </c>
      <c r="R85" s="359">
        <f t="shared" si="12"/>
        <v>0</v>
      </c>
      <c r="S85" s="360">
        <f t="shared" si="13"/>
        <v>0</v>
      </c>
      <c r="T85" s="361">
        <f t="shared" si="14"/>
        <v>0.10555555555555554</v>
      </c>
      <c r="U85" s="362">
        <v>0</v>
      </c>
      <c r="V85" s="362">
        <f t="shared" si="17"/>
        <v>96139</v>
      </c>
      <c r="W85" s="362">
        <f t="shared" si="15"/>
        <v>96139</v>
      </c>
      <c r="X85" s="742">
        <f t="shared" si="18"/>
        <v>0</v>
      </c>
    </row>
    <row r="86" spans="1:24" ht="13.9">
      <c r="A86" s="349">
        <f t="shared" si="16"/>
        <v>78</v>
      </c>
      <c r="B86" s="350" t="s">
        <v>1506</v>
      </c>
      <c r="C86" s="350" t="s">
        <v>1458</v>
      </c>
      <c r="D86" s="350" t="s">
        <v>1409</v>
      </c>
      <c r="E86" s="350" t="s">
        <v>1490</v>
      </c>
      <c r="F86" s="350" t="s">
        <v>1507</v>
      </c>
      <c r="G86" s="366">
        <v>39811</v>
      </c>
      <c r="H86" s="352">
        <v>1922788</v>
      </c>
      <c r="I86" s="353" t="s">
        <v>1379</v>
      </c>
      <c r="J86" s="353" t="s">
        <v>1379</v>
      </c>
      <c r="K86" s="354">
        <f t="shared" si="10"/>
        <v>1922788</v>
      </c>
      <c r="L86" s="363">
        <v>39811</v>
      </c>
      <c r="M86" s="742">
        <v>1826649</v>
      </c>
      <c r="N86" s="352">
        <f t="shared" si="19"/>
        <v>96139</v>
      </c>
      <c r="O86" s="357">
        <f t="shared" si="11"/>
        <v>5572</v>
      </c>
      <c r="P86" s="357">
        <v>9</v>
      </c>
      <c r="Q86" s="358">
        <v>9</v>
      </c>
      <c r="R86" s="359">
        <f t="shared" si="12"/>
        <v>0</v>
      </c>
      <c r="S86" s="360">
        <f t="shared" si="13"/>
        <v>0</v>
      </c>
      <c r="T86" s="361">
        <f t="shared" si="14"/>
        <v>0.10555555555555554</v>
      </c>
      <c r="U86" s="362">
        <v>0</v>
      </c>
      <c r="V86" s="362">
        <f t="shared" si="17"/>
        <v>96139</v>
      </c>
      <c r="W86" s="362">
        <f t="shared" si="15"/>
        <v>96139</v>
      </c>
      <c r="X86" s="742">
        <f t="shared" si="18"/>
        <v>0</v>
      </c>
    </row>
    <row r="87" spans="1:24" ht="13.9">
      <c r="A87" s="349">
        <f t="shared" si="16"/>
        <v>79</v>
      </c>
      <c r="B87" s="350" t="s">
        <v>1508</v>
      </c>
      <c r="C87" s="350" t="s">
        <v>1458</v>
      </c>
      <c r="D87" s="350" t="s">
        <v>1409</v>
      </c>
      <c r="E87" s="350" t="s">
        <v>1490</v>
      </c>
      <c r="F87" s="350" t="s">
        <v>1509</v>
      </c>
      <c r="G87" s="366">
        <v>39811</v>
      </c>
      <c r="H87" s="352">
        <v>1922788</v>
      </c>
      <c r="I87" s="353" t="s">
        <v>1379</v>
      </c>
      <c r="J87" s="353" t="s">
        <v>1379</v>
      </c>
      <c r="K87" s="354">
        <f t="shared" si="10"/>
        <v>1922788</v>
      </c>
      <c r="L87" s="363">
        <v>39811</v>
      </c>
      <c r="M87" s="742">
        <v>1826649</v>
      </c>
      <c r="N87" s="352">
        <f t="shared" si="19"/>
        <v>96139</v>
      </c>
      <c r="O87" s="357">
        <f t="shared" si="11"/>
        <v>5572</v>
      </c>
      <c r="P87" s="357">
        <v>9</v>
      </c>
      <c r="Q87" s="358">
        <v>9</v>
      </c>
      <c r="R87" s="359">
        <f t="shared" si="12"/>
        <v>0</v>
      </c>
      <c r="S87" s="360">
        <f t="shared" si="13"/>
        <v>0</v>
      </c>
      <c r="T87" s="361">
        <f t="shared" si="14"/>
        <v>0.10555555555555554</v>
      </c>
      <c r="U87" s="362">
        <v>0</v>
      </c>
      <c r="V87" s="362">
        <f t="shared" si="17"/>
        <v>96139</v>
      </c>
      <c r="W87" s="362">
        <f t="shared" si="15"/>
        <v>96139</v>
      </c>
      <c r="X87" s="742">
        <f t="shared" si="18"/>
        <v>0</v>
      </c>
    </row>
    <row r="88" spans="1:24" ht="13.9">
      <c r="A88" s="349">
        <f t="shared" si="16"/>
        <v>80</v>
      </c>
      <c r="B88" s="350" t="s">
        <v>1510</v>
      </c>
      <c r="C88" s="350" t="s">
        <v>1458</v>
      </c>
      <c r="D88" s="350" t="s">
        <v>1409</v>
      </c>
      <c r="E88" s="350" t="s">
        <v>1490</v>
      </c>
      <c r="F88" s="350" t="s">
        <v>1511</v>
      </c>
      <c r="G88" s="366">
        <v>39811</v>
      </c>
      <c r="H88" s="352">
        <v>1922788</v>
      </c>
      <c r="I88" s="353" t="s">
        <v>1379</v>
      </c>
      <c r="J88" s="353" t="s">
        <v>1379</v>
      </c>
      <c r="K88" s="354">
        <f t="shared" si="10"/>
        <v>1922788</v>
      </c>
      <c r="L88" s="363">
        <v>39811</v>
      </c>
      <c r="M88" s="742">
        <v>1826649</v>
      </c>
      <c r="N88" s="352">
        <f t="shared" si="19"/>
        <v>96139</v>
      </c>
      <c r="O88" s="357">
        <f t="shared" si="11"/>
        <v>5572</v>
      </c>
      <c r="P88" s="357">
        <v>9</v>
      </c>
      <c r="Q88" s="358">
        <v>9</v>
      </c>
      <c r="R88" s="359">
        <f t="shared" si="12"/>
        <v>0</v>
      </c>
      <c r="S88" s="360">
        <f t="shared" si="13"/>
        <v>0</v>
      </c>
      <c r="T88" s="361">
        <f t="shared" si="14"/>
        <v>0.10555555555555554</v>
      </c>
      <c r="U88" s="362">
        <v>0</v>
      </c>
      <c r="V88" s="362">
        <f t="shared" si="17"/>
        <v>96139</v>
      </c>
      <c r="W88" s="362">
        <f t="shared" si="15"/>
        <v>96139</v>
      </c>
      <c r="X88" s="742">
        <f t="shared" si="18"/>
        <v>0</v>
      </c>
    </row>
    <row r="89" spans="1:24" ht="13.9">
      <c r="A89" s="349">
        <f t="shared" si="16"/>
        <v>81</v>
      </c>
      <c r="B89" s="350" t="s">
        <v>1512</v>
      </c>
      <c r="C89" s="350" t="s">
        <v>1458</v>
      </c>
      <c r="D89" s="350" t="s">
        <v>1409</v>
      </c>
      <c r="E89" s="350" t="s">
        <v>1490</v>
      </c>
      <c r="F89" s="350" t="s">
        <v>1513</v>
      </c>
      <c r="G89" s="366">
        <v>39811</v>
      </c>
      <c r="H89" s="352">
        <v>1922788</v>
      </c>
      <c r="I89" s="353" t="s">
        <v>1379</v>
      </c>
      <c r="J89" s="353" t="s">
        <v>1379</v>
      </c>
      <c r="K89" s="354">
        <f t="shared" si="10"/>
        <v>1922788</v>
      </c>
      <c r="L89" s="363">
        <v>39811</v>
      </c>
      <c r="M89" s="742">
        <v>1826649</v>
      </c>
      <c r="N89" s="352">
        <f t="shared" si="19"/>
        <v>96139</v>
      </c>
      <c r="O89" s="357">
        <f t="shared" si="11"/>
        <v>5572</v>
      </c>
      <c r="P89" s="357">
        <v>9</v>
      </c>
      <c r="Q89" s="358">
        <v>9</v>
      </c>
      <c r="R89" s="359">
        <f t="shared" si="12"/>
        <v>0</v>
      </c>
      <c r="S89" s="360">
        <f t="shared" si="13"/>
        <v>0</v>
      </c>
      <c r="T89" s="361">
        <f t="shared" si="14"/>
        <v>0.10555555555555554</v>
      </c>
      <c r="U89" s="362">
        <v>0</v>
      </c>
      <c r="V89" s="362">
        <f t="shared" si="17"/>
        <v>96139</v>
      </c>
      <c r="W89" s="362">
        <f t="shared" si="15"/>
        <v>96139</v>
      </c>
      <c r="X89" s="742">
        <f t="shared" si="18"/>
        <v>0</v>
      </c>
    </row>
    <row r="90" spans="1:24" ht="13.9">
      <c r="A90" s="349">
        <f t="shared" si="16"/>
        <v>82</v>
      </c>
      <c r="B90" s="350" t="s">
        <v>1514</v>
      </c>
      <c r="C90" s="350" t="s">
        <v>1458</v>
      </c>
      <c r="D90" s="350" t="s">
        <v>1409</v>
      </c>
      <c r="E90" s="350" t="s">
        <v>1490</v>
      </c>
      <c r="F90" s="350" t="s">
        <v>1515</v>
      </c>
      <c r="G90" s="366">
        <v>39811</v>
      </c>
      <c r="H90" s="352">
        <v>1922788</v>
      </c>
      <c r="I90" s="353" t="s">
        <v>1379</v>
      </c>
      <c r="J90" s="353" t="s">
        <v>1379</v>
      </c>
      <c r="K90" s="354">
        <f t="shared" si="10"/>
        <v>1922788</v>
      </c>
      <c r="L90" s="363">
        <v>39811</v>
      </c>
      <c r="M90" s="742">
        <v>1826649</v>
      </c>
      <c r="N90" s="352">
        <f t="shared" si="19"/>
        <v>96139</v>
      </c>
      <c r="O90" s="357">
        <f t="shared" si="11"/>
        <v>5572</v>
      </c>
      <c r="P90" s="357">
        <v>9</v>
      </c>
      <c r="Q90" s="358">
        <v>9</v>
      </c>
      <c r="R90" s="359">
        <f t="shared" si="12"/>
        <v>0</v>
      </c>
      <c r="S90" s="360">
        <f t="shared" si="13"/>
        <v>0</v>
      </c>
      <c r="T90" s="361">
        <f t="shared" si="14"/>
        <v>0.10555555555555554</v>
      </c>
      <c r="U90" s="362">
        <v>0</v>
      </c>
      <c r="V90" s="362">
        <f t="shared" si="17"/>
        <v>96139</v>
      </c>
      <c r="W90" s="362">
        <f t="shared" si="15"/>
        <v>96139</v>
      </c>
      <c r="X90" s="742">
        <f t="shared" si="18"/>
        <v>0</v>
      </c>
    </row>
    <row r="91" spans="1:24" ht="13.9">
      <c r="A91" s="349">
        <f t="shared" si="16"/>
        <v>83</v>
      </c>
      <c r="B91" s="350" t="s">
        <v>1516</v>
      </c>
      <c r="C91" s="350" t="s">
        <v>1458</v>
      </c>
      <c r="D91" s="350" t="s">
        <v>1409</v>
      </c>
      <c r="E91" s="350" t="s">
        <v>1490</v>
      </c>
      <c r="F91" s="350" t="s">
        <v>1517</v>
      </c>
      <c r="G91" s="366">
        <v>39811</v>
      </c>
      <c r="H91" s="352">
        <v>1922788</v>
      </c>
      <c r="I91" s="353" t="s">
        <v>1379</v>
      </c>
      <c r="J91" s="353" t="s">
        <v>1379</v>
      </c>
      <c r="K91" s="354">
        <f t="shared" si="10"/>
        <v>1922788</v>
      </c>
      <c r="L91" s="363">
        <v>39811</v>
      </c>
      <c r="M91" s="742">
        <v>1826649</v>
      </c>
      <c r="N91" s="352">
        <f t="shared" si="19"/>
        <v>96139</v>
      </c>
      <c r="O91" s="357">
        <f t="shared" si="11"/>
        <v>5572</v>
      </c>
      <c r="P91" s="357">
        <v>9</v>
      </c>
      <c r="Q91" s="358">
        <v>9</v>
      </c>
      <c r="R91" s="359">
        <f t="shared" si="12"/>
        <v>0</v>
      </c>
      <c r="S91" s="360">
        <f t="shared" si="13"/>
        <v>0</v>
      </c>
      <c r="T91" s="361">
        <f t="shared" si="14"/>
        <v>0.10555555555555554</v>
      </c>
      <c r="U91" s="362">
        <v>0</v>
      </c>
      <c r="V91" s="362">
        <f t="shared" si="17"/>
        <v>96139</v>
      </c>
      <c r="W91" s="362">
        <f t="shared" si="15"/>
        <v>96139</v>
      </c>
      <c r="X91" s="742">
        <f t="shared" si="18"/>
        <v>0</v>
      </c>
    </row>
    <row r="92" spans="1:24" ht="13.9">
      <c r="A92" s="349">
        <f t="shared" si="16"/>
        <v>84</v>
      </c>
      <c r="B92" s="350" t="s">
        <v>1518</v>
      </c>
      <c r="C92" s="350" t="s">
        <v>1458</v>
      </c>
      <c r="D92" s="350" t="s">
        <v>1409</v>
      </c>
      <c r="E92" s="350" t="s">
        <v>1490</v>
      </c>
      <c r="F92" s="350" t="s">
        <v>1519</v>
      </c>
      <c r="G92" s="366">
        <v>39811</v>
      </c>
      <c r="H92" s="352">
        <v>1921388</v>
      </c>
      <c r="I92" s="353" t="s">
        <v>1379</v>
      </c>
      <c r="J92" s="353" t="s">
        <v>1379</v>
      </c>
      <c r="K92" s="354">
        <f t="shared" si="10"/>
        <v>1921388</v>
      </c>
      <c r="L92" s="363">
        <v>39813</v>
      </c>
      <c r="M92" s="742">
        <v>1825319</v>
      </c>
      <c r="N92" s="352">
        <f t="shared" si="19"/>
        <v>96069</v>
      </c>
      <c r="O92" s="357">
        <f t="shared" si="11"/>
        <v>5570</v>
      </c>
      <c r="P92" s="357">
        <v>9</v>
      </c>
      <c r="Q92" s="358">
        <v>9</v>
      </c>
      <c r="R92" s="359">
        <f t="shared" si="12"/>
        <v>0</v>
      </c>
      <c r="S92" s="360">
        <f t="shared" si="13"/>
        <v>0</v>
      </c>
      <c r="T92" s="361">
        <f t="shared" si="14"/>
        <v>0.10555555555555554</v>
      </c>
      <c r="U92" s="362">
        <v>0</v>
      </c>
      <c r="V92" s="362">
        <f t="shared" si="17"/>
        <v>96069</v>
      </c>
      <c r="W92" s="362">
        <f t="shared" si="15"/>
        <v>96069</v>
      </c>
      <c r="X92" s="742">
        <f t="shared" si="18"/>
        <v>0</v>
      </c>
    </row>
    <row r="93" spans="1:24" ht="13.9">
      <c r="A93" s="349">
        <f t="shared" si="16"/>
        <v>85</v>
      </c>
      <c r="B93" s="350" t="s">
        <v>1520</v>
      </c>
      <c r="C93" s="350" t="s">
        <v>1458</v>
      </c>
      <c r="D93" s="350" t="s">
        <v>1409</v>
      </c>
      <c r="E93" s="350" t="s">
        <v>1469</v>
      </c>
      <c r="F93" s="350">
        <v>13500724</v>
      </c>
      <c r="G93" s="366">
        <v>39781</v>
      </c>
      <c r="H93" s="352">
        <v>28558309</v>
      </c>
      <c r="I93" s="353" t="s">
        <v>1379</v>
      </c>
      <c r="J93" s="353" t="s">
        <v>1379</v>
      </c>
      <c r="K93" s="354">
        <f t="shared" si="10"/>
        <v>28558309</v>
      </c>
      <c r="L93" s="363">
        <v>39794</v>
      </c>
      <c r="M93" s="742">
        <v>27130394</v>
      </c>
      <c r="N93" s="352">
        <f t="shared" si="19"/>
        <v>1427915</v>
      </c>
      <c r="O93" s="357">
        <f t="shared" si="11"/>
        <v>5589</v>
      </c>
      <c r="P93" s="357">
        <v>9</v>
      </c>
      <c r="Q93" s="358">
        <v>9</v>
      </c>
      <c r="R93" s="359">
        <f t="shared" si="12"/>
        <v>0</v>
      </c>
      <c r="S93" s="360">
        <f t="shared" si="13"/>
        <v>0</v>
      </c>
      <c r="T93" s="361">
        <f t="shared" si="14"/>
        <v>0.10555555555555554</v>
      </c>
      <c r="U93" s="362">
        <v>0</v>
      </c>
      <c r="V93" s="362">
        <f t="shared" si="17"/>
        <v>1427915</v>
      </c>
      <c r="W93" s="362">
        <f t="shared" si="15"/>
        <v>1427915</v>
      </c>
      <c r="X93" s="742">
        <f t="shared" si="18"/>
        <v>0</v>
      </c>
    </row>
    <row r="94" spans="1:24" ht="13.9">
      <c r="A94" s="349">
        <f t="shared" si="16"/>
        <v>86</v>
      </c>
      <c r="B94" s="350" t="s">
        <v>1521</v>
      </c>
      <c r="C94" s="350" t="s">
        <v>1458</v>
      </c>
      <c r="D94" s="350" t="s">
        <v>1409</v>
      </c>
      <c r="E94" s="350" t="s">
        <v>1522</v>
      </c>
      <c r="F94" s="350" t="s">
        <v>1523</v>
      </c>
      <c r="G94" s="366">
        <v>39840</v>
      </c>
      <c r="H94" s="352">
        <v>1270000</v>
      </c>
      <c r="I94" s="353" t="s">
        <v>1379</v>
      </c>
      <c r="J94" s="353" t="s">
        <v>1379</v>
      </c>
      <c r="K94" s="354">
        <f t="shared" si="10"/>
        <v>1270000</v>
      </c>
      <c r="L94" s="363">
        <v>39840</v>
      </c>
      <c r="M94" s="742">
        <v>1206500</v>
      </c>
      <c r="N94" s="352">
        <f t="shared" si="19"/>
        <v>63500</v>
      </c>
      <c r="O94" s="357">
        <f t="shared" si="11"/>
        <v>5543</v>
      </c>
      <c r="P94" s="357">
        <v>9</v>
      </c>
      <c r="Q94" s="358">
        <v>9</v>
      </c>
      <c r="R94" s="359">
        <f t="shared" si="12"/>
        <v>0</v>
      </c>
      <c r="S94" s="360">
        <f t="shared" si="13"/>
        <v>0</v>
      </c>
      <c r="T94" s="361">
        <f t="shared" si="14"/>
        <v>0.10555555555555554</v>
      </c>
      <c r="U94" s="362">
        <v>0</v>
      </c>
      <c r="V94" s="362">
        <f t="shared" si="17"/>
        <v>63500</v>
      </c>
      <c r="W94" s="362">
        <f t="shared" si="15"/>
        <v>63500</v>
      </c>
      <c r="X94" s="742">
        <f t="shared" si="18"/>
        <v>0</v>
      </c>
    </row>
    <row r="95" spans="1:24" ht="13.9">
      <c r="A95" s="349">
        <f t="shared" si="16"/>
        <v>87</v>
      </c>
      <c r="B95" s="350" t="s">
        <v>1524</v>
      </c>
      <c r="C95" s="350" t="s">
        <v>1481</v>
      </c>
      <c r="D95" s="350" t="s">
        <v>1409</v>
      </c>
      <c r="E95" s="350" t="s">
        <v>1522</v>
      </c>
      <c r="F95" s="350" t="s">
        <v>1525</v>
      </c>
      <c r="G95" s="366">
        <v>39840</v>
      </c>
      <c r="H95" s="352">
        <v>1281400</v>
      </c>
      <c r="I95" s="353" t="s">
        <v>1379</v>
      </c>
      <c r="J95" s="353" t="s">
        <v>1379</v>
      </c>
      <c r="K95" s="354">
        <f t="shared" si="10"/>
        <v>1281400</v>
      </c>
      <c r="L95" s="363">
        <v>39844</v>
      </c>
      <c r="M95" s="742">
        <v>1217330</v>
      </c>
      <c r="N95" s="352">
        <f t="shared" si="19"/>
        <v>64070</v>
      </c>
      <c r="O95" s="357">
        <f t="shared" si="11"/>
        <v>5539</v>
      </c>
      <c r="P95" s="357">
        <v>9</v>
      </c>
      <c r="Q95" s="358">
        <v>9</v>
      </c>
      <c r="R95" s="359">
        <f t="shared" si="12"/>
        <v>0</v>
      </c>
      <c r="S95" s="360">
        <f t="shared" si="13"/>
        <v>0</v>
      </c>
      <c r="T95" s="361">
        <f t="shared" si="14"/>
        <v>0.10555555555555554</v>
      </c>
      <c r="U95" s="362">
        <v>0</v>
      </c>
      <c r="V95" s="362">
        <f t="shared" si="17"/>
        <v>64070</v>
      </c>
      <c r="W95" s="362">
        <f t="shared" si="15"/>
        <v>64070</v>
      </c>
      <c r="X95" s="742">
        <f t="shared" si="18"/>
        <v>0</v>
      </c>
    </row>
    <row r="96" spans="1:24" ht="13.9">
      <c r="A96" s="349">
        <f t="shared" si="16"/>
        <v>88</v>
      </c>
      <c r="B96" s="350" t="s">
        <v>1526</v>
      </c>
      <c r="C96" s="350" t="s">
        <v>1481</v>
      </c>
      <c r="D96" s="350" t="s">
        <v>1409</v>
      </c>
      <c r="E96" s="350" t="s">
        <v>1522</v>
      </c>
      <c r="F96" s="350" t="s">
        <v>1527</v>
      </c>
      <c r="G96" s="366">
        <v>39840</v>
      </c>
      <c r="H96" s="352">
        <v>1281400</v>
      </c>
      <c r="I96" s="353" t="s">
        <v>1379</v>
      </c>
      <c r="J96" s="353" t="s">
        <v>1379</v>
      </c>
      <c r="K96" s="354">
        <f t="shared" si="10"/>
        <v>1281400</v>
      </c>
      <c r="L96" s="363">
        <v>39845</v>
      </c>
      <c r="M96" s="742">
        <v>1217330</v>
      </c>
      <c r="N96" s="352">
        <f t="shared" si="19"/>
        <v>64070</v>
      </c>
      <c r="O96" s="357">
        <f t="shared" si="11"/>
        <v>5538</v>
      </c>
      <c r="P96" s="357">
        <v>9</v>
      </c>
      <c r="Q96" s="358">
        <v>9</v>
      </c>
      <c r="R96" s="359">
        <f t="shared" si="12"/>
        <v>0</v>
      </c>
      <c r="S96" s="360">
        <f t="shared" si="13"/>
        <v>0</v>
      </c>
      <c r="T96" s="361">
        <f t="shared" si="14"/>
        <v>0.10555555555555554</v>
      </c>
      <c r="U96" s="362">
        <v>0</v>
      </c>
      <c r="V96" s="362">
        <f t="shared" si="17"/>
        <v>64070</v>
      </c>
      <c r="W96" s="362">
        <f t="shared" si="15"/>
        <v>64070</v>
      </c>
      <c r="X96" s="742">
        <f t="shared" si="18"/>
        <v>0</v>
      </c>
    </row>
    <row r="97" spans="1:24" ht="13.9">
      <c r="A97" s="349">
        <f t="shared" si="16"/>
        <v>89</v>
      </c>
      <c r="B97" s="350" t="s">
        <v>1528</v>
      </c>
      <c r="C97" s="350"/>
      <c r="D97" s="350" t="s">
        <v>1409</v>
      </c>
      <c r="E97" s="350" t="s">
        <v>1522</v>
      </c>
      <c r="F97" s="350" t="s">
        <v>1529</v>
      </c>
      <c r="G97" s="366">
        <v>39903</v>
      </c>
      <c r="H97" s="352">
        <v>1400000</v>
      </c>
      <c r="I97" s="353" t="s">
        <v>1379</v>
      </c>
      <c r="J97" s="353" t="s">
        <v>1379</v>
      </c>
      <c r="K97" s="354">
        <f t="shared" si="10"/>
        <v>1400000</v>
      </c>
      <c r="L97" s="363">
        <v>39844</v>
      </c>
      <c r="M97" s="742">
        <v>1330000</v>
      </c>
      <c r="N97" s="352">
        <f t="shared" si="19"/>
        <v>70000</v>
      </c>
      <c r="O97" s="357">
        <f t="shared" si="11"/>
        <v>5539</v>
      </c>
      <c r="P97" s="357">
        <v>9</v>
      </c>
      <c r="Q97" s="358">
        <v>9</v>
      </c>
      <c r="R97" s="359">
        <f t="shared" si="12"/>
        <v>0</v>
      </c>
      <c r="S97" s="360">
        <f t="shared" si="13"/>
        <v>0</v>
      </c>
      <c r="T97" s="361">
        <f t="shared" si="14"/>
        <v>0.10555555555555554</v>
      </c>
      <c r="U97" s="362">
        <v>0</v>
      </c>
      <c r="V97" s="362">
        <f t="shared" si="17"/>
        <v>70000</v>
      </c>
      <c r="W97" s="362">
        <f t="shared" si="15"/>
        <v>70000</v>
      </c>
      <c r="X97" s="742">
        <f t="shared" si="18"/>
        <v>0</v>
      </c>
    </row>
    <row r="98" spans="1:24" ht="13.9">
      <c r="A98" s="349">
        <f t="shared" si="16"/>
        <v>90</v>
      </c>
      <c r="B98" s="350" t="s">
        <v>1530</v>
      </c>
      <c r="C98" s="350"/>
      <c r="D98" s="350" t="s">
        <v>1409</v>
      </c>
      <c r="E98" s="350" t="s">
        <v>1522</v>
      </c>
      <c r="F98" s="350" t="s">
        <v>1531</v>
      </c>
      <c r="G98" s="366">
        <v>39903</v>
      </c>
      <c r="H98" s="352">
        <v>1400000</v>
      </c>
      <c r="I98" s="353" t="s">
        <v>1379</v>
      </c>
      <c r="J98" s="353" t="s">
        <v>1379</v>
      </c>
      <c r="K98" s="354">
        <f t="shared" si="10"/>
        <v>1400000</v>
      </c>
      <c r="L98" s="363">
        <v>39844</v>
      </c>
      <c r="M98" s="742">
        <v>1330000</v>
      </c>
      <c r="N98" s="352">
        <f t="shared" si="19"/>
        <v>70000</v>
      </c>
      <c r="O98" s="357">
        <f t="shared" si="11"/>
        <v>5539</v>
      </c>
      <c r="P98" s="357">
        <v>9</v>
      </c>
      <c r="Q98" s="358">
        <v>9</v>
      </c>
      <c r="R98" s="359">
        <f t="shared" si="12"/>
        <v>0</v>
      </c>
      <c r="S98" s="360">
        <f t="shared" si="13"/>
        <v>0</v>
      </c>
      <c r="T98" s="361">
        <f t="shared" si="14"/>
        <v>0.10555555555555554</v>
      </c>
      <c r="U98" s="362">
        <v>0</v>
      </c>
      <c r="V98" s="362">
        <f t="shared" si="17"/>
        <v>70000</v>
      </c>
      <c r="W98" s="362">
        <f t="shared" si="15"/>
        <v>70000</v>
      </c>
      <c r="X98" s="742">
        <f t="shared" si="18"/>
        <v>0</v>
      </c>
    </row>
    <row r="99" spans="1:24" ht="13.9">
      <c r="A99" s="349">
        <f t="shared" si="16"/>
        <v>91</v>
      </c>
      <c r="B99" s="350" t="s">
        <v>1532</v>
      </c>
      <c r="C99" s="350" t="s">
        <v>1408</v>
      </c>
      <c r="D99" s="350" t="s">
        <v>1409</v>
      </c>
      <c r="E99" s="350" t="s">
        <v>1482</v>
      </c>
      <c r="F99" s="350" t="s">
        <v>1533</v>
      </c>
      <c r="G99" s="366">
        <v>39897</v>
      </c>
      <c r="H99" s="352">
        <v>8500000</v>
      </c>
      <c r="I99" s="353" t="s">
        <v>1379</v>
      </c>
      <c r="J99" s="353" t="s">
        <v>1379</v>
      </c>
      <c r="K99" s="354">
        <f t="shared" si="10"/>
        <v>8500000</v>
      </c>
      <c r="L99" s="363">
        <v>39897</v>
      </c>
      <c r="M99" s="742">
        <v>8075000</v>
      </c>
      <c r="N99" s="352">
        <f t="shared" si="19"/>
        <v>425000</v>
      </c>
      <c r="O99" s="357">
        <f t="shared" si="11"/>
        <v>5486</v>
      </c>
      <c r="P99" s="357">
        <v>9</v>
      </c>
      <c r="Q99" s="358">
        <v>9</v>
      </c>
      <c r="R99" s="359">
        <f t="shared" si="12"/>
        <v>0</v>
      </c>
      <c r="S99" s="360">
        <f t="shared" si="13"/>
        <v>0</v>
      </c>
      <c r="T99" s="361">
        <f t="shared" si="14"/>
        <v>0.10555555555555554</v>
      </c>
      <c r="U99" s="362">
        <v>0</v>
      </c>
      <c r="V99" s="362">
        <f t="shared" si="17"/>
        <v>425000</v>
      </c>
      <c r="W99" s="362">
        <f t="shared" si="15"/>
        <v>425000</v>
      </c>
      <c r="X99" s="742">
        <f t="shared" si="18"/>
        <v>0</v>
      </c>
    </row>
    <row r="100" spans="1:24" ht="13.9">
      <c r="A100" s="349">
        <f t="shared" si="16"/>
        <v>92</v>
      </c>
      <c r="B100" s="350" t="s">
        <v>1534</v>
      </c>
      <c r="C100" s="350" t="s">
        <v>1535</v>
      </c>
      <c r="D100" s="350" t="s">
        <v>1409</v>
      </c>
      <c r="E100" s="350" t="s">
        <v>1522</v>
      </c>
      <c r="F100" s="367" t="s">
        <v>1536</v>
      </c>
      <c r="G100" s="366">
        <v>39903</v>
      </c>
      <c r="H100" s="352">
        <v>1340000</v>
      </c>
      <c r="I100" s="353" t="s">
        <v>1379</v>
      </c>
      <c r="J100" s="353" t="s">
        <v>1379</v>
      </c>
      <c r="K100" s="354">
        <f t="shared" si="10"/>
        <v>1340000</v>
      </c>
      <c r="L100" s="363">
        <v>39903</v>
      </c>
      <c r="M100" s="742">
        <v>1273000</v>
      </c>
      <c r="N100" s="352">
        <f t="shared" si="19"/>
        <v>67000</v>
      </c>
      <c r="O100" s="357">
        <f t="shared" si="11"/>
        <v>5480</v>
      </c>
      <c r="P100" s="357">
        <v>9</v>
      </c>
      <c r="Q100" s="358">
        <v>9</v>
      </c>
      <c r="R100" s="359">
        <f t="shared" si="12"/>
        <v>0</v>
      </c>
      <c r="S100" s="360">
        <f t="shared" si="13"/>
        <v>0</v>
      </c>
      <c r="T100" s="361">
        <f t="shared" si="14"/>
        <v>0.10555555555555554</v>
      </c>
      <c r="U100" s="362">
        <v>0</v>
      </c>
      <c r="V100" s="362">
        <f t="shared" si="17"/>
        <v>67000</v>
      </c>
      <c r="W100" s="362">
        <f t="shared" si="15"/>
        <v>67000</v>
      </c>
      <c r="X100" s="742">
        <f t="shared" si="18"/>
        <v>0</v>
      </c>
    </row>
    <row r="101" spans="1:24" ht="13.9">
      <c r="A101" s="349">
        <f t="shared" si="16"/>
        <v>93</v>
      </c>
      <c r="B101" s="350" t="s">
        <v>1537</v>
      </c>
      <c r="C101" s="350" t="s">
        <v>1458</v>
      </c>
      <c r="D101" s="350" t="s">
        <v>1409</v>
      </c>
      <c r="E101" s="350" t="s">
        <v>1482</v>
      </c>
      <c r="F101" s="350" t="s">
        <v>1538</v>
      </c>
      <c r="G101" s="366">
        <v>39811</v>
      </c>
      <c r="H101" s="352">
        <v>2616000</v>
      </c>
      <c r="I101" s="353" t="s">
        <v>1379</v>
      </c>
      <c r="J101" s="353" t="s">
        <v>1379</v>
      </c>
      <c r="K101" s="354">
        <f t="shared" si="10"/>
        <v>2616000</v>
      </c>
      <c r="L101" s="363">
        <v>39811</v>
      </c>
      <c r="M101" s="742">
        <v>2485200</v>
      </c>
      <c r="N101" s="352">
        <f t="shared" si="19"/>
        <v>130800</v>
      </c>
      <c r="O101" s="357">
        <f t="shared" si="11"/>
        <v>5572</v>
      </c>
      <c r="P101" s="357">
        <v>9</v>
      </c>
      <c r="Q101" s="358">
        <v>9</v>
      </c>
      <c r="R101" s="359">
        <f t="shared" si="12"/>
        <v>0</v>
      </c>
      <c r="S101" s="360">
        <f t="shared" si="13"/>
        <v>0</v>
      </c>
      <c r="T101" s="361">
        <f t="shared" si="14"/>
        <v>0.10555555555555554</v>
      </c>
      <c r="U101" s="362">
        <v>0</v>
      </c>
      <c r="V101" s="362">
        <f t="shared" si="17"/>
        <v>130800</v>
      </c>
      <c r="W101" s="362">
        <f t="shared" si="15"/>
        <v>130800</v>
      </c>
      <c r="X101" s="742">
        <f t="shared" si="18"/>
        <v>0</v>
      </c>
    </row>
    <row r="102" spans="1:24" ht="13.9">
      <c r="A102" s="349">
        <f t="shared" si="16"/>
        <v>94</v>
      </c>
      <c r="B102" s="350" t="s">
        <v>1539</v>
      </c>
      <c r="C102" s="350" t="s">
        <v>1458</v>
      </c>
      <c r="D102" s="350" t="s">
        <v>1409</v>
      </c>
      <c r="E102" s="350" t="s">
        <v>1540</v>
      </c>
      <c r="F102" s="350">
        <v>54</v>
      </c>
      <c r="G102" s="366">
        <v>39777</v>
      </c>
      <c r="H102" s="352">
        <v>484340</v>
      </c>
      <c r="I102" s="353" t="s">
        <v>1379</v>
      </c>
      <c r="J102" s="353" t="s">
        <v>1379</v>
      </c>
      <c r="K102" s="354">
        <f t="shared" si="10"/>
        <v>484340</v>
      </c>
      <c r="L102" s="363">
        <v>39777</v>
      </c>
      <c r="M102" s="742">
        <v>460123</v>
      </c>
      <c r="N102" s="352">
        <f t="shared" si="19"/>
        <v>24217</v>
      </c>
      <c r="O102" s="357">
        <f t="shared" si="11"/>
        <v>5606</v>
      </c>
      <c r="P102" s="357">
        <v>9</v>
      </c>
      <c r="Q102" s="358">
        <v>9</v>
      </c>
      <c r="R102" s="359">
        <f t="shared" si="12"/>
        <v>0</v>
      </c>
      <c r="S102" s="360">
        <f t="shared" si="13"/>
        <v>0</v>
      </c>
      <c r="T102" s="361">
        <f t="shared" si="14"/>
        <v>0.10555555555555554</v>
      </c>
      <c r="U102" s="362">
        <v>0</v>
      </c>
      <c r="V102" s="362">
        <f t="shared" si="17"/>
        <v>24217</v>
      </c>
      <c r="W102" s="362">
        <f t="shared" si="15"/>
        <v>24217</v>
      </c>
      <c r="X102" s="742">
        <f t="shared" si="18"/>
        <v>0</v>
      </c>
    </row>
    <row r="103" spans="1:24" ht="13.9">
      <c r="A103" s="349">
        <f t="shared" si="16"/>
        <v>95</v>
      </c>
      <c r="B103" s="350" t="s">
        <v>1541</v>
      </c>
      <c r="C103" s="350" t="s">
        <v>1458</v>
      </c>
      <c r="D103" s="350" t="s">
        <v>1409</v>
      </c>
      <c r="E103" s="350" t="s">
        <v>1540</v>
      </c>
      <c r="F103" s="350">
        <v>184</v>
      </c>
      <c r="G103" s="366">
        <v>39790</v>
      </c>
      <c r="H103" s="352">
        <v>1181313</v>
      </c>
      <c r="I103" s="353" t="s">
        <v>1379</v>
      </c>
      <c r="J103" s="353" t="s">
        <v>1379</v>
      </c>
      <c r="K103" s="354">
        <f t="shared" si="10"/>
        <v>1181313</v>
      </c>
      <c r="L103" s="363">
        <v>39790</v>
      </c>
      <c r="M103" s="742">
        <v>1122247</v>
      </c>
      <c r="N103" s="352">
        <f t="shared" si="19"/>
        <v>59066</v>
      </c>
      <c r="O103" s="357">
        <f t="shared" si="11"/>
        <v>5593</v>
      </c>
      <c r="P103" s="357">
        <v>9</v>
      </c>
      <c r="Q103" s="358">
        <v>9</v>
      </c>
      <c r="R103" s="359">
        <f t="shared" si="12"/>
        <v>0</v>
      </c>
      <c r="S103" s="360">
        <f t="shared" si="13"/>
        <v>0</v>
      </c>
      <c r="T103" s="361">
        <f t="shared" si="14"/>
        <v>0.10555555555555554</v>
      </c>
      <c r="U103" s="362">
        <v>0</v>
      </c>
      <c r="V103" s="362">
        <f t="shared" si="17"/>
        <v>59066</v>
      </c>
      <c r="W103" s="362">
        <f t="shared" si="15"/>
        <v>59066</v>
      </c>
      <c r="X103" s="742">
        <f t="shared" si="18"/>
        <v>0</v>
      </c>
    </row>
    <row r="104" spans="1:24" ht="13.9">
      <c r="A104" s="349">
        <f t="shared" si="16"/>
        <v>96</v>
      </c>
      <c r="B104" s="350" t="s">
        <v>1542</v>
      </c>
      <c r="C104" s="350" t="s">
        <v>1458</v>
      </c>
      <c r="D104" s="350" t="s">
        <v>1409</v>
      </c>
      <c r="E104" s="350" t="s">
        <v>1540</v>
      </c>
      <c r="F104" s="350">
        <v>243</v>
      </c>
      <c r="G104" s="366">
        <v>40985</v>
      </c>
      <c r="H104" s="352">
        <v>1104048</v>
      </c>
      <c r="I104" s="353" t="s">
        <v>1379</v>
      </c>
      <c r="J104" s="353" t="s">
        <v>1379</v>
      </c>
      <c r="K104" s="354">
        <f t="shared" si="10"/>
        <v>1104048</v>
      </c>
      <c r="L104" s="363">
        <v>39894</v>
      </c>
      <c r="M104" s="742">
        <v>1048846</v>
      </c>
      <c r="N104" s="352">
        <f t="shared" si="19"/>
        <v>55202</v>
      </c>
      <c r="O104" s="357">
        <f t="shared" si="11"/>
        <v>5489</v>
      </c>
      <c r="P104" s="357">
        <v>9</v>
      </c>
      <c r="Q104" s="358">
        <v>9</v>
      </c>
      <c r="R104" s="359">
        <f t="shared" si="12"/>
        <v>0</v>
      </c>
      <c r="S104" s="360">
        <f t="shared" si="13"/>
        <v>0</v>
      </c>
      <c r="T104" s="361">
        <f t="shared" si="14"/>
        <v>0.10555555555555554</v>
      </c>
      <c r="U104" s="362">
        <v>0</v>
      </c>
      <c r="V104" s="362">
        <f t="shared" si="17"/>
        <v>55202</v>
      </c>
      <c r="W104" s="362">
        <f t="shared" si="15"/>
        <v>55202</v>
      </c>
      <c r="X104" s="742">
        <f t="shared" si="18"/>
        <v>0</v>
      </c>
    </row>
    <row r="105" spans="1:24" ht="13.9">
      <c r="A105" s="349">
        <f t="shared" si="16"/>
        <v>97</v>
      </c>
      <c r="B105" s="350" t="s">
        <v>1543</v>
      </c>
      <c r="C105" s="350" t="s">
        <v>1544</v>
      </c>
      <c r="D105" s="350" t="s">
        <v>1409</v>
      </c>
      <c r="E105" s="350" t="s">
        <v>1540</v>
      </c>
      <c r="F105" s="350" t="s">
        <v>1406</v>
      </c>
      <c r="G105" s="366">
        <v>39883</v>
      </c>
      <c r="H105" s="352">
        <v>432960</v>
      </c>
      <c r="I105" s="353" t="s">
        <v>1379</v>
      </c>
      <c r="J105" s="353" t="s">
        <v>1379</v>
      </c>
      <c r="K105" s="354">
        <f t="shared" si="10"/>
        <v>432960</v>
      </c>
      <c r="L105" s="363">
        <v>39892</v>
      </c>
      <c r="M105" s="742">
        <v>411312</v>
      </c>
      <c r="N105" s="352">
        <f t="shared" si="19"/>
        <v>21648</v>
      </c>
      <c r="O105" s="357">
        <f t="shared" si="11"/>
        <v>5491</v>
      </c>
      <c r="P105" s="357">
        <v>9</v>
      </c>
      <c r="Q105" s="358">
        <v>9</v>
      </c>
      <c r="R105" s="359">
        <f t="shared" si="12"/>
        <v>0</v>
      </c>
      <c r="S105" s="360">
        <f t="shared" si="13"/>
        <v>0</v>
      </c>
      <c r="T105" s="361">
        <f t="shared" si="14"/>
        <v>0.10555555555555554</v>
      </c>
      <c r="U105" s="362">
        <v>0</v>
      </c>
      <c r="V105" s="362">
        <f t="shared" si="17"/>
        <v>21648</v>
      </c>
      <c r="W105" s="362">
        <f t="shared" si="15"/>
        <v>21648</v>
      </c>
      <c r="X105" s="742">
        <f t="shared" si="18"/>
        <v>0</v>
      </c>
    </row>
    <row r="106" spans="1:24" ht="13.9">
      <c r="A106" s="349">
        <f t="shared" si="16"/>
        <v>98</v>
      </c>
      <c r="B106" s="350" t="s">
        <v>1545</v>
      </c>
      <c r="C106" s="350" t="s">
        <v>1546</v>
      </c>
      <c r="D106" s="350" t="s">
        <v>1409</v>
      </c>
      <c r="E106" s="350" t="s">
        <v>1540</v>
      </c>
      <c r="F106" s="350" t="s">
        <v>1547</v>
      </c>
      <c r="G106" s="366">
        <v>39892</v>
      </c>
      <c r="H106" s="352">
        <v>432960</v>
      </c>
      <c r="I106" s="353" t="s">
        <v>1379</v>
      </c>
      <c r="J106" s="353" t="s">
        <v>1379</v>
      </c>
      <c r="K106" s="354">
        <f t="shared" si="10"/>
        <v>432960</v>
      </c>
      <c r="L106" s="363">
        <v>39898</v>
      </c>
      <c r="M106" s="742">
        <v>411312</v>
      </c>
      <c r="N106" s="352">
        <f t="shared" si="19"/>
        <v>21648</v>
      </c>
      <c r="O106" s="357">
        <f t="shared" si="11"/>
        <v>5485</v>
      </c>
      <c r="P106" s="357">
        <v>9</v>
      </c>
      <c r="Q106" s="358">
        <v>9</v>
      </c>
      <c r="R106" s="359">
        <f t="shared" si="12"/>
        <v>0</v>
      </c>
      <c r="S106" s="360">
        <f t="shared" si="13"/>
        <v>0</v>
      </c>
      <c r="T106" s="361">
        <f t="shared" si="14"/>
        <v>0.10555555555555554</v>
      </c>
      <c r="U106" s="362">
        <v>0</v>
      </c>
      <c r="V106" s="362">
        <f t="shared" si="17"/>
        <v>21648</v>
      </c>
      <c r="W106" s="362">
        <f t="shared" si="15"/>
        <v>21648</v>
      </c>
      <c r="X106" s="742">
        <f t="shared" si="18"/>
        <v>0</v>
      </c>
    </row>
    <row r="107" spans="1:24" ht="13.9">
      <c r="A107" s="349">
        <f t="shared" si="16"/>
        <v>99</v>
      </c>
      <c r="B107" s="350" t="s">
        <v>1548</v>
      </c>
      <c r="C107" s="350" t="s">
        <v>1408</v>
      </c>
      <c r="D107" s="350" t="s">
        <v>1409</v>
      </c>
      <c r="E107" s="350" t="s">
        <v>1540</v>
      </c>
      <c r="F107" s="350" t="s">
        <v>1549</v>
      </c>
      <c r="G107" s="366">
        <v>39892</v>
      </c>
      <c r="H107" s="352">
        <v>432960</v>
      </c>
      <c r="I107" s="353" t="s">
        <v>1379</v>
      </c>
      <c r="J107" s="353" t="s">
        <v>1379</v>
      </c>
      <c r="K107" s="354">
        <f t="shared" si="10"/>
        <v>432960</v>
      </c>
      <c r="L107" s="363">
        <v>39898</v>
      </c>
      <c r="M107" s="742">
        <v>411312</v>
      </c>
      <c r="N107" s="352">
        <f t="shared" si="19"/>
        <v>21648</v>
      </c>
      <c r="O107" s="357">
        <f t="shared" si="11"/>
        <v>5485</v>
      </c>
      <c r="P107" s="357">
        <v>9</v>
      </c>
      <c r="Q107" s="358">
        <v>9</v>
      </c>
      <c r="R107" s="359">
        <f t="shared" si="12"/>
        <v>0</v>
      </c>
      <c r="S107" s="360">
        <f t="shared" si="13"/>
        <v>0</v>
      </c>
      <c r="T107" s="361">
        <f t="shared" si="14"/>
        <v>0.10555555555555554</v>
      </c>
      <c r="U107" s="362">
        <v>0</v>
      </c>
      <c r="V107" s="362">
        <f t="shared" si="17"/>
        <v>21648</v>
      </c>
      <c r="W107" s="362">
        <f t="shared" si="15"/>
        <v>21648</v>
      </c>
      <c r="X107" s="742">
        <f t="shared" si="18"/>
        <v>0</v>
      </c>
    </row>
    <row r="108" spans="1:24" ht="13.9">
      <c r="A108" s="349">
        <f t="shared" si="16"/>
        <v>100</v>
      </c>
      <c r="B108" s="350" t="s">
        <v>575</v>
      </c>
      <c r="C108" s="350" t="s">
        <v>1458</v>
      </c>
      <c r="D108" s="350" t="s">
        <v>1409</v>
      </c>
      <c r="E108" s="350" t="s">
        <v>1550</v>
      </c>
      <c r="F108" s="350" t="s">
        <v>1551</v>
      </c>
      <c r="G108" s="366">
        <v>39760</v>
      </c>
      <c r="H108" s="352">
        <v>244800</v>
      </c>
      <c r="I108" s="353" t="s">
        <v>1379</v>
      </c>
      <c r="J108" s="353" t="s">
        <v>1379</v>
      </c>
      <c r="K108" s="354">
        <f t="shared" si="10"/>
        <v>244800</v>
      </c>
      <c r="L108" s="363">
        <v>39760</v>
      </c>
      <c r="M108" s="742">
        <v>232560</v>
      </c>
      <c r="N108" s="352">
        <f t="shared" si="19"/>
        <v>12240</v>
      </c>
      <c r="O108" s="357">
        <f t="shared" si="11"/>
        <v>5623</v>
      </c>
      <c r="P108" s="357">
        <v>9</v>
      </c>
      <c r="Q108" s="358">
        <v>9</v>
      </c>
      <c r="R108" s="359">
        <f t="shared" si="12"/>
        <v>0</v>
      </c>
      <c r="S108" s="360">
        <f t="shared" si="13"/>
        <v>0</v>
      </c>
      <c r="T108" s="361">
        <f t="shared" si="14"/>
        <v>0.10555555555555554</v>
      </c>
      <c r="U108" s="362">
        <v>0</v>
      </c>
      <c r="V108" s="362">
        <f t="shared" si="17"/>
        <v>12240</v>
      </c>
      <c r="W108" s="362">
        <f t="shared" si="15"/>
        <v>12240</v>
      </c>
      <c r="X108" s="742">
        <f t="shared" si="18"/>
        <v>0</v>
      </c>
    </row>
    <row r="109" spans="1:24" ht="13.9">
      <c r="A109" s="349">
        <f t="shared" si="16"/>
        <v>101</v>
      </c>
      <c r="B109" s="350" t="s">
        <v>575</v>
      </c>
      <c r="C109" s="350" t="s">
        <v>1458</v>
      </c>
      <c r="D109" s="350" t="s">
        <v>1409</v>
      </c>
      <c r="E109" s="350" t="s">
        <v>1550</v>
      </c>
      <c r="F109" s="350" t="s">
        <v>1552</v>
      </c>
      <c r="G109" s="366">
        <v>39763</v>
      </c>
      <c r="H109" s="352">
        <v>244800</v>
      </c>
      <c r="I109" s="353" t="s">
        <v>1379</v>
      </c>
      <c r="J109" s="353" t="s">
        <v>1379</v>
      </c>
      <c r="K109" s="354">
        <f t="shared" si="10"/>
        <v>244800</v>
      </c>
      <c r="L109" s="363">
        <v>39763</v>
      </c>
      <c r="M109" s="742">
        <v>232560</v>
      </c>
      <c r="N109" s="352">
        <f t="shared" si="19"/>
        <v>12240</v>
      </c>
      <c r="O109" s="357">
        <f t="shared" si="11"/>
        <v>5620</v>
      </c>
      <c r="P109" s="357">
        <v>9</v>
      </c>
      <c r="Q109" s="358">
        <v>9</v>
      </c>
      <c r="R109" s="359">
        <f t="shared" si="12"/>
        <v>0</v>
      </c>
      <c r="S109" s="360">
        <f t="shared" si="13"/>
        <v>0</v>
      </c>
      <c r="T109" s="361">
        <f t="shared" si="14"/>
        <v>0.10555555555555554</v>
      </c>
      <c r="U109" s="362">
        <v>0</v>
      </c>
      <c r="V109" s="362">
        <f t="shared" si="17"/>
        <v>12240</v>
      </c>
      <c r="W109" s="362">
        <f t="shared" si="15"/>
        <v>12240</v>
      </c>
      <c r="X109" s="742">
        <f t="shared" si="18"/>
        <v>0</v>
      </c>
    </row>
    <row r="110" spans="1:24" ht="13.9">
      <c r="A110" s="349">
        <f t="shared" si="16"/>
        <v>102</v>
      </c>
      <c r="B110" s="350" t="s">
        <v>575</v>
      </c>
      <c r="C110" s="350" t="s">
        <v>1458</v>
      </c>
      <c r="D110" s="350" t="s">
        <v>1409</v>
      </c>
      <c r="E110" s="350" t="s">
        <v>1553</v>
      </c>
      <c r="F110" s="350" t="s">
        <v>1554</v>
      </c>
      <c r="G110" s="366">
        <v>39781</v>
      </c>
      <c r="H110" s="352">
        <v>372300</v>
      </c>
      <c r="I110" s="353" t="s">
        <v>1379</v>
      </c>
      <c r="J110" s="353" t="s">
        <v>1379</v>
      </c>
      <c r="K110" s="354">
        <f t="shared" si="10"/>
        <v>372300</v>
      </c>
      <c r="L110" s="363">
        <v>39781</v>
      </c>
      <c r="M110" s="742">
        <v>353685</v>
      </c>
      <c r="N110" s="352">
        <f t="shared" si="19"/>
        <v>18615</v>
      </c>
      <c r="O110" s="357">
        <f t="shared" si="11"/>
        <v>5602</v>
      </c>
      <c r="P110" s="357">
        <v>9</v>
      </c>
      <c r="Q110" s="358">
        <v>9</v>
      </c>
      <c r="R110" s="359">
        <f t="shared" si="12"/>
        <v>0</v>
      </c>
      <c r="S110" s="360">
        <f t="shared" si="13"/>
        <v>0</v>
      </c>
      <c r="T110" s="361">
        <f t="shared" si="14"/>
        <v>0.10555555555555554</v>
      </c>
      <c r="U110" s="362">
        <v>0</v>
      </c>
      <c r="V110" s="362">
        <f t="shared" si="17"/>
        <v>18615</v>
      </c>
      <c r="W110" s="362">
        <f t="shared" si="15"/>
        <v>18615</v>
      </c>
      <c r="X110" s="742">
        <f t="shared" si="18"/>
        <v>0</v>
      </c>
    </row>
    <row r="111" spans="1:24" ht="13.9">
      <c r="A111" s="349">
        <f t="shared" si="16"/>
        <v>103</v>
      </c>
      <c r="B111" s="350" t="s">
        <v>575</v>
      </c>
      <c r="C111" s="350" t="s">
        <v>1458</v>
      </c>
      <c r="D111" s="350" t="s">
        <v>1409</v>
      </c>
      <c r="E111" s="350" t="s">
        <v>1553</v>
      </c>
      <c r="F111" s="350" t="s">
        <v>1555</v>
      </c>
      <c r="G111" s="366">
        <v>39781</v>
      </c>
      <c r="H111" s="352">
        <v>372300</v>
      </c>
      <c r="I111" s="353" t="s">
        <v>1379</v>
      </c>
      <c r="J111" s="353" t="s">
        <v>1379</v>
      </c>
      <c r="K111" s="354">
        <f t="shared" si="10"/>
        <v>372300</v>
      </c>
      <c r="L111" s="363">
        <v>39781</v>
      </c>
      <c r="M111" s="742">
        <v>353685</v>
      </c>
      <c r="N111" s="352">
        <f t="shared" si="19"/>
        <v>18615</v>
      </c>
      <c r="O111" s="357">
        <f t="shared" si="11"/>
        <v>5602</v>
      </c>
      <c r="P111" s="357">
        <v>9</v>
      </c>
      <c r="Q111" s="358">
        <v>9</v>
      </c>
      <c r="R111" s="359">
        <f t="shared" si="12"/>
        <v>0</v>
      </c>
      <c r="S111" s="360">
        <f t="shared" si="13"/>
        <v>0</v>
      </c>
      <c r="T111" s="361">
        <f t="shared" si="14"/>
        <v>0.10555555555555554</v>
      </c>
      <c r="U111" s="362">
        <v>0</v>
      </c>
      <c r="V111" s="362">
        <f t="shared" si="17"/>
        <v>18615</v>
      </c>
      <c r="W111" s="362">
        <f t="shared" si="15"/>
        <v>18615</v>
      </c>
      <c r="X111" s="742">
        <f t="shared" si="18"/>
        <v>0</v>
      </c>
    </row>
    <row r="112" spans="1:24" ht="13.9">
      <c r="A112" s="349">
        <f t="shared" si="16"/>
        <v>104</v>
      </c>
      <c r="B112" s="350" t="s">
        <v>575</v>
      </c>
      <c r="C112" s="350" t="s">
        <v>1458</v>
      </c>
      <c r="D112" s="350" t="s">
        <v>1409</v>
      </c>
      <c r="E112" s="350" t="s">
        <v>1553</v>
      </c>
      <c r="F112" s="350" t="s">
        <v>1556</v>
      </c>
      <c r="G112" s="366">
        <v>39790</v>
      </c>
      <c r="H112" s="352">
        <v>442473</v>
      </c>
      <c r="I112" s="353" t="s">
        <v>1379</v>
      </c>
      <c r="J112" s="353" t="s">
        <v>1379</v>
      </c>
      <c r="K112" s="354">
        <f t="shared" si="10"/>
        <v>442473</v>
      </c>
      <c r="L112" s="363">
        <v>39790</v>
      </c>
      <c r="M112" s="742">
        <v>420349</v>
      </c>
      <c r="N112" s="352">
        <f t="shared" si="19"/>
        <v>22124</v>
      </c>
      <c r="O112" s="357">
        <f t="shared" si="11"/>
        <v>5593</v>
      </c>
      <c r="P112" s="357">
        <v>9</v>
      </c>
      <c r="Q112" s="358">
        <v>9</v>
      </c>
      <c r="R112" s="359">
        <f t="shared" si="12"/>
        <v>0</v>
      </c>
      <c r="S112" s="360">
        <f t="shared" si="13"/>
        <v>0</v>
      </c>
      <c r="T112" s="361">
        <f t="shared" si="14"/>
        <v>0.10555555555555554</v>
      </c>
      <c r="U112" s="362">
        <v>0</v>
      </c>
      <c r="V112" s="362">
        <f t="shared" si="17"/>
        <v>22124</v>
      </c>
      <c r="W112" s="362">
        <f t="shared" si="15"/>
        <v>22124</v>
      </c>
      <c r="X112" s="742">
        <f t="shared" si="18"/>
        <v>0</v>
      </c>
    </row>
    <row r="113" spans="1:24" ht="13.9">
      <c r="A113" s="349">
        <f t="shared" si="16"/>
        <v>105</v>
      </c>
      <c r="B113" s="350" t="s">
        <v>575</v>
      </c>
      <c r="C113" s="350" t="s">
        <v>1458</v>
      </c>
      <c r="D113" s="350" t="s">
        <v>1409</v>
      </c>
      <c r="E113" s="350" t="s">
        <v>1553</v>
      </c>
      <c r="F113" s="350" t="s">
        <v>1557</v>
      </c>
      <c r="G113" s="366">
        <v>39790</v>
      </c>
      <c r="H113" s="352">
        <v>442473</v>
      </c>
      <c r="I113" s="353" t="s">
        <v>1379</v>
      </c>
      <c r="J113" s="353" t="s">
        <v>1379</v>
      </c>
      <c r="K113" s="354">
        <f t="shared" si="10"/>
        <v>442473</v>
      </c>
      <c r="L113" s="363">
        <v>39790</v>
      </c>
      <c r="M113" s="742">
        <v>420349</v>
      </c>
      <c r="N113" s="352">
        <f t="shared" si="19"/>
        <v>22124</v>
      </c>
      <c r="O113" s="357">
        <f t="shared" si="11"/>
        <v>5593</v>
      </c>
      <c r="P113" s="357">
        <v>9</v>
      </c>
      <c r="Q113" s="358">
        <v>9</v>
      </c>
      <c r="R113" s="359">
        <f t="shared" si="12"/>
        <v>0</v>
      </c>
      <c r="S113" s="360">
        <f t="shared" si="13"/>
        <v>0</v>
      </c>
      <c r="T113" s="361">
        <f t="shared" si="14"/>
        <v>0.10555555555555554</v>
      </c>
      <c r="U113" s="362">
        <v>0</v>
      </c>
      <c r="V113" s="362">
        <f t="shared" si="17"/>
        <v>22124</v>
      </c>
      <c r="W113" s="362">
        <f t="shared" si="15"/>
        <v>22124</v>
      </c>
      <c r="X113" s="742">
        <f t="shared" si="18"/>
        <v>0</v>
      </c>
    </row>
    <row r="114" spans="1:24" ht="13.9">
      <c r="A114" s="349">
        <f t="shared" si="16"/>
        <v>106</v>
      </c>
      <c r="B114" s="350" t="s">
        <v>575</v>
      </c>
      <c r="C114" s="350" t="s">
        <v>1458</v>
      </c>
      <c r="D114" s="350" t="s">
        <v>1409</v>
      </c>
      <c r="E114" s="350" t="s">
        <v>1553</v>
      </c>
      <c r="F114" s="350" t="s">
        <v>1558</v>
      </c>
      <c r="G114" s="366">
        <v>39903</v>
      </c>
      <c r="H114" s="352">
        <v>338943</v>
      </c>
      <c r="I114" s="353" t="s">
        <v>1379</v>
      </c>
      <c r="J114" s="353" t="s">
        <v>1379</v>
      </c>
      <c r="K114" s="354">
        <f t="shared" si="10"/>
        <v>338943</v>
      </c>
      <c r="L114" s="363">
        <v>39903</v>
      </c>
      <c r="M114" s="742">
        <v>333394</v>
      </c>
      <c r="N114" s="352">
        <f t="shared" si="19"/>
        <v>5549</v>
      </c>
      <c r="O114" s="357">
        <f t="shared" si="11"/>
        <v>5480</v>
      </c>
      <c r="P114" s="357">
        <v>9</v>
      </c>
      <c r="Q114" s="358">
        <v>9</v>
      </c>
      <c r="R114" s="359">
        <f t="shared" si="12"/>
        <v>0</v>
      </c>
      <c r="S114" s="360">
        <f t="shared" si="13"/>
        <v>0</v>
      </c>
      <c r="T114" s="361">
        <f t="shared" si="14"/>
        <v>0.10555555555555554</v>
      </c>
      <c r="U114" s="362">
        <v>0</v>
      </c>
      <c r="V114" s="362">
        <f t="shared" si="17"/>
        <v>5549</v>
      </c>
      <c r="W114" s="362">
        <f t="shared" si="15"/>
        <v>16947</v>
      </c>
      <c r="X114" s="742">
        <f t="shared" si="18"/>
        <v>-11398</v>
      </c>
    </row>
    <row r="115" spans="1:24" ht="13.9">
      <c r="A115" s="349">
        <f t="shared" si="16"/>
        <v>107</v>
      </c>
      <c r="B115" s="350" t="s">
        <v>575</v>
      </c>
      <c r="C115" s="350" t="s">
        <v>1458</v>
      </c>
      <c r="D115" s="350" t="s">
        <v>1409</v>
      </c>
      <c r="E115" s="350" t="s">
        <v>1553</v>
      </c>
      <c r="F115" s="350" t="s">
        <v>1559</v>
      </c>
      <c r="G115" s="366">
        <v>39903</v>
      </c>
      <c r="H115" s="352">
        <v>295801</v>
      </c>
      <c r="I115" s="353" t="s">
        <v>1379</v>
      </c>
      <c r="J115" s="353" t="s">
        <v>1379</v>
      </c>
      <c r="K115" s="354">
        <f t="shared" si="10"/>
        <v>295801</v>
      </c>
      <c r="L115" s="363">
        <v>39903</v>
      </c>
      <c r="M115" s="742">
        <v>290959</v>
      </c>
      <c r="N115" s="352">
        <f t="shared" si="19"/>
        <v>4842</v>
      </c>
      <c r="O115" s="357">
        <f t="shared" si="11"/>
        <v>5480</v>
      </c>
      <c r="P115" s="357">
        <v>9</v>
      </c>
      <c r="Q115" s="358">
        <v>9</v>
      </c>
      <c r="R115" s="359">
        <f t="shared" si="12"/>
        <v>0</v>
      </c>
      <c r="S115" s="360">
        <f t="shared" si="13"/>
        <v>0</v>
      </c>
      <c r="T115" s="361">
        <f t="shared" si="14"/>
        <v>0.10555555555555554</v>
      </c>
      <c r="U115" s="362">
        <v>0</v>
      </c>
      <c r="V115" s="362">
        <f t="shared" si="17"/>
        <v>4842</v>
      </c>
      <c r="W115" s="362">
        <f t="shared" si="15"/>
        <v>14790</v>
      </c>
      <c r="X115" s="742">
        <f t="shared" si="18"/>
        <v>-9948</v>
      </c>
    </row>
    <row r="116" spans="1:24" ht="13.9">
      <c r="A116" s="349">
        <f t="shared" si="16"/>
        <v>108</v>
      </c>
      <c r="B116" s="350" t="s">
        <v>1560</v>
      </c>
      <c r="C116" s="350" t="s">
        <v>1458</v>
      </c>
      <c r="D116" s="350" t="s">
        <v>1409</v>
      </c>
      <c r="E116" s="350" t="s">
        <v>1522</v>
      </c>
      <c r="F116" s="350" t="s">
        <v>1561</v>
      </c>
      <c r="G116" s="366">
        <v>39872</v>
      </c>
      <c r="H116" s="352">
        <v>1904483</v>
      </c>
      <c r="I116" s="353" t="s">
        <v>1379</v>
      </c>
      <c r="J116" s="353" t="s">
        <v>1379</v>
      </c>
      <c r="K116" s="354">
        <f t="shared" si="10"/>
        <v>1904483</v>
      </c>
      <c r="L116" s="363">
        <v>39888</v>
      </c>
      <c r="M116" s="742">
        <v>1884795</v>
      </c>
      <c r="N116" s="352">
        <f t="shared" si="19"/>
        <v>19688</v>
      </c>
      <c r="O116" s="357">
        <f t="shared" si="11"/>
        <v>5495</v>
      </c>
      <c r="P116" s="357">
        <v>9</v>
      </c>
      <c r="Q116" s="358">
        <v>9</v>
      </c>
      <c r="R116" s="359">
        <f t="shared" si="12"/>
        <v>0</v>
      </c>
      <c r="S116" s="360">
        <f t="shared" si="13"/>
        <v>0</v>
      </c>
      <c r="T116" s="361">
        <f t="shared" si="14"/>
        <v>0.10555555555555554</v>
      </c>
      <c r="U116" s="362">
        <v>0</v>
      </c>
      <c r="V116" s="362">
        <f t="shared" si="17"/>
        <v>19688</v>
      </c>
      <c r="W116" s="362">
        <f t="shared" si="15"/>
        <v>95224</v>
      </c>
      <c r="X116" s="742">
        <f t="shared" si="18"/>
        <v>-75536</v>
      </c>
    </row>
    <row r="117" spans="1:24" ht="13.9">
      <c r="A117" s="349">
        <f t="shared" si="16"/>
        <v>109</v>
      </c>
      <c r="B117" s="350" t="s">
        <v>1562</v>
      </c>
      <c r="C117" s="350" t="s">
        <v>1458</v>
      </c>
      <c r="D117" s="350" t="s">
        <v>1409</v>
      </c>
      <c r="E117" s="350" t="s">
        <v>1469</v>
      </c>
      <c r="F117" s="350" t="s">
        <v>1563</v>
      </c>
      <c r="G117" s="366">
        <v>39798</v>
      </c>
      <c r="H117" s="352">
        <v>1427184</v>
      </c>
      <c r="I117" s="353" t="s">
        <v>1379</v>
      </c>
      <c r="J117" s="353" t="s">
        <v>1379</v>
      </c>
      <c r="K117" s="354">
        <f t="shared" si="10"/>
        <v>1427184</v>
      </c>
      <c r="L117" s="363">
        <v>39803</v>
      </c>
      <c r="M117" s="742">
        <v>1355825</v>
      </c>
      <c r="N117" s="352">
        <f t="shared" si="19"/>
        <v>71359</v>
      </c>
      <c r="O117" s="357">
        <f t="shared" si="11"/>
        <v>5580</v>
      </c>
      <c r="P117" s="357">
        <v>9</v>
      </c>
      <c r="Q117" s="358">
        <v>9</v>
      </c>
      <c r="R117" s="359">
        <f t="shared" si="12"/>
        <v>0</v>
      </c>
      <c r="S117" s="360">
        <f t="shared" si="13"/>
        <v>0</v>
      </c>
      <c r="T117" s="361">
        <f t="shared" si="14"/>
        <v>0.10555555555555554</v>
      </c>
      <c r="U117" s="362">
        <v>0</v>
      </c>
      <c r="V117" s="362">
        <f t="shared" si="17"/>
        <v>71359</v>
      </c>
      <c r="W117" s="362">
        <f t="shared" si="15"/>
        <v>71359</v>
      </c>
      <c r="X117" s="742">
        <f t="shared" si="18"/>
        <v>0</v>
      </c>
    </row>
    <row r="118" spans="1:24" ht="13.9">
      <c r="A118" s="349">
        <f t="shared" si="16"/>
        <v>110</v>
      </c>
      <c r="B118" s="350" t="s">
        <v>1564</v>
      </c>
      <c r="C118" s="350" t="s">
        <v>1458</v>
      </c>
      <c r="D118" s="350" t="s">
        <v>1409</v>
      </c>
      <c r="E118" s="350" t="s">
        <v>1469</v>
      </c>
      <c r="F118" s="350" t="s">
        <v>1565</v>
      </c>
      <c r="G118" s="366">
        <v>39798</v>
      </c>
      <c r="H118" s="352">
        <v>577945</v>
      </c>
      <c r="I118" s="353" t="s">
        <v>1379</v>
      </c>
      <c r="J118" s="353" t="s">
        <v>1379</v>
      </c>
      <c r="K118" s="354">
        <f t="shared" si="10"/>
        <v>577945</v>
      </c>
      <c r="L118" s="363">
        <v>39798</v>
      </c>
      <c r="M118" s="742">
        <v>549048</v>
      </c>
      <c r="N118" s="352">
        <f t="shared" si="19"/>
        <v>28897</v>
      </c>
      <c r="O118" s="357">
        <f t="shared" si="11"/>
        <v>5585</v>
      </c>
      <c r="P118" s="357">
        <v>9</v>
      </c>
      <c r="Q118" s="358">
        <v>9</v>
      </c>
      <c r="R118" s="359">
        <f t="shared" si="12"/>
        <v>0</v>
      </c>
      <c r="S118" s="360">
        <f t="shared" si="13"/>
        <v>0</v>
      </c>
      <c r="T118" s="361">
        <f t="shared" si="14"/>
        <v>0.10555555555555554</v>
      </c>
      <c r="U118" s="362">
        <v>0</v>
      </c>
      <c r="V118" s="362">
        <f t="shared" si="17"/>
        <v>28897</v>
      </c>
      <c r="W118" s="362">
        <f t="shared" si="15"/>
        <v>28897</v>
      </c>
      <c r="X118" s="742">
        <f t="shared" si="18"/>
        <v>0</v>
      </c>
    </row>
    <row r="119" spans="1:24" ht="13.9">
      <c r="A119" s="349">
        <f t="shared" si="16"/>
        <v>111</v>
      </c>
      <c r="B119" s="350" t="s">
        <v>1566</v>
      </c>
      <c r="C119" s="350" t="s">
        <v>1458</v>
      </c>
      <c r="D119" s="350" t="s">
        <v>1409</v>
      </c>
      <c r="E119" s="350" t="s">
        <v>1567</v>
      </c>
      <c r="F119" s="350" t="s">
        <v>1568</v>
      </c>
      <c r="G119" s="366">
        <v>39847</v>
      </c>
      <c r="H119" s="352">
        <v>485345</v>
      </c>
      <c r="I119" s="353" t="s">
        <v>1379</v>
      </c>
      <c r="J119" s="353" t="s">
        <v>1379</v>
      </c>
      <c r="K119" s="354">
        <f t="shared" si="10"/>
        <v>485345</v>
      </c>
      <c r="L119" s="363">
        <v>39813</v>
      </c>
      <c r="M119" s="742">
        <v>461078</v>
      </c>
      <c r="N119" s="352">
        <f t="shared" si="19"/>
        <v>24267</v>
      </c>
      <c r="O119" s="357">
        <f t="shared" si="11"/>
        <v>5570</v>
      </c>
      <c r="P119" s="357">
        <v>9</v>
      </c>
      <c r="Q119" s="358">
        <v>9</v>
      </c>
      <c r="R119" s="359">
        <f t="shared" si="12"/>
        <v>0</v>
      </c>
      <c r="S119" s="360">
        <f t="shared" si="13"/>
        <v>0</v>
      </c>
      <c r="T119" s="361">
        <f t="shared" si="14"/>
        <v>0.10555555555555554</v>
      </c>
      <c r="U119" s="362">
        <v>0</v>
      </c>
      <c r="V119" s="362">
        <f t="shared" si="17"/>
        <v>24267</v>
      </c>
      <c r="W119" s="362">
        <f t="shared" si="15"/>
        <v>24267</v>
      </c>
      <c r="X119" s="742">
        <f t="shared" si="18"/>
        <v>0</v>
      </c>
    </row>
    <row r="120" spans="1:24" ht="13.9">
      <c r="A120" s="349">
        <f t="shared" si="16"/>
        <v>112</v>
      </c>
      <c r="B120" s="350" t="s">
        <v>1569</v>
      </c>
      <c r="C120" s="350" t="s">
        <v>1458</v>
      </c>
      <c r="D120" s="350" t="s">
        <v>1409</v>
      </c>
      <c r="E120" s="350" t="s">
        <v>1570</v>
      </c>
      <c r="F120" s="350" t="s">
        <v>1571</v>
      </c>
      <c r="G120" s="366">
        <v>39792</v>
      </c>
      <c r="H120" s="352">
        <v>19350</v>
      </c>
      <c r="I120" s="353" t="s">
        <v>1379</v>
      </c>
      <c r="J120" s="353" t="s">
        <v>1379</v>
      </c>
      <c r="K120" s="354">
        <f t="shared" si="10"/>
        <v>19350</v>
      </c>
      <c r="L120" s="363">
        <v>39792</v>
      </c>
      <c r="M120" s="742">
        <v>18382</v>
      </c>
      <c r="N120" s="352">
        <f t="shared" si="19"/>
        <v>968</v>
      </c>
      <c r="O120" s="357">
        <f t="shared" si="11"/>
        <v>5591</v>
      </c>
      <c r="P120" s="357">
        <v>9</v>
      </c>
      <c r="Q120" s="358">
        <v>9</v>
      </c>
      <c r="R120" s="359">
        <f t="shared" si="12"/>
        <v>0</v>
      </c>
      <c r="S120" s="360">
        <f t="shared" si="13"/>
        <v>0</v>
      </c>
      <c r="T120" s="361">
        <f t="shared" si="14"/>
        <v>0.10555555555555554</v>
      </c>
      <c r="U120" s="362">
        <v>0</v>
      </c>
      <c r="V120" s="362">
        <f t="shared" si="17"/>
        <v>968</v>
      </c>
      <c r="W120" s="362">
        <f t="shared" si="15"/>
        <v>968</v>
      </c>
      <c r="X120" s="742">
        <f t="shared" si="18"/>
        <v>0</v>
      </c>
    </row>
    <row r="121" spans="1:24" ht="13.9">
      <c r="A121" s="349">
        <f t="shared" si="16"/>
        <v>113</v>
      </c>
      <c r="B121" s="350" t="s">
        <v>1572</v>
      </c>
      <c r="C121" s="350" t="s">
        <v>1458</v>
      </c>
      <c r="D121" s="350" t="s">
        <v>1409</v>
      </c>
      <c r="E121" s="350" t="s">
        <v>1573</v>
      </c>
      <c r="F121" s="350" t="s">
        <v>1574</v>
      </c>
      <c r="G121" s="366">
        <v>39897</v>
      </c>
      <c r="H121" s="352">
        <v>236436</v>
      </c>
      <c r="I121" s="353" t="s">
        <v>1379</v>
      </c>
      <c r="J121" s="353" t="s">
        <v>1379</v>
      </c>
      <c r="K121" s="354">
        <f t="shared" si="10"/>
        <v>236436</v>
      </c>
      <c r="L121" s="363">
        <v>39903</v>
      </c>
      <c r="M121" s="742">
        <v>232566</v>
      </c>
      <c r="N121" s="352">
        <f t="shared" si="19"/>
        <v>3870</v>
      </c>
      <c r="O121" s="357">
        <f t="shared" si="11"/>
        <v>5480</v>
      </c>
      <c r="P121" s="357">
        <v>9</v>
      </c>
      <c r="Q121" s="358">
        <v>9</v>
      </c>
      <c r="R121" s="359">
        <f t="shared" si="12"/>
        <v>0</v>
      </c>
      <c r="S121" s="360">
        <f t="shared" si="13"/>
        <v>0</v>
      </c>
      <c r="T121" s="361">
        <f t="shared" si="14"/>
        <v>0.10555555555555554</v>
      </c>
      <c r="U121" s="362">
        <v>0</v>
      </c>
      <c r="V121" s="362">
        <f t="shared" si="17"/>
        <v>3870</v>
      </c>
      <c r="W121" s="362">
        <f t="shared" si="15"/>
        <v>11822</v>
      </c>
      <c r="X121" s="742">
        <f t="shared" si="18"/>
        <v>-7952</v>
      </c>
    </row>
    <row r="122" spans="1:24" ht="13.9">
      <c r="A122" s="349">
        <f t="shared" si="16"/>
        <v>114</v>
      </c>
      <c r="B122" s="350" t="s">
        <v>1575</v>
      </c>
      <c r="C122" s="350" t="s">
        <v>1458</v>
      </c>
      <c r="D122" s="350" t="s">
        <v>1409</v>
      </c>
      <c r="E122" s="350" t="s">
        <v>1573</v>
      </c>
      <c r="F122" s="350" t="s">
        <v>1576</v>
      </c>
      <c r="G122" s="366">
        <v>39897</v>
      </c>
      <c r="H122" s="352">
        <v>227052</v>
      </c>
      <c r="I122" s="353" t="s">
        <v>1379</v>
      </c>
      <c r="J122" s="353" t="s">
        <v>1379</v>
      </c>
      <c r="K122" s="354">
        <f t="shared" si="10"/>
        <v>227052</v>
      </c>
      <c r="L122" s="363">
        <v>39903</v>
      </c>
      <c r="M122" s="742">
        <v>223335</v>
      </c>
      <c r="N122" s="352">
        <f t="shared" si="19"/>
        <v>3717</v>
      </c>
      <c r="O122" s="357">
        <f t="shared" si="11"/>
        <v>5480</v>
      </c>
      <c r="P122" s="357">
        <v>9</v>
      </c>
      <c r="Q122" s="358">
        <v>9</v>
      </c>
      <c r="R122" s="359">
        <f t="shared" si="12"/>
        <v>0</v>
      </c>
      <c r="S122" s="360">
        <f t="shared" si="13"/>
        <v>0</v>
      </c>
      <c r="T122" s="361">
        <f t="shared" si="14"/>
        <v>0.10555555555555554</v>
      </c>
      <c r="U122" s="362">
        <v>0</v>
      </c>
      <c r="V122" s="362">
        <f t="shared" si="17"/>
        <v>3717</v>
      </c>
      <c r="W122" s="362">
        <f t="shared" si="15"/>
        <v>11353</v>
      </c>
      <c r="X122" s="742">
        <f t="shared" si="18"/>
        <v>-7636</v>
      </c>
    </row>
    <row r="123" spans="1:24" ht="13.9">
      <c r="A123" s="349">
        <f t="shared" si="16"/>
        <v>115</v>
      </c>
      <c r="B123" s="350" t="s">
        <v>1375</v>
      </c>
      <c r="C123" s="350" t="s">
        <v>1458</v>
      </c>
      <c r="D123" s="350" t="s">
        <v>1409</v>
      </c>
      <c r="E123" s="350" t="s">
        <v>990</v>
      </c>
      <c r="F123" s="350" t="s">
        <v>1577</v>
      </c>
      <c r="G123" s="366">
        <v>39809</v>
      </c>
      <c r="H123" s="352">
        <v>18562</v>
      </c>
      <c r="I123" s="353" t="s">
        <v>1379</v>
      </c>
      <c r="J123" s="353" t="s">
        <v>1379</v>
      </c>
      <c r="K123" s="354">
        <f t="shared" si="10"/>
        <v>18562</v>
      </c>
      <c r="L123" s="363">
        <v>39809</v>
      </c>
      <c r="M123" s="742">
        <v>17634</v>
      </c>
      <c r="N123" s="352">
        <f t="shared" si="19"/>
        <v>928</v>
      </c>
      <c r="O123" s="357">
        <f t="shared" si="11"/>
        <v>5574</v>
      </c>
      <c r="P123" s="357">
        <v>9</v>
      </c>
      <c r="Q123" s="358">
        <v>9</v>
      </c>
      <c r="R123" s="359">
        <f t="shared" si="12"/>
        <v>0</v>
      </c>
      <c r="S123" s="360">
        <f t="shared" si="13"/>
        <v>0</v>
      </c>
      <c r="T123" s="361">
        <f t="shared" si="14"/>
        <v>0.10555555555555554</v>
      </c>
      <c r="U123" s="362">
        <v>0</v>
      </c>
      <c r="V123" s="362">
        <f t="shared" si="17"/>
        <v>928</v>
      </c>
      <c r="W123" s="362">
        <f t="shared" si="15"/>
        <v>928</v>
      </c>
      <c r="X123" s="742">
        <f t="shared" si="18"/>
        <v>0</v>
      </c>
    </row>
    <row r="124" spans="1:24" ht="13.9">
      <c r="A124" s="349">
        <f t="shared" si="16"/>
        <v>116</v>
      </c>
      <c r="B124" s="350" t="s">
        <v>1578</v>
      </c>
      <c r="C124" s="350" t="s">
        <v>1458</v>
      </c>
      <c r="D124" s="350" t="s">
        <v>1409</v>
      </c>
      <c r="E124" s="350" t="s">
        <v>1579</v>
      </c>
      <c r="F124" s="350" t="s">
        <v>1580</v>
      </c>
      <c r="G124" s="366">
        <v>39853</v>
      </c>
      <c r="H124" s="352">
        <v>30319</v>
      </c>
      <c r="I124" s="353" t="s">
        <v>1379</v>
      </c>
      <c r="J124" s="353" t="s">
        <v>1379</v>
      </c>
      <c r="K124" s="354">
        <f t="shared" si="10"/>
        <v>30319</v>
      </c>
      <c r="L124" s="363">
        <v>39900</v>
      </c>
      <c r="M124" s="742">
        <v>28803</v>
      </c>
      <c r="N124" s="352">
        <f t="shared" si="19"/>
        <v>1516</v>
      </c>
      <c r="O124" s="357">
        <f t="shared" si="11"/>
        <v>5483</v>
      </c>
      <c r="P124" s="357">
        <v>9</v>
      </c>
      <c r="Q124" s="358">
        <v>9</v>
      </c>
      <c r="R124" s="359">
        <f t="shared" si="12"/>
        <v>0</v>
      </c>
      <c r="S124" s="360">
        <f t="shared" si="13"/>
        <v>0</v>
      </c>
      <c r="T124" s="361">
        <f t="shared" si="14"/>
        <v>0.10555555555555554</v>
      </c>
      <c r="U124" s="362">
        <v>0</v>
      </c>
      <c r="V124" s="362">
        <f t="shared" si="17"/>
        <v>1516</v>
      </c>
      <c r="W124" s="362">
        <f t="shared" si="15"/>
        <v>1516</v>
      </c>
      <c r="X124" s="742">
        <f t="shared" si="18"/>
        <v>0</v>
      </c>
    </row>
    <row r="125" spans="1:24" ht="13.9">
      <c r="A125" s="349">
        <f t="shared" si="16"/>
        <v>117</v>
      </c>
      <c r="B125" s="350" t="s">
        <v>1581</v>
      </c>
      <c r="C125" s="350" t="s">
        <v>1458</v>
      </c>
      <c r="D125" s="350" t="s">
        <v>1409</v>
      </c>
      <c r="E125" s="350" t="s">
        <v>1570</v>
      </c>
      <c r="F125" s="350" t="s">
        <v>1582</v>
      </c>
      <c r="G125" s="366">
        <v>39814</v>
      </c>
      <c r="H125" s="352">
        <v>61875</v>
      </c>
      <c r="I125" s="353" t="s">
        <v>1379</v>
      </c>
      <c r="J125" s="353" t="s">
        <v>1379</v>
      </c>
      <c r="K125" s="354">
        <f t="shared" si="10"/>
        <v>61875</v>
      </c>
      <c r="L125" s="363">
        <v>39819</v>
      </c>
      <c r="M125" s="742">
        <v>58781</v>
      </c>
      <c r="N125" s="352">
        <f t="shared" si="19"/>
        <v>3094</v>
      </c>
      <c r="O125" s="357">
        <f t="shared" si="11"/>
        <v>5564</v>
      </c>
      <c r="P125" s="357">
        <v>9</v>
      </c>
      <c r="Q125" s="358">
        <v>9</v>
      </c>
      <c r="R125" s="359">
        <f t="shared" si="12"/>
        <v>0</v>
      </c>
      <c r="S125" s="360">
        <f t="shared" si="13"/>
        <v>0</v>
      </c>
      <c r="T125" s="361">
        <f t="shared" si="14"/>
        <v>0.10555555555555554</v>
      </c>
      <c r="U125" s="362">
        <v>0</v>
      </c>
      <c r="V125" s="362">
        <f t="shared" si="17"/>
        <v>3094</v>
      </c>
      <c r="W125" s="362">
        <f t="shared" si="15"/>
        <v>3094</v>
      </c>
      <c r="X125" s="742">
        <f t="shared" si="18"/>
        <v>0</v>
      </c>
    </row>
    <row r="126" spans="1:24" ht="13.9">
      <c r="A126" s="349">
        <f t="shared" si="16"/>
        <v>118</v>
      </c>
      <c r="B126" s="350" t="s">
        <v>1583</v>
      </c>
      <c r="C126" s="350" t="s">
        <v>1458</v>
      </c>
      <c r="D126" s="350" t="s">
        <v>1409</v>
      </c>
      <c r="E126" s="350" t="s">
        <v>1478</v>
      </c>
      <c r="F126" s="350" t="s">
        <v>1584</v>
      </c>
      <c r="G126" s="366">
        <v>39855</v>
      </c>
      <c r="H126" s="352">
        <v>19240</v>
      </c>
      <c r="I126" s="353" t="s">
        <v>1379</v>
      </c>
      <c r="J126" s="353" t="s">
        <v>1379</v>
      </c>
      <c r="K126" s="354">
        <f t="shared" si="10"/>
        <v>19240</v>
      </c>
      <c r="L126" s="363">
        <v>39855</v>
      </c>
      <c r="M126" s="742">
        <v>18278</v>
      </c>
      <c r="N126" s="352">
        <f t="shared" si="19"/>
        <v>962</v>
      </c>
      <c r="O126" s="357">
        <f t="shared" si="11"/>
        <v>5528</v>
      </c>
      <c r="P126" s="357">
        <v>9</v>
      </c>
      <c r="Q126" s="358">
        <v>9</v>
      </c>
      <c r="R126" s="359">
        <f t="shared" si="12"/>
        <v>0</v>
      </c>
      <c r="S126" s="360">
        <f t="shared" si="13"/>
        <v>0</v>
      </c>
      <c r="T126" s="361">
        <f t="shared" si="14"/>
        <v>0.10555555555555554</v>
      </c>
      <c r="U126" s="362">
        <v>0</v>
      </c>
      <c r="V126" s="362">
        <f t="shared" si="17"/>
        <v>962</v>
      </c>
      <c r="W126" s="362">
        <f t="shared" si="15"/>
        <v>962</v>
      </c>
      <c r="X126" s="742">
        <f t="shared" si="18"/>
        <v>0</v>
      </c>
    </row>
    <row r="127" spans="1:24" ht="13.9">
      <c r="A127" s="349">
        <f t="shared" si="16"/>
        <v>119</v>
      </c>
      <c r="B127" s="350" t="s">
        <v>1583</v>
      </c>
      <c r="C127" s="350" t="s">
        <v>1481</v>
      </c>
      <c r="D127" s="350" t="s">
        <v>1409</v>
      </c>
      <c r="E127" s="350" t="s">
        <v>1585</v>
      </c>
      <c r="F127" s="350" t="s">
        <v>1586</v>
      </c>
      <c r="G127" s="366">
        <v>39876</v>
      </c>
      <c r="H127" s="352">
        <v>139388</v>
      </c>
      <c r="I127" s="353" t="s">
        <v>1379</v>
      </c>
      <c r="J127" s="353" t="s">
        <v>1379</v>
      </c>
      <c r="K127" s="354">
        <f t="shared" si="10"/>
        <v>139388</v>
      </c>
      <c r="L127" s="363">
        <v>39885</v>
      </c>
      <c r="M127" s="742">
        <v>138117</v>
      </c>
      <c r="N127" s="352">
        <f t="shared" si="19"/>
        <v>1271</v>
      </c>
      <c r="O127" s="357">
        <f t="shared" si="11"/>
        <v>5498</v>
      </c>
      <c r="P127" s="357">
        <v>9</v>
      </c>
      <c r="Q127" s="358">
        <v>9</v>
      </c>
      <c r="R127" s="359">
        <f t="shared" si="12"/>
        <v>0</v>
      </c>
      <c r="S127" s="360">
        <f t="shared" si="13"/>
        <v>0</v>
      </c>
      <c r="T127" s="361">
        <f t="shared" si="14"/>
        <v>0.10555555555555554</v>
      </c>
      <c r="U127" s="362">
        <v>0</v>
      </c>
      <c r="V127" s="362">
        <f t="shared" si="17"/>
        <v>1271</v>
      </c>
      <c r="W127" s="362">
        <f t="shared" si="15"/>
        <v>6969</v>
      </c>
      <c r="X127" s="742">
        <f t="shared" si="18"/>
        <v>-5698</v>
      </c>
    </row>
    <row r="128" spans="1:24" ht="13.9">
      <c r="A128" s="349">
        <f t="shared" si="16"/>
        <v>120</v>
      </c>
      <c r="B128" s="350" t="s">
        <v>983</v>
      </c>
      <c r="C128" s="350" t="s">
        <v>1458</v>
      </c>
      <c r="D128" s="350" t="s">
        <v>1409</v>
      </c>
      <c r="E128" s="350" t="s">
        <v>1478</v>
      </c>
      <c r="F128" s="350" t="s">
        <v>1587</v>
      </c>
      <c r="G128" s="366">
        <v>39787</v>
      </c>
      <c r="H128" s="352">
        <v>18720</v>
      </c>
      <c r="I128" s="353" t="s">
        <v>1379</v>
      </c>
      <c r="J128" s="353" t="s">
        <v>1379</v>
      </c>
      <c r="K128" s="354">
        <f t="shared" si="10"/>
        <v>18720</v>
      </c>
      <c r="L128" s="363">
        <v>39787</v>
      </c>
      <c r="M128" s="742">
        <v>17784</v>
      </c>
      <c r="N128" s="352">
        <f t="shared" si="19"/>
        <v>936</v>
      </c>
      <c r="O128" s="357">
        <f t="shared" si="11"/>
        <v>5596</v>
      </c>
      <c r="P128" s="357">
        <v>9</v>
      </c>
      <c r="Q128" s="358">
        <v>9</v>
      </c>
      <c r="R128" s="359">
        <f t="shared" si="12"/>
        <v>0</v>
      </c>
      <c r="S128" s="360">
        <f t="shared" si="13"/>
        <v>0</v>
      </c>
      <c r="T128" s="361">
        <f t="shared" si="14"/>
        <v>0.10555555555555554</v>
      </c>
      <c r="U128" s="362">
        <v>0</v>
      </c>
      <c r="V128" s="362">
        <f t="shared" si="17"/>
        <v>936</v>
      </c>
      <c r="W128" s="362">
        <f t="shared" si="15"/>
        <v>936</v>
      </c>
      <c r="X128" s="742">
        <f t="shared" si="18"/>
        <v>0</v>
      </c>
    </row>
    <row r="129" spans="1:24" ht="13.9">
      <c r="A129" s="349">
        <f t="shared" si="16"/>
        <v>121</v>
      </c>
      <c r="B129" s="350" t="s">
        <v>983</v>
      </c>
      <c r="C129" s="350" t="s">
        <v>1458</v>
      </c>
      <c r="D129" s="350" t="s">
        <v>1409</v>
      </c>
      <c r="E129" s="350" t="s">
        <v>1478</v>
      </c>
      <c r="F129" s="350" t="s">
        <v>1588</v>
      </c>
      <c r="G129" s="366">
        <v>39815</v>
      </c>
      <c r="H129" s="352">
        <v>31658</v>
      </c>
      <c r="I129" s="353" t="s">
        <v>1379</v>
      </c>
      <c r="J129" s="353" t="s">
        <v>1379</v>
      </c>
      <c r="K129" s="354">
        <f t="shared" si="10"/>
        <v>31658</v>
      </c>
      <c r="L129" s="363">
        <v>39815</v>
      </c>
      <c r="M129" s="742">
        <v>30075</v>
      </c>
      <c r="N129" s="352">
        <f t="shared" si="19"/>
        <v>1583</v>
      </c>
      <c r="O129" s="357">
        <f t="shared" si="11"/>
        <v>5568</v>
      </c>
      <c r="P129" s="357">
        <v>9</v>
      </c>
      <c r="Q129" s="358">
        <v>9</v>
      </c>
      <c r="R129" s="359">
        <f t="shared" si="12"/>
        <v>0</v>
      </c>
      <c r="S129" s="360">
        <f t="shared" si="13"/>
        <v>0</v>
      </c>
      <c r="T129" s="361">
        <f t="shared" si="14"/>
        <v>0.10555555555555554</v>
      </c>
      <c r="U129" s="362">
        <v>0</v>
      </c>
      <c r="V129" s="362">
        <f t="shared" si="17"/>
        <v>1583</v>
      </c>
      <c r="W129" s="362">
        <f t="shared" si="15"/>
        <v>1583</v>
      </c>
      <c r="X129" s="742">
        <f t="shared" si="18"/>
        <v>0</v>
      </c>
    </row>
    <row r="130" spans="1:24" ht="13.9">
      <c r="A130" s="349">
        <f t="shared" si="16"/>
        <v>122</v>
      </c>
      <c r="B130" s="350" t="s">
        <v>983</v>
      </c>
      <c r="C130" s="350" t="s">
        <v>1458</v>
      </c>
      <c r="D130" s="350" t="s">
        <v>1409</v>
      </c>
      <c r="E130" s="350" t="s">
        <v>1478</v>
      </c>
      <c r="F130" s="350" t="s">
        <v>1589</v>
      </c>
      <c r="G130" s="366">
        <v>39841</v>
      </c>
      <c r="H130" s="352">
        <v>21094</v>
      </c>
      <c r="I130" s="353" t="s">
        <v>1379</v>
      </c>
      <c r="J130" s="353" t="s">
        <v>1379</v>
      </c>
      <c r="K130" s="354">
        <f t="shared" si="10"/>
        <v>21094</v>
      </c>
      <c r="L130" s="363">
        <v>39841</v>
      </c>
      <c r="M130" s="742">
        <v>20039</v>
      </c>
      <c r="N130" s="352">
        <f t="shared" si="19"/>
        <v>1055</v>
      </c>
      <c r="O130" s="357">
        <f t="shared" si="11"/>
        <v>5542</v>
      </c>
      <c r="P130" s="357">
        <v>9</v>
      </c>
      <c r="Q130" s="358">
        <v>9</v>
      </c>
      <c r="R130" s="359">
        <f t="shared" si="12"/>
        <v>0</v>
      </c>
      <c r="S130" s="360">
        <f t="shared" si="13"/>
        <v>0</v>
      </c>
      <c r="T130" s="361">
        <f t="shared" si="14"/>
        <v>0.10555555555555554</v>
      </c>
      <c r="U130" s="362">
        <v>0</v>
      </c>
      <c r="V130" s="362">
        <f t="shared" si="17"/>
        <v>1055</v>
      </c>
      <c r="W130" s="362">
        <f t="shared" si="15"/>
        <v>1055</v>
      </c>
      <c r="X130" s="742">
        <f t="shared" si="18"/>
        <v>0</v>
      </c>
    </row>
    <row r="131" spans="1:24" ht="13.9">
      <c r="A131" s="349">
        <f t="shared" si="16"/>
        <v>123</v>
      </c>
      <c r="B131" s="350" t="s">
        <v>983</v>
      </c>
      <c r="C131" s="350" t="s">
        <v>1481</v>
      </c>
      <c r="D131" s="350" t="s">
        <v>1409</v>
      </c>
      <c r="E131" s="350" t="s">
        <v>1590</v>
      </c>
      <c r="F131" s="350" t="s">
        <v>1591</v>
      </c>
      <c r="G131" s="366">
        <v>39860</v>
      </c>
      <c r="H131" s="352">
        <v>655200</v>
      </c>
      <c r="I131" s="353" t="s">
        <v>1379</v>
      </c>
      <c r="J131" s="353" t="s">
        <v>1379</v>
      </c>
      <c r="K131" s="354">
        <f t="shared" si="10"/>
        <v>655200</v>
      </c>
      <c r="L131" s="363">
        <v>39861</v>
      </c>
      <c r="M131" s="742">
        <v>622440</v>
      </c>
      <c r="N131" s="352">
        <f t="shared" si="19"/>
        <v>32760</v>
      </c>
      <c r="O131" s="357">
        <f t="shared" si="11"/>
        <v>5522</v>
      </c>
      <c r="P131" s="357">
        <v>9</v>
      </c>
      <c r="Q131" s="358">
        <v>9</v>
      </c>
      <c r="R131" s="359">
        <f t="shared" si="12"/>
        <v>0</v>
      </c>
      <c r="S131" s="360">
        <f t="shared" si="13"/>
        <v>0</v>
      </c>
      <c r="T131" s="361">
        <f t="shared" si="14"/>
        <v>0.10555555555555554</v>
      </c>
      <c r="U131" s="362">
        <v>0</v>
      </c>
      <c r="V131" s="362">
        <f t="shared" si="17"/>
        <v>32760</v>
      </c>
      <c r="W131" s="362">
        <f t="shared" si="15"/>
        <v>32760</v>
      </c>
      <c r="X131" s="742">
        <f t="shared" si="18"/>
        <v>0</v>
      </c>
    </row>
    <row r="132" spans="1:24" ht="13.9">
      <c r="A132" s="349">
        <f t="shared" si="16"/>
        <v>124</v>
      </c>
      <c r="B132" s="350" t="s">
        <v>983</v>
      </c>
      <c r="C132" s="350" t="s">
        <v>1481</v>
      </c>
      <c r="D132" s="350" t="s">
        <v>1409</v>
      </c>
      <c r="E132" s="350" t="s">
        <v>1590</v>
      </c>
      <c r="F132" s="350" t="s">
        <v>1592</v>
      </c>
      <c r="G132" s="366">
        <v>39870</v>
      </c>
      <c r="H132" s="352">
        <v>254800</v>
      </c>
      <c r="I132" s="353" t="s">
        <v>1379</v>
      </c>
      <c r="J132" s="353" t="s">
        <v>1379</v>
      </c>
      <c r="K132" s="354">
        <f t="shared" si="10"/>
        <v>254800</v>
      </c>
      <c r="L132" s="363">
        <v>39871</v>
      </c>
      <c r="M132" s="742">
        <v>242060</v>
      </c>
      <c r="N132" s="352">
        <f t="shared" si="19"/>
        <v>12740</v>
      </c>
      <c r="O132" s="357">
        <f t="shared" si="11"/>
        <v>5512</v>
      </c>
      <c r="P132" s="357">
        <v>9</v>
      </c>
      <c r="Q132" s="358">
        <v>9</v>
      </c>
      <c r="R132" s="359">
        <f t="shared" si="12"/>
        <v>0</v>
      </c>
      <c r="S132" s="360">
        <f t="shared" si="13"/>
        <v>0</v>
      </c>
      <c r="T132" s="361">
        <f t="shared" si="14"/>
        <v>0.10555555555555554</v>
      </c>
      <c r="U132" s="362">
        <v>0</v>
      </c>
      <c r="V132" s="362">
        <f t="shared" si="17"/>
        <v>12740</v>
      </c>
      <c r="W132" s="362">
        <f t="shared" si="15"/>
        <v>12740</v>
      </c>
      <c r="X132" s="742">
        <f t="shared" si="18"/>
        <v>0</v>
      </c>
    </row>
    <row r="133" spans="1:24" ht="13.9">
      <c r="A133" s="349">
        <f t="shared" si="16"/>
        <v>125</v>
      </c>
      <c r="B133" s="350" t="s">
        <v>983</v>
      </c>
      <c r="C133" s="350" t="s">
        <v>1593</v>
      </c>
      <c r="D133" s="350" t="s">
        <v>1409</v>
      </c>
      <c r="E133" s="350" t="s">
        <v>1590</v>
      </c>
      <c r="F133" s="350"/>
      <c r="G133" s="366">
        <v>39877</v>
      </c>
      <c r="H133" s="352">
        <v>182000</v>
      </c>
      <c r="I133" s="353" t="s">
        <v>1379</v>
      </c>
      <c r="J133" s="353" t="s">
        <v>1379</v>
      </c>
      <c r="K133" s="354">
        <f t="shared" si="10"/>
        <v>182000</v>
      </c>
      <c r="L133" s="363">
        <v>39877</v>
      </c>
      <c r="M133" s="742">
        <v>172900</v>
      </c>
      <c r="N133" s="352">
        <f t="shared" si="19"/>
        <v>9100</v>
      </c>
      <c r="O133" s="357">
        <f t="shared" si="11"/>
        <v>5506</v>
      </c>
      <c r="P133" s="357">
        <v>9</v>
      </c>
      <c r="Q133" s="358">
        <v>9</v>
      </c>
      <c r="R133" s="359">
        <f t="shared" si="12"/>
        <v>0</v>
      </c>
      <c r="S133" s="360">
        <f t="shared" si="13"/>
        <v>0</v>
      </c>
      <c r="T133" s="361">
        <f t="shared" si="14"/>
        <v>0.10555555555555554</v>
      </c>
      <c r="U133" s="362">
        <v>0</v>
      </c>
      <c r="V133" s="362">
        <f t="shared" si="17"/>
        <v>9100</v>
      </c>
      <c r="W133" s="362">
        <f t="shared" si="15"/>
        <v>9100</v>
      </c>
      <c r="X133" s="742">
        <f t="shared" si="18"/>
        <v>0</v>
      </c>
    </row>
    <row r="134" spans="1:24" ht="13.9">
      <c r="A134" s="349">
        <f t="shared" si="16"/>
        <v>126</v>
      </c>
      <c r="B134" s="350" t="s">
        <v>983</v>
      </c>
      <c r="C134" s="350" t="s">
        <v>1594</v>
      </c>
      <c r="D134" s="350" t="s">
        <v>1409</v>
      </c>
      <c r="E134" s="350" t="s">
        <v>1590</v>
      </c>
      <c r="F134" s="350" t="s">
        <v>1595</v>
      </c>
      <c r="G134" s="366">
        <v>39889</v>
      </c>
      <c r="H134" s="352">
        <v>145600</v>
      </c>
      <c r="I134" s="353" t="s">
        <v>1379</v>
      </c>
      <c r="J134" s="353" t="s">
        <v>1379</v>
      </c>
      <c r="K134" s="354">
        <f t="shared" si="10"/>
        <v>145600</v>
      </c>
      <c r="L134" s="363">
        <v>39889</v>
      </c>
      <c r="M134" s="742">
        <v>138320</v>
      </c>
      <c r="N134" s="352">
        <f t="shared" si="19"/>
        <v>7280</v>
      </c>
      <c r="O134" s="357">
        <f t="shared" si="11"/>
        <v>5494</v>
      </c>
      <c r="P134" s="357">
        <v>9</v>
      </c>
      <c r="Q134" s="358">
        <v>9</v>
      </c>
      <c r="R134" s="359">
        <f t="shared" si="12"/>
        <v>0</v>
      </c>
      <c r="S134" s="360">
        <f t="shared" si="13"/>
        <v>0</v>
      </c>
      <c r="T134" s="361">
        <f t="shared" si="14"/>
        <v>0.10555555555555554</v>
      </c>
      <c r="U134" s="362">
        <v>0</v>
      </c>
      <c r="V134" s="362">
        <f t="shared" si="17"/>
        <v>7280</v>
      </c>
      <c r="W134" s="362">
        <f t="shared" si="15"/>
        <v>7280</v>
      </c>
      <c r="X134" s="742">
        <f t="shared" si="18"/>
        <v>0</v>
      </c>
    </row>
    <row r="135" spans="1:24" ht="13.9">
      <c r="A135" s="349">
        <f t="shared" si="16"/>
        <v>127</v>
      </c>
      <c r="B135" s="350" t="s">
        <v>1596</v>
      </c>
      <c r="C135" s="350" t="s">
        <v>1481</v>
      </c>
      <c r="D135" s="350" t="s">
        <v>1409</v>
      </c>
      <c r="E135" s="350" t="s">
        <v>1597</v>
      </c>
      <c r="F135" s="350" t="s">
        <v>1598</v>
      </c>
      <c r="G135" s="366">
        <v>39756</v>
      </c>
      <c r="H135" s="352">
        <v>89046</v>
      </c>
      <c r="I135" s="353" t="s">
        <v>1379</v>
      </c>
      <c r="J135" s="353" t="s">
        <v>1379</v>
      </c>
      <c r="K135" s="354">
        <f t="shared" si="10"/>
        <v>89046</v>
      </c>
      <c r="L135" s="363">
        <v>39765</v>
      </c>
      <c r="M135" s="742">
        <v>84594</v>
      </c>
      <c r="N135" s="352">
        <f t="shared" si="19"/>
        <v>4452</v>
      </c>
      <c r="O135" s="357">
        <f t="shared" si="11"/>
        <v>5618</v>
      </c>
      <c r="P135" s="357">
        <v>9</v>
      </c>
      <c r="Q135" s="358">
        <v>9</v>
      </c>
      <c r="R135" s="359">
        <f t="shared" si="12"/>
        <v>0</v>
      </c>
      <c r="S135" s="360">
        <f t="shared" si="13"/>
        <v>0</v>
      </c>
      <c r="T135" s="361">
        <f t="shared" si="14"/>
        <v>0.10555555555555554</v>
      </c>
      <c r="U135" s="362">
        <v>0</v>
      </c>
      <c r="V135" s="362">
        <f t="shared" si="17"/>
        <v>4452</v>
      </c>
      <c r="W135" s="362">
        <f t="shared" si="15"/>
        <v>4452</v>
      </c>
      <c r="X135" s="742">
        <f t="shared" si="18"/>
        <v>0</v>
      </c>
    </row>
    <row r="136" spans="1:24" ht="13.9">
      <c r="A136" s="349">
        <f t="shared" si="16"/>
        <v>128</v>
      </c>
      <c r="B136" s="350" t="s">
        <v>1599</v>
      </c>
      <c r="C136" s="350" t="s">
        <v>1600</v>
      </c>
      <c r="D136" s="350" t="s">
        <v>1409</v>
      </c>
      <c r="E136" s="350" t="s">
        <v>1585</v>
      </c>
      <c r="F136" s="350" t="s">
        <v>1601</v>
      </c>
      <c r="G136" s="366">
        <v>39764</v>
      </c>
      <c r="H136" s="352">
        <v>88133</v>
      </c>
      <c r="I136" s="353" t="s">
        <v>1379</v>
      </c>
      <c r="J136" s="353" t="s">
        <v>1379</v>
      </c>
      <c r="K136" s="354">
        <f t="shared" si="10"/>
        <v>88133</v>
      </c>
      <c r="L136" s="363">
        <v>39769</v>
      </c>
      <c r="M136" s="742">
        <v>83726</v>
      </c>
      <c r="N136" s="352">
        <f t="shared" si="19"/>
        <v>4407</v>
      </c>
      <c r="O136" s="357">
        <f t="shared" si="11"/>
        <v>5614</v>
      </c>
      <c r="P136" s="357">
        <v>9</v>
      </c>
      <c r="Q136" s="358">
        <v>9</v>
      </c>
      <c r="R136" s="359">
        <f t="shared" si="12"/>
        <v>0</v>
      </c>
      <c r="S136" s="360">
        <f t="shared" si="13"/>
        <v>0</v>
      </c>
      <c r="T136" s="361">
        <f t="shared" si="14"/>
        <v>0.10555555555555554</v>
      </c>
      <c r="U136" s="362">
        <v>0</v>
      </c>
      <c r="V136" s="362">
        <f t="shared" si="17"/>
        <v>4407</v>
      </c>
      <c r="W136" s="362">
        <f t="shared" si="15"/>
        <v>4407</v>
      </c>
      <c r="X136" s="742">
        <f t="shared" si="18"/>
        <v>0</v>
      </c>
    </row>
    <row r="137" spans="1:24" ht="13.9">
      <c r="A137" s="349">
        <f t="shared" si="16"/>
        <v>129</v>
      </c>
      <c r="B137" s="350" t="s">
        <v>60</v>
      </c>
      <c r="C137" s="350"/>
      <c r="D137" s="350" t="s">
        <v>1409</v>
      </c>
      <c r="E137" s="350" t="s">
        <v>169</v>
      </c>
      <c r="F137" s="350"/>
      <c r="G137" s="366">
        <v>39850</v>
      </c>
      <c r="H137" s="352">
        <v>11856</v>
      </c>
      <c r="I137" s="353" t="s">
        <v>1379</v>
      </c>
      <c r="J137" s="353" t="s">
        <v>1379</v>
      </c>
      <c r="K137" s="354">
        <f t="shared" ref="K137:K200" si="20">+H137+I137-J137</f>
        <v>11856</v>
      </c>
      <c r="L137" s="363">
        <v>39867</v>
      </c>
      <c r="M137" s="742">
        <v>11263</v>
      </c>
      <c r="N137" s="352">
        <f t="shared" si="19"/>
        <v>593</v>
      </c>
      <c r="O137" s="357">
        <f t="shared" ref="O137:O200" si="21">+$O$3-L137+1</f>
        <v>5516</v>
      </c>
      <c r="P137" s="357">
        <v>9</v>
      </c>
      <c r="Q137" s="358">
        <v>9</v>
      </c>
      <c r="R137" s="359">
        <f t="shared" ref="R137:R200" si="22">+P137-Q137</f>
        <v>0</v>
      </c>
      <c r="S137" s="360">
        <f t="shared" ref="S137:S200" si="23">IF(R137&lt;0,0,IF(R137&gt;365,365,R137))</f>
        <v>0</v>
      </c>
      <c r="T137" s="361">
        <f t="shared" ref="T137:T200" si="24">1/P137*0.95</f>
        <v>0.10555555555555554</v>
      </c>
      <c r="U137" s="362">
        <v>0</v>
      </c>
      <c r="V137" s="362">
        <f t="shared" si="17"/>
        <v>593</v>
      </c>
      <c r="W137" s="362">
        <f t="shared" ref="W137:W200" si="25">ROUND(+H137*5%,0)</f>
        <v>593</v>
      </c>
      <c r="X137" s="742">
        <f t="shared" si="18"/>
        <v>0</v>
      </c>
    </row>
    <row r="138" spans="1:24" ht="13.9">
      <c r="A138" s="349">
        <f t="shared" ref="A138:A201" si="26">+A137+1</f>
        <v>130</v>
      </c>
      <c r="B138" s="350" t="s">
        <v>60</v>
      </c>
      <c r="C138" s="350" t="s">
        <v>1602</v>
      </c>
      <c r="D138" s="350" t="s">
        <v>1409</v>
      </c>
      <c r="E138" s="350"/>
      <c r="F138" s="350"/>
      <c r="G138" s="366">
        <v>39861</v>
      </c>
      <c r="H138" s="352">
        <v>11856</v>
      </c>
      <c r="I138" s="353" t="s">
        <v>1379</v>
      </c>
      <c r="J138" s="353" t="s">
        <v>1379</v>
      </c>
      <c r="K138" s="354">
        <f t="shared" si="20"/>
        <v>11856</v>
      </c>
      <c r="L138" s="363">
        <v>39882</v>
      </c>
      <c r="M138" s="742">
        <v>11263</v>
      </c>
      <c r="N138" s="352">
        <f t="shared" si="19"/>
        <v>593</v>
      </c>
      <c r="O138" s="357">
        <f t="shared" si="21"/>
        <v>5501</v>
      </c>
      <c r="P138" s="357">
        <v>9</v>
      </c>
      <c r="Q138" s="358">
        <v>9</v>
      </c>
      <c r="R138" s="359">
        <f t="shared" si="22"/>
        <v>0</v>
      </c>
      <c r="S138" s="360">
        <f t="shared" si="23"/>
        <v>0</v>
      </c>
      <c r="T138" s="361">
        <f t="shared" si="24"/>
        <v>0.10555555555555554</v>
      </c>
      <c r="U138" s="362">
        <v>0</v>
      </c>
      <c r="V138" s="362">
        <f t="shared" ref="V138:V201" si="27">+N138-U138</f>
        <v>593</v>
      </c>
      <c r="W138" s="362">
        <f t="shared" si="25"/>
        <v>593</v>
      </c>
      <c r="X138" s="742">
        <f t="shared" ref="X138:X201" si="28">+V138-W138</f>
        <v>0</v>
      </c>
    </row>
    <row r="139" spans="1:24" ht="13.9">
      <c r="A139" s="349">
        <f t="shared" si="26"/>
        <v>131</v>
      </c>
      <c r="B139" s="350" t="s">
        <v>60</v>
      </c>
      <c r="C139" s="350"/>
      <c r="D139" s="350" t="s">
        <v>1409</v>
      </c>
      <c r="E139" s="350" t="s">
        <v>169</v>
      </c>
      <c r="F139" s="350"/>
      <c r="G139" s="366">
        <v>39865</v>
      </c>
      <c r="H139" s="352">
        <v>29640</v>
      </c>
      <c r="I139" s="353" t="s">
        <v>1379</v>
      </c>
      <c r="J139" s="353" t="s">
        <v>1379</v>
      </c>
      <c r="K139" s="354">
        <f t="shared" si="20"/>
        <v>29640</v>
      </c>
      <c r="L139" s="363">
        <v>39882</v>
      </c>
      <c r="M139" s="742">
        <v>28158</v>
      </c>
      <c r="N139" s="352">
        <f t="shared" ref="N139:N202" si="29">+K139-M139</f>
        <v>1482</v>
      </c>
      <c r="O139" s="357">
        <f t="shared" si="21"/>
        <v>5501</v>
      </c>
      <c r="P139" s="357">
        <v>9</v>
      </c>
      <c r="Q139" s="358">
        <v>9</v>
      </c>
      <c r="R139" s="359">
        <f t="shared" si="22"/>
        <v>0</v>
      </c>
      <c r="S139" s="360">
        <f t="shared" si="23"/>
        <v>0</v>
      </c>
      <c r="T139" s="361">
        <f t="shared" si="24"/>
        <v>0.10555555555555554</v>
      </c>
      <c r="U139" s="362">
        <v>0</v>
      </c>
      <c r="V139" s="362">
        <f t="shared" si="27"/>
        <v>1482</v>
      </c>
      <c r="W139" s="362">
        <f t="shared" si="25"/>
        <v>1482</v>
      </c>
      <c r="X139" s="742">
        <f t="shared" si="28"/>
        <v>0</v>
      </c>
    </row>
    <row r="140" spans="1:24" ht="13.9">
      <c r="A140" s="349">
        <f t="shared" si="26"/>
        <v>132</v>
      </c>
      <c r="B140" s="350" t="s">
        <v>60</v>
      </c>
      <c r="C140" s="350"/>
      <c r="D140" s="350" t="s">
        <v>1409</v>
      </c>
      <c r="E140" s="350" t="s">
        <v>169</v>
      </c>
      <c r="F140" s="350"/>
      <c r="G140" s="366">
        <v>39882</v>
      </c>
      <c r="H140" s="352">
        <v>21216</v>
      </c>
      <c r="I140" s="353" t="s">
        <v>1379</v>
      </c>
      <c r="J140" s="353" t="s">
        <v>1379</v>
      </c>
      <c r="K140" s="354">
        <f t="shared" si="20"/>
        <v>21216</v>
      </c>
      <c r="L140" s="363">
        <v>39890</v>
      </c>
      <c r="M140" s="742">
        <v>20155</v>
      </c>
      <c r="N140" s="352">
        <f t="shared" si="29"/>
        <v>1061</v>
      </c>
      <c r="O140" s="357">
        <f t="shared" si="21"/>
        <v>5493</v>
      </c>
      <c r="P140" s="357">
        <v>9</v>
      </c>
      <c r="Q140" s="358">
        <v>9</v>
      </c>
      <c r="R140" s="359">
        <f t="shared" si="22"/>
        <v>0</v>
      </c>
      <c r="S140" s="360">
        <f t="shared" si="23"/>
        <v>0</v>
      </c>
      <c r="T140" s="361">
        <f t="shared" si="24"/>
        <v>0.10555555555555554</v>
      </c>
      <c r="U140" s="362">
        <v>0</v>
      </c>
      <c r="V140" s="362">
        <f t="shared" si="27"/>
        <v>1061</v>
      </c>
      <c r="W140" s="362">
        <f t="shared" si="25"/>
        <v>1061</v>
      </c>
      <c r="X140" s="742">
        <f t="shared" si="28"/>
        <v>0</v>
      </c>
    </row>
    <row r="141" spans="1:24" ht="13.9">
      <c r="A141" s="349">
        <f t="shared" si="26"/>
        <v>133</v>
      </c>
      <c r="B141" s="350" t="s">
        <v>60</v>
      </c>
      <c r="C141" s="350" t="s">
        <v>1410</v>
      </c>
      <c r="D141" s="350" t="s">
        <v>1409</v>
      </c>
      <c r="E141" s="350"/>
      <c r="F141" s="350"/>
      <c r="G141" s="366">
        <v>39890</v>
      </c>
      <c r="H141" s="352">
        <v>11856</v>
      </c>
      <c r="I141" s="353" t="s">
        <v>1379</v>
      </c>
      <c r="J141" s="353" t="s">
        <v>1379</v>
      </c>
      <c r="K141" s="354">
        <f t="shared" si="20"/>
        <v>11856</v>
      </c>
      <c r="L141" s="363">
        <v>39900</v>
      </c>
      <c r="M141" s="742">
        <v>11263</v>
      </c>
      <c r="N141" s="352">
        <f t="shared" si="29"/>
        <v>593</v>
      </c>
      <c r="O141" s="357">
        <f t="shared" si="21"/>
        <v>5483</v>
      </c>
      <c r="P141" s="357">
        <v>9</v>
      </c>
      <c r="Q141" s="358">
        <v>9</v>
      </c>
      <c r="R141" s="359">
        <f t="shared" si="22"/>
        <v>0</v>
      </c>
      <c r="S141" s="360">
        <f t="shared" si="23"/>
        <v>0</v>
      </c>
      <c r="T141" s="361">
        <f t="shared" si="24"/>
        <v>0.10555555555555554</v>
      </c>
      <c r="U141" s="362">
        <v>0</v>
      </c>
      <c r="V141" s="362">
        <f t="shared" si="27"/>
        <v>593</v>
      </c>
      <c r="W141" s="362">
        <f t="shared" si="25"/>
        <v>593</v>
      </c>
      <c r="X141" s="742">
        <f t="shared" si="28"/>
        <v>0</v>
      </c>
    </row>
    <row r="142" spans="1:24" ht="13.9">
      <c r="A142" s="349">
        <f t="shared" si="26"/>
        <v>134</v>
      </c>
      <c r="B142" s="350" t="s">
        <v>1411</v>
      </c>
      <c r="C142" s="350" t="s">
        <v>1458</v>
      </c>
      <c r="D142" s="350" t="s">
        <v>1409</v>
      </c>
      <c r="E142" s="350" t="s">
        <v>423</v>
      </c>
      <c r="F142" s="350" t="s">
        <v>1603</v>
      </c>
      <c r="G142" s="366">
        <v>39795</v>
      </c>
      <c r="H142" s="352">
        <v>10494</v>
      </c>
      <c r="I142" s="353" t="s">
        <v>1379</v>
      </c>
      <c r="J142" s="353" t="s">
        <v>1379</v>
      </c>
      <c r="K142" s="354">
        <f t="shared" si="20"/>
        <v>10494</v>
      </c>
      <c r="L142" s="363">
        <v>39795</v>
      </c>
      <c r="M142" s="742">
        <v>9969</v>
      </c>
      <c r="N142" s="352">
        <f t="shared" si="29"/>
        <v>525</v>
      </c>
      <c r="O142" s="357">
        <f t="shared" si="21"/>
        <v>5588</v>
      </c>
      <c r="P142" s="357">
        <v>9</v>
      </c>
      <c r="Q142" s="358">
        <v>9</v>
      </c>
      <c r="R142" s="359">
        <f t="shared" si="22"/>
        <v>0</v>
      </c>
      <c r="S142" s="360">
        <f t="shared" si="23"/>
        <v>0</v>
      </c>
      <c r="T142" s="361">
        <f t="shared" si="24"/>
        <v>0.10555555555555554</v>
      </c>
      <c r="U142" s="362">
        <v>0</v>
      </c>
      <c r="V142" s="362">
        <f t="shared" si="27"/>
        <v>525</v>
      </c>
      <c r="W142" s="362">
        <f t="shared" si="25"/>
        <v>525</v>
      </c>
      <c r="X142" s="742">
        <f t="shared" si="28"/>
        <v>0</v>
      </c>
    </row>
    <row r="143" spans="1:24" ht="13.9">
      <c r="A143" s="349">
        <f t="shared" si="26"/>
        <v>135</v>
      </c>
      <c r="B143" s="350" t="s">
        <v>1411</v>
      </c>
      <c r="C143" s="350" t="s">
        <v>1481</v>
      </c>
      <c r="D143" s="350" t="s">
        <v>1409</v>
      </c>
      <c r="E143" s="350" t="s">
        <v>1604</v>
      </c>
      <c r="F143" s="350" t="s">
        <v>1605</v>
      </c>
      <c r="G143" s="366">
        <v>39777</v>
      </c>
      <c r="H143" s="352">
        <v>14013</v>
      </c>
      <c r="I143" s="353" t="s">
        <v>1379</v>
      </c>
      <c r="J143" s="353" t="s">
        <v>1379</v>
      </c>
      <c r="K143" s="354">
        <f t="shared" si="20"/>
        <v>14013</v>
      </c>
      <c r="L143" s="363">
        <v>39777</v>
      </c>
      <c r="M143" s="742">
        <v>13312</v>
      </c>
      <c r="N143" s="352">
        <f t="shared" si="29"/>
        <v>701</v>
      </c>
      <c r="O143" s="357">
        <f t="shared" si="21"/>
        <v>5606</v>
      </c>
      <c r="P143" s="357">
        <v>9</v>
      </c>
      <c r="Q143" s="358">
        <v>9</v>
      </c>
      <c r="R143" s="359">
        <f t="shared" si="22"/>
        <v>0</v>
      </c>
      <c r="S143" s="360">
        <f t="shared" si="23"/>
        <v>0</v>
      </c>
      <c r="T143" s="361">
        <f t="shared" si="24"/>
        <v>0.10555555555555554</v>
      </c>
      <c r="U143" s="362">
        <v>0</v>
      </c>
      <c r="V143" s="362">
        <f t="shared" si="27"/>
        <v>701</v>
      </c>
      <c r="W143" s="362">
        <f t="shared" si="25"/>
        <v>701</v>
      </c>
      <c r="X143" s="742">
        <f t="shared" si="28"/>
        <v>0</v>
      </c>
    </row>
    <row r="144" spans="1:24" ht="13.9">
      <c r="A144" s="349">
        <f t="shared" si="26"/>
        <v>136</v>
      </c>
      <c r="B144" s="350" t="s">
        <v>1411</v>
      </c>
      <c r="C144" s="350"/>
      <c r="D144" s="350" t="s">
        <v>1409</v>
      </c>
      <c r="E144" s="350" t="s">
        <v>169</v>
      </c>
      <c r="F144" s="350" t="s">
        <v>1606</v>
      </c>
      <c r="G144" s="366">
        <v>39865</v>
      </c>
      <c r="H144" s="352">
        <v>14040</v>
      </c>
      <c r="I144" s="353" t="s">
        <v>1379</v>
      </c>
      <c r="J144" s="353" t="s">
        <v>1379</v>
      </c>
      <c r="K144" s="354">
        <f t="shared" si="20"/>
        <v>14040</v>
      </c>
      <c r="L144" s="363">
        <v>39724</v>
      </c>
      <c r="M144" s="742">
        <v>13338</v>
      </c>
      <c r="N144" s="352">
        <f t="shared" si="29"/>
        <v>702</v>
      </c>
      <c r="O144" s="357">
        <f t="shared" si="21"/>
        <v>5659</v>
      </c>
      <c r="P144" s="357">
        <v>9</v>
      </c>
      <c r="Q144" s="358">
        <v>9</v>
      </c>
      <c r="R144" s="359">
        <f t="shared" si="22"/>
        <v>0</v>
      </c>
      <c r="S144" s="360">
        <f t="shared" si="23"/>
        <v>0</v>
      </c>
      <c r="T144" s="361">
        <f t="shared" si="24"/>
        <v>0.10555555555555554</v>
      </c>
      <c r="U144" s="362">
        <v>0</v>
      </c>
      <c r="V144" s="362">
        <f t="shared" si="27"/>
        <v>702</v>
      </c>
      <c r="W144" s="362">
        <f t="shared" si="25"/>
        <v>702</v>
      </c>
      <c r="X144" s="742">
        <f t="shared" si="28"/>
        <v>0</v>
      </c>
    </row>
    <row r="145" spans="1:24" ht="13.9">
      <c r="A145" s="349">
        <f t="shared" si="26"/>
        <v>137</v>
      </c>
      <c r="B145" s="350" t="s">
        <v>1411</v>
      </c>
      <c r="C145" s="350"/>
      <c r="D145" s="350" t="s">
        <v>1409</v>
      </c>
      <c r="E145" s="350" t="s">
        <v>423</v>
      </c>
      <c r="F145" s="350" t="s">
        <v>1607</v>
      </c>
      <c r="G145" s="366">
        <v>39885</v>
      </c>
      <c r="H145" s="352">
        <v>23738</v>
      </c>
      <c r="I145" s="353" t="s">
        <v>1379</v>
      </c>
      <c r="J145" s="353" t="s">
        <v>1379</v>
      </c>
      <c r="K145" s="354">
        <f t="shared" si="20"/>
        <v>23738</v>
      </c>
      <c r="L145" s="363">
        <v>39889</v>
      </c>
      <c r="M145" s="742">
        <v>22551</v>
      </c>
      <c r="N145" s="352">
        <f t="shared" si="29"/>
        <v>1187</v>
      </c>
      <c r="O145" s="357">
        <f t="shared" si="21"/>
        <v>5494</v>
      </c>
      <c r="P145" s="357">
        <v>9</v>
      </c>
      <c r="Q145" s="358">
        <v>9</v>
      </c>
      <c r="R145" s="359">
        <f t="shared" si="22"/>
        <v>0</v>
      </c>
      <c r="S145" s="360">
        <f t="shared" si="23"/>
        <v>0</v>
      </c>
      <c r="T145" s="361">
        <f t="shared" si="24"/>
        <v>0.10555555555555554</v>
      </c>
      <c r="U145" s="362">
        <v>0</v>
      </c>
      <c r="V145" s="362">
        <f t="shared" si="27"/>
        <v>1187</v>
      </c>
      <c r="W145" s="362">
        <f t="shared" si="25"/>
        <v>1187</v>
      </c>
      <c r="X145" s="742">
        <f t="shared" si="28"/>
        <v>0</v>
      </c>
    </row>
    <row r="146" spans="1:24" ht="13.9">
      <c r="A146" s="349">
        <f t="shared" si="26"/>
        <v>138</v>
      </c>
      <c r="B146" s="350" t="s">
        <v>1411</v>
      </c>
      <c r="C146" s="350"/>
      <c r="D146" s="350" t="s">
        <v>1409</v>
      </c>
      <c r="E146" s="350" t="s">
        <v>423</v>
      </c>
      <c r="F146" s="350" t="s">
        <v>1608</v>
      </c>
      <c r="G146" s="366">
        <v>39885</v>
      </c>
      <c r="H146" s="352">
        <v>18491</v>
      </c>
      <c r="I146" s="353" t="s">
        <v>1379</v>
      </c>
      <c r="J146" s="353" t="s">
        <v>1379</v>
      </c>
      <c r="K146" s="354">
        <f t="shared" si="20"/>
        <v>18491</v>
      </c>
      <c r="L146" s="363">
        <v>39888</v>
      </c>
      <c r="M146" s="742">
        <v>17566</v>
      </c>
      <c r="N146" s="352">
        <f t="shared" si="29"/>
        <v>925</v>
      </c>
      <c r="O146" s="357">
        <f t="shared" si="21"/>
        <v>5495</v>
      </c>
      <c r="P146" s="357">
        <v>9</v>
      </c>
      <c r="Q146" s="358">
        <v>9</v>
      </c>
      <c r="R146" s="359">
        <f t="shared" si="22"/>
        <v>0</v>
      </c>
      <c r="S146" s="360">
        <f t="shared" si="23"/>
        <v>0</v>
      </c>
      <c r="T146" s="361">
        <f t="shared" si="24"/>
        <v>0.10555555555555554</v>
      </c>
      <c r="U146" s="362">
        <v>0</v>
      </c>
      <c r="V146" s="362">
        <f t="shared" si="27"/>
        <v>925</v>
      </c>
      <c r="W146" s="362">
        <f t="shared" si="25"/>
        <v>925</v>
      </c>
      <c r="X146" s="742">
        <f t="shared" si="28"/>
        <v>0</v>
      </c>
    </row>
    <row r="147" spans="1:24" ht="13.9">
      <c r="A147" s="349">
        <f t="shared" si="26"/>
        <v>139</v>
      </c>
      <c r="B147" s="350" t="s">
        <v>1411</v>
      </c>
      <c r="C147" s="350"/>
      <c r="D147" s="350" t="s">
        <v>1409</v>
      </c>
      <c r="E147" s="350" t="s">
        <v>423</v>
      </c>
      <c r="F147" s="350" t="s">
        <v>1609</v>
      </c>
      <c r="G147" s="366">
        <v>39885</v>
      </c>
      <c r="H147" s="352">
        <v>18491</v>
      </c>
      <c r="I147" s="353" t="s">
        <v>1379</v>
      </c>
      <c r="J147" s="353" t="s">
        <v>1379</v>
      </c>
      <c r="K147" s="354">
        <f t="shared" si="20"/>
        <v>18491</v>
      </c>
      <c r="L147" s="363">
        <v>39888</v>
      </c>
      <c r="M147" s="742">
        <v>17566</v>
      </c>
      <c r="N147" s="352">
        <f t="shared" si="29"/>
        <v>925</v>
      </c>
      <c r="O147" s="357">
        <f t="shared" si="21"/>
        <v>5495</v>
      </c>
      <c r="P147" s="357">
        <v>9</v>
      </c>
      <c r="Q147" s="358">
        <v>9</v>
      </c>
      <c r="R147" s="359">
        <f t="shared" si="22"/>
        <v>0</v>
      </c>
      <c r="S147" s="360">
        <f t="shared" si="23"/>
        <v>0</v>
      </c>
      <c r="T147" s="361">
        <f t="shared" si="24"/>
        <v>0.10555555555555554</v>
      </c>
      <c r="U147" s="362">
        <v>0</v>
      </c>
      <c r="V147" s="362">
        <f t="shared" si="27"/>
        <v>925</v>
      </c>
      <c r="W147" s="362">
        <f t="shared" si="25"/>
        <v>925</v>
      </c>
      <c r="X147" s="742">
        <f t="shared" si="28"/>
        <v>0</v>
      </c>
    </row>
    <row r="148" spans="1:24" ht="13.9">
      <c r="A148" s="349">
        <f t="shared" si="26"/>
        <v>140</v>
      </c>
      <c r="B148" s="350" t="s">
        <v>1569</v>
      </c>
      <c r="C148" s="350" t="s">
        <v>1458</v>
      </c>
      <c r="D148" s="350" t="s">
        <v>1610</v>
      </c>
      <c r="E148" s="350" t="s">
        <v>1570</v>
      </c>
      <c r="F148" s="350" t="s">
        <v>1611</v>
      </c>
      <c r="G148" s="366"/>
      <c r="H148" s="352">
        <v>21375</v>
      </c>
      <c r="I148" s="353" t="s">
        <v>1379</v>
      </c>
      <c r="J148" s="353" t="s">
        <v>1379</v>
      </c>
      <c r="K148" s="354">
        <f t="shared" si="20"/>
        <v>21375</v>
      </c>
      <c r="L148" s="363">
        <v>39972</v>
      </c>
      <c r="M148" s="742">
        <v>20306</v>
      </c>
      <c r="N148" s="352">
        <f t="shared" si="29"/>
        <v>1069</v>
      </c>
      <c r="O148" s="357">
        <f t="shared" si="21"/>
        <v>5411</v>
      </c>
      <c r="P148" s="357">
        <v>9</v>
      </c>
      <c r="Q148" s="358">
        <v>9</v>
      </c>
      <c r="R148" s="359">
        <f t="shared" si="22"/>
        <v>0</v>
      </c>
      <c r="S148" s="360">
        <f t="shared" si="23"/>
        <v>0</v>
      </c>
      <c r="T148" s="361">
        <f t="shared" si="24"/>
        <v>0.10555555555555554</v>
      </c>
      <c r="U148" s="362">
        <v>0</v>
      </c>
      <c r="V148" s="362">
        <f t="shared" si="27"/>
        <v>1069</v>
      </c>
      <c r="W148" s="362">
        <f t="shared" si="25"/>
        <v>1069</v>
      </c>
      <c r="X148" s="742">
        <f t="shared" si="28"/>
        <v>0</v>
      </c>
    </row>
    <row r="149" spans="1:24" ht="13.9">
      <c r="A149" s="349">
        <f t="shared" si="26"/>
        <v>141</v>
      </c>
      <c r="B149" s="350" t="s">
        <v>1599</v>
      </c>
      <c r="C149" s="350" t="s">
        <v>1481</v>
      </c>
      <c r="D149" s="350" t="s">
        <v>1610</v>
      </c>
      <c r="E149" s="350" t="s">
        <v>1612</v>
      </c>
      <c r="F149" s="350" t="s">
        <v>1613</v>
      </c>
      <c r="G149" s="366">
        <v>39737</v>
      </c>
      <c r="H149" s="352">
        <v>220331</v>
      </c>
      <c r="I149" s="353" t="s">
        <v>1379</v>
      </c>
      <c r="J149" s="353" t="s">
        <v>1379</v>
      </c>
      <c r="K149" s="354">
        <f t="shared" si="20"/>
        <v>220331</v>
      </c>
      <c r="L149" s="363">
        <v>40102</v>
      </c>
      <c r="M149" s="742">
        <v>209314</v>
      </c>
      <c r="N149" s="352">
        <f t="shared" si="29"/>
        <v>11017</v>
      </c>
      <c r="O149" s="357">
        <f t="shared" si="21"/>
        <v>5281</v>
      </c>
      <c r="P149" s="357">
        <v>9</v>
      </c>
      <c r="Q149" s="358">
        <v>9</v>
      </c>
      <c r="R149" s="359">
        <f t="shared" si="22"/>
        <v>0</v>
      </c>
      <c r="S149" s="360">
        <f t="shared" si="23"/>
        <v>0</v>
      </c>
      <c r="T149" s="361">
        <f t="shared" si="24"/>
        <v>0.10555555555555554</v>
      </c>
      <c r="U149" s="362">
        <v>0</v>
      </c>
      <c r="V149" s="362">
        <f t="shared" si="27"/>
        <v>11017</v>
      </c>
      <c r="W149" s="362">
        <f t="shared" si="25"/>
        <v>11017</v>
      </c>
      <c r="X149" s="742">
        <f t="shared" si="28"/>
        <v>0</v>
      </c>
    </row>
    <row r="150" spans="1:24" ht="13.9">
      <c r="A150" s="349">
        <f t="shared" si="26"/>
        <v>142</v>
      </c>
      <c r="B150" s="350" t="s">
        <v>1599</v>
      </c>
      <c r="C150" s="350" t="s">
        <v>1614</v>
      </c>
      <c r="D150" s="350" t="s">
        <v>1610</v>
      </c>
      <c r="E150" s="350" t="s">
        <v>1612</v>
      </c>
      <c r="F150" s="350" t="s">
        <v>1615</v>
      </c>
      <c r="G150" s="366">
        <v>40102</v>
      </c>
      <c r="H150" s="352">
        <v>371452</v>
      </c>
      <c r="I150" s="353" t="s">
        <v>1379</v>
      </c>
      <c r="J150" s="353" t="s">
        <v>1379</v>
      </c>
      <c r="K150" s="354">
        <f t="shared" si="20"/>
        <v>371452</v>
      </c>
      <c r="L150" s="363">
        <v>40102</v>
      </c>
      <c r="M150" s="742">
        <v>352879</v>
      </c>
      <c r="N150" s="352">
        <f t="shared" si="29"/>
        <v>18573</v>
      </c>
      <c r="O150" s="357">
        <f t="shared" si="21"/>
        <v>5281</v>
      </c>
      <c r="P150" s="357">
        <v>9</v>
      </c>
      <c r="Q150" s="358">
        <v>9</v>
      </c>
      <c r="R150" s="359">
        <f t="shared" si="22"/>
        <v>0</v>
      </c>
      <c r="S150" s="360">
        <f t="shared" si="23"/>
        <v>0</v>
      </c>
      <c r="T150" s="361">
        <f t="shared" si="24"/>
        <v>0.10555555555555554</v>
      </c>
      <c r="U150" s="362">
        <v>0</v>
      </c>
      <c r="V150" s="362">
        <f t="shared" si="27"/>
        <v>18573</v>
      </c>
      <c r="W150" s="362">
        <f t="shared" si="25"/>
        <v>18573</v>
      </c>
      <c r="X150" s="742">
        <f t="shared" si="28"/>
        <v>0</v>
      </c>
    </row>
    <row r="151" spans="1:24" ht="13.9">
      <c r="A151" s="349">
        <f t="shared" si="26"/>
        <v>143</v>
      </c>
      <c r="B151" s="350" t="s">
        <v>1599</v>
      </c>
      <c r="C151" s="350" t="s">
        <v>1614</v>
      </c>
      <c r="D151" s="350" t="s">
        <v>1610</v>
      </c>
      <c r="E151" s="350" t="s">
        <v>1612</v>
      </c>
      <c r="F151" s="350" t="s">
        <v>1616</v>
      </c>
      <c r="G151" s="366">
        <v>40102</v>
      </c>
      <c r="H151" s="352">
        <v>202193</v>
      </c>
      <c r="I151" s="353" t="s">
        <v>1379</v>
      </c>
      <c r="J151" s="353" t="s">
        <v>1379</v>
      </c>
      <c r="K151" s="354">
        <f t="shared" si="20"/>
        <v>202193</v>
      </c>
      <c r="L151" s="363">
        <v>40102</v>
      </c>
      <c r="M151" s="742">
        <v>192083</v>
      </c>
      <c r="N151" s="352">
        <f t="shared" si="29"/>
        <v>10110</v>
      </c>
      <c r="O151" s="357">
        <f t="shared" si="21"/>
        <v>5281</v>
      </c>
      <c r="P151" s="357">
        <v>9</v>
      </c>
      <c r="Q151" s="358">
        <v>9</v>
      </c>
      <c r="R151" s="359">
        <f t="shared" si="22"/>
        <v>0</v>
      </c>
      <c r="S151" s="360">
        <f t="shared" si="23"/>
        <v>0</v>
      </c>
      <c r="T151" s="361">
        <f t="shared" si="24"/>
        <v>0.10555555555555554</v>
      </c>
      <c r="U151" s="362">
        <v>0</v>
      </c>
      <c r="V151" s="362">
        <f t="shared" si="27"/>
        <v>10110</v>
      </c>
      <c r="W151" s="362">
        <f t="shared" si="25"/>
        <v>10110</v>
      </c>
      <c r="X151" s="742">
        <f t="shared" si="28"/>
        <v>0</v>
      </c>
    </row>
    <row r="152" spans="1:24" ht="13.9">
      <c r="A152" s="349">
        <f t="shared" si="26"/>
        <v>144</v>
      </c>
      <c r="B152" s="350" t="s">
        <v>1599</v>
      </c>
      <c r="C152" s="350" t="s">
        <v>1614</v>
      </c>
      <c r="D152" s="350" t="s">
        <v>1610</v>
      </c>
      <c r="E152" s="350" t="s">
        <v>1612</v>
      </c>
      <c r="F152" s="350" t="s">
        <v>1617</v>
      </c>
      <c r="G152" s="366">
        <v>40100</v>
      </c>
      <c r="H152" s="352">
        <v>239022</v>
      </c>
      <c r="I152" s="353" t="s">
        <v>1379</v>
      </c>
      <c r="J152" s="353" t="s">
        <v>1379</v>
      </c>
      <c r="K152" s="354">
        <f t="shared" si="20"/>
        <v>239022</v>
      </c>
      <c r="L152" s="363">
        <v>40102</v>
      </c>
      <c r="M152" s="742">
        <v>227071</v>
      </c>
      <c r="N152" s="352">
        <f t="shared" si="29"/>
        <v>11951</v>
      </c>
      <c r="O152" s="357">
        <f t="shared" si="21"/>
        <v>5281</v>
      </c>
      <c r="P152" s="357">
        <v>9</v>
      </c>
      <c r="Q152" s="358">
        <v>9</v>
      </c>
      <c r="R152" s="359">
        <f t="shared" si="22"/>
        <v>0</v>
      </c>
      <c r="S152" s="360">
        <f t="shared" si="23"/>
        <v>0</v>
      </c>
      <c r="T152" s="361">
        <f t="shared" si="24"/>
        <v>0.10555555555555554</v>
      </c>
      <c r="U152" s="362">
        <v>0</v>
      </c>
      <c r="V152" s="362">
        <f t="shared" si="27"/>
        <v>11951</v>
      </c>
      <c r="W152" s="362">
        <f t="shared" si="25"/>
        <v>11951</v>
      </c>
      <c r="X152" s="742">
        <f t="shared" si="28"/>
        <v>0</v>
      </c>
    </row>
    <row r="153" spans="1:24" ht="13.9">
      <c r="A153" s="349">
        <f t="shared" si="26"/>
        <v>145</v>
      </c>
      <c r="B153" s="350" t="s">
        <v>1599</v>
      </c>
      <c r="C153" s="350" t="s">
        <v>1614</v>
      </c>
      <c r="D153" s="350" t="s">
        <v>1610</v>
      </c>
      <c r="E153" s="350" t="s">
        <v>1612</v>
      </c>
      <c r="F153" s="350" t="s">
        <v>1618</v>
      </c>
      <c r="G153" s="366">
        <v>40122</v>
      </c>
      <c r="H153" s="352">
        <v>175000</v>
      </c>
      <c r="I153" s="353" t="s">
        <v>1379</v>
      </c>
      <c r="J153" s="353" t="s">
        <v>1379</v>
      </c>
      <c r="K153" s="354">
        <f t="shared" si="20"/>
        <v>175000</v>
      </c>
      <c r="L153" s="363">
        <v>40143</v>
      </c>
      <c r="M153" s="742">
        <v>166250</v>
      </c>
      <c r="N153" s="352">
        <f t="shared" si="29"/>
        <v>8750</v>
      </c>
      <c r="O153" s="357">
        <f t="shared" si="21"/>
        <v>5240</v>
      </c>
      <c r="P153" s="357">
        <v>9</v>
      </c>
      <c r="Q153" s="358">
        <v>9</v>
      </c>
      <c r="R153" s="359">
        <f t="shared" si="22"/>
        <v>0</v>
      </c>
      <c r="S153" s="360">
        <f t="shared" si="23"/>
        <v>0</v>
      </c>
      <c r="T153" s="361">
        <f t="shared" si="24"/>
        <v>0.10555555555555554</v>
      </c>
      <c r="U153" s="362">
        <v>0</v>
      </c>
      <c r="V153" s="362">
        <f t="shared" si="27"/>
        <v>8750</v>
      </c>
      <c r="W153" s="362">
        <f t="shared" si="25"/>
        <v>8750</v>
      </c>
      <c r="X153" s="742">
        <f t="shared" si="28"/>
        <v>0</v>
      </c>
    </row>
    <row r="154" spans="1:24" ht="13.9">
      <c r="A154" s="349">
        <f t="shared" si="26"/>
        <v>146</v>
      </c>
      <c r="B154" s="350" t="s">
        <v>1599</v>
      </c>
      <c r="C154" s="350" t="s">
        <v>1614</v>
      </c>
      <c r="D154" s="350" t="s">
        <v>1610</v>
      </c>
      <c r="E154" s="350" t="s">
        <v>1612</v>
      </c>
      <c r="F154" s="350" t="s">
        <v>1619</v>
      </c>
      <c r="G154" s="366">
        <v>40122</v>
      </c>
      <c r="H154" s="352">
        <v>72318</v>
      </c>
      <c r="I154" s="353" t="s">
        <v>1379</v>
      </c>
      <c r="J154" s="353" t="s">
        <v>1379</v>
      </c>
      <c r="K154" s="354">
        <f t="shared" si="20"/>
        <v>72318</v>
      </c>
      <c r="L154" s="363">
        <v>40122</v>
      </c>
      <c r="M154" s="742">
        <v>68702</v>
      </c>
      <c r="N154" s="352">
        <f t="shared" si="29"/>
        <v>3616</v>
      </c>
      <c r="O154" s="357">
        <f t="shared" si="21"/>
        <v>5261</v>
      </c>
      <c r="P154" s="357">
        <v>9</v>
      </c>
      <c r="Q154" s="358">
        <v>9</v>
      </c>
      <c r="R154" s="359">
        <f t="shared" si="22"/>
        <v>0</v>
      </c>
      <c r="S154" s="360">
        <f t="shared" si="23"/>
        <v>0</v>
      </c>
      <c r="T154" s="361">
        <f t="shared" si="24"/>
        <v>0.10555555555555554</v>
      </c>
      <c r="U154" s="362">
        <v>0</v>
      </c>
      <c r="V154" s="362">
        <f t="shared" si="27"/>
        <v>3616</v>
      </c>
      <c r="W154" s="362">
        <f t="shared" si="25"/>
        <v>3616</v>
      </c>
      <c r="X154" s="742">
        <f t="shared" si="28"/>
        <v>0</v>
      </c>
    </row>
    <row r="155" spans="1:24" ht="13.9">
      <c r="A155" s="349">
        <f t="shared" si="26"/>
        <v>147</v>
      </c>
      <c r="B155" s="350" t="s">
        <v>1620</v>
      </c>
      <c r="C155" s="350" t="s">
        <v>1408</v>
      </c>
      <c r="D155" s="350" t="s">
        <v>1610</v>
      </c>
      <c r="E155" s="350" t="s">
        <v>1482</v>
      </c>
      <c r="F155" s="350" t="s">
        <v>1621</v>
      </c>
      <c r="G155" s="366"/>
      <c r="H155" s="352">
        <v>153052</v>
      </c>
      <c r="I155" s="353" t="s">
        <v>1379</v>
      </c>
      <c r="J155" s="353" t="s">
        <v>1379</v>
      </c>
      <c r="K155" s="354">
        <f t="shared" si="20"/>
        <v>153052</v>
      </c>
      <c r="L155" s="363">
        <v>39970</v>
      </c>
      <c r="M155" s="742">
        <v>145399</v>
      </c>
      <c r="N155" s="352">
        <f t="shared" si="29"/>
        <v>7653</v>
      </c>
      <c r="O155" s="357">
        <f t="shared" si="21"/>
        <v>5413</v>
      </c>
      <c r="P155" s="357">
        <v>9</v>
      </c>
      <c r="Q155" s="358">
        <v>9</v>
      </c>
      <c r="R155" s="359">
        <f t="shared" si="22"/>
        <v>0</v>
      </c>
      <c r="S155" s="360">
        <f t="shared" si="23"/>
        <v>0</v>
      </c>
      <c r="T155" s="361">
        <f t="shared" si="24"/>
        <v>0.10555555555555554</v>
      </c>
      <c r="U155" s="362">
        <v>0</v>
      </c>
      <c r="V155" s="362">
        <f t="shared" si="27"/>
        <v>7653</v>
      </c>
      <c r="W155" s="362">
        <f t="shared" si="25"/>
        <v>7653</v>
      </c>
      <c r="X155" s="742">
        <f t="shared" si="28"/>
        <v>0</v>
      </c>
    </row>
    <row r="156" spans="1:24" ht="13.9">
      <c r="A156" s="349">
        <f t="shared" si="26"/>
        <v>148</v>
      </c>
      <c r="B156" s="368" t="s">
        <v>1534</v>
      </c>
      <c r="C156" s="368"/>
      <c r="D156" s="368" t="s">
        <v>1610</v>
      </c>
      <c r="E156" s="368" t="s">
        <v>1622</v>
      </c>
      <c r="F156" s="369"/>
      <c r="G156" s="370"/>
      <c r="H156" s="371">
        <v>1500000</v>
      </c>
      <c r="I156" s="372" t="s">
        <v>1379</v>
      </c>
      <c r="J156" s="372" t="s">
        <v>1379</v>
      </c>
      <c r="K156" s="373">
        <f t="shared" si="20"/>
        <v>1500000</v>
      </c>
      <c r="L156" s="374">
        <v>39907</v>
      </c>
      <c r="M156" s="742">
        <v>1425000</v>
      </c>
      <c r="N156" s="352">
        <f t="shared" si="29"/>
        <v>75000</v>
      </c>
      <c r="O156" s="357">
        <f t="shared" si="21"/>
        <v>5476</v>
      </c>
      <c r="P156" s="357">
        <v>9</v>
      </c>
      <c r="Q156" s="358">
        <v>9</v>
      </c>
      <c r="R156" s="359">
        <f t="shared" si="22"/>
        <v>0</v>
      </c>
      <c r="S156" s="360">
        <f t="shared" si="23"/>
        <v>0</v>
      </c>
      <c r="T156" s="361">
        <f t="shared" si="24"/>
        <v>0.10555555555555554</v>
      </c>
      <c r="U156" s="362">
        <v>0</v>
      </c>
      <c r="V156" s="375">
        <f t="shared" si="27"/>
        <v>75000</v>
      </c>
      <c r="W156" s="362">
        <f t="shared" si="25"/>
        <v>75000</v>
      </c>
      <c r="X156" s="742">
        <f t="shared" si="28"/>
        <v>0</v>
      </c>
    </row>
    <row r="157" spans="1:24" ht="13.9">
      <c r="A157" s="349">
        <f t="shared" si="26"/>
        <v>149</v>
      </c>
      <c r="B157" s="350" t="s">
        <v>60</v>
      </c>
      <c r="C157" s="350" t="s">
        <v>1408</v>
      </c>
      <c r="D157" s="350" t="s">
        <v>1610</v>
      </c>
      <c r="E157" s="350" t="s">
        <v>1623</v>
      </c>
      <c r="F157" s="351" t="s">
        <v>1624</v>
      </c>
      <c r="G157" s="366">
        <v>39949</v>
      </c>
      <c r="H157" s="352">
        <v>154440</v>
      </c>
      <c r="I157" s="353" t="s">
        <v>1379</v>
      </c>
      <c r="J157" s="353" t="s">
        <v>1379</v>
      </c>
      <c r="K157" s="354">
        <f t="shared" si="20"/>
        <v>154440</v>
      </c>
      <c r="L157" s="363">
        <v>39949</v>
      </c>
      <c r="M157" s="742">
        <v>148762</v>
      </c>
      <c r="N157" s="352">
        <f t="shared" si="29"/>
        <v>5678</v>
      </c>
      <c r="O157" s="357">
        <f t="shared" si="21"/>
        <v>5434</v>
      </c>
      <c r="P157" s="357">
        <v>9</v>
      </c>
      <c r="Q157" s="358">
        <v>9</v>
      </c>
      <c r="R157" s="359">
        <f t="shared" si="22"/>
        <v>0</v>
      </c>
      <c r="S157" s="360">
        <f t="shared" si="23"/>
        <v>0</v>
      </c>
      <c r="T157" s="361">
        <f t="shared" si="24"/>
        <v>0.10555555555555554</v>
      </c>
      <c r="U157" s="362">
        <v>0</v>
      </c>
      <c r="V157" s="362">
        <f t="shared" si="27"/>
        <v>5678</v>
      </c>
      <c r="W157" s="362">
        <f t="shared" si="25"/>
        <v>7722</v>
      </c>
      <c r="X157" s="742">
        <f t="shared" si="28"/>
        <v>-2044</v>
      </c>
    </row>
    <row r="158" spans="1:24" ht="13.9">
      <c r="A158" s="349">
        <f t="shared" si="26"/>
        <v>150</v>
      </c>
      <c r="B158" s="350" t="s">
        <v>1625</v>
      </c>
      <c r="C158" s="350" t="s">
        <v>1458</v>
      </c>
      <c r="D158" s="350" t="s">
        <v>1610</v>
      </c>
      <c r="E158" s="350" t="s">
        <v>1482</v>
      </c>
      <c r="F158" s="350" t="s">
        <v>1626</v>
      </c>
      <c r="G158" s="366">
        <v>40178</v>
      </c>
      <c r="H158" s="352">
        <v>1632000</v>
      </c>
      <c r="I158" s="353" t="s">
        <v>1379</v>
      </c>
      <c r="J158" s="353" t="s">
        <v>1379</v>
      </c>
      <c r="K158" s="354">
        <f t="shared" si="20"/>
        <v>1632000</v>
      </c>
      <c r="L158" s="363">
        <v>40178</v>
      </c>
      <c r="M158" s="742">
        <v>1550400</v>
      </c>
      <c r="N158" s="352">
        <f t="shared" si="29"/>
        <v>81600</v>
      </c>
      <c r="O158" s="357">
        <f t="shared" si="21"/>
        <v>5205</v>
      </c>
      <c r="P158" s="357">
        <v>9</v>
      </c>
      <c r="Q158" s="358">
        <v>9</v>
      </c>
      <c r="R158" s="359">
        <f t="shared" si="22"/>
        <v>0</v>
      </c>
      <c r="S158" s="360">
        <f t="shared" si="23"/>
        <v>0</v>
      </c>
      <c r="T158" s="361">
        <f t="shared" si="24"/>
        <v>0.10555555555555554</v>
      </c>
      <c r="U158" s="362">
        <v>0</v>
      </c>
      <c r="V158" s="362">
        <f t="shared" si="27"/>
        <v>81600</v>
      </c>
      <c r="W158" s="362">
        <f t="shared" si="25"/>
        <v>81600</v>
      </c>
      <c r="X158" s="742">
        <f t="shared" si="28"/>
        <v>0</v>
      </c>
    </row>
    <row r="159" spans="1:24" ht="13.9">
      <c r="A159" s="349">
        <f t="shared" si="26"/>
        <v>151</v>
      </c>
      <c r="B159" s="350" t="s">
        <v>1548</v>
      </c>
      <c r="C159" s="350" t="s">
        <v>1408</v>
      </c>
      <c r="D159" s="350" t="s">
        <v>1610</v>
      </c>
      <c r="E159" s="350" t="s">
        <v>1540</v>
      </c>
      <c r="F159" s="350" t="s">
        <v>1627</v>
      </c>
      <c r="G159" s="366">
        <v>39941</v>
      </c>
      <c r="H159" s="352">
        <v>453010</v>
      </c>
      <c r="I159" s="353" t="s">
        <v>1379</v>
      </c>
      <c r="J159" s="353" t="s">
        <v>1379</v>
      </c>
      <c r="K159" s="354">
        <f t="shared" si="20"/>
        <v>453010</v>
      </c>
      <c r="L159" s="363">
        <v>39941</v>
      </c>
      <c r="M159" s="742">
        <v>430360</v>
      </c>
      <c r="N159" s="352">
        <f t="shared" si="29"/>
        <v>22650</v>
      </c>
      <c r="O159" s="357">
        <f t="shared" si="21"/>
        <v>5442</v>
      </c>
      <c r="P159" s="357">
        <v>9</v>
      </c>
      <c r="Q159" s="358">
        <v>9</v>
      </c>
      <c r="R159" s="359">
        <f t="shared" si="22"/>
        <v>0</v>
      </c>
      <c r="S159" s="360">
        <f t="shared" si="23"/>
        <v>0</v>
      </c>
      <c r="T159" s="361">
        <f t="shared" si="24"/>
        <v>0.10555555555555554</v>
      </c>
      <c r="U159" s="362">
        <v>0</v>
      </c>
      <c r="V159" s="362">
        <f t="shared" si="27"/>
        <v>22650</v>
      </c>
      <c r="W159" s="362">
        <f t="shared" si="25"/>
        <v>22651</v>
      </c>
      <c r="X159" s="742">
        <f t="shared" si="28"/>
        <v>-1</v>
      </c>
    </row>
    <row r="160" spans="1:24" ht="13.9">
      <c r="A160" s="349">
        <f t="shared" si="26"/>
        <v>152</v>
      </c>
      <c r="B160" s="350" t="s">
        <v>1411</v>
      </c>
      <c r="C160" s="350" t="s">
        <v>1458</v>
      </c>
      <c r="D160" s="350" t="s">
        <v>1610</v>
      </c>
      <c r="E160" s="350" t="s">
        <v>1628</v>
      </c>
      <c r="F160" s="350" t="s">
        <v>1629</v>
      </c>
      <c r="G160" s="366">
        <v>40255</v>
      </c>
      <c r="H160" s="352">
        <v>50398</v>
      </c>
      <c r="I160" s="353" t="s">
        <v>1379</v>
      </c>
      <c r="J160" s="353" t="s">
        <v>1379</v>
      </c>
      <c r="K160" s="354">
        <f t="shared" si="20"/>
        <v>50398</v>
      </c>
      <c r="L160" s="363">
        <v>40255</v>
      </c>
      <c r="M160" s="742">
        <v>47878</v>
      </c>
      <c r="N160" s="352">
        <f t="shared" si="29"/>
        <v>2520</v>
      </c>
      <c r="O160" s="357">
        <f t="shared" si="21"/>
        <v>5128</v>
      </c>
      <c r="P160" s="357">
        <v>9</v>
      </c>
      <c r="Q160" s="358">
        <v>9</v>
      </c>
      <c r="R160" s="359">
        <f t="shared" si="22"/>
        <v>0</v>
      </c>
      <c r="S160" s="360">
        <f t="shared" si="23"/>
        <v>0</v>
      </c>
      <c r="T160" s="361">
        <f t="shared" si="24"/>
        <v>0.10555555555555554</v>
      </c>
      <c r="U160" s="362">
        <v>0</v>
      </c>
      <c r="V160" s="362">
        <f t="shared" si="27"/>
        <v>2520</v>
      </c>
      <c r="W160" s="362">
        <f t="shared" si="25"/>
        <v>2520</v>
      </c>
      <c r="X160" s="742">
        <f t="shared" si="28"/>
        <v>0</v>
      </c>
    </row>
    <row r="161" spans="1:24" ht="13.9">
      <c r="A161" s="349">
        <f t="shared" si="26"/>
        <v>153</v>
      </c>
      <c r="B161" s="350" t="s">
        <v>1411</v>
      </c>
      <c r="C161" s="350" t="s">
        <v>1481</v>
      </c>
      <c r="D161" s="350" t="s">
        <v>1610</v>
      </c>
      <c r="E161" s="350" t="s">
        <v>169</v>
      </c>
      <c r="F161" s="350" t="s">
        <v>1630</v>
      </c>
      <c r="G161" s="366">
        <v>39907</v>
      </c>
      <c r="H161" s="352">
        <v>40560</v>
      </c>
      <c r="I161" s="353" t="s">
        <v>1379</v>
      </c>
      <c r="J161" s="353" t="s">
        <v>1379</v>
      </c>
      <c r="K161" s="354">
        <f t="shared" si="20"/>
        <v>40560</v>
      </c>
      <c r="L161" s="363">
        <v>39907</v>
      </c>
      <c r="M161" s="742">
        <v>38532</v>
      </c>
      <c r="N161" s="352">
        <f t="shared" si="29"/>
        <v>2028</v>
      </c>
      <c r="O161" s="357">
        <f t="shared" si="21"/>
        <v>5476</v>
      </c>
      <c r="P161" s="357">
        <v>9</v>
      </c>
      <c r="Q161" s="358">
        <v>9</v>
      </c>
      <c r="R161" s="359">
        <f t="shared" si="22"/>
        <v>0</v>
      </c>
      <c r="S161" s="360">
        <f t="shared" si="23"/>
        <v>0</v>
      </c>
      <c r="T161" s="361">
        <f t="shared" si="24"/>
        <v>0.10555555555555554</v>
      </c>
      <c r="U161" s="362">
        <v>0</v>
      </c>
      <c r="V161" s="362">
        <f t="shared" si="27"/>
        <v>2028</v>
      </c>
      <c r="W161" s="362">
        <f t="shared" si="25"/>
        <v>2028</v>
      </c>
      <c r="X161" s="742">
        <f t="shared" si="28"/>
        <v>0</v>
      </c>
    </row>
    <row r="162" spans="1:24" ht="13.9">
      <c r="A162" s="349">
        <f t="shared" si="26"/>
        <v>154</v>
      </c>
      <c r="B162" s="350" t="s">
        <v>1411</v>
      </c>
      <c r="C162" s="350"/>
      <c r="D162" s="350" t="s">
        <v>1610</v>
      </c>
      <c r="E162" s="350"/>
      <c r="F162" s="350"/>
      <c r="G162" s="366"/>
      <c r="H162" s="352">
        <v>36370</v>
      </c>
      <c r="I162" s="353" t="s">
        <v>1379</v>
      </c>
      <c r="J162" s="353" t="s">
        <v>1379</v>
      </c>
      <c r="K162" s="354">
        <f t="shared" si="20"/>
        <v>36370</v>
      </c>
      <c r="L162" s="363">
        <v>39972</v>
      </c>
      <c r="M162" s="742">
        <v>34551</v>
      </c>
      <c r="N162" s="352">
        <f t="shared" si="29"/>
        <v>1819</v>
      </c>
      <c r="O162" s="357">
        <f t="shared" si="21"/>
        <v>5411</v>
      </c>
      <c r="P162" s="357">
        <v>9</v>
      </c>
      <c r="Q162" s="358">
        <v>9</v>
      </c>
      <c r="R162" s="359">
        <f t="shared" si="22"/>
        <v>0</v>
      </c>
      <c r="S162" s="360">
        <f t="shared" si="23"/>
        <v>0</v>
      </c>
      <c r="T162" s="361">
        <f t="shared" si="24"/>
        <v>0.10555555555555554</v>
      </c>
      <c r="U162" s="362">
        <v>0</v>
      </c>
      <c r="V162" s="362">
        <f t="shared" si="27"/>
        <v>1819</v>
      </c>
      <c r="W162" s="362">
        <f t="shared" si="25"/>
        <v>1819</v>
      </c>
      <c r="X162" s="742">
        <f t="shared" si="28"/>
        <v>0</v>
      </c>
    </row>
    <row r="163" spans="1:24" ht="13.9">
      <c r="A163" s="349">
        <f t="shared" si="26"/>
        <v>155</v>
      </c>
      <c r="B163" s="350" t="s">
        <v>1411</v>
      </c>
      <c r="C163" s="350"/>
      <c r="D163" s="350" t="s">
        <v>1610</v>
      </c>
      <c r="E163" s="350" t="s">
        <v>423</v>
      </c>
      <c r="F163" s="350" t="s">
        <v>1631</v>
      </c>
      <c r="G163" s="366">
        <v>40159</v>
      </c>
      <c r="H163" s="352">
        <v>56285</v>
      </c>
      <c r="I163" s="353" t="s">
        <v>1379</v>
      </c>
      <c r="J163" s="353" t="s">
        <v>1379</v>
      </c>
      <c r="K163" s="354">
        <f t="shared" si="20"/>
        <v>56285</v>
      </c>
      <c r="L163" s="363">
        <v>40166</v>
      </c>
      <c r="M163" s="742">
        <v>53471</v>
      </c>
      <c r="N163" s="352">
        <f t="shared" si="29"/>
        <v>2814</v>
      </c>
      <c r="O163" s="357">
        <f t="shared" si="21"/>
        <v>5217</v>
      </c>
      <c r="P163" s="357">
        <v>9</v>
      </c>
      <c r="Q163" s="358">
        <v>9</v>
      </c>
      <c r="R163" s="359">
        <f t="shared" si="22"/>
        <v>0</v>
      </c>
      <c r="S163" s="360">
        <f t="shared" si="23"/>
        <v>0</v>
      </c>
      <c r="T163" s="361">
        <f t="shared" si="24"/>
        <v>0.10555555555555554</v>
      </c>
      <c r="U163" s="362">
        <v>0</v>
      </c>
      <c r="V163" s="362">
        <f t="shared" si="27"/>
        <v>2814</v>
      </c>
      <c r="W163" s="362">
        <f t="shared" si="25"/>
        <v>2814</v>
      </c>
      <c r="X163" s="742">
        <f t="shared" si="28"/>
        <v>0</v>
      </c>
    </row>
    <row r="164" spans="1:24" ht="13.9">
      <c r="A164" s="349">
        <f t="shared" si="26"/>
        <v>156</v>
      </c>
      <c r="B164" s="350" t="s">
        <v>1411</v>
      </c>
      <c r="C164" s="350" t="s">
        <v>1458</v>
      </c>
      <c r="D164" s="350" t="s">
        <v>1610</v>
      </c>
      <c r="E164" s="350" t="s">
        <v>1604</v>
      </c>
      <c r="F164" s="350" t="s">
        <v>1632</v>
      </c>
      <c r="G164" s="366"/>
      <c r="H164" s="352">
        <v>15080</v>
      </c>
      <c r="I164" s="353" t="s">
        <v>1379</v>
      </c>
      <c r="J164" s="353" t="s">
        <v>1379</v>
      </c>
      <c r="K164" s="354">
        <f t="shared" si="20"/>
        <v>15080</v>
      </c>
      <c r="L164" s="363">
        <v>40011</v>
      </c>
      <c r="M164" s="742">
        <v>14326</v>
      </c>
      <c r="N164" s="352">
        <f t="shared" si="29"/>
        <v>754</v>
      </c>
      <c r="O164" s="357">
        <f t="shared" si="21"/>
        <v>5372</v>
      </c>
      <c r="P164" s="357">
        <v>9</v>
      </c>
      <c r="Q164" s="358">
        <v>9</v>
      </c>
      <c r="R164" s="359">
        <f t="shared" si="22"/>
        <v>0</v>
      </c>
      <c r="S164" s="360">
        <f t="shared" si="23"/>
        <v>0</v>
      </c>
      <c r="T164" s="361">
        <f t="shared" si="24"/>
        <v>0.10555555555555554</v>
      </c>
      <c r="U164" s="362">
        <v>0</v>
      </c>
      <c r="V164" s="362">
        <f t="shared" si="27"/>
        <v>754</v>
      </c>
      <c r="W164" s="362">
        <f t="shared" si="25"/>
        <v>754</v>
      </c>
      <c r="X164" s="742">
        <f t="shared" si="28"/>
        <v>0</v>
      </c>
    </row>
    <row r="165" spans="1:24" ht="13.9">
      <c r="A165" s="349">
        <f t="shared" si="26"/>
        <v>157</v>
      </c>
      <c r="B165" s="350" t="s">
        <v>1633</v>
      </c>
      <c r="C165" s="350" t="s">
        <v>1634</v>
      </c>
      <c r="D165" s="350" t="s">
        <v>1610</v>
      </c>
      <c r="E165" s="350" t="s">
        <v>1635</v>
      </c>
      <c r="F165" s="350" t="s">
        <v>1636</v>
      </c>
      <c r="G165" s="366">
        <v>40267</v>
      </c>
      <c r="H165" s="352">
        <v>378560</v>
      </c>
      <c r="I165" s="353" t="s">
        <v>1379</v>
      </c>
      <c r="J165" s="353" t="s">
        <v>1379</v>
      </c>
      <c r="K165" s="354">
        <f t="shared" si="20"/>
        <v>378560</v>
      </c>
      <c r="L165" s="363">
        <v>40267</v>
      </c>
      <c r="M165" s="742">
        <v>359632</v>
      </c>
      <c r="N165" s="352">
        <f t="shared" si="29"/>
        <v>18928</v>
      </c>
      <c r="O165" s="357">
        <f t="shared" si="21"/>
        <v>5116</v>
      </c>
      <c r="P165" s="357">
        <v>9</v>
      </c>
      <c r="Q165" s="358">
        <v>9</v>
      </c>
      <c r="R165" s="359">
        <f t="shared" si="22"/>
        <v>0</v>
      </c>
      <c r="S165" s="360">
        <f t="shared" si="23"/>
        <v>0</v>
      </c>
      <c r="T165" s="361">
        <f t="shared" si="24"/>
        <v>0.10555555555555554</v>
      </c>
      <c r="U165" s="362">
        <v>0</v>
      </c>
      <c r="V165" s="362">
        <f t="shared" si="27"/>
        <v>18928</v>
      </c>
      <c r="W165" s="362">
        <f t="shared" si="25"/>
        <v>18928</v>
      </c>
      <c r="X165" s="742">
        <f t="shared" si="28"/>
        <v>0</v>
      </c>
    </row>
    <row r="166" spans="1:24" ht="13.9">
      <c r="A166" s="349">
        <f t="shared" si="26"/>
        <v>158</v>
      </c>
      <c r="B166" s="350" t="s">
        <v>1430</v>
      </c>
      <c r="C166" s="350" t="s">
        <v>1481</v>
      </c>
      <c r="D166" s="350" t="s">
        <v>1610</v>
      </c>
      <c r="E166" s="350" t="s">
        <v>1637</v>
      </c>
      <c r="F166" s="350" t="s">
        <v>1638</v>
      </c>
      <c r="G166" s="366">
        <v>40158</v>
      </c>
      <c r="H166" s="352">
        <v>29250</v>
      </c>
      <c r="I166" s="353" t="s">
        <v>1379</v>
      </c>
      <c r="J166" s="353" t="s">
        <v>1379</v>
      </c>
      <c r="K166" s="354">
        <f t="shared" si="20"/>
        <v>29250</v>
      </c>
      <c r="L166" s="363">
        <v>40158</v>
      </c>
      <c r="M166" s="742">
        <v>27787</v>
      </c>
      <c r="N166" s="352">
        <f t="shared" si="29"/>
        <v>1463</v>
      </c>
      <c r="O166" s="357">
        <f t="shared" si="21"/>
        <v>5225</v>
      </c>
      <c r="P166" s="357">
        <v>9</v>
      </c>
      <c r="Q166" s="358">
        <v>9</v>
      </c>
      <c r="R166" s="359">
        <f t="shared" si="22"/>
        <v>0</v>
      </c>
      <c r="S166" s="360">
        <f t="shared" si="23"/>
        <v>0</v>
      </c>
      <c r="T166" s="361">
        <f t="shared" si="24"/>
        <v>0.10555555555555554</v>
      </c>
      <c r="U166" s="362">
        <v>0</v>
      </c>
      <c r="V166" s="362">
        <f t="shared" si="27"/>
        <v>1463</v>
      </c>
      <c r="W166" s="362">
        <f t="shared" si="25"/>
        <v>1463</v>
      </c>
      <c r="X166" s="742">
        <f t="shared" si="28"/>
        <v>0</v>
      </c>
    </row>
    <row r="167" spans="1:24" ht="13.9">
      <c r="A167" s="349">
        <f t="shared" si="26"/>
        <v>159</v>
      </c>
      <c r="B167" s="350" t="s">
        <v>1575</v>
      </c>
      <c r="C167" s="350" t="s">
        <v>1458</v>
      </c>
      <c r="D167" s="350" t="s">
        <v>1610</v>
      </c>
      <c r="E167" s="350" t="s">
        <v>1639</v>
      </c>
      <c r="F167" s="350" t="s">
        <v>1632</v>
      </c>
      <c r="G167" s="366">
        <v>40147</v>
      </c>
      <c r="H167" s="352">
        <v>133171</v>
      </c>
      <c r="I167" s="353" t="s">
        <v>1379</v>
      </c>
      <c r="J167" s="353" t="s">
        <v>1379</v>
      </c>
      <c r="K167" s="354">
        <f t="shared" si="20"/>
        <v>133171</v>
      </c>
      <c r="L167" s="363">
        <v>40147</v>
      </c>
      <c r="M167" s="742">
        <v>126512</v>
      </c>
      <c r="N167" s="352">
        <f t="shared" si="29"/>
        <v>6659</v>
      </c>
      <c r="O167" s="357">
        <f t="shared" si="21"/>
        <v>5236</v>
      </c>
      <c r="P167" s="357">
        <v>9</v>
      </c>
      <c r="Q167" s="358">
        <v>9</v>
      </c>
      <c r="R167" s="359">
        <f t="shared" si="22"/>
        <v>0</v>
      </c>
      <c r="S167" s="360">
        <f t="shared" si="23"/>
        <v>0</v>
      </c>
      <c r="T167" s="361">
        <f t="shared" si="24"/>
        <v>0.10555555555555554</v>
      </c>
      <c r="U167" s="362">
        <v>0</v>
      </c>
      <c r="V167" s="362">
        <f t="shared" si="27"/>
        <v>6659</v>
      </c>
      <c r="W167" s="362">
        <f t="shared" si="25"/>
        <v>6659</v>
      </c>
      <c r="X167" s="742">
        <f t="shared" si="28"/>
        <v>0</v>
      </c>
    </row>
    <row r="168" spans="1:24" ht="13.9">
      <c r="A168" s="349">
        <f t="shared" si="26"/>
        <v>160</v>
      </c>
      <c r="B168" s="350" t="s">
        <v>320</v>
      </c>
      <c r="C168" s="350" t="s">
        <v>1458</v>
      </c>
      <c r="D168" s="350" t="s">
        <v>1610</v>
      </c>
      <c r="E168" s="350" t="s">
        <v>1640</v>
      </c>
      <c r="F168" s="350" t="s">
        <v>1641</v>
      </c>
      <c r="G168" s="366"/>
      <c r="H168" s="352">
        <v>10713</v>
      </c>
      <c r="I168" s="353" t="s">
        <v>1379</v>
      </c>
      <c r="J168" s="353" t="s">
        <v>1379</v>
      </c>
      <c r="K168" s="354">
        <f t="shared" si="20"/>
        <v>10713</v>
      </c>
      <c r="L168" s="363">
        <v>39905</v>
      </c>
      <c r="M168" s="742">
        <v>10177</v>
      </c>
      <c r="N168" s="352">
        <f t="shared" si="29"/>
        <v>536</v>
      </c>
      <c r="O168" s="357">
        <f t="shared" si="21"/>
        <v>5478</v>
      </c>
      <c r="P168" s="357">
        <v>9</v>
      </c>
      <c r="Q168" s="358">
        <v>9</v>
      </c>
      <c r="R168" s="359">
        <f t="shared" si="22"/>
        <v>0</v>
      </c>
      <c r="S168" s="360">
        <f t="shared" si="23"/>
        <v>0</v>
      </c>
      <c r="T168" s="361">
        <f t="shared" si="24"/>
        <v>0.10555555555555554</v>
      </c>
      <c r="U168" s="362">
        <v>0</v>
      </c>
      <c r="V168" s="362">
        <f t="shared" si="27"/>
        <v>536</v>
      </c>
      <c r="W168" s="362">
        <f t="shared" si="25"/>
        <v>536</v>
      </c>
      <c r="X168" s="742">
        <f t="shared" si="28"/>
        <v>0</v>
      </c>
    </row>
    <row r="169" spans="1:24" ht="13.9">
      <c r="A169" s="349">
        <f t="shared" si="26"/>
        <v>161</v>
      </c>
      <c r="B169" s="350" t="s">
        <v>983</v>
      </c>
      <c r="C169" s="350" t="s">
        <v>1481</v>
      </c>
      <c r="D169" s="350" t="s">
        <v>1610</v>
      </c>
      <c r="E169" s="350" t="s">
        <v>1590</v>
      </c>
      <c r="F169" s="350" t="s">
        <v>1642</v>
      </c>
      <c r="G169" s="366">
        <v>39928</v>
      </c>
      <c r="H169" s="352">
        <v>429520</v>
      </c>
      <c r="I169" s="353" t="s">
        <v>1379</v>
      </c>
      <c r="J169" s="353" t="s">
        <v>1379</v>
      </c>
      <c r="K169" s="354">
        <f t="shared" si="20"/>
        <v>429520</v>
      </c>
      <c r="L169" s="363">
        <v>39928</v>
      </c>
      <c r="M169" s="742">
        <v>408044</v>
      </c>
      <c r="N169" s="352">
        <f t="shared" si="29"/>
        <v>21476</v>
      </c>
      <c r="O169" s="357">
        <f t="shared" si="21"/>
        <v>5455</v>
      </c>
      <c r="P169" s="357">
        <v>9</v>
      </c>
      <c r="Q169" s="358">
        <v>9</v>
      </c>
      <c r="R169" s="359">
        <f t="shared" si="22"/>
        <v>0</v>
      </c>
      <c r="S169" s="360">
        <f t="shared" si="23"/>
        <v>0</v>
      </c>
      <c r="T169" s="361">
        <f t="shared" si="24"/>
        <v>0.10555555555555554</v>
      </c>
      <c r="U169" s="362">
        <v>0</v>
      </c>
      <c r="V169" s="362">
        <f t="shared" si="27"/>
        <v>21476</v>
      </c>
      <c r="W169" s="362">
        <f t="shared" si="25"/>
        <v>21476</v>
      </c>
      <c r="X169" s="742">
        <f t="shared" si="28"/>
        <v>0</v>
      </c>
    </row>
    <row r="170" spans="1:24" ht="13.9">
      <c r="A170" s="349">
        <f t="shared" si="26"/>
        <v>162</v>
      </c>
      <c r="B170" s="350" t="s">
        <v>983</v>
      </c>
      <c r="C170" s="350" t="s">
        <v>1458</v>
      </c>
      <c r="D170" s="350" t="s">
        <v>1610</v>
      </c>
      <c r="E170" s="350" t="s">
        <v>990</v>
      </c>
      <c r="F170" s="350" t="s">
        <v>1643</v>
      </c>
      <c r="G170" s="366"/>
      <c r="H170" s="352">
        <v>20250</v>
      </c>
      <c r="I170" s="353" t="s">
        <v>1379</v>
      </c>
      <c r="J170" s="353" t="s">
        <v>1379</v>
      </c>
      <c r="K170" s="354">
        <f t="shared" si="20"/>
        <v>20250</v>
      </c>
      <c r="L170" s="363">
        <v>40144</v>
      </c>
      <c r="M170" s="742">
        <v>19238</v>
      </c>
      <c r="N170" s="352">
        <f t="shared" si="29"/>
        <v>1012</v>
      </c>
      <c r="O170" s="357">
        <f t="shared" si="21"/>
        <v>5239</v>
      </c>
      <c r="P170" s="357">
        <v>9</v>
      </c>
      <c r="Q170" s="358">
        <v>9</v>
      </c>
      <c r="R170" s="359">
        <f t="shared" si="22"/>
        <v>0</v>
      </c>
      <c r="S170" s="360">
        <f t="shared" si="23"/>
        <v>0</v>
      </c>
      <c r="T170" s="361">
        <f t="shared" si="24"/>
        <v>0.10555555555555554</v>
      </c>
      <c r="U170" s="362">
        <v>0</v>
      </c>
      <c r="V170" s="362">
        <f t="shared" si="27"/>
        <v>1012</v>
      </c>
      <c r="W170" s="362">
        <f t="shared" si="25"/>
        <v>1013</v>
      </c>
      <c r="X170" s="742">
        <f t="shared" si="28"/>
        <v>-1</v>
      </c>
    </row>
    <row r="171" spans="1:24" ht="13.9">
      <c r="A171" s="349">
        <f t="shared" si="26"/>
        <v>163</v>
      </c>
      <c r="B171" s="350" t="s">
        <v>983</v>
      </c>
      <c r="C171" s="350" t="s">
        <v>1481</v>
      </c>
      <c r="D171" s="350" t="s">
        <v>1610</v>
      </c>
      <c r="E171" s="350" t="s">
        <v>1590</v>
      </c>
      <c r="F171" s="350" t="s">
        <v>1644</v>
      </c>
      <c r="G171" s="366">
        <v>40154</v>
      </c>
      <c r="H171" s="352">
        <v>1227200</v>
      </c>
      <c r="I171" s="353" t="s">
        <v>1379</v>
      </c>
      <c r="J171" s="353" t="s">
        <v>1379</v>
      </c>
      <c r="K171" s="354">
        <f t="shared" si="20"/>
        <v>1227200</v>
      </c>
      <c r="L171" s="363">
        <v>40154</v>
      </c>
      <c r="M171" s="742">
        <v>1165840</v>
      </c>
      <c r="N171" s="352">
        <f t="shared" si="29"/>
        <v>61360</v>
      </c>
      <c r="O171" s="357">
        <f t="shared" si="21"/>
        <v>5229</v>
      </c>
      <c r="P171" s="357">
        <v>9</v>
      </c>
      <c r="Q171" s="358">
        <v>9</v>
      </c>
      <c r="R171" s="359">
        <f t="shared" si="22"/>
        <v>0</v>
      </c>
      <c r="S171" s="360">
        <f t="shared" si="23"/>
        <v>0</v>
      </c>
      <c r="T171" s="361">
        <f t="shared" si="24"/>
        <v>0.10555555555555554</v>
      </c>
      <c r="U171" s="362">
        <v>0</v>
      </c>
      <c r="V171" s="362">
        <f t="shared" si="27"/>
        <v>61360</v>
      </c>
      <c r="W171" s="362">
        <f t="shared" si="25"/>
        <v>61360</v>
      </c>
      <c r="X171" s="742">
        <f t="shared" si="28"/>
        <v>0</v>
      </c>
    </row>
    <row r="172" spans="1:24" ht="13.9">
      <c r="A172" s="349">
        <f t="shared" si="26"/>
        <v>164</v>
      </c>
      <c r="B172" s="350" t="s">
        <v>332</v>
      </c>
      <c r="C172" s="350" t="s">
        <v>1481</v>
      </c>
      <c r="D172" s="350" t="s">
        <v>1645</v>
      </c>
      <c r="E172" s="350" t="s">
        <v>1646</v>
      </c>
      <c r="F172" s="350" t="s">
        <v>1647</v>
      </c>
      <c r="G172" s="366">
        <v>40463</v>
      </c>
      <c r="H172" s="352">
        <v>126829</v>
      </c>
      <c r="I172" s="353" t="s">
        <v>1379</v>
      </c>
      <c r="J172" s="353" t="s">
        <v>1379</v>
      </c>
      <c r="K172" s="354">
        <f t="shared" si="20"/>
        <v>126829</v>
      </c>
      <c r="L172" s="363">
        <v>40522</v>
      </c>
      <c r="M172" s="742">
        <v>120488</v>
      </c>
      <c r="N172" s="352">
        <f t="shared" si="29"/>
        <v>6341</v>
      </c>
      <c r="O172" s="357">
        <f t="shared" si="21"/>
        <v>4861</v>
      </c>
      <c r="P172" s="357">
        <v>9</v>
      </c>
      <c r="Q172" s="358">
        <v>9</v>
      </c>
      <c r="R172" s="359">
        <f t="shared" si="22"/>
        <v>0</v>
      </c>
      <c r="S172" s="360">
        <f t="shared" si="23"/>
        <v>0</v>
      </c>
      <c r="T172" s="361">
        <f t="shared" si="24"/>
        <v>0.10555555555555554</v>
      </c>
      <c r="U172" s="362">
        <v>0</v>
      </c>
      <c r="V172" s="362">
        <f t="shared" si="27"/>
        <v>6341</v>
      </c>
      <c r="W172" s="362">
        <f t="shared" si="25"/>
        <v>6341</v>
      </c>
      <c r="X172" s="742">
        <f t="shared" si="28"/>
        <v>0</v>
      </c>
    </row>
    <row r="173" spans="1:24" ht="13.9">
      <c r="A173" s="349">
        <f t="shared" si="26"/>
        <v>165</v>
      </c>
      <c r="B173" s="350" t="s">
        <v>332</v>
      </c>
      <c r="C173" s="350" t="s">
        <v>1458</v>
      </c>
      <c r="D173" s="350" t="s">
        <v>1645</v>
      </c>
      <c r="E173" s="350" t="s">
        <v>1646</v>
      </c>
      <c r="F173" s="350" t="s">
        <v>1648</v>
      </c>
      <c r="G173" s="366">
        <v>40526</v>
      </c>
      <c r="H173" s="352">
        <v>945485</v>
      </c>
      <c r="I173" s="353" t="s">
        <v>1379</v>
      </c>
      <c r="J173" s="353" t="s">
        <v>1379</v>
      </c>
      <c r="K173" s="354">
        <f t="shared" si="20"/>
        <v>945485</v>
      </c>
      <c r="L173" s="363">
        <v>40543</v>
      </c>
      <c r="M173" s="742">
        <v>898211</v>
      </c>
      <c r="N173" s="352">
        <f t="shared" si="29"/>
        <v>47274</v>
      </c>
      <c r="O173" s="357">
        <f t="shared" si="21"/>
        <v>4840</v>
      </c>
      <c r="P173" s="357">
        <v>9</v>
      </c>
      <c r="Q173" s="358">
        <v>9</v>
      </c>
      <c r="R173" s="359">
        <f t="shared" si="22"/>
        <v>0</v>
      </c>
      <c r="S173" s="360">
        <f t="shared" si="23"/>
        <v>0</v>
      </c>
      <c r="T173" s="361">
        <f t="shared" si="24"/>
        <v>0.10555555555555554</v>
      </c>
      <c r="U173" s="362">
        <v>0</v>
      </c>
      <c r="V173" s="362">
        <f t="shared" si="27"/>
        <v>47274</v>
      </c>
      <c r="W173" s="362">
        <f t="shared" si="25"/>
        <v>47274</v>
      </c>
      <c r="X173" s="742">
        <f t="shared" si="28"/>
        <v>0</v>
      </c>
    </row>
    <row r="174" spans="1:24" ht="13.9">
      <c r="A174" s="349">
        <f t="shared" si="26"/>
        <v>166</v>
      </c>
      <c r="B174" s="350" t="s">
        <v>332</v>
      </c>
      <c r="C174" s="350" t="s">
        <v>1649</v>
      </c>
      <c r="D174" s="350" t="s">
        <v>1645</v>
      </c>
      <c r="E174" s="350" t="s">
        <v>1650</v>
      </c>
      <c r="F174" s="350" t="s">
        <v>1651</v>
      </c>
      <c r="G174" s="366">
        <v>40493</v>
      </c>
      <c r="H174" s="352">
        <v>47226</v>
      </c>
      <c r="I174" s="353" t="s">
        <v>1379</v>
      </c>
      <c r="J174" s="353" t="s">
        <v>1379</v>
      </c>
      <c r="K174" s="354">
        <f t="shared" si="20"/>
        <v>47226</v>
      </c>
      <c r="L174" s="363">
        <v>40494</v>
      </c>
      <c r="M174" s="742">
        <v>44865</v>
      </c>
      <c r="N174" s="352">
        <f t="shared" si="29"/>
        <v>2361</v>
      </c>
      <c r="O174" s="357">
        <f t="shared" si="21"/>
        <v>4889</v>
      </c>
      <c r="P174" s="357">
        <v>9</v>
      </c>
      <c r="Q174" s="358">
        <v>9</v>
      </c>
      <c r="R174" s="359">
        <f t="shared" si="22"/>
        <v>0</v>
      </c>
      <c r="S174" s="360">
        <f t="shared" si="23"/>
        <v>0</v>
      </c>
      <c r="T174" s="361">
        <f t="shared" si="24"/>
        <v>0.10555555555555554</v>
      </c>
      <c r="U174" s="362">
        <v>0</v>
      </c>
      <c r="V174" s="362">
        <f t="shared" si="27"/>
        <v>2361</v>
      </c>
      <c r="W174" s="362">
        <f t="shared" si="25"/>
        <v>2361</v>
      </c>
      <c r="X174" s="742">
        <f t="shared" si="28"/>
        <v>0</v>
      </c>
    </row>
    <row r="175" spans="1:24" ht="13.9">
      <c r="A175" s="349">
        <f t="shared" si="26"/>
        <v>167</v>
      </c>
      <c r="B175" s="350" t="s">
        <v>1569</v>
      </c>
      <c r="C175" s="350" t="s">
        <v>1649</v>
      </c>
      <c r="D175" s="350" t="s">
        <v>1645</v>
      </c>
      <c r="E175" s="350" t="s">
        <v>1570</v>
      </c>
      <c r="F175" s="350" t="s">
        <v>1549</v>
      </c>
      <c r="G175" s="366"/>
      <c r="H175" s="352">
        <v>20925</v>
      </c>
      <c r="I175" s="353" t="s">
        <v>1379</v>
      </c>
      <c r="J175" s="353" t="s">
        <v>1379</v>
      </c>
      <c r="K175" s="354">
        <f t="shared" si="20"/>
        <v>20925</v>
      </c>
      <c r="L175" s="363">
        <v>40574</v>
      </c>
      <c r="M175" s="742">
        <v>19879</v>
      </c>
      <c r="N175" s="352">
        <f t="shared" si="29"/>
        <v>1046</v>
      </c>
      <c r="O175" s="357">
        <f t="shared" si="21"/>
        <v>4809</v>
      </c>
      <c r="P175" s="357">
        <v>9</v>
      </c>
      <c r="Q175" s="358">
        <v>9</v>
      </c>
      <c r="R175" s="359">
        <f t="shared" si="22"/>
        <v>0</v>
      </c>
      <c r="S175" s="360">
        <f t="shared" si="23"/>
        <v>0</v>
      </c>
      <c r="T175" s="361">
        <f t="shared" si="24"/>
        <v>0.10555555555555554</v>
      </c>
      <c r="U175" s="362">
        <v>0</v>
      </c>
      <c r="V175" s="362">
        <f t="shared" si="27"/>
        <v>1046</v>
      </c>
      <c r="W175" s="362">
        <f t="shared" si="25"/>
        <v>1046</v>
      </c>
      <c r="X175" s="742">
        <f t="shared" si="28"/>
        <v>0</v>
      </c>
    </row>
    <row r="176" spans="1:24" ht="13.9">
      <c r="A176" s="349">
        <f t="shared" si="26"/>
        <v>168</v>
      </c>
      <c r="B176" s="350" t="s">
        <v>1652</v>
      </c>
      <c r="C176" s="350" t="s">
        <v>1458</v>
      </c>
      <c r="D176" s="350" t="s">
        <v>1645</v>
      </c>
      <c r="E176" s="350" t="s">
        <v>1653</v>
      </c>
      <c r="F176" s="350" t="s">
        <v>1654</v>
      </c>
      <c r="G176" s="366"/>
      <c r="H176" s="352">
        <v>405000</v>
      </c>
      <c r="I176" s="353" t="s">
        <v>1379</v>
      </c>
      <c r="J176" s="353" t="s">
        <v>1379</v>
      </c>
      <c r="K176" s="354">
        <f t="shared" si="20"/>
        <v>405000</v>
      </c>
      <c r="L176" s="363">
        <v>40588</v>
      </c>
      <c r="M176" s="742">
        <v>384750</v>
      </c>
      <c r="N176" s="352">
        <f t="shared" si="29"/>
        <v>20250</v>
      </c>
      <c r="O176" s="357">
        <f t="shared" si="21"/>
        <v>4795</v>
      </c>
      <c r="P176" s="357">
        <v>9</v>
      </c>
      <c r="Q176" s="358">
        <v>9</v>
      </c>
      <c r="R176" s="359">
        <f t="shared" si="22"/>
        <v>0</v>
      </c>
      <c r="S176" s="360">
        <f t="shared" si="23"/>
        <v>0</v>
      </c>
      <c r="T176" s="361">
        <f t="shared" si="24"/>
        <v>0.10555555555555554</v>
      </c>
      <c r="U176" s="362">
        <v>0</v>
      </c>
      <c r="V176" s="362">
        <f t="shared" si="27"/>
        <v>20250</v>
      </c>
      <c r="W176" s="362">
        <f t="shared" si="25"/>
        <v>20250</v>
      </c>
      <c r="X176" s="742">
        <f t="shared" si="28"/>
        <v>0</v>
      </c>
    </row>
    <row r="177" spans="1:24" ht="13.9">
      <c r="A177" s="349">
        <f t="shared" si="26"/>
        <v>169</v>
      </c>
      <c r="B177" s="350" t="s">
        <v>1655</v>
      </c>
      <c r="C177" s="350" t="s">
        <v>1656</v>
      </c>
      <c r="D177" s="350" t="s">
        <v>1645</v>
      </c>
      <c r="E177" s="350" t="s">
        <v>1657</v>
      </c>
      <c r="F177" s="350"/>
      <c r="G177" s="366"/>
      <c r="H177" s="352">
        <v>277984</v>
      </c>
      <c r="I177" s="353" t="s">
        <v>1379</v>
      </c>
      <c r="J177" s="353" t="s">
        <v>1379</v>
      </c>
      <c r="K177" s="354">
        <f t="shared" si="20"/>
        <v>277984</v>
      </c>
      <c r="L177" s="363">
        <v>40336</v>
      </c>
      <c r="M177" s="742">
        <v>264085</v>
      </c>
      <c r="N177" s="352">
        <f t="shared" si="29"/>
        <v>13899</v>
      </c>
      <c r="O177" s="357">
        <f t="shared" si="21"/>
        <v>5047</v>
      </c>
      <c r="P177" s="357">
        <v>9</v>
      </c>
      <c r="Q177" s="358">
        <v>9</v>
      </c>
      <c r="R177" s="359">
        <f t="shared" si="22"/>
        <v>0</v>
      </c>
      <c r="S177" s="360">
        <f t="shared" si="23"/>
        <v>0</v>
      </c>
      <c r="T177" s="361">
        <f t="shared" si="24"/>
        <v>0.10555555555555554</v>
      </c>
      <c r="U177" s="362">
        <v>0</v>
      </c>
      <c r="V177" s="362">
        <f t="shared" si="27"/>
        <v>13899</v>
      </c>
      <c r="W177" s="362">
        <f t="shared" si="25"/>
        <v>13899</v>
      </c>
      <c r="X177" s="742">
        <f t="shared" si="28"/>
        <v>0</v>
      </c>
    </row>
    <row r="178" spans="1:24" ht="13.9">
      <c r="A178" s="349">
        <f t="shared" si="26"/>
        <v>170</v>
      </c>
      <c r="B178" s="350" t="s">
        <v>935</v>
      </c>
      <c r="C178" s="350" t="s">
        <v>1458</v>
      </c>
      <c r="D178" s="350" t="s">
        <v>1645</v>
      </c>
      <c r="E178" s="350" t="s">
        <v>1658</v>
      </c>
      <c r="F178" s="350" t="s">
        <v>1659</v>
      </c>
      <c r="G178" s="366">
        <v>40288</v>
      </c>
      <c r="H178" s="352">
        <v>275309</v>
      </c>
      <c r="I178" s="353" t="s">
        <v>1379</v>
      </c>
      <c r="J178" s="353" t="s">
        <v>1379</v>
      </c>
      <c r="K178" s="354">
        <f t="shared" si="20"/>
        <v>275309</v>
      </c>
      <c r="L178" s="363">
        <v>40330</v>
      </c>
      <c r="M178" s="742">
        <v>261544</v>
      </c>
      <c r="N178" s="352">
        <f t="shared" si="29"/>
        <v>13765</v>
      </c>
      <c r="O178" s="357">
        <f t="shared" si="21"/>
        <v>5053</v>
      </c>
      <c r="P178" s="357">
        <v>9</v>
      </c>
      <c r="Q178" s="358">
        <v>9</v>
      </c>
      <c r="R178" s="359">
        <f t="shared" si="22"/>
        <v>0</v>
      </c>
      <c r="S178" s="360">
        <f t="shared" si="23"/>
        <v>0</v>
      </c>
      <c r="T178" s="361">
        <f t="shared" si="24"/>
        <v>0.10555555555555554</v>
      </c>
      <c r="U178" s="362">
        <v>0</v>
      </c>
      <c r="V178" s="362">
        <f t="shared" si="27"/>
        <v>13765</v>
      </c>
      <c r="W178" s="362">
        <f t="shared" si="25"/>
        <v>13765</v>
      </c>
      <c r="X178" s="742">
        <f t="shared" si="28"/>
        <v>0</v>
      </c>
    </row>
    <row r="179" spans="1:24" ht="13.9">
      <c r="A179" s="349">
        <f t="shared" si="26"/>
        <v>171</v>
      </c>
      <c r="B179" s="350" t="s">
        <v>935</v>
      </c>
      <c r="C179" s="350" t="s">
        <v>1634</v>
      </c>
      <c r="D179" s="350" t="s">
        <v>1645</v>
      </c>
      <c r="E179" s="350" t="s">
        <v>1658</v>
      </c>
      <c r="F179" s="350" t="s">
        <v>1660</v>
      </c>
      <c r="G179" s="366">
        <v>40450</v>
      </c>
      <c r="H179" s="352">
        <v>585031</v>
      </c>
      <c r="I179" s="353" t="s">
        <v>1379</v>
      </c>
      <c r="J179" s="353" t="s">
        <v>1379</v>
      </c>
      <c r="K179" s="354">
        <f t="shared" si="20"/>
        <v>585031</v>
      </c>
      <c r="L179" s="363">
        <v>40450</v>
      </c>
      <c r="M179" s="742">
        <v>555779</v>
      </c>
      <c r="N179" s="352">
        <f t="shared" si="29"/>
        <v>29252</v>
      </c>
      <c r="O179" s="357">
        <f t="shared" si="21"/>
        <v>4933</v>
      </c>
      <c r="P179" s="357">
        <v>9</v>
      </c>
      <c r="Q179" s="358">
        <v>9</v>
      </c>
      <c r="R179" s="359">
        <f t="shared" si="22"/>
        <v>0</v>
      </c>
      <c r="S179" s="360">
        <f t="shared" si="23"/>
        <v>0</v>
      </c>
      <c r="T179" s="361">
        <f t="shared" si="24"/>
        <v>0.10555555555555554</v>
      </c>
      <c r="U179" s="362">
        <v>0</v>
      </c>
      <c r="V179" s="362">
        <f t="shared" si="27"/>
        <v>29252</v>
      </c>
      <c r="W179" s="362">
        <f t="shared" si="25"/>
        <v>29252</v>
      </c>
      <c r="X179" s="742">
        <f t="shared" si="28"/>
        <v>0</v>
      </c>
    </row>
    <row r="180" spans="1:24" ht="13.9">
      <c r="A180" s="349">
        <f t="shared" si="26"/>
        <v>172</v>
      </c>
      <c r="B180" s="350" t="s">
        <v>935</v>
      </c>
      <c r="C180" s="350" t="s">
        <v>1458</v>
      </c>
      <c r="D180" s="350" t="s">
        <v>1645</v>
      </c>
      <c r="E180" s="350" t="s">
        <v>1658</v>
      </c>
      <c r="F180" s="350" t="s">
        <v>1661</v>
      </c>
      <c r="G180" s="366">
        <v>40543</v>
      </c>
      <c r="H180" s="352">
        <v>274515</v>
      </c>
      <c r="I180" s="353" t="s">
        <v>1379</v>
      </c>
      <c r="J180" s="353" t="s">
        <v>1379</v>
      </c>
      <c r="K180" s="354">
        <f t="shared" si="20"/>
        <v>274515</v>
      </c>
      <c r="L180" s="363">
        <v>40551</v>
      </c>
      <c r="M180" s="742">
        <v>260789</v>
      </c>
      <c r="N180" s="352">
        <f t="shared" si="29"/>
        <v>13726</v>
      </c>
      <c r="O180" s="357">
        <f t="shared" si="21"/>
        <v>4832</v>
      </c>
      <c r="P180" s="357">
        <v>9</v>
      </c>
      <c r="Q180" s="358">
        <v>9</v>
      </c>
      <c r="R180" s="359">
        <f t="shared" si="22"/>
        <v>0</v>
      </c>
      <c r="S180" s="360">
        <f t="shared" si="23"/>
        <v>0</v>
      </c>
      <c r="T180" s="361">
        <f t="shared" si="24"/>
        <v>0.10555555555555554</v>
      </c>
      <c r="U180" s="362">
        <v>0</v>
      </c>
      <c r="V180" s="362">
        <f t="shared" si="27"/>
        <v>13726</v>
      </c>
      <c r="W180" s="362">
        <f t="shared" si="25"/>
        <v>13726</v>
      </c>
      <c r="X180" s="742">
        <f t="shared" si="28"/>
        <v>0</v>
      </c>
    </row>
    <row r="181" spans="1:24" ht="13.9">
      <c r="A181" s="349">
        <f t="shared" si="26"/>
        <v>173</v>
      </c>
      <c r="B181" s="350" t="s">
        <v>935</v>
      </c>
      <c r="C181" s="350" t="s">
        <v>1458</v>
      </c>
      <c r="D181" s="350" t="s">
        <v>1645</v>
      </c>
      <c r="E181" s="350" t="s">
        <v>1658</v>
      </c>
      <c r="F181" s="350" t="s">
        <v>1662</v>
      </c>
      <c r="G181" s="366">
        <v>40543</v>
      </c>
      <c r="H181" s="352">
        <v>1115485</v>
      </c>
      <c r="I181" s="353" t="s">
        <v>1379</v>
      </c>
      <c r="J181" s="353" t="s">
        <v>1379</v>
      </c>
      <c r="K181" s="354">
        <f t="shared" si="20"/>
        <v>1115485</v>
      </c>
      <c r="L181" s="363">
        <v>40551</v>
      </c>
      <c r="M181" s="742">
        <v>1059711</v>
      </c>
      <c r="N181" s="352">
        <f t="shared" si="29"/>
        <v>55774</v>
      </c>
      <c r="O181" s="357">
        <f t="shared" si="21"/>
        <v>4832</v>
      </c>
      <c r="P181" s="357">
        <v>9</v>
      </c>
      <c r="Q181" s="358">
        <v>9</v>
      </c>
      <c r="R181" s="359">
        <f t="shared" si="22"/>
        <v>0</v>
      </c>
      <c r="S181" s="360">
        <f t="shared" si="23"/>
        <v>0</v>
      </c>
      <c r="T181" s="361">
        <f t="shared" si="24"/>
        <v>0.10555555555555554</v>
      </c>
      <c r="U181" s="362">
        <v>0</v>
      </c>
      <c r="V181" s="362">
        <f t="shared" si="27"/>
        <v>55774</v>
      </c>
      <c r="W181" s="362">
        <f t="shared" si="25"/>
        <v>55774</v>
      </c>
      <c r="X181" s="742">
        <f t="shared" si="28"/>
        <v>0</v>
      </c>
    </row>
    <row r="182" spans="1:24" ht="13.9">
      <c r="A182" s="349">
        <f t="shared" si="26"/>
        <v>174</v>
      </c>
      <c r="B182" s="350" t="s">
        <v>323</v>
      </c>
      <c r="C182" s="350" t="s">
        <v>1458</v>
      </c>
      <c r="D182" s="350" t="s">
        <v>1645</v>
      </c>
      <c r="E182" s="350" t="s">
        <v>1663</v>
      </c>
      <c r="F182" s="350" t="s">
        <v>1664</v>
      </c>
      <c r="G182" s="366">
        <v>40274</v>
      </c>
      <c r="H182" s="352">
        <v>2418879</v>
      </c>
      <c r="I182" s="353" t="s">
        <v>1379</v>
      </c>
      <c r="J182" s="353" t="s">
        <v>1379</v>
      </c>
      <c r="K182" s="354">
        <f t="shared" si="20"/>
        <v>2418879</v>
      </c>
      <c r="L182" s="363">
        <v>40274</v>
      </c>
      <c r="M182" s="742">
        <v>2297935</v>
      </c>
      <c r="N182" s="352">
        <f t="shared" si="29"/>
        <v>120944</v>
      </c>
      <c r="O182" s="357">
        <f t="shared" si="21"/>
        <v>5109</v>
      </c>
      <c r="P182" s="357">
        <v>9</v>
      </c>
      <c r="Q182" s="358">
        <v>9</v>
      </c>
      <c r="R182" s="359">
        <f t="shared" si="22"/>
        <v>0</v>
      </c>
      <c r="S182" s="360">
        <f t="shared" si="23"/>
        <v>0</v>
      </c>
      <c r="T182" s="361">
        <f t="shared" si="24"/>
        <v>0.10555555555555554</v>
      </c>
      <c r="U182" s="362">
        <v>0</v>
      </c>
      <c r="V182" s="362">
        <f t="shared" si="27"/>
        <v>120944</v>
      </c>
      <c r="W182" s="362">
        <f t="shared" si="25"/>
        <v>120944</v>
      </c>
      <c r="X182" s="742">
        <f t="shared" si="28"/>
        <v>0</v>
      </c>
    </row>
    <row r="183" spans="1:24" ht="13.9">
      <c r="A183" s="349">
        <f t="shared" si="26"/>
        <v>175</v>
      </c>
      <c r="B183" s="350" t="s">
        <v>323</v>
      </c>
      <c r="C183" s="350" t="s">
        <v>1458</v>
      </c>
      <c r="D183" s="350" t="s">
        <v>1645</v>
      </c>
      <c r="E183" s="350" t="s">
        <v>1482</v>
      </c>
      <c r="F183" s="350" t="s">
        <v>1665</v>
      </c>
      <c r="G183" s="366">
        <v>40407</v>
      </c>
      <c r="H183" s="352">
        <v>1326000</v>
      </c>
      <c r="I183" s="353" t="s">
        <v>1379</v>
      </c>
      <c r="J183" s="353" t="s">
        <v>1379</v>
      </c>
      <c r="K183" s="354">
        <f t="shared" si="20"/>
        <v>1326000</v>
      </c>
      <c r="L183" s="363">
        <v>40407</v>
      </c>
      <c r="M183" s="742">
        <v>1259700</v>
      </c>
      <c r="N183" s="352">
        <f t="shared" si="29"/>
        <v>66300</v>
      </c>
      <c r="O183" s="357">
        <f t="shared" si="21"/>
        <v>4976</v>
      </c>
      <c r="P183" s="357">
        <v>9</v>
      </c>
      <c r="Q183" s="358">
        <v>9</v>
      </c>
      <c r="R183" s="359">
        <f t="shared" si="22"/>
        <v>0</v>
      </c>
      <c r="S183" s="360">
        <f t="shared" si="23"/>
        <v>0</v>
      </c>
      <c r="T183" s="361">
        <f t="shared" si="24"/>
        <v>0.10555555555555554</v>
      </c>
      <c r="U183" s="362">
        <v>0</v>
      </c>
      <c r="V183" s="362">
        <f t="shared" si="27"/>
        <v>66300</v>
      </c>
      <c r="W183" s="362">
        <f t="shared" si="25"/>
        <v>66300</v>
      </c>
      <c r="X183" s="742">
        <f t="shared" si="28"/>
        <v>0</v>
      </c>
    </row>
    <row r="184" spans="1:24" ht="13.9">
      <c r="A184" s="349">
        <f t="shared" si="26"/>
        <v>176</v>
      </c>
      <c r="B184" s="350" t="s">
        <v>323</v>
      </c>
      <c r="C184" s="350" t="s">
        <v>1458</v>
      </c>
      <c r="D184" s="350" t="s">
        <v>1645</v>
      </c>
      <c r="E184" s="350" t="s">
        <v>1482</v>
      </c>
      <c r="F184" s="350" t="s">
        <v>1666</v>
      </c>
      <c r="G184" s="366">
        <v>40407</v>
      </c>
      <c r="H184" s="352">
        <v>1632000</v>
      </c>
      <c r="I184" s="353" t="s">
        <v>1379</v>
      </c>
      <c r="J184" s="353" t="s">
        <v>1379</v>
      </c>
      <c r="K184" s="354">
        <f t="shared" si="20"/>
        <v>1632000</v>
      </c>
      <c r="L184" s="363">
        <v>40407</v>
      </c>
      <c r="M184" s="742">
        <v>1550400</v>
      </c>
      <c r="N184" s="352">
        <f t="shared" si="29"/>
        <v>81600</v>
      </c>
      <c r="O184" s="357">
        <f t="shared" si="21"/>
        <v>4976</v>
      </c>
      <c r="P184" s="357">
        <v>9</v>
      </c>
      <c r="Q184" s="358">
        <v>9</v>
      </c>
      <c r="R184" s="359">
        <f t="shared" si="22"/>
        <v>0</v>
      </c>
      <c r="S184" s="360">
        <f t="shared" si="23"/>
        <v>0</v>
      </c>
      <c r="T184" s="361">
        <f t="shared" si="24"/>
        <v>0.10555555555555554</v>
      </c>
      <c r="U184" s="362">
        <v>0</v>
      </c>
      <c r="V184" s="362">
        <f t="shared" si="27"/>
        <v>81600</v>
      </c>
      <c r="W184" s="362">
        <f t="shared" si="25"/>
        <v>81600</v>
      </c>
      <c r="X184" s="742">
        <f t="shared" si="28"/>
        <v>0</v>
      </c>
    </row>
    <row r="185" spans="1:24" ht="13.9">
      <c r="A185" s="349">
        <f t="shared" si="26"/>
        <v>177</v>
      </c>
      <c r="B185" s="350" t="s">
        <v>323</v>
      </c>
      <c r="C185" s="350" t="s">
        <v>1458</v>
      </c>
      <c r="D185" s="350" t="s">
        <v>1645</v>
      </c>
      <c r="E185" s="350" t="s">
        <v>1482</v>
      </c>
      <c r="F185" s="350" t="s">
        <v>1667</v>
      </c>
      <c r="G185" s="366"/>
      <c r="H185" s="352">
        <v>4500000</v>
      </c>
      <c r="I185" s="353" t="s">
        <v>1379</v>
      </c>
      <c r="J185" s="353" t="s">
        <v>1379</v>
      </c>
      <c r="K185" s="354">
        <f t="shared" si="20"/>
        <v>4500000</v>
      </c>
      <c r="L185" s="363">
        <v>40617</v>
      </c>
      <c r="M185" s="742">
        <v>4275000</v>
      </c>
      <c r="N185" s="352">
        <f t="shared" si="29"/>
        <v>225000</v>
      </c>
      <c r="O185" s="357">
        <f t="shared" si="21"/>
        <v>4766</v>
      </c>
      <c r="P185" s="357">
        <v>9</v>
      </c>
      <c r="Q185" s="358">
        <v>9</v>
      </c>
      <c r="R185" s="359">
        <f t="shared" si="22"/>
        <v>0</v>
      </c>
      <c r="S185" s="360">
        <f t="shared" si="23"/>
        <v>0</v>
      </c>
      <c r="T185" s="361">
        <f t="shared" si="24"/>
        <v>0.10555555555555554</v>
      </c>
      <c r="U185" s="362">
        <v>0</v>
      </c>
      <c r="V185" s="362">
        <f t="shared" si="27"/>
        <v>225000</v>
      </c>
      <c r="W185" s="362">
        <f t="shared" si="25"/>
        <v>225000</v>
      </c>
      <c r="X185" s="742">
        <f t="shared" si="28"/>
        <v>0</v>
      </c>
    </row>
    <row r="186" spans="1:24" ht="13.9">
      <c r="A186" s="349">
        <f t="shared" si="26"/>
        <v>178</v>
      </c>
      <c r="B186" s="350" t="s">
        <v>1411</v>
      </c>
      <c r="C186" s="350" t="s">
        <v>1481</v>
      </c>
      <c r="D186" s="350" t="s">
        <v>1645</v>
      </c>
      <c r="E186" s="350" t="s">
        <v>1628</v>
      </c>
      <c r="F186" s="350" t="s">
        <v>1668</v>
      </c>
      <c r="G186" s="366">
        <v>40500</v>
      </c>
      <c r="H186" s="352">
        <v>14400</v>
      </c>
      <c r="I186" s="353" t="s">
        <v>1379</v>
      </c>
      <c r="J186" s="353" t="s">
        <v>1379</v>
      </c>
      <c r="K186" s="354">
        <f t="shared" si="20"/>
        <v>14400</v>
      </c>
      <c r="L186" s="363">
        <v>40513</v>
      </c>
      <c r="M186" s="742">
        <v>13680</v>
      </c>
      <c r="N186" s="352">
        <f t="shared" si="29"/>
        <v>720</v>
      </c>
      <c r="O186" s="357">
        <f t="shared" si="21"/>
        <v>4870</v>
      </c>
      <c r="P186" s="357">
        <v>9</v>
      </c>
      <c r="Q186" s="358">
        <v>9</v>
      </c>
      <c r="R186" s="359">
        <f t="shared" si="22"/>
        <v>0</v>
      </c>
      <c r="S186" s="360">
        <f t="shared" si="23"/>
        <v>0</v>
      </c>
      <c r="T186" s="361">
        <f t="shared" si="24"/>
        <v>0.10555555555555554</v>
      </c>
      <c r="U186" s="362">
        <v>0</v>
      </c>
      <c r="V186" s="362">
        <f t="shared" si="27"/>
        <v>720</v>
      </c>
      <c r="W186" s="362">
        <f t="shared" si="25"/>
        <v>720</v>
      </c>
      <c r="X186" s="742">
        <f t="shared" si="28"/>
        <v>0</v>
      </c>
    </row>
    <row r="187" spans="1:24" ht="13.9">
      <c r="A187" s="349">
        <f t="shared" si="26"/>
        <v>179</v>
      </c>
      <c r="B187" s="350" t="s">
        <v>1411</v>
      </c>
      <c r="C187" s="350" t="s">
        <v>1669</v>
      </c>
      <c r="D187" s="350" t="s">
        <v>1645</v>
      </c>
      <c r="E187" s="350" t="s">
        <v>1628</v>
      </c>
      <c r="F187" s="350" t="s">
        <v>1670</v>
      </c>
      <c r="G187" s="366">
        <v>40500</v>
      </c>
      <c r="H187" s="352">
        <v>14400</v>
      </c>
      <c r="I187" s="353" t="s">
        <v>1379</v>
      </c>
      <c r="J187" s="353" t="s">
        <v>1379</v>
      </c>
      <c r="K187" s="354">
        <f t="shared" si="20"/>
        <v>14400</v>
      </c>
      <c r="L187" s="363">
        <v>40513</v>
      </c>
      <c r="M187" s="742">
        <v>13680</v>
      </c>
      <c r="N187" s="352">
        <f t="shared" si="29"/>
        <v>720</v>
      </c>
      <c r="O187" s="357">
        <f t="shared" si="21"/>
        <v>4870</v>
      </c>
      <c r="P187" s="357">
        <v>9</v>
      </c>
      <c r="Q187" s="358">
        <v>9</v>
      </c>
      <c r="R187" s="359">
        <f t="shared" si="22"/>
        <v>0</v>
      </c>
      <c r="S187" s="360">
        <f t="shared" si="23"/>
        <v>0</v>
      </c>
      <c r="T187" s="361">
        <f t="shared" si="24"/>
        <v>0.10555555555555554</v>
      </c>
      <c r="U187" s="362">
        <v>0</v>
      </c>
      <c r="V187" s="362">
        <f t="shared" si="27"/>
        <v>720</v>
      </c>
      <c r="W187" s="362">
        <f t="shared" si="25"/>
        <v>720</v>
      </c>
      <c r="X187" s="742">
        <f t="shared" si="28"/>
        <v>0</v>
      </c>
    </row>
    <row r="188" spans="1:24" ht="13.9">
      <c r="A188" s="349">
        <f t="shared" si="26"/>
        <v>180</v>
      </c>
      <c r="B188" s="350" t="s">
        <v>1411</v>
      </c>
      <c r="C188" s="350" t="s">
        <v>1481</v>
      </c>
      <c r="D188" s="350" t="s">
        <v>1645</v>
      </c>
      <c r="E188" s="350" t="s">
        <v>1604</v>
      </c>
      <c r="F188" s="350" t="s">
        <v>1671</v>
      </c>
      <c r="G188" s="366"/>
      <c r="H188" s="352">
        <v>15120</v>
      </c>
      <c r="I188" s="353" t="s">
        <v>1379</v>
      </c>
      <c r="J188" s="353" t="s">
        <v>1379</v>
      </c>
      <c r="K188" s="354">
        <f t="shared" si="20"/>
        <v>15120</v>
      </c>
      <c r="L188" s="363">
        <v>40574</v>
      </c>
      <c r="M188" s="742">
        <v>14364</v>
      </c>
      <c r="N188" s="352">
        <f t="shared" si="29"/>
        <v>756</v>
      </c>
      <c r="O188" s="357">
        <f t="shared" si="21"/>
        <v>4809</v>
      </c>
      <c r="P188" s="357">
        <v>9</v>
      </c>
      <c r="Q188" s="358">
        <v>9</v>
      </c>
      <c r="R188" s="359">
        <f t="shared" si="22"/>
        <v>0</v>
      </c>
      <c r="S188" s="360">
        <f t="shared" si="23"/>
        <v>0</v>
      </c>
      <c r="T188" s="361">
        <f t="shared" si="24"/>
        <v>0.10555555555555554</v>
      </c>
      <c r="U188" s="362">
        <v>0</v>
      </c>
      <c r="V188" s="362">
        <f t="shared" si="27"/>
        <v>756</v>
      </c>
      <c r="W188" s="362">
        <f t="shared" si="25"/>
        <v>756</v>
      </c>
      <c r="X188" s="742">
        <f t="shared" si="28"/>
        <v>0</v>
      </c>
    </row>
    <row r="189" spans="1:24" ht="13.9">
      <c r="A189" s="349">
        <f t="shared" si="26"/>
        <v>181</v>
      </c>
      <c r="B189" s="350" t="s">
        <v>1672</v>
      </c>
      <c r="C189" s="350" t="s">
        <v>1673</v>
      </c>
      <c r="D189" s="350" t="s">
        <v>1645</v>
      </c>
      <c r="E189" s="350" t="s">
        <v>1674</v>
      </c>
      <c r="F189" s="350" t="s">
        <v>1675</v>
      </c>
      <c r="G189" s="366">
        <v>40585</v>
      </c>
      <c r="H189" s="352">
        <v>1335693</v>
      </c>
      <c r="I189" s="353" t="s">
        <v>1379</v>
      </c>
      <c r="J189" s="353" t="s">
        <v>1379</v>
      </c>
      <c r="K189" s="354">
        <f t="shared" si="20"/>
        <v>1335693</v>
      </c>
      <c r="L189" s="363">
        <v>40611</v>
      </c>
      <c r="M189" s="742">
        <v>1268908</v>
      </c>
      <c r="N189" s="352">
        <f t="shared" si="29"/>
        <v>66785</v>
      </c>
      <c r="O189" s="357">
        <f t="shared" si="21"/>
        <v>4772</v>
      </c>
      <c r="P189" s="357">
        <v>9</v>
      </c>
      <c r="Q189" s="358">
        <v>9</v>
      </c>
      <c r="R189" s="359">
        <f t="shared" si="22"/>
        <v>0</v>
      </c>
      <c r="S189" s="360">
        <f t="shared" si="23"/>
        <v>0</v>
      </c>
      <c r="T189" s="361">
        <f t="shared" si="24"/>
        <v>0.10555555555555554</v>
      </c>
      <c r="U189" s="362">
        <v>0</v>
      </c>
      <c r="V189" s="362">
        <f t="shared" si="27"/>
        <v>66785</v>
      </c>
      <c r="W189" s="362">
        <f t="shared" si="25"/>
        <v>66785</v>
      </c>
      <c r="X189" s="742">
        <f t="shared" si="28"/>
        <v>0</v>
      </c>
    </row>
    <row r="190" spans="1:24" ht="13.9">
      <c r="A190" s="349">
        <f t="shared" si="26"/>
        <v>182</v>
      </c>
      <c r="B190" s="350" t="s">
        <v>1430</v>
      </c>
      <c r="C190" s="350"/>
      <c r="D190" s="350" t="s">
        <v>1645</v>
      </c>
      <c r="E190" s="350" t="s">
        <v>1639</v>
      </c>
      <c r="F190" s="350" t="s">
        <v>1676</v>
      </c>
      <c r="G190" s="366">
        <v>40421</v>
      </c>
      <c r="H190" s="352">
        <v>465920</v>
      </c>
      <c r="I190" s="353" t="s">
        <v>1379</v>
      </c>
      <c r="J190" s="353" t="s">
        <v>1379</v>
      </c>
      <c r="K190" s="354">
        <f t="shared" si="20"/>
        <v>465920</v>
      </c>
      <c r="L190" s="363">
        <v>40450</v>
      </c>
      <c r="M190" s="742">
        <v>442624</v>
      </c>
      <c r="N190" s="352">
        <f t="shared" si="29"/>
        <v>23296</v>
      </c>
      <c r="O190" s="357">
        <f t="shared" si="21"/>
        <v>4933</v>
      </c>
      <c r="P190" s="357">
        <v>9</v>
      </c>
      <c r="Q190" s="358">
        <v>9</v>
      </c>
      <c r="R190" s="359">
        <f t="shared" si="22"/>
        <v>0</v>
      </c>
      <c r="S190" s="360">
        <f t="shared" si="23"/>
        <v>0</v>
      </c>
      <c r="T190" s="361">
        <f t="shared" si="24"/>
        <v>0.10555555555555554</v>
      </c>
      <c r="U190" s="362">
        <v>0</v>
      </c>
      <c r="V190" s="362">
        <f t="shared" si="27"/>
        <v>23296</v>
      </c>
      <c r="W190" s="362">
        <f t="shared" si="25"/>
        <v>23296</v>
      </c>
      <c r="X190" s="742">
        <f t="shared" si="28"/>
        <v>0</v>
      </c>
    </row>
    <row r="191" spans="1:24" ht="13.9">
      <c r="A191" s="349">
        <f t="shared" si="26"/>
        <v>183</v>
      </c>
      <c r="B191" s="350" t="s">
        <v>1677</v>
      </c>
      <c r="C191" s="350"/>
      <c r="D191" s="350" t="s">
        <v>1645</v>
      </c>
      <c r="E191" s="350" t="s">
        <v>1428</v>
      </c>
      <c r="F191" s="350" t="s">
        <v>1678</v>
      </c>
      <c r="G191" s="366">
        <v>40358</v>
      </c>
      <c r="H191" s="352">
        <v>8312000</v>
      </c>
      <c r="I191" s="353" t="s">
        <v>1379</v>
      </c>
      <c r="J191" s="353" t="s">
        <v>1379</v>
      </c>
      <c r="K191" s="354">
        <f t="shared" si="20"/>
        <v>8312000</v>
      </c>
      <c r="L191" s="363">
        <v>40362</v>
      </c>
      <c r="M191" s="742">
        <v>7896400</v>
      </c>
      <c r="N191" s="352">
        <f t="shared" si="29"/>
        <v>415600</v>
      </c>
      <c r="O191" s="357">
        <f t="shared" si="21"/>
        <v>5021</v>
      </c>
      <c r="P191" s="357">
        <v>9</v>
      </c>
      <c r="Q191" s="358">
        <v>9</v>
      </c>
      <c r="R191" s="359">
        <f t="shared" si="22"/>
        <v>0</v>
      </c>
      <c r="S191" s="360">
        <f t="shared" si="23"/>
        <v>0</v>
      </c>
      <c r="T191" s="361">
        <f t="shared" si="24"/>
        <v>0.10555555555555554</v>
      </c>
      <c r="U191" s="362">
        <v>0</v>
      </c>
      <c r="V191" s="362">
        <f t="shared" si="27"/>
        <v>415600</v>
      </c>
      <c r="W191" s="362">
        <f t="shared" si="25"/>
        <v>415600</v>
      </c>
      <c r="X191" s="742">
        <f t="shared" si="28"/>
        <v>0</v>
      </c>
    </row>
    <row r="192" spans="1:24" ht="13.9">
      <c r="A192" s="349">
        <f t="shared" si="26"/>
        <v>184</v>
      </c>
      <c r="B192" s="350" t="s">
        <v>1679</v>
      </c>
      <c r="C192" s="350"/>
      <c r="D192" s="350" t="s">
        <v>1645</v>
      </c>
      <c r="E192" s="350" t="s">
        <v>1428</v>
      </c>
      <c r="F192" s="350" t="s">
        <v>1680</v>
      </c>
      <c r="G192" s="366" t="s">
        <v>1681</v>
      </c>
      <c r="H192" s="352">
        <v>2014600</v>
      </c>
      <c r="I192" s="353" t="s">
        <v>1379</v>
      </c>
      <c r="J192" s="353" t="s">
        <v>1379</v>
      </c>
      <c r="K192" s="354">
        <f t="shared" si="20"/>
        <v>2014600</v>
      </c>
      <c r="L192" s="363">
        <v>40414</v>
      </c>
      <c r="M192" s="742">
        <v>1913870</v>
      </c>
      <c r="N192" s="352">
        <f t="shared" si="29"/>
        <v>100730</v>
      </c>
      <c r="O192" s="357">
        <f t="shared" si="21"/>
        <v>4969</v>
      </c>
      <c r="P192" s="357">
        <v>9</v>
      </c>
      <c r="Q192" s="358">
        <v>9</v>
      </c>
      <c r="R192" s="359">
        <f t="shared" si="22"/>
        <v>0</v>
      </c>
      <c r="S192" s="360">
        <f t="shared" si="23"/>
        <v>0</v>
      </c>
      <c r="T192" s="361">
        <f t="shared" si="24"/>
        <v>0.10555555555555554</v>
      </c>
      <c r="U192" s="362">
        <v>0</v>
      </c>
      <c r="V192" s="362">
        <f t="shared" si="27"/>
        <v>100730</v>
      </c>
      <c r="W192" s="362">
        <f t="shared" si="25"/>
        <v>100730</v>
      </c>
      <c r="X192" s="742">
        <f t="shared" si="28"/>
        <v>0</v>
      </c>
    </row>
    <row r="193" spans="1:24" ht="13.9">
      <c r="A193" s="349">
        <f t="shared" si="26"/>
        <v>185</v>
      </c>
      <c r="B193" s="350" t="s">
        <v>1679</v>
      </c>
      <c r="C193" s="350"/>
      <c r="D193" s="350" t="s">
        <v>1645</v>
      </c>
      <c r="E193" s="350" t="s">
        <v>1428</v>
      </c>
      <c r="F193" s="350" t="s">
        <v>1682</v>
      </c>
      <c r="G193" s="366">
        <v>40480</v>
      </c>
      <c r="H193" s="352">
        <v>1173000</v>
      </c>
      <c r="I193" s="353" t="s">
        <v>1379</v>
      </c>
      <c r="J193" s="353" t="s">
        <v>1379</v>
      </c>
      <c r="K193" s="354">
        <f t="shared" si="20"/>
        <v>1173000</v>
      </c>
      <c r="L193" s="363">
        <v>40480</v>
      </c>
      <c r="M193" s="742">
        <v>1114350</v>
      </c>
      <c r="N193" s="352">
        <f t="shared" si="29"/>
        <v>58650</v>
      </c>
      <c r="O193" s="357">
        <f t="shared" si="21"/>
        <v>4903</v>
      </c>
      <c r="P193" s="357">
        <v>9</v>
      </c>
      <c r="Q193" s="358">
        <v>9</v>
      </c>
      <c r="R193" s="359">
        <f t="shared" si="22"/>
        <v>0</v>
      </c>
      <c r="S193" s="360">
        <f t="shared" si="23"/>
        <v>0</v>
      </c>
      <c r="T193" s="361">
        <f t="shared" si="24"/>
        <v>0.10555555555555554</v>
      </c>
      <c r="U193" s="362">
        <v>0</v>
      </c>
      <c r="V193" s="362">
        <f t="shared" si="27"/>
        <v>58650</v>
      </c>
      <c r="W193" s="362">
        <f t="shared" si="25"/>
        <v>58650</v>
      </c>
      <c r="X193" s="742">
        <f t="shared" si="28"/>
        <v>0</v>
      </c>
    </row>
    <row r="194" spans="1:24" ht="13.9">
      <c r="A194" s="349">
        <f t="shared" si="26"/>
        <v>186</v>
      </c>
      <c r="B194" s="350" t="s">
        <v>1683</v>
      </c>
      <c r="C194" s="350" t="s">
        <v>1108</v>
      </c>
      <c r="D194" s="350" t="s">
        <v>1645</v>
      </c>
      <c r="E194" s="350" t="s">
        <v>414</v>
      </c>
      <c r="F194" s="350"/>
      <c r="G194" s="366"/>
      <c r="H194" s="352">
        <v>18011</v>
      </c>
      <c r="I194" s="353" t="s">
        <v>1379</v>
      </c>
      <c r="J194" s="353" t="s">
        <v>1379</v>
      </c>
      <c r="K194" s="354">
        <f t="shared" si="20"/>
        <v>18011</v>
      </c>
      <c r="L194" s="363">
        <v>40618</v>
      </c>
      <c r="M194" s="742">
        <v>17110</v>
      </c>
      <c r="N194" s="352">
        <f t="shared" si="29"/>
        <v>901</v>
      </c>
      <c r="O194" s="357">
        <f t="shared" si="21"/>
        <v>4765</v>
      </c>
      <c r="P194" s="357">
        <v>9</v>
      </c>
      <c r="Q194" s="358">
        <v>9</v>
      </c>
      <c r="R194" s="359">
        <f t="shared" si="22"/>
        <v>0</v>
      </c>
      <c r="S194" s="360">
        <f t="shared" si="23"/>
        <v>0</v>
      </c>
      <c r="T194" s="361">
        <f t="shared" si="24"/>
        <v>0.10555555555555554</v>
      </c>
      <c r="U194" s="362">
        <v>0</v>
      </c>
      <c r="V194" s="362">
        <f t="shared" si="27"/>
        <v>901</v>
      </c>
      <c r="W194" s="362">
        <f t="shared" si="25"/>
        <v>901</v>
      </c>
      <c r="X194" s="742">
        <f t="shared" si="28"/>
        <v>0</v>
      </c>
    </row>
    <row r="195" spans="1:24" ht="13.9">
      <c r="A195" s="349">
        <f t="shared" si="26"/>
        <v>187</v>
      </c>
      <c r="B195" s="350" t="s">
        <v>69</v>
      </c>
      <c r="C195" s="350" t="s">
        <v>1458</v>
      </c>
      <c r="D195" s="350" t="s">
        <v>1645</v>
      </c>
      <c r="E195" s="350" t="s">
        <v>1684</v>
      </c>
      <c r="F195" s="350" t="s">
        <v>1685</v>
      </c>
      <c r="G195" s="366">
        <v>40456</v>
      </c>
      <c r="H195" s="352">
        <v>1439963</v>
      </c>
      <c r="I195" s="353" t="s">
        <v>1379</v>
      </c>
      <c r="J195" s="353" t="s">
        <v>1379</v>
      </c>
      <c r="K195" s="354">
        <f t="shared" si="20"/>
        <v>1439963</v>
      </c>
      <c r="L195" s="363">
        <v>40467</v>
      </c>
      <c r="M195" s="742">
        <v>1367965</v>
      </c>
      <c r="N195" s="352">
        <f t="shared" si="29"/>
        <v>71998</v>
      </c>
      <c r="O195" s="357">
        <f t="shared" si="21"/>
        <v>4916</v>
      </c>
      <c r="P195" s="357">
        <v>9</v>
      </c>
      <c r="Q195" s="358">
        <v>9</v>
      </c>
      <c r="R195" s="359">
        <f t="shared" si="22"/>
        <v>0</v>
      </c>
      <c r="S195" s="360">
        <f t="shared" si="23"/>
        <v>0</v>
      </c>
      <c r="T195" s="361">
        <f t="shared" si="24"/>
        <v>0.10555555555555554</v>
      </c>
      <c r="U195" s="362">
        <v>0</v>
      </c>
      <c r="V195" s="362">
        <f t="shared" si="27"/>
        <v>71998</v>
      </c>
      <c r="W195" s="362">
        <f t="shared" si="25"/>
        <v>71998</v>
      </c>
      <c r="X195" s="742">
        <f t="shared" si="28"/>
        <v>0</v>
      </c>
    </row>
    <row r="196" spans="1:24" ht="13.9">
      <c r="A196" s="349">
        <f t="shared" si="26"/>
        <v>188</v>
      </c>
      <c r="B196" s="350" t="s">
        <v>1686</v>
      </c>
      <c r="C196" s="350" t="s">
        <v>1458</v>
      </c>
      <c r="D196" s="350" t="s">
        <v>1645</v>
      </c>
      <c r="E196" s="350" t="s">
        <v>1687</v>
      </c>
      <c r="F196" s="350" t="s">
        <v>1688</v>
      </c>
      <c r="G196" s="366">
        <v>40462</v>
      </c>
      <c r="H196" s="352">
        <v>1445702</v>
      </c>
      <c r="I196" s="353" t="s">
        <v>1379</v>
      </c>
      <c r="J196" s="353" t="s">
        <v>1379</v>
      </c>
      <c r="K196" s="354">
        <f t="shared" si="20"/>
        <v>1445702</v>
      </c>
      <c r="L196" s="363">
        <v>40467</v>
      </c>
      <c r="M196" s="742">
        <v>1373417</v>
      </c>
      <c r="N196" s="352">
        <f t="shared" si="29"/>
        <v>72285</v>
      </c>
      <c r="O196" s="357">
        <f t="shared" si="21"/>
        <v>4916</v>
      </c>
      <c r="P196" s="357">
        <v>9</v>
      </c>
      <c r="Q196" s="358">
        <v>9</v>
      </c>
      <c r="R196" s="359">
        <f t="shared" si="22"/>
        <v>0</v>
      </c>
      <c r="S196" s="360">
        <f t="shared" si="23"/>
        <v>0</v>
      </c>
      <c r="T196" s="361">
        <f t="shared" si="24"/>
        <v>0.10555555555555554</v>
      </c>
      <c r="U196" s="362">
        <v>0</v>
      </c>
      <c r="V196" s="362">
        <f t="shared" si="27"/>
        <v>72285</v>
      </c>
      <c r="W196" s="362">
        <f t="shared" si="25"/>
        <v>72285</v>
      </c>
      <c r="X196" s="742">
        <f t="shared" si="28"/>
        <v>0</v>
      </c>
    </row>
    <row r="197" spans="1:24" ht="13.9">
      <c r="A197" s="349">
        <f t="shared" si="26"/>
        <v>189</v>
      </c>
      <c r="B197" s="350" t="s">
        <v>1689</v>
      </c>
      <c r="C197" s="350" t="s">
        <v>1108</v>
      </c>
      <c r="D197" s="350" t="s">
        <v>1645</v>
      </c>
      <c r="E197" s="350" t="s">
        <v>1570</v>
      </c>
      <c r="F197" s="350" t="s">
        <v>1690</v>
      </c>
      <c r="G197" s="366"/>
      <c r="H197" s="352">
        <v>58500</v>
      </c>
      <c r="I197" s="353" t="s">
        <v>1379</v>
      </c>
      <c r="J197" s="353" t="s">
        <v>1379</v>
      </c>
      <c r="K197" s="354">
        <f t="shared" si="20"/>
        <v>58500</v>
      </c>
      <c r="L197" s="363">
        <v>40574</v>
      </c>
      <c r="M197" s="742">
        <v>55575</v>
      </c>
      <c r="N197" s="352">
        <f t="shared" si="29"/>
        <v>2925</v>
      </c>
      <c r="O197" s="357">
        <f t="shared" si="21"/>
        <v>4809</v>
      </c>
      <c r="P197" s="357">
        <v>9</v>
      </c>
      <c r="Q197" s="358">
        <v>9</v>
      </c>
      <c r="R197" s="359">
        <f t="shared" si="22"/>
        <v>0</v>
      </c>
      <c r="S197" s="360">
        <f t="shared" si="23"/>
        <v>0</v>
      </c>
      <c r="T197" s="361">
        <f t="shared" si="24"/>
        <v>0.10555555555555554</v>
      </c>
      <c r="U197" s="362">
        <v>0</v>
      </c>
      <c r="V197" s="362">
        <f t="shared" si="27"/>
        <v>2925</v>
      </c>
      <c r="W197" s="362">
        <f t="shared" si="25"/>
        <v>2925</v>
      </c>
      <c r="X197" s="742">
        <f t="shared" si="28"/>
        <v>0</v>
      </c>
    </row>
    <row r="198" spans="1:24" ht="13.9">
      <c r="A198" s="349">
        <f t="shared" si="26"/>
        <v>190</v>
      </c>
      <c r="B198" s="350" t="s">
        <v>307</v>
      </c>
      <c r="C198" s="350"/>
      <c r="D198" s="350" t="s">
        <v>1645</v>
      </c>
      <c r="E198" s="350"/>
      <c r="F198" s="350"/>
      <c r="G198" s="366"/>
      <c r="H198" s="352">
        <v>10586449</v>
      </c>
      <c r="I198" s="353" t="s">
        <v>1379</v>
      </c>
      <c r="J198" s="353" t="s">
        <v>1379</v>
      </c>
      <c r="K198" s="354">
        <f t="shared" si="20"/>
        <v>10586449</v>
      </c>
      <c r="L198" s="363">
        <v>40520</v>
      </c>
      <c r="M198" s="742">
        <v>10057127</v>
      </c>
      <c r="N198" s="352">
        <f t="shared" si="29"/>
        <v>529322</v>
      </c>
      <c r="O198" s="357">
        <f t="shared" si="21"/>
        <v>4863</v>
      </c>
      <c r="P198" s="357">
        <v>9</v>
      </c>
      <c r="Q198" s="358">
        <v>9</v>
      </c>
      <c r="R198" s="359">
        <f t="shared" si="22"/>
        <v>0</v>
      </c>
      <c r="S198" s="360">
        <f t="shared" si="23"/>
        <v>0</v>
      </c>
      <c r="T198" s="361">
        <f t="shared" si="24"/>
        <v>0.10555555555555554</v>
      </c>
      <c r="U198" s="362">
        <v>0</v>
      </c>
      <c r="V198" s="362">
        <f t="shared" si="27"/>
        <v>529322</v>
      </c>
      <c r="W198" s="362">
        <f t="shared" si="25"/>
        <v>529322</v>
      </c>
      <c r="X198" s="742">
        <f t="shared" si="28"/>
        <v>0</v>
      </c>
    </row>
    <row r="199" spans="1:24" ht="13.9">
      <c r="A199" s="349">
        <f t="shared" si="26"/>
        <v>191</v>
      </c>
      <c r="B199" s="350" t="s">
        <v>1691</v>
      </c>
      <c r="C199" s="350"/>
      <c r="D199" s="350" t="s">
        <v>1645</v>
      </c>
      <c r="E199" s="350" t="s">
        <v>414</v>
      </c>
      <c r="F199" s="350"/>
      <c r="G199" s="366"/>
      <c r="H199" s="352">
        <v>11700</v>
      </c>
      <c r="I199" s="353" t="s">
        <v>1379</v>
      </c>
      <c r="J199" s="353" t="s">
        <v>1379</v>
      </c>
      <c r="K199" s="354">
        <f t="shared" si="20"/>
        <v>11700</v>
      </c>
      <c r="L199" s="363">
        <v>40350</v>
      </c>
      <c r="M199" s="742">
        <v>11115</v>
      </c>
      <c r="N199" s="352">
        <f t="shared" si="29"/>
        <v>585</v>
      </c>
      <c r="O199" s="357">
        <f t="shared" si="21"/>
        <v>5033</v>
      </c>
      <c r="P199" s="357">
        <v>9</v>
      </c>
      <c r="Q199" s="358">
        <v>9</v>
      </c>
      <c r="R199" s="359">
        <f t="shared" si="22"/>
        <v>0</v>
      </c>
      <c r="S199" s="360">
        <f t="shared" si="23"/>
        <v>0</v>
      </c>
      <c r="T199" s="361">
        <f t="shared" si="24"/>
        <v>0.10555555555555554</v>
      </c>
      <c r="U199" s="362">
        <v>0</v>
      </c>
      <c r="V199" s="362">
        <f t="shared" si="27"/>
        <v>585</v>
      </c>
      <c r="W199" s="362">
        <f t="shared" si="25"/>
        <v>585</v>
      </c>
      <c r="X199" s="742">
        <f t="shared" si="28"/>
        <v>0</v>
      </c>
    </row>
    <row r="200" spans="1:24" ht="13.9">
      <c r="A200" s="349">
        <f t="shared" si="26"/>
        <v>192</v>
      </c>
      <c r="B200" s="350" t="s">
        <v>1691</v>
      </c>
      <c r="C200" s="350"/>
      <c r="D200" s="350" t="s">
        <v>1645</v>
      </c>
      <c r="E200" s="350" t="s">
        <v>1692</v>
      </c>
      <c r="F200" s="350" t="s">
        <v>1693</v>
      </c>
      <c r="G200" s="366">
        <v>40350</v>
      </c>
      <c r="H200" s="352">
        <v>677040</v>
      </c>
      <c r="I200" s="353" t="s">
        <v>1379</v>
      </c>
      <c r="J200" s="353" t="s">
        <v>1379</v>
      </c>
      <c r="K200" s="354">
        <f t="shared" si="20"/>
        <v>677040</v>
      </c>
      <c r="L200" s="363">
        <v>40350</v>
      </c>
      <c r="M200" s="742">
        <v>643188</v>
      </c>
      <c r="N200" s="352">
        <f t="shared" si="29"/>
        <v>33852</v>
      </c>
      <c r="O200" s="357">
        <f t="shared" si="21"/>
        <v>5033</v>
      </c>
      <c r="P200" s="357">
        <v>9</v>
      </c>
      <c r="Q200" s="358">
        <v>9</v>
      </c>
      <c r="R200" s="359">
        <f t="shared" si="22"/>
        <v>0</v>
      </c>
      <c r="S200" s="360">
        <f t="shared" si="23"/>
        <v>0</v>
      </c>
      <c r="T200" s="361">
        <f t="shared" si="24"/>
        <v>0.10555555555555554</v>
      </c>
      <c r="U200" s="362">
        <v>0</v>
      </c>
      <c r="V200" s="362">
        <f t="shared" si="27"/>
        <v>33852</v>
      </c>
      <c r="W200" s="362">
        <f t="shared" si="25"/>
        <v>33852</v>
      </c>
      <c r="X200" s="742">
        <f t="shared" si="28"/>
        <v>0</v>
      </c>
    </row>
    <row r="201" spans="1:24" ht="13.9">
      <c r="A201" s="349">
        <f t="shared" si="26"/>
        <v>193</v>
      </c>
      <c r="B201" s="350" t="s">
        <v>983</v>
      </c>
      <c r="C201" s="350" t="s">
        <v>1481</v>
      </c>
      <c r="D201" s="350" t="s">
        <v>1645</v>
      </c>
      <c r="E201" s="350" t="s">
        <v>1650</v>
      </c>
      <c r="F201" s="350" t="s">
        <v>1694</v>
      </c>
      <c r="G201" s="366">
        <v>40283</v>
      </c>
      <c r="H201" s="352">
        <v>13416</v>
      </c>
      <c r="I201" s="353" t="s">
        <v>1379</v>
      </c>
      <c r="J201" s="353" t="s">
        <v>1379</v>
      </c>
      <c r="K201" s="354">
        <f t="shared" ref="K201:K264" si="30">+H201+I201-J201</f>
        <v>13416</v>
      </c>
      <c r="L201" s="363">
        <v>40284</v>
      </c>
      <c r="M201" s="742">
        <v>12745</v>
      </c>
      <c r="N201" s="352">
        <f t="shared" si="29"/>
        <v>671</v>
      </c>
      <c r="O201" s="357">
        <f t="shared" ref="O201:O264" si="31">+$O$3-L201+1</f>
        <v>5099</v>
      </c>
      <c r="P201" s="357">
        <v>9</v>
      </c>
      <c r="Q201" s="358">
        <v>9</v>
      </c>
      <c r="R201" s="359">
        <f t="shared" ref="R201:R264" si="32">+P201-Q201</f>
        <v>0</v>
      </c>
      <c r="S201" s="360">
        <f t="shared" ref="S201:S264" si="33">IF(R201&lt;0,0,IF(R201&gt;365,365,R201))</f>
        <v>0</v>
      </c>
      <c r="T201" s="361">
        <f t="shared" ref="T201:T264" si="34">1/P201*0.95</f>
        <v>0.10555555555555554</v>
      </c>
      <c r="U201" s="362">
        <v>0</v>
      </c>
      <c r="V201" s="362">
        <f t="shared" si="27"/>
        <v>671</v>
      </c>
      <c r="W201" s="362">
        <f t="shared" ref="W201:W264" si="35">ROUND(+H201*5%,0)</f>
        <v>671</v>
      </c>
      <c r="X201" s="742">
        <f t="shared" si="28"/>
        <v>0</v>
      </c>
    </row>
    <row r="202" spans="1:24" ht="13.9">
      <c r="A202" s="349">
        <f t="shared" ref="A202:A265" si="36">+A201+1</f>
        <v>194</v>
      </c>
      <c r="B202" s="350" t="s">
        <v>983</v>
      </c>
      <c r="C202" s="350" t="s">
        <v>1695</v>
      </c>
      <c r="D202" s="350" t="s">
        <v>1645</v>
      </c>
      <c r="E202" s="350" t="s">
        <v>1696</v>
      </c>
      <c r="F202" s="350" t="s">
        <v>1426</v>
      </c>
      <c r="G202" s="366">
        <v>40319</v>
      </c>
      <c r="H202" s="352">
        <v>148850</v>
      </c>
      <c r="I202" s="353" t="s">
        <v>1379</v>
      </c>
      <c r="J202" s="353" t="s">
        <v>1379</v>
      </c>
      <c r="K202" s="354">
        <f t="shared" si="30"/>
        <v>148850</v>
      </c>
      <c r="L202" s="363">
        <v>40323</v>
      </c>
      <c r="M202" s="742">
        <v>141408</v>
      </c>
      <c r="N202" s="352">
        <f t="shared" si="29"/>
        <v>7442</v>
      </c>
      <c r="O202" s="357">
        <f t="shared" si="31"/>
        <v>5060</v>
      </c>
      <c r="P202" s="357">
        <v>9</v>
      </c>
      <c r="Q202" s="358">
        <v>9</v>
      </c>
      <c r="R202" s="359">
        <f t="shared" si="32"/>
        <v>0</v>
      </c>
      <c r="S202" s="360">
        <f t="shared" si="33"/>
        <v>0</v>
      </c>
      <c r="T202" s="361">
        <f t="shared" si="34"/>
        <v>0.10555555555555554</v>
      </c>
      <c r="U202" s="362">
        <v>0</v>
      </c>
      <c r="V202" s="362">
        <f t="shared" ref="V202:V265" si="37">+N202-U202</f>
        <v>7442</v>
      </c>
      <c r="W202" s="362">
        <f t="shared" si="35"/>
        <v>7443</v>
      </c>
      <c r="X202" s="742">
        <f t="shared" ref="X202:X265" si="38">+V202-W202</f>
        <v>-1</v>
      </c>
    </row>
    <row r="203" spans="1:24" ht="13.9">
      <c r="A203" s="349">
        <f t="shared" si="36"/>
        <v>195</v>
      </c>
      <c r="B203" s="350" t="s">
        <v>983</v>
      </c>
      <c r="C203" s="350"/>
      <c r="D203" s="350" t="s">
        <v>1645</v>
      </c>
      <c r="E203" s="350" t="s">
        <v>1697</v>
      </c>
      <c r="F203" s="350" t="s">
        <v>1698</v>
      </c>
      <c r="G203" s="366">
        <v>40341</v>
      </c>
      <c r="H203" s="352">
        <v>10246</v>
      </c>
      <c r="I203" s="353" t="s">
        <v>1379</v>
      </c>
      <c r="J203" s="353" t="s">
        <v>1379</v>
      </c>
      <c r="K203" s="354">
        <f t="shared" si="30"/>
        <v>10246</v>
      </c>
      <c r="L203" s="363">
        <v>40341</v>
      </c>
      <c r="M203" s="742">
        <v>9734</v>
      </c>
      <c r="N203" s="352">
        <f t="shared" ref="N203:N266" si="39">+K203-M203</f>
        <v>512</v>
      </c>
      <c r="O203" s="357">
        <f t="shared" si="31"/>
        <v>5042</v>
      </c>
      <c r="P203" s="357">
        <v>9</v>
      </c>
      <c r="Q203" s="358">
        <v>9</v>
      </c>
      <c r="R203" s="359">
        <f t="shared" si="32"/>
        <v>0</v>
      </c>
      <c r="S203" s="360">
        <f t="shared" si="33"/>
        <v>0</v>
      </c>
      <c r="T203" s="361">
        <f t="shared" si="34"/>
        <v>0.10555555555555554</v>
      </c>
      <c r="U203" s="362">
        <v>0</v>
      </c>
      <c r="V203" s="362">
        <f t="shared" si="37"/>
        <v>512</v>
      </c>
      <c r="W203" s="362">
        <f t="shared" si="35"/>
        <v>512</v>
      </c>
      <c r="X203" s="742">
        <f t="shared" si="38"/>
        <v>0</v>
      </c>
    </row>
    <row r="204" spans="1:24" ht="13.9">
      <c r="A204" s="349">
        <f t="shared" si="36"/>
        <v>196</v>
      </c>
      <c r="B204" s="350" t="s">
        <v>983</v>
      </c>
      <c r="C204" s="350" t="s">
        <v>1481</v>
      </c>
      <c r="D204" s="350" t="s">
        <v>1645</v>
      </c>
      <c r="E204" s="350" t="s">
        <v>1696</v>
      </c>
      <c r="F204" s="350" t="s">
        <v>1699</v>
      </c>
      <c r="G204" s="366">
        <v>40414</v>
      </c>
      <c r="H204" s="352">
        <v>148850</v>
      </c>
      <c r="I204" s="353" t="s">
        <v>1379</v>
      </c>
      <c r="J204" s="353" t="s">
        <v>1379</v>
      </c>
      <c r="K204" s="354">
        <f t="shared" si="30"/>
        <v>148850</v>
      </c>
      <c r="L204" s="363">
        <v>40417</v>
      </c>
      <c r="M204" s="742">
        <v>141408</v>
      </c>
      <c r="N204" s="352">
        <f t="shared" si="39"/>
        <v>7442</v>
      </c>
      <c r="O204" s="357">
        <f t="shared" si="31"/>
        <v>4966</v>
      </c>
      <c r="P204" s="357">
        <v>9</v>
      </c>
      <c r="Q204" s="358">
        <v>9</v>
      </c>
      <c r="R204" s="359">
        <f t="shared" si="32"/>
        <v>0</v>
      </c>
      <c r="S204" s="360">
        <f t="shared" si="33"/>
        <v>0</v>
      </c>
      <c r="T204" s="361">
        <f t="shared" si="34"/>
        <v>0.10555555555555554</v>
      </c>
      <c r="U204" s="362">
        <v>0</v>
      </c>
      <c r="V204" s="362">
        <f t="shared" si="37"/>
        <v>7442</v>
      </c>
      <c r="W204" s="362">
        <f t="shared" si="35"/>
        <v>7443</v>
      </c>
      <c r="X204" s="742">
        <f t="shared" si="38"/>
        <v>-1</v>
      </c>
    </row>
    <row r="205" spans="1:24" ht="13.9">
      <c r="A205" s="349">
        <f t="shared" si="36"/>
        <v>197</v>
      </c>
      <c r="B205" s="350" t="s">
        <v>983</v>
      </c>
      <c r="C205" s="350" t="s">
        <v>1481</v>
      </c>
      <c r="D205" s="350" t="s">
        <v>1645</v>
      </c>
      <c r="E205" s="350" t="s">
        <v>1696</v>
      </c>
      <c r="F205" s="350" t="s">
        <v>1700</v>
      </c>
      <c r="G205" s="366">
        <v>40418</v>
      </c>
      <c r="H205" s="352">
        <v>148850</v>
      </c>
      <c r="I205" s="353" t="s">
        <v>1379</v>
      </c>
      <c r="J205" s="353" t="s">
        <v>1379</v>
      </c>
      <c r="K205" s="354">
        <f t="shared" si="30"/>
        <v>148850</v>
      </c>
      <c r="L205" s="363">
        <v>40420</v>
      </c>
      <c r="M205" s="742">
        <v>141408</v>
      </c>
      <c r="N205" s="352">
        <f t="shared" si="39"/>
        <v>7442</v>
      </c>
      <c r="O205" s="357">
        <f t="shared" si="31"/>
        <v>4963</v>
      </c>
      <c r="P205" s="357">
        <v>9</v>
      </c>
      <c r="Q205" s="358">
        <v>9</v>
      </c>
      <c r="R205" s="359">
        <f t="shared" si="32"/>
        <v>0</v>
      </c>
      <c r="S205" s="360">
        <f t="shared" si="33"/>
        <v>0</v>
      </c>
      <c r="T205" s="361">
        <f t="shared" si="34"/>
        <v>0.10555555555555554</v>
      </c>
      <c r="U205" s="362">
        <v>0</v>
      </c>
      <c r="V205" s="362">
        <f t="shared" si="37"/>
        <v>7442</v>
      </c>
      <c r="W205" s="362">
        <f t="shared" si="35"/>
        <v>7443</v>
      </c>
      <c r="X205" s="742">
        <f t="shared" si="38"/>
        <v>-1</v>
      </c>
    </row>
    <row r="206" spans="1:24" ht="13.9">
      <c r="A206" s="349">
        <f t="shared" si="36"/>
        <v>198</v>
      </c>
      <c r="B206" s="350" t="s">
        <v>983</v>
      </c>
      <c r="C206" s="350" t="s">
        <v>1481</v>
      </c>
      <c r="D206" s="350" t="s">
        <v>1645</v>
      </c>
      <c r="E206" s="350" t="s">
        <v>1696</v>
      </c>
      <c r="F206" s="350" t="s">
        <v>1701</v>
      </c>
      <c r="G206" s="366">
        <v>40425</v>
      </c>
      <c r="H206" s="352">
        <v>74425</v>
      </c>
      <c r="I206" s="353" t="s">
        <v>1379</v>
      </c>
      <c r="J206" s="353" t="s">
        <v>1379</v>
      </c>
      <c r="K206" s="354">
        <f t="shared" si="30"/>
        <v>74425</v>
      </c>
      <c r="L206" s="363">
        <v>40425</v>
      </c>
      <c r="M206" s="742">
        <v>70704</v>
      </c>
      <c r="N206" s="352">
        <f t="shared" si="39"/>
        <v>3721</v>
      </c>
      <c r="O206" s="357">
        <f t="shared" si="31"/>
        <v>4958</v>
      </c>
      <c r="P206" s="357">
        <v>9</v>
      </c>
      <c r="Q206" s="358">
        <v>9</v>
      </c>
      <c r="R206" s="359">
        <f t="shared" si="32"/>
        <v>0</v>
      </c>
      <c r="S206" s="360">
        <f t="shared" si="33"/>
        <v>0</v>
      </c>
      <c r="T206" s="361">
        <f t="shared" si="34"/>
        <v>0.10555555555555554</v>
      </c>
      <c r="U206" s="362">
        <v>0</v>
      </c>
      <c r="V206" s="362">
        <f t="shared" si="37"/>
        <v>3721</v>
      </c>
      <c r="W206" s="362">
        <f t="shared" si="35"/>
        <v>3721</v>
      </c>
      <c r="X206" s="742">
        <f t="shared" si="38"/>
        <v>0</v>
      </c>
    </row>
    <row r="207" spans="1:24" ht="13.9">
      <c r="A207" s="349">
        <f t="shared" si="36"/>
        <v>199</v>
      </c>
      <c r="B207" s="350" t="s">
        <v>983</v>
      </c>
      <c r="C207" s="350" t="s">
        <v>1458</v>
      </c>
      <c r="D207" s="350" t="s">
        <v>1645</v>
      </c>
      <c r="E207" s="349" t="s">
        <v>990</v>
      </c>
      <c r="F207" s="350" t="s">
        <v>1702</v>
      </c>
      <c r="G207" s="366"/>
      <c r="H207" s="352">
        <v>30713</v>
      </c>
      <c r="I207" s="353" t="s">
        <v>1379</v>
      </c>
      <c r="J207" s="353" t="s">
        <v>1379</v>
      </c>
      <c r="K207" s="354">
        <f t="shared" si="30"/>
        <v>30713</v>
      </c>
      <c r="L207" s="363">
        <v>40537</v>
      </c>
      <c r="M207" s="742">
        <v>29177</v>
      </c>
      <c r="N207" s="352">
        <f t="shared" si="39"/>
        <v>1536</v>
      </c>
      <c r="O207" s="357">
        <f t="shared" si="31"/>
        <v>4846</v>
      </c>
      <c r="P207" s="357">
        <v>9</v>
      </c>
      <c r="Q207" s="358">
        <v>9</v>
      </c>
      <c r="R207" s="359">
        <f t="shared" si="32"/>
        <v>0</v>
      </c>
      <c r="S207" s="360">
        <f t="shared" si="33"/>
        <v>0</v>
      </c>
      <c r="T207" s="361">
        <f t="shared" si="34"/>
        <v>0.10555555555555554</v>
      </c>
      <c r="U207" s="362">
        <v>0</v>
      </c>
      <c r="V207" s="362">
        <f t="shared" si="37"/>
        <v>1536</v>
      </c>
      <c r="W207" s="362">
        <f t="shared" si="35"/>
        <v>1536</v>
      </c>
      <c r="X207" s="742">
        <f t="shared" si="38"/>
        <v>0</v>
      </c>
    </row>
    <row r="208" spans="1:24" ht="13.9">
      <c r="A208" s="349">
        <f t="shared" si="36"/>
        <v>200</v>
      </c>
      <c r="B208" s="350" t="s">
        <v>983</v>
      </c>
      <c r="C208" s="350"/>
      <c r="D208" s="350" t="s">
        <v>1645</v>
      </c>
      <c r="E208" s="350" t="s">
        <v>169</v>
      </c>
      <c r="F208" s="350" t="s">
        <v>1703</v>
      </c>
      <c r="G208" s="366">
        <v>40582</v>
      </c>
      <c r="H208" s="352">
        <v>17400</v>
      </c>
      <c r="I208" s="353" t="s">
        <v>1379</v>
      </c>
      <c r="J208" s="353" t="s">
        <v>1379</v>
      </c>
      <c r="K208" s="354">
        <f t="shared" si="30"/>
        <v>17400</v>
      </c>
      <c r="L208" s="363">
        <v>40589</v>
      </c>
      <c r="M208" s="742">
        <v>16530</v>
      </c>
      <c r="N208" s="352">
        <f t="shared" si="39"/>
        <v>870</v>
      </c>
      <c r="O208" s="357">
        <f t="shared" si="31"/>
        <v>4794</v>
      </c>
      <c r="P208" s="357">
        <v>9</v>
      </c>
      <c r="Q208" s="358">
        <v>9</v>
      </c>
      <c r="R208" s="359">
        <f t="shared" si="32"/>
        <v>0</v>
      </c>
      <c r="S208" s="360">
        <f t="shared" si="33"/>
        <v>0</v>
      </c>
      <c r="T208" s="361">
        <f t="shared" si="34"/>
        <v>0.10555555555555554</v>
      </c>
      <c r="U208" s="362">
        <v>0</v>
      </c>
      <c r="V208" s="362">
        <f t="shared" si="37"/>
        <v>870</v>
      </c>
      <c r="W208" s="362">
        <f t="shared" si="35"/>
        <v>870</v>
      </c>
      <c r="X208" s="742">
        <f t="shared" si="38"/>
        <v>0</v>
      </c>
    </row>
    <row r="209" spans="1:24" ht="13.9">
      <c r="A209" s="349">
        <f t="shared" si="36"/>
        <v>201</v>
      </c>
      <c r="B209" s="350" t="s">
        <v>307</v>
      </c>
      <c r="C209" s="350" t="s">
        <v>1704</v>
      </c>
      <c r="D209" s="350" t="s">
        <v>1705</v>
      </c>
      <c r="E209" s="350" t="s">
        <v>1706</v>
      </c>
      <c r="F209" s="350" t="s">
        <v>1707</v>
      </c>
      <c r="G209" s="366">
        <v>40781</v>
      </c>
      <c r="H209" s="352">
        <v>1679536</v>
      </c>
      <c r="I209" s="353" t="s">
        <v>1379</v>
      </c>
      <c r="J209" s="353" t="s">
        <v>1379</v>
      </c>
      <c r="K209" s="354">
        <f t="shared" si="30"/>
        <v>1679536</v>
      </c>
      <c r="L209" s="363">
        <v>40810</v>
      </c>
      <c r="M209" s="742">
        <v>1595559</v>
      </c>
      <c r="N209" s="352">
        <f t="shared" si="39"/>
        <v>83977</v>
      </c>
      <c r="O209" s="357">
        <f t="shared" si="31"/>
        <v>4573</v>
      </c>
      <c r="P209" s="357">
        <v>9</v>
      </c>
      <c r="Q209" s="358">
        <v>9</v>
      </c>
      <c r="R209" s="359">
        <f t="shared" si="32"/>
        <v>0</v>
      </c>
      <c r="S209" s="360">
        <f t="shared" si="33"/>
        <v>0</v>
      </c>
      <c r="T209" s="361">
        <f t="shared" si="34"/>
        <v>0.10555555555555554</v>
      </c>
      <c r="U209" s="362">
        <v>0</v>
      </c>
      <c r="V209" s="362">
        <f t="shared" si="37"/>
        <v>83977</v>
      </c>
      <c r="W209" s="362">
        <f t="shared" si="35"/>
        <v>83977</v>
      </c>
      <c r="X209" s="742">
        <f t="shared" si="38"/>
        <v>0</v>
      </c>
    </row>
    <row r="210" spans="1:24" ht="13.9">
      <c r="A210" s="349">
        <f t="shared" si="36"/>
        <v>202</v>
      </c>
      <c r="B210" s="350" t="s">
        <v>307</v>
      </c>
      <c r="C210" s="350" t="s">
        <v>1704</v>
      </c>
      <c r="D210" s="350" t="s">
        <v>1705</v>
      </c>
      <c r="E210" s="350" t="s">
        <v>1706</v>
      </c>
      <c r="F210" s="350" t="s">
        <v>1708</v>
      </c>
      <c r="G210" s="366">
        <v>40781</v>
      </c>
      <c r="H210" s="352">
        <v>1679536</v>
      </c>
      <c r="I210" s="353" t="s">
        <v>1379</v>
      </c>
      <c r="J210" s="353" t="s">
        <v>1379</v>
      </c>
      <c r="K210" s="354">
        <f t="shared" si="30"/>
        <v>1679536</v>
      </c>
      <c r="L210" s="363">
        <v>40810</v>
      </c>
      <c r="M210" s="742">
        <v>1595559</v>
      </c>
      <c r="N210" s="352">
        <f t="shared" si="39"/>
        <v>83977</v>
      </c>
      <c r="O210" s="357">
        <f t="shared" si="31"/>
        <v>4573</v>
      </c>
      <c r="P210" s="357">
        <v>9</v>
      </c>
      <c r="Q210" s="358">
        <v>9</v>
      </c>
      <c r="R210" s="359">
        <f t="shared" si="32"/>
        <v>0</v>
      </c>
      <c r="S210" s="360">
        <f t="shared" si="33"/>
        <v>0</v>
      </c>
      <c r="T210" s="361">
        <f t="shared" si="34"/>
        <v>0.10555555555555554</v>
      </c>
      <c r="U210" s="362">
        <v>0</v>
      </c>
      <c r="V210" s="362">
        <f t="shared" si="37"/>
        <v>83977</v>
      </c>
      <c r="W210" s="362">
        <f t="shared" si="35"/>
        <v>83977</v>
      </c>
      <c r="X210" s="742">
        <f t="shared" si="38"/>
        <v>0</v>
      </c>
    </row>
    <row r="211" spans="1:24" ht="13.9">
      <c r="A211" s="349">
        <f t="shared" si="36"/>
        <v>203</v>
      </c>
      <c r="B211" s="350" t="s">
        <v>307</v>
      </c>
      <c r="C211" s="350" t="s">
        <v>1704</v>
      </c>
      <c r="D211" s="350" t="s">
        <v>1705</v>
      </c>
      <c r="E211" s="350" t="s">
        <v>1706</v>
      </c>
      <c r="F211" s="350" t="s">
        <v>1709</v>
      </c>
      <c r="G211" s="366">
        <v>40866</v>
      </c>
      <c r="H211" s="352">
        <v>1689465</v>
      </c>
      <c r="I211" s="353" t="s">
        <v>1379</v>
      </c>
      <c r="J211" s="353" t="s">
        <v>1379</v>
      </c>
      <c r="K211" s="354">
        <f t="shared" si="30"/>
        <v>1689465</v>
      </c>
      <c r="L211" s="363">
        <v>40889</v>
      </c>
      <c r="M211" s="742">
        <v>1604992</v>
      </c>
      <c r="N211" s="352">
        <f t="shared" si="39"/>
        <v>84473</v>
      </c>
      <c r="O211" s="357">
        <f t="shared" si="31"/>
        <v>4494</v>
      </c>
      <c r="P211" s="357">
        <v>9</v>
      </c>
      <c r="Q211" s="358">
        <v>9</v>
      </c>
      <c r="R211" s="359">
        <f t="shared" si="32"/>
        <v>0</v>
      </c>
      <c r="S211" s="360">
        <f t="shared" si="33"/>
        <v>0</v>
      </c>
      <c r="T211" s="361">
        <f t="shared" si="34"/>
        <v>0.10555555555555554</v>
      </c>
      <c r="U211" s="362">
        <v>0</v>
      </c>
      <c r="V211" s="362">
        <f t="shared" si="37"/>
        <v>84473</v>
      </c>
      <c r="W211" s="362">
        <f t="shared" si="35"/>
        <v>84473</v>
      </c>
      <c r="X211" s="742">
        <f t="shared" si="38"/>
        <v>0</v>
      </c>
    </row>
    <row r="212" spans="1:24" ht="13.9">
      <c r="A212" s="349">
        <f t="shared" si="36"/>
        <v>204</v>
      </c>
      <c r="B212" s="350" t="s">
        <v>307</v>
      </c>
      <c r="C212" s="350" t="s">
        <v>1710</v>
      </c>
      <c r="D212" s="350" t="s">
        <v>1705</v>
      </c>
      <c r="E212" s="350" t="s">
        <v>1482</v>
      </c>
      <c r="F212" s="350" t="s">
        <v>1711</v>
      </c>
      <c r="G212" s="366">
        <v>40597</v>
      </c>
      <c r="H212" s="352">
        <v>15082643</v>
      </c>
      <c r="I212" s="353" t="s">
        <v>1379</v>
      </c>
      <c r="J212" s="353" t="s">
        <v>1379</v>
      </c>
      <c r="K212" s="354">
        <f t="shared" si="30"/>
        <v>15082643</v>
      </c>
      <c r="L212" s="363">
        <v>40962</v>
      </c>
      <c r="M212" s="742">
        <v>14328511</v>
      </c>
      <c r="N212" s="352">
        <f t="shared" si="39"/>
        <v>754132</v>
      </c>
      <c r="O212" s="357">
        <f t="shared" si="31"/>
        <v>4421</v>
      </c>
      <c r="P212" s="357">
        <v>9</v>
      </c>
      <c r="Q212" s="358">
        <v>9</v>
      </c>
      <c r="R212" s="359">
        <f t="shared" si="32"/>
        <v>0</v>
      </c>
      <c r="S212" s="360">
        <f t="shared" si="33"/>
        <v>0</v>
      </c>
      <c r="T212" s="361">
        <f t="shared" si="34"/>
        <v>0.10555555555555554</v>
      </c>
      <c r="U212" s="362">
        <v>0</v>
      </c>
      <c r="V212" s="362">
        <f t="shared" si="37"/>
        <v>754132</v>
      </c>
      <c r="W212" s="362">
        <f t="shared" si="35"/>
        <v>754132</v>
      </c>
      <c r="X212" s="742">
        <f t="shared" si="38"/>
        <v>0</v>
      </c>
    </row>
    <row r="213" spans="1:24" ht="13.9">
      <c r="A213" s="349">
        <f t="shared" si="36"/>
        <v>205</v>
      </c>
      <c r="B213" s="350" t="s">
        <v>578</v>
      </c>
      <c r="C213" s="350" t="s">
        <v>1712</v>
      </c>
      <c r="D213" s="350" t="s">
        <v>1705</v>
      </c>
      <c r="E213" s="350" t="s">
        <v>1482</v>
      </c>
      <c r="F213" s="350" t="s">
        <v>1713</v>
      </c>
      <c r="G213" s="366">
        <v>40687</v>
      </c>
      <c r="H213" s="352">
        <v>4488000</v>
      </c>
      <c r="I213" s="353" t="s">
        <v>1379</v>
      </c>
      <c r="J213" s="353" t="s">
        <v>1379</v>
      </c>
      <c r="K213" s="354">
        <f t="shared" si="30"/>
        <v>4488000</v>
      </c>
      <c r="L213" s="363">
        <v>40687</v>
      </c>
      <c r="M213" s="742">
        <v>4263600</v>
      </c>
      <c r="N213" s="352">
        <f t="shared" si="39"/>
        <v>224400</v>
      </c>
      <c r="O213" s="357">
        <f t="shared" si="31"/>
        <v>4696</v>
      </c>
      <c r="P213" s="357">
        <v>9</v>
      </c>
      <c r="Q213" s="358">
        <v>9</v>
      </c>
      <c r="R213" s="359">
        <f t="shared" si="32"/>
        <v>0</v>
      </c>
      <c r="S213" s="360">
        <f t="shared" si="33"/>
        <v>0</v>
      </c>
      <c r="T213" s="361">
        <f t="shared" si="34"/>
        <v>0.10555555555555554</v>
      </c>
      <c r="U213" s="362">
        <v>0</v>
      </c>
      <c r="V213" s="362">
        <f t="shared" si="37"/>
        <v>224400</v>
      </c>
      <c r="W213" s="362">
        <f t="shared" si="35"/>
        <v>224400</v>
      </c>
      <c r="X213" s="742">
        <f t="shared" si="38"/>
        <v>0</v>
      </c>
    </row>
    <row r="214" spans="1:24" ht="13.9">
      <c r="A214" s="349">
        <f t="shared" si="36"/>
        <v>206</v>
      </c>
      <c r="B214" s="350" t="s">
        <v>578</v>
      </c>
      <c r="C214" s="350" t="s">
        <v>1108</v>
      </c>
      <c r="D214" s="350" t="s">
        <v>1705</v>
      </c>
      <c r="E214" s="350" t="s">
        <v>1714</v>
      </c>
      <c r="F214" s="350" t="s">
        <v>1715</v>
      </c>
      <c r="G214" s="366"/>
      <c r="H214" s="352">
        <v>1564347</v>
      </c>
      <c r="I214" s="353" t="s">
        <v>1379</v>
      </c>
      <c r="J214" s="353" t="s">
        <v>1379</v>
      </c>
      <c r="K214" s="354">
        <f t="shared" si="30"/>
        <v>1564347</v>
      </c>
      <c r="L214" s="363">
        <v>40999</v>
      </c>
      <c r="M214" s="742">
        <v>1486130</v>
      </c>
      <c r="N214" s="352">
        <f t="shared" si="39"/>
        <v>78217</v>
      </c>
      <c r="O214" s="357">
        <f t="shared" si="31"/>
        <v>4384</v>
      </c>
      <c r="P214" s="357">
        <v>9</v>
      </c>
      <c r="Q214" s="358">
        <v>9</v>
      </c>
      <c r="R214" s="359">
        <f t="shared" si="32"/>
        <v>0</v>
      </c>
      <c r="S214" s="360">
        <f t="shared" si="33"/>
        <v>0</v>
      </c>
      <c r="T214" s="361">
        <f t="shared" si="34"/>
        <v>0.10555555555555554</v>
      </c>
      <c r="U214" s="362">
        <v>0</v>
      </c>
      <c r="V214" s="362">
        <f t="shared" si="37"/>
        <v>78217</v>
      </c>
      <c r="W214" s="362">
        <f t="shared" si="35"/>
        <v>78217</v>
      </c>
      <c r="X214" s="742">
        <f t="shared" si="38"/>
        <v>0</v>
      </c>
    </row>
    <row r="215" spans="1:24" ht="13.9">
      <c r="A215" s="349">
        <f t="shared" si="36"/>
        <v>207</v>
      </c>
      <c r="B215" s="350" t="s">
        <v>584</v>
      </c>
      <c r="C215" s="350" t="s">
        <v>1108</v>
      </c>
      <c r="D215" s="350" t="s">
        <v>1705</v>
      </c>
      <c r="E215" s="350" t="s">
        <v>1716</v>
      </c>
      <c r="F215" s="350" t="s">
        <v>1717</v>
      </c>
      <c r="G215" s="366" t="s">
        <v>1718</v>
      </c>
      <c r="H215" s="352">
        <v>2536296</v>
      </c>
      <c r="I215" s="353" t="s">
        <v>1379</v>
      </c>
      <c r="J215" s="353" t="s">
        <v>1379</v>
      </c>
      <c r="K215" s="354">
        <f t="shared" si="30"/>
        <v>2536296</v>
      </c>
      <c r="L215" s="363">
        <v>40836</v>
      </c>
      <c r="M215" s="742">
        <v>2409481</v>
      </c>
      <c r="N215" s="352">
        <f t="shared" si="39"/>
        <v>126815</v>
      </c>
      <c r="O215" s="357">
        <f t="shared" si="31"/>
        <v>4547</v>
      </c>
      <c r="P215" s="357">
        <v>9</v>
      </c>
      <c r="Q215" s="358">
        <v>9</v>
      </c>
      <c r="R215" s="359">
        <f t="shared" si="32"/>
        <v>0</v>
      </c>
      <c r="S215" s="360">
        <f t="shared" si="33"/>
        <v>0</v>
      </c>
      <c r="T215" s="361">
        <f t="shared" si="34"/>
        <v>0.10555555555555554</v>
      </c>
      <c r="U215" s="362">
        <v>0</v>
      </c>
      <c r="V215" s="362">
        <f t="shared" si="37"/>
        <v>126815</v>
      </c>
      <c r="W215" s="362">
        <f t="shared" si="35"/>
        <v>126815</v>
      </c>
      <c r="X215" s="742">
        <f t="shared" si="38"/>
        <v>0</v>
      </c>
    </row>
    <row r="216" spans="1:24" ht="13.9">
      <c r="A216" s="349">
        <f t="shared" si="36"/>
        <v>208</v>
      </c>
      <c r="B216" s="350" t="s">
        <v>584</v>
      </c>
      <c r="C216" s="350" t="s">
        <v>1108</v>
      </c>
      <c r="D216" s="350" t="s">
        <v>1705</v>
      </c>
      <c r="E216" s="350" t="s">
        <v>1716</v>
      </c>
      <c r="F216" s="350" t="s">
        <v>1719</v>
      </c>
      <c r="G216" s="366" t="s">
        <v>1718</v>
      </c>
      <c r="H216" s="352">
        <v>2536296</v>
      </c>
      <c r="I216" s="353" t="s">
        <v>1379</v>
      </c>
      <c r="J216" s="353" t="s">
        <v>1379</v>
      </c>
      <c r="K216" s="354">
        <f t="shared" si="30"/>
        <v>2536296</v>
      </c>
      <c r="L216" s="363">
        <v>40836</v>
      </c>
      <c r="M216" s="742">
        <v>2409481</v>
      </c>
      <c r="N216" s="352">
        <f t="shared" si="39"/>
        <v>126815</v>
      </c>
      <c r="O216" s="357">
        <f t="shared" si="31"/>
        <v>4547</v>
      </c>
      <c r="P216" s="357">
        <v>9</v>
      </c>
      <c r="Q216" s="358">
        <v>9</v>
      </c>
      <c r="R216" s="359">
        <f t="shared" si="32"/>
        <v>0</v>
      </c>
      <c r="S216" s="360">
        <f t="shared" si="33"/>
        <v>0</v>
      </c>
      <c r="T216" s="361">
        <f t="shared" si="34"/>
        <v>0.10555555555555554</v>
      </c>
      <c r="U216" s="362">
        <v>0</v>
      </c>
      <c r="V216" s="362">
        <f t="shared" si="37"/>
        <v>126815</v>
      </c>
      <c r="W216" s="362">
        <f t="shared" si="35"/>
        <v>126815</v>
      </c>
      <c r="X216" s="742">
        <f t="shared" si="38"/>
        <v>0</v>
      </c>
    </row>
    <row r="217" spans="1:24" ht="13.9">
      <c r="A217" s="349">
        <f t="shared" si="36"/>
        <v>209</v>
      </c>
      <c r="B217" s="350" t="s">
        <v>584</v>
      </c>
      <c r="C217" s="350" t="s">
        <v>1108</v>
      </c>
      <c r="D217" s="350" t="s">
        <v>1705</v>
      </c>
      <c r="E217" s="350" t="s">
        <v>1716</v>
      </c>
      <c r="F217" s="350" t="s">
        <v>1720</v>
      </c>
      <c r="G217" s="366" t="s">
        <v>1718</v>
      </c>
      <c r="H217" s="352">
        <v>2536296</v>
      </c>
      <c r="I217" s="353" t="s">
        <v>1379</v>
      </c>
      <c r="J217" s="353" t="s">
        <v>1379</v>
      </c>
      <c r="K217" s="354">
        <f t="shared" si="30"/>
        <v>2536296</v>
      </c>
      <c r="L217" s="363">
        <v>40836</v>
      </c>
      <c r="M217" s="742">
        <v>2409481</v>
      </c>
      <c r="N217" s="352">
        <f t="shared" si="39"/>
        <v>126815</v>
      </c>
      <c r="O217" s="357">
        <f t="shared" si="31"/>
        <v>4547</v>
      </c>
      <c r="P217" s="357">
        <v>9</v>
      </c>
      <c r="Q217" s="358">
        <v>9</v>
      </c>
      <c r="R217" s="359">
        <f t="shared" si="32"/>
        <v>0</v>
      </c>
      <c r="S217" s="360">
        <f t="shared" si="33"/>
        <v>0</v>
      </c>
      <c r="T217" s="361">
        <f t="shared" si="34"/>
        <v>0.10555555555555554</v>
      </c>
      <c r="U217" s="362">
        <v>0</v>
      </c>
      <c r="V217" s="362">
        <f t="shared" si="37"/>
        <v>126815</v>
      </c>
      <c r="W217" s="362">
        <f t="shared" si="35"/>
        <v>126815</v>
      </c>
      <c r="X217" s="742">
        <f t="shared" si="38"/>
        <v>0</v>
      </c>
    </row>
    <row r="218" spans="1:24" ht="13.9">
      <c r="A218" s="349">
        <f t="shared" si="36"/>
        <v>210</v>
      </c>
      <c r="B218" s="350" t="s">
        <v>1721</v>
      </c>
      <c r="C218" s="350" t="s">
        <v>1108</v>
      </c>
      <c r="D218" s="350" t="s">
        <v>1705</v>
      </c>
      <c r="E218" s="350" t="s">
        <v>1722</v>
      </c>
      <c r="F218" s="350" t="s">
        <v>1723</v>
      </c>
      <c r="G218" s="366">
        <v>40671</v>
      </c>
      <c r="H218" s="352">
        <v>2232278</v>
      </c>
      <c r="I218" s="353" t="s">
        <v>1379</v>
      </c>
      <c r="J218" s="353" t="s">
        <v>1379</v>
      </c>
      <c r="K218" s="354">
        <f t="shared" si="30"/>
        <v>2232278</v>
      </c>
      <c r="L218" s="363">
        <v>40680</v>
      </c>
      <c r="M218" s="742">
        <v>2120664</v>
      </c>
      <c r="N218" s="352">
        <f t="shared" si="39"/>
        <v>111614</v>
      </c>
      <c r="O218" s="357">
        <f t="shared" si="31"/>
        <v>4703</v>
      </c>
      <c r="P218" s="357">
        <v>9</v>
      </c>
      <c r="Q218" s="358">
        <v>9</v>
      </c>
      <c r="R218" s="359">
        <f t="shared" si="32"/>
        <v>0</v>
      </c>
      <c r="S218" s="360">
        <f t="shared" si="33"/>
        <v>0</v>
      </c>
      <c r="T218" s="361">
        <f t="shared" si="34"/>
        <v>0.10555555555555554</v>
      </c>
      <c r="U218" s="362">
        <v>0</v>
      </c>
      <c r="V218" s="362">
        <f t="shared" si="37"/>
        <v>111614</v>
      </c>
      <c r="W218" s="362">
        <f t="shared" si="35"/>
        <v>111614</v>
      </c>
      <c r="X218" s="742">
        <f t="shared" si="38"/>
        <v>0</v>
      </c>
    </row>
    <row r="219" spans="1:24" ht="13.9">
      <c r="A219" s="349">
        <f t="shared" si="36"/>
        <v>211</v>
      </c>
      <c r="B219" s="350" t="s">
        <v>1652</v>
      </c>
      <c r="C219" s="350" t="s">
        <v>1108</v>
      </c>
      <c r="D219" s="350" t="s">
        <v>1705</v>
      </c>
      <c r="E219" s="350" t="s">
        <v>1724</v>
      </c>
      <c r="F219" s="365" t="s">
        <v>1725</v>
      </c>
      <c r="G219" s="366">
        <v>40670</v>
      </c>
      <c r="H219" s="352">
        <v>459700</v>
      </c>
      <c r="I219" s="353" t="s">
        <v>1379</v>
      </c>
      <c r="J219" s="353" t="s">
        <v>1379</v>
      </c>
      <c r="K219" s="354">
        <f t="shared" si="30"/>
        <v>459700</v>
      </c>
      <c r="L219" s="363">
        <v>40673</v>
      </c>
      <c r="M219" s="742">
        <v>436715</v>
      </c>
      <c r="N219" s="352">
        <f t="shared" si="39"/>
        <v>22985</v>
      </c>
      <c r="O219" s="357">
        <f t="shared" si="31"/>
        <v>4710</v>
      </c>
      <c r="P219" s="357">
        <v>9</v>
      </c>
      <c r="Q219" s="358">
        <v>9</v>
      </c>
      <c r="R219" s="359">
        <f t="shared" si="32"/>
        <v>0</v>
      </c>
      <c r="S219" s="360">
        <f t="shared" si="33"/>
        <v>0</v>
      </c>
      <c r="T219" s="361">
        <f t="shared" si="34"/>
        <v>0.10555555555555554</v>
      </c>
      <c r="U219" s="362">
        <v>0</v>
      </c>
      <c r="V219" s="362">
        <f t="shared" si="37"/>
        <v>22985</v>
      </c>
      <c r="W219" s="362">
        <f t="shared" si="35"/>
        <v>22985</v>
      </c>
      <c r="X219" s="742">
        <f t="shared" si="38"/>
        <v>0</v>
      </c>
    </row>
    <row r="220" spans="1:24" ht="13.9">
      <c r="A220" s="349">
        <f t="shared" si="36"/>
        <v>212</v>
      </c>
      <c r="B220" s="350" t="s">
        <v>1652</v>
      </c>
      <c r="C220" s="350" t="s">
        <v>1108</v>
      </c>
      <c r="D220" s="350" t="s">
        <v>1705</v>
      </c>
      <c r="E220" s="350" t="s">
        <v>1724</v>
      </c>
      <c r="F220" s="365" t="s">
        <v>1726</v>
      </c>
      <c r="G220" s="366">
        <v>40670</v>
      </c>
      <c r="H220" s="352">
        <v>459750</v>
      </c>
      <c r="I220" s="353" t="s">
        <v>1379</v>
      </c>
      <c r="J220" s="353" t="s">
        <v>1379</v>
      </c>
      <c r="K220" s="354">
        <f t="shared" si="30"/>
        <v>459750</v>
      </c>
      <c r="L220" s="363">
        <v>40673</v>
      </c>
      <c r="M220" s="742">
        <v>436762</v>
      </c>
      <c r="N220" s="352">
        <f t="shared" si="39"/>
        <v>22988</v>
      </c>
      <c r="O220" s="357">
        <f t="shared" si="31"/>
        <v>4710</v>
      </c>
      <c r="P220" s="357">
        <v>9</v>
      </c>
      <c r="Q220" s="358">
        <v>9</v>
      </c>
      <c r="R220" s="359">
        <f t="shared" si="32"/>
        <v>0</v>
      </c>
      <c r="S220" s="360">
        <f t="shared" si="33"/>
        <v>0</v>
      </c>
      <c r="T220" s="361">
        <f t="shared" si="34"/>
        <v>0.10555555555555554</v>
      </c>
      <c r="U220" s="362">
        <v>0</v>
      </c>
      <c r="V220" s="362">
        <f t="shared" si="37"/>
        <v>22988</v>
      </c>
      <c r="W220" s="362">
        <f t="shared" si="35"/>
        <v>22988</v>
      </c>
      <c r="X220" s="742">
        <f t="shared" si="38"/>
        <v>0</v>
      </c>
    </row>
    <row r="221" spans="1:24" ht="13.9">
      <c r="A221" s="349">
        <f t="shared" si="36"/>
        <v>213</v>
      </c>
      <c r="B221" s="350" t="s">
        <v>69</v>
      </c>
      <c r="C221" s="350" t="s">
        <v>1108</v>
      </c>
      <c r="D221" s="350" t="s">
        <v>1705</v>
      </c>
      <c r="E221" s="350" t="s">
        <v>1727</v>
      </c>
      <c r="F221" s="350" t="s">
        <v>1728</v>
      </c>
      <c r="G221" s="366">
        <v>40739</v>
      </c>
      <c r="H221" s="352">
        <v>1599000</v>
      </c>
      <c r="I221" s="353" t="s">
        <v>1379</v>
      </c>
      <c r="J221" s="353" t="s">
        <v>1379</v>
      </c>
      <c r="K221" s="354">
        <f t="shared" si="30"/>
        <v>1599000</v>
      </c>
      <c r="L221" s="363">
        <v>40766</v>
      </c>
      <c r="M221" s="742">
        <v>1519050</v>
      </c>
      <c r="N221" s="352">
        <f t="shared" si="39"/>
        <v>79950</v>
      </c>
      <c r="O221" s="357">
        <f t="shared" si="31"/>
        <v>4617</v>
      </c>
      <c r="P221" s="357">
        <v>9</v>
      </c>
      <c r="Q221" s="358">
        <v>9</v>
      </c>
      <c r="R221" s="359">
        <f t="shared" si="32"/>
        <v>0</v>
      </c>
      <c r="S221" s="360">
        <f t="shared" si="33"/>
        <v>0</v>
      </c>
      <c r="T221" s="361">
        <f t="shared" si="34"/>
        <v>0.10555555555555554</v>
      </c>
      <c r="U221" s="362">
        <v>0</v>
      </c>
      <c r="V221" s="362">
        <f t="shared" si="37"/>
        <v>79950</v>
      </c>
      <c r="W221" s="362">
        <f t="shared" si="35"/>
        <v>79950</v>
      </c>
      <c r="X221" s="742">
        <f t="shared" si="38"/>
        <v>0</v>
      </c>
    </row>
    <row r="222" spans="1:24" ht="13.9">
      <c r="A222" s="349">
        <f t="shared" si="36"/>
        <v>214</v>
      </c>
      <c r="B222" s="350" t="s">
        <v>935</v>
      </c>
      <c r="C222" s="350" t="s">
        <v>1729</v>
      </c>
      <c r="D222" s="350" t="s">
        <v>1705</v>
      </c>
      <c r="E222" s="350" t="s">
        <v>1730</v>
      </c>
      <c r="F222" s="350" t="s">
        <v>1731</v>
      </c>
      <c r="G222" s="366">
        <v>40708</v>
      </c>
      <c r="H222" s="352">
        <v>1141936</v>
      </c>
      <c r="I222" s="353" t="s">
        <v>1379</v>
      </c>
      <c r="J222" s="353" t="s">
        <v>1379</v>
      </c>
      <c r="K222" s="354">
        <f t="shared" si="30"/>
        <v>1141936</v>
      </c>
      <c r="L222" s="363">
        <v>40727</v>
      </c>
      <c r="M222" s="742">
        <v>1084839</v>
      </c>
      <c r="N222" s="352">
        <f t="shared" si="39"/>
        <v>57097</v>
      </c>
      <c r="O222" s="357">
        <f t="shared" si="31"/>
        <v>4656</v>
      </c>
      <c r="P222" s="357">
        <v>9</v>
      </c>
      <c r="Q222" s="358">
        <v>9</v>
      </c>
      <c r="R222" s="359">
        <f t="shared" si="32"/>
        <v>0</v>
      </c>
      <c r="S222" s="360">
        <f t="shared" si="33"/>
        <v>0</v>
      </c>
      <c r="T222" s="361">
        <f t="shared" si="34"/>
        <v>0.10555555555555554</v>
      </c>
      <c r="U222" s="362">
        <v>0</v>
      </c>
      <c r="V222" s="362">
        <f t="shared" si="37"/>
        <v>57097</v>
      </c>
      <c r="W222" s="362">
        <f t="shared" si="35"/>
        <v>57097</v>
      </c>
      <c r="X222" s="742">
        <f t="shared" si="38"/>
        <v>0</v>
      </c>
    </row>
    <row r="223" spans="1:24" ht="13.9">
      <c r="A223" s="349">
        <f t="shared" si="36"/>
        <v>215</v>
      </c>
      <c r="B223" s="350" t="s">
        <v>935</v>
      </c>
      <c r="C223" s="350"/>
      <c r="D223" s="350" t="s">
        <v>1705</v>
      </c>
      <c r="E223" s="350" t="s">
        <v>1730</v>
      </c>
      <c r="F223" s="350" t="s">
        <v>1732</v>
      </c>
      <c r="G223" s="366">
        <v>40838</v>
      </c>
      <c r="H223" s="352">
        <v>393771</v>
      </c>
      <c r="I223" s="353" t="s">
        <v>1379</v>
      </c>
      <c r="J223" s="353" t="s">
        <v>1379</v>
      </c>
      <c r="K223" s="354">
        <f t="shared" si="30"/>
        <v>393771</v>
      </c>
      <c r="L223" s="363">
        <v>40863</v>
      </c>
      <c r="M223" s="742">
        <v>374082</v>
      </c>
      <c r="N223" s="352">
        <f t="shared" si="39"/>
        <v>19689</v>
      </c>
      <c r="O223" s="357">
        <f t="shared" si="31"/>
        <v>4520</v>
      </c>
      <c r="P223" s="357">
        <v>9</v>
      </c>
      <c r="Q223" s="358">
        <v>9</v>
      </c>
      <c r="R223" s="359">
        <f t="shared" si="32"/>
        <v>0</v>
      </c>
      <c r="S223" s="360">
        <f t="shared" si="33"/>
        <v>0</v>
      </c>
      <c r="T223" s="361">
        <f t="shared" si="34"/>
        <v>0.10555555555555554</v>
      </c>
      <c r="U223" s="362">
        <v>0</v>
      </c>
      <c r="V223" s="362">
        <f t="shared" si="37"/>
        <v>19689</v>
      </c>
      <c r="W223" s="362">
        <f t="shared" si="35"/>
        <v>19689</v>
      </c>
      <c r="X223" s="742">
        <f t="shared" si="38"/>
        <v>0</v>
      </c>
    </row>
    <row r="224" spans="1:24" ht="13.9">
      <c r="A224" s="349">
        <f t="shared" si="36"/>
        <v>216</v>
      </c>
      <c r="B224" s="350" t="s">
        <v>935</v>
      </c>
      <c r="C224" s="350" t="s">
        <v>1704</v>
      </c>
      <c r="D224" s="350" t="s">
        <v>1705</v>
      </c>
      <c r="E224" s="350" t="s">
        <v>1730</v>
      </c>
      <c r="F224" s="350" t="s">
        <v>1733</v>
      </c>
      <c r="G224" s="366">
        <v>40839</v>
      </c>
      <c r="H224" s="352">
        <v>590657</v>
      </c>
      <c r="I224" s="353" t="s">
        <v>1379</v>
      </c>
      <c r="J224" s="353" t="s">
        <v>1379</v>
      </c>
      <c r="K224" s="354">
        <f t="shared" si="30"/>
        <v>590657</v>
      </c>
      <c r="L224" s="363">
        <v>40863</v>
      </c>
      <c r="M224" s="742">
        <v>561124</v>
      </c>
      <c r="N224" s="352">
        <f t="shared" si="39"/>
        <v>29533</v>
      </c>
      <c r="O224" s="357">
        <f t="shared" si="31"/>
        <v>4520</v>
      </c>
      <c r="P224" s="357">
        <v>9</v>
      </c>
      <c r="Q224" s="358">
        <v>9</v>
      </c>
      <c r="R224" s="359">
        <f t="shared" si="32"/>
        <v>0</v>
      </c>
      <c r="S224" s="360">
        <f t="shared" si="33"/>
        <v>0</v>
      </c>
      <c r="T224" s="361">
        <f t="shared" si="34"/>
        <v>0.10555555555555554</v>
      </c>
      <c r="U224" s="362">
        <v>0</v>
      </c>
      <c r="V224" s="362">
        <f t="shared" si="37"/>
        <v>29533</v>
      </c>
      <c r="W224" s="362">
        <f t="shared" si="35"/>
        <v>29533</v>
      </c>
      <c r="X224" s="742">
        <f t="shared" si="38"/>
        <v>0</v>
      </c>
    </row>
    <row r="225" spans="1:24" ht="13.9">
      <c r="A225" s="349">
        <f t="shared" si="36"/>
        <v>217</v>
      </c>
      <c r="B225" s="350" t="s">
        <v>935</v>
      </c>
      <c r="C225" s="350" t="s">
        <v>1704</v>
      </c>
      <c r="D225" s="350" t="s">
        <v>1705</v>
      </c>
      <c r="E225" s="350" t="s">
        <v>1730</v>
      </c>
      <c r="F225" s="350" t="s">
        <v>1734</v>
      </c>
      <c r="G225" s="366">
        <v>40839</v>
      </c>
      <c r="H225" s="352">
        <v>590656</v>
      </c>
      <c r="I225" s="353" t="s">
        <v>1379</v>
      </c>
      <c r="J225" s="353" t="s">
        <v>1379</v>
      </c>
      <c r="K225" s="354">
        <f t="shared" si="30"/>
        <v>590656</v>
      </c>
      <c r="L225" s="363">
        <v>40863</v>
      </c>
      <c r="M225" s="742">
        <v>561123</v>
      </c>
      <c r="N225" s="352">
        <f t="shared" si="39"/>
        <v>29533</v>
      </c>
      <c r="O225" s="357">
        <f t="shared" si="31"/>
        <v>4520</v>
      </c>
      <c r="P225" s="357">
        <v>9</v>
      </c>
      <c r="Q225" s="358">
        <v>9</v>
      </c>
      <c r="R225" s="359">
        <f t="shared" si="32"/>
        <v>0</v>
      </c>
      <c r="S225" s="360">
        <f t="shared" si="33"/>
        <v>0</v>
      </c>
      <c r="T225" s="361">
        <f t="shared" si="34"/>
        <v>0.10555555555555554</v>
      </c>
      <c r="U225" s="362">
        <v>0</v>
      </c>
      <c r="V225" s="362">
        <f t="shared" si="37"/>
        <v>29533</v>
      </c>
      <c r="W225" s="362">
        <f t="shared" si="35"/>
        <v>29533</v>
      </c>
      <c r="X225" s="742">
        <f t="shared" si="38"/>
        <v>0</v>
      </c>
    </row>
    <row r="226" spans="1:24" ht="13.9">
      <c r="A226" s="349">
        <f t="shared" si="36"/>
        <v>218</v>
      </c>
      <c r="B226" s="350" t="s">
        <v>935</v>
      </c>
      <c r="C226" s="350" t="s">
        <v>1735</v>
      </c>
      <c r="D226" s="350" t="s">
        <v>1705</v>
      </c>
      <c r="E226" s="350" t="s">
        <v>1730</v>
      </c>
      <c r="F226" s="350" t="s">
        <v>1736</v>
      </c>
      <c r="G226" s="366">
        <v>40863</v>
      </c>
      <c r="H226" s="352">
        <v>590656</v>
      </c>
      <c r="I226" s="353" t="s">
        <v>1379</v>
      </c>
      <c r="J226" s="353" t="s">
        <v>1379</v>
      </c>
      <c r="K226" s="354">
        <f t="shared" si="30"/>
        <v>590656</v>
      </c>
      <c r="L226" s="363">
        <v>40863</v>
      </c>
      <c r="M226" s="742">
        <v>561123</v>
      </c>
      <c r="N226" s="352">
        <f t="shared" si="39"/>
        <v>29533</v>
      </c>
      <c r="O226" s="357">
        <f t="shared" si="31"/>
        <v>4520</v>
      </c>
      <c r="P226" s="357">
        <v>9</v>
      </c>
      <c r="Q226" s="358">
        <v>9</v>
      </c>
      <c r="R226" s="359">
        <f t="shared" si="32"/>
        <v>0</v>
      </c>
      <c r="S226" s="360">
        <f t="shared" si="33"/>
        <v>0</v>
      </c>
      <c r="T226" s="361">
        <f t="shared" si="34"/>
        <v>0.10555555555555554</v>
      </c>
      <c r="U226" s="362">
        <v>0</v>
      </c>
      <c r="V226" s="362">
        <f t="shared" si="37"/>
        <v>29533</v>
      </c>
      <c r="W226" s="362">
        <f t="shared" si="35"/>
        <v>29533</v>
      </c>
      <c r="X226" s="742">
        <f t="shared" si="38"/>
        <v>0</v>
      </c>
    </row>
    <row r="227" spans="1:24" ht="13.9">
      <c r="A227" s="349">
        <f t="shared" si="36"/>
        <v>219</v>
      </c>
      <c r="B227" s="350" t="s">
        <v>1411</v>
      </c>
      <c r="C227" s="350" t="s">
        <v>1735</v>
      </c>
      <c r="D227" s="350" t="s">
        <v>1705</v>
      </c>
      <c r="E227" s="350" t="s">
        <v>1737</v>
      </c>
      <c r="F227" s="350" t="s">
        <v>1738</v>
      </c>
      <c r="G227" s="366">
        <v>40933</v>
      </c>
      <c r="H227" s="352">
        <v>982770</v>
      </c>
      <c r="I227" s="353" t="s">
        <v>1379</v>
      </c>
      <c r="J227" s="353" t="s">
        <v>1379</v>
      </c>
      <c r="K227" s="354">
        <f t="shared" si="30"/>
        <v>982770</v>
      </c>
      <c r="L227" s="363">
        <v>40942</v>
      </c>
      <c r="M227" s="742">
        <v>933631</v>
      </c>
      <c r="N227" s="352">
        <f t="shared" si="39"/>
        <v>49139</v>
      </c>
      <c r="O227" s="357">
        <f t="shared" si="31"/>
        <v>4441</v>
      </c>
      <c r="P227" s="357">
        <v>9</v>
      </c>
      <c r="Q227" s="358">
        <v>9</v>
      </c>
      <c r="R227" s="359">
        <f t="shared" si="32"/>
        <v>0</v>
      </c>
      <c r="S227" s="360">
        <f t="shared" si="33"/>
        <v>0</v>
      </c>
      <c r="T227" s="361">
        <f t="shared" si="34"/>
        <v>0.10555555555555554</v>
      </c>
      <c r="U227" s="362">
        <v>0</v>
      </c>
      <c r="V227" s="362">
        <f t="shared" si="37"/>
        <v>49139</v>
      </c>
      <c r="W227" s="362">
        <f t="shared" si="35"/>
        <v>49139</v>
      </c>
      <c r="X227" s="742">
        <f t="shared" si="38"/>
        <v>0</v>
      </c>
    </row>
    <row r="228" spans="1:24" ht="13.9">
      <c r="A228" s="349">
        <f t="shared" si="36"/>
        <v>220</v>
      </c>
      <c r="B228" s="350" t="s">
        <v>1679</v>
      </c>
      <c r="C228" s="350" t="s">
        <v>1735</v>
      </c>
      <c r="D228" s="350" t="s">
        <v>1705</v>
      </c>
      <c r="E228" s="350" t="s">
        <v>1428</v>
      </c>
      <c r="F228" s="350" t="s">
        <v>1739</v>
      </c>
      <c r="G228" s="366">
        <v>40665</v>
      </c>
      <c r="H228" s="352">
        <v>1530000</v>
      </c>
      <c r="I228" s="353" t="s">
        <v>1379</v>
      </c>
      <c r="J228" s="353" t="s">
        <v>1379</v>
      </c>
      <c r="K228" s="354">
        <f t="shared" si="30"/>
        <v>1530000</v>
      </c>
      <c r="L228" s="363">
        <v>40690</v>
      </c>
      <c r="M228" s="742">
        <v>1453500</v>
      </c>
      <c r="N228" s="352">
        <f t="shared" si="39"/>
        <v>76500</v>
      </c>
      <c r="O228" s="357">
        <f t="shared" si="31"/>
        <v>4693</v>
      </c>
      <c r="P228" s="357">
        <v>9</v>
      </c>
      <c r="Q228" s="358">
        <v>9</v>
      </c>
      <c r="R228" s="359">
        <f t="shared" si="32"/>
        <v>0</v>
      </c>
      <c r="S228" s="360">
        <f t="shared" si="33"/>
        <v>0</v>
      </c>
      <c r="T228" s="361">
        <f t="shared" si="34"/>
        <v>0.10555555555555554</v>
      </c>
      <c r="U228" s="362">
        <v>0</v>
      </c>
      <c r="V228" s="362">
        <f t="shared" si="37"/>
        <v>76500</v>
      </c>
      <c r="W228" s="362">
        <f t="shared" si="35"/>
        <v>76500</v>
      </c>
      <c r="X228" s="742">
        <f t="shared" si="38"/>
        <v>0</v>
      </c>
    </row>
    <row r="229" spans="1:24" ht="13.9">
      <c r="A229" s="349">
        <f t="shared" si="36"/>
        <v>221</v>
      </c>
      <c r="B229" s="350" t="s">
        <v>983</v>
      </c>
      <c r="C229" s="350" t="s">
        <v>1704</v>
      </c>
      <c r="D229" s="350" t="s">
        <v>1705</v>
      </c>
      <c r="E229" s="350" t="s">
        <v>1740</v>
      </c>
      <c r="F229" s="350" t="s">
        <v>1741</v>
      </c>
      <c r="G229" s="351" t="s">
        <v>1742</v>
      </c>
      <c r="H229" s="352">
        <v>375560</v>
      </c>
      <c r="I229" s="353" t="s">
        <v>1379</v>
      </c>
      <c r="J229" s="353" t="s">
        <v>1379</v>
      </c>
      <c r="K229" s="354">
        <f t="shared" si="30"/>
        <v>375560</v>
      </c>
      <c r="L229" s="363">
        <v>40901</v>
      </c>
      <c r="M229" s="742">
        <v>356782</v>
      </c>
      <c r="N229" s="352">
        <f t="shared" si="39"/>
        <v>18778</v>
      </c>
      <c r="O229" s="357">
        <f t="shared" si="31"/>
        <v>4482</v>
      </c>
      <c r="P229" s="357">
        <v>9</v>
      </c>
      <c r="Q229" s="358">
        <v>9</v>
      </c>
      <c r="R229" s="359">
        <f t="shared" si="32"/>
        <v>0</v>
      </c>
      <c r="S229" s="360">
        <f t="shared" si="33"/>
        <v>0</v>
      </c>
      <c r="T229" s="361">
        <f t="shared" si="34"/>
        <v>0.10555555555555554</v>
      </c>
      <c r="U229" s="362">
        <v>0</v>
      </c>
      <c r="V229" s="362">
        <f t="shared" si="37"/>
        <v>18778</v>
      </c>
      <c r="W229" s="362">
        <f t="shared" si="35"/>
        <v>18778</v>
      </c>
      <c r="X229" s="742">
        <f t="shared" si="38"/>
        <v>0</v>
      </c>
    </row>
    <row r="230" spans="1:24" ht="13.9">
      <c r="A230" s="349">
        <f t="shared" si="36"/>
        <v>222</v>
      </c>
      <c r="B230" s="350" t="s">
        <v>983</v>
      </c>
      <c r="C230" s="350"/>
      <c r="D230" s="350" t="s">
        <v>1705</v>
      </c>
      <c r="E230" s="350"/>
      <c r="F230" s="350" t="s">
        <v>1743</v>
      </c>
      <c r="G230" s="351" t="s">
        <v>1744</v>
      </c>
      <c r="H230" s="352">
        <v>19465</v>
      </c>
      <c r="I230" s="353" t="s">
        <v>1379</v>
      </c>
      <c r="J230" s="353" t="s">
        <v>1379</v>
      </c>
      <c r="K230" s="354">
        <f t="shared" si="30"/>
        <v>19465</v>
      </c>
      <c r="L230" s="363">
        <v>40609</v>
      </c>
      <c r="M230" s="742">
        <v>18492</v>
      </c>
      <c r="N230" s="352">
        <f t="shared" si="39"/>
        <v>973</v>
      </c>
      <c r="O230" s="357">
        <f t="shared" si="31"/>
        <v>4774</v>
      </c>
      <c r="P230" s="357">
        <v>9</v>
      </c>
      <c r="Q230" s="358">
        <v>9</v>
      </c>
      <c r="R230" s="359">
        <f t="shared" si="32"/>
        <v>0</v>
      </c>
      <c r="S230" s="360">
        <f t="shared" si="33"/>
        <v>0</v>
      </c>
      <c r="T230" s="361">
        <f t="shared" si="34"/>
        <v>0.10555555555555554</v>
      </c>
      <c r="U230" s="362">
        <v>0</v>
      </c>
      <c r="V230" s="362">
        <f t="shared" si="37"/>
        <v>973</v>
      </c>
      <c r="W230" s="362">
        <f t="shared" si="35"/>
        <v>973</v>
      </c>
      <c r="X230" s="742">
        <f t="shared" si="38"/>
        <v>0</v>
      </c>
    </row>
    <row r="231" spans="1:24" ht="13.9">
      <c r="A231" s="349">
        <f t="shared" si="36"/>
        <v>223</v>
      </c>
      <c r="B231" s="350" t="s">
        <v>307</v>
      </c>
      <c r="C231" s="350" t="s">
        <v>1745</v>
      </c>
      <c r="D231" s="350" t="s">
        <v>1746</v>
      </c>
      <c r="E231" s="350" t="s">
        <v>1482</v>
      </c>
      <c r="F231" s="350" t="s">
        <v>1747</v>
      </c>
      <c r="G231" s="376">
        <v>41019</v>
      </c>
      <c r="H231" s="352">
        <f>25043618-672375</f>
        <v>24371243</v>
      </c>
      <c r="I231" s="353" t="s">
        <v>1379</v>
      </c>
      <c r="J231" s="353" t="s">
        <v>1379</v>
      </c>
      <c r="K231" s="354">
        <f t="shared" si="30"/>
        <v>24371243</v>
      </c>
      <c r="L231" s="377">
        <v>41023</v>
      </c>
      <c r="M231" s="742">
        <v>23152681</v>
      </c>
      <c r="N231" s="352">
        <f t="shared" si="39"/>
        <v>1218562</v>
      </c>
      <c r="O231" s="357">
        <f t="shared" si="31"/>
        <v>4360</v>
      </c>
      <c r="P231" s="357">
        <v>9</v>
      </c>
      <c r="Q231" s="358">
        <v>9</v>
      </c>
      <c r="R231" s="359">
        <f t="shared" si="32"/>
        <v>0</v>
      </c>
      <c r="S231" s="360">
        <f t="shared" si="33"/>
        <v>0</v>
      </c>
      <c r="T231" s="361">
        <f t="shared" si="34"/>
        <v>0.10555555555555554</v>
      </c>
      <c r="U231" s="362">
        <v>0</v>
      </c>
      <c r="V231" s="362">
        <f t="shared" si="37"/>
        <v>1218562</v>
      </c>
      <c r="W231" s="362">
        <f t="shared" si="35"/>
        <v>1218562</v>
      </c>
      <c r="X231" s="742">
        <f t="shared" si="38"/>
        <v>0</v>
      </c>
    </row>
    <row r="232" spans="1:24" ht="13.9">
      <c r="A232" s="349">
        <f t="shared" si="36"/>
        <v>224</v>
      </c>
      <c r="B232" s="350" t="s">
        <v>307</v>
      </c>
      <c r="C232" s="350" t="s">
        <v>1748</v>
      </c>
      <c r="D232" s="350" t="s">
        <v>1746</v>
      </c>
      <c r="E232" s="350" t="s">
        <v>1482</v>
      </c>
      <c r="F232" s="350" t="s">
        <v>1749</v>
      </c>
      <c r="G232" s="376">
        <v>41023</v>
      </c>
      <c r="H232" s="352">
        <f>25192331-672375</f>
        <v>24519956</v>
      </c>
      <c r="I232" s="353" t="s">
        <v>1379</v>
      </c>
      <c r="J232" s="353" t="s">
        <v>1379</v>
      </c>
      <c r="K232" s="354">
        <f t="shared" si="30"/>
        <v>24519956</v>
      </c>
      <c r="L232" s="377">
        <v>41024</v>
      </c>
      <c r="M232" s="742">
        <v>23293958</v>
      </c>
      <c r="N232" s="352">
        <f t="shared" si="39"/>
        <v>1225998</v>
      </c>
      <c r="O232" s="357">
        <f t="shared" si="31"/>
        <v>4359</v>
      </c>
      <c r="P232" s="357">
        <v>9</v>
      </c>
      <c r="Q232" s="358">
        <v>9</v>
      </c>
      <c r="R232" s="359">
        <f t="shared" si="32"/>
        <v>0</v>
      </c>
      <c r="S232" s="360">
        <f t="shared" si="33"/>
        <v>0</v>
      </c>
      <c r="T232" s="361">
        <f t="shared" si="34"/>
        <v>0.10555555555555554</v>
      </c>
      <c r="U232" s="362">
        <v>0</v>
      </c>
      <c r="V232" s="362">
        <f t="shared" si="37"/>
        <v>1225998</v>
      </c>
      <c r="W232" s="362">
        <f t="shared" si="35"/>
        <v>1225998</v>
      </c>
      <c r="X232" s="742">
        <f t="shared" si="38"/>
        <v>0</v>
      </c>
    </row>
    <row r="233" spans="1:24" ht="13.9">
      <c r="A233" s="349">
        <f t="shared" si="36"/>
        <v>225</v>
      </c>
      <c r="B233" s="350" t="s">
        <v>307</v>
      </c>
      <c r="C233" s="350" t="s">
        <v>1710</v>
      </c>
      <c r="D233" s="350" t="s">
        <v>1746</v>
      </c>
      <c r="E233" s="350" t="s">
        <v>1750</v>
      </c>
      <c r="F233" s="350" t="s">
        <v>1751</v>
      </c>
      <c r="G233" s="376">
        <v>41059</v>
      </c>
      <c r="H233" s="352">
        <v>12875313</v>
      </c>
      <c r="I233" s="353" t="s">
        <v>1379</v>
      </c>
      <c r="J233" s="353" t="s">
        <v>1379</v>
      </c>
      <c r="K233" s="354">
        <f t="shared" si="30"/>
        <v>12875313</v>
      </c>
      <c r="L233" s="377">
        <v>41060</v>
      </c>
      <c r="M233" s="742">
        <v>12231547</v>
      </c>
      <c r="N233" s="352">
        <f t="shared" si="39"/>
        <v>643766</v>
      </c>
      <c r="O233" s="357">
        <f t="shared" si="31"/>
        <v>4323</v>
      </c>
      <c r="P233" s="357">
        <v>9</v>
      </c>
      <c r="Q233" s="358">
        <v>9</v>
      </c>
      <c r="R233" s="359">
        <f t="shared" si="32"/>
        <v>0</v>
      </c>
      <c r="S233" s="360">
        <f t="shared" si="33"/>
        <v>0</v>
      </c>
      <c r="T233" s="361">
        <f t="shared" si="34"/>
        <v>0.10555555555555554</v>
      </c>
      <c r="U233" s="362">
        <v>0</v>
      </c>
      <c r="V233" s="362">
        <f t="shared" si="37"/>
        <v>643766</v>
      </c>
      <c r="W233" s="362">
        <f t="shared" si="35"/>
        <v>643766</v>
      </c>
      <c r="X233" s="742">
        <f t="shared" si="38"/>
        <v>0</v>
      </c>
    </row>
    <row r="234" spans="1:24" ht="13.9">
      <c r="A234" s="349">
        <f t="shared" si="36"/>
        <v>226</v>
      </c>
      <c r="B234" s="350" t="s">
        <v>307</v>
      </c>
      <c r="C234" s="350" t="s">
        <v>1748</v>
      </c>
      <c r="D234" s="350" t="s">
        <v>1746</v>
      </c>
      <c r="E234" s="350" t="s">
        <v>1482</v>
      </c>
      <c r="F234" s="350" t="s">
        <v>1752</v>
      </c>
      <c r="G234" s="376">
        <v>41025</v>
      </c>
      <c r="H234" s="352">
        <v>15613312</v>
      </c>
      <c r="I234" s="353" t="s">
        <v>1379</v>
      </c>
      <c r="J234" s="353" t="s">
        <v>1379</v>
      </c>
      <c r="K234" s="354">
        <f t="shared" si="30"/>
        <v>15613312</v>
      </c>
      <c r="L234" s="377">
        <v>41025</v>
      </c>
      <c r="M234" s="742">
        <v>14832646</v>
      </c>
      <c r="N234" s="352">
        <f t="shared" si="39"/>
        <v>780666</v>
      </c>
      <c r="O234" s="357">
        <f t="shared" si="31"/>
        <v>4358</v>
      </c>
      <c r="P234" s="357">
        <v>9</v>
      </c>
      <c r="Q234" s="358">
        <v>9</v>
      </c>
      <c r="R234" s="359">
        <f t="shared" si="32"/>
        <v>0</v>
      </c>
      <c r="S234" s="360">
        <f t="shared" si="33"/>
        <v>0</v>
      </c>
      <c r="T234" s="361">
        <f t="shared" si="34"/>
        <v>0.10555555555555554</v>
      </c>
      <c r="U234" s="362">
        <v>0</v>
      </c>
      <c r="V234" s="362">
        <f t="shared" si="37"/>
        <v>780666</v>
      </c>
      <c r="W234" s="362">
        <f t="shared" si="35"/>
        <v>780666</v>
      </c>
      <c r="X234" s="742">
        <f t="shared" si="38"/>
        <v>0</v>
      </c>
    </row>
    <row r="235" spans="1:24" ht="13.9">
      <c r="A235" s="349">
        <f t="shared" si="36"/>
        <v>227</v>
      </c>
      <c r="B235" s="350" t="s">
        <v>307</v>
      </c>
      <c r="C235" s="350" t="s">
        <v>1748</v>
      </c>
      <c r="D235" s="350" t="s">
        <v>1746</v>
      </c>
      <c r="E235" s="350" t="s">
        <v>1657</v>
      </c>
      <c r="F235" s="350"/>
      <c r="G235" s="376"/>
      <c r="H235" s="352">
        <v>1347750</v>
      </c>
      <c r="I235" s="353" t="s">
        <v>1379</v>
      </c>
      <c r="J235" s="353" t="s">
        <v>1379</v>
      </c>
      <c r="K235" s="354">
        <f t="shared" si="30"/>
        <v>1347750</v>
      </c>
      <c r="L235" s="377">
        <v>41291</v>
      </c>
      <c r="M235" s="742">
        <v>1280362</v>
      </c>
      <c r="N235" s="352">
        <f t="shared" si="39"/>
        <v>67388</v>
      </c>
      <c r="O235" s="357">
        <f t="shared" si="31"/>
        <v>4092</v>
      </c>
      <c r="P235" s="357">
        <v>9</v>
      </c>
      <c r="Q235" s="358">
        <v>9</v>
      </c>
      <c r="R235" s="359">
        <f t="shared" si="32"/>
        <v>0</v>
      </c>
      <c r="S235" s="360">
        <f t="shared" si="33"/>
        <v>0</v>
      </c>
      <c r="T235" s="361">
        <f t="shared" si="34"/>
        <v>0.10555555555555554</v>
      </c>
      <c r="U235" s="362">
        <v>0</v>
      </c>
      <c r="V235" s="362">
        <f t="shared" si="37"/>
        <v>67388</v>
      </c>
      <c r="W235" s="362">
        <f t="shared" si="35"/>
        <v>67388</v>
      </c>
      <c r="X235" s="742">
        <f t="shared" si="38"/>
        <v>0</v>
      </c>
    </row>
    <row r="236" spans="1:24" ht="13.9">
      <c r="A236" s="349">
        <f t="shared" si="36"/>
        <v>228</v>
      </c>
      <c r="B236" s="350" t="s">
        <v>307</v>
      </c>
      <c r="C236" s="350" t="s">
        <v>1673</v>
      </c>
      <c r="D236" s="350" t="s">
        <v>1746</v>
      </c>
      <c r="E236" s="350" t="s">
        <v>1522</v>
      </c>
      <c r="F236" s="350" t="s">
        <v>1753</v>
      </c>
      <c r="G236" s="376">
        <v>41320</v>
      </c>
      <c r="H236" s="352">
        <v>1419156</v>
      </c>
      <c r="I236" s="353" t="s">
        <v>1379</v>
      </c>
      <c r="J236" s="353" t="s">
        <v>1379</v>
      </c>
      <c r="K236" s="354">
        <f t="shared" si="30"/>
        <v>1419156</v>
      </c>
      <c r="L236" s="377">
        <v>41321</v>
      </c>
      <c r="M236" s="742">
        <v>1348198</v>
      </c>
      <c r="N236" s="352">
        <f t="shared" si="39"/>
        <v>70958</v>
      </c>
      <c r="O236" s="357">
        <f t="shared" si="31"/>
        <v>4062</v>
      </c>
      <c r="P236" s="357">
        <v>9</v>
      </c>
      <c r="Q236" s="358">
        <v>9</v>
      </c>
      <c r="R236" s="359">
        <f t="shared" si="32"/>
        <v>0</v>
      </c>
      <c r="S236" s="360">
        <f t="shared" si="33"/>
        <v>0</v>
      </c>
      <c r="T236" s="361">
        <f t="shared" si="34"/>
        <v>0.10555555555555554</v>
      </c>
      <c r="U236" s="362">
        <v>0</v>
      </c>
      <c r="V236" s="362">
        <f t="shared" si="37"/>
        <v>70958</v>
      </c>
      <c r="W236" s="362">
        <f t="shared" si="35"/>
        <v>70958</v>
      </c>
      <c r="X236" s="742">
        <f t="shared" si="38"/>
        <v>0</v>
      </c>
    </row>
    <row r="237" spans="1:24" ht="13.9">
      <c r="A237" s="349">
        <f t="shared" si="36"/>
        <v>229</v>
      </c>
      <c r="B237" s="350" t="s">
        <v>307</v>
      </c>
      <c r="C237" s="350" t="s">
        <v>1673</v>
      </c>
      <c r="D237" s="350" t="s">
        <v>1746</v>
      </c>
      <c r="E237" s="350" t="s">
        <v>1750</v>
      </c>
      <c r="F237" s="350" t="s">
        <v>1754</v>
      </c>
      <c r="G237" s="376">
        <v>41338</v>
      </c>
      <c r="H237" s="352">
        <v>12479554</v>
      </c>
      <c r="I237" s="353" t="s">
        <v>1379</v>
      </c>
      <c r="J237" s="353" t="s">
        <v>1379</v>
      </c>
      <c r="K237" s="354">
        <f t="shared" si="30"/>
        <v>12479554</v>
      </c>
      <c r="L237" s="377">
        <v>41338</v>
      </c>
      <c r="M237" s="742">
        <v>11855576</v>
      </c>
      <c r="N237" s="352">
        <f t="shared" si="39"/>
        <v>623978</v>
      </c>
      <c r="O237" s="357">
        <f t="shared" si="31"/>
        <v>4045</v>
      </c>
      <c r="P237" s="357">
        <v>9</v>
      </c>
      <c r="Q237" s="358">
        <v>9</v>
      </c>
      <c r="R237" s="359">
        <f t="shared" si="32"/>
        <v>0</v>
      </c>
      <c r="S237" s="360">
        <f t="shared" si="33"/>
        <v>0</v>
      </c>
      <c r="T237" s="361">
        <f t="shared" si="34"/>
        <v>0.10555555555555554</v>
      </c>
      <c r="U237" s="362">
        <v>0</v>
      </c>
      <c r="V237" s="362">
        <f t="shared" si="37"/>
        <v>623978</v>
      </c>
      <c r="W237" s="362">
        <f t="shared" si="35"/>
        <v>623978</v>
      </c>
      <c r="X237" s="742">
        <f t="shared" si="38"/>
        <v>0</v>
      </c>
    </row>
    <row r="238" spans="1:24" ht="13.9">
      <c r="A238" s="349">
        <f t="shared" si="36"/>
        <v>230</v>
      </c>
      <c r="B238" s="350" t="s">
        <v>1679</v>
      </c>
      <c r="C238" s="350" t="s">
        <v>1735</v>
      </c>
      <c r="D238" s="350" t="s">
        <v>1746</v>
      </c>
      <c r="E238" s="350" t="s">
        <v>1428</v>
      </c>
      <c r="F238" s="350" t="s">
        <v>1755</v>
      </c>
      <c r="G238" s="376">
        <v>41012</v>
      </c>
      <c r="H238" s="352">
        <v>5865000</v>
      </c>
      <c r="I238" s="353" t="s">
        <v>1379</v>
      </c>
      <c r="J238" s="353" t="s">
        <v>1379</v>
      </c>
      <c r="K238" s="354">
        <f t="shared" si="30"/>
        <v>5865000</v>
      </c>
      <c r="L238" s="377">
        <v>41019</v>
      </c>
      <c r="M238" s="742">
        <v>5571750</v>
      </c>
      <c r="N238" s="352">
        <f t="shared" si="39"/>
        <v>293250</v>
      </c>
      <c r="O238" s="357">
        <f t="shared" si="31"/>
        <v>4364</v>
      </c>
      <c r="P238" s="357">
        <v>9</v>
      </c>
      <c r="Q238" s="358">
        <v>9</v>
      </c>
      <c r="R238" s="359">
        <f t="shared" si="32"/>
        <v>0</v>
      </c>
      <c r="S238" s="360">
        <f t="shared" si="33"/>
        <v>0</v>
      </c>
      <c r="T238" s="361">
        <f t="shared" si="34"/>
        <v>0.10555555555555554</v>
      </c>
      <c r="U238" s="362">
        <v>0</v>
      </c>
      <c r="V238" s="362">
        <f t="shared" si="37"/>
        <v>293250</v>
      </c>
      <c r="W238" s="362">
        <f t="shared" si="35"/>
        <v>293250</v>
      </c>
      <c r="X238" s="742">
        <f t="shared" si="38"/>
        <v>0</v>
      </c>
    </row>
    <row r="239" spans="1:24" ht="13.9">
      <c r="A239" s="349">
        <f t="shared" si="36"/>
        <v>231</v>
      </c>
      <c r="B239" s="350" t="s">
        <v>1679</v>
      </c>
      <c r="C239" s="350" t="s">
        <v>1735</v>
      </c>
      <c r="D239" s="350" t="s">
        <v>1746</v>
      </c>
      <c r="E239" s="350" t="s">
        <v>1428</v>
      </c>
      <c r="F239" s="350" t="s">
        <v>1756</v>
      </c>
      <c r="G239" s="376">
        <v>41116</v>
      </c>
      <c r="H239" s="352">
        <v>3187500</v>
      </c>
      <c r="I239" s="353" t="s">
        <v>1379</v>
      </c>
      <c r="J239" s="353" t="s">
        <v>1379</v>
      </c>
      <c r="K239" s="354">
        <f t="shared" si="30"/>
        <v>3187500</v>
      </c>
      <c r="L239" s="377">
        <v>41125</v>
      </c>
      <c r="M239" s="742">
        <v>3028125</v>
      </c>
      <c r="N239" s="352">
        <f t="shared" si="39"/>
        <v>159375</v>
      </c>
      <c r="O239" s="357">
        <f t="shared" si="31"/>
        <v>4258</v>
      </c>
      <c r="P239" s="357">
        <v>9</v>
      </c>
      <c r="Q239" s="358">
        <v>9</v>
      </c>
      <c r="R239" s="359">
        <f t="shared" si="32"/>
        <v>0</v>
      </c>
      <c r="S239" s="360">
        <f t="shared" si="33"/>
        <v>0</v>
      </c>
      <c r="T239" s="361">
        <f t="shared" si="34"/>
        <v>0.10555555555555554</v>
      </c>
      <c r="U239" s="362">
        <v>0</v>
      </c>
      <c r="V239" s="362">
        <f t="shared" si="37"/>
        <v>159375</v>
      </c>
      <c r="W239" s="362">
        <f t="shared" si="35"/>
        <v>159375</v>
      </c>
      <c r="X239" s="742">
        <f t="shared" si="38"/>
        <v>0</v>
      </c>
    </row>
    <row r="240" spans="1:24" ht="13.9">
      <c r="A240" s="349">
        <f t="shared" si="36"/>
        <v>232</v>
      </c>
      <c r="B240" s="350" t="s">
        <v>1757</v>
      </c>
      <c r="C240" s="350" t="s">
        <v>1634</v>
      </c>
      <c r="D240" s="350" t="s">
        <v>1746</v>
      </c>
      <c r="E240" s="350" t="s">
        <v>1758</v>
      </c>
      <c r="F240" s="350" t="s">
        <v>1759</v>
      </c>
      <c r="G240" s="376">
        <v>41029</v>
      </c>
      <c r="H240" s="352">
        <v>5637466</v>
      </c>
      <c r="I240" s="353" t="s">
        <v>1379</v>
      </c>
      <c r="J240" s="353" t="s">
        <v>1379</v>
      </c>
      <c r="K240" s="354">
        <f t="shared" si="30"/>
        <v>5637466</v>
      </c>
      <c r="L240" s="377">
        <v>41029</v>
      </c>
      <c r="M240" s="742">
        <v>5355593</v>
      </c>
      <c r="N240" s="352">
        <f t="shared" si="39"/>
        <v>281873</v>
      </c>
      <c r="O240" s="357">
        <f t="shared" si="31"/>
        <v>4354</v>
      </c>
      <c r="P240" s="357">
        <v>9</v>
      </c>
      <c r="Q240" s="358">
        <v>9</v>
      </c>
      <c r="R240" s="359">
        <f t="shared" si="32"/>
        <v>0</v>
      </c>
      <c r="S240" s="360">
        <f t="shared" si="33"/>
        <v>0</v>
      </c>
      <c r="T240" s="361">
        <f t="shared" si="34"/>
        <v>0.10555555555555554</v>
      </c>
      <c r="U240" s="362">
        <v>0</v>
      </c>
      <c r="V240" s="362">
        <f t="shared" si="37"/>
        <v>281873</v>
      </c>
      <c r="W240" s="362">
        <f t="shared" si="35"/>
        <v>281873</v>
      </c>
      <c r="X240" s="742">
        <f t="shared" si="38"/>
        <v>0</v>
      </c>
    </row>
    <row r="241" spans="1:24" ht="13.9">
      <c r="A241" s="349">
        <f t="shared" si="36"/>
        <v>233</v>
      </c>
      <c r="B241" s="350" t="s">
        <v>935</v>
      </c>
      <c r="C241" s="350" t="s">
        <v>1748</v>
      </c>
      <c r="D241" s="350" t="s">
        <v>1746</v>
      </c>
      <c r="E241" s="350" t="s">
        <v>1730</v>
      </c>
      <c r="F241" s="350" t="s">
        <v>1760</v>
      </c>
      <c r="G241" s="376">
        <v>41021</v>
      </c>
      <c r="H241" s="352">
        <v>668590</v>
      </c>
      <c r="I241" s="353" t="s">
        <v>1379</v>
      </c>
      <c r="J241" s="353" t="s">
        <v>1379</v>
      </c>
      <c r="K241" s="354">
        <f t="shared" si="30"/>
        <v>668590</v>
      </c>
      <c r="L241" s="377">
        <v>41021</v>
      </c>
      <c r="M241" s="742">
        <v>646895</v>
      </c>
      <c r="N241" s="352">
        <f t="shared" si="39"/>
        <v>21695</v>
      </c>
      <c r="O241" s="357">
        <f t="shared" si="31"/>
        <v>4362</v>
      </c>
      <c r="P241" s="357">
        <v>9</v>
      </c>
      <c r="Q241" s="358">
        <v>9</v>
      </c>
      <c r="R241" s="359">
        <f t="shared" si="32"/>
        <v>0</v>
      </c>
      <c r="S241" s="360">
        <f t="shared" si="33"/>
        <v>0</v>
      </c>
      <c r="T241" s="361">
        <f t="shared" si="34"/>
        <v>0.10555555555555554</v>
      </c>
      <c r="U241" s="362">
        <v>0</v>
      </c>
      <c r="V241" s="362">
        <f t="shared" si="37"/>
        <v>21695</v>
      </c>
      <c r="W241" s="362">
        <f t="shared" si="35"/>
        <v>33430</v>
      </c>
      <c r="X241" s="742">
        <f t="shared" si="38"/>
        <v>-11735</v>
      </c>
    </row>
    <row r="242" spans="1:24" ht="13.9">
      <c r="A242" s="349">
        <f t="shared" si="36"/>
        <v>234</v>
      </c>
      <c r="B242" s="350" t="s">
        <v>935</v>
      </c>
      <c r="C242" s="350" t="s">
        <v>1748</v>
      </c>
      <c r="D242" s="350" t="s">
        <v>1746</v>
      </c>
      <c r="E242" s="350" t="s">
        <v>1730</v>
      </c>
      <c r="F242" s="350" t="s">
        <v>1761</v>
      </c>
      <c r="G242" s="376">
        <v>41025</v>
      </c>
      <c r="H242" s="352">
        <v>668591</v>
      </c>
      <c r="I242" s="353" t="s">
        <v>1379</v>
      </c>
      <c r="J242" s="353" t="s">
        <v>1379</v>
      </c>
      <c r="K242" s="354">
        <f t="shared" si="30"/>
        <v>668591</v>
      </c>
      <c r="L242" s="377">
        <v>41025</v>
      </c>
      <c r="M242" s="742">
        <v>649083</v>
      </c>
      <c r="N242" s="352">
        <f t="shared" si="39"/>
        <v>19508</v>
      </c>
      <c r="O242" s="357">
        <f t="shared" si="31"/>
        <v>4358</v>
      </c>
      <c r="P242" s="357">
        <v>9</v>
      </c>
      <c r="Q242" s="358">
        <v>9</v>
      </c>
      <c r="R242" s="359">
        <f t="shared" si="32"/>
        <v>0</v>
      </c>
      <c r="S242" s="360">
        <f t="shared" si="33"/>
        <v>0</v>
      </c>
      <c r="T242" s="361">
        <f t="shared" si="34"/>
        <v>0.10555555555555554</v>
      </c>
      <c r="U242" s="362">
        <v>0</v>
      </c>
      <c r="V242" s="362">
        <f t="shared" si="37"/>
        <v>19508</v>
      </c>
      <c r="W242" s="362">
        <f t="shared" si="35"/>
        <v>33430</v>
      </c>
      <c r="X242" s="742">
        <f t="shared" si="38"/>
        <v>-13922</v>
      </c>
    </row>
    <row r="243" spans="1:24" ht="13.9">
      <c r="A243" s="349">
        <f t="shared" si="36"/>
        <v>235</v>
      </c>
      <c r="B243" s="350" t="s">
        <v>935</v>
      </c>
      <c r="C243" s="350" t="s">
        <v>1735</v>
      </c>
      <c r="D243" s="350" t="s">
        <v>1746</v>
      </c>
      <c r="E243" s="350" t="s">
        <v>1730</v>
      </c>
      <c r="F243" s="350" t="s">
        <v>1762</v>
      </c>
      <c r="G243" s="376">
        <v>41051</v>
      </c>
      <c r="H243" s="352">
        <v>146967</v>
      </c>
      <c r="I243" s="353" t="s">
        <v>1379</v>
      </c>
      <c r="J243" s="353" t="s">
        <v>1379</v>
      </c>
      <c r="K243" s="354">
        <f t="shared" si="30"/>
        <v>146967</v>
      </c>
      <c r="L243" s="377">
        <v>41070</v>
      </c>
      <c r="M243" s="742">
        <v>139619</v>
      </c>
      <c r="N243" s="352">
        <f t="shared" si="39"/>
        <v>7348</v>
      </c>
      <c r="O243" s="357">
        <f t="shared" si="31"/>
        <v>4313</v>
      </c>
      <c r="P243" s="357">
        <v>9</v>
      </c>
      <c r="Q243" s="358">
        <v>9</v>
      </c>
      <c r="R243" s="359">
        <f t="shared" si="32"/>
        <v>0</v>
      </c>
      <c r="S243" s="360">
        <f t="shared" si="33"/>
        <v>0</v>
      </c>
      <c r="T243" s="361">
        <f t="shared" si="34"/>
        <v>0.10555555555555554</v>
      </c>
      <c r="U243" s="362">
        <v>0</v>
      </c>
      <c r="V243" s="362">
        <f t="shared" si="37"/>
        <v>7348</v>
      </c>
      <c r="W243" s="362">
        <f t="shared" si="35"/>
        <v>7348</v>
      </c>
      <c r="X243" s="742">
        <f t="shared" si="38"/>
        <v>0</v>
      </c>
    </row>
    <row r="244" spans="1:24" ht="13.9">
      <c r="A244" s="349">
        <f t="shared" si="36"/>
        <v>236</v>
      </c>
      <c r="B244" s="350" t="s">
        <v>1411</v>
      </c>
      <c r="C244" s="350"/>
      <c r="D244" s="350" t="s">
        <v>1746</v>
      </c>
      <c r="E244" s="350" t="s">
        <v>1763</v>
      </c>
      <c r="F244" s="350" t="s">
        <v>1764</v>
      </c>
      <c r="G244" s="376">
        <v>41007</v>
      </c>
      <c r="H244" s="352">
        <v>583996</v>
      </c>
      <c r="I244" s="353" t="s">
        <v>1379</v>
      </c>
      <c r="J244" s="353" t="s">
        <v>1379</v>
      </c>
      <c r="K244" s="354">
        <f t="shared" si="30"/>
        <v>583996</v>
      </c>
      <c r="L244" s="377">
        <v>41138</v>
      </c>
      <c r="M244" s="742">
        <v>554796</v>
      </c>
      <c r="N244" s="352">
        <f t="shared" si="39"/>
        <v>29200</v>
      </c>
      <c r="O244" s="357">
        <f t="shared" si="31"/>
        <v>4245</v>
      </c>
      <c r="P244" s="357">
        <v>9</v>
      </c>
      <c r="Q244" s="358">
        <v>9</v>
      </c>
      <c r="R244" s="359">
        <f t="shared" si="32"/>
        <v>0</v>
      </c>
      <c r="S244" s="360">
        <f t="shared" si="33"/>
        <v>0</v>
      </c>
      <c r="T244" s="361">
        <f t="shared" si="34"/>
        <v>0.10555555555555554</v>
      </c>
      <c r="U244" s="362">
        <v>0</v>
      </c>
      <c r="V244" s="362">
        <f t="shared" si="37"/>
        <v>29200</v>
      </c>
      <c r="W244" s="362">
        <f t="shared" si="35"/>
        <v>29200</v>
      </c>
      <c r="X244" s="742">
        <f t="shared" si="38"/>
        <v>0</v>
      </c>
    </row>
    <row r="245" spans="1:24" ht="13.9">
      <c r="A245" s="349">
        <f t="shared" si="36"/>
        <v>237</v>
      </c>
      <c r="B245" s="350" t="s">
        <v>983</v>
      </c>
      <c r="C245" s="350" t="s">
        <v>1735</v>
      </c>
      <c r="D245" s="350" t="s">
        <v>1746</v>
      </c>
      <c r="E245" s="350" t="s">
        <v>1590</v>
      </c>
      <c r="F245" s="350" t="s">
        <v>1765</v>
      </c>
      <c r="G245" s="376">
        <v>41065</v>
      </c>
      <c r="H245" s="352">
        <v>549600</v>
      </c>
      <c r="I245" s="353" t="s">
        <v>1379</v>
      </c>
      <c r="J245" s="353" t="s">
        <v>1379</v>
      </c>
      <c r="K245" s="354">
        <f t="shared" si="30"/>
        <v>549600</v>
      </c>
      <c r="L245" s="377">
        <v>41083</v>
      </c>
      <c r="M245" s="742">
        <v>522120</v>
      </c>
      <c r="N245" s="352">
        <f t="shared" si="39"/>
        <v>27480</v>
      </c>
      <c r="O245" s="357">
        <f t="shared" si="31"/>
        <v>4300</v>
      </c>
      <c r="P245" s="357">
        <v>9</v>
      </c>
      <c r="Q245" s="358">
        <v>9</v>
      </c>
      <c r="R245" s="359">
        <f t="shared" si="32"/>
        <v>0</v>
      </c>
      <c r="S245" s="360">
        <f t="shared" si="33"/>
        <v>0</v>
      </c>
      <c r="T245" s="361">
        <f t="shared" si="34"/>
        <v>0.10555555555555554</v>
      </c>
      <c r="U245" s="362">
        <v>0</v>
      </c>
      <c r="V245" s="362">
        <f t="shared" si="37"/>
        <v>27480</v>
      </c>
      <c r="W245" s="362">
        <f t="shared" si="35"/>
        <v>27480</v>
      </c>
      <c r="X245" s="742">
        <f t="shared" si="38"/>
        <v>0</v>
      </c>
    </row>
    <row r="246" spans="1:24" ht="13.9">
      <c r="A246" s="349">
        <f t="shared" si="36"/>
        <v>238</v>
      </c>
      <c r="B246" s="350" t="s">
        <v>983</v>
      </c>
      <c r="C246" s="350" t="s">
        <v>1735</v>
      </c>
      <c r="D246" s="350" t="s">
        <v>1746</v>
      </c>
      <c r="E246" s="350" t="s">
        <v>1590</v>
      </c>
      <c r="F246" s="350" t="s">
        <v>1766</v>
      </c>
      <c r="G246" s="366">
        <v>41089</v>
      </c>
      <c r="H246" s="352">
        <v>488900</v>
      </c>
      <c r="I246" s="353" t="s">
        <v>1379</v>
      </c>
      <c r="J246" s="353" t="s">
        <v>1379</v>
      </c>
      <c r="K246" s="354">
        <f t="shared" si="30"/>
        <v>488900</v>
      </c>
      <c r="L246" s="377">
        <v>41095</v>
      </c>
      <c r="M246" s="742">
        <v>464455</v>
      </c>
      <c r="N246" s="352">
        <f t="shared" si="39"/>
        <v>24445</v>
      </c>
      <c r="O246" s="357">
        <f t="shared" si="31"/>
        <v>4288</v>
      </c>
      <c r="P246" s="357">
        <v>9</v>
      </c>
      <c r="Q246" s="358">
        <v>9</v>
      </c>
      <c r="R246" s="359">
        <f t="shared" si="32"/>
        <v>0</v>
      </c>
      <c r="S246" s="360">
        <f t="shared" si="33"/>
        <v>0</v>
      </c>
      <c r="T246" s="361">
        <f t="shared" si="34"/>
        <v>0.10555555555555554</v>
      </c>
      <c r="U246" s="362">
        <v>0</v>
      </c>
      <c r="V246" s="362">
        <f t="shared" si="37"/>
        <v>24445</v>
      </c>
      <c r="W246" s="362">
        <f t="shared" si="35"/>
        <v>24445</v>
      </c>
      <c r="X246" s="742">
        <f t="shared" si="38"/>
        <v>0</v>
      </c>
    </row>
    <row r="247" spans="1:24" ht="13.9">
      <c r="A247" s="349">
        <f t="shared" si="36"/>
        <v>239</v>
      </c>
      <c r="B247" s="350" t="s">
        <v>983</v>
      </c>
      <c r="C247" s="350"/>
      <c r="D247" s="350" t="s">
        <v>1746</v>
      </c>
      <c r="E247" s="350" t="s">
        <v>1767</v>
      </c>
      <c r="F247" s="350" t="s">
        <v>1768</v>
      </c>
      <c r="G247" s="378" t="s">
        <v>1769</v>
      </c>
      <c r="H247" s="352">
        <v>85875</v>
      </c>
      <c r="I247" s="353" t="s">
        <v>1379</v>
      </c>
      <c r="J247" s="353" t="s">
        <v>1379</v>
      </c>
      <c r="K247" s="354">
        <f t="shared" si="30"/>
        <v>85875</v>
      </c>
      <c r="L247" s="377">
        <v>41001</v>
      </c>
      <c r="M247" s="742">
        <v>81581</v>
      </c>
      <c r="N247" s="352">
        <f t="shared" si="39"/>
        <v>4294</v>
      </c>
      <c r="O247" s="357">
        <f t="shared" si="31"/>
        <v>4382</v>
      </c>
      <c r="P247" s="357">
        <v>9</v>
      </c>
      <c r="Q247" s="358">
        <v>9</v>
      </c>
      <c r="R247" s="359">
        <f t="shared" si="32"/>
        <v>0</v>
      </c>
      <c r="S247" s="360">
        <f t="shared" si="33"/>
        <v>0</v>
      </c>
      <c r="T247" s="361">
        <f t="shared" si="34"/>
        <v>0.10555555555555554</v>
      </c>
      <c r="U247" s="362">
        <v>0</v>
      </c>
      <c r="V247" s="362">
        <f t="shared" si="37"/>
        <v>4294</v>
      </c>
      <c r="W247" s="362">
        <f t="shared" si="35"/>
        <v>4294</v>
      </c>
      <c r="X247" s="742">
        <f t="shared" si="38"/>
        <v>0</v>
      </c>
    </row>
    <row r="248" spans="1:24" ht="13.9">
      <c r="A248" s="349">
        <f t="shared" si="36"/>
        <v>240</v>
      </c>
      <c r="B248" s="350" t="s">
        <v>983</v>
      </c>
      <c r="C248" s="350"/>
      <c r="D248" s="350" t="s">
        <v>1746</v>
      </c>
      <c r="E248" s="350" t="s">
        <v>1767</v>
      </c>
      <c r="F248" s="350" t="s">
        <v>1770</v>
      </c>
      <c r="G248" s="366">
        <v>41072</v>
      </c>
      <c r="H248" s="352">
        <v>171750</v>
      </c>
      <c r="I248" s="353" t="s">
        <v>1379</v>
      </c>
      <c r="J248" s="353" t="s">
        <v>1379</v>
      </c>
      <c r="K248" s="354">
        <f t="shared" si="30"/>
        <v>171750</v>
      </c>
      <c r="L248" s="377">
        <v>41083</v>
      </c>
      <c r="M248" s="742">
        <v>163163</v>
      </c>
      <c r="N248" s="352">
        <f t="shared" si="39"/>
        <v>8587</v>
      </c>
      <c r="O248" s="357">
        <f t="shared" si="31"/>
        <v>4300</v>
      </c>
      <c r="P248" s="357">
        <v>9</v>
      </c>
      <c r="Q248" s="358">
        <v>9</v>
      </c>
      <c r="R248" s="359">
        <f t="shared" si="32"/>
        <v>0</v>
      </c>
      <c r="S248" s="360">
        <f t="shared" si="33"/>
        <v>0</v>
      </c>
      <c r="T248" s="361">
        <f t="shared" si="34"/>
        <v>0.10555555555555554</v>
      </c>
      <c r="U248" s="362">
        <v>0</v>
      </c>
      <c r="V248" s="362">
        <f t="shared" si="37"/>
        <v>8587</v>
      </c>
      <c r="W248" s="362">
        <f t="shared" si="35"/>
        <v>8588</v>
      </c>
      <c r="X248" s="742">
        <f t="shared" si="38"/>
        <v>-1</v>
      </c>
    </row>
    <row r="249" spans="1:24" ht="13.9">
      <c r="A249" s="349">
        <f t="shared" si="36"/>
        <v>241</v>
      </c>
      <c r="B249" s="350" t="s">
        <v>983</v>
      </c>
      <c r="C249" s="350" t="s">
        <v>1704</v>
      </c>
      <c r="D249" s="350" t="s">
        <v>1746</v>
      </c>
      <c r="E249" s="350" t="s">
        <v>1590</v>
      </c>
      <c r="F249" s="350" t="s">
        <v>1771</v>
      </c>
      <c r="G249" s="366">
        <v>41272</v>
      </c>
      <c r="H249" s="352">
        <v>549600</v>
      </c>
      <c r="I249" s="353" t="s">
        <v>1379</v>
      </c>
      <c r="J249" s="353" t="s">
        <v>1379</v>
      </c>
      <c r="K249" s="354">
        <f t="shared" si="30"/>
        <v>549600</v>
      </c>
      <c r="L249" s="363">
        <v>41279</v>
      </c>
      <c r="M249" s="742">
        <v>522120</v>
      </c>
      <c r="N249" s="352">
        <f t="shared" si="39"/>
        <v>27480</v>
      </c>
      <c r="O249" s="357">
        <f t="shared" si="31"/>
        <v>4104</v>
      </c>
      <c r="P249" s="357">
        <v>9</v>
      </c>
      <c r="Q249" s="358">
        <v>9</v>
      </c>
      <c r="R249" s="359">
        <f t="shared" si="32"/>
        <v>0</v>
      </c>
      <c r="S249" s="360">
        <f t="shared" si="33"/>
        <v>0</v>
      </c>
      <c r="T249" s="361">
        <f t="shared" si="34"/>
        <v>0.10555555555555554</v>
      </c>
      <c r="U249" s="362">
        <v>0</v>
      </c>
      <c r="V249" s="362">
        <f t="shared" si="37"/>
        <v>27480</v>
      </c>
      <c r="W249" s="362">
        <f t="shared" si="35"/>
        <v>27480</v>
      </c>
      <c r="X249" s="742">
        <f t="shared" si="38"/>
        <v>0</v>
      </c>
    </row>
    <row r="250" spans="1:24" ht="13.9">
      <c r="A250" s="349">
        <f t="shared" si="36"/>
        <v>242</v>
      </c>
      <c r="B250" s="350" t="s">
        <v>983</v>
      </c>
      <c r="C250" s="350" t="s">
        <v>1704</v>
      </c>
      <c r="D250" s="350" t="s">
        <v>1746</v>
      </c>
      <c r="E250" s="350" t="s">
        <v>1772</v>
      </c>
      <c r="F250" s="350" t="s">
        <v>1773</v>
      </c>
      <c r="G250" s="366">
        <v>41275</v>
      </c>
      <c r="H250" s="352">
        <v>469200</v>
      </c>
      <c r="I250" s="353" t="s">
        <v>1379</v>
      </c>
      <c r="J250" s="353" t="s">
        <v>1379</v>
      </c>
      <c r="K250" s="354">
        <f t="shared" si="30"/>
        <v>469200</v>
      </c>
      <c r="L250" s="363">
        <v>41304</v>
      </c>
      <c r="M250" s="742">
        <v>445740</v>
      </c>
      <c r="N250" s="352">
        <f t="shared" si="39"/>
        <v>23460</v>
      </c>
      <c r="O250" s="357">
        <f t="shared" si="31"/>
        <v>4079</v>
      </c>
      <c r="P250" s="357">
        <v>9</v>
      </c>
      <c r="Q250" s="358">
        <v>9</v>
      </c>
      <c r="R250" s="359">
        <f t="shared" si="32"/>
        <v>0</v>
      </c>
      <c r="S250" s="360">
        <f t="shared" si="33"/>
        <v>0</v>
      </c>
      <c r="T250" s="361">
        <f t="shared" si="34"/>
        <v>0.10555555555555554</v>
      </c>
      <c r="U250" s="362">
        <v>0</v>
      </c>
      <c r="V250" s="362">
        <f t="shared" si="37"/>
        <v>23460</v>
      </c>
      <c r="W250" s="362">
        <f t="shared" si="35"/>
        <v>23460</v>
      </c>
      <c r="X250" s="742">
        <f t="shared" si="38"/>
        <v>0</v>
      </c>
    </row>
    <row r="251" spans="1:24" ht="13.9">
      <c r="A251" s="349">
        <f t="shared" si="36"/>
        <v>243</v>
      </c>
      <c r="B251" s="350" t="s">
        <v>983</v>
      </c>
      <c r="C251" s="350" t="s">
        <v>1704</v>
      </c>
      <c r="D251" s="350" t="s">
        <v>1746</v>
      </c>
      <c r="E251" s="350" t="s">
        <v>1590</v>
      </c>
      <c r="F251" s="350" t="s">
        <v>1774</v>
      </c>
      <c r="G251" s="366">
        <v>41317</v>
      </c>
      <c r="H251" s="352">
        <v>19751</v>
      </c>
      <c r="I251" s="353" t="s">
        <v>1379</v>
      </c>
      <c r="J251" s="353" t="s">
        <v>1379</v>
      </c>
      <c r="K251" s="354">
        <f t="shared" si="30"/>
        <v>19751</v>
      </c>
      <c r="L251" s="363">
        <v>41337</v>
      </c>
      <c r="M251" s="742">
        <v>18763</v>
      </c>
      <c r="N251" s="352">
        <f t="shared" si="39"/>
        <v>988</v>
      </c>
      <c r="O251" s="357">
        <f t="shared" si="31"/>
        <v>4046</v>
      </c>
      <c r="P251" s="357">
        <v>9</v>
      </c>
      <c r="Q251" s="358">
        <v>9</v>
      </c>
      <c r="R251" s="359">
        <f t="shared" si="32"/>
        <v>0</v>
      </c>
      <c r="S251" s="360">
        <f t="shared" si="33"/>
        <v>0</v>
      </c>
      <c r="T251" s="361">
        <f t="shared" si="34"/>
        <v>0.10555555555555554</v>
      </c>
      <c r="U251" s="362">
        <v>0</v>
      </c>
      <c r="V251" s="362">
        <f t="shared" si="37"/>
        <v>988</v>
      </c>
      <c r="W251" s="362">
        <f t="shared" si="35"/>
        <v>988</v>
      </c>
      <c r="X251" s="742">
        <f t="shared" si="38"/>
        <v>0</v>
      </c>
    </row>
    <row r="252" spans="1:24" ht="13.9">
      <c r="A252" s="349">
        <f t="shared" si="36"/>
        <v>244</v>
      </c>
      <c r="B252" s="350" t="s">
        <v>1775</v>
      </c>
      <c r="C252" s="350" t="s">
        <v>1776</v>
      </c>
      <c r="D252" s="350" t="s">
        <v>1746</v>
      </c>
      <c r="E252" s="350" t="s">
        <v>1777</v>
      </c>
      <c r="F252" s="350" t="s">
        <v>1436</v>
      </c>
      <c r="G252" s="366">
        <v>41208</v>
      </c>
      <c r="H252" s="352">
        <v>156060</v>
      </c>
      <c r="I252" s="353" t="s">
        <v>1379</v>
      </c>
      <c r="J252" s="353" t="s">
        <v>1379</v>
      </c>
      <c r="K252" s="354">
        <f t="shared" si="30"/>
        <v>156060</v>
      </c>
      <c r="L252" s="377">
        <v>41229</v>
      </c>
      <c r="M252" s="742">
        <v>148257</v>
      </c>
      <c r="N252" s="352">
        <f t="shared" si="39"/>
        <v>7803</v>
      </c>
      <c r="O252" s="357">
        <f t="shared" si="31"/>
        <v>4154</v>
      </c>
      <c r="P252" s="357">
        <v>9</v>
      </c>
      <c r="Q252" s="358">
        <v>9</v>
      </c>
      <c r="R252" s="359">
        <f t="shared" si="32"/>
        <v>0</v>
      </c>
      <c r="S252" s="360">
        <f t="shared" si="33"/>
        <v>0</v>
      </c>
      <c r="T252" s="361">
        <f t="shared" si="34"/>
        <v>0.10555555555555554</v>
      </c>
      <c r="U252" s="362">
        <v>0</v>
      </c>
      <c r="V252" s="362">
        <f t="shared" si="37"/>
        <v>7803</v>
      </c>
      <c r="W252" s="362">
        <f t="shared" si="35"/>
        <v>7803</v>
      </c>
      <c r="X252" s="742">
        <f t="shared" si="38"/>
        <v>0</v>
      </c>
    </row>
    <row r="253" spans="1:24" ht="13.9">
      <c r="A253" s="349">
        <f t="shared" si="36"/>
        <v>245</v>
      </c>
      <c r="B253" s="350" t="s">
        <v>1775</v>
      </c>
      <c r="C253" s="350" t="s">
        <v>1776</v>
      </c>
      <c r="D253" s="350" t="s">
        <v>1746</v>
      </c>
      <c r="E253" s="350" t="s">
        <v>1777</v>
      </c>
      <c r="F253" s="350" t="s">
        <v>1435</v>
      </c>
      <c r="G253" s="366" t="s">
        <v>1778</v>
      </c>
      <c r="H253" s="352">
        <v>98940</v>
      </c>
      <c r="I253" s="353" t="s">
        <v>1379</v>
      </c>
      <c r="J253" s="353" t="s">
        <v>1379</v>
      </c>
      <c r="K253" s="354">
        <f t="shared" si="30"/>
        <v>98940</v>
      </c>
      <c r="L253" s="377">
        <v>41229</v>
      </c>
      <c r="M253" s="742">
        <v>93993</v>
      </c>
      <c r="N253" s="352">
        <f t="shared" si="39"/>
        <v>4947</v>
      </c>
      <c r="O253" s="357">
        <f t="shared" si="31"/>
        <v>4154</v>
      </c>
      <c r="P253" s="357">
        <v>9</v>
      </c>
      <c r="Q253" s="358">
        <v>9</v>
      </c>
      <c r="R253" s="359">
        <f t="shared" si="32"/>
        <v>0</v>
      </c>
      <c r="S253" s="360">
        <f t="shared" si="33"/>
        <v>0</v>
      </c>
      <c r="T253" s="361">
        <f t="shared" si="34"/>
        <v>0.10555555555555554</v>
      </c>
      <c r="U253" s="362">
        <v>0</v>
      </c>
      <c r="V253" s="362">
        <f t="shared" si="37"/>
        <v>4947</v>
      </c>
      <c r="W253" s="362">
        <f t="shared" si="35"/>
        <v>4947</v>
      </c>
      <c r="X253" s="742">
        <f t="shared" si="38"/>
        <v>0</v>
      </c>
    </row>
    <row r="254" spans="1:24" ht="13.9">
      <c r="A254" s="349">
        <f t="shared" si="36"/>
        <v>246</v>
      </c>
      <c r="B254" s="350" t="s">
        <v>1599</v>
      </c>
      <c r="C254" s="350"/>
      <c r="D254" s="350" t="s">
        <v>1746</v>
      </c>
      <c r="E254" s="350" t="s">
        <v>1612</v>
      </c>
      <c r="F254" s="350" t="s">
        <v>1779</v>
      </c>
      <c r="G254" s="366" t="s">
        <v>1780</v>
      </c>
      <c r="H254" s="352">
        <v>162688</v>
      </c>
      <c r="I254" s="353" t="s">
        <v>1379</v>
      </c>
      <c r="J254" s="353" t="s">
        <v>1379</v>
      </c>
      <c r="K254" s="354">
        <f t="shared" si="30"/>
        <v>162688</v>
      </c>
      <c r="L254" s="377">
        <v>41363</v>
      </c>
      <c r="M254" s="742">
        <v>154554</v>
      </c>
      <c r="N254" s="352">
        <f t="shared" si="39"/>
        <v>8134</v>
      </c>
      <c r="O254" s="357">
        <f t="shared" si="31"/>
        <v>4020</v>
      </c>
      <c r="P254" s="357">
        <v>9</v>
      </c>
      <c r="Q254" s="358">
        <v>9</v>
      </c>
      <c r="R254" s="359">
        <f t="shared" si="32"/>
        <v>0</v>
      </c>
      <c r="S254" s="360">
        <f t="shared" si="33"/>
        <v>0</v>
      </c>
      <c r="T254" s="361">
        <f t="shared" si="34"/>
        <v>0.10555555555555554</v>
      </c>
      <c r="U254" s="362">
        <v>0</v>
      </c>
      <c r="V254" s="362">
        <f t="shared" si="37"/>
        <v>8134</v>
      </c>
      <c r="W254" s="362">
        <f t="shared" si="35"/>
        <v>8134</v>
      </c>
      <c r="X254" s="742">
        <f t="shared" si="38"/>
        <v>0</v>
      </c>
    </row>
    <row r="255" spans="1:24" ht="13.9">
      <c r="A255" s="349">
        <f t="shared" si="36"/>
        <v>247</v>
      </c>
      <c r="B255" s="350" t="s">
        <v>1421</v>
      </c>
      <c r="C255" s="350"/>
      <c r="D255" s="350" t="s">
        <v>1746</v>
      </c>
      <c r="E255" s="350" t="s">
        <v>1781</v>
      </c>
      <c r="F255" s="350" t="s">
        <v>1782</v>
      </c>
      <c r="G255" s="378" t="s">
        <v>1783</v>
      </c>
      <c r="H255" s="352">
        <v>515934</v>
      </c>
      <c r="I255" s="353" t="s">
        <v>1379</v>
      </c>
      <c r="J255" s="353" t="s">
        <v>1379</v>
      </c>
      <c r="K255" s="354">
        <f t="shared" si="30"/>
        <v>515934</v>
      </c>
      <c r="L255" s="377">
        <v>41017</v>
      </c>
      <c r="M255" s="742">
        <v>490137</v>
      </c>
      <c r="N255" s="352">
        <f t="shared" si="39"/>
        <v>25797</v>
      </c>
      <c r="O255" s="357">
        <f t="shared" si="31"/>
        <v>4366</v>
      </c>
      <c r="P255" s="357">
        <v>9</v>
      </c>
      <c r="Q255" s="358">
        <v>9</v>
      </c>
      <c r="R255" s="359">
        <f t="shared" si="32"/>
        <v>0</v>
      </c>
      <c r="S255" s="360">
        <f t="shared" si="33"/>
        <v>0</v>
      </c>
      <c r="T255" s="361">
        <f t="shared" si="34"/>
        <v>0.10555555555555554</v>
      </c>
      <c r="U255" s="362">
        <v>0</v>
      </c>
      <c r="V255" s="362">
        <f t="shared" si="37"/>
        <v>25797</v>
      </c>
      <c r="W255" s="362">
        <f t="shared" si="35"/>
        <v>25797</v>
      </c>
      <c r="X255" s="742">
        <f t="shared" si="38"/>
        <v>0</v>
      </c>
    </row>
    <row r="256" spans="1:24" ht="13.9">
      <c r="A256" s="349">
        <f t="shared" si="36"/>
        <v>248</v>
      </c>
      <c r="B256" s="350" t="s">
        <v>1784</v>
      </c>
      <c r="C256" s="350"/>
      <c r="D256" s="350" t="s">
        <v>1746</v>
      </c>
      <c r="E256" s="350" t="s">
        <v>1785</v>
      </c>
      <c r="F256" s="350" t="s">
        <v>1786</v>
      </c>
      <c r="G256" s="366">
        <v>41308</v>
      </c>
      <c r="H256" s="352">
        <v>573036</v>
      </c>
      <c r="I256" s="353" t="s">
        <v>1379</v>
      </c>
      <c r="J256" s="353" t="s">
        <v>1379</v>
      </c>
      <c r="K256" s="354">
        <f t="shared" si="30"/>
        <v>573036</v>
      </c>
      <c r="L256" s="377">
        <v>41342</v>
      </c>
      <c r="M256" s="742">
        <v>544384</v>
      </c>
      <c r="N256" s="352">
        <f t="shared" si="39"/>
        <v>28652</v>
      </c>
      <c r="O256" s="357">
        <f t="shared" si="31"/>
        <v>4041</v>
      </c>
      <c r="P256" s="357">
        <v>9</v>
      </c>
      <c r="Q256" s="358">
        <v>9</v>
      </c>
      <c r="R256" s="359">
        <f t="shared" si="32"/>
        <v>0</v>
      </c>
      <c r="S256" s="360">
        <f t="shared" si="33"/>
        <v>0</v>
      </c>
      <c r="T256" s="361">
        <f t="shared" si="34"/>
        <v>0.10555555555555554</v>
      </c>
      <c r="U256" s="362">
        <v>0</v>
      </c>
      <c r="V256" s="362">
        <f t="shared" si="37"/>
        <v>28652</v>
      </c>
      <c r="W256" s="362">
        <f t="shared" si="35"/>
        <v>28652</v>
      </c>
      <c r="X256" s="742">
        <f t="shared" si="38"/>
        <v>0</v>
      </c>
    </row>
    <row r="257" spans="1:24" ht="13.9">
      <c r="A257" s="349">
        <f t="shared" si="36"/>
        <v>249</v>
      </c>
      <c r="B257" s="350" t="s">
        <v>1787</v>
      </c>
      <c r="C257" s="350" t="s">
        <v>1788</v>
      </c>
      <c r="D257" s="350" t="s">
        <v>1746</v>
      </c>
      <c r="E257" s="350" t="s">
        <v>1789</v>
      </c>
      <c r="F257" s="350" t="s">
        <v>1790</v>
      </c>
      <c r="G257" s="366" t="s">
        <v>1791</v>
      </c>
      <c r="H257" s="352">
        <v>173400</v>
      </c>
      <c r="I257" s="353" t="s">
        <v>1379</v>
      </c>
      <c r="J257" s="353" t="s">
        <v>1379</v>
      </c>
      <c r="K257" s="354">
        <f t="shared" si="30"/>
        <v>173400</v>
      </c>
      <c r="L257" s="377">
        <v>41304</v>
      </c>
      <c r="M257" s="742">
        <v>164730</v>
      </c>
      <c r="N257" s="352">
        <f t="shared" si="39"/>
        <v>8670</v>
      </c>
      <c r="O257" s="357">
        <f t="shared" si="31"/>
        <v>4079</v>
      </c>
      <c r="P257" s="357">
        <v>9</v>
      </c>
      <c r="Q257" s="358">
        <v>9</v>
      </c>
      <c r="R257" s="359">
        <f t="shared" si="32"/>
        <v>0</v>
      </c>
      <c r="S257" s="360">
        <f t="shared" si="33"/>
        <v>0</v>
      </c>
      <c r="T257" s="361">
        <f t="shared" si="34"/>
        <v>0.10555555555555554</v>
      </c>
      <c r="U257" s="362">
        <v>0</v>
      </c>
      <c r="V257" s="362">
        <f t="shared" si="37"/>
        <v>8670</v>
      </c>
      <c r="W257" s="362">
        <f t="shared" si="35"/>
        <v>8670</v>
      </c>
      <c r="X257" s="742">
        <f t="shared" si="38"/>
        <v>0</v>
      </c>
    </row>
    <row r="258" spans="1:24" ht="13.9">
      <c r="A258" s="349">
        <f t="shared" si="36"/>
        <v>250</v>
      </c>
      <c r="B258" s="350" t="s">
        <v>1787</v>
      </c>
      <c r="C258" s="350" t="s">
        <v>1792</v>
      </c>
      <c r="D258" s="350" t="s">
        <v>1746</v>
      </c>
      <c r="E258" s="350" t="s">
        <v>1789</v>
      </c>
      <c r="F258" s="350" t="s">
        <v>1793</v>
      </c>
      <c r="G258" s="366" t="s">
        <v>1794</v>
      </c>
      <c r="H258" s="352">
        <v>173400</v>
      </c>
      <c r="I258" s="353" t="s">
        <v>1379</v>
      </c>
      <c r="J258" s="353" t="s">
        <v>1379</v>
      </c>
      <c r="K258" s="354">
        <f t="shared" si="30"/>
        <v>173400</v>
      </c>
      <c r="L258" s="377">
        <v>41304</v>
      </c>
      <c r="M258" s="742">
        <v>164730</v>
      </c>
      <c r="N258" s="352">
        <f t="shared" si="39"/>
        <v>8670</v>
      </c>
      <c r="O258" s="357">
        <f t="shared" si="31"/>
        <v>4079</v>
      </c>
      <c r="P258" s="357">
        <v>9</v>
      </c>
      <c r="Q258" s="358">
        <v>9</v>
      </c>
      <c r="R258" s="359">
        <f t="shared" si="32"/>
        <v>0</v>
      </c>
      <c r="S258" s="360">
        <f t="shared" si="33"/>
        <v>0</v>
      </c>
      <c r="T258" s="361">
        <f t="shared" si="34"/>
        <v>0.10555555555555554</v>
      </c>
      <c r="U258" s="362">
        <v>0</v>
      </c>
      <c r="V258" s="362">
        <f t="shared" si="37"/>
        <v>8670</v>
      </c>
      <c r="W258" s="362">
        <f t="shared" si="35"/>
        <v>8670</v>
      </c>
      <c r="X258" s="742">
        <f t="shared" si="38"/>
        <v>0</v>
      </c>
    </row>
    <row r="259" spans="1:24" ht="13.9">
      <c r="A259" s="349">
        <f t="shared" si="36"/>
        <v>251</v>
      </c>
      <c r="B259" s="350" t="s">
        <v>578</v>
      </c>
      <c r="C259" s="350" t="s">
        <v>1795</v>
      </c>
      <c r="D259" s="350" t="s">
        <v>1796</v>
      </c>
      <c r="E259" s="350" t="s">
        <v>1797</v>
      </c>
      <c r="F259" s="350" t="s">
        <v>1798</v>
      </c>
      <c r="G259" s="378" t="s">
        <v>1799</v>
      </c>
      <c r="H259" s="352">
        <v>6303396</v>
      </c>
      <c r="I259" s="353" t="s">
        <v>1379</v>
      </c>
      <c r="J259" s="353" t="s">
        <v>1379</v>
      </c>
      <c r="K259" s="354">
        <f t="shared" si="30"/>
        <v>6303396</v>
      </c>
      <c r="L259" s="377">
        <v>41309</v>
      </c>
      <c r="M259" s="742">
        <v>5988226</v>
      </c>
      <c r="N259" s="352">
        <f t="shared" si="39"/>
        <v>315170</v>
      </c>
      <c r="O259" s="357">
        <f t="shared" si="31"/>
        <v>4074</v>
      </c>
      <c r="P259" s="357">
        <v>9</v>
      </c>
      <c r="Q259" s="358">
        <v>9</v>
      </c>
      <c r="R259" s="359">
        <f t="shared" si="32"/>
        <v>0</v>
      </c>
      <c r="S259" s="360">
        <f t="shared" si="33"/>
        <v>0</v>
      </c>
      <c r="T259" s="361">
        <f t="shared" si="34"/>
        <v>0.10555555555555554</v>
      </c>
      <c r="U259" s="362">
        <v>0</v>
      </c>
      <c r="V259" s="362">
        <f t="shared" si="37"/>
        <v>315170</v>
      </c>
      <c r="W259" s="362">
        <f t="shared" si="35"/>
        <v>315170</v>
      </c>
      <c r="X259" s="742">
        <f t="shared" si="38"/>
        <v>0</v>
      </c>
    </row>
    <row r="260" spans="1:24" ht="13.9">
      <c r="A260" s="349">
        <f t="shared" si="36"/>
        <v>252</v>
      </c>
      <c r="B260" s="350" t="s">
        <v>578</v>
      </c>
      <c r="C260" s="350" t="s">
        <v>1795</v>
      </c>
      <c r="D260" s="350" t="s">
        <v>1796</v>
      </c>
      <c r="E260" s="350" t="s">
        <v>1797</v>
      </c>
      <c r="F260" s="350" t="s">
        <v>1798</v>
      </c>
      <c r="G260" s="378" t="s">
        <v>1800</v>
      </c>
      <c r="H260" s="352">
        <v>245498</v>
      </c>
      <c r="I260" s="353" t="s">
        <v>1379</v>
      </c>
      <c r="J260" s="353" t="s">
        <v>1379</v>
      </c>
      <c r="K260" s="354">
        <f t="shared" si="30"/>
        <v>245498</v>
      </c>
      <c r="L260" s="377">
        <v>41621</v>
      </c>
      <c r="M260" s="742">
        <v>226819.67777777778</v>
      </c>
      <c r="N260" s="352">
        <f t="shared" si="39"/>
        <v>18678.322222222225</v>
      </c>
      <c r="O260" s="357">
        <f t="shared" si="31"/>
        <v>3762</v>
      </c>
      <c r="P260" s="357">
        <v>9</v>
      </c>
      <c r="Q260" s="358">
        <f t="shared" ref="Q260:Q323" si="40">+O260/365</f>
        <v>10.306849315068494</v>
      </c>
      <c r="R260" s="359">
        <f t="shared" si="32"/>
        <v>-1.3068493150684937</v>
      </c>
      <c r="S260" s="360">
        <f t="shared" si="33"/>
        <v>0</v>
      </c>
      <c r="T260" s="361">
        <f t="shared" si="34"/>
        <v>0.10555555555555554</v>
      </c>
      <c r="U260" s="362">
        <v>6403</v>
      </c>
      <c r="V260" s="362">
        <f t="shared" si="37"/>
        <v>12275.322222222225</v>
      </c>
      <c r="W260" s="362">
        <f t="shared" si="35"/>
        <v>12275</v>
      </c>
      <c r="X260" s="742">
        <f t="shared" si="38"/>
        <v>0.32222222222480923</v>
      </c>
    </row>
    <row r="261" spans="1:24" ht="13.9">
      <c r="A261" s="349">
        <f t="shared" si="36"/>
        <v>253</v>
      </c>
      <c r="B261" s="350" t="s">
        <v>1801</v>
      </c>
      <c r="C261" s="350" t="s">
        <v>1649</v>
      </c>
      <c r="D261" s="350" t="s">
        <v>1796</v>
      </c>
      <c r="E261" s="350" t="s">
        <v>1797</v>
      </c>
      <c r="F261" s="350" t="s">
        <v>1802</v>
      </c>
      <c r="G261" s="378" t="s">
        <v>1803</v>
      </c>
      <c r="H261" s="352">
        <v>297840</v>
      </c>
      <c r="I261" s="353" t="s">
        <v>1379</v>
      </c>
      <c r="J261" s="353" t="s">
        <v>1379</v>
      </c>
      <c r="K261" s="354">
        <f t="shared" si="30"/>
        <v>297840</v>
      </c>
      <c r="L261" s="379">
        <v>41692</v>
      </c>
      <c r="M261" s="742">
        <v>269065.66666666669</v>
      </c>
      <c r="N261" s="352">
        <f t="shared" si="39"/>
        <v>28774.333333333314</v>
      </c>
      <c r="O261" s="357">
        <f t="shared" si="31"/>
        <v>3691</v>
      </c>
      <c r="P261" s="357">
        <v>9</v>
      </c>
      <c r="Q261" s="358">
        <f t="shared" si="40"/>
        <v>10.112328767123287</v>
      </c>
      <c r="R261" s="359">
        <f t="shared" si="32"/>
        <v>-1.1123287671232873</v>
      </c>
      <c r="S261" s="360">
        <f t="shared" si="33"/>
        <v>0</v>
      </c>
      <c r="T261" s="361">
        <f t="shared" si="34"/>
        <v>0.10555555555555554</v>
      </c>
      <c r="U261" s="362">
        <v>13882</v>
      </c>
      <c r="V261" s="362">
        <f t="shared" si="37"/>
        <v>14892.333333333314</v>
      </c>
      <c r="W261" s="362">
        <f t="shared" si="35"/>
        <v>14892</v>
      </c>
      <c r="X261" s="742">
        <f t="shared" si="38"/>
        <v>0.33333333331393078</v>
      </c>
    </row>
    <row r="262" spans="1:24" ht="13.9">
      <c r="A262" s="349">
        <f t="shared" si="36"/>
        <v>254</v>
      </c>
      <c r="B262" s="350" t="s">
        <v>935</v>
      </c>
      <c r="C262" s="350" t="s">
        <v>1804</v>
      </c>
      <c r="D262" s="350" t="s">
        <v>1796</v>
      </c>
      <c r="E262" s="350" t="s">
        <v>1730</v>
      </c>
      <c r="F262" s="350" t="s">
        <v>1805</v>
      </c>
      <c r="G262" s="378" t="s">
        <v>1806</v>
      </c>
      <c r="H262" s="352">
        <v>426856</v>
      </c>
      <c r="I262" s="353" t="s">
        <v>1379</v>
      </c>
      <c r="J262" s="353" t="s">
        <v>1379</v>
      </c>
      <c r="K262" s="354">
        <f t="shared" si="30"/>
        <v>426856</v>
      </c>
      <c r="L262" s="379">
        <v>41700</v>
      </c>
      <c r="M262" s="742">
        <v>405513</v>
      </c>
      <c r="N262" s="352">
        <f t="shared" si="39"/>
        <v>21343</v>
      </c>
      <c r="O262" s="357">
        <f t="shared" si="31"/>
        <v>3683</v>
      </c>
      <c r="P262" s="357">
        <v>9</v>
      </c>
      <c r="Q262" s="358">
        <f t="shared" si="40"/>
        <v>10.09041095890411</v>
      </c>
      <c r="R262" s="359">
        <f t="shared" si="32"/>
        <v>-1.0904109589041102</v>
      </c>
      <c r="S262" s="360">
        <f t="shared" si="33"/>
        <v>0</v>
      </c>
      <c r="T262" s="361">
        <f t="shared" si="34"/>
        <v>0.10555555555555554</v>
      </c>
      <c r="U262" s="362">
        <v>0</v>
      </c>
      <c r="V262" s="362">
        <f t="shared" si="37"/>
        <v>21343</v>
      </c>
      <c r="W262" s="362">
        <f t="shared" si="35"/>
        <v>21343</v>
      </c>
      <c r="X262" s="742">
        <f t="shared" si="38"/>
        <v>0</v>
      </c>
    </row>
    <row r="263" spans="1:24" ht="13.9">
      <c r="A263" s="349">
        <f t="shared" si="36"/>
        <v>255</v>
      </c>
      <c r="B263" s="350" t="s">
        <v>935</v>
      </c>
      <c r="C263" s="350" t="s">
        <v>1795</v>
      </c>
      <c r="D263" s="350" t="s">
        <v>1796</v>
      </c>
      <c r="E263" s="350" t="s">
        <v>1730</v>
      </c>
      <c r="F263" s="350" t="s">
        <v>1807</v>
      </c>
      <c r="G263" s="366" t="s">
        <v>1808</v>
      </c>
      <c r="H263" s="352">
        <v>1146072</v>
      </c>
      <c r="I263" s="353" t="s">
        <v>1379</v>
      </c>
      <c r="J263" s="353" t="s">
        <v>1379</v>
      </c>
      <c r="K263" s="354">
        <f t="shared" si="30"/>
        <v>1146072</v>
      </c>
      <c r="L263" s="377">
        <v>41629</v>
      </c>
      <c r="M263" s="742">
        <v>1088768</v>
      </c>
      <c r="N263" s="352">
        <f t="shared" si="39"/>
        <v>57304</v>
      </c>
      <c r="O263" s="357">
        <f t="shared" si="31"/>
        <v>3754</v>
      </c>
      <c r="P263" s="357">
        <v>9</v>
      </c>
      <c r="Q263" s="358">
        <f t="shared" si="40"/>
        <v>10.284931506849315</v>
      </c>
      <c r="R263" s="359">
        <f t="shared" si="32"/>
        <v>-1.2849315068493148</v>
      </c>
      <c r="S263" s="360">
        <f t="shared" si="33"/>
        <v>0</v>
      </c>
      <c r="T263" s="361">
        <f t="shared" si="34"/>
        <v>0.10555555555555554</v>
      </c>
      <c r="U263" s="362">
        <v>0</v>
      </c>
      <c r="V263" s="362">
        <f t="shared" si="37"/>
        <v>57304</v>
      </c>
      <c r="W263" s="362">
        <f t="shared" si="35"/>
        <v>57304</v>
      </c>
      <c r="X263" s="742">
        <f t="shared" si="38"/>
        <v>0</v>
      </c>
    </row>
    <row r="264" spans="1:24" ht="13.9">
      <c r="A264" s="349">
        <f t="shared" si="36"/>
        <v>256</v>
      </c>
      <c r="B264" s="350" t="s">
        <v>935</v>
      </c>
      <c r="C264" s="350" t="s">
        <v>1745</v>
      </c>
      <c r="D264" s="350" t="s">
        <v>1796</v>
      </c>
      <c r="E264" s="350" t="s">
        <v>1730</v>
      </c>
      <c r="F264" s="350" t="s">
        <v>1809</v>
      </c>
      <c r="G264" s="366">
        <v>41672</v>
      </c>
      <c r="H264" s="352">
        <v>1146072</v>
      </c>
      <c r="I264" s="353" t="s">
        <v>1379</v>
      </c>
      <c r="J264" s="353" t="s">
        <v>1379</v>
      </c>
      <c r="K264" s="354">
        <f t="shared" si="30"/>
        <v>1146072</v>
      </c>
      <c r="L264" s="377">
        <v>41672</v>
      </c>
      <c r="M264" s="742">
        <v>1088768</v>
      </c>
      <c r="N264" s="352">
        <f t="shared" si="39"/>
        <v>57304</v>
      </c>
      <c r="O264" s="357">
        <f t="shared" si="31"/>
        <v>3711</v>
      </c>
      <c r="P264" s="357">
        <v>9</v>
      </c>
      <c r="Q264" s="358">
        <f t="shared" si="40"/>
        <v>10.167123287671233</v>
      </c>
      <c r="R264" s="359">
        <f t="shared" si="32"/>
        <v>-1.1671232876712327</v>
      </c>
      <c r="S264" s="360">
        <f t="shared" si="33"/>
        <v>0</v>
      </c>
      <c r="T264" s="361">
        <f t="shared" si="34"/>
        <v>0.10555555555555554</v>
      </c>
      <c r="U264" s="362">
        <v>0</v>
      </c>
      <c r="V264" s="362">
        <f t="shared" si="37"/>
        <v>57304</v>
      </c>
      <c r="W264" s="362">
        <f t="shared" si="35"/>
        <v>57304</v>
      </c>
      <c r="X264" s="742">
        <f t="shared" si="38"/>
        <v>0</v>
      </c>
    </row>
    <row r="265" spans="1:24" ht="13.9">
      <c r="A265" s="349">
        <f t="shared" si="36"/>
        <v>257</v>
      </c>
      <c r="B265" s="350" t="s">
        <v>935</v>
      </c>
      <c r="C265" s="350" t="s">
        <v>1810</v>
      </c>
      <c r="D265" s="350" t="s">
        <v>1796</v>
      </c>
      <c r="E265" s="350" t="s">
        <v>1811</v>
      </c>
      <c r="F265" s="350" t="s">
        <v>1812</v>
      </c>
      <c r="G265" s="366" t="s">
        <v>1813</v>
      </c>
      <c r="H265" s="352">
        <v>1166072</v>
      </c>
      <c r="I265" s="353" t="s">
        <v>1379</v>
      </c>
      <c r="J265" s="353" t="s">
        <v>1379</v>
      </c>
      <c r="K265" s="354">
        <f t="shared" ref="K265:K328" si="41">+H265+I265-J265</f>
        <v>1166072</v>
      </c>
      <c r="L265" s="377">
        <v>41695</v>
      </c>
      <c r="M265" s="742">
        <v>1107768</v>
      </c>
      <c r="N265" s="352">
        <f t="shared" si="39"/>
        <v>58304</v>
      </c>
      <c r="O265" s="357">
        <f t="shared" ref="O265:O328" si="42">+$O$3-L265+1</f>
        <v>3688</v>
      </c>
      <c r="P265" s="357">
        <v>9</v>
      </c>
      <c r="Q265" s="358">
        <f t="shared" si="40"/>
        <v>10.104109589041096</v>
      </c>
      <c r="R265" s="359">
        <f t="shared" ref="R265:R328" si="43">+P265-Q265</f>
        <v>-1.1041095890410961</v>
      </c>
      <c r="S265" s="360">
        <f t="shared" ref="S265:S328" si="44">IF(R265&lt;0,0,IF(R265&gt;365,365,R265))</f>
        <v>0</v>
      </c>
      <c r="T265" s="361">
        <f t="shared" ref="T265:T328" si="45">1/P265*0.95</f>
        <v>0.10555555555555554</v>
      </c>
      <c r="U265" s="362">
        <v>0</v>
      </c>
      <c r="V265" s="362">
        <f t="shared" si="37"/>
        <v>58304</v>
      </c>
      <c r="W265" s="362">
        <f t="shared" ref="W265:W328" si="46">ROUND(+H265*5%,0)</f>
        <v>58304</v>
      </c>
      <c r="X265" s="742">
        <f t="shared" si="38"/>
        <v>0</v>
      </c>
    </row>
    <row r="266" spans="1:24" ht="13.9">
      <c r="A266" s="349">
        <f t="shared" ref="A266:A329" si="47">+A265+1</f>
        <v>258</v>
      </c>
      <c r="B266" s="350" t="s">
        <v>1814</v>
      </c>
      <c r="C266" s="350" t="s">
        <v>1745</v>
      </c>
      <c r="D266" s="350" t="s">
        <v>1796</v>
      </c>
      <c r="E266" s="350" t="s">
        <v>1815</v>
      </c>
      <c r="F266" s="350" t="s">
        <v>1816</v>
      </c>
      <c r="G266" s="366" t="s">
        <v>1817</v>
      </c>
      <c r="H266" s="352">
        <v>1808574</v>
      </c>
      <c r="I266" s="353" t="s">
        <v>1379</v>
      </c>
      <c r="J266" s="353" t="s">
        <v>1379</v>
      </c>
      <c r="K266" s="354">
        <f t="shared" si="41"/>
        <v>1808574</v>
      </c>
      <c r="L266" s="377">
        <v>41398</v>
      </c>
      <c r="M266" s="742">
        <v>1718145.0333333332</v>
      </c>
      <c r="N266" s="352">
        <f t="shared" si="39"/>
        <v>90428.966666666791</v>
      </c>
      <c r="O266" s="357">
        <f t="shared" si="42"/>
        <v>3985</v>
      </c>
      <c r="P266" s="357">
        <v>9</v>
      </c>
      <c r="Q266" s="358">
        <f t="shared" si="40"/>
        <v>10.917808219178083</v>
      </c>
      <c r="R266" s="359">
        <f t="shared" si="43"/>
        <v>-1.9178082191780828</v>
      </c>
      <c r="S266" s="360">
        <f t="shared" si="44"/>
        <v>0</v>
      </c>
      <c r="T266" s="361">
        <f t="shared" si="45"/>
        <v>0.10555555555555554</v>
      </c>
      <c r="U266" s="362">
        <v>0</v>
      </c>
      <c r="V266" s="362">
        <f t="shared" ref="V266:V329" si="48">+N266-U266</f>
        <v>90428.966666666791</v>
      </c>
      <c r="W266" s="362">
        <f t="shared" si="46"/>
        <v>90429</v>
      </c>
      <c r="X266" s="742">
        <f t="shared" ref="X266:X329" si="49">+V266-W266</f>
        <v>-3.333333320915699E-2</v>
      </c>
    </row>
    <row r="267" spans="1:24" ht="13.9">
      <c r="A267" s="349">
        <f t="shared" si="47"/>
        <v>259</v>
      </c>
      <c r="B267" s="350" t="s">
        <v>1814</v>
      </c>
      <c r="C267" s="350" t="s">
        <v>1795</v>
      </c>
      <c r="D267" s="350" t="s">
        <v>1796</v>
      </c>
      <c r="E267" s="350" t="s">
        <v>1815</v>
      </c>
      <c r="F267" s="350" t="s">
        <v>1818</v>
      </c>
      <c r="G267" s="366" t="s">
        <v>1819</v>
      </c>
      <c r="H267" s="352">
        <v>2829133</v>
      </c>
      <c r="I267" s="353" t="s">
        <v>1379</v>
      </c>
      <c r="J267" s="353" t="s">
        <v>1379</v>
      </c>
      <c r="K267" s="354">
        <f t="shared" si="41"/>
        <v>2829133</v>
      </c>
      <c r="L267" s="377">
        <v>41729</v>
      </c>
      <c r="M267" s="742">
        <v>2688038.7055555554</v>
      </c>
      <c r="N267" s="352">
        <f t="shared" ref="N267:N330" si="50">+K267-M267</f>
        <v>141094.29444444459</v>
      </c>
      <c r="O267" s="357">
        <f t="shared" si="42"/>
        <v>3654</v>
      </c>
      <c r="P267" s="357">
        <v>9</v>
      </c>
      <c r="Q267" s="358">
        <f t="shared" si="40"/>
        <v>10.010958904109589</v>
      </c>
      <c r="R267" s="359">
        <f t="shared" si="43"/>
        <v>-1.0109589041095894</v>
      </c>
      <c r="S267" s="360">
        <f t="shared" si="44"/>
        <v>0</v>
      </c>
      <c r="T267" s="361">
        <f t="shared" si="45"/>
        <v>0.10555555555555554</v>
      </c>
      <c r="U267" s="362">
        <v>0</v>
      </c>
      <c r="V267" s="362">
        <f t="shared" si="48"/>
        <v>141094.29444444459</v>
      </c>
      <c r="W267" s="362">
        <f t="shared" si="46"/>
        <v>141457</v>
      </c>
      <c r="X267" s="742">
        <f t="shared" si="49"/>
        <v>-362.70555555541068</v>
      </c>
    </row>
    <row r="268" spans="1:24" ht="13.9">
      <c r="A268" s="349">
        <f t="shared" si="47"/>
        <v>260</v>
      </c>
      <c r="B268" s="350" t="s">
        <v>575</v>
      </c>
      <c r="C268" s="350" t="s">
        <v>1745</v>
      </c>
      <c r="D268" s="350" t="s">
        <v>1796</v>
      </c>
      <c r="E268" s="350" t="s">
        <v>1815</v>
      </c>
      <c r="F268" s="350" t="s">
        <v>1820</v>
      </c>
      <c r="G268" s="378" t="s">
        <v>1821</v>
      </c>
      <c r="H268" s="352">
        <v>812728</v>
      </c>
      <c r="I268" s="353" t="s">
        <v>1379</v>
      </c>
      <c r="J268" s="353" t="s">
        <v>1379</v>
      </c>
      <c r="K268" s="354">
        <f t="shared" si="41"/>
        <v>812728</v>
      </c>
      <c r="L268" s="377">
        <v>41710</v>
      </c>
      <c r="M268" s="742">
        <v>775028.95555555553</v>
      </c>
      <c r="N268" s="352">
        <f t="shared" si="50"/>
        <v>37699.044444444473</v>
      </c>
      <c r="O268" s="357">
        <f t="shared" si="42"/>
        <v>3673</v>
      </c>
      <c r="P268" s="357">
        <v>9</v>
      </c>
      <c r="Q268" s="358">
        <f t="shared" si="40"/>
        <v>10.063013698630137</v>
      </c>
      <c r="R268" s="359">
        <f t="shared" si="43"/>
        <v>-1.0630136986301366</v>
      </c>
      <c r="S268" s="360">
        <f t="shared" si="44"/>
        <v>0</v>
      </c>
      <c r="T268" s="361">
        <f t="shared" si="45"/>
        <v>0.10555555555555554</v>
      </c>
      <c r="U268" s="362">
        <v>0</v>
      </c>
      <c r="V268" s="362">
        <f t="shared" si="48"/>
        <v>37699.044444444473</v>
      </c>
      <c r="W268" s="362">
        <f t="shared" si="46"/>
        <v>40636</v>
      </c>
      <c r="X268" s="742">
        <f t="shared" si="49"/>
        <v>-2936.9555555555271</v>
      </c>
    </row>
    <row r="269" spans="1:24" ht="13.9">
      <c r="A269" s="349">
        <f t="shared" si="47"/>
        <v>261</v>
      </c>
      <c r="B269" s="350" t="s">
        <v>575</v>
      </c>
      <c r="C269" s="350" t="s">
        <v>1745</v>
      </c>
      <c r="D269" s="350" t="s">
        <v>1796</v>
      </c>
      <c r="E269" s="350" t="s">
        <v>1815</v>
      </c>
      <c r="F269" s="350" t="s">
        <v>1820</v>
      </c>
      <c r="G269" s="378" t="s">
        <v>1821</v>
      </c>
      <c r="H269" s="352">
        <v>812728</v>
      </c>
      <c r="I269" s="353" t="s">
        <v>1379</v>
      </c>
      <c r="J269" s="353" t="s">
        <v>1379</v>
      </c>
      <c r="K269" s="354">
        <f t="shared" si="41"/>
        <v>812728</v>
      </c>
      <c r="L269" s="377">
        <v>41710</v>
      </c>
      <c r="M269" s="742">
        <v>775028.95555555553</v>
      </c>
      <c r="N269" s="352">
        <f t="shared" si="50"/>
        <v>37699.044444444473</v>
      </c>
      <c r="O269" s="357">
        <f t="shared" si="42"/>
        <v>3673</v>
      </c>
      <c r="P269" s="357">
        <v>9</v>
      </c>
      <c r="Q269" s="358">
        <f t="shared" si="40"/>
        <v>10.063013698630137</v>
      </c>
      <c r="R269" s="359">
        <f t="shared" si="43"/>
        <v>-1.0630136986301366</v>
      </c>
      <c r="S269" s="360">
        <f t="shared" si="44"/>
        <v>0</v>
      </c>
      <c r="T269" s="361">
        <f t="shared" si="45"/>
        <v>0.10555555555555554</v>
      </c>
      <c r="U269" s="362">
        <v>0</v>
      </c>
      <c r="V269" s="362">
        <f t="shared" si="48"/>
        <v>37699.044444444473</v>
      </c>
      <c r="W269" s="362">
        <f t="shared" si="46"/>
        <v>40636</v>
      </c>
      <c r="X269" s="742">
        <f t="shared" si="49"/>
        <v>-2936.9555555555271</v>
      </c>
    </row>
    <row r="270" spans="1:24" ht="13.9">
      <c r="A270" s="349">
        <f t="shared" si="47"/>
        <v>262</v>
      </c>
      <c r="B270" s="350" t="s">
        <v>1822</v>
      </c>
      <c r="C270" s="350" t="s">
        <v>1804</v>
      </c>
      <c r="D270" s="350" t="s">
        <v>1796</v>
      </c>
      <c r="E270" s="350" t="s">
        <v>1823</v>
      </c>
      <c r="F270" s="350" t="s">
        <v>1824</v>
      </c>
      <c r="G270" s="378" t="s">
        <v>1825</v>
      </c>
      <c r="H270" s="352">
        <v>1125060</v>
      </c>
      <c r="I270" s="353" t="s">
        <v>1379</v>
      </c>
      <c r="J270" s="353" t="s">
        <v>1379</v>
      </c>
      <c r="K270" s="354">
        <f t="shared" si="41"/>
        <v>1125060</v>
      </c>
      <c r="L270" s="377">
        <v>41703</v>
      </c>
      <c r="M270" s="742">
        <v>1074321.3333333333</v>
      </c>
      <c r="N270" s="352">
        <f t="shared" si="50"/>
        <v>50738.666666666744</v>
      </c>
      <c r="O270" s="357">
        <f t="shared" si="42"/>
        <v>3680</v>
      </c>
      <c r="P270" s="357">
        <v>9</v>
      </c>
      <c r="Q270" s="358">
        <f t="shared" si="40"/>
        <v>10.082191780821917</v>
      </c>
      <c r="R270" s="359">
        <f t="shared" si="43"/>
        <v>-1.0821917808219172</v>
      </c>
      <c r="S270" s="360">
        <f t="shared" si="44"/>
        <v>0</v>
      </c>
      <c r="T270" s="361">
        <f t="shared" si="45"/>
        <v>0.10555555555555554</v>
      </c>
      <c r="U270" s="362">
        <v>0</v>
      </c>
      <c r="V270" s="362">
        <f t="shared" si="48"/>
        <v>50738.666666666744</v>
      </c>
      <c r="W270" s="362">
        <f t="shared" si="46"/>
        <v>56253</v>
      </c>
      <c r="X270" s="742">
        <f t="shared" si="49"/>
        <v>-5514.3333333332557</v>
      </c>
    </row>
    <row r="271" spans="1:24" ht="13.9">
      <c r="A271" s="349">
        <f t="shared" si="47"/>
        <v>263</v>
      </c>
      <c r="B271" s="350" t="s">
        <v>1826</v>
      </c>
      <c r="C271" s="350" t="s">
        <v>1673</v>
      </c>
      <c r="D271" s="350" t="s">
        <v>1796</v>
      </c>
      <c r="E271" s="350" t="s">
        <v>1827</v>
      </c>
      <c r="F271" s="350"/>
      <c r="G271" s="378" t="s">
        <v>1828</v>
      </c>
      <c r="H271" s="352">
        <v>441915</v>
      </c>
      <c r="I271" s="353" t="s">
        <v>1379</v>
      </c>
      <c r="J271" s="353" t="s">
        <v>1379</v>
      </c>
      <c r="K271" s="354">
        <f t="shared" si="41"/>
        <v>441915</v>
      </c>
      <c r="L271" s="377">
        <v>41396</v>
      </c>
      <c r="M271" s="742">
        <v>427079.58333333331</v>
      </c>
      <c r="N271" s="352">
        <f t="shared" si="50"/>
        <v>14835.416666666686</v>
      </c>
      <c r="O271" s="357">
        <f t="shared" si="42"/>
        <v>3987</v>
      </c>
      <c r="P271" s="357">
        <v>9</v>
      </c>
      <c r="Q271" s="358">
        <f t="shared" si="40"/>
        <v>10.923287671232877</v>
      </c>
      <c r="R271" s="359">
        <f t="shared" si="43"/>
        <v>-1.9232876712328775</v>
      </c>
      <c r="S271" s="360">
        <f t="shared" si="44"/>
        <v>0</v>
      </c>
      <c r="T271" s="361">
        <f t="shared" si="45"/>
        <v>0.10555555555555554</v>
      </c>
      <c r="U271" s="362">
        <v>0</v>
      </c>
      <c r="V271" s="362">
        <f t="shared" si="48"/>
        <v>14835.416666666686</v>
      </c>
      <c r="W271" s="362">
        <f t="shared" si="46"/>
        <v>22096</v>
      </c>
      <c r="X271" s="742">
        <f t="shared" si="49"/>
        <v>-7260.5833333333139</v>
      </c>
    </row>
    <row r="272" spans="1:24" ht="13.9">
      <c r="A272" s="349">
        <f t="shared" si="47"/>
        <v>264</v>
      </c>
      <c r="B272" s="350" t="s">
        <v>1829</v>
      </c>
      <c r="C272" s="350" t="s">
        <v>1795</v>
      </c>
      <c r="D272" s="350" t="s">
        <v>1796</v>
      </c>
      <c r="E272" s="350" t="s">
        <v>1830</v>
      </c>
      <c r="F272" s="350" t="s">
        <v>1831</v>
      </c>
      <c r="G272" s="378" t="s">
        <v>1832</v>
      </c>
      <c r="H272" s="352">
        <v>700297</v>
      </c>
      <c r="I272" s="353" t="s">
        <v>1379</v>
      </c>
      <c r="J272" s="353" t="s">
        <v>1379</v>
      </c>
      <c r="K272" s="354">
        <f t="shared" si="41"/>
        <v>700297</v>
      </c>
      <c r="L272" s="377">
        <v>41610</v>
      </c>
      <c r="M272" s="742">
        <v>665282</v>
      </c>
      <c r="N272" s="352">
        <f t="shared" si="50"/>
        <v>35015</v>
      </c>
      <c r="O272" s="357">
        <f t="shared" si="42"/>
        <v>3773</v>
      </c>
      <c r="P272" s="357">
        <v>9</v>
      </c>
      <c r="Q272" s="358">
        <f t="shared" si="40"/>
        <v>10.336986301369864</v>
      </c>
      <c r="R272" s="359">
        <f t="shared" si="43"/>
        <v>-1.3369863013698637</v>
      </c>
      <c r="S272" s="360">
        <f t="shared" si="44"/>
        <v>0</v>
      </c>
      <c r="T272" s="361">
        <f t="shared" si="45"/>
        <v>0.10555555555555554</v>
      </c>
      <c r="U272" s="362">
        <v>0</v>
      </c>
      <c r="V272" s="362">
        <f t="shared" si="48"/>
        <v>35015</v>
      </c>
      <c r="W272" s="362">
        <f t="shared" si="46"/>
        <v>35015</v>
      </c>
      <c r="X272" s="742">
        <f t="shared" si="49"/>
        <v>0</v>
      </c>
    </row>
    <row r="273" spans="1:24" ht="13.9">
      <c r="A273" s="349">
        <f t="shared" si="47"/>
        <v>265</v>
      </c>
      <c r="B273" s="350" t="s">
        <v>1833</v>
      </c>
      <c r="C273" s="350"/>
      <c r="D273" s="350" t="s">
        <v>1796</v>
      </c>
      <c r="E273" s="350" t="s">
        <v>1834</v>
      </c>
      <c r="F273" s="350" t="s">
        <v>1835</v>
      </c>
      <c r="G273" s="366">
        <v>41463</v>
      </c>
      <c r="H273" s="352">
        <v>211928</v>
      </c>
      <c r="I273" s="353" t="s">
        <v>1379</v>
      </c>
      <c r="J273" s="353" t="s">
        <v>1379</v>
      </c>
      <c r="K273" s="354">
        <f t="shared" si="41"/>
        <v>211928</v>
      </c>
      <c r="L273" s="377">
        <v>41463</v>
      </c>
      <c r="M273" s="742">
        <v>210767</v>
      </c>
      <c r="N273" s="352">
        <f t="shared" si="50"/>
        <v>1161</v>
      </c>
      <c r="O273" s="357">
        <f t="shared" si="42"/>
        <v>3920</v>
      </c>
      <c r="P273" s="357">
        <v>9</v>
      </c>
      <c r="Q273" s="358">
        <f t="shared" si="40"/>
        <v>10.739726027397261</v>
      </c>
      <c r="R273" s="359">
        <f t="shared" si="43"/>
        <v>-1.7397260273972606</v>
      </c>
      <c r="S273" s="360">
        <f t="shared" si="44"/>
        <v>0</v>
      </c>
      <c r="T273" s="361">
        <f t="shared" si="45"/>
        <v>0.10555555555555554</v>
      </c>
      <c r="U273" s="362">
        <v>0</v>
      </c>
      <c r="V273" s="362">
        <f t="shared" si="48"/>
        <v>1161</v>
      </c>
      <c r="W273" s="362">
        <f t="shared" si="46"/>
        <v>10596</v>
      </c>
      <c r="X273" s="742">
        <f t="shared" si="49"/>
        <v>-9435</v>
      </c>
    </row>
    <row r="274" spans="1:24" ht="13.9">
      <c r="A274" s="349">
        <f t="shared" si="47"/>
        <v>266</v>
      </c>
      <c r="B274" s="350" t="s">
        <v>1833</v>
      </c>
      <c r="C274" s="350" t="s">
        <v>1795</v>
      </c>
      <c r="D274" s="350" t="s">
        <v>1796</v>
      </c>
      <c r="E274" s="350" t="s">
        <v>1836</v>
      </c>
      <c r="F274" s="350" t="s">
        <v>1765</v>
      </c>
      <c r="G274" s="378" t="s">
        <v>1837</v>
      </c>
      <c r="H274" s="352">
        <v>344400</v>
      </c>
      <c r="I274" s="353" t="s">
        <v>1379</v>
      </c>
      <c r="J274" s="353" t="s">
        <v>1379</v>
      </c>
      <c r="K274" s="354">
        <f t="shared" si="41"/>
        <v>344400</v>
      </c>
      <c r="L274" s="377">
        <v>41615</v>
      </c>
      <c r="M274" s="742">
        <v>327180</v>
      </c>
      <c r="N274" s="352">
        <f t="shared" si="50"/>
        <v>17220</v>
      </c>
      <c r="O274" s="357">
        <f t="shared" si="42"/>
        <v>3768</v>
      </c>
      <c r="P274" s="357">
        <v>9</v>
      </c>
      <c r="Q274" s="358">
        <f t="shared" si="40"/>
        <v>10.323287671232876</v>
      </c>
      <c r="R274" s="359">
        <f t="shared" si="43"/>
        <v>-1.3232876712328761</v>
      </c>
      <c r="S274" s="360">
        <f t="shared" si="44"/>
        <v>0</v>
      </c>
      <c r="T274" s="361">
        <f t="shared" si="45"/>
        <v>0.10555555555555554</v>
      </c>
      <c r="U274" s="362">
        <v>0</v>
      </c>
      <c r="V274" s="362">
        <f t="shared" si="48"/>
        <v>17220</v>
      </c>
      <c r="W274" s="362">
        <f t="shared" si="46"/>
        <v>17220</v>
      </c>
      <c r="X274" s="742">
        <f t="shared" si="49"/>
        <v>0</v>
      </c>
    </row>
    <row r="275" spans="1:24" ht="13.9">
      <c r="A275" s="349">
        <f t="shared" si="47"/>
        <v>267</v>
      </c>
      <c r="B275" s="350" t="s">
        <v>1569</v>
      </c>
      <c r="C275" s="350" t="s">
        <v>1795</v>
      </c>
      <c r="D275" s="350" t="s">
        <v>1796</v>
      </c>
      <c r="E275" s="350" t="s">
        <v>1836</v>
      </c>
      <c r="F275" s="350" t="s">
        <v>1838</v>
      </c>
      <c r="G275" s="378" t="s">
        <v>1837</v>
      </c>
      <c r="H275" s="352">
        <v>18375</v>
      </c>
      <c r="I275" s="353" t="s">
        <v>1379</v>
      </c>
      <c r="J275" s="353" t="s">
        <v>1379</v>
      </c>
      <c r="K275" s="354">
        <f t="shared" si="41"/>
        <v>18375</v>
      </c>
      <c r="L275" s="377">
        <v>41618</v>
      </c>
      <c r="M275" s="742">
        <v>17841</v>
      </c>
      <c r="N275" s="352">
        <f t="shared" si="50"/>
        <v>534</v>
      </c>
      <c r="O275" s="357">
        <f t="shared" si="42"/>
        <v>3765</v>
      </c>
      <c r="P275" s="357">
        <v>9</v>
      </c>
      <c r="Q275" s="358">
        <f t="shared" si="40"/>
        <v>10.315068493150685</v>
      </c>
      <c r="R275" s="359">
        <f t="shared" si="43"/>
        <v>-1.3150684931506849</v>
      </c>
      <c r="S275" s="360">
        <f t="shared" si="44"/>
        <v>0</v>
      </c>
      <c r="T275" s="361">
        <f t="shared" si="45"/>
        <v>0.10555555555555554</v>
      </c>
      <c r="U275" s="362">
        <v>0</v>
      </c>
      <c r="V275" s="362">
        <f t="shared" si="48"/>
        <v>534</v>
      </c>
      <c r="W275" s="362">
        <f t="shared" si="46"/>
        <v>919</v>
      </c>
      <c r="X275" s="742">
        <f t="shared" si="49"/>
        <v>-385</v>
      </c>
    </row>
    <row r="276" spans="1:24" ht="13.9">
      <c r="A276" s="349">
        <f t="shared" si="47"/>
        <v>268</v>
      </c>
      <c r="B276" s="350" t="s">
        <v>1833</v>
      </c>
      <c r="C276" s="350" t="s">
        <v>1795</v>
      </c>
      <c r="D276" s="350" t="s">
        <v>1796</v>
      </c>
      <c r="E276" s="350" t="s">
        <v>1836</v>
      </c>
      <c r="F276" s="350" t="s">
        <v>1839</v>
      </c>
      <c r="G276" s="366" t="s">
        <v>1840</v>
      </c>
      <c r="H276" s="352">
        <v>15750</v>
      </c>
      <c r="I276" s="353" t="s">
        <v>1379</v>
      </c>
      <c r="J276" s="353" t="s">
        <v>1379</v>
      </c>
      <c r="K276" s="354">
        <f t="shared" si="41"/>
        <v>15750</v>
      </c>
      <c r="L276" s="377">
        <v>41676</v>
      </c>
      <c r="M276" s="742">
        <v>15260</v>
      </c>
      <c r="N276" s="352">
        <f t="shared" si="50"/>
        <v>490</v>
      </c>
      <c r="O276" s="357">
        <f t="shared" si="42"/>
        <v>3707</v>
      </c>
      <c r="P276" s="357">
        <v>9</v>
      </c>
      <c r="Q276" s="358">
        <f t="shared" si="40"/>
        <v>10.156164383561643</v>
      </c>
      <c r="R276" s="359">
        <f t="shared" si="43"/>
        <v>-1.1561643835616433</v>
      </c>
      <c r="S276" s="360">
        <f t="shared" si="44"/>
        <v>0</v>
      </c>
      <c r="T276" s="361">
        <f t="shared" si="45"/>
        <v>0.10555555555555554</v>
      </c>
      <c r="U276" s="362">
        <v>0</v>
      </c>
      <c r="V276" s="362">
        <f t="shared" si="48"/>
        <v>490</v>
      </c>
      <c r="W276" s="362">
        <f t="shared" si="46"/>
        <v>788</v>
      </c>
      <c r="X276" s="742">
        <f t="shared" si="49"/>
        <v>-298</v>
      </c>
    </row>
    <row r="277" spans="1:24" ht="13.9">
      <c r="A277" s="349">
        <f t="shared" si="47"/>
        <v>269</v>
      </c>
      <c r="B277" s="350" t="s">
        <v>1841</v>
      </c>
      <c r="C277" s="350"/>
      <c r="D277" s="350" t="s">
        <v>1796</v>
      </c>
      <c r="E277" s="350" t="s">
        <v>1842</v>
      </c>
      <c r="F277" s="350" t="s">
        <v>1843</v>
      </c>
      <c r="G277" s="366" t="s">
        <v>1844</v>
      </c>
      <c r="H277" s="352">
        <v>39722</v>
      </c>
      <c r="I277" s="353" t="s">
        <v>1379</v>
      </c>
      <c r="J277" s="353" t="s">
        <v>1379</v>
      </c>
      <c r="K277" s="354">
        <f t="shared" si="41"/>
        <v>39722</v>
      </c>
      <c r="L277" s="377">
        <v>41450</v>
      </c>
      <c r="M277" s="742">
        <v>37736</v>
      </c>
      <c r="N277" s="352">
        <f t="shared" si="50"/>
        <v>1986</v>
      </c>
      <c r="O277" s="357">
        <f t="shared" si="42"/>
        <v>3933</v>
      </c>
      <c r="P277" s="357">
        <v>9</v>
      </c>
      <c r="Q277" s="358">
        <f t="shared" si="40"/>
        <v>10.775342465753425</v>
      </c>
      <c r="R277" s="359">
        <f t="shared" si="43"/>
        <v>-1.7753424657534254</v>
      </c>
      <c r="S277" s="360">
        <f t="shared" si="44"/>
        <v>0</v>
      </c>
      <c r="T277" s="361">
        <f t="shared" si="45"/>
        <v>0.10555555555555554</v>
      </c>
      <c r="U277" s="362">
        <v>0</v>
      </c>
      <c r="V277" s="362">
        <f t="shared" si="48"/>
        <v>1986</v>
      </c>
      <c r="W277" s="362">
        <f t="shared" si="46"/>
        <v>1986</v>
      </c>
      <c r="X277" s="742">
        <f t="shared" si="49"/>
        <v>0</v>
      </c>
    </row>
    <row r="278" spans="1:24" ht="13.9">
      <c r="A278" s="349">
        <f t="shared" si="47"/>
        <v>270</v>
      </c>
      <c r="B278" s="350" t="s">
        <v>983</v>
      </c>
      <c r="C278" s="350"/>
      <c r="D278" s="350" t="s">
        <v>1796</v>
      </c>
      <c r="E278" s="350" t="s">
        <v>1845</v>
      </c>
      <c r="F278" s="350" t="s">
        <v>1846</v>
      </c>
      <c r="G278" s="366" t="s">
        <v>1847</v>
      </c>
      <c r="H278" s="352">
        <v>303425</v>
      </c>
      <c r="I278" s="353" t="s">
        <v>1379</v>
      </c>
      <c r="J278" s="353" t="s">
        <v>1379</v>
      </c>
      <c r="K278" s="354">
        <f t="shared" si="41"/>
        <v>303425</v>
      </c>
      <c r="L278" s="377">
        <v>41383</v>
      </c>
      <c r="M278" s="742">
        <v>288254</v>
      </c>
      <c r="N278" s="352">
        <f t="shared" si="50"/>
        <v>15171</v>
      </c>
      <c r="O278" s="357">
        <f t="shared" si="42"/>
        <v>4000</v>
      </c>
      <c r="P278" s="357">
        <v>9</v>
      </c>
      <c r="Q278" s="358">
        <f t="shared" si="40"/>
        <v>10.95890410958904</v>
      </c>
      <c r="R278" s="359">
        <f t="shared" si="43"/>
        <v>-1.9589041095890405</v>
      </c>
      <c r="S278" s="360">
        <f t="shared" si="44"/>
        <v>0</v>
      </c>
      <c r="T278" s="361">
        <f t="shared" si="45"/>
        <v>0.10555555555555554</v>
      </c>
      <c r="U278" s="362">
        <v>0</v>
      </c>
      <c r="V278" s="362">
        <f t="shared" si="48"/>
        <v>15171</v>
      </c>
      <c r="W278" s="362">
        <f t="shared" si="46"/>
        <v>15171</v>
      </c>
      <c r="X278" s="742">
        <f t="shared" si="49"/>
        <v>0</v>
      </c>
    </row>
    <row r="279" spans="1:24" ht="13.9">
      <c r="A279" s="349">
        <f t="shared" si="47"/>
        <v>271</v>
      </c>
      <c r="B279" s="350" t="s">
        <v>983</v>
      </c>
      <c r="C279" s="350" t="s">
        <v>1673</v>
      </c>
      <c r="D279" s="350" t="s">
        <v>1796</v>
      </c>
      <c r="E279" s="350" t="s">
        <v>1740</v>
      </c>
      <c r="F279" s="350" t="s">
        <v>1848</v>
      </c>
      <c r="G279" s="366" t="s">
        <v>1849</v>
      </c>
      <c r="H279" s="352">
        <v>469200</v>
      </c>
      <c r="I279" s="353" t="s">
        <v>1379</v>
      </c>
      <c r="J279" s="353" t="s">
        <v>1379</v>
      </c>
      <c r="K279" s="354">
        <f t="shared" si="41"/>
        <v>469200</v>
      </c>
      <c r="L279" s="377">
        <v>41412</v>
      </c>
      <c r="M279" s="742">
        <v>445740</v>
      </c>
      <c r="N279" s="352">
        <f t="shared" si="50"/>
        <v>23460</v>
      </c>
      <c r="O279" s="357">
        <f t="shared" si="42"/>
        <v>3971</v>
      </c>
      <c r="P279" s="357">
        <v>9</v>
      </c>
      <c r="Q279" s="358">
        <f t="shared" si="40"/>
        <v>10.87945205479452</v>
      </c>
      <c r="R279" s="359">
        <f t="shared" si="43"/>
        <v>-1.8794520547945197</v>
      </c>
      <c r="S279" s="360">
        <f t="shared" si="44"/>
        <v>0</v>
      </c>
      <c r="T279" s="361">
        <f t="shared" si="45"/>
        <v>0.10555555555555554</v>
      </c>
      <c r="U279" s="362">
        <v>0</v>
      </c>
      <c r="V279" s="362">
        <f t="shared" si="48"/>
        <v>23460</v>
      </c>
      <c r="W279" s="362">
        <f t="shared" si="46"/>
        <v>23460</v>
      </c>
      <c r="X279" s="742">
        <f t="shared" si="49"/>
        <v>0</v>
      </c>
    </row>
    <row r="280" spans="1:24" ht="13.9">
      <c r="A280" s="349">
        <f t="shared" si="47"/>
        <v>272</v>
      </c>
      <c r="B280" s="350" t="s">
        <v>983</v>
      </c>
      <c r="C280" s="350" t="s">
        <v>1704</v>
      </c>
      <c r="D280" s="350" t="s">
        <v>1796</v>
      </c>
      <c r="E280" s="350" t="s">
        <v>1740</v>
      </c>
      <c r="F280" s="350" t="s">
        <v>1850</v>
      </c>
      <c r="G280" s="366" t="s">
        <v>1851</v>
      </c>
      <c r="H280" s="352">
        <v>105340</v>
      </c>
      <c r="I280" s="353" t="s">
        <v>1379</v>
      </c>
      <c r="J280" s="353" t="s">
        <v>1379</v>
      </c>
      <c r="K280" s="354">
        <f t="shared" si="41"/>
        <v>105340</v>
      </c>
      <c r="L280" s="377">
        <v>41455</v>
      </c>
      <c r="M280" s="742">
        <v>100073</v>
      </c>
      <c r="N280" s="352">
        <f t="shared" si="50"/>
        <v>5267</v>
      </c>
      <c r="O280" s="357">
        <f t="shared" si="42"/>
        <v>3928</v>
      </c>
      <c r="P280" s="357">
        <v>9</v>
      </c>
      <c r="Q280" s="358">
        <f t="shared" si="40"/>
        <v>10.761643835616438</v>
      </c>
      <c r="R280" s="359">
        <f t="shared" si="43"/>
        <v>-1.7616438356164377</v>
      </c>
      <c r="S280" s="360">
        <f t="shared" si="44"/>
        <v>0</v>
      </c>
      <c r="T280" s="361">
        <f t="shared" si="45"/>
        <v>0.10555555555555554</v>
      </c>
      <c r="U280" s="362">
        <v>0</v>
      </c>
      <c r="V280" s="362">
        <f t="shared" si="48"/>
        <v>5267</v>
      </c>
      <c r="W280" s="362">
        <f t="shared" si="46"/>
        <v>5267</v>
      </c>
      <c r="X280" s="742">
        <f t="shared" si="49"/>
        <v>0</v>
      </c>
    </row>
    <row r="281" spans="1:24" ht="13.9">
      <c r="A281" s="349">
        <f t="shared" si="47"/>
        <v>273</v>
      </c>
      <c r="B281" s="350" t="s">
        <v>983</v>
      </c>
      <c r="C281" s="350" t="s">
        <v>1704</v>
      </c>
      <c r="D281" s="350" t="s">
        <v>1796</v>
      </c>
      <c r="E281" s="350" t="s">
        <v>1740</v>
      </c>
      <c r="F281" s="350" t="s">
        <v>1852</v>
      </c>
      <c r="G281" s="366" t="s">
        <v>1853</v>
      </c>
      <c r="H281" s="352">
        <v>421360</v>
      </c>
      <c r="I281" s="353" t="s">
        <v>1379</v>
      </c>
      <c r="J281" s="353" t="s">
        <v>1379</v>
      </c>
      <c r="K281" s="354">
        <f t="shared" si="41"/>
        <v>421360</v>
      </c>
      <c r="L281" s="377">
        <v>41484</v>
      </c>
      <c r="M281" s="742">
        <v>400292</v>
      </c>
      <c r="N281" s="352">
        <f t="shared" si="50"/>
        <v>21068</v>
      </c>
      <c r="O281" s="357">
        <f t="shared" si="42"/>
        <v>3899</v>
      </c>
      <c r="P281" s="357">
        <v>9</v>
      </c>
      <c r="Q281" s="358">
        <f t="shared" si="40"/>
        <v>10.682191780821919</v>
      </c>
      <c r="R281" s="359">
        <f t="shared" si="43"/>
        <v>-1.6821917808219187</v>
      </c>
      <c r="S281" s="360">
        <f t="shared" si="44"/>
        <v>0</v>
      </c>
      <c r="T281" s="361">
        <f t="shared" si="45"/>
        <v>0.10555555555555554</v>
      </c>
      <c r="U281" s="362">
        <v>0</v>
      </c>
      <c r="V281" s="362">
        <f t="shared" si="48"/>
        <v>21068</v>
      </c>
      <c r="W281" s="362">
        <f t="shared" si="46"/>
        <v>21068</v>
      </c>
      <c r="X281" s="742">
        <f t="shared" si="49"/>
        <v>0</v>
      </c>
    </row>
    <row r="282" spans="1:24" ht="13.9">
      <c r="A282" s="349">
        <f t="shared" si="47"/>
        <v>274</v>
      </c>
      <c r="B282" s="350" t="s">
        <v>983</v>
      </c>
      <c r="C282" s="350"/>
      <c r="D282" s="350" t="s">
        <v>1796</v>
      </c>
      <c r="E282" s="350" t="s">
        <v>1845</v>
      </c>
      <c r="F282" s="350" t="s">
        <v>1854</v>
      </c>
      <c r="G282" s="366" t="s">
        <v>1855</v>
      </c>
      <c r="H282" s="352">
        <v>89310</v>
      </c>
      <c r="I282" s="353" t="s">
        <v>1379</v>
      </c>
      <c r="J282" s="353" t="s">
        <v>1379</v>
      </c>
      <c r="K282" s="354">
        <f t="shared" si="41"/>
        <v>89310</v>
      </c>
      <c r="L282" s="377">
        <v>41515</v>
      </c>
      <c r="M282" s="742">
        <v>84845</v>
      </c>
      <c r="N282" s="352">
        <f t="shared" si="50"/>
        <v>4465</v>
      </c>
      <c r="O282" s="357">
        <f t="shared" si="42"/>
        <v>3868</v>
      </c>
      <c r="P282" s="357">
        <v>9</v>
      </c>
      <c r="Q282" s="358">
        <f t="shared" si="40"/>
        <v>10.597260273972603</v>
      </c>
      <c r="R282" s="359">
        <f t="shared" si="43"/>
        <v>-1.5972602739726032</v>
      </c>
      <c r="S282" s="360">
        <f t="shared" si="44"/>
        <v>0</v>
      </c>
      <c r="T282" s="361">
        <f t="shared" si="45"/>
        <v>0.10555555555555554</v>
      </c>
      <c r="U282" s="362">
        <v>0</v>
      </c>
      <c r="V282" s="362">
        <f t="shared" si="48"/>
        <v>4465</v>
      </c>
      <c r="W282" s="362">
        <f t="shared" si="46"/>
        <v>4466</v>
      </c>
      <c r="X282" s="742">
        <f t="shared" si="49"/>
        <v>-1</v>
      </c>
    </row>
    <row r="283" spans="1:24" ht="13.9">
      <c r="A283" s="349">
        <f t="shared" si="47"/>
        <v>275</v>
      </c>
      <c r="B283" s="350" t="s">
        <v>983</v>
      </c>
      <c r="C283" s="350"/>
      <c r="D283" s="350" t="s">
        <v>1796</v>
      </c>
      <c r="E283" s="350" t="s">
        <v>1740</v>
      </c>
      <c r="F283" s="350" t="s">
        <v>1856</v>
      </c>
      <c r="G283" s="366" t="s">
        <v>1857</v>
      </c>
      <c r="H283" s="352">
        <v>54960</v>
      </c>
      <c r="I283" s="353" t="s">
        <v>1379</v>
      </c>
      <c r="J283" s="353" t="s">
        <v>1379</v>
      </c>
      <c r="K283" s="354">
        <f t="shared" si="41"/>
        <v>54960</v>
      </c>
      <c r="L283" s="377">
        <v>41727</v>
      </c>
      <c r="M283" s="742">
        <v>52212</v>
      </c>
      <c r="N283" s="352">
        <f t="shared" si="50"/>
        <v>2748</v>
      </c>
      <c r="O283" s="357">
        <f t="shared" si="42"/>
        <v>3656</v>
      </c>
      <c r="P283" s="357">
        <v>9</v>
      </c>
      <c r="Q283" s="358">
        <f t="shared" si="40"/>
        <v>10.016438356164384</v>
      </c>
      <c r="R283" s="359">
        <f t="shared" si="43"/>
        <v>-1.0164383561643842</v>
      </c>
      <c r="S283" s="360">
        <f t="shared" si="44"/>
        <v>0</v>
      </c>
      <c r="T283" s="361">
        <f t="shared" si="45"/>
        <v>0.10555555555555554</v>
      </c>
      <c r="U283" s="362">
        <v>0</v>
      </c>
      <c r="V283" s="362">
        <f t="shared" si="48"/>
        <v>2748</v>
      </c>
      <c r="W283" s="362">
        <f t="shared" si="46"/>
        <v>2748</v>
      </c>
      <c r="X283" s="742">
        <f t="shared" si="49"/>
        <v>0</v>
      </c>
    </row>
    <row r="284" spans="1:24" ht="13.9">
      <c r="A284" s="349">
        <f t="shared" si="47"/>
        <v>276</v>
      </c>
      <c r="B284" s="350" t="s">
        <v>1411</v>
      </c>
      <c r="C284" s="350"/>
      <c r="D284" s="350" t="s">
        <v>1796</v>
      </c>
      <c r="E284" s="350" t="s">
        <v>1628</v>
      </c>
      <c r="F284" s="350" t="s">
        <v>1858</v>
      </c>
      <c r="G284" s="366" t="s">
        <v>1859</v>
      </c>
      <c r="H284" s="352">
        <v>34650</v>
      </c>
      <c r="I284" s="353" t="s">
        <v>1379</v>
      </c>
      <c r="J284" s="353" t="s">
        <v>1379</v>
      </c>
      <c r="K284" s="354">
        <f t="shared" si="41"/>
        <v>34650</v>
      </c>
      <c r="L284" s="377">
        <v>41692</v>
      </c>
      <c r="M284" s="742">
        <v>33157.5</v>
      </c>
      <c r="N284" s="352">
        <f t="shared" si="50"/>
        <v>1492.5</v>
      </c>
      <c r="O284" s="357">
        <f t="shared" si="42"/>
        <v>3691</v>
      </c>
      <c r="P284" s="357">
        <v>9</v>
      </c>
      <c r="Q284" s="358">
        <f t="shared" si="40"/>
        <v>10.112328767123287</v>
      </c>
      <c r="R284" s="359">
        <f t="shared" si="43"/>
        <v>-1.1123287671232873</v>
      </c>
      <c r="S284" s="360">
        <f t="shared" si="44"/>
        <v>0</v>
      </c>
      <c r="T284" s="361">
        <f t="shared" si="45"/>
        <v>0.10555555555555554</v>
      </c>
      <c r="U284" s="362">
        <v>0</v>
      </c>
      <c r="V284" s="362">
        <f t="shared" si="48"/>
        <v>1492.5</v>
      </c>
      <c r="W284" s="362">
        <f t="shared" si="46"/>
        <v>1733</v>
      </c>
      <c r="X284" s="742">
        <f t="shared" si="49"/>
        <v>-240.5</v>
      </c>
    </row>
    <row r="285" spans="1:24" ht="13.9">
      <c r="A285" s="349">
        <f t="shared" si="47"/>
        <v>277</v>
      </c>
      <c r="B285" s="350" t="s">
        <v>60</v>
      </c>
      <c r="C285" s="350"/>
      <c r="D285" s="350" t="s">
        <v>1796</v>
      </c>
      <c r="E285" s="350" t="s">
        <v>1860</v>
      </c>
      <c r="F285" s="350" t="s">
        <v>1861</v>
      </c>
      <c r="G285" s="366" t="s">
        <v>1862</v>
      </c>
      <c r="H285" s="352">
        <v>46020</v>
      </c>
      <c r="I285" s="353" t="s">
        <v>1379</v>
      </c>
      <c r="J285" s="353" t="s">
        <v>1379</v>
      </c>
      <c r="K285" s="354">
        <f t="shared" si="41"/>
        <v>46020</v>
      </c>
      <c r="L285" s="377">
        <v>41515</v>
      </c>
      <c r="M285" s="742">
        <v>45564.666666666664</v>
      </c>
      <c r="N285" s="352">
        <f t="shared" si="50"/>
        <v>455.33333333333576</v>
      </c>
      <c r="O285" s="357">
        <f t="shared" si="42"/>
        <v>3868</v>
      </c>
      <c r="P285" s="357">
        <v>9</v>
      </c>
      <c r="Q285" s="358">
        <f t="shared" si="40"/>
        <v>10.597260273972603</v>
      </c>
      <c r="R285" s="359">
        <f t="shared" si="43"/>
        <v>-1.5972602739726032</v>
      </c>
      <c r="S285" s="360">
        <f t="shared" si="44"/>
        <v>0</v>
      </c>
      <c r="T285" s="361">
        <f t="shared" si="45"/>
        <v>0.10555555555555554</v>
      </c>
      <c r="U285" s="362">
        <v>0</v>
      </c>
      <c r="V285" s="362">
        <f t="shared" si="48"/>
        <v>455.33333333333576</v>
      </c>
      <c r="W285" s="362">
        <f t="shared" si="46"/>
        <v>2301</v>
      </c>
      <c r="X285" s="742">
        <f t="shared" si="49"/>
        <v>-1845.6666666666642</v>
      </c>
    </row>
    <row r="286" spans="1:24" ht="13.9">
      <c r="A286" s="349">
        <f t="shared" si="47"/>
        <v>278</v>
      </c>
      <c r="B286" s="350" t="s">
        <v>60</v>
      </c>
      <c r="C286" s="350"/>
      <c r="D286" s="350" t="s">
        <v>1796</v>
      </c>
      <c r="E286" s="350" t="s">
        <v>1863</v>
      </c>
      <c r="F286" s="350"/>
      <c r="G286" s="366"/>
      <c r="H286" s="352">
        <v>10970</v>
      </c>
      <c r="I286" s="353" t="s">
        <v>1379</v>
      </c>
      <c r="J286" s="353" t="s">
        <v>1379</v>
      </c>
      <c r="K286" s="354">
        <f t="shared" si="41"/>
        <v>10970</v>
      </c>
      <c r="L286" s="377">
        <v>41659</v>
      </c>
      <c r="M286" s="742">
        <v>10564.944444444445</v>
      </c>
      <c r="N286" s="352">
        <f t="shared" si="50"/>
        <v>405.05555555555475</v>
      </c>
      <c r="O286" s="357">
        <f t="shared" si="42"/>
        <v>3724</v>
      </c>
      <c r="P286" s="357">
        <v>9</v>
      </c>
      <c r="Q286" s="358">
        <f t="shared" si="40"/>
        <v>10.202739726027398</v>
      </c>
      <c r="R286" s="359">
        <f t="shared" si="43"/>
        <v>-1.2027397260273975</v>
      </c>
      <c r="S286" s="360">
        <f t="shared" si="44"/>
        <v>0</v>
      </c>
      <c r="T286" s="361">
        <f t="shared" si="45"/>
        <v>0.10555555555555554</v>
      </c>
      <c r="U286" s="362">
        <v>0</v>
      </c>
      <c r="V286" s="362">
        <f t="shared" si="48"/>
        <v>405.05555555555475</v>
      </c>
      <c r="W286" s="362">
        <f t="shared" si="46"/>
        <v>549</v>
      </c>
      <c r="X286" s="742">
        <f t="shared" si="49"/>
        <v>-143.94444444444525</v>
      </c>
    </row>
    <row r="287" spans="1:24" ht="13.9">
      <c r="A287" s="349">
        <f t="shared" si="47"/>
        <v>279</v>
      </c>
      <c r="B287" s="350" t="s">
        <v>1864</v>
      </c>
      <c r="C287" s="350" t="s">
        <v>1704</v>
      </c>
      <c r="D287" s="350" t="s">
        <v>1796</v>
      </c>
      <c r="E287" s="350" t="s">
        <v>1865</v>
      </c>
      <c r="F287" s="350" t="s">
        <v>1866</v>
      </c>
      <c r="G287" s="378" t="s">
        <v>1867</v>
      </c>
      <c r="H287" s="352">
        <v>22313</v>
      </c>
      <c r="I287" s="353" t="s">
        <v>1379</v>
      </c>
      <c r="J287" s="353" t="s">
        <v>1379</v>
      </c>
      <c r="K287" s="354">
        <f t="shared" si="41"/>
        <v>22313</v>
      </c>
      <c r="L287" s="377">
        <v>41558</v>
      </c>
      <c r="M287" s="742">
        <v>21197</v>
      </c>
      <c r="N287" s="352">
        <f t="shared" si="50"/>
        <v>1116</v>
      </c>
      <c r="O287" s="357">
        <f t="shared" si="42"/>
        <v>3825</v>
      </c>
      <c r="P287" s="357">
        <v>9</v>
      </c>
      <c r="Q287" s="358">
        <f t="shared" si="40"/>
        <v>10.479452054794521</v>
      </c>
      <c r="R287" s="359">
        <f t="shared" si="43"/>
        <v>-1.4794520547945211</v>
      </c>
      <c r="S287" s="360">
        <f t="shared" si="44"/>
        <v>0</v>
      </c>
      <c r="T287" s="361">
        <f t="shared" si="45"/>
        <v>0.10555555555555554</v>
      </c>
      <c r="U287" s="362">
        <v>0</v>
      </c>
      <c r="V287" s="362">
        <f t="shared" si="48"/>
        <v>1116</v>
      </c>
      <c r="W287" s="362">
        <f t="shared" si="46"/>
        <v>1116</v>
      </c>
      <c r="X287" s="742">
        <f t="shared" si="49"/>
        <v>0</v>
      </c>
    </row>
    <row r="288" spans="1:24" ht="13.9">
      <c r="A288" s="349">
        <f t="shared" si="47"/>
        <v>280</v>
      </c>
      <c r="B288" s="349" t="s">
        <v>1082</v>
      </c>
      <c r="C288" s="350"/>
      <c r="D288" s="350"/>
      <c r="E288" s="350"/>
      <c r="F288" s="350"/>
      <c r="G288" s="380">
        <v>41803</v>
      </c>
      <c r="H288" s="352">
        <v>19700</v>
      </c>
      <c r="I288" s="353" t="s">
        <v>1379</v>
      </c>
      <c r="J288" s="353" t="s">
        <v>1379</v>
      </c>
      <c r="K288" s="354">
        <f t="shared" si="41"/>
        <v>19700</v>
      </c>
      <c r="L288" s="381">
        <v>41803</v>
      </c>
      <c r="M288" s="742">
        <v>18298.444444444445</v>
      </c>
      <c r="N288" s="352">
        <f t="shared" si="50"/>
        <v>1401.5555555555547</v>
      </c>
      <c r="O288" s="357">
        <f t="shared" si="42"/>
        <v>3580</v>
      </c>
      <c r="P288" s="357">
        <v>9</v>
      </c>
      <c r="Q288" s="358">
        <f t="shared" si="40"/>
        <v>9.8082191780821919</v>
      </c>
      <c r="R288" s="359">
        <f t="shared" si="43"/>
        <v>-0.8082191780821919</v>
      </c>
      <c r="S288" s="360">
        <f t="shared" si="44"/>
        <v>0</v>
      </c>
      <c r="T288" s="361">
        <f t="shared" si="45"/>
        <v>0.10555555555555554</v>
      </c>
      <c r="U288" s="362">
        <v>417</v>
      </c>
      <c r="V288" s="362">
        <f t="shared" si="48"/>
        <v>984.55555555555475</v>
      </c>
      <c r="W288" s="362">
        <f t="shared" si="46"/>
        <v>985</v>
      </c>
      <c r="X288" s="742">
        <f t="shared" si="49"/>
        <v>-0.44444444444525288</v>
      </c>
    </row>
    <row r="289" spans="1:24" s="382" customFormat="1" ht="13.9">
      <c r="A289" s="349">
        <f t="shared" si="47"/>
        <v>281</v>
      </c>
      <c r="B289" s="349" t="s">
        <v>1868</v>
      </c>
      <c r="C289" s="350"/>
      <c r="D289" s="350"/>
      <c r="E289" s="350"/>
      <c r="F289" s="350"/>
      <c r="G289" s="380">
        <v>42040</v>
      </c>
      <c r="H289" s="352">
        <v>6094400.0827032207</v>
      </c>
      <c r="I289" s="353" t="s">
        <v>1379</v>
      </c>
      <c r="J289" s="353" t="s">
        <v>1379</v>
      </c>
      <c r="K289" s="354">
        <f t="shared" si="41"/>
        <v>6094400.0827032207</v>
      </c>
      <c r="L289" s="381">
        <v>42081</v>
      </c>
      <c r="M289" s="742">
        <v>5789680</v>
      </c>
      <c r="N289" s="352">
        <f t="shared" si="50"/>
        <v>304720.08270322066</v>
      </c>
      <c r="O289" s="357">
        <f t="shared" si="42"/>
        <v>3302</v>
      </c>
      <c r="P289" s="357">
        <v>9</v>
      </c>
      <c r="Q289" s="358">
        <f t="shared" si="40"/>
        <v>9.0465753424657542</v>
      </c>
      <c r="R289" s="359">
        <f t="shared" si="43"/>
        <v>-4.6575342465754233E-2</v>
      </c>
      <c r="S289" s="360">
        <f t="shared" si="44"/>
        <v>0</v>
      </c>
      <c r="T289" s="361">
        <f t="shared" si="45"/>
        <v>0.10555555555555554</v>
      </c>
      <c r="U289" s="362">
        <v>0</v>
      </c>
      <c r="V289" s="362">
        <f t="shared" si="48"/>
        <v>304720.08270322066</v>
      </c>
      <c r="W289" s="362">
        <f t="shared" si="46"/>
        <v>304720</v>
      </c>
      <c r="X289" s="742">
        <f t="shared" si="49"/>
        <v>8.2703220658004284E-2</v>
      </c>
    </row>
    <row r="290" spans="1:24" ht="13.9">
      <c r="A290" s="349">
        <f t="shared" si="47"/>
        <v>282</v>
      </c>
      <c r="B290" s="369" t="s">
        <v>1869</v>
      </c>
      <c r="C290" s="368"/>
      <c r="D290" s="368"/>
      <c r="E290" s="368"/>
      <c r="F290" s="368"/>
      <c r="G290" s="383">
        <v>42090</v>
      </c>
      <c r="H290" s="371">
        <f>9156520-3052173</f>
        <v>6104347</v>
      </c>
      <c r="I290" s="372" t="s">
        <v>1379</v>
      </c>
      <c r="J290" s="372" t="s">
        <v>1379</v>
      </c>
      <c r="K290" s="373">
        <f t="shared" si="41"/>
        <v>6104347</v>
      </c>
      <c r="L290" s="384">
        <v>42094</v>
      </c>
      <c r="M290" s="742">
        <v>4761961.7388888886</v>
      </c>
      <c r="N290" s="352">
        <f t="shared" si="50"/>
        <v>1342385.2611111114</v>
      </c>
      <c r="O290" s="357">
        <f t="shared" si="42"/>
        <v>3289</v>
      </c>
      <c r="P290" s="357">
        <v>9</v>
      </c>
      <c r="Q290" s="358">
        <f t="shared" si="40"/>
        <v>9.0109589041095894</v>
      </c>
      <c r="R290" s="359">
        <f t="shared" si="43"/>
        <v>-1.095890410958944E-2</v>
      </c>
      <c r="S290" s="360">
        <f t="shared" si="44"/>
        <v>0</v>
      </c>
      <c r="T290" s="361">
        <f t="shared" si="45"/>
        <v>0.10555555555555554</v>
      </c>
      <c r="U290" s="362">
        <f>+K290*T290</f>
        <v>644347.73888888885</v>
      </c>
      <c r="V290" s="375">
        <f t="shared" si="48"/>
        <v>698037.52222222253</v>
      </c>
      <c r="W290" s="362">
        <f t="shared" si="46"/>
        <v>305217</v>
      </c>
      <c r="X290" s="742">
        <f t="shared" si="49"/>
        <v>392820.52222222253</v>
      </c>
    </row>
    <row r="291" spans="1:24" ht="13.9">
      <c r="A291" s="349">
        <f t="shared" si="47"/>
        <v>283</v>
      </c>
      <c r="B291" s="349" t="s">
        <v>1870</v>
      </c>
      <c r="C291" s="350"/>
      <c r="D291" s="350"/>
      <c r="E291" s="350"/>
      <c r="F291" s="350"/>
      <c r="G291" s="380">
        <v>41972</v>
      </c>
      <c r="H291" s="352">
        <f>1029170-622758</f>
        <v>406412</v>
      </c>
      <c r="I291" s="353" t="s">
        <v>1379</v>
      </c>
      <c r="J291" s="353" t="s">
        <v>1379</v>
      </c>
      <c r="K291" s="354">
        <f t="shared" si="41"/>
        <v>406412</v>
      </c>
      <c r="L291" s="381">
        <v>41972</v>
      </c>
      <c r="M291" s="742">
        <v>386091</v>
      </c>
      <c r="N291" s="352">
        <f t="shared" si="50"/>
        <v>20321</v>
      </c>
      <c r="O291" s="357">
        <f t="shared" si="42"/>
        <v>3411</v>
      </c>
      <c r="P291" s="357">
        <v>9</v>
      </c>
      <c r="Q291" s="358">
        <f t="shared" si="40"/>
        <v>9.3452054794520549</v>
      </c>
      <c r="R291" s="359">
        <f t="shared" si="43"/>
        <v>-0.34520547945205493</v>
      </c>
      <c r="S291" s="360">
        <f t="shared" si="44"/>
        <v>0</v>
      </c>
      <c r="T291" s="361">
        <f t="shared" si="45"/>
        <v>0.10555555555555554</v>
      </c>
      <c r="U291" s="362">
        <v>0</v>
      </c>
      <c r="V291" s="362">
        <f t="shared" si="48"/>
        <v>20321</v>
      </c>
      <c r="W291" s="362">
        <f t="shared" si="46"/>
        <v>20321</v>
      </c>
      <c r="X291" s="742">
        <f t="shared" si="49"/>
        <v>0</v>
      </c>
    </row>
    <row r="292" spans="1:24" ht="13.9">
      <c r="A292" s="349">
        <f t="shared" si="47"/>
        <v>284</v>
      </c>
      <c r="B292" s="349" t="s">
        <v>1870</v>
      </c>
      <c r="C292" s="350"/>
      <c r="D292" s="350"/>
      <c r="E292" s="350"/>
      <c r="F292" s="350"/>
      <c r="G292" s="380">
        <v>41993</v>
      </c>
      <c r="H292" s="352">
        <v>440825</v>
      </c>
      <c r="I292" s="353" t="s">
        <v>1379</v>
      </c>
      <c r="J292" s="353" t="s">
        <v>1379</v>
      </c>
      <c r="K292" s="354">
        <f t="shared" si="41"/>
        <v>440825</v>
      </c>
      <c r="L292" s="381">
        <v>41993</v>
      </c>
      <c r="M292" s="742">
        <v>385242.52777777775</v>
      </c>
      <c r="N292" s="352">
        <f t="shared" si="50"/>
        <v>55582.472222222248</v>
      </c>
      <c r="O292" s="357">
        <f t="shared" si="42"/>
        <v>3390</v>
      </c>
      <c r="P292" s="357">
        <v>9</v>
      </c>
      <c r="Q292" s="358">
        <f t="shared" si="40"/>
        <v>9.287671232876713</v>
      </c>
      <c r="R292" s="359">
        <f t="shared" si="43"/>
        <v>-0.28767123287671303</v>
      </c>
      <c r="S292" s="360">
        <f t="shared" si="44"/>
        <v>0</v>
      </c>
      <c r="T292" s="361">
        <f t="shared" si="45"/>
        <v>0.10555555555555554</v>
      </c>
      <c r="U292" s="362">
        <v>33541</v>
      </c>
      <c r="V292" s="362">
        <f t="shared" si="48"/>
        <v>22041.472222222248</v>
      </c>
      <c r="W292" s="362">
        <f t="shared" si="46"/>
        <v>22041</v>
      </c>
      <c r="X292" s="742">
        <f t="shared" si="49"/>
        <v>0.47222222224809229</v>
      </c>
    </row>
    <row r="293" spans="1:24" ht="13.9">
      <c r="A293" s="349">
        <f t="shared" si="47"/>
        <v>285</v>
      </c>
      <c r="B293" s="349" t="s">
        <v>1871</v>
      </c>
      <c r="C293" s="350"/>
      <c r="D293" s="350"/>
      <c r="E293" s="350"/>
      <c r="F293" s="350"/>
      <c r="G293" s="380">
        <v>41744</v>
      </c>
      <c r="H293" s="352">
        <v>200000</v>
      </c>
      <c r="I293" s="353" t="s">
        <v>1379</v>
      </c>
      <c r="J293" s="353" t="s">
        <v>1379</v>
      </c>
      <c r="K293" s="354">
        <f t="shared" si="41"/>
        <v>200000</v>
      </c>
      <c r="L293" s="381">
        <v>41744</v>
      </c>
      <c r="M293" s="742">
        <v>189184.11111111112</v>
      </c>
      <c r="N293" s="352">
        <f t="shared" si="50"/>
        <v>10815.888888888876</v>
      </c>
      <c r="O293" s="357">
        <f t="shared" si="42"/>
        <v>3639</v>
      </c>
      <c r="P293" s="357">
        <v>9</v>
      </c>
      <c r="Q293" s="358">
        <f t="shared" si="40"/>
        <v>9.9698630136986299</v>
      </c>
      <c r="R293" s="359">
        <f t="shared" si="43"/>
        <v>-0.96986301369862993</v>
      </c>
      <c r="S293" s="360">
        <f t="shared" si="44"/>
        <v>0</v>
      </c>
      <c r="T293" s="361">
        <f t="shared" si="45"/>
        <v>0.10555555555555554</v>
      </c>
      <c r="U293" s="362">
        <v>816</v>
      </c>
      <c r="V293" s="362">
        <f t="shared" si="48"/>
        <v>9999.888888888876</v>
      </c>
      <c r="W293" s="362">
        <f t="shared" si="46"/>
        <v>10000</v>
      </c>
      <c r="X293" s="742">
        <f t="shared" si="49"/>
        <v>-0.11111111112404615</v>
      </c>
    </row>
    <row r="294" spans="1:24" ht="13.9">
      <c r="A294" s="349">
        <f t="shared" si="47"/>
        <v>286</v>
      </c>
      <c r="B294" s="349" t="s">
        <v>1872</v>
      </c>
      <c r="C294" s="350"/>
      <c r="D294" s="350"/>
      <c r="E294" s="350"/>
      <c r="F294" s="350"/>
      <c r="G294" s="380">
        <v>42052</v>
      </c>
      <c r="H294" s="352">
        <v>420117</v>
      </c>
      <c r="I294" s="353" t="s">
        <v>1379</v>
      </c>
      <c r="J294" s="353" t="s">
        <v>1379</v>
      </c>
      <c r="K294" s="354">
        <f t="shared" si="41"/>
        <v>420117</v>
      </c>
      <c r="L294" s="381">
        <v>42094</v>
      </c>
      <c r="M294" s="742">
        <v>354874.68333333335</v>
      </c>
      <c r="N294" s="352">
        <f t="shared" si="50"/>
        <v>65242.316666666651</v>
      </c>
      <c r="O294" s="357">
        <f t="shared" si="42"/>
        <v>3289</v>
      </c>
      <c r="P294" s="357">
        <v>9</v>
      </c>
      <c r="Q294" s="358">
        <f t="shared" si="40"/>
        <v>9.0109589041095894</v>
      </c>
      <c r="R294" s="359">
        <f t="shared" si="43"/>
        <v>-1.095890410958944E-2</v>
      </c>
      <c r="S294" s="360">
        <f t="shared" si="44"/>
        <v>0</v>
      </c>
      <c r="T294" s="361">
        <f t="shared" si="45"/>
        <v>0.10555555555555554</v>
      </c>
      <c r="U294" s="362">
        <v>44236</v>
      </c>
      <c r="V294" s="362">
        <f t="shared" si="48"/>
        <v>21006.316666666651</v>
      </c>
      <c r="W294" s="362">
        <f t="shared" si="46"/>
        <v>21006</v>
      </c>
      <c r="X294" s="742">
        <f t="shared" si="49"/>
        <v>0.31666666665114462</v>
      </c>
    </row>
    <row r="295" spans="1:24" ht="13.9">
      <c r="A295" s="349">
        <f t="shared" si="47"/>
        <v>287</v>
      </c>
      <c r="B295" s="349" t="s">
        <v>1873</v>
      </c>
      <c r="C295" s="350"/>
      <c r="D295" s="350"/>
      <c r="E295" s="350"/>
      <c r="F295" s="350"/>
      <c r="G295" s="380">
        <v>41752</v>
      </c>
      <c r="H295" s="352">
        <v>500000</v>
      </c>
      <c r="I295" s="353" t="s">
        <v>1379</v>
      </c>
      <c r="J295" s="353" t="s">
        <v>1379</v>
      </c>
      <c r="K295" s="354">
        <f t="shared" si="41"/>
        <v>500000</v>
      </c>
      <c r="L295" s="381">
        <v>41764</v>
      </c>
      <c r="M295" s="742">
        <v>475000</v>
      </c>
      <c r="N295" s="352">
        <f t="shared" si="50"/>
        <v>25000</v>
      </c>
      <c r="O295" s="357">
        <f t="shared" si="42"/>
        <v>3619</v>
      </c>
      <c r="P295" s="357">
        <v>9</v>
      </c>
      <c r="Q295" s="358">
        <f t="shared" si="40"/>
        <v>9.9150684931506845</v>
      </c>
      <c r="R295" s="359">
        <f t="shared" si="43"/>
        <v>-0.9150684931506845</v>
      </c>
      <c r="S295" s="360">
        <f t="shared" si="44"/>
        <v>0</v>
      </c>
      <c r="T295" s="361">
        <f t="shared" si="45"/>
        <v>0.10555555555555554</v>
      </c>
      <c r="U295" s="362">
        <v>0</v>
      </c>
      <c r="V295" s="362">
        <f t="shared" si="48"/>
        <v>25000</v>
      </c>
      <c r="W295" s="362">
        <f t="shared" si="46"/>
        <v>25000</v>
      </c>
      <c r="X295" s="742">
        <f t="shared" si="49"/>
        <v>0</v>
      </c>
    </row>
    <row r="296" spans="1:24" ht="13.9">
      <c r="A296" s="349">
        <f t="shared" si="47"/>
        <v>288</v>
      </c>
      <c r="B296" s="349" t="s">
        <v>1873</v>
      </c>
      <c r="C296" s="350"/>
      <c r="D296" s="350"/>
      <c r="E296" s="350"/>
      <c r="F296" s="350"/>
      <c r="G296" s="380">
        <v>41752</v>
      </c>
      <c r="H296" s="352">
        <v>299345</v>
      </c>
      <c r="I296" s="353" t="s">
        <v>1379</v>
      </c>
      <c r="J296" s="353" t="s">
        <v>1379</v>
      </c>
      <c r="K296" s="354">
        <f t="shared" si="41"/>
        <v>299345</v>
      </c>
      <c r="L296" s="381">
        <v>41764</v>
      </c>
      <c r="M296" s="742">
        <v>284378</v>
      </c>
      <c r="N296" s="352">
        <f t="shared" si="50"/>
        <v>14967</v>
      </c>
      <c r="O296" s="357">
        <f t="shared" si="42"/>
        <v>3619</v>
      </c>
      <c r="P296" s="357">
        <v>9</v>
      </c>
      <c r="Q296" s="358">
        <f t="shared" si="40"/>
        <v>9.9150684931506845</v>
      </c>
      <c r="R296" s="359">
        <f t="shared" si="43"/>
        <v>-0.9150684931506845</v>
      </c>
      <c r="S296" s="360">
        <f t="shared" si="44"/>
        <v>0</v>
      </c>
      <c r="T296" s="361">
        <f t="shared" si="45"/>
        <v>0.10555555555555554</v>
      </c>
      <c r="U296" s="362">
        <v>0</v>
      </c>
      <c r="V296" s="362">
        <f t="shared" si="48"/>
        <v>14967</v>
      </c>
      <c r="W296" s="362">
        <f t="shared" si="46"/>
        <v>14967</v>
      </c>
      <c r="X296" s="742">
        <f t="shared" si="49"/>
        <v>0</v>
      </c>
    </row>
    <row r="297" spans="1:24" ht="13.9">
      <c r="A297" s="349">
        <f t="shared" si="47"/>
        <v>289</v>
      </c>
      <c r="B297" s="349" t="s">
        <v>1873</v>
      </c>
      <c r="C297" s="350"/>
      <c r="D297" s="350"/>
      <c r="E297" s="350"/>
      <c r="F297" s="350"/>
      <c r="G297" s="380">
        <v>41809</v>
      </c>
      <c r="H297" s="352">
        <v>800000</v>
      </c>
      <c r="I297" s="353" t="s">
        <v>1379</v>
      </c>
      <c r="J297" s="353" t="s">
        <v>1379</v>
      </c>
      <c r="K297" s="354">
        <f t="shared" si="41"/>
        <v>800000</v>
      </c>
      <c r="L297" s="381">
        <v>41849</v>
      </c>
      <c r="M297" s="742">
        <v>760000</v>
      </c>
      <c r="N297" s="352">
        <f t="shared" si="50"/>
        <v>40000</v>
      </c>
      <c r="O297" s="357">
        <f t="shared" si="42"/>
        <v>3534</v>
      </c>
      <c r="P297" s="357">
        <v>9</v>
      </c>
      <c r="Q297" s="358">
        <f t="shared" si="40"/>
        <v>9.6821917808219187</v>
      </c>
      <c r="R297" s="359">
        <f t="shared" si="43"/>
        <v>-0.68219178082191867</v>
      </c>
      <c r="S297" s="360">
        <f t="shared" si="44"/>
        <v>0</v>
      </c>
      <c r="T297" s="361">
        <f t="shared" si="45"/>
        <v>0.10555555555555554</v>
      </c>
      <c r="U297" s="362">
        <v>0</v>
      </c>
      <c r="V297" s="362">
        <f t="shared" si="48"/>
        <v>40000</v>
      </c>
      <c r="W297" s="362">
        <f t="shared" si="46"/>
        <v>40000</v>
      </c>
      <c r="X297" s="742">
        <f t="shared" si="49"/>
        <v>0</v>
      </c>
    </row>
    <row r="298" spans="1:24" ht="13.9">
      <c r="A298" s="349">
        <f t="shared" si="47"/>
        <v>290</v>
      </c>
      <c r="B298" s="349" t="s">
        <v>1873</v>
      </c>
      <c r="C298" s="350"/>
      <c r="D298" s="350"/>
      <c r="E298" s="350"/>
      <c r="F298" s="350"/>
      <c r="G298" s="380">
        <v>41851</v>
      </c>
      <c r="H298" s="352">
        <v>710000</v>
      </c>
      <c r="I298" s="353" t="s">
        <v>1379</v>
      </c>
      <c r="J298" s="353" t="s">
        <v>1379</v>
      </c>
      <c r="K298" s="354">
        <f t="shared" si="41"/>
        <v>710000</v>
      </c>
      <c r="L298" s="381">
        <v>41851</v>
      </c>
      <c r="M298" s="742">
        <v>674500</v>
      </c>
      <c r="N298" s="352">
        <f t="shared" si="50"/>
        <v>35500</v>
      </c>
      <c r="O298" s="357">
        <f t="shared" si="42"/>
        <v>3532</v>
      </c>
      <c r="P298" s="357">
        <v>9</v>
      </c>
      <c r="Q298" s="358">
        <f t="shared" si="40"/>
        <v>9.6767123287671239</v>
      </c>
      <c r="R298" s="359">
        <f t="shared" si="43"/>
        <v>-0.67671232876712395</v>
      </c>
      <c r="S298" s="360">
        <f t="shared" si="44"/>
        <v>0</v>
      </c>
      <c r="T298" s="361">
        <f t="shared" si="45"/>
        <v>0.10555555555555554</v>
      </c>
      <c r="U298" s="362">
        <v>0</v>
      </c>
      <c r="V298" s="362">
        <f t="shared" si="48"/>
        <v>35500</v>
      </c>
      <c r="W298" s="362">
        <f t="shared" si="46"/>
        <v>35500</v>
      </c>
      <c r="X298" s="742">
        <f t="shared" si="49"/>
        <v>0</v>
      </c>
    </row>
    <row r="299" spans="1:24" ht="13.9">
      <c r="A299" s="349">
        <f t="shared" si="47"/>
        <v>291</v>
      </c>
      <c r="B299" s="349" t="s">
        <v>1873</v>
      </c>
      <c r="C299" s="350"/>
      <c r="D299" s="350"/>
      <c r="E299" s="350"/>
      <c r="F299" s="350"/>
      <c r="G299" s="380">
        <v>41985</v>
      </c>
      <c r="H299" s="352">
        <v>241027</v>
      </c>
      <c r="I299" s="353" t="s">
        <v>1379</v>
      </c>
      <c r="J299" s="353" t="s">
        <v>1379</v>
      </c>
      <c r="K299" s="354">
        <f t="shared" si="41"/>
        <v>241027</v>
      </c>
      <c r="L299" s="381">
        <v>41985</v>
      </c>
      <c r="M299" s="742">
        <v>228976</v>
      </c>
      <c r="N299" s="352">
        <f t="shared" si="50"/>
        <v>12051</v>
      </c>
      <c r="O299" s="357">
        <f t="shared" si="42"/>
        <v>3398</v>
      </c>
      <c r="P299" s="357">
        <v>9</v>
      </c>
      <c r="Q299" s="358">
        <f t="shared" si="40"/>
        <v>9.3095890410958901</v>
      </c>
      <c r="R299" s="359">
        <f t="shared" si="43"/>
        <v>-0.30958904109589014</v>
      </c>
      <c r="S299" s="360">
        <f t="shared" si="44"/>
        <v>0</v>
      </c>
      <c r="T299" s="361">
        <f t="shared" si="45"/>
        <v>0.10555555555555554</v>
      </c>
      <c r="U299" s="362">
        <v>0</v>
      </c>
      <c r="V299" s="362">
        <f t="shared" si="48"/>
        <v>12051</v>
      </c>
      <c r="W299" s="362">
        <f t="shared" si="46"/>
        <v>12051</v>
      </c>
      <c r="X299" s="742">
        <f t="shared" si="49"/>
        <v>0</v>
      </c>
    </row>
    <row r="300" spans="1:24" ht="13.9">
      <c r="A300" s="349">
        <f t="shared" si="47"/>
        <v>292</v>
      </c>
      <c r="B300" s="349" t="s">
        <v>1873</v>
      </c>
      <c r="C300" s="350"/>
      <c r="D300" s="350"/>
      <c r="E300" s="350"/>
      <c r="F300" s="350"/>
      <c r="G300" s="380">
        <v>41968</v>
      </c>
      <c r="H300" s="352">
        <v>449844</v>
      </c>
      <c r="I300" s="353" t="s">
        <v>1379</v>
      </c>
      <c r="J300" s="353" t="s">
        <v>1379</v>
      </c>
      <c r="K300" s="354">
        <f t="shared" si="41"/>
        <v>449844</v>
      </c>
      <c r="L300" s="381">
        <v>41998</v>
      </c>
      <c r="M300" s="742">
        <v>427352</v>
      </c>
      <c r="N300" s="352">
        <f t="shared" si="50"/>
        <v>22492</v>
      </c>
      <c r="O300" s="357">
        <f t="shared" si="42"/>
        <v>3385</v>
      </c>
      <c r="P300" s="357">
        <v>9</v>
      </c>
      <c r="Q300" s="358">
        <f t="shared" si="40"/>
        <v>9.2739726027397253</v>
      </c>
      <c r="R300" s="359">
        <f t="shared" si="43"/>
        <v>-0.27397260273972535</v>
      </c>
      <c r="S300" s="360">
        <f t="shared" si="44"/>
        <v>0</v>
      </c>
      <c r="T300" s="361">
        <f t="shared" si="45"/>
        <v>0.10555555555555554</v>
      </c>
      <c r="U300" s="362">
        <v>0</v>
      </c>
      <c r="V300" s="362">
        <f t="shared" si="48"/>
        <v>22492</v>
      </c>
      <c r="W300" s="362">
        <f t="shared" si="46"/>
        <v>22492</v>
      </c>
      <c r="X300" s="742">
        <f t="shared" si="49"/>
        <v>0</v>
      </c>
    </row>
    <row r="301" spans="1:24" ht="13.9">
      <c r="A301" s="349">
        <f t="shared" si="47"/>
        <v>293</v>
      </c>
      <c r="B301" s="349" t="s">
        <v>1873</v>
      </c>
      <c r="C301" s="350"/>
      <c r="D301" s="350"/>
      <c r="E301" s="350"/>
      <c r="F301" s="350"/>
      <c r="G301" s="380">
        <v>42056</v>
      </c>
      <c r="H301" s="352">
        <v>394602</v>
      </c>
      <c r="I301" s="353" t="s">
        <v>1379</v>
      </c>
      <c r="J301" s="353" t="s">
        <v>1379</v>
      </c>
      <c r="K301" s="354">
        <f t="shared" si="41"/>
        <v>394602</v>
      </c>
      <c r="L301" s="381">
        <v>42063</v>
      </c>
      <c r="M301" s="742">
        <v>374872</v>
      </c>
      <c r="N301" s="352">
        <f t="shared" si="50"/>
        <v>19730</v>
      </c>
      <c r="O301" s="357">
        <f t="shared" si="42"/>
        <v>3320</v>
      </c>
      <c r="P301" s="357">
        <v>9</v>
      </c>
      <c r="Q301" s="358">
        <f t="shared" si="40"/>
        <v>9.0958904109589049</v>
      </c>
      <c r="R301" s="359">
        <f t="shared" si="43"/>
        <v>-9.5890410958904937E-2</v>
      </c>
      <c r="S301" s="360">
        <f t="shared" si="44"/>
        <v>0</v>
      </c>
      <c r="T301" s="361">
        <f t="shared" si="45"/>
        <v>0.10555555555555554</v>
      </c>
      <c r="U301" s="362">
        <v>0</v>
      </c>
      <c r="V301" s="362">
        <f t="shared" si="48"/>
        <v>19730</v>
      </c>
      <c r="W301" s="362">
        <f t="shared" si="46"/>
        <v>19730</v>
      </c>
      <c r="X301" s="742">
        <f t="shared" si="49"/>
        <v>0</v>
      </c>
    </row>
    <row r="302" spans="1:24" ht="13.9">
      <c r="A302" s="349">
        <f t="shared" si="47"/>
        <v>294</v>
      </c>
      <c r="B302" s="349" t="s">
        <v>1873</v>
      </c>
      <c r="C302" s="350"/>
      <c r="D302" s="350"/>
      <c r="E302" s="350"/>
      <c r="F302" s="350"/>
      <c r="G302" s="380">
        <v>42082</v>
      </c>
      <c r="H302" s="352">
        <v>93346</v>
      </c>
      <c r="I302" s="353" t="s">
        <v>1379</v>
      </c>
      <c r="J302" s="353" t="s">
        <v>1379</v>
      </c>
      <c r="K302" s="354">
        <f t="shared" si="41"/>
        <v>93346</v>
      </c>
      <c r="L302" s="381">
        <v>42082</v>
      </c>
      <c r="M302" s="742">
        <v>88679</v>
      </c>
      <c r="N302" s="352">
        <f t="shared" si="50"/>
        <v>4667</v>
      </c>
      <c r="O302" s="357">
        <f t="shared" si="42"/>
        <v>3301</v>
      </c>
      <c r="P302" s="357">
        <v>9</v>
      </c>
      <c r="Q302" s="358">
        <f t="shared" si="40"/>
        <v>9.043835616438356</v>
      </c>
      <c r="R302" s="359">
        <f t="shared" si="43"/>
        <v>-4.3835616438355984E-2</v>
      </c>
      <c r="S302" s="360">
        <f t="shared" si="44"/>
        <v>0</v>
      </c>
      <c r="T302" s="361">
        <f t="shared" si="45"/>
        <v>0.10555555555555554</v>
      </c>
      <c r="U302" s="362">
        <v>0</v>
      </c>
      <c r="V302" s="362">
        <f t="shared" si="48"/>
        <v>4667</v>
      </c>
      <c r="W302" s="362">
        <f t="shared" si="46"/>
        <v>4667</v>
      </c>
      <c r="X302" s="742">
        <f t="shared" si="49"/>
        <v>0</v>
      </c>
    </row>
    <row r="303" spans="1:24" ht="13.9">
      <c r="A303" s="349">
        <f t="shared" si="47"/>
        <v>295</v>
      </c>
      <c r="B303" s="349" t="s">
        <v>1873</v>
      </c>
      <c r="C303" s="350"/>
      <c r="D303" s="350"/>
      <c r="E303" s="350"/>
      <c r="F303" s="350"/>
      <c r="G303" s="380">
        <v>42061</v>
      </c>
      <c r="H303" s="352">
        <v>96250</v>
      </c>
      <c r="I303" s="353" t="s">
        <v>1379</v>
      </c>
      <c r="J303" s="353" t="s">
        <v>1379</v>
      </c>
      <c r="K303" s="354">
        <f t="shared" si="41"/>
        <v>96250</v>
      </c>
      <c r="L303" s="381">
        <v>42061</v>
      </c>
      <c r="M303" s="742">
        <v>91437</v>
      </c>
      <c r="N303" s="352">
        <f t="shared" si="50"/>
        <v>4813</v>
      </c>
      <c r="O303" s="357">
        <f t="shared" si="42"/>
        <v>3322</v>
      </c>
      <c r="P303" s="357">
        <v>9</v>
      </c>
      <c r="Q303" s="358">
        <f t="shared" si="40"/>
        <v>9.1013698630136979</v>
      </c>
      <c r="R303" s="359">
        <f t="shared" si="43"/>
        <v>-0.10136986301369788</v>
      </c>
      <c r="S303" s="360">
        <f t="shared" si="44"/>
        <v>0</v>
      </c>
      <c r="T303" s="361">
        <f t="shared" si="45"/>
        <v>0.10555555555555554</v>
      </c>
      <c r="U303" s="362">
        <v>0</v>
      </c>
      <c r="V303" s="362">
        <f t="shared" si="48"/>
        <v>4813</v>
      </c>
      <c r="W303" s="362">
        <f t="shared" si="46"/>
        <v>4813</v>
      </c>
      <c r="X303" s="742">
        <f t="shared" si="49"/>
        <v>0</v>
      </c>
    </row>
    <row r="304" spans="1:24" ht="13.9">
      <c r="A304" s="349">
        <f t="shared" si="47"/>
        <v>296</v>
      </c>
      <c r="B304" s="349" t="s">
        <v>1873</v>
      </c>
      <c r="C304" s="350"/>
      <c r="D304" s="350"/>
      <c r="E304" s="350"/>
      <c r="F304" s="350"/>
      <c r="G304" s="380">
        <v>42080</v>
      </c>
      <c r="H304" s="352">
        <v>398300</v>
      </c>
      <c r="I304" s="353" t="s">
        <v>1379</v>
      </c>
      <c r="J304" s="353" t="s">
        <v>1379</v>
      </c>
      <c r="K304" s="354">
        <f t="shared" si="41"/>
        <v>398300</v>
      </c>
      <c r="L304" s="381">
        <v>42081</v>
      </c>
      <c r="M304" s="742">
        <v>378385</v>
      </c>
      <c r="N304" s="352">
        <f t="shared" si="50"/>
        <v>19915</v>
      </c>
      <c r="O304" s="357">
        <f t="shared" si="42"/>
        <v>3302</v>
      </c>
      <c r="P304" s="357">
        <v>9</v>
      </c>
      <c r="Q304" s="358">
        <f t="shared" si="40"/>
        <v>9.0465753424657542</v>
      </c>
      <c r="R304" s="359">
        <f t="shared" si="43"/>
        <v>-4.6575342465754233E-2</v>
      </c>
      <c r="S304" s="360">
        <f t="shared" si="44"/>
        <v>0</v>
      </c>
      <c r="T304" s="361">
        <f t="shared" si="45"/>
        <v>0.10555555555555554</v>
      </c>
      <c r="U304" s="362">
        <v>0</v>
      </c>
      <c r="V304" s="362">
        <f t="shared" si="48"/>
        <v>19915</v>
      </c>
      <c r="W304" s="362">
        <f t="shared" si="46"/>
        <v>19915</v>
      </c>
      <c r="X304" s="742">
        <f t="shared" si="49"/>
        <v>0</v>
      </c>
    </row>
    <row r="305" spans="1:24" ht="13.9">
      <c r="A305" s="349">
        <f t="shared" si="47"/>
        <v>297</v>
      </c>
      <c r="B305" s="349" t="s">
        <v>1873</v>
      </c>
      <c r="C305" s="350"/>
      <c r="D305" s="350"/>
      <c r="E305" s="350"/>
      <c r="F305" s="350"/>
      <c r="G305" s="380">
        <v>42070</v>
      </c>
      <c r="H305" s="352">
        <v>179200</v>
      </c>
      <c r="I305" s="353" t="s">
        <v>1379</v>
      </c>
      <c r="J305" s="353" t="s">
        <v>1379</v>
      </c>
      <c r="K305" s="354">
        <f t="shared" si="41"/>
        <v>179200</v>
      </c>
      <c r="L305" s="381">
        <v>42089</v>
      </c>
      <c r="M305" s="742">
        <v>170240</v>
      </c>
      <c r="N305" s="352">
        <f t="shared" si="50"/>
        <v>8960</v>
      </c>
      <c r="O305" s="357">
        <f t="shared" si="42"/>
        <v>3294</v>
      </c>
      <c r="P305" s="357">
        <v>9</v>
      </c>
      <c r="Q305" s="358">
        <f t="shared" si="40"/>
        <v>9.0246575342465754</v>
      </c>
      <c r="R305" s="359">
        <f t="shared" si="43"/>
        <v>-2.4657534246575352E-2</v>
      </c>
      <c r="S305" s="360">
        <f t="shared" si="44"/>
        <v>0</v>
      </c>
      <c r="T305" s="361">
        <f t="shared" si="45"/>
        <v>0.10555555555555554</v>
      </c>
      <c r="U305" s="362">
        <v>0</v>
      </c>
      <c r="V305" s="362">
        <f t="shared" si="48"/>
        <v>8960</v>
      </c>
      <c r="W305" s="362">
        <f t="shared" si="46"/>
        <v>8960</v>
      </c>
      <c r="X305" s="742">
        <f t="shared" si="49"/>
        <v>0</v>
      </c>
    </row>
    <row r="306" spans="1:24" ht="13.9">
      <c r="A306" s="349">
        <f t="shared" si="47"/>
        <v>298</v>
      </c>
      <c r="B306" s="349" t="s">
        <v>1873</v>
      </c>
      <c r="C306" s="350"/>
      <c r="D306" s="350"/>
      <c r="E306" s="350"/>
      <c r="F306" s="350"/>
      <c r="G306" s="380">
        <v>42088</v>
      </c>
      <c r="H306" s="352">
        <v>184783</v>
      </c>
      <c r="I306" s="353" t="s">
        <v>1379</v>
      </c>
      <c r="J306" s="353" t="s">
        <v>1379</v>
      </c>
      <c r="K306" s="354">
        <f t="shared" si="41"/>
        <v>184783</v>
      </c>
      <c r="L306" s="381">
        <v>42089</v>
      </c>
      <c r="M306" s="742">
        <v>175544</v>
      </c>
      <c r="N306" s="352">
        <f t="shared" si="50"/>
        <v>9239</v>
      </c>
      <c r="O306" s="357">
        <f t="shared" si="42"/>
        <v>3294</v>
      </c>
      <c r="P306" s="357">
        <v>9</v>
      </c>
      <c r="Q306" s="358">
        <f t="shared" si="40"/>
        <v>9.0246575342465754</v>
      </c>
      <c r="R306" s="359">
        <f t="shared" si="43"/>
        <v>-2.4657534246575352E-2</v>
      </c>
      <c r="S306" s="360">
        <f t="shared" si="44"/>
        <v>0</v>
      </c>
      <c r="T306" s="361">
        <f t="shared" si="45"/>
        <v>0.10555555555555554</v>
      </c>
      <c r="U306" s="362">
        <v>0</v>
      </c>
      <c r="V306" s="362">
        <f t="shared" si="48"/>
        <v>9239</v>
      </c>
      <c r="W306" s="362">
        <f t="shared" si="46"/>
        <v>9239</v>
      </c>
      <c r="X306" s="742">
        <f t="shared" si="49"/>
        <v>0</v>
      </c>
    </row>
    <row r="307" spans="1:24" ht="13.9">
      <c r="A307" s="349">
        <f t="shared" si="47"/>
        <v>299</v>
      </c>
      <c r="B307" s="349" t="s">
        <v>1873</v>
      </c>
      <c r="C307" s="350"/>
      <c r="D307" s="350"/>
      <c r="E307" s="350"/>
      <c r="F307" s="350"/>
      <c r="G307" s="380">
        <v>42011</v>
      </c>
      <c r="H307" s="352">
        <v>69500</v>
      </c>
      <c r="I307" s="353" t="s">
        <v>1379</v>
      </c>
      <c r="J307" s="353" t="s">
        <v>1379</v>
      </c>
      <c r="K307" s="354">
        <f t="shared" si="41"/>
        <v>69500</v>
      </c>
      <c r="L307" s="381">
        <v>42012</v>
      </c>
      <c r="M307" s="742">
        <v>66025</v>
      </c>
      <c r="N307" s="352">
        <f t="shared" si="50"/>
        <v>3475</v>
      </c>
      <c r="O307" s="357">
        <f t="shared" si="42"/>
        <v>3371</v>
      </c>
      <c r="P307" s="357">
        <v>9</v>
      </c>
      <c r="Q307" s="358">
        <f t="shared" si="40"/>
        <v>9.2356164383561641</v>
      </c>
      <c r="R307" s="359">
        <f t="shared" si="43"/>
        <v>-0.23561643835616408</v>
      </c>
      <c r="S307" s="360">
        <f t="shared" si="44"/>
        <v>0</v>
      </c>
      <c r="T307" s="361">
        <f t="shared" si="45"/>
        <v>0.10555555555555554</v>
      </c>
      <c r="U307" s="362">
        <v>0</v>
      </c>
      <c r="V307" s="362">
        <f t="shared" si="48"/>
        <v>3475</v>
      </c>
      <c r="W307" s="362">
        <f t="shared" si="46"/>
        <v>3475</v>
      </c>
      <c r="X307" s="742">
        <f t="shared" si="49"/>
        <v>0</v>
      </c>
    </row>
    <row r="308" spans="1:24" ht="13.9">
      <c r="A308" s="349">
        <f t="shared" si="47"/>
        <v>300</v>
      </c>
      <c r="B308" s="349" t="s">
        <v>1873</v>
      </c>
      <c r="C308" s="350"/>
      <c r="D308" s="350"/>
      <c r="E308" s="350"/>
      <c r="F308" s="350"/>
      <c r="G308" s="380">
        <v>42076</v>
      </c>
      <c r="H308" s="352">
        <v>90940</v>
      </c>
      <c r="I308" s="353" t="s">
        <v>1379</v>
      </c>
      <c r="J308" s="353" t="s">
        <v>1379</v>
      </c>
      <c r="K308" s="354">
        <f t="shared" si="41"/>
        <v>90940</v>
      </c>
      <c r="L308" s="381">
        <v>42093</v>
      </c>
      <c r="M308" s="742">
        <v>86393</v>
      </c>
      <c r="N308" s="352">
        <f t="shared" si="50"/>
        <v>4547</v>
      </c>
      <c r="O308" s="357">
        <f t="shared" si="42"/>
        <v>3290</v>
      </c>
      <c r="P308" s="357">
        <v>9</v>
      </c>
      <c r="Q308" s="358">
        <f t="shared" si="40"/>
        <v>9.0136986301369859</v>
      </c>
      <c r="R308" s="359">
        <f t="shared" si="43"/>
        <v>-1.3698630136985912E-2</v>
      </c>
      <c r="S308" s="360">
        <f t="shared" si="44"/>
        <v>0</v>
      </c>
      <c r="T308" s="361">
        <f t="shared" si="45"/>
        <v>0.10555555555555554</v>
      </c>
      <c r="U308" s="362">
        <v>0</v>
      </c>
      <c r="V308" s="362">
        <f t="shared" si="48"/>
        <v>4547</v>
      </c>
      <c r="W308" s="362">
        <f t="shared" si="46"/>
        <v>4547</v>
      </c>
      <c r="X308" s="742">
        <f t="shared" si="49"/>
        <v>0</v>
      </c>
    </row>
    <row r="309" spans="1:24" ht="13.9">
      <c r="A309" s="349">
        <f t="shared" si="47"/>
        <v>301</v>
      </c>
      <c r="B309" s="349" t="s">
        <v>1874</v>
      </c>
      <c r="C309" s="350"/>
      <c r="D309" s="350"/>
      <c r="E309" s="350"/>
      <c r="F309" s="350"/>
      <c r="G309" s="380">
        <v>41972</v>
      </c>
      <c r="H309" s="352">
        <v>35500</v>
      </c>
      <c r="I309" s="353" t="s">
        <v>1379</v>
      </c>
      <c r="J309" s="353" t="s">
        <v>1379</v>
      </c>
      <c r="K309" s="354">
        <f t="shared" si="41"/>
        <v>35500</v>
      </c>
      <c r="L309" s="381">
        <v>41972</v>
      </c>
      <c r="M309" s="742">
        <v>33725</v>
      </c>
      <c r="N309" s="352">
        <f t="shared" si="50"/>
        <v>1775</v>
      </c>
      <c r="O309" s="357">
        <f t="shared" si="42"/>
        <v>3411</v>
      </c>
      <c r="P309" s="357">
        <v>9</v>
      </c>
      <c r="Q309" s="358">
        <f t="shared" si="40"/>
        <v>9.3452054794520549</v>
      </c>
      <c r="R309" s="359">
        <f t="shared" si="43"/>
        <v>-0.34520547945205493</v>
      </c>
      <c r="S309" s="360">
        <f t="shared" si="44"/>
        <v>0</v>
      </c>
      <c r="T309" s="361">
        <f t="shared" si="45"/>
        <v>0.10555555555555554</v>
      </c>
      <c r="U309" s="362">
        <v>0</v>
      </c>
      <c r="V309" s="362">
        <f t="shared" si="48"/>
        <v>1775</v>
      </c>
      <c r="W309" s="362">
        <f t="shared" si="46"/>
        <v>1775</v>
      </c>
      <c r="X309" s="742">
        <f t="shared" si="49"/>
        <v>0</v>
      </c>
    </row>
    <row r="310" spans="1:24" ht="13.9">
      <c r="A310" s="349">
        <f t="shared" si="47"/>
        <v>302</v>
      </c>
      <c r="B310" s="349" t="s">
        <v>1874</v>
      </c>
      <c r="C310" s="350"/>
      <c r="D310" s="350"/>
      <c r="E310" s="350"/>
      <c r="F310" s="350"/>
      <c r="G310" s="380">
        <v>42017</v>
      </c>
      <c r="H310" s="352">
        <v>70000</v>
      </c>
      <c r="I310" s="353" t="s">
        <v>1379</v>
      </c>
      <c r="J310" s="353" t="s">
        <v>1379</v>
      </c>
      <c r="K310" s="354">
        <f t="shared" si="41"/>
        <v>70000</v>
      </c>
      <c r="L310" s="381">
        <v>42017</v>
      </c>
      <c r="M310" s="742">
        <v>66381</v>
      </c>
      <c r="N310" s="352">
        <f t="shared" si="50"/>
        <v>3619</v>
      </c>
      <c r="O310" s="357">
        <f t="shared" si="42"/>
        <v>3366</v>
      </c>
      <c r="P310" s="357">
        <v>9</v>
      </c>
      <c r="Q310" s="358">
        <f t="shared" si="40"/>
        <v>9.2219178082191782</v>
      </c>
      <c r="R310" s="359">
        <f t="shared" si="43"/>
        <v>-0.22191780821917817</v>
      </c>
      <c r="S310" s="360">
        <f t="shared" si="44"/>
        <v>0</v>
      </c>
      <c r="T310" s="361">
        <f t="shared" si="45"/>
        <v>0.10555555555555554</v>
      </c>
      <c r="U310" s="362">
        <v>119</v>
      </c>
      <c r="V310" s="362">
        <f t="shared" si="48"/>
        <v>3500</v>
      </c>
      <c r="W310" s="362">
        <f t="shared" si="46"/>
        <v>3500</v>
      </c>
      <c r="X310" s="742">
        <f t="shared" si="49"/>
        <v>0</v>
      </c>
    </row>
    <row r="311" spans="1:24" ht="13.9">
      <c r="A311" s="349">
        <f t="shared" si="47"/>
        <v>303</v>
      </c>
      <c r="B311" s="349" t="s">
        <v>1874</v>
      </c>
      <c r="C311" s="350"/>
      <c r="D311" s="350"/>
      <c r="E311" s="350"/>
      <c r="F311" s="350"/>
      <c r="G311" s="380">
        <v>41899</v>
      </c>
      <c r="H311" s="352">
        <v>183750</v>
      </c>
      <c r="I311" s="353" t="s">
        <v>1379</v>
      </c>
      <c r="J311" s="353" t="s">
        <v>1379</v>
      </c>
      <c r="K311" s="354">
        <f t="shared" si="41"/>
        <v>183750</v>
      </c>
      <c r="L311" s="381">
        <v>41899</v>
      </c>
      <c r="M311" s="742">
        <v>182983</v>
      </c>
      <c r="N311" s="352">
        <f t="shared" si="50"/>
        <v>767</v>
      </c>
      <c r="O311" s="357">
        <f t="shared" si="42"/>
        <v>3484</v>
      </c>
      <c r="P311" s="357">
        <v>9</v>
      </c>
      <c r="Q311" s="358">
        <f t="shared" si="40"/>
        <v>9.5452054794520542</v>
      </c>
      <c r="R311" s="359">
        <f t="shared" si="43"/>
        <v>-0.54520547945205422</v>
      </c>
      <c r="S311" s="360">
        <f t="shared" si="44"/>
        <v>0</v>
      </c>
      <c r="T311" s="361">
        <f t="shared" si="45"/>
        <v>0.10555555555555554</v>
      </c>
      <c r="U311" s="362">
        <v>0</v>
      </c>
      <c r="V311" s="362">
        <f t="shared" si="48"/>
        <v>767</v>
      </c>
      <c r="W311" s="362">
        <f t="shared" si="46"/>
        <v>9188</v>
      </c>
      <c r="X311" s="742">
        <f t="shared" si="49"/>
        <v>-8421</v>
      </c>
    </row>
    <row r="312" spans="1:24" ht="13.9">
      <c r="A312" s="349">
        <f t="shared" si="47"/>
        <v>304</v>
      </c>
      <c r="B312" s="349" t="s">
        <v>320</v>
      </c>
      <c r="C312" s="350"/>
      <c r="D312" s="350"/>
      <c r="E312" s="350"/>
      <c r="F312" s="350"/>
      <c r="G312" s="380">
        <v>42045</v>
      </c>
      <c r="H312" s="352">
        <v>30702</v>
      </c>
      <c r="I312" s="353" t="s">
        <v>1379</v>
      </c>
      <c r="J312" s="353" t="s">
        <v>1379</v>
      </c>
      <c r="K312" s="354">
        <f t="shared" si="41"/>
        <v>30702</v>
      </c>
      <c r="L312" s="381">
        <v>42053</v>
      </c>
      <c r="M312" s="742">
        <v>26297.766666666666</v>
      </c>
      <c r="N312" s="352">
        <f t="shared" si="50"/>
        <v>4404.2333333333336</v>
      </c>
      <c r="O312" s="357">
        <f t="shared" si="42"/>
        <v>3330</v>
      </c>
      <c r="P312" s="357">
        <v>9</v>
      </c>
      <c r="Q312" s="358">
        <f t="shared" si="40"/>
        <v>9.1232876712328768</v>
      </c>
      <c r="R312" s="359">
        <f t="shared" si="43"/>
        <v>-0.12328767123287676</v>
      </c>
      <c r="S312" s="360">
        <f t="shared" si="44"/>
        <v>0</v>
      </c>
      <c r="T312" s="361">
        <f t="shared" si="45"/>
        <v>0.10555555555555554</v>
      </c>
      <c r="U312" s="362">
        <v>2869</v>
      </c>
      <c r="V312" s="362">
        <f t="shared" si="48"/>
        <v>1535.2333333333336</v>
      </c>
      <c r="W312" s="362">
        <f t="shared" si="46"/>
        <v>1535</v>
      </c>
      <c r="X312" s="742">
        <f t="shared" si="49"/>
        <v>0.23333333333357587</v>
      </c>
    </row>
    <row r="313" spans="1:24" ht="13.9">
      <c r="A313" s="349">
        <f t="shared" si="47"/>
        <v>305</v>
      </c>
      <c r="B313" s="349" t="s">
        <v>320</v>
      </c>
      <c r="C313" s="350"/>
      <c r="D313" s="350"/>
      <c r="E313" s="350"/>
      <c r="F313" s="350"/>
      <c r="G313" s="380">
        <v>41744</v>
      </c>
      <c r="H313" s="352">
        <v>18300</v>
      </c>
      <c r="I313" s="353" t="s">
        <v>1379</v>
      </c>
      <c r="J313" s="353" t="s">
        <v>1379</v>
      </c>
      <c r="K313" s="354">
        <f t="shared" si="41"/>
        <v>18300</v>
      </c>
      <c r="L313" s="381">
        <v>41744</v>
      </c>
      <c r="M313" s="742">
        <v>17310.666666666668</v>
      </c>
      <c r="N313" s="352">
        <f t="shared" si="50"/>
        <v>989.33333333333212</v>
      </c>
      <c r="O313" s="357">
        <f t="shared" si="42"/>
        <v>3639</v>
      </c>
      <c r="P313" s="357">
        <v>9</v>
      </c>
      <c r="Q313" s="358">
        <f t="shared" si="40"/>
        <v>9.9698630136986299</v>
      </c>
      <c r="R313" s="359">
        <f t="shared" si="43"/>
        <v>-0.96986301369862993</v>
      </c>
      <c r="S313" s="360">
        <f t="shared" si="44"/>
        <v>0</v>
      </c>
      <c r="T313" s="361">
        <f t="shared" si="45"/>
        <v>0.10555555555555554</v>
      </c>
      <c r="U313" s="362">
        <v>74</v>
      </c>
      <c r="V313" s="362">
        <f t="shared" si="48"/>
        <v>915.33333333333212</v>
      </c>
      <c r="W313" s="362">
        <f t="shared" si="46"/>
        <v>915</v>
      </c>
      <c r="X313" s="742">
        <f t="shared" si="49"/>
        <v>0.33333333333212067</v>
      </c>
    </row>
    <row r="314" spans="1:24" ht="13.9">
      <c r="A314" s="349">
        <f t="shared" si="47"/>
        <v>306</v>
      </c>
      <c r="B314" s="349" t="s">
        <v>320</v>
      </c>
      <c r="C314" s="350"/>
      <c r="D314" s="350"/>
      <c r="E314" s="350"/>
      <c r="F314" s="350"/>
      <c r="G314" s="380">
        <v>41904</v>
      </c>
      <c r="H314" s="352">
        <v>15000</v>
      </c>
      <c r="I314" s="353" t="s">
        <v>1379</v>
      </c>
      <c r="J314" s="353" t="s">
        <v>1379</v>
      </c>
      <c r="K314" s="354">
        <f t="shared" si="41"/>
        <v>15000</v>
      </c>
      <c r="L314" s="381">
        <v>41904</v>
      </c>
      <c r="M314" s="742">
        <v>13494.333333333332</v>
      </c>
      <c r="N314" s="352">
        <f t="shared" si="50"/>
        <v>1505.6666666666679</v>
      </c>
      <c r="O314" s="357">
        <f t="shared" si="42"/>
        <v>3479</v>
      </c>
      <c r="P314" s="357">
        <v>9</v>
      </c>
      <c r="Q314" s="358">
        <f t="shared" si="40"/>
        <v>9.5315068493150683</v>
      </c>
      <c r="R314" s="359">
        <f t="shared" si="43"/>
        <v>-0.53150684931506831</v>
      </c>
      <c r="S314" s="360">
        <f t="shared" si="44"/>
        <v>0</v>
      </c>
      <c r="T314" s="361">
        <f t="shared" si="45"/>
        <v>0.10555555555555554</v>
      </c>
      <c r="U314" s="362">
        <v>756</v>
      </c>
      <c r="V314" s="362">
        <f t="shared" si="48"/>
        <v>749.66666666666788</v>
      </c>
      <c r="W314" s="362">
        <f t="shared" si="46"/>
        <v>750</v>
      </c>
      <c r="X314" s="742">
        <f t="shared" si="49"/>
        <v>-0.33333333333212067</v>
      </c>
    </row>
    <row r="315" spans="1:24" ht="13.9">
      <c r="A315" s="349">
        <f t="shared" si="47"/>
        <v>307</v>
      </c>
      <c r="B315" s="349" t="s">
        <v>1875</v>
      </c>
      <c r="C315" s="350"/>
      <c r="D315" s="350"/>
      <c r="E315" s="350"/>
      <c r="F315" s="350"/>
      <c r="G315" s="380">
        <v>41737</v>
      </c>
      <c r="H315" s="352">
        <v>83000</v>
      </c>
      <c r="I315" s="353" t="s">
        <v>1379</v>
      </c>
      <c r="J315" s="353" t="s">
        <v>1379</v>
      </c>
      <c r="K315" s="354">
        <f t="shared" si="41"/>
        <v>83000</v>
      </c>
      <c r="L315" s="381">
        <v>41737</v>
      </c>
      <c r="M315" s="742">
        <v>78679.111111111109</v>
      </c>
      <c r="N315" s="352">
        <f t="shared" si="50"/>
        <v>4320.8888888888905</v>
      </c>
      <c r="O315" s="357">
        <f t="shared" si="42"/>
        <v>3646</v>
      </c>
      <c r="P315" s="357">
        <v>9</v>
      </c>
      <c r="Q315" s="358">
        <f t="shared" si="40"/>
        <v>9.9890410958904106</v>
      </c>
      <c r="R315" s="359">
        <f t="shared" si="43"/>
        <v>-0.98904109589041056</v>
      </c>
      <c r="S315" s="360">
        <f t="shared" si="44"/>
        <v>0</v>
      </c>
      <c r="T315" s="361">
        <f t="shared" si="45"/>
        <v>0.10555555555555554</v>
      </c>
      <c r="U315" s="362">
        <v>171</v>
      </c>
      <c r="V315" s="362">
        <f t="shared" si="48"/>
        <v>4149.8888888888905</v>
      </c>
      <c r="W315" s="362">
        <f t="shared" si="46"/>
        <v>4150</v>
      </c>
      <c r="X315" s="742">
        <f t="shared" si="49"/>
        <v>-0.11111111110949423</v>
      </c>
    </row>
    <row r="316" spans="1:24" ht="13.9">
      <c r="A316" s="349">
        <f t="shared" si="47"/>
        <v>308</v>
      </c>
      <c r="B316" s="349" t="s">
        <v>60</v>
      </c>
      <c r="C316" s="350"/>
      <c r="D316" s="350"/>
      <c r="E316" s="350"/>
      <c r="F316" s="350"/>
      <c r="G316" s="380">
        <v>41817</v>
      </c>
      <c r="H316" s="352">
        <v>24255</v>
      </c>
      <c r="I316" s="353" t="s">
        <v>1379</v>
      </c>
      <c r="J316" s="353" t="s">
        <v>1379</v>
      </c>
      <c r="K316" s="354">
        <f t="shared" si="41"/>
        <v>24255</v>
      </c>
      <c r="L316" s="381">
        <v>41829</v>
      </c>
      <c r="M316" s="742">
        <v>22347.25</v>
      </c>
      <c r="N316" s="352">
        <f t="shared" si="50"/>
        <v>1907.75</v>
      </c>
      <c r="O316" s="357">
        <f t="shared" si="42"/>
        <v>3554</v>
      </c>
      <c r="P316" s="357">
        <v>9</v>
      </c>
      <c r="Q316" s="358">
        <f t="shared" si="40"/>
        <v>9.7369863013698623</v>
      </c>
      <c r="R316" s="359">
        <f t="shared" si="43"/>
        <v>-0.73698630136986232</v>
      </c>
      <c r="S316" s="360">
        <f t="shared" si="44"/>
        <v>0</v>
      </c>
      <c r="T316" s="361">
        <f t="shared" si="45"/>
        <v>0.10555555555555554</v>
      </c>
      <c r="U316" s="362">
        <v>695</v>
      </c>
      <c r="V316" s="362">
        <f t="shared" si="48"/>
        <v>1212.75</v>
      </c>
      <c r="W316" s="362">
        <f t="shared" si="46"/>
        <v>1213</v>
      </c>
      <c r="X316" s="742">
        <f t="shared" si="49"/>
        <v>-0.25</v>
      </c>
    </row>
    <row r="317" spans="1:24" ht="13.9">
      <c r="A317" s="349">
        <f t="shared" si="47"/>
        <v>309</v>
      </c>
      <c r="B317" s="349" t="s">
        <v>1411</v>
      </c>
      <c r="C317" s="350"/>
      <c r="D317" s="350"/>
      <c r="E317" s="350"/>
      <c r="F317" s="350"/>
      <c r="G317" s="380">
        <v>41774</v>
      </c>
      <c r="H317" s="352">
        <v>11865</v>
      </c>
      <c r="I317" s="353" t="s">
        <v>1379</v>
      </c>
      <c r="J317" s="353" t="s">
        <v>1379</v>
      </c>
      <c r="K317" s="354">
        <f t="shared" si="41"/>
        <v>11865</v>
      </c>
      <c r="L317" s="381">
        <v>41790</v>
      </c>
      <c r="M317" s="742">
        <v>11065.416666666666</v>
      </c>
      <c r="N317" s="352">
        <f t="shared" si="50"/>
        <v>799.58333333333394</v>
      </c>
      <c r="O317" s="357">
        <f t="shared" si="42"/>
        <v>3593</v>
      </c>
      <c r="P317" s="357">
        <v>9</v>
      </c>
      <c r="Q317" s="358">
        <f t="shared" si="40"/>
        <v>9.8438356164383567</v>
      </c>
      <c r="R317" s="359">
        <f t="shared" si="43"/>
        <v>-0.84383561643835669</v>
      </c>
      <c r="S317" s="360">
        <f t="shared" si="44"/>
        <v>0</v>
      </c>
      <c r="T317" s="361">
        <f t="shared" si="45"/>
        <v>0.10555555555555554</v>
      </c>
      <c r="U317" s="362">
        <v>207</v>
      </c>
      <c r="V317" s="362">
        <f t="shared" si="48"/>
        <v>592.58333333333394</v>
      </c>
      <c r="W317" s="362">
        <f t="shared" si="46"/>
        <v>593</v>
      </c>
      <c r="X317" s="742">
        <f t="shared" si="49"/>
        <v>-0.41666666666606034</v>
      </c>
    </row>
    <row r="318" spans="1:24" ht="13.9">
      <c r="A318" s="349">
        <f t="shared" si="47"/>
        <v>310</v>
      </c>
      <c r="B318" s="349" t="s">
        <v>1876</v>
      </c>
      <c r="C318" s="350"/>
      <c r="D318" s="350"/>
      <c r="E318" s="350"/>
      <c r="F318" s="350"/>
      <c r="G318" s="380">
        <v>42062</v>
      </c>
      <c r="H318" s="352">
        <v>13000</v>
      </c>
      <c r="I318" s="353" t="s">
        <v>1379</v>
      </c>
      <c r="J318" s="353" t="s">
        <v>1379</v>
      </c>
      <c r="K318" s="354">
        <f t="shared" si="41"/>
        <v>13000</v>
      </c>
      <c r="L318" s="381">
        <v>42039</v>
      </c>
      <c r="M318" s="742">
        <v>11188.222222222223</v>
      </c>
      <c r="N318" s="352">
        <f t="shared" si="50"/>
        <v>1811.7777777777774</v>
      </c>
      <c r="O318" s="357">
        <f t="shared" si="42"/>
        <v>3344</v>
      </c>
      <c r="P318" s="357">
        <v>9</v>
      </c>
      <c r="Q318" s="358">
        <f t="shared" si="40"/>
        <v>9.161643835616438</v>
      </c>
      <c r="R318" s="359">
        <f t="shared" si="43"/>
        <v>-0.16164383561643803</v>
      </c>
      <c r="S318" s="360">
        <f t="shared" si="44"/>
        <v>0</v>
      </c>
      <c r="T318" s="361">
        <f t="shared" si="45"/>
        <v>0.10555555555555554</v>
      </c>
      <c r="U318" s="362">
        <v>1162</v>
      </c>
      <c r="V318" s="362">
        <f t="shared" si="48"/>
        <v>649.77777777777737</v>
      </c>
      <c r="W318" s="362">
        <f t="shared" si="46"/>
        <v>650</v>
      </c>
      <c r="X318" s="742">
        <f t="shared" si="49"/>
        <v>-0.22222222222262644</v>
      </c>
    </row>
    <row r="319" spans="1:24" ht="13.9">
      <c r="A319" s="349">
        <f t="shared" si="47"/>
        <v>311</v>
      </c>
      <c r="B319" s="349" t="s">
        <v>1876</v>
      </c>
      <c r="C319" s="350"/>
      <c r="D319" s="350"/>
      <c r="E319" s="350"/>
      <c r="F319" s="350"/>
      <c r="G319" s="380">
        <v>42038</v>
      </c>
      <c r="H319" s="352">
        <v>13650</v>
      </c>
      <c r="I319" s="353" t="s">
        <v>1379</v>
      </c>
      <c r="J319" s="353" t="s">
        <v>1379</v>
      </c>
      <c r="K319" s="354">
        <f t="shared" si="41"/>
        <v>13650</v>
      </c>
      <c r="L319" s="381">
        <v>42060</v>
      </c>
      <c r="M319" s="742">
        <v>11664.833333333332</v>
      </c>
      <c r="N319" s="352">
        <f t="shared" si="50"/>
        <v>1985.1666666666679</v>
      </c>
      <c r="O319" s="357">
        <f t="shared" si="42"/>
        <v>3323</v>
      </c>
      <c r="P319" s="357">
        <v>9</v>
      </c>
      <c r="Q319" s="358">
        <f t="shared" si="40"/>
        <v>9.1041095890410961</v>
      </c>
      <c r="R319" s="359">
        <f t="shared" si="43"/>
        <v>-0.10410958904109613</v>
      </c>
      <c r="S319" s="360">
        <f t="shared" si="44"/>
        <v>0</v>
      </c>
      <c r="T319" s="361">
        <f t="shared" si="45"/>
        <v>0.10555555555555554</v>
      </c>
      <c r="U319" s="362">
        <v>1302</v>
      </c>
      <c r="V319" s="362">
        <f t="shared" si="48"/>
        <v>683.16666666666788</v>
      </c>
      <c r="W319" s="362">
        <f t="shared" si="46"/>
        <v>683</v>
      </c>
      <c r="X319" s="742">
        <f t="shared" si="49"/>
        <v>0.16666666666787933</v>
      </c>
    </row>
    <row r="320" spans="1:24" ht="13.9">
      <c r="A320" s="349">
        <f t="shared" si="47"/>
        <v>312</v>
      </c>
      <c r="B320" s="349" t="s">
        <v>1877</v>
      </c>
      <c r="C320" s="350"/>
      <c r="D320" s="350"/>
      <c r="E320" s="350"/>
      <c r="F320" s="350"/>
      <c r="G320" s="380">
        <v>42026</v>
      </c>
      <c r="H320" s="352">
        <v>167972</v>
      </c>
      <c r="I320" s="353" t="s">
        <v>1379</v>
      </c>
      <c r="J320" s="353" t="s">
        <v>1379</v>
      </c>
      <c r="K320" s="354">
        <f t="shared" si="41"/>
        <v>167972</v>
      </c>
      <c r="L320" s="381">
        <v>42026</v>
      </c>
      <c r="M320" s="742">
        <v>145190.37777777779</v>
      </c>
      <c r="N320" s="352">
        <f t="shared" si="50"/>
        <v>22781.622222222213</v>
      </c>
      <c r="O320" s="357">
        <f t="shared" si="42"/>
        <v>3357</v>
      </c>
      <c r="P320" s="357">
        <v>9</v>
      </c>
      <c r="Q320" s="358">
        <f t="shared" si="40"/>
        <v>9.1972602739726028</v>
      </c>
      <c r="R320" s="359">
        <f t="shared" si="43"/>
        <v>-0.19726027397260282</v>
      </c>
      <c r="S320" s="360">
        <f t="shared" si="44"/>
        <v>0</v>
      </c>
      <c r="T320" s="361">
        <f t="shared" si="45"/>
        <v>0.10555555555555554</v>
      </c>
      <c r="U320" s="362">
        <v>14383</v>
      </c>
      <c r="V320" s="362">
        <f t="shared" si="48"/>
        <v>8398.6222222222132</v>
      </c>
      <c r="W320" s="362">
        <f t="shared" si="46"/>
        <v>8399</v>
      </c>
      <c r="X320" s="742">
        <f t="shared" si="49"/>
        <v>-0.3777777777868323</v>
      </c>
    </row>
    <row r="321" spans="1:24" ht="13.9">
      <c r="A321" s="349">
        <f t="shared" si="47"/>
        <v>313</v>
      </c>
      <c r="B321" s="349" t="s">
        <v>1015</v>
      </c>
      <c r="C321" s="350"/>
      <c r="D321" s="350"/>
      <c r="E321" s="350"/>
      <c r="F321" s="350"/>
      <c r="G321" s="380">
        <v>41844</v>
      </c>
      <c r="H321" s="352">
        <v>13650</v>
      </c>
      <c r="I321" s="353" t="s">
        <v>1379</v>
      </c>
      <c r="J321" s="353" t="s">
        <v>1379</v>
      </c>
      <c r="K321" s="354">
        <f t="shared" si="41"/>
        <v>13650</v>
      </c>
      <c r="L321" s="381">
        <v>41857</v>
      </c>
      <c r="M321" s="742">
        <v>12967</v>
      </c>
      <c r="N321" s="352">
        <f t="shared" si="50"/>
        <v>683</v>
      </c>
      <c r="O321" s="357">
        <f t="shared" si="42"/>
        <v>3526</v>
      </c>
      <c r="P321" s="357">
        <v>9</v>
      </c>
      <c r="Q321" s="358">
        <f t="shared" si="40"/>
        <v>9.6602739726027398</v>
      </c>
      <c r="R321" s="359">
        <f t="shared" si="43"/>
        <v>-0.66027397260273979</v>
      </c>
      <c r="S321" s="360">
        <f t="shared" si="44"/>
        <v>0</v>
      </c>
      <c r="T321" s="361">
        <f t="shared" si="45"/>
        <v>0.10555555555555554</v>
      </c>
      <c r="U321" s="362">
        <v>0</v>
      </c>
      <c r="V321" s="362">
        <f t="shared" si="48"/>
        <v>683</v>
      </c>
      <c r="W321" s="362">
        <f t="shared" si="46"/>
        <v>683</v>
      </c>
      <c r="X321" s="742">
        <f t="shared" si="49"/>
        <v>0</v>
      </c>
    </row>
    <row r="322" spans="1:24" ht="13.9">
      <c r="A322" s="349">
        <f t="shared" si="47"/>
        <v>314</v>
      </c>
      <c r="B322" s="349" t="s">
        <v>1878</v>
      </c>
      <c r="C322" s="350"/>
      <c r="D322" s="350"/>
      <c r="E322" s="350"/>
      <c r="F322" s="350"/>
      <c r="G322" s="380">
        <v>41890</v>
      </c>
      <c r="H322" s="352">
        <v>326400</v>
      </c>
      <c r="I322" s="353" t="s">
        <v>1379</v>
      </c>
      <c r="J322" s="353" t="s">
        <v>1379</v>
      </c>
      <c r="K322" s="354">
        <f t="shared" si="41"/>
        <v>326400</v>
      </c>
      <c r="L322" s="381">
        <v>41890</v>
      </c>
      <c r="M322" s="742">
        <v>276899.33333333331</v>
      </c>
      <c r="N322" s="352">
        <f t="shared" si="50"/>
        <v>49500.666666666686</v>
      </c>
      <c r="O322" s="357">
        <f t="shared" si="42"/>
        <v>3493</v>
      </c>
      <c r="P322" s="357">
        <v>9</v>
      </c>
      <c r="Q322" s="358">
        <f t="shared" si="40"/>
        <v>9.5698630136986296</v>
      </c>
      <c r="R322" s="359">
        <f t="shared" si="43"/>
        <v>-0.56986301369862957</v>
      </c>
      <c r="S322" s="360">
        <f t="shared" si="44"/>
        <v>0</v>
      </c>
      <c r="T322" s="361">
        <f t="shared" si="45"/>
        <v>0.10555555555555554</v>
      </c>
      <c r="U322" s="362">
        <v>33181</v>
      </c>
      <c r="V322" s="362">
        <f t="shared" si="48"/>
        <v>16319.666666666686</v>
      </c>
      <c r="W322" s="362">
        <f t="shared" si="46"/>
        <v>16320</v>
      </c>
      <c r="X322" s="742">
        <f t="shared" si="49"/>
        <v>-0.33333333331393078</v>
      </c>
    </row>
    <row r="323" spans="1:24" ht="13.9">
      <c r="A323" s="349">
        <f t="shared" si="47"/>
        <v>315</v>
      </c>
      <c r="B323" s="349" t="s">
        <v>935</v>
      </c>
      <c r="C323" s="350"/>
      <c r="D323" s="350"/>
      <c r="E323" s="350"/>
      <c r="F323" s="350"/>
      <c r="G323" s="380">
        <v>41908</v>
      </c>
      <c r="H323" s="352">
        <v>360750</v>
      </c>
      <c r="I323" s="353" t="s">
        <v>1379</v>
      </c>
      <c r="J323" s="353" t="s">
        <v>1379</v>
      </c>
      <c r="K323" s="354">
        <f t="shared" si="41"/>
        <v>360750</v>
      </c>
      <c r="L323" s="381">
        <v>41922</v>
      </c>
      <c r="M323" s="742">
        <v>342712</v>
      </c>
      <c r="N323" s="352">
        <f t="shared" si="50"/>
        <v>18038</v>
      </c>
      <c r="O323" s="357">
        <f t="shared" si="42"/>
        <v>3461</v>
      </c>
      <c r="P323" s="357">
        <v>9</v>
      </c>
      <c r="Q323" s="358">
        <f t="shared" si="40"/>
        <v>9.4821917808219176</v>
      </c>
      <c r="R323" s="359">
        <f t="shared" si="43"/>
        <v>-0.4821917808219176</v>
      </c>
      <c r="S323" s="360">
        <f t="shared" si="44"/>
        <v>0</v>
      </c>
      <c r="T323" s="361">
        <f t="shared" si="45"/>
        <v>0.10555555555555554</v>
      </c>
      <c r="U323" s="362">
        <v>0</v>
      </c>
      <c r="V323" s="362">
        <f t="shared" si="48"/>
        <v>18038</v>
      </c>
      <c r="W323" s="362">
        <f t="shared" si="46"/>
        <v>18038</v>
      </c>
      <c r="X323" s="742">
        <f t="shared" si="49"/>
        <v>0</v>
      </c>
    </row>
    <row r="324" spans="1:24" ht="13.9">
      <c r="A324" s="349">
        <f t="shared" si="47"/>
        <v>316</v>
      </c>
      <c r="B324" s="349" t="s">
        <v>935</v>
      </c>
      <c r="C324" s="350"/>
      <c r="D324" s="350"/>
      <c r="E324" s="350"/>
      <c r="F324" s="350"/>
      <c r="G324" s="380">
        <v>41967</v>
      </c>
      <c r="H324" s="352">
        <v>149000</v>
      </c>
      <c r="I324" s="353" t="s">
        <v>1379</v>
      </c>
      <c r="J324" s="353" t="s">
        <v>1379</v>
      </c>
      <c r="K324" s="354">
        <f t="shared" si="41"/>
        <v>149000</v>
      </c>
      <c r="L324" s="381">
        <v>41967</v>
      </c>
      <c r="M324" s="742">
        <v>141550</v>
      </c>
      <c r="N324" s="352">
        <f t="shared" si="50"/>
        <v>7450</v>
      </c>
      <c r="O324" s="357">
        <f t="shared" si="42"/>
        <v>3416</v>
      </c>
      <c r="P324" s="357">
        <v>9</v>
      </c>
      <c r="Q324" s="358">
        <f t="shared" ref="Q324:Q387" si="51">+O324/365</f>
        <v>9.3589041095890408</v>
      </c>
      <c r="R324" s="359">
        <f t="shared" si="43"/>
        <v>-0.35890410958904084</v>
      </c>
      <c r="S324" s="360">
        <f t="shared" si="44"/>
        <v>0</v>
      </c>
      <c r="T324" s="361">
        <f t="shared" si="45"/>
        <v>0.10555555555555554</v>
      </c>
      <c r="U324" s="362">
        <v>0</v>
      </c>
      <c r="V324" s="362">
        <f t="shared" si="48"/>
        <v>7450</v>
      </c>
      <c r="W324" s="362">
        <f t="shared" si="46"/>
        <v>7450</v>
      </c>
      <c r="X324" s="742">
        <f t="shared" si="49"/>
        <v>0</v>
      </c>
    </row>
    <row r="325" spans="1:24" ht="13.9">
      <c r="A325" s="349">
        <f t="shared" si="47"/>
        <v>317</v>
      </c>
      <c r="B325" s="349" t="s">
        <v>935</v>
      </c>
      <c r="C325" s="350"/>
      <c r="D325" s="350"/>
      <c r="E325" s="350"/>
      <c r="F325" s="350"/>
      <c r="G325" s="380">
        <v>41979</v>
      </c>
      <c r="H325" s="352">
        <v>381900</v>
      </c>
      <c r="I325" s="353" t="s">
        <v>1379</v>
      </c>
      <c r="J325" s="353" t="s">
        <v>1379</v>
      </c>
      <c r="K325" s="354">
        <f t="shared" si="41"/>
        <v>381900</v>
      </c>
      <c r="L325" s="381">
        <v>41979</v>
      </c>
      <c r="M325" s="742">
        <v>362805</v>
      </c>
      <c r="N325" s="352">
        <f t="shared" si="50"/>
        <v>19095</v>
      </c>
      <c r="O325" s="357">
        <f t="shared" si="42"/>
        <v>3404</v>
      </c>
      <c r="P325" s="357">
        <v>9</v>
      </c>
      <c r="Q325" s="358">
        <f t="shared" si="51"/>
        <v>9.3260273972602743</v>
      </c>
      <c r="R325" s="359">
        <f t="shared" si="43"/>
        <v>-0.3260273972602743</v>
      </c>
      <c r="S325" s="360">
        <f t="shared" si="44"/>
        <v>0</v>
      </c>
      <c r="T325" s="361">
        <f t="shared" si="45"/>
        <v>0.10555555555555554</v>
      </c>
      <c r="U325" s="362">
        <v>0</v>
      </c>
      <c r="V325" s="362">
        <f t="shared" si="48"/>
        <v>19095</v>
      </c>
      <c r="W325" s="362">
        <f t="shared" si="46"/>
        <v>19095</v>
      </c>
      <c r="X325" s="742">
        <f t="shared" si="49"/>
        <v>0</v>
      </c>
    </row>
    <row r="326" spans="1:24" ht="13.9">
      <c r="A326" s="349">
        <f t="shared" si="47"/>
        <v>318</v>
      </c>
      <c r="B326" s="349" t="s">
        <v>1787</v>
      </c>
      <c r="C326" s="350"/>
      <c r="D326" s="350"/>
      <c r="E326" s="350"/>
      <c r="F326" s="349"/>
      <c r="G326" s="380">
        <v>41750</v>
      </c>
      <c r="H326" s="352">
        <v>208301</v>
      </c>
      <c r="I326" s="353" t="s">
        <v>1379</v>
      </c>
      <c r="J326" s="353" t="s">
        <v>1379</v>
      </c>
      <c r="K326" s="354">
        <f t="shared" si="41"/>
        <v>208301</v>
      </c>
      <c r="L326" s="381">
        <v>41765</v>
      </c>
      <c r="M326" s="742">
        <v>197886</v>
      </c>
      <c r="N326" s="352">
        <f t="shared" si="50"/>
        <v>10415</v>
      </c>
      <c r="O326" s="357">
        <f t="shared" si="42"/>
        <v>3618</v>
      </c>
      <c r="P326" s="357">
        <v>9</v>
      </c>
      <c r="Q326" s="358">
        <f t="shared" si="51"/>
        <v>9.912328767123288</v>
      </c>
      <c r="R326" s="359">
        <f t="shared" si="43"/>
        <v>-0.91232876712328803</v>
      </c>
      <c r="S326" s="360">
        <f t="shared" si="44"/>
        <v>0</v>
      </c>
      <c r="T326" s="361">
        <f t="shared" si="45"/>
        <v>0.10555555555555554</v>
      </c>
      <c r="U326" s="362">
        <v>0</v>
      </c>
      <c r="V326" s="362">
        <f t="shared" si="48"/>
        <v>10415</v>
      </c>
      <c r="W326" s="362">
        <f t="shared" si="46"/>
        <v>10415</v>
      </c>
      <c r="X326" s="742">
        <f t="shared" si="49"/>
        <v>0</v>
      </c>
    </row>
    <row r="327" spans="1:24" ht="13.9">
      <c r="A327" s="349">
        <f t="shared" si="47"/>
        <v>319</v>
      </c>
      <c r="B327" s="349" t="s">
        <v>1879</v>
      </c>
      <c r="C327" s="350"/>
      <c r="D327" s="350"/>
      <c r="E327" s="350"/>
      <c r="F327" s="349"/>
      <c r="G327" s="380">
        <v>41734</v>
      </c>
      <c r="H327" s="352">
        <v>34000</v>
      </c>
      <c r="I327" s="353" t="s">
        <v>1379</v>
      </c>
      <c r="J327" s="353" t="s">
        <v>1379</v>
      </c>
      <c r="K327" s="354">
        <f t="shared" si="41"/>
        <v>34000</v>
      </c>
      <c r="L327" s="381">
        <v>41734</v>
      </c>
      <c r="M327" s="742">
        <v>32300</v>
      </c>
      <c r="N327" s="352">
        <f t="shared" si="50"/>
        <v>1700</v>
      </c>
      <c r="O327" s="357">
        <f t="shared" si="42"/>
        <v>3649</v>
      </c>
      <c r="P327" s="357">
        <v>9</v>
      </c>
      <c r="Q327" s="358">
        <f t="shared" si="51"/>
        <v>9.9972602739726035</v>
      </c>
      <c r="R327" s="359">
        <f t="shared" si="43"/>
        <v>-0.99726027397260353</v>
      </c>
      <c r="S327" s="360">
        <f t="shared" si="44"/>
        <v>0</v>
      </c>
      <c r="T327" s="361">
        <f t="shared" si="45"/>
        <v>0.10555555555555554</v>
      </c>
      <c r="U327" s="362">
        <v>0</v>
      </c>
      <c r="V327" s="362">
        <f t="shared" si="48"/>
        <v>1700</v>
      </c>
      <c r="W327" s="362">
        <f t="shared" si="46"/>
        <v>1700</v>
      </c>
      <c r="X327" s="742">
        <f t="shared" si="49"/>
        <v>0</v>
      </c>
    </row>
    <row r="328" spans="1:24" ht="13.9">
      <c r="A328" s="349">
        <f t="shared" si="47"/>
        <v>320</v>
      </c>
      <c r="B328" s="349" t="s">
        <v>1879</v>
      </c>
      <c r="C328" s="350"/>
      <c r="D328" s="350"/>
      <c r="E328" s="350"/>
      <c r="F328" s="349"/>
      <c r="G328" s="380">
        <v>41938</v>
      </c>
      <c r="H328" s="352">
        <v>19000</v>
      </c>
      <c r="I328" s="353" t="s">
        <v>1379</v>
      </c>
      <c r="J328" s="353" t="s">
        <v>1379</v>
      </c>
      <c r="K328" s="354">
        <f t="shared" si="41"/>
        <v>19000</v>
      </c>
      <c r="L328" s="381">
        <v>41938</v>
      </c>
      <c r="M328" s="742">
        <v>18050</v>
      </c>
      <c r="N328" s="352">
        <f t="shared" si="50"/>
        <v>950</v>
      </c>
      <c r="O328" s="357">
        <f t="shared" si="42"/>
        <v>3445</v>
      </c>
      <c r="P328" s="357">
        <v>9</v>
      </c>
      <c r="Q328" s="358">
        <f t="shared" si="51"/>
        <v>9.4383561643835616</v>
      </c>
      <c r="R328" s="359">
        <f t="shared" si="43"/>
        <v>-0.43835616438356162</v>
      </c>
      <c r="S328" s="360">
        <f t="shared" si="44"/>
        <v>0</v>
      </c>
      <c r="T328" s="361">
        <f t="shared" si="45"/>
        <v>0.10555555555555554</v>
      </c>
      <c r="U328" s="362">
        <v>0</v>
      </c>
      <c r="V328" s="362">
        <f t="shared" si="48"/>
        <v>950</v>
      </c>
      <c r="W328" s="362">
        <f t="shared" si="46"/>
        <v>950</v>
      </c>
      <c r="X328" s="742">
        <f t="shared" si="49"/>
        <v>0</v>
      </c>
    </row>
    <row r="329" spans="1:24" ht="13.9">
      <c r="A329" s="349">
        <f t="shared" si="47"/>
        <v>321</v>
      </c>
      <c r="B329" s="349" t="s">
        <v>1879</v>
      </c>
      <c r="C329" s="350"/>
      <c r="D329" s="350"/>
      <c r="E329" s="350"/>
      <c r="F329" s="349"/>
      <c r="G329" s="380">
        <v>41939</v>
      </c>
      <c r="H329" s="352">
        <v>31745</v>
      </c>
      <c r="I329" s="353" t="s">
        <v>1379</v>
      </c>
      <c r="J329" s="353" t="s">
        <v>1379</v>
      </c>
      <c r="K329" s="354">
        <f t="shared" ref="K329:K392" si="52">+H329+I329-J329</f>
        <v>31745</v>
      </c>
      <c r="L329" s="381">
        <v>41939</v>
      </c>
      <c r="M329" s="742">
        <v>30158</v>
      </c>
      <c r="N329" s="352">
        <f t="shared" si="50"/>
        <v>1587</v>
      </c>
      <c r="O329" s="357">
        <f t="shared" ref="O329:O392" si="53">+$O$3-L329+1</f>
        <v>3444</v>
      </c>
      <c r="P329" s="357">
        <v>9</v>
      </c>
      <c r="Q329" s="358">
        <f t="shared" si="51"/>
        <v>9.4356164383561651</v>
      </c>
      <c r="R329" s="359">
        <f t="shared" ref="R329:R392" si="54">+P329-Q329</f>
        <v>-0.43561643835616515</v>
      </c>
      <c r="S329" s="360">
        <f t="shared" ref="S329:S392" si="55">IF(R329&lt;0,0,IF(R329&gt;365,365,R329))</f>
        <v>0</v>
      </c>
      <c r="T329" s="361">
        <f t="shared" ref="T329:T392" si="56">1/P329*0.95</f>
        <v>0.10555555555555554</v>
      </c>
      <c r="U329" s="362">
        <v>0</v>
      </c>
      <c r="V329" s="362">
        <f t="shared" si="48"/>
        <v>1587</v>
      </c>
      <c r="W329" s="362">
        <f t="shared" ref="W329:W392" si="57">ROUND(+H329*5%,0)</f>
        <v>1587</v>
      </c>
      <c r="X329" s="742">
        <f t="shared" si="49"/>
        <v>0</v>
      </c>
    </row>
    <row r="330" spans="1:24" ht="13.9">
      <c r="A330" s="349">
        <f t="shared" ref="A330:A393" si="58">+A329+1</f>
        <v>322</v>
      </c>
      <c r="B330" s="349" t="s">
        <v>1879</v>
      </c>
      <c r="C330" s="350"/>
      <c r="D330" s="350"/>
      <c r="E330" s="350"/>
      <c r="F330" s="349"/>
      <c r="G330" s="380">
        <v>41961</v>
      </c>
      <c r="H330" s="352">
        <v>12000</v>
      </c>
      <c r="I330" s="353" t="s">
        <v>1379</v>
      </c>
      <c r="J330" s="353" t="s">
        <v>1379</v>
      </c>
      <c r="K330" s="354">
        <f t="shared" si="52"/>
        <v>12000</v>
      </c>
      <c r="L330" s="381">
        <v>41961</v>
      </c>
      <c r="M330" s="742">
        <v>11400</v>
      </c>
      <c r="N330" s="352">
        <f t="shared" si="50"/>
        <v>600</v>
      </c>
      <c r="O330" s="357">
        <f t="shared" si="53"/>
        <v>3422</v>
      </c>
      <c r="P330" s="357">
        <v>9</v>
      </c>
      <c r="Q330" s="358">
        <f t="shared" si="51"/>
        <v>9.375342465753425</v>
      </c>
      <c r="R330" s="359">
        <f t="shared" si="54"/>
        <v>-0.375342465753425</v>
      </c>
      <c r="S330" s="360">
        <f t="shared" si="55"/>
        <v>0</v>
      </c>
      <c r="T330" s="361">
        <f t="shared" si="56"/>
        <v>0.10555555555555554</v>
      </c>
      <c r="U330" s="362">
        <v>0</v>
      </c>
      <c r="V330" s="362">
        <f t="shared" ref="V330:V393" si="59">+N330-U330</f>
        <v>600</v>
      </c>
      <c r="W330" s="362">
        <f t="shared" si="57"/>
        <v>600</v>
      </c>
      <c r="X330" s="742">
        <f t="shared" ref="X330:X393" si="60">+V330-W330</f>
        <v>0</v>
      </c>
    </row>
    <row r="331" spans="1:24" ht="13.9">
      <c r="A331" s="349">
        <f t="shared" si="58"/>
        <v>323</v>
      </c>
      <c r="B331" s="349" t="s">
        <v>1879</v>
      </c>
      <c r="C331" s="350"/>
      <c r="D331" s="350"/>
      <c r="E331" s="350"/>
      <c r="F331" s="349"/>
      <c r="G331" s="380">
        <v>41962</v>
      </c>
      <c r="H331" s="352">
        <v>10500</v>
      </c>
      <c r="I331" s="353" t="s">
        <v>1379</v>
      </c>
      <c r="J331" s="353" t="s">
        <v>1379</v>
      </c>
      <c r="K331" s="354">
        <f t="shared" si="52"/>
        <v>10500</v>
      </c>
      <c r="L331" s="381">
        <v>41962</v>
      </c>
      <c r="M331" s="742">
        <v>9975</v>
      </c>
      <c r="N331" s="352">
        <f t="shared" ref="N331:N394" si="61">+K331-M331</f>
        <v>525</v>
      </c>
      <c r="O331" s="357">
        <f t="shared" si="53"/>
        <v>3421</v>
      </c>
      <c r="P331" s="357">
        <v>9</v>
      </c>
      <c r="Q331" s="358">
        <f t="shared" si="51"/>
        <v>9.3726027397260268</v>
      </c>
      <c r="R331" s="359">
        <f t="shared" si="54"/>
        <v>-0.37260273972602675</v>
      </c>
      <c r="S331" s="360">
        <f t="shared" si="55"/>
        <v>0</v>
      </c>
      <c r="T331" s="361">
        <f t="shared" si="56"/>
        <v>0.10555555555555554</v>
      </c>
      <c r="U331" s="362">
        <v>0</v>
      </c>
      <c r="V331" s="362">
        <f t="shared" si="59"/>
        <v>525</v>
      </c>
      <c r="W331" s="362">
        <f t="shared" si="57"/>
        <v>525</v>
      </c>
      <c r="X331" s="742">
        <f t="shared" si="60"/>
        <v>0</v>
      </c>
    </row>
    <row r="332" spans="1:24" ht="13.9">
      <c r="A332" s="349">
        <f t="shared" si="58"/>
        <v>324</v>
      </c>
      <c r="B332" s="385" t="s">
        <v>332</v>
      </c>
      <c r="C332" s="350"/>
      <c r="D332" s="350"/>
      <c r="E332" s="350"/>
      <c r="F332" s="349"/>
      <c r="G332" s="386">
        <v>42145</v>
      </c>
      <c r="H332" s="352">
        <v>664838</v>
      </c>
      <c r="I332" s="353" t="s">
        <v>1379</v>
      </c>
      <c r="J332" s="353" t="s">
        <v>1379</v>
      </c>
      <c r="K332" s="354">
        <f t="shared" si="52"/>
        <v>664838</v>
      </c>
      <c r="L332" s="387">
        <v>42145</v>
      </c>
      <c r="M332" s="742">
        <v>551974.3444444444</v>
      </c>
      <c r="N332" s="352">
        <f t="shared" si="61"/>
        <v>112863.6555555556</v>
      </c>
      <c r="O332" s="357">
        <f t="shared" si="53"/>
        <v>3238</v>
      </c>
      <c r="P332" s="357">
        <v>9</v>
      </c>
      <c r="Q332" s="358">
        <f t="shared" si="51"/>
        <v>8.8712328767123285</v>
      </c>
      <c r="R332" s="359">
        <f t="shared" si="54"/>
        <v>0.12876712328767148</v>
      </c>
      <c r="S332" s="360">
        <f t="shared" si="55"/>
        <v>0.12876712328767148</v>
      </c>
      <c r="T332" s="361">
        <f t="shared" si="56"/>
        <v>0.10555555555555554</v>
      </c>
      <c r="U332" s="362">
        <f t="shared" ref="U332:U353" si="62">+K332*T332</f>
        <v>70177.344444444432</v>
      </c>
      <c r="V332" s="362">
        <f t="shared" si="59"/>
        <v>42686.311111111165</v>
      </c>
      <c r="W332" s="362">
        <f t="shared" si="57"/>
        <v>33242</v>
      </c>
      <c r="X332" s="742">
        <f t="shared" si="60"/>
        <v>9444.3111111111648</v>
      </c>
    </row>
    <row r="333" spans="1:24" ht="13.9">
      <c r="A333" s="349">
        <f t="shared" si="58"/>
        <v>325</v>
      </c>
      <c r="B333" s="385" t="s">
        <v>332</v>
      </c>
      <c r="C333" s="350"/>
      <c r="D333" s="350"/>
      <c r="E333" s="350"/>
      <c r="F333" s="349"/>
      <c r="G333" s="386">
        <v>42145</v>
      </c>
      <c r="H333" s="352">
        <v>664838</v>
      </c>
      <c r="I333" s="353" t="s">
        <v>1379</v>
      </c>
      <c r="J333" s="353" t="s">
        <v>1379</v>
      </c>
      <c r="K333" s="354">
        <f t="shared" si="52"/>
        <v>664838</v>
      </c>
      <c r="L333" s="387">
        <v>42145</v>
      </c>
      <c r="M333" s="742">
        <v>551974.3444444444</v>
      </c>
      <c r="N333" s="352">
        <f t="shared" si="61"/>
        <v>112863.6555555556</v>
      </c>
      <c r="O333" s="357">
        <f t="shared" si="53"/>
        <v>3238</v>
      </c>
      <c r="P333" s="357">
        <v>9</v>
      </c>
      <c r="Q333" s="358">
        <f t="shared" si="51"/>
        <v>8.8712328767123285</v>
      </c>
      <c r="R333" s="359">
        <f t="shared" si="54"/>
        <v>0.12876712328767148</v>
      </c>
      <c r="S333" s="360">
        <f t="shared" si="55"/>
        <v>0.12876712328767148</v>
      </c>
      <c r="T333" s="361">
        <f t="shared" si="56"/>
        <v>0.10555555555555554</v>
      </c>
      <c r="U333" s="362">
        <f t="shared" si="62"/>
        <v>70177.344444444432</v>
      </c>
      <c r="V333" s="362">
        <f t="shared" si="59"/>
        <v>42686.311111111165</v>
      </c>
      <c r="W333" s="362">
        <f t="shared" si="57"/>
        <v>33242</v>
      </c>
      <c r="X333" s="742">
        <f t="shared" si="60"/>
        <v>9444.3111111111648</v>
      </c>
    </row>
    <row r="334" spans="1:24" ht="13.9">
      <c r="A334" s="349">
        <f t="shared" si="58"/>
        <v>326</v>
      </c>
      <c r="B334" s="385" t="s">
        <v>576</v>
      </c>
      <c r="C334" s="350"/>
      <c r="D334" s="350"/>
      <c r="E334" s="350"/>
      <c r="F334" s="349"/>
      <c r="G334" s="386">
        <v>42205</v>
      </c>
      <c r="H334" s="352">
        <v>171093</v>
      </c>
      <c r="I334" s="353" t="s">
        <v>1379</v>
      </c>
      <c r="J334" s="353" t="s">
        <v>1379</v>
      </c>
      <c r="K334" s="354">
        <f t="shared" si="52"/>
        <v>171093</v>
      </c>
      <c r="L334" s="387">
        <v>42205</v>
      </c>
      <c r="M334" s="742">
        <v>139079.81666666665</v>
      </c>
      <c r="N334" s="352">
        <f t="shared" si="61"/>
        <v>32013.183333333349</v>
      </c>
      <c r="O334" s="357">
        <f t="shared" si="53"/>
        <v>3178</v>
      </c>
      <c r="P334" s="357">
        <v>9</v>
      </c>
      <c r="Q334" s="358">
        <f t="shared" si="51"/>
        <v>8.706849315068494</v>
      </c>
      <c r="R334" s="359">
        <f t="shared" si="54"/>
        <v>0.29315068493150598</v>
      </c>
      <c r="S334" s="360">
        <f t="shared" si="55"/>
        <v>0.29315068493150598</v>
      </c>
      <c r="T334" s="361">
        <f t="shared" si="56"/>
        <v>0.10555555555555554</v>
      </c>
      <c r="U334" s="362">
        <f t="shared" si="62"/>
        <v>18059.816666666666</v>
      </c>
      <c r="V334" s="362">
        <f t="shared" si="59"/>
        <v>13953.366666666683</v>
      </c>
      <c r="W334" s="362">
        <f t="shared" si="57"/>
        <v>8555</v>
      </c>
      <c r="X334" s="742">
        <f t="shared" si="60"/>
        <v>5398.3666666666832</v>
      </c>
    </row>
    <row r="335" spans="1:24" ht="13.9">
      <c r="A335" s="349">
        <f t="shared" si="58"/>
        <v>327</v>
      </c>
      <c r="B335" s="385" t="s">
        <v>1880</v>
      </c>
      <c r="C335" s="350"/>
      <c r="D335" s="350"/>
      <c r="E335" s="350"/>
      <c r="F335" s="349"/>
      <c r="G335" s="386">
        <v>42260</v>
      </c>
      <c r="H335" s="352">
        <v>878980</v>
      </c>
      <c r="I335" s="353" t="s">
        <v>1379</v>
      </c>
      <c r="J335" s="353" t="s">
        <v>1379</v>
      </c>
      <c r="K335" s="354">
        <f t="shared" si="52"/>
        <v>878980</v>
      </c>
      <c r="L335" s="387">
        <v>42260</v>
      </c>
      <c r="M335" s="742">
        <v>700531.22222222225</v>
      </c>
      <c r="N335" s="352">
        <f t="shared" si="61"/>
        <v>178448.77777777775</v>
      </c>
      <c r="O335" s="357">
        <f t="shared" si="53"/>
        <v>3123</v>
      </c>
      <c r="P335" s="357">
        <v>9</v>
      </c>
      <c r="Q335" s="358">
        <f t="shared" si="51"/>
        <v>8.5561643835616437</v>
      </c>
      <c r="R335" s="359">
        <f t="shared" si="54"/>
        <v>0.44383561643835634</v>
      </c>
      <c r="S335" s="360">
        <f t="shared" si="55"/>
        <v>0.44383561643835634</v>
      </c>
      <c r="T335" s="361">
        <f t="shared" si="56"/>
        <v>0.10555555555555554</v>
      </c>
      <c r="U335" s="362">
        <f t="shared" si="62"/>
        <v>92781.222222222204</v>
      </c>
      <c r="V335" s="362">
        <f t="shared" si="59"/>
        <v>85667.555555555547</v>
      </c>
      <c r="W335" s="362">
        <f t="shared" si="57"/>
        <v>43949</v>
      </c>
      <c r="X335" s="742">
        <f t="shared" si="60"/>
        <v>41718.555555555547</v>
      </c>
    </row>
    <row r="336" spans="1:24" ht="13.9">
      <c r="A336" s="349">
        <f t="shared" si="58"/>
        <v>328</v>
      </c>
      <c r="B336" s="385" t="s">
        <v>1881</v>
      </c>
      <c r="C336" s="350"/>
      <c r="D336" s="350"/>
      <c r="E336" s="350"/>
      <c r="F336" s="349"/>
      <c r="G336" s="386">
        <v>42296</v>
      </c>
      <c r="H336" s="352">
        <v>11694981</v>
      </c>
      <c r="I336" s="353" t="s">
        <v>1379</v>
      </c>
      <c r="J336" s="353" t="s">
        <v>1379</v>
      </c>
      <c r="K336" s="354">
        <f t="shared" si="52"/>
        <v>11694981</v>
      </c>
      <c r="L336" s="387">
        <v>42296</v>
      </c>
      <c r="M336" s="742">
        <v>9198944.2166666668</v>
      </c>
      <c r="N336" s="352">
        <f t="shared" si="61"/>
        <v>2496036.7833333332</v>
      </c>
      <c r="O336" s="357">
        <f t="shared" si="53"/>
        <v>3087</v>
      </c>
      <c r="P336" s="357">
        <v>9</v>
      </c>
      <c r="Q336" s="358">
        <f t="shared" si="51"/>
        <v>8.4575342465753423</v>
      </c>
      <c r="R336" s="359">
        <f t="shared" si="54"/>
        <v>0.54246575342465775</v>
      </c>
      <c r="S336" s="360">
        <f t="shared" si="55"/>
        <v>0.54246575342465775</v>
      </c>
      <c r="T336" s="361">
        <f t="shared" si="56"/>
        <v>0.10555555555555554</v>
      </c>
      <c r="U336" s="362">
        <f t="shared" si="62"/>
        <v>1234470.2166666666</v>
      </c>
      <c r="V336" s="362">
        <f t="shared" si="59"/>
        <v>1261566.5666666667</v>
      </c>
      <c r="W336" s="362">
        <f t="shared" si="57"/>
        <v>584749</v>
      </c>
      <c r="X336" s="742">
        <f t="shared" si="60"/>
        <v>676817.56666666665</v>
      </c>
    </row>
    <row r="337" spans="1:24" ht="13.9">
      <c r="A337" s="349">
        <f t="shared" si="58"/>
        <v>329</v>
      </c>
      <c r="B337" s="385" t="s">
        <v>1881</v>
      </c>
      <c r="C337" s="350"/>
      <c r="D337" s="350"/>
      <c r="E337" s="350"/>
      <c r="F337" s="349"/>
      <c r="G337" s="386">
        <v>42296</v>
      </c>
      <c r="H337" s="352">
        <v>11694981</v>
      </c>
      <c r="I337" s="353" t="s">
        <v>1379</v>
      </c>
      <c r="J337" s="353" t="s">
        <v>1379</v>
      </c>
      <c r="K337" s="354">
        <f t="shared" si="52"/>
        <v>11694981</v>
      </c>
      <c r="L337" s="387">
        <v>42296</v>
      </c>
      <c r="M337" s="742">
        <v>9198944.2166666668</v>
      </c>
      <c r="N337" s="352">
        <f t="shared" si="61"/>
        <v>2496036.7833333332</v>
      </c>
      <c r="O337" s="357">
        <f t="shared" si="53"/>
        <v>3087</v>
      </c>
      <c r="P337" s="357">
        <v>9</v>
      </c>
      <c r="Q337" s="358">
        <f t="shared" si="51"/>
        <v>8.4575342465753423</v>
      </c>
      <c r="R337" s="359">
        <f t="shared" si="54"/>
        <v>0.54246575342465775</v>
      </c>
      <c r="S337" s="360">
        <f t="shared" si="55"/>
        <v>0.54246575342465775</v>
      </c>
      <c r="T337" s="361">
        <f t="shared" si="56"/>
        <v>0.10555555555555554</v>
      </c>
      <c r="U337" s="362">
        <f t="shared" si="62"/>
        <v>1234470.2166666666</v>
      </c>
      <c r="V337" s="362">
        <f t="shared" si="59"/>
        <v>1261566.5666666667</v>
      </c>
      <c r="W337" s="362">
        <f t="shared" si="57"/>
        <v>584749</v>
      </c>
      <c r="X337" s="742">
        <f t="shared" si="60"/>
        <v>676817.56666666665</v>
      </c>
    </row>
    <row r="338" spans="1:24" ht="13.9">
      <c r="A338" s="349">
        <f t="shared" si="58"/>
        <v>330</v>
      </c>
      <c r="B338" s="385" t="s">
        <v>1881</v>
      </c>
      <c r="C338" s="350"/>
      <c r="D338" s="350"/>
      <c r="E338" s="350"/>
      <c r="F338" s="349"/>
      <c r="G338" s="386">
        <v>42383</v>
      </c>
      <c r="H338" s="352">
        <v>6900034</v>
      </c>
      <c r="I338" s="353" t="s">
        <v>1379</v>
      </c>
      <c r="J338" s="353" t="s">
        <v>1379</v>
      </c>
      <c r="K338" s="354">
        <f t="shared" si="52"/>
        <v>6900034</v>
      </c>
      <c r="L338" s="387">
        <v>42383</v>
      </c>
      <c r="M338" s="742">
        <v>5253775.9222222222</v>
      </c>
      <c r="N338" s="352">
        <f t="shared" si="61"/>
        <v>1646258.0777777778</v>
      </c>
      <c r="O338" s="357">
        <f t="shared" si="53"/>
        <v>3000</v>
      </c>
      <c r="P338" s="357">
        <v>9</v>
      </c>
      <c r="Q338" s="358">
        <f t="shared" si="51"/>
        <v>8.2191780821917817</v>
      </c>
      <c r="R338" s="359">
        <f t="shared" si="54"/>
        <v>0.7808219178082183</v>
      </c>
      <c r="S338" s="360">
        <f t="shared" si="55"/>
        <v>0.7808219178082183</v>
      </c>
      <c r="T338" s="361">
        <f t="shared" si="56"/>
        <v>0.10555555555555554</v>
      </c>
      <c r="U338" s="362">
        <f t="shared" si="62"/>
        <v>728336.92222222209</v>
      </c>
      <c r="V338" s="362">
        <f t="shared" si="59"/>
        <v>917921.15555555571</v>
      </c>
      <c r="W338" s="362">
        <f t="shared" si="57"/>
        <v>345002</v>
      </c>
      <c r="X338" s="742">
        <f t="shared" si="60"/>
        <v>572919.15555555571</v>
      </c>
    </row>
    <row r="339" spans="1:24" ht="13.9">
      <c r="A339" s="349">
        <f t="shared" si="58"/>
        <v>331</v>
      </c>
      <c r="B339" s="385" t="s">
        <v>1599</v>
      </c>
      <c r="C339" s="350"/>
      <c r="D339" s="350"/>
      <c r="E339" s="350"/>
      <c r="F339" s="349"/>
      <c r="G339" s="386">
        <v>42138</v>
      </c>
      <c r="H339" s="352">
        <v>80000</v>
      </c>
      <c r="I339" s="353" t="s">
        <v>1379</v>
      </c>
      <c r="J339" s="353" t="s">
        <v>1379</v>
      </c>
      <c r="K339" s="354">
        <f t="shared" si="52"/>
        <v>80000</v>
      </c>
      <c r="L339" s="387">
        <v>42138</v>
      </c>
      <c r="M339" s="742">
        <v>79979</v>
      </c>
      <c r="N339" s="352">
        <f t="shared" si="61"/>
        <v>21</v>
      </c>
      <c r="O339" s="357">
        <f t="shared" si="53"/>
        <v>3245</v>
      </c>
      <c r="P339" s="357">
        <v>9</v>
      </c>
      <c r="Q339" s="358">
        <f t="shared" si="51"/>
        <v>8.8904109589041092</v>
      </c>
      <c r="R339" s="359">
        <f t="shared" si="54"/>
        <v>0.10958904109589085</v>
      </c>
      <c r="S339" s="360">
        <f t="shared" si="55"/>
        <v>0.10958904109589085</v>
      </c>
      <c r="T339" s="361">
        <f t="shared" si="56"/>
        <v>0.10555555555555554</v>
      </c>
      <c r="U339" s="362">
        <v>0</v>
      </c>
      <c r="V339" s="362">
        <f t="shared" si="59"/>
        <v>21</v>
      </c>
      <c r="W339" s="362">
        <f t="shared" si="57"/>
        <v>4000</v>
      </c>
      <c r="X339" s="742">
        <f t="shared" si="60"/>
        <v>-3979</v>
      </c>
    </row>
    <row r="340" spans="1:24" ht="13.9">
      <c r="A340" s="349">
        <f t="shared" si="58"/>
        <v>332</v>
      </c>
      <c r="B340" s="385" t="s">
        <v>1375</v>
      </c>
      <c r="C340" s="350"/>
      <c r="D340" s="350"/>
      <c r="E340" s="350"/>
      <c r="F340" s="349"/>
      <c r="G340" s="386">
        <v>42282</v>
      </c>
      <c r="H340" s="352">
        <v>45390</v>
      </c>
      <c r="I340" s="353" t="s">
        <v>1379</v>
      </c>
      <c r="J340" s="353" t="s">
        <v>1379</v>
      </c>
      <c r="K340" s="354">
        <f t="shared" si="52"/>
        <v>45390</v>
      </c>
      <c r="L340" s="387">
        <v>42282</v>
      </c>
      <c r="M340" s="742">
        <v>35886.166666666664</v>
      </c>
      <c r="N340" s="352">
        <f t="shared" si="61"/>
        <v>9503.8333333333358</v>
      </c>
      <c r="O340" s="357">
        <f t="shared" si="53"/>
        <v>3101</v>
      </c>
      <c r="P340" s="357">
        <v>9</v>
      </c>
      <c r="Q340" s="358">
        <f t="shared" si="51"/>
        <v>8.4958904109589035</v>
      </c>
      <c r="R340" s="359">
        <f t="shared" si="54"/>
        <v>0.50410958904109648</v>
      </c>
      <c r="S340" s="360">
        <f t="shared" si="55"/>
        <v>0.50410958904109648</v>
      </c>
      <c r="T340" s="361">
        <f t="shared" si="56"/>
        <v>0.10555555555555554</v>
      </c>
      <c r="U340" s="362">
        <f t="shared" si="62"/>
        <v>4791.1666666666661</v>
      </c>
      <c r="V340" s="362">
        <f t="shared" si="59"/>
        <v>4712.6666666666697</v>
      </c>
      <c r="W340" s="362">
        <f t="shared" si="57"/>
        <v>2270</v>
      </c>
      <c r="X340" s="742">
        <f t="shared" si="60"/>
        <v>2442.6666666666697</v>
      </c>
    </row>
    <row r="341" spans="1:24" ht="13.9">
      <c r="A341" s="349">
        <f t="shared" si="58"/>
        <v>333</v>
      </c>
      <c r="B341" s="385" t="s">
        <v>1882</v>
      </c>
      <c r="C341" s="350"/>
      <c r="D341" s="350"/>
      <c r="E341" s="350"/>
      <c r="F341" s="349"/>
      <c r="G341" s="386">
        <v>42250</v>
      </c>
      <c r="H341" s="352">
        <v>1302250</v>
      </c>
      <c r="I341" s="353" t="s">
        <v>1379</v>
      </c>
      <c r="J341" s="353" t="s">
        <v>1379</v>
      </c>
      <c r="K341" s="354">
        <f t="shared" si="52"/>
        <v>1302250</v>
      </c>
      <c r="L341" s="387">
        <v>42250</v>
      </c>
      <c r="M341" s="742">
        <v>1041636.7222222222</v>
      </c>
      <c r="N341" s="352">
        <f t="shared" si="61"/>
        <v>260613.27777777775</v>
      </c>
      <c r="O341" s="357">
        <f t="shared" si="53"/>
        <v>3133</v>
      </c>
      <c r="P341" s="357">
        <v>9</v>
      </c>
      <c r="Q341" s="358">
        <f t="shared" si="51"/>
        <v>8.5835616438356173</v>
      </c>
      <c r="R341" s="359">
        <f t="shared" si="54"/>
        <v>0.41643835616438274</v>
      </c>
      <c r="S341" s="360">
        <f t="shared" si="55"/>
        <v>0.41643835616438274</v>
      </c>
      <c r="T341" s="361">
        <f t="shared" si="56"/>
        <v>0.10555555555555554</v>
      </c>
      <c r="U341" s="362">
        <f t="shared" si="62"/>
        <v>137459.72222222219</v>
      </c>
      <c r="V341" s="362">
        <f t="shared" si="59"/>
        <v>123153.55555555556</v>
      </c>
      <c r="W341" s="362">
        <f t="shared" si="57"/>
        <v>65113</v>
      </c>
      <c r="X341" s="742">
        <f t="shared" si="60"/>
        <v>58040.555555555562</v>
      </c>
    </row>
    <row r="342" spans="1:24" ht="13.9">
      <c r="A342" s="349">
        <f t="shared" si="58"/>
        <v>334</v>
      </c>
      <c r="B342" s="385" t="s">
        <v>1883</v>
      </c>
      <c r="C342" s="350"/>
      <c r="D342" s="350"/>
      <c r="E342" s="350"/>
      <c r="F342" s="349"/>
      <c r="G342" s="386">
        <v>42332</v>
      </c>
      <c r="H342" s="352">
        <v>131250</v>
      </c>
      <c r="I342" s="353" t="s">
        <v>1379</v>
      </c>
      <c r="J342" s="353" t="s">
        <v>1379</v>
      </c>
      <c r="K342" s="354">
        <f t="shared" si="52"/>
        <v>131250</v>
      </c>
      <c r="L342" s="387">
        <v>42332</v>
      </c>
      <c r="M342" s="742">
        <v>101871.16666666666</v>
      </c>
      <c r="N342" s="352">
        <f t="shared" si="61"/>
        <v>29378.833333333343</v>
      </c>
      <c r="O342" s="357">
        <f t="shared" si="53"/>
        <v>3051</v>
      </c>
      <c r="P342" s="357">
        <v>9</v>
      </c>
      <c r="Q342" s="358">
        <f t="shared" si="51"/>
        <v>8.3589041095890408</v>
      </c>
      <c r="R342" s="359">
        <f t="shared" si="54"/>
        <v>0.64109589041095916</v>
      </c>
      <c r="S342" s="360">
        <f t="shared" si="55"/>
        <v>0.64109589041095916</v>
      </c>
      <c r="T342" s="361">
        <f t="shared" si="56"/>
        <v>0.10555555555555554</v>
      </c>
      <c r="U342" s="362">
        <f t="shared" si="62"/>
        <v>13854.166666666664</v>
      </c>
      <c r="V342" s="362">
        <f t="shared" si="59"/>
        <v>15524.666666666679</v>
      </c>
      <c r="W342" s="362">
        <f t="shared" si="57"/>
        <v>6563</v>
      </c>
      <c r="X342" s="742">
        <f t="shared" si="60"/>
        <v>8961.6666666666788</v>
      </c>
    </row>
    <row r="343" spans="1:24" ht="13.9">
      <c r="A343" s="349">
        <f t="shared" si="58"/>
        <v>335</v>
      </c>
      <c r="B343" s="385" t="s">
        <v>1884</v>
      </c>
      <c r="C343" s="350"/>
      <c r="D343" s="350"/>
      <c r="E343" s="350"/>
      <c r="F343" s="349"/>
      <c r="G343" s="386">
        <v>42291</v>
      </c>
      <c r="H343" s="352">
        <v>78750</v>
      </c>
      <c r="I343" s="353" t="s">
        <v>1379</v>
      </c>
      <c r="J343" s="353" t="s">
        <v>1379</v>
      </c>
      <c r="K343" s="354">
        <f t="shared" si="52"/>
        <v>78750</v>
      </c>
      <c r="L343" s="387">
        <v>42291</v>
      </c>
      <c r="M343" s="742">
        <v>50534.5</v>
      </c>
      <c r="N343" s="352">
        <f t="shared" si="61"/>
        <v>28215.5</v>
      </c>
      <c r="O343" s="357">
        <f t="shared" si="53"/>
        <v>3092</v>
      </c>
      <c r="P343" s="357">
        <v>9</v>
      </c>
      <c r="Q343" s="358">
        <f t="shared" si="51"/>
        <v>8.4712328767123282</v>
      </c>
      <c r="R343" s="359">
        <f t="shared" si="54"/>
        <v>0.52876712328767184</v>
      </c>
      <c r="S343" s="360">
        <f t="shared" si="55"/>
        <v>0.52876712328767184</v>
      </c>
      <c r="T343" s="361">
        <f t="shared" si="56"/>
        <v>0.10555555555555554</v>
      </c>
      <c r="U343" s="362">
        <f t="shared" si="62"/>
        <v>8312.4999999999982</v>
      </c>
      <c r="V343" s="362">
        <f t="shared" si="59"/>
        <v>19903</v>
      </c>
      <c r="W343" s="362">
        <f t="shared" si="57"/>
        <v>3938</v>
      </c>
      <c r="X343" s="742">
        <f t="shared" si="60"/>
        <v>15965</v>
      </c>
    </row>
    <row r="344" spans="1:24" ht="13.9">
      <c r="A344" s="349">
        <f t="shared" si="58"/>
        <v>336</v>
      </c>
      <c r="B344" s="385" t="s">
        <v>1884</v>
      </c>
      <c r="C344" s="350"/>
      <c r="D344" s="350"/>
      <c r="E344" s="350"/>
      <c r="F344" s="349"/>
      <c r="G344" s="386">
        <v>42410</v>
      </c>
      <c r="H344" s="371">
        <v>122400</v>
      </c>
      <c r="I344" s="353" t="s">
        <v>1379</v>
      </c>
      <c r="J344" s="353" t="s">
        <v>1379</v>
      </c>
      <c r="K344" s="354">
        <f t="shared" si="52"/>
        <v>122400</v>
      </c>
      <c r="L344" s="387">
        <v>42410</v>
      </c>
      <c r="M344" s="742">
        <v>76018</v>
      </c>
      <c r="N344" s="352">
        <f t="shared" si="61"/>
        <v>46382</v>
      </c>
      <c r="O344" s="357">
        <f t="shared" si="53"/>
        <v>2973</v>
      </c>
      <c r="P344" s="357">
        <v>9</v>
      </c>
      <c r="Q344" s="358">
        <f t="shared" si="51"/>
        <v>8.1452054794520556</v>
      </c>
      <c r="R344" s="359">
        <f t="shared" si="54"/>
        <v>0.85479452054794436</v>
      </c>
      <c r="S344" s="360">
        <f t="shared" si="55"/>
        <v>0.85479452054794436</v>
      </c>
      <c r="T344" s="361">
        <f t="shared" si="56"/>
        <v>0.10555555555555554</v>
      </c>
      <c r="U344" s="362">
        <f t="shared" si="62"/>
        <v>12919.999999999998</v>
      </c>
      <c r="V344" s="362">
        <f t="shared" si="59"/>
        <v>33462</v>
      </c>
      <c r="W344" s="362">
        <f t="shared" si="57"/>
        <v>6120</v>
      </c>
      <c r="X344" s="742">
        <f t="shared" si="60"/>
        <v>27342</v>
      </c>
    </row>
    <row r="345" spans="1:24" ht="13.9">
      <c r="A345" s="349">
        <f t="shared" si="58"/>
        <v>337</v>
      </c>
      <c r="B345" s="385" t="s">
        <v>1884</v>
      </c>
      <c r="C345" s="350"/>
      <c r="D345" s="350"/>
      <c r="E345" s="350"/>
      <c r="F345" s="349"/>
      <c r="G345" s="386">
        <v>42438</v>
      </c>
      <c r="H345" s="352">
        <v>1020009</v>
      </c>
      <c r="I345" s="353" t="s">
        <v>1379</v>
      </c>
      <c r="J345" s="353" t="s">
        <v>1379</v>
      </c>
      <c r="K345" s="354">
        <f t="shared" si="52"/>
        <v>1020009</v>
      </c>
      <c r="L345" s="387">
        <v>42438</v>
      </c>
      <c r="M345" s="742">
        <v>628530.6166666667</v>
      </c>
      <c r="N345" s="352">
        <f t="shared" si="61"/>
        <v>391478.3833333333</v>
      </c>
      <c r="O345" s="357">
        <f t="shared" si="53"/>
        <v>2945</v>
      </c>
      <c r="P345" s="357">
        <v>9</v>
      </c>
      <c r="Q345" s="358">
        <f t="shared" si="51"/>
        <v>8.0684931506849313</v>
      </c>
      <c r="R345" s="359">
        <f t="shared" si="54"/>
        <v>0.93150684931506866</v>
      </c>
      <c r="S345" s="360">
        <f t="shared" si="55"/>
        <v>0.93150684931506866</v>
      </c>
      <c r="T345" s="361">
        <f t="shared" si="56"/>
        <v>0.10555555555555554</v>
      </c>
      <c r="U345" s="362">
        <f t="shared" si="62"/>
        <v>107667.61666666665</v>
      </c>
      <c r="V345" s="362">
        <f t="shared" si="59"/>
        <v>283810.76666666666</v>
      </c>
      <c r="W345" s="362">
        <f t="shared" si="57"/>
        <v>51000</v>
      </c>
      <c r="X345" s="742">
        <f t="shared" si="60"/>
        <v>232810.76666666666</v>
      </c>
    </row>
    <row r="346" spans="1:24" ht="13.9">
      <c r="A346" s="349">
        <f t="shared" si="58"/>
        <v>338</v>
      </c>
      <c r="B346" s="385" t="s">
        <v>1884</v>
      </c>
      <c r="C346" s="350"/>
      <c r="D346" s="350"/>
      <c r="E346" s="350"/>
      <c r="F346" s="349"/>
      <c r="G346" s="386">
        <v>42247</v>
      </c>
      <c r="H346" s="352">
        <v>81005</v>
      </c>
      <c r="I346" s="353" t="s">
        <v>1379</v>
      </c>
      <c r="J346" s="353" t="s">
        <v>1379</v>
      </c>
      <c r="K346" s="354">
        <f t="shared" si="52"/>
        <v>81005</v>
      </c>
      <c r="L346" s="387">
        <v>42247</v>
      </c>
      <c r="M346" s="742">
        <v>52599.527777777781</v>
      </c>
      <c r="N346" s="352">
        <f t="shared" si="61"/>
        <v>28405.472222222219</v>
      </c>
      <c r="O346" s="357">
        <f t="shared" si="53"/>
        <v>3136</v>
      </c>
      <c r="P346" s="357">
        <v>9</v>
      </c>
      <c r="Q346" s="358">
        <f t="shared" si="51"/>
        <v>8.5917808219178085</v>
      </c>
      <c r="R346" s="359">
        <f t="shared" si="54"/>
        <v>0.40821917808219155</v>
      </c>
      <c r="S346" s="360">
        <f t="shared" si="55"/>
        <v>0.40821917808219155</v>
      </c>
      <c r="T346" s="361">
        <f t="shared" si="56"/>
        <v>0.10555555555555554</v>
      </c>
      <c r="U346" s="362">
        <f t="shared" si="62"/>
        <v>8550.5277777777774</v>
      </c>
      <c r="V346" s="362">
        <f t="shared" si="59"/>
        <v>19854.944444444442</v>
      </c>
      <c r="W346" s="362">
        <f t="shared" si="57"/>
        <v>4050</v>
      </c>
      <c r="X346" s="742">
        <f t="shared" si="60"/>
        <v>15804.944444444442</v>
      </c>
    </row>
    <row r="347" spans="1:24" ht="13.9">
      <c r="A347" s="349">
        <f t="shared" si="58"/>
        <v>339</v>
      </c>
      <c r="B347" s="385" t="s">
        <v>1885</v>
      </c>
      <c r="C347" s="350"/>
      <c r="D347" s="350"/>
      <c r="E347" s="350"/>
      <c r="F347" s="349"/>
      <c r="G347" s="386">
        <v>42117</v>
      </c>
      <c r="H347" s="352">
        <v>17864</v>
      </c>
      <c r="I347" s="353" t="s">
        <v>1379</v>
      </c>
      <c r="J347" s="353" t="s">
        <v>1379</v>
      </c>
      <c r="K347" s="354">
        <f t="shared" si="52"/>
        <v>17864</v>
      </c>
      <c r="L347" s="387">
        <v>42117</v>
      </c>
      <c r="M347" s="742">
        <v>14975.644444444444</v>
      </c>
      <c r="N347" s="352">
        <f t="shared" si="61"/>
        <v>2888.3555555555558</v>
      </c>
      <c r="O347" s="357">
        <f t="shared" si="53"/>
        <v>3266</v>
      </c>
      <c r="P347" s="357">
        <v>9</v>
      </c>
      <c r="Q347" s="358">
        <f t="shared" si="51"/>
        <v>8.9479452054794528</v>
      </c>
      <c r="R347" s="359">
        <f t="shared" si="54"/>
        <v>5.2054794520547176E-2</v>
      </c>
      <c r="S347" s="360">
        <f t="shared" si="55"/>
        <v>5.2054794520547176E-2</v>
      </c>
      <c r="T347" s="361">
        <f t="shared" si="56"/>
        <v>0.10555555555555554</v>
      </c>
      <c r="U347" s="362">
        <f t="shared" si="62"/>
        <v>1885.6444444444442</v>
      </c>
      <c r="V347" s="362">
        <f t="shared" si="59"/>
        <v>1002.7111111111117</v>
      </c>
      <c r="W347" s="362">
        <f t="shared" si="57"/>
        <v>893</v>
      </c>
      <c r="X347" s="742">
        <f t="shared" si="60"/>
        <v>109.71111111111168</v>
      </c>
    </row>
    <row r="348" spans="1:24" ht="13.9">
      <c r="A348" s="349">
        <f t="shared" si="58"/>
        <v>340</v>
      </c>
      <c r="B348" s="385" t="s">
        <v>1886</v>
      </c>
      <c r="C348" s="350"/>
      <c r="D348" s="350"/>
      <c r="E348" s="350"/>
      <c r="F348" s="349"/>
      <c r="G348" s="386">
        <v>42338</v>
      </c>
      <c r="H348" s="352">
        <v>11695845</v>
      </c>
      <c r="I348" s="353" t="s">
        <v>1379</v>
      </c>
      <c r="J348" s="353" t="s">
        <v>1379</v>
      </c>
      <c r="K348" s="354">
        <f t="shared" si="52"/>
        <v>11695845</v>
      </c>
      <c r="L348" s="387">
        <v>42338</v>
      </c>
      <c r="M348" s="742">
        <v>9057569.416666666</v>
      </c>
      <c r="N348" s="352">
        <f t="shared" si="61"/>
        <v>2638275.583333334</v>
      </c>
      <c r="O348" s="357">
        <f t="shared" si="53"/>
        <v>3045</v>
      </c>
      <c r="P348" s="357">
        <v>9</v>
      </c>
      <c r="Q348" s="358">
        <f t="shared" si="51"/>
        <v>8.3424657534246567</v>
      </c>
      <c r="R348" s="359">
        <f t="shared" si="54"/>
        <v>0.65753424657534332</v>
      </c>
      <c r="S348" s="360">
        <f t="shared" si="55"/>
        <v>0.65753424657534332</v>
      </c>
      <c r="T348" s="361">
        <f t="shared" si="56"/>
        <v>0.10555555555555554</v>
      </c>
      <c r="U348" s="362">
        <f t="shared" si="62"/>
        <v>1234561.4166666665</v>
      </c>
      <c r="V348" s="362">
        <f t="shared" si="59"/>
        <v>1403714.1666666674</v>
      </c>
      <c r="W348" s="362">
        <f t="shared" si="57"/>
        <v>584792</v>
      </c>
      <c r="X348" s="742">
        <f t="shared" si="60"/>
        <v>818922.16666666744</v>
      </c>
    </row>
    <row r="349" spans="1:24" ht="13.9">
      <c r="A349" s="349">
        <f t="shared" si="58"/>
        <v>341</v>
      </c>
      <c r="B349" s="385" t="s">
        <v>60</v>
      </c>
      <c r="C349" s="350"/>
      <c r="D349" s="350"/>
      <c r="E349" s="350"/>
      <c r="F349" s="349"/>
      <c r="G349" s="386">
        <v>42114</v>
      </c>
      <c r="H349" s="352">
        <v>161913</v>
      </c>
      <c r="I349" s="353" t="s">
        <v>1379</v>
      </c>
      <c r="J349" s="353" t="s">
        <v>1379</v>
      </c>
      <c r="K349" s="354">
        <f t="shared" si="52"/>
        <v>161913</v>
      </c>
      <c r="L349" s="387">
        <v>42114</v>
      </c>
      <c r="M349" s="742">
        <v>140043.81666666665</v>
      </c>
      <c r="N349" s="352">
        <f t="shared" si="61"/>
        <v>21869.183333333349</v>
      </c>
      <c r="O349" s="357">
        <f t="shared" si="53"/>
        <v>3269</v>
      </c>
      <c r="P349" s="357">
        <v>9</v>
      </c>
      <c r="Q349" s="358">
        <f t="shared" si="51"/>
        <v>8.956164383561644</v>
      </c>
      <c r="R349" s="359">
        <f t="shared" si="54"/>
        <v>4.3835616438355984E-2</v>
      </c>
      <c r="S349" s="360">
        <f t="shared" si="55"/>
        <v>4.3835616438355984E-2</v>
      </c>
      <c r="T349" s="361">
        <f t="shared" si="56"/>
        <v>0.10555555555555554</v>
      </c>
      <c r="U349" s="362">
        <v>13773</v>
      </c>
      <c r="V349" s="362">
        <f t="shared" si="59"/>
        <v>8096.1833333333489</v>
      </c>
      <c r="W349" s="362">
        <f t="shared" si="57"/>
        <v>8096</v>
      </c>
      <c r="X349" s="742">
        <f t="shared" si="60"/>
        <v>0.18333333334885538</v>
      </c>
    </row>
    <row r="350" spans="1:24" ht="13.9">
      <c r="A350" s="349">
        <f t="shared" si="58"/>
        <v>342</v>
      </c>
      <c r="B350" s="385" t="s">
        <v>60</v>
      </c>
      <c r="C350" s="350"/>
      <c r="D350" s="350"/>
      <c r="E350" s="350"/>
      <c r="F350" s="349"/>
      <c r="G350" s="386">
        <v>42308</v>
      </c>
      <c r="H350" s="352">
        <v>21828</v>
      </c>
      <c r="I350" s="353" t="s">
        <v>1379</v>
      </c>
      <c r="J350" s="353" t="s">
        <v>1379</v>
      </c>
      <c r="K350" s="354">
        <f t="shared" si="52"/>
        <v>21828</v>
      </c>
      <c r="L350" s="387">
        <v>42308</v>
      </c>
      <c r="M350" s="742">
        <v>17502.066666666666</v>
      </c>
      <c r="N350" s="352">
        <f t="shared" si="61"/>
        <v>4325.9333333333343</v>
      </c>
      <c r="O350" s="357">
        <f t="shared" si="53"/>
        <v>3075</v>
      </c>
      <c r="P350" s="357">
        <v>9</v>
      </c>
      <c r="Q350" s="358">
        <f t="shared" si="51"/>
        <v>8.4246575342465757</v>
      </c>
      <c r="R350" s="359">
        <f t="shared" si="54"/>
        <v>0.57534246575342429</v>
      </c>
      <c r="S350" s="360">
        <f t="shared" si="55"/>
        <v>0.57534246575342429</v>
      </c>
      <c r="T350" s="361">
        <f t="shared" si="56"/>
        <v>0.10555555555555554</v>
      </c>
      <c r="U350" s="362">
        <f t="shared" si="62"/>
        <v>2304.0666666666662</v>
      </c>
      <c r="V350" s="362">
        <f t="shared" si="59"/>
        <v>2021.8666666666682</v>
      </c>
      <c r="W350" s="362">
        <f t="shared" si="57"/>
        <v>1091</v>
      </c>
      <c r="X350" s="742">
        <f t="shared" si="60"/>
        <v>930.86666666666815</v>
      </c>
    </row>
    <row r="351" spans="1:24" ht="13.9">
      <c r="A351" s="349">
        <f t="shared" si="58"/>
        <v>343</v>
      </c>
      <c r="B351" s="385" t="s">
        <v>60</v>
      </c>
      <c r="C351" s="350"/>
      <c r="D351" s="350"/>
      <c r="E351" s="350"/>
      <c r="F351" s="349"/>
      <c r="G351" s="386">
        <v>42429</v>
      </c>
      <c r="H351" s="352">
        <v>22245</v>
      </c>
      <c r="I351" s="353" t="s">
        <v>1379</v>
      </c>
      <c r="J351" s="353" t="s">
        <v>1379</v>
      </c>
      <c r="K351" s="354">
        <f t="shared" si="52"/>
        <v>22245</v>
      </c>
      <c r="L351" s="387">
        <v>42429</v>
      </c>
      <c r="M351" s="742">
        <v>16961.083333333332</v>
      </c>
      <c r="N351" s="352">
        <f t="shared" si="61"/>
        <v>5283.9166666666679</v>
      </c>
      <c r="O351" s="357">
        <f t="shared" si="53"/>
        <v>2954</v>
      </c>
      <c r="P351" s="357">
        <v>9</v>
      </c>
      <c r="Q351" s="358">
        <f t="shared" si="51"/>
        <v>8.0931506849315067</v>
      </c>
      <c r="R351" s="359">
        <f t="shared" si="54"/>
        <v>0.90684931506849331</v>
      </c>
      <c r="S351" s="360">
        <f t="shared" si="55"/>
        <v>0.90684931506849331</v>
      </c>
      <c r="T351" s="361">
        <f t="shared" si="56"/>
        <v>0.10555555555555554</v>
      </c>
      <c r="U351" s="362">
        <f t="shared" si="62"/>
        <v>2348.083333333333</v>
      </c>
      <c r="V351" s="362">
        <f t="shared" si="59"/>
        <v>2935.8333333333348</v>
      </c>
      <c r="W351" s="362">
        <f t="shared" si="57"/>
        <v>1112</v>
      </c>
      <c r="X351" s="742">
        <f t="shared" si="60"/>
        <v>1823.8333333333348</v>
      </c>
    </row>
    <row r="352" spans="1:24" ht="13.9">
      <c r="A352" s="349">
        <f t="shared" si="58"/>
        <v>344</v>
      </c>
      <c r="B352" s="385" t="s">
        <v>1887</v>
      </c>
      <c r="C352" s="350"/>
      <c r="D352" s="350"/>
      <c r="E352" s="350"/>
      <c r="F352" s="349"/>
      <c r="G352" s="386">
        <v>42135</v>
      </c>
      <c r="H352" s="352">
        <v>1257576</v>
      </c>
      <c r="I352" s="353" t="s">
        <v>1379</v>
      </c>
      <c r="J352" s="353" t="s">
        <v>1379</v>
      </c>
      <c r="K352" s="354">
        <f t="shared" si="52"/>
        <v>1257576</v>
      </c>
      <c r="L352" s="387">
        <v>42135</v>
      </c>
      <c r="M352" s="742">
        <v>1047724.1333333333</v>
      </c>
      <c r="N352" s="352">
        <f t="shared" si="61"/>
        <v>209851.8666666667</v>
      </c>
      <c r="O352" s="357">
        <f t="shared" si="53"/>
        <v>3248</v>
      </c>
      <c r="P352" s="357">
        <v>9</v>
      </c>
      <c r="Q352" s="358">
        <f t="shared" si="51"/>
        <v>8.8986301369863021</v>
      </c>
      <c r="R352" s="359">
        <f t="shared" si="54"/>
        <v>0.10136986301369788</v>
      </c>
      <c r="S352" s="360">
        <f t="shared" si="55"/>
        <v>0.10136986301369788</v>
      </c>
      <c r="T352" s="361">
        <f t="shared" si="56"/>
        <v>0.10555555555555554</v>
      </c>
      <c r="U352" s="362">
        <f t="shared" si="62"/>
        <v>132744.1333333333</v>
      </c>
      <c r="V352" s="362">
        <f t="shared" si="59"/>
        <v>77107.733333333395</v>
      </c>
      <c r="W352" s="362">
        <f t="shared" si="57"/>
        <v>62879</v>
      </c>
      <c r="X352" s="742">
        <f t="shared" si="60"/>
        <v>14228.733333333395</v>
      </c>
    </row>
    <row r="353" spans="1:24" ht="13.9">
      <c r="A353" s="349">
        <f t="shared" si="58"/>
        <v>345</v>
      </c>
      <c r="B353" s="385" t="s">
        <v>1887</v>
      </c>
      <c r="C353" s="350"/>
      <c r="D353" s="350"/>
      <c r="E353" s="350"/>
      <c r="F353" s="349"/>
      <c r="G353" s="386">
        <v>42135</v>
      </c>
      <c r="H353" s="352">
        <v>2157573</v>
      </c>
      <c r="I353" s="353" t="s">
        <v>1379</v>
      </c>
      <c r="J353" s="353" t="s">
        <v>1379</v>
      </c>
      <c r="K353" s="354">
        <f t="shared" si="52"/>
        <v>2157573</v>
      </c>
      <c r="L353" s="387">
        <v>42135</v>
      </c>
      <c r="M353" s="742">
        <v>1797539.8166666667</v>
      </c>
      <c r="N353" s="352">
        <f t="shared" si="61"/>
        <v>360033.18333333335</v>
      </c>
      <c r="O353" s="357">
        <f t="shared" si="53"/>
        <v>3248</v>
      </c>
      <c r="P353" s="357">
        <v>9</v>
      </c>
      <c r="Q353" s="358">
        <f t="shared" si="51"/>
        <v>8.8986301369863021</v>
      </c>
      <c r="R353" s="359">
        <f t="shared" si="54"/>
        <v>0.10136986301369788</v>
      </c>
      <c r="S353" s="360">
        <f t="shared" si="55"/>
        <v>0.10136986301369788</v>
      </c>
      <c r="T353" s="361">
        <f t="shared" si="56"/>
        <v>0.10555555555555554</v>
      </c>
      <c r="U353" s="362">
        <f t="shared" si="62"/>
        <v>227743.81666666662</v>
      </c>
      <c r="V353" s="362">
        <f t="shared" si="59"/>
        <v>132289.36666666673</v>
      </c>
      <c r="W353" s="362">
        <f t="shared" si="57"/>
        <v>107879</v>
      </c>
      <c r="X353" s="742">
        <f t="shared" si="60"/>
        <v>24410.366666666727</v>
      </c>
    </row>
    <row r="354" spans="1:24" ht="13.9">
      <c r="A354" s="349">
        <f t="shared" si="58"/>
        <v>346</v>
      </c>
      <c r="B354" s="385" t="s">
        <v>935</v>
      </c>
      <c r="C354" s="350"/>
      <c r="D354" s="350"/>
      <c r="E354" s="350"/>
      <c r="F354" s="349"/>
      <c r="G354" s="386">
        <v>42359</v>
      </c>
      <c r="H354" s="352">
        <v>2813327</v>
      </c>
      <c r="I354" s="353" t="s">
        <v>1379</v>
      </c>
      <c r="J354" s="353" t="s">
        <v>1379</v>
      </c>
      <c r="K354" s="354">
        <f t="shared" si="52"/>
        <v>2813327</v>
      </c>
      <c r="L354" s="387">
        <v>42359</v>
      </c>
      <c r="M354" s="742">
        <v>2465372.2944444446</v>
      </c>
      <c r="N354" s="352">
        <f t="shared" si="61"/>
        <v>347954.70555555541</v>
      </c>
      <c r="O354" s="357">
        <f t="shared" si="53"/>
        <v>3024</v>
      </c>
      <c r="P354" s="357">
        <v>9</v>
      </c>
      <c r="Q354" s="358">
        <f t="shared" si="51"/>
        <v>8.2849315068493148</v>
      </c>
      <c r="R354" s="359">
        <f t="shared" si="54"/>
        <v>0.71506849315068521</v>
      </c>
      <c r="S354" s="360">
        <f t="shared" si="55"/>
        <v>0.71506849315068521</v>
      </c>
      <c r="T354" s="361">
        <f t="shared" si="56"/>
        <v>0.10555555555555554</v>
      </c>
      <c r="U354" s="362">
        <v>207289</v>
      </c>
      <c r="V354" s="362">
        <f t="shared" si="59"/>
        <v>140665.70555555541</v>
      </c>
      <c r="W354" s="362">
        <f t="shared" si="57"/>
        <v>140666</v>
      </c>
      <c r="X354" s="742">
        <f t="shared" si="60"/>
        <v>-0.29444444458931684</v>
      </c>
    </row>
    <row r="355" spans="1:24" ht="13.9">
      <c r="A355" s="349">
        <f t="shared" si="58"/>
        <v>347</v>
      </c>
      <c r="B355" s="385" t="s">
        <v>935</v>
      </c>
      <c r="C355" s="350"/>
      <c r="D355" s="350"/>
      <c r="E355" s="350"/>
      <c r="F355" s="349"/>
      <c r="G355" s="386">
        <v>42237</v>
      </c>
      <c r="H355" s="352">
        <v>29000</v>
      </c>
      <c r="I355" s="353" t="s">
        <v>1379</v>
      </c>
      <c r="J355" s="353" t="s">
        <v>1379</v>
      </c>
      <c r="K355" s="354">
        <f t="shared" si="52"/>
        <v>29000</v>
      </c>
      <c r="L355" s="387">
        <v>42237</v>
      </c>
      <c r="M355" s="742">
        <v>27255.111111111109</v>
      </c>
      <c r="N355" s="352">
        <f t="shared" si="61"/>
        <v>1744.8888888888905</v>
      </c>
      <c r="O355" s="357">
        <f t="shared" si="53"/>
        <v>3146</v>
      </c>
      <c r="P355" s="357">
        <v>9</v>
      </c>
      <c r="Q355" s="358">
        <f t="shared" si="51"/>
        <v>8.6191780821917803</v>
      </c>
      <c r="R355" s="359">
        <f t="shared" si="54"/>
        <v>0.38082191780821972</v>
      </c>
      <c r="S355" s="360">
        <f t="shared" si="55"/>
        <v>0.38082191780821972</v>
      </c>
      <c r="T355" s="361">
        <f t="shared" si="56"/>
        <v>0.10555555555555554</v>
      </c>
      <c r="U355" s="362">
        <v>295</v>
      </c>
      <c r="V355" s="362">
        <f t="shared" si="59"/>
        <v>1449.8888888888905</v>
      </c>
      <c r="W355" s="362">
        <f t="shared" si="57"/>
        <v>1450</v>
      </c>
      <c r="X355" s="742">
        <f t="shared" si="60"/>
        <v>-0.11111111110949423</v>
      </c>
    </row>
    <row r="356" spans="1:24" ht="13.9">
      <c r="A356" s="349">
        <f t="shared" si="58"/>
        <v>348</v>
      </c>
      <c r="B356" s="385" t="s">
        <v>935</v>
      </c>
      <c r="C356" s="350"/>
      <c r="D356" s="350"/>
      <c r="E356" s="350"/>
      <c r="F356" s="349"/>
      <c r="G356" s="386">
        <v>42108</v>
      </c>
      <c r="H356" s="352">
        <v>32500</v>
      </c>
      <c r="I356" s="353" t="s">
        <v>1379</v>
      </c>
      <c r="J356" s="353" t="s">
        <v>1379</v>
      </c>
      <c r="K356" s="354">
        <f t="shared" si="52"/>
        <v>32500</v>
      </c>
      <c r="L356" s="387">
        <v>42108</v>
      </c>
      <c r="M356" s="742">
        <v>30875</v>
      </c>
      <c r="N356" s="352">
        <f t="shared" si="61"/>
        <v>1625</v>
      </c>
      <c r="O356" s="357">
        <f t="shared" si="53"/>
        <v>3275</v>
      </c>
      <c r="P356" s="357">
        <v>9</v>
      </c>
      <c r="Q356" s="358">
        <f t="shared" si="51"/>
        <v>8.9726027397260282</v>
      </c>
      <c r="R356" s="359">
        <f t="shared" si="54"/>
        <v>2.7397260273971824E-2</v>
      </c>
      <c r="S356" s="360">
        <f t="shared" si="55"/>
        <v>2.7397260273971824E-2</v>
      </c>
      <c r="T356" s="361">
        <f t="shared" si="56"/>
        <v>0.10555555555555554</v>
      </c>
      <c r="U356" s="362">
        <v>0</v>
      </c>
      <c r="V356" s="362">
        <f t="shared" si="59"/>
        <v>1625</v>
      </c>
      <c r="W356" s="362">
        <f t="shared" si="57"/>
        <v>1625</v>
      </c>
      <c r="X356" s="742">
        <f t="shared" si="60"/>
        <v>0</v>
      </c>
    </row>
    <row r="357" spans="1:24" ht="13.9">
      <c r="A357" s="349">
        <f t="shared" si="58"/>
        <v>349</v>
      </c>
      <c r="B357" s="385" t="s">
        <v>935</v>
      </c>
      <c r="C357" s="350"/>
      <c r="D357" s="350"/>
      <c r="E357" s="350"/>
      <c r="F357" s="349"/>
      <c r="G357" s="386">
        <v>42424</v>
      </c>
      <c r="H357" s="352">
        <v>29480</v>
      </c>
      <c r="I357" s="353" t="s">
        <v>1379</v>
      </c>
      <c r="J357" s="353" t="s">
        <v>1379</v>
      </c>
      <c r="K357" s="354">
        <f t="shared" si="52"/>
        <v>29480</v>
      </c>
      <c r="L357" s="387">
        <v>42424</v>
      </c>
      <c r="M357" s="742">
        <v>24836.777777777777</v>
      </c>
      <c r="N357" s="352">
        <f t="shared" si="61"/>
        <v>4643.2222222222226</v>
      </c>
      <c r="O357" s="357">
        <f t="shared" si="53"/>
        <v>2959</v>
      </c>
      <c r="P357" s="357">
        <v>9</v>
      </c>
      <c r="Q357" s="358">
        <f t="shared" si="51"/>
        <v>8.1068493150684926</v>
      </c>
      <c r="R357" s="359">
        <f t="shared" si="54"/>
        <v>0.8931506849315074</v>
      </c>
      <c r="S357" s="360">
        <f t="shared" si="55"/>
        <v>0.8931506849315074</v>
      </c>
      <c r="T357" s="361">
        <f t="shared" si="56"/>
        <v>0.10555555555555554</v>
      </c>
      <c r="U357" s="362">
        <v>3169</v>
      </c>
      <c r="V357" s="362">
        <f t="shared" si="59"/>
        <v>1474.2222222222226</v>
      </c>
      <c r="W357" s="362">
        <f t="shared" si="57"/>
        <v>1474</v>
      </c>
      <c r="X357" s="742">
        <f t="shared" si="60"/>
        <v>0.22222222222262644</v>
      </c>
    </row>
    <row r="358" spans="1:24" ht="13.9">
      <c r="A358" s="349">
        <f t="shared" si="58"/>
        <v>350</v>
      </c>
      <c r="B358" s="385" t="s">
        <v>1888</v>
      </c>
      <c r="C358" s="350"/>
      <c r="D358" s="350"/>
      <c r="E358" s="350"/>
      <c r="F358" s="349"/>
      <c r="G358" s="386">
        <v>42177</v>
      </c>
      <c r="H358" s="352">
        <v>10608</v>
      </c>
      <c r="I358" s="353" t="s">
        <v>1379</v>
      </c>
      <c r="J358" s="353" t="s">
        <v>1379</v>
      </c>
      <c r="K358" s="354">
        <f t="shared" si="52"/>
        <v>10608</v>
      </c>
      <c r="L358" s="387">
        <v>42177</v>
      </c>
      <c r="M358" s="742">
        <v>10078</v>
      </c>
      <c r="N358" s="352">
        <f t="shared" si="61"/>
        <v>530</v>
      </c>
      <c r="O358" s="357">
        <f t="shared" si="53"/>
        <v>3206</v>
      </c>
      <c r="P358" s="357">
        <v>9</v>
      </c>
      <c r="Q358" s="358">
        <f t="shared" si="51"/>
        <v>8.7835616438356166</v>
      </c>
      <c r="R358" s="359">
        <f t="shared" si="54"/>
        <v>0.21643835616438345</v>
      </c>
      <c r="S358" s="360">
        <f t="shared" si="55"/>
        <v>0.21643835616438345</v>
      </c>
      <c r="T358" s="361">
        <f t="shared" si="56"/>
        <v>0.10555555555555554</v>
      </c>
      <c r="U358" s="362">
        <v>0</v>
      </c>
      <c r="V358" s="362">
        <f t="shared" si="59"/>
        <v>530</v>
      </c>
      <c r="W358" s="362">
        <f t="shared" si="57"/>
        <v>530</v>
      </c>
      <c r="X358" s="742">
        <f t="shared" si="60"/>
        <v>0</v>
      </c>
    </row>
    <row r="359" spans="1:24" ht="13.9">
      <c r="A359" s="349">
        <f t="shared" si="58"/>
        <v>351</v>
      </c>
      <c r="B359" s="385" t="s">
        <v>1888</v>
      </c>
      <c r="C359" s="350"/>
      <c r="D359" s="350"/>
      <c r="E359" s="350"/>
      <c r="F359" s="349"/>
      <c r="G359" s="386">
        <v>42195</v>
      </c>
      <c r="H359" s="352">
        <v>12607</v>
      </c>
      <c r="I359" s="353" t="s">
        <v>1379</v>
      </c>
      <c r="J359" s="353" t="s">
        <v>1379</v>
      </c>
      <c r="K359" s="354">
        <f t="shared" si="52"/>
        <v>12607</v>
      </c>
      <c r="L359" s="387">
        <v>42195</v>
      </c>
      <c r="M359" s="742">
        <v>11977</v>
      </c>
      <c r="N359" s="352">
        <f t="shared" si="61"/>
        <v>630</v>
      </c>
      <c r="O359" s="357">
        <f t="shared" si="53"/>
        <v>3188</v>
      </c>
      <c r="P359" s="357">
        <v>9</v>
      </c>
      <c r="Q359" s="358">
        <f t="shared" si="51"/>
        <v>8.7342465753424658</v>
      </c>
      <c r="R359" s="359">
        <f t="shared" si="54"/>
        <v>0.26575342465753415</v>
      </c>
      <c r="S359" s="360">
        <f t="shared" si="55"/>
        <v>0.26575342465753415</v>
      </c>
      <c r="T359" s="361">
        <f t="shared" si="56"/>
        <v>0.10555555555555554</v>
      </c>
      <c r="U359" s="362">
        <v>0</v>
      </c>
      <c r="V359" s="362">
        <f t="shared" si="59"/>
        <v>630</v>
      </c>
      <c r="W359" s="362">
        <f t="shared" si="57"/>
        <v>630</v>
      </c>
      <c r="X359" s="742">
        <f t="shared" si="60"/>
        <v>0</v>
      </c>
    </row>
    <row r="360" spans="1:24" ht="13.9">
      <c r="A360" s="349">
        <f t="shared" si="58"/>
        <v>352</v>
      </c>
      <c r="B360" s="385" t="s">
        <v>1888</v>
      </c>
      <c r="C360" s="350"/>
      <c r="D360" s="350"/>
      <c r="E360" s="350"/>
      <c r="F360" s="349"/>
      <c r="G360" s="386">
        <v>42186</v>
      </c>
      <c r="H360" s="352">
        <v>20327</v>
      </c>
      <c r="I360" s="353" t="s">
        <v>1379</v>
      </c>
      <c r="J360" s="353" t="s">
        <v>1379</v>
      </c>
      <c r="K360" s="354">
        <f t="shared" si="52"/>
        <v>20327</v>
      </c>
      <c r="L360" s="387">
        <v>42186</v>
      </c>
      <c r="M360" s="742">
        <v>19311</v>
      </c>
      <c r="N360" s="352">
        <f t="shared" si="61"/>
        <v>1016</v>
      </c>
      <c r="O360" s="357">
        <f t="shared" si="53"/>
        <v>3197</v>
      </c>
      <c r="P360" s="357">
        <v>9</v>
      </c>
      <c r="Q360" s="358">
        <f t="shared" si="51"/>
        <v>8.7589041095890412</v>
      </c>
      <c r="R360" s="359">
        <f t="shared" si="54"/>
        <v>0.2410958904109588</v>
      </c>
      <c r="S360" s="360">
        <f t="shared" si="55"/>
        <v>0.2410958904109588</v>
      </c>
      <c r="T360" s="361">
        <f t="shared" si="56"/>
        <v>0.10555555555555554</v>
      </c>
      <c r="U360" s="362">
        <v>0</v>
      </c>
      <c r="V360" s="362">
        <f t="shared" si="59"/>
        <v>1016</v>
      </c>
      <c r="W360" s="362">
        <f t="shared" si="57"/>
        <v>1016</v>
      </c>
      <c r="X360" s="742">
        <f t="shared" si="60"/>
        <v>0</v>
      </c>
    </row>
    <row r="361" spans="1:24" ht="13.9">
      <c r="A361" s="349">
        <f t="shared" si="58"/>
        <v>353</v>
      </c>
      <c r="B361" s="385" t="s">
        <v>1888</v>
      </c>
      <c r="C361" s="350"/>
      <c r="D361" s="350"/>
      <c r="E361" s="350"/>
      <c r="F361" s="349"/>
      <c r="G361" s="386">
        <v>42198</v>
      </c>
      <c r="H361" s="352">
        <v>11526</v>
      </c>
      <c r="I361" s="353" t="s">
        <v>1379</v>
      </c>
      <c r="J361" s="353" t="s">
        <v>1379</v>
      </c>
      <c r="K361" s="354">
        <f t="shared" si="52"/>
        <v>11526</v>
      </c>
      <c r="L361" s="387">
        <v>42198</v>
      </c>
      <c r="M361" s="742">
        <v>10950</v>
      </c>
      <c r="N361" s="352">
        <f t="shared" si="61"/>
        <v>576</v>
      </c>
      <c r="O361" s="357">
        <f t="shared" si="53"/>
        <v>3185</v>
      </c>
      <c r="P361" s="357">
        <v>9</v>
      </c>
      <c r="Q361" s="358">
        <f t="shared" si="51"/>
        <v>8.7260273972602747</v>
      </c>
      <c r="R361" s="359">
        <f t="shared" si="54"/>
        <v>0.27397260273972535</v>
      </c>
      <c r="S361" s="360">
        <f t="shared" si="55"/>
        <v>0.27397260273972535</v>
      </c>
      <c r="T361" s="361">
        <f t="shared" si="56"/>
        <v>0.10555555555555554</v>
      </c>
      <c r="U361" s="362">
        <v>0</v>
      </c>
      <c r="V361" s="362">
        <f t="shared" si="59"/>
        <v>576</v>
      </c>
      <c r="W361" s="362">
        <f t="shared" si="57"/>
        <v>576</v>
      </c>
      <c r="X361" s="742">
        <f t="shared" si="60"/>
        <v>0</v>
      </c>
    </row>
    <row r="362" spans="1:24" ht="13.9">
      <c r="A362" s="349">
        <f t="shared" si="58"/>
        <v>354</v>
      </c>
      <c r="B362" s="385" t="s">
        <v>1888</v>
      </c>
      <c r="C362" s="350"/>
      <c r="D362" s="350"/>
      <c r="E362" s="350"/>
      <c r="F362" s="349"/>
      <c r="G362" s="386">
        <v>42247</v>
      </c>
      <c r="H362" s="352">
        <v>26000</v>
      </c>
      <c r="I362" s="353" t="s">
        <v>1379</v>
      </c>
      <c r="J362" s="353" t="s">
        <v>1379</v>
      </c>
      <c r="K362" s="354">
        <f t="shared" si="52"/>
        <v>26000</v>
      </c>
      <c r="L362" s="387">
        <v>42247</v>
      </c>
      <c r="M362" s="742">
        <v>24700</v>
      </c>
      <c r="N362" s="352">
        <f t="shared" si="61"/>
        <v>1300</v>
      </c>
      <c r="O362" s="357">
        <f t="shared" si="53"/>
        <v>3136</v>
      </c>
      <c r="P362" s="357">
        <v>9</v>
      </c>
      <c r="Q362" s="358">
        <f t="shared" si="51"/>
        <v>8.5917808219178085</v>
      </c>
      <c r="R362" s="359">
        <f t="shared" si="54"/>
        <v>0.40821917808219155</v>
      </c>
      <c r="S362" s="360">
        <f t="shared" si="55"/>
        <v>0.40821917808219155</v>
      </c>
      <c r="T362" s="361">
        <f t="shared" si="56"/>
        <v>0.10555555555555554</v>
      </c>
      <c r="U362" s="362">
        <v>0</v>
      </c>
      <c r="V362" s="362">
        <f t="shared" si="59"/>
        <v>1300</v>
      </c>
      <c r="W362" s="362">
        <f t="shared" si="57"/>
        <v>1300</v>
      </c>
      <c r="X362" s="742">
        <f t="shared" si="60"/>
        <v>0</v>
      </c>
    </row>
    <row r="363" spans="1:24" ht="13.9">
      <c r="A363" s="349">
        <f t="shared" si="58"/>
        <v>355</v>
      </c>
      <c r="B363" s="385" t="s">
        <v>1888</v>
      </c>
      <c r="C363" s="350"/>
      <c r="D363" s="350"/>
      <c r="E363" s="350"/>
      <c r="F363" s="349"/>
      <c r="G363" s="386">
        <v>42195</v>
      </c>
      <c r="H363" s="352">
        <v>18966</v>
      </c>
      <c r="I363" s="353" t="s">
        <v>1379</v>
      </c>
      <c r="J363" s="353" t="s">
        <v>1379</v>
      </c>
      <c r="K363" s="354">
        <f t="shared" si="52"/>
        <v>18966</v>
      </c>
      <c r="L363" s="387">
        <v>42195</v>
      </c>
      <c r="M363" s="742">
        <v>18018</v>
      </c>
      <c r="N363" s="352">
        <f t="shared" si="61"/>
        <v>948</v>
      </c>
      <c r="O363" s="357">
        <f t="shared" si="53"/>
        <v>3188</v>
      </c>
      <c r="P363" s="357">
        <v>9</v>
      </c>
      <c r="Q363" s="358">
        <f t="shared" si="51"/>
        <v>8.7342465753424658</v>
      </c>
      <c r="R363" s="359">
        <f t="shared" si="54"/>
        <v>0.26575342465753415</v>
      </c>
      <c r="S363" s="360">
        <f t="shared" si="55"/>
        <v>0.26575342465753415</v>
      </c>
      <c r="T363" s="361">
        <f t="shared" si="56"/>
        <v>0.10555555555555554</v>
      </c>
      <c r="U363" s="362">
        <v>0</v>
      </c>
      <c r="V363" s="362">
        <f t="shared" si="59"/>
        <v>948</v>
      </c>
      <c r="W363" s="362">
        <f t="shared" si="57"/>
        <v>948</v>
      </c>
      <c r="X363" s="742">
        <f t="shared" si="60"/>
        <v>0</v>
      </c>
    </row>
    <row r="364" spans="1:24" ht="13.9">
      <c r="A364" s="349">
        <f t="shared" si="58"/>
        <v>356</v>
      </c>
      <c r="B364" s="385" t="s">
        <v>1888</v>
      </c>
      <c r="C364" s="350"/>
      <c r="D364" s="350"/>
      <c r="E364" s="350"/>
      <c r="F364" s="349"/>
      <c r="G364" s="386">
        <v>42438</v>
      </c>
      <c r="H364" s="352">
        <v>16000</v>
      </c>
      <c r="I364" s="353" t="s">
        <v>1379</v>
      </c>
      <c r="J364" s="353" t="s">
        <v>1379</v>
      </c>
      <c r="K364" s="354">
        <f t="shared" si="52"/>
        <v>16000</v>
      </c>
      <c r="L364" s="387">
        <v>42438</v>
      </c>
      <c r="M364" s="742">
        <v>15200</v>
      </c>
      <c r="N364" s="352">
        <f t="shared" si="61"/>
        <v>800</v>
      </c>
      <c r="O364" s="357">
        <f t="shared" si="53"/>
        <v>2945</v>
      </c>
      <c r="P364" s="357">
        <v>9</v>
      </c>
      <c r="Q364" s="358">
        <f t="shared" si="51"/>
        <v>8.0684931506849313</v>
      </c>
      <c r="R364" s="359">
        <f t="shared" si="54"/>
        <v>0.93150684931506866</v>
      </c>
      <c r="S364" s="360">
        <f t="shared" si="55"/>
        <v>0.93150684931506866</v>
      </c>
      <c r="T364" s="361">
        <f t="shared" si="56"/>
        <v>0.10555555555555554</v>
      </c>
      <c r="U364" s="362">
        <v>0</v>
      </c>
      <c r="V364" s="362">
        <f t="shared" si="59"/>
        <v>800</v>
      </c>
      <c r="W364" s="362">
        <f t="shared" si="57"/>
        <v>800</v>
      </c>
      <c r="X364" s="742">
        <f t="shared" si="60"/>
        <v>0</v>
      </c>
    </row>
    <row r="365" spans="1:24" ht="13.9">
      <c r="A365" s="349">
        <f t="shared" si="58"/>
        <v>357</v>
      </c>
      <c r="B365" s="385" t="s">
        <v>1889</v>
      </c>
      <c r="C365" s="350"/>
      <c r="D365" s="350"/>
      <c r="E365" s="350"/>
      <c r="F365" s="349"/>
      <c r="G365" s="386">
        <v>42392</v>
      </c>
      <c r="H365" s="352">
        <v>2240216</v>
      </c>
      <c r="I365" s="353" t="s">
        <v>1379</v>
      </c>
      <c r="J365" s="353" t="s">
        <v>1379</v>
      </c>
      <c r="K365" s="354">
        <f t="shared" si="52"/>
        <v>2240216</v>
      </c>
      <c r="L365" s="387">
        <v>42392</v>
      </c>
      <c r="M365" s="742">
        <v>1699899.2444444443</v>
      </c>
      <c r="N365" s="352">
        <f t="shared" si="61"/>
        <v>540316.75555555569</v>
      </c>
      <c r="O365" s="357">
        <f t="shared" si="53"/>
        <v>2991</v>
      </c>
      <c r="P365" s="357">
        <v>9</v>
      </c>
      <c r="Q365" s="358">
        <f t="shared" si="51"/>
        <v>8.1945205479452063</v>
      </c>
      <c r="R365" s="359">
        <f t="shared" si="54"/>
        <v>0.80547945205479365</v>
      </c>
      <c r="S365" s="360">
        <f t="shared" si="55"/>
        <v>0.80547945205479365</v>
      </c>
      <c r="T365" s="361">
        <f t="shared" si="56"/>
        <v>0.10555555555555554</v>
      </c>
      <c r="U365" s="362">
        <f t="shared" ref="U365:U428" si="63">+K365*T365</f>
        <v>236467.24444444443</v>
      </c>
      <c r="V365" s="362">
        <f t="shared" si="59"/>
        <v>303849.51111111126</v>
      </c>
      <c r="W365" s="362">
        <f t="shared" si="57"/>
        <v>112011</v>
      </c>
      <c r="X365" s="742">
        <f t="shared" si="60"/>
        <v>191838.51111111126</v>
      </c>
    </row>
    <row r="366" spans="1:24" ht="13.9">
      <c r="A366" s="349">
        <f t="shared" si="58"/>
        <v>358</v>
      </c>
      <c r="B366" s="385" t="s">
        <v>1890</v>
      </c>
      <c r="C366" s="350"/>
      <c r="D366" s="350"/>
      <c r="E366" s="350"/>
      <c r="F366" s="349"/>
      <c r="G366" s="386">
        <v>42415</v>
      </c>
      <c r="H366" s="352">
        <v>649500</v>
      </c>
      <c r="I366" s="353" t="s">
        <v>1379</v>
      </c>
      <c r="J366" s="353" t="s">
        <v>1379</v>
      </c>
      <c r="K366" s="354">
        <f t="shared" si="52"/>
        <v>649500</v>
      </c>
      <c r="L366" s="387">
        <v>42415</v>
      </c>
      <c r="M366" s="742">
        <v>488527.33333333331</v>
      </c>
      <c r="N366" s="352">
        <f t="shared" si="61"/>
        <v>160972.66666666669</v>
      </c>
      <c r="O366" s="357">
        <f t="shared" si="53"/>
        <v>2968</v>
      </c>
      <c r="P366" s="357">
        <v>9</v>
      </c>
      <c r="Q366" s="358">
        <f t="shared" si="51"/>
        <v>8.131506849315068</v>
      </c>
      <c r="R366" s="359">
        <f t="shared" si="54"/>
        <v>0.86849315068493205</v>
      </c>
      <c r="S366" s="360">
        <f t="shared" si="55"/>
        <v>0.86849315068493205</v>
      </c>
      <c r="T366" s="361">
        <f t="shared" si="56"/>
        <v>0.10555555555555554</v>
      </c>
      <c r="U366" s="362">
        <f t="shared" si="63"/>
        <v>68558.333333333328</v>
      </c>
      <c r="V366" s="362">
        <f t="shared" si="59"/>
        <v>92414.333333333358</v>
      </c>
      <c r="W366" s="362">
        <f t="shared" si="57"/>
        <v>32475</v>
      </c>
      <c r="X366" s="742">
        <f t="shared" si="60"/>
        <v>59939.333333333358</v>
      </c>
    </row>
    <row r="367" spans="1:24" ht="13.9">
      <c r="A367" s="349">
        <f t="shared" si="58"/>
        <v>359</v>
      </c>
      <c r="B367" s="385" t="s">
        <v>1890</v>
      </c>
      <c r="C367" s="350"/>
      <c r="D367" s="350"/>
      <c r="E367" s="350"/>
      <c r="F367" s="349"/>
      <c r="G367" s="386">
        <v>42415</v>
      </c>
      <c r="H367" s="352">
        <v>649500</v>
      </c>
      <c r="I367" s="353" t="s">
        <v>1379</v>
      </c>
      <c r="J367" s="353" t="s">
        <v>1379</v>
      </c>
      <c r="K367" s="354">
        <f t="shared" si="52"/>
        <v>649500</v>
      </c>
      <c r="L367" s="387">
        <v>42415</v>
      </c>
      <c r="M367" s="742">
        <v>488527.33333333331</v>
      </c>
      <c r="N367" s="352">
        <f t="shared" si="61"/>
        <v>160972.66666666669</v>
      </c>
      <c r="O367" s="357">
        <f t="shared" si="53"/>
        <v>2968</v>
      </c>
      <c r="P367" s="357">
        <v>9</v>
      </c>
      <c r="Q367" s="358">
        <f t="shared" si="51"/>
        <v>8.131506849315068</v>
      </c>
      <c r="R367" s="359">
        <f t="shared" si="54"/>
        <v>0.86849315068493205</v>
      </c>
      <c r="S367" s="360">
        <f t="shared" si="55"/>
        <v>0.86849315068493205</v>
      </c>
      <c r="T367" s="361">
        <f t="shared" si="56"/>
        <v>0.10555555555555554</v>
      </c>
      <c r="U367" s="362">
        <f t="shared" si="63"/>
        <v>68558.333333333328</v>
      </c>
      <c r="V367" s="362">
        <f t="shared" si="59"/>
        <v>92414.333333333358</v>
      </c>
      <c r="W367" s="362">
        <f t="shared" si="57"/>
        <v>32475</v>
      </c>
      <c r="X367" s="742">
        <f t="shared" si="60"/>
        <v>59939.333333333358</v>
      </c>
    </row>
    <row r="368" spans="1:24" ht="13.9">
      <c r="A368" s="349">
        <f t="shared" si="58"/>
        <v>360</v>
      </c>
      <c r="B368" s="385" t="s">
        <v>1891</v>
      </c>
      <c r="C368" s="350"/>
      <c r="D368" s="350"/>
      <c r="E368" s="350"/>
      <c r="F368" s="349"/>
      <c r="G368" s="386">
        <v>42257</v>
      </c>
      <c r="H368" s="352">
        <v>21250</v>
      </c>
      <c r="I368" s="353" t="s">
        <v>1379</v>
      </c>
      <c r="J368" s="353" t="s">
        <v>1379</v>
      </c>
      <c r="K368" s="354">
        <f t="shared" si="52"/>
        <v>21250</v>
      </c>
      <c r="L368" s="387">
        <v>42257</v>
      </c>
      <c r="M368" s="742">
        <v>16954.055555555555</v>
      </c>
      <c r="N368" s="352">
        <f t="shared" si="61"/>
        <v>4295.9444444444453</v>
      </c>
      <c r="O368" s="357">
        <f t="shared" si="53"/>
        <v>3126</v>
      </c>
      <c r="P368" s="357">
        <v>9</v>
      </c>
      <c r="Q368" s="358">
        <f t="shared" si="51"/>
        <v>8.5643835616438349</v>
      </c>
      <c r="R368" s="359">
        <f t="shared" si="54"/>
        <v>0.43561643835616515</v>
      </c>
      <c r="S368" s="360">
        <f t="shared" si="55"/>
        <v>0.43561643835616515</v>
      </c>
      <c r="T368" s="361">
        <f t="shared" si="56"/>
        <v>0.10555555555555554</v>
      </c>
      <c r="U368" s="362">
        <f t="shared" si="63"/>
        <v>2243.0555555555552</v>
      </c>
      <c r="V368" s="362">
        <f t="shared" si="59"/>
        <v>2052.8888888888901</v>
      </c>
      <c r="W368" s="362">
        <f t="shared" si="57"/>
        <v>1063</v>
      </c>
      <c r="X368" s="742">
        <f t="shared" si="60"/>
        <v>989.88888888889005</v>
      </c>
    </row>
    <row r="369" spans="1:24" ht="13.9">
      <c r="A369" s="349">
        <f t="shared" si="58"/>
        <v>361</v>
      </c>
      <c r="B369" s="385" t="s">
        <v>1891</v>
      </c>
      <c r="C369" s="350"/>
      <c r="D369" s="350"/>
      <c r="E369" s="350"/>
      <c r="F369" s="349"/>
      <c r="G369" s="386">
        <v>42100</v>
      </c>
      <c r="H369" s="352">
        <v>208301</v>
      </c>
      <c r="I369" s="353" t="s">
        <v>1379</v>
      </c>
      <c r="J369" s="353" t="s">
        <v>1379</v>
      </c>
      <c r="K369" s="354">
        <f t="shared" si="52"/>
        <v>208301</v>
      </c>
      <c r="L369" s="387">
        <v>42100</v>
      </c>
      <c r="M369" s="742">
        <v>175650.32777777777</v>
      </c>
      <c r="N369" s="352">
        <f t="shared" si="61"/>
        <v>32650.672222222231</v>
      </c>
      <c r="O369" s="357">
        <f t="shared" si="53"/>
        <v>3283</v>
      </c>
      <c r="P369" s="357">
        <v>9</v>
      </c>
      <c r="Q369" s="358">
        <f t="shared" si="51"/>
        <v>8.9945205479452053</v>
      </c>
      <c r="R369" s="359">
        <f t="shared" si="54"/>
        <v>5.4794520547947201E-3</v>
      </c>
      <c r="S369" s="360">
        <f t="shared" si="55"/>
        <v>5.4794520547947201E-3</v>
      </c>
      <c r="T369" s="361">
        <f t="shared" si="56"/>
        <v>0.10555555555555554</v>
      </c>
      <c r="U369" s="362">
        <f t="shared" si="63"/>
        <v>21987.327777777773</v>
      </c>
      <c r="V369" s="362">
        <f t="shared" si="59"/>
        <v>10663.344444444458</v>
      </c>
      <c r="W369" s="362">
        <f t="shared" si="57"/>
        <v>10415</v>
      </c>
      <c r="X369" s="742">
        <f t="shared" si="60"/>
        <v>248.34444444445762</v>
      </c>
    </row>
    <row r="370" spans="1:24" ht="13.9">
      <c r="A370" s="349">
        <f t="shared" si="58"/>
        <v>362</v>
      </c>
      <c r="B370" s="385" t="s">
        <v>1891</v>
      </c>
      <c r="C370" s="350"/>
      <c r="D370" s="350"/>
      <c r="E370" s="350"/>
      <c r="F370" s="349"/>
      <c r="G370" s="386">
        <v>42140</v>
      </c>
      <c r="H370" s="352">
        <v>208301</v>
      </c>
      <c r="I370" s="353" t="s">
        <v>1379</v>
      </c>
      <c r="J370" s="353" t="s">
        <v>1379</v>
      </c>
      <c r="K370" s="354">
        <f t="shared" si="52"/>
        <v>208301</v>
      </c>
      <c r="L370" s="387">
        <v>42140</v>
      </c>
      <c r="M370" s="742">
        <v>173240.32777777777</v>
      </c>
      <c r="N370" s="352">
        <f t="shared" si="61"/>
        <v>35060.672222222231</v>
      </c>
      <c r="O370" s="357">
        <f t="shared" si="53"/>
        <v>3243</v>
      </c>
      <c r="P370" s="357">
        <v>9</v>
      </c>
      <c r="Q370" s="358">
        <f t="shared" si="51"/>
        <v>8.8849315068493144</v>
      </c>
      <c r="R370" s="359">
        <f t="shared" si="54"/>
        <v>0.11506849315068557</v>
      </c>
      <c r="S370" s="360">
        <f t="shared" si="55"/>
        <v>0.11506849315068557</v>
      </c>
      <c r="T370" s="361">
        <f t="shared" si="56"/>
        <v>0.10555555555555554</v>
      </c>
      <c r="U370" s="362">
        <f t="shared" si="63"/>
        <v>21987.327777777773</v>
      </c>
      <c r="V370" s="362">
        <f t="shared" si="59"/>
        <v>13073.344444444458</v>
      </c>
      <c r="W370" s="362">
        <f t="shared" si="57"/>
        <v>10415</v>
      </c>
      <c r="X370" s="742">
        <f t="shared" si="60"/>
        <v>2658.3444444444576</v>
      </c>
    </row>
    <row r="371" spans="1:24" ht="13.9">
      <c r="A371" s="349">
        <f t="shared" si="58"/>
        <v>363</v>
      </c>
      <c r="B371" s="385" t="s">
        <v>309</v>
      </c>
      <c r="C371" s="350"/>
      <c r="D371" s="350"/>
      <c r="E371" s="350"/>
      <c r="F371" s="349"/>
      <c r="G371" s="386">
        <v>42206</v>
      </c>
      <c r="H371" s="352">
        <v>40262</v>
      </c>
      <c r="I371" s="353" t="s">
        <v>1379</v>
      </c>
      <c r="J371" s="353" t="s">
        <v>1379</v>
      </c>
      <c r="K371" s="354">
        <f t="shared" si="52"/>
        <v>40262</v>
      </c>
      <c r="L371" s="387">
        <v>42206</v>
      </c>
      <c r="M371" s="742">
        <v>39709</v>
      </c>
      <c r="N371" s="352">
        <f t="shared" si="61"/>
        <v>553</v>
      </c>
      <c r="O371" s="357">
        <f t="shared" si="53"/>
        <v>3177</v>
      </c>
      <c r="P371" s="357">
        <v>9</v>
      </c>
      <c r="Q371" s="358">
        <f t="shared" si="51"/>
        <v>8.7041095890410958</v>
      </c>
      <c r="R371" s="359">
        <f t="shared" si="54"/>
        <v>0.29589041095890423</v>
      </c>
      <c r="S371" s="360">
        <f t="shared" si="55"/>
        <v>0.29589041095890423</v>
      </c>
      <c r="T371" s="361">
        <f t="shared" si="56"/>
        <v>0.10555555555555554</v>
      </c>
      <c r="U371" s="362">
        <v>0</v>
      </c>
      <c r="V371" s="362">
        <f t="shared" si="59"/>
        <v>553</v>
      </c>
      <c r="W371" s="362">
        <f t="shared" si="57"/>
        <v>2013</v>
      </c>
      <c r="X371" s="742">
        <f t="shared" si="60"/>
        <v>-1460</v>
      </c>
    </row>
    <row r="372" spans="1:24" ht="13.9">
      <c r="A372" s="349">
        <f t="shared" si="58"/>
        <v>364</v>
      </c>
      <c r="B372" s="385" t="s">
        <v>309</v>
      </c>
      <c r="C372" s="350"/>
      <c r="D372" s="350"/>
      <c r="E372" s="350"/>
      <c r="F372" s="349"/>
      <c r="G372" s="386">
        <v>42206</v>
      </c>
      <c r="H372" s="352">
        <v>158245</v>
      </c>
      <c r="I372" s="353" t="s">
        <v>1379</v>
      </c>
      <c r="J372" s="353" t="s">
        <v>1379</v>
      </c>
      <c r="K372" s="354">
        <f t="shared" si="52"/>
        <v>158245</v>
      </c>
      <c r="L372" s="387">
        <v>42206</v>
      </c>
      <c r="M372" s="742">
        <v>145741</v>
      </c>
      <c r="N372" s="352">
        <f t="shared" si="61"/>
        <v>12504</v>
      </c>
      <c r="O372" s="357">
        <f t="shared" si="53"/>
        <v>3177</v>
      </c>
      <c r="P372" s="357">
        <v>9</v>
      </c>
      <c r="Q372" s="358">
        <f t="shared" si="51"/>
        <v>8.7041095890410958</v>
      </c>
      <c r="R372" s="359">
        <f t="shared" si="54"/>
        <v>0.29589041095890423</v>
      </c>
      <c r="S372" s="360">
        <f t="shared" si="55"/>
        <v>0.29589041095890423</v>
      </c>
      <c r="T372" s="361">
        <f t="shared" si="56"/>
        <v>0.10555555555555554</v>
      </c>
      <c r="U372" s="362">
        <v>574</v>
      </c>
      <c r="V372" s="362">
        <f t="shared" si="59"/>
        <v>11930</v>
      </c>
      <c r="W372" s="362">
        <f t="shared" si="57"/>
        <v>7912</v>
      </c>
      <c r="X372" s="742">
        <f t="shared" si="60"/>
        <v>4018</v>
      </c>
    </row>
    <row r="373" spans="1:24" ht="13.9">
      <c r="A373" s="349">
        <f t="shared" si="58"/>
        <v>365</v>
      </c>
      <c r="B373" s="385" t="s">
        <v>309</v>
      </c>
      <c r="C373" s="350"/>
      <c r="D373" s="350"/>
      <c r="E373" s="350"/>
      <c r="F373" s="349"/>
      <c r="G373" s="386">
        <v>42249</v>
      </c>
      <c r="H373" s="352">
        <v>83999</v>
      </c>
      <c r="I373" s="353" t="s">
        <v>1379</v>
      </c>
      <c r="J373" s="353" t="s">
        <v>1379</v>
      </c>
      <c r="K373" s="354">
        <f t="shared" si="52"/>
        <v>83999</v>
      </c>
      <c r="L373" s="387">
        <v>42249</v>
      </c>
      <c r="M373" s="742">
        <v>79799</v>
      </c>
      <c r="N373" s="352">
        <f t="shared" si="61"/>
        <v>4200</v>
      </c>
      <c r="O373" s="357">
        <f t="shared" si="53"/>
        <v>3134</v>
      </c>
      <c r="P373" s="357">
        <v>9</v>
      </c>
      <c r="Q373" s="358">
        <f t="shared" si="51"/>
        <v>8.5863013698630137</v>
      </c>
      <c r="R373" s="359">
        <f t="shared" si="54"/>
        <v>0.41369863013698627</v>
      </c>
      <c r="S373" s="360">
        <f t="shared" si="55"/>
        <v>0.41369863013698627</v>
      </c>
      <c r="T373" s="361">
        <f t="shared" si="56"/>
        <v>0.10555555555555554</v>
      </c>
      <c r="U373" s="362">
        <v>0</v>
      </c>
      <c r="V373" s="362">
        <f t="shared" si="59"/>
        <v>4200</v>
      </c>
      <c r="W373" s="362">
        <f t="shared" si="57"/>
        <v>4200</v>
      </c>
      <c r="X373" s="742">
        <f t="shared" si="60"/>
        <v>0</v>
      </c>
    </row>
    <row r="374" spans="1:24" ht="13.9">
      <c r="A374" s="349">
        <f t="shared" si="58"/>
        <v>366</v>
      </c>
      <c r="B374" s="385" t="s">
        <v>327</v>
      </c>
      <c r="C374" s="350"/>
      <c r="D374" s="350"/>
      <c r="E374" s="350"/>
      <c r="F374" s="349"/>
      <c r="G374" s="386">
        <v>42286</v>
      </c>
      <c r="H374" s="352">
        <v>2145746</v>
      </c>
      <c r="I374" s="353" t="s">
        <v>1379</v>
      </c>
      <c r="J374" s="353" t="s">
        <v>1379</v>
      </c>
      <c r="K374" s="354">
        <f t="shared" si="52"/>
        <v>2145746</v>
      </c>
      <c r="L374" s="387">
        <v>42286</v>
      </c>
      <c r="M374" s="742">
        <v>1693988.4111111111</v>
      </c>
      <c r="N374" s="352">
        <f t="shared" si="61"/>
        <v>451757.58888888895</v>
      </c>
      <c r="O374" s="357">
        <f t="shared" si="53"/>
        <v>3097</v>
      </c>
      <c r="P374" s="357">
        <v>9</v>
      </c>
      <c r="Q374" s="358">
        <f t="shared" si="51"/>
        <v>8.4849315068493159</v>
      </c>
      <c r="R374" s="359">
        <f t="shared" si="54"/>
        <v>0.51506849315068415</v>
      </c>
      <c r="S374" s="360">
        <f t="shared" si="55"/>
        <v>0.51506849315068415</v>
      </c>
      <c r="T374" s="361">
        <f t="shared" si="56"/>
        <v>0.10555555555555554</v>
      </c>
      <c r="U374" s="362">
        <f t="shared" si="63"/>
        <v>226495.41111111108</v>
      </c>
      <c r="V374" s="362">
        <f t="shared" si="59"/>
        <v>225262.17777777786</v>
      </c>
      <c r="W374" s="362">
        <f t="shared" si="57"/>
        <v>107287</v>
      </c>
      <c r="X374" s="742">
        <f t="shared" si="60"/>
        <v>117975.17777777786</v>
      </c>
    </row>
    <row r="375" spans="1:24" ht="13.9">
      <c r="A375" s="349">
        <f t="shared" si="58"/>
        <v>367</v>
      </c>
      <c r="B375" s="385" t="s">
        <v>327</v>
      </c>
      <c r="C375" s="350"/>
      <c r="D375" s="350"/>
      <c r="E375" s="350"/>
      <c r="F375" s="349"/>
      <c r="G375" s="386">
        <v>42359</v>
      </c>
      <c r="H375" s="352">
        <v>2154353</v>
      </c>
      <c r="I375" s="353" t="s">
        <v>1379</v>
      </c>
      <c r="J375" s="353" t="s">
        <v>1379</v>
      </c>
      <c r="K375" s="354">
        <f t="shared" si="52"/>
        <v>2154353</v>
      </c>
      <c r="L375" s="387">
        <v>42359</v>
      </c>
      <c r="M375" s="742">
        <v>1655304.9277777777</v>
      </c>
      <c r="N375" s="352">
        <f t="shared" si="61"/>
        <v>499048.07222222234</v>
      </c>
      <c r="O375" s="357">
        <f t="shared" si="53"/>
        <v>3024</v>
      </c>
      <c r="P375" s="357">
        <v>9</v>
      </c>
      <c r="Q375" s="358">
        <f t="shared" si="51"/>
        <v>8.2849315068493148</v>
      </c>
      <c r="R375" s="359">
        <f t="shared" si="54"/>
        <v>0.71506849315068521</v>
      </c>
      <c r="S375" s="360">
        <f t="shared" si="55"/>
        <v>0.71506849315068521</v>
      </c>
      <c r="T375" s="361">
        <f t="shared" si="56"/>
        <v>0.10555555555555554</v>
      </c>
      <c r="U375" s="362">
        <f t="shared" si="63"/>
        <v>227403.92777777775</v>
      </c>
      <c r="V375" s="362">
        <f t="shared" si="59"/>
        <v>271644.14444444457</v>
      </c>
      <c r="W375" s="362">
        <f t="shared" si="57"/>
        <v>107718</v>
      </c>
      <c r="X375" s="742">
        <f t="shared" si="60"/>
        <v>163926.14444444457</v>
      </c>
    </row>
    <row r="376" spans="1:24" ht="13.9">
      <c r="A376" s="349">
        <f t="shared" si="58"/>
        <v>368</v>
      </c>
      <c r="B376" s="385" t="s">
        <v>327</v>
      </c>
      <c r="C376" s="350"/>
      <c r="D376" s="350"/>
      <c r="E376" s="350"/>
      <c r="F376" s="349"/>
      <c r="G376" s="386">
        <v>42359</v>
      </c>
      <c r="H376" s="352">
        <v>2154353</v>
      </c>
      <c r="I376" s="353" t="s">
        <v>1379</v>
      </c>
      <c r="J376" s="353" t="s">
        <v>1379</v>
      </c>
      <c r="K376" s="354">
        <f t="shared" si="52"/>
        <v>2154353</v>
      </c>
      <c r="L376" s="387">
        <v>42359</v>
      </c>
      <c r="M376" s="742">
        <v>1655304.9277777777</v>
      </c>
      <c r="N376" s="352">
        <f t="shared" si="61"/>
        <v>499048.07222222234</v>
      </c>
      <c r="O376" s="357">
        <f t="shared" si="53"/>
        <v>3024</v>
      </c>
      <c r="P376" s="357">
        <v>9</v>
      </c>
      <c r="Q376" s="358">
        <f t="shared" si="51"/>
        <v>8.2849315068493148</v>
      </c>
      <c r="R376" s="359">
        <f t="shared" si="54"/>
        <v>0.71506849315068521</v>
      </c>
      <c r="S376" s="360">
        <f t="shared" si="55"/>
        <v>0.71506849315068521</v>
      </c>
      <c r="T376" s="361">
        <f t="shared" si="56"/>
        <v>0.10555555555555554</v>
      </c>
      <c r="U376" s="362">
        <f t="shared" si="63"/>
        <v>227403.92777777775</v>
      </c>
      <c r="V376" s="362">
        <f t="shared" si="59"/>
        <v>271644.14444444457</v>
      </c>
      <c r="W376" s="362">
        <f t="shared" si="57"/>
        <v>107718</v>
      </c>
      <c r="X376" s="742">
        <f t="shared" si="60"/>
        <v>163926.14444444457</v>
      </c>
    </row>
    <row r="377" spans="1:24" ht="13.9">
      <c r="A377" s="349">
        <f t="shared" si="58"/>
        <v>369</v>
      </c>
      <c r="B377" s="385" t="s">
        <v>327</v>
      </c>
      <c r="C377" s="350"/>
      <c r="D377" s="350"/>
      <c r="E377" s="350"/>
      <c r="F377" s="349"/>
      <c r="G377" s="386">
        <v>42364</v>
      </c>
      <c r="H377" s="388">
        <v>2154354</v>
      </c>
      <c r="I377" s="353" t="s">
        <v>1379</v>
      </c>
      <c r="J377" s="353" t="s">
        <v>1379</v>
      </c>
      <c r="K377" s="354">
        <f t="shared" si="52"/>
        <v>2154354</v>
      </c>
      <c r="L377" s="387">
        <v>42364</v>
      </c>
      <c r="M377" s="742">
        <v>1652190.0333333332</v>
      </c>
      <c r="N377" s="352">
        <f t="shared" si="61"/>
        <v>502163.96666666679</v>
      </c>
      <c r="O377" s="357">
        <f t="shared" si="53"/>
        <v>3019</v>
      </c>
      <c r="P377" s="357">
        <v>9</v>
      </c>
      <c r="Q377" s="358">
        <f t="shared" si="51"/>
        <v>8.2712328767123289</v>
      </c>
      <c r="R377" s="359">
        <f t="shared" si="54"/>
        <v>0.72876712328767113</v>
      </c>
      <c r="S377" s="360">
        <f t="shared" si="55"/>
        <v>0.72876712328767113</v>
      </c>
      <c r="T377" s="361">
        <f t="shared" si="56"/>
        <v>0.10555555555555554</v>
      </c>
      <c r="U377" s="362">
        <f>+K377*T377</f>
        <v>227404.0333333333</v>
      </c>
      <c r="V377" s="362">
        <f t="shared" si="59"/>
        <v>274759.93333333347</v>
      </c>
      <c r="W377" s="362">
        <f t="shared" si="57"/>
        <v>107718</v>
      </c>
      <c r="X377" s="742">
        <f t="shared" si="60"/>
        <v>167041.93333333347</v>
      </c>
    </row>
    <row r="378" spans="1:24" ht="13.9">
      <c r="A378" s="349">
        <f t="shared" si="58"/>
        <v>370</v>
      </c>
      <c r="B378" s="385" t="s">
        <v>327</v>
      </c>
      <c r="C378" s="350"/>
      <c r="D378" s="350"/>
      <c r="E378" s="350"/>
      <c r="F378" s="349"/>
      <c r="G378" s="386">
        <v>42364</v>
      </c>
      <c r="H378" s="352">
        <v>2222117</v>
      </c>
      <c r="I378" s="353" t="s">
        <v>1379</v>
      </c>
      <c r="J378" s="353" t="s">
        <v>1379</v>
      </c>
      <c r="K378" s="354">
        <f t="shared" si="52"/>
        <v>2222117</v>
      </c>
      <c r="L378" s="387">
        <v>42364</v>
      </c>
      <c r="M378" s="742">
        <v>1704157.7944444444</v>
      </c>
      <c r="N378" s="352">
        <f t="shared" si="61"/>
        <v>517959.20555555564</v>
      </c>
      <c r="O378" s="357">
        <f t="shared" si="53"/>
        <v>3019</v>
      </c>
      <c r="P378" s="357">
        <v>9</v>
      </c>
      <c r="Q378" s="358">
        <f t="shared" si="51"/>
        <v>8.2712328767123289</v>
      </c>
      <c r="R378" s="359">
        <f t="shared" si="54"/>
        <v>0.72876712328767113</v>
      </c>
      <c r="S378" s="360">
        <f t="shared" si="55"/>
        <v>0.72876712328767113</v>
      </c>
      <c r="T378" s="361">
        <f t="shared" si="56"/>
        <v>0.10555555555555554</v>
      </c>
      <c r="U378" s="362">
        <f t="shared" si="63"/>
        <v>234556.79444444441</v>
      </c>
      <c r="V378" s="362">
        <f t="shared" si="59"/>
        <v>283402.41111111123</v>
      </c>
      <c r="W378" s="362">
        <f t="shared" si="57"/>
        <v>111106</v>
      </c>
      <c r="X378" s="742">
        <f t="shared" si="60"/>
        <v>172296.41111111123</v>
      </c>
    </row>
    <row r="379" spans="1:24" ht="13.9">
      <c r="A379" s="349">
        <f t="shared" si="58"/>
        <v>371</v>
      </c>
      <c r="B379" s="385" t="s">
        <v>327</v>
      </c>
      <c r="C379" s="350"/>
      <c r="D379" s="350"/>
      <c r="E379" s="350"/>
      <c r="F379" s="349"/>
      <c r="G379" s="386">
        <v>42364</v>
      </c>
      <c r="H379" s="352">
        <v>2222118</v>
      </c>
      <c r="I379" s="353" t="s">
        <v>1379</v>
      </c>
      <c r="J379" s="353" t="s">
        <v>1379</v>
      </c>
      <c r="K379" s="354">
        <f t="shared" si="52"/>
        <v>2222118</v>
      </c>
      <c r="L379" s="387">
        <v>42364</v>
      </c>
      <c r="M379" s="742">
        <v>1704158.9</v>
      </c>
      <c r="N379" s="352">
        <f t="shared" si="61"/>
        <v>517959.10000000009</v>
      </c>
      <c r="O379" s="357">
        <f t="shared" si="53"/>
        <v>3019</v>
      </c>
      <c r="P379" s="357">
        <v>9</v>
      </c>
      <c r="Q379" s="358">
        <f t="shared" si="51"/>
        <v>8.2712328767123289</v>
      </c>
      <c r="R379" s="359">
        <f t="shared" si="54"/>
        <v>0.72876712328767113</v>
      </c>
      <c r="S379" s="360">
        <f t="shared" si="55"/>
        <v>0.72876712328767113</v>
      </c>
      <c r="T379" s="361">
        <f t="shared" si="56"/>
        <v>0.10555555555555554</v>
      </c>
      <c r="U379" s="362">
        <f t="shared" si="63"/>
        <v>234556.89999999997</v>
      </c>
      <c r="V379" s="362">
        <f t="shared" si="59"/>
        <v>283402.20000000013</v>
      </c>
      <c r="W379" s="362">
        <f t="shared" si="57"/>
        <v>111106</v>
      </c>
      <c r="X379" s="742">
        <f t="shared" si="60"/>
        <v>172296.20000000013</v>
      </c>
    </row>
    <row r="380" spans="1:24" ht="13.9">
      <c r="A380" s="349">
        <f t="shared" si="58"/>
        <v>372</v>
      </c>
      <c r="B380" s="385" t="s">
        <v>1892</v>
      </c>
      <c r="C380" s="350"/>
      <c r="D380" s="350"/>
      <c r="E380" s="350"/>
      <c r="F380" s="349"/>
      <c r="G380" s="386">
        <v>42410</v>
      </c>
      <c r="H380" s="352">
        <v>600000</v>
      </c>
      <c r="I380" s="353" t="s">
        <v>1379</v>
      </c>
      <c r="J380" s="353" t="s">
        <v>1379</v>
      </c>
      <c r="K380" s="354">
        <f t="shared" si="52"/>
        <v>600000</v>
      </c>
      <c r="L380" s="387">
        <v>42410</v>
      </c>
      <c r="M380" s="742">
        <v>452163.33333333331</v>
      </c>
      <c r="N380" s="352">
        <f t="shared" si="61"/>
        <v>147836.66666666669</v>
      </c>
      <c r="O380" s="357">
        <f t="shared" si="53"/>
        <v>2973</v>
      </c>
      <c r="P380" s="357">
        <v>9</v>
      </c>
      <c r="Q380" s="358">
        <f t="shared" si="51"/>
        <v>8.1452054794520556</v>
      </c>
      <c r="R380" s="359">
        <f t="shared" si="54"/>
        <v>0.85479452054794436</v>
      </c>
      <c r="S380" s="360">
        <f t="shared" si="55"/>
        <v>0.85479452054794436</v>
      </c>
      <c r="T380" s="361">
        <f t="shared" si="56"/>
        <v>0.10555555555555554</v>
      </c>
      <c r="U380" s="362">
        <f t="shared" si="63"/>
        <v>63333.333333333321</v>
      </c>
      <c r="V380" s="362">
        <f t="shared" si="59"/>
        <v>84503.333333333372</v>
      </c>
      <c r="W380" s="362">
        <f t="shared" si="57"/>
        <v>30000</v>
      </c>
      <c r="X380" s="742">
        <f t="shared" si="60"/>
        <v>54503.333333333372</v>
      </c>
    </row>
    <row r="381" spans="1:24" ht="13.9">
      <c r="A381" s="349">
        <f t="shared" si="58"/>
        <v>373</v>
      </c>
      <c r="B381" s="385" t="s">
        <v>1893</v>
      </c>
      <c r="C381" s="350"/>
      <c r="D381" s="350"/>
      <c r="E381" s="350"/>
      <c r="F381" s="349"/>
      <c r="G381" s="386">
        <v>42410</v>
      </c>
      <c r="H381" s="352">
        <v>932263</v>
      </c>
      <c r="I381" s="353" t="s">
        <v>1379</v>
      </c>
      <c r="J381" s="353" t="s">
        <v>1379</v>
      </c>
      <c r="K381" s="354">
        <f t="shared" si="52"/>
        <v>932263</v>
      </c>
      <c r="L381" s="387">
        <v>42410</v>
      </c>
      <c r="M381" s="742">
        <v>702558.5388888889</v>
      </c>
      <c r="N381" s="352">
        <f t="shared" si="61"/>
        <v>229704.4611111111</v>
      </c>
      <c r="O381" s="357">
        <f t="shared" si="53"/>
        <v>2973</v>
      </c>
      <c r="P381" s="357">
        <v>9</v>
      </c>
      <c r="Q381" s="358">
        <f t="shared" si="51"/>
        <v>8.1452054794520556</v>
      </c>
      <c r="R381" s="359">
        <f t="shared" si="54"/>
        <v>0.85479452054794436</v>
      </c>
      <c r="S381" s="360">
        <f t="shared" si="55"/>
        <v>0.85479452054794436</v>
      </c>
      <c r="T381" s="361">
        <f t="shared" si="56"/>
        <v>0.10555555555555554</v>
      </c>
      <c r="U381" s="362">
        <f t="shared" si="63"/>
        <v>98405.53888888887</v>
      </c>
      <c r="V381" s="362">
        <f t="shared" si="59"/>
        <v>131298.92222222223</v>
      </c>
      <c r="W381" s="362">
        <f t="shared" si="57"/>
        <v>46613</v>
      </c>
      <c r="X381" s="742">
        <f t="shared" si="60"/>
        <v>84685.922222222231</v>
      </c>
    </row>
    <row r="382" spans="1:24" ht="13.9">
      <c r="A382" s="349">
        <f t="shared" si="58"/>
        <v>374</v>
      </c>
      <c r="B382" s="385" t="s">
        <v>1893</v>
      </c>
      <c r="C382" s="350"/>
      <c r="D382" s="350"/>
      <c r="E382" s="350"/>
      <c r="F382" s="349"/>
      <c r="G382" s="386">
        <v>42410</v>
      </c>
      <c r="H382" s="352">
        <v>700000</v>
      </c>
      <c r="I382" s="353" t="s">
        <v>1379</v>
      </c>
      <c r="J382" s="353" t="s">
        <v>1379</v>
      </c>
      <c r="K382" s="354">
        <f t="shared" si="52"/>
        <v>700000</v>
      </c>
      <c r="L382" s="387">
        <v>42410</v>
      </c>
      <c r="M382" s="742">
        <v>527523.88888888888</v>
      </c>
      <c r="N382" s="352">
        <f t="shared" si="61"/>
        <v>172476.11111111112</v>
      </c>
      <c r="O382" s="357">
        <f t="shared" si="53"/>
        <v>2973</v>
      </c>
      <c r="P382" s="357">
        <v>9</v>
      </c>
      <c r="Q382" s="358">
        <f t="shared" si="51"/>
        <v>8.1452054794520556</v>
      </c>
      <c r="R382" s="359">
        <f t="shared" si="54"/>
        <v>0.85479452054794436</v>
      </c>
      <c r="S382" s="360">
        <f t="shared" si="55"/>
        <v>0.85479452054794436</v>
      </c>
      <c r="T382" s="361">
        <f t="shared" si="56"/>
        <v>0.10555555555555554</v>
      </c>
      <c r="U382" s="362">
        <f t="shared" si="63"/>
        <v>73888.888888888876</v>
      </c>
      <c r="V382" s="362">
        <f t="shared" si="59"/>
        <v>98587.222222222248</v>
      </c>
      <c r="W382" s="362">
        <f t="shared" si="57"/>
        <v>35000</v>
      </c>
      <c r="X382" s="742">
        <f t="shared" si="60"/>
        <v>63587.222222222248</v>
      </c>
    </row>
    <row r="383" spans="1:24" ht="13.9">
      <c r="A383" s="349">
        <f t="shared" si="58"/>
        <v>375</v>
      </c>
      <c r="B383" s="385" t="s">
        <v>1893</v>
      </c>
      <c r="C383" s="350"/>
      <c r="D383" s="350"/>
      <c r="E383" s="350"/>
      <c r="F383" s="349"/>
      <c r="G383" s="386">
        <v>42410</v>
      </c>
      <c r="H383" s="352">
        <v>700000</v>
      </c>
      <c r="I383" s="353" t="s">
        <v>1379</v>
      </c>
      <c r="J383" s="353" t="s">
        <v>1379</v>
      </c>
      <c r="K383" s="354">
        <f t="shared" si="52"/>
        <v>700000</v>
      </c>
      <c r="L383" s="387">
        <v>42410</v>
      </c>
      <c r="M383" s="742">
        <v>527523.88888888888</v>
      </c>
      <c r="N383" s="352">
        <f t="shared" si="61"/>
        <v>172476.11111111112</v>
      </c>
      <c r="O383" s="357">
        <f t="shared" si="53"/>
        <v>2973</v>
      </c>
      <c r="P383" s="357">
        <v>9</v>
      </c>
      <c r="Q383" s="358">
        <f t="shared" si="51"/>
        <v>8.1452054794520556</v>
      </c>
      <c r="R383" s="359">
        <f t="shared" si="54"/>
        <v>0.85479452054794436</v>
      </c>
      <c r="S383" s="360">
        <f t="shared" si="55"/>
        <v>0.85479452054794436</v>
      </c>
      <c r="T383" s="361">
        <f t="shared" si="56"/>
        <v>0.10555555555555554</v>
      </c>
      <c r="U383" s="362">
        <f t="shared" si="63"/>
        <v>73888.888888888876</v>
      </c>
      <c r="V383" s="362">
        <f t="shared" si="59"/>
        <v>98587.222222222248</v>
      </c>
      <c r="W383" s="362">
        <f t="shared" si="57"/>
        <v>35000</v>
      </c>
      <c r="X383" s="742">
        <f t="shared" si="60"/>
        <v>63587.222222222248</v>
      </c>
    </row>
    <row r="384" spans="1:24" ht="13.9">
      <c r="A384" s="349">
        <f t="shared" si="58"/>
        <v>376</v>
      </c>
      <c r="B384" s="385" t="s">
        <v>1893</v>
      </c>
      <c r="C384" s="350"/>
      <c r="D384" s="350"/>
      <c r="E384" s="350"/>
      <c r="F384" s="349"/>
      <c r="G384" s="386">
        <v>42410</v>
      </c>
      <c r="H384" s="352">
        <v>700000</v>
      </c>
      <c r="I384" s="353" t="s">
        <v>1379</v>
      </c>
      <c r="J384" s="353" t="s">
        <v>1379</v>
      </c>
      <c r="K384" s="354">
        <f t="shared" si="52"/>
        <v>700000</v>
      </c>
      <c r="L384" s="387">
        <v>42410</v>
      </c>
      <c r="M384" s="742">
        <v>527523.88888888888</v>
      </c>
      <c r="N384" s="352">
        <f t="shared" si="61"/>
        <v>172476.11111111112</v>
      </c>
      <c r="O384" s="357">
        <f t="shared" si="53"/>
        <v>2973</v>
      </c>
      <c r="P384" s="357">
        <v>9</v>
      </c>
      <c r="Q384" s="358">
        <f t="shared" si="51"/>
        <v>8.1452054794520556</v>
      </c>
      <c r="R384" s="359">
        <f t="shared" si="54"/>
        <v>0.85479452054794436</v>
      </c>
      <c r="S384" s="360">
        <f t="shared" si="55"/>
        <v>0.85479452054794436</v>
      </c>
      <c r="T384" s="361">
        <f t="shared" si="56"/>
        <v>0.10555555555555554</v>
      </c>
      <c r="U384" s="362">
        <f t="shared" si="63"/>
        <v>73888.888888888876</v>
      </c>
      <c r="V384" s="362">
        <f t="shared" si="59"/>
        <v>98587.222222222248</v>
      </c>
      <c r="W384" s="362">
        <f t="shared" si="57"/>
        <v>35000</v>
      </c>
      <c r="X384" s="742">
        <f t="shared" si="60"/>
        <v>63587.222222222248</v>
      </c>
    </row>
    <row r="385" spans="1:24" ht="13.9">
      <c r="A385" s="349">
        <f t="shared" si="58"/>
        <v>377</v>
      </c>
      <c r="B385" s="385" t="s">
        <v>1893</v>
      </c>
      <c r="C385" s="350"/>
      <c r="D385" s="350"/>
      <c r="E385" s="350"/>
      <c r="F385" s="349"/>
      <c r="G385" s="386">
        <v>42410</v>
      </c>
      <c r="H385" s="352">
        <v>700000</v>
      </c>
      <c r="I385" s="353" t="s">
        <v>1379</v>
      </c>
      <c r="J385" s="353" t="s">
        <v>1379</v>
      </c>
      <c r="K385" s="354">
        <f t="shared" si="52"/>
        <v>700000</v>
      </c>
      <c r="L385" s="387">
        <v>42410</v>
      </c>
      <c r="M385" s="742">
        <v>527523.88888888888</v>
      </c>
      <c r="N385" s="352">
        <f t="shared" si="61"/>
        <v>172476.11111111112</v>
      </c>
      <c r="O385" s="357">
        <f t="shared" si="53"/>
        <v>2973</v>
      </c>
      <c r="P385" s="357">
        <v>9</v>
      </c>
      <c r="Q385" s="358">
        <f t="shared" si="51"/>
        <v>8.1452054794520556</v>
      </c>
      <c r="R385" s="359">
        <f t="shared" si="54"/>
        <v>0.85479452054794436</v>
      </c>
      <c r="S385" s="360">
        <f t="shared" si="55"/>
        <v>0.85479452054794436</v>
      </c>
      <c r="T385" s="361">
        <f t="shared" si="56"/>
        <v>0.10555555555555554</v>
      </c>
      <c r="U385" s="362">
        <f t="shared" si="63"/>
        <v>73888.888888888876</v>
      </c>
      <c r="V385" s="362">
        <f t="shared" si="59"/>
        <v>98587.222222222248</v>
      </c>
      <c r="W385" s="362">
        <f t="shared" si="57"/>
        <v>35000</v>
      </c>
      <c r="X385" s="742">
        <f t="shared" si="60"/>
        <v>63587.222222222248</v>
      </c>
    </row>
    <row r="386" spans="1:24" ht="13.9">
      <c r="A386" s="349">
        <f t="shared" si="58"/>
        <v>378</v>
      </c>
      <c r="B386" s="385" t="s">
        <v>1893</v>
      </c>
      <c r="C386" s="350"/>
      <c r="D386" s="350"/>
      <c r="E386" s="350"/>
      <c r="F386" s="349"/>
      <c r="G386" s="386">
        <v>42410</v>
      </c>
      <c r="H386" s="352">
        <v>700000</v>
      </c>
      <c r="I386" s="353" t="s">
        <v>1379</v>
      </c>
      <c r="J386" s="353" t="s">
        <v>1379</v>
      </c>
      <c r="K386" s="354">
        <f t="shared" si="52"/>
        <v>700000</v>
      </c>
      <c r="L386" s="387">
        <v>42410</v>
      </c>
      <c r="M386" s="742">
        <v>527523.88888888888</v>
      </c>
      <c r="N386" s="352">
        <f t="shared" si="61"/>
        <v>172476.11111111112</v>
      </c>
      <c r="O386" s="357">
        <f t="shared" si="53"/>
        <v>2973</v>
      </c>
      <c r="P386" s="357">
        <v>9</v>
      </c>
      <c r="Q386" s="358">
        <f t="shared" si="51"/>
        <v>8.1452054794520556</v>
      </c>
      <c r="R386" s="359">
        <f t="shared" si="54"/>
        <v>0.85479452054794436</v>
      </c>
      <c r="S386" s="360">
        <f t="shared" si="55"/>
        <v>0.85479452054794436</v>
      </c>
      <c r="T386" s="361">
        <f t="shared" si="56"/>
        <v>0.10555555555555554</v>
      </c>
      <c r="U386" s="362">
        <f t="shared" si="63"/>
        <v>73888.888888888876</v>
      </c>
      <c r="V386" s="362">
        <f t="shared" si="59"/>
        <v>98587.222222222248</v>
      </c>
      <c r="W386" s="362">
        <f t="shared" si="57"/>
        <v>35000</v>
      </c>
      <c r="X386" s="742">
        <f t="shared" si="60"/>
        <v>63587.222222222248</v>
      </c>
    </row>
    <row r="387" spans="1:24" ht="13.9">
      <c r="A387" s="349">
        <f t="shared" si="58"/>
        <v>379</v>
      </c>
      <c r="B387" s="385" t="s">
        <v>1893</v>
      </c>
      <c r="C387" s="350"/>
      <c r="D387" s="350"/>
      <c r="E387" s="350"/>
      <c r="F387" s="349"/>
      <c r="G387" s="386">
        <v>42460</v>
      </c>
      <c r="H387" s="352">
        <v>617900</v>
      </c>
      <c r="I387" s="353" t="s">
        <v>1379</v>
      </c>
      <c r="J387" s="353" t="s">
        <v>1379</v>
      </c>
      <c r="K387" s="354">
        <f t="shared" si="52"/>
        <v>617900</v>
      </c>
      <c r="L387" s="387">
        <v>42460</v>
      </c>
      <c r="M387" s="742">
        <v>456718.77777777775</v>
      </c>
      <c r="N387" s="352">
        <f t="shared" si="61"/>
        <v>161181.22222222225</v>
      </c>
      <c r="O387" s="357">
        <f t="shared" si="53"/>
        <v>2923</v>
      </c>
      <c r="P387" s="357">
        <v>9</v>
      </c>
      <c r="Q387" s="358">
        <f t="shared" si="51"/>
        <v>8.0082191780821912</v>
      </c>
      <c r="R387" s="359">
        <f t="shared" si="54"/>
        <v>0.99178082191780881</v>
      </c>
      <c r="S387" s="360">
        <f t="shared" si="55"/>
        <v>0.99178082191780881</v>
      </c>
      <c r="T387" s="361">
        <f t="shared" si="56"/>
        <v>0.10555555555555554</v>
      </c>
      <c r="U387" s="362">
        <f t="shared" si="63"/>
        <v>65222.777777777766</v>
      </c>
      <c r="V387" s="362">
        <f t="shared" si="59"/>
        <v>95958.444444444482</v>
      </c>
      <c r="W387" s="362">
        <f t="shared" si="57"/>
        <v>30895</v>
      </c>
      <c r="X387" s="742">
        <f t="shared" si="60"/>
        <v>65063.444444444482</v>
      </c>
    </row>
    <row r="388" spans="1:24" ht="13.9">
      <c r="A388" s="349">
        <f t="shared" si="58"/>
        <v>380</v>
      </c>
      <c r="B388" s="385" t="s">
        <v>1893</v>
      </c>
      <c r="C388" s="350"/>
      <c r="D388" s="350"/>
      <c r="E388" s="350"/>
      <c r="F388" s="349"/>
      <c r="G388" s="386">
        <v>42460</v>
      </c>
      <c r="H388" s="352">
        <v>617900</v>
      </c>
      <c r="I388" s="353" t="s">
        <v>1379</v>
      </c>
      <c r="J388" s="353" t="s">
        <v>1379</v>
      </c>
      <c r="K388" s="354">
        <f t="shared" si="52"/>
        <v>617900</v>
      </c>
      <c r="L388" s="387">
        <v>42460</v>
      </c>
      <c r="M388" s="742">
        <v>456718.77777777775</v>
      </c>
      <c r="N388" s="352">
        <f t="shared" si="61"/>
        <v>161181.22222222225</v>
      </c>
      <c r="O388" s="357">
        <f t="shared" si="53"/>
        <v>2923</v>
      </c>
      <c r="P388" s="357">
        <v>9</v>
      </c>
      <c r="Q388" s="358">
        <f t="shared" ref="Q388:Q451" si="64">+O388/365</f>
        <v>8.0082191780821912</v>
      </c>
      <c r="R388" s="359">
        <f t="shared" si="54"/>
        <v>0.99178082191780881</v>
      </c>
      <c r="S388" s="360">
        <f t="shared" si="55"/>
        <v>0.99178082191780881</v>
      </c>
      <c r="T388" s="361">
        <f t="shared" si="56"/>
        <v>0.10555555555555554</v>
      </c>
      <c r="U388" s="362">
        <f t="shared" si="63"/>
        <v>65222.777777777766</v>
      </c>
      <c r="V388" s="362">
        <f t="shared" si="59"/>
        <v>95958.444444444482</v>
      </c>
      <c r="W388" s="362">
        <f t="shared" si="57"/>
        <v>30895</v>
      </c>
      <c r="X388" s="742">
        <f t="shared" si="60"/>
        <v>65063.444444444482</v>
      </c>
    </row>
    <row r="389" spans="1:24" ht="13.9">
      <c r="A389" s="349">
        <f t="shared" si="58"/>
        <v>381</v>
      </c>
      <c r="B389" s="385" t="s">
        <v>1893</v>
      </c>
      <c r="C389" s="350"/>
      <c r="D389" s="350"/>
      <c r="E389" s="350"/>
      <c r="F389" s="349"/>
      <c r="G389" s="386">
        <v>42460</v>
      </c>
      <c r="H389" s="352">
        <v>617900</v>
      </c>
      <c r="I389" s="353" t="s">
        <v>1379</v>
      </c>
      <c r="J389" s="353" t="s">
        <v>1379</v>
      </c>
      <c r="K389" s="354">
        <f t="shared" si="52"/>
        <v>617900</v>
      </c>
      <c r="L389" s="387">
        <v>42460</v>
      </c>
      <c r="M389" s="742">
        <v>456718.77777777775</v>
      </c>
      <c r="N389" s="352">
        <f t="shared" si="61"/>
        <v>161181.22222222225</v>
      </c>
      <c r="O389" s="357">
        <f t="shared" si="53"/>
        <v>2923</v>
      </c>
      <c r="P389" s="357">
        <v>9</v>
      </c>
      <c r="Q389" s="358">
        <f t="shared" si="64"/>
        <v>8.0082191780821912</v>
      </c>
      <c r="R389" s="359">
        <f t="shared" si="54"/>
        <v>0.99178082191780881</v>
      </c>
      <c r="S389" s="360">
        <f t="shared" si="55"/>
        <v>0.99178082191780881</v>
      </c>
      <c r="T389" s="361">
        <f t="shared" si="56"/>
        <v>0.10555555555555554</v>
      </c>
      <c r="U389" s="362">
        <f t="shared" si="63"/>
        <v>65222.777777777766</v>
      </c>
      <c r="V389" s="362">
        <f t="shared" si="59"/>
        <v>95958.444444444482</v>
      </c>
      <c r="W389" s="362">
        <f t="shared" si="57"/>
        <v>30895</v>
      </c>
      <c r="X389" s="742">
        <f t="shared" si="60"/>
        <v>65063.444444444482</v>
      </c>
    </row>
    <row r="390" spans="1:24" ht="13.9">
      <c r="A390" s="349">
        <f t="shared" si="58"/>
        <v>382</v>
      </c>
      <c r="B390" s="385" t="s">
        <v>1893</v>
      </c>
      <c r="C390" s="350"/>
      <c r="D390" s="350"/>
      <c r="E390" s="350"/>
      <c r="F390" s="349"/>
      <c r="G390" s="386">
        <v>42460</v>
      </c>
      <c r="H390" s="352">
        <v>617900</v>
      </c>
      <c r="I390" s="353" t="s">
        <v>1379</v>
      </c>
      <c r="J390" s="353" t="s">
        <v>1379</v>
      </c>
      <c r="K390" s="354">
        <f t="shared" si="52"/>
        <v>617900</v>
      </c>
      <c r="L390" s="387">
        <v>42460</v>
      </c>
      <c r="M390" s="742">
        <v>456718.77777777775</v>
      </c>
      <c r="N390" s="352">
        <f t="shared" si="61"/>
        <v>161181.22222222225</v>
      </c>
      <c r="O390" s="357">
        <f t="shared" si="53"/>
        <v>2923</v>
      </c>
      <c r="P390" s="357">
        <v>9</v>
      </c>
      <c r="Q390" s="358">
        <f t="shared" si="64"/>
        <v>8.0082191780821912</v>
      </c>
      <c r="R390" s="359">
        <f t="shared" si="54"/>
        <v>0.99178082191780881</v>
      </c>
      <c r="S390" s="360">
        <f t="shared" si="55"/>
        <v>0.99178082191780881</v>
      </c>
      <c r="T390" s="361">
        <f t="shared" si="56"/>
        <v>0.10555555555555554</v>
      </c>
      <c r="U390" s="362">
        <f t="shared" si="63"/>
        <v>65222.777777777766</v>
      </c>
      <c r="V390" s="362">
        <f t="shared" si="59"/>
        <v>95958.444444444482</v>
      </c>
      <c r="W390" s="362">
        <f t="shared" si="57"/>
        <v>30895</v>
      </c>
      <c r="X390" s="742">
        <f t="shared" si="60"/>
        <v>65063.444444444482</v>
      </c>
    </row>
    <row r="391" spans="1:24" ht="13.9">
      <c r="A391" s="349">
        <f t="shared" si="58"/>
        <v>383</v>
      </c>
      <c r="B391" s="385" t="s">
        <v>1893</v>
      </c>
      <c r="C391" s="350"/>
      <c r="D391" s="350"/>
      <c r="E391" s="350"/>
      <c r="F391" s="349"/>
      <c r="G391" s="386">
        <v>42460</v>
      </c>
      <c r="H391" s="352">
        <v>617900</v>
      </c>
      <c r="I391" s="353" t="s">
        <v>1379</v>
      </c>
      <c r="J391" s="353" t="s">
        <v>1379</v>
      </c>
      <c r="K391" s="354">
        <f t="shared" si="52"/>
        <v>617900</v>
      </c>
      <c r="L391" s="387">
        <v>42460</v>
      </c>
      <c r="M391" s="742">
        <v>456718.77777777775</v>
      </c>
      <c r="N391" s="352">
        <f t="shared" si="61"/>
        <v>161181.22222222225</v>
      </c>
      <c r="O391" s="357">
        <f t="shared" si="53"/>
        <v>2923</v>
      </c>
      <c r="P391" s="357">
        <v>9</v>
      </c>
      <c r="Q391" s="358">
        <f t="shared" si="64"/>
        <v>8.0082191780821912</v>
      </c>
      <c r="R391" s="359">
        <f t="shared" si="54"/>
        <v>0.99178082191780881</v>
      </c>
      <c r="S391" s="360">
        <f t="shared" si="55"/>
        <v>0.99178082191780881</v>
      </c>
      <c r="T391" s="361">
        <f t="shared" si="56"/>
        <v>0.10555555555555554</v>
      </c>
      <c r="U391" s="362">
        <f t="shared" si="63"/>
        <v>65222.777777777766</v>
      </c>
      <c r="V391" s="362">
        <f t="shared" si="59"/>
        <v>95958.444444444482</v>
      </c>
      <c r="W391" s="362">
        <f t="shared" si="57"/>
        <v>30895</v>
      </c>
      <c r="X391" s="742">
        <f t="shared" si="60"/>
        <v>65063.444444444482</v>
      </c>
    </row>
    <row r="392" spans="1:24" ht="13.9">
      <c r="A392" s="349">
        <f t="shared" si="58"/>
        <v>384</v>
      </c>
      <c r="B392" s="385" t="s">
        <v>328</v>
      </c>
      <c r="C392" s="350"/>
      <c r="D392" s="350"/>
      <c r="E392" s="350"/>
      <c r="F392" s="349"/>
      <c r="G392" s="386">
        <v>42161</v>
      </c>
      <c r="H392" s="352">
        <v>47530</v>
      </c>
      <c r="I392" s="353" t="s">
        <v>1379</v>
      </c>
      <c r="J392" s="353" t="s">
        <v>1379</v>
      </c>
      <c r="K392" s="354">
        <f t="shared" si="52"/>
        <v>47530</v>
      </c>
      <c r="L392" s="387">
        <v>42161</v>
      </c>
      <c r="M392" s="742">
        <v>46550.055555555555</v>
      </c>
      <c r="N392" s="352">
        <f t="shared" si="61"/>
        <v>979.94444444444525</v>
      </c>
      <c r="O392" s="357">
        <f t="shared" si="53"/>
        <v>3222</v>
      </c>
      <c r="P392" s="357">
        <v>9</v>
      </c>
      <c r="Q392" s="358">
        <f t="shared" si="64"/>
        <v>8.8273972602739725</v>
      </c>
      <c r="R392" s="359">
        <f t="shared" si="54"/>
        <v>0.17260273972602747</v>
      </c>
      <c r="S392" s="360">
        <f t="shared" si="55"/>
        <v>0.17260273972602747</v>
      </c>
      <c r="T392" s="361">
        <f t="shared" si="56"/>
        <v>0.10555555555555554</v>
      </c>
      <c r="U392" s="362">
        <v>0</v>
      </c>
      <c r="V392" s="362">
        <f t="shared" si="59"/>
        <v>979.94444444444525</v>
      </c>
      <c r="W392" s="362">
        <f t="shared" si="57"/>
        <v>2377</v>
      </c>
      <c r="X392" s="742">
        <f t="shared" si="60"/>
        <v>-1397.0555555555547</v>
      </c>
    </row>
    <row r="393" spans="1:24" ht="13.9">
      <c r="A393" s="349">
        <f t="shared" si="58"/>
        <v>385</v>
      </c>
      <c r="B393" s="385" t="s">
        <v>328</v>
      </c>
      <c r="C393" s="350"/>
      <c r="D393" s="350"/>
      <c r="E393" s="350"/>
      <c r="F393" s="349"/>
      <c r="G393" s="386">
        <v>42209</v>
      </c>
      <c r="H393" s="352">
        <v>194879</v>
      </c>
      <c r="I393" s="353" t="s">
        <v>1379</v>
      </c>
      <c r="J393" s="353" t="s">
        <v>1379</v>
      </c>
      <c r="K393" s="354">
        <f t="shared" ref="K393:K456" si="65">+H393+I393-J393</f>
        <v>194879</v>
      </c>
      <c r="L393" s="387">
        <v>42209</v>
      </c>
      <c r="M393" s="742">
        <v>185990.56111111111</v>
      </c>
      <c r="N393" s="352">
        <f t="shared" si="61"/>
        <v>8888.4388888888934</v>
      </c>
      <c r="O393" s="357">
        <f t="shared" ref="O393:O456" si="66">+$O$3-L393+1</f>
        <v>3174</v>
      </c>
      <c r="P393" s="357">
        <v>9</v>
      </c>
      <c r="Q393" s="358">
        <f t="shared" si="64"/>
        <v>8.6958904109589046</v>
      </c>
      <c r="R393" s="359">
        <f t="shared" ref="R393:R456" si="67">+P393-Q393</f>
        <v>0.30410958904109542</v>
      </c>
      <c r="S393" s="360">
        <f t="shared" ref="S393:S456" si="68">IF(R393&lt;0,0,IF(R393&gt;365,365,R393))</f>
        <v>0.30410958904109542</v>
      </c>
      <c r="T393" s="361">
        <f t="shared" ref="T393:T456" si="69">1/P393*0.95</f>
        <v>0.10555555555555554</v>
      </c>
      <c r="U393" s="362">
        <v>0</v>
      </c>
      <c r="V393" s="362">
        <f t="shared" si="59"/>
        <v>8888.4388888888934</v>
      </c>
      <c r="W393" s="362">
        <f t="shared" ref="W393:W456" si="70">ROUND(+H393*5%,0)</f>
        <v>9744</v>
      </c>
      <c r="X393" s="742">
        <f t="shared" si="60"/>
        <v>-855.56111111110658</v>
      </c>
    </row>
    <row r="394" spans="1:24" ht="13.9">
      <c r="A394" s="349">
        <f t="shared" ref="A394:A457" si="71">+A393+1</f>
        <v>386</v>
      </c>
      <c r="B394" s="385" t="s">
        <v>328</v>
      </c>
      <c r="C394" s="350"/>
      <c r="D394" s="350"/>
      <c r="E394" s="350"/>
      <c r="F394" s="349"/>
      <c r="G394" s="386">
        <v>42401</v>
      </c>
      <c r="H394" s="352">
        <v>750248</v>
      </c>
      <c r="I394" s="353" t="s">
        <v>1379</v>
      </c>
      <c r="J394" s="353" t="s">
        <v>1379</v>
      </c>
      <c r="K394" s="354">
        <f t="shared" si="65"/>
        <v>750248</v>
      </c>
      <c r="L394" s="387">
        <v>42401</v>
      </c>
      <c r="M394" s="742">
        <v>641055.8444444444</v>
      </c>
      <c r="N394" s="352">
        <f t="shared" si="61"/>
        <v>109192.1555555556</v>
      </c>
      <c r="O394" s="357">
        <f t="shared" si="66"/>
        <v>2982</v>
      </c>
      <c r="P394" s="357">
        <v>9</v>
      </c>
      <c r="Q394" s="358">
        <f t="shared" si="64"/>
        <v>8.169863013698631</v>
      </c>
      <c r="R394" s="359">
        <f t="shared" si="67"/>
        <v>0.83013698630136901</v>
      </c>
      <c r="S394" s="360">
        <f t="shared" si="68"/>
        <v>0.83013698630136901</v>
      </c>
      <c r="T394" s="361">
        <f t="shared" si="69"/>
        <v>0.10555555555555554</v>
      </c>
      <c r="U394" s="362">
        <v>71680</v>
      </c>
      <c r="V394" s="362">
        <f t="shared" ref="V394:V457" si="72">+N394-U394</f>
        <v>37512.155555555597</v>
      </c>
      <c r="W394" s="362">
        <f t="shared" si="70"/>
        <v>37512</v>
      </c>
      <c r="X394" s="742">
        <f t="shared" ref="X394:X457" si="73">+V394-W394</f>
        <v>0.15555555559694767</v>
      </c>
    </row>
    <row r="395" spans="1:24" ht="13.9">
      <c r="A395" s="349">
        <f t="shared" si="71"/>
        <v>387</v>
      </c>
      <c r="B395" s="385" t="s">
        <v>328</v>
      </c>
      <c r="C395" s="350"/>
      <c r="D395" s="350"/>
      <c r="E395" s="350"/>
      <c r="F395" s="349"/>
      <c r="G395" s="386">
        <v>42419</v>
      </c>
      <c r="H395" s="352">
        <v>24354</v>
      </c>
      <c r="I395" s="353" t="s">
        <v>1379</v>
      </c>
      <c r="J395" s="353" t="s">
        <v>1379</v>
      </c>
      <c r="K395" s="354">
        <f t="shared" si="65"/>
        <v>24354</v>
      </c>
      <c r="L395" s="387">
        <v>42419</v>
      </c>
      <c r="M395" s="742">
        <v>20581.7</v>
      </c>
      <c r="N395" s="352">
        <f t="shared" ref="N395:N458" si="74">+K395-M395</f>
        <v>3772.2999999999993</v>
      </c>
      <c r="O395" s="357">
        <f t="shared" si="66"/>
        <v>2964</v>
      </c>
      <c r="P395" s="357">
        <v>9</v>
      </c>
      <c r="Q395" s="358">
        <f t="shared" si="64"/>
        <v>8.1205479452054803</v>
      </c>
      <c r="R395" s="359">
        <f t="shared" si="67"/>
        <v>0.87945205479451971</v>
      </c>
      <c r="S395" s="360">
        <f t="shared" si="68"/>
        <v>0.87945205479451971</v>
      </c>
      <c r="T395" s="361">
        <f t="shared" si="69"/>
        <v>0.10555555555555554</v>
      </c>
      <c r="U395" s="362">
        <v>0</v>
      </c>
      <c r="V395" s="362">
        <f t="shared" si="72"/>
        <v>3772.2999999999993</v>
      </c>
      <c r="W395" s="362">
        <f t="shared" si="70"/>
        <v>1218</v>
      </c>
      <c r="X395" s="742">
        <f t="shared" si="73"/>
        <v>2554.2999999999993</v>
      </c>
    </row>
    <row r="396" spans="1:24" ht="13.9">
      <c r="A396" s="349">
        <f t="shared" si="71"/>
        <v>388</v>
      </c>
      <c r="B396" s="385" t="s">
        <v>328</v>
      </c>
      <c r="C396" s="350"/>
      <c r="D396" s="350"/>
      <c r="E396" s="350"/>
      <c r="F396" s="349"/>
      <c r="G396" s="386">
        <v>42136</v>
      </c>
      <c r="H396" s="352">
        <v>412080</v>
      </c>
      <c r="I396" s="353" t="s">
        <v>1379</v>
      </c>
      <c r="J396" s="353" t="s">
        <v>1379</v>
      </c>
      <c r="K396" s="354">
        <f t="shared" si="65"/>
        <v>412080</v>
      </c>
      <c r="L396" s="387">
        <v>42136</v>
      </c>
      <c r="M396" s="742">
        <v>408942.33333333331</v>
      </c>
      <c r="N396" s="352">
        <f t="shared" si="74"/>
        <v>3137.6666666666861</v>
      </c>
      <c r="O396" s="357">
        <f t="shared" si="66"/>
        <v>3247</v>
      </c>
      <c r="P396" s="357">
        <v>9</v>
      </c>
      <c r="Q396" s="358">
        <f t="shared" si="64"/>
        <v>8.8958904109589039</v>
      </c>
      <c r="R396" s="359">
        <f t="shared" si="67"/>
        <v>0.10410958904109613</v>
      </c>
      <c r="S396" s="360">
        <f t="shared" si="68"/>
        <v>0.10410958904109613</v>
      </c>
      <c r="T396" s="361">
        <f t="shared" si="69"/>
        <v>0.10555555555555554</v>
      </c>
      <c r="U396" s="362">
        <v>0</v>
      </c>
      <c r="V396" s="362">
        <f t="shared" si="72"/>
        <v>3137.6666666666861</v>
      </c>
      <c r="W396" s="362">
        <f t="shared" si="70"/>
        <v>20604</v>
      </c>
      <c r="X396" s="742">
        <f t="shared" si="73"/>
        <v>-17466.333333333314</v>
      </c>
    </row>
    <row r="397" spans="1:24" ht="13.9">
      <c r="A397" s="349">
        <f t="shared" si="71"/>
        <v>389</v>
      </c>
      <c r="B397" s="385" t="s">
        <v>328</v>
      </c>
      <c r="C397" s="350"/>
      <c r="D397" s="350"/>
      <c r="E397" s="350"/>
      <c r="F397" s="349"/>
      <c r="G397" s="386">
        <v>42161</v>
      </c>
      <c r="H397" s="352">
        <v>346800</v>
      </c>
      <c r="I397" s="353" t="s">
        <v>1379</v>
      </c>
      <c r="J397" s="353" t="s">
        <v>1379</v>
      </c>
      <c r="K397" s="354">
        <f t="shared" si="65"/>
        <v>346800</v>
      </c>
      <c r="L397" s="387">
        <v>42161</v>
      </c>
      <c r="M397" s="742">
        <v>339646.66666666669</v>
      </c>
      <c r="N397" s="352">
        <f t="shared" si="74"/>
        <v>7153.3333333333139</v>
      </c>
      <c r="O397" s="357">
        <f t="shared" si="66"/>
        <v>3222</v>
      </c>
      <c r="P397" s="357">
        <v>9</v>
      </c>
      <c r="Q397" s="358">
        <f t="shared" si="64"/>
        <v>8.8273972602739725</v>
      </c>
      <c r="R397" s="359">
        <f t="shared" si="67"/>
        <v>0.17260273972602747</v>
      </c>
      <c r="S397" s="360">
        <f t="shared" si="68"/>
        <v>0.17260273972602747</v>
      </c>
      <c r="T397" s="361">
        <f t="shared" si="69"/>
        <v>0.10555555555555554</v>
      </c>
      <c r="U397" s="362">
        <v>0</v>
      </c>
      <c r="V397" s="362">
        <f t="shared" si="72"/>
        <v>7153.3333333333139</v>
      </c>
      <c r="W397" s="362">
        <f t="shared" si="70"/>
        <v>17340</v>
      </c>
      <c r="X397" s="742">
        <f t="shared" si="73"/>
        <v>-10186.666666666686</v>
      </c>
    </row>
    <row r="398" spans="1:24" ht="13.9">
      <c r="A398" s="349">
        <f t="shared" si="71"/>
        <v>390</v>
      </c>
      <c r="B398" s="385" t="s">
        <v>328</v>
      </c>
      <c r="C398" s="350"/>
      <c r="D398" s="350"/>
      <c r="E398" s="350"/>
      <c r="F398" s="349"/>
      <c r="G398" s="386">
        <v>42209</v>
      </c>
      <c r="H398" s="352">
        <v>540340</v>
      </c>
      <c r="I398" s="353" t="s">
        <v>1379</v>
      </c>
      <c r="J398" s="353" t="s">
        <v>1379</v>
      </c>
      <c r="K398" s="354">
        <f t="shared" si="65"/>
        <v>540340</v>
      </c>
      <c r="L398" s="387">
        <v>42209</v>
      </c>
      <c r="M398" s="742">
        <v>515695.88888888888</v>
      </c>
      <c r="N398" s="352">
        <f t="shared" si="74"/>
        <v>24644.111111111124</v>
      </c>
      <c r="O398" s="357">
        <f t="shared" si="66"/>
        <v>3174</v>
      </c>
      <c r="P398" s="357">
        <v>9</v>
      </c>
      <c r="Q398" s="358">
        <f t="shared" si="64"/>
        <v>8.6958904109589046</v>
      </c>
      <c r="R398" s="359">
        <f t="shared" si="67"/>
        <v>0.30410958904109542</v>
      </c>
      <c r="S398" s="360">
        <f t="shared" si="68"/>
        <v>0.30410958904109542</v>
      </c>
      <c r="T398" s="361">
        <f t="shared" si="69"/>
        <v>0.10555555555555554</v>
      </c>
      <c r="U398" s="362">
        <v>0</v>
      </c>
      <c r="V398" s="362">
        <f t="shared" si="72"/>
        <v>24644.111111111124</v>
      </c>
      <c r="W398" s="362">
        <f t="shared" si="70"/>
        <v>27017</v>
      </c>
      <c r="X398" s="742">
        <f t="shared" si="73"/>
        <v>-2372.888888888876</v>
      </c>
    </row>
    <row r="399" spans="1:24" ht="13.9">
      <c r="A399" s="349">
        <f t="shared" si="71"/>
        <v>391</v>
      </c>
      <c r="B399" s="385" t="s">
        <v>328</v>
      </c>
      <c r="C399" s="350"/>
      <c r="D399" s="350"/>
      <c r="E399" s="350"/>
      <c r="F399" s="349"/>
      <c r="G399" s="386">
        <v>42210</v>
      </c>
      <c r="H399" s="352">
        <v>22695</v>
      </c>
      <c r="I399" s="353" t="s">
        <v>1379</v>
      </c>
      <c r="J399" s="353" t="s">
        <v>1379</v>
      </c>
      <c r="K399" s="354">
        <f t="shared" si="65"/>
        <v>22695</v>
      </c>
      <c r="L399" s="387">
        <v>42210</v>
      </c>
      <c r="M399" s="742">
        <v>21648.583333333332</v>
      </c>
      <c r="N399" s="352">
        <f t="shared" si="74"/>
        <v>1046.4166666666679</v>
      </c>
      <c r="O399" s="357">
        <f t="shared" si="66"/>
        <v>3173</v>
      </c>
      <c r="P399" s="357">
        <v>9</v>
      </c>
      <c r="Q399" s="358">
        <f t="shared" si="64"/>
        <v>8.6931506849315063</v>
      </c>
      <c r="R399" s="359">
        <f t="shared" si="67"/>
        <v>0.30684931506849367</v>
      </c>
      <c r="S399" s="360">
        <f t="shared" si="68"/>
        <v>0.30684931506849367</v>
      </c>
      <c r="T399" s="361">
        <f t="shared" si="69"/>
        <v>0.10555555555555554</v>
      </c>
      <c r="U399" s="362">
        <v>0</v>
      </c>
      <c r="V399" s="362">
        <f t="shared" si="72"/>
        <v>1046.4166666666679</v>
      </c>
      <c r="W399" s="362">
        <f t="shared" si="70"/>
        <v>1135</v>
      </c>
      <c r="X399" s="742">
        <f t="shared" si="73"/>
        <v>-88.583333333332121</v>
      </c>
    </row>
    <row r="400" spans="1:24" ht="13.9">
      <c r="A400" s="349">
        <f t="shared" si="71"/>
        <v>392</v>
      </c>
      <c r="B400" s="385" t="s">
        <v>328</v>
      </c>
      <c r="C400" s="350"/>
      <c r="D400" s="350"/>
      <c r="E400" s="350"/>
      <c r="F400" s="349"/>
      <c r="G400" s="386">
        <v>42247</v>
      </c>
      <c r="H400" s="352">
        <v>49606</v>
      </c>
      <c r="I400" s="353" t="s">
        <v>1379</v>
      </c>
      <c r="J400" s="353" t="s">
        <v>1379</v>
      </c>
      <c r="K400" s="354">
        <f t="shared" si="65"/>
        <v>49606</v>
      </c>
      <c r="L400" s="387">
        <v>42247</v>
      </c>
      <c r="M400" s="742">
        <v>46362.188888888886</v>
      </c>
      <c r="N400" s="352">
        <f t="shared" si="74"/>
        <v>3243.8111111111139</v>
      </c>
      <c r="O400" s="357">
        <f t="shared" si="66"/>
        <v>3136</v>
      </c>
      <c r="P400" s="357">
        <v>9</v>
      </c>
      <c r="Q400" s="358">
        <f t="shared" si="64"/>
        <v>8.5917808219178085</v>
      </c>
      <c r="R400" s="359">
        <f t="shared" si="67"/>
        <v>0.40821917808219155</v>
      </c>
      <c r="S400" s="360">
        <f t="shared" si="68"/>
        <v>0.40821917808219155</v>
      </c>
      <c r="T400" s="361">
        <f t="shared" si="69"/>
        <v>0.10555555555555554</v>
      </c>
      <c r="U400" s="362">
        <v>764</v>
      </c>
      <c r="V400" s="362">
        <f t="shared" si="72"/>
        <v>2479.8111111111139</v>
      </c>
      <c r="W400" s="362">
        <f t="shared" si="70"/>
        <v>2480</v>
      </c>
      <c r="X400" s="742">
        <f t="shared" si="73"/>
        <v>-0.18888888888614019</v>
      </c>
    </row>
    <row r="401" spans="1:24" ht="13.9">
      <c r="A401" s="349">
        <f t="shared" si="71"/>
        <v>393</v>
      </c>
      <c r="B401" s="385" t="s">
        <v>328</v>
      </c>
      <c r="C401" s="350"/>
      <c r="D401" s="350"/>
      <c r="E401" s="350"/>
      <c r="F401" s="349"/>
      <c r="G401" s="386">
        <v>42263</v>
      </c>
      <c r="H401" s="352">
        <v>45465</v>
      </c>
      <c r="I401" s="353" t="s">
        <v>1379</v>
      </c>
      <c r="J401" s="353" t="s">
        <v>1379</v>
      </c>
      <c r="K401" s="354">
        <f t="shared" si="65"/>
        <v>45465</v>
      </c>
      <c r="L401" s="387">
        <v>42263</v>
      </c>
      <c r="M401" s="742">
        <v>42113.083333333336</v>
      </c>
      <c r="N401" s="352">
        <f t="shared" si="74"/>
        <v>3351.9166666666642</v>
      </c>
      <c r="O401" s="357">
        <f t="shared" si="66"/>
        <v>3120</v>
      </c>
      <c r="P401" s="357">
        <v>9</v>
      </c>
      <c r="Q401" s="358">
        <f t="shared" si="64"/>
        <v>8.5479452054794525</v>
      </c>
      <c r="R401" s="359">
        <f t="shared" si="67"/>
        <v>0.45205479452054753</v>
      </c>
      <c r="S401" s="360">
        <f t="shared" si="68"/>
        <v>0.45205479452054753</v>
      </c>
      <c r="T401" s="361">
        <f t="shared" si="69"/>
        <v>0.10555555555555554</v>
      </c>
      <c r="U401" s="362">
        <v>1079</v>
      </c>
      <c r="V401" s="362">
        <f t="shared" si="72"/>
        <v>2272.9166666666642</v>
      </c>
      <c r="W401" s="362">
        <f t="shared" si="70"/>
        <v>2273</v>
      </c>
      <c r="X401" s="742">
        <f t="shared" si="73"/>
        <v>-8.3333333335758653E-2</v>
      </c>
    </row>
    <row r="402" spans="1:24" ht="13.9">
      <c r="A402" s="349">
        <f t="shared" si="71"/>
        <v>394</v>
      </c>
      <c r="B402" s="385" t="s">
        <v>328</v>
      </c>
      <c r="C402" s="350"/>
      <c r="D402" s="350"/>
      <c r="E402" s="350"/>
      <c r="F402" s="349"/>
      <c r="G402" s="386">
        <v>42284</v>
      </c>
      <c r="H402" s="352">
        <v>37791</v>
      </c>
      <c r="I402" s="353" t="s">
        <v>1379</v>
      </c>
      <c r="J402" s="353" t="s">
        <v>1379</v>
      </c>
      <c r="K402" s="354">
        <f t="shared" si="65"/>
        <v>37791</v>
      </c>
      <c r="L402" s="387">
        <v>42284</v>
      </c>
      <c r="M402" s="742">
        <v>34592.050000000003</v>
      </c>
      <c r="N402" s="352">
        <f t="shared" si="74"/>
        <v>3198.9499999999971</v>
      </c>
      <c r="O402" s="357">
        <f t="shared" si="66"/>
        <v>3099</v>
      </c>
      <c r="P402" s="357">
        <v>9</v>
      </c>
      <c r="Q402" s="358">
        <f t="shared" si="64"/>
        <v>8.4904109589041088</v>
      </c>
      <c r="R402" s="359">
        <f t="shared" si="67"/>
        <v>0.5095890410958912</v>
      </c>
      <c r="S402" s="360">
        <f t="shared" si="68"/>
        <v>0.5095890410958912</v>
      </c>
      <c r="T402" s="361">
        <f t="shared" si="69"/>
        <v>0.10555555555555554</v>
      </c>
      <c r="U402" s="362">
        <v>1309</v>
      </c>
      <c r="V402" s="362">
        <f t="shared" si="72"/>
        <v>1889.9499999999971</v>
      </c>
      <c r="W402" s="362">
        <f t="shared" si="70"/>
        <v>1890</v>
      </c>
      <c r="X402" s="742">
        <f t="shared" si="73"/>
        <v>-5.0000000002910383E-2</v>
      </c>
    </row>
    <row r="403" spans="1:24" ht="13.9">
      <c r="A403" s="349">
        <f t="shared" si="71"/>
        <v>395</v>
      </c>
      <c r="B403" s="385" t="s">
        <v>328</v>
      </c>
      <c r="C403" s="350"/>
      <c r="D403" s="350"/>
      <c r="E403" s="350"/>
      <c r="F403" s="349"/>
      <c r="G403" s="386">
        <v>42342</v>
      </c>
      <c r="H403" s="352">
        <v>39165</v>
      </c>
      <c r="I403" s="353" t="s">
        <v>1379</v>
      </c>
      <c r="J403" s="353" t="s">
        <v>1379</v>
      </c>
      <c r="K403" s="354">
        <f t="shared" si="65"/>
        <v>39165</v>
      </c>
      <c r="L403" s="387">
        <v>42342</v>
      </c>
      <c r="M403" s="742">
        <v>34667.083333333336</v>
      </c>
      <c r="N403" s="352">
        <f t="shared" si="74"/>
        <v>4497.9166666666642</v>
      </c>
      <c r="O403" s="357">
        <f t="shared" si="66"/>
        <v>3041</v>
      </c>
      <c r="P403" s="357">
        <v>9</v>
      </c>
      <c r="Q403" s="358">
        <f t="shared" si="64"/>
        <v>8.331506849315069</v>
      </c>
      <c r="R403" s="359">
        <f t="shared" si="67"/>
        <v>0.66849315068493098</v>
      </c>
      <c r="S403" s="360">
        <f t="shared" si="68"/>
        <v>0.66849315068493098</v>
      </c>
      <c r="T403" s="361">
        <f t="shared" si="69"/>
        <v>0.10555555555555554</v>
      </c>
      <c r="U403" s="362">
        <v>2540</v>
      </c>
      <c r="V403" s="362">
        <f t="shared" si="72"/>
        <v>1957.9166666666642</v>
      </c>
      <c r="W403" s="362">
        <f t="shared" si="70"/>
        <v>1958</v>
      </c>
      <c r="X403" s="742">
        <f t="shared" si="73"/>
        <v>-8.3333333335758653E-2</v>
      </c>
    </row>
    <row r="404" spans="1:24" ht="13.9">
      <c r="A404" s="349">
        <f t="shared" si="71"/>
        <v>396</v>
      </c>
      <c r="B404" s="385" t="s">
        <v>328</v>
      </c>
      <c r="C404" s="350"/>
      <c r="D404" s="350"/>
      <c r="E404" s="350"/>
      <c r="F404" s="349"/>
      <c r="G404" s="386">
        <v>42347</v>
      </c>
      <c r="H404" s="352">
        <v>12075</v>
      </c>
      <c r="I404" s="353" t="s">
        <v>1379</v>
      </c>
      <c r="J404" s="353" t="s">
        <v>1379</v>
      </c>
      <c r="K404" s="354">
        <f t="shared" si="65"/>
        <v>12075</v>
      </c>
      <c r="L404" s="387">
        <v>42347</v>
      </c>
      <c r="M404" s="742">
        <v>10656.583333333334</v>
      </c>
      <c r="N404" s="352">
        <f t="shared" si="74"/>
        <v>1418.4166666666661</v>
      </c>
      <c r="O404" s="357">
        <f t="shared" si="66"/>
        <v>3036</v>
      </c>
      <c r="P404" s="357">
        <v>9</v>
      </c>
      <c r="Q404" s="358">
        <f t="shared" si="64"/>
        <v>8.3178082191780813</v>
      </c>
      <c r="R404" s="359">
        <f t="shared" si="67"/>
        <v>0.68219178082191867</v>
      </c>
      <c r="S404" s="360">
        <f t="shared" si="68"/>
        <v>0.68219178082191867</v>
      </c>
      <c r="T404" s="361">
        <f t="shared" si="69"/>
        <v>0.10555555555555554</v>
      </c>
      <c r="U404" s="362">
        <v>814</v>
      </c>
      <c r="V404" s="362">
        <f t="shared" si="72"/>
        <v>604.41666666666606</v>
      </c>
      <c r="W404" s="362">
        <f t="shared" si="70"/>
        <v>604</v>
      </c>
      <c r="X404" s="742">
        <f t="shared" si="73"/>
        <v>0.41666666666606034</v>
      </c>
    </row>
    <row r="405" spans="1:24" ht="13.9">
      <c r="A405" s="349">
        <f t="shared" si="71"/>
        <v>397</v>
      </c>
      <c r="B405" s="385" t="s">
        <v>328</v>
      </c>
      <c r="C405" s="350"/>
      <c r="D405" s="350"/>
      <c r="E405" s="350"/>
      <c r="F405" s="349"/>
      <c r="G405" s="386">
        <v>42375</v>
      </c>
      <c r="H405" s="352">
        <v>93585</v>
      </c>
      <c r="I405" s="353" t="s">
        <v>1379</v>
      </c>
      <c r="J405" s="353" t="s">
        <v>1379</v>
      </c>
      <c r="K405" s="354">
        <f t="shared" si="65"/>
        <v>93585</v>
      </c>
      <c r="L405" s="387">
        <v>42375</v>
      </c>
      <c r="M405" s="742">
        <v>81231.416666666672</v>
      </c>
      <c r="N405" s="352">
        <f t="shared" si="74"/>
        <v>12353.583333333328</v>
      </c>
      <c r="O405" s="357">
        <f t="shared" si="66"/>
        <v>3008</v>
      </c>
      <c r="P405" s="357">
        <v>9</v>
      </c>
      <c r="Q405" s="358">
        <f t="shared" si="64"/>
        <v>8.2410958904109588</v>
      </c>
      <c r="R405" s="359">
        <f t="shared" si="67"/>
        <v>0.7589041095890412</v>
      </c>
      <c r="S405" s="360">
        <f t="shared" si="68"/>
        <v>0.7589041095890412</v>
      </c>
      <c r="T405" s="361">
        <f t="shared" si="69"/>
        <v>0.10555555555555554</v>
      </c>
      <c r="U405" s="362">
        <v>7675</v>
      </c>
      <c r="V405" s="362">
        <f t="shared" si="72"/>
        <v>4678.5833333333285</v>
      </c>
      <c r="W405" s="362">
        <f t="shared" si="70"/>
        <v>4679</v>
      </c>
      <c r="X405" s="742">
        <f t="shared" si="73"/>
        <v>-0.41666666667151731</v>
      </c>
    </row>
    <row r="406" spans="1:24" ht="13.9">
      <c r="A406" s="349">
        <f t="shared" si="71"/>
        <v>398</v>
      </c>
      <c r="B406" s="385" t="s">
        <v>328</v>
      </c>
      <c r="C406" s="350"/>
      <c r="D406" s="350"/>
      <c r="E406" s="350"/>
      <c r="F406" s="349"/>
      <c r="G406" s="386">
        <v>42390</v>
      </c>
      <c r="H406" s="352">
        <v>62781</v>
      </c>
      <c r="I406" s="353" t="s">
        <v>1379</v>
      </c>
      <c r="J406" s="353" t="s">
        <v>1379</v>
      </c>
      <c r="K406" s="354">
        <f t="shared" si="65"/>
        <v>62781</v>
      </c>
      <c r="L406" s="387">
        <v>42390</v>
      </c>
      <c r="M406" s="742">
        <v>54002.883333333331</v>
      </c>
      <c r="N406" s="352">
        <f t="shared" si="74"/>
        <v>8778.1166666666686</v>
      </c>
      <c r="O406" s="357">
        <f t="shared" si="66"/>
        <v>2993</v>
      </c>
      <c r="P406" s="357">
        <v>9</v>
      </c>
      <c r="Q406" s="358">
        <f t="shared" si="64"/>
        <v>8.1999999999999993</v>
      </c>
      <c r="R406" s="359">
        <f t="shared" si="67"/>
        <v>0.80000000000000071</v>
      </c>
      <c r="S406" s="360">
        <f t="shared" si="68"/>
        <v>0.80000000000000071</v>
      </c>
      <c r="T406" s="361">
        <f t="shared" si="69"/>
        <v>0.10555555555555554</v>
      </c>
      <c r="U406" s="362">
        <v>5639</v>
      </c>
      <c r="V406" s="362">
        <f t="shared" si="72"/>
        <v>3139.1166666666686</v>
      </c>
      <c r="W406" s="362">
        <f t="shared" si="70"/>
        <v>3139</v>
      </c>
      <c r="X406" s="742">
        <f t="shared" si="73"/>
        <v>0.11666666666860692</v>
      </c>
    </row>
    <row r="407" spans="1:24" ht="13.9">
      <c r="A407" s="349">
        <f t="shared" si="71"/>
        <v>399</v>
      </c>
      <c r="B407" s="385" t="s">
        <v>328</v>
      </c>
      <c r="C407" s="350"/>
      <c r="D407" s="350"/>
      <c r="E407" s="350"/>
      <c r="F407" s="349"/>
      <c r="G407" s="386">
        <v>42425</v>
      </c>
      <c r="H407" s="352">
        <v>20125</v>
      </c>
      <c r="I407" s="353" t="s">
        <v>1379</v>
      </c>
      <c r="J407" s="353" t="s">
        <v>1379</v>
      </c>
      <c r="K407" s="354">
        <f t="shared" si="65"/>
        <v>20125</v>
      </c>
      <c r="L407" s="387">
        <v>42425</v>
      </c>
      <c r="M407" s="742">
        <v>16944.305555555555</v>
      </c>
      <c r="N407" s="352">
        <f t="shared" si="74"/>
        <v>3180.6944444444453</v>
      </c>
      <c r="O407" s="357">
        <f t="shared" si="66"/>
        <v>2958</v>
      </c>
      <c r="P407" s="357">
        <v>9</v>
      </c>
      <c r="Q407" s="358">
        <f t="shared" si="64"/>
        <v>8.1041095890410961</v>
      </c>
      <c r="R407" s="359">
        <f t="shared" si="67"/>
        <v>0.89589041095890387</v>
      </c>
      <c r="S407" s="360">
        <f t="shared" si="68"/>
        <v>0.89589041095890387</v>
      </c>
      <c r="T407" s="361">
        <f t="shared" si="69"/>
        <v>0.10555555555555554</v>
      </c>
      <c r="U407" s="362">
        <f t="shared" si="63"/>
        <v>2124.3055555555552</v>
      </c>
      <c r="V407" s="362">
        <f t="shared" si="72"/>
        <v>1056.3888888888901</v>
      </c>
      <c r="W407" s="362">
        <f t="shared" si="70"/>
        <v>1006</v>
      </c>
      <c r="X407" s="742">
        <f t="shared" si="73"/>
        <v>50.388888888890051</v>
      </c>
    </row>
    <row r="408" spans="1:24" ht="13.9">
      <c r="A408" s="349">
        <f t="shared" si="71"/>
        <v>400</v>
      </c>
      <c r="B408" s="385" t="s">
        <v>328</v>
      </c>
      <c r="C408" s="350"/>
      <c r="D408" s="350"/>
      <c r="E408" s="350"/>
      <c r="F408" s="349"/>
      <c r="G408" s="386">
        <v>42448</v>
      </c>
      <c r="H408" s="352">
        <v>16275</v>
      </c>
      <c r="I408" s="353" t="s">
        <v>1379</v>
      </c>
      <c r="J408" s="353" t="s">
        <v>1379</v>
      </c>
      <c r="K408" s="354">
        <f t="shared" si="65"/>
        <v>16275</v>
      </c>
      <c r="L408" s="387">
        <v>42448</v>
      </c>
      <c r="M408" s="742">
        <v>13507.916666666666</v>
      </c>
      <c r="N408" s="352">
        <f t="shared" si="74"/>
        <v>2767.0833333333339</v>
      </c>
      <c r="O408" s="357">
        <f t="shared" si="66"/>
        <v>2935</v>
      </c>
      <c r="P408" s="357">
        <v>9</v>
      </c>
      <c r="Q408" s="358">
        <f t="shared" si="64"/>
        <v>8.0410958904109595</v>
      </c>
      <c r="R408" s="359">
        <f t="shared" si="67"/>
        <v>0.95890410958904049</v>
      </c>
      <c r="S408" s="360">
        <f t="shared" si="68"/>
        <v>0.95890410958904049</v>
      </c>
      <c r="T408" s="361">
        <f t="shared" si="69"/>
        <v>0.10555555555555554</v>
      </c>
      <c r="U408" s="362">
        <f t="shared" si="63"/>
        <v>1717.9166666666665</v>
      </c>
      <c r="V408" s="362">
        <f t="shared" si="72"/>
        <v>1049.1666666666674</v>
      </c>
      <c r="W408" s="362">
        <f t="shared" si="70"/>
        <v>814</v>
      </c>
      <c r="X408" s="742">
        <f t="shared" si="73"/>
        <v>235.16666666666742</v>
      </c>
    </row>
    <row r="409" spans="1:24" ht="13.9">
      <c r="A409" s="349">
        <f t="shared" si="71"/>
        <v>401</v>
      </c>
      <c r="B409" s="385" t="s">
        <v>328</v>
      </c>
      <c r="C409" s="350"/>
      <c r="D409" s="350"/>
      <c r="E409" s="350"/>
      <c r="F409" s="349"/>
      <c r="G409" s="386">
        <v>42424</v>
      </c>
      <c r="H409" s="352">
        <v>12288</v>
      </c>
      <c r="I409" s="353" t="s">
        <v>1379</v>
      </c>
      <c r="J409" s="353" t="s">
        <v>1379</v>
      </c>
      <c r="K409" s="354">
        <f t="shared" si="65"/>
        <v>12288</v>
      </c>
      <c r="L409" s="387">
        <v>42424</v>
      </c>
      <c r="M409" s="742">
        <v>10352.066666666666</v>
      </c>
      <c r="N409" s="352">
        <f t="shared" si="74"/>
        <v>1935.9333333333343</v>
      </c>
      <c r="O409" s="357">
        <f t="shared" si="66"/>
        <v>2959</v>
      </c>
      <c r="P409" s="357">
        <v>9</v>
      </c>
      <c r="Q409" s="358">
        <f t="shared" si="64"/>
        <v>8.1068493150684926</v>
      </c>
      <c r="R409" s="359">
        <f t="shared" si="67"/>
        <v>0.8931506849315074</v>
      </c>
      <c r="S409" s="360">
        <f t="shared" si="68"/>
        <v>0.8931506849315074</v>
      </c>
      <c r="T409" s="361">
        <f t="shared" si="69"/>
        <v>0.10555555555555554</v>
      </c>
      <c r="U409" s="362">
        <f t="shared" si="63"/>
        <v>1297.0666666666666</v>
      </c>
      <c r="V409" s="362">
        <f t="shared" si="72"/>
        <v>638.8666666666677</v>
      </c>
      <c r="W409" s="362">
        <f t="shared" si="70"/>
        <v>614</v>
      </c>
      <c r="X409" s="742">
        <f t="shared" si="73"/>
        <v>24.866666666667697</v>
      </c>
    </row>
    <row r="410" spans="1:24" ht="13.9">
      <c r="A410" s="349">
        <f t="shared" si="71"/>
        <v>402</v>
      </c>
      <c r="B410" s="385" t="s">
        <v>71</v>
      </c>
      <c r="C410" s="350"/>
      <c r="D410" s="350"/>
      <c r="E410" s="350"/>
      <c r="F410" s="349"/>
      <c r="G410" s="386">
        <v>42277</v>
      </c>
      <c r="H410" s="352">
        <v>2757498</v>
      </c>
      <c r="I410" s="353" t="s">
        <v>1379</v>
      </c>
      <c r="J410" s="353" t="s">
        <v>1379</v>
      </c>
      <c r="K410" s="354">
        <f t="shared" si="65"/>
        <v>2757498</v>
      </c>
      <c r="L410" s="387">
        <v>42277</v>
      </c>
      <c r="M410" s="742">
        <v>2184121.2333333334</v>
      </c>
      <c r="N410" s="352">
        <f t="shared" si="74"/>
        <v>573376.7666666666</v>
      </c>
      <c r="O410" s="357">
        <f t="shared" si="66"/>
        <v>3106</v>
      </c>
      <c r="P410" s="357">
        <v>9</v>
      </c>
      <c r="Q410" s="358">
        <f t="shared" si="64"/>
        <v>8.5095890410958912</v>
      </c>
      <c r="R410" s="359">
        <f t="shared" si="67"/>
        <v>0.4904109589041088</v>
      </c>
      <c r="S410" s="360">
        <f t="shared" si="68"/>
        <v>0.4904109589041088</v>
      </c>
      <c r="T410" s="361">
        <f t="shared" si="69"/>
        <v>0.10555555555555554</v>
      </c>
      <c r="U410" s="362">
        <f t="shared" si="63"/>
        <v>291069.23333333328</v>
      </c>
      <c r="V410" s="362">
        <f t="shared" si="72"/>
        <v>282307.53333333333</v>
      </c>
      <c r="W410" s="362">
        <f t="shared" si="70"/>
        <v>137875</v>
      </c>
      <c r="X410" s="742">
        <f t="shared" si="73"/>
        <v>144432.53333333333</v>
      </c>
    </row>
    <row r="411" spans="1:24" ht="13.9">
      <c r="A411" s="349">
        <f t="shared" si="71"/>
        <v>403</v>
      </c>
      <c r="B411" s="385" t="s">
        <v>71</v>
      </c>
      <c r="C411" s="350"/>
      <c r="D411" s="350"/>
      <c r="E411" s="350"/>
      <c r="F411" s="349"/>
      <c r="G411" s="386">
        <v>42277</v>
      </c>
      <c r="H411" s="352">
        <v>2757498</v>
      </c>
      <c r="I411" s="353" t="s">
        <v>1379</v>
      </c>
      <c r="J411" s="353" t="s">
        <v>1379</v>
      </c>
      <c r="K411" s="354">
        <f t="shared" si="65"/>
        <v>2757498</v>
      </c>
      <c r="L411" s="387">
        <v>42277</v>
      </c>
      <c r="M411" s="742">
        <v>2184121.2333333334</v>
      </c>
      <c r="N411" s="352">
        <f t="shared" si="74"/>
        <v>573376.7666666666</v>
      </c>
      <c r="O411" s="357">
        <f t="shared" si="66"/>
        <v>3106</v>
      </c>
      <c r="P411" s="357">
        <v>9</v>
      </c>
      <c r="Q411" s="358">
        <f t="shared" si="64"/>
        <v>8.5095890410958912</v>
      </c>
      <c r="R411" s="359">
        <f t="shared" si="67"/>
        <v>0.4904109589041088</v>
      </c>
      <c r="S411" s="360">
        <f t="shared" si="68"/>
        <v>0.4904109589041088</v>
      </c>
      <c r="T411" s="361">
        <f t="shared" si="69"/>
        <v>0.10555555555555554</v>
      </c>
      <c r="U411" s="362">
        <f t="shared" si="63"/>
        <v>291069.23333333328</v>
      </c>
      <c r="V411" s="362">
        <f t="shared" si="72"/>
        <v>282307.53333333333</v>
      </c>
      <c r="W411" s="362">
        <f t="shared" si="70"/>
        <v>137875</v>
      </c>
      <c r="X411" s="742">
        <f t="shared" si="73"/>
        <v>144432.53333333333</v>
      </c>
    </row>
    <row r="412" spans="1:24" ht="13.9">
      <c r="A412" s="349">
        <f t="shared" si="71"/>
        <v>404</v>
      </c>
      <c r="B412" s="385" t="s">
        <v>71</v>
      </c>
      <c r="C412" s="350"/>
      <c r="D412" s="350"/>
      <c r="E412" s="350"/>
      <c r="F412" s="349"/>
      <c r="G412" s="386">
        <v>42277</v>
      </c>
      <c r="H412" s="352">
        <v>2757499</v>
      </c>
      <c r="I412" s="353" t="s">
        <v>1379</v>
      </c>
      <c r="J412" s="353" t="s">
        <v>1379</v>
      </c>
      <c r="K412" s="354">
        <f t="shared" si="65"/>
        <v>2757499</v>
      </c>
      <c r="L412" s="387">
        <v>42277</v>
      </c>
      <c r="M412" s="742">
        <v>2184122.3388888887</v>
      </c>
      <c r="N412" s="352">
        <f t="shared" si="74"/>
        <v>573376.66111111129</v>
      </c>
      <c r="O412" s="357">
        <f t="shared" si="66"/>
        <v>3106</v>
      </c>
      <c r="P412" s="357">
        <v>9</v>
      </c>
      <c r="Q412" s="358">
        <f t="shared" si="64"/>
        <v>8.5095890410958912</v>
      </c>
      <c r="R412" s="359">
        <f t="shared" si="67"/>
        <v>0.4904109589041088</v>
      </c>
      <c r="S412" s="360">
        <f t="shared" si="68"/>
        <v>0.4904109589041088</v>
      </c>
      <c r="T412" s="361">
        <f t="shared" si="69"/>
        <v>0.10555555555555554</v>
      </c>
      <c r="U412" s="362">
        <f t="shared" si="63"/>
        <v>291069.33888888883</v>
      </c>
      <c r="V412" s="362">
        <f t="shared" si="72"/>
        <v>282307.32222222246</v>
      </c>
      <c r="W412" s="362">
        <f t="shared" si="70"/>
        <v>137875</v>
      </c>
      <c r="X412" s="742">
        <f t="shared" si="73"/>
        <v>144432.32222222246</v>
      </c>
    </row>
    <row r="413" spans="1:24" ht="13.9">
      <c r="A413" s="349">
        <f t="shared" si="71"/>
        <v>405</v>
      </c>
      <c r="B413" s="385" t="s">
        <v>71</v>
      </c>
      <c r="C413" s="350"/>
      <c r="D413" s="350"/>
      <c r="E413" s="350"/>
      <c r="F413" s="349"/>
      <c r="G413" s="386">
        <v>42277</v>
      </c>
      <c r="H413" s="352">
        <v>2757499</v>
      </c>
      <c r="I413" s="353" t="s">
        <v>1379</v>
      </c>
      <c r="J413" s="353" t="s">
        <v>1379</v>
      </c>
      <c r="K413" s="354">
        <f t="shared" si="65"/>
        <v>2757499</v>
      </c>
      <c r="L413" s="387">
        <v>42277</v>
      </c>
      <c r="M413" s="742">
        <v>2184122.3388888887</v>
      </c>
      <c r="N413" s="352">
        <f t="shared" si="74"/>
        <v>573376.66111111129</v>
      </c>
      <c r="O413" s="357">
        <f t="shared" si="66"/>
        <v>3106</v>
      </c>
      <c r="P413" s="357">
        <v>9</v>
      </c>
      <c r="Q413" s="358">
        <f t="shared" si="64"/>
        <v>8.5095890410958912</v>
      </c>
      <c r="R413" s="359">
        <f t="shared" si="67"/>
        <v>0.4904109589041088</v>
      </c>
      <c r="S413" s="360">
        <f t="shared" si="68"/>
        <v>0.4904109589041088</v>
      </c>
      <c r="T413" s="361">
        <f t="shared" si="69"/>
        <v>0.10555555555555554</v>
      </c>
      <c r="U413" s="362">
        <f t="shared" si="63"/>
        <v>291069.33888888883</v>
      </c>
      <c r="V413" s="362">
        <f t="shared" si="72"/>
        <v>282307.32222222246</v>
      </c>
      <c r="W413" s="362">
        <f t="shared" si="70"/>
        <v>137875</v>
      </c>
      <c r="X413" s="742">
        <f t="shared" si="73"/>
        <v>144432.32222222246</v>
      </c>
    </row>
    <row r="414" spans="1:24" ht="13.9">
      <c r="A414" s="349">
        <f t="shared" si="71"/>
        <v>406</v>
      </c>
      <c r="B414" s="385" t="s">
        <v>71</v>
      </c>
      <c r="C414" s="350"/>
      <c r="D414" s="350"/>
      <c r="E414" s="350"/>
      <c r="F414" s="349"/>
      <c r="G414" s="386">
        <v>42277</v>
      </c>
      <c r="H414" s="352">
        <v>2757499</v>
      </c>
      <c r="I414" s="353" t="s">
        <v>1379</v>
      </c>
      <c r="J414" s="353" t="s">
        <v>1379</v>
      </c>
      <c r="K414" s="354">
        <f t="shared" si="65"/>
        <v>2757499</v>
      </c>
      <c r="L414" s="387">
        <v>42277</v>
      </c>
      <c r="M414" s="742">
        <v>2184122.3388888887</v>
      </c>
      <c r="N414" s="352">
        <f t="shared" si="74"/>
        <v>573376.66111111129</v>
      </c>
      <c r="O414" s="357">
        <f t="shared" si="66"/>
        <v>3106</v>
      </c>
      <c r="P414" s="357">
        <v>9</v>
      </c>
      <c r="Q414" s="358">
        <f t="shared" si="64"/>
        <v>8.5095890410958912</v>
      </c>
      <c r="R414" s="359">
        <f t="shared" si="67"/>
        <v>0.4904109589041088</v>
      </c>
      <c r="S414" s="360">
        <f t="shared" si="68"/>
        <v>0.4904109589041088</v>
      </c>
      <c r="T414" s="361">
        <f t="shared" si="69"/>
        <v>0.10555555555555554</v>
      </c>
      <c r="U414" s="362">
        <f t="shared" si="63"/>
        <v>291069.33888888883</v>
      </c>
      <c r="V414" s="362">
        <f t="shared" si="72"/>
        <v>282307.32222222246</v>
      </c>
      <c r="W414" s="362">
        <f t="shared" si="70"/>
        <v>137875</v>
      </c>
      <c r="X414" s="742">
        <f t="shared" si="73"/>
        <v>144432.32222222246</v>
      </c>
    </row>
    <row r="415" spans="1:24" ht="13.9">
      <c r="A415" s="349">
        <f t="shared" si="71"/>
        <v>407</v>
      </c>
      <c r="B415" s="385" t="s">
        <v>71</v>
      </c>
      <c r="C415" s="350"/>
      <c r="D415" s="350"/>
      <c r="E415" s="350"/>
      <c r="F415" s="349"/>
      <c r="G415" s="386">
        <v>42277</v>
      </c>
      <c r="H415" s="352">
        <v>2757499</v>
      </c>
      <c r="I415" s="353" t="s">
        <v>1379</v>
      </c>
      <c r="J415" s="353" t="s">
        <v>1379</v>
      </c>
      <c r="K415" s="354">
        <f t="shared" si="65"/>
        <v>2757499</v>
      </c>
      <c r="L415" s="387">
        <v>42277</v>
      </c>
      <c r="M415" s="742">
        <v>2184122.3388888887</v>
      </c>
      <c r="N415" s="352">
        <f t="shared" si="74"/>
        <v>573376.66111111129</v>
      </c>
      <c r="O415" s="357">
        <f t="shared" si="66"/>
        <v>3106</v>
      </c>
      <c r="P415" s="357">
        <v>9</v>
      </c>
      <c r="Q415" s="358">
        <f t="shared" si="64"/>
        <v>8.5095890410958912</v>
      </c>
      <c r="R415" s="359">
        <f t="shared" si="67"/>
        <v>0.4904109589041088</v>
      </c>
      <c r="S415" s="360">
        <f t="shared" si="68"/>
        <v>0.4904109589041088</v>
      </c>
      <c r="T415" s="361">
        <f t="shared" si="69"/>
        <v>0.10555555555555554</v>
      </c>
      <c r="U415" s="362">
        <f t="shared" si="63"/>
        <v>291069.33888888883</v>
      </c>
      <c r="V415" s="362">
        <f t="shared" si="72"/>
        <v>282307.32222222246</v>
      </c>
      <c r="W415" s="362">
        <f t="shared" si="70"/>
        <v>137875</v>
      </c>
      <c r="X415" s="742">
        <f t="shared" si="73"/>
        <v>144432.32222222246</v>
      </c>
    </row>
    <row r="416" spans="1:24" ht="13.9">
      <c r="A416" s="349">
        <f t="shared" si="71"/>
        <v>408</v>
      </c>
      <c r="B416" s="385" t="s">
        <v>71</v>
      </c>
      <c r="C416" s="350"/>
      <c r="D416" s="350"/>
      <c r="E416" s="350"/>
      <c r="F416" s="349"/>
      <c r="G416" s="386">
        <v>42277</v>
      </c>
      <c r="H416" s="352">
        <v>2757499</v>
      </c>
      <c r="I416" s="353" t="s">
        <v>1379</v>
      </c>
      <c r="J416" s="353" t="s">
        <v>1379</v>
      </c>
      <c r="K416" s="354">
        <f t="shared" si="65"/>
        <v>2757499</v>
      </c>
      <c r="L416" s="387">
        <v>42277</v>
      </c>
      <c r="M416" s="742">
        <v>2184122.3388888887</v>
      </c>
      <c r="N416" s="352">
        <f t="shared" si="74"/>
        <v>573376.66111111129</v>
      </c>
      <c r="O416" s="357">
        <f t="shared" si="66"/>
        <v>3106</v>
      </c>
      <c r="P416" s="357">
        <v>9</v>
      </c>
      <c r="Q416" s="358">
        <f t="shared" si="64"/>
        <v>8.5095890410958912</v>
      </c>
      <c r="R416" s="359">
        <f t="shared" si="67"/>
        <v>0.4904109589041088</v>
      </c>
      <c r="S416" s="360">
        <f t="shared" si="68"/>
        <v>0.4904109589041088</v>
      </c>
      <c r="T416" s="361">
        <f t="shared" si="69"/>
        <v>0.10555555555555554</v>
      </c>
      <c r="U416" s="362">
        <f t="shared" si="63"/>
        <v>291069.33888888883</v>
      </c>
      <c r="V416" s="362">
        <f t="shared" si="72"/>
        <v>282307.32222222246</v>
      </c>
      <c r="W416" s="362">
        <f t="shared" si="70"/>
        <v>137875</v>
      </c>
      <c r="X416" s="742">
        <f t="shared" si="73"/>
        <v>144432.32222222246</v>
      </c>
    </row>
    <row r="417" spans="1:24" ht="13.9">
      <c r="A417" s="349">
        <f t="shared" si="71"/>
        <v>409</v>
      </c>
      <c r="B417" s="385" t="s">
        <v>71</v>
      </c>
      <c r="C417" s="350"/>
      <c r="D417" s="350"/>
      <c r="E417" s="350"/>
      <c r="F417" s="349"/>
      <c r="G417" s="386">
        <v>42277</v>
      </c>
      <c r="H417" s="352">
        <v>2757499</v>
      </c>
      <c r="I417" s="353" t="s">
        <v>1379</v>
      </c>
      <c r="J417" s="353" t="s">
        <v>1379</v>
      </c>
      <c r="K417" s="354">
        <f t="shared" si="65"/>
        <v>2757499</v>
      </c>
      <c r="L417" s="387">
        <v>42277</v>
      </c>
      <c r="M417" s="742">
        <v>2184122.3388888887</v>
      </c>
      <c r="N417" s="352">
        <f t="shared" si="74"/>
        <v>573376.66111111129</v>
      </c>
      <c r="O417" s="357">
        <f t="shared" si="66"/>
        <v>3106</v>
      </c>
      <c r="P417" s="357">
        <v>9</v>
      </c>
      <c r="Q417" s="358">
        <f t="shared" si="64"/>
        <v>8.5095890410958912</v>
      </c>
      <c r="R417" s="359">
        <f t="shared" si="67"/>
        <v>0.4904109589041088</v>
      </c>
      <c r="S417" s="360">
        <f t="shared" si="68"/>
        <v>0.4904109589041088</v>
      </c>
      <c r="T417" s="361">
        <f t="shared" si="69"/>
        <v>0.10555555555555554</v>
      </c>
      <c r="U417" s="362">
        <f t="shared" si="63"/>
        <v>291069.33888888883</v>
      </c>
      <c r="V417" s="362">
        <f t="shared" si="72"/>
        <v>282307.32222222246</v>
      </c>
      <c r="W417" s="362">
        <f t="shared" si="70"/>
        <v>137875</v>
      </c>
      <c r="X417" s="742">
        <f t="shared" si="73"/>
        <v>144432.32222222246</v>
      </c>
    </row>
    <row r="418" spans="1:24" ht="13.9">
      <c r="A418" s="349">
        <f t="shared" si="71"/>
        <v>410</v>
      </c>
      <c r="B418" s="385" t="s">
        <v>71</v>
      </c>
      <c r="C418" s="350"/>
      <c r="D418" s="350"/>
      <c r="E418" s="350"/>
      <c r="F418" s="349"/>
      <c r="G418" s="386">
        <v>42277</v>
      </c>
      <c r="H418" s="352">
        <v>2757499</v>
      </c>
      <c r="I418" s="353" t="s">
        <v>1379</v>
      </c>
      <c r="J418" s="353" t="s">
        <v>1379</v>
      </c>
      <c r="K418" s="354">
        <f t="shared" si="65"/>
        <v>2757499</v>
      </c>
      <c r="L418" s="387">
        <v>42277</v>
      </c>
      <c r="M418" s="742">
        <v>2184122.3388888887</v>
      </c>
      <c r="N418" s="352">
        <f t="shared" si="74"/>
        <v>573376.66111111129</v>
      </c>
      <c r="O418" s="357">
        <f t="shared" si="66"/>
        <v>3106</v>
      </c>
      <c r="P418" s="357">
        <v>9</v>
      </c>
      <c r="Q418" s="358">
        <f t="shared" si="64"/>
        <v>8.5095890410958912</v>
      </c>
      <c r="R418" s="359">
        <f t="shared" si="67"/>
        <v>0.4904109589041088</v>
      </c>
      <c r="S418" s="360">
        <f t="shared" si="68"/>
        <v>0.4904109589041088</v>
      </c>
      <c r="T418" s="361">
        <f t="shared" si="69"/>
        <v>0.10555555555555554</v>
      </c>
      <c r="U418" s="362">
        <f t="shared" si="63"/>
        <v>291069.33888888883</v>
      </c>
      <c r="V418" s="362">
        <f t="shared" si="72"/>
        <v>282307.32222222246</v>
      </c>
      <c r="W418" s="362">
        <f t="shared" si="70"/>
        <v>137875</v>
      </c>
      <c r="X418" s="742">
        <f t="shared" si="73"/>
        <v>144432.32222222246</v>
      </c>
    </row>
    <row r="419" spans="1:24" ht="13.9">
      <c r="A419" s="349">
        <f t="shared" si="71"/>
        <v>411</v>
      </c>
      <c r="B419" s="385" t="s">
        <v>71</v>
      </c>
      <c r="C419" s="350"/>
      <c r="D419" s="350"/>
      <c r="E419" s="350"/>
      <c r="F419" s="349"/>
      <c r="G419" s="386">
        <v>42277</v>
      </c>
      <c r="H419" s="352">
        <v>2757499</v>
      </c>
      <c r="I419" s="353" t="s">
        <v>1379</v>
      </c>
      <c r="J419" s="353" t="s">
        <v>1379</v>
      </c>
      <c r="K419" s="354">
        <f t="shared" si="65"/>
        <v>2757499</v>
      </c>
      <c r="L419" s="387">
        <v>42277</v>
      </c>
      <c r="M419" s="742">
        <v>2184122.3388888887</v>
      </c>
      <c r="N419" s="352">
        <f t="shared" si="74"/>
        <v>573376.66111111129</v>
      </c>
      <c r="O419" s="357">
        <f t="shared" si="66"/>
        <v>3106</v>
      </c>
      <c r="P419" s="357">
        <v>9</v>
      </c>
      <c r="Q419" s="358">
        <f t="shared" si="64"/>
        <v>8.5095890410958912</v>
      </c>
      <c r="R419" s="359">
        <f t="shared" si="67"/>
        <v>0.4904109589041088</v>
      </c>
      <c r="S419" s="360">
        <f t="shared" si="68"/>
        <v>0.4904109589041088</v>
      </c>
      <c r="T419" s="361">
        <f t="shared" si="69"/>
        <v>0.10555555555555554</v>
      </c>
      <c r="U419" s="362">
        <f t="shared" si="63"/>
        <v>291069.33888888883</v>
      </c>
      <c r="V419" s="362">
        <f t="shared" si="72"/>
        <v>282307.32222222246</v>
      </c>
      <c r="W419" s="362">
        <f t="shared" si="70"/>
        <v>137875</v>
      </c>
      <c r="X419" s="742">
        <f t="shared" si="73"/>
        <v>144432.32222222246</v>
      </c>
    </row>
    <row r="420" spans="1:24" ht="13.9">
      <c r="A420" s="349">
        <f t="shared" si="71"/>
        <v>412</v>
      </c>
      <c r="B420" s="385" t="s">
        <v>583</v>
      </c>
      <c r="C420" s="350"/>
      <c r="D420" s="350"/>
      <c r="E420" s="350"/>
      <c r="F420" s="349"/>
      <c r="G420" s="386">
        <v>42171</v>
      </c>
      <c r="H420" s="352">
        <v>626900</v>
      </c>
      <c r="I420" s="353" t="s">
        <v>1379</v>
      </c>
      <c r="J420" s="353" t="s">
        <v>1379</v>
      </c>
      <c r="K420" s="354">
        <f t="shared" si="65"/>
        <v>626900</v>
      </c>
      <c r="L420" s="387">
        <v>42171</v>
      </c>
      <c r="M420" s="742">
        <v>515762.77777777775</v>
      </c>
      <c r="N420" s="352">
        <f t="shared" si="74"/>
        <v>111137.22222222225</v>
      </c>
      <c r="O420" s="357">
        <f t="shared" si="66"/>
        <v>3212</v>
      </c>
      <c r="P420" s="357">
        <v>9</v>
      </c>
      <c r="Q420" s="358">
        <f t="shared" si="64"/>
        <v>8.8000000000000007</v>
      </c>
      <c r="R420" s="359">
        <f t="shared" si="67"/>
        <v>0.19999999999999929</v>
      </c>
      <c r="S420" s="360">
        <f t="shared" si="68"/>
        <v>0.19999999999999929</v>
      </c>
      <c r="T420" s="361">
        <f t="shared" si="69"/>
        <v>0.10555555555555554</v>
      </c>
      <c r="U420" s="362">
        <f t="shared" si="63"/>
        <v>66172.777777777766</v>
      </c>
      <c r="V420" s="362">
        <f t="shared" si="72"/>
        <v>44964.444444444482</v>
      </c>
      <c r="W420" s="362">
        <f t="shared" si="70"/>
        <v>31345</v>
      </c>
      <c r="X420" s="742">
        <f t="shared" si="73"/>
        <v>13619.444444444482</v>
      </c>
    </row>
    <row r="421" spans="1:24" ht="13.9">
      <c r="A421" s="349">
        <f t="shared" si="71"/>
        <v>413</v>
      </c>
      <c r="B421" s="385" t="s">
        <v>583</v>
      </c>
      <c r="C421" s="350"/>
      <c r="D421" s="350"/>
      <c r="E421" s="350"/>
      <c r="F421" s="349"/>
      <c r="G421" s="386">
        <v>42173</v>
      </c>
      <c r="H421" s="352">
        <v>1369211</v>
      </c>
      <c r="I421" s="353" t="s">
        <v>1379</v>
      </c>
      <c r="J421" s="353" t="s">
        <v>1379</v>
      </c>
      <c r="K421" s="354">
        <f t="shared" si="65"/>
        <v>1369211</v>
      </c>
      <c r="L421" s="387">
        <v>42173</v>
      </c>
      <c r="M421" s="742">
        <v>1125684.8277777778</v>
      </c>
      <c r="N421" s="352">
        <f t="shared" si="74"/>
        <v>243526.1722222222</v>
      </c>
      <c r="O421" s="357">
        <f t="shared" si="66"/>
        <v>3210</v>
      </c>
      <c r="P421" s="357">
        <v>9</v>
      </c>
      <c r="Q421" s="358">
        <f t="shared" si="64"/>
        <v>8.794520547945206</v>
      </c>
      <c r="R421" s="359">
        <f t="shared" si="67"/>
        <v>0.20547945205479401</v>
      </c>
      <c r="S421" s="360">
        <f t="shared" si="68"/>
        <v>0.20547945205479401</v>
      </c>
      <c r="T421" s="361">
        <f t="shared" si="69"/>
        <v>0.10555555555555554</v>
      </c>
      <c r="U421" s="362">
        <f t="shared" si="63"/>
        <v>144527.82777777777</v>
      </c>
      <c r="V421" s="362">
        <f t="shared" si="72"/>
        <v>98998.344444444432</v>
      </c>
      <c r="W421" s="362">
        <f t="shared" si="70"/>
        <v>68461</v>
      </c>
      <c r="X421" s="742">
        <f t="shared" si="73"/>
        <v>30537.344444444432</v>
      </c>
    </row>
    <row r="422" spans="1:24" ht="13.9">
      <c r="A422" s="349">
        <f t="shared" si="71"/>
        <v>414</v>
      </c>
      <c r="B422" s="385" t="s">
        <v>583</v>
      </c>
      <c r="C422" s="350"/>
      <c r="D422" s="350"/>
      <c r="E422" s="350"/>
      <c r="F422" s="349"/>
      <c r="G422" s="386">
        <v>42173</v>
      </c>
      <c r="H422" s="352">
        <v>1313445</v>
      </c>
      <c r="I422" s="353" t="s">
        <v>1379</v>
      </c>
      <c r="J422" s="353" t="s">
        <v>1379</v>
      </c>
      <c r="K422" s="354">
        <f t="shared" si="65"/>
        <v>1313445</v>
      </c>
      <c r="L422" s="387">
        <v>42173</v>
      </c>
      <c r="M422" s="742">
        <v>1079837.4166666667</v>
      </c>
      <c r="N422" s="352">
        <f t="shared" si="74"/>
        <v>233607.58333333326</v>
      </c>
      <c r="O422" s="357">
        <f t="shared" si="66"/>
        <v>3210</v>
      </c>
      <c r="P422" s="357">
        <v>9</v>
      </c>
      <c r="Q422" s="358">
        <f t="shared" si="64"/>
        <v>8.794520547945206</v>
      </c>
      <c r="R422" s="359">
        <f t="shared" si="67"/>
        <v>0.20547945205479401</v>
      </c>
      <c r="S422" s="360">
        <f t="shared" si="68"/>
        <v>0.20547945205479401</v>
      </c>
      <c r="T422" s="361">
        <f t="shared" si="69"/>
        <v>0.10555555555555554</v>
      </c>
      <c r="U422" s="362">
        <f t="shared" si="63"/>
        <v>138641.41666666666</v>
      </c>
      <c r="V422" s="362">
        <f t="shared" si="72"/>
        <v>94966.166666666599</v>
      </c>
      <c r="W422" s="362">
        <f t="shared" si="70"/>
        <v>65672</v>
      </c>
      <c r="X422" s="742">
        <f t="shared" si="73"/>
        <v>29294.166666666599</v>
      </c>
    </row>
    <row r="423" spans="1:24" ht="13.9">
      <c r="A423" s="349">
        <f t="shared" si="71"/>
        <v>415</v>
      </c>
      <c r="B423" s="385" t="s">
        <v>1894</v>
      </c>
      <c r="C423" s="350"/>
      <c r="D423" s="350"/>
      <c r="E423" s="350"/>
      <c r="F423" s="349"/>
      <c r="G423" s="386">
        <v>42144</v>
      </c>
      <c r="H423" s="352">
        <v>13500</v>
      </c>
      <c r="I423" s="353" t="s">
        <v>1379</v>
      </c>
      <c r="J423" s="353" t="s">
        <v>1379</v>
      </c>
      <c r="K423" s="354">
        <f t="shared" si="65"/>
        <v>13500</v>
      </c>
      <c r="L423" s="387">
        <v>42144</v>
      </c>
      <c r="M423" s="742">
        <v>11212</v>
      </c>
      <c r="N423" s="352">
        <f t="shared" si="74"/>
        <v>2288</v>
      </c>
      <c r="O423" s="357">
        <f t="shared" si="66"/>
        <v>3239</v>
      </c>
      <c r="P423" s="357">
        <v>9</v>
      </c>
      <c r="Q423" s="358">
        <f t="shared" si="64"/>
        <v>8.8739726027397268</v>
      </c>
      <c r="R423" s="359">
        <f t="shared" si="67"/>
        <v>0.12602739726027323</v>
      </c>
      <c r="S423" s="360">
        <f t="shared" si="68"/>
        <v>0.12602739726027323</v>
      </c>
      <c r="T423" s="361">
        <f t="shared" si="69"/>
        <v>0.10555555555555554</v>
      </c>
      <c r="U423" s="362">
        <f t="shared" si="63"/>
        <v>1424.9999999999998</v>
      </c>
      <c r="V423" s="362">
        <f t="shared" si="72"/>
        <v>863.00000000000023</v>
      </c>
      <c r="W423" s="362">
        <f t="shared" si="70"/>
        <v>675</v>
      </c>
      <c r="X423" s="742">
        <f t="shared" si="73"/>
        <v>188.00000000000023</v>
      </c>
    </row>
    <row r="424" spans="1:24" ht="13.9">
      <c r="A424" s="349">
        <f t="shared" si="71"/>
        <v>416</v>
      </c>
      <c r="B424" s="385" t="s">
        <v>1894</v>
      </c>
      <c r="C424" s="350"/>
      <c r="D424" s="350"/>
      <c r="E424" s="350"/>
      <c r="F424" s="349"/>
      <c r="G424" s="386">
        <v>42348</v>
      </c>
      <c r="H424" s="352">
        <v>17000</v>
      </c>
      <c r="I424" s="353" t="s">
        <v>1379</v>
      </c>
      <c r="J424" s="353" t="s">
        <v>1379</v>
      </c>
      <c r="K424" s="354">
        <f t="shared" si="65"/>
        <v>17000</v>
      </c>
      <c r="L424" s="387">
        <v>42348</v>
      </c>
      <c r="M424" s="742">
        <v>13116.444444444443</v>
      </c>
      <c r="N424" s="352">
        <f t="shared" si="74"/>
        <v>3883.5555555555566</v>
      </c>
      <c r="O424" s="357">
        <f t="shared" si="66"/>
        <v>3035</v>
      </c>
      <c r="P424" s="357">
        <v>9</v>
      </c>
      <c r="Q424" s="358">
        <f t="shared" si="64"/>
        <v>8.3150684931506849</v>
      </c>
      <c r="R424" s="359">
        <f t="shared" si="67"/>
        <v>0.68493150684931514</v>
      </c>
      <c r="S424" s="360">
        <f t="shared" si="68"/>
        <v>0.68493150684931514</v>
      </c>
      <c r="T424" s="361">
        <f t="shared" si="69"/>
        <v>0.10555555555555554</v>
      </c>
      <c r="U424" s="362">
        <f t="shared" si="63"/>
        <v>1794.4444444444441</v>
      </c>
      <c r="V424" s="362">
        <f t="shared" si="72"/>
        <v>2089.1111111111122</v>
      </c>
      <c r="W424" s="362">
        <f t="shared" si="70"/>
        <v>850</v>
      </c>
      <c r="X424" s="742">
        <f t="shared" si="73"/>
        <v>1239.1111111111122</v>
      </c>
    </row>
    <row r="425" spans="1:24" ht="13.9">
      <c r="A425" s="349">
        <f t="shared" si="71"/>
        <v>417</v>
      </c>
      <c r="B425" s="385" t="s">
        <v>1894</v>
      </c>
      <c r="C425" s="350"/>
      <c r="D425" s="350"/>
      <c r="E425" s="350"/>
      <c r="F425" s="349"/>
      <c r="G425" s="386">
        <v>42284</v>
      </c>
      <c r="H425" s="352">
        <v>118269</v>
      </c>
      <c r="I425" s="353" t="s">
        <v>1379</v>
      </c>
      <c r="J425" s="353" t="s">
        <v>1379</v>
      </c>
      <c r="K425" s="354">
        <f t="shared" si="65"/>
        <v>118269</v>
      </c>
      <c r="L425" s="387">
        <v>42284</v>
      </c>
      <c r="M425" s="742">
        <v>93437.95</v>
      </c>
      <c r="N425" s="352">
        <f t="shared" si="74"/>
        <v>24831.050000000003</v>
      </c>
      <c r="O425" s="357">
        <f t="shared" si="66"/>
        <v>3099</v>
      </c>
      <c r="P425" s="357">
        <v>9</v>
      </c>
      <c r="Q425" s="358">
        <f t="shared" si="64"/>
        <v>8.4904109589041088</v>
      </c>
      <c r="R425" s="359">
        <f t="shared" si="67"/>
        <v>0.5095890410958912</v>
      </c>
      <c r="S425" s="360">
        <f t="shared" si="68"/>
        <v>0.5095890410958912</v>
      </c>
      <c r="T425" s="361">
        <f t="shared" si="69"/>
        <v>0.10555555555555554</v>
      </c>
      <c r="U425" s="362">
        <f t="shared" si="63"/>
        <v>12483.949999999999</v>
      </c>
      <c r="V425" s="362">
        <f t="shared" si="72"/>
        <v>12347.100000000004</v>
      </c>
      <c r="W425" s="362">
        <f t="shared" si="70"/>
        <v>5913</v>
      </c>
      <c r="X425" s="742">
        <f t="shared" si="73"/>
        <v>6434.100000000004</v>
      </c>
    </row>
    <row r="426" spans="1:24" ht="13.9">
      <c r="A426" s="349">
        <f t="shared" si="71"/>
        <v>418</v>
      </c>
      <c r="B426" s="385" t="s">
        <v>1894</v>
      </c>
      <c r="C426" s="350"/>
      <c r="D426" s="350"/>
      <c r="E426" s="350"/>
      <c r="F426" s="349"/>
      <c r="G426" s="386">
        <v>42378</v>
      </c>
      <c r="H426" s="352">
        <v>16733</v>
      </c>
      <c r="I426" s="353" t="s">
        <v>1379</v>
      </c>
      <c r="J426" s="353" t="s">
        <v>1379</v>
      </c>
      <c r="K426" s="354">
        <f t="shared" si="65"/>
        <v>16733</v>
      </c>
      <c r="L426" s="387">
        <v>42378</v>
      </c>
      <c r="M426" s="742">
        <v>12765.261111111111</v>
      </c>
      <c r="N426" s="352">
        <f t="shared" si="74"/>
        <v>3967.7388888888891</v>
      </c>
      <c r="O426" s="357">
        <f t="shared" si="66"/>
        <v>3005</v>
      </c>
      <c r="P426" s="357">
        <v>9</v>
      </c>
      <c r="Q426" s="358">
        <f t="shared" si="64"/>
        <v>8.2328767123287676</v>
      </c>
      <c r="R426" s="359">
        <f t="shared" si="67"/>
        <v>0.76712328767123239</v>
      </c>
      <c r="S426" s="360">
        <f t="shared" si="68"/>
        <v>0.76712328767123239</v>
      </c>
      <c r="T426" s="361">
        <f t="shared" si="69"/>
        <v>0.10555555555555554</v>
      </c>
      <c r="U426" s="362">
        <f t="shared" si="63"/>
        <v>1766.2611111111109</v>
      </c>
      <c r="V426" s="362">
        <f t="shared" si="72"/>
        <v>2201.4777777777781</v>
      </c>
      <c r="W426" s="362">
        <f t="shared" si="70"/>
        <v>837</v>
      </c>
      <c r="X426" s="742">
        <f t="shared" si="73"/>
        <v>1364.4777777777781</v>
      </c>
    </row>
    <row r="427" spans="1:24" ht="13.9">
      <c r="A427" s="349">
        <f t="shared" si="71"/>
        <v>419</v>
      </c>
      <c r="B427" s="385" t="s">
        <v>1895</v>
      </c>
      <c r="C427" s="350"/>
      <c r="D427" s="350"/>
      <c r="E427" s="350"/>
      <c r="F427" s="349"/>
      <c r="G427" s="386">
        <v>42401</v>
      </c>
      <c r="H427" s="352">
        <v>252000</v>
      </c>
      <c r="I427" s="353" t="s">
        <v>1379</v>
      </c>
      <c r="J427" s="353" t="s">
        <v>1379</v>
      </c>
      <c r="K427" s="354">
        <f t="shared" si="65"/>
        <v>252000</v>
      </c>
      <c r="L427" s="387">
        <v>42401</v>
      </c>
      <c r="M427" s="742">
        <v>190564</v>
      </c>
      <c r="N427" s="352">
        <f t="shared" si="74"/>
        <v>61436</v>
      </c>
      <c r="O427" s="357">
        <f t="shared" si="66"/>
        <v>2982</v>
      </c>
      <c r="P427" s="357">
        <v>9</v>
      </c>
      <c r="Q427" s="358">
        <f t="shared" si="64"/>
        <v>8.169863013698631</v>
      </c>
      <c r="R427" s="359">
        <f t="shared" si="67"/>
        <v>0.83013698630136901</v>
      </c>
      <c r="S427" s="360">
        <f t="shared" si="68"/>
        <v>0.83013698630136901</v>
      </c>
      <c r="T427" s="361">
        <f t="shared" si="69"/>
        <v>0.10555555555555554</v>
      </c>
      <c r="U427" s="362">
        <f t="shared" si="63"/>
        <v>26599.999999999996</v>
      </c>
      <c r="V427" s="362">
        <f t="shared" si="72"/>
        <v>34836</v>
      </c>
      <c r="W427" s="362">
        <f t="shared" si="70"/>
        <v>12600</v>
      </c>
      <c r="X427" s="742">
        <f t="shared" si="73"/>
        <v>22236</v>
      </c>
    </row>
    <row r="428" spans="1:24" ht="13.9">
      <c r="A428" s="349">
        <f t="shared" si="71"/>
        <v>420</v>
      </c>
      <c r="B428" s="385" t="s">
        <v>1895</v>
      </c>
      <c r="C428" s="350"/>
      <c r="D428" s="350"/>
      <c r="E428" s="350"/>
      <c r="F428" s="349"/>
      <c r="G428" s="386">
        <v>42424</v>
      </c>
      <c r="H428" s="352">
        <v>253200</v>
      </c>
      <c r="I428" s="353" t="s">
        <v>1379</v>
      </c>
      <c r="J428" s="353" t="s">
        <v>1379</v>
      </c>
      <c r="K428" s="354">
        <f t="shared" si="65"/>
        <v>253200</v>
      </c>
      <c r="L428" s="387">
        <v>42424</v>
      </c>
      <c r="M428" s="742">
        <v>189787.66666666666</v>
      </c>
      <c r="N428" s="352">
        <f t="shared" si="74"/>
        <v>63412.333333333343</v>
      </c>
      <c r="O428" s="357">
        <f t="shared" si="66"/>
        <v>2959</v>
      </c>
      <c r="P428" s="357">
        <v>9</v>
      </c>
      <c r="Q428" s="358">
        <f t="shared" si="64"/>
        <v>8.1068493150684926</v>
      </c>
      <c r="R428" s="359">
        <f t="shared" si="67"/>
        <v>0.8931506849315074</v>
      </c>
      <c r="S428" s="360">
        <f t="shared" si="68"/>
        <v>0.8931506849315074</v>
      </c>
      <c r="T428" s="361">
        <f t="shared" si="69"/>
        <v>0.10555555555555554</v>
      </c>
      <c r="U428" s="362">
        <f t="shared" si="63"/>
        <v>26726.666666666664</v>
      </c>
      <c r="V428" s="362">
        <f t="shared" si="72"/>
        <v>36685.666666666679</v>
      </c>
      <c r="W428" s="362">
        <f t="shared" si="70"/>
        <v>12660</v>
      </c>
      <c r="X428" s="742">
        <f t="shared" si="73"/>
        <v>24025.666666666679</v>
      </c>
    </row>
    <row r="429" spans="1:24" ht="13.9">
      <c r="A429" s="349">
        <f t="shared" si="71"/>
        <v>421</v>
      </c>
      <c r="B429" s="385" t="s">
        <v>560</v>
      </c>
      <c r="C429" s="350"/>
      <c r="D429" s="350"/>
      <c r="E429" s="350"/>
      <c r="F429" s="349"/>
      <c r="G429" s="386">
        <v>42209</v>
      </c>
      <c r="H429" s="352">
        <v>565060</v>
      </c>
      <c r="I429" s="353" t="s">
        <v>1379</v>
      </c>
      <c r="J429" s="353" t="s">
        <v>1379</v>
      </c>
      <c r="K429" s="354">
        <f t="shared" si="65"/>
        <v>565060</v>
      </c>
      <c r="L429" s="387">
        <v>42209</v>
      </c>
      <c r="M429" s="742">
        <v>458676.22222222219</v>
      </c>
      <c r="N429" s="352">
        <f t="shared" si="74"/>
        <v>106383.77777777781</v>
      </c>
      <c r="O429" s="357">
        <f t="shared" si="66"/>
        <v>3174</v>
      </c>
      <c r="P429" s="357">
        <v>9</v>
      </c>
      <c r="Q429" s="358">
        <f t="shared" si="64"/>
        <v>8.6958904109589046</v>
      </c>
      <c r="R429" s="359">
        <f t="shared" si="67"/>
        <v>0.30410958904109542</v>
      </c>
      <c r="S429" s="360">
        <f t="shared" si="68"/>
        <v>0.30410958904109542</v>
      </c>
      <c r="T429" s="361">
        <f t="shared" si="69"/>
        <v>0.10555555555555554</v>
      </c>
      <c r="U429" s="362">
        <f t="shared" ref="U429:U492" si="75">+K429*T429</f>
        <v>59645.222222222212</v>
      </c>
      <c r="V429" s="362">
        <f t="shared" si="72"/>
        <v>46738.555555555598</v>
      </c>
      <c r="W429" s="362">
        <f t="shared" si="70"/>
        <v>28253</v>
      </c>
      <c r="X429" s="742">
        <f t="shared" si="73"/>
        <v>18485.555555555598</v>
      </c>
    </row>
    <row r="430" spans="1:24" ht="13.9">
      <c r="A430" s="349">
        <f t="shared" si="71"/>
        <v>422</v>
      </c>
      <c r="B430" s="385" t="s">
        <v>1896</v>
      </c>
      <c r="C430" s="350"/>
      <c r="D430" s="350"/>
      <c r="E430" s="350"/>
      <c r="F430" s="349"/>
      <c r="G430" s="386">
        <v>42355</v>
      </c>
      <c r="H430" s="352">
        <v>616080</v>
      </c>
      <c r="I430" s="353" t="s">
        <v>1379</v>
      </c>
      <c r="J430" s="353" t="s">
        <v>1379</v>
      </c>
      <c r="K430" s="354">
        <f t="shared" si="65"/>
        <v>616080</v>
      </c>
      <c r="L430" s="387">
        <v>42355</v>
      </c>
      <c r="M430" s="742">
        <v>474079.66666666663</v>
      </c>
      <c r="N430" s="352">
        <f t="shared" si="74"/>
        <v>142000.33333333337</v>
      </c>
      <c r="O430" s="357">
        <f t="shared" si="66"/>
        <v>3028</v>
      </c>
      <c r="P430" s="357">
        <v>9</v>
      </c>
      <c r="Q430" s="358">
        <f t="shared" si="64"/>
        <v>8.2958904109589042</v>
      </c>
      <c r="R430" s="359">
        <f t="shared" si="67"/>
        <v>0.70410958904109577</v>
      </c>
      <c r="S430" s="360">
        <f t="shared" si="68"/>
        <v>0.70410958904109577</v>
      </c>
      <c r="T430" s="361">
        <f t="shared" si="69"/>
        <v>0.10555555555555554</v>
      </c>
      <c r="U430" s="362">
        <f t="shared" si="75"/>
        <v>65030.666666666657</v>
      </c>
      <c r="V430" s="362">
        <f t="shared" si="72"/>
        <v>76969.666666666715</v>
      </c>
      <c r="W430" s="362">
        <f t="shared" si="70"/>
        <v>30804</v>
      </c>
      <c r="X430" s="742">
        <f t="shared" si="73"/>
        <v>46165.666666666715</v>
      </c>
    </row>
    <row r="431" spans="1:24" ht="13.9">
      <c r="A431" s="349">
        <f t="shared" si="71"/>
        <v>423</v>
      </c>
      <c r="B431" s="385" t="s">
        <v>1897</v>
      </c>
      <c r="C431" s="350"/>
      <c r="D431" s="350"/>
      <c r="E431" s="350"/>
      <c r="F431" s="349"/>
      <c r="G431" s="386">
        <v>42217</v>
      </c>
      <c r="H431" s="352">
        <v>969000</v>
      </c>
      <c r="I431" s="353" t="s">
        <v>1379</v>
      </c>
      <c r="J431" s="353" t="s">
        <v>1379</v>
      </c>
      <c r="K431" s="354">
        <f t="shared" si="65"/>
        <v>969000</v>
      </c>
      <c r="L431" s="387">
        <v>42217</v>
      </c>
      <c r="M431" s="742">
        <v>920550</v>
      </c>
      <c r="N431" s="352">
        <f t="shared" si="74"/>
        <v>48450</v>
      </c>
      <c r="O431" s="357">
        <f t="shared" si="66"/>
        <v>3166</v>
      </c>
      <c r="P431" s="357">
        <v>9</v>
      </c>
      <c r="Q431" s="358">
        <f t="shared" si="64"/>
        <v>8.6739726027397257</v>
      </c>
      <c r="R431" s="359">
        <f t="shared" si="67"/>
        <v>0.3260273972602743</v>
      </c>
      <c r="S431" s="360">
        <f t="shared" si="68"/>
        <v>0.3260273972602743</v>
      </c>
      <c r="T431" s="361">
        <f t="shared" si="69"/>
        <v>0.10555555555555554</v>
      </c>
      <c r="U431" s="362">
        <v>0</v>
      </c>
      <c r="V431" s="362">
        <f t="shared" si="72"/>
        <v>48450</v>
      </c>
      <c r="W431" s="362">
        <f t="shared" si="70"/>
        <v>48450</v>
      </c>
      <c r="X431" s="742">
        <f t="shared" si="73"/>
        <v>0</v>
      </c>
    </row>
    <row r="432" spans="1:24" ht="13.9">
      <c r="A432" s="349">
        <f t="shared" si="71"/>
        <v>424</v>
      </c>
      <c r="B432" s="385" t="s">
        <v>983</v>
      </c>
      <c r="C432" s="350"/>
      <c r="D432" s="350"/>
      <c r="E432" s="350"/>
      <c r="F432" s="349"/>
      <c r="G432" s="386">
        <v>42213</v>
      </c>
      <c r="H432" s="352">
        <v>408000</v>
      </c>
      <c r="I432" s="353" t="s">
        <v>1379</v>
      </c>
      <c r="J432" s="353" t="s">
        <v>1379</v>
      </c>
      <c r="K432" s="354">
        <f t="shared" si="65"/>
        <v>408000</v>
      </c>
      <c r="L432" s="387">
        <v>42213</v>
      </c>
      <c r="M432" s="742">
        <v>387600</v>
      </c>
      <c r="N432" s="352">
        <f t="shared" si="74"/>
        <v>20400</v>
      </c>
      <c r="O432" s="357">
        <f t="shared" si="66"/>
        <v>3170</v>
      </c>
      <c r="P432" s="357">
        <v>9</v>
      </c>
      <c r="Q432" s="358">
        <f t="shared" si="64"/>
        <v>8.6849315068493151</v>
      </c>
      <c r="R432" s="359">
        <f t="shared" si="67"/>
        <v>0.31506849315068486</v>
      </c>
      <c r="S432" s="360">
        <f t="shared" si="68"/>
        <v>0.31506849315068486</v>
      </c>
      <c r="T432" s="361">
        <f t="shared" si="69"/>
        <v>0.10555555555555554</v>
      </c>
      <c r="U432" s="362">
        <v>0</v>
      </c>
      <c r="V432" s="362">
        <f t="shared" si="72"/>
        <v>20400</v>
      </c>
      <c r="W432" s="362">
        <f t="shared" si="70"/>
        <v>20400</v>
      </c>
      <c r="X432" s="742">
        <f t="shared" si="73"/>
        <v>0</v>
      </c>
    </row>
    <row r="433" spans="1:24" ht="13.9">
      <c r="A433" s="349">
        <f t="shared" si="71"/>
        <v>425</v>
      </c>
      <c r="B433" s="385" t="s">
        <v>983</v>
      </c>
      <c r="C433" s="350"/>
      <c r="D433" s="350"/>
      <c r="E433" s="350"/>
      <c r="F433" s="349"/>
      <c r="G433" s="386">
        <v>42235</v>
      </c>
      <c r="H433" s="352">
        <v>994500</v>
      </c>
      <c r="I433" s="353" t="s">
        <v>1379</v>
      </c>
      <c r="J433" s="353" t="s">
        <v>1379</v>
      </c>
      <c r="K433" s="354">
        <f t="shared" si="65"/>
        <v>994500</v>
      </c>
      <c r="L433" s="387">
        <v>42235</v>
      </c>
      <c r="M433" s="742">
        <v>960092</v>
      </c>
      <c r="N433" s="352">
        <f t="shared" si="74"/>
        <v>34408</v>
      </c>
      <c r="O433" s="357">
        <f t="shared" si="66"/>
        <v>3148</v>
      </c>
      <c r="P433" s="357">
        <v>9</v>
      </c>
      <c r="Q433" s="358">
        <f t="shared" si="64"/>
        <v>8.624657534246575</v>
      </c>
      <c r="R433" s="359">
        <f t="shared" si="67"/>
        <v>0.375342465753425</v>
      </c>
      <c r="S433" s="360">
        <f t="shared" si="68"/>
        <v>0.375342465753425</v>
      </c>
      <c r="T433" s="361">
        <f t="shared" si="69"/>
        <v>0.10555555555555554</v>
      </c>
      <c r="U433" s="362">
        <v>0</v>
      </c>
      <c r="V433" s="362">
        <f t="shared" si="72"/>
        <v>34408</v>
      </c>
      <c r="W433" s="362">
        <f t="shared" si="70"/>
        <v>49725</v>
      </c>
      <c r="X433" s="742">
        <f t="shared" si="73"/>
        <v>-15317</v>
      </c>
    </row>
    <row r="434" spans="1:24" ht="13.9">
      <c r="A434" s="349">
        <f t="shared" si="71"/>
        <v>426</v>
      </c>
      <c r="B434" s="385" t="s">
        <v>1898</v>
      </c>
      <c r="C434" s="350"/>
      <c r="D434" s="350"/>
      <c r="E434" s="350"/>
      <c r="F434" s="349"/>
      <c r="G434" s="386">
        <v>42250</v>
      </c>
      <c r="H434" s="352">
        <v>3132406</v>
      </c>
      <c r="I434" s="353" t="s">
        <v>1379</v>
      </c>
      <c r="J434" s="353" t="s">
        <v>1379</v>
      </c>
      <c r="K434" s="354">
        <f t="shared" si="65"/>
        <v>3132406</v>
      </c>
      <c r="L434" s="387">
        <v>42250</v>
      </c>
      <c r="M434" s="742">
        <v>2975786</v>
      </c>
      <c r="N434" s="352">
        <f t="shared" si="74"/>
        <v>156620</v>
      </c>
      <c r="O434" s="357">
        <f t="shared" si="66"/>
        <v>3133</v>
      </c>
      <c r="P434" s="357">
        <v>9</v>
      </c>
      <c r="Q434" s="358">
        <f t="shared" si="64"/>
        <v>8.5835616438356173</v>
      </c>
      <c r="R434" s="359">
        <f t="shared" si="67"/>
        <v>0.41643835616438274</v>
      </c>
      <c r="S434" s="360">
        <f t="shared" si="68"/>
        <v>0.41643835616438274</v>
      </c>
      <c r="T434" s="361">
        <f t="shared" si="69"/>
        <v>0.10555555555555554</v>
      </c>
      <c r="U434" s="362">
        <v>0</v>
      </c>
      <c r="V434" s="362">
        <f t="shared" si="72"/>
        <v>156620</v>
      </c>
      <c r="W434" s="362">
        <f t="shared" si="70"/>
        <v>156620</v>
      </c>
      <c r="X434" s="742">
        <f t="shared" si="73"/>
        <v>0</v>
      </c>
    </row>
    <row r="435" spans="1:24" ht="13.9">
      <c r="A435" s="349">
        <f t="shared" si="71"/>
        <v>427</v>
      </c>
      <c r="B435" s="385" t="s">
        <v>1599</v>
      </c>
      <c r="C435" s="350"/>
      <c r="D435" s="350"/>
      <c r="E435" s="350"/>
      <c r="F435" s="349"/>
      <c r="G435" s="389">
        <v>42780</v>
      </c>
      <c r="H435" s="352">
        <v>15934</v>
      </c>
      <c r="I435" s="353" t="s">
        <v>1379</v>
      </c>
      <c r="J435" s="353" t="s">
        <v>1379</v>
      </c>
      <c r="K435" s="354">
        <f t="shared" si="65"/>
        <v>15934</v>
      </c>
      <c r="L435" s="390">
        <v>42780</v>
      </c>
      <c r="M435" s="742">
        <v>10303.922222222222</v>
      </c>
      <c r="N435" s="352">
        <f t="shared" si="74"/>
        <v>5630.0777777777785</v>
      </c>
      <c r="O435" s="357">
        <f t="shared" si="66"/>
        <v>2603</v>
      </c>
      <c r="P435" s="357">
        <v>9</v>
      </c>
      <c r="Q435" s="358">
        <f t="shared" si="64"/>
        <v>7.1315068493150688</v>
      </c>
      <c r="R435" s="359">
        <f t="shared" si="67"/>
        <v>1.8684931506849312</v>
      </c>
      <c r="S435" s="360">
        <f t="shared" si="68"/>
        <v>1.8684931506849312</v>
      </c>
      <c r="T435" s="361">
        <f t="shared" si="69"/>
        <v>0.10555555555555554</v>
      </c>
      <c r="U435" s="362">
        <f t="shared" si="75"/>
        <v>1681.922222222222</v>
      </c>
      <c r="V435" s="362">
        <f t="shared" si="72"/>
        <v>3948.1555555555565</v>
      </c>
      <c r="W435" s="362">
        <f t="shared" si="70"/>
        <v>797</v>
      </c>
      <c r="X435" s="742">
        <f t="shared" si="73"/>
        <v>3151.1555555555565</v>
      </c>
    </row>
    <row r="436" spans="1:24" ht="13.9">
      <c r="A436" s="349">
        <f t="shared" si="71"/>
        <v>428</v>
      </c>
      <c r="B436" s="385" t="s">
        <v>1875</v>
      </c>
      <c r="C436" s="350"/>
      <c r="D436" s="350"/>
      <c r="E436" s="350"/>
      <c r="F436" s="349"/>
      <c r="G436" s="389">
        <v>42692</v>
      </c>
      <c r="H436" s="352">
        <v>1520438</v>
      </c>
      <c r="I436" s="353" t="s">
        <v>1379</v>
      </c>
      <c r="J436" s="353" t="s">
        <v>1379</v>
      </c>
      <c r="K436" s="354">
        <f t="shared" si="65"/>
        <v>1520438</v>
      </c>
      <c r="L436" s="390">
        <v>42692</v>
      </c>
      <c r="M436" s="742">
        <v>1021863.6777777778</v>
      </c>
      <c r="N436" s="352">
        <f t="shared" si="74"/>
        <v>498574.32222222222</v>
      </c>
      <c r="O436" s="357">
        <f t="shared" si="66"/>
        <v>2691</v>
      </c>
      <c r="P436" s="357">
        <v>9</v>
      </c>
      <c r="Q436" s="358">
        <f t="shared" si="64"/>
        <v>7.3726027397260276</v>
      </c>
      <c r="R436" s="359">
        <f t="shared" si="67"/>
        <v>1.6273972602739724</v>
      </c>
      <c r="S436" s="360">
        <f t="shared" si="68"/>
        <v>1.6273972602739724</v>
      </c>
      <c r="T436" s="361">
        <f t="shared" si="69"/>
        <v>0.10555555555555554</v>
      </c>
      <c r="U436" s="362">
        <f t="shared" si="75"/>
        <v>160490.67777777775</v>
      </c>
      <c r="V436" s="362">
        <f t="shared" si="72"/>
        <v>338083.64444444445</v>
      </c>
      <c r="W436" s="362">
        <f t="shared" si="70"/>
        <v>76022</v>
      </c>
      <c r="X436" s="742">
        <f t="shared" si="73"/>
        <v>262061.64444444445</v>
      </c>
    </row>
    <row r="437" spans="1:24" ht="13.9">
      <c r="A437" s="349">
        <f t="shared" si="71"/>
        <v>429</v>
      </c>
      <c r="B437" s="385" t="s">
        <v>1899</v>
      </c>
      <c r="C437" s="350"/>
      <c r="D437" s="350"/>
      <c r="E437" s="350"/>
      <c r="F437" s="349"/>
      <c r="G437" s="389">
        <v>42693</v>
      </c>
      <c r="H437" s="352">
        <v>464095</v>
      </c>
      <c r="I437" s="353" t="s">
        <v>1379</v>
      </c>
      <c r="J437" s="353" t="s">
        <v>1379</v>
      </c>
      <c r="K437" s="354">
        <f t="shared" si="65"/>
        <v>464095</v>
      </c>
      <c r="L437" s="390">
        <v>42693</v>
      </c>
      <c r="M437" s="742">
        <v>311776.80555555556</v>
      </c>
      <c r="N437" s="352">
        <f t="shared" si="74"/>
        <v>152318.19444444444</v>
      </c>
      <c r="O437" s="357">
        <f t="shared" si="66"/>
        <v>2690</v>
      </c>
      <c r="P437" s="357">
        <v>9</v>
      </c>
      <c r="Q437" s="358">
        <f t="shared" si="64"/>
        <v>7.3698630136986303</v>
      </c>
      <c r="R437" s="359">
        <f t="shared" si="67"/>
        <v>1.6301369863013697</v>
      </c>
      <c r="S437" s="360">
        <f t="shared" si="68"/>
        <v>1.6301369863013697</v>
      </c>
      <c r="T437" s="361">
        <f t="shared" si="69"/>
        <v>0.10555555555555554</v>
      </c>
      <c r="U437" s="362">
        <f t="shared" si="75"/>
        <v>48987.805555555547</v>
      </c>
      <c r="V437" s="362">
        <f t="shared" si="72"/>
        <v>103330.38888888889</v>
      </c>
      <c r="W437" s="362">
        <f t="shared" si="70"/>
        <v>23205</v>
      </c>
      <c r="X437" s="742">
        <f t="shared" si="73"/>
        <v>80125.388888888891</v>
      </c>
    </row>
    <row r="438" spans="1:24" ht="13.9">
      <c r="A438" s="349">
        <f t="shared" si="71"/>
        <v>430</v>
      </c>
      <c r="B438" s="391" t="s">
        <v>60</v>
      </c>
      <c r="C438" s="350"/>
      <c r="D438" s="350"/>
      <c r="E438" s="350"/>
      <c r="F438" s="349"/>
      <c r="G438" s="389">
        <v>42552</v>
      </c>
      <c r="H438" s="352">
        <v>10700</v>
      </c>
      <c r="I438" s="353" t="s">
        <v>1379</v>
      </c>
      <c r="J438" s="353" t="s">
        <v>1379</v>
      </c>
      <c r="K438" s="354">
        <f t="shared" si="65"/>
        <v>10700</v>
      </c>
      <c r="L438" s="390">
        <v>42552</v>
      </c>
      <c r="M438" s="742">
        <v>7730.4444444444443</v>
      </c>
      <c r="N438" s="352">
        <f t="shared" si="74"/>
        <v>2969.5555555555557</v>
      </c>
      <c r="O438" s="357">
        <f t="shared" si="66"/>
        <v>2831</v>
      </c>
      <c r="P438" s="357">
        <v>9</v>
      </c>
      <c r="Q438" s="358">
        <f t="shared" si="64"/>
        <v>7.7561643835616438</v>
      </c>
      <c r="R438" s="359">
        <f t="shared" si="67"/>
        <v>1.2438356164383562</v>
      </c>
      <c r="S438" s="360">
        <f t="shared" si="68"/>
        <v>1.2438356164383562</v>
      </c>
      <c r="T438" s="361">
        <f t="shared" si="69"/>
        <v>0.10555555555555554</v>
      </c>
      <c r="U438" s="362">
        <f t="shared" si="75"/>
        <v>1129.4444444444443</v>
      </c>
      <c r="V438" s="362">
        <f t="shared" si="72"/>
        <v>1840.1111111111113</v>
      </c>
      <c r="W438" s="362">
        <f t="shared" si="70"/>
        <v>535</v>
      </c>
      <c r="X438" s="742">
        <f t="shared" si="73"/>
        <v>1305.1111111111113</v>
      </c>
    </row>
    <row r="439" spans="1:24" ht="13.9">
      <c r="A439" s="349">
        <f t="shared" si="71"/>
        <v>431</v>
      </c>
      <c r="B439" s="391" t="s">
        <v>60</v>
      </c>
      <c r="C439" s="350"/>
      <c r="D439" s="350"/>
      <c r="E439" s="350"/>
      <c r="F439" s="349"/>
      <c r="G439" s="389">
        <v>42639</v>
      </c>
      <c r="H439" s="352">
        <v>15600</v>
      </c>
      <c r="I439" s="353" t="s">
        <v>1379</v>
      </c>
      <c r="J439" s="353" t="s">
        <v>1379</v>
      </c>
      <c r="K439" s="354">
        <f t="shared" si="65"/>
        <v>15600</v>
      </c>
      <c r="L439" s="390">
        <v>42639</v>
      </c>
      <c r="M439" s="742">
        <v>10828.666666666666</v>
      </c>
      <c r="N439" s="352">
        <f t="shared" si="74"/>
        <v>4771.3333333333339</v>
      </c>
      <c r="O439" s="357">
        <f t="shared" si="66"/>
        <v>2744</v>
      </c>
      <c r="P439" s="357">
        <v>9</v>
      </c>
      <c r="Q439" s="358">
        <f t="shared" si="64"/>
        <v>7.5178082191780824</v>
      </c>
      <c r="R439" s="359">
        <f t="shared" si="67"/>
        <v>1.4821917808219176</v>
      </c>
      <c r="S439" s="360">
        <f t="shared" si="68"/>
        <v>1.4821917808219176</v>
      </c>
      <c r="T439" s="361">
        <f t="shared" si="69"/>
        <v>0.10555555555555554</v>
      </c>
      <c r="U439" s="362">
        <f t="shared" si="75"/>
        <v>1646.6666666666665</v>
      </c>
      <c r="V439" s="362">
        <f t="shared" si="72"/>
        <v>3124.6666666666674</v>
      </c>
      <c r="W439" s="362">
        <f t="shared" si="70"/>
        <v>780</v>
      </c>
      <c r="X439" s="742">
        <f t="shared" si="73"/>
        <v>2344.6666666666674</v>
      </c>
    </row>
    <row r="440" spans="1:24" ht="13.9">
      <c r="A440" s="349">
        <f t="shared" si="71"/>
        <v>432</v>
      </c>
      <c r="B440" s="391" t="s">
        <v>60</v>
      </c>
      <c r="C440" s="350"/>
      <c r="D440" s="350"/>
      <c r="E440" s="350"/>
      <c r="F440" s="349"/>
      <c r="G440" s="389">
        <v>42684</v>
      </c>
      <c r="H440" s="352">
        <v>31200</v>
      </c>
      <c r="I440" s="353" t="s">
        <v>1379</v>
      </c>
      <c r="J440" s="353" t="s">
        <v>1379</v>
      </c>
      <c r="K440" s="354">
        <f t="shared" si="65"/>
        <v>31200</v>
      </c>
      <c r="L440" s="390">
        <v>42684</v>
      </c>
      <c r="M440" s="742">
        <v>21201.333333333332</v>
      </c>
      <c r="N440" s="352">
        <f t="shared" si="74"/>
        <v>9998.6666666666679</v>
      </c>
      <c r="O440" s="357">
        <f t="shared" si="66"/>
        <v>2699</v>
      </c>
      <c r="P440" s="357">
        <v>9</v>
      </c>
      <c r="Q440" s="358">
        <f t="shared" si="64"/>
        <v>7.3945205479452056</v>
      </c>
      <c r="R440" s="359">
        <f t="shared" si="67"/>
        <v>1.6054794520547944</v>
      </c>
      <c r="S440" s="360">
        <f t="shared" si="68"/>
        <v>1.6054794520547944</v>
      </c>
      <c r="T440" s="361">
        <f t="shared" si="69"/>
        <v>0.10555555555555554</v>
      </c>
      <c r="U440" s="362">
        <f t="shared" si="75"/>
        <v>3293.333333333333</v>
      </c>
      <c r="V440" s="362">
        <f t="shared" si="72"/>
        <v>6705.3333333333348</v>
      </c>
      <c r="W440" s="362">
        <f t="shared" si="70"/>
        <v>1560</v>
      </c>
      <c r="X440" s="742">
        <f t="shared" si="73"/>
        <v>5145.3333333333348</v>
      </c>
    </row>
    <row r="441" spans="1:24" ht="13.9">
      <c r="A441" s="349">
        <f t="shared" si="71"/>
        <v>433</v>
      </c>
      <c r="B441" s="391" t="s">
        <v>60</v>
      </c>
      <c r="C441" s="350"/>
      <c r="D441" s="350"/>
      <c r="E441" s="350"/>
      <c r="F441" s="349"/>
      <c r="G441" s="389">
        <v>42715</v>
      </c>
      <c r="H441" s="352">
        <v>15600</v>
      </c>
      <c r="I441" s="353" t="s">
        <v>1379</v>
      </c>
      <c r="J441" s="353" t="s">
        <v>1379</v>
      </c>
      <c r="K441" s="354">
        <f t="shared" si="65"/>
        <v>15600</v>
      </c>
      <c r="L441" s="390">
        <v>42715</v>
      </c>
      <c r="M441" s="742">
        <v>10443.666666666666</v>
      </c>
      <c r="N441" s="352">
        <f t="shared" si="74"/>
        <v>5156.3333333333339</v>
      </c>
      <c r="O441" s="357">
        <f t="shared" si="66"/>
        <v>2668</v>
      </c>
      <c r="P441" s="357">
        <v>9</v>
      </c>
      <c r="Q441" s="358">
        <f t="shared" si="64"/>
        <v>7.3095890410958901</v>
      </c>
      <c r="R441" s="359">
        <f t="shared" si="67"/>
        <v>1.6904109589041099</v>
      </c>
      <c r="S441" s="360">
        <f t="shared" si="68"/>
        <v>1.6904109589041099</v>
      </c>
      <c r="T441" s="361">
        <f t="shared" si="69"/>
        <v>0.10555555555555554</v>
      </c>
      <c r="U441" s="362">
        <f t="shared" si="75"/>
        <v>1646.6666666666665</v>
      </c>
      <c r="V441" s="362">
        <f t="shared" si="72"/>
        <v>3509.6666666666674</v>
      </c>
      <c r="W441" s="362">
        <f t="shared" si="70"/>
        <v>780</v>
      </c>
      <c r="X441" s="742">
        <f t="shared" si="73"/>
        <v>2729.6666666666674</v>
      </c>
    </row>
    <row r="442" spans="1:24" ht="13.9">
      <c r="A442" s="349">
        <f t="shared" si="71"/>
        <v>434</v>
      </c>
      <c r="B442" s="349" t="s">
        <v>60</v>
      </c>
      <c r="C442" s="350"/>
      <c r="D442" s="350"/>
      <c r="E442" s="350"/>
      <c r="F442" s="349"/>
      <c r="G442" s="389">
        <v>42619</v>
      </c>
      <c r="H442" s="352">
        <v>26010</v>
      </c>
      <c r="I442" s="353" t="s">
        <v>1379</v>
      </c>
      <c r="J442" s="353" t="s">
        <v>1379</v>
      </c>
      <c r="K442" s="354">
        <f t="shared" si="65"/>
        <v>26010</v>
      </c>
      <c r="L442" s="390">
        <v>42619</v>
      </c>
      <c r="M442" s="742">
        <v>18224.5</v>
      </c>
      <c r="N442" s="352">
        <f t="shared" si="74"/>
        <v>7785.5</v>
      </c>
      <c r="O442" s="357">
        <f t="shared" si="66"/>
        <v>2764</v>
      </c>
      <c r="P442" s="357">
        <v>9</v>
      </c>
      <c r="Q442" s="358">
        <f t="shared" si="64"/>
        <v>7.5726027397260278</v>
      </c>
      <c r="R442" s="359">
        <f t="shared" si="67"/>
        <v>1.4273972602739722</v>
      </c>
      <c r="S442" s="360">
        <f t="shared" si="68"/>
        <v>1.4273972602739722</v>
      </c>
      <c r="T442" s="361">
        <f t="shared" si="69"/>
        <v>0.10555555555555554</v>
      </c>
      <c r="U442" s="362">
        <f t="shared" si="75"/>
        <v>2745.4999999999995</v>
      </c>
      <c r="V442" s="362">
        <f t="shared" si="72"/>
        <v>5040</v>
      </c>
      <c r="W442" s="362">
        <f t="shared" si="70"/>
        <v>1301</v>
      </c>
      <c r="X442" s="742">
        <f t="shared" si="73"/>
        <v>3739</v>
      </c>
    </row>
    <row r="443" spans="1:24" ht="13.9">
      <c r="A443" s="349">
        <f t="shared" si="71"/>
        <v>435</v>
      </c>
      <c r="B443" s="349" t="s">
        <v>60</v>
      </c>
      <c r="C443" s="350"/>
      <c r="D443" s="350"/>
      <c r="E443" s="350"/>
      <c r="F443" s="349"/>
      <c r="G443" s="389">
        <v>42520</v>
      </c>
      <c r="H443" s="352">
        <v>11730</v>
      </c>
      <c r="I443" s="353" t="s">
        <v>1379</v>
      </c>
      <c r="J443" s="353" t="s">
        <v>1379</v>
      </c>
      <c r="K443" s="354">
        <f t="shared" si="65"/>
        <v>11730</v>
      </c>
      <c r="L443" s="390">
        <v>42520</v>
      </c>
      <c r="M443" s="742">
        <v>8597.1666666666661</v>
      </c>
      <c r="N443" s="352">
        <f t="shared" si="74"/>
        <v>3132.8333333333339</v>
      </c>
      <c r="O443" s="357">
        <f t="shared" si="66"/>
        <v>2863</v>
      </c>
      <c r="P443" s="357">
        <v>9</v>
      </c>
      <c r="Q443" s="358">
        <f t="shared" si="64"/>
        <v>7.8438356164383558</v>
      </c>
      <c r="R443" s="359">
        <f t="shared" si="67"/>
        <v>1.1561643835616442</v>
      </c>
      <c r="S443" s="360">
        <f t="shared" si="68"/>
        <v>1.1561643835616442</v>
      </c>
      <c r="T443" s="361">
        <f t="shared" si="69"/>
        <v>0.10555555555555554</v>
      </c>
      <c r="U443" s="362">
        <f t="shared" si="75"/>
        <v>1238.1666666666665</v>
      </c>
      <c r="V443" s="362">
        <f t="shared" si="72"/>
        <v>1894.6666666666674</v>
      </c>
      <c r="W443" s="362">
        <f t="shared" si="70"/>
        <v>587</v>
      </c>
      <c r="X443" s="742">
        <f t="shared" si="73"/>
        <v>1307.6666666666674</v>
      </c>
    </row>
    <row r="444" spans="1:24" ht="13.9">
      <c r="A444" s="349">
        <f t="shared" si="71"/>
        <v>436</v>
      </c>
      <c r="B444" s="349" t="s">
        <v>60</v>
      </c>
      <c r="C444" s="350"/>
      <c r="D444" s="350"/>
      <c r="E444" s="350"/>
      <c r="F444" s="349"/>
      <c r="G444" s="389">
        <v>42661</v>
      </c>
      <c r="H444" s="352">
        <v>33150</v>
      </c>
      <c r="I444" s="353" t="s">
        <v>1379</v>
      </c>
      <c r="J444" s="353" t="s">
        <v>1379</v>
      </c>
      <c r="K444" s="354">
        <f t="shared" si="65"/>
        <v>33150</v>
      </c>
      <c r="L444" s="390">
        <v>42661</v>
      </c>
      <c r="M444" s="742">
        <v>22774.166666666664</v>
      </c>
      <c r="N444" s="352">
        <f t="shared" si="74"/>
        <v>10375.833333333336</v>
      </c>
      <c r="O444" s="357">
        <f t="shared" si="66"/>
        <v>2722</v>
      </c>
      <c r="P444" s="357">
        <v>9</v>
      </c>
      <c r="Q444" s="358">
        <f t="shared" si="64"/>
        <v>7.4575342465753423</v>
      </c>
      <c r="R444" s="359">
        <f t="shared" si="67"/>
        <v>1.5424657534246577</v>
      </c>
      <c r="S444" s="360">
        <f t="shared" si="68"/>
        <v>1.5424657534246577</v>
      </c>
      <c r="T444" s="361">
        <f t="shared" si="69"/>
        <v>0.10555555555555554</v>
      </c>
      <c r="U444" s="362">
        <f t="shared" si="75"/>
        <v>3499.1666666666661</v>
      </c>
      <c r="V444" s="362">
        <f t="shared" si="72"/>
        <v>6876.6666666666697</v>
      </c>
      <c r="W444" s="362">
        <f t="shared" si="70"/>
        <v>1658</v>
      </c>
      <c r="X444" s="742">
        <f t="shared" si="73"/>
        <v>5218.6666666666697</v>
      </c>
    </row>
    <row r="445" spans="1:24" ht="13.9">
      <c r="A445" s="349">
        <f t="shared" si="71"/>
        <v>437</v>
      </c>
      <c r="B445" s="349" t="s">
        <v>60</v>
      </c>
      <c r="C445" s="350"/>
      <c r="D445" s="350"/>
      <c r="E445" s="350"/>
      <c r="F445" s="349"/>
      <c r="G445" s="389">
        <v>42696</v>
      </c>
      <c r="H445" s="352">
        <v>13005</v>
      </c>
      <c r="I445" s="353" t="s">
        <v>1379</v>
      </c>
      <c r="J445" s="353" t="s">
        <v>1379</v>
      </c>
      <c r="K445" s="354">
        <f t="shared" si="65"/>
        <v>13005</v>
      </c>
      <c r="L445" s="390">
        <v>42696</v>
      </c>
      <c r="M445" s="742">
        <v>8786.75</v>
      </c>
      <c r="N445" s="352">
        <f t="shared" si="74"/>
        <v>4218.25</v>
      </c>
      <c r="O445" s="357">
        <f t="shared" si="66"/>
        <v>2687</v>
      </c>
      <c r="P445" s="357">
        <v>9</v>
      </c>
      <c r="Q445" s="358">
        <f t="shared" si="64"/>
        <v>7.3616438356164382</v>
      </c>
      <c r="R445" s="359">
        <f t="shared" si="67"/>
        <v>1.6383561643835618</v>
      </c>
      <c r="S445" s="360">
        <f t="shared" si="68"/>
        <v>1.6383561643835618</v>
      </c>
      <c r="T445" s="361">
        <f t="shared" si="69"/>
        <v>0.10555555555555554</v>
      </c>
      <c r="U445" s="362">
        <f t="shared" si="75"/>
        <v>1372.7499999999998</v>
      </c>
      <c r="V445" s="362">
        <f t="shared" si="72"/>
        <v>2845.5</v>
      </c>
      <c r="W445" s="362">
        <f t="shared" si="70"/>
        <v>650</v>
      </c>
      <c r="X445" s="742">
        <f t="shared" si="73"/>
        <v>2195.5</v>
      </c>
    </row>
    <row r="446" spans="1:24" ht="13.9">
      <c r="A446" s="349">
        <f t="shared" si="71"/>
        <v>438</v>
      </c>
      <c r="B446" s="349" t="s">
        <v>1900</v>
      </c>
      <c r="C446" s="350"/>
      <c r="D446" s="350"/>
      <c r="E446" s="350"/>
      <c r="F446" s="349"/>
      <c r="G446" s="389">
        <v>42521</v>
      </c>
      <c r="H446" s="352">
        <v>78000</v>
      </c>
      <c r="I446" s="353" t="s">
        <v>1379</v>
      </c>
      <c r="J446" s="353" t="s">
        <v>1379</v>
      </c>
      <c r="K446" s="354">
        <f t="shared" si="65"/>
        <v>78000</v>
      </c>
      <c r="L446" s="390">
        <v>42521</v>
      </c>
      <c r="M446" s="742">
        <v>57140.333333333328</v>
      </c>
      <c r="N446" s="352">
        <f t="shared" si="74"/>
        <v>20859.666666666672</v>
      </c>
      <c r="O446" s="357">
        <f t="shared" si="66"/>
        <v>2862</v>
      </c>
      <c r="P446" s="357">
        <v>9</v>
      </c>
      <c r="Q446" s="358">
        <f t="shared" si="64"/>
        <v>7.8410958904109593</v>
      </c>
      <c r="R446" s="359">
        <f t="shared" si="67"/>
        <v>1.1589041095890407</v>
      </c>
      <c r="S446" s="360">
        <f t="shared" si="68"/>
        <v>1.1589041095890407</v>
      </c>
      <c r="T446" s="361">
        <f t="shared" si="69"/>
        <v>0.10555555555555554</v>
      </c>
      <c r="U446" s="362">
        <f t="shared" si="75"/>
        <v>8233.3333333333321</v>
      </c>
      <c r="V446" s="362">
        <f t="shared" si="72"/>
        <v>12626.333333333339</v>
      </c>
      <c r="W446" s="362">
        <f t="shared" si="70"/>
        <v>3900</v>
      </c>
      <c r="X446" s="742">
        <f t="shared" si="73"/>
        <v>8726.3333333333394</v>
      </c>
    </row>
    <row r="447" spans="1:24" ht="13.9">
      <c r="A447" s="349">
        <f t="shared" si="71"/>
        <v>439</v>
      </c>
      <c r="B447" s="349" t="s">
        <v>1901</v>
      </c>
      <c r="C447" s="350"/>
      <c r="D447" s="350"/>
      <c r="E447" s="350"/>
      <c r="F447" s="349"/>
      <c r="G447" s="389">
        <v>42724</v>
      </c>
      <c r="H447" s="352">
        <v>14535</v>
      </c>
      <c r="I447" s="353" t="s">
        <v>1379</v>
      </c>
      <c r="J447" s="353" t="s">
        <v>1379</v>
      </c>
      <c r="K447" s="354">
        <f t="shared" si="65"/>
        <v>14535</v>
      </c>
      <c r="L447" s="390">
        <v>42724</v>
      </c>
      <c r="M447" s="742">
        <v>9688.25</v>
      </c>
      <c r="N447" s="352">
        <f t="shared" si="74"/>
        <v>4846.75</v>
      </c>
      <c r="O447" s="357">
        <f t="shared" si="66"/>
        <v>2659</v>
      </c>
      <c r="P447" s="357">
        <v>9</v>
      </c>
      <c r="Q447" s="358">
        <f t="shared" si="64"/>
        <v>7.2849315068493148</v>
      </c>
      <c r="R447" s="359">
        <f t="shared" si="67"/>
        <v>1.7150684931506852</v>
      </c>
      <c r="S447" s="360">
        <f t="shared" si="68"/>
        <v>1.7150684931506852</v>
      </c>
      <c r="T447" s="361">
        <f t="shared" si="69"/>
        <v>0.10555555555555554</v>
      </c>
      <c r="U447" s="362">
        <f t="shared" si="75"/>
        <v>1534.2499999999998</v>
      </c>
      <c r="V447" s="362">
        <f t="shared" si="72"/>
        <v>3312.5</v>
      </c>
      <c r="W447" s="362">
        <f t="shared" si="70"/>
        <v>727</v>
      </c>
      <c r="X447" s="742">
        <f t="shared" si="73"/>
        <v>2585.5</v>
      </c>
    </row>
    <row r="448" spans="1:24" ht="13.9">
      <c r="A448" s="349">
        <f t="shared" si="71"/>
        <v>440</v>
      </c>
      <c r="B448" s="349" t="s">
        <v>1901</v>
      </c>
      <c r="C448" s="350"/>
      <c r="D448" s="350"/>
      <c r="E448" s="350"/>
      <c r="F448" s="349"/>
      <c r="G448" s="389">
        <v>42758</v>
      </c>
      <c r="H448" s="352">
        <v>13650</v>
      </c>
      <c r="I448" s="353" t="s">
        <v>1379</v>
      </c>
      <c r="J448" s="353" t="s">
        <v>1379</v>
      </c>
      <c r="K448" s="354">
        <f t="shared" si="65"/>
        <v>13650</v>
      </c>
      <c r="L448" s="390">
        <v>42758</v>
      </c>
      <c r="M448" s="742">
        <v>8946.8333333333321</v>
      </c>
      <c r="N448" s="352">
        <f t="shared" si="74"/>
        <v>4703.1666666666679</v>
      </c>
      <c r="O448" s="357">
        <f t="shared" si="66"/>
        <v>2625</v>
      </c>
      <c r="P448" s="357">
        <v>9</v>
      </c>
      <c r="Q448" s="358">
        <f t="shared" si="64"/>
        <v>7.1917808219178081</v>
      </c>
      <c r="R448" s="359">
        <f t="shared" si="67"/>
        <v>1.8082191780821919</v>
      </c>
      <c r="S448" s="360">
        <f t="shared" si="68"/>
        <v>1.8082191780821919</v>
      </c>
      <c r="T448" s="361">
        <f t="shared" si="69"/>
        <v>0.10555555555555554</v>
      </c>
      <c r="U448" s="362">
        <f t="shared" si="75"/>
        <v>1440.833333333333</v>
      </c>
      <c r="V448" s="362">
        <f t="shared" si="72"/>
        <v>3262.3333333333348</v>
      </c>
      <c r="W448" s="362">
        <f t="shared" si="70"/>
        <v>683</v>
      </c>
      <c r="X448" s="742">
        <f t="shared" si="73"/>
        <v>2579.3333333333348</v>
      </c>
    </row>
    <row r="449" spans="1:24" ht="13.9">
      <c r="A449" s="349">
        <f t="shared" si="71"/>
        <v>441</v>
      </c>
      <c r="B449" s="349" t="s">
        <v>60</v>
      </c>
      <c r="C449" s="350"/>
      <c r="D449" s="350"/>
      <c r="E449" s="350"/>
      <c r="F449" s="349"/>
      <c r="G449" s="389">
        <v>42758</v>
      </c>
      <c r="H449" s="352">
        <v>63735</v>
      </c>
      <c r="I449" s="353" t="s">
        <v>1379</v>
      </c>
      <c r="J449" s="353" t="s">
        <v>1379</v>
      </c>
      <c r="K449" s="354">
        <f t="shared" si="65"/>
        <v>63735</v>
      </c>
      <c r="L449" s="390">
        <v>42758</v>
      </c>
      <c r="M449" s="742">
        <v>41775.583333333328</v>
      </c>
      <c r="N449" s="352">
        <f t="shared" si="74"/>
        <v>21959.416666666672</v>
      </c>
      <c r="O449" s="357">
        <f t="shared" si="66"/>
        <v>2625</v>
      </c>
      <c r="P449" s="357">
        <v>9</v>
      </c>
      <c r="Q449" s="358">
        <f t="shared" si="64"/>
        <v>7.1917808219178081</v>
      </c>
      <c r="R449" s="359">
        <f t="shared" si="67"/>
        <v>1.8082191780821919</v>
      </c>
      <c r="S449" s="360">
        <f t="shared" si="68"/>
        <v>1.8082191780821919</v>
      </c>
      <c r="T449" s="361">
        <f t="shared" si="69"/>
        <v>0.10555555555555554</v>
      </c>
      <c r="U449" s="362">
        <f t="shared" si="75"/>
        <v>6727.5833333333321</v>
      </c>
      <c r="V449" s="362">
        <f t="shared" si="72"/>
        <v>15231.833333333339</v>
      </c>
      <c r="W449" s="362">
        <f t="shared" si="70"/>
        <v>3187</v>
      </c>
      <c r="X449" s="742">
        <f t="shared" si="73"/>
        <v>12044.833333333339</v>
      </c>
    </row>
    <row r="450" spans="1:24" ht="13.9">
      <c r="A450" s="349">
        <f t="shared" si="71"/>
        <v>442</v>
      </c>
      <c r="B450" s="391" t="s">
        <v>1902</v>
      </c>
      <c r="C450" s="350"/>
      <c r="D450" s="350"/>
      <c r="E450" s="350"/>
      <c r="F450" s="349"/>
      <c r="G450" s="389">
        <v>42643</v>
      </c>
      <c r="H450" s="392">
        <v>676905</v>
      </c>
      <c r="I450" s="353" t="s">
        <v>1379</v>
      </c>
      <c r="J450" s="353" t="s">
        <v>1379</v>
      </c>
      <c r="K450" s="354">
        <f t="shared" si="65"/>
        <v>676905</v>
      </c>
      <c r="L450" s="390">
        <v>42643</v>
      </c>
      <c r="M450" s="742">
        <v>493189.08333333331</v>
      </c>
      <c r="N450" s="352">
        <f t="shared" si="74"/>
        <v>183715.91666666669</v>
      </c>
      <c r="O450" s="357">
        <f t="shared" si="66"/>
        <v>2740</v>
      </c>
      <c r="P450" s="357">
        <v>9</v>
      </c>
      <c r="Q450" s="358">
        <f t="shared" si="64"/>
        <v>7.506849315068493</v>
      </c>
      <c r="R450" s="359">
        <f t="shared" si="67"/>
        <v>1.493150684931507</v>
      </c>
      <c r="S450" s="360">
        <f t="shared" si="68"/>
        <v>1.493150684931507</v>
      </c>
      <c r="T450" s="361">
        <f t="shared" si="69"/>
        <v>0.10555555555555554</v>
      </c>
      <c r="U450" s="362">
        <f t="shared" si="75"/>
        <v>71451.083333333328</v>
      </c>
      <c r="V450" s="362">
        <f t="shared" si="72"/>
        <v>112264.83333333336</v>
      </c>
      <c r="W450" s="362">
        <f t="shared" si="70"/>
        <v>33845</v>
      </c>
      <c r="X450" s="742">
        <f t="shared" si="73"/>
        <v>78419.833333333358</v>
      </c>
    </row>
    <row r="451" spans="1:24" ht="13.9">
      <c r="A451" s="349">
        <f t="shared" si="71"/>
        <v>443</v>
      </c>
      <c r="B451" s="391" t="s">
        <v>1902</v>
      </c>
      <c r="C451" s="350"/>
      <c r="D451" s="350"/>
      <c r="E451" s="350"/>
      <c r="F451" s="349"/>
      <c r="G451" s="389">
        <v>42643</v>
      </c>
      <c r="H451" s="392">
        <v>129163</v>
      </c>
      <c r="I451" s="353" t="s">
        <v>1379</v>
      </c>
      <c r="J451" s="353" t="s">
        <v>1379</v>
      </c>
      <c r="K451" s="354">
        <f t="shared" si="65"/>
        <v>129163</v>
      </c>
      <c r="L451" s="390">
        <v>42643</v>
      </c>
      <c r="M451" s="742">
        <v>94106.872222222213</v>
      </c>
      <c r="N451" s="352">
        <f t="shared" si="74"/>
        <v>35056.127777777787</v>
      </c>
      <c r="O451" s="357">
        <f t="shared" si="66"/>
        <v>2740</v>
      </c>
      <c r="P451" s="357">
        <v>9</v>
      </c>
      <c r="Q451" s="358">
        <f t="shared" si="64"/>
        <v>7.506849315068493</v>
      </c>
      <c r="R451" s="359">
        <f t="shared" si="67"/>
        <v>1.493150684931507</v>
      </c>
      <c r="S451" s="360">
        <f t="shared" si="68"/>
        <v>1.493150684931507</v>
      </c>
      <c r="T451" s="361">
        <f t="shared" si="69"/>
        <v>0.10555555555555554</v>
      </c>
      <c r="U451" s="362">
        <f t="shared" si="75"/>
        <v>13633.87222222222</v>
      </c>
      <c r="V451" s="362">
        <f t="shared" si="72"/>
        <v>21422.255555555566</v>
      </c>
      <c r="W451" s="362">
        <f t="shared" si="70"/>
        <v>6458</v>
      </c>
      <c r="X451" s="742">
        <f t="shared" si="73"/>
        <v>14964.255555555566</v>
      </c>
    </row>
    <row r="452" spans="1:24" ht="13.9">
      <c r="A452" s="349">
        <f t="shared" si="71"/>
        <v>444</v>
      </c>
      <c r="B452" s="391" t="s">
        <v>1903</v>
      </c>
      <c r="C452" s="350"/>
      <c r="D452" s="350"/>
      <c r="E452" s="350"/>
      <c r="F452" s="349"/>
      <c r="G452" s="389">
        <v>42646</v>
      </c>
      <c r="H452" s="352">
        <v>413781</v>
      </c>
      <c r="I452" s="353" t="s">
        <v>1379</v>
      </c>
      <c r="J452" s="353" t="s">
        <v>1379</v>
      </c>
      <c r="K452" s="354">
        <f t="shared" si="65"/>
        <v>413781</v>
      </c>
      <c r="L452" s="390">
        <v>42646</v>
      </c>
      <c r="M452" s="742">
        <v>300831.8833333333</v>
      </c>
      <c r="N452" s="352">
        <f t="shared" si="74"/>
        <v>112949.1166666667</v>
      </c>
      <c r="O452" s="357">
        <f t="shared" si="66"/>
        <v>2737</v>
      </c>
      <c r="P452" s="357">
        <v>9</v>
      </c>
      <c r="Q452" s="358">
        <f t="shared" ref="Q452:Q515" si="76">+O452/365</f>
        <v>7.4986301369863018</v>
      </c>
      <c r="R452" s="359">
        <f t="shared" si="67"/>
        <v>1.5013698630136982</v>
      </c>
      <c r="S452" s="360">
        <f t="shared" si="68"/>
        <v>1.5013698630136982</v>
      </c>
      <c r="T452" s="361">
        <f t="shared" si="69"/>
        <v>0.10555555555555554</v>
      </c>
      <c r="U452" s="362">
        <f t="shared" si="75"/>
        <v>43676.883333333324</v>
      </c>
      <c r="V452" s="362">
        <f t="shared" si="72"/>
        <v>69272.233333333366</v>
      </c>
      <c r="W452" s="362">
        <f t="shared" si="70"/>
        <v>20689</v>
      </c>
      <c r="X452" s="742">
        <f t="shared" si="73"/>
        <v>48583.233333333366</v>
      </c>
    </row>
    <row r="453" spans="1:24" ht="13.9">
      <c r="A453" s="349">
        <f t="shared" si="71"/>
        <v>445</v>
      </c>
      <c r="B453" s="391" t="s">
        <v>1904</v>
      </c>
      <c r="C453" s="350"/>
      <c r="D453" s="350"/>
      <c r="E453" s="350"/>
      <c r="F453" s="349"/>
      <c r="G453" s="389">
        <v>42646</v>
      </c>
      <c r="H453" s="352">
        <v>14975</v>
      </c>
      <c r="I453" s="353" t="s">
        <v>1379</v>
      </c>
      <c r="J453" s="353" t="s">
        <v>1379</v>
      </c>
      <c r="K453" s="354">
        <f t="shared" si="65"/>
        <v>14975</v>
      </c>
      <c r="L453" s="390">
        <v>42646</v>
      </c>
      <c r="M453" s="742">
        <v>10887.694444444445</v>
      </c>
      <c r="N453" s="352">
        <f t="shared" si="74"/>
        <v>4087.3055555555547</v>
      </c>
      <c r="O453" s="357">
        <f t="shared" si="66"/>
        <v>2737</v>
      </c>
      <c r="P453" s="357">
        <v>9</v>
      </c>
      <c r="Q453" s="358">
        <f t="shared" si="76"/>
        <v>7.4986301369863018</v>
      </c>
      <c r="R453" s="359">
        <f t="shared" si="67"/>
        <v>1.5013698630136982</v>
      </c>
      <c r="S453" s="360">
        <f t="shared" si="68"/>
        <v>1.5013698630136982</v>
      </c>
      <c r="T453" s="361">
        <f t="shared" si="69"/>
        <v>0.10555555555555554</v>
      </c>
      <c r="U453" s="362">
        <f t="shared" si="75"/>
        <v>1580.6944444444443</v>
      </c>
      <c r="V453" s="362">
        <f t="shared" si="72"/>
        <v>2506.6111111111104</v>
      </c>
      <c r="W453" s="362">
        <f t="shared" si="70"/>
        <v>749</v>
      </c>
      <c r="X453" s="742">
        <f t="shared" si="73"/>
        <v>1757.6111111111104</v>
      </c>
    </row>
    <row r="454" spans="1:24" ht="13.9">
      <c r="A454" s="349">
        <f t="shared" si="71"/>
        <v>446</v>
      </c>
      <c r="B454" s="391" t="s">
        <v>832</v>
      </c>
      <c r="C454" s="350"/>
      <c r="D454" s="350"/>
      <c r="E454" s="350"/>
      <c r="F454" s="349"/>
      <c r="G454" s="389">
        <v>42670</v>
      </c>
      <c r="H454" s="352">
        <v>32774</v>
      </c>
      <c r="I454" s="353" t="s">
        <v>1379</v>
      </c>
      <c r="J454" s="353" t="s">
        <v>1379</v>
      </c>
      <c r="K454" s="354">
        <f t="shared" si="65"/>
        <v>32774</v>
      </c>
      <c r="L454" s="390">
        <v>42670</v>
      </c>
      <c r="M454" s="742">
        <v>23418.477777777778</v>
      </c>
      <c r="N454" s="352">
        <f t="shared" si="74"/>
        <v>9355.5222222222219</v>
      </c>
      <c r="O454" s="357">
        <f t="shared" si="66"/>
        <v>2713</v>
      </c>
      <c r="P454" s="357">
        <v>9</v>
      </c>
      <c r="Q454" s="358">
        <f t="shared" si="76"/>
        <v>7.4328767123287669</v>
      </c>
      <c r="R454" s="359">
        <f t="shared" si="67"/>
        <v>1.5671232876712331</v>
      </c>
      <c r="S454" s="360">
        <f t="shared" si="68"/>
        <v>1.5671232876712331</v>
      </c>
      <c r="T454" s="361">
        <f t="shared" si="69"/>
        <v>0.10555555555555554</v>
      </c>
      <c r="U454" s="362">
        <f t="shared" si="75"/>
        <v>3459.4777777777772</v>
      </c>
      <c r="V454" s="362">
        <f t="shared" si="72"/>
        <v>5896.0444444444447</v>
      </c>
      <c r="W454" s="362">
        <f t="shared" si="70"/>
        <v>1639</v>
      </c>
      <c r="X454" s="742">
        <f t="shared" si="73"/>
        <v>4257.0444444444447</v>
      </c>
    </row>
    <row r="455" spans="1:24" ht="13.9">
      <c r="A455" s="349">
        <f t="shared" si="71"/>
        <v>447</v>
      </c>
      <c r="B455" s="391" t="s">
        <v>1905</v>
      </c>
      <c r="C455" s="350"/>
      <c r="D455" s="350"/>
      <c r="E455" s="350"/>
      <c r="F455" s="349"/>
      <c r="G455" s="389">
        <v>42671</v>
      </c>
      <c r="H455" s="352">
        <v>104046</v>
      </c>
      <c r="I455" s="353" t="s">
        <v>1379</v>
      </c>
      <c r="J455" s="353" t="s">
        <v>1379</v>
      </c>
      <c r="K455" s="354">
        <f t="shared" si="65"/>
        <v>104046</v>
      </c>
      <c r="L455" s="390">
        <v>42671</v>
      </c>
      <c r="M455" s="742">
        <v>74290.633333333331</v>
      </c>
      <c r="N455" s="352">
        <f t="shared" si="74"/>
        <v>29755.366666666669</v>
      </c>
      <c r="O455" s="357">
        <f t="shared" si="66"/>
        <v>2712</v>
      </c>
      <c r="P455" s="357">
        <v>9</v>
      </c>
      <c r="Q455" s="358">
        <f t="shared" si="76"/>
        <v>7.4301369863013695</v>
      </c>
      <c r="R455" s="359">
        <f t="shared" si="67"/>
        <v>1.5698630136986305</v>
      </c>
      <c r="S455" s="360">
        <f t="shared" si="68"/>
        <v>1.5698630136986305</v>
      </c>
      <c r="T455" s="361">
        <f t="shared" si="69"/>
        <v>0.10555555555555554</v>
      </c>
      <c r="U455" s="362">
        <f t="shared" si="75"/>
        <v>10982.633333333331</v>
      </c>
      <c r="V455" s="362">
        <f t="shared" si="72"/>
        <v>18772.733333333337</v>
      </c>
      <c r="W455" s="362">
        <f t="shared" si="70"/>
        <v>5202</v>
      </c>
      <c r="X455" s="742">
        <f t="shared" si="73"/>
        <v>13570.733333333337</v>
      </c>
    </row>
    <row r="456" spans="1:24" ht="13.9">
      <c r="A456" s="349">
        <f t="shared" si="71"/>
        <v>448</v>
      </c>
      <c r="B456" s="391" t="s">
        <v>832</v>
      </c>
      <c r="C456" s="350"/>
      <c r="D456" s="350"/>
      <c r="E456" s="350"/>
      <c r="F456" s="349"/>
      <c r="G456" s="389">
        <v>42691</v>
      </c>
      <c r="H456" s="352">
        <v>76502</v>
      </c>
      <c r="I456" s="353" t="s">
        <v>1379</v>
      </c>
      <c r="J456" s="353" t="s">
        <v>1379</v>
      </c>
      <c r="K456" s="354">
        <f t="shared" si="65"/>
        <v>76502</v>
      </c>
      <c r="L456" s="390">
        <v>42691</v>
      </c>
      <c r="M456" s="742">
        <v>53827.211111111108</v>
      </c>
      <c r="N456" s="352">
        <f t="shared" si="74"/>
        <v>22674.788888888892</v>
      </c>
      <c r="O456" s="357">
        <f t="shared" si="66"/>
        <v>2692</v>
      </c>
      <c r="P456" s="357">
        <v>9</v>
      </c>
      <c r="Q456" s="358">
        <f t="shared" si="76"/>
        <v>7.375342465753425</v>
      </c>
      <c r="R456" s="359">
        <f t="shared" si="67"/>
        <v>1.624657534246575</v>
      </c>
      <c r="S456" s="360">
        <f t="shared" si="68"/>
        <v>1.624657534246575</v>
      </c>
      <c r="T456" s="361">
        <f t="shared" si="69"/>
        <v>0.10555555555555554</v>
      </c>
      <c r="U456" s="362">
        <f t="shared" si="75"/>
        <v>8075.2111111111099</v>
      </c>
      <c r="V456" s="362">
        <f t="shared" si="72"/>
        <v>14599.577777777782</v>
      </c>
      <c r="W456" s="362">
        <f t="shared" si="70"/>
        <v>3825</v>
      </c>
      <c r="X456" s="742">
        <f t="shared" si="73"/>
        <v>10774.577777777782</v>
      </c>
    </row>
    <row r="457" spans="1:24" ht="13.9">
      <c r="A457" s="349">
        <f t="shared" si="71"/>
        <v>449</v>
      </c>
      <c r="B457" s="391" t="s">
        <v>1902</v>
      </c>
      <c r="C457" s="350"/>
      <c r="D457" s="350"/>
      <c r="E457" s="350"/>
      <c r="F457" s="349"/>
      <c r="G457" s="389">
        <v>42695</v>
      </c>
      <c r="H457" s="392">
        <v>100979</v>
      </c>
      <c r="I457" s="353" t="s">
        <v>1379</v>
      </c>
      <c r="J457" s="353" t="s">
        <v>1379</v>
      </c>
      <c r="K457" s="354">
        <f t="shared" ref="K457:K520" si="77">+H457+I457-J457</f>
        <v>100979</v>
      </c>
      <c r="L457" s="390">
        <v>42695</v>
      </c>
      <c r="M457" s="742">
        <v>70838.89444444445</v>
      </c>
      <c r="N457" s="352">
        <f t="shared" si="74"/>
        <v>30140.10555555555</v>
      </c>
      <c r="O457" s="357">
        <f t="shared" ref="O457:O520" si="78">+$O$3-L457+1</f>
        <v>2688</v>
      </c>
      <c r="P457" s="357">
        <v>9</v>
      </c>
      <c r="Q457" s="358">
        <f t="shared" si="76"/>
        <v>7.3643835616438356</v>
      </c>
      <c r="R457" s="359">
        <f t="shared" ref="R457:R520" si="79">+P457-Q457</f>
        <v>1.6356164383561644</v>
      </c>
      <c r="S457" s="360">
        <f t="shared" ref="S457:S520" si="80">IF(R457&lt;0,0,IF(R457&gt;365,365,R457))</f>
        <v>1.6356164383561644</v>
      </c>
      <c r="T457" s="361">
        <f t="shared" ref="T457:T520" si="81">1/P457*0.95</f>
        <v>0.10555555555555554</v>
      </c>
      <c r="U457" s="362">
        <f t="shared" si="75"/>
        <v>10658.894444444442</v>
      </c>
      <c r="V457" s="362">
        <f t="shared" si="72"/>
        <v>19481.211111111108</v>
      </c>
      <c r="W457" s="362">
        <f t="shared" ref="W457:W520" si="82">ROUND(+H457*5%,0)</f>
        <v>5049</v>
      </c>
      <c r="X457" s="742">
        <f t="shared" si="73"/>
        <v>14432.211111111108</v>
      </c>
    </row>
    <row r="458" spans="1:24" ht="13.9">
      <c r="A458" s="349">
        <f t="shared" ref="A458:A521" si="83">+A457+1</f>
        <v>450</v>
      </c>
      <c r="B458" s="391" t="s">
        <v>1902</v>
      </c>
      <c r="C458" s="350"/>
      <c r="D458" s="350"/>
      <c r="E458" s="350"/>
      <c r="F458" s="349"/>
      <c r="G458" s="389">
        <v>42704</v>
      </c>
      <c r="H458" s="392">
        <v>128566</v>
      </c>
      <c r="I458" s="353" t="s">
        <v>1379</v>
      </c>
      <c r="J458" s="353" t="s">
        <v>1379</v>
      </c>
      <c r="K458" s="354">
        <f t="shared" si="77"/>
        <v>128566</v>
      </c>
      <c r="L458" s="390">
        <v>42704</v>
      </c>
      <c r="M458" s="742">
        <v>89589.85555555555</v>
      </c>
      <c r="N458" s="352">
        <f t="shared" si="74"/>
        <v>38976.14444444445</v>
      </c>
      <c r="O458" s="357">
        <f t="shared" si="78"/>
        <v>2679</v>
      </c>
      <c r="P458" s="357">
        <v>9</v>
      </c>
      <c r="Q458" s="358">
        <f t="shared" si="76"/>
        <v>7.3397260273972602</v>
      </c>
      <c r="R458" s="359">
        <f t="shared" si="79"/>
        <v>1.6602739726027398</v>
      </c>
      <c r="S458" s="360">
        <f t="shared" si="80"/>
        <v>1.6602739726027398</v>
      </c>
      <c r="T458" s="361">
        <f t="shared" si="81"/>
        <v>0.10555555555555554</v>
      </c>
      <c r="U458" s="362">
        <f t="shared" si="75"/>
        <v>13570.855555555554</v>
      </c>
      <c r="V458" s="362">
        <f t="shared" ref="V458:V521" si="84">+N458-U458</f>
        <v>25405.288888888896</v>
      </c>
      <c r="W458" s="362">
        <f t="shared" si="82"/>
        <v>6428</v>
      </c>
      <c r="X458" s="742">
        <f t="shared" ref="X458:X521" si="85">+V458-W458</f>
        <v>18977.288888888896</v>
      </c>
    </row>
    <row r="459" spans="1:24" ht="13.9">
      <c r="A459" s="349">
        <f t="shared" si="83"/>
        <v>451</v>
      </c>
      <c r="B459" s="391" t="s">
        <v>832</v>
      </c>
      <c r="C459" s="350"/>
      <c r="D459" s="350"/>
      <c r="E459" s="350"/>
      <c r="F459" s="349"/>
      <c r="G459" s="389">
        <v>42723</v>
      </c>
      <c r="H459" s="352">
        <v>40631</v>
      </c>
      <c r="I459" s="353" t="s">
        <v>1379</v>
      </c>
      <c r="J459" s="353" t="s">
        <v>1379</v>
      </c>
      <c r="K459" s="354">
        <f t="shared" si="77"/>
        <v>40631</v>
      </c>
      <c r="L459" s="390">
        <v>42723</v>
      </c>
      <c r="M459" s="742">
        <v>27911.827777777777</v>
      </c>
      <c r="N459" s="352">
        <f t="shared" ref="N459:N522" si="86">+K459-M459</f>
        <v>12719.172222222223</v>
      </c>
      <c r="O459" s="357">
        <f t="shared" si="78"/>
        <v>2660</v>
      </c>
      <c r="P459" s="357">
        <v>9</v>
      </c>
      <c r="Q459" s="358">
        <f t="shared" si="76"/>
        <v>7.2876712328767121</v>
      </c>
      <c r="R459" s="359">
        <f t="shared" si="79"/>
        <v>1.7123287671232879</v>
      </c>
      <c r="S459" s="360">
        <f t="shared" si="80"/>
        <v>1.7123287671232879</v>
      </c>
      <c r="T459" s="361">
        <f t="shared" si="81"/>
        <v>0.10555555555555554</v>
      </c>
      <c r="U459" s="362">
        <f t="shared" si="75"/>
        <v>4288.8277777777776</v>
      </c>
      <c r="V459" s="362">
        <f t="shared" si="84"/>
        <v>8430.3444444444467</v>
      </c>
      <c r="W459" s="362">
        <f t="shared" si="82"/>
        <v>2032</v>
      </c>
      <c r="X459" s="742">
        <f t="shared" si="85"/>
        <v>6398.3444444444467</v>
      </c>
    </row>
    <row r="460" spans="1:24" ht="13.9">
      <c r="A460" s="349">
        <f t="shared" si="83"/>
        <v>452</v>
      </c>
      <c r="B460" s="391" t="s">
        <v>1902</v>
      </c>
      <c r="C460" s="350"/>
      <c r="D460" s="350"/>
      <c r="E460" s="350"/>
      <c r="F460" s="349"/>
      <c r="G460" s="389">
        <v>42731</v>
      </c>
      <c r="H460" s="352">
        <v>209103</v>
      </c>
      <c r="I460" s="353" t="s">
        <v>1379</v>
      </c>
      <c r="J460" s="353" t="s">
        <v>1379</v>
      </c>
      <c r="K460" s="354">
        <f t="shared" si="77"/>
        <v>209103</v>
      </c>
      <c r="L460" s="390">
        <v>42731</v>
      </c>
      <c r="M460" s="742">
        <v>142771.98333333334</v>
      </c>
      <c r="N460" s="352">
        <f t="shared" si="86"/>
        <v>66331.016666666663</v>
      </c>
      <c r="O460" s="357">
        <f t="shared" si="78"/>
        <v>2652</v>
      </c>
      <c r="P460" s="357">
        <v>9</v>
      </c>
      <c r="Q460" s="358">
        <f t="shared" si="76"/>
        <v>7.2657534246575342</v>
      </c>
      <c r="R460" s="359">
        <f t="shared" si="79"/>
        <v>1.7342465753424658</v>
      </c>
      <c r="S460" s="360">
        <f t="shared" si="80"/>
        <v>1.7342465753424658</v>
      </c>
      <c r="T460" s="361">
        <f t="shared" si="81"/>
        <v>0.10555555555555554</v>
      </c>
      <c r="U460" s="362">
        <f t="shared" si="75"/>
        <v>22071.98333333333</v>
      </c>
      <c r="V460" s="362">
        <f t="shared" si="84"/>
        <v>44259.033333333333</v>
      </c>
      <c r="W460" s="362">
        <f t="shared" si="82"/>
        <v>10455</v>
      </c>
      <c r="X460" s="742">
        <f t="shared" si="85"/>
        <v>33804.033333333333</v>
      </c>
    </row>
    <row r="461" spans="1:24" ht="13.9">
      <c r="A461" s="349">
        <f t="shared" si="83"/>
        <v>453</v>
      </c>
      <c r="B461" s="391" t="s">
        <v>1906</v>
      </c>
      <c r="C461" s="350"/>
      <c r="D461" s="350"/>
      <c r="E461" s="350"/>
      <c r="F461" s="349"/>
      <c r="G461" s="389">
        <v>42737</v>
      </c>
      <c r="H461" s="352">
        <v>36281</v>
      </c>
      <c r="I461" s="353" t="s">
        <v>1379</v>
      </c>
      <c r="J461" s="353" t="s">
        <v>1379</v>
      </c>
      <c r="K461" s="354">
        <f t="shared" si="77"/>
        <v>36281</v>
      </c>
      <c r="L461" s="390">
        <v>42737</v>
      </c>
      <c r="M461" s="742">
        <v>24658.661111111112</v>
      </c>
      <c r="N461" s="352">
        <f t="shared" si="86"/>
        <v>11622.338888888888</v>
      </c>
      <c r="O461" s="357">
        <f t="shared" si="78"/>
        <v>2646</v>
      </c>
      <c r="P461" s="357">
        <v>9</v>
      </c>
      <c r="Q461" s="358">
        <f t="shared" si="76"/>
        <v>7.2493150684931509</v>
      </c>
      <c r="R461" s="359">
        <f t="shared" si="79"/>
        <v>1.7506849315068491</v>
      </c>
      <c r="S461" s="360">
        <f t="shared" si="80"/>
        <v>1.7506849315068491</v>
      </c>
      <c r="T461" s="361">
        <f t="shared" si="81"/>
        <v>0.10555555555555554</v>
      </c>
      <c r="U461" s="362">
        <f t="shared" si="75"/>
        <v>3829.6611111111106</v>
      </c>
      <c r="V461" s="362">
        <f t="shared" si="84"/>
        <v>7792.677777777777</v>
      </c>
      <c r="W461" s="362">
        <f t="shared" si="82"/>
        <v>1814</v>
      </c>
      <c r="X461" s="742">
        <f t="shared" si="85"/>
        <v>5978.677777777777</v>
      </c>
    </row>
    <row r="462" spans="1:24" ht="13.9">
      <c r="A462" s="349">
        <f t="shared" si="83"/>
        <v>454</v>
      </c>
      <c r="B462" s="391" t="s">
        <v>1907</v>
      </c>
      <c r="C462" s="350"/>
      <c r="D462" s="350"/>
      <c r="E462" s="350"/>
      <c r="F462" s="349"/>
      <c r="G462" s="389">
        <v>42768</v>
      </c>
      <c r="H462" s="352">
        <v>49840</v>
      </c>
      <c r="I462" s="353" t="s">
        <v>1379</v>
      </c>
      <c r="J462" s="353" t="s">
        <v>1379</v>
      </c>
      <c r="K462" s="354">
        <f t="shared" si="77"/>
        <v>49840</v>
      </c>
      <c r="L462" s="390">
        <v>42768</v>
      </c>
      <c r="M462" s="742">
        <v>33069.888888888891</v>
      </c>
      <c r="N462" s="352">
        <f t="shared" si="86"/>
        <v>16770.111111111109</v>
      </c>
      <c r="O462" s="357">
        <f t="shared" si="78"/>
        <v>2615</v>
      </c>
      <c r="P462" s="357">
        <v>9</v>
      </c>
      <c r="Q462" s="358">
        <f t="shared" si="76"/>
        <v>7.1643835616438354</v>
      </c>
      <c r="R462" s="359">
        <f t="shared" si="79"/>
        <v>1.8356164383561646</v>
      </c>
      <c r="S462" s="360">
        <f t="shared" si="80"/>
        <v>1.8356164383561646</v>
      </c>
      <c r="T462" s="361">
        <f t="shared" si="81"/>
        <v>0.10555555555555554</v>
      </c>
      <c r="U462" s="362">
        <f t="shared" si="75"/>
        <v>5260.8888888888878</v>
      </c>
      <c r="V462" s="362">
        <f t="shared" si="84"/>
        <v>11509.222222222223</v>
      </c>
      <c r="W462" s="362">
        <f t="shared" si="82"/>
        <v>2492</v>
      </c>
      <c r="X462" s="742">
        <f t="shared" si="85"/>
        <v>9017.2222222222226</v>
      </c>
    </row>
    <row r="463" spans="1:24" ht="13.9">
      <c r="A463" s="349">
        <f t="shared" si="83"/>
        <v>455</v>
      </c>
      <c r="B463" s="391" t="s">
        <v>1907</v>
      </c>
      <c r="C463" s="350"/>
      <c r="D463" s="350"/>
      <c r="E463" s="350"/>
      <c r="F463" s="349"/>
      <c r="G463" s="389">
        <v>42771</v>
      </c>
      <c r="H463" s="352">
        <v>39961</v>
      </c>
      <c r="I463" s="353" t="s">
        <v>1379</v>
      </c>
      <c r="J463" s="353" t="s">
        <v>1379</v>
      </c>
      <c r="K463" s="354">
        <f t="shared" si="77"/>
        <v>39961</v>
      </c>
      <c r="L463" s="390">
        <v>42771</v>
      </c>
      <c r="M463" s="742">
        <v>26453.105555555554</v>
      </c>
      <c r="N463" s="352">
        <f t="shared" si="86"/>
        <v>13507.894444444446</v>
      </c>
      <c r="O463" s="357">
        <f t="shared" si="78"/>
        <v>2612</v>
      </c>
      <c r="P463" s="357">
        <v>9</v>
      </c>
      <c r="Q463" s="358">
        <f t="shared" si="76"/>
        <v>7.1561643835616442</v>
      </c>
      <c r="R463" s="359">
        <f t="shared" si="79"/>
        <v>1.8438356164383558</v>
      </c>
      <c r="S463" s="360">
        <f t="shared" si="80"/>
        <v>1.8438356164383558</v>
      </c>
      <c r="T463" s="361">
        <f t="shared" si="81"/>
        <v>0.10555555555555554</v>
      </c>
      <c r="U463" s="362">
        <f t="shared" si="75"/>
        <v>4218.1055555555549</v>
      </c>
      <c r="V463" s="362">
        <f t="shared" si="84"/>
        <v>9289.788888888892</v>
      </c>
      <c r="W463" s="362">
        <f t="shared" si="82"/>
        <v>1998</v>
      </c>
      <c r="X463" s="742">
        <f t="shared" si="85"/>
        <v>7291.788888888892</v>
      </c>
    </row>
    <row r="464" spans="1:24" ht="13.9">
      <c r="A464" s="349">
        <f t="shared" si="83"/>
        <v>456</v>
      </c>
      <c r="B464" s="391" t="s">
        <v>1908</v>
      </c>
      <c r="C464" s="350"/>
      <c r="D464" s="350"/>
      <c r="E464" s="350"/>
      <c r="F464" s="349"/>
      <c r="G464" s="389">
        <v>42769</v>
      </c>
      <c r="H464" s="352">
        <v>1107358</v>
      </c>
      <c r="I464" s="353" t="s">
        <v>1379</v>
      </c>
      <c r="J464" s="353" t="s">
        <v>1379</v>
      </c>
      <c r="K464" s="354">
        <f t="shared" si="77"/>
        <v>1107358</v>
      </c>
      <c r="L464" s="390">
        <v>42769</v>
      </c>
      <c r="M464" s="742">
        <v>1051990</v>
      </c>
      <c r="N464" s="352">
        <f t="shared" si="86"/>
        <v>55368</v>
      </c>
      <c r="O464" s="357">
        <f t="shared" si="78"/>
        <v>2614</v>
      </c>
      <c r="P464" s="357">
        <v>9</v>
      </c>
      <c r="Q464" s="358">
        <f t="shared" si="76"/>
        <v>7.161643835616438</v>
      </c>
      <c r="R464" s="359">
        <f t="shared" si="79"/>
        <v>1.838356164383562</v>
      </c>
      <c r="S464" s="360">
        <f t="shared" si="80"/>
        <v>1.838356164383562</v>
      </c>
      <c r="T464" s="361">
        <f t="shared" si="81"/>
        <v>0.10555555555555554</v>
      </c>
      <c r="U464" s="362">
        <v>0</v>
      </c>
      <c r="V464" s="362">
        <f t="shared" si="84"/>
        <v>55368</v>
      </c>
      <c r="W464" s="362">
        <f t="shared" si="82"/>
        <v>55368</v>
      </c>
      <c r="X464" s="742">
        <f t="shared" si="85"/>
        <v>0</v>
      </c>
    </row>
    <row r="465" spans="1:24" ht="13.9">
      <c r="A465" s="349">
        <f t="shared" si="83"/>
        <v>457</v>
      </c>
      <c r="B465" s="391" t="s">
        <v>832</v>
      </c>
      <c r="C465" s="350"/>
      <c r="D465" s="350"/>
      <c r="E465" s="350"/>
      <c r="F465" s="349"/>
      <c r="G465" s="389">
        <v>42781</v>
      </c>
      <c r="H465" s="352">
        <v>37756</v>
      </c>
      <c r="I465" s="353" t="s">
        <v>1379</v>
      </c>
      <c r="J465" s="353" t="s">
        <v>1379</v>
      </c>
      <c r="K465" s="354">
        <f t="shared" si="77"/>
        <v>37756</v>
      </c>
      <c r="L465" s="390">
        <v>42781</v>
      </c>
      <c r="M465" s="742">
        <v>24796.355555555554</v>
      </c>
      <c r="N465" s="352">
        <f t="shared" si="86"/>
        <v>12959.644444444446</v>
      </c>
      <c r="O465" s="357">
        <f t="shared" si="78"/>
        <v>2602</v>
      </c>
      <c r="P465" s="357">
        <v>9</v>
      </c>
      <c r="Q465" s="358">
        <f t="shared" si="76"/>
        <v>7.1287671232876715</v>
      </c>
      <c r="R465" s="359">
        <f t="shared" si="79"/>
        <v>1.8712328767123285</v>
      </c>
      <c r="S465" s="360">
        <f t="shared" si="80"/>
        <v>1.8712328767123285</v>
      </c>
      <c r="T465" s="361">
        <f t="shared" si="81"/>
        <v>0.10555555555555554</v>
      </c>
      <c r="U465" s="362">
        <f t="shared" si="75"/>
        <v>3985.3555555555549</v>
      </c>
      <c r="V465" s="362">
        <f t="shared" si="84"/>
        <v>8974.288888888892</v>
      </c>
      <c r="W465" s="362">
        <f t="shared" si="82"/>
        <v>1888</v>
      </c>
      <c r="X465" s="742">
        <f t="shared" si="85"/>
        <v>7086.288888888892</v>
      </c>
    </row>
    <row r="466" spans="1:24" ht="13.9">
      <c r="A466" s="349">
        <f t="shared" si="83"/>
        <v>458</v>
      </c>
      <c r="B466" s="391" t="s">
        <v>1908</v>
      </c>
      <c r="C466" s="350"/>
      <c r="D466" s="350"/>
      <c r="E466" s="350"/>
      <c r="F466" s="349"/>
      <c r="G466" s="389">
        <v>42785</v>
      </c>
      <c r="H466" s="352">
        <v>584947</v>
      </c>
      <c r="I466" s="353" t="s">
        <v>1379</v>
      </c>
      <c r="J466" s="353" t="s">
        <v>1379</v>
      </c>
      <c r="K466" s="354">
        <f t="shared" si="77"/>
        <v>584947</v>
      </c>
      <c r="L466" s="390">
        <v>42785</v>
      </c>
      <c r="M466" s="742">
        <v>555700</v>
      </c>
      <c r="N466" s="352">
        <f t="shared" si="86"/>
        <v>29247</v>
      </c>
      <c r="O466" s="357">
        <f t="shared" si="78"/>
        <v>2598</v>
      </c>
      <c r="P466" s="357">
        <v>9</v>
      </c>
      <c r="Q466" s="358">
        <f t="shared" si="76"/>
        <v>7.117808219178082</v>
      </c>
      <c r="R466" s="359">
        <f t="shared" si="79"/>
        <v>1.882191780821918</v>
      </c>
      <c r="S466" s="360">
        <f t="shared" si="80"/>
        <v>1.882191780821918</v>
      </c>
      <c r="T466" s="361">
        <f t="shared" si="81"/>
        <v>0.10555555555555554</v>
      </c>
      <c r="U466" s="362">
        <v>0</v>
      </c>
      <c r="V466" s="362">
        <f t="shared" si="84"/>
        <v>29247</v>
      </c>
      <c r="W466" s="362">
        <f t="shared" si="82"/>
        <v>29247</v>
      </c>
      <c r="X466" s="742">
        <f t="shared" si="85"/>
        <v>0</v>
      </c>
    </row>
    <row r="467" spans="1:24" ht="13.9">
      <c r="A467" s="349">
        <f t="shared" si="83"/>
        <v>459</v>
      </c>
      <c r="B467" s="391" t="s">
        <v>832</v>
      </c>
      <c r="C467" s="350"/>
      <c r="D467" s="350"/>
      <c r="E467" s="350"/>
      <c r="F467" s="349"/>
      <c r="G467" s="389">
        <v>42780</v>
      </c>
      <c r="H467" s="352">
        <v>216648</v>
      </c>
      <c r="I467" s="353" t="s">
        <v>1379</v>
      </c>
      <c r="J467" s="353" t="s">
        <v>1379</v>
      </c>
      <c r="K467" s="354">
        <f t="shared" si="77"/>
        <v>216648</v>
      </c>
      <c r="L467" s="390">
        <v>42780</v>
      </c>
      <c r="M467" s="742">
        <v>142398.39999999999</v>
      </c>
      <c r="N467" s="352">
        <f t="shared" si="86"/>
        <v>74249.600000000006</v>
      </c>
      <c r="O467" s="357">
        <f t="shared" si="78"/>
        <v>2603</v>
      </c>
      <c r="P467" s="357">
        <v>9</v>
      </c>
      <c r="Q467" s="358">
        <f t="shared" si="76"/>
        <v>7.1315068493150688</v>
      </c>
      <c r="R467" s="359">
        <f t="shared" si="79"/>
        <v>1.8684931506849312</v>
      </c>
      <c r="S467" s="360">
        <f t="shared" si="80"/>
        <v>1.8684931506849312</v>
      </c>
      <c r="T467" s="361">
        <f t="shared" si="81"/>
        <v>0.10555555555555554</v>
      </c>
      <c r="U467" s="362">
        <f t="shared" si="75"/>
        <v>22868.399999999998</v>
      </c>
      <c r="V467" s="362">
        <f t="shared" si="84"/>
        <v>51381.200000000012</v>
      </c>
      <c r="W467" s="362">
        <f t="shared" si="82"/>
        <v>10832</v>
      </c>
      <c r="X467" s="742">
        <f t="shared" si="85"/>
        <v>40549.200000000012</v>
      </c>
    </row>
    <row r="468" spans="1:24" ht="13.9">
      <c r="A468" s="349">
        <f t="shared" si="83"/>
        <v>460</v>
      </c>
      <c r="B468" s="391" t="s">
        <v>1909</v>
      </c>
      <c r="C468" s="350"/>
      <c r="D468" s="350"/>
      <c r="E468" s="350"/>
      <c r="F468" s="349"/>
      <c r="G468" s="389">
        <v>42815</v>
      </c>
      <c r="H468" s="352">
        <v>50390</v>
      </c>
      <c r="I468" s="353" t="s">
        <v>1379</v>
      </c>
      <c r="J468" s="353" t="s">
        <v>1379</v>
      </c>
      <c r="K468" s="354">
        <f t="shared" si="77"/>
        <v>50390</v>
      </c>
      <c r="L468" s="390">
        <v>42815</v>
      </c>
      <c r="M468" s="742">
        <v>32201.944444444445</v>
      </c>
      <c r="N468" s="352">
        <f t="shared" si="86"/>
        <v>18188.055555555555</v>
      </c>
      <c r="O468" s="357">
        <f t="shared" si="78"/>
        <v>2568</v>
      </c>
      <c r="P468" s="357">
        <v>9</v>
      </c>
      <c r="Q468" s="358">
        <f t="shared" si="76"/>
        <v>7.0356164383561648</v>
      </c>
      <c r="R468" s="359">
        <f t="shared" si="79"/>
        <v>1.9643835616438352</v>
      </c>
      <c r="S468" s="360">
        <f t="shared" si="80"/>
        <v>1.9643835616438352</v>
      </c>
      <c r="T468" s="361">
        <f t="shared" si="81"/>
        <v>0.10555555555555554</v>
      </c>
      <c r="U468" s="362">
        <f t="shared" si="75"/>
        <v>5318.9444444444434</v>
      </c>
      <c r="V468" s="362">
        <f t="shared" si="84"/>
        <v>12869.111111111111</v>
      </c>
      <c r="W468" s="362">
        <f t="shared" si="82"/>
        <v>2520</v>
      </c>
      <c r="X468" s="742">
        <f t="shared" si="85"/>
        <v>10349.111111111111</v>
      </c>
    </row>
    <row r="469" spans="1:24" ht="13.9">
      <c r="A469" s="349">
        <f t="shared" si="83"/>
        <v>461</v>
      </c>
      <c r="B469" s="391" t="s">
        <v>1904</v>
      </c>
      <c r="C469" s="350"/>
      <c r="D469" s="350"/>
      <c r="E469" s="350"/>
      <c r="F469" s="349"/>
      <c r="G469" s="389">
        <v>42822</v>
      </c>
      <c r="H469" s="352">
        <v>31000</v>
      </c>
      <c r="I469" s="353" t="s">
        <v>1379</v>
      </c>
      <c r="J469" s="353" t="s">
        <v>1379</v>
      </c>
      <c r="K469" s="354">
        <f t="shared" si="77"/>
        <v>31000</v>
      </c>
      <c r="L469" s="390">
        <v>42822</v>
      </c>
      <c r="M469" s="742">
        <v>19698.222222222223</v>
      </c>
      <c r="N469" s="352">
        <f t="shared" si="86"/>
        <v>11301.777777777777</v>
      </c>
      <c r="O469" s="357">
        <f t="shared" si="78"/>
        <v>2561</v>
      </c>
      <c r="P469" s="357">
        <v>9</v>
      </c>
      <c r="Q469" s="358">
        <f t="shared" si="76"/>
        <v>7.0164383561643833</v>
      </c>
      <c r="R469" s="359">
        <f t="shared" si="79"/>
        <v>1.9835616438356167</v>
      </c>
      <c r="S469" s="360">
        <f t="shared" si="80"/>
        <v>1.9835616438356167</v>
      </c>
      <c r="T469" s="361">
        <f t="shared" si="81"/>
        <v>0.10555555555555554</v>
      </c>
      <c r="U469" s="362">
        <f t="shared" si="75"/>
        <v>3272.2222222222217</v>
      </c>
      <c r="V469" s="362">
        <f t="shared" si="84"/>
        <v>8029.5555555555557</v>
      </c>
      <c r="W469" s="362">
        <f t="shared" si="82"/>
        <v>1550</v>
      </c>
      <c r="X469" s="742">
        <f t="shared" si="85"/>
        <v>6479.5555555555557</v>
      </c>
    </row>
    <row r="470" spans="1:24" ht="13.9">
      <c r="A470" s="349">
        <f t="shared" si="83"/>
        <v>462</v>
      </c>
      <c r="B470" s="391" t="s">
        <v>1910</v>
      </c>
      <c r="C470" s="350"/>
      <c r="D470" s="350"/>
      <c r="E470" s="350"/>
      <c r="F470" s="349"/>
      <c r="G470" s="389">
        <v>42661</v>
      </c>
      <c r="H470" s="352">
        <v>989294</v>
      </c>
      <c r="I470" s="353" t="s">
        <v>1379</v>
      </c>
      <c r="J470" s="353" t="s">
        <v>1379</v>
      </c>
      <c r="K470" s="354">
        <f t="shared" si="77"/>
        <v>989294</v>
      </c>
      <c r="L470" s="390">
        <v>42661</v>
      </c>
      <c r="M470" s="742">
        <v>939829</v>
      </c>
      <c r="N470" s="352">
        <f t="shared" si="86"/>
        <v>49465</v>
      </c>
      <c r="O470" s="357">
        <f t="shared" si="78"/>
        <v>2722</v>
      </c>
      <c r="P470" s="357">
        <v>9</v>
      </c>
      <c r="Q470" s="358">
        <f t="shared" si="76"/>
        <v>7.4575342465753423</v>
      </c>
      <c r="R470" s="359">
        <f t="shared" si="79"/>
        <v>1.5424657534246577</v>
      </c>
      <c r="S470" s="360">
        <f t="shared" si="80"/>
        <v>1.5424657534246577</v>
      </c>
      <c r="T470" s="361">
        <f t="shared" si="81"/>
        <v>0.10555555555555554</v>
      </c>
      <c r="U470" s="362">
        <v>0</v>
      </c>
      <c r="V470" s="362">
        <f t="shared" si="84"/>
        <v>49465</v>
      </c>
      <c r="W470" s="362">
        <f t="shared" si="82"/>
        <v>49465</v>
      </c>
      <c r="X470" s="742">
        <f t="shared" si="85"/>
        <v>0</v>
      </c>
    </row>
    <row r="471" spans="1:24" ht="13.9">
      <c r="A471" s="349">
        <f t="shared" si="83"/>
        <v>463</v>
      </c>
      <c r="B471" s="391" t="s">
        <v>1910</v>
      </c>
      <c r="C471" s="350"/>
      <c r="D471" s="350"/>
      <c r="E471" s="350"/>
      <c r="F471" s="349"/>
      <c r="G471" s="389">
        <v>42690</v>
      </c>
      <c r="H471" s="352">
        <v>13500</v>
      </c>
      <c r="I471" s="353" t="s">
        <v>1379</v>
      </c>
      <c r="J471" s="353" t="s">
        <v>1379</v>
      </c>
      <c r="K471" s="354">
        <f t="shared" si="77"/>
        <v>13500</v>
      </c>
      <c r="L471" s="390">
        <v>42690</v>
      </c>
      <c r="M471" s="742">
        <v>12825</v>
      </c>
      <c r="N471" s="352">
        <f t="shared" si="86"/>
        <v>675</v>
      </c>
      <c r="O471" s="357">
        <f t="shared" si="78"/>
        <v>2693</v>
      </c>
      <c r="P471" s="357">
        <v>9</v>
      </c>
      <c r="Q471" s="358">
        <f t="shared" si="76"/>
        <v>7.3780821917808215</v>
      </c>
      <c r="R471" s="359">
        <f t="shared" si="79"/>
        <v>1.6219178082191785</v>
      </c>
      <c r="S471" s="360">
        <f t="shared" si="80"/>
        <v>1.6219178082191785</v>
      </c>
      <c r="T471" s="361">
        <f t="shared" si="81"/>
        <v>0.10555555555555554</v>
      </c>
      <c r="U471" s="362">
        <v>0</v>
      </c>
      <c r="V471" s="362">
        <f t="shared" si="84"/>
        <v>675</v>
      </c>
      <c r="W471" s="362">
        <f t="shared" si="82"/>
        <v>675</v>
      </c>
      <c r="X471" s="742">
        <f t="shared" si="85"/>
        <v>0</v>
      </c>
    </row>
    <row r="472" spans="1:24" ht="13.9">
      <c r="A472" s="349">
        <f t="shared" si="83"/>
        <v>464</v>
      </c>
      <c r="B472" s="391" t="s">
        <v>1911</v>
      </c>
      <c r="C472" s="350"/>
      <c r="D472" s="350"/>
      <c r="E472" s="350"/>
      <c r="F472" s="349"/>
      <c r="G472" s="389">
        <v>42474</v>
      </c>
      <c r="H472" s="352">
        <v>2183613</v>
      </c>
      <c r="I472" s="353" t="s">
        <v>1379</v>
      </c>
      <c r="J472" s="353" t="s">
        <v>1379</v>
      </c>
      <c r="K472" s="354">
        <f t="shared" si="77"/>
        <v>2183613</v>
      </c>
      <c r="L472" s="390">
        <v>42474</v>
      </c>
      <c r="M472" s="742">
        <v>1605238.4833333334</v>
      </c>
      <c r="N472" s="352">
        <f t="shared" si="86"/>
        <v>578374.5166666666</v>
      </c>
      <c r="O472" s="357">
        <f t="shared" si="78"/>
        <v>2909</v>
      </c>
      <c r="P472" s="357">
        <v>9</v>
      </c>
      <c r="Q472" s="358">
        <f t="shared" si="76"/>
        <v>7.9698630136986299</v>
      </c>
      <c r="R472" s="359">
        <f t="shared" si="79"/>
        <v>1.0301369863013701</v>
      </c>
      <c r="S472" s="360">
        <f t="shared" si="80"/>
        <v>1.0301369863013701</v>
      </c>
      <c r="T472" s="361">
        <f t="shared" si="81"/>
        <v>0.10555555555555554</v>
      </c>
      <c r="U472" s="362">
        <f t="shared" si="75"/>
        <v>230492.48333333331</v>
      </c>
      <c r="V472" s="362">
        <f t="shared" si="84"/>
        <v>347882.03333333333</v>
      </c>
      <c r="W472" s="362">
        <f t="shared" si="82"/>
        <v>109181</v>
      </c>
      <c r="X472" s="742">
        <f t="shared" si="85"/>
        <v>238701.03333333333</v>
      </c>
    </row>
    <row r="473" spans="1:24" ht="13.9">
      <c r="A473" s="349">
        <f t="shared" si="83"/>
        <v>465</v>
      </c>
      <c r="B473" s="391" t="s">
        <v>1911</v>
      </c>
      <c r="C473" s="350"/>
      <c r="D473" s="350"/>
      <c r="E473" s="350"/>
      <c r="F473" s="349"/>
      <c r="G473" s="389">
        <v>42489</v>
      </c>
      <c r="H473" s="352">
        <v>2183613</v>
      </c>
      <c r="I473" s="353" t="s">
        <v>1379</v>
      </c>
      <c r="J473" s="353" t="s">
        <v>1379</v>
      </c>
      <c r="K473" s="354">
        <f t="shared" si="77"/>
        <v>2183613</v>
      </c>
      <c r="L473" s="390">
        <v>42489</v>
      </c>
      <c r="M473" s="742">
        <v>1595765.4833333334</v>
      </c>
      <c r="N473" s="352">
        <f t="shared" si="86"/>
        <v>587847.5166666666</v>
      </c>
      <c r="O473" s="357">
        <f t="shared" si="78"/>
        <v>2894</v>
      </c>
      <c r="P473" s="357">
        <v>9</v>
      </c>
      <c r="Q473" s="358">
        <f t="shared" si="76"/>
        <v>7.9287671232876713</v>
      </c>
      <c r="R473" s="359">
        <f t="shared" si="79"/>
        <v>1.0712328767123287</v>
      </c>
      <c r="S473" s="360">
        <f t="shared" si="80"/>
        <v>1.0712328767123287</v>
      </c>
      <c r="T473" s="361">
        <f t="shared" si="81"/>
        <v>0.10555555555555554</v>
      </c>
      <c r="U473" s="362">
        <f t="shared" si="75"/>
        <v>230492.48333333331</v>
      </c>
      <c r="V473" s="362">
        <f t="shared" si="84"/>
        <v>357355.03333333333</v>
      </c>
      <c r="W473" s="362">
        <f t="shared" si="82"/>
        <v>109181</v>
      </c>
      <c r="X473" s="742">
        <f t="shared" si="85"/>
        <v>248174.03333333333</v>
      </c>
    </row>
    <row r="474" spans="1:24" ht="13.9">
      <c r="A474" s="349">
        <f t="shared" si="83"/>
        <v>466</v>
      </c>
      <c r="B474" s="391" t="s">
        <v>1912</v>
      </c>
      <c r="C474" s="350"/>
      <c r="D474" s="350"/>
      <c r="E474" s="350"/>
      <c r="F474" s="349"/>
      <c r="G474" s="389">
        <v>42580</v>
      </c>
      <c r="H474" s="352">
        <v>14500</v>
      </c>
      <c r="I474" s="353" t="s">
        <v>1379</v>
      </c>
      <c r="J474" s="353" t="s">
        <v>1379</v>
      </c>
      <c r="K474" s="354">
        <f t="shared" si="77"/>
        <v>14500</v>
      </c>
      <c r="L474" s="390">
        <v>42580</v>
      </c>
      <c r="M474" s="742">
        <v>10214.555555555555</v>
      </c>
      <c r="N474" s="352">
        <f t="shared" si="86"/>
        <v>4285.4444444444453</v>
      </c>
      <c r="O474" s="357">
        <f t="shared" si="78"/>
        <v>2803</v>
      </c>
      <c r="P474" s="357">
        <v>9</v>
      </c>
      <c r="Q474" s="358">
        <f t="shared" si="76"/>
        <v>7.6794520547945204</v>
      </c>
      <c r="R474" s="359">
        <f t="shared" si="79"/>
        <v>1.3205479452054796</v>
      </c>
      <c r="S474" s="360">
        <f t="shared" si="80"/>
        <v>1.3205479452054796</v>
      </c>
      <c r="T474" s="361">
        <f t="shared" si="81"/>
        <v>0.10555555555555554</v>
      </c>
      <c r="U474" s="362">
        <f t="shared" si="75"/>
        <v>1530.5555555555554</v>
      </c>
      <c r="V474" s="362">
        <f t="shared" si="84"/>
        <v>2754.8888888888896</v>
      </c>
      <c r="W474" s="362">
        <f t="shared" si="82"/>
        <v>725</v>
      </c>
      <c r="X474" s="742">
        <f t="shared" si="85"/>
        <v>2029.8888888888896</v>
      </c>
    </row>
    <row r="475" spans="1:24" ht="13.9">
      <c r="A475" s="349">
        <f t="shared" si="83"/>
        <v>467</v>
      </c>
      <c r="B475" s="391" t="s">
        <v>1913</v>
      </c>
      <c r="C475" s="350"/>
      <c r="D475" s="350"/>
      <c r="E475" s="350"/>
      <c r="F475" s="349"/>
      <c r="G475" s="389">
        <v>42581</v>
      </c>
      <c r="H475" s="352">
        <v>14500</v>
      </c>
      <c r="I475" s="353" t="s">
        <v>1379</v>
      </c>
      <c r="J475" s="353" t="s">
        <v>1379</v>
      </c>
      <c r="K475" s="354">
        <f t="shared" si="77"/>
        <v>14500</v>
      </c>
      <c r="L475" s="390">
        <v>42581</v>
      </c>
      <c r="M475" s="742">
        <v>10210.555555555555</v>
      </c>
      <c r="N475" s="352">
        <f t="shared" si="86"/>
        <v>4289.4444444444453</v>
      </c>
      <c r="O475" s="357">
        <f t="shared" si="78"/>
        <v>2802</v>
      </c>
      <c r="P475" s="357">
        <v>9</v>
      </c>
      <c r="Q475" s="358">
        <f t="shared" si="76"/>
        <v>7.6767123287671231</v>
      </c>
      <c r="R475" s="359">
        <f t="shared" si="79"/>
        <v>1.3232876712328769</v>
      </c>
      <c r="S475" s="360">
        <f t="shared" si="80"/>
        <v>1.3232876712328769</v>
      </c>
      <c r="T475" s="361">
        <f t="shared" si="81"/>
        <v>0.10555555555555554</v>
      </c>
      <c r="U475" s="362">
        <f t="shared" si="75"/>
        <v>1530.5555555555554</v>
      </c>
      <c r="V475" s="362">
        <f t="shared" si="84"/>
        <v>2758.8888888888896</v>
      </c>
      <c r="W475" s="362">
        <f t="shared" si="82"/>
        <v>725</v>
      </c>
      <c r="X475" s="742">
        <f t="shared" si="85"/>
        <v>2033.8888888888896</v>
      </c>
    </row>
    <row r="476" spans="1:24" ht="13.9">
      <c r="A476" s="349">
        <f t="shared" si="83"/>
        <v>468</v>
      </c>
      <c r="B476" s="391" t="s">
        <v>570</v>
      </c>
      <c r="C476" s="350"/>
      <c r="D476" s="350"/>
      <c r="E476" s="350"/>
      <c r="F476" s="349"/>
      <c r="G476" s="389">
        <v>42466</v>
      </c>
      <c r="H476" s="352">
        <v>47217</v>
      </c>
      <c r="I476" s="353" t="s">
        <v>1379</v>
      </c>
      <c r="J476" s="353" t="s">
        <v>1379</v>
      </c>
      <c r="K476" s="354">
        <f t="shared" si="77"/>
        <v>47217</v>
      </c>
      <c r="L476" s="390">
        <v>42466</v>
      </c>
      <c r="M476" s="742">
        <v>38752.016666666663</v>
      </c>
      <c r="N476" s="352">
        <f t="shared" si="86"/>
        <v>8464.9833333333372</v>
      </c>
      <c r="O476" s="357">
        <f t="shared" si="78"/>
        <v>2917</v>
      </c>
      <c r="P476" s="357">
        <v>9</v>
      </c>
      <c r="Q476" s="358">
        <f t="shared" si="76"/>
        <v>7.9917808219178079</v>
      </c>
      <c r="R476" s="359">
        <f t="shared" si="79"/>
        <v>1.0082191780821921</v>
      </c>
      <c r="S476" s="360">
        <f t="shared" si="80"/>
        <v>1.0082191780821921</v>
      </c>
      <c r="T476" s="361">
        <f t="shared" si="81"/>
        <v>0.10555555555555554</v>
      </c>
      <c r="U476" s="362">
        <f t="shared" si="75"/>
        <v>4984.0166666666664</v>
      </c>
      <c r="V476" s="362">
        <f t="shared" si="84"/>
        <v>3480.9666666666708</v>
      </c>
      <c r="W476" s="362">
        <f t="shared" si="82"/>
        <v>2361</v>
      </c>
      <c r="X476" s="742">
        <f t="shared" si="85"/>
        <v>1119.9666666666708</v>
      </c>
    </row>
    <row r="477" spans="1:24" ht="13.9">
      <c r="A477" s="349">
        <f t="shared" si="83"/>
        <v>469</v>
      </c>
      <c r="B477" s="391" t="s">
        <v>1914</v>
      </c>
      <c r="C477" s="350"/>
      <c r="D477" s="350"/>
      <c r="E477" s="350"/>
      <c r="F477" s="349"/>
      <c r="G477" s="389">
        <v>42518</v>
      </c>
      <c r="H477" s="352">
        <v>23816</v>
      </c>
      <c r="I477" s="353" t="s">
        <v>1379</v>
      </c>
      <c r="J477" s="353" t="s">
        <v>1379</v>
      </c>
      <c r="K477" s="354">
        <f t="shared" si="77"/>
        <v>23816</v>
      </c>
      <c r="L477" s="390">
        <v>42518</v>
      </c>
      <c r="M477" s="742">
        <v>18901.911111111112</v>
      </c>
      <c r="N477" s="352">
        <f t="shared" si="86"/>
        <v>4914.0888888888876</v>
      </c>
      <c r="O477" s="357">
        <f t="shared" si="78"/>
        <v>2865</v>
      </c>
      <c r="P477" s="357">
        <v>9</v>
      </c>
      <c r="Q477" s="358">
        <f t="shared" si="76"/>
        <v>7.8493150684931505</v>
      </c>
      <c r="R477" s="359">
        <f t="shared" si="79"/>
        <v>1.1506849315068495</v>
      </c>
      <c r="S477" s="360">
        <f t="shared" si="80"/>
        <v>1.1506849315068495</v>
      </c>
      <c r="T477" s="361">
        <f t="shared" si="81"/>
        <v>0.10555555555555554</v>
      </c>
      <c r="U477" s="362">
        <f t="shared" si="75"/>
        <v>2513.9111111111106</v>
      </c>
      <c r="V477" s="362">
        <f t="shared" si="84"/>
        <v>2400.177777777777</v>
      </c>
      <c r="W477" s="362">
        <f t="shared" si="82"/>
        <v>1191</v>
      </c>
      <c r="X477" s="742">
        <f t="shared" si="85"/>
        <v>1209.177777777777</v>
      </c>
    </row>
    <row r="478" spans="1:24" ht="13.9">
      <c r="A478" s="349">
        <f t="shared" si="83"/>
        <v>470</v>
      </c>
      <c r="B478" s="391" t="s">
        <v>1915</v>
      </c>
      <c r="C478" s="350"/>
      <c r="D478" s="350"/>
      <c r="E478" s="350"/>
      <c r="F478" s="349"/>
      <c r="G478" s="389">
        <v>42569</v>
      </c>
      <c r="H478" s="352">
        <v>19522</v>
      </c>
      <c r="I478" s="353" t="s">
        <v>1379</v>
      </c>
      <c r="J478" s="353" t="s">
        <v>1379</v>
      </c>
      <c r="K478" s="354">
        <f t="shared" si="77"/>
        <v>19522</v>
      </c>
      <c r="L478" s="390">
        <v>42569</v>
      </c>
      <c r="M478" s="742">
        <v>14975.655555555555</v>
      </c>
      <c r="N478" s="352">
        <f t="shared" si="86"/>
        <v>4546.3444444444449</v>
      </c>
      <c r="O478" s="357">
        <f t="shared" si="78"/>
        <v>2814</v>
      </c>
      <c r="P478" s="357">
        <v>9</v>
      </c>
      <c r="Q478" s="358">
        <f t="shared" si="76"/>
        <v>7.7095890410958905</v>
      </c>
      <c r="R478" s="359">
        <f t="shared" si="79"/>
        <v>1.2904109589041095</v>
      </c>
      <c r="S478" s="360">
        <f t="shared" si="80"/>
        <v>1.2904109589041095</v>
      </c>
      <c r="T478" s="361">
        <f t="shared" si="81"/>
        <v>0.10555555555555554</v>
      </c>
      <c r="U478" s="362">
        <f t="shared" si="75"/>
        <v>2060.6555555555551</v>
      </c>
      <c r="V478" s="362">
        <f t="shared" si="84"/>
        <v>2485.6888888888898</v>
      </c>
      <c r="W478" s="362">
        <f t="shared" si="82"/>
        <v>976</v>
      </c>
      <c r="X478" s="742">
        <f t="shared" si="85"/>
        <v>1509.6888888888898</v>
      </c>
    </row>
    <row r="479" spans="1:24" ht="13.9">
      <c r="A479" s="349">
        <f t="shared" si="83"/>
        <v>471</v>
      </c>
      <c r="B479" s="385" t="s">
        <v>1916</v>
      </c>
      <c r="C479" s="350"/>
      <c r="D479" s="350"/>
      <c r="E479" s="350"/>
      <c r="F479" s="349"/>
      <c r="G479" s="389">
        <v>42679</v>
      </c>
      <c r="H479" s="352">
        <v>19144</v>
      </c>
      <c r="I479" s="353" t="s">
        <v>1379</v>
      </c>
      <c r="J479" s="353" t="s">
        <v>1379</v>
      </c>
      <c r="K479" s="354">
        <f t="shared" si="77"/>
        <v>19144</v>
      </c>
      <c r="L479" s="390">
        <v>42679</v>
      </c>
      <c r="M479" s="742">
        <v>13589.755555555555</v>
      </c>
      <c r="N479" s="352">
        <f t="shared" si="86"/>
        <v>5554.2444444444445</v>
      </c>
      <c r="O479" s="357">
        <f t="shared" si="78"/>
        <v>2704</v>
      </c>
      <c r="P479" s="357">
        <v>9</v>
      </c>
      <c r="Q479" s="358">
        <f t="shared" si="76"/>
        <v>7.4082191780821915</v>
      </c>
      <c r="R479" s="359">
        <f t="shared" si="79"/>
        <v>1.5917808219178085</v>
      </c>
      <c r="S479" s="360">
        <f t="shared" si="80"/>
        <v>1.5917808219178085</v>
      </c>
      <c r="T479" s="361">
        <f t="shared" si="81"/>
        <v>0.10555555555555554</v>
      </c>
      <c r="U479" s="362">
        <f t="shared" si="75"/>
        <v>2020.7555555555552</v>
      </c>
      <c r="V479" s="362">
        <f t="shared" si="84"/>
        <v>3533.4888888888891</v>
      </c>
      <c r="W479" s="362">
        <f t="shared" si="82"/>
        <v>957</v>
      </c>
      <c r="X479" s="742">
        <f t="shared" si="85"/>
        <v>2576.4888888888891</v>
      </c>
    </row>
    <row r="480" spans="1:24" ht="13.9">
      <c r="A480" s="349">
        <f t="shared" si="83"/>
        <v>472</v>
      </c>
      <c r="B480" s="385" t="s">
        <v>1917</v>
      </c>
      <c r="C480" s="350"/>
      <c r="D480" s="350"/>
      <c r="E480" s="350"/>
      <c r="F480" s="349"/>
      <c r="G480" s="389">
        <v>42695</v>
      </c>
      <c r="H480" s="352">
        <v>20438</v>
      </c>
      <c r="I480" s="353" t="s">
        <v>1379</v>
      </c>
      <c r="J480" s="353" t="s">
        <v>1379</v>
      </c>
      <c r="K480" s="354">
        <f t="shared" si="77"/>
        <v>20438</v>
      </c>
      <c r="L480" s="390">
        <v>42695</v>
      </c>
      <c r="M480" s="742">
        <v>14337.344444444443</v>
      </c>
      <c r="N480" s="352">
        <f t="shared" si="86"/>
        <v>6100.6555555555569</v>
      </c>
      <c r="O480" s="357">
        <f t="shared" si="78"/>
        <v>2688</v>
      </c>
      <c r="P480" s="357">
        <v>9</v>
      </c>
      <c r="Q480" s="358">
        <f t="shared" si="76"/>
        <v>7.3643835616438356</v>
      </c>
      <c r="R480" s="359">
        <f t="shared" si="79"/>
        <v>1.6356164383561644</v>
      </c>
      <c r="S480" s="360">
        <f t="shared" si="80"/>
        <v>1.6356164383561644</v>
      </c>
      <c r="T480" s="361">
        <f t="shared" si="81"/>
        <v>0.10555555555555554</v>
      </c>
      <c r="U480" s="362">
        <f t="shared" si="75"/>
        <v>2157.344444444444</v>
      </c>
      <c r="V480" s="362">
        <f t="shared" si="84"/>
        <v>3943.311111111113</v>
      </c>
      <c r="W480" s="362">
        <f t="shared" si="82"/>
        <v>1022</v>
      </c>
      <c r="X480" s="742">
        <f t="shared" si="85"/>
        <v>2921.311111111113</v>
      </c>
    </row>
    <row r="481" spans="1:24" ht="13.9">
      <c r="A481" s="349">
        <f t="shared" si="83"/>
        <v>473</v>
      </c>
      <c r="B481" s="385" t="s">
        <v>1914</v>
      </c>
      <c r="C481" s="350"/>
      <c r="D481" s="350"/>
      <c r="E481" s="350"/>
      <c r="F481" s="349"/>
      <c r="G481" s="389">
        <v>42721</v>
      </c>
      <c r="H481" s="352">
        <v>42594</v>
      </c>
      <c r="I481" s="353" t="s">
        <v>1379</v>
      </c>
      <c r="J481" s="353" t="s">
        <v>1379</v>
      </c>
      <c r="K481" s="354">
        <f t="shared" si="77"/>
        <v>42594</v>
      </c>
      <c r="L481" s="390">
        <v>42721</v>
      </c>
      <c r="M481" s="742">
        <v>29304.033333333333</v>
      </c>
      <c r="N481" s="352">
        <f t="shared" si="86"/>
        <v>13289.966666666667</v>
      </c>
      <c r="O481" s="357">
        <f t="shared" si="78"/>
        <v>2662</v>
      </c>
      <c r="P481" s="357">
        <v>9</v>
      </c>
      <c r="Q481" s="358">
        <f t="shared" si="76"/>
        <v>7.2931506849315069</v>
      </c>
      <c r="R481" s="359">
        <f t="shared" si="79"/>
        <v>1.7068493150684931</v>
      </c>
      <c r="S481" s="360">
        <f t="shared" si="80"/>
        <v>1.7068493150684931</v>
      </c>
      <c r="T481" s="361">
        <f t="shared" si="81"/>
        <v>0.10555555555555554</v>
      </c>
      <c r="U481" s="362">
        <f t="shared" si="75"/>
        <v>4496.0333333333328</v>
      </c>
      <c r="V481" s="362">
        <f t="shared" si="84"/>
        <v>8793.9333333333343</v>
      </c>
      <c r="W481" s="362">
        <f t="shared" si="82"/>
        <v>2130</v>
      </c>
      <c r="X481" s="742">
        <f t="shared" si="85"/>
        <v>6663.9333333333343</v>
      </c>
    </row>
    <row r="482" spans="1:24" ht="13.9">
      <c r="A482" s="349">
        <f t="shared" si="83"/>
        <v>474</v>
      </c>
      <c r="B482" s="385" t="s">
        <v>1918</v>
      </c>
      <c r="C482" s="350"/>
      <c r="D482" s="350"/>
      <c r="E482" s="350"/>
      <c r="F482" s="349"/>
      <c r="G482" s="389">
        <v>42730</v>
      </c>
      <c r="H482" s="352">
        <v>459000</v>
      </c>
      <c r="I482" s="353" t="s">
        <v>1379</v>
      </c>
      <c r="J482" s="353" t="s">
        <v>1379</v>
      </c>
      <c r="K482" s="354">
        <f t="shared" si="77"/>
        <v>459000</v>
      </c>
      <c r="L482" s="390">
        <v>42730</v>
      </c>
      <c r="M482" s="742">
        <v>313637</v>
      </c>
      <c r="N482" s="352">
        <f t="shared" si="86"/>
        <v>145363</v>
      </c>
      <c r="O482" s="357">
        <f t="shared" si="78"/>
        <v>2653</v>
      </c>
      <c r="P482" s="357">
        <v>9</v>
      </c>
      <c r="Q482" s="358">
        <f t="shared" si="76"/>
        <v>7.2684931506849315</v>
      </c>
      <c r="R482" s="359">
        <f t="shared" si="79"/>
        <v>1.7315068493150685</v>
      </c>
      <c r="S482" s="360">
        <f t="shared" si="80"/>
        <v>1.7315068493150685</v>
      </c>
      <c r="T482" s="361">
        <f t="shared" si="81"/>
        <v>0.10555555555555554</v>
      </c>
      <c r="U482" s="362">
        <f t="shared" si="75"/>
        <v>48449.999999999993</v>
      </c>
      <c r="V482" s="362">
        <f t="shared" si="84"/>
        <v>96913</v>
      </c>
      <c r="W482" s="362">
        <f t="shared" si="82"/>
        <v>22950</v>
      </c>
      <c r="X482" s="742">
        <f t="shared" si="85"/>
        <v>73963</v>
      </c>
    </row>
    <row r="483" spans="1:24" ht="13.9">
      <c r="A483" s="349">
        <f t="shared" si="83"/>
        <v>475</v>
      </c>
      <c r="B483" s="385" t="s">
        <v>1919</v>
      </c>
      <c r="C483" s="350"/>
      <c r="D483" s="350"/>
      <c r="E483" s="350"/>
      <c r="F483" s="349"/>
      <c r="G483" s="389">
        <v>42745</v>
      </c>
      <c r="H483" s="352">
        <v>15140</v>
      </c>
      <c r="I483" s="353" t="s">
        <v>1379</v>
      </c>
      <c r="J483" s="353" t="s">
        <v>1379</v>
      </c>
      <c r="K483" s="354">
        <f t="shared" si="77"/>
        <v>15140</v>
      </c>
      <c r="L483" s="390">
        <v>42745</v>
      </c>
      <c r="M483" s="742">
        <v>10227.111111111111</v>
      </c>
      <c r="N483" s="352">
        <f t="shared" si="86"/>
        <v>4912.8888888888887</v>
      </c>
      <c r="O483" s="357">
        <f t="shared" si="78"/>
        <v>2638</v>
      </c>
      <c r="P483" s="357">
        <v>9</v>
      </c>
      <c r="Q483" s="358">
        <f t="shared" si="76"/>
        <v>7.2273972602739729</v>
      </c>
      <c r="R483" s="359">
        <f t="shared" si="79"/>
        <v>1.7726027397260271</v>
      </c>
      <c r="S483" s="360">
        <f t="shared" si="80"/>
        <v>1.7726027397260271</v>
      </c>
      <c r="T483" s="361">
        <f t="shared" si="81"/>
        <v>0.10555555555555554</v>
      </c>
      <c r="U483" s="362">
        <f t="shared" si="75"/>
        <v>1598.1111111111109</v>
      </c>
      <c r="V483" s="362">
        <f t="shared" si="84"/>
        <v>3314.7777777777778</v>
      </c>
      <c r="W483" s="362">
        <f t="shared" si="82"/>
        <v>757</v>
      </c>
      <c r="X483" s="742">
        <f t="shared" si="85"/>
        <v>2557.7777777777778</v>
      </c>
    </row>
    <row r="484" spans="1:24" ht="13.9">
      <c r="A484" s="349">
        <f t="shared" si="83"/>
        <v>476</v>
      </c>
      <c r="B484" s="349" t="s">
        <v>1920</v>
      </c>
      <c r="C484" s="350"/>
      <c r="D484" s="350"/>
      <c r="E484" s="350"/>
      <c r="F484" s="349"/>
      <c r="G484" s="389">
        <v>42480</v>
      </c>
      <c r="H484" s="352">
        <v>16275</v>
      </c>
      <c r="I484" s="353" t="s">
        <v>1379</v>
      </c>
      <c r="J484" s="353" t="s">
        <v>1379</v>
      </c>
      <c r="K484" s="354">
        <f t="shared" si="77"/>
        <v>16275</v>
      </c>
      <c r="L484" s="390">
        <v>42480</v>
      </c>
      <c r="M484" s="742">
        <v>13238.916666666666</v>
      </c>
      <c r="N484" s="352">
        <f t="shared" si="86"/>
        <v>3036.0833333333339</v>
      </c>
      <c r="O484" s="357">
        <f t="shared" si="78"/>
        <v>2903</v>
      </c>
      <c r="P484" s="357">
        <v>9</v>
      </c>
      <c r="Q484" s="358">
        <f t="shared" si="76"/>
        <v>7.9534246575342467</v>
      </c>
      <c r="R484" s="359">
        <f t="shared" si="79"/>
        <v>1.0465753424657533</v>
      </c>
      <c r="S484" s="360">
        <f t="shared" si="80"/>
        <v>1.0465753424657533</v>
      </c>
      <c r="T484" s="361">
        <f t="shared" si="81"/>
        <v>0.10555555555555554</v>
      </c>
      <c r="U484" s="362">
        <f t="shared" si="75"/>
        <v>1717.9166666666665</v>
      </c>
      <c r="V484" s="362">
        <f t="shared" si="84"/>
        <v>1318.1666666666674</v>
      </c>
      <c r="W484" s="362">
        <f t="shared" si="82"/>
        <v>814</v>
      </c>
      <c r="X484" s="742">
        <f t="shared" si="85"/>
        <v>504.16666666666742</v>
      </c>
    </row>
    <row r="485" spans="1:24" ht="13.9">
      <c r="A485" s="349">
        <f t="shared" si="83"/>
        <v>477</v>
      </c>
      <c r="B485" s="349" t="s">
        <v>1921</v>
      </c>
      <c r="C485" s="350"/>
      <c r="D485" s="350"/>
      <c r="E485" s="350"/>
      <c r="F485" s="349"/>
      <c r="G485" s="389">
        <v>42527</v>
      </c>
      <c r="H485" s="352">
        <v>71910</v>
      </c>
      <c r="I485" s="353" t="s">
        <v>1379</v>
      </c>
      <c r="J485" s="353" t="s">
        <v>1379</v>
      </c>
      <c r="K485" s="354">
        <f t="shared" si="77"/>
        <v>71910</v>
      </c>
      <c r="L485" s="390">
        <v>42527</v>
      </c>
      <c r="M485" s="742">
        <v>56735.5</v>
      </c>
      <c r="N485" s="352">
        <f t="shared" si="86"/>
        <v>15174.5</v>
      </c>
      <c r="O485" s="357">
        <f t="shared" si="78"/>
        <v>2856</v>
      </c>
      <c r="P485" s="357">
        <v>9</v>
      </c>
      <c r="Q485" s="358">
        <f t="shared" si="76"/>
        <v>7.8246575342465752</v>
      </c>
      <c r="R485" s="359">
        <f t="shared" si="79"/>
        <v>1.1753424657534248</v>
      </c>
      <c r="S485" s="360">
        <f t="shared" si="80"/>
        <v>1.1753424657534248</v>
      </c>
      <c r="T485" s="361">
        <f t="shared" si="81"/>
        <v>0.10555555555555554</v>
      </c>
      <c r="U485" s="362">
        <f t="shared" si="75"/>
        <v>7590.4999999999991</v>
      </c>
      <c r="V485" s="362">
        <f t="shared" si="84"/>
        <v>7584.0000000000009</v>
      </c>
      <c r="W485" s="362">
        <f t="shared" si="82"/>
        <v>3596</v>
      </c>
      <c r="X485" s="742">
        <f t="shared" si="85"/>
        <v>3988.0000000000009</v>
      </c>
    </row>
    <row r="486" spans="1:24" ht="13.9">
      <c r="A486" s="349">
        <f t="shared" si="83"/>
        <v>478</v>
      </c>
      <c r="B486" s="349" t="s">
        <v>1922</v>
      </c>
      <c r="C486" s="350"/>
      <c r="D486" s="350"/>
      <c r="E486" s="350"/>
      <c r="F486" s="349"/>
      <c r="G486" s="389">
        <v>42653</v>
      </c>
      <c r="H486" s="352">
        <v>12180</v>
      </c>
      <c r="I486" s="353" t="s">
        <v>1379</v>
      </c>
      <c r="J486" s="353" t="s">
        <v>1379</v>
      </c>
      <c r="K486" s="354">
        <f t="shared" si="77"/>
        <v>12180</v>
      </c>
      <c r="L486" s="390">
        <v>42653</v>
      </c>
      <c r="M486" s="742">
        <v>8810.6666666666661</v>
      </c>
      <c r="N486" s="352">
        <f t="shared" si="86"/>
        <v>3369.3333333333339</v>
      </c>
      <c r="O486" s="357">
        <f t="shared" si="78"/>
        <v>2730</v>
      </c>
      <c r="P486" s="357">
        <v>9</v>
      </c>
      <c r="Q486" s="358">
        <f t="shared" si="76"/>
        <v>7.4794520547945202</v>
      </c>
      <c r="R486" s="359">
        <f t="shared" si="79"/>
        <v>1.5205479452054798</v>
      </c>
      <c r="S486" s="360">
        <f t="shared" si="80"/>
        <v>1.5205479452054798</v>
      </c>
      <c r="T486" s="361">
        <f t="shared" si="81"/>
        <v>0.10555555555555554</v>
      </c>
      <c r="U486" s="362">
        <f t="shared" si="75"/>
        <v>1285.6666666666665</v>
      </c>
      <c r="V486" s="362">
        <f t="shared" si="84"/>
        <v>2083.6666666666674</v>
      </c>
      <c r="W486" s="362">
        <f t="shared" si="82"/>
        <v>609</v>
      </c>
      <c r="X486" s="742">
        <f t="shared" si="85"/>
        <v>1474.6666666666674</v>
      </c>
    </row>
    <row r="487" spans="1:24" ht="13.9">
      <c r="A487" s="349">
        <f t="shared" si="83"/>
        <v>479</v>
      </c>
      <c r="B487" s="349" t="s">
        <v>1923</v>
      </c>
      <c r="C487" s="350"/>
      <c r="D487" s="350"/>
      <c r="E487" s="350"/>
      <c r="F487" s="349"/>
      <c r="G487" s="389">
        <v>42725</v>
      </c>
      <c r="H487" s="352">
        <v>18360</v>
      </c>
      <c r="I487" s="353" t="s">
        <v>1379</v>
      </c>
      <c r="J487" s="353" t="s">
        <v>1379</v>
      </c>
      <c r="K487" s="354">
        <f t="shared" si="77"/>
        <v>18360</v>
      </c>
      <c r="L487" s="390">
        <v>42725</v>
      </c>
      <c r="M487" s="742">
        <v>12593</v>
      </c>
      <c r="N487" s="352">
        <f t="shared" si="86"/>
        <v>5767</v>
      </c>
      <c r="O487" s="357">
        <f t="shared" si="78"/>
        <v>2658</v>
      </c>
      <c r="P487" s="357">
        <v>9</v>
      </c>
      <c r="Q487" s="358">
        <f t="shared" si="76"/>
        <v>7.2821917808219174</v>
      </c>
      <c r="R487" s="359">
        <f t="shared" si="79"/>
        <v>1.7178082191780826</v>
      </c>
      <c r="S487" s="360">
        <f t="shared" si="80"/>
        <v>1.7178082191780826</v>
      </c>
      <c r="T487" s="361">
        <f t="shared" si="81"/>
        <v>0.10555555555555554</v>
      </c>
      <c r="U487" s="362">
        <f t="shared" si="75"/>
        <v>1937.9999999999998</v>
      </c>
      <c r="V487" s="362">
        <f t="shared" si="84"/>
        <v>3829</v>
      </c>
      <c r="W487" s="362">
        <f t="shared" si="82"/>
        <v>918</v>
      </c>
      <c r="X487" s="742">
        <f t="shared" si="85"/>
        <v>2911</v>
      </c>
    </row>
    <row r="488" spans="1:24" ht="13.9">
      <c r="A488" s="349">
        <f t="shared" si="83"/>
        <v>480</v>
      </c>
      <c r="B488" s="349" t="s">
        <v>1923</v>
      </c>
      <c r="C488" s="350"/>
      <c r="D488" s="350"/>
      <c r="E488" s="350"/>
      <c r="F488" s="349"/>
      <c r="G488" s="389">
        <v>42745</v>
      </c>
      <c r="H488" s="352">
        <v>61796</v>
      </c>
      <c r="I488" s="353" t="s">
        <v>1379</v>
      </c>
      <c r="J488" s="353" t="s">
        <v>1379</v>
      </c>
      <c r="K488" s="354">
        <f t="shared" si="77"/>
        <v>61796</v>
      </c>
      <c r="L488" s="390">
        <v>42745</v>
      </c>
      <c r="M488" s="742">
        <v>41742.911111111112</v>
      </c>
      <c r="N488" s="352">
        <f t="shared" si="86"/>
        <v>20053.088888888888</v>
      </c>
      <c r="O488" s="357">
        <f t="shared" si="78"/>
        <v>2638</v>
      </c>
      <c r="P488" s="357">
        <v>9</v>
      </c>
      <c r="Q488" s="358">
        <f t="shared" si="76"/>
        <v>7.2273972602739729</v>
      </c>
      <c r="R488" s="359">
        <f t="shared" si="79"/>
        <v>1.7726027397260271</v>
      </c>
      <c r="S488" s="360">
        <f t="shared" si="80"/>
        <v>1.7726027397260271</v>
      </c>
      <c r="T488" s="361">
        <f t="shared" si="81"/>
        <v>0.10555555555555554</v>
      </c>
      <c r="U488" s="362">
        <f t="shared" si="75"/>
        <v>6522.9111111111106</v>
      </c>
      <c r="V488" s="362">
        <f t="shared" si="84"/>
        <v>13530.177777777777</v>
      </c>
      <c r="W488" s="362">
        <f t="shared" si="82"/>
        <v>3090</v>
      </c>
      <c r="X488" s="742">
        <f t="shared" si="85"/>
        <v>10440.177777777777</v>
      </c>
    </row>
    <row r="489" spans="1:24" ht="13.9">
      <c r="A489" s="349">
        <f t="shared" si="83"/>
        <v>481</v>
      </c>
      <c r="B489" s="349" t="s">
        <v>1923</v>
      </c>
      <c r="C489" s="350"/>
      <c r="D489" s="350"/>
      <c r="E489" s="350"/>
      <c r="F489" s="349"/>
      <c r="G489" s="389">
        <v>42789</v>
      </c>
      <c r="H489" s="352">
        <v>10420</v>
      </c>
      <c r="I489" s="353" t="s">
        <v>1379</v>
      </c>
      <c r="J489" s="353" t="s">
        <v>1379</v>
      </c>
      <c r="K489" s="354">
        <f t="shared" si="77"/>
        <v>10420</v>
      </c>
      <c r="L489" s="390">
        <v>42789</v>
      </c>
      <c r="M489" s="742">
        <v>6799.8888888888887</v>
      </c>
      <c r="N489" s="352">
        <f t="shared" si="86"/>
        <v>3620.1111111111113</v>
      </c>
      <c r="O489" s="357">
        <f t="shared" si="78"/>
        <v>2594</v>
      </c>
      <c r="P489" s="357">
        <v>9</v>
      </c>
      <c r="Q489" s="358">
        <f t="shared" si="76"/>
        <v>7.1068493150684935</v>
      </c>
      <c r="R489" s="359">
        <f t="shared" si="79"/>
        <v>1.8931506849315065</v>
      </c>
      <c r="S489" s="360">
        <f t="shared" si="80"/>
        <v>1.8931506849315065</v>
      </c>
      <c r="T489" s="361">
        <f t="shared" si="81"/>
        <v>0.10555555555555554</v>
      </c>
      <c r="U489" s="362">
        <f t="shared" si="75"/>
        <v>1099.8888888888887</v>
      </c>
      <c r="V489" s="362">
        <f t="shared" si="84"/>
        <v>2520.2222222222226</v>
      </c>
      <c r="W489" s="362">
        <f t="shared" si="82"/>
        <v>521</v>
      </c>
      <c r="X489" s="742">
        <f t="shared" si="85"/>
        <v>1999.2222222222226</v>
      </c>
    </row>
    <row r="490" spans="1:24" ht="13.9">
      <c r="A490" s="349">
        <f t="shared" si="83"/>
        <v>482</v>
      </c>
      <c r="B490" s="385" t="s">
        <v>328</v>
      </c>
      <c r="C490" s="350"/>
      <c r="D490" s="350"/>
      <c r="E490" s="350"/>
      <c r="F490" s="349"/>
      <c r="G490" s="389">
        <v>42545</v>
      </c>
      <c r="H490" s="352">
        <v>17902</v>
      </c>
      <c r="I490" s="353" t="s">
        <v>1379</v>
      </c>
      <c r="J490" s="353" t="s">
        <v>1379</v>
      </c>
      <c r="K490" s="354">
        <f t="shared" si="77"/>
        <v>17902</v>
      </c>
      <c r="L490" s="390">
        <v>42545</v>
      </c>
      <c r="M490" s="742">
        <v>13956.655555555555</v>
      </c>
      <c r="N490" s="352">
        <f t="shared" si="86"/>
        <v>3945.3444444444449</v>
      </c>
      <c r="O490" s="357">
        <f t="shared" si="78"/>
        <v>2838</v>
      </c>
      <c r="P490" s="357">
        <v>9</v>
      </c>
      <c r="Q490" s="358">
        <f t="shared" si="76"/>
        <v>7.7753424657534245</v>
      </c>
      <c r="R490" s="359">
        <f t="shared" si="79"/>
        <v>1.2246575342465755</v>
      </c>
      <c r="S490" s="360">
        <f t="shared" si="80"/>
        <v>1.2246575342465755</v>
      </c>
      <c r="T490" s="361">
        <f t="shared" si="81"/>
        <v>0.10555555555555554</v>
      </c>
      <c r="U490" s="362">
        <f t="shared" si="75"/>
        <v>1889.6555555555553</v>
      </c>
      <c r="V490" s="362">
        <f t="shared" si="84"/>
        <v>2055.6888888888898</v>
      </c>
      <c r="W490" s="362">
        <f t="shared" si="82"/>
        <v>895</v>
      </c>
      <c r="X490" s="742">
        <f t="shared" si="85"/>
        <v>1160.6888888888898</v>
      </c>
    </row>
    <row r="491" spans="1:24" ht="13.9">
      <c r="A491" s="349">
        <f t="shared" si="83"/>
        <v>483</v>
      </c>
      <c r="B491" s="385" t="s">
        <v>320</v>
      </c>
      <c r="C491" s="350"/>
      <c r="D491" s="350"/>
      <c r="E491" s="350"/>
      <c r="F491" s="349"/>
      <c r="G491" s="389">
        <v>42608</v>
      </c>
      <c r="H491" s="352">
        <v>121890</v>
      </c>
      <c r="I491" s="353" t="s">
        <v>1379</v>
      </c>
      <c r="J491" s="353" t="s">
        <v>1379</v>
      </c>
      <c r="K491" s="354">
        <f t="shared" si="77"/>
        <v>121890</v>
      </c>
      <c r="L491" s="390">
        <v>42608</v>
      </c>
      <c r="M491" s="742">
        <v>84881.166666666657</v>
      </c>
      <c r="N491" s="352">
        <f t="shared" si="86"/>
        <v>37008.833333333343</v>
      </c>
      <c r="O491" s="357">
        <f t="shared" si="78"/>
        <v>2775</v>
      </c>
      <c r="P491" s="357">
        <v>9</v>
      </c>
      <c r="Q491" s="358">
        <f t="shared" si="76"/>
        <v>7.602739726027397</v>
      </c>
      <c r="R491" s="359">
        <f t="shared" si="79"/>
        <v>1.397260273972603</v>
      </c>
      <c r="S491" s="360">
        <f t="shared" si="80"/>
        <v>1.397260273972603</v>
      </c>
      <c r="T491" s="361">
        <f t="shared" si="81"/>
        <v>0.10555555555555554</v>
      </c>
      <c r="U491" s="362">
        <f t="shared" si="75"/>
        <v>12866.166666666664</v>
      </c>
      <c r="V491" s="362">
        <f t="shared" si="84"/>
        <v>24142.666666666679</v>
      </c>
      <c r="W491" s="362">
        <f t="shared" si="82"/>
        <v>6095</v>
      </c>
      <c r="X491" s="742">
        <f t="shared" si="85"/>
        <v>18047.666666666679</v>
      </c>
    </row>
    <row r="492" spans="1:24" ht="13.9">
      <c r="A492" s="349">
        <f t="shared" si="83"/>
        <v>484</v>
      </c>
      <c r="B492" s="385" t="s">
        <v>320</v>
      </c>
      <c r="C492" s="350"/>
      <c r="D492" s="350"/>
      <c r="E492" s="350"/>
      <c r="F492" s="349"/>
      <c r="G492" s="389">
        <v>42697</v>
      </c>
      <c r="H492" s="352">
        <v>23940</v>
      </c>
      <c r="I492" s="353" t="s">
        <v>1379</v>
      </c>
      <c r="J492" s="353" t="s">
        <v>1379</v>
      </c>
      <c r="K492" s="354">
        <f t="shared" si="77"/>
        <v>23940</v>
      </c>
      <c r="L492" s="390">
        <v>42697</v>
      </c>
      <c r="M492" s="742">
        <v>16055</v>
      </c>
      <c r="N492" s="352">
        <f t="shared" si="86"/>
        <v>7885</v>
      </c>
      <c r="O492" s="357">
        <f t="shared" si="78"/>
        <v>2686</v>
      </c>
      <c r="P492" s="357">
        <v>9</v>
      </c>
      <c r="Q492" s="358">
        <f t="shared" si="76"/>
        <v>7.3589041095890408</v>
      </c>
      <c r="R492" s="359">
        <f t="shared" si="79"/>
        <v>1.6410958904109592</v>
      </c>
      <c r="S492" s="360">
        <f t="shared" si="80"/>
        <v>1.6410958904109592</v>
      </c>
      <c r="T492" s="361">
        <f t="shared" si="81"/>
        <v>0.10555555555555554</v>
      </c>
      <c r="U492" s="362">
        <f t="shared" si="75"/>
        <v>2526.9999999999995</v>
      </c>
      <c r="V492" s="362">
        <f t="shared" si="84"/>
        <v>5358</v>
      </c>
      <c r="W492" s="362">
        <f t="shared" si="82"/>
        <v>1197</v>
      </c>
      <c r="X492" s="742">
        <f t="shared" si="85"/>
        <v>4161</v>
      </c>
    </row>
    <row r="493" spans="1:24" ht="13.9">
      <c r="A493" s="349">
        <f t="shared" si="83"/>
        <v>485</v>
      </c>
      <c r="B493" s="385" t="s">
        <v>320</v>
      </c>
      <c r="C493" s="350"/>
      <c r="D493" s="350"/>
      <c r="E493" s="350"/>
      <c r="F493" s="349"/>
      <c r="G493" s="389">
        <v>42720</v>
      </c>
      <c r="H493" s="352">
        <v>43000</v>
      </c>
      <c r="I493" s="353" t="s">
        <v>1379</v>
      </c>
      <c r="J493" s="353" t="s">
        <v>1379</v>
      </c>
      <c r="K493" s="354">
        <f t="shared" si="77"/>
        <v>43000</v>
      </c>
      <c r="L493" s="390">
        <v>42720</v>
      </c>
      <c r="M493" s="742">
        <v>28551.888888888891</v>
      </c>
      <c r="N493" s="352">
        <f t="shared" si="86"/>
        <v>14448.111111111109</v>
      </c>
      <c r="O493" s="357">
        <f t="shared" si="78"/>
        <v>2663</v>
      </c>
      <c r="P493" s="357">
        <v>9</v>
      </c>
      <c r="Q493" s="358">
        <f t="shared" si="76"/>
        <v>7.2958904109589042</v>
      </c>
      <c r="R493" s="359">
        <f t="shared" si="79"/>
        <v>1.7041095890410958</v>
      </c>
      <c r="S493" s="360">
        <f t="shared" si="80"/>
        <v>1.7041095890410958</v>
      </c>
      <c r="T493" s="361">
        <f t="shared" si="81"/>
        <v>0.10555555555555554</v>
      </c>
      <c r="U493" s="362">
        <f t="shared" ref="U493:U556" si="87">+K493*T493</f>
        <v>4538.8888888888887</v>
      </c>
      <c r="V493" s="362">
        <f t="shared" si="84"/>
        <v>9909.2222222222208</v>
      </c>
      <c r="W493" s="362">
        <f t="shared" si="82"/>
        <v>2150</v>
      </c>
      <c r="X493" s="742">
        <f t="shared" si="85"/>
        <v>7759.2222222222208</v>
      </c>
    </row>
    <row r="494" spans="1:24" ht="13.9">
      <c r="A494" s="349">
        <f t="shared" si="83"/>
        <v>486</v>
      </c>
      <c r="B494" s="349" t="s">
        <v>320</v>
      </c>
      <c r="C494" s="350"/>
      <c r="D494" s="350"/>
      <c r="E494" s="350"/>
      <c r="F494" s="349"/>
      <c r="G494" s="389">
        <v>42718</v>
      </c>
      <c r="H494" s="352">
        <v>78832</v>
      </c>
      <c r="I494" s="353" t="s">
        <v>1379</v>
      </c>
      <c r="J494" s="353" t="s">
        <v>1379</v>
      </c>
      <c r="K494" s="354">
        <f t="shared" si="77"/>
        <v>78832</v>
      </c>
      <c r="L494" s="390">
        <v>42718</v>
      </c>
      <c r="M494" s="742">
        <v>52389.155555555553</v>
      </c>
      <c r="N494" s="352">
        <f t="shared" si="86"/>
        <v>26442.844444444447</v>
      </c>
      <c r="O494" s="357">
        <f t="shared" si="78"/>
        <v>2665</v>
      </c>
      <c r="P494" s="357">
        <v>9</v>
      </c>
      <c r="Q494" s="358">
        <f t="shared" si="76"/>
        <v>7.3013698630136989</v>
      </c>
      <c r="R494" s="359">
        <f t="shared" si="79"/>
        <v>1.6986301369863011</v>
      </c>
      <c r="S494" s="360">
        <f t="shared" si="80"/>
        <v>1.6986301369863011</v>
      </c>
      <c r="T494" s="361">
        <f t="shared" si="81"/>
        <v>0.10555555555555554</v>
      </c>
      <c r="U494" s="362">
        <f t="shared" si="87"/>
        <v>8321.1555555555551</v>
      </c>
      <c r="V494" s="362">
        <f t="shared" si="84"/>
        <v>18121.688888888893</v>
      </c>
      <c r="W494" s="362">
        <f t="shared" si="82"/>
        <v>3942</v>
      </c>
      <c r="X494" s="742">
        <f t="shared" si="85"/>
        <v>14179.688888888893</v>
      </c>
    </row>
    <row r="495" spans="1:24" ht="13.9">
      <c r="A495" s="349">
        <f t="shared" si="83"/>
        <v>487</v>
      </c>
      <c r="B495" s="385" t="s">
        <v>320</v>
      </c>
      <c r="C495" s="350"/>
      <c r="D495" s="350"/>
      <c r="E495" s="350"/>
      <c r="F495" s="349"/>
      <c r="G495" s="389">
        <v>42751</v>
      </c>
      <c r="H495" s="352">
        <v>267218</v>
      </c>
      <c r="I495" s="353" t="s">
        <v>1379</v>
      </c>
      <c r="J495" s="353" t="s">
        <v>1379</v>
      </c>
      <c r="K495" s="354">
        <f t="shared" si="77"/>
        <v>267218</v>
      </c>
      <c r="L495" s="390">
        <v>42751</v>
      </c>
      <c r="M495" s="742">
        <v>175034.34444444443</v>
      </c>
      <c r="N495" s="352">
        <f t="shared" si="86"/>
        <v>92183.655555555568</v>
      </c>
      <c r="O495" s="357">
        <f t="shared" si="78"/>
        <v>2632</v>
      </c>
      <c r="P495" s="357">
        <v>9</v>
      </c>
      <c r="Q495" s="358">
        <f t="shared" si="76"/>
        <v>7.2109589041095887</v>
      </c>
      <c r="R495" s="359">
        <f t="shared" si="79"/>
        <v>1.7890410958904113</v>
      </c>
      <c r="S495" s="360">
        <f t="shared" si="80"/>
        <v>1.7890410958904113</v>
      </c>
      <c r="T495" s="361">
        <f t="shared" si="81"/>
        <v>0.10555555555555554</v>
      </c>
      <c r="U495" s="362">
        <f t="shared" si="87"/>
        <v>28206.344444444439</v>
      </c>
      <c r="V495" s="362">
        <f t="shared" si="84"/>
        <v>63977.311111111128</v>
      </c>
      <c r="W495" s="362">
        <f t="shared" si="82"/>
        <v>13361</v>
      </c>
      <c r="X495" s="742">
        <f t="shared" si="85"/>
        <v>50616.311111111128</v>
      </c>
    </row>
    <row r="496" spans="1:24" ht="13.9">
      <c r="A496" s="349">
        <f t="shared" si="83"/>
        <v>488</v>
      </c>
      <c r="B496" s="385" t="s">
        <v>1924</v>
      </c>
      <c r="C496" s="350"/>
      <c r="D496" s="350"/>
      <c r="E496" s="350"/>
      <c r="F496" s="349"/>
      <c r="G496" s="389">
        <v>42818</v>
      </c>
      <c r="H496" s="352">
        <v>17420</v>
      </c>
      <c r="I496" s="353" t="s">
        <v>1379</v>
      </c>
      <c r="J496" s="353" t="s">
        <v>1379</v>
      </c>
      <c r="K496" s="354">
        <f t="shared" si="77"/>
        <v>17420</v>
      </c>
      <c r="L496" s="390">
        <v>42818</v>
      </c>
      <c r="M496" s="742">
        <v>11072.777777777777</v>
      </c>
      <c r="N496" s="352">
        <f t="shared" si="86"/>
        <v>6347.2222222222226</v>
      </c>
      <c r="O496" s="357">
        <f t="shared" si="78"/>
        <v>2565</v>
      </c>
      <c r="P496" s="357">
        <v>9</v>
      </c>
      <c r="Q496" s="358">
        <f t="shared" si="76"/>
        <v>7.0273972602739727</v>
      </c>
      <c r="R496" s="359">
        <f t="shared" si="79"/>
        <v>1.9726027397260273</v>
      </c>
      <c r="S496" s="360">
        <f t="shared" si="80"/>
        <v>1.9726027397260273</v>
      </c>
      <c r="T496" s="361">
        <f t="shared" si="81"/>
        <v>0.10555555555555554</v>
      </c>
      <c r="U496" s="362">
        <f t="shared" si="87"/>
        <v>1838.7777777777776</v>
      </c>
      <c r="V496" s="362">
        <f t="shared" si="84"/>
        <v>4508.4444444444453</v>
      </c>
      <c r="W496" s="362">
        <f t="shared" si="82"/>
        <v>871</v>
      </c>
      <c r="X496" s="742">
        <f t="shared" si="85"/>
        <v>3637.4444444444453</v>
      </c>
    </row>
    <row r="497" spans="1:24" ht="13.9">
      <c r="A497" s="349">
        <f t="shared" si="83"/>
        <v>489</v>
      </c>
      <c r="B497" s="385" t="s">
        <v>320</v>
      </c>
      <c r="C497" s="350"/>
      <c r="D497" s="350"/>
      <c r="E497" s="350"/>
      <c r="F497" s="349"/>
      <c r="G497" s="389">
        <v>42751</v>
      </c>
      <c r="H497" s="352">
        <v>71327</v>
      </c>
      <c r="I497" s="353" t="s">
        <v>1379</v>
      </c>
      <c r="J497" s="353" t="s">
        <v>1379</v>
      </c>
      <c r="K497" s="354">
        <f t="shared" si="77"/>
        <v>71327</v>
      </c>
      <c r="L497" s="390">
        <v>42751</v>
      </c>
      <c r="M497" s="742">
        <v>46720.961111111108</v>
      </c>
      <c r="N497" s="352">
        <f t="shared" si="86"/>
        <v>24606.038888888892</v>
      </c>
      <c r="O497" s="357">
        <f t="shared" si="78"/>
        <v>2632</v>
      </c>
      <c r="P497" s="357">
        <v>9</v>
      </c>
      <c r="Q497" s="358">
        <f t="shared" si="76"/>
        <v>7.2109589041095887</v>
      </c>
      <c r="R497" s="359">
        <f t="shared" si="79"/>
        <v>1.7890410958904113</v>
      </c>
      <c r="S497" s="360">
        <f t="shared" si="80"/>
        <v>1.7890410958904113</v>
      </c>
      <c r="T497" s="361">
        <f t="shared" si="81"/>
        <v>0.10555555555555554</v>
      </c>
      <c r="U497" s="362">
        <f t="shared" si="87"/>
        <v>7528.9611111111099</v>
      </c>
      <c r="V497" s="362">
        <f t="shared" si="84"/>
        <v>17077.077777777784</v>
      </c>
      <c r="W497" s="362">
        <f t="shared" si="82"/>
        <v>3566</v>
      </c>
      <c r="X497" s="742">
        <f t="shared" si="85"/>
        <v>13511.077777777784</v>
      </c>
    </row>
    <row r="498" spans="1:24" ht="13.9">
      <c r="A498" s="349">
        <f t="shared" si="83"/>
        <v>490</v>
      </c>
      <c r="B498" s="385" t="s">
        <v>983</v>
      </c>
      <c r="C498" s="350"/>
      <c r="D498" s="350"/>
      <c r="E498" s="350"/>
      <c r="F498" s="349"/>
      <c r="G498" s="389">
        <v>42529</v>
      </c>
      <c r="H498" s="352">
        <v>23400</v>
      </c>
      <c r="I498" s="353" t="s">
        <v>1379</v>
      </c>
      <c r="J498" s="353" t="s">
        <v>1379</v>
      </c>
      <c r="K498" s="354">
        <f t="shared" si="77"/>
        <v>23400</v>
      </c>
      <c r="L498" s="390">
        <v>42529</v>
      </c>
      <c r="M498" s="742">
        <v>20850</v>
      </c>
      <c r="N498" s="352">
        <f t="shared" si="86"/>
        <v>2550</v>
      </c>
      <c r="O498" s="357">
        <f t="shared" si="78"/>
        <v>2854</v>
      </c>
      <c r="P498" s="357">
        <v>9</v>
      </c>
      <c r="Q498" s="358">
        <f t="shared" si="76"/>
        <v>7.8191780821917805</v>
      </c>
      <c r="R498" s="359">
        <f t="shared" si="79"/>
        <v>1.1808219178082195</v>
      </c>
      <c r="S498" s="360">
        <f t="shared" si="80"/>
        <v>1.1808219178082195</v>
      </c>
      <c r="T498" s="361">
        <f t="shared" si="81"/>
        <v>0.10555555555555554</v>
      </c>
      <c r="U498" s="362">
        <f t="shared" si="87"/>
        <v>2469.9999999999995</v>
      </c>
      <c r="V498" s="362">
        <f t="shared" si="84"/>
        <v>80.000000000000455</v>
      </c>
      <c r="W498" s="362">
        <f t="shared" si="82"/>
        <v>1170</v>
      </c>
      <c r="X498" s="742">
        <f t="shared" si="85"/>
        <v>-1089.9999999999995</v>
      </c>
    </row>
    <row r="499" spans="1:24" ht="13.9">
      <c r="A499" s="349">
        <f t="shared" si="83"/>
        <v>491</v>
      </c>
      <c r="B499" s="349" t="s">
        <v>983</v>
      </c>
      <c r="C499" s="350"/>
      <c r="D499" s="350"/>
      <c r="E499" s="350"/>
      <c r="F499" s="349"/>
      <c r="G499" s="389">
        <v>42760</v>
      </c>
      <c r="H499" s="352">
        <v>20475</v>
      </c>
      <c r="I499" s="353" t="s">
        <v>1379</v>
      </c>
      <c r="J499" s="353" t="s">
        <v>1379</v>
      </c>
      <c r="K499" s="354">
        <f t="shared" si="77"/>
        <v>20475</v>
      </c>
      <c r="L499" s="390">
        <v>42760</v>
      </c>
      <c r="M499" s="742">
        <v>14140.25</v>
      </c>
      <c r="N499" s="352">
        <f t="shared" si="86"/>
        <v>6334.75</v>
      </c>
      <c r="O499" s="357">
        <f t="shared" si="78"/>
        <v>2623</v>
      </c>
      <c r="P499" s="357">
        <v>9</v>
      </c>
      <c r="Q499" s="358">
        <f t="shared" si="76"/>
        <v>7.1863013698630134</v>
      </c>
      <c r="R499" s="359">
        <f t="shared" si="79"/>
        <v>1.8136986301369866</v>
      </c>
      <c r="S499" s="360">
        <f t="shared" si="80"/>
        <v>1.8136986301369866</v>
      </c>
      <c r="T499" s="361">
        <f t="shared" si="81"/>
        <v>0.10555555555555554</v>
      </c>
      <c r="U499" s="362">
        <f t="shared" si="87"/>
        <v>2161.2499999999995</v>
      </c>
      <c r="V499" s="362">
        <f t="shared" si="84"/>
        <v>4173.5</v>
      </c>
      <c r="W499" s="362">
        <f t="shared" si="82"/>
        <v>1024</v>
      </c>
      <c r="X499" s="742">
        <f t="shared" si="85"/>
        <v>3149.5</v>
      </c>
    </row>
    <row r="500" spans="1:24" ht="13.9">
      <c r="A500" s="349">
        <f t="shared" si="83"/>
        <v>492</v>
      </c>
      <c r="B500" s="349" t="s">
        <v>983</v>
      </c>
      <c r="C500" s="350"/>
      <c r="D500" s="350"/>
      <c r="E500" s="350"/>
      <c r="F500" s="349"/>
      <c r="G500" s="389">
        <v>42591</v>
      </c>
      <c r="H500" s="352">
        <v>69360</v>
      </c>
      <c r="I500" s="353" t="s">
        <v>1379</v>
      </c>
      <c r="J500" s="353" t="s">
        <v>1379</v>
      </c>
      <c r="K500" s="354">
        <f t="shared" si="77"/>
        <v>69360</v>
      </c>
      <c r="L500" s="390">
        <v>42591</v>
      </c>
      <c r="M500" s="742">
        <v>58069.333333333328</v>
      </c>
      <c r="N500" s="352">
        <f t="shared" si="86"/>
        <v>11290.666666666672</v>
      </c>
      <c r="O500" s="357">
        <f t="shared" si="78"/>
        <v>2792</v>
      </c>
      <c r="P500" s="357">
        <v>9</v>
      </c>
      <c r="Q500" s="358">
        <f t="shared" si="76"/>
        <v>7.6493150684931503</v>
      </c>
      <c r="R500" s="359">
        <f t="shared" si="79"/>
        <v>1.3506849315068497</v>
      </c>
      <c r="S500" s="360">
        <f t="shared" si="80"/>
        <v>1.3506849315068497</v>
      </c>
      <c r="T500" s="361">
        <f t="shared" si="81"/>
        <v>0.10555555555555554</v>
      </c>
      <c r="U500" s="362">
        <f t="shared" si="87"/>
        <v>7321.3333333333321</v>
      </c>
      <c r="V500" s="362">
        <f t="shared" si="84"/>
        <v>3969.3333333333394</v>
      </c>
      <c r="W500" s="362">
        <f t="shared" si="82"/>
        <v>3468</v>
      </c>
      <c r="X500" s="742">
        <f t="shared" si="85"/>
        <v>501.3333333333394</v>
      </c>
    </row>
    <row r="501" spans="1:24" ht="13.9">
      <c r="A501" s="349">
        <f t="shared" si="83"/>
        <v>493</v>
      </c>
      <c r="B501" s="349" t="s">
        <v>983</v>
      </c>
      <c r="C501" s="350"/>
      <c r="D501" s="350"/>
      <c r="E501" s="350"/>
      <c r="F501" s="349"/>
      <c r="G501" s="389">
        <v>42462</v>
      </c>
      <c r="H501" s="352">
        <v>175000</v>
      </c>
      <c r="I501" s="353" t="s">
        <v>1379</v>
      </c>
      <c r="J501" s="353" t="s">
        <v>1379</v>
      </c>
      <c r="K501" s="354">
        <f t="shared" si="77"/>
        <v>175000</v>
      </c>
      <c r="L501" s="390">
        <v>42462</v>
      </c>
      <c r="M501" s="742">
        <v>166098.22222222222</v>
      </c>
      <c r="N501" s="352">
        <f t="shared" si="86"/>
        <v>8901.777777777781</v>
      </c>
      <c r="O501" s="357">
        <f t="shared" si="78"/>
        <v>2921</v>
      </c>
      <c r="P501" s="357">
        <v>9</v>
      </c>
      <c r="Q501" s="358">
        <f t="shared" si="76"/>
        <v>8.0027397260273965</v>
      </c>
      <c r="R501" s="359">
        <f t="shared" si="79"/>
        <v>0.99726027397260353</v>
      </c>
      <c r="S501" s="360">
        <f t="shared" si="80"/>
        <v>0.99726027397260353</v>
      </c>
      <c r="T501" s="361">
        <f t="shared" si="81"/>
        <v>0.10555555555555554</v>
      </c>
      <c r="U501" s="362">
        <f t="shared" si="87"/>
        <v>18472.222222222219</v>
      </c>
      <c r="V501" s="362">
        <f t="shared" si="84"/>
        <v>-9570.444444444438</v>
      </c>
      <c r="W501" s="362">
        <f t="shared" si="82"/>
        <v>8750</v>
      </c>
      <c r="X501" s="742">
        <f t="shared" si="85"/>
        <v>-18320.444444444438</v>
      </c>
    </row>
    <row r="502" spans="1:24" ht="13.9">
      <c r="A502" s="349">
        <f t="shared" si="83"/>
        <v>494</v>
      </c>
      <c r="B502" s="349" t="s">
        <v>983</v>
      </c>
      <c r="C502" s="350"/>
      <c r="D502" s="350"/>
      <c r="E502" s="350"/>
      <c r="F502" s="349"/>
      <c r="G502" s="389">
        <v>42765</v>
      </c>
      <c r="H502" s="352">
        <v>43719</v>
      </c>
      <c r="I502" s="353" t="s">
        <v>1379</v>
      </c>
      <c r="J502" s="353" t="s">
        <v>1379</v>
      </c>
      <c r="K502" s="354">
        <f t="shared" si="77"/>
        <v>43719</v>
      </c>
      <c r="L502" s="390">
        <v>42765</v>
      </c>
      <c r="M502" s="742">
        <v>30002.783333333333</v>
      </c>
      <c r="N502" s="352">
        <f t="shared" si="86"/>
        <v>13716.216666666667</v>
      </c>
      <c r="O502" s="357">
        <f t="shared" si="78"/>
        <v>2618</v>
      </c>
      <c r="P502" s="357">
        <v>9</v>
      </c>
      <c r="Q502" s="358">
        <f t="shared" si="76"/>
        <v>7.1726027397260275</v>
      </c>
      <c r="R502" s="359">
        <f t="shared" si="79"/>
        <v>1.8273972602739725</v>
      </c>
      <c r="S502" s="360">
        <f t="shared" si="80"/>
        <v>1.8273972602739725</v>
      </c>
      <c r="T502" s="361">
        <f t="shared" si="81"/>
        <v>0.10555555555555554</v>
      </c>
      <c r="U502" s="362">
        <f t="shared" si="87"/>
        <v>4614.7833333333328</v>
      </c>
      <c r="V502" s="362">
        <f t="shared" si="84"/>
        <v>9101.4333333333343</v>
      </c>
      <c r="W502" s="362">
        <f t="shared" si="82"/>
        <v>2186</v>
      </c>
      <c r="X502" s="742">
        <f t="shared" si="85"/>
        <v>6915.4333333333343</v>
      </c>
    </row>
    <row r="503" spans="1:24" ht="13.9">
      <c r="A503" s="349">
        <f t="shared" si="83"/>
        <v>495</v>
      </c>
      <c r="B503" s="349" t="s">
        <v>983</v>
      </c>
      <c r="C503" s="350"/>
      <c r="D503" s="350"/>
      <c r="E503" s="350"/>
      <c r="F503" s="349"/>
      <c r="G503" s="389">
        <v>42816</v>
      </c>
      <c r="H503" s="352">
        <v>103530</v>
      </c>
      <c r="I503" s="353" t="s">
        <v>1379</v>
      </c>
      <c r="J503" s="353" t="s">
        <v>1379</v>
      </c>
      <c r="K503" s="354">
        <f t="shared" si="77"/>
        <v>103530</v>
      </c>
      <c r="L503" s="390">
        <v>42816</v>
      </c>
      <c r="M503" s="742">
        <v>66467.166666666672</v>
      </c>
      <c r="N503" s="352">
        <f t="shared" si="86"/>
        <v>37062.833333333328</v>
      </c>
      <c r="O503" s="357">
        <f t="shared" si="78"/>
        <v>2567</v>
      </c>
      <c r="P503" s="357">
        <v>9</v>
      </c>
      <c r="Q503" s="358">
        <f t="shared" si="76"/>
        <v>7.0328767123287674</v>
      </c>
      <c r="R503" s="359">
        <f t="shared" si="79"/>
        <v>1.9671232876712326</v>
      </c>
      <c r="S503" s="360">
        <f t="shared" si="80"/>
        <v>1.9671232876712326</v>
      </c>
      <c r="T503" s="361">
        <f t="shared" si="81"/>
        <v>0.10555555555555554</v>
      </c>
      <c r="U503" s="362">
        <f t="shared" si="87"/>
        <v>10928.166666666666</v>
      </c>
      <c r="V503" s="362">
        <f t="shared" si="84"/>
        <v>26134.666666666664</v>
      </c>
      <c r="W503" s="362">
        <f t="shared" si="82"/>
        <v>5177</v>
      </c>
      <c r="X503" s="742">
        <f t="shared" si="85"/>
        <v>20957.666666666664</v>
      </c>
    </row>
    <row r="504" spans="1:24" ht="13.9">
      <c r="A504" s="349">
        <f t="shared" si="83"/>
        <v>496</v>
      </c>
      <c r="B504" s="349" t="s">
        <v>983</v>
      </c>
      <c r="C504" s="350"/>
      <c r="D504" s="350"/>
      <c r="E504" s="350"/>
      <c r="F504" s="349"/>
      <c r="G504" s="389">
        <v>42541</v>
      </c>
      <c r="H504" s="352">
        <v>520200</v>
      </c>
      <c r="I504" s="353" t="s">
        <v>1379</v>
      </c>
      <c r="J504" s="353" t="s">
        <v>1379</v>
      </c>
      <c r="K504" s="354">
        <f t="shared" si="77"/>
        <v>520200</v>
      </c>
      <c r="L504" s="390">
        <v>42541</v>
      </c>
      <c r="M504" s="742">
        <v>458085</v>
      </c>
      <c r="N504" s="352">
        <f t="shared" si="86"/>
        <v>62115</v>
      </c>
      <c r="O504" s="357">
        <f t="shared" si="78"/>
        <v>2842</v>
      </c>
      <c r="P504" s="357">
        <v>9</v>
      </c>
      <c r="Q504" s="358">
        <f t="shared" si="76"/>
        <v>7.7863013698630139</v>
      </c>
      <c r="R504" s="359">
        <f t="shared" si="79"/>
        <v>1.2136986301369861</v>
      </c>
      <c r="S504" s="360">
        <f t="shared" si="80"/>
        <v>1.2136986301369861</v>
      </c>
      <c r="T504" s="361">
        <f t="shared" si="81"/>
        <v>0.10555555555555554</v>
      </c>
      <c r="U504" s="362">
        <f t="shared" si="87"/>
        <v>54909.999999999993</v>
      </c>
      <c r="V504" s="362">
        <f t="shared" si="84"/>
        <v>7205.0000000000073</v>
      </c>
      <c r="W504" s="362">
        <f t="shared" si="82"/>
        <v>26010</v>
      </c>
      <c r="X504" s="742">
        <f t="shared" si="85"/>
        <v>-18804.999999999993</v>
      </c>
    </row>
    <row r="505" spans="1:24" ht="13.9">
      <c r="A505" s="349">
        <f t="shared" si="83"/>
        <v>497</v>
      </c>
      <c r="B505" s="349" t="s">
        <v>983</v>
      </c>
      <c r="C505" s="350"/>
      <c r="D505" s="350"/>
      <c r="E505" s="350"/>
      <c r="F505" s="349"/>
      <c r="G505" s="389">
        <v>42528</v>
      </c>
      <c r="H505" s="352">
        <v>520200</v>
      </c>
      <c r="I505" s="353" t="s">
        <v>1379</v>
      </c>
      <c r="J505" s="353" t="s">
        <v>1379</v>
      </c>
      <c r="K505" s="354">
        <f t="shared" si="77"/>
        <v>520200</v>
      </c>
      <c r="L505" s="390">
        <v>42528</v>
      </c>
      <c r="M505" s="742">
        <v>463952</v>
      </c>
      <c r="N505" s="352">
        <f t="shared" si="86"/>
        <v>56248</v>
      </c>
      <c r="O505" s="357">
        <f t="shared" si="78"/>
        <v>2855</v>
      </c>
      <c r="P505" s="357">
        <v>9</v>
      </c>
      <c r="Q505" s="358">
        <f t="shared" si="76"/>
        <v>7.8219178082191778</v>
      </c>
      <c r="R505" s="359">
        <f t="shared" si="79"/>
        <v>1.1780821917808222</v>
      </c>
      <c r="S505" s="360">
        <f t="shared" si="80"/>
        <v>1.1780821917808222</v>
      </c>
      <c r="T505" s="361">
        <f t="shared" si="81"/>
        <v>0.10555555555555554</v>
      </c>
      <c r="U505" s="362">
        <f t="shared" si="87"/>
        <v>54909.999999999993</v>
      </c>
      <c r="V505" s="362">
        <f t="shared" si="84"/>
        <v>1338.0000000000073</v>
      </c>
      <c r="W505" s="362">
        <f t="shared" si="82"/>
        <v>26010</v>
      </c>
      <c r="X505" s="742">
        <f t="shared" si="85"/>
        <v>-24671.999999999993</v>
      </c>
    </row>
    <row r="506" spans="1:24" ht="13.9">
      <c r="A506" s="349">
        <f t="shared" si="83"/>
        <v>498</v>
      </c>
      <c r="B506" s="349" t="s">
        <v>983</v>
      </c>
      <c r="C506" s="350"/>
      <c r="D506" s="350"/>
      <c r="E506" s="350"/>
      <c r="F506" s="349"/>
      <c r="G506" s="389">
        <v>42581</v>
      </c>
      <c r="H506" s="352">
        <v>138720</v>
      </c>
      <c r="I506" s="353" t="s">
        <v>1379</v>
      </c>
      <c r="J506" s="353" t="s">
        <v>1379</v>
      </c>
      <c r="K506" s="354">
        <f t="shared" si="77"/>
        <v>138720</v>
      </c>
      <c r="L506" s="390">
        <v>42581</v>
      </c>
      <c r="M506" s="742">
        <v>117341.66666666666</v>
      </c>
      <c r="N506" s="352">
        <f t="shared" si="86"/>
        <v>21378.333333333343</v>
      </c>
      <c r="O506" s="357">
        <f t="shared" si="78"/>
        <v>2802</v>
      </c>
      <c r="P506" s="357">
        <v>9</v>
      </c>
      <c r="Q506" s="358">
        <f t="shared" si="76"/>
        <v>7.6767123287671231</v>
      </c>
      <c r="R506" s="359">
        <f t="shared" si="79"/>
        <v>1.3232876712328769</v>
      </c>
      <c r="S506" s="360">
        <f t="shared" si="80"/>
        <v>1.3232876712328769</v>
      </c>
      <c r="T506" s="361">
        <f t="shared" si="81"/>
        <v>0.10555555555555554</v>
      </c>
      <c r="U506" s="362">
        <f t="shared" si="87"/>
        <v>14642.666666666664</v>
      </c>
      <c r="V506" s="362">
        <f t="shared" si="84"/>
        <v>6735.6666666666788</v>
      </c>
      <c r="W506" s="362">
        <f t="shared" si="82"/>
        <v>6936</v>
      </c>
      <c r="X506" s="742">
        <f t="shared" si="85"/>
        <v>-200.33333333332121</v>
      </c>
    </row>
    <row r="507" spans="1:24" ht="13.9">
      <c r="A507" s="349">
        <f t="shared" si="83"/>
        <v>499</v>
      </c>
      <c r="B507" s="349" t="s">
        <v>983</v>
      </c>
      <c r="C507" s="350"/>
      <c r="D507" s="350"/>
      <c r="E507" s="350"/>
      <c r="F507" s="349"/>
      <c r="G507" s="389">
        <v>42462</v>
      </c>
      <c r="H507" s="352">
        <v>178500</v>
      </c>
      <c r="I507" s="353" t="s">
        <v>1379</v>
      </c>
      <c r="J507" s="353" t="s">
        <v>1379</v>
      </c>
      <c r="K507" s="354">
        <f t="shared" si="77"/>
        <v>178500</v>
      </c>
      <c r="L507" s="390">
        <v>42462</v>
      </c>
      <c r="M507" s="742">
        <v>169419.66666666666</v>
      </c>
      <c r="N507" s="352">
        <f t="shared" si="86"/>
        <v>9080.333333333343</v>
      </c>
      <c r="O507" s="357">
        <f t="shared" si="78"/>
        <v>2921</v>
      </c>
      <c r="P507" s="357">
        <v>9</v>
      </c>
      <c r="Q507" s="358">
        <f t="shared" si="76"/>
        <v>8.0027397260273965</v>
      </c>
      <c r="R507" s="359">
        <f t="shared" si="79"/>
        <v>0.99726027397260353</v>
      </c>
      <c r="S507" s="360">
        <f t="shared" si="80"/>
        <v>0.99726027397260353</v>
      </c>
      <c r="T507" s="361">
        <f t="shared" si="81"/>
        <v>0.10555555555555554</v>
      </c>
      <c r="U507" s="362">
        <f t="shared" si="87"/>
        <v>18841.666666666664</v>
      </c>
      <c r="V507" s="362">
        <f t="shared" si="84"/>
        <v>-9761.3333333333212</v>
      </c>
      <c r="W507" s="362">
        <f t="shared" si="82"/>
        <v>8925</v>
      </c>
      <c r="X507" s="742">
        <f t="shared" si="85"/>
        <v>-18686.333333333321</v>
      </c>
    </row>
    <row r="508" spans="1:24" ht="13.9">
      <c r="A508" s="349">
        <f t="shared" si="83"/>
        <v>500</v>
      </c>
      <c r="B508" s="349" t="s">
        <v>1925</v>
      </c>
      <c r="C508" s="350"/>
      <c r="D508" s="350"/>
      <c r="E508" s="350"/>
      <c r="F508" s="349"/>
      <c r="G508" s="389">
        <v>42684</v>
      </c>
      <c r="H508" s="352">
        <v>29925</v>
      </c>
      <c r="I508" s="353" t="s">
        <v>1379</v>
      </c>
      <c r="J508" s="353" t="s">
        <v>1379</v>
      </c>
      <c r="K508" s="354">
        <f t="shared" si="77"/>
        <v>29925</v>
      </c>
      <c r="L508" s="390">
        <v>42684</v>
      </c>
      <c r="M508" s="742">
        <v>22638.75</v>
      </c>
      <c r="N508" s="352">
        <f t="shared" si="86"/>
        <v>7286.25</v>
      </c>
      <c r="O508" s="357">
        <f t="shared" si="78"/>
        <v>2699</v>
      </c>
      <c r="P508" s="357">
        <v>9</v>
      </c>
      <c r="Q508" s="358">
        <f t="shared" si="76"/>
        <v>7.3945205479452056</v>
      </c>
      <c r="R508" s="359">
        <f t="shared" si="79"/>
        <v>1.6054794520547944</v>
      </c>
      <c r="S508" s="360">
        <f t="shared" si="80"/>
        <v>1.6054794520547944</v>
      </c>
      <c r="T508" s="361">
        <f t="shared" si="81"/>
        <v>0.10555555555555554</v>
      </c>
      <c r="U508" s="362">
        <f t="shared" si="87"/>
        <v>3158.7499999999995</v>
      </c>
      <c r="V508" s="362">
        <f t="shared" si="84"/>
        <v>4127.5</v>
      </c>
      <c r="W508" s="362">
        <f t="shared" si="82"/>
        <v>1496</v>
      </c>
      <c r="X508" s="742">
        <f t="shared" si="85"/>
        <v>2631.5</v>
      </c>
    </row>
    <row r="509" spans="1:24" ht="13.9">
      <c r="A509" s="349">
        <f t="shared" si="83"/>
        <v>501</v>
      </c>
      <c r="B509" s="349" t="s">
        <v>578</v>
      </c>
      <c r="C509" s="350"/>
      <c r="D509" s="350"/>
      <c r="E509" s="350"/>
      <c r="F509" s="349"/>
      <c r="G509" s="389">
        <v>42794</v>
      </c>
      <c r="H509" s="352">
        <v>6086646</v>
      </c>
      <c r="I509" s="353" t="s">
        <v>1379</v>
      </c>
      <c r="J509" s="353" t="s">
        <v>1379</v>
      </c>
      <c r="K509" s="354">
        <f t="shared" si="77"/>
        <v>6086646</v>
      </c>
      <c r="L509" s="390">
        <v>42794</v>
      </c>
      <c r="M509" s="742">
        <v>3897121.3</v>
      </c>
      <c r="N509" s="352">
        <f t="shared" si="86"/>
        <v>2189524.7000000002</v>
      </c>
      <c r="O509" s="357">
        <f t="shared" si="78"/>
        <v>2589</v>
      </c>
      <c r="P509" s="357">
        <v>9</v>
      </c>
      <c r="Q509" s="358">
        <f t="shared" si="76"/>
        <v>7.0931506849315067</v>
      </c>
      <c r="R509" s="359">
        <f t="shared" si="79"/>
        <v>1.9068493150684933</v>
      </c>
      <c r="S509" s="360">
        <f t="shared" si="80"/>
        <v>1.9068493150684933</v>
      </c>
      <c r="T509" s="361">
        <f t="shared" si="81"/>
        <v>0.10555555555555554</v>
      </c>
      <c r="U509" s="362">
        <f t="shared" si="87"/>
        <v>642479.29999999993</v>
      </c>
      <c r="V509" s="362">
        <f t="shared" si="84"/>
        <v>1547045.4000000004</v>
      </c>
      <c r="W509" s="362">
        <f t="shared" si="82"/>
        <v>304332</v>
      </c>
      <c r="X509" s="742">
        <f t="shared" si="85"/>
        <v>1242713.4000000004</v>
      </c>
    </row>
    <row r="510" spans="1:24" ht="13.9">
      <c r="A510" s="349">
        <f t="shared" si="83"/>
        <v>502</v>
      </c>
      <c r="B510" s="349" t="s">
        <v>578</v>
      </c>
      <c r="C510" s="350"/>
      <c r="D510" s="350"/>
      <c r="E510" s="350"/>
      <c r="F510" s="349"/>
      <c r="G510" s="389">
        <v>42794</v>
      </c>
      <c r="H510" s="352">
        <v>3445270</v>
      </c>
      <c r="I510" s="353" t="s">
        <v>1379</v>
      </c>
      <c r="J510" s="353" t="s">
        <v>1379</v>
      </c>
      <c r="K510" s="354">
        <f t="shared" si="77"/>
        <v>3445270</v>
      </c>
      <c r="L510" s="390">
        <v>42794</v>
      </c>
      <c r="M510" s="742">
        <v>2205916.388888889</v>
      </c>
      <c r="N510" s="352">
        <f t="shared" si="86"/>
        <v>1239353.611111111</v>
      </c>
      <c r="O510" s="357">
        <f t="shared" si="78"/>
        <v>2589</v>
      </c>
      <c r="P510" s="357">
        <v>9</v>
      </c>
      <c r="Q510" s="358">
        <f t="shared" si="76"/>
        <v>7.0931506849315067</v>
      </c>
      <c r="R510" s="359">
        <f t="shared" si="79"/>
        <v>1.9068493150684933</v>
      </c>
      <c r="S510" s="360">
        <f t="shared" si="80"/>
        <v>1.9068493150684933</v>
      </c>
      <c r="T510" s="361">
        <f t="shared" si="81"/>
        <v>0.10555555555555554</v>
      </c>
      <c r="U510" s="362">
        <f t="shared" si="87"/>
        <v>363667.38888888882</v>
      </c>
      <c r="V510" s="362">
        <f t="shared" si="84"/>
        <v>875686.22222222225</v>
      </c>
      <c r="W510" s="362">
        <f t="shared" si="82"/>
        <v>172264</v>
      </c>
      <c r="X510" s="742">
        <f t="shared" si="85"/>
        <v>703422.22222222225</v>
      </c>
    </row>
    <row r="511" spans="1:24" ht="13.9">
      <c r="A511" s="349">
        <f t="shared" si="83"/>
        <v>503</v>
      </c>
      <c r="B511" s="385" t="s">
        <v>578</v>
      </c>
      <c r="C511" s="350"/>
      <c r="D511" s="350"/>
      <c r="E511" s="350"/>
      <c r="F511" s="349"/>
      <c r="G511" s="389">
        <v>42794</v>
      </c>
      <c r="H511" s="352">
        <v>3098250</v>
      </c>
      <c r="I511" s="353" t="s">
        <v>1379</v>
      </c>
      <c r="J511" s="353" t="s">
        <v>1379</v>
      </c>
      <c r="K511" s="354">
        <f t="shared" si="77"/>
        <v>3098250</v>
      </c>
      <c r="L511" s="390">
        <v>42794</v>
      </c>
      <c r="M511" s="742">
        <v>1983728.5</v>
      </c>
      <c r="N511" s="352">
        <f t="shared" si="86"/>
        <v>1114521.5</v>
      </c>
      <c r="O511" s="357">
        <f t="shared" si="78"/>
        <v>2589</v>
      </c>
      <c r="P511" s="357">
        <v>9</v>
      </c>
      <c r="Q511" s="358">
        <f t="shared" si="76"/>
        <v>7.0931506849315067</v>
      </c>
      <c r="R511" s="359">
        <f t="shared" si="79"/>
        <v>1.9068493150684933</v>
      </c>
      <c r="S511" s="360">
        <f t="shared" si="80"/>
        <v>1.9068493150684933</v>
      </c>
      <c r="T511" s="361">
        <f t="shared" si="81"/>
        <v>0.10555555555555554</v>
      </c>
      <c r="U511" s="362">
        <f t="shared" si="87"/>
        <v>327037.49999999994</v>
      </c>
      <c r="V511" s="362">
        <f t="shared" si="84"/>
        <v>787484</v>
      </c>
      <c r="W511" s="362">
        <f t="shared" si="82"/>
        <v>154913</v>
      </c>
      <c r="X511" s="742">
        <f t="shared" si="85"/>
        <v>632571</v>
      </c>
    </row>
    <row r="512" spans="1:24" ht="13.9">
      <c r="A512" s="349">
        <f t="shared" si="83"/>
        <v>504</v>
      </c>
      <c r="B512" s="349" t="s">
        <v>1411</v>
      </c>
      <c r="C512" s="350"/>
      <c r="D512" s="350"/>
      <c r="E512" s="350"/>
      <c r="F512" s="349"/>
      <c r="G512" s="389">
        <v>42635</v>
      </c>
      <c r="H512" s="352">
        <v>23052</v>
      </c>
      <c r="I512" s="353" t="s">
        <v>1379</v>
      </c>
      <c r="J512" s="353" t="s">
        <v>1379</v>
      </c>
      <c r="K512" s="354">
        <f t="shared" si="77"/>
        <v>23052</v>
      </c>
      <c r="L512" s="390">
        <v>42635</v>
      </c>
      <c r="M512" s="742">
        <v>15873.266666666666</v>
      </c>
      <c r="N512" s="352">
        <f t="shared" si="86"/>
        <v>7178.7333333333336</v>
      </c>
      <c r="O512" s="357">
        <f t="shared" si="78"/>
        <v>2748</v>
      </c>
      <c r="P512" s="357">
        <v>9</v>
      </c>
      <c r="Q512" s="358">
        <f t="shared" si="76"/>
        <v>7.5287671232876709</v>
      </c>
      <c r="R512" s="359">
        <f t="shared" si="79"/>
        <v>1.4712328767123291</v>
      </c>
      <c r="S512" s="360">
        <f t="shared" si="80"/>
        <v>1.4712328767123291</v>
      </c>
      <c r="T512" s="361">
        <f t="shared" si="81"/>
        <v>0.10555555555555554</v>
      </c>
      <c r="U512" s="362">
        <f t="shared" si="87"/>
        <v>2433.2666666666664</v>
      </c>
      <c r="V512" s="362">
        <f t="shared" si="84"/>
        <v>4745.4666666666672</v>
      </c>
      <c r="W512" s="362">
        <f t="shared" si="82"/>
        <v>1153</v>
      </c>
      <c r="X512" s="742">
        <f t="shared" si="85"/>
        <v>3592.4666666666672</v>
      </c>
    </row>
    <row r="513" spans="1:24" ht="13.9">
      <c r="A513" s="349">
        <f t="shared" si="83"/>
        <v>505</v>
      </c>
      <c r="B513" s="349" t="s">
        <v>1411</v>
      </c>
      <c r="C513" s="350"/>
      <c r="D513" s="350"/>
      <c r="E513" s="350"/>
      <c r="F513" s="349"/>
      <c r="G513" s="389">
        <v>42673</v>
      </c>
      <c r="H513" s="352">
        <v>23460</v>
      </c>
      <c r="I513" s="353" t="s">
        <v>1379</v>
      </c>
      <c r="J513" s="353" t="s">
        <v>1379</v>
      </c>
      <c r="K513" s="354">
        <f t="shared" si="77"/>
        <v>23460</v>
      </c>
      <c r="L513" s="390">
        <v>42673</v>
      </c>
      <c r="M513" s="742">
        <v>15896.333333333332</v>
      </c>
      <c r="N513" s="352">
        <f t="shared" si="86"/>
        <v>7563.6666666666679</v>
      </c>
      <c r="O513" s="357">
        <f t="shared" si="78"/>
        <v>2710</v>
      </c>
      <c r="P513" s="357">
        <v>9</v>
      </c>
      <c r="Q513" s="358">
        <f t="shared" si="76"/>
        <v>7.4246575342465757</v>
      </c>
      <c r="R513" s="359">
        <f t="shared" si="79"/>
        <v>1.5753424657534243</v>
      </c>
      <c r="S513" s="360">
        <f t="shared" si="80"/>
        <v>1.5753424657534243</v>
      </c>
      <c r="T513" s="361">
        <f t="shared" si="81"/>
        <v>0.10555555555555554</v>
      </c>
      <c r="U513" s="362">
        <f t="shared" si="87"/>
        <v>2476.333333333333</v>
      </c>
      <c r="V513" s="362">
        <f t="shared" si="84"/>
        <v>5087.3333333333348</v>
      </c>
      <c r="W513" s="362">
        <f t="shared" si="82"/>
        <v>1173</v>
      </c>
      <c r="X513" s="742">
        <f t="shared" si="85"/>
        <v>3914.3333333333348</v>
      </c>
    </row>
    <row r="514" spans="1:24" ht="13.9">
      <c r="A514" s="349">
        <f t="shared" si="83"/>
        <v>506</v>
      </c>
      <c r="B514" s="349" t="s">
        <v>1411</v>
      </c>
      <c r="C514" s="350"/>
      <c r="D514" s="350"/>
      <c r="E514" s="350"/>
      <c r="F514" s="349"/>
      <c r="G514" s="389">
        <v>42756</v>
      </c>
      <c r="H514" s="352">
        <v>48300</v>
      </c>
      <c r="I514" s="353" t="s">
        <v>1379</v>
      </c>
      <c r="J514" s="353" t="s">
        <v>1379</v>
      </c>
      <c r="K514" s="354">
        <f t="shared" si="77"/>
        <v>48300</v>
      </c>
      <c r="L514" s="390">
        <v>42756</v>
      </c>
      <c r="M514" s="742">
        <v>31567.333333333332</v>
      </c>
      <c r="N514" s="352">
        <f t="shared" si="86"/>
        <v>16732.666666666668</v>
      </c>
      <c r="O514" s="357">
        <f t="shared" si="78"/>
        <v>2627</v>
      </c>
      <c r="P514" s="357">
        <v>9</v>
      </c>
      <c r="Q514" s="358">
        <f t="shared" si="76"/>
        <v>7.1972602739726028</v>
      </c>
      <c r="R514" s="359">
        <f t="shared" si="79"/>
        <v>1.8027397260273972</v>
      </c>
      <c r="S514" s="360">
        <f t="shared" si="80"/>
        <v>1.8027397260273972</v>
      </c>
      <c r="T514" s="361">
        <f t="shared" si="81"/>
        <v>0.10555555555555554</v>
      </c>
      <c r="U514" s="362">
        <f t="shared" si="87"/>
        <v>5098.333333333333</v>
      </c>
      <c r="V514" s="362">
        <f t="shared" si="84"/>
        <v>11634.333333333336</v>
      </c>
      <c r="W514" s="362">
        <f t="shared" si="82"/>
        <v>2415</v>
      </c>
      <c r="X514" s="742">
        <f t="shared" si="85"/>
        <v>9219.3333333333358</v>
      </c>
    </row>
    <row r="515" spans="1:24" ht="13.9">
      <c r="A515" s="349">
        <f t="shared" si="83"/>
        <v>507</v>
      </c>
      <c r="B515" s="349" t="s">
        <v>1411</v>
      </c>
      <c r="C515" s="350"/>
      <c r="D515" s="350"/>
      <c r="E515" s="350"/>
      <c r="F515" s="349"/>
      <c r="G515" s="389">
        <v>42765</v>
      </c>
      <c r="H515" s="352">
        <v>12075</v>
      </c>
      <c r="I515" s="353" t="s">
        <v>1379</v>
      </c>
      <c r="J515" s="353" t="s">
        <v>1379</v>
      </c>
      <c r="K515" s="354">
        <f t="shared" si="77"/>
        <v>12075</v>
      </c>
      <c r="L515" s="390">
        <v>42765</v>
      </c>
      <c r="M515" s="742">
        <v>7860.583333333333</v>
      </c>
      <c r="N515" s="352">
        <f t="shared" si="86"/>
        <v>4214.416666666667</v>
      </c>
      <c r="O515" s="357">
        <f t="shared" si="78"/>
        <v>2618</v>
      </c>
      <c r="P515" s="357">
        <v>9</v>
      </c>
      <c r="Q515" s="358">
        <f t="shared" si="76"/>
        <v>7.1726027397260275</v>
      </c>
      <c r="R515" s="359">
        <f t="shared" si="79"/>
        <v>1.8273972602739725</v>
      </c>
      <c r="S515" s="360">
        <f t="shared" si="80"/>
        <v>1.8273972602739725</v>
      </c>
      <c r="T515" s="361">
        <f t="shared" si="81"/>
        <v>0.10555555555555554</v>
      </c>
      <c r="U515" s="362">
        <f t="shared" si="87"/>
        <v>1274.5833333333333</v>
      </c>
      <c r="V515" s="362">
        <f t="shared" si="84"/>
        <v>2939.8333333333339</v>
      </c>
      <c r="W515" s="362">
        <f t="shared" si="82"/>
        <v>604</v>
      </c>
      <c r="X515" s="742">
        <f t="shared" si="85"/>
        <v>2335.8333333333339</v>
      </c>
    </row>
    <row r="516" spans="1:24" ht="13.9">
      <c r="A516" s="349">
        <f t="shared" si="83"/>
        <v>508</v>
      </c>
      <c r="B516" s="349" t="s">
        <v>1391</v>
      </c>
      <c r="C516" s="350"/>
      <c r="D516" s="350"/>
      <c r="E516" s="350"/>
      <c r="F516" s="349"/>
      <c r="G516" s="389">
        <v>42635</v>
      </c>
      <c r="H516" s="352">
        <v>25449</v>
      </c>
      <c r="I516" s="353" t="s">
        <v>1379</v>
      </c>
      <c r="J516" s="353" t="s">
        <v>1379</v>
      </c>
      <c r="K516" s="354">
        <f t="shared" si="77"/>
        <v>25449</v>
      </c>
      <c r="L516" s="390">
        <v>42635</v>
      </c>
      <c r="M516" s="742">
        <v>17523.283333333333</v>
      </c>
      <c r="N516" s="352">
        <f t="shared" si="86"/>
        <v>7925.7166666666672</v>
      </c>
      <c r="O516" s="357">
        <f t="shared" si="78"/>
        <v>2748</v>
      </c>
      <c r="P516" s="357">
        <v>9</v>
      </c>
      <c r="Q516" s="358">
        <f t="shared" ref="Q516:Q576" si="88">+O516/365</f>
        <v>7.5287671232876709</v>
      </c>
      <c r="R516" s="359">
        <f t="shared" si="79"/>
        <v>1.4712328767123291</v>
      </c>
      <c r="S516" s="360">
        <f t="shared" si="80"/>
        <v>1.4712328767123291</v>
      </c>
      <c r="T516" s="361">
        <f t="shared" si="81"/>
        <v>0.10555555555555554</v>
      </c>
      <c r="U516" s="362">
        <f t="shared" si="87"/>
        <v>2686.2833333333328</v>
      </c>
      <c r="V516" s="362">
        <f t="shared" si="84"/>
        <v>5239.4333333333343</v>
      </c>
      <c r="W516" s="362">
        <f t="shared" si="82"/>
        <v>1272</v>
      </c>
      <c r="X516" s="742">
        <f t="shared" si="85"/>
        <v>3967.4333333333343</v>
      </c>
    </row>
    <row r="517" spans="1:24" ht="13.9">
      <c r="A517" s="349">
        <f t="shared" si="83"/>
        <v>509</v>
      </c>
      <c r="B517" s="349" t="s">
        <v>1926</v>
      </c>
      <c r="C517" s="350"/>
      <c r="D517" s="350"/>
      <c r="E517" s="350"/>
      <c r="F517" s="349"/>
      <c r="G517" s="389">
        <v>42692</v>
      </c>
      <c r="H517" s="352">
        <v>849150</v>
      </c>
      <c r="I517" s="353" t="s">
        <v>1379</v>
      </c>
      <c r="J517" s="353" t="s">
        <v>1379</v>
      </c>
      <c r="K517" s="354">
        <f t="shared" si="77"/>
        <v>849150</v>
      </c>
      <c r="L517" s="390">
        <v>42692</v>
      </c>
      <c r="M517" s="742">
        <v>570701.5</v>
      </c>
      <c r="N517" s="352">
        <f t="shared" si="86"/>
        <v>278448.5</v>
      </c>
      <c r="O517" s="357">
        <f t="shared" si="78"/>
        <v>2691</v>
      </c>
      <c r="P517" s="357">
        <v>9</v>
      </c>
      <c r="Q517" s="358">
        <f t="shared" si="88"/>
        <v>7.3726027397260276</v>
      </c>
      <c r="R517" s="359">
        <f t="shared" si="79"/>
        <v>1.6273972602739724</v>
      </c>
      <c r="S517" s="360">
        <f t="shared" si="80"/>
        <v>1.6273972602739724</v>
      </c>
      <c r="T517" s="361">
        <f t="shared" si="81"/>
        <v>0.10555555555555554</v>
      </c>
      <c r="U517" s="362">
        <f t="shared" si="87"/>
        <v>89632.499999999985</v>
      </c>
      <c r="V517" s="362">
        <f t="shared" si="84"/>
        <v>188816</v>
      </c>
      <c r="W517" s="362">
        <f t="shared" si="82"/>
        <v>42458</v>
      </c>
      <c r="X517" s="742">
        <f t="shared" si="85"/>
        <v>146358</v>
      </c>
    </row>
    <row r="518" spans="1:24" ht="13.9">
      <c r="A518" s="349">
        <f t="shared" si="83"/>
        <v>510</v>
      </c>
      <c r="B518" s="349" t="s">
        <v>1926</v>
      </c>
      <c r="C518" s="350"/>
      <c r="D518" s="350"/>
      <c r="E518" s="350"/>
      <c r="F518" s="349"/>
      <c r="G518" s="389">
        <v>42692</v>
      </c>
      <c r="H518" s="352">
        <v>849150</v>
      </c>
      <c r="I518" s="353" t="s">
        <v>1379</v>
      </c>
      <c r="J518" s="353" t="s">
        <v>1379</v>
      </c>
      <c r="K518" s="354">
        <f t="shared" si="77"/>
        <v>849150</v>
      </c>
      <c r="L518" s="390">
        <v>42692</v>
      </c>
      <c r="M518" s="742">
        <v>570701.5</v>
      </c>
      <c r="N518" s="352">
        <f t="shared" si="86"/>
        <v>278448.5</v>
      </c>
      <c r="O518" s="357">
        <f t="shared" si="78"/>
        <v>2691</v>
      </c>
      <c r="P518" s="357">
        <v>9</v>
      </c>
      <c r="Q518" s="358">
        <f t="shared" si="88"/>
        <v>7.3726027397260276</v>
      </c>
      <c r="R518" s="359">
        <f t="shared" si="79"/>
        <v>1.6273972602739724</v>
      </c>
      <c r="S518" s="360">
        <f t="shared" si="80"/>
        <v>1.6273972602739724</v>
      </c>
      <c r="T518" s="361">
        <f t="shared" si="81"/>
        <v>0.10555555555555554</v>
      </c>
      <c r="U518" s="362">
        <f t="shared" si="87"/>
        <v>89632.499999999985</v>
      </c>
      <c r="V518" s="362">
        <f t="shared" si="84"/>
        <v>188816</v>
      </c>
      <c r="W518" s="362">
        <f t="shared" si="82"/>
        <v>42458</v>
      </c>
      <c r="X518" s="742">
        <f t="shared" si="85"/>
        <v>146358</v>
      </c>
    </row>
    <row r="519" spans="1:24" ht="13.9">
      <c r="A519" s="349">
        <f t="shared" si="83"/>
        <v>511</v>
      </c>
      <c r="B519" s="349" t="s">
        <v>1926</v>
      </c>
      <c r="C519" s="350"/>
      <c r="D519" s="350"/>
      <c r="E519" s="350"/>
      <c r="F519" s="349"/>
      <c r="G519" s="389">
        <v>42692</v>
      </c>
      <c r="H519" s="352">
        <v>849150</v>
      </c>
      <c r="I519" s="353" t="s">
        <v>1379</v>
      </c>
      <c r="J519" s="353" t="s">
        <v>1379</v>
      </c>
      <c r="K519" s="354">
        <f t="shared" si="77"/>
        <v>849150</v>
      </c>
      <c r="L519" s="390">
        <v>42692</v>
      </c>
      <c r="M519" s="742">
        <v>570701.5</v>
      </c>
      <c r="N519" s="352">
        <f t="shared" si="86"/>
        <v>278448.5</v>
      </c>
      <c r="O519" s="357">
        <f t="shared" si="78"/>
        <v>2691</v>
      </c>
      <c r="P519" s="357">
        <v>9</v>
      </c>
      <c r="Q519" s="358">
        <f t="shared" si="88"/>
        <v>7.3726027397260276</v>
      </c>
      <c r="R519" s="359">
        <f t="shared" si="79"/>
        <v>1.6273972602739724</v>
      </c>
      <c r="S519" s="360">
        <f t="shared" si="80"/>
        <v>1.6273972602739724</v>
      </c>
      <c r="T519" s="361">
        <f t="shared" si="81"/>
        <v>0.10555555555555554</v>
      </c>
      <c r="U519" s="362">
        <f t="shared" si="87"/>
        <v>89632.499999999985</v>
      </c>
      <c r="V519" s="362">
        <f t="shared" si="84"/>
        <v>188816</v>
      </c>
      <c r="W519" s="362">
        <f t="shared" si="82"/>
        <v>42458</v>
      </c>
      <c r="X519" s="742">
        <f t="shared" si="85"/>
        <v>146358</v>
      </c>
    </row>
    <row r="520" spans="1:24" ht="13.9">
      <c r="A520" s="349">
        <f t="shared" si="83"/>
        <v>512</v>
      </c>
      <c r="B520" s="349" t="s">
        <v>1926</v>
      </c>
      <c r="C520" s="350"/>
      <c r="D520" s="350"/>
      <c r="E520" s="350"/>
      <c r="F520" s="349"/>
      <c r="G520" s="389">
        <v>42692</v>
      </c>
      <c r="H520" s="352">
        <v>849150</v>
      </c>
      <c r="I520" s="353" t="s">
        <v>1379</v>
      </c>
      <c r="J520" s="353" t="s">
        <v>1379</v>
      </c>
      <c r="K520" s="354">
        <f t="shared" si="77"/>
        <v>849150</v>
      </c>
      <c r="L520" s="390">
        <v>42692</v>
      </c>
      <c r="M520" s="742">
        <v>570701.5</v>
      </c>
      <c r="N520" s="352">
        <f t="shared" si="86"/>
        <v>278448.5</v>
      </c>
      <c r="O520" s="357">
        <f t="shared" si="78"/>
        <v>2691</v>
      </c>
      <c r="P520" s="357">
        <v>9</v>
      </c>
      <c r="Q520" s="358">
        <f t="shared" si="88"/>
        <v>7.3726027397260276</v>
      </c>
      <c r="R520" s="359">
        <f t="shared" si="79"/>
        <v>1.6273972602739724</v>
      </c>
      <c r="S520" s="360">
        <f t="shared" si="80"/>
        <v>1.6273972602739724</v>
      </c>
      <c r="T520" s="361">
        <f t="shared" si="81"/>
        <v>0.10555555555555554</v>
      </c>
      <c r="U520" s="362">
        <f t="shared" si="87"/>
        <v>89632.499999999985</v>
      </c>
      <c r="V520" s="362">
        <f t="shared" si="84"/>
        <v>188816</v>
      </c>
      <c r="W520" s="362">
        <f t="shared" si="82"/>
        <v>42458</v>
      </c>
      <c r="X520" s="742">
        <f t="shared" si="85"/>
        <v>146358</v>
      </c>
    </row>
    <row r="521" spans="1:24" ht="13.9">
      <c r="A521" s="349">
        <f t="shared" si="83"/>
        <v>513</v>
      </c>
      <c r="B521" s="349" t="s">
        <v>1926</v>
      </c>
      <c r="C521" s="350"/>
      <c r="D521" s="350"/>
      <c r="E521" s="350"/>
      <c r="F521" s="349"/>
      <c r="G521" s="389">
        <v>42695</v>
      </c>
      <c r="H521" s="352">
        <v>849150</v>
      </c>
      <c r="I521" s="353" t="s">
        <v>1379</v>
      </c>
      <c r="J521" s="353" t="s">
        <v>1379</v>
      </c>
      <c r="K521" s="354">
        <f t="shared" ref="K521:K581" si="89">+H521+I521-J521</f>
        <v>849150</v>
      </c>
      <c r="L521" s="390">
        <v>42695</v>
      </c>
      <c r="M521" s="742">
        <v>569964.5</v>
      </c>
      <c r="N521" s="352">
        <f t="shared" si="86"/>
        <v>279185.5</v>
      </c>
      <c r="O521" s="357">
        <f t="shared" ref="O521:O581" si="90">+$O$3-L521+1</f>
        <v>2688</v>
      </c>
      <c r="P521" s="357">
        <v>9</v>
      </c>
      <c r="Q521" s="358">
        <f t="shared" si="88"/>
        <v>7.3643835616438356</v>
      </c>
      <c r="R521" s="359">
        <f t="shared" ref="R521:R581" si="91">+P521-Q521</f>
        <v>1.6356164383561644</v>
      </c>
      <c r="S521" s="360">
        <f t="shared" ref="S521:S581" si="92">IF(R521&lt;0,0,IF(R521&gt;365,365,R521))</f>
        <v>1.6356164383561644</v>
      </c>
      <c r="T521" s="361">
        <f t="shared" ref="T521:T581" si="93">1/P521*0.95</f>
        <v>0.10555555555555554</v>
      </c>
      <c r="U521" s="362">
        <f t="shared" si="87"/>
        <v>89632.499999999985</v>
      </c>
      <c r="V521" s="362">
        <f t="shared" si="84"/>
        <v>189553</v>
      </c>
      <c r="W521" s="362">
        <f t="shared" ref="W521:W581" si="94">ROUND(+H521*5%,0)</f>
        <v>42458</v>
      </c>
      <c r="X521" s="742">
        <f t="shared" si="85"/>
        <v>147095</v>
      </c>
    </row>
    <row r="522" spans="1:24" ht="13.9">
      <c r="A522" s="349">
        <f t="shared" ref="A522:A585" si="95">+A521+1</f>
        <v>514</v>
      </c>
      <c r="B522" s="349" t="s">
        <v>1926</v>
      </c>
      <c r="C522" s="350"/>
      <c r="D522" s="350"/>
      <c r="E522" s="350"/>
      <c r="F522" s="349"/>
      <c r="G522" s="389">
        <v>42695</v>
      </c>
      <c r="H522" s="352">
        <v>849150</v>
      </c>
      <c r="I522" s="353" t="s">
        <v>1379</v>
      </c>
      <c r="J522" s="353" t="s">
        <v>1379</v>
      </c>
      <c r="K522" s="354">
        <f t="shared" si="89"/>
        <v>849150</v>
      </c>
      <c r="L522" s="390">
        <v>42695</v>
      </c>
      <c r="M522" s="742">
        <v>569964.5</v>
      </c>
      <c r="N522" s="352">
        <f t="shared" si="86"/>
        <v>279185.5</v>
      </c>
      <c r="O522" s="357">
        <f t="shared" si="90"/>
        <v>2688</v>
      </c>
      <c r="P522" s="357">
        <v>9</v>
      </c>
      <c r="Q522" s="358">
        <f t="shared" si="88"/>
        <v>7.3643835616438356</v>
      </c>
      <c r="R522" s="359">
        <f t="shared" si="91"/>
        <v>1.6356164383561644</v>
      </c>
      <c r="S522" s="360">
        <f t="shared" si="92"/>
        <v>1.6356164383561644</v>
      </c>
      <c r="T522" s="361">
        <f t="shared" si="93"/>
        <v>0.10555555555555554</v>
      </c>
      <c r="U522" s="362">
        <f t="shared" si="87"/>
        <v>89632.499999999985</v>
      </c>
      <c r="V522" s="362">
        <f t="shared" ref="V522:V582" si="96">+N522-U522</f>
        <v>189553</v>
      </c>
      <c r="W522" s="362">
        <f t="shared" si="94"/>
        <v>42458</v>
      </c>
      <c r="X522" s="742">
        <f t="shared" ref="X522:X582" si="97">+V522-W522</f>
        <v>147095</v>
      </c>
    </row>
    <row r="523" spans="1:24" ht="13.9">
      <c r="A523" s="349">
        <f t="shared" si="95"/>
        <v>515</v>
      </c>
      <c r="B523" s="349" t="s">
        <v>1927</v>
      </c>
      <c r="C523" s="350"/>
      <c r="D523" s="350"/>
      <c r="E523" s="350"/>
      <c r="F523" s="349"/>
      <c r="G523" s="389">
        <v>42786</v>
      </c>
      <c r="H523" s="352">
        <v>900000</v>
      </c>
      <c r="I523" s="353" t="s">
        <v>1379</v>
      </c>
      <c r="J523" s="353" t="s">
        <v>1379</v>
      </c>
      <c r="K523" s="354">
        <f t="shared" si="89"/>
        <v>900000</v>
      </c>
      <c r="L523" s="390">
        <v>42786</v>
      </c>
      <c r="M523" s="742">
        <v>580411</v>
      </c>
      <c r="N523" s="352">
        <f t="shared" ref="N523:N583" si="98">+K523-M523</f>
        <v>319589</v>
      </c>
      <c r="O523" s="357">
        <f t="shared" si="90"/>
        <v>2597</v>
      </c>
      <c r="P523" s="357">
        <v>9</v>
      </c>
      <c r="Q523" s="358">
        <f t="shared" si="88"/>
        <v>7.1150684931506847</v>
      </c>
      <c r="R523" s="359">
        <f t="shared" si="91"/>
        <v>1.8849315068493153</v>
      </c>
      <c r="S523" s="360">
        <f t="shared" si="92"/>
        <v>1.8849315068493153</v>
      </c>
      <c r="T523" s="361">
        <f t="shared" si="93"/>
        <v>0.10555555555555554</v>
      </c>
      <c r="U523" s="362">
        <f t="shared" si="87"/>
        <v>94999.999999999985</v>
      </c>
      <c r="V523" s="362">
        <f t="shared" si="96"/>
        <v>224589</v>
      </c>
      <c r="W523" s="362">
        <f t="shared" si="94"/>
        <v>45000</v>
      </c>
      <c r="X523" s="742">
        <f t="shared" si="97"/>
        <v>179589</v>
      </c>
    </row>
    <row r="524" spans="1:24" ht="13.9">
      <c r="A524" s="349">
        <f t="shared" si="95"/>
        <v>516</v>
      </c>
      <c r="B524" s="385" t="s">
        <v>1928</v>
      </c>
      <c r="C524" s="350"/>
      <c r="D524" s="350"/>
      <c r="E524" s="350"/>
      <c r="F524" s="349"/>
      <c r="G524" s="389">
        <v>42808</v>
      </c>
      <c r="H524" s="352">
        <v>23766625</v>
      </c>
      <c r="I524" s="353" t="s">
        <v>1379</v>
      </c>
      <c r="J524" s="353" t="s">
        <v>1379</v>
      </c>
      <c r="K524" s="354">
        <f t="shared" si="89"/>
        <v>23766625</v>
      </c>
      <c r="L524" s="390">
        <v>42808</v>
      </c>
      <c r="M524" s="742">
        <v>16210883.305555556</v>
      </c>
      <c r="N524" s="352">
        <f t="shared" si="98"/>
        <v>7555741.694444444</v>
      </c>
      <c r="O524" s="357">
        <f t="shared" si="90"/>
        <v>2575</v>
      </c>
      <c r="P524" s="357">
        <v>9</v>
      </c>
      <c r="Q524" s="358">
        <f t="shared" si="88"/>
        <v>7.0547945205479454</v>
      </c>
      <c r="R524" s="359">
        <f t="shared" si="91"/>
        <v>1.9452054794520546</v>
      </c>
      <c r="S524" s="360">
        <f t="shared" si="92"/>
        <v>1.9452054794520546</v>
      </c>
      <c r="T524" s="361">
        <f t="shared" si="93"/>
        <v>0.10555555555555554</v>
      </c>
      <c r="U524" s="362">
        <f t="shared" si="87"/>
        <v>2508699.305555555</v>
      </c>
      <c r="V524" s="362">
        <f t="shared" si="96"/>
        <v>5047042.388888889</v>
      </c>
      <c r="W524" s="362">
        <f t="shared" si="94"/>
        <v>1188331</v>
      </c>
      <c r="X524" s="742">
        <f t="shared" si="97"/>
        <v>3858711.388888889</v>
      </c>
    </row>
    <row r="525" spans="1:24" ht="13.9">
      <c r="A525" s="349">
        <f t="shared" si="95"/>
        <v>517</v>
      </c>
      <c r="B525" s="349" t="s">
        <v>323</v>
      </c>
      <c r="C525" s="350"/>
      <c r="D525" s="350"/>
      <c r="E525" s="350"/>
      <c r="F525" s="349"/>
      <c r="G525" s="389">
        <v>42747</v>
      </c>
      <c r="H525" s="352">
        <v>2657394</v>
      </c>
      <c r="I525" s="353" t="s">
        <v>1379</v>
      </c>
      <c r="J525" s="353" t="s">
        <v>1379</v>
      </c>
      <c r="K525" s="354">
        <f t="shared" si="89"/>
        <v>2657394</v>
      </c>
      <c r="L525" s="390">
        <v>42747</v>
      </c>
      <c r="M525" s="742">
        <v>1743727.7</v>
      </c>
      <c r="N525" s="352">
        <f t="shared" si="98"/>
        <v>913666.3</v>
      </c>
      <c r="O525" s="357">
        <f t="shared" si="90"/>
        <v>2636</v>
      </c>
      <c r="P525" s="357">
        <v>9</v>
      </c>
      <c r="Q525" s="358">
        <f t="shared" si="88"/>
        <v>7.2219178082191782</v>
      </c>
      <c r="R525" s="359">
        <f t="shared" si="91"/>
        <v>1.7780821917808218</v>
      </c>
      <c r="S525" s="360">
        <f t="shared" si="92"/>
        <v>1.7780821917808218</v>
      </c>
      <c r="T525" s="361">
        <f t="shared" si="93"/>
        <v>0.10555555555555554</v>
      </c>
      <c r="U525" s="362">
        <f t="shared" si="87"/>
        <v>280502.69999999995</v>
      </c>
      <c r="V525" s="362">
        <f t="shared" si="96"/>
        <v>633163.60000000009</v>
      </c>
      <c r="W525" s="362">
        <f t="shared" si="94"/>
        <v>132870</v>
      </c>
      <c r="X525" s="742">
        <f t="shared" si="97"/>
        <v>500293.60000000009</v>
      </c>
    </row>
    <row r="526" spans="1:24" ht="13.9">
      <c r="A526" s="349">
        <f t="shared" si="95"/>
        <v>518</v>
      </c>
      <c r="B526" s="349" t="s">
        <v>1929</v>
      </c>
      <c r="C526" s="350"/>
      <c r="D526" s="350"/>
      <c r="E526" s="350"/>
      <c r="F526" s="349"/>
      <c r="G526" s="389">
        <v>42668</v>
      </c>
      <c r="H526" s="352">
        <v>1300000</v>
      </c>
      <c r="I526" s="353" t="s">
        <v>1379</v>
      </c>
      <c r="J526" s="353" t="s">
        <v>1379</v>
      </c>
      <c r="K526" s="354">
        <f t="shared" si="89"/>
        <v>1300000</v>
      </c>
      <c r="L526" s="390">
        <v>42668</v>
      </c>
      <c r="M526" s="742">
        <v>882733.22222222225</v>
      </c>
      <c r="N526" s="352">
        <f t="shared" si="98"/>
        <v>417266.77777777775</v>
      </c>
      <c r="O526" s="357">
        <f t="shared" si="90"/>
        <v>2715</v>
      </c>
      <c r="P526" s="357">
        <v>9</v>
      </c>
      <c r="Q526" s="358">
        <f t="shared" si="88"/>
        <v>7.4383561643835616</v>
      </c>
      <c r="R526" s="359">
        <f t="shared" si="91"/>
        <v>1.5616438356164384</v>
      </c>
      <c r="S526" s="360">
        <f t="shared" si="92"/>
        <v>1.5616438356164384</v>
      </c>
      <c r="T526" s="361">
        <f t="shared" si="93"/>
        <v>0.10555555555555554</v>
      </c>
      <c r="U526" s="362">
        <f t="shared" si="87"/>
        <v>137222.22222222219</v>
      </c>
      <c r="V526" s="362">
        <f t="shared" si="96"/>
        <v>280044.55555555556</v>
      </c>
      <c r="W526" s="362">
        <f t="shared" si="94"/>
        <v>65000</v>
      </c>
      <c r="X526" s="742">
        <f t="shared" si="97"/>
        <v>215044.55555555556</v>
      </c>
    </row>
    <row r="527" spans="1:24" ht="13.9">
      <c r="A527" s="349">
        <f t="shared" si="95"/>
        <v>519</v>
      </c>
      <c r="B527" s="349" t="s">
        <v>1930</v>
      </c>
      <c r="C527" s="350"/>
      <c r="D527" s="350"/>
      <c r="E527" s="350"/>
      <c r="F527" s="349"/>
      <c r="G527" s="389">
        <v>42793</v>
      </c>
      <c r="H527" s="352">
        <v>6022499</v>
      </c>
      <c r="I527" s="353" t="s">
        <v>1379</v>
      </c>
      <c r="J527" s="353" t="s">
        <v>1379</v>
      </c>
      <c r="K527" s="354">
        <f t="shared" si="89"/>
        <v>6022499</v>
      </c>
      <c r="L527" s="390">
        <v>42793</v>
      </c>
      <c r="M527" s="742">
        <v>3871724.2277777777</v>
      </c>
      <c r="N527" s="352">
        <f t="shared" si="98"/>
        <v>2150774.7722222223</v>
      </c>
      <c r="O527" s="357">
        <f t="shared" si="90"/>
        <v>2590</v>
      </c>
      <c r="P527" s="357">
        <v>9</v>
      </c>
      <c r="Q527" s="358">
        <f t="shared" si="88"/>
        <v>7.095890410958904</v>
      </c>
      <c r="R527" s="359">
        <f t="shared" si="91"/>
        <v>1.904109589041096</v>
      </c>
      <c r="S527" s="360">
        <f t="shared" si="92"/>
        <v>1.904109589041096</v>
      </c>
      <c r="T527" s="361">
        <f t="shared" si="93"/>
        <v>0.10555555555555554</v>
      </c>
      <c r="U527" s="362">
        <f t="shared" si="87"/>
        <v>635708.22777777771</v>
      </c>
      <c r="V527" s="362">
        <f t="shared" si="96"/>
        <v>1515066.5444444446</v>
      </c>
      <c r="W527" s="362">
        <f t="shared" si="94"/>
        <v>301125</v>
      </c>
      <c r="X527" s="742">
        <f t="shared" si="97"/>
        <v>1213941.5444444446</v>
      </c>
    </row>
    <row r="528" spans="1:24" ht="13.9">
      <c r="A528" s="349">
        <f t="shared" si="95"/>
        <v>520</v>
      </c>
      <c r="B528" s="349" t="s">
        <v>1930</v>
      </c>
      <c r="C528" s="350"/>
      <c r="D528" s="350"/>
      <c r="E528" s="350"/>
      <c r="F528" s="349"/>
      <c r="G528" s="389">
        <v>42793</v>
      </c>
      <c r="H528" s="352">
        <v>6022499</v>
      </c>
      <c r="I528" s="353" t="s">
        <v>1379</v>
      </c>
      <c r="J528" s="353" t="s">
        <v>1379</v>
      </c>
      <c r="K528" s="354">
        <f t="shared" si="89"/>
        <v>6022499</v>
      </c>
      <c r="L528" s="390">
        <v>42793</v>
      </c>
      <c r="M528" s="742">
        <v>3871724.2277777777</v>
      </c>
      <c r="N528" s="352">
        <f t="shared" si="98"/>
        <v>2150774.7722222223</v>
      </c>
      <c r="O528" s="357">
        <f t="shared" si="90"/>
        <v>2590</v>
      </c>
      <c r="P528" s="357">
        <v>9</v>
      </c>
      <c r="Q528" s="358">
        <f t="shared" si="88"/>
        <v>7.095890410958904</v>
      </c>
      <c r="R528" s="359">
        <f t="shared" si="91"/>
        <v>1.904109589041096</v>
      </c>
      <c r="S528" s="360">
        <f t="shared" si="92"/>
        <v>1.904109589041096</v>
      </c>
      <c r="T528" s="361">
        <f t="shared" si="93"/>
        <v>0.10555555555555554</v>
      </c>
      <c r="U528" s="362">
        <f t="shared" si="87"/>
        <v>635708.22777777771</v>
      </c>
      <c r="V528" s="362">
        <f t="shared" si="96"/>
        <v>1515066.5444444446</v>
      </c>
      <c r="W528" s="362">
        <f t="shared" si="94"/>
        <v>301125</v>
      </c>
      <c r="X528" s="742">
        <f t="shared" si="97"/>
        <v>1213941.5444444446</v>
      </c>
    </row>
    <row r="529" spans="1:24" ht="13.9">
      <c r="A529" s="349">
        <f t="shared" si="95"/>
        <v>521</v>
      </c>
      <c r="B529" s="391" t="s">
        <v>935</v>
      </c>
      <c r="C529" s="350"/>
      <c r="D529" s="350"/>
      <c r="E529" s="350"/>
      <c r="F529" s="349"/>
      <c r="G529" s="389">
        <v>42593</v>
      </c>
      <c r="H529" s="352">
        <v>309602.07</v>
      </c>
      <c r="I529" s="353" t="s">
        <v>1379</v>
      </c>
      <c r="J529" s="353" t="s">
        <v>1379</v>
      </c>
      <c r="K529" s="354">
        <f t="shared" si="89"/>
        <v>309602.07</v>
      </c>
      <c r="L529" s="390">
        <v>42593</v>
      </c>
      <c r="M529" s="742">
        <v>216943.21849999999</v>
      </c>
      <c r="N529" s="352">
        <f t="shared" si="98"/>
        <v>92658.851500000019</v>
      </c>
      <c r="O529" s="357">
        <f t="shared" si="90"/>
        <v>2790</v>
      </c>
      <c r="P529" s="357">
        <v>9</v>
      </c>
      <c r="Q529" s="358">
        <f t="shared" si="88"/>
        <v>7.6438356164383565</v>
      </c>
      <c r="R529" s="359">
        <f t="shared" si="91"/>
        <v>1.3561643835616435</v>
      </c>
      <c r="S529" s="360">
        <f t="shared" si="92"/>
        <v>1.3561643835616435</v>
      </c>
      <c r="T529" s="361">
        <f t="shared" si="93"/>
        <v>0.10555555555555554</v>
      </c>
      <c r="U529" s="362">
        <f t="shared" si="87"/>
        <v>32680.218499999995</v>
      </c>
      <c r="V529" s="362">
        <f t="shared" si="96"/>
        <v>59978.633000000023</v>
      </c>
      <c r="W529" s="362">
        <f t="shared" si="94"/>
        <v>15480</v>
      </c>
      <c r="X529" s="742">
        <f t="shared" si="97"/>
        <v>44498.633000000023</v>
      </c>
    </row>
    <row r="530" spans="1:24" ht="13.9">
      <c r="A530" s="349">
        <f t="shared" si="95"/>
        <v>522</v>
      </c>
      <c r="B530" s="391" t="s">
        <v>1931</v>
      </c>
      <c r="C530" s="350"/>
      <c r="D530" s="350"/>
      <c r="E530" s="350"/>
      <c r="F530" s="349"/>
      <c r="G530" s="389">
        <v>42644</v>
      </c>
      <c r="H530" s="352">
        <v>534000</v>
      </c>
      <c r="I530" s="353" t="s">
        <v>1379</v>
      </c>
      <c r="J530" s="353" t="s">
        <v>1379</v>
      </c>
      <c r="K530" s="354">
        <f t="shared" si="89"/>
        <v>534000</v>
      </c>
      <c r="L530" s="390">
        <v>42644</v>
      </c>
      <c r="M530" s="742">
        <v>366305.66666666663</v>
      </c>
      <c r="N530" s="352">
        <f t="shared" si="98"/>
        <v>167694.33333333337</v>
      </c>
      <c r="O530" s="357">
        <f t="shared" si="90"/>
        <v>2739</v>
      </c>
      <c r="P530" s="357">
        <v>9</v>
      </c>
      <c r="Q530" s="358">
        <f t="shared" si="88"/>
        <v>7.5041095890410956</v>
      </c>
      <c r="R530" s="359">
        <f t="shared" si="91"/>
        <v>1.4958904109589044</v>
      </c>
      <c r="S530" s="360">
        <f t="shared" si="92"/>
        <v>1.4958904109589044</v>
      </c>
      <c r="T530" s="361">
        <f t="shared" si="93"/>
        <v>0.10555555555555554</v>
      </c>
      <c r="U530" s="362">
        <f t="shared" si="87"/>
        <v>56366.666666666657</v>
      </c>
      <c r="V530" s="362">
        <f t="shared" si="96"/>
        <v>111327.66666666672</v>
      </c>
      <c r="W530" s="362">
        <f t="shared" si="94"/>
        <v>26700</v>
      </c>
      <c r="X530" s="742">
        <f t="shared" si="97"/>
        <v>84627.666666666715</v>
      </c>
    </row>
    <row r="531" spans="1:24" ht="13.9">
      <c r="A531" s="349">
        <f t="shared" si="95"/>
        <v>523</v>
      </c>
      <c r="B531" s="391" t="s">
        <v>935</v>
      </c>
      <c r="C531" s="350"/>
      <c r="D531" s="350"/>
      <c r="E531" s="350"/>
      <c r="F531" s="349"/>
      <c r="G531" s="389">
        <v>42661</v>
      </c>
      <c r="H531" s="352">
        <v>178000</v>
      </c>
      <c r="I531" s="353" t="s">
        <v>1379</v>
      </c>
      <c r="J531" s="353" t="s">
        <v>1379</v>
      </c>
      <c r="K531" s="354">
        <f t="shared" si="89"/>
        <v>178000</v>
      </c>
      <c r="L531" s="390">
        <v>42661</v>
      </c>
      <c r="M531" s="742">
        <v>121226.88888888889</v>
      </c>
      <c r="N531" s="352">
        <f t="shared" si="98"/>
        <v>56773.111111111109</v>
      </c>
      <c r="O531" s="357">
        <f t="shared" si="90"/>
        <v>2722</v>
      </c>
      <c r="P531" s="357">
        <v>9</v>
      </c>
      <c r="Q531" s="358">
        <f t="shared" si="88"/>
        <v>7.4575342465753423</v>
      </c>
      <c r="R531" s="359">
        <f t="shared" si="91"/>
        <v>1.5424657534246577</v>
      </c>
      <c r="S531" s="360">
        <f t="shared" si="92"/>
        <v>1.5424657534246577</v>
      </c>
      <c r="T531" s="361">
        <f t="shared" si="93"/>
        <v>0.10555555555555554</v>
      </c>
      <c r="U531" s="362">
        <f t="shared" si="87"/>
        <v>18788.888888888887</v>
      </c>
      <c r="V531" s="362">
        <f t="shared" si="96"/>
        <v>37984.222222222219</v>
      </c>
      <c r="W531" s="362">
        <f t="shared" si="94"/>
        <v>8900</v>
      </c>
      <c r="X531" s="742">
        <f t="shared" si="97"/>
        <v>29084.222222222219</v>
      </c>
    </row>
    <row r="532" spans="1:24" ht="13.9">
      <c r="A532" s="349">
        <f t="shared" si="95"/>
        <v>524</v>
      </c>
      <c r="B532" s="349" t="s">
        <v>1932</v>
      </c>
      <c r="C532" s="350"/>
      <c r="D532" s="350"/>
      <c r="E532" s="350"/>
      <c r="F532" s="349"/>
      <c r="G532" s="389">
        <v>42768</v>
      </c>
      <c r="H532" s="352">
        <v>340000</v>
      </c>
      <c r="I532" s="353" t="s">
        <v>1379</v>
      </c>
      <c r="J532" s="353" t="s">
        <v>1379</v>
      </c>
      <c r="K532" s="354">
        <f t="shared" si="89"/>
        <v>340000</v>
      </c>
      <c r="L532" s="390">
        <v>42768</v>
      </c>
      <c r="M532" s="742">
        <v>225598.88888888888</v>
      </c>
      <c r="N532" s="352">
        <f t="shared" si="98"/>
        <v>114401.11111111112</v>
      </c>
      <c r="O532" s="357">
        <f t="shared" si="90"/>
        <v>2615</v>
      </c>
      <c r="P532" s="357">
        <v>9</v>
      </c>
      <c r="Q532" s="358">
        <f t="shared" si="88"/>
        <v>7.1643835616438354</v>
      </c>
      <c r="R532" s="359">
        <f t="shared" si="91"/>
        <v>1.8356164383561646</v>
      </c>
      <c r="S532" s="360">
        <f t="shared" si="92"/>
        <v>1.8356164383561646</v>
      </c>
      <c r="T532" s="361">
        <f t="shared" si="93"/>
        <v>0.10555555555555554</v>
      </c>
      <c r="U532" s="362">
        <f t="shared" si="87"/>
        <v>35888.888888888883</v>
      </c>
      <c r="V532" s="362">
        <f t="shared" si="96"/>
        <v>78512.222222222248</v>
      </c>
      <c r="W532" s="362">
        <f t="shared" si="94"/>
        <v>17000</v>
      </c>
      <c r="X532" s="742">
        <f t="shared" si="97"/>
        <v>61512.222222222248</v>
      </c>
    </row>
    <row r="533" spans="1:24" ht="13.9">
      <c r="A533" s="349">
        <f t="shared" si="95"/>
        <v>525</v>
      </c>
      <c r="B533" s="385" t="s">
        <v>1933</v>
      </c>
      <c r="C533" s="350"/>
      <c r="D533" s="350"/>
      <c r="E533" s="350"/>
      <c r="F533" s="349"/>
      <c r="G533" s="389">
        <v>42522</v>
      </c>
      <c r="H533" s="352">
        <v>67350</v>
      </c>
      <c r="I533" s="353" t="s">
        <v>1379</v>
      </c>
      <c r="J533" s="353" t="s">
        <v>1379</v>
      </c>
      <c r="K533" s="354">
        <f t="shared" si="89"/>
        <v>67350</v>
      </c>
      <c r="L533" s="390">
        <v>42522</v>
      </c>
      <c r="M533" s="742">
        <v>53313.166666666664</v>
      </c>
      <c r="N533" s="352">
        <f t="shared" si="98"/>
        <v>14036.833333333336</v>
      </c>
      <c r="O533" s="357">
        <f t="shared" si="90"/>
        <v>2861</v>
      </c>
      <c r="P533" s="357">
        <v>9</v>
      </c>
      <c r="Q533" s="358">
        <f t="shared" si="88"/>
        <v>7.838356164383562</v>
      </c>
      <c r="R533" s="359">
        <f t="shared" si="91"/>
        <v>1.161643835616438</v>
      </c>
      <c r="S533" s="360">
        <f t="shared" si="92"/>
        <v>1.161643835616438</v>
      </c>
      <c r="T533" s="361">
        <f t="shared" si="93"/>
        <v>0.10555555555555554</v>
      </c>
      <c r="U533" s="362">
        <f t="shared" si="87"/>
        <v>7109.1666666666661</v>
      </c>
      <c r="V533" s="362">
        <f t="shared" si="96"/>
        <v>6927.6666666666697</v>
      </c>
      <c r="W533" s="362">
        <f t="shared" si="94"/>
        <v>3368</v>
      </c>
      <c r="X533" s="742">
        <f t="shared" si="97"/>
        <v>3559.6666666666697</v>
      </c>
    </row>
    <row r="534" spans="1:24" ht="13.9">
      <c r="A534" s="349">
        <f t="shared" si="95"/>
        <v>526</v>
      </c>
      <c r="B534" s="385" t="s">
        <v>1933</v>
      </c>
      <c r="C534" s="350"/>
      <c r="D534" s="350"/>
      <c r="E534" s="350"/>
      <c r="F534" s="349"/>
      <c r="G534" s="389">
        <v>42517</v>
      </c>
      <c r="H534" s="352">
        <v>70000</v>
      </c>
      <c r="I534" s="353" t="s">
        <v>1379</v>
      </c>
      <c r="J534" s="353" t="s">
        <v>1379</v>
      </c>
      <c r="K534" s="354">
        <f t="shared" si="89"/>
        <v>70000</v>
      </c>
      <c r="L534" s="390">
        <v>42517</v>
      </c>
      <c r="M534" s="742">
        <v>55592.888888888891</v>
      </c>
      <c r="N534" s="352">
        <f t="shared" si="98"/>
        <v>14407.111111111109</v>
      </c>
      <c r="O534" s="357">
        <f t="shared" si="90"/>
        <v>2866</v>
      </c>
      <c r="P534" s="357">
        <v>9</v>
      </c>
      <c r="Q534" s="358">
        <f t="shared" si="88"/>
        <v>7.8520547945205479</v>
      </c>
      <c r="R534" s="359">
        <f t="shared" si="91"/>
        <v>1.1479452054794521</v>
      </c>
      <c r="S534" s="360">
        <f t="shared" si="92"/>
        <v>1.1479452054794521</v>
      </c>
      <c r="T534" s="361">
        <f t="shared" si="93"/>
        <v>0.10555555555555554</v>
      </c>
      <c r="U534" s="362">
        <f t="shared" si="87"/>
        <v>7388.8888888888878</v>
      </c>
      <c r="V534" s="362">
        <f t="shared" si="96"/>
        <v>7018.2222222222217</v>
      </c>
      <c r="W534" s="362">
        <f t="shared" si="94"/>
        <v>3500</v>
      </c>
      <c r="X534" s="742">
        <f t="shared" si="97"/>
        <v>3518.2222222222217</v>
      </c>
    </row>
    <row r="535" spans="1:24" ht="13.9">
      <c r="A535" s="349">
        <f t="shared" si="95"/>
        <v>527</v>
      </c>
      <c r="B535" s="385" t="s">
        <v>1934</v>
      </c>
      <c r="C535" s="350"/>
      <c r="D535" s="350"/>
      <c r="E535" s="350"/>
      <c r="F535" s="349"/>
      <c r="G535" s="389">
        <v>42542</v>
      </c>
      <c r="H535" s="352">
        <v>1328474</v>
      </c>
      <c r="I535" s="353" t="s">
        <v>1379</v>
      </c>
      <c r="J535" s="353" t="s">
        <v>1379</v>
      </c>
      <c r="K535" s="354">
        <f t="shared" si="89"/>
        <v>1328474</v>
      </c>
      <c r="L535" s="390">
        <v>42542</v>
      </c>
      <c r="M535" s="742">
        <v>1037762.8111111111</v>
      </c>
      <c r="N535" s="352">
        <f t="shared" si="98"/>
        <v>290711.18888888892</v>
      </c>
      <c r="O535" s="357">
        <f t="shared" si="90"/>
        <v>2841</v>
      </c>
      <c r="P535" s="357">
        <v>9</v>
      </c>
      <c r="Q535" s="358">
        <f t="shared" si="88"/>
        <v>7.7835616438356166</v>
      </c>
      <c r="R535" s="359">
        <f t="shared" si="91"/>
        <v>1.2164383561643834</v>
      </c>
      <c r="S535" s="360">
        <f t="shared" si="92"/>
        <v>1.2164383561643834</v>
      </c>
      <c r="T535" s="361">
        <f t="shared" si="93"/>
        <v>0.10555555555555554</v>
      </c>
      <c r="U535" s="362">
        <f t="shared" si="87"/>
        <v>140227.81111111111</v>
      </c>
      <c r="V535" s="362">
        <f t="shared" si="96"/>
        <v>150483.37777777782</v>
      </c>
      <c r="W535" s="362">
        <f t="shared" si="94"/>
        <v>66424</v>
      </c>
      <c r="X535" s="742">
        <f t="shared" si="97"/>
        <v>84059.377777777816</v>
      </c>
    </row>
    <row r="536" spans="1:24" ht="13.9">
      <c r="A536" s="349">
        <f t="shared" si="95"/>
        <v>528</v>
      </c>
      <c r="B536" s="385" t="s">
        <v>1935</v>
      </c>
      <c r="C536" s="350"/>
      <c r="D536" s="350"/>
      <c r="E536" s="350"/>
      <c r="F536" s="349"/>
      <c r="G536" s="389">
        <v>42819</v>
      </c>
      <c r="H536" s="352">
        <v>300000</v>
      </c>
      <c r="I536" s="353" t="s">
        <v>1379</v>
      </c>
      <c r="J536" s="353" t="s">
        <v>1379</v>
      </c>
      <c r="K536" s="354">
        <f t="shared" si="89"/>
        <v>300000</v>
      </c>
      <c r="L536" s="390">
        <v>42819</v>
      </c>
      <c r="M536" s="742">
        <v>191092.66666666666</v>
      </c>
      <c r="N536" s="352">
        <f t="shared" si="98"/>
        <v>108907.33333333334</v>
      </c>
      <c r="O536" s="357">
        <f t="shared" si="90"/>
        <v>2564</v>
      </c>
      <c r="P536" s="357">
        <v>9</v>
      </c>
      <c r="Q536" s="358">
        <f t="shared" si="88"/>
        <v>7.0246575342465754</v>
      </c>
      <c r="R536" s="359">
        <f t="shared" si="91"/>
        <v>1.9753424657534246</v>
      </c>
      <c r="S536" s="360">
        <f t="shared" si="92"/>
        <v>1.9753424657534246</v>
      </c>
      <c r="T536" s="361">
        <f t="shared" si="93"/>
        <v>0.10555555555555554</v>
      </c>
      <c r="U536" s="362">
        <f t="shared" si="87"/>
        <v>31666.666666666661</v>
      </c>
      <c r="V536" s="362">
        <f t="shared" si="96"/>
        <v>77240.666666666686</v>
      </c>
      <c r="W536" s="362">
        <f t="shared" si="94"/>
        <v>15000</v>
      </c>
      <c r="X536" s="742">
        <f t="shared" si="97"/>
        <v>62240.666666666686</v>
      </c>
    </row>
    <row r="537" spans="1:24" ht="13.9">
      <c r="A537" s="349">
        <f t="shared" si="95"/>
        <v>529</v>
      </c>
      <c r="B537" s="385" t="s">
        <v>301</v>
      </c>
      <c r="C537" s="350"/>
      <c r="D537" s="350"/>
      <c r="E537" s="350"/>
      <c r="F537" s="349"/>
      <c r="G537" s="389">
        <v>42814</v>
      </c>
      <c r="H537" s="352">
        <v>300000</v>
      </c>
      <c r="I537" s="353" t="s">
        <v>1379</v>
      </c>
      <c r="J537" s="353" t="s">
        <v>1379</v>
      </c>
      <c r="K537" s="354">
        <f t="shared" si="89"/>
        <v>300000</v>
      </c>
      <c r="L537" s="390">
        <v>42814</v>
      </c>
      <c r="M537" s="742">
        <v>191873.66666666666</v>
      </c>
      <c r="N537" s="352">
        <f t="shared" si="98"/>
        <v>108126.33333333334</v>
      </c>
      <c r="O537" s="357">
        <f t="shared" si="90"/>
        <v>2569</v>
      </c>
      <c r="P537" s="357">
        <v>9</v>
      </c>
      <c r="Q537" s="358">
        <f t="shared" si="88"/>
        <v>7.0383561643835613</v>
      </c>
      <c r="R537" s="359">
        <f t="shared" si="91"/>
        <v>1.9616438356164387</v>
      </c>
      <c r="S537" s="360">
        <f t="shared" si="92"/>
        <v>1.9616438356164387</v>
      </c>
      <c r="T537" s="361">
        <f t="shared" si="93"/>
        <v>0.10555555555555554</v>
      </c>
      <c r="U537" s="362">
        <f t="shared" si="87"/>
        <v>31666.666666666661</v>
      </c>
      <c r="V537" s="362">
        <f t="shared" si="96"/>
        <v>76459.666666666686</v>
      </c>
      <c r="W537" s="362">
        <f t="shared" si="94"/>
        <v>15000</v>
      </c>
      <c r="X537" s="742">
        <f t="shared" si="97"/>
        <v>61459.666666666686</v>
      </c>
    </row>
    <row r="538" spans="1:24" ht="13.9">
      <c r="A538" s="349">
        <f t="shared" si="95"/>
        <v>530</v>
      </c>
      <c r="B538" s="385" t="s">
        <v>1936</v>
      </c>
      <c r="C538" s="350"/>
      <c r="D538" s="350"/>
      <c r="E538" s="350"/>
      <c r="F538" s="349"/>
      <c r="G538" s="389">
        <v>42794</v>
      </c>
      <c r="H538" s="352">
        <v>19635</v>
      </c>
      <c r="I538" s="353" t="s">
        <v>1379</v>
      </c>
      <c r="J538" s="353" t="s">
        <v>1379</v>
      </c>
      <c r="K538" s="354">
        <f t="shared" si="89"/>
        <v>19635</v>
      </c>
      <c r="L538" s="390">
        <v>42794</v>
      </c>
      <c r="M538" s="742">
        <v>12617.583333333332</v>
      </c>
      <c r="N538" s="352">
        <f t="shared" si="98"/>
        <v>7017.4166666666679</v>
      </c>
      <c r="O538" s="357">
        <f t="shared" si="90"/>
        <v>2589</v>
      </c>
      <c r="P538" s="357">
        <v>9</v>
      </c>
      <c r="Q538" s="358">
        <f t="shared" si="88"/>
        <v>7.0931506849315067</v>
      </c>
      <c r="R538" s="359">
        <f t="shared" si="91"/>
        <v>1.9068493150684933</v>
      </c>
      <c r="S538" s="360">
        <f t="shared" si="92"/>
        <v>1.9068493150684933</v>
      </c>
      <c r="T538" s="361">
        <f t="shared" si="93"/>
        <v>0.10555555555555554</v>
      </c>
      <c r="U538" s="362">
        <f t="shared" si="87"/>
        <v>2072.583333333333</v>
      </c>
      <c r="V538" s="362">
        <f t="shared" si="96"/>
        <v>4944.8333333333348</v>
      </c>
      <c r="W538" s="362">
        <f t="shared" si="94"/>
        <v>982</v>
      </c>
      <c r="X538" s="742">
        <f t="shared" si="97"/>
        <v>3962.8333333333348</v>
      </c>
    </row>
    <row r="539" spans="1:24" ht="13.9">
      <c r="A539" s="349">
        <f t="shared" si="95"/>
        <v>531</v>
      </c>
      <c r="B539" s="349" t="s">
        <v>1937</v>
      </c>
      <c r="C539" s="350"/>
      <c r="D539" s="350"/>
      <c r="E539" s="350"/>
      <c r="F539" s="349"/>
      <c r="G539" s="389">
        <v>42668</v>
      </c>
      <c r="H539" s="352">
        <v>860625</v>
      </c>
      <c r="I539" s="353" t="s">
        <v>1379</v>
      </c>
      <c r="J539" s="353" t="s">
        <v>1379</v>
      </c>
      <c r="K539" s="354">
        <f t="shared" si="89"/>
        <v>860625</v>
      </c>
      <c r="L539" s="390">
        <v>42668</v>
      </c>
      <c r="M539" s="742">
        <v>584386.75</v>
      </c>
      <c r="N539" s="352">
        <f t="shared" si="98"/>
        <v>276238.25</v>
      </c>
      <c r="O539" s="357">
        <f t="shared" si="90"/>
        <v>2715</v>
      </c>
      <c r="P539" s="357">
        <v>9</v>
      </c>
      <c r="Q539" s="358">
        <f t="shared" si="88"/>
        <v>7.4383561643835616</v>
      </c>
      <c r="R539" s="359">
        <f t="shared" si="91"/>
        <v>1.5616438356164384</v>
      </c>
      <c r="S539" s="360">
        <f t="shared" si="92"/>
        <v>1.5616438356164384</v>
      </c>
      <c r="T539" s="361">
        <f t="shared" si="93"/>
        <v>0.10555555555555554</v>
      </c>
      <c r="U539" s="362">
        <f t="shared" si="87"/>
        <v>90843.749999999985</v>
      </c>
      <c r="V539" s="362">
        <f t="shared" si="96"/>
        <v>185394.5</v>
      </c>
      <c r="W539" s="362">
        <f t="shared" si="94"/>
        <v>43031</v>
      </c>
      <c r="X539" s="742">
        <f t="shared" si="97"/>
        <v>142363.5</v>
      </c>
    </row>
    <row r="540" spans="1:24" ht="13.9">
      <c r="A540" s="349">
        <f t="shared" si="95"/>
        <v>532</v>
      </c>
      <c r="B540" s="385" t="s">
        <v>1938</v>
      </c>
      <c r="C540" s="350"/>
      <c r="D540" s="350"/>
      <c r="E540" s="350"/>
      <c r="F540" s="349"/>
      <c r="G540" s="389">
        <v>42613</v>
      </c>
      <c r="H540" s="352">
        <v>29925</v>
      </c>
      <c r="I540" s="353" t="s">
        <v>1379</v>
      </c>
      <c r="J540" s="353" t="s">
        <v>1379</v>
      </c>
      <c r="K540" s="354">
        <f t="shared" si="89"/>
        <v>29925</v>
      </c>
      <c r="L540" s="390">
        <v>42613</v>
      </c>
      <c r="M540" s="742">
        <v>20795.75</v>
      </c>
      <c r="N540" s="352">
        <f t="shared" si="98"/>
        <v>9129.25</v>
      </c>
      <c r="O540" s="357">
        <f t="shared" si="90"/>
        <v>2770</v>
      </c>
      <c r="P540" s="357">
        <v>9</v>
      </c>
      <c r="Q540" s="358">
        <f t="shared" si="88"/>
        <v>7.5890410958904111</v>
      </c>
      <c r="R540" s="359">
        <f t="shared" si="91"/>
        <v>1.4109589041095889</v>
      </c>
      <c r="S540" s="360">
        <f t="shared" si="92"/>
        <v>1.4109589041095889</v>
      </c>
      <c r="T540" s="361">
        <f t="shared" si="93"/>
        <v>0.10555555555555554</v>
      </c>
      <c r="U540" s="362">
        <f t="shared" si="87"/>
        <v>3158.7499999999995</v>
      </c>
      <c r="V540" s="362">
        <f t="shared" si="96"/>
        <v>5970.5</v>
      </c>
      <c r="W540" s="362">
        <f t="shared" si="94"/>
        <v>1496</v>
      </c>
      <c r="X540" s="742">
        <f t="shared" si="97"/>
        <v>4474.5</v>
      </c>
    </row>
    <row r="541" spans="1:24" ht="13.9">
      <c r="A541" s="349">
        <f t="shared" si="95"/>
        <v>533</v>
      </c>
      <c r="B541" s="385" t="s">
        <v>1939</v>
      </c>
      <c r="C541" s="350"/>
      <c r="D541" s="350"/>
      <c r="E541" s="350"/>
      <c r="F541" s="349"/>
      <c r="G541" s="389">
        <v>42500</v>
      </c>
      <c r="H541" s="352">
        <v>7350000</v>
      </c>
      <c r="I541" s="353" t="s">
        <v>1379</v>
      </c>
      <c r="J541" s="353" t="s">
        <v>1379</v>
      </c>
      <c r="K541" s="354">
        <f t="shared" si="89"/>
        <v>7350000</v>
      </c>
      <c r="L541" s="390">
        <v>42500</v>
      </c>
      <c r="M541" s="742">
        <v>5416436.333333333</v>
      </c>
      <c r="N541" s="352">
        <f t="shared" si="98"/>
        <v>1933563.666666667</v>
      </c>
      <c r="O541" s="357">
        <f t="shared" si="90"/>
        <v>2883</v>
      </c>
      <c r="P541" s="357">
        <v>9</v>
      </c>
      <c r="Q541" s="358">
        <f t="shared" si="88"/>
        <v>7.8986301369863012</v>
      </c>
      <c r="R541" s="359">
        <f t="shared" si="91"/>
        <v>1.1013698630136988</v>
      </c>
      <c r="S541" s="360">
        <f t="shared" si="92"/>
        <v>1.1013698630136988</v>
      </c>
      <c r="T541" s="361">
        <f t="shared" si="93"/>
        <v>0.10555555555555554</v>
      </c>
      <c r="U541" s="362">
        <f t="shared" si="87"/>
        <v>775833.33333333326</v>
      </c>
      <c r="V541" s="362">
        <f t="shared" si="96"/>
        <v>1157730.3333333337</v>
      </c>
      <c r="W541" s="362">
        <f t="shared" si="94"/>
        <v>367500</v>
      </c>
      <c r="X541" s="742">
        <f t="shared" si="97"/>
        <v>790230.33333333372</v>
      </c>
    </row>
    <row r="542" spans="1:24" ht="13.9">
      <c r="A542" s="349">
        <f t="shared" si="95"/>
        <v>534</v>
      </c>
      <c r="B542" s="385" t="s">
        <v>1940</v>
      </c>
      <c r="C542" s="350"/>
      <c r="D542" s="350"/>
      <c r="E542" s="350"/>
      <c r="F542" s="349"/>
      <c r="G542" s="389">
        <v>42669</v>
      </c>
      <c r="H542" s="352">
        <v>1350000</v>
      </c>
      <c r="I542" s="353" t="s">
        <v>1379</v>
      </c>
      <c r="J542" s="353" t="s">
        <v>1379</v>
      </c>
      <c r="K542" s="354">
        <f t="shared" si="89"/>
        <v>1350000</v>
      </c>
      <c r="L542" s="390">
        <v>42669</v>
      </c>
      <c r="M542" s="742">
        <v>916295</v>
      </c>
      <c r="N542" s="352">
        <f t="shared" si="98"/>
        <v>433705</v>
      </c>
      <c r="O542" s="357">
        <f t="shared" si="90"/>
        <v>2714</v>
      </c>
      <c r="P542" s="357">
        <v>9</v>
      </c>
      <c r="Q542" s="358">
        <f t="shared" si="88"/>
        <v>7.4356164383561643</v>
      </c>
      <c r="R542" s="359">
        <f t="shared" si="91"/>
        <v>1.5643835616438357</v>
      </c>
      <c r="S542" s="360">
        <f t="shared" si="92"/>
        <v>1.5643835616438357</v>
      </c>
      <c r="T542" s="361">
        <f t="shared" si="93"/>
        <v>0.10555555555555554</v>
      </c>
      <c r="U542" s="362">
        <f t="shared" si="87"/>
        <v>142499.99999999997</v>
      </c>
      <c r="V542" s="362">
        <f t="shared" si="96"/>
        <v>291205</v>
      </c>
      <c r="W542" s="362">
        <f t="shared" si="94"/>
        <v>67500</v>
      </c>
      <c r="X542" s="742">
        <f t="shared" si="97"/>
        <v>223705</v>
      </c>
    </row>
    <row r="543" spans="1:24" ht="13.9">
      <c r="A543" s="349">
        <f t="shared" si="95"/>
        <v>535</v>
      </c>
      <c r="B543" s="385" t="s">
        <v>1941</v>
      </c>
      <c r="C543" s="350"/>
      <c r="D543" s="350"/>
      <c r="E543" s="350"/>
      <c r="F543" s="349"/>
      <c r="G543" s="389">
        <v>42744</v>
      </c>
      <c r="H543" s="352">
        <v>3700000</v>
      </c>
      <c r="I543" s="353" t="s">
        <v>1379</v>
      </c>
      <c r="J543" s="353" t="s">
        <v>1379</v>
      </c>
      <c r="K543" s="354">
        <f t="shared" si="89"/>
        <v>3700000</v>
      </c>
      <c r="L543" s="390">
        <v>42744</v>
      </c>
      <c r="M543" s="742">
        <v>2409139.5555555555</v>
      </c>
      <c r="N543" s="352">
        <f t="shared" si="98"/>
        <v>1290860.4444444445</v>
      </c>
      <c r="O543" s="357">
        <f t="shared" si="90"/>
        <v>2639</v>
      </c>
      <c r="P543" s="357">
        <v>9</v>
      </c>
      <c r="Q543" s="358">
        <f t="shared" si="88"/>
        <v>7.2301369863013702</v>
      </c>
      <c r="R543" s="359">
        <f t="shared" si="91"/>
        <v>1.7698630136986298</v>
      </c>
      <c r="S543" s="360">
        <f t="shared" si="92"/>
        <v>1.7698630136986298</v>
      </c>
      <c r="T543" s="361">
        <f t="shared" si="93"/>
        <v>0.10555555555555554</v>
      </c>
      <c r="U543" s="362">
        <f t="shared" si="87"/>
        <v>390555.5555555555</v>
      </c>
      <c r="V543" s="362">
        <f t="shared" si="96"/>
        <v>900304.88888888899</v>
      </c>
      <c r="W543" s="362">
        <f t="shared" si="94"/>
        <v>185000</v>
      </c>
      <c r="X543" s="742">
        <f t="shared" si="97"/>
        <v>715304.88888888899</v>
      </c>
    </row>
    <row r="544" spans="1:24" ht="13.9">
      <c r="A544" s="349">
        <f t="shared" si="95"/>
        <v>536</v>
      </c>
      <c r="B544" s="385" t="s">
        <v>1878</v>
      </c>
      <c r="C544" s="350"/>
      <c r="D544" s="350"/>
      <c r="E544" s="350"/>
      <c r="F544" s="349"/>
      <c r="G544" s="389">
        <v>42775</v>
      </c>
      <c r="H544" s="352">
        <v>5000000</v>
      </c>
      <c r="I544" s="353" t="s">
        <v>1379</v>
      </c>
      <c r="J544" s="353" t="s">
        <v>1379</v>
      </c>
      <c r="K544" s="354">
        <f t="shared" si="89"/>
        <v>5000000</v>
      </c>
      <c r="L544" s="390">
        <v>42775</v>
      </c>
      <c r="M544" s="742">
        <v>3221974.777777778</v>
      </c>
      <c r="N544" s="352">
        <f t="shared" si="98"/>
        <v>1778025.222222222</v>
      </c>
      <c r="O544" s="357">
        <f t="shared" si="90"/>
        <v>2608</v>
      </c>
      <c r="P544" s="357">
        <v>9</v>
      </c>
      <c r="Q544" s="358">
        <f t="shared" si="88"/>
        <v>7.1452054794520548</v>
      </c>
      <c r="R544" s="359">
        <f t="shared" si="91"/>
        <v>1.8547945205479452</v>
      </c>
      <c r="S544" s="360">
        <f t="shared" si="92"/>
        <v>1.8547945205479452</v>
      </c>
      <c r="T544" s="361">
        <f t="shared" si="93"/>
        <v>0.10555555555555554</v>
      </c>
      <c r="U544" s="362">
        <f t="shared" si="87"/>
        <v>527777.77777777775</v>
      </c>
      <c r="V544" s="362">
        <f t="shared" si="96"/>
        <v>1250247.4444444443</v>
      </c>
      <c r="W544" s="362">
        <f t="shared" si="94"/>
        <v>250000</v>
      </c>
      <c r="X544" s="742">
        <f t="shared" si="97"/>
        <v>1000247.4444444443</v>
      </c>
    </row>
    <row r="545" spans="1:24" ht="13.9">
      <c r="A545" s="349">
        <f t="shared" si="95"/>
        <v>537</v>
      </c>
      <c r="B545" s="385" t="s">
        <v>1942</v>
      </c>
      <c r="C545" s="350"/>
      <c r="D545" s="350"/>
      <c r="E545" s="350"/>
      <c r="F545" s="349"/>
      <c r="G545" s="389">
        <v>42802</v>
      </c>
      <c r="H545" s="352">
        <v>13650</v>
      </c>
      <c r="I545" s="353" t="s">
        <v>1379</v>
      </c>
      <c r="J545" s="353" t="s">
        <v>1379</v>
      </c>
      <c r="K545" s="354">
        <f t="shared" si="89"/>
        <v>13650</v>
      </c>
      <c r="L545" s="390">
        <v>42802</v>
      </c>
      <c r="M545" s="742">
        <v>8739.8333333333321</v>
      </c>
      <c r="N545" s="352">
        <f t="shared" si="98"/>
        <v>4910.1666666666679</v>
      </c>
      <c r="O545" s="357">
        <f t="shared" si="90"/>
        <v>2581</v>
      </c>
      <c r="P545" s="357">
        <v>9</v>
      </c>
      <c r="Q545" s="358">
        <f t="shared" si="88"/>
        <v>7.0712328767123287</v>
      </c>
      <c r="R545" s="359">
        <f t="shared" si="91"/>
        <v>1.9287671232876713</v>
      </c>
      <c r="S545" s="360">
        <f t="shared" si="92"/>
        <v>1.9287671232876713</v>
      </c>
      <c r="T545" s="361">
        <f t="shared" si="93"/>
        <v>0.10555555555555554</v>
      </c>
      <c r="U545" s="362">
        <f t="shared" si="87"/>
        <v>1440.833333333333</v>
      </c>
      <c r="V545" s="362">
        <f t="shared" si="96"/>
        <v>3469.3333333333348</v>
      </c>
      <c r="W545" s="362">
        <f t="shared" si="94"/>
        <v>683</v>
      </c>
      <c r="X545" s="742">
        <f t="shared" si="97"/>
        <v>2786.3333333333348</v>
      </c>
    </row>
    <row r="546" spans="1:24" ht="13.9">
      <c r="A546" s="349">
        <f t="shared" si="95"/>
        <v>538</v>
      </c>
      <c r="B546" s="393" t="s">
        <v>1943</v>
      </c>
      <c r="C546" s="394" t="s">
        <v>1944</v>
      </c>
      <c r="D546" s="349" t="s">
        <v>1945</v>
      </c>
      <c r="E546" s="393" t="s">
        <v>1946</v>
      </c>
      <c r="F546" s="395" t="s">
        <v>1947</v>
      </c>
      <c r="G546" s="396">
        <v>42840</v>
      </c>
      <c r="H546" s="397">
        <v>29070</v>
      </c>
      <c r="I546" s="353" t="s">
        <v>1379</v>
      </c>
      <c r="J546" s="353" t="s">
        <v>1379</v>
      </c>
      <c r="K546" s="354">
        <f t="shared" si="89"/>
        <v>29070</v>
      </c>
      <c r="L546" s="398">
        <v>42840</v>
      </c>
      <c r="M546" s="742">
        <v>18293.5</v>
      </c>
      <c r="N546" s="352">
        <f t="shared" si="98"/>
        <v>10776.5</v>
      </c>
      <c r="O546" s="357">
        <f t="shared" si="90"/>
        <v>2543</v>
      </c>
      <c r="P546" s="357">
        <v>9</v>
      </c>
      <c r="Q546" s="358">
        <f t="shared" si="88"/>
        <v>6.9671232876712326</v>
      </c>
      <c r="R546" s="359">
        <f t="shared" si="91"/>
        <v>2.0328767123287674</v>
      </c>
      <c r="S546" s="360">
        <f t="shared" si="92"/>
        <v>2.0328767123287674</v>
      </c>
      <c r="T546" s="361">
        <f t="shared" si="93"/>
        <v>0.10555555555555554</v>
      </c>
      <c r="U546" s="362">
        <f t="shared" si="87"/>
        <v>3068.4999999999995</v>
      </c>
      <c r="V546" s="362">
        <f t="shared" si="96"/>
        <v>7708</v>
      </c>
      <c r="W546" s="362">
        <f t="shared" si="94"/>
        <v>1454</v>
      </c>
      <c r="X546" s="742">
        <f t="shared" si="97"/>
        <v>6254</v>
      </c>
    </row>
    <row r="547" spans="1:24" ht="13.9">
      <c r="A547" s="349">
        <f t="shared" si="95"/>
        <v>539</v>
      </c>
      <c r="B547" s="393" t="s">
        <v>578</v>
      </c>
      <c r="C547" s="394" t="s">
        <v>1108</v>
      </c>
      <c r="D547" s="349" t="s">
        <v>1945</v>
      </c>
      <c r="E547" s="393" t="s">
        <v>1948</v>
      </c>
      <c r="F547" s="395" t="s">
        <v>1949</v>
      </c>
      <c r="G547" s="396">
        <v>42789</v>
      </c>
      <c r="H547" s="397">
        <v>140000</v>
      </c>
      <c r="I547" s="353" t="s">
        <v>1379</v>
      </c>
      <c r="J547" s="353" t="s">
        <v>1379</v>
      </c>
      <c r="K547" s="354">
        <f t="shared" si="89"/>
        <v>140000</v>
      </c>
      <c r="L547" s="398">
        <v>43154</v>
      </c>
      <c r="M547" s="742">
        <v>75386.777777777781</v>
      </c>
      <c r="N547" s="352">
        <f t="shared" si="98"/>
        <v>64613.222222222219</v>
      </c>
      <c r="O547" s="357">
        <f t="shared" si="90"/>
        <v>2229</v>
      </c>
      <c r="P547" s="357">
        <v>9</v>
      </c>
      <c r="Q547" s="358">
        <f t="shared" si="88"/>
        <v>6.1068493150684935</v>
      </c>
      <c r="R547" s="359">
        <f t="shared" si="91"/>
        <v>2.8931506849315065</v>
      </c>
      <c r="S547" s="360">
        <f t="shared" si="92"/>
        <v>2.8931506849315065</v>
      </c>
      <c r="T547" s="361">
        <f t="shared" si="93"/>
        <v>0.10555555555555554</v>
      </c>
      <c r="U547" s="362">
        <f t="shared" si="87"/>
        <v>14777.777777777776</v>
      </c>
      <c r="V547" s="362">
        <f t="shared" si="96"/>
        <v>49835.444444444445</v>
      </c>
      <c r="W547" s="362">
        <f t="shared" si="94"/>
        <v>7000</v>
      </c>
      <c r="X547" s="742">
        <f t="shared" si="97"/>
        <v>42835.444444444445</v>
      </c>
    </row>
    <row r="548" spans="1:24" ht="13.9">
      <c r="A548" s="349">
        <f t="shared" si="95"/>
        <v>540</v>
      </c>
      <c r="B548" s="393" t="s">
        <v>1950</v>
      </c>
      <c r="C548" s="394" t="s">
        <v>1108</v>
      </c>
      <c r="D548" s="349" t="s">
        <v>1945</v>
      </c>
      <c r="E548" s="393" t="s">
        <v>1951</v>
      </c>
      <c r="F548" s="395">
        <v>5</v>
      </c>
      <c r="G548" s="396">
        <v>42837</v>
      </c>
      <c r="H548" s="397">
        <v>2040640</v>
      </c>
      <c r="I548" s="353" t="s">
        <v>1379</v>
      </c>
      <c r="J548" s="353" t="s">
        <v>1379</v>
      </c>
      <c r="K548" s="354">
        <f t="shared" si="89"/>
        <v>2040640</v>
      </c>
      <c r="L548" s="398">
        <v>42837</v>
      </c>
      <c r="M548" s="742">
        <v>1285913.8888888888</v>
      </c>
      <c r="N548" s="352">
        <f t="shared" si="98"/>
        <v>754726.11111111124</v>
      </c>
      <c r="O548" s="357">
        <f t="shared" si="90"/>
        <v>2546</v>
      </c>
      <c r="P548" s="357">
        <v>9</v>
      </c>
      <c r="Q548" s="358">
        <f t="shared" si="88"/>
        <v>6.9753424657534246</v>
      </c>
      <c r="R548" s="359">
        <f t="shared" si="91"/>
        <v>2.0246575342465754</v>
      </c>
      <c r="S548" s="360">
        <f t="shared" si="92"/>
        <v>2.0246575342465754</v>
      </c>
      <c r="T548" s="361">
        <f t="shared" si="93"/>
        <v>0.10555555555555554</v>
      </c>
      <c r="U548" s="362">
        <f t="shared" si="87"/>
        <v>215400.88888888885</v>
      </c>
      <c r="V548" s="362">
        <f t="shared" si="96"/>
        <v>539325.22222222236</v>
      </c>
      <c r="W548" s="362">
        <f t="shared" si="94"/>
        <v>102032</v>
      </c>
      <c r="X548" s="742">
        <f t="shared" si="97"/>
        <v>437293.22222222236</v>
      </c>
    </row>
    <row r="549" spans="1:24" ht="13.9">
      <c r="A549" s="349">
        <f t="shared" si="95"/>
        <v>541</v>
      </c>
      <c r="B549" s="393" t="s">
        <v>1427</v>
      </c>
      <c r="C549" s="394" t="s">
        <v>1735</v>
      </c>
      <c r="D549" s="349" t="s">
        <v>1945</v>
      </c>
      <c r="E549" s="393" t="s">
        <v>1428</v>
      </c>
      <c r="F549" s="399" t="s">
        <v>1952</v>
      </c>
      <c r="G549" s="400">
        <v>43190</v>
      </c>
      <c r="H549" s="397">
        <v>2050000</v>
      </c>
      <c r="I549" s="353" t="s">
        <v>1379</v>
      </c>
      <c r="J549" s="353" t="s">
        <v>1379</v>
      </c>
      <c r="K549" s="354">
        <f t="shared" si="89"/>
        <v>2050000</v>
      </c>
      <c r="L549" s="401">
        <v>43190</v>
      </c>
      <c r="M549" s="742">
        <v>1082536.8888888888</v>
      </c>
      <c r="N549" s="352">
        <f t="shared" si="98"/>
        <v>967463.11111111124</v>
      </c>
      <c r="O549" s="357">
        <f t="shared" si="90"/>
        <v>2193</v>
      </c>
      <c r="P549" s="357">
        <v>9</v>
      </c>
      <c r="Q549" s="358">
        <f t="shared" si="88"/>
        <v>6.0082191780821921</v>
      </c>
      <c r="R549" s="359">
        <f t="shared" si="91"/>
        <v>2.9917808219178079</v>
      </c>
      <c r="S549" s="360">
        <f t="shared" si="92"/>
        <v>2.9917808219178079</v>
      </c>
      <c r="T549" s="361">
        <f t="shared" si="93"/>
        <v>0.10555555555555554</v>
      </c>
      <c r="U549" s="362">
        <f t="shared" si="87"/>
        <v>216388.88888888885</v>
      </c>
      <c r="V549" s="362">
        <f t="shared" si="96"/>
        <v>751074.22222222236</v>
      </c>
      <c r="W549" s="362">
        <f t="shared" si="94"/>
        <v>102500</v>
      </c>
      <c r="X549" s="742">
        <f t="shared" si="97"/>
        <v>648574.22222222236</v>
      </c>
    </row>
    <row r="550" spans="1:24" ht="13.9">
      <c r="A550" s="349">
        <f t="shared" si="95"/>
        <v>542</v>
      </c>
      <c r="B550" s="393" t="s">
        <v>1953</v>
      </c>
      <c r="C550" s="394" t="s">
        <v>1735</v>
      </c>
      <c r="D550" s="349" t="s">
        <v>1945</v>
      </c>
      <c r="E550" s="393" t="s">
        <v>1954</v>
      </c>
      <c r="F550" s="399" t="s">
        <v>1690</v>
      </c>
      <c r="G550" s="400">
        <v>43168</v>
      </c>
      <c r="H550" s="397">
        <v>700000</v>
      </c>
      <c r="I550" s="353" t="s">
        <v>1379</v>
      </c>
      <c r="J550" s="353" t="s">
        <v>1379</v>
      </c>
      <c r="K550" s="354">
        <f t="shared" si="89"/>
        <v>700000</v>
      </c>
      <c r="L550" s="401">
        <v>43168</v>
      </c>
      <c r="M550" s="742">
        <v>374100.88888888888</v>
      </c>
      <c r="N550" s="352">
        <f t="shared" si="98"/>
        <v>325899.11111111112</v>
      </c>
      <c r="O550" s="357">
        <f t="shared" si="90"/>
        <v>2215</v>
      </c>
      <c r="P550" s="357">
        <v>9</v>
      </c>
      <c r="Q550" s="358">
        <f t="shared" si="88"/>
        <v>6.0684931506849313</v>
      </c>
      <c r="R550" s="359">
        <f t="shared" si="91"/>
        <v>2.9315068493150687</v>
      </c>
      <c r="S550" s="360">
        <f t="shared" si="92"/>
        <v>2.9315068493150687</v>
      </c>
      <c r="T550" s="361">
        <f t="shared" si="93"/>
        <v>0.10555555555555554</v>
      </c>
      <c r="U550" s="362">
        <f t="shared" si="87"/>
        <v>73888.888888888876</v>
      </c>
      <c r="V550" s="362">
        <f t="shared" si="96"/>
        <v>252010.22222222225</v>
      </c>
      <c r="W550" s="362">
        <f t="shared" si="94"/>
        <v>35000</v>
      </c>
      <c r="X550" s="742">
        <f t="shared" si="97"/>
        <v>217010.22222222225</v>
      </c>
    </row>
    <row r="551" spans="1:24" ht="13.9">
      <c r="A551" s="349">
        <f t="shared" si="95"/>
        <v>543</v>
      </c>
      <c r="B551" s="393" t="s">
        <v>1427</v>
      </c>
      <c r="C551" s="394" t="s">
        <v>1735</v>
      </c>
      <c r="D551" s="349" t="s">
        <v>1945</v>
      </c>
      <c r="E551" s="393" t="s">
        <v>1428</v>
      </c>
      <c r="F551" s="399" t="s">
        <v>1955</v>
      </c>
      <c r="G551" s="400">
        <v>43189</v>
      </c>
      <c r="H551" s="397">
        <v>700000</v>
      </c>
      <c r="I551" s="353" t="s">
        <v>1379</v>
      </c>
      <c r="J551" s="353" t="s">
        <v>1379</v>
      </c>
      <c r="K551" s="354">
        <f t="shared" si="89"/>
        <v>700000</v>
      </c>
      <c r="L551" s="401">
        <v>43189</v>
      </c>
      <c r="M551" s="742">
        <v>369848.88888888888</v>
      </c>
      <c r="N551" s="352">
        <f t="shared" si="98"/>
        <v>330151.11111111112</v>
      </c>
      <c r="O551" s="357">
        <f t="shared" si="90"/>
        <v>2194</v>
      </c>
      <c r="P551" s="357">
        <v>9</v>
      </c>
      <c r="Q551" s="358">
        <f t="shared" si="88"/>
        <v>6.0109589041095894</v>
      </c>
      <c r="R551" s="359">
        <f t="shared" si="91"/>
        <v>2.9890410958904106</v>
      </c>
      <c r="S551" s="360">
        <f t="shared" si="92"/>
        <v>2.9890410958904106</v>
      </c>
      <c r="T551" s="361">
        <f t="shared" si="93"/>
        <v>0.10555555555555554</v>
      </c>
      <c r="U551" s="362">
        <f t="shared" si="87"/>
        <v>73888.888888888876</v>
      </c>
      <c r="V551" s="362">
        <f t="shared" si="96"/>
        <v>256262.22222222225</v>
      </c>
      <c r="W551" s="362">
        <f t="shared" si="94"/>
        <v>35000</v>
      </c>
      <c r="X551" s="742">
        <f t="shared" si="97"/>
        <v>221262.22222222225</v>
      </c>
    </row>
    <row r="552" spans="1:24" ht="13.9">
      <c r="A552" s="349">
        <f t="shared" si="95"/>
        <v>544</v>
      </c>
      <c r="B552" s="393" t="s">
        <v>1956</v>
      </c>
      <c r="C552" s="394" t="s">
        <v>1735</v>
      </c>
      <c r="D552" s="349" t="s">
        <v>1945</v>
      </c>
      <c r="E552" s="393" t="s">
        <v>1957</v>
      </c>
      <c r="F552" s="399" t="s">
        <v>1958</v>
      </c>
      <c r="G552" s="400">
        <v>43109</v>
      </c>
      <c r="H552" s="397">
        <v>25000</v>
      </c>
      <c r="I552" s="353" t="s">
        <v>1379</v>
      </c>
      <c r="J552" s="353" t="s">
        <v>1379</v>
      </c>
      <c r="K552" s="354">
        <f t="shared" si="89"/>
        <v>25000</v>
      </c>
      <c r="L552" s="401">
        <v>43109</v>
      </c>
      <c r="M552" s="742">
        <v>13786.888888888889</v>
      </c>
      <c r="N552" s="352">
        <f t="shared" si="98"/>
        <v>11213.111111111111</v>
      </c>
      <c r="O552" s="357">
        <f t="shared" si="90"/>
        <v>2274</v>
      </c>
      <c r="P552" s="357">
        <v>9</v>
      </c>
      <c r="Q552" s="358">
        <f t="shared" si="88"/>
        <v>6.2301369863013702</v>
      </c>
      <c r="R552" s="359">
        <f t="shared" si="91"/>
        <v>2.7698630136986298</v>
      </c>
      <c r="S552" s="360">
        <f t="shared" si="92"/>
        <v>2.7698630136986298</v>
      </c>
      <c r="T552" s="361">
        <f t="shared" si="93"/>
        <v>0.10555555555555554</v>
      </c>
      <c r="U552" s="362">
        <f t="shared" si="87"/>
        <v>2638.8888888888887</v>
      </c>
      <c r="V552" s="362">
        <f t="shared" si="96"/>
        <v>8574.2222222222226</v>
      </c>
      <c r="W552" s="362">
        <f t="shared" si="94"/>
        <v>1250</v>
      </c>
      <c r="X552" s="742">
        <f t="shared" si="97"/>
        <v>7324.2222222222226</v>
      </c>
    </row>
    <row r="553" spans="1:24" ht="13.9">
      <c r="A553" s="349">
        <f t="shared" si="95"/>
        <v>545</v>
      </c>
      <c r="B553" s="393" t="s">
        <v>1959</v>
      </c>
      <c r="C553" s="394" t="s">
        <v>1960</v>
      </c>
      <c r="D553" s="349" t="s">
        <v>1945</v>
      </c>
      <c r="E553" s="393" t="s">
        <v>1961</v>
      </c>
      <c r="F553" s="395">
        <v>204</v>
      </c>
      <c r="G553" s="396">
        <v>43078</v>
      </c>
      <c r="H553" s="397">
        <v>204000</v>
      </c>
      <c r="I553" s="353" t="s">
        <v>1379</v>
      </c>
      <c r="J553" s="353" t="s">
        <v>1379</v>
      </c>
      <c r="K553" s="354">
        <f t="shared" si="89"/>
        <v>204000</v>
      </c>
      <c r="L553" s="398">
        <v>43078</v>
      </c>
      <c r="M553" s="742">
        <v>114333.33333333333</v>
      </c>
      <c r="N553" s="352">
        <f t="shared" si="98"/>
        <v>89666.666666666672</v>
      </c>
      <c r="O553" s="357">
        <f t="shared" si="90"/>
        <v>2305</v>
      </c>
      <c r="P553" s="357">
        <v>9</v>
      </c>
      <c r="Q553" s="358">
        <f t="shared" si="88"/>
        <v>6.3150684931506849</v>
      </c>
      <c r="R553" s="359">
        <f t="shared" si="91"/>
        <v>2.6849315068493151</v>
      </c>
      <c r="S553" s="360">
        <f t="shared" si="92"/>
        <v>2.6849315068493151</v>
      </c>
      <c r="T553" s="361">
        <f t="shared" si="93"/>
        <v>0.10555555555555554</v>
      </c>
      <c r="U553" s="362">
        <f t="shared" si="87"/>
        <v>21533.333333333332</v>
      </c>
      <c r="V553" s="362">
        <f t="shared" si="96"/>
        <v>68133.333333333343</v>
      </c>
      <c r="W553" s="362">
        <f t="shared" si="94"/>
        <v>10200</v>
      </c>
      <c r="X553" s="742">
        <f t="shared" si="97"/>
        <v>57933.333333333343</v>
      </c>
    </row>
    <row r="554" spans="1:24" ht="13.9">
      <c r="A554" s="349">
        <f t="shared" si="95"/>
        <v>546</v>
      </c>
      <c r="B554" s="393" t="s">
        <v>1962</v>
      </c>
      <c r="C554" s="394" t="s">
        <v>1960</v>
      </c>
      <c r="D554" s="349" t="s">
        <v>1945</v>
      </c>
      <c r="E554" s="393" t="s">
        <v>1963</v>
      </c>
      <c r="F554" s="395" t="s">
        <v>24</v>
      </c>
      <c r="G554" s="396">
        <v>43057</v>
      </c>
      <c r="H554" s="397">
        <v>1191000</v>
      </c>
      <c r="I554" s="353" t="s">
        <v>1379</v>
      </c>
      <c r="J554" s="353" t="s">
        <v>1379</v>
      </c>
      <c r="K554" s="354">
        <f t="shared" si="89"/>
        <v>1191000</v>
      </c>
      <c r="L554" s="398">
        <v>43057</v>
      </c>
      <c r="M554" s="742">
        <v>674736.66666666663</v>
      </c>
      <c r="N554" s="352">
        <f t="shared" si="98"/>
        <v>516263.33333333337</v>
      </c>
      <c r="O554" s="357">
        <f t="shared" si="90"/>
        <v>2326</v>
      </c>
      <c r="P554" s="357">
        <v>9</v>
      </c>
      <c r="Q554" s="358">
        <f t="shared" si="88"/>
        <v>6.3726027397260276</v>
      </c>
      <c r="R554" s="359">
        <f t="shared" si="91"/>
        <v>2.6273972602739724</v>
      </c>
      <c r="S554" s="360">
        <f t="shared" si="92"/>
        <v>2.6273972602739724</v>
      </c>
      <c r="T554" s="361">
        <f t="shared" si="93"/>
        <v>0.10555555555555554</v>
      </c>
      <c r="U554" s="362">
        <f t="shared" si="87"/>
        <v>125716.66666666666</v>
      </c>
      <c r="V554" s="362">
        <f t="shared" si="96"/>
        <v>390546.66666666674</v>
      </c>
      <c r="W554" s="362">
        <f t="shared" si="94"/>
        <v>59550</v>
      </c>
      <c r="X554" s="742">
        <f t="shared" si="97"/>
        <v>330996.66666666674</v>
      </c>
    </row>
    <row r="555" spans="1:24" ht="13.9">
      <c r="A555" s="349">
        <f t="shared" si="95"/>
        <v>547</v>
      </c>
      <c r="B555" s="393" t="s">
        <v>1962</v>
      </c>
      <c r="C555" s="394" t="s">
        <v>1960</v>
      </c>
      <c r="D555" s="349" t="s">
        <v>1945</v>
      </c>
      <c r="E555" s="393" t="s">
        <v>1963</v>
      </c>
      <c r="F555" s="395" t="s">
        <v>24</v>
      </c>
      <c r="G555" s="396">
        <v>43060</v>
      </c>
      <c r="H555" s="397">
        <v>1211000</v>
      </c>
      <c r="I555" s="353" t="s">
        <v>1379</v>
      </c>
      <c r="J555" s="353" t="s">
        <v>1379</v>
      </c>
      <c r="K555" s="354">
        <f t="shared" si="89"/>
        <v>1211000</v>
      </c>
      <c r="L555" s="398">
        <v>43060</v>
      </c>
      <c r="M555" s="742">
        <v>685016.77777777775</v>
      </c>
      <c r="N555" s="352">
        <f t="shared" si="98"/>
        <v>525983.22222222225</v>
      </c>
      <c r="O555" s="357">
        <f t="shared" si="90"/>
        <v>2323</v>
      </c>
      <c r="P555" s="357">
        <v>9</v>
      </c>
      <c r="Q555" s="358">
        <f t="shared" si="88"/>
        <v>6.3643835616438356</v>
      </c>
      <c r="R555" s="359">
        <f t="shared" si="91"/>
        <v>2.6356164383561644</v>
      </c>
      <c r="S555" s="360">
        <f t="shared" si="92"/>
        <v>2.6356164383561644</v>
      </c>
      <c r="T555" s="361">
        <f t="shared" si="93"/>
        <v>0.10555555555555554</v>
      </c>
      <c r="U555" s="362">
        <f t="shared" si="87"/>
        <v>127827.77777777777</v>
      </c>
      <c r="V555" s="362">
        <f t="shared" si="96"/>
        <v>398155.4444444445</v>
      </c>
      <c r="W555" s="362">
        <f t="shared" si="94"/>
        <v>60550</v>
      </c>
      <c r="X555" s="742">
        <f t="shared" si="97"/>
        <v>337605.4444444445</v>
      </c>
    </row>
    <row r="556" spans="1:24" ht="13.9">
      <c r="A556" s="349">
        <f t="shared" si="95"/>
        <v>548</v>
      </c>
      <c r="B556" s="393" t="s">
        <v>1964</v>
      </c>
      <c r="C556" s="394" t="s">
        <v>1965</v>
      </c>
      <c r="D556" s="349" t="s">
        <v>1945</v>
      </c>
      <c r="E556" s="393" t="s">
        <v>1966</v>
      </c>
      <c r="F556" s="395">
        <v>466</v>
      </c>
      <c r="G556" s="396">
        <v>43171</v>
      </c>
      <c r="H556" s="397">
        <v>120000</v>
      </c>
      <c r="I556" s="353" t="s">
        <v>1379</v>
      </c>
      <c r="J556" s="353" t="s">
        <v>1379</v>
      </c>
      <c r="K556" s="354">
        <f t="shared" si="89"/>
        <v>120000</v>
      </c>
      <c r="L556" s="398">
        <v>43171</v>
      </c>
      <c r="M556" s="742">
        <v>64027.666666666664</v>
      </c>
      <c r="N556" s="352">
        <f t="shared" si="98"/>
        <v>55972.333333333336</v>
      </c>
      <c r="O556" s="357">
        <f t="shared" si="90"/>
        <v>2212</v>
      </c>
      <c r="P556" s="357">
        <v>9</v>
      </c>
      <c r="Q556" s="358">
        <f t="shared" si="88"/>
        <v>6.0602739726027401</v>
      </c>
      <c r="R556" s="359">
        <f t="shared" si="91"/>
        <v>2.9397260273972599</v>
      </c>
      <c r="S556" s="360">
        <f t="shared" si="92"/>
        <v>2.9397260273972599</v>
      </c>
      <c r="T556" s="361">
        <f t="shared" si="93"/>
        <v>0.10555555555555554</v>
      </c>
      <c r="U556" s="362">
        <f t="shared" si="87"/>
        <v>12666.666666666664</v>
      </c>
      <c r="V556" s="362">
        <f t="shared" si="96"/>
        <v>43305.666666666672</v>
      </c>
      <c r="W556" s="362">
        <f t="shared" si="94"/>
        <v>6000</v>
      </c>
      <c r="X556" s="742">
        <f t="shared" si="97"/>
        <v>37305.666666666672</v>
      </c>
    </row>
    <row r="557" spans="1:24" ht="13.9">
      <c r="A557" s="349">
        <f t="shared" si="95"/>
        <v>549</v>
      </c>
      <c r="B557" s="393" t="s">
        <v>1814</v>
      </c>
      <c r="C557" s="394" t="s">
        <v>1967</v>
      </c>
      <c r="D557" s="349" t="s">
        <v>1945</v>
      </c>
      <c r="E557" s="393" t="s">
        <v>1968</v>
      </c>
      <c r="F557" s="395">
        <v>85011043</v>
      </c>
      <c r="G557" s="396">
        <v>43131</v>
      </c>
      <c r="H557" s="397">
        <v>1325000</v>
      </c>
      <c r="I557" s="353" t="s">
        <v>1379</v>
      </c>
      <c r="J557" s="353" t="s">
        <v>1379</v>
      </c>
      <c r="K557" s="354">
        <f t="shared" si="89"/>
        <v>1325000</v>
      </c>
      <c r="L557" s="398">
        <v>43131</v>
      </c>
      <c r="M557" s="742">
        <v>722296.11111111112</v>
      </c>
      <c r="N557" s="352">
        <f t="shared" si="98"/>
        <v>602703.88888888888</v>
      </c>
      <c r="O557" s="357">
        <f t="shared" si="90"/>
        <v>2252</v>
      </c>
      <c r="P557" s="357">
        <v>9</v>
      </c>
      <c r="Q557" s="358">
        <f t="shared" si="88"/>
        <v>6.1698630136986301</v>
      </c>
      <c r="R557" s="359">
        <f t="shared" si="91"/>
        <v>2.8301369863013699</v>
      </c>
      <c r="S557" s="360">
        <f t="shared" si="92"/>
        <v>2.8301369863013699</v>
      </c>
      <c r="T557" s="361">
        <f t="shared" si="93"/>
        <v>0.10555555555555554</v>
      </c>
      <c r="U557" s="362">
        <f t="shared" ref="U557:U617" si="99">+K557*T557</f>
        <v>139861.11111111109</v>
      </c>
      <c r="V557" s="362">
        <f t="shared" si="96"/>
        <v>462842.77777777775</v>
      </c>
      <c r="W557" s="362">
        <f t="shared" si="94"/>
        <v>66250</v>
      </c>
      <c r="X557" s="742">
        <f t="shared" si="97"/>
        <v>396592.77777777775</v>
      </c>
    </row>
    <row r="558" spans="1:24" ht="13.9">
      <c r="A558" s="349">
        <f t="shared" si="95"/>
        <v>550</v>
      </c>
      <c r="B558" s="393" t="s">
        <v>1969</v>
      </c>
      <c r="C558" s="394" t="s">
        <v>1967</v>
      </c>
      <c r="D558" s="349" t="s">
        <v>1945</v>
      </c>
      <c r="E558" s="393" t="s">
        <v>1968</v>
      </c>
      <c r="F558" s="395">
        <v>85189735</v>
      </c>
      <c r="G558" s="396">
        <v>43131</v>
      </c>
      <c r="H558" s="397">
        <v>250000</v>
      </c>
      <c r="I558" s="353" t="s">
        <v>1379</v>
      </c>
      <c r="J558" s="353" t="s">
        <v>1379</v>
      </c>
      <c r="K558" s="354">
        <f t="shared" si="89"/>
        <v>250000</v>
      </c>
      <c r="L558" s="398">
        <v>43131</v>
      </c>
      <c r="M558" s="742">
        <v>136281.88888888888</v>
      </c>
      <c r="N558" s="352">
        <f t="shared" si="98"/>
        <v>113718.11111111112</v>
      </c>
      <c r="O558" s="357">
        <f t="shared" si="90"/>
        <v>2252</v>
      </c>
      <c r="P558" s="357">
        <v>9</v>
      </c>
      <c r="Q558" s="358">
        <f t="shared" si="88"/>
        <v>6.1698630136986301</v>
      </c>
      <c r="R558" s="359">
        <f t="shared" si="91"/>
        <v>2.8301369863013699</v>
      </c>
      <c r="S558" s="360">
        <f t="shared" si="92"/>
        <v>2.8301369863013699</v>
      </c>
      <c r="T558" s="361">
        <f t="shared" si="93"/>
        <v>0.10555555555555554</v>
      </c>
      <c r="U558" s="362">
        <f t="shared" si="99"/>
        <v>26388.888888888887</v>
      </c>
      <c r="V558" s="362">
        <f t="shared" si="96"/>
        <v>87329.222222222234</v>
      </c>
      <c r="W558" s="362">
        <f t="shared" si="94"/>
        <v>12500</v>
      </c>
      <c r="X558" s="742">
        <f t="shared" si="97"/>
        <v>74829.222222222234</v>
      </c>
    </row>
    <row r="559" spans="1:24" ht="13.9">
      <c r="A559" s="349">
        <f t="shared" si="95"/>
        <v>551</v>
      </c>
      <c r="B559" s="393" t="s">
        <v>1970</v>
      </c>
      <c r="C559" s="394" t="s">
        <v>1971</v>
      </c>
      <c r="D559" s="349" t="s">
        <v>1945</v>
      </c>
      <c r="E559" s="402" t="s">
        <v>1972</v>
      </c>
      <c r="F559" s="395">
        <v>261</v>
      </c>
      <c r="G559" s="396">
        <v>42863</v>
      </c>
      <c r="H559" s="397">
        <v>1530000</v>
      </c>
      <c r="I559" s="353" t="s">
        <v>1379</v>
      </c>
      <c r="J559" s="353" t="s">
        <v>1379</v>
      </c>
      <c r="K559" s="354">
        <f t="shared" si="89"/>
        <v>1530000</v>
      </c>
      <c r="L559" s="398">
        <v>42863</v>
      </c>
      <c r="M559" s="742">
        <v>952629</v>
      </c>
      <c r="N559" s="352">
        <f t="shared" si="98"/>
        <v>577371</v>
      </c>
      <c r="O559" s="357">
        <f t="shared" si="90"/>
        <v>2520</v>
      </c>
      <c r="P559" s="357">
        <v>9</v>
      </c>
      <c r="Q559" s="358">
        <f t="shared" si="88"/>
        <v>6.904109589041096</v>
      </c>
      <c r="R559" s="359">
        <f t="shared" si="91"/>
        <v>2.095890410958904</v>
      </c>
      <c r="S559" s="360">
        <f t="shared" si="92"/>
        <v>2.095890410958904</v>
      </c>
      <c r="T559" s="361">
        <f t="shared" si="93"/>
        <v>0.10555555555555554</v>
      </c>
      <c r="U559" s="362">
        <f t="shared" si="99"/>
        <v>161499.99999999997</v>
      </c>
      <c r="V559" s="362">
        <f t="shared" si="96"/>
        <v>415871</v>
      </c>
      <c r="W559" s="362">
        <f t="shared" si="94"/>
        <v>76500</v>
      </c>
      <c r="X559" s="742">
        <f t="shared" si="97"/>
        <v>339371</v>
      </c>
    </row>
    <row r="560" spans="1:24" ht="13.9">
      <c r="A560" s="349">
        <f t="shared" si="95"/>
        <v>552</v>
      </c>
      <c r="B560" s="393" t="s">
        <v>1973</v>
      </c>
      <c r="C560" s="394" t="s">
        <v>1967</v>
      </c>
      <c r="D560" s="349" t="s">
        <v>1945</v>
      </c>
      <c r="E560" s="393" t="s">
        <v>1974</v>
      </c>
      <c r="F560" s="399" t="s">
        <v>1975</v>
      </c>
      <c r="G560" s="396">
        <v>42976</v>
      </c>
      <c r="H560" s="397">
        <v>305000</v>
      </c>
      <c r="I560" s="353" t="s">
        <v>1379</v>
      </c>
      <c r="J560" s="353" t="s">
        <v>1379</v>
      </c>
      <c r="K560" s="354">
        <f t="shared" si="89"/>
        <v>305000</v>
      </c>
      <c r="L560" s="398">
        <v>42976</v>
      </c>
      <c r="M560" s="742">
        <v>179936.44444444444</v>
      </c>
      <c r="N560" s="352">
        <f t="shared" si="98"/>
        <v>125063.55555555556</v>
      </c>
      <c r="O560" s="357">
        <f t="shared" si="90"/>
        <v>2407</v>
      </c>
      <c r="P560" s="357">
        <v>9</v>
      </c>
      <c r="Q560" s="358">
        <f t="shared" si="88"/>
        <v>6.5945205479452058</v>
      </c>
      <c r="R560" s="359">
        <f t="shared" si="91"/>
        <v>2.4054794520547942</v>
      </c>
      <c r="S560" s="360">
        <f t="shared" si="92"/>
        <v>2.4054794520547942</v>
      </c>
      <c r="T560" s="361">
        <f t="shared" si="93"/>
        <v>0.10555555555555554</v>
      </c>
      <c r="U560" s="362">
        <f t="shared" si="99"/>
        <v>32194.444444444442</v>
      </c>
      <c r="V560" s="362">
        <f t="shared" si="96"/>
        <v>92869.111111111124</v>
      </c>
      <c r="W560" s="362">
        <f t="shared" si="94"/>
        <v>15250</v>
      </c>
      <c r="X560" s="742">
        <f t="shared" si="97"/>
        <v>77619.111111111124</v>
      </c>
    </row>
    <row r="561" spans="1:24" ht="13.9">
      <c r="A561" s="349">
        <f t="shared" si="95"/>
        <v>553</v>
      </c>
      <c r="B561" s="393" t="s">
        <v>1973</v>
      </c>
      <c r="C561" s="394" t="s">
        <v>1967</v>
      </c>
      <c r="D561" s="349" t="s">
        <v>1945</v>
      </c>
      <c r="E561" s="393" t="s">
        <v>1976</v>
      </c>
      <c r="F561" s="399" t="s">
        <v>1977</v>
      </c>
      <c r="G561" s="403">
        <v>42985</v>
      </c>
      <c r="H561" s="397">
        <v>18644</v>
      </c>
      <c r="I561" s="353" t="s">
        <v>1379</v>
      </c>
      <c r="J561" s="353" t="s">
        <v>1379</v>
      </c>
      <c r="K561" s="354">
        <f t="shared" si="89"/>
        <v>18644</v>
      </c>
      <c r="L561" s="398">
        <v>42985</v>
      </c>
      <c r="M561" s="742">
        <v>10950.977777777778</v>
      </c>
      <c r="N561" s="352">
        <f t="shared" si="98"/>
        <v>7693.0222222222219</v>
      </c>
      <c r="O561" s="357">
        <f t="shared" si="90"/>
        <v>2398</v>
      </c>
      <c r="P561" s="357">
        <v>9</v>
      </c>
      <c r="Q561" s="358">
        <f t="shared" si="88"/>
        <v>6.5698630136986305</v>
      </c>
      <c r="R561" s="359">
        <f t="shared" si="91"/>
        <v>2.4301369863013695</v>
      </c>
      <c r="S561" s="360">
        <f t="shared" si="92"/>
        <v>2.4301369863013695</v>
      </c>
      <c r="T561" s="361">
        <f t="shared" si="93"/>
        <v>0.10555555555555554</v>
      </c>
      <c r="U561" s="362">
        <f t="shared" si="99"/>
        <v>1967.9777777777774</v>
      </c>
      <c r="V561" s="362">
        <f t="shared" si="96"/>
        <v>5725.0444444444447</v>
      </c>
      <c r="W561" s="362">
        <f t="shared" si="94"/>
        <v>932</v>
      </c>
      <c r="X561" s="742">
        <f t="shared" si="97"/>
        <v>4793.0444444444447</v>
      </c>
    </row>
    <row r="562" spans="1:24" ht="13.9">
      <c r="A562" s="349">
        <f t="shared" si="95"/>
        <v>554</v>
      </c>
      <c r="B562" s="393" t="s">
        <v>1973</v>
      </c>
      <c r="C562" s="394" t="s">
        <v>1967</v>
      </c>
      <c r="D562" s="349" t="s">
        <v>1945</v>
      </c>
      <c r="E562" s="393" t="s">
        <v>1978</v>
      </c>
      <c r="F562" s="399" t="s">
        <v>1979</v>
      </c>
      <c r="G562" s="403">
        <v>43025</v>
      </c>
      <c r="H562" s="397">
        <v>177000</v>
      </c>
      <c r="I562" s="353" t="s">
        <v>1379</v>
      </c>
      <c r="J562" s="353" t="s">
        <v>1379</v>
      </c>
      <c r="K562" s="354">
        <f t="shared" si="89"/>
        <v>177000</v>
      </c>
      <c r="L562" s="398">
        <v>43025</v>
      </c>
      <c r="M562" s="742">
        <v>101913.33333333333</v>
      </c>
      <c r="N562" s="352">
        <f t="shared" si="98"/>
        <v>75086.666666666672</v>
      </c>
      <c r="O562" s="357">
        <f t="shared" si="90"/>
        <v>2358</v>
      </c>
      <c r="P562" s="357">
        <v>9</v>
      </c>
      <c r="Q562" s="358">
        <f t="shared" si="88"/>
        <v>6.4602739726027396</v>
      </c>
      <c r="R562" s="359">
        <f t="shared" si="91"/>
        <v>2.5397260273972604</v>
      </c>
      <c r="S562" s="360">
        <f t="shared" si="92"/>
        <v>2.5397260273972604</v>
      </c>
      <c r="T562" s="361">
        <f t="shared" si="93"/>
        <v>0.10555555555555554</v>
      </c>
      <c r="U562" s="362">
        <f t="shared" si="99"/>
        <v>18683.333333333332</v>
      </c>
      <c r="V562" s="362">
        <f t="shared" si="96"/>
        <v>56403.333333333343</v>
      </c>
      <c r="W562" s="362">
        <f t="shared" si="94"/>
        <v>8850</v>
      </c>
      <c r="X562" s="742">
        <f t="shared" si="97"/>
        <v>47553.333333333343</v>
      </c>
    </row>
    <row r="563" spans="1:24" ht="13.9">
      <c r="A563" s="349">
        <f t="shared" si="95"/>
        <v>555</v>
      </c>
      <c r="B563" s="393" t="s">
        <v>1973</v>
      </c>
      <c r="C563" s="394" t="s">
        <v>1967</v>
      </c>
      <c r="D563" s="349" t="s">
        <v>1945</v>
      </c>
      <c r="E563" s="393" t="s">
        <v>1978</v>
      </c>
      <c r="F563" s="399" t="s">
        <v>1980</v>
      </c>
      <c r="G563" s="403">
        <v>43047</v>
      </c>
      <c r="H563" s="397">
        <v>66000</v>
      </c>
      <c r="I563" s="353" t="s">
        <v>1379</v>
      </c>
      <c r="J563" s="353" t="s">
        <v>1379</v>
      </c>
      <c r="K563" s="354">
        <f t="shared" si="89"/>
        <v>66000</v>
      </c>
      <c r="L563" s="398">
        <v>43047</v>
      </c>
      <c r="M563" s="742">
        <v>37581.666666666664</v>
      </c>
      <c r="N563" s="352">
        <f t="shared" si="98"/>
        <v>28418.333333333336</v>
      </c>
      <c r="O563" s="357">
        <f t="shared" si="90"/>
        <v>2336</v>
      </c>
      <c r="P563" s="357">
        <v>9</v>
      </c>
      <c r="Q563" s="358">
        <f t="shared" si="88"/>
        <v>6.4</v>
      </c>
      <c r="R563" s="359">
        <f t="shared" si="91"/>
        <v>2.5999999999999996</v>
      </c>
      <c r="S563" s="360">
        <f t="shared" si="92"/>
        <v>2.5999999999999996</v>
      </c>
      <c r="T563" s="361">
        <f t="shared" si="93"/>
        <v>0.10555555555555554</v>
      </c>
      <c r="U563" s="362">
        <f t="shared" si="99"/>
        <v>6966.6666666666661</v>
      </c>
      <c r="V563" s="362">
        <f t="shared" si="96"/>
        <v>21451.666666666672</v>
      </c>
      <c r="W563" s="362">
        <f t="shared" si="94"/>
        <v>3300</v>
      </c>
      <c r="X563" s="742">
        <f t="shared" si="97"/>
        <v>18151.666666666672</v>
      </c>
    </row>
    <row r="564" spans="1:24" ht="13.9">
      <c r="A564" s="349">
        <f t="shared" si="95"/>
        <v>556</v>
      </c>
      <c r="B564" s="393" t="s">
        <v>1981</v>
      </c>
      <c r="C564" s="394" t="s">
        <v>1967</v>
      </c>
      <c r="D564" s="349" t="s">
        <v>1945</v>
      </c>
      <c r="E564" s="393" t="s">
        <v>1982</v>
      </c>
      <c r="F564" s="395">
        <v>410</v>
      </c>
      <c r="G564" s="404">
        <v>42886</v>
      </c>
      <c r="H564" s="397">
        <v>485000</v>
      </c>
      <c r="I564" s="353" t="s">
        <v>1379</v>
      </c>
      <c r="J564" s="353" t="s">
        <v>1379</v>
      </c>
      <c r="K564" s="354">
        <f t="shared" si="89"/>
        <v>485000</v>
      </c>
      <c r="L564" s="405">
        <v>42886</v>
      </c>
      <c r="M564" s="742">
        <v>298751.44444444444</v>
      </c>
      <c r="N564" s="352">
        <f t="shared" si="98"/>
        <v>186248.55555555556</v>
      </c>
      <c r="O564" s="357">
        <f t="shared" si="90"/>
        <v>2497</v>
      </c>
      <c r="P564" s="357">
        <v>9</v>
      </c>
      <c r="Q564" s="358">
        <f t="shared" si="88"/>
        <v>6.8410958904109593</v>
      </c>
      <c r="R564" s="359">
        <f t="shared" si="91"/>
        <v>2.1589041095890407</v>
      </c>
      <c r="S564" s="360">
        <f t="shared" si="92"/>
        <v>2.1589041095890407</v>
      </c>
      <c r="T564" s="361">
        <f t="shared" si="93"/>
        <v>0.10555555555555554</v>
      </c>
      <c r="U564" s="362">
        <f t="shared" si="99"/>
        <v>51194.444444444438</v>
      </c>
      <c r="V564" s="362">
        <f t="shared" si="96"/>
        <v>135054.11111111112</v>
      </c>
      <c r="W564" s="362">
        <f t="shared" si="94"/>
        <v>24250</v>
      </c>
      <c r="X564" s="742">
        <f t="shared" si="97"/>
        <v>110804.11111111112</v>
      </c>
    </row>
    <row r="565" spans="1:24" ht="13.9">
      <c r="A565" s="349">
        <f t="shared" si="95"/>
        <v>557</v>
      </c>
      <c r="B565" s="393" t="s">
        <v>1981</v>
      </c>
      <c r="C565" s="394" t="s">
        <v>1967</v>
      </c>
      <c r="D565" s="349" t="s">
        <v>1945</v>
      </c>
      <c r="E565" s="393" t="s">
        <v>1982</v>
      </c>
      <c r="F565" s="395">
        <v>465</v>
      </c>
      <c r="G565" s="404">
        <v>42905</v>
      </c>
      <c r="H565" s="397">
        <v>485000</v>
      </c>
      <c r="I565" s="353" t="s">
        <v>1379</v>
      </c>
      <c r="J565" s="353" t="s">
        <v>1379</v>
      </c>
      <c r="K565" s="354">
        <f t="shared" si="89"/>
        <v>485000</v>
      </c>
      <c r="L565" s="405">
        <v>42905</v>
      </c>
      <c r="M565" s="742">
        <v>296086.44444444444</v>
      </c>
      <c r="N565" s="352">
        <f t="shared" si="98"/>
        <v>188913.55555555556</v>
      </c>
      <c r="O565" s="357">
        <f t="shared" si="90"/>
        <v>2478</v>
      </c>
      <c r="P565" s="357">
        <v>9</v>
      </c>
      <c r="Q565" s="358">
        <f t="shared" si="88"/>
        <v>6.7890410958904113</v>
      </c>
      <c r="R565" s="359">
        <f t="shared" si="91"/>
        <v>2.2109589041095887</v>
      </c>
      <c r="S565" s="360">
        <f t="shared" si="92"/>
        <v>2.2109589041095887</v>
      </c>
      <c r="T565" s="361">
        <f t="shared" si="93"/>
        <v>0.10555555555555554</v>
      </c>
      <c r="U565" s="362">
        <f t="shared" si="99"/>
        <v>51194.444444444438</v>
      </c>
      <c r="V565" s="362">
        <f t="shared" si="96"/>
        <v>137719.11111111112</v>
      </c>
      <c r="W565" s="362">
        <f t="shared" si="94"/>
        <v>24250</v>
      </c>
      <c r="X565" s="742">
        <f t="shared" si="97"/>
        <v>113469.11111111112</v>
      </c>
    </row>
    <row r="566" spans="1:24" ht="13.9">
      <c r="A566" s="349">
        <f t="shared" si="95"/>
        <v>558</v>
      </c>
      <c r="B566" s="393" t="s">
        <v>1983</v>
      </c>
      <c r="C566" s="394" t="s">
        <v>1967</v>
      </c>
      <c r="D566" s="349" t="s">
        <v>1945</v>
      </c>
      <c r="E566" s="393" t="s">
        <v>1984</v>
      </c>
      <c r="F566" s="395">
        <v>358</v>
      </c>
      <c r="G566" s="404">
        <v>42979</v>
      </c>
      <c r="H566" s="397">
        <v>772900</v>
      </c>
      <c r="I566" s="353" t="s">
        <v>1379</v>
      </c>
      <c r="J566" s="353" t="s">
        <v>1379</v>
      </c>
      <c r="K566" s="354">
        <f t="shared" si="89"/>
        <v>772900</v>
      </c>
      <c r="L566" s="405">
        <v>42979</v>
      </c>
      <c r="M566" s="742">
        <v>455304.88888888888</v>
      </c>
      <c r="N566" s="352">
        <f t="shared" si="98"/>
        <v>317595.11111111112</v>
      </c>
      <c r="O566" s="357">
        <f t="shared" si="90"/>
        <v>2404</v>
      </c>
      <c r="P566" s="357">
        <v>9</v>
      </c>
      <c r="Q566" s="358">
        <f t="shared" si="88"/>
        <v>6.5863013698630137</v>
      </c>
      <c r="R566" s="359">
        <f t="shared" si="91"/>
        <v>2.4136986301369863</v>
      </c>
      <c r="S566" s="360">
        <f t="shared" si="92"/>
        <v>2.4136986301369863</v>
      </c>
      <c r="T566" s="361">
        <f t="shared" si="93"/>
        <v>0.10555555555555554</v>
      </c>
      <c r="U566" s="362">
        <f t="shared" si="99"/>
        <v>81583.888888888876</v>
      </c>
      <c r="V566" s="362">
        <f t="shared" si="96"/>
        <v>236011.22222222225</v>
      </c>
      <c r="W566" s="362">
        <f t="shared" si="94"/>
        <v>38645</v>
      </c>
      <c r="X566" s="742">
        <f t="shared" si="97"/>
        <v>197366.22222222225</v>
      </c>
    </row>
    <row r="567" spans="1:24" ht="13.9">
      <c r="A567" s="349">
        <f t="shared" si="95"/>
        <v>559</v>
      </c>
      <c r="B567" s="393" t="s">
        <v>1985</v>
      </c>
      <c r="C567" s="394" t="s">
        <v>1967</v>
      </c>
      <c r="D567" s="349" t="s">
        <v>1945</v>
      </c>
      <c r="E567" s="393" t="s">
        <v>1984</v>
      </c>
      <c r="F567" s="395">
        <v>1495</v>
      </c>
      <c r="G567" s="404">
        <v>43077</v>
      </c>
      <c r="H567" s="397">
        <v>622881</v>
      </c>
      <c r="I567" s="353" t="s">
        <v>1379</v>
      </c>
      <c r="J567" s="353" t="s">
        <v>1379</v>
      </c>
      <c r="K567" s="354">
        <f t="shared" si="89"/>
        <v>622881</v>
      </c>
      <c r="L567" s="405">
        <v>43077</v>
      </c>
      <c r="M567" s="742">
        <v>349277.55</v>
      </c>
      <c r="N567" s="352">
        <f t="shared" si="98"/>
        <v>273603.45</v>
      </c>
      <c r="O567" s="357">
        <f t="shared" si="90"/>
        <v>2306</v>
      </c>
      <c r="P567" s="357">
        <v>9</v>
      </c>
      <c r="Q567" s="358">
        <f t="shared" si="88"/>
        <v>6.3178082191780822</v>
      </c>
      <c r="R567" s="359">
        <f t="shared" si="91"/>
        <v>2.6821917808219178</v>
      </c>
      <c r="S567" s="360">
        <f t="shared" si="92"/>
        <v>2.6821917808219178</v>
      </c>
      <c r="T567" s="361">
        <f t="shared" si="93"/>
        <v>0.10555555555555554</v>
      </c>
      <c r="U567" s="362">
        <f t="shared" si="99"/>
        <v>65748.549999999988</v>
      </c>
      <c r="V567" s="362">
        <f t="shared" si="96"/>
        <v>207854.90000000002</v>
      </c>
      <c r="W567" s="362">
        <f t="shared" si="94"/>
        <v>31144</v>
      </c>
      <c r="X567" s="742">
        <f t="shared" si="97"/>
        <v>176710.90000000002</v>
      </c>
    </row>
    <row r="568" spans="1:24" ht="13.9">
      <c r="A568" s="349">
        <f t="shared" si="95"/>
        <v>560</v>
      </c>
      <c r="B568" s="393" t="s">
        <v>1983</v>
      </c>
      <c r="C568" s="394" t="s">
        <v>1967</v>
      </c>
      <c r="D568" s="349" t="s">
        <v>1945</v>
      </c>
      <c r="E568" s="393" t="s">
        <v>1984</v>
      </c>
      <c r="F568" s="395">
        <v>1553</v>
      </c>
      <c r="G568" s="404">
        <v>43081</v>
      </c>
      <c r="H568" s="397">
        <v>386441</v>
      </c>
      <c r="I568" s="353" t="s">
        <v>1379</v>
      </c>
      <c r="J568" s="353" t="s">
        <v>1379</v>
      </c>
      <c r="K568" s="354">
        <f t="shared" si="89"/>
        <v>386441</v>
      </c>
      <c r="L568" s="405">
        <v>43081</v>
      </c>
      <c r="M568" s="742">
        <v>216247.99444444443</v>
      </c>
      <c r="N568" s="352">
        <f t="shared" si="98"/>
        <v>170193.00555555557</v>
      </c>
      <c r="O568" s="357">
        <f t="shared" si="90"/>
        <v>2302</v>
      </c>
      <c r="P568" s="357">
        <v>9</v>
      </c>
      <c r="Q568" s="358">
        <f t="shared" si="88"/>
        <v>6.3068493150684928</v>
      </c>
      <c r="R568" s="359">
        <f t="shared" si="91"/>
        <v>2.6931506849315072</v>
      </c>
      <c r="S568" s="360">
        <f t="shared" si="92"/>
        <v>2.6931506849315072</v>
      </c>
      <c r="T568" s="361">
        <f t="shared" si="93"/>
        <v>0.10555555555555554</v>
      </c>
      <c r="U568" s="362">
        <f t="shared" si="99"/>
        <v>40790.994444444441</v>
      </c>
      <c r="V568" s="362">
        <f t="shared" si="96"/>
        <v>129402.01111111113</v>
      </c>
      <c r="W568" s="362">
        <f t="shared" si="94"/>
        <v>19322</v>
      </c>
      <c r="X568" s="742">
        <f t="shared" si="97"/>
        <v>110080.01111111113</v>
      </c>
    </row>
    <row r="569" spans="1:24" ht="13.9">
      <c r="A569" s="349">
        <f t="shared" si="95"/>
        <v>561</v>
      </c>
      <c r="B569" s="393" t="s">
        <v>1983</v>
      </c>
      <c r="C569" s="394" t="s">
        <v>1967</v>
      </c>
      <c r="D569" s="349" t="s">
        <v>1945</v>
      </c>
      <c r="E569" s="393" t="s">
        <v>1984</v>
      </c>
      <c r="F569" s="395">
        <v>1494</v>
      </c>
      <c r="G569" s="404">
        <v>43077</v>
      </c>
      <c r="H569" s="397">
        <v>386441</v>
      </c>
      <c r="I569" s="353" t="s">
        <v>1379</v>
      </c>
      <c r="J569" s="353" t="s">
        <v>1379</v>
      </c>
      <c r="K569" s="354">
        <f t="shared" si="89"/>
        <v>386441</v>
      </c>
      <c r="L569" s="405">
        <v>43077</v>
      </c>
      <c r="M569" s="742">
        <v>216694.99444444443</v>
      </c>
      <c r="N569" s="352">
        <f t="shared" si="98"/>
        <v>169746.00555555557</v>
      </c>
      <c r="O569" s="357">
        <f t="shared" si="90"/>
        <v>2306</v>
      </c>
      <c r="P569" s="357">
        <v>9</v>
      </c>
      <c r="Q569" s="358">
        <f t="shared" si="88"/>
        <v>6.3178082191780822</v>
      </c>
      <c r="R569" s="359">
        <f t="shared" si="91"/>
        <v>2.6821917808219178</v>
      </c>
      <c r="S569" s="360">
        <f t="shared" si="92"/>
        <v>2.6821917808219178</v>
      </c>
      <c r="T569" s="361">
        <f t="shared" si="93"/>
        <v>0.10555555555555554</v>
      </c>
      <c r="U569" s="362">
        <f t="shared" si="99"/>
        <v>40790.994444444441</v>
      </c>
      <c r="V569" s="362">
        <f t="shared" si="96"/>
        <v>128955.01111111113</v>
      </c>
      <c r="W569" s="362">
        <f t="shared" si="94"/>
        <v>19322</v>
      </c>
      <c r="X569" s="742">
        <f t="shared" si="97"/>
        <v>109633.01111111113</v>
      </c>
    </row>
    <row r="570" spans="1:24" ht="13.9">
      <c r="A570" s="349">
        <f t="shared" si="95"/>
        <v>562</v>
      </c>
      <c r="B570" s="393" t="s">
        <v>1983</v>
      </c>
      <c r="C570" s="394" t="s">
        <v>1967</v>
      </c>
      <c r="D570" s="349" t="s">
        <v>1945</v>
      </c>
      <c r="E570" s="393" t="s">
        <v>1984</v>
      </c>
      <c r="F570" s="395">
        <v>1734</v>
      </c>
      <c r="G570" s="404">
        <v>43096</v>
      </c>
      <c r="H570" s="397">
        <v>386441</v>
      </c>
      <c r="I570" s="353" t="s">
        <v>1379</v>
      </c>
      <c r="J570" s="353" t="s">
        <v>1379</v>
      </c>
      <c r="K570" s="354">
        <f t="shared" si="89"/>
        <v>386441</v>
      </c>
      <c r="L570" s="405">
        <v>43096</v>
      </c>
      <c r="M570" s="742">
        <v>214571.99444444443</v>
      </c>
      <c r="N570" s="352">
        <f t="shared" si="98"/>
        <v>171869.00555555557</v>
      </c>
      <c r="O570" s="357">
        <f t="shared" si="90"/>
        <v>2287</v>
      </c>
      <c r="P570" s="357">
        <v>9</v>
      </c>
      <c r="Q570" s="358">
        <f t="shared" si="88"/>
        <v>6.2657534246575342</v>
      </c>
      <c r="R570" s="359">
        <f t="shared" si="91"/>
        <v>2.7342465753424658</v>
      </c>
      <c r="S570" s="360">
        <f t="shared" si="92"/>
        <v>2.7342465753424658</v>
      </c>
      <c r="T570" s="361">
        <f t="shared" si="93"/>
        <v>0.10555555555555554</v>
      </c>
      <c r="U570" s="362">
        <f t="shared" si="99"/>
        <v>40790.994444444441</v>
      </c>
      <c r="V570" s="362">
        <f t="shared" si="96"/>
        <v>131078.01111111115</v>
      </c>
      <c r="W570" s="362">
        <f t="shared" si="94"/>
        <v>19322</v>
      </c>
      <c r="X570" s="742">
        <f t="shared" si="97"/>
        <v>111756.01111111115</v>
      </c>
    </row>
    <row r="571" spans="1:24" ht="13.9">
      <c r="A571" s="349">
        <f t="shared" si="95"/>
        <v>563</v>
      </c>
      <c r="B571" s="393" t="s">
        <v>1986</v>
      </c>
      <c r="C571" s="394" t="s">
        <v>1967</v>
      </c>
      <c r="D571" s="349" t="s">
        <v>1945</v>
      </c>
      <c r="E571" s="393" t="s">
        <v>1984</v>
      </c>
      <c r="F571" s="395">
        <v>2128</v>
      </c>
      <c r="G571" s="404">
        <v>43129</v>
      </c>
      <c r="H571" s="397">
        <v>376271</v>
      </c>
      <c r="I571" s="353" t="s">
        <v>1379</v>
      </c>
      <c r="J571" s="353" t="s">
        <v>1379</v>
      </c>
      <c r="K571" s="354">
        <f t="shared" si="89"/>
        <v>376271</v>
      </c>
      <c r="L571" s="405">
        <v>43129</v>
      </c>
      <c r="M571" s="742">
        <v>205334.49444444443</v>
      </c>
      <c r="N571" s="352">
        <f t="shared" si="98"/>
        <v>170936.50555555557</v>
      </c>
      <c r="O571" s="357">
        <f t="shared" si="90"/>
        <v>2254</v>
      </c>
      <c r="P571" s="357">
        <v>9</v>
      </c>
      <c r="Q571" s="358">
        <f t="shared" si="88"/>
        <v>6.1753424657534248</v>
      </c>
      <c r="R571" s="359">
        <f t="shared" si="91"/>
        <v>2.8246575342465752</v>
      </c>
      <c r="S571" s="360">
        <f t="shared" si="92"/>
        <v>2.8246575342465752</v>
      </c>
      <c r="T571" s="361">
        <f t="shared" si="93"/>
        <v>0.10555555555555554</v>
      </c>
      <c r="U571" s="362">
        <f t="shared" si="99"/>
        <v>39717.494444444441</v>
      </c>
      <c r="V571" s="362">
        <f t="shared" si="96"/>
        <v>131219.01111111115</v>
      </c>
      <c r="W571" s="362">
        <f t="shared" si="94"/>
        <v>18814</v>
      </c>
      <c r="X571" s="742">
        <f t="shared" si="97"/>
        <v>112405.01111111115</v>
      </c>
    </row>
    <row r="572" spans="1:24" ht="13.9">
      <c r="A572" s="349">
        <f t="shared" si="95"/>
        <v>564</v>
      </c>
      <c r="B572" s="393" t="s">
        <v>1986</v>
      </c>
      <c r="C572" s="394" t="s">
        <v>1967</v>
      </c>
      <c r="D572" s="349" t="s">
        <v>1945</v>
      </c>
      <c r="E572" s="393" t="s">
        <v>1984</v>
      </c>
      <c r="F572" s="395">
        <v>2129</v>
      </c>
      <c r="G572" s="404">
        <v>43129</v>
      </c>
      <c r="H572" s="397">
        <v>376271</v>
      </c>
      <c r="I572" s="353" t="s">
        <v>1379</v>
      </c>
      <c r="J572" s="353" t="s">
        <v>1379</v>
      </c>
      <c r="K572" s="354">
        <f t="shared" si="89"/>
        <v>376271</v>
      </c>
      <c r="L572" s="405">
        <v>43129</v>
      </c>
      <c r="M572" s="742">
        <v>205334.49444444443</v>
      </c>
      <c r="N572" s="352">
        <f t="shared" si="98"/>
        <v>170936.50555555557</v>
      </c>
      <c r="O572" s="357">
        <f t="shared" si="90"/>
        <v>2254</v>
      </c>
      <c r="P572" s="357">
        <v>9</v>
      </c>
      <c r="Q572" s="358">
        <f t="shared" si="88"/>
        <v>6.1753424657534248</v>
      </c>
      <c r="R572" s="359">
        <f t="shared" si="91"/>
        <v>2.8246575342465752</v>
      </c>
      <c r="S572" s="360">
        <f t="shared" si="92"/>
        <v>2.8246575342465752</v>
      </c>
      <c r="T572" s="361">
        <f t="shared" si="93"/>
        <v>0.10555555555555554</v>
      </c>
      <c r="U572" s="362">
        <f t="shared" si="99"/>
        <v>39717.494444444441</v>
      </c>
      <c r="V572" s="362">
        <f t="shared" si="96"/>
        <v>131219.01111111115</v>
      </c>
      <c r="W572" s="362">
        <f t="shared" si="94"/>
        <v>18814</v>
      </c>
      <c r="X572" s="742">
        <f t="shared" si="97"/>
        <v>112405.01111111115</v>
      </c>
    </row>
    <row r="573" spans="1:24" ht="13.9">
      <c r="A573" s="349">
        <f t="shared" si="95"/>
        <v>565</v>
      </c>
      <c r="B573" s="393" t="s">
        <v>1986</v>
      </c>
      <c r="C573" s="394" t="s">
        <v>1967</v>
      </c>
      <c r="D573" s="349" t="s">
        <v>1945</v>
      </c>
      <c r="E573" s="393" t="s">
        <v>1984</v>
      </c>
      <c r="F573" s="395">
        <v>2409</v>
      </c>
      <c r="G573" s="404">
        <v>43147</v>
      </c>
      <c r="H573" s="397">
        <v>376271</v>
      </c>
      <c r="I573" s="353" t="s">
        <v>1379</v>
      </c>
      <c r="J573" s="353" t="s">
        <v>1379</v>
      </c>
      <c r="K573" s="354">
        <f t="shared" si="89"/>
        <v>376271</v>
      </c>
      <c r="L573" s="405">
        <v>43147</v>
      </c>
      <c r="M573" s="742">
        <v>203375.49444444443</v>
      </c>
      <c r="N573" s="352">
        <f t="shared" si="98"/>
        <v>172895.50555555557</v>
      </c>
      <c r="O573" s="357">
        <f t="shared" si="90"/>
        <v>2236</v>
      </c>
      <c r="P573" s="357">
        <v>9</v>
      </c>
      <c r="Q573" s="358">
        <f t="shared" si="88"/>
        <v>6.1260273972602741</v>
      </c>
      <c r="R573" s="359">
        <f t="shared" si="91"/>
        <v>2.8739726027397259</v>
      </c>
      <c r="S573" s="360">
        <f t="shared" si="92"/>
        <v>2.8739726027397259</v>
      </c>
      <c r="T573" s="361">
        <f t="shared" si="93"/>
        <v>0.10555555555555554</v>
      </c>
      <c r="U573" s="362">
        <f t="shared" si="99"/>
        <v>39717.494444444441</v>
      </c>
      <c r="V573" s="362">
        <f t="shared" si="96"/>
        <v>133178.01111111115</v>
      </c>
      <c r="W573" s="362">
        <f t="shared" si="94"/>
        <v>18814</v>
      </c>
      <c r="X573" s="742">
        <f t="shared" si="97"/>
        <v>114364.01111111115</v>
      </c>
    </row>
    <row r="574" spans="1:24" ht="13.9">
      <c r="A574" s="349">
        <f t="shared" si="95"/>
        <v>566</v>
      </c>
      <c r="B574" s="393" t="s">
        <v>957</v>
      </c>
      <c r="C574" s="394" t="s">
        <v>1971</v>
      </c>
      <c r="D574" s="349" t="s">
        <v>1945</v>
      </c>
      <c r="E574" s="393" t="s">
        <v>1987</v>
      </c>
      <c r="F574" s="395">
        <v>16810602</v>
      </c>
      <c r="G574" s="404">
        <v>43008</v>
      </c>
      <c r="H574" s="397">
        <v>2413367</v>
      </c>
      <c r="I574" s="353" t="s">
        <v>1379</v>
      </c>
      <c r="J574" s="353" t="s">
        <v>1379</v>
      </c>
      <c r="K574" s="354">
        <f t="shared" si="89"/>
        <v>2413367</v>
      </c>
      <c r="L574" s="405">
        <v>43008</v>
      </c>
      <c r="M574" s="742">
        <v>1401442.2944444444</v>
      </c>
      <c r="N574" s="352">
        <f t="shared" si="98"/>
        <v>1011924.7055555556</v>
      </c>
      <c r="O574" s="357">
        <f t="shared" si="90"/>
        <v>2375</v>
      </c>
      <c r="P574" s="357">
        <v>9</v>
      </c>
      <c r="Q574" s="358">
        <f t="shared" si="88"/>
        <v>6.506849315068493</v>
      </c>
      <c r="R574" s="359">
        <f t="shared" si="91"/>
        <v>2.493150684931507</v>
      </c>
      <c r="S574" s="360">
        <f t="shared" si="92"/>
        <v>2.493150684931507</v>
      </c>
      <c r="T574" s="361">
        <f t="shared" si="93"/>
        <v>0.10555555555555554</v>
      </c>
      <c r="U574" s="362">
        <f t="shared" si="99"/>
        <v>254744.29444444441</v>
      </c>
      <c r="V574" s="362">
        <f t="shared" si="96"/>
        <v>757180.41111111129</v>
      </c>
      <c r="W574" s="362">
        <f t="shared" si="94"/>
        <v>120668</v>
      </c>
      <c r="X574" s="742">
        <f t="shared" si="97"/>
        <v>636512.41111111129</v>
      </c>
    </row>
    <row r="575" spans="1:24" ht="13.9">
      <c r="A575" s="349">
        <f t="shared" si="95"/>
        <v>567</v>
      </c>
      <c r="B575" s="393" t="s">
        <v>957</v>
      </c>
      <c r="C575" s="394" t="s">
        <v>1971</v>
      </c>
      <c r="D575" s="349" t="s">
        <v>1945</v>
      </c>
      <c r="E575" s="393" t="s">
        <v>1987</v>
      </c>
      <c r="F575" s="395">
        <v>16810606</v>
      </c>
      <c r="G575" s="404">
        <v>43008</v>
      </c>
      <c r="H575" s="397">
        <v>2413367</v>
      </c>
      <c r="I575" s="353" t="s">
        <v>1379</v>
      </c>
      <c r="J575" s="353" t="s">
        <v>1379</v>
      </c>
      <c r="K575" s="354">
        <f t="shared" si="89"/>
        <v>2413367</v>
      </c>
      <c r="L575" s="405">
        <v>43008</v>
      </c>
      <c r="M575" s="742">
        <v>1401442.2944444444</v>
      </c>
      <c r="N575" s="352">
        <f t="shared" si="98"/>
        <v>1011924.7055555556</v>
      </c>
      <c r="O575" s="357">
        <f t="shared" si="90"/>
        <v>2375</v>
      </c>
      <c r="P575" s="357">
        <v>9</v>
      </c>
      <c r="Q575" s="358">
        <f t="shared" si="88"/>
        <v>6.506849315068493</v>
      </c>
      <c r="R575" s="359">
        <f t="shared" si="91"/>
        <v>2.493150684931507</v>
      </c>
      <c r="S575" s="360">
        <f t="shared" si="92"/>
        <v>2.493150684931507</v>
      </c>
      <c r="T575" s="361">
        <f t="shared" si="93"/>
        <v>0.10555555555555554</v>
      </c>
      <c r="U575" s="362">
        <f t="shared" si="99"/>
        <v>254744.29444444441</v>
      </c>
      <c r="V575" s="362">
        <f t="shared" si="96"/>
        <v>757180.41111111129</v>
      </c>
      <c r="W575" s="362">
        <f t="shared" si="94"/>
        <v>120668</v>
      </c>
      <c r="X575" s="742">
        <f t="shared" si="97"/>
        <v>636512.41111111129</v>
      </c>
    </row>
    <row r="576" spans="1:24" ht="13.9">
      <c r="A576" s="349">
        <f t="shared" si="95"/>
        <v>568</v>
      </c>
      <c r="B576" s="393" t="s">
        <v>957</v>
      </c>
      <c r="C576" s="394" t="s">
        <v>1971</v>
      </c>
      <c r="D576" s="349" t="s">
        <v>1945</v>
      </c>
      <c r="E576" s="393" t="s">
        <v>1987</v>
      </c>
      <c r="F576" s="395">
        <v>16810597</v>
      </c>
      <c r="G576" s="404">
        <v>43008</v>
      </c>
      <c r="H576" s="397">
        <v>2413367</v>
      </c>
      <c r="I576" s="353" t="s">
        <v>1379</v>
      </c>
      <c r="J576" s="353" t="s">
        <v>1379</v>
      </c>
      <c r="K576" s="354">
        <f t="shared" si="89"/>
        <v>2413367</v>
      </c>
      <c r="L576" s="405">
        <v>43008</v>
      </c>
      <c r="M576" s="742">
        <v>1401442.2944444444</v>
      </c>
      <c r="N576" s="352">
        <f t="shared" si="98"/>
        <v>1011924.7055555556</v>
      </c>
      <c r="O576" s="357">
        <f t="shared" si="90"/>
        <v>2375</v>
      </c>
      <c r="P576" s="357">
        <v>9</v>
      </c>
      <c r="Q576" s="358">
        <f t="shared" si="88"/>
        <v>6.506849315068493</v>
      </c>
      <c r="R576" s="359">
        <f t="shared" si="91"/>
        <v>2.493150684931507</v>
      </c>
      <c r="S576" s="360">
        <f t="shared" si="92"/>
        <v>2.493150684931507</v>
      </c>
      <c r="T576" s="361">
        <f t="shared" si="93"/>
        <v>0.10555555555555554</v>
      </c>
      <c r="U576" s="362">
        <f t="shared" si="99"/>
        <v>254744.29444444441</v>
      </c>
      <c r="V576" s="362">
        <f t="shared" si="96"/>
        <v>757180.41111111129</v>
      </c>
      <c r="W576" s="362">
        <f t="shared" si="94"/>
        <v>120668</v>
      </c>
      <c r="X576" s="742">
        <f t="shared" si="97"/>
        <v>636512.41111111129</v>
      </c>
    </row>
    <row r="577" spans="1:24" ht="13.9">
      <c r="A577" s="349">
        <f t="shared" si="95"/>
        <v>569</v>
      </c>
      <c r="B577" s="393" t="s">
        <v>957</v>
      </c>
      <c r="C577" s="394" t="s">
        <v>1971</v>
      </c>
      <c r="D577" s="349" t="s">
        <v>1945</v>
      </c>
      <c r="E577" s="393" t="s">
        <v>1987</v>
      </c>
      <c r="F577" s="395">
        <v>16810606</v>
      </c>
      <c r="G577" s="404">
        <v>43008</v>
      </c>
      <c r="H577" s="397">
        <v>2413367</v>
      </c>
      <c r="I577" s="353" t="s">
        <v>1379</v>
      </c>
      <c r="J577" s="353" t="s">
        <v>1379</v>
      </c>
      <c r="K577" s="354">
        <f t="shared" si="89"/>
        <v>2413367</v>
      </c>
      <c r="L577" s="405">
        <v>43008</v>
      </c>
      <c r="M577" s="742">
        <v>1401442.2944444444</v>
      </c>
      <c r="N577" s="352">
        <f t="shared" si="98"/>
        <v>1011924.7055555556</v>
      </c>
      <c r="O577" s="357">
        <f t="shared" si="90"/>
        <v>2375</v>
      </c>
      <c r="P577" s="357">
        <v>9</v>
      </c>
      <c r="Q577" s="358">
        <f t="shared" ref="Q577:Q640" si="100">+O577/365</f>
        <v>6.506849315068493</v>
      </c>
      <c r="R577" s="359">
        <f t="shared" si="91"/>
        <v>2.493150684931507</v>
      </c>
      <c r="S577" s="360">
        <f t="shared" si="92"/>
        <v>2.493150684931507</v>
      </c>
      <c r="T577" s="361">
        <f t="shared" si="93"/>
        <v>0.10555555555555554</v>
      </c>
      <c r="U577" s="362">
        <f t="shared" si="99"/>
        <v>254744.29444444441</v>
      </c>
      <c r="V577" s="362">
        <f t="shared" si="96"/>
        <v>757180.41111111129</v>
      </c>
      <c r="W577" s="362">
        <f t="shared" si="94"/>
        <v>120668</v>
      </c>
      <c r="X577" s="742">
        <f t="shared" si="97"/>
        <v>636512.41111111129</v>
      </c>
    </row>
    <row r="578" spans="1:24" ht="13.9">
      <c r="A578" s="349">
        <f t="shared" si="95"/>
        <v>570</v>
      </c>
      <c r="B578" s="393" t="s">
        <v>957</v>
      </c>
      <c r="C578" s="394" t="s">
        <v>1971</v>
      </c>
      <c r="D578" s="349" t="s">
        <v>1945</v>
      </c>
      <c r="E578" s="393" t="s">
        <v>1987</v>
      </c>
      <c r="F578" s="395">
        <v>16810600</v>
      </c>
      <c r="G578" s="404">
        <v>43008</v>
      </c>
      <c r="H578" s="397">
        <v>2413367</v>
      </c>
      <c r="I578" s="353" t="s">
        <v>1379</v>
      </c>
      <c r="J578" s="353" t="s">
        <v>1379</v>
      </c>
      <c r="K578" s="354">
        <f t="shared" si="89"/>
        <v>2413367</v>
      </c>
      <c r="L578" s="405">
        <v>43008</v>
      </c>
      <c r="M578" s="742">
        <v>1401442.2944444444</v>
      </c>
      <c r="N578" s="352">
        <f t="shared" si="98"/>
        <v>1011924.7055555556</v>
      </c>
      <c r="O578" s="357">
        <f t="shared" si="90"/>
        <v>2375</v>
      </c>
      <c r="P578" s="357">
        <v>9</v>
      </c>
      <c r="Q578" s="358">
        <f t="shared" si="100"/>
        <v>6.506849315068493</v>
      </c>
      <c r="R578" s="359">
        <f t="shared" si="91"/>
        <v>2.493150684931507</v>
      </c>
      <c r="S578" s="360">
        <f t="shared" si="92"/>
        <v>2.493150684931507</v>
      </c>
      <c r="T578" s="361">
        <f t="shared" si="93"/>
        <v>0.10555555555555554</v>
      </c>
      <c r="U578" s="362">
        <f t="shared" si="99"/>
        <v>254744.29444444441</v>
      </c>
      <c r="V578" s="362">
        <f t="shared" si="96"/>
        <v>757180.41111111129</v>
      </c>
      <c r="W578" s="362">
        <f t="shared" si="94"/>
        <v>120668</v>
      </c>
      <c r="X578" s="742">
        <f t="shared" si="97"/>
        <v>636512.41111111129</v>
      </c>
    </row>
    <row r="579" spans="1:24" ht="13.9">
      <c r="A579" s="349">
        <f t="shared" si="95"/>
        <v>571</v>
      </c>
      <c r="B579" s="393" t="s">
        <v>957</v>
      </c>
      <c r="C579" s="394" t="s">
        <v>1971</v>
      </c>
      <c r="D579" s="349" t="s">
        <v>1945</v>
      </c>
      <c r="E579" s="393" t="s">
        <v>1987</v>
      </c>
      <c r="F579" s="395">
        <v>16810604</v>
      </c>
      <c r="G579" s="404">
        <v>43008</v>
      </c>
      <c r="H579" s="397">
        <v>2413367</v>
      </c>
      <c r="I579" s="353" t="s">
        <v>1379</v>
      </c>
      <c r="J579" s="353" t="s">
        <v>1379</v>
      </c>
      <c r="K579" s="354">
        <f t="shared" si="89"/>
        <v>2413367</v>
      </c>
      <c r="L579" s="405">
        <v>43008</v>
      </c>
      <c r="M579" s="742">
        <v>1401442.2944444444</v>
      </c>
      <c r="N579" s="352">
        <f t="shared" si="98"/>
        <v>1011924.7055555556</v>
      </c>
      <c r="O579" s="357">
        <f t="shared" si="90"/>
        <v>2375</v>
      </c>
      <c r="P579" s="357">
        <v>9</v>
      </c>
      <c r="Q579" s="358">
        <f t="shared" si="100"/>
        <v>6.506849315068493</v>
      </c>
      <c r="R579" s="359">
        <f t="shared" si="91"/>
        <v>2.493150684931507</v>
      </c>
      <c r="S579" s="360">
        <f t="shared" si="92"/>
        <v>2.493150684931507</v>
      </c>
      <c r="T579" s="361">
        <f t="shared" si="93"/>
        <v>0.10555555555555554</v>
      </c>
      <c r="U579" s="362">
        <f t="shared" si="99"/>
        <v>254744.29444444441</v>
      </c>
      <c r="V579" s="362">
        <f t="shared" si="96"/>
        <v>757180.41111111129</v>
      </c>
      <c r="W579" s="362">
        <f t="shared" si="94"/>
        <v>120668</v>
      </c>
      <c r="X579" s="742">
        <f t="shared" si="97"/>
        <v>636512.41111111129</v>
      </c>
    </row>
    <row r="580" spans="1:24" ht="13.9">
      <c r="A580" s="349">
        <f t="shared" si="95"/>
        <v>572</v>
      </c>
      <c r="B580" s="393" t="s">
        <v>957</v>
      </c>
      <c r="C580" s="394" t="s">
        <v>1971</v>
      </c>
      <c r="D580" s="349" t="s">
        <v>1945</v>
      </c>
      <c r="E580" s="393" t="s">
        <v>1987</v>
      </c>
      <c r="F580" s="395">
        <v>16810598</v>
      </c>
      <c r="G580" s="404">
        <v>43008</v>
      </c>
      <c r="H580" s="397">
        <v>2413367</v>
      </c>
      <c r="I580" s="353" t="s">
        <v>1379</v>
      </c>
      <c r="J580" s="353" t="s">
        <v>1379</v>
      </c>
      <c r="K580" s="354">
        <f t="shared" si="89"/>
        <v>2413367</v>
      </c>
      <c r="L580" s="405">
        <v>43008</v>
      </c>
      <c r="M580" s="742">
        <v>1401442.2944444444</v>
      </c>
      <c r="N580" s="352">
        <f t="shared" si="98"/>
        <v>1011924.7055555556</v>
      </c>
      <c r="O580" s="357">
        <f t="shared" si="90"/>
        <v>2375</v>
      </c>
      <c r="P580" s="357">
        <v>9</v>
      </c>
      <c r="Q580" s="358">
        <f t="shared" si="100"/>
        <v>6.506849315068493</v>
      </c>
      <c r="R580" s="359">
        <f t="shared" si="91"/>
        <v>2.493150684931507</v>
      </c>
      <c r="S580" s="360">
        <f t="shared" si="92"/>
        <v>2.493150684931507</v>
      </c>
      <c r="T580" s="361">
        <f t="shared" si="93"/>
        <v>0.10555555555555554</v>
      </c>
      <c r="U580" s="362">
        <f t="shared" si="99"/>
        <v>254744.29444444441</v>
      </c>
      <c r="V580" s="362">
        <f t="shared" si="96"/>
        <v>757180.41111111129</v>
      </c>
      <c r="W580" s="362">
        <f t="shared" si="94"/>
        <v>120668</v>
      </c>
      <c r="X580" s="742">
        <f t="shared" si="97"/>
        <v>636512.41111111129</v>
      </c>
    </row>
    <row r="581" spans="1:24" ht="13.9">
      <c r="A581" s="349">
        <f t="shared" si="95"/>
        <v>573</v>
      </c>
      <c r="B581" s="393" t="s">
        <v>957</v>
      </c>
      <c r="C581" s="394" t="s">
        <v>1971</v>
      </c>
      <c r="D581" s="349" t="s">
        <v>1945</v>
      </c>
      <c r="E581" s="393" t="s">
        <v>1987</v>
      </c>
      <c r="F581" s="395">
        <v>1681060</v>
      </c>
      <c r="G581" s="404">
        <v>43008</v>
      </c>
      <c r="H581" s="397">
        <v>2413367</v>
      </c>
      <c r="I581" s="353" t="s">
        <v>1379</v>
      </c>
      <c r="J581" s="353" t="s">
        <v>1379</v>
      </c>
      <c r="K581" s="354">
        <f t="shared" si="89"/>
        <v>2413367</v>
      </c>
      <c r="L581" s="405">
        <v>43008</v>
      </c>
      <c r="M581" s="742">
        <v>1401442.2944444444</v>
      </c>
      <c r="N581" s="352">
        <f t="shared" si="98"/>
        <v>1011924.7055555556</v>
      </c>
      <c r="O581" s="357">
        <f t="shared" si="90"/>
        <v>2375</v>
      </c>
      <c r="P581" s="357">
        <v>9</v>
      </c>
      <c r="Q581" s="358">
        <f t="shared" si="100"/>
        <v>6.506849315068493</v>
      </c>
      <c r="R581" s="359">
        <f t="shared" si="91"/>
        <v>2.493150684931507</v>
      </c>
      <c r="S581" s="360">
        <f t="shared" si="92"/>
        <v>2.493150684931507</v>
      </c>
      <c r="T581" s="361">
        <f t="shared" si="93"/>
        <v>0.10555555555555554</v>
      </c>
      <c r="U581" s="362">
        <f t="shared" si="99"/>
        <v>254744.29444444441</v>
      </c>
      <c r="V581" s="362">
        <f t="shared" si="96"/>
        <v>757180.41111111129</v>
      </c>
      <c r="W581" s="362">
        <f t="shared" si="94"/>
        <v>120668</v>
      </c>
      <c r="X581" s="742">
        <f t="shared" si="97"/>
        <v>636512.41111111129</v>
      </c>
    </row>
    <row r="582" spans="1:24" ht="13.9">
      <c r="A582" s="349">
        <f t="shared" si="95"/>
        <v>574</v>
      </c>
      <c r="B582" s="393" t="s">
        <v>957</v>
      </c>
      <c r="C582" s="394" t="s">
        <v>1971</v>
      </c>
      <c r="D582" s="349" t="s">
        <v>1945</v>
      </c>
      <c r="E582" s="393" t="s">
        <v>1987</v>
      </c>
      <c r="F582" s="395">
        <v>16810602</v>
      </c>
      <c r="G582" s="404">
        <v>43008</v>
      </c>
      <c r="H582" s="397">
        <v>2413367</v>
      </c>
      <c r="I582" s="353" t="s">
        <v>1379</v>
      </c>
      <c r="J582" s="353" t="s">
        <v>1379</v>
      </c>
      <c r="K582" s="354">
        <f t="shared" ref="K582:K645" si="101">+H582+I582-J582</f>
        <v>2413367</v>
      </c>
      <c r="L582" s="405">
        <v>43008</v>
      </c>
      <c r="M582" s="742">
        <v>1401442.2944444444</v>
      </c>
      <c r="N582" s="352">
        <f t="shared" si="98"/>
        <v>1011924.7055555556</v>
      </c>
      <c r="O582" s="357">
        <f t="shared" ref="O582:O645" si="102">+$O$3-L582+1</f>
        <v>2375</v>
      </c>
      <c r="P582" s="357">
        <v>9</v>
      </c>
      <c r="Q582" s="358">
        <f t="shared" si="100"/>
        <v>6.506849315068493</v>
      </c>
      <c r="R582" s="359">
        <f t="shared" ref="R582:R645" si="103">+P582-Q582</f>
        <v>2.493150684931507</v>
      </c>
      <c r="S582" s="360">
        <f t="shared" ref="S582:S645" si="104">IF(R582&lt;0,0,IF(R582&gt;365,365,R582))</f>
        <v>2.493150684931507</v>
      </c>
      <c r="T582" s="361">
        <f t="shared" ref="T582:T645" si="105">1/P582*0.95</f>
        <v>0.10555555555555554</v>
      </c>
      <c r="U582" s="362">
        <f t="shared" si="99"/>
        <v>254744.29444444441</v>
      </c>
      <c r="V582" s="362">
        <f t="shared" si="96"/>
        <v>757180.41111111129</v>
      </c>
      <c r="W582" s="362">
        <f t="shared" ref="W582:W645" si="106">ROUND(+H582*5%,0)</f>
        <v>120668</v>
      </c>
      <c r="X582" s="742">
        <f t="shared" si="97"/>
        <v>636512.41111111129</v>
      </c>
    </row>
    <row r="583" spans="1:24" ht="13.9">
      <c r="A583" s="349">
        <f t="shared" si="95"/>
        <v>575</v>
      </c>
      <c r="B583" s="393" t="s">
        <v>957</v>
      </c>
      <c r="C583" s="394" t="s">
        <v>1971</v>
      </c>
      <c r="D583" s="349" t="s">
        <v>1945</v>
      </c>
      <c r="E583" s="393" t="s">
        <v>1987</v>
      </c>
      <c r="F583" s="395">
        <v>16810602</v>
      </c>
      <c r="G583" s="404">
        <v>43008</v>
      </c>
      <c r="H583" s="397">
        <v>2413367</v>
      </c>
      <c r="I583" s="353" t="s">
        <v>1379</v>
      </c>
      <c r="J583" s="353" t="s">
        <v>1379</v>
      </c>
      <c r="K583" s="354">
        <f t="shared" si="101"/>
        <v>2413367</v>
      </c>
      <c r="L583" s="405">
        <v>43008</v>
      </c>
      <c r="M583" s="742">
        <v>1401442.2944444444</v>
      </c>
      <c r="N583" s="352">
        <f t="shared" si="98"/>
        <v>1011924.7055555556</v>
      </c>
      <c r="O583" s="357">
        <f t="shared" si="102"/>
        <v>2375</v>
      </c>
      <c r="P583" s="357">
        <v>9</v>
      </c>
      <c r="Q583" s="358">
        <f t="shared" si="100"/>
        <v>6.506849315068493</v>
      </c>
      <c r="R583" s="359">
        <f t="shared" si="103"/>
        <v>2.493150684931507</v>
      </c>
      <c r="S583" s="360">
        <f t="shared" si="104"/>
        <v>2.493150684931507</v>
      </c>
      <c r="T583" s="361">
        <f t="shared" si="105"/>
        <v>0.10555555555555554</v>
      </c>
      <c r="U583" s="362">
        <f t="shared" si="99"/>
        <v>254744.29444444441</v>
      </c>
      <c r="V583" s="362">
        <f t="shared" ref="V583:V646" si="107">+N583-U583</f>
        <v>757180.41111111129</v>
      </c>
      <c r="W583" s="362">
        <f t="shared" si="106"/>
        <v>120668</v>
      </c>
      <c r="X583" s="742">
        <f t="shared" ref="X583:X646" si="108">+V583-W583</f>
        <v>636512.41111111129</v>
      </c>
    </row>
    <row r="584" spans="1:24" ht="13.9">
      <c r="A584" s="349">
        <f t="shared" si="95"/>
        <v>576</v>
      </c>
      <c r="B584" s="393" t="s">
        <v>1004</v>
      </c>
      <c r="C584" s="394" t="s">
        <v>1971</v>
      </c>
      <c r="D584" s="349" t="s">
        <v>1945</v>
      </c>
      <c r="E584" s="393" t="s">
        <v>1988</v>
      </c>
      <c r="F584" s="395">
        <v>5440</v>
      </c>
      <c r="G584" s="404">
        <v>43108</v>
      </c>
      <c r="H584" s="397">
        <v>39000</v>
      </c>
      <c r="I584" s="353" t="s">
        <v>1379</v>
      </c>
      <c r="J584" s="353" t="s">
        <v>1379</v>
      </c>
      <c r="K584" s="354">
        <f t="shared" si="101"/>
        <v>39000</v>
      </c>
      <c r="L584" s="405">
        <v>43108</v>
      </c>
      <c r="M584" s="742">
        <v>21519.666666666664</v>
      </c>
      <c r="N584" s="352">
        <f t="shared" ref="N584:N647" si="109">+K584-M584</f>
        <v>17480.333333333336</v>
      </c>
      <c r="O584" s="357">
        <f t="shared" si="102"/>
        <v>2275</v>
      </c>
      <c r="P584" s="357">
        <v>9</v>
      </c>
      <c r="Q584" s="358">
        <f t="shared" si="100"/>
        <v>6.2328767123287667</v>
      </c>
      <c r="R584" s="359">
        <f t="shared" si="103"/>
        <v>2.7671232876712333</v>
      </c>
      <c r="S584" s="360">
        <f t="shared" si="104"/>
        <v>2.7671232876712333</v>
      </c>
      <c r="T584" s="361">
        <f t="shared" si="105"/>
        <v>0.10555555555555554</v>
      </c>
      <c r="U584" s="362">
        <f t="shared" si="99"/>
        <v>4116.6666666666661</v>
      </c>
      <c r="V584" s="362">
        <f t="shared" si="107"/>
        <v>13363.66666666667</v>
      </c>
      <c r="W584" s="362">
        <f t="shared" si="106"/>
        <v>1950</v>
      </c>
      <c r="X584" s="742">
        <f t="shared" si="108"/>
        <v>11413.66666666667</v>
      </c>
    </row>
    <row r="585" spans="1:24" ht="13.9">
      <c r="A585" s="349">
        <f t="shared" si="95"/>
        <v>577</v>
      </c>
      <c r="B585" s="393" t="s">
        <v>1004</v>
      </c>
      <c r="C585" s="394" t="s">
        <v>1971</v>
      </c>
      <c r="D585" s="349" t="s">
        <v>1945</v>
      </c>
      <c r="E585" s="393" t="s">
        <v>1989</v>
      </c>
      <c r="F585" s="395">
        <v>903</v>
      </c>
      <c r="G585" s="404">
        <v>43118</v>
      </c>
      <c r="H585" s="397">
        <v>180000</v>
      </c>
      <c r="I585" s="353" t="s">
        <v>1379</v>
      </c>
      <c r="J585" s="353" t="s">
        <v>1379</v>
      </c>
      <c r="K585" s="354">
        <f t="shared" si="101"/>
        <v>180000</v>
      </c>
      <c r="L585" s="405">
        <v>43118</v>
      </c>
      <c r="M585" s="742">
        <v>98800</v>
      </c>
      <c r="N585" s="352">
        <f t="shared" si="109"/>
        <v>81200</v>
      </c>
      <c r="O585" s="357">
        <f t="shared" si="102"/>
        <v>2265</v>
      </c>
      <c r="P585" s="357">
        <v>9</v>
      </c>
      <c r="Q585" s="358">
        <f t="shared" si="100"/>
        <v>6.2054794520547949</v>
      </c>
      <c r="R585" s="359">
        <f t="shared" si="103"/>
        <v>2.7945205479452051</v>
      </c>
      <c r="S585" s="360">
        <f t="shared" si="104"/>
        <v>2.7945205479452051</v>
      </c>
      <c r="T585" s="361">
        <f t="shared" si="105"/>
        <v>0.10555555555555554</v>
      </c>
      <c r="U585" s="362">
        <f t="shared" si="99"/>
        <v>18999.999999999996</v>
      </c>
      <c r="V585" s="362">
        <f t="shared" si="107"/>
        <v>62200</v>
      </c>
      <c r="W585" s="362">
        <f t="shared" si="106"/>
        <v>9000</v>
      </c>
      <c r="X585" s="742">
        <f t="shared" si="108"/>
        <v>53200</v>
      </c>
    </row>
    <row r="586" spans="1:24" ht="13.9">
      <c r="A586" s="349">
        <f t="shared" ref="A586:A649" si="110">+A585+1</f>
        <v>578</v>
      </c>
      <c r="B586" s="393" t="s">
        <v>1990</v>
      </c>
      <c r="C586" s="394" t="s">
        <v>1971</v>
      </c>
      <c r="D586" s="349" t="s">
        <v>1945</v>
      </c>
      <c r="E586" s="393" t="s">
        <v>1991</v>
      </c>
      <c r="F586" s="395">
        <v>559</v>
      </c>
      <c r="G586" s="403">
        <v>42843</v>
      </c>
      <c r="H586" s="397">
        <v>110987</v>
      </c>
      <c r="I586" s="353" t="s">
        <v>1379</v>
      </c>
      <c r="J586" s="353" t="s">
        <v>1379</v>
      </c>
      <c r="K586" s="354">
        <f t="shared" si="101"/>
        <v>110987</v>
      </c>
      <c r="L586" s="398">
        <v>42843</v>
      </c>
      <c r="M586" s="742">
        <v>69746.294444444444</v>
      </c>
      <c r="N586" s="352">
        <f t="shared" si="109"/>
        <v>41240.705555555556</v>
      </c>
      <c r="O586" s="357">
        <f t="shared" si="102"/>
        <v>2540</v>
      </c>
      <c r="P586" s="357">
        <v>9</v>
      </c>
      <c r="Q586" s="358">
        <f t="shared" si="100"/>
        <v>6.9589041095890414</v>
      </c>
      <c r="R586" s="359">
        <f t="shared" si="103"/>
        <v>2.0410958904109586</v>
      </c>
      <c r="S586" s="360">
        <f t="shared" si="104"/>
        <v>2.0410958904109586</v>
      </c>
      <c r="T586" s="361">
        <f t="shared" si="105"/>
        <v>0.10555555555555554</v>
      </c>
      <c r="U586" s="362">
        <f t="shared" si="99"/>
        <v>11715.294444444442</v>
      </c>
      <c r="V586" s="362">
        <f t="shared" si="107"/>
        <v>29525.411111111112</v>
      </c>
      <c r="W586" s="362">
        <f t="shared" si="106"/>
        <v>5549</v>
      </c>
      <c r="X586" s="742">
        <f t="shared" si="108"/>
        <v>23976.411111111112</v>
      </c>
    </row>
    <row r="587" spans="1:24" ht="13.9">
      <c r="A587" s="349">
        <f t="shared" si="110"/>
        <v>579</v>
      </c>
      <c r="B587" s="393" t="s">
        <v>1992</v>
      </c>
      <c r="C587" s="394" t="s">
        <v>1971</v>
      </c>
      <c r="D587" s="349" t="s">
        <v>1945</v>
      </c>
      <c r="E587" s="402" t="s">
        <v>758</v>
      </c>
      <c r="F587" s="395">
        <v>570</v>
      </c>
      <c r="G587" s="403">
        <v>42853</v>
      </c>
      <c r="H587" s="397">
        <v>19322</v>
      </c>
      <c r="I587" s="353" t="s">
        <v>1379</v>
      </c>
      <c r="J587" s="353" t="s">
        <v>1379</v>
      </c>
      <c r="K587" s="354">
        <f t="shared" si="101"/>
        <v>19322</v>
      </c>
      <c r="L587" s="398">
        <v>42853</v>
      </c>
      <c r="M587" s="742">
        <v>12086.544444444444</v>
      </c>
      <c r="N587" s="352">
        <f t="shared" si="109"/>
        <v>7235.4555555555562</v>
      </c>
      <c r="O587" s="357">
        <f t="shared" si="102"/>
        <v>2530</v>
      </c>
      <c r="P587" s="357">
        <v>9</v>
      </c>
      <c r="Q587" s="358">
        <f t="shared" si="100"/>
        <v>6.9315068493150687</v>
      </c>
      <c r="R587" s="359">
        <f t="shared" si="103"/>
        <v>2.0684931506849313</v>
      </c>
      <c r="S587" s="360">
        <f t="shared" si="104"/>
        <v>2.0684931506849313</v>
      </c>
      <c r="T587" s="361">
        <f t="shared" si="105"/>
        <v>0.10555555555555554</v>
      </c>
      <c r="U587" s="362">
        <f t="shared" si="99"/>
        <v>2039.5444444444443</v>
      </c>
      <c r="V587" s="362">
        <f t="shared" si="107"/>
        <v>5195.9111111111124</v>
      </c>
      <c r="W587" s="362">
        <f t="shared" si="106"/>
        <v>966</v>
      </c>
      <c r="X587" s="742">
        <f t="shared" si="108"/>
        <v>4229.9111111111124</v>
      </c>
    </row>
    <row r="588" spans="1:24" ht="13.9">
      <c r="A588" s="349">
        <f t="shared" si="110"/>
        <v>580</v>
      </c>
      <c r="B588" s="393" t="s">
        <v>1993</v>
      </c>
      <c r="C588" s="394" t="s">
        <v>1971</v>
      </c>
      <c r="D588" s="349" t="s">
        <v>1945</v>
      </c>
      <c r="E588" s="402" t="s">
        <v>758</v>
      </c>
      <c r="F588" s="395">
        <v>589</v>
      </c>
      <c r="G588" s="403">
        <v>42866</v>
      </c>
      <c r="H588" s="397">
        <v>59540</v>
      </c>
      <c r="I588" s="353" t="s">
        <v>1379</v>
      </c>
      <c r="J588" s="353" t="s">
        <v>1379</v>
      </c>
      <c r="K588" s="354">
        <f t="shared" si="101"/>
        <v>59540</v>
      </c>
      <c r="L588" s="398">
        <v>42866</v>
      </c>
      <c r="M588" s="742">
        <v>37019.777777777781</v>
      </c>
      <c r="N588" s="352">
        <f t="shared" si="109"/>
        <v>22520.222222222219</v>
      </c>
      <c r="O588" s="357">
        <f t="shared" si="102"/>
        <v>2517</v>
      </c>
      <c r="P588" s="357">
        <v>9</v>
      </c>
      <c r="Q588" s="358">
        <f t="shared" si="100"/>
        <v>6.8958904109589039</v>
      </c>
      <c r="R588" s="359">
        <f t="shared" si="103"/>
        <v>2.1041095890410961</v>
      </c>
      <c r="S588" s="360">
        <f t="shared" si="104"/>
        <v>2.1041095890410961</v>
      </c>
      <c r="T588" s="361">
        <f t="shared" si="105"/>
        <v>0.10555555555555554</v>
      </c>
      <c r="U588" s="362">
        <f t="shared" si="99"/>
        <v>6284.7777777777774</v>
      </c>
      <c r="V588" s="362">
        <f t="shared" si="107"/>
        <v>16235.444444444442</v>
      </c>
      <c r="W588" s="362">
        <f t="shared" si="106"/>
        <v>2977</v>
      </c>
      <c r="X588" s="742">
        <f t="shared" si="108"/>
        <v>13258.444444444442</v>
      </c>
    </row>
    <row r="589" spans="1:24" ht="13.9">
      <c r="A589" s="349">
        <f t="shared" si="110"/>
        <v>581</v>
      </c>
      <c r="B589" s="393" t="s">
        <v>1994</v>
      </c>
      <c r="C589" s="394" t="s">
        <v>1971</v>
      </c>
      <c r="D589" s="349" t="s">
        <v>1945</v>
      </c>
      <c r="E589" s="402" t="s">
        <v>758</v>
      </c>
      <c r="F589" s="395">
        <v>606</v>
      </c>
      <c r="G589" s="403">
        <v>42895</v>
      </c>
      <c r="H589" s="397">
        <v>11335</v>
      </c>
      <c r="I589" s="353" t="s">
        <v>1379</v>
      </c>
      <c r="J589" s="353" t="s">
        <v>1379</v>
      </c>
      <c r="K589" s="354">
        <f t="shared" si="101"/>
        <v>11335</v>
      </c>
      <c r="L589" s="398">
        <v>42895</v>
      </c>
      <c r="M589" s="742">
        <v>6952.4722222222226</v>
      </c>
      <c r="N589" s="352">
        <f t="shared" si="109"/>
        <v>4382.5277777777774</v>
      </c>
      <c r="O589" s="357">
        <f t="shared" si="102"/>
        <v>2488</v>
      </c>
      <c r="P589" s="357">
        <v>9</v>
      </c>
      <c r="Q589" s="358">
        <f t="shared" si="100"/>
        <v>6.816438356164384</v>
      </c>
      <c r="R589" s="359">
        <f t="shared" si="103"/>
        <v>2.183561643835616</v>
      </c>
      <c r="S589" s="360">
        <f t="shared" si="104"/>
        <v>2.183561643835616</v>
      </c>
      <c r="T589" s="361">
        <f t="shared" si="105"/>
        <v>0.10555555555555554</v>
      </c>
      <c r="U589" s="362">
        <f t="shared" si="99"/>
        <v>1196.4722222222222</v>
      </c>
      <c r="V589" s="362">
        <f t="shared" si="107"/>
        <v>3186.0555555555552</v>
      </c>
      <c r="W589" s="362">
        <f t="shared" si="106"/>
        <v>567</v>
      </c>
      <c r="X589" s="742">
        <f t="shared" si="108"/>
        <v>2619.0555555555552</v>
      </c>
    </row>
    <row r="590" spans="1:24" ht="13.9">
      <c r="A590" s="349">
        <f t="shared" si="110"/>
        <v>582</v>
      </c>
      <c r="B590" s="393" t="s">
        <v>1995</v>
      </c>
      <c r="C590" s="394" t="s">
        <v>1971</v>
      </c>
      <c r="D590" s="349" t="s">
        <v>1945</v>
      </c>
      <c r="E590" s="402" t="s">
        <v>758</v>
      </c>
      <c r="F590" s="395">
        <v>58</v>
      </c>
      <c r="G590" s="403">
        <v>43005</v>
      </c>
      <c r="H590" s="397">
        <v>13910</v>
      </c>
      <c r="I590" s="353" t="s">
        <v>1379</v>
      </c>
      <c r="J590" s="353" t="s">
        <v>1379</v>
      </c>
      <c r="K590" s="354">
        <f t="shared" si="101"/>
        <v>13910</v>
      </c>
      <c r="L590" s="398">
        <v>43005</v>
      </c>
      <c r="M590" s="742">
        <v>8089.2777777777774</v>
      </c>
      <c r="N590" s="352">
        <f t="shared" si="109"/>
        <v>5820.7222222222226</v>
      </c>
      <c r="O590" s="357">
        <f t="shared" si="102"/>
        <v>2378</v>
      </c>
      <c r="P590" s="357">
        <v>9</v>
      </c>
      <c r="Q590" s="358">
        <f t="shared" si="100"/>
        <v>6.515068493150685</v>
      </c>
      <c r="R590" s="359">
        <f t="shared" si="103"/>
        <v>2.484931506849315</v>
      </c>
      <c r="S590" s="360">
        <f t="shared" si="104"/>
        <v>2.484931506849315</v>
      </c>
      <c r="T590" s="361">
        <f t="shared" si="105"/>
        <v>0.10555555555555554</v>
      </c>
      <c r="U590" s="362">
        <f t="shared" si="99"/>
        <v>1468.2777777777776</v>
      </c>
      <c r="V590" s="362">
        <f t="shared" si="107"/>
        <v>4352.4444444444453</v>
      </c>
      <c r="W590" s="362">
        <f t="shared" si="106"/>
        <v>696</v>
      </c>
      <c r="X590" s="742">
        <f t="shared" si="108"/>
        <v>3656.4444444444453</v>
      </c>
    </row>
    <row r="591" spans="1:24" ht="13.9">
      <c r="A591" s="349">
        <f t="shared" si="110"/>
        <v>583</v>
      </c>
      <c r="B591" s="393" t="s">
        <v>1992</v>
      </c>
      <c r="C591" s="394" t="s">
        <v>1971</v>
      </c>
      <c r="D591" s="349" t="s">
        <v>1945</v>
      </c>
      <c r="E591" s="402" t="s">
        <v>758</v>
      </c>
      <c r="F591" s="395">
        <v>95</v>
      </c>
      <c r="G591" s="403">
        <v>43045</v>
      </c>
      <c r="H591" s="397">
        <v>19000</v>
      </c>
      <c r="I591" s="353" t="s">
        <v>1379</v>
      </c>
      <c r="J591" s="353" t="s">
        <v>1379</v>
      </c>
      <c r="K591" s="354">
        <f t="shared" si="101"/>
        <v>19000</v>
      </c>
      <c r="L591" s="398">
        <v>43045</v>
      </c>
      <c r="M591" s="742">
        <v>10829.555555555555</v>
      </c>
      <c r="N591" s="352">
        <f t="shared" si="109"/>
        <v>8170.4444444444453</v>
      </c>
      <c r="O591" s="357">
        <f t="shared" si="102"/>
        <v>2338</v>
      </c>
      <c r="P591" s="357">
        <v>9</v>
      </c>
      <c r="Q591" s="358">
        <f t="shared" si="100"/>
        <v>6.4054794520547942</v>
      </c>
      <c r="R591" s="359">
        <f t="shared" si="103"/>
        <v>2.5945205479452058</v>
      </c>
      <c r="S591" s="360">
        <f t="shared" si="104"/>
        <v>2.5945205479452058</v>
      </c>
      <c r="T591" s="361">
        <f t="shared" si="105"/>
        <v>0.10555555555555554</v>
      </c>
      <c r="U591" s="362">
        <f t="shared" si="99"/>
        <v>2005.5555555555552</v>
      </c>
      <c r="V591" s="362">
        <f t="shared" si="107"/>
        <v>6164.8888888888905</v>
      </c>
      <c r="W591" s="362">
        <f t="shared" si="106"/>
        <v>950</v>
      </c>
      <c r="X591" s="742">
        <f t="shared" si="108"/>
        <v>5214.8888888888905</v>
      </c>
    </row>
    <row r="592" spans="1:24" ht="13.9">
      <c r="A592" s="349">
        <f t="shared" si="110"/>
        <v>584</v>
      </c>
      <c r="B592" s="393" t="s">
        <v>1922</v>
      </c>
      <c r="C592" s="394" t="s">
        <v>1971</v>
      </c>
      <c r="D592" s="349" t="s">
        <v>1945</v>
      </c>
      <c r="E592" s="402" t="s">
        <v>758</v>
      </c>
      <c r="F592" s="395">
        <v>168</v>
      </c>
      <c r="G592" s="403">
        <v>43102</v>
      </c>
      <c r="H592" s="397">
        <v>19000</v>
      </c>
      <c r="I592" s="353" t="s">
        <v>1379</v>
      </c>
      <c r="J592" s="353" t="s">
        <v>1379</v>
      </c>
      <c r="K592" s="354">
        <f t="shared" si="101"/>
        <v>19000</v>
      </c>
      <c r="L592" s="398">
        <v>43102</v>
      </c>
      <c r="M592" s="742">
        <v>10516.555555555555</v>
      </c>
      <c r="N592" s="352">
        <f t="shared" si="109"/>
        <v>8483.4444444444453</v>
      </c>
      <c r="O592" s="357">
        <f t="shared" si="102"/>
        <v>2281</v>
      </c>
      <c r="P592" s="357">
        <v>9</v>
      </c>
      <c r="Q592" s="358">
        <f t="shared" si="100"/>
        <v>6.2493150684931509</v>
      </c>
      <c r="R592" s="359">
        <f t="shared" si="103"/>
        <v>2.7506849315068491</v>
      </c>
      <c r="S592" s="360">
        <f t="shared" si="104"/>
        <v>2.7506849315068491</v>
      </c>
      <c r="T592" s="361">
        <f t="shared" si="105"/>
        <v>0.10555555555555554</v>
      </c>
      <c r="U592" s="362">
        <f t="shared" si="99"/>
        <v>2005.5555555555552</v>
      </c>
      <c r="V592" s="362">
        <f t="shared" si="107"/>
        <v>6477.8888888888905</v>
      </c>
      <c r="W592" s="362">
        <f t="shared" si="106"/>
        <v>950</v>
      </c>
      <c r="X592" s="742">
        <f t="shared" si="108"/>
        <v>5527.8888888888905</v>
      </c>
    </row>
    <row r="593" spans="1:24" ht="13.9">
      <c r="A593" s="349">
        <f t="shared" si="110"/>
        <v>585</v>
      </c>
      <c r="B593" s="393" t="s">
        <v>1922</v>
      </c>
      <c r="C593" s="394" t="s">
        <v>1971</v>
      </c>
      <c r="D593" s="349" t="s">
        <v>1945</v>
      </c>
      <c r="E593" s="402" t="s">
        <v>758</v>
      </c>
      <c r="F593" s="395">
        <v>187</v>
      </c>
      <c r="G593" s="403">
        <v>43132</v>
      </c>
      <c r="H593" s="397">
        <v>18900</v>
      </c>
      <c r="I593" s="353" t="s">
        <v>1379</v>
      </c>
      <c r="J593" s="353" t="s">
        <v>1379</v>
      </c>
      <c r="K593" s="354">
        <f t="shared" si="101"/>
        <v>18900</v>
      </c>
      <c r="L593" s="398">
        <v>43132</v>
      </c>
      <c r="M593" s="742">
        <v>10297</v>
      </c>
      <c r="N593" s="352">
        <f t="shared" si="109"/>
        <v>8603</v>
      </c>
      <c r="O593" s="357">
        <f t="shared" si="102"/>
        <v>2251</v>
      </c>
      <c r="P593" s="357">
        <v>9</v>
      </c>
      <c r="Q593" s="358">
        <f t="shared" si="100"/>
        <v>6.1671232876712327</v>
      </c>
      <c r="R593" s="359">
        <f t="shared" si="103"/>
        <v>2.8328767123287673</v>
      </c>
      <c r="S593" s="360">
        <f t="shared" si="104"/>
        <v>2.8328767123287673</v>
      </c>
      <c r="T593" s="361">
        <f t="shared" si="105"/>
        <v>0.10555555555555554</v>
      </c>
      <c r="U593" s="362">
        <f t="shared" si="99"/>
        <v>1994.9999999999998</v>
      </c>
      <c r="V593" s="362">
        <f t="shared" si="107"/>
        <v>6608</v>
      </c>
      <c r="W593" s="362">
        <f t="shared" si="106"/>
        <v>945</v>
      </c>
      <c r="X593" s="742">
        <f t="shared" si="108"/>
        <v>5663</v>
      </c>
    </row>
    <row r="594" spans="1:24" ht="13.9">
      <c r="A594" s="349">
        <f t="shared" si="110"/>
        <v>586</v>
      </c>
      <c r="B594" s="393" t="s">
        <v>1996</v>
      </c>
      <c r="C594" s="394" t="s">
        <v>1971</v>
      </c>
      <c r="D594" s="349" t="s">
        <v>1945</v>
      </c>
      <c r="E594" s="402" t="s">
        <v>758</v>
      </c>
      <c r="F594" s="395">
        <v>208</v>
      </c>
      <c r="G594" s="403">
        <v>43132</v>
      </c>
      <c r="H594" s="397">
        <v>79450</v>
      </c>
      <c r="I594" s="353" t="s">
        <v>1379</v>
      </c>
      <c r="J594" s="353" t="s">
        <v>1379</v>
      </c>
      <c r="K594" s="354">
        <f t="shared" si="101"/>
        <v>79450</v>
      </c>
      <c r="L594" s="398">
        <v>43132</v>
      </c>
      <c r="M594" s="742">
        <v>43287.388888888891</v>
      </c>
      <c r="N594" s="352">
        <f t="shared" si="109"/>
        <v>36162.611111111109</v>
      </c>
      <c r="O594" s="357">
        <f t="shared" si="102"/>
        <v>2251</v>
      </c>
      <c r="P594" s="357">
        <v>9</v>
      </c>
      <c r="Q594" s="358">
        <f t="shared" si="100"/>
        <v>6.1671232876712327</v>
      </c>
      <c r="R594" s="359">
        <f t="shared" si="103"/>
        <v>2.8328767123287673</v>
      </c>
      <c r="S594" s="360">
        <f t="shared" si="104"/>
        <v>2.8328767123287673</v>
      </c>
      <c r="T594" s="361">
        <f t="shared" si="105"/>
        <v>0.10555555555555554</v>
      </c>
      <c r="U594" s="362">
        <f t="shared" si="99"/>
        <v>8386.3888888888869</v>
      </c>
      <c r="V594" s="362">
        <f t="shared" si="107"/>
        <v>27776.222222222223</v>
      </c>
      <c r="W594" s="362">
        <f t="shared" si="106"/>
        <v>3973</v>
      </c>
      <c r="X594" s="742">
        <f t="shared" si="108"/>
        <v>23803.222222222223</v>
      </c>
    </row>
    <row r="595" spans="1:24" ht="13.9">
      <c r="A595" s="349">
        <f t="shared" si="110"/>
        <v>587</v>
      </c>
      <c r="B595" s="393" t="s">
        <v>1997</v>
      </c>
      <c r="C595" s="394" t="s">
        <v>1971</v>
      </c>
      <c r="D595" s="349" t="s">
        <v>1945</v>
      </c>
      <c r="E595" s="402" t="s">
        <v>758</v>
      </c>
      <c r="F595" s="395">
        <v>321</v>
      </c>
      <c r="G595" s="403">
        <v>43187</v>
      </c>
      <c r="H595" s="397">
        <v>72196</v>
      </c>
      <c r="I595" s="353" t="s">
        <v>1379</v>
      </c>
      <c r="J595" s="353" t="s">
        <v>1379</v>
      </c>
      <c r="K595" s="354">
        <f t="shared" si="101"/>
        <v>72196</v>
      </c>
      <c r="L595" s="398">
        <v>43187</v>
      </c>
      <c r="M595" s="742">
        <v>38186.688888888886</v>
      </c>
      <c r="N595" s="352">
        <f t="shared" si="109"/>
        <v>34009.311111111114</v>
      </c>
      <c r="O595" s="357">
        <f t="shared" si="102"/>
        <v>2196</v>
      </c>
      <c r="P595" s="357">
        <v>9</v>
      </c>
      <c r="Q595" s="358">
        <f t="shared" si="100"/>
        <v>6.0164383561643833</v>
      </c>
      <c r="R595" s="359">
        <f t="shared" si="103"/>
        <v>2.9835616438356167</v>
      </c>
      <c r="S595" s="360">
        <f t="shared" si="104"/>
        <v>2.9835616438356167</v>
      </c>
      <c r="T595" s="361">
        <f t="shared" si="105"/>
        <v>0.10555555555555554</v>
      </c>
      <c r="U595" s="362">
        <f t="shared" si="99"/>
        <v>7620.688888888888</v>
      </c>
      <c r="V595" s="362">
        <f t="shared" si="107"/>
        <v>26388.622222222228</v>
      </c>
      <c r="W595" s="362">
        <f t="shared" si="106"/>
        <v>3610</v>
      </c>
      <c r="X595" s="742">
        <f t="shared" si="108"/>
        <v>22778.622222222228</v>
      </c>
    </row>
    <row r="596" spans="1:24" ht="13.9">
      <c r="A596" s="349">
        <f t="shared" si="110"/>
        <v>588</v>
      </c>
      <c r="B596" s="393" t="s">
        <v>1998</v>
      </c>
      <c r="C596" s="394" t="s">
        <v>27</v>
      </c>
      <c r="D596" s="349" t="s">
        <v>1945</v>
      </c>
      <c r="E596" s="393" t="s">
        <v>423</v>
      </c>
      <c r="F596" s="395" t="s">
        <v>1999</v>
      </c>
      <c r="G596" s="403">
        <v>42852</v>
      </c>
      <c r="H596" s="397">
        <v>48144</v>
      </c>
      <c r="I596" s="353" t="s">
        <v>1379</v>
      </c>
      <c r="J596" s="353" t="s">
        <v>1379</v>
      </c>
      <c r="K596" s="354">
        <f t="shared" si="101"/>
        <v>48144</v>
      </c>
      <c r="L596" s="398">
        <v>42852</v>
      </c>
      <c r="M596" s="742">
        <v>30128.866666666665</v>
      </c>
      <c r="N596" s="352">
        <f t="shared" si="109"/>
        <v>18015.133333333335</v>
      </c>
      <c r="O596" s="357">
        <f t="shared" si="102"/>
        <v>2531</v>
      </c>
      <c r="P596" s="357">
        <v>9</v>
      </c>
      <c r="Q596" s="358">
        <f t="shared" si="100"/>
        <v>6.934246575342466</v>
      </c>
      <c r="R596" s="359">
        <f t="shared" si="103"/>
        <v>2.065753424657534</v>
      </c>
      <c r="S596" s="360">
        <f t="shared" si="104"/>
        <v>2.065753424657534</v>
      </c>
      <c r="T596" s="361">
        <f t="shared" si="105"/>
        <v>0.10555555555555554</v>
      </c>
      <c r="U596" s="362">
        <f t="shared" si="99"/>
        <v>5081.8666666666659</v>
      </c>
      <c r="V596" s="362">
        <f t="shared" si="107"/>
        <v>12933.26666666667</v>
      </c>
      <c r="W596" s="362">
        <f t="shared" si="106"/>
        <v>2407</v>
      </c>
      <c r="X596" s="742">
        <f t="shared" si="108"/>
        <v>10526.26666666667</v>
      </c>
    </row>
    <row r="597" spans="1:24" ht="13.9">
      <c r="A597" s="349">
        <f t="shared" si="110"/>
        <v>589</v>
      </c>
      <c r="B597" s="393" t="s">
        <v>2000</v>
      </c>
      <c r="C597" s="394" t="s">
        <v>27</v>
      </c>
      <c r="D597" s="349" t="s">
        <v>1945</v>
      </c>
      <c r="E597" s="393" t="s">
        <v>169</v>
      </c>
      <c r="F597" s="395">
        <v>1808</v>
      </c>
      <c r="G597" s="403">
        <v>43077</v>
      </c>
      <c r="H597" s="397">
        <v>21000</v>
      </c>
      <c r="I597" s="353" t="s">
        <v>1379</v>
      </c>
      <c r="J597" s="353" t="s">
        <v>1379</v>
      </c>
      <c r="K597" s="354">
        <f t="shared" si="101"/>
        <v>21000</v>
      </c>
      <c r="L597" s="398">
        <v>43077</v>
      </c>
      <c r="M597" s="742">
        <v>11775.666666666666</v>
      </c>
      <c r="N597" s="352">
        <f t="shared" si="109"/>
        <v>9224.3333333333339</v>
      </c>
      <c r="O597" s="357">
        <f t="shared" si="102"/>
        <v>2306</v>
      </c>
      <c r="P597" s="357">
        <v>9</v>
      </c>
      <c r="Q597" s="358">
        <f t="shared" si="100"/>
        <v>6.3178082191780822</v>
      </c>
      <c r="R597" s="359">
        <f t="shared" si="103"/>
        <v>2.6821917808219178</v>
      </c>
      <c r="S597" s="360">
        <f t="shared" si="104"/>
        <v>2.6821917808219178</v>
      </c>
      <c r="T597" s="361">
        <f t="shared" si="105"/>
        <v>0.10555555555555554</v>
      </c>
      <c r="U597" s="362">
        <f t="shared" si="99"/>
        <v>2216.6666666666665</v>
      </c>
      <c r="V597" s="362">
        <f t="shared" si="107"/>
        <v>7007.6666666666679</v>
      </c>
      <c r="W597" s="362">
        <f t="shared" si="106"/>
        <v>1050</v>
      </c>
      <c r="X597" s="742">
        <f t="shared" si="108"/>
        <v>5957.6666666666679</v>
      </c>
    </row>
    <row r="598" spans="1:24" ht="13.9">
      <c r="A598" s="349">
        <f t="shared" si="110"/>
        <v>590</v>
      </c>
      <c r="B598" s="393" t="s">
        <v>2001</v>
      </c>
      <c r="C598" s="394" t="s">
        <v>27</v>
      </c>
      <c r="D598" s="349" t="s">
        <v>1945</v>
      </c>
      <c r="E598" s="393" t="s">
        <v>2002</v>
      </c>
      <c r="F598" s="395">
        <v>732</v>
      </c>
      <c r="G598" s="403">
        <v>42968</v>
      </c>
      <c r="H598" s="397">
        <v>540000</v>
      </c>
      <c r="I598" s="353" t="s">
        <v>1379</v>
      </c>
      <c r="J598" s="353" t="s">
        <v>1379</v>
      </c>
      <c r="K598" s="354">
        <f t="shared" si="101"/>
        <v>540000</v>
      </c>
      <c r="L598" s="398">
        <v>42968</v>
      </c>
      <c r="M598" s="742">
        <v>319825</v>
      </c>
      <c r="N598" s="352">
        <f t="shared" si="109"/>
        <v>220175</v>
      </c>
      <c r="O598" s="357">
        <f t="shared" si="102"/>
        <v>2415</v>
      </c>
      <c r="P598" s="357">
        <v>9</v>
      </c>
      <c r="Q598" s="358">
        <f t="shared" si="100"/>
        <v>6.6164383561643838</v>
      </c>
      <c r="R598" s="359">
        <f t="shared" si="103"/>
        <v>2.3835616438356162</v>
      </c>
      <c r="S598" s="360">
        <f t="shared" si="104"/>
        <v>2.3835616438356162</v>
      </c>
      <c r="T598" s="361">
        <f t="shared" si="105"/>
        <v>0.10555555555555554</v>
      </c>
      <c r="U598" s="362">
        <f t="shared" si="99"/>
        <v>56999.999999999993</v>
      </c>
      <c r="V598" s="362">
        <f t="shared" si="107"/>
        <v>163175</v>
      </c>
      <c r="W598" s="362">
        <f t="shared" si="106"/>
        <v>27000</v>
      </c>
      <c r="X598" s="742">
        <f t="shared" si="108"/>
        <v>136175</v>
      </c>
    </row>
    <row r="599" spans="1:24" ht="13.9">
      <c r="A599" s="349">
        <f t="shared" si="110"/>
        <v>591</v>
      </c>
      <c r="B599" s="393" t="s">
        <v>2001</v>
      </c>
      <c r="C599" s="394" t="s">
        <v>27</v>
      </c>
      <c r="D599" s="349" t="s">
        <v>1945</v>
      </c>
      <c r="E599" s="393" t="s">
        <v>2003</v>
      </c>
      <c r="F599" s="395">
        <v>69</v>
      </c>
      <c r="G599" s="403">
        <v>42994</v>
      </c>
      <c r="H599" s="397">
        <v>540000</v>
      </c>
      <c r="I599" s="353" t="s">
        <v>1379</v>
      </c>
      <c r="J599" s="353" t="s">
        <v>1379</v>
      </c>
      <c r="K599" s="354">
        <f t="shared" si="101"/>
        <v>540000</v>
      </c>
      <c r="L599" s="398">
        <v>42994</v>
      </c>
      <c r="M599" s="742">
        <v>315764</v>
      </c>
      <c r="N599" s="352">
        <f t="shared" si="109"/>
        <v>224236</v>
      </c>
      <c r="O599" s="357">
        <f t="shared" si="102"/>
        <v>2389</v>
      </c>
      <c r="P599" s="357">
        <v>9</v>
      </c>
      <c r="Q599" s="358">
        <f t="shared" si="100"/>
        <v>6.5452054794520551</v>
      </c>
      <c r="R599" s="359">
        <f t="shared" si="103"/>
        <v>2.4547945205479449</v>
      </c>
      <c r="S599" s="360">
        <f t="shared" si="104"/>
        <v>2.4547945205479449</v>
      </c>
      <c r="T599" s="361">
        <f t="shared" si="105"/>
        <v>0.10555555555555554</v>
      </c>
      <c r="U599" s="362">
        <f t="shared" si="99"/>
        <v>56999.999999999993</v>
      </c>
      <c r="V599" s="362">
        <f t="shared" si="107"/>
        <v>167236</v>
      </c>
      <c r="W599" s="362">
        <f t="shared" si="106"/>
        <v>27000</v>
      </c>
      <c r="X599" s="742">
        <f t="shared" si="108"/>
        <v>140236</v>
      </c>
    </row>
    <row r="600" spans="1:24" ht="13.9">
      <c r="A600" s="349">
        <f t="shared" si="110"/>
        <v>592</v>
      </c>
      <c r="B600" s="393" t="s">
        <v>983</v>
      </c>
      <c r="C600" s="394" t="s">
        <v>27</v>
      </c>
      <c r="D600" s="349" t="s">
        <v>1945</v>
      </c>
      <c r="E600" s="393" t="s">
        <v>2003</v>
      </c>
      <c r="F600" s="395">
        <v>404</v>
      </c>
      <c r="G600" s="403">
        <v>43044</v>
      </c>
      <c r="H600" s="397">
        <v>85000</v>
      </c>
      <c r="I600" s="353" t="s">
        <v>1379</v>
      </c>
      <c r="J600" s="353" t="s">
        <v>1379</v>
      </c>
      <c r="K600" s="354">
        <f t="shared" si="101"/>
        <v>85000</v>
      </c>
      <c r="L600" s="398">
        <v>43044</v>
      </c>
      <c r="M600" s="742">
        <v>48474.222222222219</v>
      </c>
      <c r="N600" s="352">
        <f t="shared" si="109"/>
        <v>36525.777777777781</v>
      </c>
      <c r="O600" s="357">
        <f t="shared" si="102"/>
        <v>2339</v>
      </c>
      <c r="P600" s="357">
        <v>9</v>
      </c>
      <c r="Q600" s="358">
        <f t="shared" si="100"/>
        <v>6.4082191780821915</v>
      </c>
      <c r="R600" s="359">
        <f t="shared" si="103"/>
        <v>2.5917808219178085</v>
      </c>
      <c r="S600" s="360">
        <f t="shared" si="104"/>
        <v>2.5917808219178085</v>
      </c>
      <c r="T600" s="361">
        <f t="shared" si="105"/>
        <v>0.10555555555555554</v>
      </c>
      <c r="U600" s="362">
        <f t="shared" si="99"/>
        <v>8972.2222222222208</v>
      </c>
      <c r="V600" s="362">
        <f t="shared" si="107"/>
        <v>27553.555555555562</v>
      </c>
      <c r="W600" s="362">
        <f t="shared" si="106"/>
        <v>4250</v>
      </c>
      <c r="X600" s="742">
        <f t="shared" si="108"/>
        <v>23303.555555555562</v>
      </c>
    </row>
    <row r="601" spans="1:24" ht="13.9">
      <c r="A601" s="349">
        <f t="shared" si="110"/>
        <v>593</v>
      </c>
      <c r="B601" s="393" t="s">
        <v>1942</v>
      </c>
      <c r="C601" s="394" t="s">
        <v>27</v>
      </c>
      <c r="D601" s="349" t="s">
        <v>1945</v>
      </c>
      <c r="E601" s="393" t="s">
        <v>169</v>
      </c>
      <c r="F601" s="395">
        <v>17568</v>
      </c>
      <c r="G601" s="403">
        <v>42847</v>
      </c>
      <c r="H601" s="397">
        <v>26520</v>
      </c>
      <c r="I601" s="353" t="s">
        <v>1379</v>
      </c>
      <c r="J601" s="353" t="s">
        <v>1379</v>
      </c>
      <c r="K601" s="354">
        <f t="shared" si="101"/>
        <v>26520</v>
      </c>
      <c r="L601" s="398">
        <v>42847</v>
      </c>
      <c r="M601" s="742">
        <v>16635.333333333332</v>
      </c>
      <c r="N601" s="352">
        <f t="shared" si="109"/>
        <v>9884.6666666666679</v>
      </c>
      <c r="O601" s="357">
        <f t="shared" si="102"/>
        <v>2536</v>
      </c>
      <c r="P601" s="357">
        <v>9</v>
      </c>
      <c r="Q601" s="358">
        <f t="shared" si="100"/>
        <v>6.9479452054794519</v>
      </c>
      <c r="R601" s="359">
        <f t="shared" si="103"/>
        <v>2.0520547945205481</v>
      </c>
      <c r="S601" s="360">
        <f t="shared" si="104"/>
        <v>2.0520547945205481</v>
      </c>
      <c r="T601" s="361">
        <f t="shared" si="105"/>
        <v>0.10555555555555554</v>
      </c>
      <c r="U601" s="362">
        <f t="shared" si="99"/>
        <v>2799.333333333333</v>
      </c>
      <c r="V601" s="362">
        <f t="shared" si="107"/>
        <v>7085.3333333333348</v>
      </c>
      <c r="W601" s="362">
        <f t="shared" si="106"/>
        <v>1326</v>
      </c>
      <c r="X601" s="742">
        <f t="shared" si="108"/>
        <v>5759.3333333333348</v>
      </c>
    </row>
    <row r="602" spans="1:24" ht="13.9">
      <c r="A602" s="349">
        <f t="shared" si="110"/>
        <v>594</v>
      </c>
      <c r="B602" s="393" t="s">
        <v>983</v>
      </c>
      <c r="C602" s="394" t="s">
        <v>27</v>
      </c>
      <c r="D602" s="349" t="s">
        <v>1945</v>
      </c>
      <c r="E602" s="393" t="s">
        <v>2004</v>
      </c>
      <c r="F602" s="395">
        <v>5</v>
      </c>
      <c r="G602" s="403">
        <v>42852</v>
      </c>
      <c r="H602" s="397">
        <v>867000</v>
      </c>
      <c r="I602" s="353" t="s">
        <v>1379</v>
      </c>
      <c r="J602" s="353" t="s">
        <v>1379</v>
      </c>
      <c r="K602" s="354">
        <f t="shared" si="101"/>
        <v>867000</v>
      </c>
      <c r="L602" s="398">
        <v>42852</v>
      </c>
      <c r="M602" s="742">
        <v>542580.66666666663</v>
      </c>
      <c r="N602" s="352">
        <f t="shared" si="109"/>
        <v>324419.33333333337</v>
      </c>
      <c r="O602" s="357">
        <f t="shared" si="102"/>
        <v>2531</v>
      </c>
      <c r="P602" s="357">
        <v>9</v>
      </c>
      <c r="Q602" s="358">
        <f t="shared" si="100"/>
        <v>6.934246575342466</v>
      </c>
      <c r="R602" s="359">
        <f t="shared" si="103"/>
        <v>2.065753424657534</v>
      </c>
      <c r="S602" s="360">
        <f t="shared" si="104"/>
        <v>2.065753424657534</v>
      </c>
      <c r="T602" s="361">
        <f t="shared" si="105"/>
        <v>0.10555555555555554</v>
      </c>
      <c r="U602" s="362">
        <f t="shared" si="99"/>
        <v>91516.666666666657</v>
      </c>
      <c r="V602" s="362">
        <f t="shared" si="107"/>
        <v>232902.66666666672</v>
      </c>
      <c r="W602" s="362">
        <f t="shared" si="106"/>
        <v>43350</v>
      </c>
      <c r="X602" s="742">
        <f t="shared" si="108"/>
        <v>189552.66666666672</v>
      </c>
    </row>
    <row r="603" spans="1:24" ht="13.9">
      <c r="A603" s="349">
        <f t="shared" si="110"/>
        <v>595</v>
      </c>
      <c r="B603" s="393" t="s">
        <v>2005</v>
      </c>
      <c r="C603" s="394" t="s">
        <v>27</v>
      </c>
      <c r="D603" s="349" t="s">
        <v>1945</v>
      </c>
      <c r="E603" s="393" t="s">
        <v>2006</v>
      </c>
      <c r="F603" s="395" t="s">
        <v>2007</v>
      </c>
      <c r="G603" s="403">
        <v>42980</v>
      </c>
      <c r="H603" s="397">
        <v>256800</v>
      </c>
      <c r="I603" s="353" t="s">
        <v>1379</v>
      </c>
      <c r="J603" s="353" t="s">
        <v>1379</v>
      </c>
      <c r="K603" s="354">
        <f t="shared" si="101"/>
        <v>256800</v>
      </c>
      <c r="L603" s="398">
        <v>42980</v>
      </c>
      <c r="M603" s="742">
        <v>151203.66666666666</v>
      </c>
      <c r="N603" s="352">
        <f t="shared" si="109"/>
        <v>105596.33333333334</v>
      </c>
      <c r="O603" s="357">
        <f t="shared" si="102"/>
        <v>2403</v>
      </c>
      <c r="P603" s="357">
        <v>9</v>
      </c>
      <c r="Q603" s="358">
        <f t="shared" si="100"/>
        <v>6.5835616438356164</v>
      </c>
      <c r="R603" s="359">
        <f t="shared" si="103"/>
        <v>2.4164383561643836</v>
      </c>
      <c r="S603" s="360">
        <f t="shared" si="104"/>
        <v>2.4164383561643836</v>
      </c>
      <c r="T603" s="361">
        <f t="shared" si="105"/>
        <v>0.10555555555555554</v>
      </c>
      <c r="U603" s="362">
        <f t="shared" si="99"/>
        <v>27106.666666666664</v>
      </c>
      <c r="V603" s="362">
        <f t="shared" si="107"/>
        <v>78489.666666666686</v>
      </c>
      <c r="W603" s="362">
        <f t="shared" si="106"/>
        <v>12840</v>
      </c>
      <c r="X603" s="742">
        <f t="shared" si="108"/>
        <v>65649.666666666686</v>
      </c>
    </row>
    <row r="604" spans="1:24" ht="13.9">
      <c r="A604" s="349">
        <f t="shared" si="110"/>
        <v>596</v>
      </c>
      <c r="B604" s="393" t="s">
        <v>575</v>
      </c>
      <c r="C604" s="394" t="s">
        <v>20</v>
      </c>
      <c r="D604" s="349" t="s">
        <v>1945</v>
      </c>
      <c r="E604" s="393" t="s">
        <v>2008</v>
      </c>
      <c r="F604" s="395">
        <v>1012104378</v>
      </c>
      <c r="G604" s="403">
        <v>43069</v>
      </c>
      <c r="H604" s="397">
        <v>680000</v>
      </c>
      <c r="I604" s="353" t="s">
        <v>1379</v>
      </c>
      <c r="J604" s="353" t="s">
        <v>1379</v>
      </c>
      <c r="K604" s="354">
        <f t="shared" si="101"/>
        <v>680000</v>
      </c>
      <c r="L604" s="398">
        <v>43069</v>
      </c>
      <c r="M604" s="742">
        <v>382880.77777777775</v>
      </c>
      <c r="N604" s="352">
        <f t="shared" si="109"/>
        <v>297119.22222222225</v>
      </c>
      <c r="O604" s="357">
        <f t="shared" si="102"/>
        <v>2314</v>
      </c>
      <c r="P604" s="357">
        <v>9</v>
      </c>
      <c r="Q604" s="358">
        <f t="shared" si="100"/>
        <v>6.3397260273972602</v>
      </c>
      <c r="R604" s="359">
        <f t="shared" si="103"/>
        <v>2.6602739726027398</v>
      </c>
      <c r="S604" s="360">
        <f t="shared" si="104"/>
        <v>2.6602739726027398</v>
      </c>
      <c r="T604" s="361">
        <f t="shared" si="105"/>
        <v>0.10555555555555554</v>
      </c>
      <c r="U604" s="362">
        <f t="shared" si="99"/>
        <v>71777.777777777766</v>
      </c>
      <c r="V604" s="362">
        <f t="shared" si="107"/>
        <v>225341.4444444445</v>
      </c>
      <c r="W604" s="362">
        <f t="shared" si="106"/>
        <v>34000</v>
      </c>
      <c r="X604" s="742">
        <f t="shared" si="108"/>
        <v>191341.4444444445</v>
      </c>
    </row>
    <row r="605" spans="1:24" ht="13.9">
      <c r="A605" s="349">
        <f t="shared" si="110"/>
        <v>597</v>
      </c>
      <c r="B605" s="393" t="s">
        <v>575</v>
      </c>
      <c r="C605" s="394" t="s">
        <v>20</v>
      </c>
      <c r="D605" s="349" t="s">
        <v>1945</v>
      </c>
      <c r="E605" s="393" t="s">
        <v>2008</v>
      </c>
      <c r="F605" s="395">
        <v>1012104379</v>
      </c>
      <c r="G605" s="403">
        <v>43069</v>
      </c>
      <c r="H605" s="397">
        <v>680000</v>
      </c>
      <c r="I605" s="353" t="s">
        <v>1379</v>
      </c>
      <c r="J605" s="353" t="s">
        <v>1379</v>
      </c>
      <c r="K605" s="354">
        <f t="shared" si="101"/>
        <v>680000</v>
      </c>
      <c r="L605" s="398">
        <v>43069</v>
      </c>
      <c r="M605" s="742">
        <v>382880.77777777775</v>
      </c>
      <c r="N605" s="352">
        <f t="shared" si="109"/>
        <v>297119.22222222225</v>
      </c>
      <c r="O605" s="357">
        <f t="shared" si="102"/>
        <v>2314</v>
      </c>
      <c r="P605" s="357">
        <v>9</v>
      </c>
      <c r="Q605" s="358">
        <f t="shared" si="100"/>
        <v>6.3397260273972602</v>
      </c>
      <c r="R605" s="359">
        <f t="shared" si="103"/>
        <v>2.6602739726027398</v>
      </c>
      <c r="S605" s="360">
        <f t="shared" si="104"/>
        <v>2.6602739726027398</v>
      </c>
      <c r="T605" s="361">
        <f t="shared" si="105"/>
        <v>0.10555555555555554</v>
      </c>
      <c r="U605" s="362">
        <f t="shared" si="99"/>
        <v>71777.777777777766</v>
      </c>
      <c r="V605" s="362">
        <f t="shared" si="107"/>
        <v>225341.4444444445</v>
      </c>
      <c r="W605" s="362">
        <f t="shared" si="106"/>
        <v>34000</v>
      </c>
      <c r="X605" s="742">
        <f t="shared" si="108"/>
        <v>191341.4444444445</v>
      </c>
    </row>
    <row r="606" spans="1:24" ht="13.9">
      <c r="A606" s="349">
        <f t="shared" si="110"/>
        <v>598</v>
      </c>
      <c r="B606" s="393" t="s">
        <v>575</v>
      </c>
      <c r="C606" s="394" t="s">
        <v>20</v>
      </c>
      <c r="D606" s="349" t="s">
        <v>1945</v>
      </c>
      <c r="E606" s="393" t="s">
        <v>2008</v>
      </c>
      <c r="F606" s="395">
        <v>1012104380</v>
      </c>
      <c r="G606" s="403">
        <v>43069</v>
      </c>
      <c r="H606" s="397">
        <v>680000</v>
      </c>
      <c r="I606" s="353" t="s">
        <v>1379</v>
      </c>
      <c r="J606" s="353" t="s">
        <v>1379</v>
      </c>
      <c r="K606" s="354">
        <f t="shared" si="101"/>
        <v>680000</v>
      </c>
      <c r="L606" s="398">
        <v>43069</v>
      </c>
      <c r="M606" s="742">
        <v>382880.77777777775</v>
      </c>
      <c r="N606" s="352">
        <f t="shared" si="109"/>
        <v>297119.22222222225</v>
      </c>
      <c r="O606" s="357">
        <f t="shared" si="102"/>
        <v>2314</v>
      </c>
      <c r="P606" s="357">
        <v>9</v>
      </c>
      <c r="Q606" s="358">
        <f t="shared" si="100"/>
        <v>6.3397260273972602</v>
      </c>
      <c r="R606" s="359">
        <f t="shared" si="103"/>
        <v>2.6602739726027398</v>
      </c>
      <c r="S606" s="360">
        <f t="shared" si="104"/>
        <v>2.6602739726027398</v>
      </c>
      <c r="T606" s="361">
        <f t="shared" si="105"/>
        <v>0.10555555555555554</v>
      </c>
      <c r="U606" s="362">
        <f t="shared" si="99"/>
        <v>71777.777777777766</v>
      </c>
      <c r="V606" s="362">
        <f t="shared" si="107"/>
        <v>225341.4444444445</v>
      </c>
      <c r="W606" s="362">
        <f t="shared" si="106"/>
        <v>34000</v>
      </c>
      <c r="X606" s="742">
        <f t="shared" si="108"/>
        <v>191341.4444444445</v>
      </c>
    </row>
    <row r="607" spans="1:24" ht="13.9">
      <c r="A607" s="349">
        <f t="shared" si="110"/>
        <v>599</v>
      </c>
      <c r="B607" s="393" t="s">
        <v>575</v>
      </c>
      <c r="C607" s="394" t="s">
        <v>20</v>
      </c>
      <c r="D607" s="349" t="s">
        <v>1945</v>
      </c>
      <c r="E607" s="393" t="s">
        <v>2008</v>
      </c>
      <c r="F607" s="395">
        <v>1012104381</v>
      </c>
      <c r="G607" s="403">
        <v>43069</v>
      </c>
      <c r="H607" s="397">
        <v>680000</v>
      </c>
      <c r="I607" s="353" t="s">
        <v>1379</v>
      </c>
      <c r="J607" s="353" t="s">
        <v>1379</v>
      </c>
      <c r="K607" s="354">
        <f t="shared" si="101"/>
        <v>680000</v>
      </c>
      <c r="L607" s="398">
        <v>43069</v>
      </c>
      <c r="M607" s="742">
        <v>382880.77777777775</v>
      </c>
      <c r="N607" s="352">
        <f t="shared" si="109"/>
        <v>297119.22222222225</v>
      </c>
      <c r="O607" s="357">
        <f t="shared" si="102"/>
        <v>2314</v>
      </c>
      <c r="P607" s="357">
        <v>9</v>
      </c>
      <c r="Q607" s="358">
        <f t="shared" si="100"/>
        <v>6.3397260273972602</v>
      </c>
      <c r="R607" s="359">
        <f t="shared" si="103"/>
        <v>2.6602739726027398</v>
      </c>
      <c r="S607" s="360">
        <f t="shared" si="104"/>
        <v>2.6602739726027398</v>
      </c>
      <c r="T607" s="361">
        <f t="shared" si="105"/>
        <v>0.10555555555555554</v>
      </c>
      <c r="U607" s="362">
        <f t="shared" si="99"/>
        <v>71777.777777777766</v>
      </c>
      <c r="V607" s="362">
        <f t="shared" si="107"/>
        <v>225341.4444444445</v>
      </c>
      <c r="W607" s="362">
        <f t="shared" si="106"/>
        <v>34000</v>
      </c>
      <c r="X607" s="742">
        <f t="shared" si="108"/>
        <v>191341.4444444445</v>
      </c>
    </row>
    <row r="608" spans="1:24" ht="13.9">
      <c r="A608" s="349">
        <f t="shared" si="110"/>
        <v>600</v>
      </c>
      <c r="B608" s="393" t="s">
        <v>575</v>
      </c>
      <c r="C608" s="394" t="s">
        <v>20</v>
      </c>
      <c r="D608" s="349" t="s">
        <v>1945</v>
      </c>
      <c r="E608" s="393" t="s">
        <v>2008</v>
      </c>
      <c r="F608" s="395">
        <v>1012104382</v>
      </c>
      <c r="G608" s="403">
        <v>43069</v>
      </c>
      <c r="H608" s="397">
        <v>680000</v>
      </c>
      <c r="I608" s="353" t="s">
        <v>1379</v>
      </c>
      <c r="J608" s="353" t="s">
        <v>1379</v>
      </c>
      <c r="K608" s="354">
        <f t="shared" si="101"/>
        <v>680000</v>
      </c>
      <c r="L608" s="398">
        <v>43069</v>
      </c>
      <c r="M608" s="742">
        <v>382880.77777777775</v>
      </c>
      <c r="N608" s="352">
        <f t="shared" si="109"/>
        <v>297119.22222222225</v>
      </c>
      <c r="O608" s="357">
        <f t="shared" si="102"/>
        <v>2314</v>
      </c>
      <c r="P608" s="357">
        <v>9</v>
      </c>
      <c r="Q608" s="358">
        <f t="shared" si="100"/>
        <v>6.3397260273972602</v>
      </c>
      <c r="R608" s="359">
        <f t="shared" si="103"/>
        <v>2.6602739726027398</v>
      </c>
      <c r="S608" s="360">
        <f t="shared" si="104"/>
        <v>2.6602739726027398</v>
      </c>
      <c r="T608" s="361">
        <f t="shared" si="105"/>
        <v>0.10555555555555554</v>
      </c>
      <c r="U608" s="362">
        <f t="shared" si="99"/>
        <v>71777.777777777766</v>
      </c>
      <c r="V608" s="362">
        <f t="shared" si="107"/>
        <v>225341.4444444445</v>
      </c>
      <c r="W608" s="362">
        <f t="shared" si="106"/>
        <v>34000</v>
      </c>
      <c r="X608" s="742">
        <f t="shared" si="108"/>
        <v>191341.4444444445</v>
      </c>
    </row>
    <row r="609" spans="1:24" ht="13.9">
      <c r="A609" s="349">
        <f t="shared" si="110"/>
        <v>601</v>
      </c>
      <c r="B609" s="393" t="s">
        <v>1973</v>
      </c>
      <c r="C609" s="394" t="s">
        <v>2009</v>
      </c>
      <c r="D609" s="349" t="s">
        <v>1945</v>
      </c>
      <c r="E609" s="393" t="s">
        <v>169</v>
      </c>
      <c r="F609" s="395">
        <v>2460</v>
      </c>
      <c r="G609" s="404">
        <v>43125</v>
      </c>
      <c r="H609" s="397">
        <v>65000</v>
      </c>
      <c r="I609" s="353" t="s">
        <v>1379</v>
      </c>
      <c r="J609" s="353" t="s">
        <v>1379</v>
      </c>
      <c r="K609" s="354">
        <f t="shared" si="101"/>
        <v>65000</v>
      </c>
      <c r="L609" s="405">
        <v>43125</v>
      </c>
      <c r="M609" s="742">
        <v>35546.111111111109</v>
      </c>
      <c r="N609" s="352">
        <f t="shared" si="109"/>
        <v>29453.888888888891</v>
      </c>
      <c r="O609" s="357">
        <f t="shared" si="102"/>
        <v>2258</v>
      </c>
      <c r="P609" s="357">
        <v>9</v>
      </c>
      <c r="Q609" s="358">
        <f t="shared" si="100"/>
        <v>6.1863013698630134</v>
      </c>
      <c r="R609" s="359">
        <f t="shared" si="103"/>
        <v>2.8136986301369866</v>
      </c>
      <c r="S609" s="360">
        <f t="shared" si="104"/>
        <v>2.8136986301369866</v>
      </c>
      <c r="T609" s="361">
        <f t="shared" si="105"/>
        <v>0.10555555555555554</v>
      </c>
      <c r="U609" s="362">
        <f t="shared" si="99"/>
        <v>6861.1111111111104</v>
      </c>
      <c r="V609" s="362">
        <f t="shared" si="107"/>
        <v>22592.777777777781</v>
      </c>
      <c r="W609" s="362">
        <f t="shared" si="106"/>
        <v>3250</v>
      </c>
      <c r="X609" s="742">
        <f t="shared" si="108"/>
        <v>19342.777777777781</v>
      </c>
    </row>
    <row r="610" spans="1:24" ht="13.9">
      <c r="A610" s="349">
        <f t="shared" si="110"/>
        <v>602</v>
      </c>
      <c r="B610" s="393" t="s">
        <v>1973</v>
      </c>
      <c r="C610" s="394" t="s">
        <v>2009</v>
      </c>
      <c r="D610" s="349" t="s">
        <v>1945</v>
      </c>
      <c r="E610" s="393" t="s">
        <v>169</v>
      </c>
      <c r="F610" s="395">
        <v>2824</v>
      </c>
      <c r="G610" s="404">
        <v>43152</v>
      </c>
      <c r="H610" s="397">
        <v>62750</v>
      </c>
      <c r="I610" s="353" t="s">
        <v>1379</v>
      </c>
      <c r="J610" s="353" t="s">
        <v>1379</v>
      </c>
      <c r="K610" s="354">
        <f t="shared" si="101"/>
        <v>62750</v>
      </c>
      <c r="L610" s="405">
        <v>43152</v>
      </c>
      <c r="M610" s="742">
        <v>33825.611111111109</v>
      </c>
      <c r="N610" s="352">
        <f t="shared" si="109"/>
        <v>28924.388888888891</v>
      </c>
      <c r="O610" s="357">
        <f t="shared" si="102"/>
        <v>2231</v>
      </c>
      <c r="P610" s="357">
        <v>9</v>
      </c>
      <c r="Q610" s="358">
        <f t="shared" si="100"/>
        <v>6.1123287671232873</v>
      </c>
      <c r="R610" s="359">
        <f t="shared" si="103"/>
        <v>2.8876712328767127</v>
      </c>
      <c r="S610" s="360">
        <f t="shared" si="104"/>
        <v>2.8876712328767127</v>
      </c>
      <c r="T610" s="361">
        <f t="shared" si="105"/>
        <v>0.10555555555555554</v>
      </c>
      <c r="U610" s="362">
        <f t="shared" si="99"/>
        <v>6623.6111111111104</v>
      </c>
      <c r="V610" s="362">
        <f t="shared" si="107"/>
        <v>22300.777777777781</v>
      </c>
      <c r="W610" s="362">
        <f t="shared" si="106"/>
        <v>3138</v>
      </c>
      <c r="X610" s="742">
        <f t="shared" si="108"/>
        <v>19162.777777777781</v>
      </c>
    </row>
    <row r="611" spans="1:24" ht="13.9">
      <c r="A611" s="349">
        <f t="shared" si="110"/>
        <v>603</v>
      </c>
      <c r="B611" s="393" t="s">
        <v>1942</v>
      </c>
      <c r="C611" s="394" t="s">
        <v>2009</v>
      </c>
      <c r="D611" s="349" t="s">
        <v>1945</v>
      </c>
      <c r="E611" s="393" t="s">
        <v>2010</v>
      </c>
      <c r="F611" s="395">
        <v>784</v>
      </c>
      <c r="G611" s="404">
        <v>43134</v>
      </c>
      <c r="H611" s="397">
        <v>32500</v>
      </c>
      <c r="I611" s="353" t="s">
        <v>1379</v>
      </c>
      <c r="J611" s="353" t="s">
        <v>1379</v>
      </c>
      <c r="K611" s="354">
        <f t="shared" si="101"/>
        <v>32500</v>
      </c>
      <c r="L611" s="405">
        <v>43134</v>
      </c>
      <c r="M611" s="742">
        <v>17688.555555555555</v>
      </c>
      <c r="N611" s="352">
        <f t="shared" si="109"/>
        <v>14811.444444444445</v>
      </c>
      <c r="O611" s="357">
        <f t="shared" si="102"/>
        <v>2249</v>
      </c>
      <c r="P611" s="357">
        <v>9</v>
      </c>
      <c r="Q611" s="358">
        <f t="shared" si="100"/>
        <v>6.161643835616438</v>
      </c>
      <c r="R611" s="359">
        <f t="shared" si="103"/>
        <v>2.838356164383562</v>
      </c>
      <c r="S611" s="360">
        <f t="shared" si="104"/>
        <v>2.838356164383562</v>
      </c>
      <c r="T611" s="361">
        <f t="shared" si="105"/>
        <v>0.10555555555555554</v>
      </c>
      <c r="U611" s="362">
        <f t="shared" si="99"/>
        <v>3430.5555555555552</v>
      </c>
      <c r="V611" s="362">
        <f t="shared" si="107"/>
        <v>11380.888888888891</v>
      </c>
      <c r="W611" s="362">
        <f t="shared" si="106"/>
        <v>1625</v>
      </c>
      <c r="X611" s="742">
        <f t="shared" si="108"/>
        <v>9755.8888888888905</v>
      </c>
    </row>
    <row r="612" spans="1:24" ht="13.9">
      <c r="A612" s="349">
        <f t="shared" si="110"/>
        <v>604</v>
      </c>
      <c r="B612" s="393" t="s">
        <v>2011</v>
      </c>
      <c r="C612" s="394" t="s">
        <v>2009</v>
      </c>
      <c r="D612" s="349" t="s">
        <v>1945</v>
      </c>
      <c r="E612" s="393" t="s">
        <v>169</v>
      </c>
      <c r="F612" s="395">
        <v>2661</v>
      </c>
      <c r="G612" s="404">
        <v>43140</v>
      </c>
      <c r="H612" s="397">
        <v>30200</v>
      </c>
      <c r="I612" s="353" t="s">
        <v>1379</v>
      </c>
      <c r="J612" s="353" t="s">
        <v>1379</v>
      </c>
      <c r="K612" s="354">
        <f t="shared" si="101"/>
        <v>30200</v>
      </c>
      <c r="L612" s="405">
        <v>43140</v>
      </c>
      <c r="M612" s="742">
        <v>16384.777777777777</v>
      </c>
      <c r="N612" s="352">
        <f t="shared" si="109"/>
        <v>13815.222222222223</v>
      </c>
      <c r="O612" s="357">
        <f t="shared" si="102"/>
        <v>2243</v>
      </c>
      <c r="P612" s="357">
        <v>9</v>
      </c>
      <c r="Q612" s="358">
        <f t="shared" si="100"/>
        <v>6.1452054794520548</v>
      </c>
      <c r="R612" s="359">
        <f t="shared" si="103"/>
        <v>2.8547945205479452</v>
      </c>
      <c r="S612" s="360">
        <f t="shared" si="104"/>
        <v>2.8547945205479452</v>
      </c>
      <c r="T612" s="361">
        <f t="shared" si="105"/>
        <v>0.10555555555555554</v>
      </c>
      <c r="U612" s="362">
        <f t="shared" si="99"/>
        <v>3187.7777777777774</v>
      </c>
      <c r="V612" s="362">
        <f t="shared" si="107"/>
        <v>10627.444444444445</v>
      </c>
      <c r="W612" s="362">
        <f t="shared" si="106"/>
        <v>1510</v>
      </c>
      <c r="X612" s="742">
        <f t="shared" si="108"/>
        <v>9117.4444444444453</v>
      </c>
    </row>
    <row r="613" spans="1:24" ht="13.9">
      <c r="A613" s="349">
        <f t="shared" si="110"/>
        <v>605</v>
      </c>
      <c r="B613" s="393" t="s">
        <v>2011</v>
      </c>
      <c r="C613" s="394" t="s">
        <v>2009</v>
      </c>
      <c r="D613" s="349" t="s">
        <v>1945</v>
      </c>
      <c r="E613" s="393" t="s">
        <v>169</v>
      </c>
      <c r="F613" s="395">
        <v>2859</v>
      </c>
      <c r="G613" s="404">
        <v>43155</v>
      </c>
      <c r="H613" s="397">
        <v>37718</v>
      </c>
      <c r="I613" s="353" t="s">
        <v>1379</v>
      </c>
      <c r="J613" s="353" t="s">
        <v>1379</v>
      </c>
      <c r="K613" s="354">
        <f t="shared" si="101"/>
        <v>37718</v>
      </c>
      <c r="L613" s="405">
        <v>43155</v>
      </c>
      <c r="M613" s="742">
        <v>20299.344444444443</v>
      </c>
      <c r="N613" s="352">
        <f t="shared" si="109"/>
        <v>17418.655555555557</v>
      </c>
      <c r="O613" s="357">
        <f t="shared" si="102"/>
        <v>2228</v>
      </c>
      <c r="P613" s="357">
        <v>9</v>
      </c>
      <c r="Q613" s="358">
        <f t="shared" si="100"/>
        <v>6.1041095890410961</v>
      </c>
      <c r="R613" s="359">
        <f t="shared" si="103"/>
        <v>2.8958904109589039</v>
      </c>
      <c r="S613" s="360">
        <f t="shared" si="104"/>
        <v>2.8958904109589039</v>
      </c>
      <c r="T613" s="361">
        <f t="shared" si="105"/>
        <v>0.10555555555555554</v>
      </c>
      <c r="U613" s="362">
        <f t="shared" si="99"/>
        <v>3981.344444444444</v>
      </c>
      <c r="V613" s="362">
        <f t="shared" si="107"/>
        <v>13437.311111111114</v>
      </c>
      <c r="W613" s="362">
        <f t="shared" si="106"/>
        <v>1886</v>
      </c>
      <c r="X613" s="742">
        <f t="shared" si="108"/>
        <v>11551.311111111114</v>
      </c>
    </row>
    <row r="614" spans="1:24" ht="13.9">
      <c r="A614" s="349">
        <f t="shared" si="110"/>
        <v>606</v>
      </c>
      <c r="B614" s="393" t="s">
        <v>2012</v>
      </c>
      <c r="C614" s="394" t="s">
        <v>2009</v>
      </c>
      <c r="D614" s="349" t="s">
        <v>1945</v>
      </c>
      <c r="E614" s="393" t="s">
        <v>1989</v>
      </c>
      <c r="F614" s="395">
        <v>1184</v>
      </c>
      <c r="G614" s="404">
        <v>43148</v>
      </c>
      <c r="H614" s="397">
        <v>1490000</v>
      </c>
      <c r="I614" s="353" t="s">
        <v>1379</v>
      </c>
      <c r="J614" s="353" t="s">
        <v>1379</v>
      </c>
      <c r="K614" s="354">
        <f t="shared" si="101"/>
        <v>1490000</v>
      </c>
      <c r="L614" s="405">
        <v>43148</v>
      </c>
      <c r="M614" s="742">
        <v>804917.77777777775</v>
      </c>
      <c r="N614" s="352">
        <f t="shared" si="109"/>
        <v>685082.22222222225</v>
      </c>
      <c r="O614" s="357">
        <f t="shared" si="102"/>
        <v>2235</v>
      </c>
      <c r="P614" s="357">
        <v>9</v>
      </c>
      <c r="Q614" s="358">
        <f t="shared" si="100"/>
        <v>6.1232876712328768</v>
      </c>
      <c r="R614" s="359">
        <f t="shared" si="103"/>
        <v>2.8767123287671232</v>
      </c>
      <c r="S614" s="360">
        <f t="shared" si="104"/>
        <v>2.8767123287671232</v>
      </c>
      <c r="T614" s="361">
        <f t="shared" si="105"/>
        <v>0.10555555555555554</v>
      </c>
      <c r="U614" s="362">
        <f t="shared" si="99"/>
        <v>157277.77777777775</v>
      </c>
      <c r="V614" s="362">
        <f t="shared" si="107"/>
        <v>527804.4444444445</v>
      </c>
      <c r="W614" s="362">
        <f t="shared" si="106"/>
        <v>74500</v>
      </c>
      <c r="X614" s="742">
        <f t="shared" si="108"/>
        <v>453304.4444444445</v>
      </c>
    </row>
    <row r="615" spans="1:24" ht="13.9">
      <c r="A615" s="349">
        <f t="shared" si="110"/>
        <v>607</v>
      </c>
      <c r="B615" s="393" t="s">
        <v>2013</v>
      </c>
      <c r="C615" s="394" t="s">
        <v>2009</v>
      </c>
      <c r="D615" s="349" t="s">
        <v>1945</v>
      </c>
      <c r="E615" s="393" t="s">
        <v>1989</v>
      </c>
      <c r="F615" s="395">
        <v>1151</v>
      </c>
      <c r="G615" s="404">
        <v>43145</v>
      </c>
      <c r="H615" s="397">
        <v>78000</v>
      </c>
      <c r="I615" s="353" t="s">
        <v>1379</v>
      </c>
      <c r="J615" s="353" t="s">
        <v>1379</v>
      </c>
      <c r="K615" s="354">
        <f t="shared" si="101"/>
        <v>78000</v>
      </c>
      <c r="L615" s="405">
        <v>43145</v>
      </c>
      <c r="M615" s="742">
        <v>42204.333333333328</v>
      </c>
      <c r="N615" s="352">
        <f t="shared" si="109"/>
        <v>35795.666666666672</v>
      </c>
      <c r="O615" s="357">
        <f t="shared" si="102"/>
        <v>2238</v>
      </c>
      <c r="P615" s="357">
        <v>9</v>
      </c>
      <c r="Q615" s="358">
        <f t="shared" si="100"/>
        <v>6.1315068493150688</v>
      </c>
      <c r="R615" s="359">
        <f t="shared" si="103"/>
        <v>2.8684931506849312</v>
      </c>
      <c r="S615" s="360">
        <f t="shared" si="104"/>
        <v>2.8684931506849312</v>
      </c>
      <c r="T615" s="361">
        <f t="shared" si="105"/>
        <v>0.10555555555555554</v>
      </c>
      <c r="U615" s="362">
        <f t="shared" si="99"/>
        <v>8233.3333333333321</v>
      </c>
      <c r="V615" s="362">
        <f t="shared" si="107"/>
        <v>27562.333333333339</v>
      </c>
      <c r="W615" s="362">
        <f t="shared" si="106"/>
        <v>3900</v>
      </c>
      <c r="X615" s="742">
        <f t="shared" si="108"/>
        <v>23662.333333333339</v>
      </c>
    </row>
    <row r="616" spans="1:24" ht="13.9">
      <c r="A616" s="349">
        <f t="shared" si="110"/>
        <v>608</v>
      </c>
      <c r="B616" s="393" t="s">
        <v>2012</v>
      </c>
      <c r="C616" s="394" t="s">
        <v>2009</v>
      </c>
      <c r="D616" s="349" t="s">
        <v>1945</v>
      </c>
      <c r="E616" s="393" t="s">
        <v>1989</v>
      </c>
      <c r="F616" s="395">
        <v>1184</v>
      </c>
      <c r="G616" s="404">
        <v>43148</v>
      </c>
      <c r="H616" s="397">
        <v>1560000</v>
      </c>
      <c r="I616" s="353" t="s">
        <v>1379</v>
      </c>
      <c r="J616" s="353" t="s">
        <v>1379</v>
      </c>
      <c r="K616" s="354">
        <f t="shared" si="101"/>
        <v>1560000</v>
      </c>
      <c r="L616" s="405">
        <v>43148</v>
      </c>
      <c r="M616" s="742">
        <v>842732.66666666663</v>
      </c>
      <c r="N616" s="352">
        <f t="shared" si="109"/>
        <v>717267.33333333337</v>
      </c>
      <c r="O616" s="357">
        <f t="shared" si="102"/>
        <v>2235</v>
      </c>
      <c r="P616" s="357">
        <v>9</v>
      </c>
      <c r="Q616" s="358">
        <f t="shared" si="100"/>
        <v>6.1232876712328768</v>
      </c>
      <c r="R616" s="359">
        <f t="shared" si="103"/>
        <v>2.8767123287671232</v>
      </c>
      <c r="S616" s="360">
        <f t="shared" si="104"/>
        <v>2.8767123287671232</v>
      </c>
      <c r="T616" s="361">
        <f t="shared" si="105"/>
        <v>0.10555555555555554</v>
      </c>
      <c r="U616" s="362">
        <f t="shared" si="99"/>
        <v>164666.66666666666</v>
      </c>
      <c r="V616" s="362">
        <f t="shared" si="107"/>
        <v>552600.66666666674</v>
      </c>
      <c r="W616" s="362">
        <f t="shared" si="106"/>
        <v>78000</v>
      </c>
      <c r="X616" s="742">
        <f t="shared" si="108"/>
        <v>474600.66666666674</v>
      </c>
    </row>
    <row r="617" spans="1:24" ht="13.9">
      <c r="A617" s="349">
        <f t="shared" si="110"/>
        <v>609</v>
      </c>
      <c r="B617" s="393" t="s">
        <v>2012</v>
      </c>
      <c r="C617" s="394" t="s">
        <v>2009</v>
      </c>
      <c r="D617" s="349" t="s">
        <v>1945</v>
      </c>
      <c r="E617" s="393" t="s">
        <v>1989</v>
      </c>
      <c r="F617" s="395">
        <v>1194</v>
      </c>
      <c r="G617" s="404">
        <v>43149</v>
      </c>
      <c r="H617" s="397">
        <v>1200000</v>
      </c>
      <c r="I617" s="353" t="s">
        <v>1379</v>
      </c>
      <c r="J617" s="353" t="s">
        <v>1379</v>
      </c>
      <c r="K617" s="354">
        <f t="shared" si="101"/>
        <v>1200000</v>
      </c>
      <c r="L617" s="405">
        <v>43149</v>
      </c>
      <c r="M617" s="742">
        <v>647908.66666666663</v>
      </c>
      <c r="N617" s="352">
        <f t="shared" si="109"/>
        <v>552091.33333333337</v>
      </c>
      <c r="O617" s="357">
        <f t="shared" si="102"/>
        <v>2234</v>
      </c>
      <c r="P617" s="357">
        <v>9</v>
      </c>
      <c r="Q617" s="358">
        <f t="shared" si="100"/>
        <v>6.1205479452054794</v>
      </c>
      <c r="R617" s="359">
        <f t="shared" si="103"/>
        <v>2.8794520547945206</v>
      </c>
      <c r="S617" s="360">
        <f t="shared" si="104"/>
        <v>2.8794520547945206</v>
      </c>
      <c r="T617" s="361">
        <f t="shared" si="105"/>
        <v>0.10555555555555554</v>
      </c>
      <c r="U617" s="362">
        <f t="shared" si="99"/>
        <v>126666.66666666664</v>
      </c>
      <c r="V617" s="362">
        <f t="shared" si="107"/>
        <v>425424.66666666674</v>
      </c>
      <c r="W617" s="362">
        <f t="shared" si="106"/>
        <v>60000</v>
      </c>
      <c r="X617" s="742">
        <f t="shared" si="108"/>
        <v>365424.66666666674</v>
      </c>
    </row>
    <row r="618" spans="1:24" ht="13.9">
      <c r="A618" s="349">
        <f t="shared" si="110"/>
        <v>610</v>
      </c>
      <c r="B618" s="393" t="s">
        <v>2012</v>
      </c>
      <c r="C618" s="394" t="s">
        <v>2009</v>
      </c>
      <c r="D618" s="349" t="s">
        <v>1945</v>
      </c>
      <c r="E618" s="393" t="s">
        <v>1989</v>
      </c>
      <c r="F618" s="395">
        <v>1242</v>
      </c>
      <c r="G618" s="404">
        <v>43154</v>
      </c>
      <c r="H618" s="397">
        <v>780000</v>
      </c>
      <c r="I618" s="353" t="s">
        <v>1379</v>
      </c>
      <c r="J618" s="353" t="s">
        <v>1379</v>
      </c>
      <c r="K618" s="354">
        <f t="shared" si="101"/>
        <v>780000</v>
      </c>
      <c r="L618" s="405">
        <v>43154</v>
      </c>
      <c r="M618" s="742">
        <v>420012.33333333331</v>
      </c>
      <c r="N618" s="352">
        <f t="shared" si="109"/>
        <v>359987.66666666669</v>
      </c>
      <c r="O618" s="357">
        <f t="shared" si="102"/>
        <v>2229</v>
      </c>
      <c r="P618" s="357">
        <v>9</v>
      </c>
      <c r="Q618" s="358">
        <f t="shared" si="100"/>
        <v>6.1068493150684935</v>
      </c>
      <c r="R618" s="359">
        <f t="shared" si="103"/>
        <v>2.8931506849315065</v>
      </c>
      <c r="S618" s="360">
        <f t="shared" si="104"/>
        <v>2.8931506849315065</v>
      </c>
      <c r="T618" s="361">
        <f t="shared" si="105"/>
        <v>0.10555555555555554</v>
      </c>
      <c r="U618" s="362">
        <f t="shared" ref="U618:U681" si="111">+K618*T618</f>
        <v>82333.333333333328</v>
      </c>
      <c r="V618" s="362">
        <f t="shared" si="107"/>
        <v>277654.33333333337</v>
      </c>
      <c r="W618" s="362">
        <f t="shared" si="106"/>
        <v>39000</v>
      </c>
      <c r="X618" s="742">
        <f t="shared" si="108"/>
        <v>238654.33333333337</v>
      </c>
    </row>
    <row r="619" spans="1:24" ht="13.9">
      <c r="A619" s="349">
        <f t="shared" si="110"/>
        <v>611</v>
      </c>
      <c r="B619" s="393" t="s">
        <v>2012</v>
      </c>
      <c r="C619" s="394" t="s">
        <v>2009</v>
      </c>
      <c r="D619" s="349" t="s">
        <v>1945</v>
      </c>
      <c r="E619" s="393" t="s">
        <v>1989</v>
      </c>
      <c r="F619" s="395">
        <v>474</v>
      </c>
      <c r="G619" s="404">
        <v>43069</v>
      </c>
      <c r="H619" s="397">
        <v>425000</v>
      </c>
      <c r="I619" s="353" t="s">
        <v>1379</v>
      </c>
      <c r="J619" s="353" t="s">
        <v>1379</v>
      </c>
      <c r="K619" s="354">
        <f t="shared" si="101"/>
        <v>425000</v>
      </c>
      <c r="L619" s="405">
        <v>43069</v>
      </c>
      <c r="M619" s="742">
        <v>239300.11111111109</v>
      </c>
      <c r="N619" s="352">
        <f t="shared" si="109"/>
        <v>185699.88888888891</v>
      </c>
      <c r="O619" s="357">
        <f t="shared" si="102"/>
        <v>2314</v>
      </c>
      <c r="P619" s="357">
        <v>9</v>
      </c>
      <c r="Q619" s="358">
        <f t="shared" si="100"/>
        <v>6.3397260273972602</v>
      </c>
      <c r="R619" s="359">
        <f t="shared" si="103"/>
        <v>2.6602739726027398</v>
      </c>
      <c r="S619" s="360">
        <f t="shared" si="104"/>
        <v>2.6602739726027398</v>
      </c>
      <c r="T619" s="361">
        <f t="shared" si="105"/>
        <v>0.10555555555555554</v>
      </c>
      <c r="U619" s="362">
        <f t="shared" si="111"/>
        <v>44861.111111111102</v>
      </c>
      <c r="V619" s="362">
        <f t="shared" si="107"/>
        <v>140838.77777777781</v>
      </c>
      <c r="W619" s="362">
        <f t="shared" si="106"/>
        <v>21250</v>
      </c>
      <c r="X619" s="742">
        <f t="shared" si="108"/>
        <v>119588.77777777781</v>
      </c>
    </row>
    <row r="620" spans="1:24" ht="13.9">
      <c r="A620" s="349">
        <f t="shared" si="110"/>
        <v>612</v>
      </c>
      <c r="B620" s="393" t="s">
        <v>2012</v>
      </c>
      <c r="C620" s="394" t="s">
        <v>2009</v>
      </c>
      <c r="D620" s="349" t="s">
        <v>1945</v>
      </c>
      <c r="E620" s="393" t="s">
        <v>1989</v>
      </c>
      <c r="F620" s="395">
        <v>620</v>
      </c>
      <c r="G620" s="404">
        <v>43077</v>
      </c>
      <c r="H620" s="397">
        <v>425000</v>
      </c>
      <c r="I620" s="353" t="s">
        <v>1379</v>
      </c>
      <c r="J620" s="353" t="s">
        <v>1379</v>
      </c>
      <c r="K620" s="354">
        <f t="shared" si="101"/>
        <v>425000</v>
      </c>
      <c r="L620" s="405">
        <v>43077</v>
      </c>
      <c r="M620" s="742">
        <v>238317.11111111109</v>
      </c>
      <c r="N620" s="352">
        <f t="shared" si="109"/>
        <v>186682.88888888891</v>
      </c>
      <c r="O620" s="357">
        <f t="shared" si="102"/>
        <v>2306</v>
      </c>
      <c r="P620" s="357">
        <v>9</v>
      </c>
      <c r="Q620" s="358">
        <f t="shared" si="100"/>
        <v>6.3178082191780822</v>
      </c>
      <c r="R620" s="359">
        <f t="shared" si="103"/>
        <v>2.6821917808219178</v>
      </c>
      <c r="S620" s="360">
        <f t="shared" si="104"/>
        <v>2.6821917808219178</v>
      </c>
      <c r="T620" s="361">
        <f t="shared" si="105"/>
        <v>0.10555555555555554</v>
      </c>
      <c r="U620" s="362">
        <f t="shared" si="111"/>
        <v>44861.111111111102</v>
      </c>
      <c r="V620" s="362">
        <f t="shared" si="107"/>
        <v>141821.77777777781</v>
      </c>
      <c r="W620" s="362">
        <f t="shared" si="106"/>
        <v>21250</v>
      </c>
      <c r="X620" s="742">
        <f t="shared" si="108"/>
        <v>120571.77777777781</v>
      </c>
    </row>
    <row r="621" spans="1:24" ht="13.9">
      <c r="A621" s="349">
        <f t="shared" si="110"/>
        <v>613</v>
      </c>
      <c r="B621" s="393" t="s">
        <v>1930</v>
      </c>
      <c r="C621" s="394" t="s">
        <v>2014</v>
      </c>
      <c r="D621" s="349" t="s">
        <v>1945</v>
      </c>
      <c r="E621" s="393" t="s">
        <v>2015</v>
      </c>
      <c r="F621" s="395" t="s">
        <v>2016</v>
      </c>
      <c r="G621" s="404">
        <v>43185</v>
      </c>
      <c r="H621" s="397">
        <v>5550000</v>
      </c>
      <c r="I621" s="353" t="s">
        <v>1379</v>
      </c>
      <c r="J621" s="353" t="s">
        <v>1379</v>
      </c>
      <c r="K621" s="354">
        <f t="shared" si="101"/>
        <v>5550000</v>
      </c>
      <c r="L621" s="405">
        <v>43185</v>
      </c>
      <c r="M621" s="742">
        <v>2938796.333333333</v>
      </c>
      <c r="N621" s="352">
        <f t="shared" si="109"/>
        <v>2611203.666666667</v>
      </c>
      <c r="O621" s="357">
        <f t="shared" si="102"/>
        <v>2198</v>
      </c>
      <c r="P621" s="357">
        <v>9</v>
      </c>
      <c r="Q621" s="358">
        <f t="shared" si="100"/>
        <v>6.021917808219178</v>
      </c>
      <c r="R621" s="359">
        <f t="shared" si="103"/>
        <v>2.978082191780822</v>
      </c>
      <c r="S621" s="360">
        <f t="shared" si="104"/>
        <v>2.978082191780822</v>
      </c>
      <c r="T621" s="361">
        <f t="shared" si="105"/>
        <v>0.10555555555555554</v>
      </c>
      <c r="U621" s="362">
        <f t="shared" si="111"/>
        <v>585833.33333333326</v>
      </c>
      <c r="V621" s="362">
        <f t="shared" si="107"/>
        <v>2025370.3333333337</v>
      </c>
      <c r="W621" s="362">
        <f t="shared" si="106"/>
        <v>277500</v>
      </c>
      <c r="X621" s="742">
        <f t="shared" si="108"/>
        <v>1747870.3333333337</v>
      </c>
    </row>
    <row r="622" spans="1:24" ht="13.9">
      <c r="A622" s="349">
        <f t="shared" si="110"/>
        <v>614</v>
      </c>
      <c r="B622" s="393" t="s">
        <v>1930</v>
      </c>
      <c r="C622" s="394" t="s">
        <v>2014</v>
      </c>
      <c r="D622" s="349" t="s">
        <v>1945</v>
      </c>
      <c r="E622" s="393" t="s">
        <v>2015</v>
      </c>
      <c r="F622" s="395" t="s">
        <v>2017</v>
      </c>
      <c r="G622" s="404">
        <v>43185</v>
      </c>
      <c r="H622" s="397">
        <v>5550000</v>
      </c>
      <c r="I622" s="353" t="s">
        <v>1379</v>
      </c>
      <c r="J622" s="353" t="s">
        <v>1379</v>
      </c>
      <c r="K622" s="354">
        <f t="shared" si="101"/>
        <v>5550000</v>
      </c>
      <c r="L622" s="405">
        <v>43185</v>
      </c>
      <c r="M622" s="742">
        <v>2938796.333333333</v>
      </c>
      <c r="N622" s="352">
        <f t="shared" si="109"/>
        <v>2611203.666666667</v>
      </c>
      <c r="O622" s="357">
        <f t="shared" si="102"/>
        <v>2198</v>
      </c>
      <c r="P622" s="357">
        <v>9</v>
      </c>
      <c r="Q622" s="358">
        <f t="shared" si="100"/>
        <v>6.021917808219178</v>
      </c>
      <c r="R622" s="359">
        <f t="shared" si="103"/>
        <v>2.978082191780822</v>
      </c>
      <c r="S622" s="360">
        <f t="shared" si="104"/>
        <v>2.978082191780822</v>
      </c>
      <c r="T622" s="361">
        <f t="shared" si="105"/>
        <v>0.10555555555555554</v>
      </c>
      <c r="U622" s="362">
        <f t="shared" si="111"/>
        <v>585833.33333333326</v>
      </c>
      <c r="V622" s="362">
        <f t="shared" si="107"/>
        <v>2025370.3333333337</v>
      </c>
      <c r="W622" s="362">
        <f t="shared" si="106"/>
        <v>277500</v>
      </c>
      <c r="X622" s="742">
        <f t="shared" si="108"/>
        <v>1747870.3333333337</v>
      </c>
    </row>
    <row r="623" spans="1:24" ht="13.9">
      <c r="A623" s="349">
        <f t="shared" si="110"/>
        <v>615</v>
      </c>
      <c r="B623" s="393" t="s">
        <v>578</v>
      </c>
      <c r="C623" s="394" t="s">
        <v>2014</v>
      </c>
      <c r="D623" s="349" t="s">
        <v>1945</v>
      </c>
      <c r="E623" s="393" t="s">
        <v>1948</v>
      </c>
      <c r="F623" s="395">
        <v>481</v>
      </c>
      <c r="G623" s="404">
        <v>43128</v>
      </c>
      <c r="H623" s="397">
        <v>1270000</v>
      </c>
      <c r="I623" s="353" t="s">
        <v>1379</v>
      </c>
      <c r="J623" s="353" t="s">
        <v>1379</v>
      </c>
      <c r="K623" s="354">
        <f t="shared" si="101"/>
        <v>1270000</v>
      </c>
      <c r="L623" s="405">
        <v>43128</v>
      </c>
      <c r="M623" s="742">
        <v>693416.5555555555</v>
      </c>
      <c r="N623" s="352">
        <f t="shared" si="109"/>
        <v>576583.4444444445</v>
      </c>
      <c r="O623" s="357">
        <f t="shared" si="102"/>
        <v>2255</v>
      </c>
      <c r="P623" s="357">
        <v>9</v>
      </c>
      <c r="Q623" s="358">
        <f t="shared" si="100"/>
        <v>6.1780821917808222</v>
      </c>
      <c r="R623" s="359">
        <f t="shared" si="103"/>
        <v>2.8219178082191778</v>
      </c>
      <c r="S623" s="360">
        <f t="shared" si="104"/>
        <v>2.8219178082191778</v>
      </c>
      <c r="T623" s="361">
        <f t="shared" si="105"/>
        <v>0.10555555555555554</v>
      </c>
      <c r="U623" s="362">
        <f t="shared" si="111"/>
        <v>134055.55555555553</v>
      </c>
      <c r="V623" s="362">
        <f t="shared" si="107"/>
        <v>442527.88888888899</v>
      </c>
      <c r="W623" s="362">
        <f t="shared" si="106"/>
        <v>63500</v>
      </c>
      <c r="X623" s="742">
        <f t="shared" si="108"/>
        <v>379027.88888888899</v>
      </c>
    </row>
    <row r="624" spans="1:24" ht="13.9">
      <c r="A624" s="349">
        <f t="shared" si="110"/>
        <v>616</v>
      </c>
      <c r="B624" s="393" t="s">
        <v>2018</v>
      </c>
      <c r="C624" s="394" t="s">
        <v>2014</v>
      </c>
      <c r="D624" s="349" t="s">
        <v>1945</v>
      </c>
      <c r="E624" s="393" t="s">
        <v>1948</v>
      </c>
      <c r="F624" s="395">
        <v>485</v>
      </c>
      <c r="G624" s="404">
        <v>43129</v>
      </c>
      <c r="H624" s="397">
        <v>1030000</v>
      </c>
      <c r="I624" s="353" t="s">
        <v>1379</v>
      </c>
      <c r="J624" s="353" t="s">
        <v>1379</v>
      </c>
      <c r="K624" s="354">
        <f t="shared" si="101"/>
        <v>1030000</v>
      </c>
      <c r="L624" s="405">
        <v>43129</v>
      </c>
      <c r="M624" s="742">
        <v>562079.22222222225</v>
      </c>
      <c r="N624" s="352">
        <f t="shared" si="109"/>
        <v>467920.77777777775</v>
      </c>
      <c r="O624" s="357">
        <f t="shared" si="102"/>
        <v>2254</v>
      </c>
      <c r="P624" s="357">
        <v>9</v>
      </c>
      <c r="Q624" s="358">
        <f t="shared" si="100"/>
        <v>6.1753424657534248</v>
      </c>
      <c r="R624" s="359">
        <f t="shared" si="103"/>
        <v>2.8246575342465752</v>
      </c>
      <c r="S624" s="360">
        <f t="shared" si="104"/>
        <v>2.8246575342465752</v>
      </c>
      <c r="T624" s="361">
        <f t="shared" si="105"/>
        <v>0.10555555555555554</v>
      </c>
      <c r="U624" s="362">
        <f t="shared" si="111"/>
        <v>108722.2222222222</v>
      </c>
      <c r="V624" s="362">
        <f t="shared" si="107"/>
        <v>359198.55555555556</v>
      </c>
      <c r="W624" s="362">
        <f t="shared" si="106"/>
        <v>51500</v>
      </c>
      <c r="X624" s="742">
        <f t="shared" si="108"/>
        <v>307698.55555555556</v>
      </c>
    </row>
    <row r="625" spans="1:24" ht="13.9">
      <c r="A625" s="349">
        <f t="shared" si="110"/>
        <v>617</v>
      </c>
      <c r="B625" s="393" t="s">
        <v>576</v>
      </c>
      <c r="C625" s="394" t="s">
        <v>2019</v>
      </c>
      <c r="D625" s="349" t="s">
        <v>2020</v>
      </c>
      <c r="E625" s="393" t="s">
        <v>2021</v>
      </c>
      <c r="F625" s="395"/>
      <c r="G625" s="404"/>
      <c r="H625" s="397">
        <f>+[84]addition19!M7</f>
        <v>624000</v>
      </c>
      <c r="I625" s="353"/>
      <c r="J625" s="353"/>
      <c r="K625" s="354">
        <f t="shared" si="101"/>
        <v>624000</v>
      </c>
      <c r="L625" s="398">
        <v>43315</v>
      </c>
      <c r="M625" s="742">
        <v>306956.66666666663</v>
      </c>
      <c r="N625" s="352">
        <f t="shared" si="109"/>
        <v>317043.33333333337</v>
      </c>
      <c r="O625" s="357">
        <f t="shared" si="102"/>
        <v>2068</v>
      </c>
      <c r="P625" s="357">
        <v>9</v>
      </c>
      <c r="Q625" s="358">
        <f t="shared" si="100"/>
        <v>5.6657534246575345</v>
      </c>
      <c r="R625" s="359">
        <f t="shared" si="103"/>
        <v>3.3342465753424655</v>
      </c>
      <c r="S625" s="360">
        <f t="shared" si="104"/>
        <v>3.3342465753424655</v>
      </c>
      <c r="T625" s="361">
        <f t="shared" si="105"/>
        <v>0.10555555555555554</v>
      </c>
      <c r="U625" s="362">
        <f t="shared" si="111"/>
        <v>65866.666666666657</v>
      </c>
      <c r="V625" s="362">
        <f t="shared" si="107"/>
        <v>251176.66666666672</v>
      </c>
      <c r="W625" s="362">
        <f t="shared" si="106"/>
        <v>31200</v>
      </c>
      <c r="X625" s="742">
        <f t="shared" si="108"/>
        <v>219976.66666666672</v>
      </c>
    </row>
    <row r="626" spans="1:24" ht="13.9">
      <c r="A626" s="349">
        <f t="shared" si="110"/>
        <v>618</v>
      </c>
      <c r="B626" s="393" t="s">
        <v>578</v>
      </c>
      <c r="C626" s="394" t="s">
        <v>2019</v>
      </c>
      <c r="D626" s="349" t="s">
        <v>2020</v>
      </c>
      <c r="E626" s="393" t="s">
        <v>2022</v>
      </c>
      <c r="F626" s="395"/>
      <c r="G626" s="404"/>
      <c r="H626" s="397">
        <v>5950000</v>
      </c>
      <c r="I626" s="353"/>
      <c r="J626" s="353"/>
      <c r="K626" s="354">
        <f t="shared" si="101"/>
        <v>5950000</v>
      </c>
      <c r="L626" s="398">
        <v>43310</v>
      </c>
      <c r="M626" s="742">
        <v>2935514.5555555555</v>
      </c>
      <c r="N626" s="352">
        <f t="shared" si="109"/>
        <v>3014485.4444444445</v>
      </c>
      <c r="O626" s="357">
        <f t="shared" si="102"/>
        <v>2073</v>
      </c>
      <c r="P626" s="357">
        <v>9</v>
      </c>
      <c r="Q626" s="358">
        <f t="shared" si="100"/>
        <v>5.6794520547945204</v>
      </c>
      <c r="R626" s="359">
        <f t="shared" si="103"/>
        <v>3.3205479452054796</v>
      </c>
      <c r="S626" s="360">
        <f t="shared" si="104"/>
        <v>3.3205479452054796</v>
      </c>
      <c r="T626" s="361">
        <f t="shared" si="105"/>
        <v>0.10555555555555554</v>
      </c>
      <c r="U626" s="362">
        <f t="shared" si="111"/>
        <v>628055.5555555555</v>
      </c>
      <c r="V626" s="362">
        <f t="shared" si="107"/>
        <v>2386429.888888889</v>
      </c>
      <c r="W626" s="362">
        <f t="shared" si="106"/>
        <v>297500</v>
      </c>
      <c r="X626" s="742">
        <f t="shared" si="108"/>
        <v>2088929.888888889</v>
      </c>
    </row>
    <row r="627" spans="1:24" ht="13.9">
      <c r="A627" s="349">
        <f t="shared" si="110"/>
        <v>619</v>
      </c>
      <c r="B627" s="393" t="s">
        <v>2023</v>
      </c>
      <c r="C627" s="394" t="s">
        <v>2019</v>
      </c>
      <c r="D627" s="349" t="s">
        <v>2020</v>
      </c>
      <c r="E627" s="393" t="s">
        <v>1830</v>
      </c>
      <c r="F627" s="395"/>
      <c r="G627" s="404"/>
      <c r="H627" s="397">
        <v>736000</v>
      </c>
      <c r="I627" s="353"/>
      <c r="J627" s="353"/>
      <c r="K627" s="354">
        <f t="shared" si="101"/>
        <v>736000</v>
      </c>
      <c r="L627" s="398">
        <v>43310</v>
      </c>
      <c r="M627" s="742">
        <v>363115.88888888888</v>
      </c>
      <c r="N627" s="352">
        <f t="shared" si="109"/>
        <v>372884.11111111112</v>
      </c>
      <c r="O627" s="357">
        <f t="shared" si="102"/>
        <v>2073</v>
      </c>
      <c r="P627" s="357">
        <v>9</v>
      </c>
      <c r="Q627" s="358">
        <f t="shared" si="100"/>
        <v>5.6794520547945204</v>
      </c>
      <c r="R627" s="359">
        <f t="shared" si="103"/>
        <v>3.3205479452054796</v>
      </c>
      <c r="S627" s="360">
        <f t="shared" si="104"/>
        <v>3.3205479452054796</v>
      </c>
      <c r="T627" s="361">
        <f t="shared" si="105"/>
        <v>0.10555555555555554</v>
      </c>
      <c r="U627" s="362">
        <f t="shared" si="111"/>
        <v>77688.888888888876</v>
      </c>
      <c r="V627" s="362">
        <f t="shared" si="107"/>
        <v>295195.22222222225</v>
      </c>
      <c r="W627" s="362">
        <f t="shared" si="106"/>
        <v>36800</v>
      </c>
      <c r="X627" s="742">
        <f t="shared" si="108"/>
        <v>258395.22222222225</v>
      </c>
    </row>
    <row r="628" spans="1:24" ht="13.9">
      <c r="A628" s="349">
        <f t="shared" si="110"/>
        <v>620</v>
      </c>
      <c r="B628" s="393" t="s">
        <v>2023</v>
      </c>
      <c r="C628" s="394" t="s">
        <v>2019</v>
      </c>
      <c r="D628" s="349" t="s">
        <v>2020</v>
      </c>
      <c r="E628" s="393" t="s">
        <v>1830</v>
      </c>
      <c r="F628" s="395"/>
      <c r="G628" s="404"/>
      <c r="H628" s="397">
        <v>1036000</v>
      </c>
      <c r="I628" s="353"/>
      <c r="J628" s="353"/>
      <c r="K628" s="354">
        <f t="shared" si="101"/>
        <v>1036000</v>
      </c>
      <c r="L628" s="398">
        <v>43310</v>
      </c>
      <c r="M628" s="742">
        <v>511124.55555555556</v>
      </c>
      <c r="N628" s="352">
        <f t="shared" si="109"/>
        <v>524875.4444444445</v>
      </c>
      <c r="O628" s="357">
        <f t="shared" si="102"/>
        <v>2073</v>
      </c>
      <c r="P628" s="357">
        <v>9</v>
      </c>
      <c r="Q628" s="358">
        <f t="shared" si="100"/>
        <v>5.6794520547945204</v>
      </c>
      <c r="R628" s="359">
        <f t="shared" si="103"/>
        <v>3.3205479452054796</v>
      </c>
      <c r="S628" s="360">
        <f t="shared" si="104"/>
        <v>3.3205479452054796</v>
      </c>
      <c r="T628" s="361">
        <f t="shared" si="105"/>
        <v>0.10555555555555554</v>
      </c>
      <c r="U628" s="362">
        <f t="shared" si="111"/>
        <v>109355.55555555555</v>
      </c>
      <c r="V628" s="362">
        <f t="shared" si="107"/>
        <v>415519.88888888893</v>
      </c>
      <c r="W628" s="362">
        <f t="shared" si="106"/>
        <v>51800</v>
      </c>
      <c r="X628" s="742">
        <f t="shared" si="108"/>
        <v>363719.88888888893</v>
      </c>
    </row>
    <row r="629" spans="1:24" ht="13.9">
      <c r="A629" s="349">
        <f t="shared" si="110"/>
        <v>621</v>
      </c>
      <c r="B629" s="393" t="s">
        <v>578</v>
      </c>
      <c r="C629" s="394" t="s">
        <v>2019</v>
      </c>
      <c r="D629" s="349" t="s">
        <v>2020</v>
      </c>
      <c r="E629" s="393" t="s">
        <v>2022</v>
      </c>
      <c r="F629" s="395"/>
      <c r="G629" s="404"/>
      <c r="H629" s="397">
        <v>5950000</v>
      </c>
      <c r="I629" s="353"/>
      <c r="J629" s="353"/>
      <c r="K629" s="354">
        <f t="shared" si="101"/>
        <v>5950000</v>
      </c>
      <c r="L629" s="398">
        <v>43343</v>
      </c>
      <c r="M629" s="742">
        <v>2878731.5555555555</v>
      </c>
      <c r="N629" s="352">
        <f t="shared" si="109"/>
        <v>3071268.4444444445</v>
      </c>
      <c r="O629" s="357">
        <f t="shared" si="102"/>
        <v>2040</v>
      </c>
      <c r="P629" s="357">
        <v>9</v>
      </c>
      <c r="Q629" s="358">
        <f t="shared" si="100"/>
        <v>5.5890410958904111</v>
      </c>
      <c r="R629" s="359">
        <f t="shared" si="103"/>
        <v>3.4109589041095889</v>
      </c>
      <c r="S629" s="360">
        <f t="shared" si="104"/>
        <v>3.4109589041095889</v>
      </c>
      <c r="T629" s="361">
        <f t="shared" si="105"/>
        <v>0.10555555555555554</v>
      </c>
      <c r="U629" s="362">
        <f t="shared" si="111"/>
        <v>628055.5555555555</v>
      </c>
      <c r="V629" s="362">
        <f t="shared" si="107"/>
        <v>2443212.888888889</v>
      </c>
      <c r="W629" s="362">
        <f t="shared" si="106"/>
        <v>297500</v>
      </c>
      <c r="X629" s="742">
        <f t="shared" si="108"/>
        <v>2145712.888888889</v>
      </c>
    </row>
    <row r="630" spans="1:24" ht="13.9">
      <c r="A630" s="349">
        <f t="shared" si="110"/>
        <v>622</v>
      </c>
      <c r="B630" s="393" t="s">
        <v>578</v>
      </c>
      <c r="C630" s="394" t="s">
        <v>2019</v>
      </c>
      <c r="D630" s="349" t="s">
        <v>2020</v>
      </c>
      <c r="E630" s="393" t="s">
        <v>2022</v>
      </c>
      <c r="F630" s="395"/>
      <c r="G630" s="404"/>
      <c r="H630" s="397">
        <v>5950000</v>
      </c>
      <c r="I630" s="353"/>
      <c r="J630" s="353"/>
      <c r="K630" s="354">
        <f t="shared" si="101"/>
        <v>5950000</v>
      </c>
      <c r="L630" s="398">
        <v>43421</v>
      </c>
      <c r="M630" s="742">
        <v>2744516.5555555555</v>
      </c>
      <c r="N630" s="352">
        <f t="shared" si="109"/>
        <v>3205483.4444444445</v>
      </c>
      <c r="O630" s="357">
        <f t="shared" si="102"/>
        <v>1962</v>
      </c>
      <c r="P630" s="357">
        <v>9</v>
      </c>
      <c r="Q630" s="358">
        <f t="shared" si="100"/>
        <v>5.375342465753425</v>
      </c>
      <c r="R630" s="359">
        <f t="shared" si="103"/>
        <v>3.624657534246575</v>
      </c>
      <c r="S630" s="360">
        <f t="shared" si="104"/>
        <v>3.624657534246575</v>
      </c>
      <c r="T630" s="361">
        <f t="shared" si="105"/>
        <v>0.10555555555555554</v>
      </c>
      <c r="U630" s="362">
        <f t="shared" si="111"/>
        <v>628055.5555555555</v>
      </c>
      <c r="V630" s="362">
        <f t="shared" si="107"/>
        <v>2577427.888888889</v>
      </c>
      <c r="W630" s="362">
        <f t="shared" si="106"/>
        <v>297500</v>
      </c>
      <c r="X630" s="742">
        <f t="shared" si="108"/>
        <v>2279927.888888889</v>
      </c>
    </row>
    <row r="631" spans="1:24" ht="13.9">
      <c r="A631" s="349">
        <f t="shared" si="110"/>
        <v>623</v>
      </c>
      <c r="B631" s="393" t="s">
        <v>2023</v>
      </c>
      <c r="C631" s="394" t="s">
        <v>2019</v>
      </c>
      <c r="D631" s="349" t="s">
        <v>2020</v>
      </c>
      <c r="E631" s="393" t="s">
        <v>1830</v>
      </c>
      <c r="F631" s="395"/>
      <c r="G631" s="404"/>
      <c r="H631" s="397">
        <v>1031000</v>
      </c>
      <c r="I631" s="353"/>
      <c r="J631" s="353"/>
      <c r="K631" s="354">
        <f t="shared" si="101"/>
        <v>1031000</v>
      </c>
      <c r="L631" s="398">
        <v>43418</v>
      </c>
      <c r="M631" s="742">
        <v>476456.77777777775</v>
      </c>
      <c r="N631" s="352">
        <f t="shared" si="109"/>
        <v>554543.22222222225</v>
      </c>
      <c r="O631" s="357">
        <f t="shared" si="102"/>
        <v>1965</v>
      </c>
      <c r="P631" s="357">
        <v>9</v>
      </c>
      <c r="Q631" s="358">
        <f t="shared" si="100"/>
        <v>5.3835616438356162</v>
      </c>
      <c r="R631" s="359">
        <f t="shared" si="103"/>
        <v>3.6164383561643838</v>
      </c>
      <c r="S631" s="360">
        <f t="shared" si="104"/>
        <v>3.6164383561643838</v>
      </c>
      <c r="T631" s="361">
        <f t="shared" si="105"/>
        <v>0.10555555555555554</v>
      </c>
      <c r="U631" s="362">
        <f t="shared" si="111"/>
        <v>108827.77777777777</v>
      </c>
      <c r="V631" s="362">
        <f t="shared" si="107"/>
        <v>445715.4444444445</v>
      </c>
      <c r="W631" s="362">
        <f t="shared" si="106"/>
        <v>51550</v>
      </c>
      <c r="X631" s="742">
        <f t="shared" si="108"/>
        <v>394165.4444444445</v>
      </c>
    </row>
    <row r="632" spans="1:24" ht="13.9">
      <c r="A632" s="349">
        <f t="shared" si="110"/>
        <v>624</v>
      </c>
      <c r="B632" s="393" t="s">
        <v>2023</v>
      </c>
      <c r="C632" s="394" t="s">
        <v>2019</v>
      </c>
      <c r="D632" s="349" t="s">
        <v>2020</v>
      </c>
      <c r="E632" s="393" t="s">
        <v>1830</v>
      </c>
      <c r="F632" s="395"/>
      <c r="G632" s="404"/>
      <c r="H632" s="397">
        <v>741000</v>
      </c>
      <c r="I632" s="353"/>
      <c r="J632" s="353"/>
      <c r="K632" s="354">
        <f t="shared" si="101"/>
        <v>741000</v>
      </c>
      <c r="L632" s="398">
        <v>43418</v>
      </c>
      <c r="M632" s="742">
        <v>342438.66666666663</v>
      </c>
      <c r="N632" s="352">
        <f t="shared" si="109"/>
        <v>398561.33333333337</v>
      </c>
      <c r="O632" s="357">
        <f t="shared" si="102"/>
        <v>1965</v>
      </c>
      <c r="P632" s="357">
        <v>9</v>
      </c>
      <c r="Q632" s="358">
        <f t="shared" si="100"/>
        <v>5.3835616438356162</v>
      </c>
      <c r="R632" s="359">
        <f t="shared" si="103"/>
        <v>3.6164383561643838</v>
      </c>
      <c r="S632" s="360">
        <f t="shared" si="104"/>
        <v>3.6164383561643838</v>
      </c>
      <c r="T632" s="361">
        <f t="shared" si="105"/>
        <v>0.10555555555555554</v>
      </c>
      <c r="U632" s="362">
        <f t="shared" si="111"/>
        <v>78216.666666666657</v>
      </c>
      <c r="V632" s="362">
        <f t="shared" si="107"/>
        <v>320344.66666666674</v>
      </c>
      <c r="W632" s="362">
        <f t="shared" si="106"/>
        <v>37050</v>
      </c>
      <c r="X632" s="742">
        <f t="shared" si="108"/>
        <v>283294.66666666674</v>
      </c>
    </row>
    <row r="633" spans="1:24" ht="13.9">
      <c r="A633" s="349">
        <f t="shared" si="110"/>
        <v>625</v>
      </c>
      <c r="B633" s="393" t="s">
        <v>562</v>
      </c>
      <c r="C633" s="394" t="s">
        <v>2019</v>
      </c>
      <c r="D633" s="349" t="s">
        <v>2020</v>
      </c>
      <c r="E633" s="393" t="s">
        <v>2024</v>
      </c>
      <c r="F633" s="395"/>
      <c r="G633" s="404"/>
      <c r="H633" s="397">
        <v>8700000</v>
      </c>
      <c r="I633" s="353"/>
      <c r="J633" s="353"/>
      <c r="K633" s="354">
        <f t="shared" si="101"/>
        <v>8700000</v>
      </c>
      <c r="L633" s="398">
        <v>43365</v>
      </c>
      <c r="M633" s="742">
        <v>4153886.333333333</v>
      </c>
      <c r="N633" s="352">
        <f t="shared" si="109"/>
        <v>4546113.666666667</v>
      </c>
      <c r="O633" s="357">
        <f t="shared" si="102"/>
        <v>2018</v>
      </c>
      <c r="P633" s="357">
        <v>9</v>
      </c>
      <c r="Q633" s="358">
        <f t="shared" si="100"/>
        <v>5.5287671232876709</v>
      </c>
      <c r="R633" s="359">
        <f t="shared" si="103"/>
        <v>3.4712328767123291</v>
      </c>
      <c r="S633" s="360">
        <f t="shared" si="104"/>
        <v>3.4712328767123291</v>
      </c>
      <c r="T633" s="361">
        <f t="shared" si="105"/>
        <v>0.10555555555555554</v>
      </c>
      <c r="U633" s="362">
        <f t="shared" si="111"/>
        <v>918333.33333333326</v>
      </c>
      <c r="V633" s="362">
        <f t="shared" si="107"/>
        <v>3627780.333333334</v>
      </c>
      <c r="W633" s="362">
        <f t="shared" si="106"/>
        <v>435000</v>
      </c>
      <c r="X633" s="742">
        <f t="shared" si="108"/>
        <v>3192780.333333334</v>
      </c>
    </row>
    <row r="634" spans="1:24" ht="13.9">
      <c r="A634" s="349">
        <f t="shared" si="110"/>
        <v>626</v>
      </c>
      <c r="B634" s="393" t="s">
        <v>2025</v>
      </c>
      <c r="C634" s="394" t="s">
        <v>2019</v>
      </c>
      <c r="D634" s="349" t="s">
        <v>2020</v>
      </c>
      <c r="E634" s="393" t="s">
        <v>2024</v>
      </c>
      <c r="F634" s="395"/>
      <c r="G634" s="404"/>
      <c r="H634" s="397">
        <v>765000</v>
      </c>
      <c r="I634" s="353"/>
      <c r="J634" s="353"/>
      <c r="K634" s="354">
        <f t="shared" si="101"/>
        <v>765000</v>
      </c>
      <c r="L634" s="398">
        <v>43498</v>
      </c>
      <c r="M634" s="742">
        <v>335832</v>
      </c>
      <c r="N634" s="352">
        <f t="shared" si="109"/>
        <v>429168</v>
      </c>
      <c r="O634" s="357">
        <f t="shared" si="102"/>
        <v>1885</v>
      </c>
      <c r="P634" s="357">
        <v>9</v>
      </c>
      <c r="Q634" s="358">
        <f t="shared" si="100"/>
        <v>5.1643835616438354</v>
      </c>
      <c r="R634" s="359">
        <f t="shared" si="103"/>
        <v>3.8356164383561646</v>
      </c>
      <c r="S634" s="360">
        <f t="shared" si="104"/>
        <v>3.8356164383561646</v>
      </c>
      <c r="T634" s="361">
        <f t="shared" si="105"/>
        <v>0.10555555555555554</v>
      </c>
      <c r="U634" s="362">
        <f t="shared" si="111"/>
        <v>80749.999999999985</v>
      </c>
      <c r="V634" s="362">
        <f t="shared" si="107"/>
        <v>348418</v>
      </c>
      <c r="W634" s="362">
        <f t="shared" si="106"/>
        <v>38250</v>
      </c>
      <c r="X634" s="742">
        <f t="shared" si="108"/>
        <v>310168</v>
      </c>
    </row>
    <row r="635" spans="1:24" ht="13.9">
      <c r="A635" s="349">
        <f t="shared" si="110"/>
        <v>627</v>
      </c>
      <c r="B635" s="393" t="s">
        <v>2025</v>
      </c>
      <c r="C635" s="394" t="s">
        <v>2019</v>
      </c>
      <c r="D635" s="349" t="s">
        <v>2020</v>
      </c>
      <c r="E635" s="393" t="s">
        <v>2024</v>
      </c>
      <c r="F635" s="395"/>
      <c r="G635" s="404"/>
      <c r="H635" s="397">
        <v>765000</v>
      </c>
      <c r="I635" s="353"/>
      <c r="J635" s="353"/>
      <c r="K635" s="354">
        <f t="shared" si="101"/>
        <v>765000</v>
      </c>
      <c r="L635" s="398">
        <v>43498</v>
      </c>
      <c r="M635" s="742">
        <v>335832</v>
      </c>
      <c r="N635" s="352">
        <f t="shared" si="109"/>
        <v>429168</v>
      </c>
      <c r="O635" s="357">
        <f t="shared" si="102"/>
        <v>1885</v>
      </c>
      <c r="P635" s="357">
        <v>9</v>
      </c>
      <c r="Q635" s="358">
        <f t="shared" si="100"/>
        <v>5.1643835616438354</v>
      </c>
      <c r="R635" s="359">
        <f t="shared" si="103"/>
        <v>3.8356164383561646</v>
      </c>
      <c r="S635" s="360">
        <f t="shared" si="104"/>
        <v>3.8356164383561646</v>
      </c>
      <c r="T635" s="361">
        <f t="shared" si="105"/>
        <v>0.10555555555555554</v>
      </c>
      <c r="U635" s="362">
        <f t="shared" si="111"/>
        <v>80749.999999999985</v>
      </c>
      <c r="V635" s="362">
        <f t="shared" si="107"/>
        <v>348418</v>
      </c>
      <c r="W635" s="362">
        <f t="shared" si="106"/>
        <v>38250</v>
      </c>
      <c r="X635" s="742">
        <f t="shared" si="108"/>
        <v>310168</v>
      </c>
    </row>
    <row r="636" spans="1:24" ht="13.9">
      <c r="A636" s="349">
        <f t="shared" si="110"/>
        <v>628</v>
      </c>
      <c r="B636" s="393" t="s">
        <v>2025</v>
      </c>
      <c r="C636" s="394" t="s">
        <v>2019</v>
      </c>
      <c r="D636" s="349" t="s">
        <v>2020</v>
      </c>
      <c r="E636" s="393" t="s">
        <v>2024</v>
      </c>
      <c r="F636" s="395"/>
      <c r="G636" s="404"/>
      <c r="H636" s="397">
        <v>765000</v>
      </c>
      <c r="I636" s="353"/>
      <c r="J636" s="353"/>
      <c r="K636" s="354">
        <f t="shared" si="101"/>
        <v>765000</v>
      </c>
      <c r="L636" s="398">
        <v>43358</v>
      </c>
      <c r="M636" s="742">
        <v>366804</v>
      </c>
      <c r="N636" s="352">
        <f t="shared" si="109"/>
        <v>398196</v>
      </c>
      <c r="O636" s="357">
        <f t="shared" si="102"/>
        <v>2025</v>
      </c>
      <c r="P636" s="357">
        <v>9</v>
      </c>
      <c r="Q636" s="358">
        <f t="shared" si="100"/>
        <v>5.5479452054794525</v>
      </c>
      <c r="R636" s="359">
        <f t="shared" si="103"/>
        <v>3.4520547945205475</v>
      </c>
      <c r="S636" s="360">
        <f t="shared" si="104"/>
        <v>3.4520547945205475</v>
      </c>
      <c r="T636" s="361">
        <f t="shared" si="105"/>
        <v>0.10555555555555554</v>
      </c>
      <c r="U636" s="362">
        <f t="shared" si="111"/>
        <v>80749.999999999985</v>
      </c>
      <c r="V636" s="362">
        <f t="shared" si="107"/>
        <v>317446</v>
      </c>
      <c r="W636" s="362">
        <f t="shared" si="106"/>
        <v>38250</v>
      </c>
      <c r="X636" s="742">
        <f t="shared" si="108"/>
        <v>279196</v>
      </c>
    </row>
    <row r="637" spans="1:24" ht="13.9">
      <c r="A637" s="349">
        <f t="shared" si="110"/>
        <v>629</v>
      </c>
      <c r="B637" s="393" t="s">
        <v>2025</v>
      </c>
      <c r="C637" s="394" t="s">
        <v>2019</v>
      </c>
      <c r="D637" s="349" t="s">
        <v>2020</v>
      </c>
      <c r="E637" s="393" t="s">
        <v>2024</v>
      </c>
      <c r="F637" s="395"/>
      <c r="G637" s="404"/>
      <c r="H637" s="397">
        <v>765000</v>
      </c>
      <c r="I637" s="353"/>
      <c r="J637" s="353"/>
      <c r="K637" s="354">
        <f t="shared" si="101"/>
        <v>765000</v>
      </c>
      <c r="L637" s="398">
        <v>43358</v>
      </c>
      <c r="M637" s="742">
        <v>366804</v>
      </c>
      <c r="N637" s="352">
        <f t="shared" si="109"/>
        <v>398196</v>
      </c>
      <c r="O637" s="357">
        <f t="shared" si="102"/>
        <v>2025</v>
      </c>
      <c r="P637" s="357">
        <v>9</v>
      </c>
      <c r="Q637" s="358">
        <f t="shared" si="100"/>
        <v>5.5479452054794525</v>
      </c>
      <c r="R637" s="359">
        <f t="shared" si="103"/>
        <v>3.4520547945205475</v>
      </c>
      <c r="S637" s="360">
        <f t="shared" si="104"/>
        <v>3.4520547945205475</v>
      </c>
      <c r="T637" s="361">
        <f t="shared" si="105"/>
        <v>0.10555555555555554</v>
      </c>
      <c r="U637" s="362">
        <f t="shared" si="111"/>
        <v>80749.999999999985</v>
      </c>
      <c r="V637" s="362">
        <f t="shared" si="107"/>
        <v>317446</v>
      </c>
      <c r="W637" s="362">
        <f t="shared" si="106"/>
        <v>38250</v>
      </c>
      <c r="X637" s="742">
        <f t="shared" si="108"/>
        <v>279196</v>
      </c>
    </row>
    <row r="638" spans="1:24" ht="13.9">
      <c r="A638" s="349">
        <f t="shared" si="110"/>
        <v>630</v>
      </c>
      <c r="B638" s="393" t="s">
        <v>2025</v>
      </c>
      <c r="C638" s="394" t="s">
        <v>2019</v>
      </c>
      <c r="D638" s="349" t="s">
        <v>2020</v>
      </c>
      <c r="E638" s="393" t="s">
        <v>2024</v>
      </c>
      <c r="F638" s="395"/>
      <c r="G638" s="404"/>
      <c r="H638" s="397">
        <v>765000</v>
      </c>
      <c r="I638" s="353"/>
      <c r="J638" s="353"/>
      <c r="K638" s="354">
        <f t="shared" si="101"/>
        <v>765000</v>
      </c>
      <c r="L638" s="398">
        <v>43358</v>
      </c>
      <c r="M638" s="742">
        <v>366804</v>
      </c>
      <c r="N638" s="352">
        <f t="shared" si="109"/>
        <v>398196</v>
      </c>
      <c r="O638" s="357">
        <f t="shared" si="102"/>
        <v>2025</v>
      </c>
      <c r="P638" s="357">
        <v>9</v>
      </c>
      <c r="Q638" s="358">
        <f t="shared" si="100"/>
        <v>5.5479452054794525</v>
      </c>
      <c r="R638" s="359">
        <f t="shared" si="103"/>
        <v>3.4520547945205475</v>
      </c>
      <c r="S638" s="360">
        <f t="shared" si="104"/>
        <v>3.4520547945205475</v>
      </c>
      <c r="T638" s="361">
        <f t="shared" si="105"/>
        <v>0.10555555555555554</v>
      </c>
      <c r="U638" s="362">
        <f t="shared" si="111"/>
        <v>80749.999999999985</v>
      </c>
      <c r="V638" s="362">
        <f t="shared" si="107"/>
        <v>317446</v>
      </c>
      <c r="W638" s="362">
        <f t="shared" si="106"/>
        <v>38250</v>
      </c>
      <c r="X638" s="742">
        <f t="shared" si="108"/>
        <v>279196</v>
      </c>
    </row>
    <row r="639" spans="1:24" ht="13.9">
      <c r="A639" s="349">
        <f t="shared" si="110"/>
        <v>631</v>
      </c>
      <c r="B639" s="393" t="s">
        <v>2025</v>
      </c>
      <c r="C639" s="394" t="s">
        <v>2019</v>
      </c>
      <c r="D639" s="349" t="s">
        <v>2020</v>
      </c>
      <c r="E639" s="393" t="s">
        <v>2024</v>
      </c>
      <c r="F639" s="395"/>
      <c r="G639" s="404"/>
      <c r="H639" s="397">
        <v>765000</v>
      </c>
      <c r="I639" s="353"/>
      <c r="J639" s="353"/>
      <c r="K639" s="354">
        <f t="shared" si="101"/>
        <v>765000</v>
      </c>
      <c r="L639" s="398">
        <v>43358</v>
      </c>
      <c r="M639" s="742">
        <v>366804</v>
      </c>
      <c r="N639" s="352">
        <f t="shared" si="109"/>
        <v>398196</v>
      </c>
      <c r="O639" s="357">
        <f t="shared" si="102"/>
        <v>2025</v>
      </c>
      <c r="P639" s="357">
        <v>9</v>
      </c>
      <c r="Q639" s="358">
        <f t="shared" si="100"/>
        <v>5.5479452054794525</v>
      </c>
      <c r="R639" s="359">
        <f t="shared" si="103"/>
        <v>3.4520547945205475</v>
      </c>
      <c r="S639" s="360">
        <f t="shared" si="104"/>
        <v>3.4520547945205475</v>
      </c>
      <c r="T639" s="361">
        <f t="shared" si="105"/>
        <v>0.10555555555555554</v>
      </c>
      <c r="U639" s="362">
        <f t="shared" si="111"/>
        <v>80749.999999999985</v>
      </c>
      <c r="V639" s="362">
        <f t="shared" si="107"/>
        <v>317446</v>
      </c>
      <c r="W639" s="362">
        <f t="shared" si="106"/>
        <v>38250</v>
      </c>
      <c r="X639" s="742">
        <f t="shared" si="108"/>
        <v>279196</v>
      </c>
    </row>
    <row r="640" spans="1:24" ht="13.9">
      <c r="A640" s="349">
        <f t="shared" si="110"/>
        <v>632</v>
      </c>
      <c r="B640" s="393" t="s">
        <v>2025</v>
      </c>
      <c r="C640" s="394" t="s">
        <v>2019</v>
      </c>
      <c r="D640" s="349" t="s">
        <v>2020</v>
      </c>
      <c r="E640" s="393" t="s">
        <v>2024</v>
      </c>
      <c r="F640" s="395"/>
      <c r="G640" s="404"/>
      <c r="H640" s="397">
        <v>765000</v>
      </c>
      <c r="I640" s="353"/>
      <c r="J640" s="353"/>
      <c r="K640" s="354">
        <f t="shared" si="101"/>
        <v>765000</v>
      </c>
      <c r="L640" s="398">
        <v>43358</v>
      </c>
      <c r="M640" s="742">
        <v>366804</v>
      </c>
      <c r="N640" s="352">
        <f t="shared" si="109"/>
        <v>398196</v>
      </c>
      <c r="O640" s="357">
        <f t="shared" si="102"/>
        <v>2025</v>
      </c>
      <c r="P640" s="357">
        <v>9</v>
      </c>
      <c r="Q640" s="358">
        <f t="shared" si="100"/>
        <v>5.5479452054794525</v>
      </c>
      <c r="R640" s="359">
        <f t="shared" si="103"/>
        <v>3.4520547945205475</v>
      </c>
      <c r="S640" s="360">
        <f t="shared" si="104"/>
        <v>3.4520547945205475</v>
      </c>
      <c r="T640" s="361">
        <f t="shared" si="105"/>
        <v>0.10555555555555554</v>
      </c>
      <c r="U640" s="362">
        <f t="shared" si="111"/>
        <v>80749.999999999985</v>
      </c>
      <c r="V640" s="362">
        <f t="shared" si="107"/>
        <v>317446</v>
      </c>
      <c r="W640" s="362">
        <f t="shared" si="106"/>
        <v>38250</v>
      </c>
      <c r="X640" s="742">
        <f t="shared" si="108"/>
        <v>279196</v>
      </c>
    </row>
    <row r="641" spans="1:24" ht="13.9">
      <c r="A641" s="349">
        <f t="shared" si="110"/>
        <v>633</v>
      </c>
      <c r="B641" s="393" t="s">
        <v>2026</v>
      </c>
      <c r="C641" s="394" t="s">
        <v>2019</v>
      </c>
      <c r="D641" s="349" t="s">
        <v>2020</v>
      </c>
      <c r="E641" s="393" t="s">
        <v>2024</v>
      </c>
      <c r="F641" s="395"/>
      <c r="G641" s="404"/>
      <c r="H641" s="397">
        <v>2200000</v>
      </c>
      <c r="I641" s="353"/>
      <c r="J641" s="353"/>
      <c r="K641" s="354">
        <f t="shared" si="101"/>
        <v>2200000</v>
      </c>
      <c r="L641" s="398">
        <v>43508</v>
      </c>
      <c r="M641" s="742">
        <v>959427.22222222225</v>
      </c>
      <c r="N641" s="352">
        <f t="shared" si="109"/>
        <v>1240572.7777777778</v>
      </c>
      <c r="O641" s="357">
        <f t="shared" si="102"/>
        <v>1875</v>
      </c>
      <c r="P641" s="357">
        <v>9</v>
      </c>
      <c r="Q641" s="358">
        <f t="shared" ref="Q641:Q704" si="112">+O641/365</f>
        <v>5.1369863013698627</v>
      </c>
      <c r="R641" s="359">
        <f t="shared" si="103"/>
        <v>3.8630136986301373</v>
      </c>
      <c r="S641" s="360">
        <f t="shared" si="104"/>
        <v>3.8630136986301373</v>
      </c>
      <c r="T641" s="361">
        <f t="shared" si="105"/>
        <v>0.10555555555555554</v>
      </c>
      <c r="U641" s="362">
        <f t="shared" si="111"/>
        <v>232222.22222222219</v>
      </c>
      <c r="V641" s="362">
        <f t="shared" si="107"/>
        <v>1008350.5555555555</v>
      </c>
      <c r="W641" s="362">
        <f t="shared" si="106"/>
        <v>110000</v>
      </c>
      <c r="X641" s="742">
        <f t="shared" si="108"/>
        <v>898350.5555555555</v>
      </c>
    </row>
    <row r="642" spans="1:24" ht="13.9">
      <c r="A642" s="349">
        <f t="shared" si="110"/>
        <v>634</v>
      </c>
      <c r="B642" s="393" t="s">
        <v>2026</v>
      </c>
      <c r="C642" s="394" t="s">
        <v>2019</v>
      </c>
      <c r="D642" s="349" t="s">
        <v>2020</v>
      </c>
      <c r="E642" s="393" t="s">
        <v>2024</v>
      </c>
      <c r="F642" s="395"/>
      <c r="G642" s="404"/>
      <c r="H642" s="397">
        <v>2200000</v>
      </c>
      <c r="I642" s="353"/>
      <c r="J642" s="353"/>
      <c r="K642" s="354">
        <f t="shared" si="101"/>
        <v>2200000</v>
      </c>
      <c r="L642" s="398">
        <v>43536</v>
      </c>
      <c r="M642" s="742">
        <v>941613.22222222225</v>
      </c>
      <c r="N642" s="352">
        <f t="shared" si="109"/>
        <v>1258386.7777777778</v>
      </c>
      <c r="O642" s="357">
        <f t="shared" si="102"/>
        <v>1847</v>
      </c>
      <c r="P642" s="357">
        <v>9</v>
      </c>
      <c r="Q642" s="358">
        <f t="shared" si="112"/>
        <v>5.0602739726027401</v>
      </c>
      <c r="R642" s="359">
        <f t="shared" si="103"/>
        <v>3.9397260273972599</v>
      </c>
      <c r="S642" s="360">
        <f t="shared" si="104"/>
        <v>3.9397260273972599</v>
      </c>
      <c r="T642" s="361">
        <f t="shared" si="105"/>
        <v>0.10555555555555554</v>
      </c>
      <c r="U642" s="362">
        <f t="shared" si="111"/>
        <v>232222.22222222219</v>
      </c>
      <c r="V642" s="362">
        <f t="shared" si="107"/>
        <v>1026164.5555555555</v>
      </c>
      <c r="W642" s="362">
        <f t="shared" si="106"/>
        <v>110000</v>
      </c>
      <c r="X642" s="742">
        <f t="shared" si="108"/>
        <v>916164.5555555555</v>
      </c>
    </row>
    <row r="643" spans="1:24" ht="13.9">
      <c r="A643" s="349">
        <f t="shared" si="110"/>
        <v>635</v>
      </c>
      <c r="B643" s="393" t="s">
        <v>2026</v>
      </c>
      <c r="C643" s="394" t="s">
        <v>2019</v>
      </c>
      <c r="D643" s="349" t="s">
        <v>2020</v>
      </c>
      <c r="E643" s="393" t="s">
        <v>2024</v>
      </c>
      <c r="F643" s="395"/>
      <c r="G643" s="404"/>
      <c r="H643" s="397">
        <v>2200000</v>
      </c>
      <c r="I643" s="353"/>
      <c r="J643" s="353"/>
      <c r="K643" s="354">
        <f t="shared" si="101"/>
        <v>2200000</v>
      </c>
      <c r="L643" s="398">
        <v>43536</v>
      </c>
      <c r="M643" s="742">
        <v>941613.22222222225</v>
      </c>
      <c r="N643" s="352">
        <f t="shared" si="109"/>
        <v>1258386.7777777778</v>
      </c>
      <c r="O643" s="357">
        <f t="shared" si="102"/>
        <v>1847</v>
      </c>
      <c r="P643" s="357">
        <v>9</v>
      </c>
      <c r="Q643" s="358">
        <f t="shared" si="112"/>
        <v>5.0602739726027401</v>
      </c>
      <c r="R643" s="359">
        <f t="shared" si="103"/>
        <v>3.9397260273972599</v>
      </c>
      <c r="S643" s="360">
        <f t="shared" si="104"/>
        <v>3.9397260273972599</v>
      </c>
      <c r="T643" s="361">
        <f t="shared" si="105"/>
        <v>0.10555555555555554</v>
      </c>
      <c r="U643" s="362">
        <f t="shared" si="111"/>
        <v>232222.22222222219</v>
      </c>
      <c r="V643" s="362">
        <f t="shared" si="107"/>
        <v>1026164.5555555555</v>
      </c>
      <c r="W643" s="362">
        <f t="shared" si="106"/>
        <v>110000</v>
      </c>
      <c r="X643" s="742">
        <f t="shared" si="108"/>
        <v>916164.5555555555</v>
      </c>
    </row>
    <row r="644" spans="1:24" ht="13.9">
      <c r="A644" s="349">
        <f t="shared" si="110"/>
        <v>636</v>
      </c>
      <c r="B644" s="393" t="s">
        <v>2027</v>
      </c>
      <c r="C644" s="394" t="s">
        <v>2019</v>
      </c>
      <c r="D644" s="349" t="s">
        <v>2020</v>
      </c>
      <c r="E644" s="393" t="s">
        <v>2028</v>
      </c>
      <c r="F644" s="395"/>
      <c r="G644" s="404"/>
      <c r="H644" s="397">
        <v>99485</v>
      </c>
      <c r="I644" s="353"/>
      <c r="J644" s="353"/>
      <c r="K644" s="354">
        <f t="shared" si="101"/>
        <v>99485</v>
      </c>
      <c r="L644" s="398">
        <v>43383</v>
      </c>
      <c r="M644" s="742">
        <v>46982.194444444445</v>
      </c>
      <c r="N644" s="352">
        <f t="shared" si="109"/>
        <v>52502.805555555555</v>
      </c>
      <c r="O644" s="357">
        <f t="shared" si="102"/>
        <v>2000</v>
      </c>
      <c r="P644" s="357">
        <v>9</v>
      </c>
      <c r="Q644" s="358">
        <f t="shared" si="112"/>
        <v>5.4794520547945202</v>
      </c>
      <c r="R644" s="359">
        <f t="shared" si="103"/>
        <v>3.5205479452054798</v>
      </c>
      <c r="S644" s="360">
        <f t="shared" si="104"/>
        <v>3.5205479452054798</v>
      </c>
      <c r="T644" s="361">
        <f t="shared" si="105"/>
        <v>0.10555555555555554</v>
      </c>
      <c r="U644" s="362">
        <f t="shared" si="111"/>
        <v>10501.194444444443</v>
      </c>
      <c r="V644" s="362">
        <f t="shared" si="107"/>
        <v>42001.611111111109</v>
      </c>
      <c r="W644" s="362">
        <f t="shared" si="106"/>
        <v>4974</v>
      </c>
      <c r="X644" s="742">
        <f t="shared" si="108"/>
        <v>37027.611111111109</v>
      </c>
    </row>
    <row r="645" spans="1:24" ht="13.9">
      <c r="A645" s="349">
        <f t="shared" si="110"/>
        <v>637</v>
      </c>
      <c r="B645" s="393" t="s">
        <v>1959</v>
      </c>
      <c r="C645" s="394" t="s">
        <v>2019</v>
      </c>
      <c r="D645" s="349" t="s">
        <v>2020</v>
      </c>
      <c r="E645" s="393" t="s">
        <v>2029</v>
      </c>
      <c r="F645" s="395"/>
      <c r="G645" s="404"/>
      <c r="H645" s="397">
        <v>393210</v>
      </c>
      <c r="I645" s="353"/>
      <c r="J645" s="353"/>
      <c r="K645" s="354">
        <f t="shared" si="101"/>
        <v>393210</v>
      </c>
      <c r="L645" s="398">
        <v>43397</v>
      </c>
      <c r="M645" s="742">
        <v>184102.5</v>
      </c>
      <c r="N645" s="352">
        <f t="shared" si="109"/>
        <v>209107.5</v>
      </c>
      <c r="O645" s="357">
        <f t="shared" si="102"/>
        <v>1986</v>
      </c>
      <c r="P645" s="357">
        <v>9</v>
      </c>
      <c r="Q645" s="358">
        <f t="shared" si="112"/>
        <v>5.441095890410959</v>
      </c>
      <c r="R645" s="359">
        <f t="shared" si="103"/>
        <v>3.558904109589041</v>
      </c>
      <c r="S645" s="360">
        <f t="shared" si="104"/>
        <v>3.558904109589041</v>
      </c>
      <c r="T645" s="361">
        <f t="shared" si="105"/>
        <v>0.10555555555555554</v>
      </c>
      <c r="U645" s="362">
        <f t="shared" si="111"/>
        <v>41505.499999999993</v>
      </c>
      <c r="V645" s="362">
        <f t="shared" si="107"/>
        <v>167602</v>
      </c>
      <c r="W645" s="362">
        <f t="shared" si="106"/>
        <v>19661</v>
      </c>
      <c r="X645" s="742">
        <f t="shared" si="108"/>
        <v>147941</v>
      </c>
    </row>
    <row r="646" spans="1:24" ht="13.9">
      <c r="A646" s="349">
        <f t="shared" si="110"/>
        <v>638</v>
      </c>
      <c r="B646" s="393" t="s">
        <v>2030</v>
      </c>
      <c r="C646" s="394" t="s">
        <v>2019</v>
      </c>
      <c r="D646" s="349" t="s">
        <v>2020</v>
      </c>
      <c r="E646" s="393" t="s">
        <v>2029</v>
      </c>
      <c r="F646" s="395"/>
      <c r="G646" s="404"/>
      <c r="H646" s="397">
        <v>468767</v>
      </c>
      <c r="I646" s="353"/>
      <c r="J646" s="353"/>
      <c r="K646" s="354">
        <f t="shared" ref="K646:K709" si="113">+H646+I646-J646</f>
        <v>468767</v>
      </c>
      <c r="L646" s="398">
        <v>43404</v>
      </c>
      <c r="M646" s="742">
        <v>218529.9611111111</v>
      </c>
      <c r="N646" s="352">
        <f t="shared" si="109"/>
        <v>250237.0388888889</v>
      </c>
      <c r="O646" s="357">
        <f t="shared" ref="O646:O709" si="114">+$O$3-L646+1</f>
        <v>1979</v>
      </c>
      <c r="P646" s="357">
        <v>9</v>
      </c>
      <c r="Q646" s="358">
        <f t="shared" si="112"/>
        <v>5.4219178082191783</v>
      </c>
      <c r="R646" s="359">
        <f t="shared" ref="R646:R709" si="115">+P646-Q646</f>
        <v>3.5780821917808217</v>
      </c>
      <c r="S646" s="360">
        <f t="shared" ref="S646:S709" si="116">IF(R646&lt;0,0,IF(R646&gt;365,365,R646))</f>
        <v>3.5780821917808217</v>
      </c>
      <c r="T646" s="361">
        <f t="shared" ref="T646:T709" si="117">1/P646*0.95</f>
        <v>0.10555555555555554</v>
      </c>
      <c r="U646" s="362">
        <f t="shared" si="111"/>
        <v>49480.961111111108</v>
      </c>
      <c r="V646" s="362">
        <f t="shared" si="107"/>
        <v>200756.0777777778</v>
      </c>
      <c r="W646" s="362">
        <f t="shared" ref="W646:W709" si="118">ROUND(+H646*5%,0)</f>
        <v>23438</v>
      </c>
      <c r="X646" s="742">
        <f t="shared" si="108"/>
        <v>177318.0777777778</v>
      </c>
    </row>
    <row r="647" spans="1:24" ht="13.9">
      <c r="A647" s="349">
        <f t="shared" si="110"/>
        <v>639</v>
      </c>
      <c r="B647" s="393" t="s">
        <v>1959</v>
      </c>
      <c r="C647" s="394" t="s">
        <v>2019</v>
      </c>
      <c r="D647" s="349" t="s">
        <v>2020</v>
      </c>
      <c r="E647" s="393" t="s">
        <v>2029</v>
      </c>
      <c r="F647" s="395"/>
      <c r="G647" s="404"/>
      <c r="H647" s="397">
        <v>318546</v>
      </c>
      <c r="I647" s="353"/>
      <c r="J647" s="353"/>
      <c r="K647" s="354">
        <f t="shared" si="113"/>
        <v>318546</v>
      </c>
      <c r="L647" s="398">
        <v>43414</v>
      </c>
      <c r="M647" s="742">
        <v>147578.29999999999</v>
      </c>
      <c r="N647" s="352">
        <f t="shared" si="109"/>
        <v>170967.7</v>
      </c>
      <c r="O647" s="357">
        <f t="shared" si="114"/>
        <v>1969</v>
      </c>
      <c r="P647" s="357">
        <v>9</v>
      </c>
      <c r="Q647" s="358">
        <f t="shared" si="112"/>
        <v>5.3945205479452056</v>
      </c>
      <c r="R647" s="359">
        <f t="shared" si="115"/>
        <v>3.6054794520547944</v>
      </c>
      <c r="S647" s="360">
        <f t="shared" si="116"/>
        <v>3.6054794520547944</v>
      </c>
      <c r="T647" s="361">
        <f t="shared" si="117"/>
        <v>0.10555555555555554</v>
      </c>
      <c r="U647" s="362">
        <f t="shared" si="111"/>
        <v>33624.299999999996</v>
      </c>
      <c r="V647" s="362">
        <f t="shared" ref="V647:V710" si="119">+N647-U647</f>
        <v>137343.40000000002</v>
      </c>
      <c r="W647" s="362">
        <f t="shared" si="118"/>
        <v>15927</v>
      </c>
      <c r="X647" s="742">
        <f t="shared" ref="X647:X710" si="120">+V647-W647</f>
        <v>121416.40000000002</v>
      </c>
    </row>
    <row r="648" spans="1:24" ht="13.9">
      <c r="A648" s="349">
        <f t="shared" si="110"/>
        <v>640</v>
      </c>
      <c r="B648" s="393" t="s">
        <v>576</v>
      </c>
      <c r="C648" s="394" t="s">
        <v>2019</v>
      </c>
      <c r="D648" s="349" t="s">
        <v>2020</v>
      </c>
      <c r="E648" s="393" t="s">
        <v>2021</v>
      </c>
      <c r="F648" s="395"/>
      <c r="G648" s="404"/>
      <c r="H648" s="397">
        <v>297000</v>
      </c>
      <c r="I648" s="353"/>
      <c r="J648" s="353"/>
      <c r="K648" s="354">
        <f t="shared" si="113"/>
        <v>297000</v>
      </c>
      <c r="L648" s="398">
        <v>43417</v>
      </c>
      <c r="M648" s="742">
        <v>137339</v>
      </c>
      <c r="N648" s="352">
        <f t="shared" ref="N648:N711" si="121">+K648-M648</f>
        <v>159661</v>
      </c>
      <c r="O648" s="357">
        <f t="shared" si="114"/>
        <v>1966</v>
      </c>
      <c r="P648" s="357">
        <v>9</v>
      </c>
      <c r="Q648" s="358">
        <f t="shared" si="112"/>
        <v>5.3863013698630136</v>
      </c>
      <c r="R648" s="359">
        <f t="shared" si="115"/>
        <v>3.6136986301369864</v>
      </c>
      <c r="S648" s="360">
        <f t="shared" si="116"/>
        <v>3.6136986301369864</v>
      </c>
      <c r="T648" s="361">
        <f t="shared" si="117"/>
        <v>0.10555555555555554</v>
      </c>
      <c r="U648" s="362">
        <f t="shared" si="111"/>
        <v>31349.999999999996</v>
      </c>
      <c r="V648" s="362">
        <f t="shared" si="119"/>
        <v>128311</v>
      </c>
      <c r="W648" s="362">
        <f t="shared" si="118"/>
        <v>14850</v>
      </c>
      <c r="X648" s="742">
        <f t="shared" si="120"/>
        <v>113461</v>
      </c>
    </row>
    <row r="649" spans="1:24" ht="13.9">
      <c r="A649" s="349">
        <f t="shared" si="110"/>
        <v>641</v>
      </c>
      <c r="B649" s="393" t="s">
        <v>577</v>
      </c>
      <c r="C649" s="394" t="s">
        <v>2019</v>
      </c>
      <c r="D649" s="349" t="s">
        <v>2020</v>
      </c>
      <c r="E649" s="393" t="s">
        <v>2021</v>
      </c>
      <c r="F649" s="395"/>
      <c r="G649" s="404"/>
      <c r="H649" s="397">
        <v>310000</v>
      </c>
      <c r="I649" s="353"/>
      <c r="J649" s="353"/>
      <c r="K649" s="354">
        <f t="shared" si="113"/>
        <v>310000</v>
      </c>
      <c r="L649" s="398">
        <v>43417</v>
      </c>
      <c r="M649" s="742">
        <v>143350.22222222222</v>
      </c>
      <c r="N649" s="352">
        <f t="shared" si="121"/>
        <v>166649.77777777778</v>
      </c>
      <c r="O649" s="357">
        <f t="shared" si="114"/>
        <v>1966</v>
      </c>
      <c r="P649" s="357">
        <v>9</v>
      </c>
      <c r="Q649" s="358">
        <f t="shared" si="112"/>
        <v>5.3863013698630136</v>
      </c>
      <c r="R649" s="359">
        <f t="shared" si="115"/>
        <v>3.6136986301369864</v>
      </c>
      <c r="S649" s="360">
        <f t="shared" si="116"/>
        <v>3.6136986301369864</v>
      </c>
      <c r="T649" s="361">
        <f t="shared" si="117"/>
        <v>0.10555555555555554</v>
      </c>
      <c r="U649" s="362">
        <f t="shared" si="111"/>
        <v>32722.222222222219</v>
      </c>
      <c r="V649" s="362">
        <f t="shared" si="119"/>
        <v>133927.55555555556</v>
      </c>
      <c r="W649" s="362">
        <f t="shared" si="118"/>
        <v>15500</v>
      </c>
      <c r="X649" s="742">
        <f t="shared" si="120"/>
        <v>118427.55555555556</v>
      </c>
    </row>
    <row r="650" spans="1:24" ht="13.9">
      <c r="A650" s="349">
        <f t="shared" ref="A650:A713" si="122">+A649+1</f>
        <v>642</v>
      </c>
      <c r="B650" s="393" t="s">
        <v>2031</v>
      </c>
      <c r="C650" s="394" t="s">
        <v>2019</v>
      </c>
      <c r="D650" s="349" t="s">
        <v>2020</v>
      </c>
      <c r="E650" s="393" t="s">
        <v>2032</v>
      </c>
      <c r="F650" s="395"/>
      <c r="G650" s="404"/>
      <c r="H650" s="397">
        <v>667610</v>
      </c>
      <c r="I650" s="353"/>
      <c r="J650" s="353"/>
      <c r="K650" s="354">
        <f t="shared" si="113"/>
        <v>667610</v>
      </c>
      <c r="L650" s="398">
        <v>43430</v>
      </c>
      <c r="M650" s="742">
        <v>306205.94444444444</v>
      </c>
      <c r="N650" s="352">
        <f t="shared" si="121"/>
        <v>361404.05555555556</v>
      </c>
      <c r="O650" s="357">
        <f t="shared" si="114"/>
        <v>1953</v>
      </c>
      <c r="P650" s="357">
        <v>9</v>
      </c>
      <c r="Q650" s="358">
        <f t="shared" si="112"/>
        <v>5.3506849315068497</v>
      </c>
      <c r="R650" s="359">
        <f t="shared" si="115"/>
        <v>3.6493150684931503</v>
      </c>
      <c r="S650" s="360">
        <f t="shared" si="116"/>
        <v>3.6493150684931503</v>
      </c>
      <c r="T650" s="361">
        <f t="shared" si="117"/>
        <v>0.10555555555555554</v>
      </c>
      <c r="U650" s="362">
        <f t="shared" si="111"/>
        <v>70469.944444444438</v>
      </c>
      <c r="V650" s="362">
        <f t="shared" si="119"/>
        <v>290934.11111111112</v>
      </c>
      <c r="W650" s="362">
        <f t="shared" si="118"/>
        <v>33381</v>
      </c>
      <c r="X650" s="742">
        <f t="shared" si="120"/>
        <v>257553.11111111112</v>
      </c>
    </row>
    <row r="651" spans="1:24" ht="13.9">
      <c r="A651" s="349">
        <f t="shared" si="122"/>
        <v>643</v>
      </c>
      <c r="B651" s="393" t="s">
        <v>2031</v>
      </c>
      <c r="C651" s="394" t="s">
        <v>2019</v>
      </c>
      <c r="D651" s="349" t="s">
        <v>2020</v>
      </c>
      <c r="E651" s="393" t="s">
        <v>2032</v>
      </c>
      <c r="F651" s="395"/>
      <c r="G651" s="404"/>
      <c r="H651" s="397">
        <v>666810</v>
      </c>
      <c r="I651" s="353"/>
      <c r="J651" s="353"/>
      <c r="K651" s="354">
        <f t="shared" si="113"/>
        <v>666810</v>
      </c>
      <c r="L651" s="398">
        <v>43440</v>
      </c>
      <c r="M651" s="742">
        <v>303911.5</v>
      </c>
      <c r="N651" s="352">
        <f t="shared" si="121"/>
        <v>362898.5</v>
      </c>
      <c r="O651" s="357">
        <f t="shared" si="114"/>
        <v>1943</v>
      </c>
      <c r="P651" s="357">
        <v>9</v>
      </c>
      <c r="Q651" s="358">
        <f t="shared" si="112"/>
        <v>5.3232876712328769</v>
      </c>
      <c r="R651" s="359">
        <f t="shared" si="115"/>
        <v>3.6767123287671231</v>
      </c>
      <c r="S651" s="360">
        <f t="shared" si="116"/>
        <v>3.6767123287671231</v>
      </c>
      <c r="T651" s="361">
        <f t="shared" si="117"/>
        <v>0.10555555555555554</v>
      </c>
      <c r="U651" s="362">
        <f t="shared" si="111"/>
        <v>70385.499999999985</v>
      </c>
      <c r="V651" s="362">
        <f t="shared" si="119"/>
        <v>292513</v>
      </c>
      <c r="W651" s="362">
        <f t="shared" si="118"/>
        <v>33341</v>
      </c>
      <c r="X651" s="742">
        <f t="shared" si="120"/>
        <v>259172</v>
      </c>
    </row>
    <row r="652" spans="1:24" ht="13.9">
      <c r="A652" s="349">
        <f t="shared" si="122"/>
        <v>644</v>
      </c>
      <c r="B652" s="393" t="s">
        <v>2030</v>
      </c>
      <c r="C652" s="394" t="s">
        <v>2019</v>
      </c>
      <c r="D652" s="349" t="s">
        <v>2020</v>
      </c>
      <c r="E652" s="393" t="s">
        <v>2029</v>
      </c>
      <c r="F652" s="395"/>
      <c r="G652" s="404"/>
      <c r="H652" s="397">
        <v>456450</v>
      </c>
      <c r="I652" s="353"/>
      <c r="J652" s="353"/>
      <c r="K652" s="354">
        <f t="shared" si="113"/>
        <v>456450</v>
      </c>
      <c r="L652" s="398">
        <v>43434</v>
      </c>
      <c r="M652" s="742">
        <v>208827.83333333331</v>
      </c>
      <c r="N652" s="352">
        <f t="shared" si="121"/>
        <v>247622.16666666669</v>
      </c>
      <c r="O652" s="357">
        <f t="shared" si="114"/>
        <v>1949</v>
      </c>
      <c r="P652" s="357">
        <v>9</v>
      </c>
      <c r="Q652" s="358">
        <f t="shared" si="112"/>
        <v>5.3397260273972602</v>
      </c>
      <c r="R652" s="359">
        <f t="shared" si="115"/>
        <v>3.6602739726027398</v>
      </c>
      <c r="S652" s="360">
        <f t="shared" si="116"/>
        <v>3.6602739726027398</v>
      </c>
      <c r="T652" s="361">
        <f t="shared" si="117"/>
        <v>0.10555555555555554</v>
      </c>
      <c r="U652" s="362">
        <f t="shared" si="111"/>
        <v>48180.833333333328</v>
      </c>
      <c r="V652" s="362">
        <f t="shared" si="119"/>
        <v>199441.33333333337</v>
      </c>
      <c r="W652" s="362">
        <f t="shared" si="118"/>
        <v>22823</v>
      </c>
      <c r="X652" s="742">
        <f t="shared" si="120"/>
        <v>176618.33333333337</v>
      </c>
    </row>
    <row r="653" spans="1:24" ht="13.9">
      <c r="A653" s="349">
        <f t="shared" si="122"/>
        <v>645</v>
      </c>
      <c r="B653" s="393" t="s">
        <v>1959</v>
      </c>
      <c r="C653" s="394" t="s">
        <v>2019</v>
      </c>
      <c r="D653" s="349" t="s">
        <v>2020</v>
      </c>
      <c r="E653" s="393" t="s">
        <v>2029</v>
      </c>
      <c r="F653" s="395"/>
      <c r="G653" s="404"/>
      <c r="H653" s="397">
        <v>165750</v>
      </c>
      <c r="I653" s="353"/>
      <c r="J653" s="353"/>
      <c r="K653" s="354">
        <f t="shared" si="113"/>
        <v>165750</v>
      </c>
      <c r="L653" s="398">
        <v>43488</v>
      </c>
      <c r="M653" s="742">
        <v>73242.833333333328</v>
      </c>
      <c r="N653" s="352">
        <f t="shared" si="121"/>
        <v>92507.166666666672</v>
      </c>
      <c r="O653" s="357">
        <f t="shared" si="114"/>
        <v>1895</v>
      </c>
      <c r="P653" s="357">
        <v>9</v>
      </c>
      <c r="Q653" s="358">
        <f t="shared" si="112"/>
        <v>5.1917808219178081</v>
      </c>
      <c r="R653" s="359">
        <f t="shared" si="115"/>
        <v>3.8082191780821919</v>
      </c>
      <c r="S653" s="360">
        <f t="shared" si="116"/>
        <v>3.8082191780821919</v>
      </c>
      <c r="T653" s="361">
        <f t="shared" si="117"/>
        <v>0.10555555555555554</v>
      </c>
      <c r="U653" s="362">
        <f t="shared" si="111"/>
        <v>17495.833333333332</v>
      </c>
      <c r="V653" s="362">
        <f t="shared" si="119"/>
        <v>75011.333333333343</v>
      </c>
      <c r="W653" s="362">
        <f t="shared" si="118"/>
        <v>8288</v>
      </c>
      <c r="X653" s="742">
        <f t="shared" si="120"/>
        <v>66723.333333333343</v>
      </c>
    </row>
    <row r="654" spans="1:24" ht="13.9">
      <c r="A654" s="349">
        <f t="shared" si="122"/>
        <v>646</v>
      </c>
      <c r="B654" s="393" t="s">
        <v>2033</v>
      </c>
      <c r="C654" s="394" t="s">
        <v>2019</v>
      </c>
      <c r="D654" s="349" t="s">
        <v>2020</v>
      </c>
      <c r="E654" s="393" t="s">
        <v>2024</v>
      </c>
      <c r="F654" s="395"/>
      <c r="G654" s="404"/>
      <c r="H654" s="397">
        <v>600000</v>
      </c>
      <c r="I654" s="353"/>
      <c r="J654" s="353"/>
      <c r="K654" s="354">
        <f t="shared" si="113"/>
        <v>600000</v>
      </c>
      <c r="L654" s="398">
        <v>43536</v>
      </c>
      <c r="M654" s="742">
        <v>256803.33333333331</v>
      </c>
      <c r="N654" s="352">
        <f t="shared" si="121"/>
        <v>343196.66666666669</v>
      </c>
      <c r="O654" s="357">
        <f t="shared" si="114"/>
        <v>1847</v>
      </c>
      <c r="P654" s="357">
        <v>9</v>
      </c>
      <c r="Q654" s="358">
        <f t="shared" si="112"/>
        <v>5.0602739726027401</v>
      </c>
      <c r="R654" s="359">
        <f t="shared" si="115"/>
        <v>3.9397260273972599</v>
      </c>
      <c r="S654" s="360">
        <f t="shared" si="116"/>
        <v>3.9397260273972599</v>
      </c>
      <c r="T654" s="361">
        <f t="shared" si="117"/>
        <v>0.10555555555555554</v>
      </c>
      <c r="U654" s="362">
        <f t="shared" si="111"/>
        <v>63333.333333333321</v>
      </c>
      <c r="V654" s="362">
        <f t="shared" si="119"/>
        <v>279863.33333333337</v>
      </c>
      <c r="W654" s="362">
        <f t="shared" si="118"/>
        <v>30000</v>
      </c>
      <c r="X654" s="742">
        <f t="shared" si="120"/>
        <v>249863.33333333337</v>
      </c>
    </row>
    <row r="655" spans="1:24" ht="13.9">
      <c r="A655" s="349">
        <f t="shared" si="122"/>
        <v>647</v>
      </c>
      <c r="B655" s="393" t="s">
        <v>2033</v>
      </c>
      <c r="C655" s="394" t="s">
        <v>2019</v>
      </c>
      <c r="D655" s="349" t="s">
        <v>2020</v>
      </c>
      <c r="E655" s="393" t="s">
        <v>2024</v>
      </c>
      <c r="F655" s="395"/>
      <c r="G655" s="404"/>
      <c r="H655" s="397">
        <v>600000</v>
      </c>
      <c r="I655" s="353"/>
      <c r="J655" s="353"/>
      <c r="K655" s="354">
        <f t="shared" si="113"/>
        <v>600000</v>
      </c>
      <c r="L655" s="398">
        <v>43536</v>
      </c>
      <c r="M655" s="742">
        <v>256803.33333333331</v>
      </c>
      <c r="N655" s="352">
        <f t="shared" si="121"/>
        <v>343196.66666666669</v>
      </c>
      <c r="O655" s="357">
        <f t="shared" si="114"/>
        <v>1847</v>
      </c>
      <c r="P655" s="357">
        <v>9</v>
      </c>
      <c r="Q655" s="358">
        <f t="shared" si="112"/>
        <v>5.0602739726027401</v>
      </c>
      <c r="R655" s="359">
        <f t="shared" si="115"/>
        <v>3.9397260273972599</v>
      </c>
      <c r="S655" s="360">
        <f t="shared" si="116"/>
        <v>3.9397260273972599</v>
      </c>
      <c r="T655" s="361">
        <f t="shared" si="117"/>
        <v>0.10555555555555554</v>
      </c>
      <c r="U655" s="362">
        <f t="shared" si="111"/>
        <v>63333.333333333321</v>
      </c>
      <c r="V655" s="362">
        <f t="shared" si="119"/>
        <v>279863.33333333337</v>
      </c>
      <c r="W655" s="362">
        <f t="shared" si="118"/>
        <v>30000</v>
      </c>
      <c r="X655" s="742">
        <f t="shared" si="120"/>
        <v>249863.33333333337</v>
      </c>
    </row>
    <row r="656" spans="1:24" ht="13.9">
      <c r="A656" s="349">
        <f t="shared" si="122"/>
        <v>648</v>
      </c>
      <c r="B656" s="393" t="s">
        <v>2034</v>
      </c>
      <c r="C656" s="394" t="s">
        <v>2019</v>
      </c>
      <c r="D656" s="349" t="s">
        <v>2020</v>
      </c>
      <c r="E656" s="393" t="s">
        <v>2035</v>
      </c>
      <c r="F656" s="395"/>
      <c r="G656" s="404"/>
      <c r="H656" s="397">
        <v>1446480</v>
      </c>
      <c r="I656" s="353"/>
      <c r="J656" s="353"/>
      <c r="K656" s="354">
        <f t="shared" si="113"/>
        <v>1446480</v>
      </c>
      <c r="L656" s="398">
        <v>43431</v>
      </c>
      <c r="M656" s="742">
        <v>663025</v>
      </c>
      <c r="N656" s="352">
        <f t="shared" si="121"/>
        <v>783455</v>
      </c>
      <c r="O656" s="357">
        <f t="shared" si="114"/>
        <v>1952</v>
      </c>
      <c r="P656" s="357">
        <v>9</v>
      </c>
      <c r="Q656" s="358">
        <f t="shared" si="112"/>
        <v>5.3479452054794523</v>
      </c>
      <c r="R656" s="359">
        <f t="shared" si="115"/>
        <v>3.6520547945205477</v>
      </c>
      <c r="S656" s="360">
        <f t="shared" si="116"/>
        <v>3.6520547945205477</v>
      </c>
      <c r="T656" s="361">
        <f t="shared" si="117"/>
        <v>0.10555555555555554</v>
      </c>
      <c r="U656" s="362">
        <f t="shared" si="111"/>
        <v>152683.99999999997</v>
      </c>
      <c r="V656" s="362">
        <f t="shared" si="119"/>
        <v>630771</v>
      </c>
      <c r="W656" s="362">
        <f t="shared" si="118"/>
        <v>72324</v>
      </c>
      <c r="X656" s="742">
        <f t="shared" si="120"/>
        <v>558447</v>
      </c>
    </row>
    <row r="657" spans="1:24" ht="13.9">
      <c r="A657" s="349">
        <f t="shared" si="122"/>
        <v>649</v>
      </c>
      <c r="B657" s="393" t="s">
        <v>2034</v>
      </c>
      <c r="C657" s="394" t="s">
        <v>2019</v>
      </c>
      <c r="D657" s="349" t="s">
        <v>2020</v>
      </c>
      <c r="E657" s="393" t="s">
        <v>2035</v>
      </c>
      <c r="F657" s="395"/>
      <c r="G657" s="404"/>
      <c r="H657" s="397">
        <v>1446480</v>
      </c>
      <c r="I657" s="353"/>
      <c r="J657" s="353"/>
      <c r="K657" s="354">
        <f t="shared" si="113"/>
        <v>1446480</v>
      </c>
      <c r="L657" s="398">
        <v>43431</v>
      </c>
      <c r="M657" s="742">
        <v>663025</v>
      </c>
      <c r="N657" s="352">
        <f t="shared" si="121"/>
        <v>783455</v>
      </c>
      <c r="O657" s="357">
        <f t="shared" si="114"/>
        <v>1952</v>
      </c>
      <c r="P657" s="357">
        <v>9</v>
      </c>
      <c r="Q657" s="358">
        <f t="shared" si="112"/>
        <v>5.3479452054794523</v>
      </c>
      <c r="R657" s="359">
        <f t="shared" si="115"/>
        <v>3.6520547945205477</v>
      </c>
      <c r="S657" s="360">
        <f t="shared" si="116"/>
        <v>3.6520547945205477</v>
      </c>
      <c r="T657" s="361">
        <f t="shared" si="117"/>
        <v>0.10555555555555554</v>
      </c>
      <c r="U657" s="362">
        <f t="shared" si="111"/>
        <v>152683.99999999997</v>
      </c>
      <c r="V657" s="362">
        <f t="shared" si="119"/>
        <v>630771</v>
      </c>
      <c r="W657" s="362">
        <f t="shared" si="118"/>
        <v>72324</v>
      </c>
      <c r="X657" s="742">
        <f t="shared" si="120"/>
        <v>558447</v>
      </c>
    </row>
    <row r="658" spans="1:24" ht="13.9">
      <c r="A658" s="349">
        <f t="shared" si="122"/>
        <v>650</v>
      </c>
      <c r="B658" s="393" t="s">
        <v>2034</v>
      </c>
      <c r="C658" s="394" t="s">
        <v>2019</v>
      </c>
      <c r="D658" s="349" t="s">
        <v>2020</v>
      </c>
      <c r="E658" s="393" t="s">
        <v>2035</v>
      </c>
      <c r="F658" s="395"/>
      <c r="G658" s="404"/>
      <c r="H658" s="397">
        <v>1446480</v>
      </c>
      <c r="I658" s="353"/>
      <c r="J658" s="353"/>
      <c r="K658" s="354">
        <f t="shared" si="113"/>
        <v>1446480</v>
      </c>
      <c r="L658" s="398">
        <v>43431</v>
      </c>
      <c r="M658" s="742">
        <v>663025</v>
      </c>
      <c r="N658" s="352">
        <f t="shared" si="121"/>
        <v>783455</v>
      </c>
      <c r="O658" s="357">
        <f t="shared" si="114"/>
        <v>1952</v>
      </c>
      <c r="P658" s="357">
        <v>9</v>
      </c>
      <c r="Q658" s="358">
        <f t="shared" si="112"/>
        <v>5.3479452054794523</v>
      </c>
      <c r="R658" s="359">
        <f t="shared" si="115"/>
        <v>3.6520547945205477</v>
      </c>
      <c r="S658" s="360">
        <f t="shared" si="116"/>
        <v>3.6520547945205477</v>
      </c>
      <c r="T658" s="361">
        <f t="shared" si="117"/>
        <v>0.10555555555555554</v>
      </c>
      <c r="U658" s="362">
        <f t="shared" si="111"/>
        <v>152683.99999999997</v>
      </c>
      <c r="V658" s="362">
        <f t="shared" si="119"/>
        <v>630771</v>
      </c>
      <c r="W658" s="362">
        <f t="shared" si="118"/>
        <v>72324</v>
      </c>
      <c r="X658" s="742">
        <f t="shared" si="120"/>
        <v>558447</v>
      </c>
    </row>
    <row r="659" spans="1:24" ht="13.9">
      <c r="A659" s="349">
        <f t="shared" si="122"/>
        <v>651</v>
      </c>
      <c r="B659" s="393" t="s">
        <v>2034</v>
      </c>
      <c r="C659" s="394" t="s">
        <v>2019</v>
      </c>
      <c r="D659" s="349" t="s">
        <v>2020</v>
      </c>
      <c r="E659" s="393" t="s">
        <v>2035</v>
      </c>
      <c r="F659" s="395"/>
      <c r="G659" s="404"/>
      <c r="H659" s="397">
        <v>1446480</v>
      </c>
      <c r="I659" s="353"/>
      <c r="J659" s="353"/>
      <c r="K659" s="354">
        <f t="shared" si="113"/>
        <v>1446480</v>
      </c>
      <c r="L659" s="398">
        <v>43431</v>
      </c>
      <c r="M659" s="742">
        <v>663025</v>
      </c>
      <c r="N659" s="352">
        <f t="shared" si="121"/>
        <v>783455</v>
      </c>
      <c r="O659" s="357">
        <f t="shared" si="114"/>
        <v>1952</v>
      </c>
      <c r="P659" s="357">
        <v>9</v>
      </c>
      <c r="Q659" s="358">
        <f t="shared" si="112"/>
        <v>5.3479452054794523</v>
      </c>
      <c r="R659" s="359">
        <f t="shared" si="115"/>
        <v>3.6520547945205477</v>
      </c>
      <c r="S659" s="360">
        <f t="shared" si="116"/>
        <v>3.6520547945205477</v>
      </c>
      <c r="T659" s="361">
        <f t="shared" si="117"/>
        <v>0.10555555555555554</v>
      </c>
      <c r="U659" s="362">
        <f t="shared" si="111"/>
        <v>152683.99999999997</v>
      </c>
      <c r="V659" s="362">
        <f t="shared" si="119"/>
        <v>630771</v>
      </c>
      <c r="W659" s="362">
        <f t="shared" si="118"/>
        <v>72324</v>
      </c>
      <c r="X659" s="742">
        <f t="shared" si="120"/>
        <v>558447</v>
      </c>
    </row>
    <row r="660" spans="1:24" ht="13.9">
      <c r="A660" s="349">
        <f t="shared" si="122"/>
        <v>652</v>
      </c>
      <c r="B660" s="393" t="s">
        <v>2034</v>
      </c>
      <c r="C660" s="394" t="s">
        <v>2019</v>
      </c>
      <c r="D660" s="349" t="s">
        <v>2020</v>
      </c>
      <c r="E660" s="393" t="s">
        <v>2035</v>
      </c>
      <c r="F660" s="395"/>
      <c r="G660" s="404"/>
      <c r="H660" s="397">
        <v>1447048</v>
      </c>
      <c r="I660" s="353"/>
      <c r="J660" s="353"/>
      <c r="K660" s="354">
        <f t="shared" si="113"/>
        <v>1447048</v>
      </c>
      <c r="L660" s="398">
        <v>43496</v>
      </c>
      <c r="M660" s="742">
        <v>636083.95555555553</v>
      </c>
      <c r="N660" s="352">
        <f t="shared" si="121"/>
        <v>810964.04444444447</v>
      </c>
      <c r="O660" s="357">
        <f t="shared" si="114"/>
        <v>1887</v>
      </c>
      <c r="P660" s="357">
        <v>9</v>
      </c>
      <c r="Q660" s="358">
        <f t="shared" si="112"/>
        <v>5.1698630136986301</v>
      </c>
      <c r="R660" s="359">
        <f t="shared" si="115"/>
        <v>3.8301369863013699</v>
      </c>
      <c r="S660" s="360">
        <f t="shared" si="116"/>
        <v>3.8301369863013699</v>
      </c>
      <c r="T660" s="361">
        <f t="shared" si="117"/>
        <v>0.10555555555555554</v>
      </c>
      <c r="U660" s="362">
        <f t="shared" si="111"/>
        <v>152743.95555555553</v>
      </c>
      <c r="V660" s="362">
        <f t="shared" si="119"/>
        <v>658220.08888888895</v>
      </c>
      <c r="W660" s="362">
        <f t="shared" si="118"/>
        <v>72352</v>
      </c>
      <c r="X660" s="742">
        <f t="shared" si="120"/>
        <v>585868.08888888895</v>
      </c>
    </row>
    <row r="661" spans="1:24" ht="13.9">
      <c r="A661" s="349">
        <f t="shared" si="122"/>
        <v>653</v>
      </c>
      <c r="B661" s="393" t="s">
        <v>2034</v>
      </c>
      <c r="C661" s="394" t="s">
        <v>2019</v>
      </c>
      <c r="D661" s="349" t="s">
        <v>2020</v>
      </c>
      <c r="E661" s="393" t="s">
        <v>2035</v>
      </c>
      <c r="F661" s="395"/>
      <c r="G661" s="404"/>
      <c r="H661" s="397">
        <v>1447048</v>
      </c>
      <c r="I661" s="353"/>
      <c r="J661" s="353"/>
      <c r="K661" s="354">
        <f t="shared" si="113"/>
        <v>1447048</v>
      </c>
      <c r="L661" s="398">
        <v>43496</v>
      </c>
      <c r="M661" s="742">
        <v>636083.95555555553</v>
      </c>
      <c r="N661" s="352">
        <f t="shared" si="121"/>
        <v>810964.04444444447</v>
      </c>
      <c r="O661" s="357">
        <f t="shared" si="114"/>
        <v>1887</v>
      </c>
      <c r="P661" s="357">
        <v>9</v>
      </c>
      <c r="Q661" s="358">
        <f t="shared" si="112"/>
        <v>5.1698630136986301</v>
      </c>
      <c r="R661" s="359">
        <f t="shared" si="115"/>
        <v>3.8301369863013699</v>
      </c>
      <c r="S661" s="360">
        <f t="shared" si="116"/>
        <v>3.8301369863013699</v>
      </c>
      <c r="T661" s="361">
        <f t="shared" si="117"/>
        <v>0.10555555555555554</v>
      </c>
      <c r="U661" s="362">
        <f t="shared" si="111"/>
        <v>152743.95555555553</v>
      </c>
      <c r="V661" s="362">
        <f t="shared" si="119"/>
        <v>658220.08888888895</v>
      </c>
      <c r="W661" s="362">
        <f t="shared" si="118"/>
        <v>72352</v>
      </c>
      <c r="X661" s="742">
        <f t="shared" si="120"/>
        <v>585868.08888888895</v>
      </c>
    </row>
    <row r="662" spans="1:24" ht="13.9">
      <c r="A662" s="349">
        <f t="shared" si="122"/>
        <v>654</v>
      </c>
      <c r="B662" s="393" t="s">
        <v>2036</v>
      </c>
      <c r="C662" s="394" t="s">
        <v>2019</v>
      </c>
      <c r="D662" s="349" t="s">
        <v>2020</v>
      </c>
      <c r="E662" s="393" t="s">
        <v>2032</v>
      </c>
      <c r="F662" s="395"/>
      <c r="G662" s="404"/>
      <c r="H662" s="397">
        <v>597610</v>
      </c>
      <c r="I662" s="353"/>
      <c r="J662" s="353"/>
      <c r="K662" s="354">
        <f t="shared" si="113"/>
        <v>597610</v>
      </c>
      <c r="L662" s="398">
        <v>43370</v>
      </c>
      <c r="M662" s="742">
        <v>284470.05555555556</v>
      </c>
      <c r="N662" s="352">
        <f t="shared" si="121"/>
        <v>313139.94444444444</v>
      </c>
      <c r="O662" s="357">
        <f t="shared" si="114"/>
        <v>2013</v>
      </c>
      <c r="P662" s="357">
        <v>9</v>
      </c>
      <c r="Q662" s="358">
        <f t="shared" si="112"/>
        <v>5.515068493150685</v>
      </c>
      <c r="R662" s="359">
        <f t="shared" si="115"/>
        <v>3.484931506849315</v>
      </c>
      <c r="S662" s="360">
        <f t="shared" si="116"/>
        <v>3.484931506849315</v>
      </c>
      <c r="T662" s="361">
        <f t="shared" si="117"/>
        <v>0.10555555555555554</v>
      </c>
      <c r="U662" s="362">
        <f t="shared" si="111"/>
        <v>63081.055555555547</v>
      </c>
      <c r="V662" s="362">
        <f t="shared" si="119"/>
        <v>250058.88888888888</v>
      </c>
      <c r="W662" s="362">
        <f t="shared" si="118"/>
        <v>29881</v>
      </c>
      <c r="X662" s="742">
        <f t="shared" si="120"/>
        <v>220177.88888888888</v>
      </c>
    </row>
    <row r="663" spans="1:24" ht="13.9">
      <c r="A663" s="349">
        <f t="shared" si="122"/>
        <v>655</v>
      </c>
      <c r="B663" s="393" t="s">
        <v>2036</v>
      </c>
      <c r="C663" s="394" t="s">
        <v>2019</v>
      </c>
      <c r="D663" s="349" t="s">
        <v>2020</v>
      </c>
      <c r="E663" s="393" t="s">
        <v>2032</v>
      </c>
      <c r="F663" s="395"/>
      <c r="G663" s="404"/>
      <c r="H663" s="397">
        <v>597610</v>
      </c>
      <c r="I663" s="353"/>
      <c r="J663" s="353"/>
      <c r="K663" s="354">
        <f t="shared" si="113"/>
        <v>597610</v>
      </c>
      <c r="L663" s="398">
        <v>43458</v>
      </c>
      <c r="M663" s="742">
        <v>269261.05555555556</v>
      </c>
      <c r="N663" s="352">
        <f t="shared" si="121"/>
        <v>328348.94444444444</v>
      </c>
      <c r="O663" s="357">
        <f t="shared" si="114"/>
        <v>1925</v>
      </c>
      <c r="P663" s="357">
        <v>9</v>
      </c>
      <c r="Q663" s="358">
        <f t="shared" si="112"/>
        <v>5.2739726027397262</v>
      </c>
      <c r="R663" s="359">
        <f t="shared" si="115"/>
        <v>3.7260273972602738</v>
      </c>
      <c r="S663" s="360">
        <f t="shared" si="116"/>
        <v>3.7260273972602738</v>
      </c>
      <c r="T663" s="361">
        <f t="shared" si="117"/>
        <v>0.10555555555555554</v>
      </c>
      <c r="U663" s="362">
        <f t="shared" si="111"/>
        <v>63081.055555555547</v>
      </c>
      <c r="V663" s="362">
        <f t="shared" si="119"/>
        <v>265267.88888888888</v>
      </c>
      <c r="W663" s="362">
        <f t="shared" si="118"/>
        <v>29881</v>
      </c>
      <c r="X663" s="742">
        <f t="shared" si="120"/>
        <v>235386.88888888888</v>
      </c>
    </row>
    <row r="664" spans="1:24" ht="13.9">
      <c r="A664" s="349">
        <f t="shared" si="122"/>
        <v>656</v>
      </c>
      <c r="B664" s="393" t="s">
        <v>2036</v>
      </c>
      <c r="C664" s="394" t="s">
        <v>2019</v>
      </c>
      <c r="D664" s="349" t="s">
        <v>2020</v>
      </c>
      <c r="E664" s="393" t="s">
        <v>2032</v>
      </c>
      <c r="F664" s="395"/>
      <c r="G664" s="404"/>
      <c r="H664" s="397">
        <v>597610</v>
      </c>
      <c r="I664" s="353"/>
      <c r="J664" s="353"/>
      <c r="K664" s="354">
        <f t="shared" si="113"/>
        <v>597610</v>
      </c>
      <c r="L664" s="398">
        <v>43459</v>
      </c>
      <c r="M664" s="742">
        <v>269088.05555555556</v>
      </c>
      <c r="N664" s="352">
        <f t="shared" si="121"/>
        <v>328521.94444444444</v>
      </c>
      <c r="O664" s="357">
        <f t="shared" si="114"/>
        <v>1924</v>
      </c>
      <c r="P664" s="357">
        <v>9</v>
      </c>
      <c r="Q664" s="358">
        <f t="shared" si="112"/>
        <v>5.2712328767123289</v>
      </c>
      <c r="R664" s="359">
        <f t="shared" si="115"/>
        <v>3.7287671232876711</v>
      </c>
      <c r="S664" s="360">
        <f t="shared" si="116"/>
        <v>3.7287671232876711</v>
      </c>
      <c r="T664" s="361">
        <f t="shared" si="117"/>
        <v>0.10555555555555554</v>
      </c>
      <c r="U664" s="362">
        <f t="shared" si="111"/>
        <v>63081.055555555547</v>
      </c>
      <c r="V664" s="362">
        <f t="shared" si="119"/>
        <v>265440.88888888888</v>
      </c>
      <c r="W664" s="362">
        <f t="shared" si="118"/>
        <v>29881</v>
      </c>
      <c r="X664" s="742">
        <f t="shared" si="120"/>
        <v>235559.88888888888</v>
      </c>
    </row>
    <row r="665" spans="1:24" ht="13.9">
      <c r="A665" s="349">
        <f t="shared" si="122"/>
        <v>657</v>
      </c>
      <c r="B665" s="393" t="s">
        <v>2036</v>
      </c>
      <c r="C665" s="394" t="s">
        <v>2019</v>
      </c>
      <c r="D665" s="349" t="s">
        <v>2020</v>
      </c>
      <c r="E665" s="393" t="s">
        <v>2032</v>
      </c>
      <c r="F665" s="395"/>
      <c r="G665" s="404"/>
      <c r="H665" s="397">
        <v>597610</v>
      </c>
      <c r="I665" s="353"/>
      <c r="J665" s="353"/>
      <c r="K665" s="354">
        <f t="shared" si="113"/>
        <v>597610</v>
      </c>
      <c r="L665" s="398">
        <v>43475</v>
      </c>
      <c r="M665" s="742">
        <v>266323.05555555556</v>
      </c>
      <c r="N665" s="352">
        <f t="shared" si="121"/>
        <v>331286.94444444444</v>
      </c>
      <c r="O665" s="357">
        <f t="shared" si="114"/>
        <v>1908</v>
      </c>
      <c r="P665" s="357">
        <v>9</v>
      </c>
      <c r="Q665" s="358">
        <f t="shared" si="112"/>
        <v>5.2273972602739729</v>
      </c>
      <c r="R665" s="359">
        <f t="shared" si="115"/>
        <v>3.7726027397260271</v>
      </c>
      <c r="S665" s="360">
        <f t="shared" si="116"/>
        <v>3.7726027397260271</v>
      </c>
      <c r="T665" s="361">
        <f t="shared" si="117"/>
        <v>0.10555555555555554</v>
      </c>
      <c r="U665" s="362">
        <f t="shared" si="111"/>
        <v>63081.055555555547</v>
      </c>
      <c r="V665" s="362">
        <f t="shared" si="119"/>
        <v>268205.88888888888</v>
      </c>
      <c r="W665" s="362">
        <f t="shared" si="118"/>
        <v>29881</v>
      </c>
      <c r="X665" s="742">
        <f t="shared" si="120"/>
        <v>238324.88888888888</v>
      </c>
    </row>
    <row r="666" spans="1:24" ht="13.9">
      <c r="A666" s="349">
        <f t="shared" si="122"/>
        <v>658</v>
      </c>
      <c r="B666" s="393" t="s">
        <v>2036</v>
      </c>
      <c r="C666" s="394" t="s">
        <v>2019</v>
      </c>
      <c r="D666" s="349" t="s">
        <v>2020</v>
      </c>
      <c r="E666" s="393" t="s">
        <v>2032</v>
      </c>
      <c r="F666" s="395"/>
      <c r="G666" s="404"/>
      <c r="H666" s="397">
        <v>597610</v>
      </c>
      <c r="I666" s="353"/>
      <c r="J666" s="353"/>
      <c r="K666" s="354">
        <f t="shared" si="113"/>
        <v>597610</v>
      </c>
      <c r="L666" s="398">
        <v>43487</v>
      </c>
      <c r="M666" s="742">
        <v>264249.05555555556</v>
      </c>
      <c r="N666" s="352">
        <f t="shared" si="121"/>
        <v>333360.94444444444</v>
      </c>
      <c r="O666" s="357">
        <f t="shared" si="114"/>
        <v>1896</v>
      </c>
      <c r="P666" s="357">
        <v>9</v>
      </c>
      <c r="Q666" s="358">
        <f t="shared" si="112"/>
        <v>5.1945205479452055</v>
      </c>
      <c r="R666" s="359">
        <f t="shared" si="115"/>
        <v>3.8054794520547945</v>
      </c>
      <c r="S666" s="360">
        <f t="shared" si="116"/>
        <v>3.8054794520547945</v>
      </c>
      <c r="T666" s="361">
        <f t="shared" si="117"/>
        <v>0.10555555555555554</v>
      </c>
      <c r="U666" s="362">
        <f t="shared" si="111"/>
        <v>63081.055555555547</v>
      </c>
      <c r="V666" s="362">
        <f t="shared" si="119"/>
        <v>270279.88888888888</v>
      </c>
      <c r="W666" s="362">
        <f t="shared" si="118"/>
        <v>29881</v>
      </c>
      <c r="X666" s="742">
        <f t="shared" si="120"/>
        <v>240398.88888888888</v>
      </c>
    </row>
    <row r="667" spans="1:24" ht="13.9">
      <c r="A667" s="349">
        <f t="shared" si="122"/>
        <v>659</v>
      </c>
      <c r="B667" s="393" t="s">
        <v>2037</v>
      </c>
      <c r="C667" s="394" t="s">
        <v>2019</v>
      </c>
      <c r="D667" s="349" t="s">
        <v>2020</v>
      </c>
      <c r="E667" s="393" t="s">
        <v>2038</v>
      </c>
      <c r="F667" s="395"/>
      <c r="G667" s="404"/>
      <c r="H667" s="397">
        <v>5550000</v>
      </c>
      <c r="I667" s="353"/>
      <c r="J667" s="353"/>
      <c r="K667" s="354">
        <f t="shared" si="113"/>
        <v>5550000</v>
      </c>
      <c r="L667" s="398">
        <v>43307</v>
      </c>
      <c r="M667" s="742">
        <v>2742984.333333333</v>
      </c>
      <c r="N667" s="352">
        <f t="shared" si="121"/>
        <v>2807015.666666667</v>
      </c>
      <c r="O667" s="357">
        <f t="shared" si="114"/>
        <v>2076</v>
      </c>
      <c r="P667" s="357">
        <v>9</v>
      </c>
      <c r="Q667" s="358">
        <f t="shared" si="112"/>
        <v>5.6876712328767125</v>
      </c>
      <c r="R667" s="359">
        <f t="shared" si="115"/>
        <v>3.3123287671232875</v>
      </c>
      <c r="S667" s="360">
        <f t="shared" si="116"/>
        <v>3.3123287671232875</v>
      </c>
      <c r="T667" s="361">
        <f t="shared" si="117"/>
        <v>0.10555555555555554</v>
      </c>
      <c r="U667" s="362">
        <f t="shared" si="111"/>
        <v>585833.33333333326</v>
      </c>
      <c r="V667" s="362">
        <f t="shared" si="119"/>
        <v>2221182.333333334</v>
      </c>
      <c r="W667" s="362">
        <f t="shared" si="118"/>
        <v>277500</v>
      </c>
      <c r="X667" s="742">
        <f t="shared" si="120"/>
        <v>1943682.333333334</v>
      </c>
    </row>
    <row r="668" spans="1:24" ht="13.9">
      <c r="A668" s="349">
        <f t="shared" si="122"/>
        <v>660</v>
      </c>
      <c r="B668" s="393" t="s">
        <v>2037</v>
      </c>
      <c r="C668" s="394" t="s">
        <v>2019</v>
      </c>
      <c r="D668" s="349" t="s">
        <v>2020</v>
      </c>
      <c r="E668" s="393" t="s">
        <v>2038</v>
      </c>
      <c r="F668" s="395"/>
      <c r="G668" s="404"/>
      <c r="H668" s="397">
        <v>5550000</v>
      </c>
      <c r="I668" s="353"/>
      <c r="J668" s="353"/>
      <c r="K668" s="354">
        <f t="shared" si="113"/>
        <v>5550000</v>
      </c>
      <c r="L668" s="398">
        <v>43340</v>
      </c>
      <c r="M668" s="742">
        <v>2690018.333333333</v>
      </c>
      <c r="N668" s="352">
        <f t="shared" si="121"/>
        <v>2859981.666666667</v>
      </c>
      <c r="O668" s="357">
        <f t="shared" si="114"/>
        <v>2043</v>
      </c>
      <c r="P668" s="357">
        <v>9</v>
      </c>
      <c r="Q668" s="358">
        <f t="shared" si="112"/>
        <v>5.5972602739726032</v>
      </c>
      <c r="R668" s="359">
        <f t="shared" si="115"/>
        <v>3.4027397260273968</v>
      </c>
      <c r="S668" s="360">
        <f t="shared" si="116"/>
        <v>3.4027397260273968</v>
      </c>
      <c r="T668" s="361">
        <f t="shared" si="117"/>
        <v>0.10555555555555554</v>
      </c>
      <c r="U668" s="362">
        <f t="shared" si="111"/>
        <v>585833.33333333326</v>
      </c>
      <c r="V668" s="362">
        <f t="shared" si="119"/>
        <v>2274148.333333334</v>
      </c>
      <c r="W668" s="362">
        <f t="shared" si="118"/>
        <v>277500</v>
      </c>
      <c r="X668" s="742">
        <f t="shared" si="120"/>
        <v>1996648.333333334</v>
      </c>
    </row>
    <row r="669" spans="1:24" ht="13.9">
      <c r="A669" s="349">
        <f t="shared" si="122"/>
        <v>661</v>
      </c>
      <c r="B669" s="393" t="s">
        <v>2037</v>
      </c>
      <c r="C669" s="394" t="s">
        <v>2019</v>
      </c>
      <c r="D669" s="349" t="s">
        <v>2020</v>
      </c>
      <c r="E669" s="393" t="s">
        <v>2038</v>
      </c>
      <c r="F669" s="395"/>
      <c r="G669" s="404"/>
      <c r="H669" s="397">
        <v>5550000</v>
      </c>
      <c r="I669" s="353"/>
      <c r="J669" s="353"/>
      <c r="K669" s="354">
        <f t="shared" si="113"/>
        <v>5550000</v>
      </c>
      <c r="L669" s="398">
        <v>43427</v>
      </c>
      <c r="M669" s="742">
        <v>2550381.333333333</v>
      </c>
      <c r="N669" s="352">
        <f t="shared" si="121"/>
        <v>2999618.666666667</v>
      </c>
      <c r="O669" s="357">
        <f t="shared" si="114"/>
        <v>1956</v>
      </c>
      <c r="P669" s="357">
        <v>9</v>
      </c>
      <c r="Q669" s="358">
        <f t="shared" si="112"/>
        <v>5.3589041095890408</v>
      </c>
      <c r="R669" s="359">
        <f t="shared" si="115"/>
        <v>3.6410958904109592</v>
      </c>
      <c r="S669" s="360">
        <f t="shared" si="116"/>
        <v>3.6410958904109592</v>
      </c>
      <c r="T669" s="361">
        <f t="shared" si="117"/>
        <v>0.10555555555555554</v>
      </c>
      <c r="U669" s="362">
        <f t="shared" si="111"/>
        <v>585833.33333333326</v>
      </c>
      <c r="V669" s="362">
        <f t="shared" si="119"/>
        <v>2413785.333333334</v>
      </c>
      <c r="W669" s="362">
        <f t="shared" si="118"/>
        <v>277500</v>
      </c>
      <c r="X669" s="742">
        <f t="shared" si="120"/>
        <v>2136285.333333334</v>
      </c>
    </row>
    <row r="670" spans="1:24" ht="13.9">
      <c r="A670" s="349">
        <f t="shared" si="122"/>
        <v>662</v>
      </c>
      <c r="B670" s="393" t="s">
        <v>1932</v>
      </c>
      <c r="C670" s="394" t="s">
        <v>2019</v>
      </c>
      <c r="D670" s="349" t="s">
        <v>2020</v>
      </c>
      <c r="E670" s="393" t="s">
        <v>180</v>
      </c>
      <c r="F670" s="395"/>
      <c r="G670" s="404"/>
      <c r="H670" s="397">
        <v>385593</v>
      </c>
      <c r="I670" s="353"/>
      <c r="J670" s="353"/>
      <c r="K670" s="354">
        <f t="shared" si="113"/>
        <v>385593</v>
      </c>
      <c r="L670" s="398">
        <v>43343</v>
      </c>
      <c r="M670" s="742">
        <v>186557.48333333334</v>
      </c>
      <c r="N670" s="352">
        <f t="shared" si="121"/>
        <v>199035.51666666666</v>
      </c>
      <c r="O670" s="357">
        <f t="shared" si="114"/>
        <v>2040</v>
      </c>
      <c r="P670" s="357">
        <v>9</v>
      </c>
      <c r="Q670" s="358">
        <f t="shared" si="112"/>
        <v>5.5890410958904111</v>
      </c>
      <c r="R670" s="359">
        <f t="shared" si="115"/>
        <v>3.4109589041095889</v>
      </c>
      <c r="S670" s="360">
        <f t="shared" si="116"/>
        <v>3.4109589041095889</v>
      </c>
      <c r="T670" s="361">
        <f t="shared" si="117"/>
        <v>0.10555555555555554</v>
      </c>
      <c r="U670" s="362">
        <f t="shared" si="111"/>
        <v>40701.48333333333</v>
      </c>
      <c r="V670" s="362">
        <f t="shared" si="119"/>
        <v>158334.03333333333</v>
      </c>
      <c r="W670" s="362">
        <f t="shared" si="118"/>
        <v>19280</v>
      </c>
      <c r="X670" s="742">
        <f t="shared" si="120"/>
        <v>139054.03333333333</v>
      </c>
    </row>
    <row r="671" spans="1:24" ht="13.9">
      <c r="A671" s="349">
        <f t="shared" si="122"/>
        <v>663</v>
      </c>
      <c r="B671" s="393" t="s">
        <v>1932</v>
      </c>
      <c r="C671" s="394" t="s">
        <v>2019</v>
      </c>
      <c r="D671" s="349" t="s">
        <v>2020</v>
      </c>
      <c r="E671" s="393" t="s">
        <v>180</v>
      </c>
      <c r="F671" s="395"/>
      <c r="G671" s="404"/>
      <c r="H671" s="397">
        <v>1260000</v>
      </c>
      <c r="I671" s="353"/>
      <c r="J671" s="353"/>
      <c r="K671" s="354">
        <f t="shared" si="113"/>
        <v>1260000</v>
      </c>
      <c r="L671" s="398">
        <v>43375</v>
      </c>
      <c r="M671" s="742">
        <v>597953</v>
      </c>
      <c r="N671" s="352">
        <f t="shared" si="121"/>
        <v>662047</v>
      </c>
      <c r="O671" s="357">
        <f t="shared" si="114"/>
        <v>2008</v>
      </c>
      <c r="P671" s="357">
        <v>9</v>
      </c>
      <c r="Q671" s="358">
        <f t="shared" si="112"/>
        <v>5.5013698630136982</v>
      </c>
      <c r="R671" s="359">
        <f t="shared" si="115"/>
        <v>3.4986301369863018</v>
      </c>
      <c r="S671" s="360">
        <f t="shared" si="116"/>
        <v>3.4986301369863018</v>
      </c>
      <c r="T671" s="361">
        <f t="shared" si="117"/>
        <v>0.10555555555555554</v>
      </c>
      <c r="U671" s="362">
        <f t="shared" si="111"/>
        <v>132999.99999999997</v>
      </c>
      <c r="V671" s="362">
        <f t="shared" si="119"/>
        <v>529047</v>
      </c>
      <c r="W671" s="362">
        <f t="shared" si="118"/>
        <v>63000</v>
      </c>
      <c r="X671" s="742">
        <f t="shared" si="120"/>
        <v>466047</v>
      </c>
    </row>
    <row r="672" spans="1:24" ht="13.9">
      <c r="A672" s="349">
        <f t="shared" si="122"/>
        <v>664</v>
      </c>
      <c r="B672" s="393" t="s">
        <v>1932</v>
      </c>
      <c r="C672" s="394" t="s">
        <v>2019</v>
      </c>
      <c r="D672" s="349" t="s">
        <v>2020</v>
      </c>
      <c r="E672" s="393" t="s">
        <v>180</v>
      </c>
      <c r="F672" s="395"/>
      <c r="G672" s="404"/>
      <c r="H672" s="397">
        <v>381356</v>
      </c>
      <c r="I672" s="353"/>
      <c r="J672" s="353"/>
      <c r="K672" s="354">
        <f t="shared" si="113"/>
        <v>381356</v>
      </c>
      <c r="L672" s="398">
        <v>43405</v>
      </c>
      <c r="M672" s="742">
        <v>177670.24444444443</v>
      </c>
      <c r="N672" s="352">
        <f t="shared" si="121"/>
        <v>203685.75555555557</v>
      </c>
      <c r="O672" s="357">
        <f t="shared" si="114"/>
        <v>1978</v>
      </c>
      <c r="P672" s="357">
        <v>9</v>
      </c>
      <c r="Q672" s="358">
        <f t="shared" si="112"/>
        <v>5.419178082191781</v>
      </c>
      <c r="R672" s="359">
        <f t="shared" si="115"/>
        <v>3.580821917808219</v>
      </c>
      <c r="S672" s="360">
        <f t="shared" si="116"/>
        <v>3.580821917808219</v>
      </c>
      <c r="T672" s="361">
        <f t="shared" si="117"/>
        <v>0.10555555555555554</v>
      </c>
      <c r="U672" s="362">
        <f t="shared" si="111"/>
        <v>40254.244444444441</v>
      </c>
      <c r="V672" s="362">
        <f t="shared" si="119"/>
        <v>163431.51111111115</v>
      </c>
      <c r="W672" s="362">
        <f t="shared" si="118"/>
        <v>19068</v>
      </c>
      <c r="X672" s="742">
        <f t="shared" si="120"/>
        <v>144363.51111111115</v>
      </c>
    </row>
    <row r="673" spans="1:24" ht="13.9">
      <c r="A673" s="349">
        <f t="shared" si="122"/>
        <v>665</v>
      </c>
      <c r="B673" s="393" t="s">
        <v>1932</v>
      </c>
      <c r="C673" s="394" t="s">
        <v>2019</v>
      </c>
      <c r="D673" s="349" t="s">
        <v>2020</v>
      </c>
      <c r="E673" s="393" t="s">
        <v>180</v>
      </c>
      <c r="F673" s="395"/>
      <c r="G673" s="404"/>
      <c r="H673" s="397">
        <v>1232000</v>
      </c>
      <c r="I673" s="353"/>
      <c r="J673" s="353"/>
      <c r="K673" s="354">
        <f t="shared" si="113"/>
        <v>1232000</v>
      </c>
      <c r="L673" s="398">
        <v>43421</v>
      </c>
      <c r="M673" s="742">
        <v>568276.44444444438</v>
      </c>
      <c r="N673" s="352">
        <f t="shared" si="121"/>
        <v>663723.55555555562</v>
      </c>
      <c r="O673" s="357">
        <f t="shared" si="114"/>
        <v>1962</v>
      </c>
      <c r="P673" s="357">
        <v>9</v>
      </c>
      <c r="Q673" s="358">
        <f t="shared" si="112"/>
        <v>5.375342465753425</v>
      </c>
      <c r="R673" s="359">
        <f t="shared" si="115"/>
        <v>3.624657534246575</v>
      </c>
      <c r="S673" s="360">
        <f t="shared" si="116"/>
        <v>3.624657534246575</v>
      </c>
      <c r="T673" s="361">
        <f t="shared" si="117"/>
        <v>0.10555555555555554</v>
      </c>
      <c r="U673" s="362">
        <f t="shared" si="111"/>
        <v>130044.44444444442</v>
      </c>
      <c r="V673" s="362">
        <f t="shared" si="119"/>
        <v>533679.11111111124</v>
      </c>
      <c r="W673" s="362">
        <f t="shared" si="118"/>
        <v>61600</v>
      </c>
      <c r="X673" s="742">
        <f t="shared" si="120"/>
        <v>472079.11111111124</v>
      </c>
    </row>
    <row r="674" spans="1:24" ht="13.9">
      <c r="A674" s="349">
        <f t="shared" si="122"/>
        <v>666</v>
      </c>
      <c r="B674" s="393" t="s">
        <v>1932</v>
      </c>
      <c r="C674" s="394" t="s">
        <v>2019</v>
      </c>
      <c r="D674" s="349" t="s">
        <v>2020</v>
      </c>
      <c r="E674" s="393" t="s">
        <v>180</v>
      </c>
      <c r="F674" s="395"/>
      <c r="G674" s="404"/>
      <c r="H674" s="397">
        <v>305085</v>
      </c>
      <c r="I674" s="353"/>
      <c r="J674" s="353"/>
      <c r="K674" s="354">
        <f t="shared" si="113"/>
        <v>305085</v>
      </c>
      <c r="L674" s="398">
        <v>43426</v>
      </c>
      <c r="M674" s="742">
        <v>140283.41666666666</v>
      </c>
      <c r="N674" s="352">
        <f t="shared" si="121"/>
        <v>164801.58333333334</v>
      </c>
      <c r="O674" s="357">
        <f t="shared" si="114"/>
        <v>1957</v>
      </c>
      <c r="P674" s="357">
        <v>9</v>
      </c>
      <c r="Q674" s="358">
        <f t="shared" si="112"/>
        <v>5.3616438356164382</v>
      </c>
      <c r="R674" s="359">
        <f t="shared" si="115"/>
        <v>3.6383561643835618</v>
      </c>
      <c r="S674" s="360">
        <f t="shared" si="116"/>
        <v>3.6383561643835618</v>
      </c>
      <c r="T674" s="361">
        <f t="shared" si="117"/>
        <v>0.10555555555555554</v>
      </c>
      <c r="U674" s="362">
        <f t="shared" si="111"/>
        <v>32203.416666666661</v>
      </c>
      <c r="V674" s="362">
        <f t="shared" si="119"/>
        <v>132598.16666666669</v>
      </c>
      <c r="W674" s="362">
        <f t="shared" si="118"/>
        <v>15254</v>
      </c>
      <c r="X674" s="742">
        <f t="shared" si="120"/>
        <v>117344.16666666669</v>
      </c>
    </row>
    <row r="675" spans="1:24" ht="13.9">
      <c r="A675" s="349">
        <f t="shared" si="122"/>
        <v>667</v>
      </c>
      <c r="B675" s="393" t="s">
        <v>2039</v>
      </c>
      <c r="C675" s="394" t="s">
        <v>2019</v>
      </c>
      <c r="D675" s="349" t="s">
        <v>2020</v>
      </c>
      <c r="E675" s="393" t="s">
        <v>2040</v>
      </c>
      <c r="F675" s="395"/>
      <c r="G675" s="404"/>
      <c r="H675" s="397">
        <v>1260000</v>
      </c>
      <c r="I675" s="353"/>
      <c r="J675" s="353"/>
      <c r="K675" s="354">
        <f t="shared" si="113"/>
        <v>1260000</v>
      </c>
      <c r="L675" s="398">
        <v>43405</v>
      </c>
      <c r="M675" s="742">
        <v>587022</v>
      </c>
      <c r="N675" s="352">
        <f t="shared" si="121"/>
        <v>672978</v>
      </c>
      <c r="O675" s="357">
        <f t="shared" si="114"/>
        <v>1978</v>
      </c>
      <c r="P675" s="357">
        <v>9</v>
      </c>
      <c r="Q675" s="358">
        <f t="shared" si="112"/>
        <v>5.419178082191781</v>
      </c>
      <c r="R675" s="359">
        <f t="shared" si="115"/>
        <v>3.580821917808219</v>
      </c>
      <c r="S675" s="360">
        <f t="shared" si="116"/>
        <v>3.580821917808219</v>
      </c>
      <c r="T675" s="361">
        <f t="shared" si="117"/>
        <v>0.10555555555555554</v>
      </c>
      <c r="U675" s="362">
        <f t="shared" si="111"/>
        <v>132999.99999999997</v>
      </c>
      <c r="V675" s="362">
        <f t="shared" si="119"/>
        <v>539978</v>
      </c>
      <c r="W675" s="362">
        <f t="shared" si="118"/>
        <v>63000</v>
      </c>
      <c r="X675" s="742">
        <f t="shared" si="120"/>
        <v>476978</v>
      </c>
    </row>
    <row r="676" spans="1:24" ht="13.9">
      <c r="A676" s="349">
        <f t="shared" si="122"/>
        <v>668</v>
      </c>
      <c r="B676" s="813" t="s">
        <v>1890</v>
      </c>
      <c r="C676" s="394" t="s">
        <v>2019</v>
      </c>
      <c r="D676" s="349" t="s">
        <v>2020</v>
      </c>
      <c r="E676" s="393" t="s">
        <v>1722</v>
      </c>
      <c r="F676" s="395"/>
      <c r="G676" s="404"/>
      <c r="H676" s="397">
        <v>3300000</v>
      </c>
      <c r="I676" s="353"/>
      <c r="J676" s="353"/>
      <c r="K676" s="354">
        <f t="shared" si="113"/>
        <v>3300000</v>
      </c>
      <c r="L676" s="398">
        <v>43343</v>
      </c>
      <c r="M676" s="742">
        <v>1596607.3333333333</v>
      </c>
      <c r="N676" s="352">
        <f t="shared" si="121"/>
        <v>1703392.6666666667</v>
      </c>
      <c r="O676" s="357">
        <f t="shared" si="114"/>
        <v>2040</v>
      </c>
      <c r="P676" s="357">
        <v>9</v>
      </c>
      <c r="Q676" s="358">
        <f t="shared" si="112"/>
        <v>5.5890410958904111</v>
      </c>
      <c r="R676" s="359">
        <f t="shared" si="115"/>
        <v>3.4109589041095889</v>
      </c>
      <c r="S676" s="360">
        <f t="shared" si="116"/>
        <v>3.4109589041095889</v>
      </c>
      <c r="T676" s="361">
        <f t="shared" si="117"/>
        <v>0.10555555555555554</v>
      </c>
      <c r="U676" s="362">
        <f t="shared" si="111"/>
        <v>348333.33333333331</v>
      </c>
      <c r="V676" s="362">
        <f t="shared" si="119"/>
        <v>1355059.3333333335</v>
      </c>
      <c r="W676" s="362">
        <f t="shared" si="118"/>
        <v>165000</v>
      </c>
      <c r="X676" s="742">
        <f t="shared" si="120"/>
        <v>1190059.3333333335</v>
      </c>
    </row>
    <row r="677" spans="1:24" ht="13.9">
      <c r="A677" s="349">
        <f t="shared" si="122"/>
        <v>669</v>
      </c>
      <c r="B677" s="813" t="s">
        <v>1890</v>
      </c>
      <c r="C677" s="394" t="s">
        <v>2019</v>
      </c>
      <c r="D677" s="349" t="s">
        <v>2020</v>
      </c>
      <c r="E677" s="393" t="s">
        <v>1722</v>
      </c>
      <c r="F677" s="395"/>
      <c r="G677" s="404"/>
      <c r="H677" s="397">
        <v>3300000</v>
      </c>
      <c r="I677" s="353"/>
      <c r="J677" s="353"/>
      <c r="K677" s="354">
        <f t="shared" si="113"/>
        <v>3300000</v>
      </c>
      <c r="L677" s="398">
        <v>43433</v>
      </c>
      <c r="M677" s="742">
        <v>1510717.3333333333</v>
      </c>
      <c r="N677" s="352">
        <f t="shared" si="121"/>
        <v>1789282.6666666667</v>
      </c>
      <c r="O677" s="357">
        <f t="shared" si="114"/>
        <v>1950</v>
      </c>
      <c r="P677" s="357">
        <v>9</v>
      </c>
      <c r="Q677" s="358">
        <f t="shared" si="112"/>
        <v>5.3424657534246576</v>
      </c>
      <c r="R677" s="359">
        <f t="shared" si="115"/>
        <v>3.6575342465753424</v>
      </c>
      <c r="S677" s="360">
        <f t="shared" si="116"/>
        <v>3.6575342465753424</v>
      </c>
      <c r="T677" s="361">
        <f t="shared" si="117"/>
        <v>0.10555555555555554</v>
      </c>
      <c r="U677" s="362">
        <f t="shared" si="111"/>
        <v>348333.33333333331</v>
      </c>
      <c r="V677" s="362">
        <f t="shared" si="119"/>
        <v>1440949.3333333335</v>
      </c>
      <c r="W677" s="362">
        <f t="shared" si="118"/>
        <v>165000</v>
      </c>
      <c r="X677" s="742">
        <f t="shared" si="120"/>
        <v>1275949.3333333335</v>
      </c>
    </row>
    <row r="678" spans="1:24" ht="13.9">
      <c r="A678" s="349">
        <f t="shared" si="122"/>
        <v>670</v>
      </c>
      <c r="B678" s="813" t="s">
        <v>1890</v>
      </c>
      <c r="C678" s="394" t="s">
        <v>2019</v>
      </c>
      <c r="D678" s="349" t="s">
        <v>2020</v>
      </c>
      <c r="E678" s="393" t="s">
        <v>1722</v>
      </c>
      <c r="F678" s="395"/>
      <c r="G678" s="404"/>
      <c r="H678" s="397">
        <v>3300000</v>
      </c>
      <c r="I678" s="353"/>
      <c r="J678" s="353"/>
      <c r="K678" s="354">
        <f t="shared" si="113"/>
        <v>3300000</v>
      </c>
      <c r="L678" s="398">
        <v>43433</v>
      </c>
      <c r="M678" s="742">
        <v>1510717.3333333333</v>
      </c>
      <c r="N678" s="352">
        <f t="shared" si="121"/>
        <v>1789282.6666666667</v>
      </c>
      <c r="O678" s="357">
        <f t="shared" si="114"/>
        <v>1950</v>
      </c>
      <c r="P678" s="357">
        <v>9</v>
      </c>
      <c r="Q678" s="358">
        <f t="shared" si="112"/>
        <v>5.3424657534246576</v>
      </c>
      <c r="R678" s="359">
        <f t="shared" si="115"/>
        <v>3.6575342465753424</v>
      </c>
      <c r="S678" s="360">
        <f t="shared" si="116"/>
        <v>3.6575342465753424</v>
      </c>
      <c r="T678" s="361">
        <f t="shared" si="117"/>
        <v>0.10555555555555554</v>
      </c>
      <c r="U678" s="362">
        <f t="shared" si="111"/>
        <v>348333.33333333331</v>
      </c>
      <c r="V678" s="362">
        <f t="shared" si="119"/>
        <v>1440949.3333333335</v>
      </c>
      <c r="W678" s="362">
        <f t="shared" si="118"/>
        <v>165000</v>
      </c>
      <c r="X678" s="742">
        <f t="shared" si="120"/>
        <v>1275949.3333333335</v>
      </c>
    </row>
    <row r="679" spans="1:24" ht="13.9">
      <c r="A679" s="349">
        <f t="shared" si="122"/>
        <v>671</v>
      </c>
      <c r="B679" s="393" t="s">
        <v>2041</v>
      </c>
      <c r="C679" s="394" t="s">
        <v>2019</v>
      </c>
      <c r="D679" s="349" t="s">
        <v>2020</v>
      </c>
      <c r="E679" s="393" t="s">
        <v>2042</v>
      </c>
      <c r="F679" s="395"/>
      <c r="G679" s="404"/>
      <c r="H679" s="397">
        <v>2150000</v>
      </c>
      <c r="I679" s="353"/>
      <c r="J679" s="353"/>
      <c r="K679" s="354">
        <f t="shared" si="113"/>
        <v>2150000</v>
      </c>
      <c r="L679" s="398">
        <v>43406</v>
      </c>
      <c r="M679" s="742">
        <v>1001042.4444444444</v>
      </c>
      <c r="N679" s="352">
        <f t="shared" si="121"/>
        <v>1148957.5555555555</v>
      </c>
      <c r="O679" s="357">
        <f t="shared" si="114"/>
        <v>1977</v>
      </c>
      <c r="P679" s="357">
        <v>9</v>
      </c>
      <c r="Q679" s="358">
        <f t="shared" si="112"/>
        <v>5.4164383561643836</v>
      </c>
      <c r="R679" s="359">
        <f t="shared" si="115"/>
        <v>3.5835616438356164</v>
      </c>
      <c r="S679" s="360">
        <f t="shared" si="116"/>
        <v>3.5835616438356164</v>
      </c>
      <c r="T679" s="361">
        <f t="shared" si="117"/>
        <v>0.10555555555555554</v>
      </c>
      <c r="U679" s="362">
        <f t="shared" si="111"/>
        <v>226944.44444444441</v>
      </c>
      <c r="V679" s="362">
        <f t="shared" si="119"/>
        <v>922013.11111111112</v>
      </c>
      <c r="W679" s="362">
        <f t="shared" si="118"/>
        <v>107500</v>
      </c>
      <c r="X679" s="742">
        <f t="shared" si="120"/>
        <v>814513.11111111112</v>
      </c>
    </row>
    <row r="680" spans="1:24" ht="13.9">
      <c r="A680" s="349">
        <f t="shared" si="122"/>
        <v>672</v>
      </c>
      <c r="B680" s="393" t="s">
        <v>2027</v>
      </c>
      <c r="C680" s="394" t="s">
        <v>2019</v>
      </c>
      <c r="D680" s="349" t="s">
        <v>2020</v>
      </c>
      <c r="E680" s="393" t="s">
        <v>2028</v>
      </c>
      <c r="F680" s="395"/>
      <c r="G680" s="404"/>
      <c r="H680" s="397">
        <v>99485</v>
      </c>
      <c r="I680" s="353"/>
      <c r="J680" s="353"/>
      <c r="K680" s="354">
        <f t="shared" si="113"/>
        <v>99485</v>
      </c>
      <c r="L680" s="398">
        <v>43406</v>
      </c>
      <c r="M680" s="742">
        <v>46320.194444444445</v>
      </c>
      <c r="N680" s="352">
        <f t="shared" si="121"/>
        <v>53164.805555555555</v>
      </c>
      <c r="O680" s="357">
        <f t="shared" si="114"/>
        <v>1977</v>
      </c>
      <c r="P680" s="357">
        <v>9</v>
      </c>
      <c r="Q680" s="358">
        <f t="shared" si="112"/>
        <v>5.4164383561643836</v>
      </c>
      <c r="R680" s="359">
        <f t="shared" si="115"/>
        <v>3.5835616438356164</v>
      </c>
      <c r="S680" s="360">
        <f t="shared" si="116"/>
        <v>3.5835616438356164</v>
      </c>
      <c r="T680" s="361">
        <f t="shared" si="117"/>
        <v>0.10555555555555554</v>
      </c>
      <c r="U680" s="362">
        <f t="shared" si="111"/>
        <v>10501.194444444443</v>
      </c>
      <c r="V680" s="362">
        <f t="shared" si="119"/>
        <v>42663.611111111109</v>
      </c>
      <c r="W680" s="362">
        <f t="shared" si="118"/>
        <v>4974</v>
      </c>
      <c r="X680" s="742">
        <f t="shared" si="120"/>
        <v>37689.611111111109</v>
      </c>
    </row>
    <row r="681" spans="1:24" ht="13.9">
      <c r="A681" s="349">
        <f t="shared" si="122"/>
        <v>673</v>
      </c>
      <c r="B681" s="393" t="s">
        <v>957</v>
      </c>
      <c r="C681" s="394" t="s">
        <v>2019</v>
      </c>
      <c r="D681" s="349" t="s">
        <v>2020</v>
      </c>
      <c r="E681" s="393" t="s">
        <v>2043</v>
      </c>
      <c r="F681" s="395"/>
      <c r="G681" s="404"/>
      <c r="H681" s="397">
        <v>2513924</v>
      </c>
      <c r="I681" s="353"/>
      <c r="J681" s="353"/>
      <c r="K681" s="354">
        <f t="shared" si="113"/>
        <v>2513924</v>
      </c>
      <c r="L681" s="398">
        <v>43368</v>
      </c>
      <c r="M681" s="742">
        <v>1198112.6444444444</v>
      </c>
      <c r="N681" s="352">
        <f t="shared" si="121"/>
        <v>1315811.3555555556</v>
      </c>
      <c r="O681" s="357">
        <f t="shared" si="114"/>
        <v>2015</v>
      </c>
      <c r="P681" s="357">
        <v>9</v>
      </c>
      <c r="Q681" s="358">
        <f t="shared" si="112"/>
        <v>5.5205479452054798</v>
      </c>
      <c r="R681" s="359">
        <f t="shared" si="115"/>
        <v>3.4794520547945202</v>
      </c>
      <c r="S681" s="360">
        <f t="shared" si="116"/>
        <v>3.4794520547945202</v>
      </c>
      <c r="T681" s="361">
        <f t="shared" si="117"/>
        <v>0.10555555555555554</v>
      </c>
      <c r="U681" s="362">
        <f t="shared" si="111"/>
        <v>265358.64444444439</v>
      </c>
      <c r="V681" s="362">
        <f t="shared" si="119"/>
        <v>1050452.7111111111</v>
      </c>
      <c r="W681" s="362">
        <f t="shared" si="118"/>
        <v>125696</v>
      </c>
      <c r="X681" s="742">
        <f t="shared" si="120"/>
        <v>924756.7111111111</v>
      </c>
    </row>
    <row r="682" spans="1:24" ht="13.9">
      <c r="A682" s="349">
        <f t="shared" si="122"/>
        <v>674</v>
      </c>
      <c r="B682" s="393" t="s">
        <v>957</v>
      </c>
      <c r="C682" s="394" t="s">
        <v>2019</v>
      </c>
      <c r="D682" s="349" t="s">
        <v>2020</v>
      </c>
      <c r="E682" s="393" t="s">
        <v>2043</v>
      </c>
      <c r="F682" s="395"/>
      <c r="G682" s="404"/>
      <c r="H682" s="397">
        <v>2513924</v>
      </c>
      <c r="I682" s="353"/>
      <c r="J682" s="353"/>
      <c r="K682" s="354">
        <f t="shared" si="113"/>
        <v>2513924</v>
      </c>
      <c r="L682" s="398">
        <v>43368</v>
      </c>
      <c r="M682" s="742">
        <v>1198112.6444444444</v>
      </c>
      <c r="N682" s="352">
        <f t="shared" si="121"/>
        <v>1315811.3555555556</v>
      </c>
      <c r="O682" s="357">
        <f t="shared" si="114"/>
        <v>2015</v>
      </c>
      <c r="P682" s="357">
        <v>9</v>
      </c>
      <c r="Q682" s="358">
        <f t="shared" si="112"/>
        <v>5.5205479452054798</v>
      </c>
      <c r="R682" s="359">
        <f t="shared" si="115"/>
        <v>3.4794520547945202</v>
      </c>
      <c r="S682" s="360">
        <f t="shared" si="116"/>
        <v>3.4794520547945202</v>
      </c>
      <c r="T682" s="361">
        <f t="shared" si="117"/>
        <v>0.10555555555555554</v>
      </c>
      <c r="U682" s="362">
        <f t="shared" ref="U682:U745" si="123">+K682*T682</f>
        <v>265358.64444444439</v>
      </c>
      <c r="V682" s="362">
        <f t="shared" si="119"/>
        <v>1050452.7111111111</v>
      </c>
      <c r="W682" s="362">
        <f t="shared" si="118"/>
        <v>125696</v>
      </c>
      <c r="X682" s="742">
        <f t="shared" si="120"/>
        <v>924756.7111111111</v>
      </c>
    </row>
    <row r="683" spans="1:24" ht="13.9">
      <c r="A683" s="349">
        <f t="shared" si="122"/>
        <v>675</v>
      </c>
      <c r="B683" s="393" t="s">
        <v>957</v>
      </c>
      <c r="C683" s="394" t="s">
        <v>2019</v>
      </c>
      <c r="D683" s="349" t="s">
        <v>2020</v>
      </c>
      <c r="E683" s="393" t="s">
        <v>2043</v>
      </c>
      <c r="F683" s="395"/>
      <c r="G683" s="404"/>
      <c r="H683" s="397">
        <v>2513924</v>
      </c>
      <c r="I683" s="353"/>
      <c r="J683" s="353"/>
      <c r="K683" s="354">
        <f t="shared" si="113"/>
        <v>2513924</v>
      </c>
      <c r="L683" s="398">
        <v>43368</v>
      </c>
      <c r="M683" s="742">
        <v>1198112.6444444444</v>
      </c>
      <c r="N683" s="352">
        <f t="shared" si="121"/>
        <v>1315811.3555555556</v>
      </c>
      <c r="O683" s="357">
        <f t="shared" si="114"/>
        <v>2015</v>
      </c>
      <c r="P683" s="357">
        <v>9</v>
      </c>
      <c r="Q683" s="358">
        <f t="shared" si="112"/>
        <v>5.5205479452054798</v>
      </c>
      <c r="R683" s="359">
        <f t="shared" si="115"/>
        <v>3.4794520547945202</v>
      </c>
      <c r="S683" s="360">
        <f t="shared" si="116"/>
        <v>3.4794520547945202</v>
      </c>
      <c r="T683" s="361">
        <f t="shared" si="117"/>
        <v>0.10555555555555554</v>
      </c>
      <c r="U683" s="362">
        <f t="shared" si="123"/>
        <v>265358.64444444439</v>
      </c>
      <c r="V683" s="362">
        <f t="shared" si="119"/>
        <v>1050452.7111111111</v>
      </c>
      <c r="W683" s="362">
        <f t="shared" si="118"/>
        <v>125696</v>
      </c>
      <c r="X683" s="742">
        <f t="shared" si="120"/>
        <v>924756.7111111111</v>
      </c>
    </row>
    <row r="684" spans="1:24" ht="13.9">
      <c r="A684" s="349">
        <f t="shared" si="122"/>
        <v>676</v>
      </c>
      <c r="B684" s="393" t="s">
        <v>957</v>
      </c>
      <c r="C684" s="394" t="s">
        <v>2019</v>
      </c>
      <c r="D684" s="349" t="s">
        <v>2020</v>
      </c>
      <c r="E684" s="393" t="s">
        <v>2043</v>
      </c>
      <c r="F684" s="395"/>
      <c r="G684" s="404"/>
      <c r="H684" s="397">
        <v>2513924</v>
      </c>
      <c r="I684" s="353"/>
      <c r="J684" s="353"/>
      <c r="K684" s="354">
        <f t="shared" si="113"/>
        <v>2513924</v>
      </c>
      <c r="L684" s="398">
        <v>43368</v>
      </c>
      <c r="M684" s="742">
        <v>1198112.6444444444</v>
      </c>
      <c r="N684" s="352">
        <f t="shared" si="121"/>
        <v>1315811.3555555556</v>
      </c>
      <c r="O684" s="357">
        <f t="shared" si="114"/>
        <v>2015</v>
      </c>
      <c r="P684" s="357">
        <v>9</v>
      </c>
      <c r="Q684" s="358">
        <f t="shared" si="112"/>
        <v>5.5205479452054798</v>
      </c>
      <c r="R684" s="359">
        <f t="shared" si="115"/>
        <v>3.4794520547945202</v>
      </c>
      <c r="S684" s="360">
        <f t="shared" si="116"/>
        <v>3.4794520547945202</v>
      </c>
      <c r="T684" s="361">
        <f t="shared" si="117"/>
        <v>0.10555555555555554</v>
      </c>
      <c r="U684" s="362">
        <f t="shared" si="123"/>
        <v>265358.64444444439</v>
      </c>
      <c r="V684" s="362">
        <f t="shared" si="119"/>
        <v>1050452.7111111111</v>
      </c>
      <c r="W684" s="362">
        <f t="shared" si="118"/>
        <v>125696</v>
      </c>
      <c r="X684" s="742">
        <f t="shared" si="120"/>
        <v>924756.7111111111</v>
      </c>
    </row>
    <row r="685" spans="1:24" ht="13.9">
      <c r="A685" s="349">
        <f t="shared" si="122"/>
        <v>677</v>
      </c>
      <c r="B685" s="393" t="s">
        <v>957</v>
      </c>
      <c r="C685" s="394" t="s">
        <v>2019</v>
      </c>
      <c r="D685" s="349" t="s">
        <v>2020</v>
      </c>
      <c r="E685" s="393" t="s">
        <v>2043</v>
      </c>
      <c r="F685" s="395"/>
      <c r="G685" s="404"/>
      <c r="H685" s="397">
        <v>2513924</v>
      </c>
      <c r="I685" s="353"/>
      <c r="J685" s="353"/>
      <c r="K685" s="354">
        <f t="shared" si="113"/>
        <v>2513924</v>
      </c>
      <c r="L685" s="398">
        <v>43368</v>
      </c>
      <c r="M685" s="742">
        <v>1198112.6444444444</v>
      </c>
      <c r="N685" s="352">
        <f t="shared" si="121"/>
        <v>1315811.3555555556</v>
      </c>
      <c r="O685" s="357">
        <f t="shared" si="114"/>
        <v>2015</v>
      </c>
      <c r="P685" s="357">
        <v>9</v>
      </c>
      <c r="Q685" s="358">
        <f t="shared" si="112"/>
        <v>5.5205479452054798</v>
      </c>
      <c r="R685" s="359">
        <f t="shared" si="115"/>
        <v>3.4794520547945202</v>
      </c>
      <c r="S685" s="360">
        <f t="shared" si="116"/>
        <v>3.4794520547945202</v>
      </c>
      <c r="T685" s="361">
        <f t="shared" si="117"/>
        <v>0.10555555555555554</v>
      </c>
      <c r="U685" s="362">
        <f t="shared" si="123"/>
        <v>265358.64444444439</v>
      </c>
      <c r="V685" s="362">
        <f t="shared" si="119"/>
        <v>1050452.7111111111</v>
      </c>
      <c r="W685" s="362">
        <f t="shared" si="118"/>
        <v>125696</v>
      </c>
      <c r="X685" s="742">
        <f t="shared" si="120"/>
        <v>924756.7111111111</v>
      </c>
    </row>
    <row r="686" spans="1:24" ht="13.9">
      <c r="A686" s="349">
        <f t="shared" si="122"/>
        <v>678</v>
      </c>
      <c r="B686" s="393" t="s">
        <v>957</v>
      </c>
      <c r="C686" s="394" t="s">
        <v>2019</v>
      </c>
      <c r="D686" s="349" t="s">
        <v>2020</v>
      </c>
      <c r="E686" s="393" t="s">
        <v>2043</v>
      </c>
      <c r="F686" s="395"/>
      <c r="G686" s="404"/>
      <c r="H686" s="397">
        <v>1864171</v>
      </c>
      <c r="I686" s="353"/>
      <c r="J686" s="353"/>
      <c r="K686" s="354">
        <f t="shared" si="113"/>
        <v>1864171</v>
      </c>
      <c r="L686" s="398">
        <v>43368</v>
      </c>
      <c r="M686" s="742">
        <v>888446.60555555555</v>
      </c>
      <c r="N686" s="352">
        <f t="shared" si="121"/>
        <v>975724.39444444445</v>
      </c>
      <c r="O686" s="357">
        <f t="shared" si="114"/>
        <v>2015</v>
      </c>
      <c r="P686" s="357">
        <v>9</v>
      </c>
      <c r="Q686" s="358">
        <f t="shared" si="112"/>
        <v>5.5205479452054798</v>
      </c>
      <c r="R686" s="359">
        <f t="shared" si="115"/>
        <v>3.4794520547945202</v>
      </c>
      <c r="S686" s="360">
        <f t="shared" si="116"/>
        <v>3.4794520547945202</v>
      </c>
      <c r="T686" s="361">
        <f t="shared" si="117"/>
        <v>0.10555555555555554</v>
      </c>
      <c r="U686" s="362">
        <f t="shared" si="123"/>
        <v>196773.60555555552</v>
      </c>
      <c r="V686" s="362">
        <f t="shared" si="119"/>
        <v>778950.7888888889</v>
      </c>
      <c r="W686" s="362">
        <f t="shared" si="118"/>
        <v>93209</v>
      </c>
      <c r="X686" s="742">
        <f t="shared" si="120"/>
        <v>685741.7888888889</v>
      </c>
    </row>
    <row r="687" spans="1:24" ht="13.9">
      <c r="A687" s="349">
        <f t="shared" si="122"/>
        <v>679</v>
      </c>
      <c r="B687" s="393" t="s">
        <v>957</v>
      </c>
      <c r="C687" s="394" t="s">
        <v>2019</v>
      </c>
      <c r="D687" s="349" t="s">
        <v>2020</v>
      </c>
      <c r="E687" s="393" t="s">
        <v>2043</v>
      </c>
      <c r="F687" s="395"/>
      <c r="G687" s="404"/>
      <c r="H687" s="397">
        <v>1864171</v>
      </c>
      <c r="I687" s="353"/>
      <c r="J687" s="353"/>
      <c r="K687" s="354">
        <f t="shared" si="113"/>
        <v>1864171</v>
      </c>
      <c r="L687" s="398">
        <v>43368</v>
      </c>
      <c r="M687" s="742">
        <v>888446.60555555555</v>
      </c>
      <c r="N687" s="352">
        <f t="shared" si="121"/>
        <v>975724.39444444445</v>
      </c>
      <c r="O687" s="357">
        <f t="shared" si="114"/>
        <v>2015</v>
      </c>
      <c r="P687" s="357">
        <v>9</v>
      </c>
      <c r="Q687" s="358">
        <f t="shared" si="112"/>
        <v>5.5205479452054798</v>
      </c>
      <c r="R687" s="359">
        <f t="shared" si="115"/>
        <v>3.4794520547945202</v>
      </c>
      <c r="S687" s="360">
        <f t="shared" si="116"/>
        <v>3.4794520547945202</v>
      </c>
      <c r="T687" s="361">
        <f t="shared" si="117"/>
        <v>0.10555555555555554</v>
      </c>
      <c r="U687" s="362">
        <f t="shared" si="123"/>
        <v>196773.60555555552</v>
      </c>
      <c r="V687" s="362">
        <f t="shared" si="119"/>
        <v>778950.7888888889</v>
      </c>
      <c r="W687" s="362">
        <f t="shared" si="118"/>
        <v>93209</v>
      </c>
      <c r="X687" s="742">
        <f t="shared" si="120"/>
        <v>685741.7888888889</v>
      </c>
    </row>
    <row r="688" spans="1:24" ht="13.9">
      <c r="A688" s="349">
        <f t="shared" si="122"/>
        <v>680</v>
      </c>
      <c r="B688" s="393" t="s">
        <v>957</v>
      </c>
      <c r="C688" s="394" t="s">
        <v>2019</v>
      </c>
      <c r="D688" s="349" t="s">
        <v>2020</v>
      </c>
      <c r="E688" s="393" t="s">
        <v>2043</v>
      </c>
      <c r="F688" s="395"/>
      <c r="G688" s="404"/>
      <c r="H688" s="397">
        <v>1864171</v>
      </c>
      <c r="I688" s="353"/>
      <c r="J688" s="353"/>
      <c r="K688" s="354">
        <f t="shared" si="113"/>
        <v>1864171</v>
      </c>
      <c r="L688" s="398">
        <v>43368</v>
      </c>
      <c r="M688" s="742">
        <v>888446.60555555555</v>
      </c>
      <c r="N688" s="352">
        <f t="shared" si="121"/>
        <v>975724.39444444445</v>
      </c>
      <c r="O688" s="357">
        <f t="shared" si="114"/>
        <v>2015</v>
      </c>
      <c r="P688" s="357">
        <v>9</v>
      </c>
      <c r="Q688" s="358">
        <f t="shared" si="112"/>
        <v>5.5205479452054798</v>
      </c>
      <c r="R688" s="359">
        <f t="shared" si="115"/>
        <v>3.4794520547945202</v>
      </c>
      <c r="S688" s="360">
        <f t="shared" si="116"/>
        <v>3.4794520547945202</v>
      </c>
      <c r="T688" s="361">
        <f t="shared" si="117"/>
        <v>0.10555555555555554</v>
      </c>
      <c r="U688" s="362">
        <f t="shared" si="123"/>
        <v>196773.60555555552</v>
      </c>
      <c r="V688" s="362">
        <f t="shared" si="119"/>
        <v>778950.7888888889</v>
      </c>
      <c r="W688" s="362">
        <f t="shared" si="118"/>
        <v>93209</v>
      </c>
      <c r="X688" s="742">
        <f t="shared" si="120"/>
        <v>685741.7888888889</v>
      </c>
    </row>
    <row r="689" spans="1:24" ht="13.9">
      <c r="A689" s="349">
        <f t="shared" si="122"/>
        <v>681</v>
      </c>
      <c r="B689" s="393" t="s">
        <v>957</v>
      </c>
      <c r="C689" s="394" t="s">
        <v>2019</v>
      </c>
      <c r="D689" s="349" t="s">
        <v>2020</v>
      </c>
      <c r="E689" s="393" t="s">
        <v>2043</v>
      </c>
      <c r="F689" s="395"/>
      <c r="G689" s="404"/>
      <c r="H689" s="397">
        <v>1864171</v>
      </c>
      <c r="I689" s="353"/>
      <c r="J689" s="353"/>
      <c r="K689" s="354">
        <f t="shared" si="113"/>
        <v>1864171</v>
      </c>
      <c r="L689" s="398">
        <v>43368</v>
      </c>
      <c r="M689" s="742">
        <v>888446.60555555555</v>
      </c>
      <c r="N689" s="352">
        <f t="shared" si="121"/>
        <v>975724.39444444445</v>
      </c>
      <c r="O689" s="357">
        <f t="shared" si="114"/>
        <v>2015</v>
      </c>
      <c r="P689" s="357">
        <v>9</v>
      </c>
      <c r="Q689" s="358">
        <f t="shared" si="112"/>
        <v>5.5205479452054798</v>
      </c>
      <c r="R689" s="359">
        <f t="shared" si="115"/>
        <v>3.4794520547945202</v>
      </c>
      <c r="S689" s="360">
        <f t="shared" si="116"/>
        <v>3.4794520547945202</v>
      </c>
      <c r="T689" s="361">
        <f t="shared" si="117"/>
        <v>0.10555555555555554</v>
      </c>
      <c r="U689" s="362">
        <f t="shared" si="123"/>
        <v>196773.60555555552</v>
      </c>
      <c r="V689" s="362">
        <f t="shared" si="119"/>
        <v>778950.7888888889</v>
      </c>
      <c r="W689" s="362">
        <f t="shared" si="118"/>
        <v>93209</v>
      </c>
      <c r="X689" s="742">
        <f t="shared" si="120"/>
        <v>685741.7888888889</v>
      </c>
    </row>
    <row r="690" spans="1:24" ht="13.9">
      <c r="A690" s="349">
        <f t="shared" si="122"/>
        <v>682</v>
      </c>
      <c r="B690" s="393" t="s">
        <v>957</v>
      </c>
      <c r="C690" s="394" t="s">
        <v>2019</v>
      </c>
      <c r="D690" s="349" t="s">
        <v>2020</v>
      </c>
      <c r="E690" s="393" t="s">
        <v>2043</v>
      </c>
      <c r="F690" s="395"/>
      <c r="G690" s="404"/>
      <c r="H690" s="397">
        <v>1864171</v>
      </c>
      <c r="I690" s="353"/>
      <c r="J690" s="353"/>
      <c r="K690" s="354">
        <f t="shared" si="113"/>
        <v>1864171</v>
      </c>
      <c r="L690" s="398">
        <v>43535</v>
      </c>
      <c r="M690" s="742">
        <v>798415.60555555555</v>
      </c>
      <c r="N690" s="352">
        <f t="shared" si="121"/>
        <v>1065755.3944444444</v>
      </c>
      <c r="O690" s="357">
        <f t="shared" si="114"/>
        <v>1848</v>
      </c>
      <c r="P690" s="357">
        <v>9</v>
      </c>
      <c r="Q690" s="358">
        <f t="shared" si="112"/>
        <v>5.0630136986301366</v>
      </c>
      <c r="R690" s="359">
        <f t="shared" si="115"/>
        <v>3.9369863013698634</v>
      </c>
      <c r="S690" s="360">
        <f t="shared" si="116"/>
        <v>3.9369863013698634</v>
      </c>
      <c r="T690" s="361">
        <f t="shared" si="117"/>
        <v>0.10555555555555554</v>
      </c>
      <c r="U690" s="362">
        <f t="shared" si="123"/>
        <v>196773.60555555552</v>
      </c>
      <c r="V690" s="362">
        <f t="shared" si="119"/>
        <v>868981.7888888889</v>
      </c>
      <c r="W690" s="362">
        <f t="shared" si="118"/>
        <v>93209</v>
      </c>
      <c r="X690" s="742">
        <f t="shared" si="120"/>
        <v>775772.7888888889</v>
      </c>
    </row>
    <row r="691" spans="1:24" ht="13.9">
      <c r="A691" s="349">
        <f t="shared" si="122"/>
        <v>683</v>
      </c>
      <c r="B691" s="393" t="s">
        <v>957</v>
      </c>
      <c r="C691" s="394" t="s">
        <v>2019</v>
      </c>
      <c r="D691" s="349" t="s">
        <v>2020</v>
      </c>
      <c r="E691" s="393" t="s">
        <v>2043</v>
      </c>
      <c r="F691" s="395"/>
      <c r="G691" s="404"/>
      <c r="H691" s="397">
        <v>1864171</v>
      </c>
      <c r="I691" s="353"/>
      <c r="J691" s="353"/>
      <c r="K691" s="354">
        <f t="shared" si="113"/>
        <v>1864171</v>
      </c>
      <c r="L691" s="398">
        <v>43535</v>
      </c>
      <c r="M691" s="742">
        <v>798415.60555555555</v>
      </c>
      <c r="N691" s="352">
        <f t="shared" si="121"/>
        <v>1065755.3944444444</v>
      </c>
      <c r="O691" s="357">
        <f t="shared" si="114"/>
        <v>1848</v>
      </c>
      <c r="P691" s="357">
        <v>9</v>
      </c>
      <c r="Q691" s="358">
        <f t="shared" si="112"/>
        <v>5.0630136986301366</v>
      </c>
      <c r="R691" s="359">
        <f t="shared" si="115"/>
        <v>3.9369863013698634</v>
      </c>
      <c r="S691" s="360">
        <f t="shared" si="116"/>
        <v>3.9369863013698634</v>
      </c>
      <c r="T691" s="361">
        <f t="shared" si="117"/>
        <v>0.10555555555555554</v>
      </c>
      <c r="U691" s="362">
        <f t="shared" si="123"/>
        <v>196773.60555555552</v>
      </c>
      <c r="V691" s="362">
        <f t="shared" si="119"/>
        <v>868981.7888888889</v>
      </c>
      <c r="W691" s="362">
        <f t="shared" si="118"/>
        <v>93209</v>
      </c>
      <c r="X691" s="742">
        <f t="shared" si="120"/>
        <v>775772.7888888889</v>
      </c>
    </row>
    <row r="692" spans="1:24" ht="13.9">
      <c r="A692" s="349">
        <f t="shared" si="122"/>
        <v>684</v>
      </c>
      <c r="B692" s="393" t="s">
        <v>957</v>
      </c>
      <c r="C692" s="394" t="s">
        <v>2019</v>
      </c>
      <c r="D692" s="349" t="s">
        <v>2020</v>
      </c>
      <c r="E692" s="393" t="s">
        <v>2043</v>
      </c>
      <c r="F692" s="395"/>
      <c r="G692" s="404"/>
      <c r="H692" s="397">
        <v>1864171</v>
      </c>
      <c r="I692" s="353"/>
      <c r="J692" s="353"/>
      <c r="K692" s="354">
        <f t="shared" si="113"/>
        <v>1864171</v>
      </c>
      <c r="L692" s="398">
        <v>43535</v>
      </c>
      <c r="M692" s="742">
        <v>798415.60555555555</v>
      </c>
      <c r="N692" s="352">
        <f t="shared" si="121"/>
        <v>1065755.3944444444</v>
      </c>
      <c r="O692" s="357">
        <f t="shared" si="114"/>
        <v>1848</v>
      </c>
      <c r="P692" s="357">
        <v>9</v>
      </c>
      <c r="Q692" s="358">
        <f t="shared" si="112"/>
        <v>5.0630136986301366</v>
      </c>
      <c r="R692" s="359">
        <f t="shared" si="115"/>
        <v>3.9369863013698634</v>
      </c>
      <c r="S692" s="360">
        <f t="shared" si="116"/>
        <v>3.9369863013698634</v>
      </c>
      <c r="T692" s="361">
        <f t="shared" si="117"/>
        <v>0.10555555555555554</v>
      </c>
      <c r="U692" s="362">
        <f t="shared" si="123"/>
        <v>196773.60555555552</v>
      </c>
      <c r="V692" s="362">
        <f t="shared" si="119"/>
        <v>868981.7888888889</v>
      </c>
      <c r="W692" s="362">
        <f t="shared" si="118"/>
        <v>93209</v>
      </c>
      <c r="X692" s="742">
        <f t="shared" si="120"/>
        <v>775772.7888888889</v>
      </c>
    </row>
    <row r="693" spans="1:24" ht="13.9">
      <c r="A693" s="349">
        <f t="shared" si="122"/>
        <v>685</v>
      </c>
      <c r="B693" s="393" t="s">
        <v>2044</v>
      </c>
      <c r="C693" s="394" t="s">
        <v>2019</v>
      </c>
      <c r="D693" s="349" t="s">
        <v>2020</v>
      </c>
      <c r="E693" s="393" t="s">
        <v>1823</v>
      </c>
      <c r="F693" s="395"/>
      <c r="G693" s="404"/>
      <c r="H693" s="397">
        <v>925000</v>
      </c>
      <c r="I693" s="353"/>
      <c r="J693" s="353"/>
      <c r="K693" s="354">
        <f t="shared" si="113"/>
        <v>925000</v>
      </c>
      <c r="L693" s="398">
        <v>43368</v>
      </c>
      <c r="M693" s="742">
        <v>440845.88888888888</v>
      </c>
      <c r="N693" s="352">
        <f t="shared" si="121"/>
        <v>484154.11111111112</v>
      </c>
      <c r="O693" s="357">
        <f t="shared" si="114"/>
        <v>2015</v>
      </c>
      <c r="P693" s="357">
        <v>9</v>
      </c>
      <c r="Q693" s="358">
        <f t="shared" si="112"/>
        <v>5.5205479452054798</v>
      </c>
      <c r="R693" s="359">
        <f t="shared" si="115"/>
        <v>3.4794520547945202</v>
      </c>
      <c r="S693" s="360">
        <f t="shared" si="116"/>
        <v>3.4794520547945202</v>
      </c>
      <c r="T693" s="361">
        <f t="shared" si="117"/>
        <v>0.10555555555555554</v>
      </c>
      <c r="U693" s="362">
        <f t="shared" si="123"/>
        <v>97638.888888888876</v>
      </c>
      <c r="V693" s="362">
        <f t="shared" si="119"/>
        <v>386515.22222222225</v>
      </c>
      <c r="W693" s="362">
        <f t="shared" si="118"/>
        <v>46250</v>
      </c>
      <c r="X693" s="742">
        <f t="shared" si="120"/>
        <v>340265.22222222225</v>
      </c>
    </row>
    <row r="694" spans="1:24" ht="13.9">
      <c r="A694" s="349">
        <f t="shared" si="122"/>
        <v>686</v>
      </c>
      <c r="B694" s="393" t="s">
        <v>2045</v>
      </c>
      <c r="C694" s="394" t="s">
        <v>2019</v>
      </c>
      <c r="D694" s="349" t="s">
        <v>2020</v>
      </c>
      <c r="E694" s="393" t="s">
        <v>2046</v>
      </c>
      <c r="F694" s="395"/>
      <c r="G694" s="404"/>
      <c r="H694" s="397">
        <v>2339882</v>
      </c>
      <c r="I694" s="353"/>
      <c r="J694" s="353"/>
      <c r="K694" s="354">
        <f t="shared" si="113"/>
        <v>2339882</v>
      </c>
      <c r="L694" s="398">
        <v>43362</v>
      </c>
      <c r="M694" s="742">
        <v>1119225.5444444444</v>
      </c>
      <c r="N694" s="352">
        <f t="shared" si="121"/>
        <v>1220656.4555555556</v>
      </c>
      <c r="O694" s="357">
        <f t="shared" si="114"/>
        <v>2021</v>
      </c>
      <c r="P694" s="357">
        <v>9</v>
      </c>
      <c r="Q694" s="358">
        <f t="shared" si="112"/>
        <v>5.536986301369863</v>
      </c>
      <c r="R694" s="359">
        <f t="shared" si="115"/>
        <v>3.463013698630137</v>
      </c>
      <c r="S694" s="360">
        <f t="shared" si="116"/>
        <v>3.463013698630137</v>
      </c>
      <c r="T694" s="361">
        <f t="shared" si="117"/>
        <v>0.10555555555555554</v>
      </c>
      <c r="U694" s="362">
        <f t="shared" si="123"/>
        <v>246987.54444444441</v>
      </c>
      <c r="V694" s="362">
        <f t="shared" si="119"/>
        <v>973668.91111111129</v>
      </c>
      <c r="W694" s="362">
        <f t="shared" si="118"/>
        <v>116994</v>
      </c>
      <c r="X694" s="742">
        <f t="shared" si="120"/>
        <v>856674.91111111129</v>
      </c>
    </row>
    <row r="695" spans="1:24" ht="13.9">
      <c r="A695" s="349">
        <f t="shared" si="122"/>
        <v>687</v>
      </c>
      <c r="B695" s="393" t="s">
        <v>309</v>
      </c>
      <c r="C695" s="394" t="s">
        <v>2019</v>
      </c>
      <c r="D695" s="349" t="s">
        <v>2020</v>
      </c>
      <c r="E695" s="393" t="s">
        <v>2047</v>
      </c>
      <c r="F695" s="395"/>
      <c r="G695" s="404"/>
      <c r="H695" s="397">
        <v>1820320</v>
      </c>
      <c r="I695" s="353"/>
      <c r="J695" s="353"/>
      <c r="K695" s="354">
        <f t="shared" si="113"/>
        <v>1820320</v>
      </c>
      <c r="L695" s="398">
        <v>43397</v>
      </c>
      <c r="M695" s="742">
        <v>1145235.888888889</v>
      </c>
      <c r="N695" s="352">
        <f t="shared" si="121"/>
        <v>675084.11111111101</v>
      </c>
      <c r="O695" s="357">
        <f t="shared" si="114"/>
        <v>1986</v>
      </c>
      <c r="P695" s="357">
        <v>9</v>
      </c>
      <c r="Q695" s="358">
        <f t="shared" si="112"/>
        <v>5.441095890410959</v>
      </c>
      <c r="R695" s="359">
        <f t="shared" si="115"/>
        <v>3.558904109589041</v>
      </c>
      <c r="S695" s="360">
        <f t="shared" si="116"/>
        <v>3.558904109589041</v>
      </c>
      <c r="T695" s="361">
        <f t="shared" si="117"/>
        <v>0.10555555555555554</v>
      </c>
      <c r="U695" s="362">
        <f t="shared" si="123"/>
        <v>192144.88888888888</v>
      </c>
      <c r="V695" s="362">
        <f t="shared" si="119"/>
        <v>482939.22222222213</v>
      </c>
      <c r="W695" s="362">
        <f t="shared" si="118"/>
        <v>91016</v>
      </c>
      <c r="X695" s="742">
        <f t="shared" si="120"/>
        <v>391923.22222222213</v>
      </c>
    </row>
    <row r="696" spans="1:24" ht="13.9">
      <c r="A696" s="349">
        <f t="shared" si="122"/>
        <v>688</v>
      </c>
      <c r="B696" s="393" t="s">
        <v>309</v>
      </c>
      <c r="C696" s="394" t="s">
        <v>2019</v>
      </c>
      <c r="D696" s="349" t="s">
        <v>2020</v>
      </c>
      <c r="E696" s="393" t="s">
        <v>2048</v>
      </c>
      <c r="F696" s="395"/>
      <c r="G696" s="404"/>
      <c r="H696" s="397">
        <v>490425</v>
      </c>
      <c r="I696" s="353"/>
      <c r="J696" s="353"/>
      <c r="K696" s="354">
        <f t="shared" si="113"/>
        <v>490425</v>
      </c>
      <c r="L696" s="398">
        <v>43390</v>
      </c>
      <c r="M696" s="742">
        <v>313013.08333333331</v>
      </c>
      <c r="N696" s="352">
        <f t="shared" si="121"/>
        <v>177411.91666666669</v>
      </c>
      <c r="O696" s="357">
        <f t="shared" si="114"/>
        <v>1993</v>
      </c>
      <c r="P696" s="357">
        <v>9</v>
      </c>
      <c r="Q696" s="358">
        <f t="shared" si="112"/>
        <v>5.4602739726027396</v>
      </c>
      <c r="R696" s="359">
        <f t="shared" si="115"/>
        <v>3.5397260273972604</v>
      </c>
      <c r="S696" s="360">
        <f t="shared" si="116"/>
        <v>3.5397260273972604</v>
      </c>
      <c r="T696" s="361">
        <f t="shared" si="117"/>
        <v>0.10555555555555554</v>
      </c>
      <c r="U696" s="362">
        <f t="shared" si="123"/>
        <v>51767.083333333328</v>
      </c>
      <c r="V696" s="362">
        <f t="shared" si="119"/>
        <v>125644.83333333336</v>
      </c>
      <c r="W696" s="362">
        <f t="shared" si="118"/>
        <v>24521</v>
      </c>
      <c r="X696" s="742">
        <f t="shared" si="120"/>
        <v>101123.83333333336</v>
      </c>
    </row>
    <row r="697" spans="1:24" ht="13.9">
      <c r="A697" s="349">
        <f t="shared" si="122"/>
        <v>689</v>
      </c>
      <c r="B697" s="393" t="s">
        <v>309</v>
      </c>
      <c r="C697" s="394" t="s">
        <v>2019</v>
      </c>
      <c r="D697" s="349" t="s">
        <v>2020</v>
      </c>
      <c r="E697" s="393" t="s">
        <v>2048</v>
      </c>
      <c r="F697" s="395"/>
      <c r="G697" s="404"/>
      <c r="H697" s="397">
        <v>546585</v>
      </c>
      <c r="I697" s="353"/>
      <c r="J697" s="353"/>
      <c r="K697" s="354">
        <f t="shared" si="113"/>
        <v>546585</v>
      </c>
      <c r="L697" s="398">
        <v>43422</v>
      </c>
      <c r="M697" s="742">
        <v>326096.08333333331</v>
      </c>
      <c r="N697" s="352">
        <f t="shared" si="121"/>
        <v>220488.91666666669</v>
      </c>
      <c r="O697" s="357">
        <f t="shared" si="114"/>
        <v>1961</v>
      </c>
      <c r="P697" s="357">
        <v>9</v>
      </c>
      <c r="Q697" s="358">
        <f t="shared" si="112"/>
        <v>5.3726027397260276</v>
      </c>
      <c r="R697" s="359">
        <f t="shared" si="115"/>
        <v>3.6273972602739724</v>
      </c>
      <c r="S697" s="360">
        <f t="shared" si="116"/>
        <v>3.6273972602739724</v>
      </c>
      <c r="T697" s="361">
        <f t="shared" si="117"/>
        <v>0.10555555555555554</v>
      </c>
      <c r="U697" s="362">
        <f t="shared" si="123"/>
        <v>57695.083333333328</v>
      </c>
      <c r="V697" s="362">
        <f t="shared" si="119"/>
        <v>162793.83333333337</v>
      </c>
      <c r="W697" s="362">
        <f t="shared" si="118"/>
        <v>27329</v>
      </c>
      <c r="X697" s="742">
        <f t="shared" si="120"/>
        <v>135464.83333333337</v>
      </c>
    </row>
    <row r="698" spans="1:24" ht="13.9">
      <c r="A698" s="349">
        <f t="shared" si="122"/>
        <v>690</v>
      </c>
      <c r="B698" s="393" t="s">
        <v>309</v>
      </c>
      <c r="C698" s="394" t="s">
        <v>2019</v>
      </c>
      <c r="D698" s="349" t="s">
        <v>2020</v>
      </c>
      <c r="E698" s="393" t="s">
        <v>2048</v>
      </c>
      <c r="F698" s="395"/>
      <c r="G698" s="404"/>
      <c r="H698" s="397">
        <v>585975</v>
      </c>
      <c r="I698" s="353"/>
      <c r="J698" s="353"/>
      <c r="K698" s="354">
        <f t="shared" si="113"/>
        <v>585975</v>
      </c>
      <c r="L698" s="398">
        <v>43435</v>
      </c>
      <c r="M698" s="742">
        <v>339682.91666666663</v>
      </c>
      <c r="N698" s="352">
        <f t="shared" si="121"/>
        <v>246292.08333333337</v>
      </c>
      <c r="O698" s="357">
        <f t="shared" si="114"/>
        <v>1948</v>
      </c>
      <c r="P698" s="357">
        <v>9</v>
      </c>
      <c r="Q698" s="358">
        <f t="shared" si="112"/>
        <v>5.3369863013698629</v>
      </c>
      <c r="R698" s="359">
        <f t="shared" si="115"/>
        <v>3.6630136986301371</v>
      </c>
      <c r="S698" s="360">
        <f t="shared" si="116"/>
        <v>3.6630136986301371</v>
      </c>
      <c r="T698" s="361">
        <f t="shared" si="117"/>
        <v>0.10555555555555554</v>
      </c>
      <c r="U698" s="362">
        <f t="shared" si="123"/>
        <v>61852.916666666657</v>
      </c>
      <c r="V698" s="362">
        <f t="shared" si="119"/>
        <v>184439.16666666672</v>
      </c>
      <c r="W698" s="362">
        <f t="shared" si="118"/>
        <v>29299</v>
      </c>
      <c r="X698" s="742">
        <f t="shared" si="120"/>
        <v>155140.16666666672</v>
      </c>
    </row>
    <row r="699" spans="1:24" ht="13.9">
      <c r="A699" s="349">
        <f t="shared" si="122"/>
        <v>691</v>
      </c>
      <c r="B699" s="393" t="s">
        <v>309</v>
      </c>
      <c r="C699" s="394" t="s">
        <v>2019</v>
      </c>
      <c r="D699" s="349" t="s">
        <v>2020</v>
      </c>
      <c r="E699" s="393" t="s">
        <v>2047</v>
      </c>
      <c r="F699" s="395"/>
      <c r="G699" s="404"/>
      <c r="H699" s="397">
        <v>2006570</v>
      </c>
      <c r="I699" s="353"/>
      <c r="J699" s="353"/>
      <c r="K699" s="354">
        <f t="shared" si="113"/>
        <v>2006570</v>
      </c>
      <c r="L699" s="398">
        <v>43453</v>
      </c>
      <c r="M699" s="742">
        <v>1116181.611111111</v>
      </c>
      <c r="N699" s="352">
        <f t="shared" si="121"/>
        <v>890388.38888888899</v>
      </c>
      <c r="O699" s="357">
        <f t="shared" si="114"/>
        <v>1930</v>
      </c>
      <c r="P699" s="357">
        <v>9</v>
      </c>
      <c r="Q699" s="358">
        <f t="shared" si="112"/>
        <v>5.2876712328767121</v>
      </c>
      <c r="R699" s="359">
        <f t="shared" si="115"/>
        <v>3.7123287671232879</v>
      </c>
      <c r="S699" s="360">
        <f t="shared" si="116"/>
        <v>3.7123287671232879</v>
      </c>
      <c r="T699" s="361">
        <f t="shared" si="117"/>
        <v>0.10555555555555554</v>
      </c>
      <c r="U699" s="362">
        <f t="shared" si="123"/>
        <v>211804.61111111109</v>
      </c>
      <c r="V699" s="362">
        <f t="shared" si="119"/>
        <v>678583.77777777787</v>
      </c>
      <c r="W699" s="362">
        <f t="shared" si="118"/>
        <v>100329</v>
      </c>
      <c r="X699" s="742">
        <f t="shared" si="120"/>
        <v>578254.77777777787</v>
      </c>
    </row>
    <row r="700" spans="1:24" ht="13.9">
      <c r="A700" s="349">
        <f t="shared" si="122"/>
        <v>692</v>
      </c>
      <c r="B700" s="393" t="s">
        <v>309</v>
      </c>
      <c r="C700" s="394" t="s">
        <v>2019</v>
      </c>
      <c r="D700" s="349" t="s">
        <v>2020</v>
      </c>
      <c r="E700" s="393" t="s">
        <v>2048</v>
      </c>
      <c r="F700" s="395"/>
      <c r="G700" s="404"/>
      <c r="H700" s="397">
        <v>427830</v>
      </c>
      <c r="I700" s="353"/>
      <c r="J700" s="353"/>
      <c r="K700" s="354">
        <f t="shared" si="113"/>
        <v>427830</v>
      </c>
      <c r="L700" s="398">
        <v>43460</v>
      </c>
      <c r="M700" s="742">
        <v>234088.83333333331</v>
      </c>
      <c r="N700" s="352">
        <f t="shared" si="121"/>
        <v>193741.16666666669</v>
      </c>
      <c r="O700" s="357">
        <f t="shared" si="114"/>
        <v>1923</v>
      </c>
      <c r="P700" s="357">
        <v>9</v>
      </c>
      <c r="Q700" s="358">
        <f t="shared" si="112"/>
        <v>5.2684931506849315</v>
      </c>
      <c r="R700" s="359">
        <f t="shared" si="115"/>
        <v>3.7315068493150685</v>
      </c>
      <c r="S700" s="360">
        <f t="shared" si="116"/>
        <v>3.7315068493150685</v>
      </c>
      <c r="T700" s="361">
        <f t="shared" si="117"/>
        <v>0.10555555555555554</v>
      </c>
      <c r="U700" s="362">
        <f t="shared" si="123"/>
        <v>45159.833333333328</v>
      </c>
      <c r="V700" s="362">
        <f t="shared" si="119"/>
        <v>148581.33333333337</v>
      </c>
      <c r="W700" s="362">
        <f t="shared" si="118"/>
        <v>21392</v>
      </c>
      <c r="X700" s="742">
        <f t="shared" si="120"/>
        <v>127189.33333333337</v>
      </c>
    </row>
    <row r="701" spans="1:24" ht="13.9">
      <c r="A701" s="349">
        <f t="shared" si="122"/>
        <v>693</v>
      </c>
      <c r="B701" s="393" t="s">
        <v>309</v>
      </c>
      <c r="C701" s="394" t="s">
        <v>2019</v>
      </c>
      <c r="D701" s="349" t="s">
        <v>2020</v>
      </c>
      <c r="E701" s="393" t="s">
        <v>2047</v>
      </c>
      <c r="F701" s="395"/>
      <c r="G701" s="404"/>
      <c r="H701" s="397">
        <v>642135</v>
      </c>
      <c r="I701" s="353"/>
      <c r="J701" s="353"/>
      <c r="K701" s="354">
        <f t="shared" si="113"/>
        <v>642135</v>
      </c>
      <c r="L701" s="398">
        <v>43473</v>
      </c>
      <c r="M701" s="742">
        <v>340482.91666666663</v>
      </c>
      <c r="N701" s="352">
        <f t="shared" si="121"/>
        <v>301652.08333333337</v>
      </c>
      <c r="O701" s="357">
        <f t="shared" si="114"/>
        <v>1910</v>
      </c>
      <c r="P701" s="357">
        <v>9</v>
      </c>
      <c r="Q701" s="358">
        <f t="shared" si="112"/>
        <v>5.2328767123287667</v>
      </c>
      <c r="R701" s="359">
        <f t="shared" si="115"/>
        <v>3.7671232876712333</v>
      </c>
      <c r="S701" s="360">
        <f t="shared" si="116"/>
        <v>3.7671232876712333</v>
      </c>
      <c r="T701" s="361">
        <f t="shared" si="117"/>
        <v>0.10555555555555554</v>
      </c>
      <c r="U701" s="362">
        <f t="shared" si="123"/>
        <v>67780.916666666657</v>
      </c>
      <c r="V701" s="362">
        <f t="shared" si="119"/>
        <v>233871.16666666672</v>
      </c>
      <c r="W701" s="362">
        <f t="shared" si="118"/>
        <v>32107</v>
      </c>
      <c r="X701" s="742">
        <f t="shared" si="120"/>
        <v>201764.16666666672</v>
      </c>
    </row>
    <row r="702" spans="1:24" ht="13.9">
      <c r="A702" s="349">
        <f t="shared" si="122"/>
        <v>694</v>
      </c>
      <c r="B702" s="393" t="s">
        <v>309</v>
      </c>
      <c r="C702" s="394" t="s">
        <v>2019</v>
      </c>
      <c r="D702" s="349" t="s">
        <v>2020</v>
      </c>
      <c r="E702" s="393" t="s">
        <v>2047</v>
      </c>
      <c r="F702" s="395"/>
      <c r="G702" s="404"/>
      <c r="H702" s="397">
        <v>1836390</v>
      </c>
      <c r="I702" s="353"/>
      <c r="J702" s="353"/>
      <c r="K702" s="354">
        <f t="shared" si="113"/>
        <v>1836390</v>
      </c>
      <c r="L702" s="398">
        <v>43482</v>
      </c>
      <c r="M702" s="742">
        <v>952211.16666666663</v>
      </c>
      <c r="N702" s="352">
        <f t="shared" si="121"/>
        <v>884178.83333333337</v>
      </c>
      <c r="O702" s="357">
        <f t="shared" si="114"/>
        <v>1901</v>
      </c>
      <c r="P702" s="357">
        <v>9</v>
      </c>
      <c r="Q702" s="358">
        <f t="shared" si="112"/>
        <v>5.2082191780821914</v>
      </c>
      <c r="R702" s="359">
        <f t="shared" si="115"/>
        <v>3.7917808219178086</v>
      </c>
      <c r="S702" s="360">
        <f t="shared" si="116"/>
        <v>3.7917808219178086</v>
      </c>
      <c r="T702" s="361">
        <f t="shared" si="117"/>
        <v>0.10555555555555554</v>
      </c>
      <c r="U702" s="362">
        <f t="shared" si="123"/>
        <v>193841.16666666663</v>
      </c>
      <c r="V702" s="362">
        <f t="shared" si="119"/>
        <v>690337.66666666674</v>
      </c>
      <c r="W702" s="362">
        <f t="shared" si="118"/>
        <v>91820</v>
      </c>
      <c r="X702" s="742">
        <f t="shared" si="120"/>
        <v>598517.66666666674</v>
      </c>
    </row>
    <row r="703" spans="1:24" ht="13.9">
      <c r="A703" s="349">
        <f t="shared" si="122"/>
        <v>695</v>
      </c>
      <c r="B703" s="393" t="s">
        <v>309</v>
      </c>
      <c r="C703" s="394" t="s">
        <v>2019</v>
      </c>
      <c r="D703" s="349" t="s">
        <v>2020</v>
      </c>
      <c r="E703" s="393" t="s">
        <v>2047</v>
      </c>
      <c r="F703" s="395"/>
      <c r="G703" s="404"/>
      <c r="H703" s="397">
        <v>2073980</v>
      </c>
      <c r="I703" s="353"/>
      <c r="J703" s="353"/>
      <c r="K703" s="354">
        <f t="shared" si="113"/>
        <v>2073980</v>
      </c>
      <c r="L703" s="398">
        <v>43498</v>
      </c>
      <c r="M703" s="742">
        <v>1032223.1111111111</v>
      </c>
      <c r="N703" s="352">
        <f t="shared" si="121"/>
        <v>1041756.8888888889</v>
      </c>
      <c r="O703" s="357">
        <f t="shared" si="114"/>
        <v>1885</v>
      </c>
      <c r="P703" s="357">
        <v>9</v>
      </c>
      <c r="Q703" s="358">
        <f t="shared" si="112"/>
        <v>5.1643835616438354</v>
      </c>
      <c r="R703" s="359">
        <f t="shared" si="115"/>
        <v>3.8356164383561646</v>
      </c>
      <c r="S703" s="360">
        <f t="shared" si="116"/>
        <v>3.8356164383561646</v>
      </c>
      <c r="T703" s="361">
        <f t="shared" si="117"/>
        <v>0.10555555555555554</v>
      </c>
      <c r="U703" s="362">
        <f t="shared" si="123"/>
        <v>218920.11111111109</v>
      </c>
      <c r="V703" s="362">
        <f t="shared" si="119"/>
        <v>822836.77777777775</v>
      </c>
      <c r="W703" s="362">
        <f t="shared" si="118"/>
        <v>103699</v>
      </c>
      <c r="X703" s="742">
        <f t="shared" si="120"/>
        <v>719137.77777777775</v>
      </c>
    </row>
    <row r="704" spans="1:24" ht="13.9">
      <c r="A704" s="349">
        <f t="shared" si="122"/>
        <v>696</v>
      </c>
      <c r="B704" s="393" t="s">
        <v>309</v>
      </c>
      <c r="C704" s="394" t="s">
        <v>2019</v>
      </c>
      <c r="D704" s="349" t="s">
        <v>2020</v>
      </c>
      <c r="E704" s="393" t="s">
        <v>2048</v>
      </c>
      <c r="F704" s="395"/>
      <c r="G704" s="404"/>
      <c r="H704" s="397">
        <v>568815</v>
      </c>
      <c r="I704" s="353"/>
      <c r="J704" s="353"/>
      <c r="K704" s="354">
        <f t="shared" si="113"/>
        <v>568815</v>
      </c>
      <c r="L704" s="398">
        <v>43536</v>
      </c>
      <c r="M704" s="742">
        <v>254971.58333333331</v>
      </c>
      <c r="N704" s="352">
        <f t="shared" si="121"/>
        <v>313843.41666666669</v>
      </c>
      <c r="O704" s="357">
        <f t="shared" si="114"/>
        <v>1847</v>
      </c>
      <c r="P704" s="357">
        <v>9</v>
      </c>
      <c r="Q704" s="358">
        <f t="shared" si="112"/>
        <v>5.0602739726027401</v>
      </c>
      <c r="R704" s="359">
        <f t="shared" si="115"/>
        <v>3.9397260273972599</v>
      </c>
      <c r="S704" s="360">
        <f t="shared" si="116"/>
        <v>3.9397260273972599</v>
      </c>
      <c r="T704" s="361">
        <f t="shared" si="117"/>
        <v>0.10555555555555554</v>
      </c>
      <c r="U704" s="362">
        <f t="shared" si="123"/>
        <v>60041.583333333328</v>
      </c>
      <c r="V704" s="362">
        <f t="shared" si="119"/>
        <v>253801.83333333337</v>
      </c>
      <c r="W704" s="362">
        <f t="shared" si="118"/>
        <v>28441</v>
      </c>
      <c r="X704" s="742">
        <f t="shared" si="120"/>
        <v>225360.83333333337</v>
      </c>
    </row>
    <row r="705" spans="1:24" ht="13.9">
      <c r="A705" s="349">
        <f t="shared" si="122"/>
        <v>697</v>
      </c>
      <c r="B705" s="393" t="s">
        <v>309</v>
      </c>
      <c r="C705" s="394" t="s">
        <v>2019</v>
      </c>
      <c r="D705" s="349" t="s">
        <v>2020</v>
      </c>
      <c r="E705" s="393" t="s">
        <v>2048</v>
      </c>
      <c r="F705" s="395"/>
      <c r="G705" s="404"/>
      <c r="H705" s="397">
        <v>651495</v>
      </c>
      <c r="I705" s="353"/>
      <c r="J705" s="353"/>
      <c r="K705" s="354">
        <f t="shared" si="113"/>
        <v>651495</v>
      </c>
      <c r="L705" s="398">
        <v>43536</v>
      </c>
      <c r="M705" s="742">
        <v>292031.91666666663</v>
      </c>
      <c r="N705" s="352">
        <f t="shared" si="121"/>
        <v>359463.08333333337</v>
      </c>
      <c r="O705" s="357">
        <f t="shared" si="114"/>
        <v>1847</v>
      </c>
      <c r="P705" s="357">
        <v>9</v>
      </c>
      <c r="Q705" s="358">
        <f t="shared" ref="Q705:Q768" si="124">+O705/365</f>
        <v>5.0602739726027401</v>
      </c>
      <c r="R705" s="359">
        <f t="shared" si="115"/>
        <v>3.9397260273972599</v>
      </c>
      <c r="S705" s="360">
        <f t="shared" si="116"/>
        <v>3.9397260273972599</v>
      </c>
      <c r="T705" s="361">
        <f t="shared" si="117"/>
        <v>0.10555555555555554</v>
      </c>
      <c r="U705" s="362">
        <f t="shared" si="123"/>
        <v>68768.916666666657</v>
      </c>
      <c r="V705" s="362">
        <f t="shared" si="119"/>
        <v>290694.16666666674</v>
      </c>
      <c r="W705" s="362">
        <f t="shared" si="118"/>
        <v>32575</v>
      </c>
      <c r="X705" s="742">
        <f t="shared" si="120"/>
        <v>258119.16666666674</v>
      </c>
    </row>
    <row r="706" spans="1:24" ht="13.9">
      <c r="A706" s="349">
        <f t="shared" si="122"/>
        <v>698</v>
      </c>
      <c r="B706" s="393" t="s">
        <v>957</v>
      </c>
      <c r="C706" s="394" t="s">
        <v>2049</v>
      </c>
      <c r="D706" s="349" t="s">
        <v>2020</v>
      </c>
      <c r="E706" s="393" t="s">
        <v>2050</v>
      </c>
      <c r="F706" s="395"/>
      <c r="G706" s="404"/>
      <c r="H706" s="397">
        <v>2416306</v>
      </c>
      <c r="I706" s="353"/>
      <c r="J706" s="353"/>
      <c r="K706" s="354">
        <f t="shared" si="113"/>
        <v>2416306</v>
      </c>
      <c r="L706" s="398">
        <v>43209</v>
      </c>
      <c r="M706" s="742">
        <v>1262694.5222222223</v>
      </c>
      <c r="N706" s="352">
        <f t="shared" si="121"/>
        <v>1153611.4777777777</v>
      </c>
      <c r="O706" s="357">
        <f t="shared" si="114"/>
        <v>2174</v>
      </c>
      <c r="P706" s="357">
        <v>9</v>
      </c>
      <c r="Q706" s="358">
        <f t="shared" si="124"/>
        <v>5.956164383561644</v>
      </c>
      <c r="R706" s="359">
        <f t="shared" si="115"/>
        <v>3.043835616438356</v>
      </c>
      <c r="S706" s="360">
        <f t="shared" si="116"/>
        <v>3.043835616438356</v>
      </c>
      <c r="T706" s="361">
        <f t="shared" si="117"/>
        <v>0.10555555555555554</v>
      </c>
      <c r="U706" s="362">
        <f t="shared" si="123"/>
        <v>255054.52222222218</v>
      </c>
      <c r="V706" s="362">
        <f t="shared" si="119"/>
        <v>898556.95555555553</v>
      </c>
      <c r="W706" s="362">
        <f t="shared" si="118"/>
        <v>120815</v>
      </c>
      <c r="X706" s="742">
        <f t="shared" si="120"/>
        <v>777741.95555555553</v>
      </c>
    </row>
    <row r="707" spans="1:24" ht="13.9">
      <c r="A707" s="349">
        <f t="shared" si="122"/>
        <v>699</v>
      </c>
      <c r="B707" s="393" t="s">
        <v>957</v>
      </c>
      <c r="C707" s="394" t="s">
        <v>2049</v>
      </c>
      <c r="D707" s="349" t="s">
        <v>2020</v>
      </c>
      <c r="E707" s="393" t="s">
        <v>2050</v>
      </c>
      <c r="F707" s="395"/>
      <c r="G707" s="404"/>
      <c r="H707" s="397">
        <v>2416306</v>
      </c>
      <c r="I707" s="353"/>
      <c r="J707" s="353"/>
      <c r="K707" s="354">
        <f t="shared" si="113"/>
        <v>2416306</v>
      </c>
      <c r="L707" s="398">
        <v>43209</v>
      </c>
      <c r="M707" s="742">
        <v>1262694.5222222223</v>
      </c>
      <c r="N707" s="352">
        <f t="shared" si="121"/>
        <v>1153611.4777777777</v>
      </c>
      <c r="O707" s="357">
        <f t="shared" si="114"/>
        <v>2174</v>
      </c>
      <c r="P707" s="357">
        <v>9</v>
      </c>
      <c r="Q707" s="358">
        <f t="shared" si="124"/>
        <v>5.956164383561644</v>
      </c>
      <c r="R707" s="359">
        <f t="shared" si="115"/>
        <v>3.043835616438356</v>
      </c>
      <c r="S707" s="360">
        <f t="shared" si="116"/>
        <v>3.043835616438356</v>
      </c>
      <c r="T707" s="361">
        <f t="shared" si="117"/>
        <v>0.10555555555555554</v>
      </c>
      <c r="U707" s="362">
        <f t="shared" si="123"/>
        <v>255054.52222222218</v>
      </c>
      <c r="V707" s="362">
        <f t="shared" si="119"/>
        <v>898556.95555555553</v>
      </c>
      <c r="W707" s="362">
        <f t="shared" si="118"/>
        <v>120815</v>
      </c>
      <c r="X707" s="742">
        <f t="shared" si="120"/>
        <v>777741.95555555553</v>
      </c>
    </row>
    <row r="708" spans="1:24" ht="13.9">
      <c r="A708" s="349">
        <f t="shared" si="122"/>
        <v>700</v>
      </c>
      <c r="B708" s="393" t="s">
        <v>957</v>
      </c>
      <c r="C708" s="394" t="s">
        <v>2049</v>
      </c>
      <c r="D708" s="349" t="s">
        <v>2020</v>
      </c>
      <c r="E708" s="393" t="s">
        <v>2050</v>
      </c>
      <c r="F708" s="395"/>
      <c r="G708" s="404"/>
      <c r="H708" s="397">
        <v>2416306</v>
      </c>
      <c r="I708" s="353"/>
      <c r="J708" s="353"/>
      <c r="K708" s="354">
        <f t="shared" si="113"/>
        <v>2416306</v>
      </c>
      <c r="L708" s="398">
        <v>43209</v>
      </c>
      <c r="M708" s="742">
        <v>1262694.5222222223</v>
      </c>
      <c r="N708" s="352">
        <f t="shared" si="121"/>
        <v>1153611.4777777777</v>
      </c>
      <c r="O708" s="357">
        <f t="shared" si="114"/>
        <v>2174</v>
      </c>
      <c r="P708" s="357">
        <v>9</v>
      </c>
      <c r="Q708" s="358">
        <f t="shared" si="124"/>
        <v>5.956164383561644</v>
      </c>
      <c r="R708" s="359">
        <f t="shared" si="115"/>
        <v>3.043835616438356</v>
      </c>
      <c r="S708" s="360">
        <f t="shared" si="116"/>
        <v>3.043835616438356</v>
      </c>
      <c r="T708" s="361">
        <f t="shared" si="117"/>
        <v>0.10555555555555554</v>
      </c>
      <c r="U708" s="362">
        <f t="shared" si="123"/>
        <v>255054.52222222218</v>
      </c>
      <c r="V708" s="362">
        <f t="shared" si="119"/>
        <v>898556.95555555553</v>
      </c>
      <c r="W708" s="362">
        <f t="shared" si="118"/>
        <v>120815</v>
      </c>
      <c r="X708" s="742">
        <f t="shared" si="120"/>
        <v>777741.95555555553</v>
      </c>
    </row>
    <row r="709" spans="1:24" ht="13.9">
      <c r="A709" s="349">
        <f t="shared" si="122"/>
        <v>701</v>
      </c>
      <c r="B709" s="393" t="s">
        <v>957</v>
      </c>
      <c r="C709" s="394" t="s">
        <v>2049</v>
      </c>
      <c r="D709" s="349" t="s">
        <v>2020</v>
      </c>
      <c r="E709" s="393" t="s">
        <v>2050</v>
      </c>
      <c r="F709" s="395"/>
      <c r="G709" s="404"/>
      <c r="H709" s="397">
        <v>2416306</v>
      </c>
      <c r="I709" s="353"/>
      <c r="J709" s="353"/>
      <c r="K709" s="354">
        <f t="shared" si="113"/>
        <v>2416306</v>
      </c>
      <c r="L709" s="398">
        <v>43209</v>
      </c>
      <c r="M709" s="742">
        <v>1262694.5222222223</v>
      </c>
      <c r="N709" s="352">
        <f t="shared" si="121"/>
        <v>1153611.4777777777</v>
      </c>
      <c r="O709" s="357">
        <f t="shared" si="114"/>
        <v>2174</v>
      </c>
      <c r="P709" s="357">
        <v>9</v>
      </c>
      <c r="Q709" s="358">
        <f t="shared" si="124"/>
        <v>5.956164383561644</v>
      </c>
      <c r="R709" s="359">
        <f t="shared" si="115"/>
        <v>3.043835616438356</v>
      </c>
      <c r="S709" s="360">
        <f t="shared" si="116"/>
        <v>3.043835616438356</v>
      </c>
      <c r="T709" s="361">
        <f t="shared" si="117"/>
        <v>0.10555555555555554</v>
      </c>
      <c r="U709" s="362">
        <f t="shared" si="123"/>
        <v>255054.52222222218</v>
      </c>
      <c r="V709" s="362">
        <f t="shared" si="119"/>
        <v>898556.95555555553</v>
      </c>
      <c r="W709" s="362">
        <f t="shared" si="118"/>
        <v>120815</v>
      </c>
      <c r="X709" s="742">
        <f t="shared" si="120"/>
        <v>777741.95555555553</v>
      </c>
    </row>
    <row r="710" spans="1:24" ht="13.9">
      <c r="A710" s="349">
        <f t="shared" si="122"/>
        <v>702</v>
      </c>
      <c r="B710" s="393" t="s">
        <v>957</v>
      </c>
      <c r="C710" s="394" t="s">
        <v>2049</v>
      </c>
      <c r="D710" s="349" t="s">
        <v>2020</v>
      </c>
      <c r="E710" s="393" t="s">
        <v>2050</v>
      </c>
      <c r="F710" s="395"/>
      <c r="G710" s="404"/>
      <c r="H710" s="397">
        <v>2416306</v>
      </c>
      <c r="I710" s="353"/>
      <c r="J710" s="353"/>
      <c r="K710" s="354">
        <f t="shared" ref="K710:K773" si="125">+H710+I710-J710</f>
        <v>2416306</v>
      </c>
      <c r="L710" s="398">
        <v>43209</v>
      </c>
      <c r="M710" s="742">
        <v>1262694.5222222223</v>
      </c>
      <c r="N710" s="352">
        <f t="shared" si="121"/>
        <v>1153611.4777777777</v>
      </c>
      <c r="O710" s="357">
        <f t="shared" ref="O710:O773" si="126">+$O$3-L710+1</f>
        <v>2174</v>
      </c>
      <c r="P710" s="357">
        <v>9</v>
      </c>
      <c r="Q710" s="358">
        <f t="shared" si="124"/>
        <v>5.956164383561644</v>
      </c>
      <c r="R710" s="359">
        <f t="shared" ref="R710:R773" si="127">+P710-Q710</f>
        <v>3.043835616438356</v>
      </c>
      <c r="S710" s="360">
        <f t="shared" ref="S710:S773" si="128">IF(R710&lt;0,0,IF(R710&gt;365,365,R710))</f>
        <v>3.043835616438356</v>
      </c>
      <c r="T710" s="361">
        <f t="shared" ref="T710:T773" si="129">1/P710*0.95</f>
        <v>0.10555555555555554</v>
      </c>
      <c r="U710" s="362">
        <f t="shared" si="123"/>
        <v>255054.52222222218</v>
      </c>
      <c r="V710" s="362">
        <f t="shared" si="119"/>
        <v>898556.95555555553</v>
      </c>
      <c r="W710" s="362">
        <f t="shared" ref="W710:W773" si="130">ROUND(+H710*5%,0)</f>
        <v>120815</v>
      </c>
      <c r="X710" s="742">
        <f t="shared" si="120"/>
        <v>777741.95555555553</v>
      </c>
    </row>
    <row r="711" spans="1:24" ht="13.9">
      <c r="A711" s="349">
        <f t="shared" si="122"/>
        <v>703</v>
      </c>
      <c r="B711" s="393" t="s">
        <v>957</v>
      </c>
      <c r="C711" s="394" t="s">
        <v>2049</v>
      </c>
      <c r="D711" s="349" t="s">
        <v>2020</v>
      </c>
      <c r="E711" s="393" t="s">
        <v>2050</v>
      </c>
      <c r="F711" s="395"/>
      <c r="G711" s="404"/>
      <c r="H711" s="397">
        <v>2416306</v>
      </c>
      <c r="I711" s="353"/>
      <c r="J711" s="353"/>
      <c r="K711" s="354">
        <f t="shared" si="125"/>
        <v>2416306</v>
      </c>
      <c r="L711" s="398">
        <v>43213</v>
      </c>
      <c r="M711" s="742">
        <v>1259899.5222222223</v>
      </c>
      <c r="N711" s="352">
        <f t="shared" si="121"/>
        <v>1156406.4777777777</v>
      </c>
      <c r="O711" s="357">
        <f t="shared" si="126"/>
        <v>2170</v>
      </c>
      <c r="P711" s="357">
        <v>9</v>
      </c>
      <c r="Q711" s="358">
        <f t="shared" si="124"/>
        <v>5.9452054794520546</v>
      </c>
      <c r="R711" s="359">
        <f t="shared" si="127"/>
        <v>3.0547945205479454</v>
      </c>
      <c r="S711" s="360">
        <f t="shared" si="128"/>
        <v>3.0547945205479454</v>
      </c>
      <c r="T711" s="361">
        <f t="shared" si="129"/>
        <v>0.10555555555555554</v>
      </c>
      <c r="U711" s="362">
        <f t="shared" si="123"/>
        <v>255054.52222222218</v>
      </c>
      <c r="V711" s="362">
        <f t="shared" ref="V711:V774" si="131">+N711-U711</f>
        <v>901351.95555555553</v>
      </c>
      <c r="W711" s="362">
        <f t="shared" si="130"/>
        <v>120815</v>
      </c>
      <c r="X711" s="742">
        <f t="shared" ref="X711:X774" si="132">+V711-W711</f>
        <v>780536.95555555553</v>
      </c>
    </row>
    <row r="712" spans="1:24" ht="13.9">
      <c r="A712" s="349">
        <f t="shared" si="122"/>
        <v>704</v>
      </c>
      <c r="B712" s="393" t="s">
        <v>957</v>
      </c>
      <c r="C712" s="394" t="s">
        <v>2049</v>
      </c>
      <c r="D712" s="349" t="s">
        <v>2020</v>
      </c>
      <c r="E712" s="393" t="s">
        <v>2050</v>
      </c>
      <c r="F712" s="395"/>
      <c r="G712" s="404"/>
      <c r="H712" s="397">
        <v>2397897</v>
      </c>
      <c r="I712" s="353"/>
      <c r="J712" s="353"/>
      <c r="K712" s="354">
        <f t="shared" si="125"/>
        <v>2397897</v>
      </c>
      <c r="L712" s="398">
        <v>43426</v>
      </c>
      <c r="M712" s="742">
        <v>1102594.3500000001</v>
      </c>
      <c r="N712" s="352">
        <f t="shared" ref="N712:N775" si="133">+K712-M712</f>
        <v>1295302.6499999999</v>
      </c>
      <c r="O712" s="357">
        <f t="shared" si="126"/>
        <v>1957</v>
      </c>
      <c r="P712" s="357">
        <v>9</v>
      </c>
      <c r="Q712" s="358">
        <f t="shared" si="124"/>
        <v>5.3616438356164382</v>
      </c>
      <c r="R712" s="359">
        <f t="shared" si="127"/>
        <v>3.6383561643835618</v>
      </c>
      <c r="S712" s="360">
        <f t="shared" si="128"/>
        <v>3.6383561643835618</v>
      </c>
      <c r="T712" s="361">
        <f t="shared" si="129"/>
        <v>0.10555555555555554</v>
      </c>
      <c r="U712" s="362">
        <f t="shared" si="123"/>
        <v>253111.34999999998</v>
      </c>
      <c r="V712" s="362">
        <f t="shared" si="131"/>
        <v>1042191.2999999999</v>
      </c>
      <c r="W712" s="362">
        <f t="shared" si="130"/>
        <v>119895</v>
      </c>
      <c r="X712" s="742">
        <f t="shared" si="132"/>
        <v>922296.29999999993</v>
      </c>
    </row>
    <row r="713" spans="1:24" ht="13.9">
      <c r="A713" s="349">
        <f t="shared" si="122"/>
        <v>705</v>
      </c>
      <c r="B713" s="393" t="s">
        <v>957</v>
      </c>
      <c r="C713" s="394" t="s">
        <v>2049</v>
      </c>
      <c r="D713" s="349" t="s">
        <v>2020</v>
      </c>
      <c r="E713" s="393" t="s">
        <v>2050</v>
      </c>
      <c r="F713" s="395"/>
      <c r="G713" s="404"/>
      <c r="H713" s="397">
        <v>2397897</v>
      </c>
      <c r="I713" s="353"/>
      <c r="J713" s="353"/>
      <c r="K713" s="354">
        <f t="shared" si="125"/>
        <v>2397897</v>
      </c>
      <c r="L713" s="398">
        <v>43426</v>
      </c>
      <c r="M713" s="742">
        <v>1102594.3500000001</v>
      </c>
      <c r="N713" s="352">
        <f t="shared" si="133"/>
        <v>1295302.6499999999</v>
      </c>
      <c r="O713" s="357">
        <f t="shared" si="126"/>
        <v>1957</v>
      </c>
      <c r="P713" s="357">
        <v>9</v>
      </c>
      <c r="Q713" s="358">
        <f t="shared" si="124"/>
        <v>5.3616438356164382</v>
      </c>
      <c r="R713" s="359">
        <f t="shared" si="127"/>
        <v>3.6383561643835618</v>
      </c>
      <c r="S713" s="360">
        <f t="shared" si="128"/>
        <v>3.6383561643835618</v>
      </c>
      <c r="T713" s="361">
        <f t="shared" si="129"/>
        <v>0.10555555555555554</v>
      </c>
      <c r="U713" s="362">
        <f t="shared" si="123"/>
        <v>253111.34999999998</v>
      </c>
      <c r="V713" s="362">
        <f t="shared" si="131"/>
        <v>1042191.2999999999</v>
      </c>
      <c r="W713" s="362">
        <f t="shared" si="130"/>
        <v>119895</v>
      </c>
      <c r="X713" s="742">
        <f t="shared" si="132"/>
        <v>922296.29999999993</v>
      </c>
    </row>
    <row r="714" spans="1:24" ht="13.9">
      <c r="A714" s="349">
        <f t="shared" ref="A714:A777" si="134">+A713+1</f>
        <v>706</v>
      </c>
      <c r="B714" s="393" t="s">
        <v>957</v>
      </c>
      <c r="C714" s="394" t="s">
        <v>2049</v>
      </c>
      <c r="D714" s="349" t="s">
        <v>2020</v>
      </c>
      <c r="E714" s="393" t="s">
        <v>2050</v>
      </c>
      <c r="F714" s="395"/>
      <c r="G714" s="404"/>
      <c r="H714" s="397">
        <v>2397897</v>
      </c>
      <c r="I714" s="353"/>
      <c r="J714" s="353"/>
      <c r="K714" s="354">
        <f t="shared" si="125"/>
        <v>2397897</v>
      </c>
      <c r="L714" s="398">
        <v>43426</v>
      </c>
      <c r="M714" s="742">
        <v>1102594.3500000001</v>
      </c>
      <c r="N714" s="352">
        <f t="shared" si="133"/>
        <v>1295302.6499999999</v>
      </c>
      <c r="O714" s="357">
        <f t="shared" si="126"/>
        <v>1957</v>
      </c>
      <c r="P714" s="357">
        <v>9</v>
      </c>
      <c r="Q714" s="358">
        <f t="shared" si="124"/>
        <v>5.3616438356164382</v>
      </c>
      <c r="R714" s="359">
        <f t="shared" si="127"/>
        <v>3.6383561643835618</v>
      </c>
      <c r="S714" s="360">
        <f t="shared" si="128"/>
        <v>3.6383561643835618</v>
      </c>
      <c r="T714" s="361">
        <f t="shared" si="129"/>
        <v>0.10555555555555554</v>
      </c>
      <c r="U714" s="362">
        <f t="shared" si="123"/>
        <v>253111.34999999998</v>
      </c>
      <c r="V714" s="362">
        <f t="shared" si="131"/>
        <v>1042191.2999999999</v>
      </c>
      <c r="W714" s="362">
        <f t="shared" si="130"/>
        <v>119895</v>
      </c>
      <c r="X714" s="742">
        <f t="shared" si="132"/>
        <v>922296.29999999993</v>
      </c>
    </row>
    <row r="715" spans="1:24" ht="13.9">
      <c r="A715" s="349">
        <f t="shared" si="134"/>
        <v>707</v>
      </c>
      <c r="B715" s="393" t="s">
        <v>957</v>
      </c>
      <c r="C715" s="394" t="s">
        <v>2049</v>
      </c>
      <c r="D715" s="349" t="s">
        <v>2020</v>
      </c>
      <c r="E715" s="393" t="s">
        <v>2050</v>
      </c>
      <c r="F715" s="395"/>
      <c r="G715" s="404"/>
      <c r="H715" s="397">
        <v>2397665</v>
      </c>
      <c r="I715" s="353"/>
      <c r="J715" s="353"/>
      <c r="K715" s="354">
        <f t="shared" si="125"/>
        <v>2397665</v>
      </c>
      <c r="L715" s="398">
        <v>43426</v>
      </c>
      <c r="M715" s="742">
        <v>1102487.861111111</v>
      </c>
      <c r="N715" s="352">
        <f t="shared" si="133"/>
        <v>1295177.138888889</v>
      </c>
      <c r="O715" s="357">
        <f t="shared" si="126"/>
        <v>1957</v>
      </c>
      <c r="P715" s="357">
        <v>9</v>
      </c>
      <c r="Q715" s="358">
        <f t="shared" si="124"/>
        <v>5.3616438356164382</v>
      </c>
      <c r="R715" s="359">
        <f t="shared" si="127"/>
        <v>3.6383561643835618</v>
      </c>
      <c r="S715" s="360">
        <f t="shared" si="128"/>
        <v>3.6383561643835618</v>
      </c>
      <c r="T715" s="361">
        <f t="shared" si="129"/>
        <v>0.10555555555555554</v>
      </c>
      <c r="U715" s="362">
        <f t="shared" si="123"/>
        <v>253086.86111111107</v>
      </c>
      <c r="V715" s="362">
        <f t="shared" si="131"/>
        <v>1042090.277777778</v>
      </c>
      <c r="W715" s="362">
        <f t="shared" si="130"/>
        <v>119883</v>
      </c>
      <c r="X715" s="742">
        <f t="shared" si="132"/>
        <v>922207.27777777798</v>
      </c>
    </row>
    <row r="716" spans="1:24" ht="13.9">
      <c r="A716" s="349">
        <f t="shared" si="134"/>
        <v>708</v>
      </c>
      <c r="B716" s="393" t="s">
        <v>957</v>
      </c>
      <c r="C716" s="394" t="s">
        <v>2049</v>
      </c>
      <c r="D716" s="349" t="s">
        <v>2020</v>
      </c>
      <c r="E716" s="393" t="s">
        <v>2050</v>
      </c>
      <c r="F716" s="395"/>
      <c r="G716" s="404"/>
      <c r="H716" s="397">
        <v>2397665</v>
      </c>
      <c r="I716" s="353"/>
      <c r="J716" s="353"/>
      <c r="K716" s="354">
        <f t="shared" si="125"/>
        <v>2397665</v>
      </c>
      <c r="L716" s="398">
        <v>43426</v>
      </c>
      <c r="M716" s="742">
        <v>1102487.861111111</v>
      </c>
      <c r="N716" s="352">
        <f t="shared" si="133"/>
        <v>1295177.138888889</v>
      </c>
      <c r="O716" s="357">
        <f t="shared" si="126"/>
        <v>1957</v>
      </c>
      <c r="P716" s="357">
        <v>9</v>
      </c>
      <c r="Q716" s="358">
        <f t="shared" si="124"/>
        <v>5.3616438356164382</v>
      </c>
      <c r="R716" s="359">
        <f t="shared" si="127"/>
        <v>3.6383561643835618</v>
      </c>
      <c r="S716" s="360">
        <f t="shared" si="128"/>
        <v>3.6383561643835618</v>
      </c>
      <c r="T716" s="361">
        <f t="shared" si="129"/>
        <v>0.10555555555555554</v>
      </c>
      <c r="U716" s="362">
        <f t="shared" si="123"/>
        <v>253086.86111111107</v>
      </c>
      <c r="V716" s="362">
        <f t="shared" si="131"/>
        <v>1042090.277777778</v>
      </c>
      <c r="W716" s="362">
        <f t="shared" si="130"/>
        <v>119883</v>
      </c>
      <c r="X716" s="742">
        <f t="shared" si="132"/>
        <v>922207.27777777798</v>
      </c>
    </row>
    <row r="717" spans="1:24" ht="13.9">
      <c r="A717" s="349">
        <f t="shared" si="134"/>
        <v>709</v>
      </c>
      <c r="B717" s="393" t="s">
        <v>957</v>
      </c>
      <c r="C717" s="394" t="s">
        <v>2049</v>
      </c>
      <c r="D717" s="349" t="s">
        <v>2020</v>
      </c>
      <c r="E717" s="393" t="s">
        <v>2050</v>
      </c>
      <c r="F717" s="395"/>
      <c r="G717" s="404"/>
      <c r="H717" s="397">
        <v>2397665</v>
      </c>
      <c r="I717" s="353"/>
      <c r="J717" s="353"/>
      <c r="K717" s="354">
        <f t="shared" si="125"/>
        <v>2397665</v>
      </c>
      <c r="L717" s="398">
        <v>43426</v>
      </c>
      <c r="M717" s="742">
        <v>1102487.861111111</v>
      </c>
      <c r="N717" s="352">
        <f t="shared" si="133"/>
        <v>1295177.138888889</v>
      </c>
      <c r="O717" s="357">
        <f t="shared" si="126"/>
        <v>1957</v>
      </c>
      <c r="P717" s="357">
        <v>9</v>
      </c>
      <c r="Q717" s="358">
        <f t="shared" si="124"/>
        <v>5.3616438356164382</v>
      </c>
      <c r="R717" s="359">
        <f t="shared" si="127"/>
        <v>3.6383561643835618</v>
      </c>
      <c r="S717" s="360">
        <f t="shared" si="128"/>
        <v>3.6383561643835618</v>
      </c>
      <c r="T717" s="361">
        <f t="shared" si="129"/>
        <v>0.10555555555555554</v>
      </c>
      <c r="U717" s="362">
        <f t="shared" si="123"/>
        <v>253086.86111111107</v>
      </c>
      <c r="V717" s="362">
        <f t="shared" si="131"/>
        <v>1042090.277777778</v>
      </c>
      <c r="W717" s="362">
        <f t="shared" si="130"/>
        <v>119883</v>
      </c>
      <c r="X717" s="742">
        <f t="shared" si="132"/>
        <v>922207.27777777798</v>
      </c>
    </row>
    <row r="718" spans="1:24" ht="13.9">
      <c r="A718" s="349">
        <f t="shared" si="134"/>
        <v>710</v>
      </c>
      <c r="B718" s="393" t="s">
        <v>957</v>
      </c>
      <c r="C718" s="394" t="s">
        <v>2049</v>
      </c>
      <c r="D718" s="349" t="s">
        <v>2020</v>
      </c>
      <c r="E718" s="393" t="s">
        <v>2050</v>
      </c>
      <c r="F718" s="395"/>
      <c r="G718" s="404"/>
      <c r="H718" s="397">
        <v>2397665</v>
      </c>
      <c r="I718" s="353"/>
      <c r="J718" s="353"/>
      <c r="K718" s="354">
        <f t="shared" si="125"/>
        <v>2397665</v>
      </c>
      <c r="L718" s="398">
        <v>43426</v>
      </c>
      <c r="M718" s="742">
        <v>1102487.861111111</v>
      </c>
      <c r="N718" s="352">
        <f t="shared" si="133"/>
        <v>1295177.138888889</v>
      </c>
      <c r="O718" s="357">
        <f t="shared" si="126"/>
        <v>1957</v>
      </c>
      <c r="P718" s="357">
        <v>9</v>
      </c>
      <c r="Q718" s="358">
        <f t="shared" si="124"/>
        <v>5.3616438356164382</v>
      </c>
      <c r="R718" s="359">
        <f t="shared" si="127"/>
        <v>3.6383561643835618</v>
      </c>
      <c r="S718" s="360">
        <f t="shared" si="128"/>
        <v>3.6383561643835618</v>
      </c>
      <c r="T718" s="361">
        <f t="shared" si="129"/>
        <v>0.10555555555555554</v>
      </c>
      <c r="U718" s="362">
        <f t="shared" si="123"/>
        <v>253086.86111111107</v>
      </c>
      <c r="V718" s="362">
        <f t="shared" si="131"/>
        <v>1042090.277777778</v>
      </c>
      <c r="W718" s="362">
        <f t="shared" si="130"/>
        <v>119883</v>
      </c>
      <c r="X718" s="742">
        <f t="shared" si="132"/>
        <v>922207.27777777798</v>
      </c>
    </row>
    <row r="719" spans="1:24" ht="13.9">
      <c r="A719" s="349">
        <f t="shared" si="134"/>
        <v>711</v>
      </c>
      <c r="B719" s="393" t="s">
        <v>957</v>
      </c>
      <c r="C719" s="394" t="s">
        <v>2049</v>
      </c>
      <c r="D719" s="349" t="s">
        <v>2020</v>
      </c>
      <c r="E719" s="393" t="s">
        <v>2050</v>
      </c>
      <c r="F719" s="395"/>
      <c r="G719" s="404"/>
      <c r="H719" s="397">
        <v>2397665</v>
      </c>
      <c r="I719" s="353"/>
      <c r="J719" s="353"/>
      <c r="K719" s="354">
        <f t="shared" si="125"/>
        <v>2397665</v>
      </c>
      <c r="L719" s="398">
        <v>43444</v>
      </c>
      <c r="M719" s="742">
        <v>1090006.861111111</v>
      </c>
      <c r="N719" s="352">
        <f t="shared" si="133"/>
        <v>1307658.138888889</v>
      </c>
      <c r="O719" s="357">
        <f t="shared" si="126"/>
        <v>1939</v>
      </c>
      <c r="P719" s="357">
        <v>9</v>
      </c>
      <c r="Q719" s="358">
        <f t="shared" si="124"/>
        <v>5.3123287671232875</v>
      </c>
      <c r="R719" s="359">
        <f t="shared" si="127"/>
        <v>3.6876712328767125</v>
      </c>
      <c r="S719" s="360">
        <f t="shared" si="128"/>
        <v>3.6876712328767125</v>
      </c>
      <c r="T719" s="361">
        <f t="shared" si="129"/>
        <v>0.10555555555555554</v>
      </c>
      <c r="U719" s="362">
        <f t="shared" si="123"/>
        <v>253086.86111111107</v>
      </c>
      <c r="V719" s="362">
        <f t="shared" si="131"/>
        <v>1054571.277777778</v>
      </c>
      <c r="W719" s="362">
        <f t="shared" si="130"/>
        <v>119883</v>
      </c>
      <c r="X719" s="742">
        <f t="shared" si="132"/>
        <v>934688.27777777798</v>
      </c>
    </row>
    <row r="720" spans="1:24" ht="13.9">
      <c r="A720" s="349">
        <f t="shared" si="134"/>
        <v>712</v>
      </c>
      <c r="B720" s="393" t="s">
        <v>957</v>
      </c>
      <c r="C720" s="394" t="s">
        <v>2049</v>
      </c>
      <c r="D720" s="349" t="s">
        <v>2020</v>
      </c>
      <c r="E720" s="393" t="s">
        <v>2050</v>
      </c>
      <c r="F720" s="395"/>
      <c r="G720" s="404"/>
      <c r="H720" s="397">
        <v>2397665</v>
      </c>
      <c r="I720" s="353"/>
      <c r="J720" s="353"/>
      <c r="K720" s="354">
        <f t="shared" si="125"/>
        <v>2397665</v>
      </c>
      <c r="L720" s="398">
        <v>43449</v>
      </c>
      <c r="M720" s="742">
        <v>1086539.861111111</v>
      </c>
      <c r="N720" s="352">
        <f t="shared" si="133"/>
        <v>1311125.138888889</v>
      </c>
      <c r="O720" s="357">
        <f t="shared" si="126"/>
        <v>1934</v>
      </c>
      <c r="P720" s="357">
        <v>9</v>
      </c>
      <c r="Q720" s="358">
        <f t="shared" si="124"/>
        <v>5.2986301369863016</v>
      </c>
      <c r="R720" s="359">
        <f t="shared" si="127"/>
        <v>3.7013698630136984</v>
      </c>
      <c r="S720" s="360">
        <f t="shared" si="128"/>
        <v>3.7013698630136984</v>
      </c>
      <c r="T720" s="361">
        <f t="shared" si="129"/>
        <v>0.10555555555555554</v>
      </c>
      <c r="U720" s="362">
        <f t="shared" si="123"/>
        <v>253086.86111111107</v>
      </c>
      <c r="V720" s="362">
        <f t="shared" si="131"/>
        <v>1058038.277777778</v>
      </c>
      <c r="W720" s="362">
        <f t="shared" si="130"/>
        <v>119883</v>
      </c>
      <c r="X720" s="742">
        <f t="shared" si="132"/>
        <v>938155.27777777798</v>
      </c>
    </row>
    <row r="721" spans="1:24" ht="13.9">
      <c r="A721" s="349">
        <f t="shared" si="134"/>
        <v>713</v>
      </c>
      <c r="B721" s="393" t="s">
        <v>1932</v>
      </c>
      <c r="C721" s="394" t="s">
        <v>2049</v>
      </c>
      <c r="D721" s="349" t="s">
        <v>2020</v>
      </c>
      <c r="E721" s="393" t="s">
        <v>2051</v>
      </c>
      <c r="F721" s="395"/>
      <c r="G721" s="404"/>
      <c r="H721" s="397">
        <v>60646</v>
      </c>
      <c r="I721" s="353"/>
      <c r="J721" s="353"/>
      <c r="K721" s="354">
        <f t="shared" si="125"/>
        <v>60646</v>
      </c>
      <c r="L721" s="398">
        <v>43522</v>
      </c>
      <c r="M721" s="742">
        <v>26202.522222222222</v>
      </c>
      <c r="N721" s="352">
        <f t="shared" si="133"/>
        <v>34443.477777777778</v>
      </c>
      <c r="O721" s="357">
        <f t="shared" si="126"/>
        <v>1861</v>
      </c>
      <c r="P721" s="357">
        <v>9</v>
      </c>
      <c r="Q721" s="358">
        <f t="shared" si="124"/>
        <v>5.0986301369863014</v>
      </c>
      <c r="R721" s="359">
        <f t="shared" si="127"/>
        <v>3.9013698630136986</v>
      </c>
      <c r="S721" s="360">
        <f t="shared" si="128"/>
        <v>3.9013698630136986</v>
      </c>
      <c r="T721" s="361">
        <f t="shared" si="129"/>
        <v>0.10555555555555554</v>
      </c>
      <c r="U721" s="362">
        <f t="shared" si="123"/>
        <v>6401.522222222221</v>
      </c>
      <c r="V721" s="362">
        <f t="shared" si="131"/>
        <v>28041.955555555556</v>
      </c>
      <c r="W721" s="362">
        <f t="shared" si="130"/>
        <v>3032</v>
      </c>
      <c r="X721" s="742">
        <f t="shared" si="132"/>
        <v>25009.955555555556</v>
      </c>
    </row>
    <row r="722" spans="1:24" ht="13.9">
      <c r="A722" s="349">
        <f t="shared" si="134"/>
        <v>714</v>
      </c>
      <c r="B722" s="393" t="s">
        <v>2052</v>
      </c>
      <c r="C722" s="394" t="s">
        <v>2049</v>
      </c>
      <c r="D722" s="349" t="s">
        <v>2020</v>
      </c>
      <c r="E722" s="393" t="s">
        <v>2053</v>
      </c>
      <c r="F722" s="395"/>
      <c r="G722" s="404"/>
      <c r="H722" s="397">
        <v>59322</v>
      </c>
      <c r="I722" s="353"/>
      <c r="J722" s="353"/>
      <c r="K722" s="354">
        <f t="shared" si="125"/>
        <v>59322</v>
      </c>
      <c r="L722" s="398">
        <v>43502</v>
      </c>
      <c r="M722" s="742">
        <v>25973.766666666666</v>
      </c>
      <c r="N722" s="352">
        <f t="shared" si="133"/>
        <v>33348.233333333337</v>
      </c>
      <c r="O722" s="357">
        <f t="shared" si="126"/>
        <v>1881</v>
      </c>
      <c r="P722" s="357">
        <v>9</v>
      </c>
      <c r="Q722" s="358">
        <f t="shared" si="124"/>
        <v>5.1534246575342468</v>
      </c>
      <c r="R722" s="359">
        <f t="shared" si="127"/>
        <v>3.8465753424657532</v>
      </c>
      <c r="S722" s="360">
        <f t="shared" si="128"/>
        <v>3.8465753424657532</v>
      </c>
      <c r="T722" s="361">
        <f t="shared" si="129"/>
        <v>0.10555555555555554</v>
      </c>
      <c r="U722" s="362">
        <f t="shared" si="123"/>
        <v>6261.7666666666655</v>
      </c>
      <c r="V722" s="362">
        <f t="shared" si="131"/>
        <v>27086.466666666671</v>
      </c>
      <c r="W722" s="362">
        <f t="shared" si="130"/>
        <v>2966</v>
      </c>
      <c r="X722" s="742">
        <f t="shared" si="132"/>
        <v>24120.466666666671</v>
      </c>
    </row>
    <row r="723" spans="1:24" ht="13.9">
      <c r="A723" s="349">
        <f t="shared" si="134"/>
        <v>715</v>
      </c>
      <c r="B723" s="393" t="s">
        <v>2054</v>
      </c>
      <c r="C723" s="394" t="s">
        <v>2049</v>
      </c>
      <c r="D723" s="349" t="s">
        <v>2020</v>
      </c>
      <c r="E723" s="393" t="s">
        <v>2055</v>
      </c>
      <c r="F723" s="395"/>
      <c r="G723" s="404"/>
      <c r="H723" s="397">
        <v>90000</v>
      </c>
      <c r="I723" s="353"/>
      <c r="J723" s="353"/>
      <c r="K723" s="354">
        <f t="shared" si="125"/>
        <v>90000</v>
      </c>
      <c r="L723" s="398">
        <v>43217</v>
      </c>
      <c r="M723" s="742">
        <v>46823</v>
      </c>
      <c r="N723" s="352">
        <f t="shared" si="133"/>
        <v>43177</v>
      </c>
      <c r="O723" s="357">
        <f t="shared" si="126"/>
        <v>2166</v>
      </c>
      <c r="P723" s="357">
        <v>9</v>
      </c>
      <c r="Q723" s="358">
        <f t="shared" si="124"/>
        <v>5.934246575342466</v>
      </c>
      <c r="R723" s="359">
        <f t="shared" si="127"/>
        <v>3.065753424657534</v>
      </c>
      <c r="S723" s="360">
        <f t="shared" si="128"/>
        <v>3.065753424657534</v>
      </c>
      <c r="T723" s="361">
        <f t="shared" si="129"/>
        <v>0.10555555555555554</v>
      </c>
      <c r="U723" s="362">
        <f t="shared" si="123"/>
        <v>9499.9999999999982</v>
      </c>
      <c r="V723" s="362">
        <f t="shared" si="131"/>
        <v>33677</v>
      </c>
      <c r="W723" s="362">
        <f t="shared" si="130"/>
        <v>4500</v>
      </c>
      <c r="X723" s="742">
        <f t="shared" si="132"/>
        <v>29177</v>
      </c>
    </row>
    <row r="724" spans="1:24" ht="13.9">
      <c r="A724" s="349">
        <f t="shared" si="134"/>
        <v>716</v>
      </c>
      <c r="B724" s="393" t="s">
        <v>2056</v>
      </c>
      <c r="C724" s="394" t="s">
        <v>2049</v>
      </c>
      <c r="D724" s="349" t="s">
        <v>2020</v>
      </c>
      <c r="E724" s="393" t="s">
        <v>2057</v>
      </c>
      <c r="F724" s="395"/>
      <c r="G724" s="404"/>
      <c r="H724" s="397">
        <v>976017</v>
      </c>
      <c r="I724" s="353"/>
      <c r="J724" s="353"/>
      <c r="K724" s="354">
        <f t="shared" si="125"/>
        <v>976017</v>
      </c>
      <c r="L724" s="398">
        <v>43195</v>
      </c>
      <c r="M724" s="742">
        <v>870623.0166666666</v>
      </c>
      <c r="N724" s="352">
        <f t="shared" si="133"/>
        <v>105393.9833333334</v>
      </c>
      <c r="O724" s="357">
        <f t="shared" si="126"/>
        <v>2188</v>
      </c>
      <c r="P724" s="357">
        <v>9</v>
      </c>
      <c r="Q724" s="358">
        <f t="shared" si="124"/>
        <v>5.9945205479452053</v>
      </c>
      <c r="R724" s="359">
        <f t="shared" si="127"/>
        <v>3.0054794520547947</v>
      </c>
      <c r="S724" s="360">
        <f t="shared" si="128"/>
        <v>3.0054794520547947</v>
      </c>
      <c r="T724" s="361">
        <f t="shared" si="129"/>
        <v>0.10555555555555554</v>
      </c>
      <c r="U724" s="362">
        <f t="shared" si="123"/>
        <v>103024.01666666665</v>
      </c>
      <c r="V724" s="362">
        <f t="shared" si="131"/>
        <v>2369.9666666667472</v>
      </c>
      <c r="W724" s="362">
        <f t="shared" si="130"/>
        <v>48801</v>
      </c>
      <c r="X724" s="742">
        <f t="shared" si="132"/>
        <v>-46431.033333333253</v>
      </c>
    </row>
    <row r="725" spans="1:24" ht="13.9">
      <c r="A725" s="349">
        <f t="shared" si="134"/>
        <v>717</v>
      </c>
      <c r="B725" s="393" t="s">
        <v>2056</v>
      </c>
      <c r="C725" s="394" t="s">
        <v>2049</v>
      </c>
      <c r="D725" s="349" t="s">
        <v>2020</v>
      </c>
      <c r="E725" s="393" t="s">
        <v>2058</v>
      </c>
      <c r="F725" s="395"/>
      <c r="G725" s="404"/>
      <c r="H725" s="397">
        <v>107500</v>
      </c>
      <c r="I725" s="353"/>
      <c r="J725" s="353"/>
      <c r="K725" s="354">
        <f t="shared" si="125"/>
        <v>107500</v>
      </c>
      <c r="L725" s="398">
        <v>43195</v>
      </c>
      <c r="M725" s="742">
        <v>95892.222222222219</v>
      </c>
      <c r="N725" s="352">
        <f t="shared" si="133"/>
        <v>11607.777777777781</v>
      </c>
      <c r="O725" s="357">
        <f t="shared" si="126"/>
        <v>2188</v>
      </c>
      <c r="P725" s="357">
        <v>9</v>
      </c>
      <c r="Q725" s="358">
        <f t="shared" si="124"/>
        <v>5.9945205479452053</v>
      </c>
      <c r="R725" s="359">
        <f t="shared" si="127"/>
        <v>3.0054794520547947</v>
      </c>
      <c r="S725" s="360">
        <f t="shared" si="128"/>
        <v>3.0054794520547947</v>
      </c>
      <c r="T725" s="361">
        <f t="shared" si="129"/>
        <v>0.10555555555555554</v>
      </c>
      <c r="U725" s="362">
        <f t="shared" si="123"/>
        <v>11347.222222222221</v>
      </c>
      <c r="V725" s="362">
        <f t="shared" si="131"/>
        <v>260.5555555555602</v>
      </c>
      <c r="W725" s="362">
        <f t="shared" si="130"/>
        <v>5375</v>
      </c>
      <c r="X725" s="742">
        <f t="shared" si="132"/>
        <v>-5114.4444444444398</v>
      </c>
    </row>
    <row r="726" spans="1:24" ht="13.9">
      <c r="A726" s="349">
        <f t="shared" si="134"/>
        <v>718</v>
      </c>
      <c r="B726" s="393" t="s">
        <v>2056</v>
      </c>
      <c r="C726" s="394" t="s">
        <v>2049</v>
      </c>
      <c r="D726" s="349" t="s">
        <v>2020</v>
      </c>
      <c r="E726" s="393" t="s">
        <v>2059</v>
      </c>
      <c r="F726" s="395"/>
      <c r="G726" s="404"/>
      <c r="H726" s="397">
        <v>65000</v>
      </c>
      <c r="I726" s="353"/>
      <c r="J726" s="353"/>
      <c r="K726" s="354">
        <f t="shared" si="125"/>
        <v>65000</v>
      </c>
      <c r="L726" s="398">
        <v>43197</v>
      </c>
      <c r="M726" s="742">
        <v>57812.111111111109</v>
      </c>
      <c r="N726" s="352">
        <f t="shared" si="133"/>
        <v>7187.8888888888905</v>
      </c>
      <c r="O726" s="357">
        <f t="shared" si="126"/>
        <v>2186</v>
      </c>
      <c r="P726" s="357">
        <v>9</v>
      </c>
      <c r="Q726" s="358">
        <f t="shared" si="124"/>
        <v>5.9890410958904106</v>
      </c>
      <c r="R726" s="359">
        <f t="shared" si="127"/>
        <v>3.0109589041095894</v>
      </c>
      <c r="S726" s="360">
        <f t="shared" si="128"/>
        <v>3.0109589041095894</v>
      </c>
      <c r="T726" s="361">
        <f t="shared" si="129"/>
        <v>0.10555555555555554</v>
      </c>
      <c r="U726" s="362">
        <f t="shared" si="123"/>
        <v>6861.1111111111104</v>
      </c>
      <c r="V726" s="362">
        <f t="shared" si="131"/>
        <v>326.7777777777801</v>
      </c>
      <c r="W726" s="362">
        <f t="shared" si="130"/>
        <v>3250</v>
      </c>
      <c r="X726" s="742">
        <f t="shared" si="132"/>
        <v>-2923.2222222222199</v>
      </c>
    </row>
    <row r="727" spans="1:24" ht="13.9">
      <c r="A727" s="349">
        <f t="shared" si="134"/>
        <v>719</v>
      </c>
      <c r="B727" s="393" t="s">
        <v>2056</v>
      </c>
      <c r="C727" s="394" t="s">
        <v>2049</v>
      </c>
      <c r="D727" s="349" t="s">
        <v>2020</v>
      </c>
      <c r="E727" s="393" t="s">
        <v>2057</v>
      </c>
      <c r="F727" s="395"/>
      <c r="G727" s="404"/>
      <c r="H727" s="397">
        <v>136144</v>
      </c>
      <c r="I727" s="353"/>
      <c r="J727" s="353"/>
      <c r="K727" s="354">
        <f t="shared" si="125"/>
        <v>136144</v>
      </c>
      <c r="L727" s="398">
        <v>43215</v>
      </c>
      <c r="M727" s="742">
        <v>117898.75555555556</v>
      </c>
      <c r="N727" s="352">
        <f t="shared" si="133"/>
        <v>18245.244444444441</v>
      </c>
      <c r="O727" s="357">
        <f t="shared" si="126"/>
        <v>2168</v>
      </c>
      <c r="P727" s="357">
        <v>9</v>
      </c>
      <c r="Q727" s="358">
        <f t="shared" si="124"/>
        <v>5.9397260273972599</v>
      </c>
      <c r="R727" s="359">
        <f t="shared" si="127"/>
        <v>3.0602739726027401</v>
      </c>
      <c r="S727" s="360">
        <f t="shared" si="128"/>
        <v>3.0602739726027401</v>
      </c>
      <c r="T727" s="361">
        <f t="shared" si="129"/>
        <v>0.10555555555555554</v>
      </c>
      <c r="U727" s="362">
        <f t="shared" si="123"/>
        <v>14370.755555555554</v>
      </c>
      <c r="V727" s="362">
        <f t="shared" si="131"/>
        <v>3874.4888888888872</v>
      </c>
      <c r="W727" s="362">
        <f t="shared" si="130"/>
        <v>6807</v>
      </c>
      <c r="X727" s="742">
        <f t="shared" si="132"/>
        <v>-2932.5111111111128</v>
      </c>
    </row>
    <row r="728" spans="1:24" ht="13.9">
      <c r="A728" s="349">
        <f t="shared" si="134"/>
        <v>720</v>
      </c>
      <c r="B728" s="393" t="s">
        <v>2056</v>
      </c>
      <c r="C728" s="394" t="s">
        <v>2049</v>
      </c>
      <c r="D728" s="349" t="s">
        <v>2020</v>
      </c>
      <c r="E728" s="393" t="s">
        <v>2059</v>
      </c>
      <c r="F728" s="395"/>
      <c r="G728" s="404"/>
      <c r="H728" s="397">
        <v>97500</v>
      </c>
      <c r="I728" s="353"/>
      <c r="J728" s="353"/>
      <c r="K728" s="354">
        <f t="shared" si="125"/>
        <v>97500</v>
      </c>
      <c r="L728" s="398">
        <v>43218</v>
      </c>
      <c r="M728" s="742">
        <v>84053.666666666672</v>
      </c>
      <c r="N728" s="352">
        <f t="shared" si="133"/>
        <v>13446.333333333328</v>
      </c>
      <c r="O728" s="357">
        <f t="shared" si="126"/>
        <v>2165</v>
      </c>
      <c r="P728" s="357">
        <v>9</v>
      </c>
      <c r="Q728" s="358">
        <f t="shared" si="124"/>
        <v>5.9315068493150687</v>
      </c>
      <c r="R728" s="359">
        <f t="shared" si="127"/>
        <v>3.0684931506849313</v>
      </c>
      <c r="S728" s="360">
        <f t="shared" si="128"/>
        <v>3.0684931506849313</v>
      </c>
      <c r="T728" s="361">
        <f t="shared" si="129"/>
        <v>0.10555555555555554</v>
      </c>
      <c r="U728" s="362">
        <f t="shared" si="123"/>
        <v>10291.666666666666</v>
      </c>
      <c r="V728" s="362">
        <f t="shared" si="131"/>
        <v>3154.6666666666624</v>
      </c>
      <c r="W728" s="362">
        <f t="shared" si="130"/>
        <v>4875</v>
      </c>
      <c r="X728" s="742">
        <f t="shared" si="132"/>
        <v>-1720.3333333333376</v>
      </c>
    </row>
    <row r="729" spans="1:24" ht="13.9">
      <c r="A729" s="349">
        <f t="shared" si="134"/>
        <v>721</v>
      </c>
      <c r="B729" s="393" t="s">
        <v>2056</v>
      </c>
      <c r="C729" s="394" t="s">
        <v>2049</v>
      </c>
      <c r="D729" s="349" t="s">
        <v>2020</v>
      </c>
      <c r="E729" s="393" t="s">
        <v>2060</v>
      </c>
      <c r="F729" s="395"/>
      <c r="G729" s="404"/>
      <c r="H729" s="397">
        <v>255000</v>
      </c>
      <c r="I729" s="353"/>
      <c r="J729" s="353"/>
      <c r="K729" s="354">
        <f t="shared" si="125"/>
        <v>255000</v>
      </c>
      <c r="L729" s="398">
        <v>43227</v>
      </c>
      <c r="M729" s="742">
        <v>216844.66666666666</v>
      </c>
      <c r="N729" s="352">
        <f t="shared" si="133"/>
        <v>38155.333333333343</v>
      </c>
      <c r="O729" s="357">
        <f t="shared" si="126"/>
        <v>2156</v>
      </c>
      <c r="P729" s="357">
        <v>9</v>
      </c>
      <c r="Q729" s="358">
        <f t="shared" si="124"/>
        <v>5.9068493150684933</v>
      </c>
      <c r="R729" s="359">
        <f t="shared" si="127"/>
        <v>3.0931506849315067</v>
      </c>
      <c r="S729" s="360">
        <f t="shared" si="128"/>
        <v>3.0931506849315067</v>
      </c>
      <c r="T729" s="361">
        <f t="shared" si="129"/>
        <v>0.10555555555555554</v>
      </c>
      <c r="U729" s="362">
        <f t="shared" si="123"/>
        <v>26916.666666666664</v>
      </c>
      <c r="V729" s="362">
        <f t="shared" si="131"/>
        <v>11238.666666666679</v>
      </c>
      <c r="W729" s="362">
        <f t="shared" si="130"/>
        <v>12750</v>
      </c>
      <c r="X729" s="742">
        <f t="shared" si="132"/>
        <v>-1511.3333333333212</v>
      </c>
    </row>
    <row r="730" spans="1:24" ht="13.9">
      <c r="A730" s="349">
        <f t="shared" si="134"/>
        <v>722</v>
      </c>
      <c r="B730" s="393" t="s">
        <v>2056</v>
      </c>
      <c r="C730" s="394" t="s">
        <v>2049</v>
      </c>
      <c r="D730" s="349" t="s">
        <v>2020</v>
      </c>
      <c r="E730" s="393" t="s">
        <v>2059</v>
      </c>
      <c r="F730" s="395"/>
      <c r="G730" s="404"/>
      <c r="H730" s="397">
        <v>66150</v>
      </c>
      <c r="I730" s="353"/>
      <c r="J730" s="353"/>
      <c r="K730" s="354">
        <f t="shared" si="125"/>
        <v>66150</v>
      </c>
      <c r="L730" s="398">
        <v>43326</v>
      </c>
      <c r="M730" s="742">
        <v>47729.5</v>
      </c>
      <c r="N730" s="352">
        <f t="shared" si="133"/>
        <v>18420.5</v>
      </c>
      <c r="O730" s="357">
        <f t="shared" si="126"/>
        <v>2057</v>
      </c>
      <c r="P730" s="357">
        <v>9</v>
      </c>
      <c r="Q730" s="358">
        <f t="shared" si="124"/>
        <v>5.6356164383561644</v>
      </c>
      <c r="R730" s="359">
        <f t="shared" si="127"/>
        <v>3.3643835616438356</v>
      </c>
      <c r="S730" s="360">
        <f t="shared" si="128"/>
        <v>3.3643835616438356</v>
      </c>
      <c r="T730" s="361">
        <f t="shared" si="129"/>
        <v>0.10555555555555554</v>
      </c>
      <c r="U730" s="362">
        <f t="shared" si="123"/>
        <v>6982.4999999999991</v>
      </c>
      <c r="V730" s="362">
        <f t="shared" si="131"/>
        <v>11438</v>
      </c>
      <c r="W730" s="362">
        <f t="shared" si="130"/>
        <v>3308</v>
      </c>
      <c r="X730" s="742">
        <f t="shared" si="132"/>
        <v>8130</v>
      </c>
    </row>
    <row r="731" spans="1:24" ht="13.9">
      <c r="A731" s="349">
        <f t="shared" si="134"/>
        <v>723</v>
      </c>
      <c r="B731" s="393" t="s">
        <v>2056</v>
      </c>
      <c r="C731" s="394" t="s">
        <v>2049</v>
      </c>
      <c r="D731" s="349" t="s">
        <v>2020</v>
      </c>
      <c r="E731" s="393" t="s">
        <v>2061</v>
      </c>
      <c r="F731" s="395"/>
      <c r="G731" s="404"/>
      <c r="H731" s="397">
        <v>98500</v>
      </c>
      <c r="I731" s="353"/>
      <c r="J731" s="353"/>
      <c r="K731" s="354">
        <f t="shared" si="125"/>
        <v>98500</v>
      </c>
      <c r="L731" s="398">
        <v>43401</v>
      </c>
      <c r="M731" s="742">
        <v>61457.222222222219</v>
      </c>
      <c r="N731" s="352">
        <f t="shared" si="133"/>
        <v>37042.777777777781</v>
      </c>
      <c r="O731" s="357">
        <f t="shared" si="126"/>
        <v>1982</v>
      </c>
      <c r="P731" s="357">
        <v>9</v>
      </c>
      <c r="Q731" s="358">
        <f t="shared" si="124"/>
        <v>5.4301369863013695</v>
      </c>
      <c r="R731" s="359">
        <f t="shared" si="127"/>
        <v>3.5698630136986305</v>
      </c>
      <c r="S731" s="360">
        <f t="shared" si="128"/>
        <v>3.5698630136986305</v>
      </c>
      <c r="T731" s="361">
        <f t="shared" si="129"/>
        <v>0.10555555555555554</v>
      </c>
      <c r="U731" s="362">
        <f t="shared" si="123"/>
        <v>10397.222222222221</v>
      </c>
      <c r="V731" s="362">
        <f t="shared" si="131"/>
        <v>26645.555555555562</v>
      </c>
      <c r="W731" s="362">
        <f t="shared" si="130"/>
        <v>4925</v>
      </c>
      <c r="X731" s="742">
        <f t="shared" si="132"/>
        <v>21720.555555555562</v>
      </c>
    </row>
    <row r="732" spans="1:24" ht="13.9">
      <c r="A732" s="349">
        <f t="shared" si="134"/>
        <v>724</v>
      </c>
      <c r="B732" s="393" t="s">
        <v>2056</v>
      </c>
      <c r="C732" s="394" t="s">
        <v>2049</v>
      </c>
      <c r="D732" s="349" t="s">
        <v>2020</v>
      </c>
      <c r="E732" s="393" t="s">
        <v>2061</v>
      </c>
      <c r="F732" s="395"/>
      <c r="G732" s="404"/>
      <c r="H732" s="397">
        <v>1167850</v>
      </c>
      <c r="I732" s="353"/>
      <c r="J732" s="353"/>
      <c r="K732" s="354">
        <f t="shared" si="125"/>
        <v>1167850</v>
      </c>
      <c r="L732" s="398">
        <v>43401</v>
      </c>
      <c r="M732" s="742">
        <v>728662.0555555555</v>
      </c>
      <c r="N732" s="352">
        <f t="shared" si="133"/>
        <v>439187.9444444445</v>
      </c>
      <c r="O732" s="357">
        <f t="shared" si="126"/>
        <v>1982</v>
      </c>
      <c r="P732" s="357">
        <v>9</v>
      </c>
      <c r="Q732" s="358">
        <f t="shared" si="124"/>
        <v>5.4301369863013695</v>
      </c>
      <c r="R732" s="359">
        <f t="shared" si="127"/>
        <v>3.5698630136986305</v>
      </c>
      <c r="S732" s="360">
        <f t="shared" si="128"/>
        <v>3.5698630136986305</v>
      </c>
      <c r="T732" s="361">
        <f t="shared" si="129"/>
        <v>0.10555555555555554</v>
      </c>
      <c r="U732" s="362">
        <f t="shared" si="123"/>
        <v>123273.05555555553</v>
      </c>
      <c r="V732" s="362">
        <f t="shared" si="131"/>
        <v>315914.88888888899</v>
      </c>
      <c r="W732" s="362">
        <f t="shared" si="130"/>
        <v>58393</v>
      </c>
      <c r="X732" s="742">
        <f t="shared" si="132"/>
        <v>257521.88888888899</v>
      </c>
    </row>
    <row r="733" spans="1:24" ht="13.9">
      <c r="A733" s="349">
        <f t="shared" si="134"/>
        <v>725</v>
      </c>
      <c r="B733" s="393" t="s">
        <v>957</v>
      </c>
      <c r="C733" s="394" t="s">
        <v>1710</v>
      </c>
      <c r="D733" s="349" t="s">
        <v>2020</v>
      </c>
      <c r="E733" s="393" t="s">
        <v>2043</v>
      </c>
      <c r="F733" s="395"/>
      <c r="G733" s="404"/>
      <c r="H733" s="397">
        <v>2397896</v>
      </c>
      <c r="I733" s="353"/>
      <c r="J733" s="353"/>
      <c r="K733" s="354">
        <f t="shared" si="125"/>
        <v>2397896</v>
      </c>
      <c r="L733" s="398">
        <v>43427</v>
      </c>
      <c r="M733" s="742">
        <v>1101900.2444444443</v>
      </c>
      <c r="N733" s="352">
        <f t="shared" si="133"/>
        <v>1295995.7555555557</v>
      </c>
      <c r="O733" s="357">
        <f t="shared" si="126"/>
        <v>1956</v>
      </c>
      <c r="P733" s="357">
        <v>9</v>
      </c>
      <c r="Q733" s="358">
        <f t="shared" si="124"/>
        <v>5.3589041095890408</v>
      </c>
      <c r="R733" s="359">
        <f t="shared" si="127"/>
        <v>3.6410958904109592</v>
      </c>
      <c r="S733" s="360">
        <f t="shared" si="128"/>
        <v>3.6410958904109592</v>
      </c>
      <c r="T733" s="361">
        <f t="shared" si="129"/>
        <v>0.10555555555555554</v>
      </c>
      <c r="U733" s="362">
        <f t="shared" si="123"/>
        <v>253111.2444444444</v>
      </c>
      <c r="V733" s="362">
        <f t="shared" si="131"/>
        <v>1042884.5111111113</v>
      </c>
      <c r="W733" s="362">
        <f t="shared" si="130"/>
        <v>119895</v>
      </c>
      <c r="X733" s="742">
        <f t="shared" si="132"/>
        <v>922989.51111111126</v>
      </c>
    </row>
    <row r="734" spans="1:24" ht="13.9">
      <c r="A734" s="349">
        <f t="shared" si="134"/>
        <v>726</v>
      </c>
      <c r="B734" s="393" t="s">
        <v>957</v>
      </c>
      <c r="C734" s="394" t="s">
        <v>1710</v>
      </c>
      <c r="D734" s="349" t="s">
        <v>2020</v>
      </c>
      <c r="E734" s="393" t="s">
        <v>2043</v>
      </c>
      <c r="F734" s="395"/>
      <c r="G734" s="404"/>
      <c r="H734" s="397">
        <v>2397896</v>
      </c>
      <c r="I734" s="353"/>
      <c r="J734" s="353"/>
      <c r="K734" s="354">
        <f t="shared" si="125"/>
        <v>2397896</v>
      </c>
      <c r="L734" s="398">
        <v>43427</v>
      </c>
      <c r="M734" s="742">
        <v>1101900.2444444443</v>
      </c>
      <c r="N734" s="352">
        <f t="shared" si="133"/>
        <v>1295995.7555555557</v>
      </c>
      <c r="O734" s="357">
        <f t="shared" si="126"/>
        <v>1956</v>
      </c>
      <c r="P734" s="357">
        <v>9</v>
      </c>
      <c r="Q734" s="358">
        <f t="shared" si="124"/>
        <v>5.3589041095890408</v>
      </c>
      <c r="R734" s="359">
        <f t="shared" si="127"/>
        <v>3.6410958904109592</v>
      </c>
      <c r="S734" s="360">
        <f t="shared" si="128"/>
        <v>3.6410958904109592</v>
      </c>
      <c r="T734" s="361">
        <f t="shared" si="129"/>
        <v>0.10555555555555554</v>
      </c>
      <c r="U734" s="362">
        <f t="shared" si="123"/>
        <v>253111.2444444444</v>
      </c>
      <c r="V734" s="362">
        <f t="shared" si="131"/>
        <v>1042884.5111111113</v>
      </c>
      <c r="W734" s="362">
        <f t="shared" si="130"/>
        <v>119895</v>
      </c>
      <c r="X734" s="742">
        <f t="shared" si="132"/>
        <v>922989.51111111126</v>
      </c>
    </row>
    <row r="735" spans="1:24" ht="13.9">
      <c r="A735" s="349">
        <f t="shared" si="134"/>
        <v>727</v>
      </c>
      <c r="B735" s="393" t="s">
        <v>957</v>
      </c>
      <c r="C735" s="394" t="s">
        <v>1710</v>
      </c>
      <c r="D735" s="349" t="s">
        <v>2020</v>
      </c>
      <c r="E735" s="393" t="s">
        <v>2043</v>
      </c>
      <c r="F735" s="395"/>
      <c r="G735" s="404"/>
      <c r="H735" s="397">
        <v>2397896</v>
      </c>
      <c r="I735" s="353"/>
      <c r="J735" s="353"/>
      <c r="K735" s="354">
        <f t="shared" si="125"/>
        <v>2397896</v>
      </c>
      <c r="L735" s="398">
        <v>43427</v>
      </c>
      <c r="M735" s="742">
        <v>1101900.2444444443</v>
      </c>
      <c r="N735" s="352">
        <f t="shared" si="133"/>
        <v>1295995.7555555557</v>
      </c>
      <c r="O735" s="357">
        <f t="shared" si="126"/>
        <v>1956</v>
      </c>
      <c r="P735" s="357">
        <v>9</v>
      </c>
      <c r="Q735" s="358">
        <f t="shared" si="124"/>
        <v>5.3589041095890408</v>
      </c>
      <c r="R735" s="359">
        <f t="shared" si="127"/>
        <v>3.6410958904109592</v>
      </c>
      <c r="S735" s="360">
        <f t="shared" si="128"/>
        <v>3.6410958904109592</v>
      </c>
      <c r="T735" s="361">
        <f t="shared" si="129"/>
        <v>0.10555555555555554</v>
      </c>
      <c r="U735" s="362">
        <f t="shared" si="123"/>
        <v>253111.2444444444</v>
      </c>
      <c r="V735" s="362">
        <f t="shared" si="131"/>
        <v>1042884.5111111113</v>
      </c>
      <c r="W735" s="362">
        <f t="shared" si="130"/>
        <v>119895</v>
      </c>
      <c r="X735" s="742">
        <f t="shared" si="132"/>
        <v>922989.51111111126</v>
      </c>
    </row>
    <row r="736" spans="1:24" ht="13.9">
      <c r="A736" s="349">
        <f t="shared" si="134"/>
        <v>728</v>
      </c>
      <c r="B736" s="393" t="s">
        <v>957</v>
      </c>
      <c r="C736" s="394" t="s">
        <v>1710</v>
      </c>
      <c r="D736" s="349" t="s">
        <v>2020</v>
      </c>
      <c r="E736" s="393" t="s">
        <v>2043</v>
      </c>
      <c r="F736" s="395"/>
      <c r="G736" s="404"/>
      <c r="H736" s="397">
        <v>2397896</v>
      </c>
      <c r="I736" s="353"/>
      <c r="J736" s="353"/>
      <c r="K736" s="354">
        <f t="shared" si="125"/>
        <v>2397896</v>
      </c>
      <c r="L736" s="398">
        <v>43427</v>
      </c>
      <c r="M736" s="742">
        <v>1101900.2444444443</v>
      </c>
      <c r="N736" s="352">
        <f t="shared" si="133"/>
        <v>1295995.7555555557</v>
      </c>
      <c r="O736" s="357">
        <f t="shared" si="126"/>
        <v>1956</v>
      </c>
      <c r="P736" s="357">
        <v>9</v>
      </c>
      <c r="Q736" s="358">
        <f t="shared" si="124"/>
        <v>5.3589041095890408</v>
      </c>
      <c r="R736" s="359">
        <f t="shared" si="127"/>
        <v>3.6410958904109592</v>
      </c>
      <c r="S736" s="360">
        <f t="shared" si="128"/>
        <v>3.6410958904109592</v>
      </c>
      <c r="T736" s="361">
        <f t="shared" si="129"/>
        <v>0.10555555555555554</v>
      </c>
      <c r="U736" s="362">
        <f t="shared" si="123"/>
        <v>253111.2444444444</v>
      </c>
      <c r="V736" s="362">
        <f t="shared" si="131"/>
        <v>1042884.5111111113</v>
      </c>
      <c r="W736" s="362">
        <f t="shared" si="130"/>
        <v>119895</v>
      </c>
      <c r="X736" s="742">
        <f t="shared" si="132"/>
        <v>922989.51111111126</v>
      </c>
    </row>
    <row r="737" spans="1:24" ht="13.9">
      <c r="A737" s="349">
        <f t="shared" si="134"/>
        <v>729</v>
      </c>
      <c r="B737" s="393" t="s">
        <v>957</v>
      </c>
      <c r="C737" s="394" t="s">
        <v>1710</v>
      </c>
      <c r="D737" s="349" t="s">
        <v>2020</v>
      </c>
      <c r="E737" s="393" t="s">
        <v>2043</v>
      </c>
      <c r="F737" s="395"/>
      <c r="G737" s="404"/>
      <c r="H737" s="397">
        <v>2397896</v>
      </c>
      <c r="I737" s="353"/>
      <c r="J737" s="353"/>
      <c r="K737" s="354">
        <f t="shared" si="125"/>
        <v>2397896</v>
      </c>
      <c r="L737" s="398">
        <v>43427</v>
      </c>
      <c r="M737" s="742">
        <v>1101900.2444444443</v>
      </c>
      <c r="N737" s="352">
        <f t="shared" si="133"/>
        <v>1295995.7555555557</v>
      </c>
      <c r="O737" s="357">
        <f t="shared" si="126"/>
        <v>1956</v>
      </c>
      <c r="P737" s="357">
        <v>9</v>
      </c>
      <c r="Q737" s="358">
        <f t="shared" si="124"/>
        <v>5.3589041095890408</v>
      </c>
      <c r="R737" s="359">
        <f t="shared" si="127"/>
        <v>3.6410958904109592</v>
      </c>
      <c r="S737" s="360">
        <f t="shared" si="128"/>
        <v>3.6410958904109592</v>
      </c>
      <c r="T737" s="361">
        <f t="shared" si="129"/>
        <v>0.10555555555555554</v>
      </c>
      <c r="U737" s="362">
        <f t="shared" si="123"/>
        <v>253111.2444444444</v>
      </c>
      <c r="V737" s="362">
        <f t="shared" si="131"/>
        <v>1042884.5111111113</v>
      </c>
      <c r="W737" s="362">
        <f t="shared" si="130"/>
        <v>119895</v>
      </c>
      <c r="X737" s="742">
        <f t="shared" si="132"/>
        <v>922989.51111111126</v>
      </c>
    </row>
    <row r="738" spans="1:24" ht="13.9">
      <c r="A738" s="349">
        <f t="shared" si="134"/>
        <v>730</v>
      </c>
      <c r="B738" s="393" t="s">
        <v>957</v>
      </c>
      <c r="C738" s="394" t="s">
        <v>1710</v>
      </c>
      <c r="D738" s="349" t="s">
        <v>2020</v>
      </c>
      <c r="E738" s="393" t="s">
        <v>2043</v>
      </c>
      <c r="F738" s="395"/>
      <c r="G738" s="404"/>
      <c r="H738" s="397">
        <v>2397896</v>
      </c>
      <c r="I738" s="353"/>
      <c r="J738" s="353"/>
      <c r="K738" s="354">
        <f t="shared" si="125"/>
        <v>2397896</v>
      </c>
      <c r="L738" s="398">
        <v>43427</v>
      </c>
      <c r="M738" s="742">
        <v>1101900.2444444443</v>
      </c>
      <c r="N738" s="352">
        <f t="shared" si="133"/>
        <v>1295995.7555555557</v>
      </c>
      <c r="O738" s="357">
        <f t="shared" si="126"/>
        <v>1956</v>
      </c>
      <c r="P738" s="357">
        <v>9</v>
      </c>
      <c r="Q738" s="358">
        <f t="shared" si="124"/>
        <v>5.3589041095890408</v>
      </c>
      <c r="R738" s="359">
        <f t="shared" si="127"/>
        <v>3.6410958904109592</v>
      </c>
      <c r="S738" s="360">
        <f t="shared" si="128"/>
        <v>3.6410958904109592</v>
      </c>
      <c r="T738" s="361">
        <f t="shared" si="129"/>
        <v>0.10555555555555554</v>
      </c>
      <c r="U738" s="362">
        <f t="shared" si="123"/>
        <v>253111.2444444444</v>
      </c>
      <c r="V738" s="362">
        <f t="shared" si="131"/>
        <v>1042884.5111111113</v>
      </c>
      <c r="W738" s="362">
        <f t="shared" si="130"/>
        <v>119895</v>
      </c>
      <c r="X738" s="742">
        <f t="shared" si="132"/>
        <v>922989.51111111126</v>
      </c>
    </row>
    <row r="739" spans="1:24" ht="13.9">
      <c r="A739" s="349">
        <f t="shared" si="134"/>
        <v>731</v>
      </c>
      <c r="B739" s="393" t="s">
        <v>957</v>
      </c>
      <c r="C739" s="394" t="s">
        <v>1710</v>
      </c>
      <c r="D739" s="349" t="s">
        <v>2020</v>
      </c>
      <c r="E739" s="393" t="s">
        <v>2043</v>
      </c>
      <c r="F739" s="395"/>
      <c r="G739" s="404"/>
      <c r="H739" s="397">
        <v>2397896</v>
      </c>
      <c r="I739" s="353"/>
      <c r="J739" s="353"/>
      <c r="K739" s="354">
        <f t="shared" si="125"/>
        <v>2397896</v>
      </c>
      <c r="L739" s="398">
        <v>43427</v>
      </c>
      <c r="M739" s="742">
        <v>1101900.2444444443</v>
      </c>
      <c r="N739" s="352">
        <f t="shared" si="133"/>
        <v>1295995.7555555557</v>
      </c>
      <c r="O739" s="357">
        <f t="shared" si="126"/>
        <v>1956</v>
      </c>
      <c r="P739" s="357">
        <v>9</v>
      </c>
      <c r="Q739" s="358">
        <f t="shared" si="124"/>
        <v>5.3589041095890408</v>
      </c>
      <c r="R739" s="359">
        <f t="shared" si="127"/>
        <v>3.6410958904109592</v>
      </c>
      <c r="S739" s="360">
        <f t="shared" si="128"/>
        <v>3.6410958904109592</v>
      </c>
      <c r="T739" s="361">
        <f t="shared" si="129"/>
        <v>0.10555555555555554</v>
      </c>
      <c r="U739" s="362">
        <f t="shared" si="123"/>
        <v>253111.2444444444</v>
      </c>
      <c r="V739" s="362">
        <f t="shared" si="131"/>
        <v>1042884.5111111113</v>
      </c>
      <c r="W739" s="362">
        <f t="shared" si="130"/>
        <v>119895</v>
      </c>
      <c r="X739" s="742">
        <f t="shared" si="132"/>
        <v>922989.51111111126</v>
      </c>
    </row>
    <row r="740" spans="1:24" ht="13.9">
      <c r="A740" s="349">
        <f t="shared" si="134"/>
        <v>732</v>
      </c>
      <c r="B740" s="393" t="s">
        <v>957</v>
      </c>
      <c r="C740" s="394" t="s">
        <v>1710</v>
      </c>
      <c r="D740" s="349" t="s">
        <v>2020</v>
      </c>
      <c r="E740" s="393" t="s">
        <v>2043</v>
      </c>
      <c r="F740" s="395"/>
      <c r="G740" s="404"/>
      <c r="H740" s="397">
        <v>2397896</v>
      </c>
      <c r="I740" s="353"/>
      <c r="J740" s="353"/>
      <c r="K740" s="354">
        <f t="shared" si="125"/>
        <v>2397896</v>
      </c>
      <c r="L740" s="398">
        <v>43427</v>
      </c>
      <c r="M740" s="742">
        <v>1101900.2444444443</v>
      </c>
      <c r="N740" s="352">
        <f t="shared" si="133"/>
        <v>1295995.7555555557</v>
      </c>
      <c r="O740" s="357">
        <f t="shared" si="126"/>
        <v>1956</v>
      </c>
      <c r="P740" s="357">
        <v>9</v>
      </c>
      <c r="Q740" s="358">
        <f t="shared" si="124"/>
        <v>5.3589041095890408</v>
      </c>
      <c r="R740" s="359">
        <f t="shared" si="127"/>
        <v>3.6410958904109592</v>
      </c>
      <c r="S740" s="360">
        <f t="shared" si="128"/>
        <v>3.6410958904109592</v>
      </c>
      <c r="T740" s="361">
        <f t="shared" si="129"/>
        <v>0.10555555555555554</v>
      </c>
      <c r="U740" s="362">
        <f t="shared" si="123"/>
        <v>253111.2444444444</v>
      </c>
      <c r="V740" s="362">
        <f t="shared" si="131"/>
        <v>1042884.5111111113</v>
      </c>
      <c r="W740" s="362">
        <f t="shared" si="130"/>
        <v>119895</v>
      </c>
      <c r="X740" s="742">
        <f t="shared" si="132"/>
        <v>922989.51111111126</v>
      </c>
    </row>
    <row r="741" spans="1:24" ht="13.9">
      <c r="A741" s="349">
        <f t="shared" si="134"/>
        <v>733</v>
      </c>
      <c r="B741" s="393" t="s">
        <v>957</v>
      </c>
      <c r="C741" s="394" t="s">
        <v>1710</v>
      </c>
      <c r="D741" s="349" t="s">
        <v>2020</v>
      </c>
      <c r="E741" s="393" t="s">
        <v>2043</v>
      </c>
      <c r="F741" s="395"/>
      <c r="G741" s="404"/>
      <c r="H741" s="397">
        <v>2397896</v>
      </c>
      <c r="I741" s="353"/>
      <c r="J741" s="353"/>
      <c r="K741" s="354">
        <f t="shared" si="125"/>
        <v>2397896</v>
      </c>
      <c r="L741" s="398">
        <v>43427</v>
      </c>
      <c r="M741" s="742">
        <v>1101900.2444444443</v>
      </c>
      <c r="N741" s="352">
        <f t="shared" si="133"/>
        <v>1295995.7555555557</v>
      </c>
      <c r="O741" s="357">
        <f t="shared" si="126"/>
        <v>1956</v>
      </c>
      <c r="P741" s="357">
        <v>9</v>
      </c>
      <c r="Q741" s="358">
        <f t="shared" si="124"/>
        <v>5.3589041095890408</v>
      </c>
      <c r="R741" s="359">
        <f t="shared" si="127"/>
        <v>3.6410958904109592</v>
      </c>
      <c r="S741" s="360">
        <f t="shared" si="128"/>
        <v>3.6410958904109592</v>
      </c>
      <c r="T741" s="361">
        <f t="shared" si="129"/>
        <v>0.10555555555555554</v>
      </c>
      <c r="U741" s="362">
        <f t="shared" si="123"/>
        <v>253111.2444444444</v>
      </c>
      <c r="V741" s="362">
        <f t="shared" si="131"/>
        <v>1042884.5111111113</v>
      </c>
      <c r="W741" s="362">
        <f t="shared" si="130"/>
        <v>119895</v>
      </c>
      <c r="X741" s="742">
        <f t="shared" si="132"/>
        <v>922989.51111111126</v>
      </c>
    </row>
    <row r="742" spans="1:24" ht="13.9">
      <c r="A742" s="349">
        <f t="shared" si="134"/>
        <v>734</v>
      </c>
      <c r="B742" s="393" t="s">
        <v>957</v>
      </c>
      <c r="C742" s="394" t="s">
        <v>1710</v>
      </c>
      <c r="D742" s="349" t="s">
        <v>2020</v>
      </c>
      <c r="E742" s="393" t="s">
        <v>2043</v>
      </c>
      <c r="F742" s="395"/>
      <c r="G742" s="404"/>
      <c r="H742" s="397">
        <v>2397896</v>
      </c>
      <c r="I742" s="353"/>
      <c r="J742" s="353"/>
      <c r="K742" s="354">
        <f t="shared" si="125"/>
        <v>2397896</v>
      </c>
      <c r="L742" s="398">
        <v>43427</v>
      </c>
      <c r="M742" s="742">
        <v>1101900.2444444443</v>
      </c>
      <c r="N742" s="352">
        <f t="shared" si="133"/>
        <v>1295995.7555555557</v>
      </c>
      <c r="O742" s="357">
        <f t="shared" si="126"/>
        <v>1956</v>
      </c>
      <c r="P742" s="357">
        <v>9</v>
      </c>
      <c r="Q742" s="358">
        <f t="shared" si="124"/>
        <v>5.3589041095890408</v>
      </c>
      <c r="R742" s="359">
        <f t="shared" si="127"/>
        <v>3.6410958904109592</v>
      </c>
      <c r="S742" s="360">
        <f t="shared" si="128"/>
        <v>3.6410958904109592</v>
      </c>
      <c r="T742" s="361">
        <f t="shared" si="129"/>
        <v>0.10555555555555554</v>
      </c>
      <c r="U742" s="362">
        <f t="shared" si="123"/>
        <v>253111.2444444444</v>
      </c>
      <c r="V742" s="362">
        <f t="shared" si="131"/>
        <v>1042884.5111111113</v>
      </c>
      <c r="W742" s="362">
        <f t="shared" si="130"/>
        <v>119895</v>
      </c>
      <c r="X742" s="742">
        <f t="shared" si="132"/>
        <v>922989.51111111126</v>
      </c>
    </row>
    <row r="743" spans="1:24" ht="13.9">
      <c r="A743" s="349">
        <f t="shared" si="134"/>
        <v>735</v>
      </c>
      <c r="B743" s="393" t="s">
        <v>957</v>
      </c>
      <c r="C743" s="394" t="s">
        <v>1710</v>
      </c>
      <c r="D743" s="349" t="s">
        <v>2020</v>
      </c>
      <c r="E743" s="393" t="s">
        <v>2043</v>
      </c>
      <c r="F743" s="395"/>
      <c r="G743" s="404"/>
      <c r="H743" s="397">
        <v>2397896</v>
      </c>
      <c r="I743" s="353"/>
      <c r="J743" s="353"/>
      <c r="K743" s="354">
        <f t="shared" si="125"/>
        <v>2397896</v>
      </c>
      <c r="L743" s="398">
        <v>43427</v>
      </c>
      <c r="M743" s="742">
        <v>1101900.2444444443</v>
      </c>
      <c r="N743" s="352">
        <f t="shared" si="133"/>
        <v>1295995.7555555557</v>
      </c>
      <c r="O743" s="357">
        <f t="shared" si="126"/>
        <v>1956</v>
      </c>
      <c r="P743" s="357">
        <v>9</v>
      </c>
      <c r="Q743" s="358">
        <f t="shared" si="124"/>
        <v>5.3589041095890408</v>
      </c>
      <c r="R743" s="359">
        <f t="shared" si="127"/>
        <v>3.6410958904109592</v>
      </c>
      <c r="S743" s="360">
        <f t="shared" si="128"/>
        <v>3.6410958904109592</v>
      </c>
      <c r="T743" s="361">
        <f t="shared" si="129"/>
        <v>0.10555555555555554</v>
      </c>
      <c r="U743" s="362">
        <f t="shared" si="123"/>
        <v>253111.2444444444</v>
      </c>
      <c r="V743" s="362">
        <f t="shared" si="131"/>
        <v>1042884.5111111113</v>
      </c>
      <c r="W743" s="362">
        <f t="shared" si="130"/>
        <v>119895</v>
      </c>
      <c r="X743" s="742">
        <f t="shared" si="132"/>
        <v>922989.51111111126</v>
      </c>
    </row>
    <row r="744" spans="1:24" ht="13.9">
      <c r="A744" s="349">
        <f t="shared" si="134"/>
        <v>736</v>
      </c>
      <c r="B744" s="393" t="s">
        <v>957</v>
      </c>
      <c r="C744" s="394" t="s">
        <v>1710</v>
      </c>
      <c r="D744" s="349" t="s">
        <v>2020</v>
      </c>
      <c r="E744" s="393" t="s">
        <v>2043</v>
      </c>
      <c r="F744" s="395"/>
      <c r="G744" s="404"/>
      <c r="H744" s="397">
        <v>2397896</v>
      </c>
      <c r="I744" s="353"/>
      <c r="J744" s="353"/>
      <c r="K744" s="354">
        <f t="shared" si="125"/>
        <v>2397896</v>
      </c>
      <c r="L744" s="398">
        <v>43427</v>
      </c>
      <c r="M744" s="742">
        <v>1101900.2444444443</v>
      </c>
      <c r="N744" s="352">
        <f t="shared" si="133"/>
        <v>1295995.7555555557</v>
      </c>
      <c r="O744" s="357">
        <f t="shared" si="126"/>
        <v>1956</v>
      </c>
      <c r="P744" s="357">
        <v>9</v>
      </c>
      <c r="Q744" s="358">
        <f t="shared" si="124"/>
        <v>5.3589041095890408</v>
      </c>
      <c r="R744" s="359">
        <f t="shared" si="127"/>
        <v>3.6410958904109592</v>
      </c>
      <c r="S744" s="360">
        <f t="shared" si="128"/>
        <v>3.6410958904109592</v>
      </c>
      <c r="T744" s="361">
        <f t="shared" si="129"/>
        <v>0.10555555555555554</v>
      </c>
      <c r="U744" s="362">
        <f t="shared" si="123"/>
        <v>253111.2444444444</v>
      </c>
      <c r="V744" s="362">
        <f t="shared" si="131"/>
        <v>1042884.5111111113</v>
      </c>
      <c r="W744" s="362">
        <f t="shared" si="130"/>
        <v>119895</v>
      </c>
      <c r="X744" s="742">
        <f t="shared" si="132"/>
        <v>922989.51111111126</v>
      </c>
    </row>
    <row r="745" spans="1:24" ht="13.9">
      <c r="A745" s="349">
        <f t="shared" si="134"/>
        <v>737</v>
      </c>
      <c r="B745" s="393" t="s">
        <v>957</v>
      </c>
      <c r="C745" s="394" t="s">
        <v>1710</v>
      </c>
      <c r="D745" s="349" t="s">
        <v>2020</v>
      </c>
      <c r="E745" s="393" t="s">
        <v>2043</v>
      </c>
      <c r="F745" s="395"/>
      <c r="G745" s="404"/>
      <c r="H745" s="397">
        <v>2397896</v>
      </c>
      <c r="I745" s="353"/>
      <c r="J745" s="353"/>
      <c r="K745" s="354">
        <f t="shared" si="125"/>
        <v>2397896</v>
      </c>
      <c r="L745" s="398">
        <v>43427</v>
      </c>
      <c r="M745" s="742">
        <v>1101900.2444444443</v>
      </c>
      <c r="N745" s="352">
        <f t="shared" si="133"/>
        <v>1295995.7555555557</v>
      </c>
      <c r="O745" s="357">
        <f t="shared" si="126"/>
        <v>1956</v>
      </c>
      <c r="P745" s="357">
        <v>9</v>
      </c>
      <c r="Q745" s="358">
        <f t="shared" si="124"/>
        <v>5.3589041095890408</v>
      </c>
      <c r="R745" s="359">
        <f t="shared" si="127"/>
        <v>3.6410958904109592</v>
      </c>
      <c r="S745" s="360">
        <f t="shared" si="128"/>
        <v>3.6410958904109592</v>
      </c>
      <c r="T745" s="361">
        <f t="shared" si="129"/>
        <v>0.10555555555555554</v>
      </c>
      <c r="U745" s="362">
        <f t="shared" si="123"/>
        <v>253111.2444444444</v>
      </c>
      <c r="V745" s="362">
        <f t="shared" si="131"/>
        <v>1042884.5111111113</v>
      </c>
      <c r="W745" s="362">
        <f t="shared" si="130"/>
        <v>119895</v>
      </c>
      <c r="X745" s="742">
        <f t="shared" si="132"/>
        <v>922989.51111111126</v>
      </c>
    </row>
    <row r="746" spans="1:24" ht="13.9">
      <c r="A746" s="349">
        <f t="shared" si="134"/>
        <v>738</v>
      </c>
      <c r="B746" s="393" t="s">
        <v>957</v>
      </c>
      <c r="C746" s="394" t="s">
        <v>1710</v>
      </c>
      <c r="D746" s="349" t="s">
        <v>2020</v>
      </c>
      <c r="E746" s="393" t="s">
        <v>2043</v>
      </c>
      <c r="F746" s="395"/>
      <c r="G746" s="404"/>
      <c r="H746" s="397">
        <v>2397896</v>
      </c>
      <c r="I746" s="353"/>
      <c r="J746" s="353"/>
      <c r="K746" s="354">
        <f t="shared" si="125"/>
        <v>2397896</v>
      </c>
      <c r="L746" s="398">
        <v>43427</v>
      </c>
      <c r="M746" s="742">
        <v>1101900.2444444443</v>
      </c>
      <c r="N746" s="352">
        <f t="shared" si="133"/>
        <v>1295995.7555555557</v>
      </c>
      <c r="O746" s="357">
        <f t="shared" si="126"/>
        <v>1956</v>
      </c>
      <c r="P746" s="357">
        <v>9</v>
      </c>
      <c r="Q746" s="358">
        <f t="shared" si="124"/>
        <v>5.3589041095890408</v>
      </c>
      <c r="R746" s="359">
        <f t="shared" si="127"/>
        <v>3.6410958904109592</v>
      </c>
      <c r="S746" s="360">
        <f t="shared" si="128"/>
        <v>3.6410958904109592</v>
      </c>
      <c r="T746" s="361">
        <f t="shared" si="129"/>
        <v>0.10555555555555554</v>
      </c>
      <c r="U746" s="362">
        <f t="shared" ref="U746:U809" si="135">+K746*T746</f>
        <v>253111.2444444444</v>
      </c>
      <c r="V746" s="362">
        <f t="shared" si="131"/>
        <v>1042884.5111111113</v>
      </c>
      <c r="W746" s="362">
        <f t="shared" si="130"/>
        <v>119895</v>
      </c>
      <c r="X746" s="742">
        <f t="shared" si="132"/>
        <v>922989.51111111126</v>
      </c>
    </row>
    <row r="747" spans="1:24" ht="13.9">
      <c r="A747" s="349">
        <f t="shared" si="134"/>
        <v>739</v>
      </c>
      <c r="B747" s="393" t="s">
        <v>957</v>
      </c>
      <c r="C747" s="394" t="s">
        <v>1710</v>
      </c>
      <c r="D747" s="349" t="s">
        <v>2020</v>
      </c>
      <c r="E747" s="393" t="s">
        <v>2043</v>
      </c>
      <c r="F747" s="395"/>
      <c r="G747" s="404"/>
      <c r="H747" s="397">
        <v>2397896</v>
      </c>
      <c r="I747" s="353"/>
      <c r="J747" s="353"/>
      <c r="K747" s="354">
        <f t="shared" si="125"/>
        <v>2397896</v>
      </c>
      <c r="L747" s="398">
        <v>43427</v>
      </c>
      <c r="M747" s="742">
        <v>1101900.2444444443</v>
      </c>
      <c r="N747" s="352">
        <f t="shared" si="133"/>
        <v>1295995.7555555557</v>
      </c>
      <c r="O747" s="357">
        <f t="shared" si="126"/>
        <v>1956</v>
      </c>
      <c r="P747" s="357">
        <v>9</v>
      </c>
      <c r="Q747" s="358">
        <f t="shared" si="124"/>
        <v>5.3589041095890408</v>
      </c>
      <c r="R747" s="359">
        <f t="shared" si="127"/>
        <v>3.6410958904109592</v>
      </c>
      <c r="S747" s="360">
        <f t="shared" si="128"/>
        <v>3.6410958904109592</v>
      </c>
      <c r="T747" s="361">
        <f t="shared" si="129"/>
        <v>0.10555555555555554</v>
      </c>
      <c r="U747" s="362">
        <f t="shared" si="135"/>
        <v>253111.2444444444</v>
      </c>
      <c r="V747" s="362">
        <f t="shared" si="131"/>
        <v>1042884.5111111113</v>
      </c>
      <c r="W747" s="362">
        <f t="shared" si="130"/>
        <v>119895</v>
      </c>
      <c r="X747" s="742">
        <f t="shared" si="132"/>
        <v>922989.51111111126</v>
      </c>
    </row>
    <row r="748" spans="1:24" ht="13.9">
      <c r="A748" s="349">
        <f t="shared" si="134"/>
        <v>740</v>
      </c>
      <c r="B748" s="393" t="s">
        <v>957</v>
      </c>
      <c r="C748" s="394" t="s">
        <v>1710</v>
      </c>
      <c r="D748" s="349" t="s">
        <v>2020</v>
      </c>
      <c r="E748" s="393" t="s">
        <v>2043</v>
      </c>
      <c r="F748" s="395"/>
      <c r="G748" s="404"/>
      <c r="H748" s="397">
        <v>2397896</v>
      </c>
      <c r="I748" s="353"/>
      <c r="J748" s="353"/>
      <c r="K748" s="354">
        <f t="shared" si="125"/>
        <v>2397896</v>
      </c>
      <c r="L748" s="398">
        <v>43427</v>
      </c>
      <c r="M748" s="742">
        <v>1101900.2444444443</v>
      </c>
      <c r="N748" s="352">
        <f t="shared" si="133"/>
        <v>1295995.7555555557</v>
      </c>
      <c r="O748" s="357">
        <f t="shared" si="126"/>
        <v>1956</v>
      </c>
      <c r="P748" s="357">
        <v>9</v>
      </c>
      <c r="Q748" s="358">
        <f t="shared" si="124"/>
        <v>5.3589041095890408</v>
      </c>
      <c r="R748" s="359">
        <f t="shared" si="127"/>
        <v>3.6410958904109592</v>
      </c>
      <c r="S748" s="360">
        <f t="shared" si="128"/>
        <v>3.6410958904109592</v>
      </c>
      <c r="T748" s="361">
        <f t="shared" si="129"/>
        <v>0.10555555555555554</v>
      </c>
      <c r="U748" s="362">
        <f t="shared" si="135"/>
        <v>253111.2444444444</v>
      </c>
      <c r="V748" s="362">
        <f t="shared" si="131"/>
        <v>1042884.5111111113</v>
      </c>
      <c r="W748" s="362">
        <f t="shared" si="130"/>
        <v>119895</v>
      </c>
      <c r="X748" s="742">
        <f t="shared" si="132"/>
        <v>922989.51111111126</v>
      </c>
    </row>
    <row r="749" spans="1:24" ht="13.9">
      <c r="A749" s="349">
        <f t="shared" si="134"/>
        <v>741</v>
      </c>
      <c r="B749" s="393" t="s">
        <v>957</v>
      </c>
      <c r="C749" s="394" t="s">
        <v>1710</v>
      </c>
      <c r="D749" s="349" t="s">
        <v>2020</v>
      </c>
      <c r="E749" s="393" t="s">
        <v>2043</v>
      </c>
      <c r="F749" s="395"/>
      <c r="G749" s="404"/>
      <c r="H749" s="397">
        <v>2397896</v>
      </c>
      <c r="I749" s="353"/>
      <c r="J749" s="353"/>
      <c r="K749" s="354">
        <f t="shared" si="125"/>
        <v>2397896</v>
      </c>
      <c r="L749" s="398">
        <v>43427</v>
      </c>
      <c r="M749" s="742">
        <v>1101900.2444444443</v>
      </c>
      <c r="N749" s="352">
        <f t="shared" si="133"/>
        <v>1295995.7555555557</v>
      </c>
      <c r="O749" s="357">
        <f t="shared" si="126"/>
        <v>1956</v>
      </c>
      <c r="P749" s="357">
        <v>9</v>
      </c>
      <c r="Q749" s="358">
        <f t="shared" si="124"/>
        <v>5.3589041095890408</v>
      </c>
      <c r="R749" s="359">
        <f t="shared" si="127"/>
        <v>3.6410958904109592</v>
      </c>
      <c r="S749" s="360">
        <f t="shared" si="128"/>
        <v>3.6410958904109592</v>
      </c>
      <c r="T749" s="361">
        <f t="shared" si="129"/>
        <v>0.10555555555555554</v>
      </c>
      <c r="U749" s="362">
        <f t="shared" si="135"/>
        <v>253111.2444444444</v>
      </c>
      <c r="V749" s="362">
        <f t="shared" si="131"/>
        <v>1042884.5111111113</v>
      </c>
      <c r="W749" s="362">
        <f t="shared" si="130"/>
        <v>119895</v>
      </c>
      <c r="X749" s="742">
        <f t="shared" si="132"/>
        <v>922989.51111111126</v>
      </c>
    </row>
    <row r="750" spans="1:24" ht="13.9">
      <c r="A750" s="349">
        <f t="shared" si="134"/>
        <v>742</v>
      </c>
      <c r="B750" s="393" t="s">
        <v>957</v>
      </c>
      <c r="C750" s="394" t="s">
        <v>1710</v>
      </c>
      <c r="D750" s="349" t="s">
        <v>2020</v>
      </c>
      <c r="E750" s="393" t="s">
        <v>2043</v>
      </c>
      <c r="F750" s="395"/>
      <c r="G750" s="404"/>
      <c r="H750" s="397">
        <v>2397896</v>
      </c>
      <c r="I750" s="353"/>
      <c r="J750" s="353"/>
      <c r="K750" s="354">
        <f t="shared" si="125"/>
        <v>2397896</v>
      </c>
      <c r="L750" s="398">
        <v>43470</v>
      </c>
      <c r="M750" s="742">
        <v>1072082.2444444443</v>
      </c>
      <c r="N750" s="352">
        <f t="shared" si="133"/>
        <v>1325813.7555555557</v>
      </c>
      <c r="O750" s="357">
        <f t="shared" si="126"/>
        <v>1913</v>
      </c>
      <c r="P750" s="357">
        <v>9</v>
      </c>
      <c r="Q750" s="358">
        <f t="shared" si="124"/>
        <v>5.2410958904109588</v>
      </c>
      <c r="R750" s="359">
        <f t="shared" si="127"/>
        <v>3.7589041095890412</v>
      </c>
      <c r="S750" s="360">
        <f t="shared" si="128"/>
        <v>3.7589041095890412</v>
      </c>
      <c r="T750" s="361">
        <f t="shared" si="129"/>
        <v>0.10555555555555554</v>
      </c>
      <c r="U750" s="362">
        <f t="shared" si="135"/>
        <v>253111.2444444444</v>
      </c>
      <c r="V750" s="362">
        <f t="shared" si="131"/>
        <v>1072702.5111111114</v>
      </c>
      <c r="W750" s="362">
        <f t="shared" si="130"/>
        <v>119895</v>
      </c>
      <c r="X750" s="742">
        <f t="shared" si="132"/>
        <v>952807.51111111138</v>
      </c>
    </row>
    <row r="751" spans="1:24" ht="13.9">
      <c r="A751" s="349">
        <f t="shared" si="134"/>
        <v>743</v>
      </c>
      <c r="B751" s="393" t="s">
        <v>957</v>
      </c>
      <c r="C751" s="394" t="s">
        <v>1710</v>
      </c>
      <c r="D751" s="349" t="s">
        <v>2020</v>
      </c>
      <c r="E751" s="393" t="s">
        <v>2043</v>
      </c>
      <c r="F751" s="395"/>
      <c r="G751" s="404"/>
      <c r="H751" s="397">
        <v>2397896</v>
      </c>
      <c r="I751" s="353"/>
      <c r="J751" s="353"/>
      <c r="K751" s="354">
        <f t="shared" si="125"/>
        <v>2397896</v>
      </c>
      <c r="L751" s="398">
        <v>43470</v>
      </c>
      <c r="M751" s="742">
        <v>1072082.2444444443</v>
      </c>
      <c r="N751" s="352">
        <f t="shared" si="133"/>
        <v>1325813.7555555557</v>
      </c>
      <c r="O751" s="357">
        <f t="shared" si="126"/>
        <v>1913</v>
      </c>
      <c r="P751" s="357">
        <v>9</v>
      </c>
      <c r="Q751" s="358">
        <f t="shared" si="124"/>
        <v>5.2410958904109588</v>
      </c>
      <c r="R751" s="359">
        <f t="shared" si="127"/>
        <v>3.7589041095890412</v>
      </c>
      <c r="S751" s="360">
        <f t="shared" si="128"/>
        <v>3.7589041095890412</v>
      </c>
      <c r="T751" s="361">
        <f t="shared" si="129"/>
        <v>0.10555555555555554</v>
      </c>
      <c r="U751" s="362">
        <f t="shared" si="135"/>
        <v>253111.2444444444</v>
      </c>
      <c r="V751" s="362">
        <f t="shared" si="131"/>
        <v>1072702.5111111114</v>
      </c>
      <c r="W751" s="362">
        <f t="shared" si="130"/>
        <v>119895</v>
      </c>
      <c r="X751" s="742">
        <f t="shared" si="132"/>
        <v>952807.51111111138</v>
      </c>
    </row>
    <row r="752" spans="1:24" ht="13.9">
      <c r="A752" s="349">
        <f t="shared" si="134"/>
        <v>744</v>
      </c>
      <c r="B752" s="393" t="s">
        <v>957</v>
      </c>
      <c r="C752" s="394" t="s">
        <v>1710</v>
      </c>
      <c r="D752" s="349" t="s">
        <v>2020</v>
      </c>
      <c r="E752" s="393" t="s">
        <v>2043</v>
      </c>
      <c r="F752" s="395"/>
      <c r="G752" s="404"/>
      <c r="H752" s="397">
        <v>2397896</v>
      </c>
      <c r="I752" s="353"/>
      <c r="J752" s="353"/>
      <c r="K752" s="354">
        <f t="shared" si="125"/>
        <v>2397896</v>
      </c>
      <c r="L752" s="398">
        <v>43470</v>
      </c>
      <c r="M752" s="742">
        <v>1072082.2444444443</v>
      </c>
      <c r="N752" s="352">
        <f t="shared" si="133"/>
        <v>1325813.7555555557</v>
      </c>
      <c r="O752" s="357">
        <f t="shared" si="126"/>
        <v>1913</v>
      </c>
      <c r="P752" s="357">
        <v>9</v>
      </c>
      <c r="Q752" s="358">
        <f t="shared" si="124"/>
        <v>5.2410958904109588</v>
      </c>
      <c r="R752" s="359">
        <f t="shared" si="127"/>
        <v>3.7589041095890412</v>
      </c>
      <c r="S752" s="360">
        <f t="shared" si="128"/>
        <v>3.7589041095890412</v>
      </c>
      <c r="T752" s="361">
        <f t="shared" si="129"/>
        <v>0.10555555555555554</v>
      </c>
      <c r="U752" s="362">
        <f t="shared" si="135"/>
        <v>253111.2444444444</v>
      </c>
      <c r="V752" s="362">
        <f t="shared" si="131"/>
        <v>1072702.5111111114</v>
      </c>
      <c r="W752" s="362">
        <f t="shared" si="130"/>
        <v>119895</v>
      </c>
      <c r="X752" s="742">
        <f t="shared" si="132"/>
        <v>952807.51111111138</v>
      </c>
    </row>
    <row r="753" spans="1:24" ht="13.9">
      <c r="A753" s="349">
        <f t="shared" si="134"/>
        <v>745</v>
      </c>
      <c r="B753" s="393" t="s">
        <v>2025</v>
      </c>
      <c r="C753" s="394" t="s">
        <v>1710</v>
      </c>
      <c r="D753" s="349" t="s">
        <v>2020</v>
      </c>
      <c r="E753" s="393" t="s">
        <v>2024</v>
      </c>
      <c r="F753" s="395"/>
      <c r="G753" s="404"/>
      <c r="H753" s="397">
        <v>765000</v>
      </c>
      <c r="I753" s="353"/>
      <c r="J753" s="353"/>
      <c r="K753" s="354">
        <f t="shared" si="125"/>
        <v>765000</v>
      </c>
      <c r="L753" s="398">
        <v>43501</v>
      </c>
      <c r="M753" s="742">
        <v>335168</v>
      </c>
      <c r="N753" s="352">
        <f t="shared" si="133"/>
        <v>429832</v>
      </c>
      <c r="O753" s="357">
        <f t="shared" si="126"/>
        <v>1882</v>
      </c>
      <c r="P753" s="357">
        <v>9</v>
      </c>
      <c r="Q753" s="358">
        <f t="shared" si="124"/>
        <v>5.1561643835616442</v>
      </c>
      <c r="R753" s="359">
        <f t="shared" si="127"/>
        <v>3.8438356164383558</v>
      </c>
      <c r="S753" s="360">
        <f t="shared" si="128"/>
        <v>3.8438356164383558</v>
      </c>
      <c r="T753" s="361">
        <f t="shared" si="129"/>
        <v>0.10555555555555554</v>
      </c>
      <c r="U753" s="362">
        <f t="shared" si="135"/>
        <v>80749.999999999985</v>
      </c>
      <c r="V753" s="362">
        <f t="shared" si="131"/>
        <v>349082</v>
      </c>
      <c r="W753" s="362">
        <f t="shared" si="130"/>
        <v>38250</v>
      </c>
      <c r="X753" s="742">
        <f t="shared" si="132"/>
        <v>310832</v>
      </c>
    </row>
    <row r="754" spans="1:24" ht="13.9">
      <c r="A754" s="349">
        <f t="shared" si="134"/>
        <v>746</v>
      </c>
      <c r="B754" s="393" t="s">
        <v>2025</v>
      </c>
      <c r="C754" s="394" t="s">
        <v>1710</v>
      </c>
      <c r="D754" s="349" t="s">
        <v>2020</v>
      </c>
      <c r="E754" s="393" t="s">
        <v>2024</v>
      </c>
      <c r="F754" s="395"/>
      <c r="G754" s="404"/>
      <c r="H754" s="397">
        <v>765000</v>
      </c>
      <c r="I754" s="353"/>
      <c r="J754" s="353"/>
      <c r="K754" s="354">
        <f t="shared" si="125"/>
        <v>765000</v>
      </c>
      <c r="L754" s="398">
        <v>43501</v>
      </c>
      <c r="M754" s="742">
        <v>335168</v>
      </c>
      <c r="N754" s="352">
        <f t="shared" si="133"/>
        <v>429832</v>
      </c>
      <c r="O754" s="357">
        <f t="shared" si="126"/>
        <v>1882</v>
      </c>
      <c r="P754" s="357">
        <v>9</v>
      </c>
      <c r="Q754" s="358">
        <f t="shared" si="124"/>
        <v>5.1561643835616442</v>
      </c>
      <c r="R754" s="359">
        <f t="shared" si="127"/>
        <v>3.8438356164383558</v>
      </c>
      <c r="S754" s="360">
        <f t="shared" si="128"/>
        <v>3.8438356164383558</v>
      </c>
      <c r="T754" s="361">
        <f t="shared" si="129"/>
        <v>0.10555555555555554</v>
      </c>
      <c r="U754" s="362">
        <f t="shared" si="135"/>
        <v>80749.999999999985</v>
      </c>
      <c r="V754" s="362">
        <f t="shared" si="131"/>
        <v>349082</v>
      </c>
      <c r="W754" s="362">
        <f t="shared" si="130"/>
        <v>38250</v>
      </c>
      <c r="X754" s="742">
        <f t="shared" si="132"/>
        <v>310832</v>
      </c>
    </row>
    <row r="755" spans="1:24" ht="13.9">
      <c r="A755" s="349">
        <f t="shared" si="134"/>
        <v>747</v>
      </c>
      <c r="B755" s="393" t="s">
        <v>2025</v>
      </c>
      <c r="C755" s="394" t="s">
        <v>1710</v>
      </c>
      <c r="D755" s="349" t="s">
        <v>2020</v>
      </c>
      <c r="E755" s="393" t="s">
        <v>2024</v>
      </c>
      <c r="F755" s="395"/>
      <c r="G755" s="404"/>
      <c r="H755" s="397">
        <v>765000</v>
      </c>
      <c r="I755" s="353"/>
      <c r="J755" s="353"/>
      <c r="K755" s="354">
        <f t="shared" si="125"/>
        <v>765000</v>
      </c>
      <c r="L755" s="398">
        <v>43501</v>
      </c>
      <c r="M755" s="742">
        <v>335168</v>
      </c>
      <c r="N755" s="352">
        <f t="shared" si="133"/>
        <v>429832</v>
      </c>
      <c r="O755" s="357">
        <f t="shared" si="126"/>
        <v>1882</v>
      </c>
      <c r="P755" s="357">
        <v>9</v>
      </c>
      <c r="Q755" s="358">
        <f t="shared" si="124"/>
        <v>5.1561643835616442</v>
      </c>
      <c r="R755" s="359">
        <f t="shared" si="127"/>
        <v>3.8438356164383558</v>
      </c>
      <c r="S755" s="360">
        <f t="shared" si="128"/>
        <v>3.8438356164383558</v>
      </c>
      <c r="T755" s="361">
        <f t="shared" si="129"/>
        <v>0.10555555555555554</v>
      </c>
      <c r="U755" s="362">
        <f t="shared" si="135"/>
        <v>80749.999999999985</v>
      </c>
      <c r="V755" s="362">
        <f t="shared" si="131"/>
        <v>349082</v>
      </c>
      <c r="W755" s="362">
        <f t="shared" si="130"/>
        <v>38250</v>
      </c>
      <c r="X755" s="742">
        <f t="shared" si="132"/>
        <v>310832</v>
      </c>
    </row>
    <row r="756" spans="1:24" ht="13.9">
      <c r="A756" s="349">
        <f t="shared" si="134"/>
        <v>748</v>
      </c>
      <c r="B756" s="393" t="s">
        <v>2025</v>
      </c>
      <c r="C756" s="394" t="s">
        <v>1710</v>
      </c>
      <c r="D756" s="349" t="s">
        <v>2020</v>
      </c>
      <c r="E756" s="393" t="s">
        <v>2024</v>
      </c>
      <c r="F756" s="395"/>
      <c r="G756" s="404"/>
      <c r="H756" s="397">
        <v>765000</v>
      </c>
      <c r="I756" s="353"/>
      <c r="J756" s="353"/>
      <c r="K756" s="354">
        <f t="shared" si="125"/>
        <v>765000</v>
      </c>
      <c r="L756" s="398">
        <v>43501</v>
      </c>
      <c r="M756" s="742">
        <v>335168</v>
      </c>
      <c r="N756" s="352">
        <f t="shared" si="133"/>
        <v>429832</v>
      </c>
      <c r="O756" s="357">
        <f t="shared" si="126"/>
        <v>1882</v>
      </c>
      <c r="P756" s="357">
        <v>9</v>
      </c>
      <c r="Q756" s="358">
        <f t="shared" si="124"/>
        <v>5.1561643835616442</v>
      </c>
      <c r="R756" s="359">
        <f t="shared" si="127"/>
        <v>3.8438356164383558</v>
      </c>
      <c r="S756" s="360">
        <f t="shared" si="128"/>
        <v>3.8438356164383558</v>
      </c>
      <c r="T756" s="361">
        <f t="shared" si="129"/>
        <v>0.10555555555555554</v>
      </c>
      <c r="U756" s="362">
        <f t="shared" si="135"/>
        <v>80749.999999999985</v>
      </c>
      <c r="V756" s="362">
        <f t="shared" si="131"/>
        <v>349082</v>
      </c>
      <c r="W756" s="362">
        <f t="shared" si="130"/>
        <v>38250</v>
      </c>
      <c r="X756" s="742">
        <f t="shared" si="132"/>
        <v>310832</v>
      </c>
    </row>
    <row r="757" spans="1:24" ht="13.9">
      <c r="A757" s="349">
        <f t="shared" si="134"/>
        <v>749</v>
      </c>
      <c r="B757" s="393" t="s">
        <v>2025</v>
      </c>
      <c r="C757" s="394" t="s">
        <v>1710</v>
      </c>
      <c r="D757" s="349" t="s">
        <v>2020</v>
      </c>
      <c r="E757" s="393" t="s">
        <v>2024</v>
      </c>
      <c r="F757" s="395"/>
      <c r="G757" s="404"/>
      <c r="H757" s="397">
        <v>765000</v>
      </c>
      <c r="I757" s="353"/>
      <c r="J757" s="353"/>
      <c r="K757" s="354">
        <f t="shared" si="125"/>
        <v>765000</v>
      </c>
      <c r="L757" s="398">
        <v>43501</v>
      </c>
      <c r="M757" s="742">
        <v>335168</v>
      </c>
      <c r="N757" s="352">
        <f t="shared" si="133"/>
        <v>429832</v>
      </c>
      <c r="O757" s="357">
        <f t="shared" si="126"/>
        <v>1882</v>
      </c>
      <c r="P757" s="357">
        <v>9</v>
      </c>
      <c r="Q757" s="358">
        <f t="shared" si="124"/>
        <v>5.1561643835616442</v>
      </c>
      <c r="R757" s="359">
        <f t="shared" si="127"/>
        <v>3.8438356164383558</v>
      </c>
      <c r="S757" s="360">
        <f t="shared" si="128"/>
        <v>3.8438356164383558</v>
      </c>
      <c r="T757" s="361">
        <f t="shared" si="129"/>
        <v>0.10555555555555554</v>
      </c>
      <c r="U757" s="362">
        <f t="shared" si="135"/>
        <v>80749.999999999985</v>
      </c>
      <c r="V757" s="362">
        <f t="shared" si="131"/>
        <v>349082</v>
      </c>
      <c r="W757" s="362">
        <f t="shared" si="130"/>
        <v>38250</v>
      </c>
      <c r="X757" s="742">
        <f t="shared" si="132"/>
        <v>310832</v>
      </c>
    </row>
    <row r="758" spans="1:24" ht="13.9">
      <c r="A758" s="349">
        <f t="shared" si="134"/>
        <v>750</v>
      </c>
      <c r="B758" s="393" t="s">
        <v>2044</v>
      </c>
      <c r="C758" s="394" t="s">
        <v>1710</v>
      </c>
      <c r="D758" s="349" t="s">
        <v>2020</v>
      </c>
      <c r="E758" s="393" t="s">
        <v>2055</v>
      </c>
      <c r="F758" s="395"/>
      <c r="G758" s="404"/>
      <c r="H758" s="397">
        <v>280000</v>
      </c>
      <c r="I758" s="353"/>
      <c r="J758" s="353"/>
      <c r="K758" s="354">
        <f t="shared" si="125"/>
        <v>280000</v>
      </c>
      <c r="L758" s="398">
        <v>43495</v>
      </c>
      <c r="M758" s="742">
        <v>123161.55555555555</v>
      </c>
      <c r="N758" s="352">
        <f t="shared" si="133"/>
        <v>156838.44444444444</v>
      </c>
      <c r="O758" s="357">
        <f t="shared" si="126"/>
        <v>1888</v>
      </c>
      <c r="P758" s="357">
        <v>9</v>
      </c>
      <c r="Q758" s="358">
        <f t="shared" si="124"/>
        <v>5.1726027397260275</v>
      </c>
      <c r="R758" s="359">
        <f t="shared" si="127"/>
        <v>3.8273972602739725</v>
      </c>
      <c r="S758" s="360">
        <f t="shared" si="128"/>
        <v>3.8273972602739725</v>
      </c>
      <c r="T758" s="361">
        <f t="shared" si="129"/>
        <v>0.10555555555555554</v>
      </c>
      <c r="U758" s="362">
        <f t="shared" si="135"/>
        <v>29555.555555555551</v>
      </c>
      <c r="V758" s="362">
        <f t="shared" si="131"/>
        <v>127282.88888888889</v>
      </c>
      <c r="W758" s="362">
        <f t="shared" si="130"/>
        <v>14000</v>
      </c>
      <c r="X758" s="742">
        <f t="shared" si="132"/>
        <v>113282.88888888889</v>
      </c>
    </row>
    <row r="759" spans="1:24" ht="13.9">
      <c r="A759" s="349">
        <f t="shared" si="134"/>
        <v>751</v>
      </c>
      <c r="B759" s="406" t="s">
        <v>1910</v>
      </c>
      <c r="C759" s="394" t="s">
        <v>1710</v>
      </c>
      <c r="D759" s="349" t="s">
        <v>2020</v>
      </c>
      <c r="E759" s="393" t="s">
        <v>2062</v>
      </c>
      <c r="F759" s="395"/>
      <c r="G759" s="404"/>
      <c r="H759" s="397">
        <v>1557650</v>
      </c>
      <c r="I759" s="353"/>
      <c r="J759" s="353"/>
      <c r="K759" s="354">
        <f t="shared" si="125"/>
        <v>1557650</v>
      </c>
      <c r="L759" s="398">
        <v>43426</v>
      </c>
      <c r="M759" s="742">
        <v>716234.61111111112</v>
      </c>
      <c r="N759" s="352">
        <f t="shared" si="133"/>
        <v>841415.38888888888</v>
      </c>
      <c r="O759" s="357">
        <f t="shared" si="126"/>
        <v>1957</v>
      </c>
      <c r="P759" s="357">
        <v>9</v>
      </c>
      <c r="Q759" s="358">
        <f t="shared" si="124"/>
        <v>5.3616438356164382</v>
      </c>
      <c r="R759" s="359">
        <f t="shared" si="127"/>
        <v>3.6383561643835618</v>
      </c>
      <c r="S759" s="360">
        <f t="shared" si="128"/>
        <v>3.6383561643835618</v>
      </c>
      <c r="T759" s="361">
        <f t="shared" si="129"/>
        <v>0.10555555555555554</v>
      </c>
      <c r="U759" s="362">
        <f t="shared" si="135"/>
        <v>164418.61111111109</v>
      </c>
      <c r="V759" s="362">
        <f t="shared" si="131"/>
        <v>676996.77777777775</v>
      </c>
      <c r="W759" s="362">
        <f t="shared" si="130"/>
        <v>77883</v>
      </c>
      <c r="X759" s="742">
        <f t="shared" si="132"/>
        <v>599113.77777777775</v>
      </c>
    </row>
    <row r="760" spans="1:24" ht="13.9">
      <c r="A760" s="349">
        <f t="shared" si="134"/>
        <v>752</v>
      </c>
      <c r="B760" s="406" t="s">
        <v>1910</v>
      </c>
      <c r="C760" s="394" t="s">
        <v>1710</v>
      </c>
      <c r="D760" s="349" t="s">
        <v>2020</v>
      </c>
      <c r="E760" s="393" t="s">
        <v>2061</v>
      </c>
      <c r="F760" s="395"/>
      <c r="G760" s="404"/>
      <c r="H760" s="397">
        <v>1423169.6</v>
      </c>
      <c r="I760" s="353"/>
      <c r="J760" s="353"/>
      <c r="K760" s="354">
        <f t="shared" si="125"/>
        <v>1423169.6</v>
      </c>
      <c r="L760" s="398">
        <v>43458</v>
      </c>
      <c r="M760" s="742">
        <v>641227.4577777778</v>
      </c>
      <c r="N760" s="352">
        <f t="shared" si="133"/>
        <v>781942.14222222229</v>
      </c>
      <c r="O760" s="357">
        <f t="shared" si="126"/>
        <v>1925</v>
      </c>
      <c r="P760" s="357">
        <v>9</v>
      </c>
      <c r="Q760" s="358">
        <f t="shared" si="124"/>
        <v>5.2739726027397262</v>
      </c>
      <c r="R760" s="359">
        <f t="shared" si="127"/>
        <v>3.7260273972602738</v>
      </c>
      <c r="S760" s="360">
        <f t="shared" si="128"/>
        <v>3.7260273972602738</v>
      </c>
      <c r="T760" s="361">
        <f t="shared" si="129"/>
        <v>0.10555555555555554</v>
      </c>
      <c r="U760" s="362">
        <f t="shared" si="135"/>
        <v>150223.45777777777</v>
      </c>
      <c r="V760" s="362">
        <f t="shared" si="131"/>
        <v>631718.68444444449</v>
      </c>
      <c r="W760" s="362">
        <f t="shared" si="130"/>
        <v>71158</v>
      </c>
      <c r="X760" s="742">
        <f t="shared" si="132"/>
        <v>560560.68444444449</v>
      </c>
    </row>
    <row r="761" spans="1:24" ht="13.9">
      <c r="A761" s="349">
        <f t="shared" si="134"/>
        <v>753</v>
      </c>
      <c r="B761" s="406" t="s">
        <v>1910</v>
      </c>
      <c r="C761" s="394" t="s">
        <v>1710</v>
      </c>
      <c r="D761" s="349" t="s">
        <v>2020</v>
      </c>
      <c r="E761" s="393" t="s">
        <v>2061</v>
      </c>
      <c r="F761" s="395"/>
      <c r="G761" s="404"/>
      <c r="H761" s="397">
        <v>1500659.8</v>
      </c>
      <c r="I761" s="353"/>
      <c r="J761" s="353"/>
      <c r="K761" s="354">
        <f t="shared" si="125"/>
        <v>1500659.8</v>
      </c>
      <c r="L761" s="398">
        <v>43484</v>
      </c>
      <c r="M761" s="742">
        <v>664858.97888888884</v>
      </c>
      <c r="N761" s="352">
        <f t="shared" si="133"/>
        <v>835800.8211111112</v>
      </c>
      <c r="O761" s="357">
        <f t="shared" si="126"/>
        <v>1899</v>
      </c>
      <c r="P761" s="357">
        <v>9</v>
      </c>
      <c r="Q761" s="358">
        <f t="shared" si="124"/>
        <v>5.2027397260273975</v>
      </c>
      <c r="R761" s="359">
        <f t="shared" si="127"/>
        <v>3.7972602739726025</v>
      </c>
      <c r="S761" s="360">
        <f t="shared" si="128"/>
        <v>3.7972602739726025</v>
      </c>
      <c r="T761" s="361">
        <f t="shared" si="129"/>
        <v>0.10555555555555554</v>
      </c>
      <c r="U761" s="362">
        <f t="shared" si="135"/>
        <v>158402.97888888887</v>
      </c>
      <c r="V761" s="362">
        <f t="shared" si="131"/>
        <v>677397.84222222236</v>
      </c>
      <c r="W761" s="362">
        <f t="shared" si="130"/>
        <v>75033</v>
      </c>
      <c r="X761" s="742">
        <f t="shared" si="132"/>
        <v>602364.84222222236</v>
      </c>
    </row>
    <row r="762" spans="1:24" ht="13.9">
      <c r="A762" s="349">
        <f t="shared" si="134"/>
        <v>754</v>
      </c>
      <c r="B762" s="393" t="s">
        <v>2063</v>
      </c>
      <c r="C762" s="394" t="s">
        <v>1710</v>
      </c>
      <c r="D762" s="349" t="s">
        <v>2020</v>
      </c>
      <c r="E762" s="393" t="s">
        <v>2064</v>
      </c>
      <c r="F762" s="395"/>
      <c r="G762" s="404"/>
      <c r="H762" s="397">
        <v>139000</v>
      </c>
      <c r="I762" s="353"/>
      <c r="J762" s="353"/>
      <c r="K762" s="354">
        <f t="shared" si="125"/>
        <v>139000</v>
      </c>
      <c r="L762" s="398">
        <v>43514</v>
      </c>
      <c r="M762" s="742">
        <v>60377.222222222219</v>
      </c>
      <c r="N762" s="352">
        <f t="shared" si="133"/>
        <v>78622.777777777781</v>
      </c>
      <c r="O762" s="357">
        <f t="shared" si="126"/>
        <v>1869</v>
      </c>
      <c r="P762" s="357">
        <v>9</v>
      </c>
      <c r="Q762" s="358">
        <f t="shared" si="124"/>
        <v>5.1205479452054794</v>
      </c>
      <c r="R762" s="359">
        <f t="shared" si="127"/>
        <v>3.8794520547945206</v>
      </c>
      <c r="S762" s="360">
        <f t="shared" si="128"/>
        <v>3.8794520547945206</v>
      </c>
      <c r="T762" s="361">
        <f t="shared" si="129"/>
        <v>0.10555555555555554</v>
      </c>
      <c r="U762" s="362">
        <f t="shared" si="135"/>
        <v>14672.222222222221</v>
      </c>
      <c r="V762" s="362">
        <f t="shared" si="131"/>
        <v>63950.555555555562</v>
      </c>
      <c r="W762" s="362">
        <f t="shared" si="130"/>
        <v>6950</v>
      </c>
      <c r="X762" s="742">
        <f t="shared" si="132"/>
        <v>57000.555555555562</v>
      </c>
    </row>
    <row r="763" spans="1:24" ht="13.9">
      <c r="A763" s="349">
        <f t="shared" si="134"/>
        <v>755</v>
      </c>
      <c r="B763" s="393" t="s">
        <v>2065</v>
      </c>
      <c r="C763" s="394" t="s">
        <v>27</v>
      </c>
      <c r="D763" s="349" t="s">
        <v>2020</v>
      </c>
      <c r="E763" s="393" t="s">
        <v>2024</v>
      </c>
      <c r="F763" s="395"/>
      <c r="G763" s="404"/>
      <c r="H763" s="397">
        <v>16971186</v>
      </c>
      <c r="I763" s="353"/>
      <c r="J763" s="353"/>
      <c r="K763" s="354">
        <f t="shared" si="125"/>
        <v>16971186</v>
      </c>
      <c r="L763" s="398">
        <v>43399</v>
      </c>
      <c r="M763" s="742">
        <v>7936160.9666666668</v>
      </c>
      <c r="N763" s="352">
        <f t="shared" si="133"/>
        <v>9035025.0333333332</v>
      </c>
      <c r="O763" s="357">
        <f t="shared" si="126"/>
        <v>1984</v>
      </c>
      <c r="P763" s="357">
        <v>9</v>
      </c>
      <c r="Q763" s="358">
        <f t="shared" si="124"/>
        <v>5.4356164383561643</v>
      </c>
      <c r="R763" s="359">
        <f t="shared" si="127"/>
        <v>3.5643835616438357</v>
      </c>
      <c r="S763" s="360">
        <f t="shared" si="128"/>
        <v>3.5643835616438357</v>
      </c>
      <c r="T763" s="361">
        <f t="shared" si="129"/>
        <v>0.10555555555555554</v>
      </c>
      <c r="U763" s="362">
        <f t="shared" si="135"/>
        <v>1791402.9666666663</v>
      </c>
      <c r="V763" s="362">
        <f t="shared" si="131"/>
        <v>7243622.0666666664</v>
      </c>
      <c r="W763" s="362">
        <f t="shared" si="130"/>
        <v>848559</v>
      </c>
      <c r="X763" s="742">
        <f t="shared" si="132"/>
        <v>6395063.0666666664</v>
      </c>
    </row>
    <row r="764" spans="1:24" ht="13.9">
      <c r="A764" s="349">
        <f t="shared" si="134"/>
        <v>756</v>
      </c>
      <c r="B764" s="393" t="s">
        <v>2065</v>
      </c>
      <c r="C764" s="394" t="s">
        <v>27</v>
      </c>
      <c r="D764" s="349" t="s">
        <v>2020</v>
      </c>
      <c r="E764" s="393" t="s">
        <v>2024</v>
      </c>
      <c r="F764" s="395"/>
      <c r="G764" s="404"/>
      <c r="H764" s="397">
        <v>16971186</v>
      </c>
      <c r="I764" s="353"/>
      <c r="J764" s="353"/>
      <c r="K764" s="354">
        <f t="shared" si="125"/>
        <v>16971186</v>
      </c>
      <c r="L764" s="398">
        <v>43399</v>
      </c>
      <c r="M764" s="742">
        <v>7936160.9666666668</v>
      </c>
      <c r="N764" s="352">
        <f t="shared" si="133"/>
        <v>9035025.0333333332</v>
      </c>
      <c r="O764" s="357">
        <f t="shared" si="126"/>
        <v>1984</v>
      </c>
      <c r="P764" s="357">
        <v>9</v>
      </c>
      <c r="Q764" s="358">
        <f t="shared" si="124"/>
        <v>5.4356164383561643</v>
      </c>
      <c r="R764" s="359">
        <f t="shared" si="127"/>
        <v>3.5643835616438357</v>
      </c>
      <c r="S764" s="360">
        <f t="shared" si="128"/>
        <v>3.5643835616438357</v>
      </c>
      <c r="T764" s="361">
        <f t="shared" si="129"/>
        <v>0.10555555555555554</v>
      </c>
      <c r="U764" s="362">
        <f t="shared" si="135"/>
        <v>1791402.9666666663</v>
      </c>
      <c r="V764" s="362">
        <f t="shared" si="131"/>
        <v>7243622.0666666664</v>
      </c>
      <c r="W764" s="362">
        <f t="shared" si="130"/>
        <v>848559</v>
      </c>
      <c r="X764" s="742">
        <f t="shared" si="132"/>
        <v>6395063.0666666664</v>
      </c>
    </row>
    <row r="765" spans="1:24" ht="13.9">
      <c r="A765" s="349">
        <f t="shared" si="134"/>
        <v>757</v>
      </c>
      <c r="B765" s="393" t="s">
        <v>2065</v>
      </c>
      <c r="C765" s="394" t="s">
        <v>27</v>
      </c>
      <c r="D765" s="349" t="s">
        <v>2020</v>
      </c>
      <c r="E765" s="393" t="s">
        <v>2024</v>
      </c>
      <c r="F765" s="395"/>
      <c r="G765" s="404"/>
      <c r="H765" s="397">
        <v>16721187</v>
      </c>
      <c r="I765" s="353"/>
      <c r="J765" s="353"/>
      <c r="K765" s="354">
        <f t="shared" si="125"/>
        <v>16721187</v>
      </c>
      <c r="L765" s="398">
        <v>43434</v>
      </c>
      <c r="M765" s="742">
        <v>7650006.1833333336</v>
      </c>
      <c r="N765" s="352">
        <f t="shared" si="133"/>
        <v>9071180.8166666664</v>
      </c>
      <c r="O765" s="357">
        <f t="shared" si="126"/>
        <v>1949</v>
      </c>
      <c r="P765" s="357">
        <v>9</v>
      </c>
      <c r="Q765" s="358">
        <f t="shared" si="124"/>
        <v>5.3397260273972602</v>
      </c>
      <c r="R765" s="359">
        <f t="shared" si="127"/>
        <v>3.6602739726027398</v>
      </c>
      <c r="S765" s="360">
        <f t="shared" si="128"/>
        <v>3.6602739726027398</v>
      </c>
      <c r="T765" s="361">
        <f t="shared" si="129"/>
        <v>0.10555555555555554</v>
      </c>
      <c r="U765" s="362">
        <f t="shared" si="135"/>
        <v>1765014.1833333331</v>
      </c>
      <c r="V765" s="362">
        <f t="shared" si="131"/>
        <v>7306166.6333333328</v>
      </c>
      <c r="W765" s="362">
        <f t="shared" si="130"/>
        <v>836059</v>
      </c>
      <c r="X765" s="742">
        <f t="shared" si="132"/>
        <v>6470107.6333333328</v>
      </c>
    </row>
    <row r="766" spans="1:24" ht="13.9">
      <c r="A766" s="349">
        <f t="shared" si="134"/>
        <v>758</v>
      </c>
      <c r="B766" s="393" t="s">
        <v>2065</v>
      </c>
      <c r="C766" s="394" t="s">
        <v>27</v>
      </c>
      <c r="D766" s="349" t="s">
        <v>2020</v>
      </c>
      <c r="E766" s="393" t="s">
        <v>2024</v>
      </c>
      <c r="F766" s="395"/>
      <c r="G766" s="404"/>
      <c r="H766" s="397">
        <v>16721187</v>
      </c>
      <c r="I766" s="353"/>
      <c r="J766" s="353"/>
      <c r="K766" s="354">
        <f t="shared" si="125"/>
        <v>16721187</v>
      </c>
      <c r="L766" s="398">
        <v>43434</v>
      </c>
      <c r="M766" s="742">
        <v>7650006.1833333336</v>
      </c>
      <c r="N766" s="352">
        <f t="shared" si="133"/>
        <v>9071180.8166666664</v>
      </c>
      <c r="O766" s="357">
        <f t="shared" si="126"/>
        <v>1949</v>
      </c>
      <c r="P766" s="357">
        <v>9</v>
      </c>
      <c r="Q766" s="358">
        <f t="shared" si="124"/>
        <v>5.3397260273972602</v>
      </c>
      <c r="R766" s="359">
        <f t="shared" si="127"/>
        <v>3.6602739726027398</v>
      </c>
      <c r="S766" s="360">
        <f t="shared" si="128"/>
        <v>3.6602739726027398</v>
      </c>
      <c r="T766" s="361">
        <f t="shared" si="129"/>
        <v>0.10555555555555554</v>
      </c>
      <c r="U766" s="362">
        <f t="shared" si="135"/>
        <v>1765014.1833333331</v>
      </c>
      <c r="V766" s="362">
        <f t="shared" si="131"/>
        <v>7306166.6333333328</v>
      </c>
      <c r="W766" s="362">
        <f t="shared" si="130"/>
        <v>836059</v>
      </c>
      <c r="X766" s="742">
        <f t="shared" si="132"/>
        <v>6470107.6333333328</v>
      </c>
    </row>
    <row r="767" spans="1:24" ht="13.9">
      <c r="A767" s="349">
        <f t="shared" si="134"/>
        <v>759</v>
      </c>
      <c r="B767" s="393" t="s">
        <v>332</v>
      </c>
      <c r="C767" s="394" t="s">
        <v>2009</v>
      </c>
      <c r="D767" s="349" t="s">
        <v>2020</v>
      </c>
      <c r="E767" s="393" t="s">
        <v>2066</v>
      </c>
      <c r="F767" s="395"/>
      <c r="G767" s="404"/>
      <c r="H767" s="397">
        <v>1160000</v>
      </c>
      <c r="I767" s="353"/>
      <c r="J767" s="353"/>
      <c r="K767" s="354">
        <f t="shared" si="125"/>
        <v>1160000</v>
      </c>
      <c r="L767" s="398">
        <v>43468</v>
      </c>
      <c r="M767" s="742">
        <v>519298.44444444444</v>
      </c>
      <c r="N767" s="352">
        <f t="shared" si="133"/>
        <v>640701.5555555555</v>
      </c>
      <c r="O767" s="357">
        <f t="shared" si="126"/>
        <v>1915</v>
      </c>
      <c r="P767" s="357">
        <v>9</v>
      </c>
      <c r="Q767" s="358">
        <f t="shared" si="124"/>
        <v>5.2465753424657535</v>
      </c>
      <c r="R767" s="359">
        <f t="shared" si="127"/>
        <v>3.7534246575342465</v>
      </c>
      <c r="S767" s="360">
        <f t="shared" si="128"/>
        <v>3.7534246575342465</v>
      </c>
      <c r="T767" s="361">
        <f t="shared" si="129"/>
        <v>0.10555555555555554</v>
      </c>
      <c r="U767" s="362">
        <f t="shared" si="135"/>
        <v>122444.44444444442</v>
      </c>
      <c r="V767" s="362">
        <f t="shared" si="131"/>
        <v>518257.11111111107</v>
      </c>
      <c r="W767" s="362">
        <f t="shared" si="130"/>
        <v>58000</v>
      </c>
      <c r="X767" s="742">
        <f t="shared" si="132"/>
        <v>460257.11111111107</v>
      </c>
    </row>
    <row r="768" spans="1:24" ht="13.9">
      <c r="A768" s="349">
        <f t="shared" si="134"/>
        <v>760</v>
      </c>
      <c r="B768" s="393" t="s">
        <v>332</v>
      </c>
      <c r="C768" s="394" t="s">
        <v>2009</v>
      </c>
      <c r="D768" s="349" t="s">
        <v>2020</v>
      </c>
      <c r="E768" s="393" t="s">
        <v>2066</v>
      </c>
      <c r="F768" s="395"/>
      <c r="G768" s="404"/>
      <c r="H768" s="397">
        <v>1160000</v>
      </c>
      <c r="I768" s="353"/>
      <c r="J768" s="353"/>
      <c r="K768" s="354">
        <f t="shared" si="125"/>
        <v>1160000</v>
      </c>
      <c r="L768" s="398">
        <v>43481</v>
      </c>
      <c r="M768" s="742">
        <v>514937.44444444444</v>
      </c>
      <c r="N768" s="352">
        <f t="shared" si="133"/>
        <v>645062.5555555555</v>
      </c>
      <c r="O768" s="357">
        <f t="shared" si="126"/>
        <v>1902</v>
      </c>
      <c r="P768" s="357">
        <v>9</v>
      </c>
      <c r="Q768" s="358">
        <f t="shared" si="124"/>
        <v>5.2109589041095887</v>
      </c>
      <c r="R768" s="359">
        <f t="shared" si="127"/>
        <v>3.7890410958904113</v>
      </c>
      <c r="S768" s="360">
        <f t="shared" si="128"/>
        <v>3.7890410958904113</v>
      </c>
      <c r="T768" s="361">
        <f t="shared" si="129"/>
        <v>0.10555555555555554</v>
      </c>
      <c r="U768" s="362">
        <f t="shared" si="135"/>
        <v>122444.44444444442</v>
      </c>
      <c r="V768" s="362">
        <f t="shared" si="131"/>
        <v>522618.11111111107</v>
      </c>
      <c r="W768" s="362">
        <f t="shared" si="130"/>
        <v>58000</v>
      </c>
      <c r="X768" s="742">
        <f t="shared" si="132"/>
        <v>464618.11111111107</v>
      </c>
    </row>
    <row r="769" spans="1:24" ht="13.9">
      <c r="A769" s="349">
        <f t="shared" si="134"/>
        <v>761</v>
      </c>
      <c r="B769" s="393" t="s">
        <v>2067</v>
      </c>
      <c r="C769" s="394" t="s">
        <v>2009</v>
      </c>
      <c r="D769" s="349" t="s">
        <v>2020</v>
      </c>
      <c r="E769" s="393" t="s">
        <v>2068</v>
      </c>
      <c r="F769" s="395"/>
      <c r="G769" s="404"/>
      <c r="H769" s="397">
        <v>230460</v>
      </c>
      <c r="I769" s="353"/>
      <c r="J769" s="353"/>
      <c r="K769" s="354">
        <f t="shared" si="125"/>
        <v>230460</v>
      </c>
      <c r="L769" s="398">
        <v>43424</v>
      </c>
      <c r="M769" s="742">
        <v>106102.33333333333</v>
      </c>
      <c r="N769" s="352">
        <f t="shared" si="133"/>
        <v>124357.66666666667</v>
      </c>
      <c r="O769" s="357">
        <f t="shared" si="126"/>
        <v>1959</v>
      </c>
      <c r="P769" s="357">
        <v>9</v>
      </c>
      <c r="Q769" s="358">
        <f t="shared" ref="Q769:Q832" si="136">+O769/365</f>
        <v>5.3671232876712329</v>
      </c>
      <c r="R769" s="359">
        <f t="shared" si="127"/>
        <v>3.6328767123287671</v>
      </c>
      <c r="S769" s="360">
        <f t="shared" si="128"/>
        <v>3.6328767123287671</v>
      </c>
      <c r="T769" s="361">
        <f t="shared" si="129"/>
        <v>0.10555555555555554</v>
      </c>
      <c r="U769" s="362">
        <f t="shared" si="135"/>
        <v>24326.333333333328</v>
      </c>
      <c r="V769" s="362">
        <f t="shared" si="131"/>
        <v>100031.33333333334</v>
      </c>
      <c r="W769" s="362">
        <f t="shared" si="130"/>
        <v>11523</v>
      </c>
      <c r="X769" s="742">
        <f t="shared" si="132"/>
        <v>88508.333333333343</v>
      </c>
    </row>
    <row r="770" spans="1:24" ht="13.9">
      <c r="A770" s="349">
        <f t="shared" si="134"/>
        <v>762</v>
      </c>
      <c r="B770" s="393" t="s">
        <v>2044</v>
      </c>
      <c r="C770" s="394" t="s">
        <v>2009</v>
      </c>
      <c r="D770" s="349" t="s">
        <v>2020</v>
      </c>
      <c r="E770" s="393" t="s">
        <v>2055</v>
      </c>
      <c r="F770" s="395"/>
      <c r="G770" s="404"/>
      <c r="H770" s="397">
        <v>300000</v>
      </c>
      <c r="I770" s="353"/>
      <c r="J770" s="353"/>
      <c r="K770" s="354">
        <f t="shared" si="125"/>
        <v>300000</v>
      </c>
      <c r="L770" s="398">
        <v>43278</v>
      </c>
      <c r="M770" s="742">
        <v>150785.66666666666</v>
      </c>
      <c r="N770" s="352">
        <f t="shared" si="133"/>
        <v>149214.33333333334</v>
      </c>
      <c r="O770" s="357">
        <f t="shared" si="126"/>
        <v>2105</v>
      </c>
      <c r="P770" s="357">
        <v>9</v>
      </c>
      <c r="Q770" s="358">
        <f t="shared" si="136"/>
        <v>5.7671232876712333</v>
      </c>
      <c r="R770" s="359">
        <f t="shared" si="127"/>
        <v>3.2328767123287667</v>
      </c>
      <c r="S770" s="360">
        <f t="shared" si="128"/>
        <v>3.2328767123287667</v>
      </c>
      <c r="T770" s="361">
        <f t="shared" si="129"/>
        <v>0.10555555555555554</v>
      </c>
      <c r="U770" s="362">
        <f t="shared" si="135"/>
        <v>31666.666666666661</v>
      </c>
      <c r="V770" s="362">
        <f t="shared" si="131"/>
        <v>117547.66666666669</v>
      </c>
      <c r="W770" s="362">
        <f t="shared" si="130"/>
        <v>15000</v>
      </c>
      <c r="X770" s="742">
        <f t="shared" si="132"/>
        <v>102547.66666666669</v>
      </c>
    </row>
    <row r="771" spans="1:24" ht="13.9">
      <c r="A771" s="349">
        <f t="shared" si="134"/>
        <v>763</v>
      </c>
      <c r="B771" s="393" t="s">
        <v>2044</v>
      </c>
      <c r="C771" s="394" t="s">
        <v>2009</v>
      </c>
      <c r="D771" s="349" t="s">
        <v>2020</v>
      </c>
      <c r="E771" s="393" t="s">
        <v>2055</v>
      </c>
      <c r="F771" s="395"/>
      <c r="G771" s="404"/>
      <c r="H771" s="397">
        <v>300000</v>
      </c>
      <c r="I771" s="353"/>
      <c r="J771" s="353"/>
      <c r="K771" s="354">
        <f t="shared" si="125"/>
        <v>300000</v>
      </c>
      <c r="L771" s="398">
        <v>43287</v>
      </c>
      <c r="M771" s="742">
        <v>150004.66666666666</v>
      </c>
      <c r="N771" s="352">
        <f t="shared" si="133"/>
        <v>149995.33333333334</v>
      </c>
      <c r="O771" s="357">
        <f t="shared" si="126"/>
        <v>2096</v>
      </c>
      <c r="P771" s="357">
        <v>9</v>
      </c>
      <c r="Q771" s="358">
        <f t="shared" si="136"/>
        <v>5.7424657534246579</v>
      </c>
      <c r="R771" s="359">
        <f t="shared" si="127"/>
        <v>3.2575342465753421</v>
      </c>
      <c r="S771" s="360">
        <f t="shared" si="128"/>
        <v>3.2575342465753421</v>
      </c>
      <c r="T771" s="361">
        <f t="shared" si="129"/>
        <v>0.10555555555555554</v>
      </c>
      <c r="U771" s="362">
        <f t="shared" si="135"/>
        <v>31666.666666666661</v>
      </c>
      <c r="V771" s="362">
        <f t="shared" si="131"/>
        <v>118328.66666666669</v>
      </c>
      <c r="W771" s="362">
        <f t="shared" si="130"/>
        <v>15000</v>
      </c>
      <c r="X771" s="742">
        <f t="shared" si="132"/>
        <v>103328.66666666669</v>
      </c>
    </row>
    <row r="772" spans="1:24" ht="13.9">
      <c r="A772" s="349">
        <f t="shared" si="134"/>
        <v>764</v>
      </c>
      <c r="B772" s="393" t="s">
        <v>1106</v>
      </c>
      <c r="C772" s="394" t="s">
        <v>2069</v>
      </c>
      <c r="D772" s="349" t="s">
        <v>2020</v>
      </c>
      <c r="E772" s="393" t="s">
        <v>2064</v>
      </c>
      <c r="F772" s="395"/>
      <c r="G772" s="404"/>
      <c r="H772" s="397">
        <v>443000</v>
      </c>
      <c r="I772" s="353"/>
      <c r="J772" s="353"/>
      <c r="K772" s="354">
        <f t="shared" si="125"/>
        <v>443000</v>
      </c>
      <c r="L772" s="398">
        <v>43495</v>
      </c>
      <c r="M772" s="742">
        <v>194859.11111111109</v>
      </c>
      <c r="N772" s="352">
        <f t="shared" si="133"/>
        <v>248140.88888888891</v>
      </c>
      <c r="O772" s="357">
        <f t="shared" si="126"/>
        <v>1888</v>
      </c>
      <c r="P772" s="357">
        <v>9</v>
      </c>
      <c r="Q772" s="358">
        <f t="shared" si="136"/>
        <v>5.1726027397260275</v>
      </c>
      <c r="R772" s="359">
        <f t="shared" si="127"/>
        <v>3.8273972602739725</v>
      </c>
      <c r="S772" s="360">
        <f t="shared" si="128"/>
        <v>3.8273972602739725</v>
      </c>
      <c r="T772" s="361">
        <f t="shared" si="129"/>
        <v>0.10555555555555554</v>
      </c>
      <c r="U772" s="362">
        <f t="shared" si="135"/>
        <v>46761.111111111102</v>
      </c>
      <c r="V772" s="362">
        <f t="shared" si="131"/>
        <v>201379.77777777781</v>
      </c>
      <c r="W772" s="362">
        <f t="shared" si="130"/>
        <v>22150</v>
      </c>
      <c r="X772" s="742">
        <f t="shared" si="132"/>
        <v>179229.77777777781</v>
      </c>
    </row>
    <row r="773" spans="1:24" ht="13.9">
      <c r="A773" s="349">
        <f t="shared" si="134"/>
        <v>765</v>
      </c>
      <c r="B773" s="393" t="s">
        <v>2070</v>
      </c>
      <c r="C773" s="394" t="s">
        <v>2071</v>
      </c>
      <c r="D773" s="349" t="s">
        <v>2020</v>
      </c>
      <c r="E773" s="393" t="s">
        <v>2072</v>
      </c>
      <c r="F773" s="395"/>
      <c r="G773" s="404"/>
      <c r="H773" s="397">
        <v>295000</v>
      </c>
      <c r="I773" s="353"/>
      <c r="J773" s="353"/>
      <c r="K773" s="354">
        <f t="shared" si="125"/>
        <v>295000</v>
      </c>
      <c r="L773" s="398">
        <v>43217</v>
      </c>
      <c r="M773" s="742">
        <v>153475.88888888888</v>
      </c>
      <c r="N773" s="352">
        <f t="shared" si="133"/>
        <v>141524.11111111112</v>
      </c>
      <c r="O773" s="357">
        <f t="shared" si="126"/>
        <v>2166</v>
      </c>
      <c r="P773" s="357">
        <v>9</v>
      </c>
      <c r="Q773" s="358">
        <f t="shared" si="136"/>
        <v>5.934246575342466</v>
      </c>
      <c r="R773" s="359">
        <f t="shared" si="127"/>
        <v>3.065753424657534</v>
      </c>
      <c r="S773" s="360">
        <f t="shared" si="128"/>
        <v>3.065753424657534</v>
      </c>
      <c r="T773" s="361">
        <f t="shared" si="129"/>
        <v>0.10555555555555554</v>
      </c>
      <c r="U773" s="362">
        <f t="shared" si="135"/>
        <v>31138.888888888883</v>
      </c>
      <c r="V773" s="362">
        <f t="shared" si="131"/>
        <v>110385.22222222225</v>
      </c>
      <c r="W773" s="362">
        <f t="shared" si="130"/>
        <v>14750</v>
      </c>
      <c r="X773" s="742">
        <f t="shared" si="132"/>
        <v>95635.222222222248</v>
      </c>
    </row>
    <row r="774" spans="1:24" ht="13.9">
      <c r="A774" s="349">
        <f t="shared" si="134"/>
        <v>766</v>
      </c>
      <c r="B774" s="393" t="s">
        <v>2073</v>
      </c>
      <c r="C774" s="394" t="s">
        <v>2071</v>
      </c>
      <c r="D774" s="349" t="s">
        <v>2020</v>
      </c>
      <c r="E774" s="393" t="s">
        <v>2072</v>
      </c>
      <c r="F774" s="395"/>
      <c r="G774" s="404"/>
      <c r="H774" s="397">
        <v>46058</v>
      </c>
      <c r="I774" s="353"/>
      <c r="J774" s="353"/>
      <c r="K774" s="354">
        <f t="shared" ref="K774:K837" si="137">+H774+I774-J774</f>
        <v>46058</v>
      </c>
      <c r="L774" s="398">
        <v>43217</v>
      </c>
      <c r="M774" s="742">
        <v>23961.677777777775</v>
      </c>
      <c r="N774" s="352">
        <f t="shared" si="133"/>
        <v>22096.322222222225</v>
      </c>
      <c r="O774" s="357">
        <f t="shared" ref="O774:O837" si="138">+$O$3-L774+1</f>
        <v>2166</v>
      </c>
      <c r="P774" s="357">
        <v>9</v>
      </c>
      <c r="Q774" s="358">
        <f t="shared" si="136"/>
        <v>5.934246575342466</v>
      </c>
      <c r="R774" s="359">
        <f t="shared" ref="R774:R837" si="139">+P774-Q774</f>
        <v>3.065753424657534</v>
      </c>
      <c r="S774" s="360">
        <f t="shared" ref="S774:S837" si="140">IF(R774&lt;0,0,IF(R774&gt;365,365,R774))</f>
        <v>3.065753424657534</v>
      </c>
      <c r="T774" s="361">
        <f t="shared" ref="T774:T837" si="141">1/P774*0.95</f>
        <v>0.10555555555555554</v>
      </c>
      <c r="U774" s="362">
        <f t="shared" si="135"/>
        <v>4861.677777777777</v>
      </c>
      <c r="V774" s="362">
        <f t="shared" si="131"/>
        <v>17234.64444444445</v>
      </c>
      <c r="W774" s="362">
        <f t="shared" ref="W774:W837" si="142">ROUND(+H774*5%,0)</f>
        <v>2303</v>
      </c>
      <c r="X774" s="742">
        <f t="shared" si="132"/>
        <v>14931.64444444445</v>
      </c>
    </row>
    <row r="775" spans="1:24" ht="13.9">
      <c r="A775" s="349">
        <f t="shared" si="134"/>
        <v>767</v>
      </c>
      <c r="B775" s="393" t="s">
        <v>2074</v>
      </c>
      <c r="C775" s="394" t="s">
        <v>2071</v>
      </c>
      <c r="D775" s="349" t="s">
        <v>2020</v>
      </c>
      <c r="E775" s="393" t="s">
        <v>2038</v>
      </c>
      <c r="F775" s="395"/>
      <c r="G775" s="404"/>
      <c r="H775" s="397">
        <v>5550000</v>
      </c>
      <c r="I775" s="353"/>
      <c r="J775" s="353"/>
      <c r="K775" s="354">
        <f t="shared" si="137"/>
        <v>5550000</v>
      </c>
      <c r="L775" s="398">
        <v>43427</v>
      </c>
      <c r="M775" s="742">
        <v>2550381.333333333</v>
      </c>
      <c r="N775" s="352">
        <f t="shared" si="133"/>
        <v>2999618.666666667</v>
      </c>
      <c r="O775" s="357">
        <f t="shared" si="138"/>
        <v>1956</v>
      </c>
      <c r="P775" s="357">
        <v>9</v>
      </c>
      <c r="Q775" s="358">
        <f t="shared" si="136"/>
        <v>5.3589041095890408</v>
      </c>
      <c r="R775" s="359">
        <f t="shared" si="139"/>
        <v>3.6410958904109592</v>
      </c>
      <c r="S775" s="360">
        <f t="shared" si="140"/>
        <v>3.6410958904109592</v>
      </c>
      <c r="T775" s="361">
        <f t="shared" si="141"/>
        <v>0.10555555555555554</v>
      </c>
      <c r="U775" s="362">
        <f t="shared" si="135"/>
        <v>585833.33333333326</v>
      </c>
      <c r="V775" s="362">
        <f t="shared" ref="V775:V838" si="143">+N775-U775</f>
        <v>2413785.333333334</v>
      </c>
      <c r="W775" s="362">
        <f t="shared" si="142"/>
        <v>277500</v>
      </c>
      <c r="X775" s="742">
        <f t="shared" ref="X775:X838" si="144">+V775-W775</f>
        <v>2136285.333333334</v>
      </c>
    </row>
    <row r="776" spans="1:24" ht="13.9">
      <c r="A776" s="349">
        <f t="shared" si="134"/>
        <v>768</v>
      </c>
      <c r="B776" s="393" t="s">
        <v>2074</v>
      </c>
      <c r="C776" s="394" t="s">
        <v>2071</v>
      </c>
      <c r="D776" s="349" t="s">
        <v>2020</v>
      </c>
      <c r="E776" s="393" t="s">
        <v>2038</v>
      </c>
      <c r="F776" s="395"/>
      <c r="G776" s="404"/>
      <c r="H776" s="397">
        <v>5550000</v>
      </c>
      <c r="I776" s="353"/>
      <c r="J776" s="353"/>
      <c r="K776" s="354">
        <f t="shared" si="137"/>
        <v>5550000</v>
      </c>
      <c r="L776" s="398">
        <v>43427</v>
      </c>
      <c r="M776" s="742">
        <v>2550381.333333333</v>
      </c>
      <c r="N776" s="352">
        <f t="shared" ref="N776:N839" si="145">+K776-M776</f>
        <v>2999618.666666667</v>
      </c>
      <c r="O776" s="357">
        <f t="shared" si="138"/>
        <v>1956</v>
      </c>
      <c r="P776" s="357">
        <v>9</v>
      </c>
      <c r="Q776" s="358">
        <f t="shared" si="136"/>
        <v>5.3589041095890408</v>
      </c>
      <c r="R776" s="359">
        <f t="shared" si="139"/>
        <v>3.6410958904109592</v>
      </c>
      <c r="S776" s="360">
        <f t="shared" si="140"/>
        <v>3.6410958904109592</v>
      </c>
      <c r="T776" s="361">
        <f t="shared" si="141"/>
        <v>0.10555555555555554</v>
      </c>
      <c r="U776" s="362">
        <f t="shared" si="135"/>
        <v>585833.33333333326</v>
      </c>
      <c r="V776" s="362">
        <f t="shared" si="143"/>
        <v>2413785.333333334</v>
      </c>
      <c r="W776" s="362">
        <f t="shared" si="142"/>
        <v>277500</v>
      </c>
      <c r="X776" s="742">
        <f t="shared" si="144"/>
        <v>2136285.333333334</v>
      </c>
    </row>
    <row r="777" spans="1:24" ht="13.9">
      <c r="A777" s="349">
        <f t="shared" si="134"/>
        <v>769</v>
      </c>
      <c r="B777" s="393" t="s">
        <v>2044</v>
      </c>
      <c r="C777" s="394" t="s">
        <v>2071</v>
      </c>
      <c r="D777" s="349" t="s">
        <v>2020</v>
      </c>
      <c r="E777" s="393" t="s">
        <v>2055</v>
      </c>
      <c r="F777" s="395"/>
      <c r="G777" s="404"/>
      <c r="H777" s="397">
        <v>300000</v>
      </c>
      <c r="I777" s="353"/>
      <c r="J777" s="353"/>
      <c r="K777" s="354">
        <f t="shared" si="137"/>
        <v>300000</v>
      </c>
      <c r="L777" s="398">
        <v>43287</v>
      </c>
      <c r="M777" s="742">
        <v>150004.66666666666</v>
      </c>
      <c r="N777" s="352">
        <f t="shared" si="145"/>
        <v>149995.33333333334</v>
      </c>
      <c r="O777" s="357">
        <f t="shared" si="138"/>
        <v>2096</v>
      </c>
      <c r="P777" s="357">
        <v>9</v>
      </c>
      <c r="Q777" s="358">
        <f t="shared" si="136"/>
        <v>5.7424657534246579</v>
      </c>
      <c r="R777" s="359">
        <f t="shared" si="139"/>
        <v>3.2575342465753421</v>
      </c>
      <c r="S777" s="360">
        <f t="shared" si="140"/>
        <v>3.2575342465753421</v>
      </c>
      <c r="T777" s="361">
        <f t="shared" si="141"/>
        <v>0.10555555555555554</v>
      </c>
      <c r="U777" s="362">
        <f t="shared" si="135"/>
        <v>31666.666666666661</v>
      </c>
      <c r="V777" s="362">
        <f t="shared" si="143"/>
        <v>118328.66666666669</v>
      </c>
      <c r="W777" s="362">
        <f t="shared" si="142"/>
        <v>15000</v>
      </c>
      <c r="X777" s="742">
        <f t="shared" si="144"/>
        <v>103328.66666666669</v>
      </c>
    </row>
    <row r="778" spans="1:24" ht="13.9">
      <c r="A778" s="349">
        <f t="shared" ref="A778:A841" si="146">+A777+1</f>
        <v>770</v>
      </c>
      <c r="B778" s="393" t="s">
        <v>2075</v>
      </c>
      <c r="C778" s="394" t="s">
        <v>2071</v>
      </c>
      <c r="D778" s="349" t="s">
        <v>2020</v>
      </c>
      <c r="E778" s="393" t="s">
        <v>2055</v>
      </c>
      <c r="F778" s="395"/>
      <c r="G778" s="404"/>
      <c r="H778" s="397">
        <v>312000</v>
      </c>
      <c r="I778" s="353"/>
      <c r="J778" s="353"/>
      <c r="K778" s="354">
        <f t="shared" si="137"/>
        <v>312000</v>
      </c>
      <c r="L778" s="398">
        <v>43355</v>
      </c>
      <c r="M778" s="742">
        <v>149869.33333333331</v>
      </c>
      <c r="N778" s="352">
        <f t="shared" si="145"/>
        <v>162130.66666666669</v>
      </c>
      <c r="O778" s="357">
        <f t="shared" si="138"/>
        <v>2028</v>
      </c>
      <c r="P778" s="357">
        <v>9</v>
      </c>
      <c r="Q778" s="358">
        <f t="shared" si="136"/>
        <v>5.5561643835616437</v>
      </c>
      <c r="R778" s="359">
        <f t="shared" si="139"/>
        <v>3.4438356164383563</v>
      </c>
      <c r="S778" s="360">
        <f t="shared" si="140"/>
        <v>3.4438356164383563</v>
      </c>
      <c r="T778" s="361">
        <f t="shared" si="141"/>
        <v>0.10555555555555554</v>
      </c>
      <c r="U778" s="362">
        <f t="shared" si="135"/>
        <v>32933.333333333328</v>
      </c>
      <c r="V778" s="362">
        <f t="shared" si="143"/>
        <v>129197.33333333336</v>
      </c>
      <c r="W778" s="362">
        <f t="shared" si="142"/>
        <v>15600</v>
      </c>
      <c r="X778" s="742">
        <f t="shared" si="144"/>
        <v>113597.33333333336</v>
      </c>
    </row>
    <row r="779" spans="1:24" ht="13.9">
      <c r="A779" s="349">
        <f t="shared" si="146"/>
        <v>771</v>
      </c>
      <c r="B779" s="393" t="s">
        <v>2075</v>
      </c>
      <c r="C779" s="394" t="s">
        <v>2071</v>
      </c>
      <c r="D779" s="349" t="s">
        <v>2020</v>
      </c>
      <c r="E779" s="393" t="s">
        <v>2055</v>
      </c>
      <c r="F779" s="395"/>
      <c r="G779" s="404"/>
      <c r="H779" s="397">
        <v>196000</v>
      </c>
      <c r="I779" s="353"/>
      <c r="J779" s="353"/>
      <c r="K779" s="354">
        <f t="shared" si="137"/>
        <v>196000</v>
      </c>
      <c r="L779" s="398">
        <v>43449</v>
      </c>
      <c r="M779" s="742">
        <v>88820.888888888891</v>
      </c>
      <c r="N779" s="352">
        <f t="shared" si="145"/>
        <v>107179.11111111111</v>
      </c>
      <c r="O779" s="357">
        <f t="shared" si="138"/>
        <v>1934</v>
      </c>
      <c r="P779" s="357">
        <v>9</v>
      </c>
      <c r="Q779" s="358">
        <f t="shared" si="136"/>
        <v>5.2986301369863016</v>
      </c>
      <c r="R779" s="359">
        <f t="shared" si="139"/>
        <v>3.7013698630136984</v>
      </c>
      <c r="S779" s="360">
        <f t="shared" si="140"/>
        <v>3.7013698630136984</v>
      </c>
      <c r="T779" s="361">
        <f t="shared" si="141"/>
        <v>0.10555555555555554</v>
      </c>
      <c r="U779" s="362">
        <f t="shared" si="135"/>
        <v>20688.888888888887</v>
      </c>
      <c r="V779" s="362">
        <f t="shared" si="143"/>
        <v>86490.222222222219</v>
      </c>
      <c r="W779" s="362">
        <f t="shared" si="142"/>
        <v>9800</v>
      </c>
      <c r="X779" s="742">
        <f t="shared" si="144"/>
        <v>76690.222222222219</v>
      </c>
    </row>
    <row r="780" spans="1:24" ht="13.9">
      <c r="A780" s="349">
        <f t="shared" si="146"/>
        <v>772</v>
      </c>
      <c r="B780" s="393" t="s">
        <v>2076</v>
      </c>
      <c r="C780" s="394" t="s">
        <v>2071</v>
      </c>
      <c r="D780" s="349" t="s">
        <v>2020</v>
      </c>
      <c r="E780" s="393" t="s">
        <v>2077</v>
      </c>
      <c r="F780" s="395"/>
      <c r="G780" s="404"/>
      <c r="H780" s="397">
        <v>491038</v>
      </c>
      <c r="I780" s="353"/>
      <c r="J780" s="353"/>
      <c r="K780" s="354">
        <f t="shared" si="137"/>
        <v>491038</v>
      </c>
      <c r="L780" s="398">
        <v>43531</v>
      </c>
      <c r="M780" s="742">
        <v>210876.7888888889</v>
      </c>
      <c r="N780" s="352">
        <f t="shared" si="145"/>
        <v>280161.2111111111</v>
      </c>
      <c r="O780" s="357">
        <f t="shared" si="138"/>
        <v>1852</v>
      </c>
      <c r="P780" s="357">
        <v>9</v>
      </c>
      <c r="Q780" s="358">
        <f t="shared" si="136"/>
        <v>5.0739726027397261</v>
      </c>
      <c r="R780" s="359">
        <f t="shared" si="139"/>
        <v>3.9260273972602739</v>
      </c>
      <c r="S780" s="360">
        <f t="shared" si="140"/>
        <v>3.9260273972602739</v>
      </c>
      <c r="T780" s="361">
        <f t="shared" si="141"/>
        <v>0.10555555555555554</v>
      </c>
      <c r="U780" s="362">
        <f t="shared" si="135"/>
        <v>51831.788888888885</v>
      </c>
      <c r="V780" s="362">
        <f t="shared" si="143"/>
        <v>228329.4222222222</v>
      </c>
      <c r="W780" s="362">
        <f t="shared" si="142"/>
        <v>24552</v>
      </c>
      <c r="X780" s="742">
        <f t="shared" si="144"/>
        <v>203777.4222222222</v>
      </c>
    </row>
    <row r="781" spans="1:24" ht="13.9">
      <c r="A781" s="349">
        <f t="shared" si="146"/>
        <v>773</v>
      </c>
      <c r="B781" s="393" t="s">
        <v>2076</v>
      </c>
      <c r="C781" s="394" t="s">
        <v>2071</v>
      </c>
      <c r="D781" s="349" t="s">
        <v>2020</v>
      </c>
      <c r="E781" s="393"/>
      <c r="F781" s="395"/>
      <c r="G781" s="404"/>
      <c r="H781" s="397">
        <v>377465</v>
      </c>
      <c r="I781" s="353"/>
      <c r="J781" s="353"/>
      <c r="K781" s="354">
        <f t="shared" si="137"/>
        <v>377465</v>
      </c>
      <c r="L781" s="398">
        <v>43539</v>
      </c>
      <c r="M781" s="742">
        <v>161229.52777777778</v>
      </c>
      <c r="N781" s="352">
        <f t="shared" si="145"/>
        <v>216235.47222222222</v>
      </c>
      <c r="O781" s="357">
        <f t="shared" si="138"/>
        <v>1844</v>
      </c>
      <c r="P781" s="357">
        <v>9</v>
      </c>
      <c r="Q781" s="358">
        <f t="shared" si="136"/>
        <v>5.0520547945205481</v>
      </c>
      <c r="R781" s="359">
        <f t="shared" si="139"/>
        <v>3.9479452054794519</v>
      </c>
      <c r="S781" s="360">
        <f t="shared" si="140"/>
        <v>3.9479452054794519</v>
      </c>
      <c r="T781" s="361">
        <f t="shared" si="141"/>
        <v>0.10555555555555554</v>
      </c>
      <c r="U781" s="362">
        <f t="shared" si="135"/>
        <v>39843.527777777774</v>
      </c>
      <c r="V781" s="362">
        <f t="shared" si="143"/>
        <v>176391.94444444444</v>
      </c>
      <c r="W781" s="362">
        <f t="shared" si="142"/>
        <v>18873</v>
      </c>
      <c r="X781" s="742">
        <f t="shared" si="144"/>
        <v>157518.94444444444</v>
      </c>
    </row>
    <row r="782" spans="1:24" ht="13.9">
      <c r="A782" s="349">
        <f t="shared" si="146"/>
        <v>774</v>
      </c>
      <c r="B782" s="393" t="s">
        <v>2076</v>
      </c>
      <c r="C782" s="394" t="s">
        <v>2071</v>
      </c>
      <c r="D782" s="349" t="s">
        <v>2020</v>
      </c>
      <c r="E782" s="393"/>
      <c r="F782" s="395"/>
      <c r="G782" s="404"/>
      <c r="H782" s="397">
        <v>660000</v>
      </c>
      <c r="I782" s="353"/>
      <c r="J782" s="353"/>
      <c r="K782" s="354">
        <f t="shared" si="137"/>
        <v>660000</v>
      </c>
      <c r="L782" s="398">
        <v>43554</v>
      </c>
      <c r="M782" s="742">
        <v>279048.66666666663</v>
      </c>
      <c r="N782" s="352">
        <f t="shared" si="145"/>
        <v>380951.33333333337</v>
      </c>
      <c r="O782" s="357">
        <f t="shared" si="138"/>
        <v>1829</v>
      </c>
      <c r="P782" s="357">
        <v>9</v>
      </c>
      <c r="Q782" s="358">
        <f t="shared" si="136"/>
        <v>5.0109589041095894</v>
      </c>
      <c r="R782" s="359">
        <f t="shared" si="139"/>
        <v>3.9890410958904106</v>
      </c>
      <c r="S782" s="360">
        <f t="shared" si="140"/>
        <v>3.9890410958904106</v>
      </c>
      <c r="T782" s="361">
        <f t="shared" si="141"/>
        <v>0.10555555555555554</v>
      </c>
      <c r="U782" s="362">
        <f t="shared" si="135"/>
        <v>69666.666666666657</v>
      </c>
      <c r="V782" s="362">
        <f t="shared" si="143"/>
        <v>311284.66666666674</v>
      </c>
      <c r="W782" s="362">
        <f t="shared" si="142"/>
        <v>33000</v>
      </c>
      <c r="X782" s="742">
        <f t="shared" si="144"/>
        <v>278284.66666666674</v>
      </c>
    </row>
    <row r="783" spans="1:24" ht="13.9">
      <c r="A783" s="349">
        <f t="shared" si="146"/>
        <v>775</v>
      </c>
      <c r="B783" s="393" t="s">
        <v>2078</v>
      </c>
      <c r="C783" s="394" t="s">
        <v>2079</v>
      </c>
      <c r="D783" s="349" t="s">
        <v>2020</v>
      </c>
      <c r="E783" s="393" t="s">
        <v>1830</v>
      </c>
      <c r="F783" s="395"/>
      <c r="G783" s="404"/>
      <c r="H783" s="397">
        <v>741000</v>
      </c>
      <c r="I783" s="353"/>
      <c r="J783" s="353"/>
      <c r="K783" s="354">
        <f t="shared" si="137"/>
        <v>741000</v>
      </c>
      <c r="L783" s="398">
        <v>43477</v>
      </c>
      <c r="M783" s="742">
        <v>329795.66666666663</v>
      </c>
      <c r="N783" s="352">
        <f t="shared" si="145"/>
        <v>411204.33333333337</v>
      </c>
      <c r="O783" s="357">
        <f t="shared" si="138"/>
        <v>1906</v>
      </c>
      <c r="P783" s="357">
        <v>9</v>
      </c>
      <c r="Q783" s="358">
        <f t="shared" si="136"/>
        <v>5.2219178082191782</v>
      </c>
      <c r="R783" s="359">
        <f t="shared" si="139"/>
        <v>3.7780821917808218</v>
      </c>
      <c r="S783" s="360">
        <f t="shared" si="140"/>
        <v>3.7780821917808218</v>
      </c>
      <c r="T783" s="361">
        <f t="shared" si="141"/>
        <v>0.10555555555555554</v>
      </c>
      <c r="U783" s="362">
        <f t="shared" si="135"/>
        <v>78216.666666666657</v>
      </c>
      <c r="V783" s="362">
        <f t="shared" si="143"/>
        <v>332987.66666666674</v>
      </c>
      <c r="W783" s="362">
        <f t="shared" si="142"/>
        <v>37050</v>
      </c>
      <c r="X783" s="742">
        <f t="shared" si="144"/>
        <v>295937.66666666674</v>
      </c>
    </row>
    <row r="784" spans="1:24" ht="13.9">
      <c r="A784" s="349">
        <f t="shared" si="146"/>
        <v>776</v>
      </c>
      <c r="B784" s="393" t="s">
        <v>2078</v>
      </c>
      <c r="C784" s="394" t="s">
        <v>2079</v>
      </c>
      <c r="D784" s="349" t="s">
        <v>2020</v>
      </c>
      <c r="E784" s="393" t="s">
        <v>1830</v>
      </c>
      <c r="F784" s="395"/>
      <c r="G784" s="404"/>
      <c r="H784" s="397">
        <v>1031000</v>
      </c>
      <c r="I784" s="353"/>
      <c r="J784" s="353"/>
      <c r="K784" s="354">
        <f t="shared" si="137"/>
        <v>1031000</v>
      </c>
      <c r="L784" s="398">
        <v>43478</v>
      </c>
      <c r="M784" s="742">
        <v>458567.77777777775</v>
      </c>
      <c r="N784" s="352">
        <f t="shared" si="145"/>
        <v>572432.22222222225</v>
      </c>
      <c r="O784" s="357">
        <f t="shared" si="138"/>
        <v>1905</v>
      </c>
      <c r="P784" s="357">
        <v>9</v>
      </c>
      <c r="Q784" s="358">
        <f t="shared" si="136"/>
        <v>5.2191780821917808</v>
      </c>
      <c r="R784" s="359">
        <f t="shared" si="139"/>
        <v>3.7808219178082192</v>
      </c>
      <c r="S784" s="360">
        <f t="shared" si="140"/>
        <v>3.7808219178082192</v>
      </c>
      <c r="T784" s="361">
        <f t="shared" si="141"/>
        <v>0.10555555555555554</v>
      </c>
      <c r="U784" s="362">
        <f t="shared" si="135"/>
        <v>108827.77777777777</v>
      </c>
      <c r="V784" s="362">
        <f t="shared" si="143"/>
        <v>463604.4444444445</v>
      </c>
      <c r="W784" s="362">
        <f t="shared" si="142"/>
        <v>51550</v>
      </c>
      <c r="X784" s="742">
        <f t="shared" si="144"/>
        <v>412054.4444444445</v>
      </c>
    </row>
    <row r="785" spans="1:24" ht="13.9">
      <c r="A785" s="349">
        <f t="shared" si="146"/>
        <v>777</v>
      </c>
      <c r="B785" s="393" t="s">
        <v>2080</v>
      </c>
      <c r="C785" s="394" t="s">
        <v>2079</v>
      </c>
      <c r="D785" s="349" t="s">
        <v>2020</v>
      </c>
      <c r="E785" s="393" t="s">
        <v>2081</v>
      </c>
      <c r="F785" s="395"/>
      <c r="G785" s="404"/>
      <c r="H785" s="397">
        <v>925000</v>
      </c>
      <c r="I785" s="353"/>
      <c r="J785" s="353"/>
      <c r="K785" s="354">
        <f t="shared" si="137"/>
        <v>925000</v>
      </c>
      <c r="L785" s="398">
        <v>43448</v>
      </c>
      <c r="M785" s="742">
        <v>419445.88888888888</v>
      </c>
      <c r="N785" s="352">
        <f t="shared" si="145"/>
        <v>505554.11111111112</v>
      </c>
      <c r="O785" s="357">
        <f t="shared" si="138"/>
        <v>1935</v>
      </c>
      <c r="P785" s="357">
        <v>9</v>
      </c>
      <c r="Q785" s="358">
        <f t="shared" si="136"/>
        <v>5.3013698630136989</v>
      </c>
      <c r="R785" s="359">
        <f t="shared" si="139"/>
        <v>3.6986301369863011</v>
      </c>
      <c r="S785" s="360">
        <f t="shared" si="140"/>
        <v>3.6986301369863011</v>
      </c>
      <c r="T785" s="361">
        <f t="shared" si="141"/>
        <v>0.10555555555555554</v>
      </c>
      <c r="U785" s="362">
        <f t="shared" si="135"/>
        <v>97638.888888888876</v>
      </c>
      <c r="V785" s="362">
        <f t="shared" si="143"/>
        <v>407915.22222222225</v>
      </c>
      <c r="W785" s="362">
        <f t="shared" si="142"/>
        <v>46250</v>
      </c>
      <c r="X785" s="742">
        <f t="shared" si="144"/>
        <v>361665.22222222225</v>
      </c>
    </row>
    <row r="786" spans="1:24" ht="13.9">
      <c r="A786" s="349">
        <f t="shared" si="146"/>
        <v>778</v>
      </c>
      <c r="B786" s="393"/>
      <c r="C786" s="394" t="s">
        <v>2079</v>
      </c>
      <c r="D786" s="349" t="s">
        <v>2020</v>
      </c>
      <c r="E786" s="393" t="s">
        <v>2082</v>
      </c>
      <c r="F786" s="395"/>
      <c r="G786" s="404"/>
      <c r="H786" s="397">
        <v>453900</v>
      </c>
      <c r="I786" s="353"/>
      <c r="J786" s="353"/>
      <c r="K786" s="354">
        <f t="shared" si="137"/>
        <v>453900</v>
      </c>
      <c r="L786" s="398">
        <v>43514</v>
      </c>
      <c r="M786" s="742">
        <v>197159.66666666666</v>
      </c>
      <c r="N786" s="352">
        <f t="shared" si="145"/>
        <v>256740.33333333334</v>
      </c>
      <c r="O786" s="357">
        <f t="shared" si="138"/>
        <v>1869</v>
      </c>
      <c r="P786" s="357">
        <v>9</v>
      </c>
      <c r="Q786" s="358">
        <f t="shared" si="136"/>
        <v>5.1205479452054794</v>
      </c>
      <c r="R786" s="359">
        <f t="shared" si="139"/>
        <v>3.8794520547945206</v>
      </c>
      <c r="S786" s="360">
        <f t="shared" si="140"/>
        <v>3.8794520547945206</v>
      </c>
      <c r="T786" s="361">
        <f t="shared" si="141"/>
        <v>0.10555555555555554</v>
      </c>
      <c r="U786" s="362">
        <f t="shared" si="135"/>
        <v>47911.666666666657</v>
      </c>
      <c r="V786" s="362">
        <f t="shared" si="143"/>
        <v>208828.66666666669</v>
      </c>
      <c r="W786" s="362">
        <f t="shared" si="142"/>
        <v>22695</v>
      </c>
      <c r="X786" s="742">
        <f t="shared" si="144"/>
        <v>186133.66666666669</v>
      </c>
    </row>
    <row r="787" spans="1:24" ht="13.9">
      <c r="A787" s="349">
        <f t="shared" si="146"/>
        <v>779</v>
      </c>
      <c r="B787" s="393"/>
      <c r="C787" s="394" t="s">
        <v>2079</v>
      </c>
      <c r="D787" s="349" t="s">
        <v>2020</v>
      </c>
      <c r="E787" s="393" t="s">
        <v>2082</v>
      </c>
      <c r="F787" s="395"/>
      <c r="G787" s="404"/>
      <c r="H787" s="397">
        <v>382500</v>
      </c>
      <c r="I787" s="353"/>
      <c r="J787" s="353"/>
      <c r="K787" s="354">
        <f t="shared" si="137"/>
        <v>382500</v>
      </c>
      <c r="L787" s="398">
        <v>43514</v>
      </c>
      <c r="M787" s="742">
        <v>166146</v>
      </c>
      <c r="N787" s="352">
        <f t="shared" si="145"/>
        <v>216354</v>
      </c>
      <c r="O787" s="357">
        <f t="shared" si="138"/>
        <v>1869</v>
      </c>
      <c r="P787" s="357">
        <v>9</v>
      </c>
      <c r="Q787" s="358">
        <f t="shared" si="136"/>
        <v>5.1205479452054794</v>
      </c>
      <c r="R787" s="359">
        <f t="shared" si="139"/>
        <v>3.8794520547945206</v>
      </c>
      <c r="S787" s="360">
        <f t="shared" si="140"/>
        <v>3.8794520547945206</v>
      </c>
      <c r="T787" s="361">
        <f t="shared" si="141"/>
        <v>0.10555555555555554</v>
      </c>
      <c r="U787" s="362">
        <f t="shared" si="135"/>
        <v>40374.999999999993</v>
      </c>
      <c r="V787" s="362">
        <f t="shared" si="143"/>
        <v>175979</v>
      </c>
      <c r="W787" s="362">
        <f t="shared" si="142"/>
        <v>19125</v>
      </c>
      <c r="X787" s="742">
        <f t="shared" si="144"/>
        <v>156854</v>
      </c>
    </row>
    <row r="788" spans="1:24" ht="13.9">
      <c r="A788" s="349">
        <f t="shared" si="146"/>
        <v>780</v>
      </c>
      <c r="B788" s="813" t="s">
        <v>2083</v>
      </c>
      <c r="C788" s="394" t="s">
        <v>2084</v>
      </c>
      <c r="D788" s="349" t="s">
        <v>2020</v>
      </c>
      <c r="E788" s="393" t="s">
        <v>2085</v>
      </c>
      <c r="F788" s="395"/>
      <c r="G788" s="404"/>
      <c r="H788" s="397">
        <v>300880</v>
      </c>
      <c r="I788" s="353"/>
      <c r="J788" s="353"/>
      <c r="K788" s="354">
        <f t="shared" si="137"/>
        <v>300880</v>
      </c>
      <c r="L788" s="398">
        <v>43395</v>
      </c>
      <c r="M788" s="742">
        <v>141047.55555555556</v>
      </c>
      <c r="N788" s="352">
        <f t="shared" si="145"/>
        <v>159832.44444444444</v>
      </c>
      <c r="O788" s="357">
        <f t="shared" si="138"/>
        <v>1988</v>
      </c>
      <c r="P788" s="357">
        <v>9</v>
      </c>
      <c r="Q788" s="358">
        <f t="shared" si="136"/>
        <v>5.4465753424657537</v>
      </c>
      <c r="R788" s="359">
        <f t="shared" si="139"/>
        <v>3.5534246575342463</v>
      </c>
      <c r="S788" s="360">
        <f t="shared" si="140"/>
        <v>3.5534246575342463</v>
      </c>
      <c r="T788" s="361">
        <f t="shared" si="141"/>
        <v>0.10555555555555554</v>
      </c>
      <c r="U788" s="362">
        <f t="shared" si="135"/>
        <v>31759.555555555551</v>
      </c>
      <c r="V788" s="362">
        <f t="shared" si="143"/>
        <v>128072.88888888889</v>
      </c>
      <c r="W788" s="362">
        <f t="shared" si="142"/>
        <v>15044</v>
      </c>
      <c r="X788" s="742">
        <f t="shared" si="144"/>
        <v>113028.88888888889</v>
      </c>
    </row>
    <row r="789" spans="1:24" ht="13.9">
      <c r="A789" s="349">
        <f t="shared" si="146"/>
        <v>781</v>
      </c>
      <c r="B789" s="393" t="s">
        <v>1427</v>
      </c>
      <c r="C789" s="394" t="s">
        <v>2084</v>
      </c>
      <c r="D789" s="349" t="s">
        <v>2020</v>
      </c>
      <c r="E789" s="393" t="s">
        <v>24</v>
      </c>
      <c r="F789" s="395"/>
      <c r="G789" s="404"/>
      <c r="H789" s="397">
        <v>775000</v>
      </c>
      <c r="I789" s="353"/>
      <c r="J789" s="353"/>
      <c r="K789" s="354">
        <f t="shared" si="137"/>
        <v>775000</v>
      </c>
      <c r="L789" s="398">
        <v>43448</v>
      </c>
      <c r="M789" s="742">
        <v>351427.55555555556</v>
      </c>
      <c r="N789" s="352">
        <f t="shared" si="145"/>
        <v>423572.44444444444</v>
      </c>
      <c r="O789" s="357">
        <f t="shared" si="138"/>
        <v>1935</v>
      </c>
      <c r="P789" s="357">
        <v>9</v>
      </c>
      <c r="Q789" s="358">
        <f t="shared" si="136"/>
        <v>5.3013698630136989</v>
      </c>
      <c r="R789" s="359">
        <f t="shared" si="139"/>
        <v>3.6986301369863011</v>
      </c>
      <c r="S789" s="360">
        <f t="shared" si="140"/>
        <v>3.6986301369863011</v>
      </c>
      <c r="T789" s="361">
        <f t="shared" si="141"/>
        <v>0.10555555555555554</v>
      </c>
      <c r="U789" s="362">
        <f t="shared" si="135"/>
        <v>81805.555555555547</v>
      </c>
      <c r="V789" s="362">
        <f t="shared" si="143"/>
        <v>341766.88888888888</v>
      </c>
      <c r="W789" s="362">
        <f t="shared" si="142"/>
        <v>38750</v>
      </c>
      <c r="X789" s="742">
        <f t="shared" si="144"/>
        <v>303016.88888888888</v>
      </c>
    </row>
    <row r="790" spans="1:24" ht="13.9">
      <c r="A790" s="349">
        <f t="shared" si="146"/>
        <v>782</v>
      </c>
      <c r="B790" s="393" t="s">
        <v>2044</v>
      </c>
      <c r="C790" s="394" t="s">
        <v>2086</v>
      </c>
      <c r="D790" s="349" t="s">
        <v>2020</v>
      </c>
      <c r="E790" s="393" t="s">
        <v>2055</v>
      </c>
      <c r="F790" s="395"/>
      <c r="G790" s="404"/>
      <c r="H790" s="397">
        <v>300000</v>
      </c>
      <c r="I790" s="353"/>
      <c r="J790" s="353"/>
      <c r="K790" s="354">
        <f t="shared" si="137"/>
        <v>300000</v>
      </c>
      <c r="L790" s="398">
        <v>43495</v>
      </c>
      <c r="M790" s="742">
        <v>131958.66666666666</v>
      </c>
      <c r="N790" s="352">
        <f t="shared" si="145"/>
        <v>168041.33333333334</v>
      </c>
      <c r="O790" s="357">
        <f t="shared" si="138"/>
        <v>1888</v>
      </c>
      <c r="P790" s="357">
        <v>9</v>
      </c>
      <c r="Q790" s="358">
        <f t="shared" si="136"/>
        <v>5.1726027397260275</v>
      </c>
      <c r="R790" s="359">
        <f t="shared" si="139"/>
        <v>3.8273972602739725</v>
      </c>
      <c r="S790" s="360">
        <f t="shared" si="140"/>
        <v>3.8273972602739725</v>
      </c>
      <c r="T790" s="361">
        <f t="shared" si="141"/>
        <v>0.10555555555555554</v>
      </c>
      <c r="U790" s="362">
        <f t="shared" si="135"/>
        <v>31666.666666666661</v>
      </c>
      <c r="V790" s="362">
        <f t="shared" si="143"/>
        <v>136374.66666666669</v>
      </c>
      <c r="W790" s="362">
        <f t="shared" si="142"/>
        <v>15000</v>
      </c>
      <c r="X790" s="742">
        <f t="shared" si="144"/>
        <v>121374.66666666669</v>
      </c>
    </row>
    <row r="791" spans="1:24" ht="13.9">
      <c r="A791" s="349">
        <f t="shared" si="146"/>
        <v>783</v>
      </c>
      <c r="B791" s="393" t="s">
        <v>2067</v>
      </c>
      <c r="C791" s="394" t="s">
        <v>1735</v>
      </c>
      <c r="D791" s="349" t="s">
        <v>2020</v>
      </c>
      <c r="E791" s="393" t="s">
        <v>2087</v>
      </c>
      <c r="F791" s="395"/>
      <c r="G791" s="404"/>
      <c r="H791" s="397">
        <v>75000</v>
      </c>
      <c r="I791" s="353"/>
      <c r="J791" s="353"/>
      <c r="K791" s="354">
        <f t="shared" si="137"/>
        <v>75000</v>
      </c>
      <c r="L791" s="398">
        <v>43306</v>
      </c>
      <c r="M791" s="742">
        <v>37088.666666666664</v>
      </c>
      <c r="N791" s="352">
        <f t="shared" si="145"/>
        <v>37911.333333333336</v>
      </c>
      <c r="O791" s="357">
        <f t="shared" si="138"/>
        <v>2077</v>
      </c>
      <c r="P791" s="357">
        <v>9</v>
      </c>
      <c r="Q791" s="358">
        <f t="shared" si="136"/>
        <v>5.6904109589041099</v>
      </c>
      <c r="R791" s="359">
        <f t="shared" si="139"/>
        <v>3.3095890410958901</v>
      </c>
      <c r="S791" s="360">
        <f t="shared" si="140"/>
        <v>3.3095890410958901</v>
      </c>
      <c r="T791" s="361">
        <f t="shared" si="141"/>
        <v>0.10555555555555554</v>
      </c>
      <c r="U791" s="362">
        <f t="shared" si="135"/>
        <v>7916.6666666666652</v>
      </c>
      <c r="V791" s="362">
        <f t="shared" si="143"/>
        <v>29994.666666666672</v>
      </c>
      <c r="W791" s="362">
        <f t="shared" si="142"/>
        <v>3750</v>
      </c>
      <c r="X791" s="742">
        <f t="shared" si="144"/>
        <v>26244.666666666672</v>
      </c>
    </row>
    <row r="792" spans="1:24" ht="13.9">
      <c r="A792" s="349">
        <f t="shared" si="146"/>
        <v>784</v>
      </c>
      <c r="B792" s="393" t="s">
        <v>2088</v>
      </c>
      <c r="C792" s="394" t="s">
        <v>1735</v>
      </c>
      <c r="D792" s="349" t="s">
        <v>2020</v>
      </c>
      <c r="E792" s="393" t="s">
        <v>2089</v>
      </c>
      <c r="F792" s="395"/>
      <c r="G792" s="404"/>
      <c r="H792" s="397">
        <v>275000</v>
      </c>
      <c r="I792" s="353"/>
      <c r="J792" s="353"/>
      <c r="K792" s="354">
        <f t="shared" si="137"/>
        <v>275000</v>
      </c>
      <c r="L792" s="398">
        <v>43245</v>
      </c>
      <c r="M792" s="742">
        <v>140844.77777777778</v>
      </c>
      <c r="N792" s="352">
        <f t="shared" si="145"/>
        <v>134155.22222222222</v>
      </c>
      <c r="O792" s="357">
        <f t="shared" si="138"/>
        <v>2138</v>
      </c>
      <c r="P792" s="357">
        <v>9</v>
      </c>
      <c r="Q792" s="358">
        <f t="shared" si="136"/>
        <v>5.8575342465753426</v>
      </c>
      <c r="R792" s="359">
        <f t="shared" si="139"/>
        <v>3.1424657534246574</v>
      </c>
      <c r="S792" s="360">
        <f t="shared" si="140"/>
        <v>3.1424657534246574</v>
      </c>
      <c r="T792" s="361">
        <f t="shared" si="141"/>
        <v>0.10555555555555554</v>
      </c>
      <c r="U792" s="362">
        <f t="shared" si="135"/>
        <v>29027.777777777774</v>
      </c>
      <c r="V792" s="362">
        <f t="shared" si="143"/>
        <v>105127.44444444444</v>
      </c>
      <c r="W792" s="362">
        <f t="shared" si="142"/>
        <v>13750</v>
      </c>
      <c r="X792" s="742">
        <f t="shared" si="144"/>
        <v>91377.444444444438</v>
      </c>
    </row>
    <row r="793" spans="1:24" ht="13.9">
      <c r="A793" s="349">
        <f t="shared" si="146"/>
        <v>785</v>
      </c>
      <c r="B793" s="393" t="s">
        <v>2090</v>
      </c>
      <c r="C793" s="394" t="s">
        <v>1735</v>
      </c>
      <c r="D793" s="349" t="s">
        <v>2020</v>
      </c>
      <c r="E793" s="393" t="s">
        <v>2091</v>
      </c>
      <c r="F793" s="395"/>
      <c r="G793" s="404"/>
      <c r="H793" s="397">
        <v>2200000</v>
      </c>
      <c r="I793" s="353"/>
      <c r="J793" s="353"/>
      <c r="K793" s="354">
        <f t="shared" si="137"/>
        <v>2200000</v>
      </c>
      <c r="L793" s="398">
        <v>43306</v>
      </c>
      <c r="M793" s="742">
        <v>1087945.2222222222</v>
      </c>
      <c r="N793" s="352">
        <f t="shared" si="145"/>
        <v>1112054.7777777778</v>
      </c>
      <c r="O793" s="357">
        <f t="shared" si="138"/>
        <v>2077</v>
      </c>
      <c r="P793" s="357">
        <v>9</v>
      </c>
      <c r="Q793" s="358">
        <f t="shared" si="136"/>
        <v>5.6904109589041099</v>
      </c>
      <c r="R793" s="359">
        <f t="shared" si="139"/>
        <v>3.3095890410958901</v>
      </c>
      <c r="S793" s="360">
        <f t="shared" si="140"/>
        <v>3.3095890410958901</v>
      </c>
      <c r="T793" s="361">
        <f t="shared" si="141"/>
        <v>0.10555555555555554</v>
      </c>
      <c r="U793" s="362">
        <f t="shared" si="135"/>
        <v>232222.22222222219</v>
      </c>
      <c r="V793" s="362">
        <f t="shared" si="143"/>
        <v>879832.5555555555</v>
      </c>
      <c r="W793" s="362">
        <f t="shared" si="142"/>
        <v>110000</v>
      </c>
      <c r="X793" s="742">
        <f t="shared" si="144"/>
        <v>769832.5555555555</v>
      </c>
    </row>
    <row r="794" spans="1:24" ht="13.9">
      <c r="A794" s="349">
        <f t="shared" si="146"/>
        <v>786</v>
      </c>
      <c r="B794" s="407" t="s">
        <v>2092</v>
      </c>
      <c r="C794" s="407" t="s">
        <v>1302</v>
      </c>
      <c r="D794" s="349" t="s">
        <v>2093</v>
      </c>
      <c r="E794" s="407" t="s">
        <v>2094</v>
      </c>
      <c r="F794" s="395"/>
      <c r="G794" s="404"/>
      <c r="H794" s="408">
        <v>699153.46</v>
      </c>
      <c r="I794" s="353"/>
      <c r="J794" s="353"/>
      <c r="K794" s="354">
        <f t="shared" si="137"/>
        <v>699153.46</v>
      </c>
      <c r="L794" s="409">
        <v>43777</v>
      </c>
      <c r="M794" s="742">
        <v>250513.53188888886</v>
      </c>
      <c r="N794" s="352">
        <f t="shared" si="145"/>
        <v>448639.9281111111</v>
      </c>
      <c r="O794" s="357">
        <f t="shared" si="138"/>
        <v>1606</v>
      </c>
      <c r="P794" s="410">
        <v>9</v>
      </c>
      <c r="Q794" s="358">
        <f t="shared" si="136"/>
        <v>4.4000000000000004</v>
      </c>
      <c r="R794" s="359">
        <f t="shared" si="139"/>
        <v>4.5999999999999996</v>
      </c>
      <c r="S794" s="360">
        <f t="shared" si="140"/>
        <v>4.5999999999999996</v>
      </c>
      <c r="T794" s="361">
        <f t="shared" si="141"/>
        <v>0.10555555555555554</v>
      </c>
      <c r="U794" s="362">
        <f t="shared" si="135"/>
        <v>73799.531888888872</v>
      </c>
      <c r="V794" s="362">
        <f t="shared" si="143"/>
        <v>374840.39622222225</v>
      </c>
      <c r="W794" s="362">
        <f t="shared" si="142"/>
        <v>34958</v>
      </c>
      <c r="X794" s="742">
        <f t="shared" si="144"/>
        <v>339882.39622222225</v>
      </c>
    </row>
    <row r="795" spans="1:24" ht="13.9">
      <c r="A795" s="349">
        <f t="shared" si="146"/>
        <v>787</v>
      </c>
      <c r="B795" s="407" t="s">
        <v>2036</v>
      </c>
      <c r="C795" s="407" t="s">
        <v>2095</v>
      </c>
      <c r="D795" s="349" t="s">
        <v>2093</v>
      </c>
      <c r="E795" s="407" t="s">
        <v>2096</v>
      </c>
      <c r="F795" s="395"/>
      <c r="G795" s="404"/>
      <c r="H795" s="408">
        <v>638310</v>
      </c>
      <c r="I795" s="353"/>
      <c r="J795" s="353"/>
      <c r="K795" s="354">
        <f t="shared" si="137"/>
        <v>638310</v>
      </c>
      <c r="L795" s="409">
        <v>43723</v>
      </c>
      <c r="M795" s="742">
        <v>238681.16666666666</v>
      </c>
      <c r="N795" s="352">
        <f t="shared" si="145"/>
        <v>399628.83333333337</v>
      </c>
      <c r="O795" s="357">
        <f t="shared" si="138"/>
        <v>1660</v>
      </c>
      <c r="P795" s="410">
        <v>9</v>
      </c>
      <c r="Q795" s="358">
        <f t="shared" si="136"/>
        <v>4.5479452054794525</v>
      </c>
      <c r="R795" s="359">
        <f t="shared" si="139"/>
        <v>4.4520547945205475</v>
      </c>
      <c r="S795" s="360">
        <f t="shared" si="140"/>
        <v>4.4520547945205475</v>
      </c>
      <c r="T795" s="361">
        <f t="shared" si="141"/>
        <v>0.10555555555555554</v>
      </c>
      <c r="U795" s="362">
        <f t="shared" si="135"/>
        <v>67377.166666666657</v>
      </c>
      <c r="V795" s="362">
        <f t="shared" si="143"/>
        <v>332251.66666666674</v>
      </c>
      <c r="W795" s="362">
        <f t="shared" si="142"/>
        <v>31916</v>
      </c>
      <c r="X795" s="742">
        <f t="shared" si="144"/>
        <v>300335.66666666674</v>
      </c>
    </row>
    <row r="796" spans="1:24" ht="13.9">
      <c r="A796" s="349">
        <f t="shared" si="146"/>
        <v>788</v>
      </c>
      <c r="B796" s="407" t="s">
        <v>2036</v>
      </c>
      <c r="C796" s="407" t="s">
        <v>2095</v>
      </c>
      <c r="D796" s="349" t="s">
        <v>2093</v>
      </c>
      <c r="E796" s="407" t="s">
        <v>2096</v>
      </c>
      <c r="F796" s="395"/>
      <c r="G796" s="404"/>
      <c r="H796" s="408">
        <v>638310</v>
      </c>
      <c r="I796" s="353"/>
      <c r="J796" s="353"/>
      <c r="K796" s="354">
        <f t="shared" si="137"/>
        <v>638310</v>
      </c>
      <c r="L796" s="409">
        <v>43723</v>
      </c>
      <c r="M796" s="742">
        <v>238681.16666666666</v>
      </c>
      <c r="N796" s="352">
        <f t="shared" si="145"/>
        <v>399628.83333333337</v>
      </c>
      <c r="O796" s="357">
        <f t="shared" si="138"/>
        <v>1660</v>
      </c>
      <c r="P796" s="410">
        <v>9</v>
      </c>
      <c r="Q796" s="358">
        <f t="shared" si="136"/>
        <v>4.5479452054794525</v>
      </c>
      <c r="R796" s="359">
        <f t="shared" si="139"/>
        <v>4.4520547945205475</v>
      </c>
      <c r="S796" s="360">
        <f t="shared" si="140"/>
        <v>4.4520547945205475</v>
      </c>
      <c r="T796" s="361">
        <f t="shared" si="141"/>
        <v>0.10555555555555554</v>
      </c>
      <c r="U796" s="362">
        <f t="shared" si="135"/>
        <v>67377.166666666657</v>
      </c>
      <c r="V796" s="362">
        <f t="shared" si="143"/>
        <v>332251.66666666674</v>
      </c>
      <c r="W796" s="362">
        <f t="shared" si="142"/>
        <v>31916</v>
      </c>
      <c r="X796" s="742">
        <f t="shared" si="144"/>
        <v>300335.66666666674</v>
      </c>
    </row>
    <row r="797" spans="1:24" ht="13.9">
      <c r="A797" s="349">
        <f t="shared" si="146"/>
        <v>789</v>
      </c>
      <c r="B797" s="407" t="s">
        <v>2036</v>
      </c>
      <c r="C797" s="407" t="s">
        <v>2095</v>
      </c>
      <c r="D797" s="349" t="s">
        <v>2093</v>
      </c>
      <c r="E797" s="407" t="s">
        <v>2096</v>
      </c>
      <c r="F797" s="395"/>
      <c r="G797" s="404"/>
      <c r="H797" s="408">
        <v>711810</v>
      </c>
      <c r="I797" s="353"/>
      <c r="J797" s="353"/>
      <c r="K797" s="354">
        <f t="shared" si="137"/>
        <v>711810</v>
      </c>
      <c r="L797" s="409">
        <v>43733</v>
      </c>
      <c r="M797" s="742">
        <v>264106.5</v>
      </c>
      <c r="N797" s="352">
        <f t="shared" si="145"/>
        <v>447703.5</v>
      </c>
      <c r="O797" s="357">
        <f t="shared" si="138"/>
        <v>1650</v>
      </c>
      <c r="P797" s="410">
        <v>9</v>
      </c>
      <c r="Q797" s="358">
        <f t="shared" si="136"/>
        <v>4.5205479452054798</v>
      </c>
      <c r="R797" s="359">
        <f t="shared" si="139"/>
        <v>4.4794520547945202</v>
      </c>
      <c r="S797" s="360">
        <f t="shared" si="140"/>
        <v>4.4794520547945202</v>
      </c>
      <c r="T797" s="361">
        <f t="shared" si="141"/>
        <v>0.10555555555555554</v>
      </c>
      <c r="U797" s="362">
        <f t="shared" si="135"/>
        <v>75135.499999999985</v>
      </c>
      <c r="V797" s="362">
        <f t="shared" si="143"/>
        <v>372568</v>
      </c>
      <c r="W797" s="362">
        <f t="shared" si="142"/>
        <v>35591</v>
      </c>
      <c r="X797" s="742">
        <f t="shared" si="144"/>
        <v>336977</v>
      </c>
    </row>
    <row r="798" spans="1:24" ht="13.9">
      <c r="A798" s="349">
        <f t="shared" si="146"/>
        <v>790</v>
      </c>
      <c r="B798" s="407" t="s">
        <v>2036</v>
      </c>
      <c r="C798" s="407" t="s">
        <v>2095</v>
      </c>
      <c r="D798" s="349" t="s">
        <v>2093</v>
      </c>
      <c r="E798" s="407" t="s">
        <v>2096</v>
      </c>
      <c r="F798" s="395"/>
      <c r="G798" s="404"/>
      <c r="H798" s="408">
        <v>711810</v>
      </c>
      <c r="I798" s="353"/>
      <c r="J798" s="353"/>
      <c r="K798" s="354">
        <f t="shared" si="137"/>
        <v>711810</v>
      </c>
      <c r="L798" s="409">
        <v>43739</v>
      </c>
      <c r="M798" s="742">
        <v>262871.5</v>
      </c>
      <c r="N798" s="352">
        <f t="shared" si="145"/>
        <v>448938.5</v>
      </c>
      <c r="O798" s="357">
        <f t="shared" si="138"/>
        <v>1644</v>
      </c>
      <c r="P798" s="410">
        <v>9</v>
      </c>
      <c r="Q798" s="358">
        <f t="shared" si="136"/>
        <v>4.5041095890410956</v>
      </c>
      <c r="R798" s="359">
        <f t="shared" si="139"/>
        <v>4.4958904109589044</v>
      </c>
      <c r="S798" s="360">
        <f t="shared" si="140"/>
        <v>4.4958904109589044</v>
      </c>
      <c r="T798" s="361">
        <f t="shared" si="141"/>
        <v>0.10555555555555554</v>
      </c>
      <c r="U798" s="362">
        <f t="shared" si="135"/>
        <v>75135.499999999985</v>
      </c>
      <c r="V798" s="362">
        <f t="shared" si="143"/>
        <v>373803</v>
      </c>
      <c r="W798" s="362">
        <f t="shared" si="142"/>
        <v>35591</v>
      </c>
      <c r="X798" s="742">
        <f t="shared" si="144"/>
        <v>338212</v>
      </c>
    </row>
    <row r="799" spans="1:24" ht="13.9">
      <c r="A799" s="349">
        <f t="shared" si="146"/>
        <v>791</v>
      </c>
      <c r="B799" s="407" t="s">
        <v>2097</v>
      </c>
      <c r="C799" s="407" t="s">
        <v>2095</v>
      </c>
      <c r="D799" s="349" t="s">
        <v>2093</v>
      </c>
      <c r="E799" s="407" t="s">
        <v>2098</v>
      </c>
      <c r="F799" s="395"/>
      <c r="G799" s="404"/>
      <c r="H799" s="408">
        <v>293600</v>
      </c>
      <c r="I799" s="353"/>
      <c r="J799" s="353"/>
      <c r="K799" s="354">
        <f t="shared" si="137"/>
        <v>293600</v>
      </c>
      <c r="L799" s="409">
        <v>43780</v>
      </c>
      <c r="M799" s="742">
        <v>104945.11111111111</v>
      </c>
      <c r="N799" s="352">
        <f t="shared" si="145"/>
        <v>188654.88888888888</v>
      </c>
      <c r="O799" s="357">
        <f t="shared" si="138"/>
        <v>1603</v>
      </c>
      <c r="P799" s="410">
        <v>9</v>
      </c>
      <c r="Q799" s="358">
        <f t="shared" si="136"/>
        <v>4.3917808219178083</v>
      </c>
      <c r="R799" s="359">
        <f t="shared" si="139"/>
        <v>4.6082191780821917</v>
      </c>
      <c r="S799" s="360">
        <f t="shared" si="140"/>
        <v>4.6082191780821917</v>
      </c>
      <c r="T799" s="361">
        <f t="shared" si="141"/>
        <v>0.10555555555555554</v>
      </c>
      <c r="U799" s="362">
        <f t="shared" si="135"/>
        <v>30991.111111111106</v>
      </c>
      <c r="V799" s="362">
        <f t="shared" si="143"/>
        <v>157663.77777777778</v>
      </c>
      <c r="W799" s="362">
        <f t="shared" si="142"/>
        <v>14680</v>
      </c>
      <c r="X799" s="742">
        <f t="shared" si="144"/>
        <v>142983.77777777778</v>
      </c>
    </row>
    <row r="800" spans="1:24" ht="13.9">
      <c r="A800" s="349">
        <f t="shared" si="146"/>
        <v>792</v>
      </c>
      <c r="B800" s="407" t="s">
        <v>2099</v>
      </c>
      <c r="C800" s="407" t="s">
        <v>2095</v>
      </c>
      <c r="D800" s="349" t="s">
        <v>2093</v>
      </c>
      <c r="E800" s="407" t="s">
        <v>2029</v>
      </c>
      <c r="F800" s="395"/>
      <c r="G800" s="404"/>
      <c r="H800" s="408">
        <v>90000</v>
      </c>
      <c r="I800" s="353"/>
      <c r="J800" s="353"/>
      <c r="K800" s="354">
        <f t="shared" si="137"/>
        <v>90000</v>
      </c>
      <c r="L800" s="409">
        <v>43808</v>
      </c>
      <c r="M800" s="742">
        <v>31441</v>
      </c>
      <c r="N800" s="352">
        <f t="shared" si="145"/>
        <v>58559</v>
      </c>
      <c r="O800" s="357">
        <f t="shared" si="138"/>
        <v>1575</v>
      </c>
      <c r="P800" s="410">
        <v>9</v>
      </c>
      <c r="Q800" s="358">
        <f t="shared" si="136"/>
        <v>4.3150684931506849</v>
      </c>
      <c r="R800" s="359">
        <f t="shared" si="139"/>
        <v>4.6849315068493151</v>
      </c>
      <c r="S800" s="360">
        <f t="shared" si="140"/>
        <v>4.6849315068493151</v>
      </c>
      <c r="T800" s="361">
        <f t="shared" si="141"/>
        <v>0.10555555555555554</v>
      </c>
      <c r="U800" s="362">
        <f t="shared" si="135"/>
        <v>9499.9999999999982</v>
      </c>
      <c r="V800" s="362">
        <f t="shared" si="143"/>
        <v>49059</v>
      </c>
      <c r="W800" s="362">
        <f t="shared" si="142"/>
        <v>4500</v>
      </c>
      <c r="X800" s="742">
        <f t="shared" si="144"/>
        <v>44559</v>
      </c>
    </row>
    <row r="801" spans="1:24" ht="13.9">
      <c r="A801" s="349">
        <f t="shared" si="146"/>
        <v>793</v>
      </c>
      <c r="B801" s="407" t="s">
        <v>2100</v>
      </c>
      <c r="C801" s="407" t="s">
        <v>2095</v>
      </c>
      <c r="D801" s="349" t="s">
        <v>2093</v>
      </c>
      <c r="E801" s="407" t="s">
        <v>2101</v>
      </c>
      <c r="F801" s="395"/>
      <c r="G801" s="404"/>
      <c r="H801" s="408">
        <v>355000</v>
      </c>
      <c r="I801" s="353"/>
      <c r="J801" s="353"/>
      <c r="K801" s="354">
        <f t="shared" si="137"/>
        <v>355000</v>
      </c>
      <c r="L801" s="409">
        <v>43818</v>
      </c>
      <c r="M801" s="742">
        <v>122991.22222222222</v>
      </c>
      <c r="N801" s="352">
        <f t="shared" si="145"/>
        <v>232008.77777777778</v>
      </c>
      <c r="O801" s="357">
        <f t="shared" si="138"/>
        <v>1565</v>
      </c>
      <c r="P801" s="410">
        <v>9</v>
      </c>
      <c r="Q801" s="358">
        <f t="shared" si="136"/>
        <v>4.2876712328767121</v>
      </c>
      <c r="R801" s="359">
        <f t="shared" si="139"/>
        <v>4.7123287671232879</v>
      </c>
      <c r="S801" s="360">
        <f t="shared" si="140"/>
        <v>4.7123287671232879</v>
      </c>
      <c r="T801" s="361">
        <f t="shared" si="141"/>
        <v>0.10555555555555554</v>
      </c>
      <c r="U801" s="362">
        <f t="shared" si="135"/>
        <v>37472.222222222219</v>
      </c>
      <c r="V801" s="362">
        <f t="shared" si="143"/>
        <v>194536.55555555556</v>
      </c>
      <c r="W801" s="362">
        <f t="shared" si="142"/>
        <v>17750</v>
      </c>
      <c r="X801" s="742">
        <f t="shared" si="144"/>
        <v>176786.55555555556</v>
      </c>
    </row>
    <row r="802" spans="1:24" ht="13.9">
      <c r="A802" s="349">
        <f t="shared" si="146"/>
        <v>794</v>
      </c>
      <c r="B802" s="407" t="s">
        <v>2102</v>
      </c>
      <c r="C802" s="407" t="s">
        <v>2095</v>
      </c>
      <c r="D802" s="349" t="s">
        <v>2093</v>
      </c>
      <c r="E802" s="407" t="s">
        <v>2103</v>
      </c>
      <c r="F802" s="395"/>
      <c r="G802" s="404"/>
      <c r="H802" s="408">
        <v>179000</v>
      </c>
      <c r="I802" s="353"/>
      <c r="J802" s="353"/>
      <c r="K802" s="354">
        <f t="shared" si="137"/>
        <v>179000</v>
      </c>
      <c r="L802" s="409">
        <v>43823</v>
      </c>
      <c r="M802" s="742">
        <v>61756.444444444438</v>
      </c>
      <c r="N802" s="352">
        <f t="shared" si="145"/>
        <v>117243.55555555556</v>
      </c>
      <c r="O802" s="357">
        <f t="shared" si="138"/>
        <v>1560</v>
      </c>
      <c r="P802" s="410">
        <v>9</v>
      </c>
      <c r="Q802" s="358">
        <f t="shared" si="136"/>
        <v>4.2739726027397262</v>
      </c>
      <c r="R802" s="359">
        <f t="shared" si="139"/>
        <v>4.7260273972602738</v>
      </c>
      <c r="S802" s="360">
        <f t="shared" si="140"/>
        <v>4.7260273972602738</v>
      </c>
      <c r="T802" s="361">
        <f t="shared" si="141"/>
        <v>0.10555555555555554</v>
      </c>
      <c r="U802" s="362">
        <f t="shared" si="135"/>
        <v>18894.444444444442</v>
      </c>
      <c r="V802" s="362">
        <f t="shared" si="143"/>
        <v>98349.111111111124</v>
      </c>
      <c r="W802" s="362">
        <f t="shared" si="142"/>
        <v>8950</v>
      </c>
      <c r="X802" s="742">
        <f t="shared" si="144"/>
        <v>89399.111111111124</v>
      </c>
    </row>
    <row r="803" spans="1:24" ht="13.9">
      <c r="A803" s="349">
        <f t="shared" si="146"/>
        <v>795</v>
      </c>
      <c r="B803" s="407" t="s">
        <v>2104</v>
      </c>
      <c r="C803" s="407" t="s">
        <v>2095</v>
      </c>
      <c r="D803" s="349" t="s">
        <v>2093</v>
      </c>
      <c r="E803" s="407" t="s">
        <v>2105</v>
      </c>
      <c r="F803" s="395"/>
      <c r="G803" s="404"/>
      <c r="H803" s="408">
        <v>4000000</v>
      </c>
      <c r="I803" s="353"/>
      <c r="J803" s="353"/>
      <c r="K803" s="354">
        <f t="shared" si="137"/>
        <v>4000000</v>
      </c>
      <c r="L803" s="409">
        <v>43758</v>
      </c>
      <c r="M803" s="742">
        <v>1455220.2222222222</v>
      </c>
      <c r="N803" s="352">
        <f t="shared" si="145"/>
        <v>2544779.777777778</v>
      </c>
      <c r="O803" s="357">
        <f t="shared" si="138"/>
        <v>1625</v>
      </c>
      <c r="P803" s="410">
        <v>9</v>
      </c>
      <c r="Q803" s="358">
        <f t="shared" si="136"/>
        <v>4.4520547945205475</v>
      </c>
      <c r="R803" s="359">
        <f t="shared" si="139"/>
        <v>4.5479452054794525</v>
      </c>
      <c r="S803" s="360">
        <f t="shared" si="140"/>
        <v>4.5479452054794525</v>
      </c>
      <c r="T803" s="361">
        <f t="shared" si="141"/>
        <v>0.10555555555555554</v>
      </c>
      <c r="U803" s="362">
        <f t="shared" si="135"/>
        <v>422222.22222222219</v>
      </c>
      <c r="V803" s="362">
        <f t="shared" si="143"/>
        <v>2122557.555555556</v>
      </c>
      <c r="W803" s="362">
        <f t="shared" si="142"/>
        <v>200000</v>
      </c>
      <c r="X803" s="742">
        <f t="shared" si="144"/>
        <v>1922557.555555556</v>
      </c>
    </row>
    <row r="804" spans="1:24" ht="13.9">
      <c r="A804" s="349">
        <f t="shared" si="146"/>
        <v>796</v>
      </c>
      <c r="B804" s="407" t="s">
        <v>2106</v>
      </c>
      <c r="C804" s="407" t="s">
        <v>2095</v>
      </c>
      <c r="D804" s="349" t="s">
        <v>2093</v>
      </c>
      <c r="E804" s="407" t="s">
        <v>2107</v>
      </c>
      <c r="F804" s="395"/>
      <c r="G804" s="404"/>
      <c r="H804" s="408">
        <v>3900000</v>
      </c>
      <c r="I804" s="353"/>
      <c r="J804" s="353"/>
      <c r="K804" s="354">
        <f t="shared" si="137"/>
        <v>3900000</v>
      </c>
      <c r="L804" s="409">
        <v>43777</v>
      </c>
      <c r="M804" s="742">
        <v>1397410.6666666665</v>
      </c>
      <c r="N804" s="352">
        <f t="shared" si="145"/>
        <v>2502589.3333333335</v>
      </c>
      <c r="O804" s="357">
        <f t="shared" si="138"/>
        <v>1606</v>
      </c>
      <c r="P804" s="410">
        <v>9</v>
      </c>
      <c r="Q804" s="358">
        <f t="shared" si="136"/>
        <v>4.4000000000000004</v>
      </c>
      <c r="R804" s="359">
        <f t="shared" si="139"/>
        <v>4.5999999999999996</v>
      </c>
      <c r="S804" s="360">
        <f t="shared" si="140"/>
        <v>4.5999999999999996</v>
      </c>
      <c r="T804" s="361">
        <f t="shared" si="141"/>
        <v>0.10555555555555554</v>
      </c>
      <c r="U804" s="362">
        <f t="shared" si="135"/>
        <v>411666.66666666663</v>
      </c>
      <c r="V804" s="362">
        <f t="shared" si="143"/>
        <v>2090922.666666667</v>
      </c>
      <c r="W804" s="362">
        <f t="shared" si="142"/>
        <v>195000</v>
      </c>
      <c r="X804" s="742">
        <f t="shared" si="144"/>
        <v>1895922.666666667</v>
      </c>
    </row>
    <row r="805" spans="1:24" ht="13.9">
      <c r="A805" s="349">
        <f t="shared" si="146"/>
        <v>797</v>
      </c>
      <c r="B805" s="407" t="s">
        <v>2108</v>
      </c>
      <c r="C805" s="407" t="s">
        <v>2095</v>
      </c>
      <c r="D805" s="349" t="s">
        <v>2093</v>
      </c>
      <c r="E805" s="407" t="s">
        <v>2109</v>
      </c>
      <c r="F805" s="395"/>
      <c r="G805" s="404"/>
      <c r="H805" s="408">
        <v>883334</v>
      </c>
      <c r="I805" s="353"/>
      <c r="J805" s="353"/>
      <c r="K805" s="354">
        <f t="shared" si="137"/>
        <v>883334</v>
      </c>
      <c r="L805" s="409">
        <v>43728</v>
      </c>
      <c r="M805" s="742">
        <v>329024.81111111108</v>
      </c>
      <c r="N805" s="352">
        <f t="shared" si="145"/>
        <v>554309.18888888892</v>
      </c>
      <c r="O805" s="357">
        <f t="shared" si="138"/>
        <v>1655</v>
      </c>
      <c r="P805" s="410">
        <v>9</v>
      </c>
      <c r="Q805" s="358">
        <f t="shared" si="136"/>
        <v>4.5342465753424657</v>
      </c>
      <c r="R805" s="359">
        <f t="shared" si="139"/>
        <v>4.4657534246575343</v>
      </c>
      <c r="S805" s="360">
        <f t="shared" si="140"/>
        <v>4.4657534246575343</v>
      </c>
      <c r="T805" s="361">
        <f t="shared" si="141"/>
        <v>0.10555555555555554</v>
      </c>
      <c r="U805" s="362">
        <f t="shared" si="135"/>
        <v>93240.811111111092</v>
      </c>
      <c r="V805" s="362">
        <f t="shared" si="143"/>
        <v>461068.37777777785</v>
      </c>
      <c r="W805" s="362">
        <f t="shared" si="142"/>
        <v>44167</v>
      </c>
      <c r="X805" s="742">
        <f t="shared" si="144"/>
        <v>416901.37777777785</v>
      </c>
    </row>
    <row r="806" spans="1:24" ht="13.9">
      <c r="A806" s="349">
        <f t="shared" si="146"/>
        <v>798</v>
      </c>
      <c r="B806" s="407" t="s">
        <v>2108</v>
      </c>
      <c r="C806" s="407" t="s">
        <v>2095</v>
      </c>
      <c r="D806" s="349" t="s">
        <v>2093</v>
      </c>
      <c r="E806" s="407" t="s">
        <v>2109</v>
      </c>
      <c r="F806" s="395"/>
      <c r="G806" s="404"/>
      <c r="H806" s="408">
        <v>1533333</v>
      </c>
      <c r="I806" s="353"/>
      <c r="J806" s="353"/>
      <c r="K806" s="354">
        <f t="shared" si="137"/>
        <v>1533333</v>
      </c>
      <c r="L806" s="409">
        <v>43720</v>
      </c>
      <c r="M806" s="742">
        <v>574684.81666666665</v>
      </c>
      <c r="N806" s="352">
        <f t="shared" si="145"/>
        <v>958648.18333333335</v>
      </c>
      <c r="O806" s="357">
        <f t="shared" si="138"/>
        <v>1663</v>
      </c>
      <c r="P806" s="410">
        <v>9</v>
      </c>
      <c r="Q806" s="358">
        <f t="shared" si="136"/>
        <v>4.5561643835616437</v>
      </c>
      <c r="R806" s="359">
        <f t="shared" si="139"/>
        <v>4.4438356164383563</v>
      </c>
      <c r="S806" s="360">
        <f t="shared" si="140"/>
        <v>4.4438356164383563</v>
      </c>
      <c r="T806" s="361">
        <f t="shared" si="141"/>
        <v>0.10555555555555554</v>
      </c>
      <c r="U806" s="362">
        <f t="shared" si="135"/>
        <v>161851.81666666665</v>
      </c>
      <c r="V806" s="362">
        <f t="shared" si="143"/>
        <v>796796.3666666667</v>
      </c>
      <c r="W806" s="362">
        <f t="shared" si="142"/>
        <v>76667</v>
      </c>
      <c r="X806" s="742">
        <f t="shared" si="144"/>
        <v>720129.3666666667</v>
      </c>
    </row>
    <row r="807" spans="1:24" ht="13.9">
      <c r="A807" s="349">
        <f t="shared" si="146"/>
        <v>799</v>
      </c>
      <c r="B807" s="407" t="s">
        <v>2108</v>
      </c>
      <c r="C807" s="407" t="s">
        <v>2095</v>
      </c>
      <c r="D807" s="349" t="s">
        <v>2093</v>
      </c>
      <c r="E807" s="407" t="s">
        <v>2109</v>
      </c>
      <c r="F807" s="395"/>
      <c r="G807" s="404"/>
      <c r="H807" s="408">
        <v>883334</v>
      </c>
      <c r="I807" s="353"/>
      <c r="J807" s="353"/>
      <c r="K807" s="354">
        <f t="shared" si="137"/>
        <v>883334</v>
      </c>
      <c r="L807" s="409">
        <v>43726</v>
      </c>
      <c r="M807" s="742">
        <v>329535.81111111108</v>
      </c>
      <c r="N807" s="352">
        <f t="shared" si="145"/>
        <v>553798.18888888892</v>
      </c>
      <c r="O807" s="357">
        <f t="shared" si="138"/>
        <v>1657</v>
      </c>
      <c r="P807" s="410">
        <v>9</v>
      </c>
      <c r="Q807" s="358">
        <f t="shared" si="136"/>
        <v>4.5397260273972604</v>
      </c>
      <c r="R807" s="359">
        <f t="shared" si="139"/>
        <v>4.4602739726027396</v>
      </c>
      <c r="S807" s="360">
        <f t="shared" si="140"/>
        <v>4.4602739726027396</v>
      </c>
      <c r="T807" s="361">
        <f t="shared" si="141"/>
        <v>0.10555555555555554</v>
      </c>
      <c r="U807" s="362">
        <f t="shared" si="135"/>
        <v>93240.811111111092</v>
      </c>
      <c r="V807" s="362">
        <f t="shared" si="143"/>
        <v>460557.37777777785</v>
      </c>
      <c r="W807" s="362">
        <f t="shared" si="142"/>
        <v>44167</v>
      </c>
      <c r="X807" s="742">
        <f t="shared" si="144"/>
        <v>416390.37777777785</v>
      </c>
    </row>
    <row r="808" spans="1:24" ht="13.9">
      <c r="A808" s="349">
        <f t="shared" si="146"/>
        <v>800</v>
      </c>
      <c r="B808" s="407" t="s">
        <v>2106</v>
      </c>
      <c r="C808" s="407" t="s">
        <v>2095</v>
      </c>
      <c r="D808" s="349" t="s">
        <v>2093</v>
      </c>
      <c r="E808" s="407" t="s">
        <v>2107</v>
      </c>
      <c r="F808" s="395"/>
      <c r="G808" s="404"/>
      <c r="H808" s="408">
        <v>3900000</v>
      </c>
      <c r="I808" s="353"/>
      <c r="J808" s="353"/>
      <c r="K808" s="354">
        <f t="shared" si="137"/>
        <v>3900000</v>
      </c>
      <c r="L808" s="409">
        <v>43782</v>
      </c>
      <c r="M808" s="742">
        <v>1391771.6666666665</v>
      </c>
      <c r="N808" s="352">
        <f t="shared" si="145"/>
        <v>2508228.3333333335</v>
      </c>
      <c r="O808" s="357">
        <f t="shared" si="138"/>
        <v>1601</v>
      </c>
      <c r="P808" s="410">
        <v>9</v>
      </c>
      <c r="Q808" s="358">
        <f t="shared" si="136"/>
        <v>4.3863013698630136</v>
      </c>
      <c r="R808" s="359">
        <f t="shared" si="139"/>
        <v>4.6136986301369864</v>
      </c>
      <c r="S808" s="360">
        <f t="shared" si="140"/>
        <v>4.6136986301369864</v>
      </c>
      <c r="T808" s="361">
        <f t="shared" si="141"/>
        <v>0.10555555555555554</v>
      </c>
      <c r="U808" s="362">
        <f t="shared" si="135"/>
        <v>411666.66666666663</v>
      </c>
      <c r="V808" s="362">
        <f t="shared" si="143"/>
        <v>2096561.666666667</v>
      </c>
      <c r="W808" s="362">
        <f t="shared" si="142"/>
        <v>195000</v>
      </c>
      <c r="X808" s="742">
        <f t="shared" si="144"/>
        <v>1901561.666666667</v>
      </c>
    </row>
    <row r="809" spans="1:24" ht="13.9">
      <c r="A809" s="349">
        <f t="shared" si="146"/>
        <v>801</v>
      </c>
      <c r="B809" s="407" t="s">
        <v>2110</v>
      </c>
      <c r="C809" s="407" t="s">
        <v>2095</v>
      </c>
      <c r="D809" s="349" t="s">
        <v>2093</v>
      </c>
      <c r="E809" s="407" t="s">
        <v>2111</v>
      </c>
      <c r="F809" s="395"/>
      <c r="G809" s="404"/>
      <c r="H809" s="408">
        <v>1770000</v>
      </c>
      <c r="I809" s="353"/>
      <c r="J809" s="353"/>
      <c r="K809" s="354">
        <f t="shared" si="137"/>
        <v>1770000</v>
      </c>
      <c r="L809" s="409">
        <v>43799</v>
      </c>
      <c r="M809" s="742">
        <v>622948.33333333326</v>
      </c>
      <c r="N809" s="352">
        <f t="shared" si="145"/>
        <v>1147051.6666666667</v>
      </c>
      <c r="O809" s="357">
        <f t="shared" si="138"/>
        <v>1584</v>
      </c>
      <c r="P809" s="410">
        <v>9</v>
      </c>
      <c r="Q809" s="358">
        <f t="shared" si="136"/>
        <v>4.3397260273972602</v>
      </c>
      <c r="R809" s="359">
        <f t="shared" si="139"/>
        <v>4.6602739726027398</v>
      </c>
      <c r="S809" s="360">
        <f t="shared" si="140"/>
        <v>4.6602739726027398</v>
      </c>
      <c r="T809" s="361">
        <f t="shared" si="141"/>
        <v>0.10555555555555554</v>
      </c>
      <c r="U809" s="362">
        <f t="shared" si="135"/>
        <v>186833.33333333331</v>
      </c>
      <c r="V809" s="362">
        <f t="shared" si="143"/>
        <v>960218.33333333349</v>
      </c>
      <c r="W809" s="362">
        <f t="shared" si="142"/>
        <v>88500</v>
      </c>
      <c r="X809" s="742">
        <f t="shared" si="144"/>
        <v>871718.33333333349</v>
      </c>
    </row>
    <row r="810" spans="1:24" ht="13.9">
      <c r="A810" s="349">
        <f t="shared" si="146"/>
        <v>802</v>
      </c>
      <c r="B810" s="407" t="s">
        <v>303</v>
      </c>
      <c r="C810" s="407" t="s">
        <v>2095</v>
      </c>
      <c r="D810" s="349" t="s">
        <v>2093</v>
      </c>
      <c r="E810" s="407" t="s">
        <v>163</v>
      </c>
      <c r="F810" s="395"/>
      <c r="G810" s="404"/>
      <c r="H810" s="408">
        <v>338300</v>
      </c>
      <c r="I810" s="353"/>
      <c r="J810" s="353"/>
      <c r="K810" s="354">
        <f t="shared" si="137"/>
        <v>338300</v>
      </c>
      <c r="L810" s="409">
        <v>43602</v>
      </c>
      <c r="M810" s="742">
        <v>138337.44444444444</v>
      </c>
      <c r="N810" s="352">
        <f t="shared" si="145"/>
        <v>199962.55555555556</v>
      </c>
      <c r="O810" s="357">
        <f t="shared" si="138"/>
        <v>1781</v>
      </c>
      <c r="P810" s="410">
        <v>9</v>
      </c>
      <c r="Q810" s="358">
        <f t="shared" si="136"/>
        <v>4.8794520547945206</v>
      </c>
      <c r="R810" s="359">
        <f t="shared" si="139"/>
        <v>4.1205479452054794</v>
      </c>
      <c r="S810" s="360">
        <f t="shared" si="140"/>
        <v>4.1205479452054794</v>
      </c>
      <c r="T810" s="361">
        <f t="shared" si="141"/>
        <v>0.10555555555555554</v>
      </c>
      <c r="U810" s="362">
        <f t="shared" ref="U810:U873" si="147">+K810*T810</f>
        <v>35709.444444444438</v>
      </c>
      <c r="V810" s="362">
        <f t="shared" si="143"/>
        <v>164253.11111111112</v>
      </c>
      <c r="W810" s="362">
        <f t="shared" si="142"/>
        <v>16915</v>
      </c>
      <c r="X810" s="742">
        <f t="shared" si="144"/>
        <v>147338.11111111112</v>
      </c>
    </row>
    <row r="811" spans="1:24" ht="13.9">
      <c r="A811" s="349">
        <f t="shared" si="146"/>
        <v>803</v>
      </c>
      <c r="B811" s="407" t="s">
        <v>2039</v>
      </c>
      <c r="C811" s="407" t="s">
        <v>2095</v>
      </c>
      <c r="D811" s="349" t="s">
        <v>2093</v>
      </c>
      <c r="E811" s="407" t="s">
        <v>2112</v>
      </c>
      <c r="F811" s="395"/>
      <c r="G811" s="404"/>
      <c r="H811" s="408">
        <v>340000</v>
      </c>
      <c r="I811" s="353"/>
      <c r="J811" s="353"/>
      <c r="K811" s="354">
        <f t="shared" si="137"/>
        <v>340000</v>
      </c>
      <c r="L811" s="409">
        <v>43609</v>
      </c>
      <c r="M811" s="742">
        <v>138343.88888888888</v>
      </c>
      <c r="N811" s="352">
        <f t="shared" si="145"/>
        <v>201656.11111111112</v>
      </c>
      <c r="O811" s="357">
        <f t="shared" si="138"/>
        <v>1774</v>
      </c>
      <c r="P811" s="410">
        <v>9</v>
      </c>
      <c r="Q811" s="358">
        <f t="shared" si="136"/>
        <v>4.86027397260274</v>
      </c>
      <c r="R811" s="359">
        <f t="shared" si="139"/>
        <v>4.13972602739726</v>
      </c>
      <c r="S811" s="360">
        <f t="shared" si="140"/>
        <v>4.13972602739726</v>
      </c>
      <c r="T811" s="361">
        <f t="shared" si="141"/>
        <v>0.10555555555555554</v>
      </c>
      <c r="U811" s="362">
        <f t="shared" si="147"/>
        <v>35888.888888888883</v>
      </c>
      <c r="V811" s="362">
        <f t="shared" si="143"/>
        <v>165767.22222222225</v>
      </c>
      <c r="W811" s="362">
        <f t="shared" si="142"/>
        <v>17000</v>
      </c>
      <c r="X811" s="742">
        <f t="shared" si="144"/>
        <v>148767.22222222225</v>
      </c>
    </row>
    <row r="812" spans="1:24" ht="13.9">
      <c r="A812" s="349">
        <f t="shared" si="146"/>
        <v>804</v>
      </c>
      <c r="B812" s="407" t="s">
        <v>2039</v>
      </c>
      <c r="C812" s="407" t="s">
        <v>2095</v>
      </c>
      <c r="D812" s="349" t="s">
        <v>2093</v>
      </c>
      <c r="E812" s="407" t="s">
        <v>2112</v>
      </c>
      <c r="F812" s="395"/>
      <c r="G812" s="404"/>
      <c r="H812" s="408">
        <v>500000</v>
      </c>
      <c r="I812" s="353"/>
      <c r="J812" s="353"/>
      <c r="K812" s="354">
        <f t="shared" si="137"/>
        <v>500000</v>
      </c>
      <c r="L812" s="409">
        <v>43640</v>
      </c>
      <c r="M812" s="742">
        <v>198964.77777777778</v>
      </c>
      <c r="N812" s="352">
        <f t="shared" si="145"/>
        <v>301035.22222222225</v>
      </c>
      <c r="O812" s="357">
        <f t="shared" si="138"/>
        <v>1743</v>
      </c>
      <c r="P812" s="410">
        <v>9</v>
      </c>
      <c r="Q812" s="358">
        <f t="shared" si="136"/>
        <v>4.7753424657534245</v>
      </c>
      <c r="R812" s="359">
        <f t="shared" si="139"/>
        <v>4.2246575342465755</v>
      </c>
      <c r="S812" s="360">
        <f t="shared" si="140"/>
        <v>4.2246575342465755</v>
      </c>
      <c r="T812" s="361">
        <f t="shared" si="141"/>
        <v>0.10555555555555554</v>
      </c>
      <c r="U812" s="362">
        <f t="shared" si="147"/>
        <v>52777.777777777774</v>
      </c>
      <c r="V812" s="362">
        <f t="shared" si="143"/>
        <v>248257.44444444447</v>
      </c>
      <c r="W812" s="362">
        <f t="shared" si="142"/>
        <v>25000</v>
      </c>
      <c r="X812" s="742">
        <f t="shared" si="144"/>
        <v>223257.44444444447</v>
      </c>
    </row>
    <row r="813" spans="1:24" ht="13.9">
      <c r="A813" s="349">
        <f t="shared" si="146"/>
        <v>805</v>
      </c>
      <c r="B813" s="407" t="s">
        <v>1167</v>
      </c>
      <c r="C813" s="407" t="s">
        <v>2095</v>
      </c>
      <c r="D813" s="349" t="s">
        <v>2093</v>
      </c>
      <c r="E813" s="407" t="s">
        <v>2113</v>
      </c>
      <c r="F813" s="395"/>
      <c r="G813" s="404"/>
      <c r="H813" s="408">
        <v>1056000</v>
      </c>
      <c r="I813" s="353"/>
      <c r="J813" s="353"/>
      <c r="K813" s="354">
        <f t="shared" si="137"/>
        <v>1056000</v>
      </c>
      <c r="L813" s="409">
        <v>43710</v>
      </c>
      <c r="M813" s="742">
        <v>1003200</v>
      </c>
      <c r="N813" s="352">
        <f t="shared" si="145"/>
        <v>52800</v>
      </c>
      <c r="O813" s="357">
        <f t="shared" si="138"/>
        <v>1673</v>
      </c>
      <c r="P813" s="410">
        <v>2</v>
      </c>
      <c r="Q813" s="358">
        <f t="shared" si="136"/>
        <v>4.5835616438356164</v>
      </c>
      <c r="R813" s="359">
        <f t="shared" si="139"/>
        <v>-2.5835616438356164</v>
      </c>
      <c r="S813" s="360">
        <f t="shared" si="140"/>
        <v>0</v>
      </c>
      <c r="T813" s="361">
        <f t="shared" si="141"/>
        <v>0.47499999999999998</v>
      </c>
      <c r="U813" s="362">
        <v>0</v>
      </c>
      <c r="V813" s="362">
        <f t="shared" si="143"/>
        <v>52800</v>
      </c>
      <c r="W813" s="362">
        <f t="shared" si="142"/>
        <v>52800</v>
      </c>
      <c r="X813" s="742">
        <f t="shared" si="144"/>
        <v>0</v>
      </c>
    </row>
    <row r="814" spans="1:24" ht="13.9">
      <c r="A814" s="349">
        <f t="shared" si="146"/>
        <v>806</v>
      </c>
      <c r="B814" s="407" t="s">
        <v>309</v>
      </c>
      <c r="C814" s="407" t="s">
        <v>2095</v>
      </c>
      <c r="D814" s="349" t="s">
        <v>2093</v>
      </c>
      <c r="E814" s="407" t="s">
        <v>2113</v>
      </c>
      <c r="F814" s="395"/>
      <c r="G814" s="404"/>
      <c r="H814" s="408">
        <v>1520300</v>
      </c>
      <c r="I814" s="353"/>
      <c r="J814" s="353"/>
      <c r="K814" s="354">
        <f t="shared" si="137"/>
        <v>1520300</v>
      </c>
      <c r="L814" s="409">
        <v>43735</v>
      </c>
      <c r="M814" s="742">
        <v>1444285</v>
      </c>
      <c r="N814" s="352">
        <f t="shared" si="145"/>
        <v>76015</v>
      </c>
      <c r="O814" s="357">
        <f t="shared" si="138"/>
        <v>1648</v>
      </c>
      <c r="P814" s="410">
        <v>2</v>
      </c>
      <c r="Q814" s="358">
        <f t="shared" si="136"/>
        <v>4.515068493150685</v>
      </c>
      <c r="R814" s="359">
        <f t="shared" si="139"/>
        <v>-2.515068493150685</v>
      </c>
      <c r="S814" s="360">
        <f t="shared" si="140"/>
        <v>0</v>
      </c>
      <c r="T814" s="361">
        <f t="shared" si="141"/>
        <v>0.47499999999999998</v>
      </c>
      <c r="U814" s="362">
        <v>0</v>
      </c>
      <c r="V814" s="362">
        <f t="shared" si="143"/>
        <v>76015</v>
      </c>
      <c r="W814" s="362">
        <f t="shared" si="142"/>
        <v>76015</v>
      </c>
      <c r="X814" s="742">
        <f t="shared" si="144"/>
        <v>0</v>
      </c>
    </row>
    <row r="815" spans="1:24" ht="13.9">
      <c r="A815" s="349">
        <f t="shared" si="146"/>
        <v>807</v>
      </c>
      <c r="B815" s="407" t="s">
        <v>2114</v>
      </c>
      <c r="C815" s="407" t="s">
        <v>2095</v>
      </c>
      <c r="D815" s="349" t="s">
        <v>2093</v>
      </c>
      <c r="E815" s="407" t="s">
        <v>2113</v>
      </c>
      <c r="F815" s="395"/>
      <c r="G815" s="404"/>
      <c r="H815" s="408">
        <v>1237800</v>
      </c>
      <c r="I815" s="353"/>
      <c r="J815" s="353"/>
      <c r="K815" s="354">
        <f t="shared" si="137"/>
        <v>1237800</v>
      </c>
      <c r="L815" s="409">
        <v>43760</v>
      </c>
      <c r="M815" s="742">
        <v>1175910</v>
      </c>
      <c r="N815" s="352">
        <f t="shared" si="145"/>
        <v>61890</v>
      </c>
      <c r="O815" s="357">
        <f t="shared" si="138"/>
        <v>1623</v>
      </c>
      <c r="P815" s="410">
        <v>2</v>
      </c>
      <c r="Q815" s="358">
        <f t="shared" si="136"/>
        <v>4.4465753424657537</v>
      </c>
      <c r="R815" s="359">
        <f t="shared" si="139"/>
        <v>-2.4465753424657537</v>
      </c>
      <c r="S815" s="360">
        <f t="shared" si="140"/>
        <v>0</v>
      </c>
      <c r="T815" s="361">
        <f t="shared" si="141"/>
        <v>0.47499999999999998</v>
      </c>
      <c r="U815" s="362">
        <v>0</v>
      </c>
      <c r="V815" s="362">
        <f t="shared" si="143"/>
        <v>61890</v>
      </c>
      <c r="W815" s="362">
        <f t="shared" si="142"/>
        <v>61890</v>
      </c>
      <c r="X815" s="742">
        <f t="shared" si="144"/>
        <v>0</v>
      </c>
    </row>
    <row r="816" spans="1:24" ht="13.9">
      <c r="A816" s="349">
        <f t="shared" si="146"/>
        <v>808</v>
      </c>
      <c r="B816" s="407" t="s">
        <v>2115</v>
      </c>
      <c r="C816" s="407" t="s">
        <v>2095</v>
      </c>
      <c r="D816" s="349" t="s">
        <v>2093</v>
      </c>
      <c r="E816" s="407" t="s">
        <v>2113</v>
      </c>
      <c r="F816" s="395"/>
      <c r="G816" s="404"/>
      <c r="H816" s="408">
        <v>533400</v>
      </c>
      <c r="I816" s="353"/>
      <c r="J816" s="353"/>
      <c r="K816" s="354">
        <f t="shared" si="137"/>
        <v>533400</v>
      </c>
      <c r="L816" s="409">
        <v>43801</v>
      </c>
      <c r="M816" s="742">
        <v>506730</v>
      </c>
      <c r="N816" s="352">
        <f t="shared" si="145"/>
        <v>26670</v>
      </c>
      <c r="O816" s="357">
        <f t="shared" si="138"/>
        <v>1582</v>
      </c>
      <c r="P816" s="410">
        <v>2</v>
      </c>
      <c r="Q816" s="358">
        <f t="shared" si="136"/>
        <v>4.3342465753424655</v>
      </c>
      <c r="R816" s="359">
        <f t="shared" si="139"/>
        <v>-2.3342465753424655</v>
      </c>
      <c r="S816" s="360">
        <f t="shared" si="140"/>
        <v>0</v>
      </c>
      <c r="T816" s="361">
        <f t="shared" si="141"/>
        <v>0.47499999999999998</v>
      </c>
      <c r="U816" s="362">
        <v>0</v>
      </c>
      <c r="V816" s="362">
        <f t="shared" si="143"/>
        <v>26670</v>
      </c>
      <c r="W816" s="362">
        <f t="shared" si="142"/>
        <v>26670</v>
      </c>
      <c r="X816" s="742">
        <f t="shared" si="144"/>
        <v>0</v>
      </c>
    </row>
    <row r="817" spans="1:24" ht="13.9">
      <c r="A817" s="349">
        <f t="shared" si="146"/>
        <v>809</v>
      </c>
      <c r="B817" s="407" t="s">
        <v>309</v>
      </c>
      <c r="C817" s="407" t="s">
        <v>2095</v>
      </c>
      <c r="D817" s="349" t="s">
        <v>2093</v>
      </c>
      <c r="E817" s="407" t="s">
        <v>2113</v>
      </c>
      <c r="F817" s="395"/>
      <c r="G817" s="404"/>
      <c r="H817" s="408">
        <v>542500</v>
      </c>
      <c r="I817" s="353"/>
      <c r="J817" s="353"/>
      <c r="K817" s="354">
        <f t="shared" si="137"/>
        <v>542500</v>
      </c>
      <c r="L817" s="409">
        <v>43892</v>
      </c>
      <c r="M817" s="742">
        <v>515375</v>
      </c>
      <c r="N817" s="352">
        <f t="shared" si="145"/>
        <v>27125</v>
      </c>
      <c r="O817" s="357">
        <f t="shared" si="138"/>
        <v>1491</v>
      </c>
      <c r="P817" s="410">
        <v>2</v>
      </c>
      <c r="Q817" s="358">
        <f t="shared" si="136"/>
        <v>4.0849315068493155</v>
      </c>
      <c r="R817" s="359">
        <f t="shared" si="139"/>
        <v>-2.0849315068493155</v>
      </c>
      <c r="S817" s="360">
        <f t="shared" si="140"/>
        <v>0</v>
      </c>
      <c r="T817" s="361">
        <f t="shared" si="141"/>
        <v>0.47499999999999998</v>
      </c>
      <c r="U817" s="362">
        <v>0</v>
      </c>
      <c r="V817" s="362">
        <f t="shared" si="143"/>
        <v>27125</v>
      </c>
      <c r="W817" s="362">
        <f t="shared" si="142"/>
        <v>27125</v>
      </c>
      <c r="X817" s="742">
        <f t="shared" si="144"/>
        <v>0</v>
      </c>
    </row>
    <row r="818" spans="1:24" ht="13.9">
      <c r="A818" s="349">
        <f t="shared" si="146"/>
        <v>810</v>
      </c>
      <c r="B818" s="407" t="s">
        <v>309</v>
      </c>
      <c r="C818" s="407" t="s">
        <v>2095</v>
      </c>
      <c r="D818" s="349" t="s">
        <v>2093</v>
      </c>
      <c r="E818" s="407" t="s">
        <v>2113</v>
      </c>
      <c r="F818" s="395"/>
      <c r="G818" s="404"/>
      <c r="H818" s="408">
        <v>639200</v>
      </c>
      <c r="I818" s="353"/>
      <c r="J818" s="353"/>
      <c r="K818" s="354">
        <f t="shared" si="137"/>
        <v>639200</v>
      </c>
      <c r="L818" s="409">
        <v>43878</v>
      </c>
      <c r="M818" s="742">
        <v>607240</v>
      </c>
      <c r="N818" s="352">
        <f t="shared" si="145"/>
        <v>31960</v>
      </c>
      <c r="O818" s="357">
        <f t="shared" si="138"/>
        <v>1505</v>
      </c>
      <c r="P818" s="410">
        <v>2</v>
      </c>
      <c r="Q818" s="358">
        <f t="shared" si="136"/>
        <v>4.1232876712328768</v>
      </c>
      <c r="R818" s="359">
        <f t="shared" si="139"/>
        <v>-2.1232876712328768</v>
      </c>
      <c r="S818" s="360">
        <f t="shared" si="140"/>
        <v>0</v>
      </c>
      <c r="T818" s="361">
        <f t="shared" si="141"/>
        <v>0.47499999999999998</v>
      </c>
      <c r="U818" s="362">
        <v>0</v>
      </c>
      <c r="V818" s="362">
        <f t="shared" si="143"/>
        <v>31960</v>
      </c>
      <c r="W818" s="362">
        <f t="shared" si="142"/>
        <v>31960</v>
      </c>
      <c r="X818" s="742">
        <f t="shared" si="144"/>
        <v>0</v>
      </c>
    </row>
    <row r="819" spans="1:24" ht="13.9">
      <c r="A819" s="349">
        <f t="shared" si="146"/>
        <v>811</v>
      </c>
      <c r="B819" s="407" t="s">
        <v>2116</v>
      </c>
      <c r="C819" s="407" t="s">
        <v>2095</v>
      </c>
      <c r="D819" s="349" t="s">
        <v>2093</v>
      </c>
      <c r="E819" s="407" t="s">
        <v>968</v>
      </c>
      <c r="F819" s="395"/>
      <c r="G819" s="404"/>
      <c r="H819" s="408">
        <v>45000</v>
      </c>
      <c r="I819" s="353"/>
      <c r="J819" s="353"/>
      <c r="K819" s="354">
        <f t="shared" si="137"/>
        <v>45000</v>
      </c>
      <c r="L819" s="409">
        <v>43834</v>
      </c>
      <c r="M819" s="742">
        <v>15382</v>
      </c>
      <c r="N819" s="352">
        <f t="shared" si="145"/>
        <v>29618</v>
      </c>
      <c r="O819" s="357">
        <f t="shared" si="138"/>
        <v>1549</v>
      </c>
      <c r="P819" s="410">
        <v>9</v>
      </c>
      <c r="Q819" s="358">
        <f t="shared" si="136"/>
        <v>4.2438356164383562</v>
      </c>
      <c r="R819" s="359">
        <f t="shared" si="139"/>
        <v>4.7561643835616438</v>
      </c>
      <c r="S819" s="360">
        <f t="shared" si="140"/>
        <v>4.7561643835616438</v>
      </c>
      <c r="T819" s="361">
        <f t="shared" si="141"/>
        <v>0.10555555555555554</v>
      </c>
      <c r="U819" s="362">
        <f t="shared" si="147"/>
        <v>4749.9999999999991</v>
      </c>
      <c r="V819" s="362">
        <f t="shared" si="143"/>
        <v>24868</v>
      </c>
      <c r="W819" s="362">
        <f t="shared" si="142"/>
        <v>2250</v>
      </c>
      <c r="X819" s="742">
        <f t="shared" si="144"/>
        <v>22618</v>
      </c>
    </row>
    <row r="820" spans="1:24" ht="13.9">
      <c r="A820" s="349">
        <f t="shared" si="146"/>
        <v>812</v>
      </c>
      <c r="B820" s="407"/>
      <c r="C820" s="407"/>
      <c r="D820" s="349" t="s">
        <v>2093</v>
      </c>
      <c r="E820" s="407" t="s">
        <v>2117</v>
      </c>
      <c r="F820" s="395"/>
      <c r="G820" s="404"/>
      <c r="H820" s="408">
        <v>600000</v>
      </c>
      <c r="I820" s="353"/>
      <c r="J820" s="353"/>
      <c r="K820" s="354">
        <f t="shared" si="137"/>
        <v>600000</v>
      </c>
      <c r="L820" s="409">
        <v>43508</v>
      </c>
      <c r="M820" s="742">
        <v>253159.33333333331</v>
      </c>
      <c r="N820" s="352">
        <f t="shared" si="145"/>
        <v>346840.66666666669</v>
      </c>
      <c r="O820" s="357">
        <f t="shared" si="138"/>
        <v>1875</v>
      </c>
      <c r="P820" s="410">
        <v>9</v>
      </c>
      <c r="Q820" s="358">
        <f t="shared" si="136"/>
        <v>5.1369863013698627</v>
      </c>
      <c r="R820" s="359">
        <f t="shared" si="139"/>
        <v>3.8630136986301373</v>
      </c>
      <c r="S820" s="360">
        <f t="shared" si="140"/>
        <v>3.8630136986301373</v>
      </c>
      <c r="T820" s="361">
        <f t="shared" si="141"/>
        <v>0.10555555555555554</v>
      </c>
      <c r="U820" s="362">
        <f t="shared" si="147"/>
        <v>63333.333333333321</v>
      </c>
      <c r="V820" s="362">
        <f t="shared" si="143"/>
        <v>283507.33333333337</v>
      </c>
      <c r="W820" s="362">
        <f t="shared" si="142"/>
        <v>30000</v>
      </c>
      <c r="X820" s="742">
        <f t="shared" si="144"/>
        <v>253507.33333333337</v>
      </c>
    </row>
    <row r="821" spans="1:24" ht="13.9">
      <c r="A821" s="349">
        <f t="shared" si="146"/>
        <v>813</v>
      </c>
      <c r="B821" s="407" t="s">
        <v>2118</v>
      </c>
      <c r="C821" s="407" t="s">
        <v>22</v>
      </c>
      <c r="D821" s="349" t="s">
        <v>2093</v>
      </c>
      <c r="E821" s="407" t="s">
        <v>2119</v>
      </c>
      <c r="F821" s="395"/>
      <c r="G821" s="404"/>
      <c r="H821" s="408">
        <v>143600</v>
      </c>
      <c r="I821" s="353"/>
      <c r="J821" s="353"/>
      <c r="K821" s="354">
        <f t="shared" si="137"/>
        <v>143600</v>
      </c>
      <c r="L821" s="409">
        <v>43857</v>
      </c>
      <c r="M821" s="742">
        <v>48130.777777777774</v>
      </c>
      <c r="N821" s="352">
        <f t="shared" si="145"/>
        <v>95469.222222222219</v>
      </c>
      <c r="O821" s="357">
        <f t="shared" si="138"/>
        <v>1526</v>
      </c>
      <c r="P821" s="410">
        <v>9</v>
      </c>
      <c r="Q821" s="358">
        <f t="shared" si="136"/>
        <v>4.1808219178082195</v>
      </c>
      <c r="R821" s="359">
        <f t="shared" si="139"/>
        <v>4.8191780821917805</v>
      </c>
      <c r="S821" s="360">
        <f t="shared" si="140"/>
        <v>4.8191780821917805</v>
      </c>
      <c r="T821" s="361">
        <f t="shared" si="141"/>
        <v>0.10555555555555554</v>
      </c>
      <c r="U821" s="362">
        <f t="shared" si="147"/>
        <v>15157.777777777776</v>
      </c>
      <c r="V821" s="362">
        <f t="shared" si="143"/>
        <v>80311.444444444438</v>
      </c>
      <c r="W821" s="362">
        <f t="shared" si="142"/>
        <v>7180</v>
      </c>
      <c r="X821" s="742">
        <f t="shared" si="144"/>
        <v>73131.444444444438</v>
      </c>
    </row>
    <row r="822" spans="1:24" ht="13.9">
      <c r="A822" s="349">
        <f t="shared" si="146"/>
        <v>814</v>
      </c>
      <c r="B822" s="407" t="s">
        <v>2120</v>
      </c>
      <c r="C822" s="407" t="s">
        <v>22</v>
      </c>
      <c r="D822" s="349" t="s">
        <v>2093</v>
      </c>
      <c r="E822" s="407" t="s">
        <v>2121</v>
      </c>
      <c r="F822" s="395"/>
      <c r="G822" s="404"/>
      <c r="H822" s="408">
        <v>800000</v>
      </c>
      <c r="I822" s="353"/>
      <c r="J822" s="353"/>
      <c r="K822" s="354">
        <f t="shared" si="137"/>
        <v>800000</v>
      </c>
      <c r="L822" s="409">
        <v>43885</v>
      </c>
      <c r="M822" s="742">
        <v>261662.44444444444</v>
      </c>
      <c r="N822" s="352">
        <f t="shared" si="145"/>
        <v>538337.5555555555</v>
      </c>
      <c r="O822" s="357">
        <f t="shared" si="138"/>
        <v>1498</v>
      </c>
      <c r="P822" s="410">
        <v>9</v>
      </c>
      <c r="Q822" s="358">
        <f t="shared" si="136"/>
        <v>4.1041095890410961</v>
      </c>
      <c r="R822" s="359">
        <f t="shared" si="139"/>
        <v>4.8958904109589039</v>
      </c>
      <c r="S822" s="360">
        <f t="shared" si="140"/>
        <v>4.8958904109589039</v>
      </c>
      <c r="T822" s="361">
        <f t="shared" si="141"/>
        <v>0.10555555555555554</v>
      </c>
      <c r="U822" s="362">
        <f t="shared" si="147"/>
        <v>84444.444444444438</v>
      </c>
      <c r="V822" s="362">
        <f t="shared" si="143"/>
        <v>453893.11111111107</v>
      </c>
      <c r="W822" s="362">
        <f t="shared" si="142"/>
        <v>40000</v>
      </c>
      <c r="X822" s="742">
        <f t="shared" si="144"/>
        <v>413893.11111111107</v>
      </c>
    </row>
    <row r="823" spans="1:24" ht="13.9">
      <c r="A823" s="349">
        <f t="shared" si="146"/>
        <v>815</v>
      </c>
      <c r="B823" s="407" t="s">
        <v>1427</v>
      </c>
      <c r="C823" s="407" t="s">
        <v>22</v>
      </c>
      <c r="D823" s="349" t="s">
        <v>2093</v>
      </c>
      <c r="E823" s="407" t="s">
        <v>2121</v>
      </c>
      <c r="F823" s="395"/>
      <c r="G823" s="404"/>
      <c r="H823" s="408">
        <v>1200000</v>
      </c>
      <c r="I823" s="353"/>
      <c r="J823" s="353"/>
      <c r="K823" s="354">
        <f t="shared" si="137"/>
        <v>1200000</v>
      </c>
      <c r="L823" s="409">
        <v>43885</v>
      </c>
      <c r="M823" s="742">
        <v>392492.66666666663</v>
      </c>
      <c r="N823" s="352">
        <f t="shared" si="145"/>
        <v>807507.33333333337</v>
      </c>
      <c r="O823" s="357">
        <f t="shared" si="138"/>
        <v>1498</v>
      </c>
      <c r="P823" s="410">
        <v>9</v>
      </c>
      <c r="Q823" s="358">
        <f t="shared" si="136"/>
        <v>4.1041095890410961</v>
      </c>
      <c r="R823" s="359">
        <f t="shared" si="139"/>
        <v>4.8958904109589039</v>
      </c>
      <c r="S823" s="360">
        <f t="shared" si="140"/>
        <v>4.8958904109589039</v>
      </c>
      <c r="T823" s="361">
        <f t="shared" si="141"/>
        <v>0.10555555555555554</v>
      </c>
      <c r="U823" s="362">
        <f t="shared" si="147"/>
        <v>126666.66666666664</v>
      </c>
      <c r="V823" s="362">
        <f t="shared" si="143"/>
        <v>680840.66666666674</v>
      </c>
      <c r="W823" s="362">
        <f t="shared" si="142"/>
        <v>60000</v>
      </c>
      <c r="X823" s="742">
        <f t="shared" si="144"/>
        <v>620840.66666666674</v>
      </c>
    </row>
    <row r="824" spans="1:24" ht="13.9">
      <c r="A824" s="349">
        <f t="shared" si="146"/>
        <v>816</v>
      </c>
      <c r="B824" s="407" t="s">
        <v>2122</v>
      </c>
      <c r="C824" s="407" t="s">
        <v>19</v>
      </c>
      <c r="D824" s="349" t="s">
        <v>2093</v>
      </c>
      <c r="E824" s="407" t="s">
        <v>2123</v>
      </c>
      <c r="F824" s="395"/>
      <c r="G824" s="404"/>
      <c r="H824" s="408">
        <v>76500</v>
      </c>
      <c r="I824" s="353"/>
      <c r="J824" s="353"/>
      <c r="K824" s="354">
        <f t="shared" si="137"/>
        <v>76500</v>
      </c>
      <c r="L824" s="409">
        <v>43754</v>
      </c>
      <c r="M824" s="742">
        <v>72675</v>
      </c>
      <c r="N824" s="352">
        <f t="shared" si="145"/>
        <v>3825</v>
      </c>
      <c r="O824" s="357">
        <f t="shared" si="138"/>
        <v>1629</v>
      </c>
      <c r="P824" s="410">
        <v>2</v>
      </c>
      <c r="Q824" s="358">
        <f t="shared" si="136"/>
        <v>4.463013698630137</v>
      </c>
      <c r="R824" s="359">
        <f t="shared" si="139"/>
        <v>-2.463013698630137</v>
      </c>
      <c r="S824" s="360">
        <f t="shared" si="140"/>
        <v>0</v>
      </c>
      <c r="T824" s="361">
        <f t="shared" si="141"/>
        <v>0.47499999999999998</v>
      </c>
      <c r="U824" s="362">
        <v>0</v>
      </c>
      <c r="V824" s="362">
        <f t="shared" si="143"/>
        <v>3825</v>
      </c>
      <c r="W824" s="362">
        <f t="shared" si="142"/>
        <v>3825</v>
      </c>
      <c r="X824" s="742">
        <f t="shared" si="144"/>
        <v>0</v>
      </c>
    </row>
    <row r="825" spans="1:24" ht="13.9">
      <c r="A825" s="349">
        <f t="shared" si="146"/>
        <v>817</v>
      </c>
      <c r="B825" s="407" t="s">
        <v>2124</v>
      </c>
      <c r="C825" s="407" t="s">
        <v>19</v>
      </c>
      <c r="D825" s="349" t="s">
        <v>2093</v>
      </c>
      <c r="E825" s="407" t="s">
        <v>2123</v>
      </c>
      <c r="F825" s="395"/>
      <c r="G825" s="404"/>
      <c r="H825" s="408">
        <v>25000</v>
      </c>
      <c r="I825" s="353"/>
      <c r="J825" s="353"/>
      <c r="K825" s="354">
        <f t="shared" si="137"/>
        <v>25000</v>
      </c>
      <c r="L825" s="409">
        <v>43756</v>
      </c>
      <c r="M825" s="742">
        <v>23750</v>
      </c>
      <c r="N825" s="352">
        <f t="shared" si="145"/>
        <v>1250</v>
      </c>
      <c r="O825" s="357">
        <f t="shared" si="138"/>
        <v>1627</v>
      </c>
      <c r="P825" s="410">
        <v>2</v>
      </c>
      <c r="Q825" s="358">
        <f t="shared" si="136"/>
        <v>4.4575342465753423</v>
      </c>
      <c r="R825" s="359">
        <f t="shared" si="139"/>
        <v>-2.4575342465753423</v>
      </c>
      <c r="S825" s="360">
        <f t="shared" si="140"/>
        <v>0</v>
      </c>
      <c r="T825" s="361">
        <f t="shared" si="141"/>
        <v>0.47499999999999998</v>
      </c>
      <c r="U825" s="362">
        <v>0</v>
      </c>
      <c r="V825" s="362">
        <f t="shared" si="143"/>
        <v>1250</v>
      </c>
      <c r="W825" s="362">
        <f t="shared" si="142"/>
        <v>1250</v>
      </c>
      <c r="X825" s="742">
        <f t="shared" si="144"/>
        <v>0</v>
      </c>
    </row>
    <row r="826" spans="1:24" ht="13.9">
      <c r="A826" s="349">
        <f t="shared" si="146"/>
        <v>818</v>
      </c>
      <c r="B826" s="407" t="s">
        <v>2125</v>
      </c>
      <c r="C826" s="407" t="s">
        <v>19</v>
      </c>
      <c r="D826" s="349" t="s">
        <v>2093</v>
      </c>
      <c r="E826" s="407" t="s">
        <v>2123</v>
      </c>
      <c r="F826" s="395"/>
      <c r="G826" s="404"/>
      <c r="H826" s="408">
        <v>193820</v>
      </c>
      <c r="I826" s="353"/>
      <c r="J826" s="353"/>
      <c r="K826" s="354">
        <f t="shared" si="137"/>
        <v>193820</v>
      </c>
      <c r="L826" s="409">
        <v>43796</v>
      </c>
      <c r="M826" s="742">
        <v>184129</v>
      </c>
      <c r="N826" s="352">
        <f t="shared" si="145"/>
        <v>9691</v>
      </c>
      <c r="O826" s="357">
        <f t="shared" si="138"/>
        <v>1587</v>
      </c>
      <c r="P826" s="410">
        <v>2</v>
      </c>
      <c r="Q826" s="358">
        <f t="shared" si="136"/>
        <v>4.3479452054794523</v>
      </c>
      <c r="R826" s="359">
        <f t="shared" si="139"/>
        <v>-2.3479452054794523</v>
      </c>
      <c r="S826" s="360">
        <f t="shared" si="140"/>
        <v>0</v>
      </c>
      <c r="T826" s="361">
        <f t="shared" si="141"/>
        <v>0.47499999999999998</v>
      </c>
      <c r="U826" s="362">
        <v>0</v>
      </c>
      <c r="V826" s="362">
        <f t="shared" si="143"/>
        <v>9691</v>
      </c>
      <c r="W826" s="362">
        <f t="shared" si="142"/>
        <v>9691</v>
      </c>
      <c r="X826" s="742">
        <f t="shared" si="144"/>
        <v>0</v>
      </c>
    </row>
    <row r="827" spans="1:24" ht="13.9">
      <c r="A827" s="349">
        <f t="shared" si="146"/>
        <v>819</v>
      </c>
      <c r="B827" s="407" t="s">
        <v>2122</v>
      </c>
      <c r="C827" s="407" t="s">
        <v>19</v>
      </c>
      <c r="D827" s="349" t="s">
        <v>2093</v>
      </c>
      <c r="E827" s="407" t="s">
        <v>2123</v>
      </c>
      <c r="F827" s="395"/>
      <c r="G827" s="404"/>
      <c r="H827" s="408">
        <v>62000</v>
      </c>
      <c r="I827" s="353"/>
      <c r="J827" s="353"/>
      <c r="K827" s="354">
        <f t="shared" si="137"/>
        <v>62000</v>
      </c>
      <c r="L827" s="409">
        <v>43839</v>
      </c>
      <c r="M827" s="742">
        <v>58900</v>
      </c>
      <c r="N827" s="352">
        <f t="shared" si="145"/>
        <v>3100</v>
      </c>
      <c r="O827" s="357">
        <f t="shared" si="138"/>
        <v>1544</v>
      </c>
      <c r="P827" s="410">
        <v>2</v>
      </c>
      <c r="Q827" s="358">
        <f t="shared" si="136"/>
        <v>4.2301369863013702</v>
      </c>
      <c r="R827" s="359">
        <f t="shared" si="139"/>
        <v>-2.2301369863013702</v>
      </c>
      <c r="S827" s="360">
        <f t="shared" si="140"/>
        <v>0</v>
      </c>
      <c r="T827" s="361">
        <f t="shared" si="141"/>
        <v>0.47499999999999998</v>
      </c>
      <c r="U827" s="362">
        <v>0</v>
      </c>
      <c r="V827" s="362">
        <f t="shared" si="143"/>
        <v>3100</v>
      </c>
      <c r="W827" s="362">
        <f t="shared" si="142"/>
        <v>3100</v>
      </c>
      <c r="X827" s="742">
        <f t="shared" si="144"/>
        <v>0</v>
      </c>
    </row>
    <row r="828" spans="1:24" ht="13.9">
      <c r="A828" s="349">
        <f t="shared" si="146"/>
        <v>820</v>
      </c>
      <c r="B828" s="407" t="s">
        <v>2122</v>
      </c>
      <c r="C828" s="407" t="s">
        <v>19</v>
      </c>
      <c r="D828" s="349" t="s">
        <v>2093</v>
      </c>
      <c r="E828" s="407" t="s">
        <v>2123</v>
      </c>
      <c r="F828" s="395"/>
      <c r="G828" s="404"/>
      <c r="H828" s="408">
        <v>46500</v>
      </c>
      <c r="I828" s="353"/>
      <c r="J828" s="353"/>
      <c r="K828" s="354">
        <f t="shared" si="137"/>
        <v>46500</v>
      </c>
      <c r="L828" s="409">
        <v>43869</v>
      </c>
      <c r="M828" s="742">
        <v>44175</v>
      </c>
      <c r="N828" s="352">
        <f t="shared" si="145"/>
        <v>2325</v>
      </c>
      <c r="O828" s="357">
        <f t="shared" si="138"/>
        <v>1514</v>
      </c>
      <c r="P828" s="410">
        <v>2</v>
      </c>
      <c r="Q828" s="358">
        <f t="shared" si="136"/>
        <v>4.1479452054794521</v>
      </c>
      <c r="R828" s="359">
        <f t="shared" si="139"/>
        <v>-2.1479452054794521</v>
      </c>
      <c r="S828" s="360">
        <f t="shared" si="140"/>
        <v>0</v>
      </c>
      <c r="T828" s="361">
        <f t="shared" si="141"/>
        <v>0.47499999999999998</v>
      </c>
      <c r="U828" s="362">
        <v>0</v>
      </c>
      <c r="V828" s="362">
        <f t="shared" si="143"/>
        <v>2325</v>
      </c>
      <c r="W828" s="362">
        <f t="shared" si="142"/>
        <v>2325</v>
      </c>
      <c r="X828" s="742">
        <f t="shared" si="144"/>
        <v>0</v>
      </c>
    </row>
    <row r="829" spans="1:24" ht="13.9">
      <c r="A829" s="349">
        <f t="shared" si="146"/>
        <v>821</v>
      </c>
      <c r="B829" s="407" t="s">
        <v>2122</v>
      </c>
      <c r="C829" s="407" t="s">
        <v>19</v>
      </c>
      <c r="D829" s="349" t="s">
        <v>2093</v>
      </c>
      <c r="E829" s="407" t="s">
        <v>2123</v>
      </c>
      <c r="F829" s="395"/>
      <c r="G829" s="404"/>
      <c r="H829" s="408">
        <v>62000</v>
      </c>
      <c r="I829" s="353"/>
      <c r="J829" s="353"/>
      <c r="K829" s="354">
        <f t="shared" si="137"/>
        <v>62000</v>
      </c>
      <c r="L829" s="409">
        <v>43878</v>
      </c>
      <c r="M829" s="742">
        <v>58900</v>
      </c>
      <c r="N829" s="352">
        <f t="shared" si="145"/>
        <v>3100</v>
      </c>
      <c r="O829" s="357">
        <f t="shared" si="138"/>
        <v>1505</v>
      </c>
      <c r="P829" s="410">
        <v>2</v>
      </c>
      <c r="Q829" s="358">
        <f t="shared" si="136"/>
        <v>4.1232876712328768</v>
      </c>
      <c r="R829" s="359">
        <f t="shared" si="139"/>
        <v>-2.1232876712328768</v>
      </c>
      <c r="S829" s="360">
        <f t="shared" si="140"/>
        <v>0</v>
      </c>
      <c r="T829" s="361">
        <f t="shared" si="141"/>
        <v>0.47499999999999998</v>
      </c>
      <c r="U829" s="362">
        <v>0</v>
      </c>
      <c r="V829" s="362">
        <f t="shared" si="143"/>
        <v>3100</v>
      </c>
      <c r="W829" s="362">
        <f t="shared" si="142"/>
        <v>3100</v>
      </c>
      <c r="X829" s="742">
        <f t="shared" si="144"/>
        <v>0</v>
      </c>
    </row>
    <row r="830" spans="1:24" ht="13.9">
      <c r="A830" s="349">
        <f t="shared" si="146"/>
        <v>822</v>
      </c>
      <c r="B830" s="407" t="s">
        <v>983</v>
      </c>
      <c r="C830" s="407" t="s">
        <v>19</v>
      </c>
      <c r="D830" s="349" t="s">
        <v>2093</v>
      </c>
      <c r="E830" s="407" t="s">
        <v>984</v>
      </c>
      <c r="F830" s="395"/>
      <c r="G830" s="404"/>
      <c r="H830" s="408">
        <v>37835</v>
      </c>
      <c r="I830" s="353"/>
      <c r="J830" s="353"/>
      <c r="K830" s="354">
        <f t="shared" si="137"/>
        <v>37835</v>
      </c>
      <c r="L830" s="409">
        <v>43767</v>
      </c>
      <c r="M830" s="742">
        <v>13665.694444444443</v>
      </c>
      <c r="N830" s="352">
        <f t="shared" si="145"/>
        <v>24169.305555555555</v>
      </c>
      <c r="O830" s="357">
        <f t="shared" si="138"/>
        <v>1616</v>
      </c>
      <c r="P830" s="410">
        <v>9</v>
      </c>
      <c r="Q830" s="358">
        <f t="shared" si="136"/>
        <v>4.4273972602739722</v>
      </c>
      <c r="R830" s="359">
        <f t="shared" si="139"/>
        <v>4.5726027397260278</v>
      </c>
      <c r="S830" s="360">
        <f t="shared" si="140"/>
        <v>4.5726027397260278</v>
      </c>
      <c r="T830" s="361">
        <f t="shared" si="141"/>
        <v>0.10555555555555554</v>
      </c>
      <c r="U830" s="362">
        <f t="shared" si="147"/>
        <v>3993.6944444444439</v>
      </c>
      <c r="V830" s="362">
        <f t="shared" si="143"/>
        <v>20175.611111111109</v>
      </c>
      <c r="W830" s="362">
        <f t="shared" si="142"/>
        <v>1892</v>
      </c>
      <c r="X830" s="742">
        <f t="shared" si="144"/>
        <v>18283.611111111109</v>
      </c>
    </row>
    <row r="831" spans="1:24" ht="13.9">
      <c r="A831" s="349">
        <f t="shared" si="146"/>
        <v>823</v>
      </c>
      <c r="B831" s="407" t="s">
        <v>983</v>
      </c>
      <c r="C831" s="407" t="s">
        <v>19</v>
      </c>
      <c r="D831" s="349" t="s">
        <v>2093</v>
      </c>
      <c r="E831" s="407" t="s">
        <v>984</v>
      </c>
      <c r="F831" s="395"/>
      <c r="G831" s="404"/>
      <c r="H831" s="408">
        <v>37835</v>
      </c>
      <c r="I831" s="353"/>
      <c r="J831" s="353"/>
      <c r="K831" s="354">
        <f t="shared" si="137"/>
        <v>37835</v>
      </c>
      <c r="L831" s="409">
        <v>43768</v>
      </c>
      <c r="M831" s="742">
        <v>13654.694444444443</v>
      </c>
      <c r="N831" s="352">
        <f t="shared" si="145"/>
        <v>24180.305555555555</v>
      </c>
      <c r="O831" s="357">
        <f t="shared" si="138"/>
        <v>1615</v>
      </c>
      <c r="P831" s="410">
        <v>9</v>
      </c>
      <c r="Q831" s="358">
        <f t="shared" si="136"/>
        <v>4.4246575342465757</v>
      </c>
      <c r="R831" s="359">
        <f t="shared" si="139"/>
        <v>4.5753424657534243</v>
      </c>
      <c r="S831" s="360">
        <f t="shared" si="140"/>
        <v>4.5753424657534243</v>
      </c>
      <c r="T831" s="361">
        <f t="shared" si="141"/>
        <v>0.10555555555555554</v>
      </c>
      <c r="U831" s="362">
        <f t="shared" si="147"/>
        <v>3993.6944444444439</v>
      </c>
      <c r="V831" s="362">
        <f t="shared" si="143"/>
        <v>20186.611111111109</v>
      </c>
      <c r="W831" s="362">
        <f t="shared" si="142"/>
        <v>1892</v>
      </c>
      <c r="X831" s="742">
        <f t="shared" si="144"/>
        <v>18294.611111111109</v>
      </c>
    </row>
    <row r="832" spans="1:24" ht="13.9">
      <c r="A832" s="349">
        <f t="shared" si="146"/>
        <v>824</v>
      </c>
      <c r="B832" s="407" t="s">
        <v>983</v>
      </c>
      <c r="C832" s="407" t="s">
        <v>19</v>
      </c>
      <c r="D832" s="349" t="s">
        <v>2093</v>
      </c>
      <c r="E832" s="407" t="s">
        <v>984</v>
      </c>
      <c r="F832" s="395"/>
      <c r="G832" s="404"/>
      <c r="H832" s="408">
        <v>37835</v>
      </c>
      <c r="I832" s="353"/>
      <c r="J832" s="353"/>
      <c r="K832" s="354">
        <f t="shared" si="137"/>
        <v>37835</v>
      </c>
      <c r="L832" s="409">
        <v>43769</v>
      </c>
      <c r="M832" s="742">
        <v>13644.694444444443</v>
      </c>
      <c r="N832" s="352">
        <f t="shared" si="145"/>
        <v>24190.305555555555</v>
      </c>
      <c r="O832" s="357">
        <f t="shared" si="138"/>
        <v>1614</v>
      </c>
      <c r="P832" s="410">
        <v>9</v>
      </c>
      <c r="Q832" s="358">
        <f t="shared" si="136"/>
        <v>4.4219178082191783</v>
      </c>
      <c r="R832" s="359">
        <f t="shared" si="139"/>
        <v>4.5780821917808217</v>
      </c>
      <c r="S832" s="360">
        <f t="shared" si="140"/>
        <v>4.5780821917808217</v>
      </c>
      <c r="T832" s="361">
        <f t="shared" si="141"/>
        <v>0.10555555555555554</v>
      </c>
      <c r="U832" s="362">
        <f t="shared" si="147"/>
        <v>3993.6944444444439</v>
      </c>
      <c r="V832" s="362">
        <f t="shared" si="143"/>
        <v>20196.611111111109</v>
      </c>
      <c r="W832" s="362">
        <f t="shared" si="142"/>
        <v>1892</v>
      </c>
      <c r="X832" s="742">
        <f t="shared" si="144"/>
        <v>18304.611111111109</v>
      </c>
    </row>
    <row r="833" spans="1:24" ht="13.9">
      <c r="A833" s="349">
        <f t="shared" si="146"/>
        <v>825</v>
      </c>
      <c r="B833" s="407" t="s">
        <v>983</v>
      </c>
      <c r="C833" s="407" t="s">
        <v>19</v>
      </c>
      <c r="D833" s="349" t="s">
        <v>2093</v>
      </c>
      <c r="E833" s="407" t="s">
        <v>984</v>
      </c>
      <c r="F833" s="395"/>
      <c r="G833" s="404"/>
      <c r="H833" s="408">
        <v>37835</v>
      </c>
      <c r="I833" s="353"/>
      <c r="J833" s="353"/>
      <c r="K833" s="354">
        <f t="shared" si="137"/>
        <v>37835</v>
      </c>
      <c r="L833" s="409">
        <v>43770</v>
      </c>
      <c r="M833" s="742">
        <v>13633.694444444443</v>
      </c>
      <c r="N833" s="352">
        <f t="shared" si="145"/>
        <v>24201.305555555555</v>
      </c>
      <c r="O833" s="357">
        <f t="shared" si="138"/>
        <v>1613</v>
      </c>
      <c r="P833" s="410">
        <v>9</v>
      </c>
      <c r="Q833" s="358">
        <f t="shared" ref="Q833:Q896" si="148">+O833/365</f>
        <v>4.419178082191781</v>
      </c>
      <c r="R833" s="359">
        <f t="shared" si="139"/>
        <v>4.580821917808219</v>
      </c>
      <c r="S833" s="360">
        <f t="shared" si="140"/>
        <v>4.580821917808219</v>
      </c>
      <c r="T833" s="361">
        <f t="shared" si="141"/>
        <v>0.10555555555555554</v>
      </c>
      <c r="U833" s="362">
        <f t="shared" si="147"/>
        <v>3993.6944444444439</v>
      </c>
      <c r="V833" s="362">
        <f t="shared" si="143"/>
        <v>20207.611111111109</v>
      </c>
      <c r="W833" s="362">
        <f t="shared" si="142"/>
        <v>1892</v>
      </c>
      <c r="X833" s="742">
        <f t="shared" si="144"/>
        <v>18315.611111111109</v>
      </c>
    </row>
    <row r="834" spans="1:24" ht="13.9">
      <c r="A834" s="349">
        <f t="shared" si="146"/>
        <v>826</v>
      </c>
      <c r="B834" s="407" t="s">
        <v>983</v>
      </c>
      <c r="C834" s="407" t="s">
        <v>19</v>
      </c>
      <c r="D834" s="349" t="s">
        <v>2093</v>
      </c>
      <c r="E834" s="407" t="s">
        <v>984</v>
      </c>
      <c r="F834" s="395"/>
      <c r="G834" s="404"/>
      <c r="H834" s="408">
        <v>37835</v>
      </c>
      <c r="I834" s="353"/>
      <c r="J834" s="353"/>
      <c r="K834" s="354">
        <f t="shared" si="137"/>
        <v>37835</v>
      </c>
      <c r="L834" s="409">
        <v>43773</v>
      </c>
      <c r="M834" s="742">
        <v>13600.694444444443</v>
      </c>
      <c r="N834" s="352">
        <f t="shared" si="145"/>
        <v>24234.305555555555</v>
      </c>
      <c r="O834" s="357">
        <f t="shared" si="138"/>
        <v>1610</v>
      </c>
      <c r="P834" s="410">
        <v>9</v>
      </c>
      <c r="Q834" s="358">
        <f t="shared" si="148"/>
        <v>4.4109589041095889</v>
      </c>
      <c r="R834" s="359">
        <f t="shared" si="139"/>
        <v>4.5890410958904111</v>
      </c>
      <c r="S834" s="360">
        <f t="shared" si="140"/>
        <v>4.5890410958904111</v>
      </c>
      <c r="T834" s="361">
        <f t="shared" si="141"/>
        <v>0.10555555555555554</v>
      </c>
      <c r="U834" s="362">
        <f t="shared" si="147"/>
        <v>3993.6944444444439</v>
      </c>
      <c r="V834" s="362">
        <f t="shared" si="143"/>
        <v>20240.611111111109</v>
      </c>
      <c r="W834" s="362">
        <f t="shared" si="142"/>
        <v>1892</v>
      </c>
      <c r="X834" s="742">
        <f t="shared" si="144"/>
        <v>18348.611111111109</v>
      </c>
    </row>
    <row r="835" spans="1:24" ht="13.9">
      <c r="A835" s="349">
        <f t="shared" si="146"/>
        <v>827</v>
      </c>
      <c r="B835" s="407" t="s">
        <v>1884</v>
      </c>
      <c r="C835" s="407" t="s">
        <v>27</v>
      </c>
      <c r="D835" s="349" t="s">
        <v>2093</v>
      </c>
      <c r="E835" s="407" t="s">
        <v>2126</v>
      </c>
      <c r="F835" s="395"/>
      <c r="G835" s="404"/>
      <c r="H835" s="408">
        <v>30096000</v>
      </c>
      <c r="I835" s="353"/>
      <c r="J835" s="353"/>
      <c r="K835" s="354">
        <f t="shared" si="137"/>
        <v>30096000</v>
      </c>
      <c r="L835" s="409">
        <v>43853</v>
      </c>
      <c r="M835" s="742">
        <v>10122242</v>
      </c>
      <c r="N835" s="352">
        <f t="shared" si="145"/>
        <v>19973758</v>
      </c>
      <c r="O835" s="357">
        <f t="shared" si="138"/>
        <v>1530</v>
      </c>
      <c r="P835" s="410">
        <v>9</v>
      </c>
      <c r="Q835" s="358">
        <f t="shared" si="148"/>
        <v>4.1917808219178081</v>
      </c>
      <c r="R835" s="359">
        <f t="shared" si="139"/>
        <v>4.8082191780821919</v>
      </c>
      <c r="S835" s="360">
        <f t="shared" si="140"/>
        <v>4.8082191780821919</v>
      </c>
      <c r="T835" s="361">
        <f t="shared" si="141"/>
        <v>0.10555555555555554</v>
      </c>
      <c r="U835" s="362">
        <f t="shared" si="147"/>
        <v>3176799.9999999995</v>
      </c>
      <c r="V835" s="362">
        <f t="shared" si="143"/>
        <v>16796958</v>
      </c>
      <c r="W835" s="362">
        <f t="shared" si="142"/>
        <v>1504800</v>
      </c>
      <c r="X835" s="742">
        <f t="shared" si="144"/>
        <v>15292158</v>
      </c>
    </row>
    <row r="836" spans="1:24" ht="13.9">
      <c r="A836" s="349">
        <f t="shared" si="146"/>
        <v>828</v>
      </c>
      <c r="B836" s="407" t="s">
        <v>1884</v>
      </c>
      <c r="C836" s="407" t="s">
        <v>27</v>
      </c>
      <c r="D836" s="349" t="s">
        <v>2093</v>
      </c>
      <c r="E836" s="407" t="s">
        <v>2126</v>
      </c>
      <c r="F836" s="395"/>
      <c r="G836" s="404"/>
      <c r="H836" s="408">
        <v>30096000</v>
      </c>
      <c r="I836" s="353"/>
      <c r="J836" s="353"/>
      <c r="K836" s="354">
        <f t="shared" si="137"/>
        <v>30096000</v>
      </c>
      <c r="L836" s="409">
        <v>43886</v>
      </c>
      <c r="M836" s="742">
        <v>9835025</v>
      </c>
      <c r="N836" s="352">
        <f t="shared" si="145"/>
        <v>20260975</v>
      </c>
      <c r="O836" s="357">
        <f t="shared" si="138"/>
        <v>1497</v>
      </c>
      <c r="P836" s="410">
        <v>9</v>
      </c>
      <c r="Q836" s="358">
        <f t="shared" si="148"/>
        <v>4.1013698630136988</v>
      </c>
      <c r="R836" s="359">
        <f t="shared" si="139"/>
        <v>4.8986301369863012</v>
      </c>
      <c r="S836" s="360">
        <f t="shared" si="140"/>
        <v>4.8986301369863012</v>
      </c>
      <c r="T836" s="361">
        <f t="shared" si="141"/>
        <v>0.10555555555555554</v>
      </c>
      <c r="U836" s="362">
        <f t="shared" si="147"/>
        <v>3176799.9999999995</v>
      </c>
      <c r="V836" s="362">
        <f t="shared" si="143"/>
        <v>17084175</v>
      </c>
      <c r="W836" s="362">
        <f t="shared" si="142"/>
        <v>1504800</v>
      </c>
      <c r="X836" s="742">
        <f t="shared" si="144"/>
        <v>15579375</v>
      </c>
    </row>
    <row r="837" spans="1:24" ht="13.9">
      <c r="A837" s="349">
        <f t="shared" si="146"/>
        <v>829</v>
      </c>
      <c r="B837" s="407" t="s">
        <v>2025</v>
      </c>
      <c r="C837" s="407" t="s">
        <v>20</v>
      </c>
      <c r="D837" s="349" t="s">
        <v>2093</v>
      </c>
      <c r="E837" s="407" t="s">
        <v>2117</v>
      </c>
      <c r="F837" s="395"/>
      <c r="G837" s="404"/>
      <c r="H837" s="408">
        <v>3250000</v>
      </c>
      <c r="I837" s="353"/>
      <c r="J837" s="353"/>
      <c r="K837" s="354">
        <f t="shared" si="137"/>
        <v>3250000</v>
      </c>
      <c r="L837" s="409">
        <v>43759</v>
      </c>
      <c r="M837" s="742">
        <v>1181426.5555555555</v>
      </c>
      <c r="N837" s="352">
        <f t="shared" si="145"/>
        <v>2068573.4444444445</v>
      </c>
      <c r="O837" s="357">
        <f t="shared" si="138"/>
        <v>1624</v>
      </c>
      <c r="P837" s="410">
        <v>9</v>
      </c>
      <c r="Q837" s="358">
        <f t="shared" si="148"/>
        <v>4.4493150684931511</v>
      </c>
      <c r="R837" s="359">
        <f t="shared" si="139"/>
        <v>4.5506849315068489</v>
      </c>
      <c r="S837" s="360">
        <f t="shared" si="140"/>
        <v>4.5506849315068489</v>
      </c>
      <c r="T837" s="361">
        <f t="shared" si="141"/>
        <v>0.10555555555555554</v>
      </c>
      <c r="U837" s="362">
        <f t="shared" si="147"/>
        <v>343055.5555555555</v>
      </c>
      <c r="V837" s="362">
        <f t="shared" si="143"/>
        <v>1725517.888888889</v>
      </c>
      <c r="W837" s="362">
        <f t="shared" si="142"/>
        <v>162500</v>
      </c>
      <c r="X837" s="742">
        <f t="shared" si="144"/>
        <v>1563017.888888889</v>
      </c>
    </row>
    <row r="838" spans="1:24" ht="13.9">
      <c r="A838" s="349">
        <f t="shared" si="146"/>
        <v>830</v>
      </c>
      <c r="B838" s="407" t="s">
        <v>2127</v>
      </c>
      <c r="C838" s="407" t="s">
        <v>20</v>
      </c>
      <c r="D838" s="349" t="s">
        <v>2093</v>
      </c>
      <c r="E838" s="407" t="s">
        <v>2050</v>
      </c>
      <c r="F838" s="395"/>
      <c r="G838" s="404"/>
      <c r="H838" s="408">
        <v>2629950</v>
      </c>
      <c r="I838" s="353"/>
      <c r="J838" s="353"/>
      <c r="K838" s="354">
        <f t="shared" ref="K838:K901" si="149">+H838+I838-J838</f>
        <v>2629950</v>
      </c>
      <c r="L838" s="409">
        <v>43673</v>
      </c>
      <c r="M838" s="742">
        <v>1021437.8333333333</v>
      </c>
      <c r="N838" s="352">
        <f t="shared" si="145"/>
        <v>1608512.1666666667</v>
      </c>
      <c r="O838" s="357">
        <f t="shared" ref="O838:O901" si="150">+$O$3-L838+1</f>
        <v>1710</v>
      </c>
      <c r="P838" s="410">
        <v>9</v>
      </c>
      <c r="Q838" s="358">
        <f t="shared" si="148"/>
        <v>4.6849315068493151</v>
      </c>
      <c r="R838" s="359">
        <f t="shared" ref="R838:R901" si="151">+P838-Q838</f>
        <v>4.3150684931506849</v>
      </c>
      <c r="S838" s="360">
        <f t="shared" ref="S838:S901" si="152">IF(R838&lt;0,0,IF(R838&gt;365,365,R838))</f>
        <v>4.3150684931506849</v>
      </c>
      <c r="T838" s="361">
        <f t="shared" ref="T838:T901" si="153">1/P838*0.95</f>
        <v>0.10555555555555554</v>
      </c>
      <c r="U838" s="362">
        <f t="shared" si="147"/>
        <v>277605.83333333331</v>
      </c>
      <c r="V838" s="362">
        <f t="shared" si="143"/>
        <v>1330906.3333333335</v>
      </c>
      <c r="W838" s="362">
        <f t="shared" ref="W838:W901" si="154">ROUND(+H838*5%,0)</f>
        <v>131498</v>
      </c>
      <c r="X838" s="742">
        <f t="shared" si="144"/>
        <v>1199408.3333333335</v>
      </c>
    </row>
    <row r="839" spans="1:24" ht="13.9">
      <c r="A839" s="349">
        <f t="shared" si="146"/>
        <v>831</v>
      </c>
      <c r="B839" s="407" t="s">
        <v>2127</v>
      </c>
      <c r="C839" s="407" t="s">
        <v>20</v>
      </c>
      <c r="D839" s="349" t="s">
        <v>2093</v>
      </c>
      <c r="E839" s="407" t="s">
        <v>2050</v>
      </c>
      <c r="F839" s="395"/>
      <c r="G839" s="404"/>
      <c r="H839" s="408">
        <v>2629950</v>
      </c>
      <c r="I839" s="353"/>
      <c r="J839" s="353"/>
      <c r="K839" s="354">
        <f t="shared" si="149"/>
        <v>2629950</v>
      </c>
      <c r="L839" s="409">
        <v>43673</v>
      </c>
      <c r="M839" s="742">
        <v>1021437.8333333333</v>
      </c>
      <c r="N839" s="352">
        <f t="shared" si="145"/>
        <v>1608512.1666666667</v>
      </c>
      <c r="O839" s="357">
        <f t="shared" si="150"/>
        <v>1710</v>
      </c>
      <c r="P839" s="410">
        <v>9</v>
      </c>
      <c r="Q839" s="358">
        <f t="shared" si="148"/>
        <v>4.6849315068493151</v>
      </c>
      <c r="R839" s="359">
        <f t="shared" si="151"/>
        <v>4.3150684931506849</v>
      </c>
      <c r="S839" s="360">
        <f t="shared" si="152"/>
        <v>4.3150684931506849</v>
      </c>
      <c r="T839" s="361">
        <f t="shared" si="153"/>
        <v>0.10555555555555554</v>
      </c>
      <c r="U839" s="362">
        <f t="shared" si="147"/>
        <v>277605.83333333331</v>
      </c>
      <c r="V839" s="362">
        <f t="shared" ref="V839:V902" si="155">+N839-U839</f>
        <v>1330906.3333333335</v>
      </c>
      <c r="W839" s="362">
        <f t="shared" si="154"/>
        <v>131498</v>
      </c>
      <c r="X839" s="742">
        <f t="shared" ref="X839:X902" si="156">+V839-W839</f>
        <v>1199408.3333333335</v>
      </c>
    </row>
    <row r="840" spans="1:24" ht="13.9">
      <c r="A840" s="349">
        <f t="shared" si="146"/>
        <v>832</v>
      </c>
      <c r="B840" s="407" t="s">
        <v>2127</v>
      </c>
      <c r="C840" s="407" t="s">
        <v>20</v>
      </c>
      <c r="D840" s="349" t="s">
        <v>2093</v>
      </c>
      <c r="E840" s="407" t="s">
        <v>2050</v>
      </c>
      <c r="F840" s="395"/>
      <c r="G840" s="404"/>
      <c r="H840" s="408">
        <v>2629950</v>
      </c>
      <c r="I840" s="353"/>
      <c r="J840" s="353"/>
      <c r="K840" s="354">
        <f t="shared" si="149"/>
        <v>2629950</v>
      </c>
      <c r="L840" s="409">
        <v>43673</v>
      </c>
      <c r="M840" s="742">
        <v>1021437.8333333333</v>
      </c>
      <c r="N840" s="352">
        <f t="shared" ref="N840:N903" si="157">+K840-M840</f>
        <v>1608512.1666666667</v>
      </c>
      <c r="O840" s="357">
        <f t="shared" si="150"/>
        <v>1710</v>
      </c>
      <c r="P840" s="410">
        <v>9</v>
      </c>
      <c r="Q840" s="358">
        <f t="shared" si="148"/>
        <v>4.6849315068493151</v>
      </c>
      <c r="R840" s="359">
        <f t="shared" si="151"/>
        <v>4.3150684931506849</v>
      </c>
      <c r="S840" s="360">
        <f t="shared" si="152"/>
        <v>4.3150684931506849</v>
      </c>
      <c r="T840" s="361">
        <f t="shared" si="153"/>
        <v>0.10555555555555554</v>
      </c>
      <c r="U840" s="362">
        <f t="shared" si="147"/>
        <v>277605.83333333331</v>
      </c>
      <c r="V840" s="362">
        <f t="shared" si="155"/>
        <v>1330906.3333333335</v>
      </c>
      <c r="W840" s="362">
        <f t="shared" si="154"/>
        <v>131498</v>
      </c>
      <c r="X840" s="742">
        <f t="shared" si="156"/>
        <v>1199408.3333333335</v>
      </c>
    </row>
    <row r="841" spans="1:24" ht="13.9">
      <c r="A841" s="349">
        <f t="shared" si="146"/>
        <v>833</v>
      </c>
      <c r="B841" s="407" t="s">
        <v>2127</v>
      </c>
      <c r="C841" s="407" t="s">
        <v>20</v>
      </c>
      <c r="D841" s="349" t="s">
        <v>2093</v>
      </c>
      <c r="E841" s="407" t="s">
        <v>2050</v>
      </c>
      <c r="F841" s="395"/>
      <c r="G841" s="404"/>
      <c r="H841" s="408">
        <v>2629950</v>
      </c>
      <c r="I841" s="353"/>
      <c r="J841" s="353"/>
      <c r="K841" s="354">
        <f t="shared" si="149"/>
        <v>2629950</v>
      </c>
      <c r="L841" s="409">
        <v>43673</v>
      </c>
      <c r="M841" s="742">
        <v>1021437.8333333333</v>
      </c>
      <c r="N841" s="352">
        <f t="shared" si="157"/>
        <v>1608512.1666666667</v>
      </c>
      <c r="O841" s="357">
        <f t="shared" si="150"/>
        <v>1710</v>
      </c>
      <c r="P841" s="410">
        <v>9</v>
      </c>
      <c r="Q841" s="358">
        <f t="shared" si="148"/>
        <v>4.6849315068493151</v>
      </c>
      <c r="R841" s="359">
        <f t="shared" si="151"/>
        <v>4.3150684931506849</v>
      </c>
      <c r="S841" s="360">
        <f t="shared" si="152"/>
        <v>4.3150684931506849</v>
      </c>
      <c r="T841" s="361">
        <f t="shared" si="153"/>
        <v>0.10555555555555554</v>
      </c>
      <c r="U841" s="362">
        <f t="shared" si="147"/>
        <v>277605.83333333331</v>
      </c>
      <c r="V841" s="362">
        <f t="shared" si="155"/>
        <v>1330906.3333333335</v>
      </c>
      <c r="W841" s="362">
        <f t="shared" si="154"/>
        <v>131498</v>
      </c>
      <c r="X841" s="742">
        <f t="shared" si="156"/>
        <v>1199408.3333333335</v>
      </c>
    </row>
    <row r="842" spans="1:24" ht="13.9">
      <c r="A842" s="349">
        <f t="shared" ref="A842:A905" si="158">+A841+1</f>
        <v>834</v>
      </c>
      <c r="B842" s="407" t="s">
        <v>2127</v>
      </c>
      <c r="C842" s="407" t="s">
        <v>20</v>
      </c>
      <c r="D842" s="349" t="s">
        <v>2093</v>
      </c>
      <c r="E842" s="407" t="s">
        <v>2050</v>
      </c>
      <c r="F842" s="395"/>
      <c r="G842" s="404"/>
      <c r="H842" s="408">
        <v>2629950</v>
      </c>
      <c r="I842" s="353"/>
      <c r="J842" s="353"/>
      <c r="K842" s="354">
        <f t="shared" si="149"/>
        <v>2629950</v>
      </c>
      <c r="L842" s="409">
        <v>43673</v>
      </c>
      <c r="M842" s="742">
        <v>1021437.8333333333</v>
      </c>
      <c r="N842" s="352">
        <f t="shared" si="157"/>
        <v>1608512.1666666667</v>
      </c>
      <c r="O842" s="357">
        <f t="shared" si="150"/>
        <v>1710</v>
      </c>
      <c r="P842" s="410">
        <v>9</v>
      </c>
      <c r="Q842" s="358">
        <f t="shared" si="148"/>
        <v>4.6849315068493151</v>
      </c>
      <c r="R842" s="359">
        <f t="shared" si="151"/>
        <v>4.3150684931506849</v>
      </c>
      <c r="S842" s="360">
        <f t="shared" si="152"/>
        <v>4.3150684931506849</v>
      </c>
      <c r="T842" s="361">
        <f t="shared" si="153"/>
        <v>0.10555555555555554</v>
      </c>
      <c r="U842" s="362">
        <f t="shared" si="147"/>
        <v>277605.83333333331</v>
      </c>
      <c r="V842" s="362">
        <f t="shared" si="155"/>
        <v>1330906.3333333335</v>
      </c>
      <c r="W842" s="362">
        <f t="shared" si="154"/>
        <v>131498</v>
      </c>
      <c r="X842" s="742">
        <f t="shared" si="156"/>
        <v>1199408.3333333335</v>
      </c>
    </row>
    <row r="843" spans="1:24" ht="13.9">
      <c r="A843" s="349">
        <f t="shared" si="158"/>
        <v>835</v>
      </c>
      <c r="B843" s="407" t="s">
        <v>2127</v>
      </c>
      <c r="C843" s="407" t="s">
        <v>20</v>
      </c>
      <c r="D843" s="349" t="s">
        <v>2093</v>
      </c>
      <c r="E843" s="407" t="s">
        <v>2050</v>
      </c>
      <c r="F843" s="395"/>
      <c r="G843" s="404"/>
      <c r="H843" s="408">
        <v>2629950</v>
      </c>
      <c r="I843" s="353"/>
      <c r="J843" s="353"/>
      <c r="K843" s="354">
        <f t="shared" si="149"/>
        <v>2629950</v>
      </c>
      <c r="L843" s="409">
        <v>43673</v>
      </c>
      <c r="M843" s="742">
        <v>1021437.8333333333</v>
      </c>
      <c r="N843" s="352">
        <f t="shared" si="157"/>
        <v>1608512.1666666667</v>
      </c>
      <c r="O843" s="357">
        <f t="shared" si="150"/>
        <v>1710</v>
      </c>
      <c r="P843" s="410">
        <v>9</v>
      </c>
      <c r="Q843" s="358">
        <f t="shared" si="148"/>
        <v>4.6849315068493151</v>
      </c>
      <c r="R843" s="359">
        <f t="shared" si="151"/>
        <v>4.3150684931506849</v>
      </c>
      <c r="S843" s="360">
        <f t="shared" si="152"/>
        <v>4.3150684931506849</v>
      </c>
      <c r="T843" s="361">
        <f t="shared" si="153"/>
        <v>0.10555555555555554</v>
      </c>
      <c r="U843" s="362">
        <f t="shared" si="147"/>
        <v>277605.83333333331</v>
      </c>
      <c r="V843" s="362">
        <f t="shared" si="155"/>
        <v>1330906.3333333335</v>
      </c>
      <c r="W843" s="362">
        <f t="shared" si="154"/>
        <v>131498</v>
      </c>
      <c r="X843" s="742">
        <f t="shared" si="156"/>
        <v>1199408.3333333335</v>
      </c>
    </row>
    <row r="844" spans="1:24" ht="13.9">
      <c r="A844" s="349">
        <f t="shared" si="158"/>
        <v>836</v>
      </c>
      <c r="B844" s="407" t="s">
        <v>2127</v>
      </c>
      <c r="C844" s="407" t="s">
        <v>20</v>
      </c>
      <c r="D844" s="349" t="s">
        <v>2093</v>
      </c>
      <c r="E844" s="407" t="s">
        <v>2050</v>
      </c>
      <c r="F844" s="395"/>
      <c r="G844" s="404"/>
      <c r="H844" s="408">
        <v>2629950</v>
      </c>
      <c r="I844" s="353"/>
      <c r="J844" s="353"/>
      <c r="K844" s="354">
        <f t="shared" si="149"/>
        <v>2629950</v>
      </c>
      <c r="L844" s="409">
        <v>43673</v>
      </c>
      <c r="M844" s="742">
        <v>1021437.8333333333</v>
      </c>
      <c r="N844" s="352">
        <f t="shared" si="157"/>
        <v>1608512.1666666667</v>
      </c>
      <c r="O844" s="357">
        <f t="shared" si="150"/>
        <v>1710</v>
      </c>
      <c r="P844" s="410">
        <v>9</v>
      </c>
      <c r="Q844" s="358">
        <f t="shared" si="148"/>
        <v>4.6849315068493151</v>
      </c>
      <c r="R844" s="359">
        <f t="shared" si="151"/>
        <v>4.3150684931506849</v>
      </c>
      <c r="S844" s="360">
        <f t="shared" si="152"/>
        <v>4.3150684931506849</v>
      </c>
      <c r="T844" s="361">
        <f t="shared" si="153"/>
        <v>0.10555555555555554</v>
      </c>
      <c r="U844" s="362">
        <f t="shared" si="147"/>
        <v>277605.83333333331</v>
      </c>
      <c r="V844" s="362">
        <f t="shared" si="155"/>
        <v>1330906.3333333335</v>
      </c>
      <c r="W844" s="362">
        <f t="shared" si="154"/>
        <v>131498</v>
      </c>
      <c r="X844" s="742">
        <f t="shared" si="156"/>
        <v>1199408.3333333335</v>
      </c>
    </row>
    <row r="845" spans="1:24" ht="13.9">
      <c r="A845" s="349">
        <f t="shared" si="158"/>
        <v>837</v>
      </c>
      <c r="B845" s="407" t="s">
        <v>2127</v>
      </c>
      <c r="C845" s="407" t="s">
        <v>20</v>
      </c>
      <c r="D845" s="349" t="s">
        <v>2093</v>
      </c>
      <c r="E845" s="407" t="s">
        <v>2050</v>
      </c>
      <c r="F845" s="395"/>
      <c r="G845" s="404"/>
      <c r="H845" s="408">
        <v>2629950</v>
      </c>
      <c r="I845" s="353"/>
      <c r="J845" s="353"/>
      <c r="K845" s="354">
        <f t="shared" si="149"/>
        <v>2629950</v>
      </c>
      <c r="L845" s="409">
        <v>43673</v>
      </c>
      <c r="M845" s="742">
        <v>1021437.8333333333</v>
      </c>
      <c r="N845" s="352">
        <f t="shared" si="157"/>
        <v>1608512.1666666667</v>
      </c>
      <c r="O845" s="357">
        <f t="shared" si="150"/>
        <v>1710</v>
      </c>
      <c r="P845" s="410">
        <v>9</v>
      </c>
      <c r="Q845" s="358">
        <f t="shared" si="148"/>
        <v>4.6849315068493151</v>
      </c>
      <c r="R845" s="359">
        <f t="shared" si="151"/>
        <v>4.3150684931506849</v>
      </c>
      <c r="S845" s="360">
        <f t="shared" si="152"/>
        <v>4.3150684931506849</v>
      </c>
      <c r="T845" s="361">
        <f t="shared" si="153"/>
        <v>0.10555555555555554</v>
      </c>
      <c r="U845" s="362">
        <f t="shared" si="147"/>
        <v>277605.83333333331</v>
      </c>
      <c r="V845" s="362">
        <f t="shared" si="155"/>
        <v>1330906.3333333335</v>
      </c>
      <c r="W845" s="362">
        <f t="shared" si="154"/>
        <v>131498</v>
      </c>
      <c r="X845" s="742">
        <f t="shared" si="156"/>
        <v>1199408.3333333335</v>
      </c>
    </row>
    <row r="846" spans="1:24" ht="13.9">
      <c r="A846" s="349">
        <f t="shared" si="158"/>
        <v>838</v>
      </c>
      <c r="B846" s="407" t="s">
        <v>2127</v>
      </c>
      <c r="C846" s="407" t="s">
        <v>20</v>
      </c>
      <c r="D846" s="349" t="s">
        <v>2093</v>
      </c>
      <c r="E846" s="407" t="s">
        <v>2050</v>
      </c>
      <c r="F846" s="395"/>
      <c r="G846" s="404"/>
      <c r="H846" s="408">
        <v>2629950</v>
      </c>
      <c r="I846" s="353"/>
      <c r="J846" s="353"/>
      <c r="K846" s="354">
        <f t="shared" si="149"/>
        <v>2629950</v>
      </c>
      <c r="L846" s="409">
        <v>43673</v>
      </c>
      <c r="M846" s="742">
        <v>1021437.8333333333</v>
      </c>
      <c r="N846" s="352">
        <f t="shared" si="157"/>
        <v>1608512.1666666667</v>
      </c>
      <c r="O846" s="357">
        <f t="shared" si="150"/>
        <v>1710</v>
      </c>
      <c r="P846" s="410">
        <v>9</v>
      </c>
      <c r="Q846" s="358">
        <f t="shared" si="148"/>
        <v>4.6849315068493151</v>
      </c>
      <c r="R846" s="359">
        <f t="shared" si="151"/>
        <v>4.3150684931506849</v>
      </c>
      <c r="S846" s="360">
        <f t="shared" si="152"/>
        <v>4.3150684931506849</v>
      </c>
      <c r="T846" s="361">
        <f t="shared" si="153"/>
        <v>0.10555555555555554</v>
      </c>
      <c r="U846" s="362">
        <f t="shared" si="147"/>
        <v>277605.83333333331</v>
      </c>
      <c r="V846" s="362">
        <f t="shared" si="155"/>
        <v>1330906.3333333335</v>
      </c>
      <c r="W846" s="362">
        <f t="shared" si="154"/>
        <v>131498</v>
      </c>
      <c r="X846" s="742">
        <f t="shared" si="156"/>
        <v>1199408.3333333335</v>
      </c>
    </row>
    <row r="847" spans="1:24" ht="13.9">
      <c r="A847" s="349">
        <f t="shared" si="158"/>
        <v>839</v>
      </c>
      <c r="B847" s="407" t="s">
        <v>2127</v>
      </c>
      <c r="C847" s="407" t="s">
        <v>20</v>
      </c>
      <c r="D847" s="349" t="s">
        <v>2093</v>
      </c>
      <c r="E847" s="407" t="s">
        <v>2050</v>
      </c>
      <c r="F847" s="395"/>
      <c r="G847" s="404"/>
      <c r="H847" s="408">
        <v>2629950</v>
      </c>
      <c r="I847" s="353"/>
      <c r="J847" s="353"/>
      <c r="K847" s="354">
        <f t="shared" si="149"/>
        <v>2629950</v>
      </c>
      <c r="L847" s="409">
        <v>43673</v>
      </c>
      <c r="M847" s="742">
        <v>1021437.8333333333</v>
      </c>
      <c r="N847" s="352">
        <f t="shared" si="157"/>
        <v>1608512.1666666667</v>
      </c>
      <c r="O847" s="357">
        <f t="shared" si="150"/>
        <v>1710</v>
      </c>
      <c r="P847" s="410">
        <v>9</v>
      </c>
      <c r="Q847" s="358">
        <f t="shared" si="148"/>
        <v>4.6849315068493151</v>
      </c>
      <c r="R847" s="359">
        <f t="shared" si="151"/>
        <v>4.3150684931506849</v>
      </c>
      <c r="S847" s="360">
        <f t="shared" si="152"/>
        <v>4.3150684931506849</v>
      </c>
      <c r="T847" s="361">
        <f t="shared" si="153"/>
        <v>0.10555555555555554</v>
      </c>
      <c r="U847" s="362">
        <f t="shared" si="147"/>
        <v>277605.83333333331</v>
      </c>
      <c r="V847" s="362">
        <f t="shared" si="155"/>
        <v>1330906.3333333335</v>
      </c>
      <c r="W847" s="362">
        <f t="shared" si="154"/>
        <v>131498</v>
      </c>
      <c r="X847" s="742">
        <f t="shared" si="156"/>
        <v>1199408.3333333335</v>
      </c>
    </row>
    <row r="848" spans="1:24" ht="13.9">
      <c r="A848" s="349">
        <f t="shared" si="158"/>
        <v>840</v>
      </c>
      <c r="B848" s="407" t="s">
        <v>2128</v>
      </c>
      <c r="C848" s="407" t="s">
        <v>20</v>
      </c>
      <c r="D848" s="349" t="s">
        <v>2093</v>
      </c>
      <c r="E848" s="407" t="s">
        <v>2129</v>
      </c>
      <c r="F848" s="395"/>
      <c r="G848" s="404"/>
      <c r="H848" s="408">
        <v>628500</v>
      </c>
      <c r="I848" s="353"/>
      <c r="J848" s="353"/>
      <c r="K848" s="354">
        <f t="shared" si="149"/>
        <v>628500</v>
      </c>
      <c r="L848" s="409">
        <v>43894</v>
      </c>
      <c r="M848" s="742">
        <v>597075</v>
      </c>
      <c r="N848" s="352">
        <f t="shared" si="157"/>
        <v>31425</v>
      </c>
      <c r="O848" s="357">
        <f t="shared" si="150"/>
        <v>1489</v>
      </c>
      <c r="P848" s="410">
        <v>2</v>
      </c>
      <c r="Q848" s="358">
        <f t="shared" si="148"/>
        <v>4.0794520547945208</v>
      </c>
      <c r="R848" s="359">
        <f t="shared" si="151"/>
        <v>-2.0794520547945208</v>
      </c>
      <c r="S848" s="360">
        <f t="shared" si="152"/>
        <v>0</v>
      </c>
      <c r="T848" s="361">
        <f t="shared" si="153"/>
        <v>0.47499999999999998</v>
      </c>
      <c r="U848" s="362">
        <v>0</v>
      </c>
      <c r="V848" s="362">
        <f t="shared" si="155"/>
        <v>31425</v>
      </c>
      <c r="W848" s="362">
        <f t="shared" si="154"/>
        <v>31425</v>
      </c>
      <c r="X848" s="742">
        <f t="shared" si="156"/>
        <v>0</v>
      </c>
    </row>
    <row r="849" spans="1:24" ht="13.9">
      <c r="A849" s="349">
        <f t="shared" si="158"/>
        <v>841</v>
      </c>
      <c r="B849" s="407" t="s">
        <v>2128</v>
      </c>
      <c r="C849" s="407" t="s">
        <v>20</v>
      </c>
      <c r="D849" s="349" t="s">
        <v>2093</v>
      </c>
      <c r="E849" s="407" t="s">
        <v>2129</v>
      </c>
      <c r="F849" s="395"/>
      <c r="G849" s="404"/>
      <c r="H849" s="408">
        <v>75000</v>
      </c>
      <c r="I849" s="353"/>
      <c r="J849" s="353"/>
      <c r="K849" s="354">
        <f t="shared" si="149"/>
        <v>75000</v>
      </c>
      <c r="L849" s="409">
        <v>43894</v>
      </c>
      <c r="M849" s="742">
        <v>71250</v>
      </c>
      <c r="N849" s="352">
        <f t="shared" si="157"/>
        <v>3750</v>
      </c>
      <c r="O849" s="357">
        <f t="shared" si="150"/>
        <v>1489</v>
      </c>
      <c r="P849" s="410">
        <v>2</v>
      </c>
      <c r="Q849" s="358">
        <f t="shared" si="148"/>
        <v>4.0794520547945208</v>
      </c>
      <c r="R849" s="359">
        <f t="shared" si="151"/>
        <v>-2.0794520547945208</v>
      </c>
      <c r="S849" s="360">
        <f t="shared" si="152"/>
        <v>0</v>
      </c>
      <c r="T849" s="361">
        <f t="shared" si="153"/>
        <v>0.47499999999999998</v>
      </c>
      <c r="U849" s="362">
        <v>0</v>
      </c>
      <c r="V849" s="362">
        <f t="shared" si="155"/>
        <v>3750</v>
      </c>
      <c r="W849" s="362">
        <f t="shared" si="154"/>
        <v>3750</v>
      </c>
      <c r="X849" s="742">
        <f t="shared" si="156"/>
        <v>0</v>
      </c>
    </row>
    <row r="850" spans="1:24" ht="13.9">
      <c r="A850" s="349">
        <f t="shared" si="158"/>
        <v>842</v>
      </c>
      <c r="B850" s="407" t="s">
        <v>2128</v>
      </c>
      <c r="C850" s="407" t="s">
        <v>20</v>
      </c>
      <c r="D850" s="349" t="s">
        <v>2093</v>
      </c>
      <c r="E850" s="407" t="s">
        <v>2129</v>
      </c>
      <c r="F850" s="395"/>
      <c r="G850" s="404"/>
      <c r="H850" s="408">
        <v>1156470</v>
      </c>
      <c r="I850" s="353"/>
      <c r="J850" s="353"/>
      <c r="K850" s="354">
        <f t="shared" si="149"/>
        <v>1156470</v>
      </c>
      <c r="L850" s="409">
        <v>43903</v>
      </c>
      <c r="M850" s="742">
        <v>1098646</v>
      </c>
      <c r="N850" s="352">
        <f t="shared" si="157"/>
        <v>57824</v>
      </c>
      <c r="O850" s="357">
        <f t="shared" si="150"/>
        <v>1480</v>
      </c>
      <c r="P850" s="410">
        <v>2</v>
      </c>
      <c r="Q850" s="358">
        <f t="shared" si="148"/>
        <v>4.0547945205479454</v>
      </c>
      <c r="R850" s="359">
        <f t="shared" si="151"/>
        <v>-2.0547945205479454</v>
      </c>
      <c r="S850" s="360">
        <f t="shared" si="152"/>
        <v>0</v>
      </c>
      <c r="T850" s="361">
        <f t="shared" si="153"/>
        <v>0.47499999999999998</v>
      </c>
      <c r="U850" s="362">
        <v>0</v>
      </c>
      <c r="V850" s="362">
        <f t="shared" si="155"/>
        <v>57824</v>
      </c>
      <c r="W850" s="362">
        <f t="shared" si="154"/>
        <v>57824</v>
      </c>
      <c r="X850" s="742">
        <f t="shared" si="156"/>
        <v>0</v>
      </c>
    </row>
    <row r="851" spans="1:24" ht="13.9">
      <c r="A851" s="349">
        <f t="shared" si="158"/>
        <v>843</v>
      </c>
      <c r="B851" s="407" t="s">
        <v>2128</v>
      </c>
      <c r="C851" s="407" t="s">
        <v>20</v>
      </c>
      <c r="D851" s="349" t="s">
        <v>2093</v>
      </c>
      <c r="E851" s="407" t="s">
        <v>2129</v>
      </c>
      <c r="F851" s="395"/>
      <c r="G851" s="404"/>
      <c r="H851" s="408">
        <v>1153890</v>
      </c>
      <c r="I851" s="353"/>
      <c r="J851" s="353"/>
      <c r="K851" s="354">
        <f t="shared" si="149"/>
        <v>1153890</v>
      </c>
      <c r="L851" s="409">
        <v>43909</v>
      </c>
      <c r="M851" s="742">
        <v>1096195</v>
      </c>
      <c r="N851" s="352">
        <f t="shared" si="157"/>
        <v>57695</v>
      </c>
      <c r="O851" s="357">
        <f t="shared" si="150"/>
        <v>1474</v>
      </c>
      <c r="P851" s="410">
        <v>2</v>
      </c>
      <c r="Q851" s="358">
        <f t="shared" si="148"/>
        <v>4.0383561643835613</v>
      </c>
      <c r="R851" s="359">
        <f t="shared" si="151"/>
        <v>-2.0383561643835613</v>
      </c>
      <c r="S851" s="360">
        <f t="shared" si="152"/>
        <v>0</v>
      </c>
      <c r="T851" s="361">
        <f t="shared" si="153"/>
        <v>0.47499999999999998</v>
      </c>
      <c r="U851" s="362">
        <v>0</v>
      </c>
      <c r="V851" s="362">
        <f t="shared" si="155"/>
        <v>57695</v>
      </c>
      <c r="W851" s="362">
        <f t="shared" si="154"/>
        <v>57695</v>
      </c>
      <c r="X851" s="742">
        <f t="shared" si="156"/>
        <v>0</v>
      </c>
    </row>
    <row r="852" spans="1:24" ht="13.9">
      <c r="A852" s="349">
        <f t="shared" si="158"/>
        <v>844</v>
      </c>
      <c r="B852" s="407" t="s">
        <v>1106</v>
      </c>
      <c r="C852" s="407" t="s">
        <v>21</v>
      </c>
      <c r="D852" s="349" t="s">
        <v>2093</v>
      </c>
      <c r="E852" s="407" t="s">
        <v>421</v>
      </c>
      <c r="F852" s="395"/>
      <c r="G852" s="404"/>
      <c r="H852" s="408">
        <v>459000</v>
      </c>
      <c r="I852" s="353"/>
      <c r="J852" s="353"/>
      <c r="K852" s="354">
        <f t="shared" si="149"/>
        <v>459000</v>
      </c>
      <c r="L852" s="409">
        <v>43617</v>
      </c>
      <c r="M852" s="742">
        <v>185703</v>
      </c>
      <c r="N852" s="352">
        <f t="shared" si="157"/>
        <v>273297</v>
      </c>
      <c r="O852" s="357">
        <f t="shared" si="150"/>
        <v>1766</v>
      </c>
      <c r="P852" s="410">
        <v>9</v>
      </c>
      <c r="Q852" s="358">
        <f t="shared" si="148"/>
        <v>4.838356164383562</v>
      </c>
      <c r="R852" s="359">
        <f t="shared" si="151"/>
        <v>4.161643835616438</v>
      </c>
      <c r="S852" s="360">
        <f t="shared" si="152"/>
        <v>4.161643835616438</v>
      </c>
      <c r="T852" s="361">
        <f t="shared" si="153"/>
        <v>0.10555555555555554</v>
      </c>
      <c r="U852" s="362">
        <f t="shared" si="147"/>
        <v>48449.999999999993</v>
      </c>
      <c r="V852" s="362">
        <f t="shared" si="155"/>
        <v>224847</v>
      </c>
      <c r="W852" s="362">
        <f t="shared" si="154"/>
        <v>22950</v>
      </c>
      <c r="X852" s="742">
        <f t="shared" si="156"/>
        <v>201897</v>
      </c>
    </row>
    <row r="853" spans="1:24" ht="13.9">
      <c r="A853" s="349">
        <f t="shared" si="158"/>
        <v>845</v>
      </c>
      <c r="B853" s="407" t="s">
        <v>2128</v>
      </c>
      <c r="C853" s="407" t="s">
        <v>21</v>
      </c>
      <c r="D853" s="349" t="s">
        <v>2093</v>
      </c>
      <c r="E853" s="407" t="s">
        <v>2129</v>
      </c>
      <c r="F853" s="395"/>
      <c r="G853" s="404"/>
      <c r="H853" s="408">
        <v>418540</v>
      </c>
      <c r="I853" s="353"/>
      <c r="J853" s="353"/>
      <c r="K853" s="354">
        <f t="shared" si="149"/>
        <v>418540</v>
      </c>
      <c r="L853" s="409">
        <v>43908</v>
      </c>
      <c r="M853" s="742">
        <v>397613</v>
      </c>
      <c r="N853" s="352">
        <f t="shared" si="157"/>
        <v>20927</v>
      </c>
      <c r="O853" s="357">
        <f t="shared" si="150"/>
        <v>1475</v>
      </c>
      <c r="P853" s="410">
        <v>2</v>
      </c>
      <c r="Q853" s="358">
        <f t="shared" si="148"/>
        <v>4.0410958904109586</v>
      </c>
      <c r="R853" s="359">
        <f t="shared" si="151"/>
        <v>-2.0410958904109586</v>
      </c>
      <c r="S853" s="360">
        <f t="shared" si="152"/>
        <v>0</v>
      </c>
      <c r="T853" s="361">
        <f t="shared" si="153"/>
        <v>0.47499999999999998</v>
      </c>
      <c r="U853" s="362">
        <v>0</v>
      </c>
      <c r="V853" s="362">
        <f t="shared" si="155"/>
        <v>20927</v>
      </c>
      <c r="W853" s="362">
        <f t="shared" si="154"/>
        <v>20927</v>
      </c>
      <c r="X853" s="742">
        <f t="shared" si="156"/>
        <v>0</v>
      </c>
    </row>
    <row r="854" spans="1:24" ht="13.9">
      <c r="A854" s="349">
        <f t="shared" si="158"/>
        <v>846</v>
      </c>
      <c r="B854" s="407" t="s">
        <v>2130</v>
      </c>
      <c r="C854" s="407" t="s">
        <v>2009</v>
      </c>
      <c r="D854" s="349" t="s">
        <v>2093</v>
      </c>
      <c r="E854" s="407" t="s">
        <v>180</v>
      </c>
      <c r="F854" s="395"/>
      <c r="G854" s="404"/>
      <c r="H854" s="408">
        <v>1232000</v>
      </c>
      <c r="I854" s="353"/>
      <c r="J854" s="353"/>
      <c r="K854" s="354">
        <f t="shared" si="149"/>
        <v>1232000</v>
      </c>
      <c r="L854" s="409">
        <v>43635</v>
      </c>
      <c r="M854" s="742">
        <v>492031.44444444444</v>
      </c>
      <c r="N854" s="352">
        <f t="shared" si="157"/>
        <v>739968.5555555555</v>
      </c>
      <c r="O854" s="357">
        <f t="shared" si="150"/>
        <v>1748</v>
      </c>
      <c r="P854" s="410">
        <v>9</v>
      </c>
      <c r="Q854" s="358">
        <f t="shared" si="148"/>
        <v>4.7890410958904113</v>
      </c>
      <c r="R854" s="359">
        <f t="shared" si="151"/>
        <v>4.2109589041095887</v>
      </c>
      <c r="S854" s="360">
        <f t="shared" si="152"/>
        <v>4.2109589041095887</v>
      </c>
      <c r="T854" s="361">
        <f t="shared" si="153"/>
        <v>0.10555555555555554</v>
      </c>
      <c r="U854" s="362">
        <f t="shared" si="147"/>
        <v>130044.44444444442</v>
      </c>
      <c r="V854" s="362">
        <f t="shared" si="155"/>
        <v>609924.11111111112</v>
      </c>
      <c r="W854" s="362">
        <f t="shared" si="154"/>
        <v>61600</v>
      </c>
      <c r="X854" s="742">
        <f t="shared" si="156"/>
        <v>548324.11111111112</v>
      </c>
    </row>
    <row r="855" spans="1:24" ht="13.9">
      <c r="A855" s="349">
        <f t="shared" si="158"/>
        <v>847</v>
      </c>
      <c r="B855" s="407" t="s">
        <v>2130</v>
      </c>
      <c r="C855" s="407" t="s">
        <v>2009</v>
      </c>
      <c r="D855" s="349" t="s">
        <v>2093</v>
      </c>
      <c r="E855" s="407" t="s">
        <v>180</v>
      </c>
      <c r="F855" s="395"/>
      <c r="G855" s="404"/>
      <c r="H855" s="408">
        <v>1232000</v>
      </c>
      <c r="I855" s="353"/>
      <c r="J855" s="353"/>
      <c r="K855" s="354">
        <f t="shared" si="149"/>
        <v>1232000</v>
      </c>
      <c r="L855" s="409">
        <v>43629</v>
      </c>
      <c r="M855" s="742">
        <v>494168.44444444444</v>
      </c>
      <c r="N855" s="352">
        <f t="shared" si="157"/>
        <v>737831.5555555555</v>
      </c>
      <c r="O855" s="357">
        <f t="shared" si="150"/>
        <v>1754</v>
      </c>
      <c r="P855" s="410">
        <v>9</v>
      </c>
      <c r="Q855" s="358">
        <f t="shared" si="148"/>
        <v>4.8054794520547945</v>
      </c>
      <c r="R855" s="359">
        <f t="shared" si="151"/>
        <v>4.1945205479452055</v>
      </c>
      <c r="S855" s="360">
        <f t="shared" si="152"/>
        <v>4.1945205479452055</v>
      </c>
      <c r="T855" s="361">
        <f t="shared" si="153"/>
        <v>0.10555555555555554</v>
      </c>
      <c r="U855" s="362">
        <f t="shared" si="147"/>
        <v>130044.44444444442</v>
      </c>
      <c r="V855" s="362">
        <f t="shared" si="155"/>
        <v>607787.11111111112</v>
      </c>
      <c r="W855" s="362">
        <f t="shared" si="154"/>
        <v>61600</v>
      </c>
      <c r="X855" s="742">
        <f t="shared" si="156"/>
        <v>546187.11111111112</v>
      </c>
    </row>
    <row r="856" spans="1:24" ht="13.9">
      <c r="A856" s="349">
        <f t="shared" si="158"/>
        <v>848</v>
      </c>
      <c r="B856" s="407" t="s">
        <v>2130</v>
      </c>
      <c r="C856" s="407" t="s">
        <v>2009</v>
      </c>
      <c r="D856" s="349" t="s">
        <v>2093</v>
      </c>
      <c r="E856" s="407" t="s">
        <v>180</v>
      </c>
      <c r="F856" s="395"/>
      <c r="G856" s="404"/>
      <c r="H856" s="408">
        <v>635000</v>
      </c>
      <c r="I856" s="353"/>
      <c r="J856" s="353"/>
      <c r="K856" s="354">
        <f t="shared" si="149"/>
        <v>635000</v>
      </c>
      <c r="L856" s="409">
        <v>43627</v>
      </c>
      <c r="M856" s="742">
        <v>255072.77777777775</v>
      </c>
      <c r="N856" s="352">
        <f t="shared" si="157"/>
        <v>379927.22222222225</v>
      </c>
      <c r="O856" s="357">
        <f t="shared" si="150"/>
        <v>1756</v>
      </c>
      <c r="P856" s="410">
        <v>9</v>
      </c>
      <c r="Q856" s="358">
        <f t="shared" si="148"/>
        <v>4.8109589041095893</v>
      </c>
      <c r="R856" s="359">
        <f t="shared" si="151"/>
        <v>4.1890410958904107</v>
      </c>
      <c r="S856" s="360">
        <f t="shared" si="152"/>
        <v>4.1890410958904107</v>
      </c>
      <c r="T856" s="361">
        <f t="shared" si="153"/>
        <v>0.10555555555555554</v>
      </c>
      <c r="U856" s="362">
        <f t="shared" si="147"/>
        <v>67027.777777777766</v>
      </c>
      <c r="V856" s="362">
        <f t="shared" si="155"/>
        <v>312899.4444444445</v>
      </c>
      <c r="W856" s="362">
        <f t="shared" si="154"/>
        <v>31750</v>
      </c>
      <c r="X856" s="742">
        <f t="shared" si="156"/>
        <v>281149.4444444445</v>
      </c>
    </row>
    <row r="857" spans="1:24" ht="13.9">
      <c r="A857" s="349">
        <f t="shared" si="158"/>
        <v>849</v>
      </c>
      <c r="B857" s="407" t="s">
        <v>2131</v>
      </c>
      <c r="C857" s="407" t="s">
        <v>2132</v>
      </c>
      <c r="D857" s="349" t="s">
        <v>2093</v>
      </c>
      <c r="E857" s="407" t="s">
        <v>180</v>
      </c>
      <c r="F857" s="395"/>
      <c r="G857" s="404"/>
      <c r="H857" s="408">
        <v>1232000</v>
      </c>
      <c r="I857" s="353"/>
      <c r="J857" s="353"/>
      <c r="K857" s="354">
        <f t="shared" si="149"/>
        <v>1232000</v>
      </c>
      <c r="L857" s="409">
        <v>43858</v>
      </c>
      <c r="M857" s="742">
        <v>412579.44444444444</v>
      </c>
      <c r="N857" s="352">
        <f t="shared" si="157"/>
        <v>819420.5555555555</v>
      </c>
      <c r="O857" s="357">
        <f t="shared" si="150"/>
        <v>1525</v>
      </c>
      <c r="P857" s="410">
        <v>9</v>
      </c>
      <c r="Q857" s="358">
        <f t="shared" si="148"/>
        <v>4.1780821917808222</v>
      </c>
      <c r="R857" s="359">
        <f t="shared" si="151"/>
        <v>4.8219178082191778</v>
      </c>
      <c r="S857" s="360">
        <f t="shared" si="152"/>
        <v>4.8219178082191778</v>
      </c>
      <c r="T857" s="361">
        <f t="shared" si="153"/>
        <v>0.10555555555555554</v>
      </c>
      <c r="U857" s="362">
        <f t="shared" si="147"/>
        <v>130044.44444444442</v>
      </c>
      <c r="V857" s="362">
        <f t="shared" si="155"/>
        <v>689376.11111111112</v>
      </c>
      <c r="W857" s="362">
        <f t="shared" si="154"/>
        <v>61600</v>
      </c>
      <c r="X857" s="742">
        <f t="shared" si="156"/>
        <v>627776.11111111112</v>
      </c>
    </row>
    <row r="858" spans="1:24" ht="13.9">
      <c r="A858" s="349">
        <f t="shared" si="158"/>
        <v>850</v>
      </c>
      <c r="B858" s="407" t="s">
        <v>2131</v>
      </c>
      <c r="C858" s="407" t="s">
        <v>2132</v>
      </c>
      <c r="D858" s="349" t="s">
        <v>2093</v>
      </c>
      <c r="E858" s="407" t="s">
        <v>180</v>
      </c>
      <c r="F858" s="395"/>
      <c r="G858" s="404"/>
      <c r="H858" s="408">
        <v>1232000</v>
      </c>
      <c r="I858" s="353"/>
      <c r="J858" s="353"/>
      <c r="K858" s="354">
        <f t="shared" si="149"/>
        <v>1232000</v>
      </c>
      <c r="L858" s="409">
        <v>43864</v>
      </c>
      <c r="M858" s="742">
        <v>410441.44444444444</v>
      </c>
      <c r="N858" s="352">
        <f t="shared" si="157"/>
        <v>821558.5555555555</v>
      </c>
      <c r="O858" s="357">
        <f t="shared" si="150"/>
        <v>1519</v>
      </c>
      <c r="P858" s="410">
        <v>9</v>
      </c>
      <c r="Q858" s="358">
        <f t="shared" si="148"/>
        <v>4.161643835616438</v>
      </c>
      <c r="R858" s="359">
        <f t="shared" si="151"/>
        <v>4.838356164383562</v>
      </c>
      <c r="S858" s="360">
        <f t="shared" si="152"/>
        <v>4.838356164383562</v>
      </c>
      <c r="T858" s="361">
        <f t="shared" si="153"/>
        <v>0.10555555555555554</v>
      </c>
      <c r="U858" s="362">
        <f t="shared" si="147"/>
        <v>130044.44444444442</v>
      </c>
      <c r="V858" s="362">
        <f t="shared" si="155"/>
        <v>691514.11111111112</v>
      </c>
      <c r="W858" s="362">
        <f t="shared" si="154"/>
        <v>61600</v>
      </c>
      <c r="X858" s="742">
        <f t="shared" si="156"/>
        <v>629914.11111111112</v>
      </c>
    </row>
    <row r="859" spans="1:24" ht="13.9">
      <c r="A859" s="349">
        <f t="shared" si="158"/>
        <v>851</v>
      </c>
      <c r="B859" s="407" t="s">
        <v>2133</v>
      </c>
      <c r="C859" s="407" t="s">
        <v>2132</v>
      </c>
      <c r="D859" s="349" t="s">
        <v>2093</v>
      </c>
      <c r="E859" s="407" t="s">
        <v>2117</v>
      </c>
      <c r="F859" s="395"/>
      <c r="G859" s="404"/>
      <c r="H859" s="408">
        <v>13000000</v>
      </c>
      <c r="I859" s="353"/>
      <c r="J859" s="353"/>
      <c r="K859" s="354">
        <f t="shared" si="149"/>
        <v>13000000</v>
      </c>
      <c r="L859" s="409">
        <v>43838</v>
      </c>
      <c r="M859" s="742">
        <v>4428706.222222222</v>
      </c>
      <c r="N859" s="352">
        <f t="shared" si="157"/>
        <v>8571293.777777778</v>
      </c>
      <c r="O859" s="357">
        <f t="shared" si="150"/>
        <v>1545</v>
      </c>
      <c r="P859" s="410">
        <v>9</v>
      </c>
      <c r="Q859" s="358">
        <f t="shared" si="148"/>
        <v>4.2328767123287667</v>
      </c>
      <c r="R859" s="359">
        <f t="shared" si="151"/>
        <v>4.7671232876712333</v>
      </c>
      <c r="S859" s="360">
        <f t="shared" si="152"/>
        <v>4.7671232876712333</v>
      </c>
      <c r="T859" s="361">
        <f t="shared" si="153"/>
        <v>0.10555555555555554</v>
      </c>
      <c r="U859" s="362">
        <f t="shared" si="147"/>
        <v>1372222.222222222</v>
      </c>
      <c r="V859" s="362">
        <f t="shared" si="155"/>
        <v>7199071.555555556</v>
      </c>
      <c r="W859" s="362">
        <f t="shared" si="154"/>
        <v>650000</v>
      </c>
      <c r="X859" s="742">
        <f t="shared" si="156"/>
        <v>6549071.555555556</v>
      </c>
    </row>
    <row r="860" spans="1:24" ht="13.9">
      <c r="A860" s="349">
        <f t="shared" si="158"/>
        <v>852</v>
      </c>
      <c r="B860" s="407" t="s">
        <v>2134</v>
      </c>
      <c r="C860" s="407" t="s">
        <v>2132</v>
      </c>
      <c r="D860" s="349" t="s">
        <v>2093</v>
      </c>
      <c r="E860" s="407" t="s">
        <v>2135</v>
      </c>
      <c r="F860" s="395"/>
      <c r="G860" s="404"/>
      <c r="H860" s="408">
        <v>145000</v>
      </c>
      <c r="I860" s="353"/>
      <c r="J860" s="353"/>
      <c r="K860" s="354">
        <f t="shared" si="149"/>
        <v>145000</v>
      </c>
      <c r="L860" s="409">
        <v>43680</v>
      </c>
      <c r="M860" s="742">
        <v>56022.555555555555</v>
      </c>
      <c r="N860" s="352">
        <f t="shared" si="157"/>
        <v>88977.444444444438</v>
      </c>
      <c r="O860" s="357">
        <f t="shared" si="150"/>
        <v>1703</v>
      </c>
      <c r="P860" s="410">
        <v>9</v>
      </c>
      <c r="Q860" s="358">
        <f t="shared" si="148"/>
        <v>4.6657534246575345</v>
      </c>
      <c r="R860" s="359">
        <f t="shared" si="151"/>
        <v>4.3342465753424655</v>
      </c>
      <c r="S860" s="360">
        <f t="shared" si="152"/>
        <v>4.3342465753424655</v>
      </c>
      <c r="T860" s="361">
        <f t="shared" si="153"/>
        <v>0.10555555555555554</v>
      </c>
      <c r="U860" s="362">
        <f t="shared" si="147"/>
        <v>15305.555555555553</v>
      </c>
      <c r="V860" s="362">
        <f t="shared" si="155"/>
        <v>73671.888888888891</v>
      </c>
      <c r="W860" s="362">
        <f t="shared" si="154"/>
        <v>7250</v>
      </c>
      <c r="X860" s="742">
        <f t="shared" si="156"/>
        <v>66421.888888888891</v>
      </c>
    </row>
    <row r="861" spans="1:24" ht="13.9">
      <c r="A861" s="349">
        <f t="shared" si="158"/>
        <v>853</v>
      </c>
      <c r="B861" s="407" t="s">
        <v>2134</v>
      </c>
      <c r="C861" s="407" t="s">
        <v>2132</v>
      </c>
      <c r="D861" s="349" t="s">
        <v>2093</v>
      </c>
      <c r="E861" s="407" t="s">
        <v>2135</v>
      </c>
      <c r="F861" s="395"/>
      <c r="G861" s="404"/>
      <c r="H861" s="408">
        <v>155000</v>
      </c>
      <c r="I861" s="353"/>
      <c r="J861" s="353"/>
      <c r="K861" s="354">
        <f t="shared" si="149"/>
        <v>155000</v>
      </c>
      <c r="L861" s="409">
        <v>43806</v>
      </c>
      <c r="M861" s="742">
        <v>54238.111111111109</v>
      </c>
      <c r="N861" s="352">
        <f t="shared" si="157"/>
        <v>100761.88888888889</v>
      </c>
      <c r="O861" s="357">
        <f t="shared" si="150"/>
        <v>1577</v>
      </c>
      <c r="P861" s="410">
        <v>9</v>
      </c>
      <c r="Q861" s="358">
        <f t="shared" si="148"/>
        <v>4.3205479452054796</v>
      </c>
      <c r="R861" s="359">
        <f t="shared" si="151"/>
        <v>4.6794520547945204</v>
      </c>
      <c r="S861" s="360">
        <f t="shared" si="152"/>
        <v>4.6794520547945204</v>
      </c>
      <c r="T861" s="361">
        <f t="shared" si="153"/>
        <v>0.10555555555555554</v>
      </c>
      <c r="U861" s="362">
        <f t="shared" si="147"/>
        <v>16361.111111111109</v>
      </c>
      <c r="V861" s="362">
        <f t="shared" si="155"/>
        <v>84400.777777777781</v>
      </c>
      <c r="W861" s="362">
        <f t="shared" si="154"/>
        <v>7750</v>
      </c>
      <c r="X861" s="742">
        <f t="shared" si="156"/>
        <v>76650.777777777781</v>
      </c>
    </row>
    <row r="862" spans="1:24" ht="13.9">
      <c r="A862" s="349">
        <f t="shared" si="158"/>
        <v>854</v>
      </c>
      <c r="B862" s="407" t="s">
        <v>2136</v>
      </c>
      <c r="C862" s="407" t="s">
        <v>2132</v>
      </c>
      <c r="D862" s="349" t="s">
        <v>2093</v>
      </c>
      <c r="E862" s="407" t="s">
        <v>2135</v>
      </c>
      <c r="F862" s="395"/>
      <c r="G862" s="404"/>
      <c r="H862" s="408">
        <v>119500</v>
      </c>
      <c r="I862" s="353"/>
      <c r="J862" s="353"/>
      <c r="K862" s="354">
        <f t="shared" si="149"/>
        <v>119500</v>
      </c>
      <c r="L862" s="409">
        <v>43862</v>
      </c>
      <c r="M862" s="742">
        <v>39880.888888888891</v>
      </c>
      <c r="N862" s="352">
        <f t="shared" si="157"/>
        <v>79619.111111111109</v>
      </c>
      <c r="O862" s="357">
        <f t="shared" si="150"/>
        <v>1521</v>
      </c>
      <c r="P862" s="410">
        <v>9</v>
      </c>
      <c r="Q862" s="358">
        <f t="shared" si="148"/>
        <v>4.1671232876712327</v>
      </c>
      <c r="R862" s="359">
        <f t="shared" si="151"/>
        <v>4.8328767123287673</v>
      </c>
      <c r="S862" s="360">
        <f t="shared" si="152"/>
        <v>4.8328767123287673</v>
      </c>
      <c r="T862" s="361">
        <f t="shared" si="153"/>
        <v>0.10555555555555554</v>
      </c>
      <c r="U862" s="362">
        <f t="shared" si="147"/>
        <v>12613.888888888887</v>
      </c>
      <c r="V862" s="362">
        <f t="shared" si="155"/>
        <v>67005.222222222219</v>
      </c>
      <c r="W862" s="362">
        <f t="shared" si="154"/>
        <v>5975</v>
      </c>
      <c r="X862" s="742">
        <f t="shared" si="156"/>
        <v>61030.222222222219</v>
      </c>
    </row>
    <row r="863" spans="1:24" ht="13.9">
      <c r="A863" s="349">
        <f t="shared" si="158"/>
        <v>855</v>
      </c>
      <c r="B863" s="407" t="s">
        <v>2137</v>
      </c>
      <c r="C863" s="407" t="s">
        <v>2071</v>
      </c>
      <c r="D863" s="349" t="s">
        <v>2093</v>
      </c>
      <c r="E863" s="407" t="s">
        <v>2138</v>
      </c>
      <c r="F863" s="395"/>
      <c r="G863" s="404"/>
      <c r="H863" s="408">
        <v>5950000</v>
      </c>
      <c r="I863" s="353"/>
      <c r="J863" s="353"/>
      <c r="K863" s="354">
        <f t="shared" si="149"/>
        <v>5950000</v>
      </c>
      <c r="L863" s="409">
        <v>43607</v>
      </c>
      <c r="M863" s="742">
        <v>2424466.5555555555</v>
      </c>
      <c r="N863" s="352">
        <f t="shared" si="157"/>
        <v>3525533.4444444445</v>
      </c>
      <c r="O863" s="357">
        <f t="shared" si="150"/>
        <v>1776</v>
      </c>
      <c r="P863" s="410">
        <v>9</v>
      </c>
      <c r="Q863" s="358">
        <f t="shared" si="148"/>
        <v>4.8657534246575347</v>
      </c>
      <c r="R863" s="359">
        <f t="shared" si="151"/>
        <v>4.1342465753424653</v>
      </c>
      <c r="S863" s="360">
        <f t="shared" si="152"/>
        <v>4.1342465753424653</v>
      </c>
      <c r="T863" s="361">
        <f t="shared" si="153"/>
        <v>0.10555555555555554</v>
      </c>
      <c r="U863" s="362">
        <f t="shared" si="147"/>
        <v>628055.5555555555</v>
      </c>
      <c r="V863" s="362">
        <f t="shared" si="155"/>
        <v>2897477.888888889</v>
      </c>
      <c r="W863" s="362">
        <f t="shared" si="154"/>
        <v>297500</v>
      </c>
      <c r="X863" s="742">
        <f t="shared" si="156"/>
        <v>2599977.888888889</v>
      </c>
    </row>
    <row r="864" spans="1:24" ht="13.9">
      <c r="A864" s="349">
        <f t="shared" si="158"/>
        <v>856</v>
      </c>
      <c r="B864" s="407" t="s">
        <v>2139</v>
      </c>
      <c r="C864" s="407" t="s">
        <v>2071</v>
      </c>
      <c r="D864" s="349" t="s">
        <v>2093</v>
      </c>
      <c r="E864" s="407" t="s">
        <v>403</v>
      </c>
      <c r="F864" s="395"/>
      <c r="G864" s="404"/>
      <c r="H864" s="408">
        <v>290000</v>
      </c>
      <c r="I864" s="353"/>
      <c r="J864" s="353"/>
      <c r="K864" s="354">
        <f t="shared" si="149"/>
        <v>290000</v>
      </c>
      <c r="L864" s="409">
        <v>43635</v>
      </c>
      <c r="M864" s="742">
        <v>115819.11111111111</v>
      </c>
      <c r="N864" s="352">
        <f t="shared" si="157"/>
        <v>174180.88888888888</v>
      </c>
      <c r="O864" s="357">
        <f t="shared" si="150"/>
        <v>1748</v>
      </c>
      <c r="P864" s="410">
        <v>9</v>
      </c>
      <c r="Q864" s="358">
        <f t="shared" si="148"/>
        <v>4.7890410958904113</v>
      </c>
      <c r="R864" s="359">
        <f t="shared" si="151"/>
        <v>4.2109589041095887</v>
      </c>
      <c r="S864" s="360">
        <f t="shared" si="152"/>
        <v>4.2109589041095887</v>
      </c>
      <c r="T864" s="361">
        <f t="shared" si="153"/>
        <v>0.10555555555555554</v>
      </c>
      <c r="U864" s="362">
        <f t="shared" si="147"/>
        <v>30611.111111111106</v>
      </c>
      <c r="V864" s="362">
        <f t="shared" si="155"/>
        <v>143569.77777777778</v>
      </c>
      <c r="W864" s="362">
        <f t="shared" si="154"/>
        <v>14500</v>
      </c>
      <c r="X864" s="742">
        <f t="shared" si="156"/>
        <v>129069.77777777778</v>
      </c>
    </row>
    <row r="865" spans="1:24" ht="13.9">
      <c r="A865" s="349">
        <f t="shared" si="158"/>
        <v>857</v>
      </c>
      <c r="B865" s="407" t="s">
        <v>2140</v>
      </c>
      <c r="C865" s="411" t="s">
        <v>2071</v>
      </c>
      <c r="D865" s="349" t="s">
        <v>2093</v>
      </c>
      <c r="E865" s="407" t="s">
        <v>403</v>
      </c>
      <c r="F865" s="395"/>
      <c r="G865" s="404"/>
      <c r="H865" s="408">
        <v>1033000</v>
      </c>
      <c r="I865" s="353"/>
      <c r="J865" s="353"/>
      <c r="K865" s="354">
        <f t="shared" si="149"/>
        <v>1033000</v>
      </c>
      <c r="L865" s="409">
        <v>43635</v>
      </c>
      <c r="M865" s="742">
        <v>412554.88888888888</v>
      </c>
      <c r="N865" s="352">
        <f t="shared" si="157"/>
        <v>620445.11111111112</v>
      </c>
      <c r="O865" s="357">
        <f t="shared" si="150"/>
        <v>1748</v>
      </c>
      <c r="P865" s="410">
        <v>9</v>
      </c>
      <c r="Q865" s="358">
        <f t="shared" si="148"/>
        <v>4.7890410958904113</v>
      </c>
      <c r="R865" s="359">
        <f t="shared" si="151"/>
        <v>4.2109589041095887</v>
      </c>
      <c r="S865" s="360">
        <f t="shared" si="152"/>
        <v>4.2109589041095887</v>
      </c>
      <c r="T865" s="361">
        <f t="shared" si="153"/>
        <v>0.10555555555555554</v>
      </c>
      <c r="U865" s="362">
        <f t="shared" si="147"/>
        <v>109038.88888888888</v>
      </c>
      <c r="V865" s="362">
        <f t="shared" si="155"/>
        <v>511406.22222222225</v>
      </c>
      <c r="W865" s="362">
        <f t="shared" si="154"/>
        <v>51650</v>
      </c>
      <c r="X865" s="742">
        <f t="shared" si="156"/>
        <v>459756.22222222225</v>
      </c>
    </row>
    <row r="866" spans="1:24" ht="13.9">
      <c r="A866" s="349">
        <f t="shared" si="158"/>
        <v>858</v>
      </c>
      <c r="B866" s="407" t="s">
        <v>2118</v>
      </c>
      <c r="C866" s="407" t="s">
        <v>2071</v>
      </c>
      <c r="D866" s="349" t="s">
        <v>2093</v>
      </c>
      <c r="E866" s="407" t="s">
        <v>2119</v>
      </c>
      <c r="F866" s="395"/>
      <c r="G866" s="404"/>
      <c r="H866" s="408">
        <v>240000</v>
      </c>
      <c r="I866" s="353"/>
      <c r="J866" s="353"/>
      <c r="K866" s="354">
        <f t="shared" si="149"/>
        <v>240000</v>
      </c>
      <c r="L866" s="409">
        <v>43571</v>
      </c>
      <c r="M866" s="742">
        <v>100292.33333333333</v>
      </c>
      <c r="N866" s="352">
        <f t="shared" si="157"/>
        <v>139707.66666666669</v>
      </c>
      <c r="O866" s="357">
        <f t="shared" si="150"/>
        <v>1812</v>
      </c>
      <c r="P866" s="410">
        <v>9</v>
      </c>
      <c r="Q866" s="358">
        <f t="shared" si="148"/>
        <v>4.9643835616438352</v>
      </c>
      <c r="R866" s="359">
        <f t="shared" si="151"/>
        <v>4.0356164383561648</v>
      </c>
      <c r="S866" s="360">
        <f t="shared" si="152"/>
        <v>4.0356164383561648</v>
      </c>
      <c r="T866" s="361">
        <f t="shared" si="153"/>
        <v>0.10555555555555554</v>
      </c>
      <c r="U866" s="362">
        <f t="shared" si="147"/>
        <v>25333.333333333328</v>
      </c>
      <c r="V866" s="362">
        <f t="shared" si="155"/>
        <v>114374.33333333336</v>
      </c>
      <c r="W866" s="362">
        <f t="shared" si="154"/>
        <v>12000</v>
      </c>
      <c r="X866" s="742">
        <f t="shared" si="156"/>
        <v>102374.33333333336</v>
      </c>
    </row>
    <row r="867" spans="1:24" ht="13.9">
      <c r="A867" s="349">
        <f t="shared" si="158"/>
        <v>859</v>
      </c>
      <c r="B867" s="407" t="s">
        <v>2131</v>
      </c>
      <c r="C867" s="407" t="s">
        <v>2071</v>
      </c>
      <c r="D867" s="349" t="s">
        <v>2093</v>
      </c>
      <c r="E867" s="407" t="s">
        <v>180</v>
      </c>
      <c r="F867" s="395"/>
      <c r="G867" s="404"/>
      <c r="H867" s="408">
        <v>1232000</v>
      </c>
      <c r="I867" s="353"/>
      <c r="J867" s="353"/>
      <c r="K867" s="354">
        <f t="shared" si="149"/>
        <v>1232000</v>
      </c>
      <c r="L867" s="409">
        <v>43572</v>
      </c>
      <c r="M867" s="742">
        <v>514477.44444444444</v>
      </c>
      <c r="N867" s="352">
        <f t="shared" si="157"/>
        <v>717522.5555555555</v>
      </c>
      <c r="O867" s="357">
        <f t="shared" si="150"/>
        <v>1811</v>
      </c>
      <c r="P867" s="410">
        <v>9</v>
      </c>
      <c r="Q867" s="358">
        <f t="shared" si="148"/>
        <v>4.9616438356164387</v>
      </c>
      <c r="R867" s="359">
        <f t="shared" si="151"/>
        <v>4.0383561643835613</v>
      </c>
      <c r="S867" s="360">
        <f t="shared" si="152"/>
        <v>4.0383561643835613</v>
      </c>
      <c r="T867" s="361">
        <f t="shared" si="153"/>
        <v>0.10555555555555554</v>
      </c>
      <c r="U867" s="362">
        <f t="shared" si="147"/>
        <v>130044.44444444442</v>
      </c>
      <c r="V867" s="362">
        <f t="shared" si="155"/>
        <v>587478.11111111112</v>
      </c>
      <c r="W867" s="362">
        <f t="shared" si="154"/>
        <v>61600</v>
      </c>
      <c r="X867" s="742">
        <f t="shared" si="156"/>
        <v>525878.11111111112</v>
      </c>
    </row>
    <row r="868" spans="1:24" ht="13.9">
      <c r="A868" s="349">
        <f t="shared" si="158"/>
        <v>860</v>
      </c>
      <c r="B868" s="407" t="s">
        <v>1985</v>
      </c>
      <c r="C868" s="407" t="s">
        <v>2071</v>
      </c>
      <c r="D868" s="349" t="s">
        <v>2093</v>
      </c>
      <c r="E868" s="407" t="s">
        <v>180</v>
      </c>
      <c r="F868" s="395"/>
      <c r="G868" s="404"/>
      <c r="H868" s="408">
        <v>635000</v>
      </c>
      <c r="I868" s="353"/>
      <c r="J868" s="353"/>
      <c r="K868" s="354">
        <f t="shared" si="149"/>
        <v>635000</v>
      </c>
      <c r="L868" s="409">
        <v>43582</v>
      </c>
      <c r="M868" s="742">
        <v>263336.77777777775</v>
      </c>
      <c r="N868" s="352">
        <f t="shared" si="157"/>
        <v>371663.22222222225</v>
      </c>
      <c r="O868" s="357">
        <f t="shared" si="150"/>
        <v>1801</v>
      </c>
      <c r="P868" s="410">
        <v>9</v>
      </c>
      <c r="Q868" s="358">
        <f t="shared" si="148"/>
        <v>4.934246575342466</v>
      </c>
      <c r="R868" s="359">
        <f t="shared" si="151"/>
        <v>4.065753424657534</v>
      </c>
      <c r="S868" s="360">
        <f t="shared" si="152"/>
        <v>4.065753424657534</v>
      </c>
      <c r="T868" s="361">
        <f t="shared" si="153"/>
        <v>0.10555555555555554</v>
      </c>
      <c r="U868" s="362">
        <f t="shared" si="147"/>
        <v>67027.777777777766</v>
      </c>
      <c r="V868" s="362">
        <f t="shared" si="155"/>
        <v>304635.4444444445</v>
      </c>
      <c r="W868" s="362">
        <f t="shared" si="154"/>
        <v>31750</v>
      </c>
      <c r="X868" s="742">
        <f t="shared" si="156"/>
        <v>272885.4444444445</v>
      </c>
    </row>
    <row r="869" spans="1:24" ht="13.9">
      <c r="A869" s="349">
        <f t="shared" si="158"/>
        <v>861</v>
      </c>
      <c r="B869" s="407" t="s">
        <v>2141</v>
      </c>
      <c r="C869" s="407" t="s">
        <v>2071</v>
      </c>
      <c r="D869" s="349" t="s">
        <v>2093</v>
      </c>
      <c r="E869" s="407" t="s">
        <v>2142</v>
      </c>
      <c r="F869" s="395"/>
      <c r="G869" s="404"/>
      <c r="H869" s="408">
        <v>536000</v>
      </c>
      <c r="I869" s="353"/>
      <c r="J869" s="353"/>
      <c r="K869" s="354">
        <f t="shared" si="149"/>
        <v>536000</v>
      </c>
      <c r="L869" s="409">
        <v>43573</v>
      </c>
      <c r="M869" s="742">
        <v>223675.77777777778</v>
      </c>
      <c r="N869" s="352">
        <f t="shared" si="157"/>
        <v>312324.22222222225</v>
      </c>
      <c r="O869" s="357">
        <f t="shared" si="150"/>
        <v>1810</v>
      </c>
      <c r="P869" s="410">
        <v>9</v>
      </c>
      <c r="Q869" s="358">
        <f t="shared" si="148"/>
        <v>4.9589041095890414</v>
      </c>
      <c r="R869" s="359">
        <f t="shared" si="151"/>
        <v>4.0410958904109586</v>
      </c>
      <c r="S869" s="360">
        <f t="shared" si="152"/>
        <v>4.0410958904109586</v>
      </c>
      <c r="T869" s="361">
        <f t="shared" si="153"/>
        <v>0.10555555555555554</v>
      </c>
      <c r="U869" s="362">
        <f t="shared" si="147"/>
        <v>56577.777777777774</v>
      </c>
      <c r="V869" s="362">
        <f t="shared" si="155"/>
        <v>255746.44444444447</v>
      </c>
      <c r="W869" s="362">
        <f t="shared" si="154"/>
        <v>26800</v>
      </c>
      <c r="X869" s="742">
        <f t="shared" si="156"/>
        <v>228946.44444444447</v>
      </c>
    </row>
    <row r="870" spans="1:24" ht="13.9">
      <c r="A870" s="349">
        <f t="shared" si="158"/>
        <v>862</v>
      </c>
      <c r="B870" s="407" t="s">
        <v>2143</v>
      </c>
      <c r="C870" s="407" t="s">
        <v>2071</v>
      </c>
      <c r="D870" s="349" t="s">
        <v>2093</v>
      </c>
      <c r="E870" s="407" t="s">
        <v>2142</v>
      </c>
      <c r="F870" s="395"/>
      <c r="G870" s="404"/>
      <c r="H870" s="408">
        <v>410000</v>
      </c>
      <c r="I870" s="353"/>
      <c r="J870" s="353"/>
      <c r="K870" s="354">
        <f t="shared" si="149"/>
        <v>410000</v>
      </c>
      <c r="L870" s="409">
        <v>43573</v>
      </c>
      <c r="M870" s="742">
        <v>171095.77777777778</v>
      </c>
      <c r="N870" s="352">
        <f t="shared" si="157"/>
        <v>238904.22222222222</v>
      </c>
      <c r="O870" s="357">
        <f t="shared" si="150"/>
        <v>1810</v>
      </c>
      <c r="P870" s="410">
        <v>9</v>
      </c>
      <c r="Q870" s="358">
        <f t="shared" si="148"/>
        <v>4.9589041095890414</v>
      </c>
      <c r="R870" s="359">
        <f t="shared" si="151"/>
        <v>4.0410958904109586</v>
      </c>
      <c r="S870" s="360">
        <f t="shared" si="152"/>
        <v>4.0410958904109586</v>
      </c>
      <c r="T870" s="361">
        <f t="shared" si="153"/>
        <v>0.10555555555555554</v>
      </c>
      <c r="U870" s="362">
        <f t="shared" si="147"/>
        <v>43277.777777777774</v>
      </c>
      <c r="V870" s="362">
        <f t="shared" si="155"/>
        <v>195626.44444444444</v>
      </c>
      <c r="W870" s="362">
        <f t="shared" si="154"/>
        <v>20500</v>
      </c>
      <c r="X870" s="742">
        <f t="shared" si="156"/>
        <v>175126.44444444444</v>
      </c>
    </row>
    <row r="871" spans="1:24" ht="13.9">
      <c r="A871" s="349">
        <f t="shared" si="158"/>
        <v>863</v>
      </c>
      <c r="B871" s="407" t="s">
        <v>2144</v>
      </c>
      <c r="C871" s="407" t="s">
        <v>2071</v>
      </c>
      <c r="D871" s="349" t="s">
        <v>2093</v>
      </c>
      <c r="E871" s="407" t="s">
        <v>2145</v>
      </c>
      <c r="F871" s="395"/>
      <c r="G871" s="404"/>
      <c r="H871" s="408">
        <v>25000</v>
      </c>
      <c r="I871" s="353"/>
      <c r="J871" s="353"/>
      <c r="K871" s="354">
        <f t="shared" si="149"/>
        <v>25000</v>
      </c>
      <c r="L871" s="409">
        <v>43584</v>
      </c>
      <c r="M871" s="742">
        <v>10352.888888888889</v>
      </c>
      <c r="N871" s="352">
        <f t="shared" si="157"/>
        <v>14647.111111111111</v>
      </c>
      <c r="O871" s="357">
        <f t="shared" si="150"/>
        <v>1799</v>
      </c>
      <c r="P871" s="410">
        <v>9</v>
      </c>
      <c r="Q871" s="358">
        <f t="shared" si="148"/>
        <v>4.9287671232876713</v>
      </c>
      <c r="R871" s="359">
        <f t="shared" si="151"/>
        <v>4.0712328767123287</v>
      </c>
      <c r="S871" s="360">
        <f t="shared" si="152"/>
        <v>4.0712328767123287</v>
      </c>
      <c r="T871" s="361">
        <f t="shared" si="153"/>
        <v>0.10555555555555554</v>
      </c>
      <c r="U871" s="362">
        <f t="shared" si="147"/>
        <v>2638.8888888888887</v>
      </c>
      <c r="V871" s="362">
        <f t="shared" si="155"/>
        <v>12008.222222222223</v>
      </c>
      <c r="W871" s="362">
        <f t="shared" si="154"/>
        <v>1250</v>
      </c>
      <c r="X871" s="742">
        <f t="shared" si="156"/>
        <v>10758.222222222223</v>
      </c>
    </row>
    <row r="872" spans="1:24" ht="13.9">
      <c r="A872" s="349">
        <f t="shared" si="158"/>
        <v>864</v>
      </c>
      <c r="B872" s="407" t="s">
        <v>2146</v>
      </c>
      <c r="C872" s="407" t="s">
        <v>2071</v>
      </c>
      <c r="D872" s="349" t="s">
        <v>2093</v>
      </c>
      <c r="E872" s="407" t="s">
        <v>2142</v>
      </c>
      <c r="F872" s="395"/>
      <c r="G872" s="404"/>
      <c r="H872" s="408">
        <v>410000</v>
      </c>
      <c r="I872" s="353"/>
      <c r="J872" s="353">
        <v>0</v>
      </c>
      <c r="K872" s="354">
        <f t="shared" si="149"/>
        <v>410000</v>
      </c>
      <c r="L872" s="409">
        <v>43599</v>
      </c>
      <c r="M872" s="742">
        <v>168012.77777777778</v>
      </c>
      <c r="N872" s="352">
        <f t="shared" si="157"/>
        <v>241987.22222222222</v>
      </c>
      <c r="O872" s="357">
        <f t="shared" si="150"/>
        <v>1784</v>
      </c>
      <c r="P872" s="410">
        <v>9</v>
      </c>
      <c r="Q872" s="358">
        <f t="shared" si="148"/>
        <v>4.8876712328767127</v>
      </c>
      <c r="R872" s="359">
        <f t="shared" si="151"/>
        <v>4.1123287671232873</v>
      </c>
      <c r="S872" s="360">
        <f t="shared" si="152"/>
        <v>4.1123287671232873</v>
      </c>
      <c r="T872" s="361">
        <f t="shared" si="153"/>
        <v>0.10555555555555554</v>
      </c>
      <c r="U872" s="362">
        <f t="shared" si="147"/>
        <v>43277.777777777774</v>
      </c>
      <c r="V872" s="362">
        <f t="shared" si="155"/>
        <v>198709.44444444444</v>
      </c>
      <c r="W872" s="362">
        <f t="shared" si="154"/>
        <v>20500</v>
      </c>
      <c r="X872" s="742">
        <f t="shared" si="156"/>
        <v>178209.44444444444</v>
      </c>
    </row>
    <row r="873" spans="1:24" ht="13.9">
      <c r="A873" s="349">
        <f t="shared" si="158"/>
        <v>865</v>
      </c>
      <c r="B873" s="407" t="s">
        <v>2146</v>
      </c>
      <c r="C873" s="407" t="s">
        <v>2071</v>
      </c>
      <c r="D873" s="349" t="s">
        <v>2093</v>
      </c>
      <c r="E873" s="407" t="s">
        <v>2142</v>
      </c>
      <c r="F873" s="395"/>
      <c r="G873" s="404"/>
      <c r="H873" s="408">
        <v>536000</v>
      </c>
      <c r="I873" s="353"/>
      <c r="J873" s="353">
        <v>0</v>
      </c>
      <c r="K873" s="354">
        <f t="shared" si="149"/>
        <v>536000</v>
      </c>
      <c r="L873" s="409">
        <v>43599</v>
      </c>
      <c r="M873" s="742">
        <v>219645.77777777778</v>
      </c>
      <c r="N873" s="352">
        <f t="shared" si="157"/>
        <v>316354.22222222225</v>
      </c>
      <c r="O873" s="357">
        <f t="shared" si="150"/>
        <v>1784</v>
      </c>
      <c r="P873" s="410">
        <v>9</v>
      </c>
      <c r="Q873" s="358">
        <f t="shared" si="148"/>
        <v>4.8876712328767127</v>
      </c>
      <c r="R873" s="359">
        <f t="shared" si="151"/>
        <v>4.1123287671232873</v>
      </c>
      <c r="S873" s="360">
        <f t="shared" si="152"/>
        <v>4.1123287671232873</v>
      </c>
      <c r="T873" s="361">
        <f t="shared" si="153"/>
        <v>0.10555555555555554</v>
      </c>
      <c r="U873" s="362">
        <f t="shared" si="147"/>
        <v>56577.777777777774</v>
      </c>
      <c r="V873" s="362">
        <f t="shared" si="155"/>
        <v>259776.44444444447</v>
      </c>
      <c r="W873" s="362">
        <f t="shared" si="154"/>
        <v>26800</v>
      </c>
      <c r="X873" s="742">
        <f t="shared" si="156"/>
        <v>232976.44444444447</v>
      </c>
    </row>
    <row r="874" spans="1:24" ht="13.9">
      <c r="A874" s="349">
        <f t="shared" si="158"/>
        <v>866</v>
      </c>
      <c r="B874" s="407" t="s">
        <v>2147</v>
      </c>
      <c r="C874" s="407" t="s">
        <v>2071</v>
      </c>
      <c r="D874" s="349" t="s">
        <v>2093</v>
      </c>
      <c r="E874" s="407" t="s">
        <v>2145</v>
      </c>
      <c r="F874" s="395"/>
      <c r="G874" s="404"/>
      <c r="H874" s="408">
        <v>25095</v>
      </c>
      <c r="I874" s="353"/>
      <c r="J874" s="353"/>
      <c r="K874" s="354">
        <f t="shared" si="149"/>
        <v>25095</v>
      </c>
      <c r="L874" s="409">
        <v>43636</v>
      </c>
      <c r="M874" s="742">
        <v>10014.916666666666</v>
      </c>
      <c r="N874" s="352">
        <f t="shared" si="157"/>
        <v>15080.083333333334</v>
      </c>
      <c r="O874" s="357">
        <f t="shared" si="150"/>
        <v>1747</v>
      </c>
      <c r="P874" s="410">
        <v>9</v>
      </c>
      <c r="Q874" s="358">
        <f t="shared" si="148"/>
        <v>4.7863013698630139</v>
      </c>
      <c r="R874" s="359">
        <f t="shared" si="151"/>
        <v>4.2136986301369861</v>
      </c>
      <c r="S874" s="360">
        <f t="shared" si="152"/>
        <v>4.2136986301369861</v>
      </c>
      <c r="T874" s="361">
        <f t="shared" si="153"/>
        <v>0.10555555555555554</v>
      </c>
      <c r="U874" s="362">
        <f t="shared" ref="U874:U937" si="159">+K874*T874</f>
        <v>2648.9166666666665</v>
      </c>
      <c r="V874" s="362">
        <f t="shared" si="155"/>
        <v>12431.166666666668</v>
      </c>
      <c r="W874" s="362">
        <f t="shared" si="154"/>
        <v>1255</v>
      </c>
      <c r="X874" s="742">
        <f t="shared" si="156"/>
        <v>11176.166666666668</v>
      </c>
    </row>
    <row r="875" spans="1:24" ht="13.9">
      <c r="A875" s="349">
        <f t="shared" si="158"/>
        <v>867</v>
      </c>
      <c r="B875" s="407" t="s">
        <v>309</v>
      </c>
      <c r="C875" s="407" t="s">
        <v>2071</v>
      </c>
      <c r="D875" s="349" t="s">
        <v>2093</v>
      </c>
      <c r="E875" s="407" t="s">
        <v>2113</v>
      </c>
      <c r="F875" s="395"/>
      <c r="G875" s="404"/>
      <c r="H875" s="408">
        <v>1504600</v>
      </c>
      <c r="I875" s="353"/>
      <c r="J875" s="353"/>
      <c r="K875" s="354">
        <f t="shared" si="149"/>
        <v>1504600</v>
      </c>
      <c r="L875" s="409">
        <v>43618</v>
      </c>
      <c r="M875" s="742">
        <v>1429370</v>
      </c>
      <c r="N875" s="352">
        <f t="shared" si="157"/>
        <v>75230</v>
      </c>
      <c r="O875" s="357">
        <f t="shared" si="150"/>
        <v>1765</v>
      </c>
      <c r="P875" s="410">
        <v>2</v>
      </c>
      <c r="Q875" s="358">
        <f t="shared" si="148"/>
        <v>4.8356164383561646</v>
      </c>
      <c r="R875" s="359">
        <f t="shared" si="151"/>
        <v>-2.8356164383561646</v>
      </c>
      <c r="S875" s="360">
        <f t="shared" si="152"/>
        <v>0</v>
      </c>
      <c r="T875" s="361">
        <f t="shared" si="153"/>
        <v>0.47499999999999998</v>
      </c>
      <c r="U875" s="362">
        <v>0</v>
      </c>
      <c r="V875" s="362">
        <f t="shared" si="155"/>
        <v>75230</v>
      </c>
      <c r="W875" s="362">
        <f t="shared" si="154"/>
        <v>75230</v>
      </c>
      <c r="X875" s="742">
        <f t="shared" si="156"/>
        <v>0</v>
      </c>
    </row>
    <row r="876" spans="1:24" ht="13.9">
      <c r="A876" s="349">
        <f t="shared" si="158"/>
        <v>868</v>
      </c>
      <c r="B876" s="407" t="s">
        <v>2148</v>
      </c>
      <c r="C876" s="407" t="s">
        <v>2071</v>
      </c>
      <c r="D876" s="349" t="s">
        <v>2093</v>
      </c>
      <c r="E876" s="407" t="s">
        <v>2113</v>
      </c>
      <c r="F876" s="395"/>
      <c r="G876" s="404"/>
      <c r="H876" s="408">
        <v>1509560</v>
      </c>
      <c r="I876" s="353"/>
      <c r="J876" s="353"/>
      <c r="K876" s="354">
        <f t="shared" si="149"/>
        <v>1509560</v>
      </c>
      <c r="L876" s="409">
        <v>43633</v>
      </c>
      <c r="M876" s="742">
        <v>1434082</v>
      </c>
      <c r="N876" s="352">
        <f t="shared" si="157"/>
        <v>75478</v>
      </c>
      <c r="O876" s="357">
        <f t="shared" si="150"/>
        <v>1750</v>
      </c>
      <c r="P876" s="410">
        <v>2</v>
      </c>
      <c r="Q876" s="358">
        <f t="shared" si="148"/>
        <v>4.7945205479452051</v>
      </c>
      <c r="R876" s="359">
        <f t="shared" si="151"/>
        <v>-2.7945205479452051</v>
      </c>
      <c r="S876" s="360">
        <f t="shared" si="152"/>
        <v>0</v>
      </c>
      <c r="T876" s="361">
        <f t="shared" si="153"/>
        <v>0.47499999999999998</v>
      </c>
      <c r="U876" s="362">
        <v>0</v>
      </c>
      <c r="V876" s="362">
        <f t="shared" si="155"/>
        <v>75478</v>
      </c>
      <c r="W876" s="362">
        <f t="shared" si="154"/>
        <v>75478</v>
      </c>
      <c r="X876" s="742">
        <f t="shared" si="156"/>
        <v>0</v>
      </c>
    </row>
    <row r="877" spans="1:24" ht="13.9">
      <c r="A877" s="349">
        <f t="shared" si="158"/>
        <v>869</v>
      </c>
      <c r="B877" s="407" t="s">
        <v>2148</v>
      </c>
      <c r="C877" s="407" t="s">
        <v>2071</v>
      </c>
      <c r="D877" s="349" t="s">
        <v>2093</v>
      </c>
      <c r="E877" s="407" t="s">
        <v>2113</v>
      </c>
      <c r="F877" s="395"/>
      <c r="G877" s="404"/>
      <c r="H877" s="408">
        <v>1544280</v>
      </c>
      <c r="I877" s="353"/>
      <c r="J877" s="353"/>
      <c r="K877" s="354">
        <f t="shared" si="149"/>
        <v>1544280</v>
      </c>
      <c r="L877" s="409">
        <v>43645</v>
      </c>
      <c r="M877" s="742">
        <v>1467066</v>
      </c>
      <c r="N877" s="352">
        <f t="shared" si="157"/>
        <v>77214</v>
      </c>
      <c r="O877" s="357">
        <f t="shared" si="150"/>
        <v>1738</v>
      </c>
      <c r="P877" s="410">
        <v>2</v>
      </c>
      <c r="Q877" s="358">
        <f t="shared" si="148"/>
        <v>4.7616438356164386</v>
      </c>
      <c r="R877" s="359">
        <f t="shared" si="151"/>
        <v>-2.7616438356164386</v>
      </c>
      <c r="S877" s="360">
        <f t="shared" si="152"/>
        <v>0</v>
      </c>
      <c r="T877" s="361">
        <f t="shared" si="153"/>
        <v>0.47499999999999998</v>
      </c>
      <c r="U877" s="362">
        <v>0</v>
      </c>
      <c r="V877" s="362">
        <f t="shared" si="155"/>
        <v>77214</v>
      </c>
      <c r="W877" s="362">
        <f t="shared" si="154"/>
        <v>77214</v>
      </c>
      <c r="X877" s="742">
        <f t="shared" si="156"/>
        <v>0</v>
      </c>
    </row>
    <row r="878" spans="1:24" ht="13.9">
      <c r="A878" s="349">
        <f t="shared" si="158"/>
        <v>870</v>
      </c>
      <c r="B878" s="407" t="s">
        <v>2114</v>
      </c>
      <c r="C878" s="407" t="s">
        <v>2079</v>
      </c>
      <c r="D878" s="349" t="s">
        <v>2093</v>
      </c>
      <c r="E878" s="407" t="s">
        <v>2113</v>
      </c>
      <c r="F878" s="395"/>
      <c r="G878" s="404"/>
      <c r="H878" s="408">
        <v>1844800</v>
      </c>
      <c r="I878" s="353"/>
      <c r="J878" s="353"/>
      <c r="K878" s="354">
        <f t="shared" si="149"/>
        <v>1844800</v>
      </c>
      <c r="L878" s="409">
        <v>43784</v>
      </c>
      <c r="M878" s="742">
        <v>1752560</v>
      </c>
      <c r="N878" s="352">
        <f t="shared" si="157"/>
        <v>92240</v>
      </c>
      <c r="O878" s="357">
        <f t="shared" si="150"/>
        <v>1599</v>
      </c>
      <c r="P878" s="410">
        <v>2</v>
      </c>
      <c r="Q878" s="358">
        <f t="shared" si="148"/>
        <v>4.3808219178082188</v>
      </c>
      <c r="R878" s="359">
        <f t="shared" si="151"/>
        <v>-2.3808219178082188</v>
      </c>
      <c r="S878" s="360">
        <f t="shared" si="152"/>
        <v>0</v>
      </c>
      <c r="T878" s="361">
        <f t="shared" si="153"/>
        <v>0.47499999999999998</v>
      </c>
      <c r="U878" s="362">
        <v>0</v>
      </c>
      <c r="V878" s="362">
        <f t="shared" si="155"/>
        <v>92240</v>
      </c>
      <c r="W878" s="362">
        <f t="shared" si="154"/>
        <v>92240</v>
      </c>
      <c r="X878" s="742">
        <f t="shared" si="156"/>
        <v>0</v>
      </c>
    </row>
    <row r="879" spans="1:24" ht="13.9">
      <c r="A879" s="349">
        <f t="shared" si="158"/>
        <v>871</v>
      </c>
      <c r="B879" s="407" t="s">
        <v>1959</v>
      </c>
      <c r="C879" s="407" t="s">
        <v>2079</v>
      </c>
      <c r="D879" s="349" t="s">
        <v>2093</v>
      </c>
      <c r="E879" s="407" t="s">
        <v>2029</v>
      </c>
      <c r="F879" s="395"/>
      <c r="G879" s="404"/>
      <c r="H879" s="408">
        <v>165750</v>
      </c>
      <c r="I879" s="353"/>
      <c r="J879" s="353"/>
      <c r="K879" s="354">
        <f t="shared" si="149"/>
        <v>165750</v>
      </c>
      <c r="L879" s="409">
        <v>43571</v>
      </c>
      <c r="M879" s="742">
        <v>55650.833333333328</v>
      </c>
      <c r="N879" s="352">
        <f t="shared" si="157"/>
        <v>110099.16666666667</v>
      </c>
      <c r="O879" s="357">
        <f t="shared" si="150"/>
        <v>1812</v>
      </c>
      <c r="P879" s="410">
        <v>9</v>
      </c>
      <c r="Q879" s="358">
        <f t="shared" si="148"/>
        <v>4.9643835616438352</v>
      </c>
      <c r="R879" s="359">
        <f t="shared" si="151"/>
        <v>4.0356164383561648</v>
      </c>
      <c r="S879" s="360">
        <f t="shared" si="152"/>
        <v>4.0356164383561648</v>
      </c>
      <c r="T879" s="361">
        <f t="shared" si="153"/>
        <v>0.10555555555555554</v>
      </c>
      <c r="U879" s="362">
        <f t="shared" si="159"/>
        <v>17495.833333333332</v>
      </c>
      <c r="V879" s="362">
        <f t="shared" si="155"/>
        <v>92603.333333333343</v>
      </c>
      <c r="W879" s="362">
        <f t="shared" si="154"/>
        <v>8288</v>
      </c>
      <c r="X879" s="742">
        <f t="shared" si="156"/>
        <v>84315.333333333343</v>
      </c>
    </row>
    <row r="880" spans="1:24" ht="13.9">
      <c r="A880" s="349">
        <f t="shared" si="158"/>
        <v>872</v>
      </c>
      <c r="B880" s="412" t="s">
        <v>1886</v>
      </c>
      <c r="C880" s="412" t="s">
        <v>2149</v>
      </c>
      <c r="D880" s="413" t="s">
        <v>2150</v>
      </c>
      <c r="E880" s="412" t="s">
        <v>409</v>
      </c>
      <c r="F880" s="414"/>
      <c r="G880" s="415"/>
      <c r="H880" s="408">
        <v>7864000</v>
      </c>
      <c r="I880" s="352"/>
      <c r="J880" s="352"/>
      <c r="K880" s="354">
        <f t="shared" si="149"/>
        <v>7864000</v>
      </c>
      <c r="L880" s="416">
        <v>44226</v>
      </c>
      <c r="M880" s="742">
        <v>1762517.8888888888</v>
      </c>
      <c r="N880" s="352">
        <f t="shared" si="157"/>
        <v>6101482.111111111</v>
      </c>
      <c r="O880" s="357">
        <f t="shared" si="150"/>
        <v>1157</v>
      </c>
      <c r="P880" s="410">
        <v>9</v>
      </c>
      <c r="Q880" s="358">
        <f t="shared" si="148"/>
        <v>3.1698630136986301</v>
      </c>
      <c r="R880" s="359">
        <f t="shared" si="151"/>
        <v>5.8301369863013699</v>
      </c>
      <c r="S880" s="360">
        <f t="shared" si="152"/>
        <v>5.8301369863013699</v>
      </c>
      <c r="T880" s="361">
        <f t="shared" si="153"/>
        <v>0.10555555555555554</v>
      </c>
      <c r="U880" s="362">
        <f t="shared" si="159"/>
        <v>830088.88888888876</v>
      </c>
      <c r="V880" s="362">
        <f t="shared" si="155"/>
        <v>5271393.222222222</v>
      </c>
      <c r="W880" s="362">
        <f t="shared" si="154"/>
        <v>393200</v>
      </c>
      <c r="X880" s="742">
        <f t="shared" si="156"/>
        <v>4878193.222222222</v>
      </c>
    </row>
    <row r="881" spans="1:24" ht="13.9">
      <c r="A881" s="349">
        <f t="shared" si="158"/>
        <v>873</v>
      </c>
      <c r="B881" s="412" t="s">
        <v>1886</v>
      </c>
      <c r="C881" s="412" t="s">
        <v>2149</v>
      </c>
      <c r="D881" s="413" t="s">
        <v>2150</v>
      </c>
      <c r="E881" s="412" t="s">
        <v>409</v>
      </c>
      <c r="F881" s="414"/>
      <c r="G881" s="415"/>
      <c r="H881" s="408">
        <v>5978500</v>
      </c>
      <c r="I881" s="352"/>
      <c r="J881" s="352"/>
      <c r="K881" s="354">
        <f t="shared" si="149"/>
        <v>5978500</v>
      </c>
      <c r="L881" s="416">
        <v>44226</v>
      </c>
      <c r="M881" s="742">
        <v>1339929.8888888888</v>
      </c>
      <c r="N881" s="352">
        <f t="shared" si="157"/>
        <v>4638570.111111111</v>
      </c>
      <c r="O881" s="357">
        <f t="shared" si="150"/>
        <v>1157</v>
      </c>
      <c r="P881" s="410">
        <v>9</v>
      </c>
      <c r="Q881" s="358">
        <f t="shared" si="148"/>
        <v>3.1698630136986301</v>
      </c>
      <c r="R881" s="359">
        <f t="shared" si="151"/>
        <v>5.8301369863013699</v>
      </c>
      <c r="S881" s="360">
        <f t="shared" si="152"/>
        <v>5.8301369863013699</v>
      </c>
      <c r="T881" s="361">
        <f t="shared" si="153"/>
        <v>0.10555555555555554</v>
      </c>
      <c r="U881" s="362">
        <f t="shared" si="159"/>
        <v>631063.88888888876</v>
      </c>
      <c r="V881" s="362">
        <f t="shared" si="155"/>
        <v>4007506.222222222</v>
      </c>
      <c r="W881" s="362">
        <f t="shared" si="154"/>
        <v>298925</v>
      </c>
      <c r="X881" s="742">
        <f t="shared" si="156"/>
        <v>3708581.222222222</v>
      </c>
    </row>
    <row r="882" spans="1:24" ht="13.9">
      <c r="A882" s="349">
        <f t="shared" si="158"/>
        <v>874</v>
      </c>
      <c r="B882" s="412" t="s">
        <v>1886</v>
      </c>
      <c r="C882" s="412" t="s">
        <v>2149</v>
      </c>
      <c r="D882" s="413" t="s">
        <v>2150</v>
      </c>
      <c r="E882" s="412" t="s">
        <v>409</v>
      </c>
      <c r="F882" s="414"/>
      <c r="G882" s="415"/>
      <c r="H882" s="408">
        <v>210000</v>
      </c>
      <c r="I882" s="352"/>
      <c r="J882" s="352"/>
      <c r="K882" s="354">
        <f t="shared" si="149"/>
        <v>210000</v>
      </c>
      <c r="L882" s="416">
        <v>44226</v>
      </c>
      <c r="M882" s="742">
        <v>47066.666666666664</v>
      </c>
      <c r="N882" s="352">
        <f t="shared" si="157"/>
        <v>162933.33333333334</v>
      </c>
      <c r="O882" s="357">
        <f t="shared" si="150"/>
        <v>1157</v>
      </c>
      <c r="P882" s="410">
        <v>9</v>
      </c>
      <c r="Q882" s="358">
        <f t="shared" si="148"/>
        <v>3.1698630136986301</v>
      </c>
      <c r="R882" s="359">
        <f t="shared" si="151"/>
        <v>5.8301369863013699</v>
      </c>
      <c r="S882" s="360">
        <f t="shared" si="152"/>
        <v>5.8301369863013699</v>
      </c>
      <c r="T882" s="361">
        <f t="shared" si="153"/>
        <v>0.10555555555555554</v>
      </c>
      <c r="U882" s="362">
        <f t="shared" si="159"/>
        <v>22166.666666666664</v>
      </c>
      <c r="V882" s="362">
        <f t="shared" si="155"/>
        <v>140766.66666666669</v>
      </c>
      <c r="W882" s="362">
        <f t="shared" si="154"/>
        <v>10500</v>
      </c>
      <c r="X882" s="742">
        <f t="shared" si="156"/>
        <v>130266.66666666669</v>
      </c>
    </row>
    <row r="883" spans="1:24" ht="13.9">
      <c r="A883" s="349">
        <f t="shared" si="158"/>
        <v>875</v>
      </c>
      <c r="B883" s="412" t="s">
        <v>1886</v>
      </c>
      <c r="C883" s="412" t="s">
        <v>2149</v>
      </c>
      <c r="D883" s="413" t="s">
        <v>2150</v>
      </c>
      <c r="E883" s="412" t="s">
        <v>409</v>
      </c>
      <c r="F883" s="414"/>
      <c r="G883" s="415"/>
      <c r="H883" s="408">
        <v>40000</v>
      </c>
      <c r="I883" s="352"/>
      <c r="J883" s="352"/>
      <c r="K883" s="354">
        <f t="shared" si="149"/>
        <v>40000</v>
      </c>
      <c r="L883" s="416">
        <v>44226</v>
      </c>
      <c r="M883" s="742">
        <v>8965.2222222222226</v>
      </c>
      <c r="N883" s="352">
        <f t="shared" si="157"/>
        <v>31034.777777777777</v>
      </c>
      <c r="O883" s="357">
        <f t="shared" si="150"/>
        <v>1157</v>
      </c>
      <c r="P883" s="410">
        <v>9</v>
      </c>
      <c r="Q883" s="358">
        <f t="shared" si="148"/>
        <v>3.1698630136986301</v>
      </c>
      <c r="R883" s="359">
        <f t="shared" si="151"/>
        <v>5.8301369863013699</v>
      </c>
      <c r="S883" s="360">
        <f t="shared" si="152"/>
        <v>5.8301369863013699</v>
      </c>
      <c r="T883" s="361">
        <f t="shared" si="153"/>
        <v>0.10555555555555554</v>
      </c>
      <c r="U883" s="362">
        <f t="shared" si="159"/>
        <v>4222.2222222222217</v>
      </c>
      <c r="V883" s="362">
        <f t="shared" si="155"/>
        <v>26812.555555555555</v>
      </c>
      <c r="W883" s="362">
        <f t="shared" si="154"/>
        <v>2000</v>
      </c>
      <c r="X883" s="742">
        <f t="shared" si="156"/>
        <v>24812.555555555555</v>
      </c>
    </row>
    <row r="884" spans="1:24" ht="13.9">
      <c r="A884" s="349">
        <f t="shared" si="158"/>
        <v>876</v>
      </c>
      <c r="B884" s="412" t="s">
        <v>1886</v>
      </c>
      <c r="C884" s="412" t="s">
        <v>2149</v>
      </c>
      <c r="D884" s="413" t="s">
        <v>2150</v>
      </c>
      <c r="E884" s="412" t="s">
        <v>409</v>
      </c>
      <c r="F884" s="417"/>
      <c r="G884" s="418"/>
      <c r="H884" s="408">
        <v>3090000</v>
      </c>
      <c r="I884" s="356"/>
      <c r="J884" s="356"/>
      <c r="K884" s="354">
        <f t="shared" si="149"/>
        <v>3090000</v>
      </c>
      <c r="L884" s="416">
        <v>44226</v>
      </c>
      <c r="M884" s="742">
        <v>692545.66666666663</v>
      </c>
      <c r="N884" s="352">
        <f t="shared" si="157"/>
        <v>2397454.3333333335</v>
      </c>
      <c r="O884" s="357">
        <f t="shared" si="150"/>
        <v>1157</v>
      </c>
      <c r="P884" s="410">
        <v>9</v>
      </c>
      <c r="Q884" s="358">
        <f t="shared" si="148"/>
        <v>3.1698630136986301</v>
      </c>
      <c r="R884" s="359">
        <f t="shared" si="151"/>
        <v>5.8301369863013699</v>
      </c>
      <c r="S884" s="360">
        <f t="shared" si="152"/>
        <v>5.8301369863013699</v>
      </c>
      <c r="T884" s="361">
        <f t="shared" si="153"/>
        <v>0.10555555555555554</v>
      </c>
      <c r="U884" s="362">
        <f t="shared" si="159"/>
        <v>326166.66666666663</v>
      </c>
      <c r="V884" s="362">
        <f t="shared" si="155"/>
        <v>2071287.666666667</v>
      </c>
      <c r="W884" s="362">
        <f t="shared" si="154"/>
        <v>154500</v>
      </c>
      <c r="X884" s="742">
        <f t="shared" si="156"/>
        <v>1916787.666666667</v>
      </c>
    </row>
    <row r="885" spans="1:24" ht="13.9">
      <c r="A885" s="349">
        <f t="shared" si="158"/>
        <v>877</v>
      </c>
      <c r="B885" s="412" t="s">
        <v>1886</v>
      </c>
      <c r="C885" s="412" t="s">
        <v>2149</v>
      </c>
      <c r="D885" s="413" t="s">
        <v>2150</v>
      </c>
      <c r="E885" s="412" t="s">
        <v>409</v>
      </c>
      <c r="F885" s="417"/>
      <c r="G885" s="418"/>
      <c r="H885" s="408">
        <v>3330000</v>
      </c>
      <c r="I885" s="356"/>
      <c r="J885" s="356"/>
      <c r="K885" s="354">
        <f t="shared" si="149"/>
        <v>3330000</v>
      </c>
      <c r="L885" s="416">
        <v>44226</v>
      </c>
      <c r="M885" s="742">
        <v>746336</v>
      </c>
      <c r="N885" s="352">
        <f t="shared" si="157"/>
        <v>2583664</v>
      </c>
      <c r="O885" s="357">
        <f t="shared" si="150"/>
        <v>1157</v>
      </c>
      <c r="P885" s="410">
        <v>9</v>
      </c>
      <c r="Q885" s="358">
        <f t="shared" si="148"/>
        <v>3.1698630136986301</v>
      </c>
      <c r="R885" s="359">
        <f t="shared" si="151"/>
        <v>5.8301369863013699</v>
      </c>
      <c r="S885" s="360">
        <f t="shared" si="152"/>
        <v>5.8301369863013699</v>
      </c>
      <c r="T885" s="361">
        <f t="shared" si="153"/>
        <v>0.10555555555555554</v>
      </c>
      <c r="U885" s="362">
        <f t="shared" si="159"/>
        <v>351499.99999999994</v>
      </c>
      <c r="V885" s="362">
        <f t="shared" si="155"/>
        <v>2232164</v>
      </c>
      <c r="W885" s="362">
        <f t="shared" si="154"/>
        <v>166500</v>
      </c>
      <c r="X885" s="742">
        <f t="shared" si="156"/>
        <v>2065664</v>
      </c>
    </row>
    <row r="886" spans="1:24" ht="13.9">
      <c r="A886" s="349">
        <f t="shared" si="158"/>
        <v>878</v>
      </c>
      <c r="B886" s="412" t="s">
        <v>1886</v>
      </c>
      <c r="C886" s="412" t="s">
        <v>2149</v>
      </c>
      <c r="D886" s="413" t="s">
        <v>2150</v>
      </c>
      <c r="E886" s="412" t="s">
        <v>409</v>
      </c>
      <c r="F886" s="417"/>
      <c r="G886" s="418"/>
      <c r="H886" s="408">
        <v>50000</v>
      </c>
      <c r="I886" s="356"/>
      <c r="J886" s="356"/>
      <c r="K886" s="354">
        <f t="shared" si="149"/>
        <v>50000</v>
      </c>
      <c r="L886" s="416">
        <v>44226</v>
      </c>
      <c r="M886" s="742">
        <v>11205.777777777777</v>
      </c>
      <c r="N886" s="352">
        <f t="shared" si="157"/>
        <v>38794.222222222219</v>
      </c>
      <c r="O886" s="357">
        <f t="shared" si="150"/>
        <v>1157</v>
      </c>
      <c r="P886" s="410">
        <v>9</v>
      </c>
      <c r="Q886" s="358">
        <f t="shared" si="148"/>
        <v>3.1698630136986301</v>
      </c>
      <c r="R886" s="359">
        <f t="shared" si="151"/>
        <v>5.8301369863013699</v>
      </c>
      <c r="S886" s="360">
        <f t="shared" si="152"/>
        <v>5.8301369863013699</v>
      </c>
      <c r="T886" s="361">
        <f t="shared" si="153"/>
        <v>0.10555555555555554</v>
      </c>
      <c r="U886" s="362">
        <f t="shared" si="159"/>
        <v>5277.7777777777774</v>
      </c>
      <c r="V886" s="362">
        <f t="shared" si="155"/>
        <v>33516.444444444438</v>
      </c>
      <c r="W886" s="362">
        <f t="shared" si="154"/>
        <v>2500</v>
      </c>
      <c r="X886" s="742">
        <f t="shared" si="156"/>
        <v>31016.444444444438</v>
      </c>
    </row>
    <row r="887" spans="1:24" ht="13.9">
      <c r="A887" s="349">
        <f t="shared" si="158"/>
        <v>879</v>
      </c>
      <c r="B887" s="412" t="s">
        <v>1886</v>
      </c>
      <c r="C887" s="412" t="s">
        <v>2149</v>
      </c>
      <c r="D887" s="413" t="s">
        <v>2150</v>
      </c>
      <c r="E887" s="412" t="s">
        <v>409</v>
      </c>
      <c r="F887" s="417"/>
      <c r="G887" s="418"/>
      <c r="H887" s="408">
        <v>793092</v>
      </c>
      <c r="I887" s="356"/>
      <c r="J887" s="356"/>
      <c r="K887" s="354">
        <f t="shared" si="149"/>
        <v>793092</v>
      </c>
      <c r="L887" s="416">
        <v>44226</v>
      </c>
      <c r="M887" s="742">
        <v>177751.26666666666</v>
      </c>
      <c r="N887" s="352">
        <f t="shared" si="157"/>
        <v>615340.7333333334</v>
      </c>
      <c r="O887" s="357">
        <f t="shared" si="150"/>
        <v>1157</v>
      </c>
      <c r="P887" s="410">
        <v>9</v>
      </c>
      <c r="Q887" s="358">
        <f t="shared" si="148"/>
        <v>3.1698630136986301</v>
      </c>
      <c r="R887" s="359">
        <f t="shared" si="151"/>
        <v>5.8301369863013699</v>
      </c>
      <c r="S887" s="360">
        <f t="shared" si="152"/>
        <v>5.8301369863013699</v>
      </c>
      <c r="T887" s="361">
        <f t="shared" si="153"/>
        <v>0.10555555555555554</v>
      </c>
      <c r="U887" s="362">
        <f t="shared" si="159"/>
        <v>83715.266666666648</v>
      </c>
      <c r="V887" s="362">
        <f t="shared" si="155"/>
        <v>531625.46666666679</v>
      </c>
      <c r="W887" s="362">
        <f t="shared" si="154"/>
        <v>39655</v>
      </c>
      <c r="X887" s="742">
        <f t="shared" si="156"/>
        <v>491970.46666666679</v>
      </c>
    </row>
    <row r="888" spans="1:24" ht="13.9">
      <c r="A888" s="349">
        <f t="shared" si="158"/>
        <v>880</v>
      </c>
      <c r="B888" s="412" t="s">
        <v>1886</v>
      </c>
      <c r="C888" s="412" t="s">
        <v>2149</v>
      </c>
      <c r="D888" s="413" t="s">
        <v>2150</v>
      </c>
      <c r="E888" s="412" t="s">
        <v>409</v>
      </c>
      <c r="F888" s="417"/>
      <c r="G888" s="418"/>
      <c r="H888" s="408">
        <v>575000</v>
      </c>
      <c r="I888" s="356"/>
      <c r="J888" s="356"/>
      <c r="K888" s="354">
        <f t="shared" si="149"/>
        <v>575000</v>
      </c>
      <c r="L888" s="416">
        <v>44226</v>
      </c>
      <c r="M888" s="742">
        <v>128871.44444444444</v>
      </c>
      <c r="N888" s="352">
        <f t="shared" si="157"/>
        <v>446128.55555555556</v>
      </c>
      <c r="O888" s="357">
        <f t="shared" si="150"/>
        <v>1157</v>
      </c>
      <c r="P888" s="410">
        <v>9</v>
      </c>
      <c r="Q888" s="358">
        <f t="shared" si="148"/>
        <v>3.1698630136986301</v>
      </c>
      <c r="R888" s="359">
        <f t="shared" si="151"/>
        <v>5.8301369863013699</v>
      </c>
      <c r="S888" s="360">
        <f t="shared" si="152"/>
        <v>5.8301369863013699</v>
      </c>
      <c r="T888" s="361">
        <f t="shared" si="153"/>
        <v>0.10555555555555554</v>
      </c>
      <c r="U888" s="362">
        <f t="shared" si="159"/>
        <v>60694.444444444438</v>
      </c>
      <c r="V888" s="362">
        <f t="shared" si="155"/>
        <v>385434.11111111112</v>
      </c>
      <c r="W888" s="362">
        <f t="shared" si="154"/>
        <v>28750</v>
      </c>
      <c r="X888" s="742">
        <f t="shared" si="156"/>
        <v>356684.11111111112</v>
      </c>
    </row>
    <row r="889" spans="1:24" ht="13.9">
      <c r="A889" s="349">
        <f t="shared" si="158"/>
        <v>881</v>
      </c>
      <c r="B889" s="412" t="s">
        <v>1886</v>
      </c>
      <c r="C889" s="412" t="s">
        <v>2149</v>
      </c>
      <c r="D889" s="413" t="s">
        <v>2150</v>
      </c>
      <c r="E889" s="412" t="s">
        <v>409</v>
      </c>
      <c r="F889" s="417"/>
      <c r="G889" s="418"/>
      <c r="H889" s="408">
        <v>575000</v>
      </c>
      <c r="I889" s="356"/>
      <c r="J889" s="356"/>
      <c r="K889" s="354">
        <f t="shared" si="149"/>
        <v>575000</v>
      </c>
      <c r="L889" s="416">
        <v>44226</v>
      </c>
      <c r="M889" s="742">
        <v>128871.44444444444</v>
      </c>
      <c r="N889" s="352">
        <f t="shared" si="157"/>
        <v>446128.55555555556</v>
      </c>
      <c r="O889" s="357">
        <f t="shared" si="150"/>
        <v>1157</v>
      </c>
      <c r="P889" s="410">
        <v>9</v>
      </c>
      <c r="Q889" s="358">
        <f t="shared" si="148"/>
        <v>3.1698630136986301</v>
      </c>
      <c r="R889" s="359">
        <f t="shared" si="151"/>
        <v>5.8301369863013699</v>
      </c>
      <c r="S889" s="360">
        <f t="shared" si="152"/>
        <v>5.8301369863013699</v>
      </c>
      <c r="T889" s="361">
        <f t="shared" si="153"/>
        <v>0.10555555555555554</v>
      </c>
      <c r="U889" s="362">
        <f t="shared" si="159"/>
        <v>60694.444444444438</v>
      </c>
      <c r="V889" s="362">
        <f t="shared" si="155"/>
        <v>385434.11111111112</v>
      </c>
      <c r="W889" s="362">
        <f t="shared" si="154"/>
        <v>28750</v>
      </c>
      <c r="X889" s="742">
        <f t="shared" si="156"/>
        <v>356684.11111111112</v>
      </c>
    </row>
    <row r="890" spans="1:24" ht="13.9">
      <c r="A890" s="349">
        <f t="shared" si="158"/>
        <v>882</v>
      </c>
      <c r="B890" s="412" t="s">
        <v>1886</v>
      </c>
      <c r="C890" s="412" t="s">
        <v>2149</v>
      </c>
      <c r="D890" s="413" t="s">
        <v>2150</v>
      </c>
      <c r="E890" s="412" t="s">
        <v>409</v>
      </c>
      <c r="F890" s="417"/>
      <c r="G890" s="418"/>
      <c r="H890" s="408">
        <v>3339000</v>
      </c>
      <c r="I890" s="356"/>
      <c r="J890" s="356"/>
      <c r="K890" s="354">
        <f t="shared" si="149"/>
        <v>3339000</v>
      </c>
      <c r="L890" s="416">
        <v>44226</v>
      </c>
      <c r="M890" s="742">
        <v>748353</v>
      </c>
      <c r="N890" s="352">
        <f t="shared" si="157"/>
        <v>2590647</v>
      </c>
      <c r="O890" s="357">
        <f t="shared" si="150"/>
        <v>1157</v>
      </c>
      <c r="P890" s="410">
        <v>9</v>
      </c>
      <c r="Q890" s="358">
        <f t="shared" si="148"/>
        <v>3.1698630136986301</v>
      </c>
      <c r="R890" s="359">
        <f t="shared" si="151"/>
        <v>5.8301369863013699</v>
      </c>
      <c r="S890" s="360">
        <f t="shared" si="152"/>
        <v>5.8301369863013699</v>
      </c>
      <c r="T890" s="361">
        <f t="shared" si="153"/>
        <v>0.10555555555555554</v>
      </c>
      <c r="U890" s="362">
        <f t="shared" si="159"/>
        <v>352449.99999999994</v>
      </c>
      <c r="V890" s="362">
        <f t="shared" si="155"/>
        <v>2238197</v>
      </c>
      <c r="W890" s="362">
        <f t="shared" si="154"/>
        <v>166950</v>
      </c>
      <c r="X890" s="742">
        <f t="shared" si="156"/>
        <v>2071247</v>
      </c>
    </row>
    <row r="891" spans="1:24" ht="13.9">
      <c r="A891" s="349">
        <f t="shared" si="158"/>
        <v>883</v>
      </c>
      <c r="B891" s="412" t="s">
        <v>1886</v>
      </c>
      <c r="C891" s="412" t="s">
        <v>2149</v>
      </c>
      <c r="D891" s="413" t="s">
        <v>2150</v>
      </c>
      <c r="E891" s="412" t="s">
        <v>409</v>
      </c>
      <c r="F891" s="417"/>
      <c r="G891" s="418"/>
      <c r="H891" s="408">
        <v>950000</v>
      </c>
      <c r="I891" s="356"/>
      <c r="J891" s="356"/>
      <c r="K891" s="354">
        <f t="shared" si="149"/>
        <v>950000</v>
      </c>
      <c r="L891" s="416">
        <v>44226</v>
      </c>
      <c r="M891" s="742">
        <v>212918.77777777775</v>
      </c>
      <c r="N891" s="352">
        <f t="shared" si="157"/>
        <v>737081.22222222225</v>
      </c>
      <c r="O891" s="357">
        <f t="shared" si="150"/>
        <v>1157</v>
      </c>
      <c r="P891" s="410">
        <v>9</v>
      </c>
      <c r="Q891" s="358">
        <f t="shared" si="148"/>
        <v>3.1698630136986301</v>
      </c>
      <c r="R891" s="359">
        <f t="shared" si="151"/>
        <v>5.8301369863013699</v>
      </c>
      <c r="S891" s="360">
        <f t="shared" si="152"/>
        <v>5.8301369863013699</v>
      </c>
      <c r="T891" s="361">
        <f t="shared" si="153"/>
        <v>0.10555555555555554</v>
      </c>
      <c r="U891" s="362">
        <f t="shared" si="159"/>
        <v>100277.77777777777</v>
      </c>
      <c r="V891" s="362">
        <f t="shared" si="155"/>
        <v>636803.4444444445</v>
      </c>
      <c r="W891" s="362">
        <f t="shared" si="154"/>
        <v>47500</v>
      </c>
      <c r="X891" s="742">
        <f t="shared" si="156"/>
        <v>589303.4444444445</v>
      </c>
    </row>
    <row r="892" spans="1:24" ht="13.9">
      <c r="A892" s="349">
        <f t="shared" si="158"/>
        <v>884</v>
      </c>
      <c r="B892" s="412" t="s">
        <v>1886</v>
      </c>
      <c r="C892" s="412" t="s">
        <v>2149</v>
      </c>
      <c r="D892" s="413" t="s">
        <v>2150</v>
      </c>
      <c r="E892" s="412" t="s">
        <v>409</v>
      </c>
      <c r="F892" s="417"/>
      <c r="G892" s="418"/>
      <c r="H892" s="408">
        <v>110000</v>
      </c>
      <c r="I892" s="356"/>
      <c r="J892" s="356"/>
      <c r="K892" s="354">
        <f t="shared" si="149"/>
        <v>110000</v>
      </c>
      <c r="L892" s="416">
        <v>44226</v>
      </c>
      <c r="M892" s="742">
        <v>24654.111111111109</v>
      </c>
      <c r="N892" s="352">
        <f t="shared" si="157"/>
        <v>85345.888888888891</v>
      </c>
      <c r="O892" s="357">
        <f t="shared" si="150"/>
        <v>1157</v>
      </c>
      <c r="P892" s="410">
        <v>9</v>
      </c>
      <c r="Q892" s="358">
        <f t="shared" si="148"/>
        <v>3.1698630136986301</v>
      </c>
      <c r="R892" s="359">
        <f t="shared" si="151"/>
        <v>5.8301369863013699</v>
      </c>
      <c r="S892" s="360">
        <f t="shared" si="152"/>
        <v>5.8301369863013699</v>
      </c>
      <c r="T892" s="361">
        <f t="shared" si="153"/>
        <v>0.10555555555555554</v>
      </c>
      <c r="U892" s="362">
        <f t="shared" si="159"/>
        <v>11611.111111111109</v>
      </c>
      <c r="V892" s="362">
        <f t="shared" si="155"/>
        <v>73734.777777777781</v>
      </c>
      <c r="W892" s="362">
        <f t="shared" si="154"/>
        <v>5500</v>
      </c>
      <c r="X892" s="742">
        <f t="shared" si="156"/>
        <v>68234.777777777781</v>
      </c>
    </row>
    <row r="893" spans="1:24" ht="13.9">
      <c r="A893" s="349">
        <f t="shared" si="158"/>
        <v>885</v>
      </c>
      <c r="B893" s="412" t="s">
        <v>1886</v>
      </c>
      <c r="C893" s="412" t="s">
        <v>2149</v>
      </c>
      <c r="D893" s="413" t="s">
        <v>2150</v>
      </c>
      <c r="E893" s="412" t="s">
        <v>409</v>
      </c>
      <c r="F893" s="417"/>
      <c r="G893" s="418"/>
      <c r="H893" s="408">
        <v>1750000</v>
      </c>
      <c r="I893" s="356"/>
      <c r="J893" s="356"/>
      <c r="K893" s="354">
        <f t="shared" si="149"/>
        <v>1750000</v>
      </c>
      <c r="L893" s="416">
        <v>44226</v>
      </c>
      <c r="M893" s="742">
        <v>392218.22222222219</v>
      </c>
      <c r="N893" s="352">
        <f t="shared" si="157"/>
        <v>1357781.7777777778</v>
      </c>
      <c r="O893" s="357">
        <f t="shared" si="150"/>
        <v>1157</v>
      </c>
      <c r="P893" s="410">
        <v>9</v>
      </c>
      <c r="Q893" s="358">
        <f t="shared" si="148"/>
        <v>3.1698630136986301</v>
      </c>
      <c r="R893" s="359">
        <f t="shared" si="151"/>
        <v>5.8301369863013699</v>
      </c>
      <c r="S893" s="360">
        <f t="shared" si="152"/>
        <v>5.8301369863013699</v>
      </c>
      <c r="T893" s="361">
        <f t="shared" si="153"/>
        <v>0.10555555555555554</v>
      </c>
      <c r="U893" s="362">
        <f t="shared" si="159"/>
        <v>184722.22222222219</v>
      </c>
      <c r="V893" s="362">
        <f t="shared" si="155"/>
        <v>1173059.5555555555</v>
      </c>
      <c r="W893" s="362">
        <f t="shared" si="154"/>
        <v>87500</v>
      </c>
      <c r="X893" s="742">
        <f t="shared" si="156"/>
        <v>1085559.5555555555</v>
      </c>
    </row>
    <row r="894" spans="1:24" ht="13.9">
      <c r="A894" s="349">
        <f t="shared" si="158"/>
        <v>886</v>
      </c>
      <c r="B894" s="412" t="s">
        <v>1886</v>
      </c>
      <c r="C894" s="412" t="s">
        <v>2149</v>
      </c>
      <c r="D894" s="413" t="s">
        <v>2150</v>
      </c>
      <c r="E894" s="412" t="s">
        <v>409</v>
      </c>
      <c r="F894" s="417"/>
      <c r="G894" s="418"/>
      <c r="H894" s="408">
        <v>590000</v>
      </c>
      <c r="I894" s="356"/>
      <c r="J894" s="356"/>
      <c r="K894" s="354">
        <f t="shared" si="149"/>
        <v>590000</v>
      </c>
      <c r="L894" s="416">
        <v>44226</v>
      </c>
      <c r="M894" s="742">
        <v>132233.77777777775</v>
      </c>
      <c r="N894" s="352">
        <f t="shared" si="157"/>
        <v>457766.22222222225</v>
      </c>
      <c r="O894" s="357">
        <f t="shared" si="150"/>
        <v>1157</v>
      </c>
      <c r="P894" s="410">
        <v>9</v>
      </c>
      <c r="Q894" s="358">
        <f t="shared" si="148"/>
        <v>3.1698630136986301</v>
      </c>
      <c r="R894" s="359">
        <f t="shared" si="151"/>
        <v>5.8301369863013699</v>
      </c>
      <c r="S894" s="360">
        <f t="shared" si="152"/>
        <v>5.8301369863013699</v>
      </c>
      <c r="T894" s="361">
        <f t="shared" si="153"/>
        <v>0.10555555555555554</v>
      </c>
      <c r="U894" s="362">
        <f t="shared" si="159"/>
        <v>62277.777777777766</v>
      </c>
      <c r="V894" s="362">
        <f t="shared" si="155"/>
        <v>395488.4444444445</v>
      </c>
      <c r="W894" s="362">
        <f t="shared" si="154"/>
        <v>29500</v>
      </c>
      <c r="X894" s="742">
        <f t="shared" si="156"/>
        <v>365988.4444444445</v>
      </c>
    </row>
    <row r="895" spans="1:24" ht="13.9">
      <c r="A895" s="349">
        <f t="shared" si="158"/>
        <v>887</v>
      </c>
      <c r="B895" s="412" t="s">
        <v>1886</v>
      </c>
      <c r="C895" s="412" t="s">
        <v>2149</v>
      </c>
      <c r="D895" s="413" t="s">
        <v>2150</v>
      </c>
      <c r="E895" s="412" t="s">
        <v>409</v>
      </c>
      <c r="F895" s="417"/>
      <c r="G895" s="418"/>
      <c r="H895" s="408">
        <v>700000</v>
      </c>
      <c r="I895" s="356"/>
      <c r="J895" s="356"/>
      <c r="K895" s="354">
        <f t="shared" si="149"/>
        <v>700000</v>
      </c>
      <c r="L895" s="416">
        <v>44226</v>
      </c>
      <c r="M895" s="742">
        <v>156886.88888888888</v>
      </c>
      <c r="N895" s="352">
        <f t="shared" si="157"/>
        <v>543113.11111111112</v>
      </c>
      <c r="O895" s="357">
        <f t="shared" si="150"/>
        <v>1157</v>
      </c>
      <c r="P895" s="410">
        <v>9</v>
      </c>
      <c r="Q895" s="358">
        <f t="shared" si="148"/>
        <v>3.1698630136986301</v>
      </c>
      <c r="R895" s="359">
        <f t="shared" si="151"/>
        <v>5.8301369863013699</v>
      </c>
      <c r="S895" s="360">
        <f t="shared" si="152"/>
        <v>5.8301369863013699</v>
      </c>
      <c r="T895" s="361">
        <f t="shared" si="153"/>
        <v>0.10555555555555554</v>
      </c>
      <c r="U895" s="362">
        <f t="shared" si="159"/>
        <v>73888.888888888876</v>
      </c>
      <c r="V895" s="362">
        <f t="shared" si="155"/>
        <v>469224.22222222225</v>
      </c>
      <c r="W895" s="362">
        <f t="shared" si="154"/>
        <v>35000</v>
      </c>
      <c r="X895" s="742">
        <f t="shared" si="156"/>
        <v>434224.22222222225</v>
      </c>
    </row>
    <row r="896" spans="1:24" ht="13.9">
      <c r="A896" s="349">
        <f t="shared" si="158"/>
        <v>888</v>
      </c>
      <c r="B896" s="412" t="s">
        <v>1886</v>
      </c>
      <c r="C896" s="412" t="s">
        <v>2149</v>
      </c>
      <c r="D896" s="413" t="s">
        <v>2150</v>
      </c>
      <c r="E896" s="412" t="s">
        <v>409</v>
      </c>
      <c r="F896" s="417"/>
      <c r="G896" s="418"/>
      <c r="H896" s="408">
        <v>980000</v>
      </c>
      <c r="I896" s="356"/>
      <c r="J896" s="356"/>
      <c r="K896" s="354">
        <f t="shared" si="149"/>
        <v>980000</v>
      </c>
      <c r="L896" s="416">
        <v>44226</v>
      </c>
      <c r="M896" s="742">
        <v>219642.44444444444</v>
      </c>
      <c r="N896" s="352">
        <f t="shared" si="157"/>
        <v>760357.5555555555</v>
      </c>
      <c r="O896" s="357">
        <f t="shared" si="150"/>
        <v>1157</v>
      </c>
      <c r="P896" s="410">
        <v>9</v>
      </c>
      <c r="Q896" s="358">
        <f t="shared" si="148"/>
        <v>3.1698630136986301</v>
      </c>
      <c r="R896" s="359">
        <f t="shared" si="151"/>
        <v>5.8301369863013699</v>
      </c>
      <c r="S896" s="360">
        <f t="shared" si="152"/>
        <v>5.8301369863013699</v>
      </c>
      <c r="T896" s="361">
        <f t="shared" si="153"/>
        <v>0.10555555555555554</v>
      </c>
      <c r="U896" s="362">
        <f t="shared" si="159"/>
        <v>103444.44444444442</v>
      </c>
      <c r="V896" s="362">
        <f t="shared" si="155"/>
        <v>656913.11111111112</v>
      </c>
      <c r="W896" s="362">
        <f t="shared" si="154"/>
        <v>49000</v>
      </c>
      <c r="X896" s="742">
        <f t="shared" si="156"/>
        <v>607913.11111111112</v>
      </c>
    </row>
    <row r="897" spans="1:24" ht="13.9">
      <c r="A897" s="349">
        <f t="shared" si="158"/>
        <v>889</v>
      </c>
      <c r="B897" s="412" t="s">
        <v>1886</v>
      </c>
      <c r="C897" s="412" t="s">
        <v>2149</v>
      </c>
      <c r="D897" s="413" t="s">
        <v>2150</v>
      </c>
      <c r="E897" s="412" t="s">
        <v>409</v>
      </c>
      <c r="F897" s="417"/>
      <c r="G897" s="418"/>
      <c r="H897" s="408">
        <v>512000</v>
      </c>
      <c r="I897" s="356"/>
      <c r="J897" s="356"/>
      <c r="K897" s="354">
        <f t="shared" si="149"/>
        <v>512000</v>
      </c>
      <c r="L897" s="416">
        <v>44226</v>
      </c>
      <c r="M897" s="742">
        <v>114751.44444444444</v>
      </c>
      <c r="N897" s="352">
        <f t="shared" si="157"/>
        <v>397248.55555555556</v>
      </c>
      <c r="O897" s="357">
        <f t="shared" si="150"/>
        <v>1157</v>
      </c>
      <c r="P897" s="410">
        <v>9</v>
      </c>
      <c r="Q897" s="358">
        <f t="shared" ref="Q897:Q960" si="160">+O897/365</f>
        <v>3.1698630136986301</v>
      </c>
      <c r="R897" s="359">
        <f t="shared" si="151"/>
        <v>5.8301369863013699</v>
      </c>
      <c r="S897" s="360">
        <f t="shared" si="152"/>
        <v>5.8301369863013699</v>
      </c>
      <c r="T897" s="361">
        <f t="shared" si="153"/>
        <v>0.10555555555555554</v>
      </c>
      <c r="U897" s="362">
        <f t="shared" si="159"/>
        <v>54044.444444444438</v>
      </c>
      <c r="V897" s="362">
        <f t="shared" si="155"/>
        <v>343204.11111111112</v>
      </c>
      <c r="W897" s="362">
        <f t="shared" si="154"/>
        <v>25600</v>
      </c>
      <c r="X897" s="742">
        <f t="shared" si="156"/>
        <v>317604.11111111112</v>
      </c>
    </row>
    <row r="898" spans="1:24" ht="13.9">
      <c r="A898" s="349">
        <f t="shared" si="158"/>
        <v>890</v>
      </c>
      <c r="B898" s="412" t="s">
        <v>1886</v>
      </c>
      <c r="C898" s="412" t="s">
        <v>2149</v>
      </c>
      <c r="D898" s="413" t="s">
        <v>2150</v>
      </c>
      <c r="E898" s="412" t="s">
        <v>409</v>
      </c>
      <c r="F898" s="417"/>
      <c r="G898" s="418"/>
      <c r="H898" s="408">
        <v>412500</v>
      </c>
      <c r="I898" s="356"/>
      <c r="J898" s="356"/>
      <c r="K898" s="354">
        <f t="shared" si="149"/>
        <v>412500</v>
      </c>
      <c r="L898" s="416">
        <v>44226</v>
      </c>
      <c r="M898" s="742">
        <v>92451.666666666657</v>
      </c>
      <c r="N898" s="352">
        <f t="shared" si="157"/>
        <v>320048.33333333337</v>
      </c>
      <c r="O898" s="357">
        <f t="shared" si="150"/>
        <v>1157</v>
      </c>
      <c r="P898" s="410">
        <v>9</v>
      </c>
      <c r="Q898" s="358">
        <f t="shared" si="160"/>
        <v>3.1698630136986301</v>
      </c>
      <c r="R898" s="359">
        <f t="shared" si="151"/>
        <v>5.8301369863013699</v>
      </c>
      <c r="S898" s="360">
        <f t="shared" si="152"/>
        <v>5.8301369863013699</v>
      </c>
      <c r="T898" s="361">
        <f t="shared" si="153"/>
        <v>0.10555555555555554</v>
      </c>
      <c r="U898" s="362">
        <f t="shared" si="159"/>
        <v>43541.666666666664</v>
      </c>
      <c r="V898" s="362">
        <f t="shared" si="155"/>
        <v>276506.66666666669</v>
      </c>
      <c r="W898" s="362">
        <f t="shared" si="154"/>
        <v>20625</v>
      </c>
      <c r="X898" s="742">
        <f t="shared" si="156"/>
        <v>255881.66666666669</v>
      </c>
    </row>
    <row r="899" spans="1:24" ht="13.9">
      <c r="A899" s="349">
        <f t="shared" si="158"/>
        <v>891</v>
      </c>
      <c r="B899" s="412" t="s">
        <v>1886</v>
      </c>
      <c r="C899" s="412" t="s">
        <v>2149</v>
      </c>
      <c r="D899" s="413" t="s">
        <v>2150</v>
      </c>
      <c r="E899" s="412" t="s">
        <v>409</v>
      </c>
      <c r="F899" s="417"/>
      <c r="G899" s="418"/>
      <c r="H899" s="408">
        <v>412500</v>
      </c>
      <c r="I899" s="356"/>
      <c r="J899" s="356"/>
      <c r="K899" s="354">
        <f t="shared" si="149"/>
        <v>412500</v>
      </c>
      <c r="L899" s="416">
        <v>44226</v>
      </c>
      <c r="M899" s="742">
        <v>92451.666666666657</v>
      </c>
      <c r="N899" s="352">
        <f t="shared" si="157"/>
        <v>320048.33333333337</v>
      </c>
      <c r="O899" s="357">
        <f t="shared" si="150"/>
        <v>1157</v>
      </c>
      <c r="P899" s="410">
        <v>9</v>
      </c>
      <c r="Q899" s="358">
        <f t="shared" si="160"/>
        <v>3.1698630136986301</v>
      </c>
      <c r="R899" s="359">
        <f t="shared" si="151"/>
        <v>5.8301369863013699</v>
      </c>
      <c r="S899" s="360">
        <f t="shared" si="152"/>
        <v>5.8301369863013699</v>
      </c>
      <c r="T899" s="361">
        <f t="shared" si="153"/>
        <v>0.10555555555555554</v>
      </c>
      <c r="U899" s="362">
        <f t="shared" si="159"/>
        <v>43541.666666666664</v>
      </c>
      <c r="V899" s="362">
        <f t="shared" si="155"/>
        <v>276506.66666666669</v>
      </c>
      <c r="W899" s="362">
        <f t="shared" si="154"/>
        <v>20625</v>
      </c>
      <c r="X899" s="742">
        <f t="shared" si="156"/>
        <v>255881.66666666669</v>
      </c>
    </row>
    <row r="900" spans="1:24" ht="13.9">
      <c r="A900" s="349">
        <f t="shared" si="158"/>
        <v>892</v>
      </c>
      <c r="B900" s="412" t="s">
        <v>1886</v>
      </c>
      <c r="C900" s="412" t="s">
        <v>2149</v>
      </c>
      <c r="D900" s="413" t="s">
        <v>2150</v>
      </c>
      <c r="E900" s="412" t="s">
        <v>409</v>
      </c>
      <c r="F900" s="417"/>
      <c r="G900" s="418"/>
      <c r="H900" s="408">
        <v>296000</v>
      </c>
      <c r="I900" s="356"/>
      <c r="J900" s="356"/>
      <c r="K900" s="354">
        <f t="shared" si="149"/>
        <v>296000</v>
      </c>
      <c r="L900" s="416">
        <v>44226</v>
      </c>
      <c r="M900" s="742">
        <v>66340.444444444438</v>
      </c>
      <c r="N900" s="352">
        <f t="shared" si="157"/>
        <v>229659.55555555556</v>
      </c>
      <c r="O900" s="357">
        <f t="shared" si="150"/>
        <v>1157</v>
      </c>
      <c r="P900" s="410">
        <v>9</v>
      </c>
      <c r="Q900" s="358">
        <f t="shared" si="160"/>
        <v>3.1698630136986301</v>
      </c>
      <c r="R900" s="359">
        <f t="shared" si="151"/>
        <v>5.8301369863013699</v>
      </c>
      <c r="S900" s="360">
        <f t="shared" si="152"/>
        <v>5.8301369863013699</v>
      </c>
      <c r="T900" s="361">
        <f t="shared" si="153"/>
        <v>0.10555555555555554</v>
      </c>
      <c r="U900" s="362">
        <f t="shared" si="159"/>
        <v>31244.444444444442</v>
      </c>
      <c r="V900" s="362">
        <f t="shared" si="155"/>
        <v>198415.11111111112</v>
      </c>
      <c r="W900" s="362">
        <f t="shared" si="154"/>
        <v>14800</v>
      </c>
      <c r="X900" s="742">
        <f t="shared" si="156"/>
        <v>183615.11111111112</v>
      </c>
    </row>
    <row r="901" spans="1:24" ht="13.9">
      <c r="A901" s="349">
        <f t="shared" si="158"/>
        <v>893</v>
      </c>
      <c r="B901" s="412" t="s">
        <v>1886</v>
      </c>
      <c r="C901" s="412" t="s">
        <v>2149</v>
      </c>
      <c r="D901" s="413" t="s">
        <v>2150</v>
      </c>
      <c r="E901" s="412" t="s">
        <v>409</v>
      </c>
      <c r="F901" s="417"/>
      <c r="G901" s="418"/>
      <c r="H901" s="408">
        <v>320850</v>
      </c>
      <c r="I901" s="356"/>
      <c r="J901" s="356"/>
      <c r="K901" s="354">
        <f t="shared" si="149"/>
        <v>320850</v>
      </c>
      <c r="L901" s="416">
        <v>44226</v>
      </c>
      <c r="M901" s="742">
        <v>71910.5</v>
      </c>
      <c r="N901" s="352">
        <f t="shared" si="157"/>
        <v>248939.5</v>
      </c>
      <c r="O901" s="357">
        <f t="shared" si="150"/>
        <v>1157</v>
      </c>
      <c r="P901" s="410">
        <v>9</v>
      </c>
      <c r="Q901" s="358">
        <f t="shared" si="160"/>
        <v>3.1698630136986301</v>
      </c>
      <c r="R901" s="359">
        <f t="shared" si="151"/>
        <v>5.8301369863013699</v>
      </c>
      <c r="S901" s="360">
        <f t="shared" si="152"/>
        <v>5.8301369863013699</v>
      </c>
      <c r="T901" s="361">
        <f t="shared" si="153"/>
        <v>0.10555555555555554</v>
      </c>
      <c r="U901" s="362">
        <f t="shared" si="159"/>
        <v>33867.499999999993</v>
      </c>
      <c r="V901" s="362">
        <f t="shared" si="155"/>
        <v>215072</v>
      </c>
      <c r="W901" s="362">
        <f t="shared" si="154"/>
        <v>16043</v>
      </c>
      <c r="X901" s="742">
        <f t="shared" si="156"/>
        <v>199029</v>
      </c>
    </row>
    <row r="902" spans="1:24" ht="13.9">
      <c r="A902" s="349">
        <f t="shared" si="158"/>
        <v>894</v>
      </c>
      <c r="B902" s="412" t="s">
        <v>1886</v>
      </c>
      <c r="C902" s="412" t="s">
        <v>2149</v>
      </c>
      <c r="D902" s="413" t="s">
        <v>2150</v>
      </c>
      <c r="E902" s="412" t="s">
        <v>409</v>
      </c>
      <c r="F902" s="417"/>
      <c r="G902" s="418"/>
      <c r="H902" s="408">
        <v>270000</v>
      </c>
      <c r="I902" s="356"/>
      <c r="J902" s="356"/>
      <c r="K902" s="354">
        <f t="shared" ref="K902:K965" si="161">+H902+I902-J902</f>
        <v>270000</v>
      </c>
      <c r="L902" s="416">
        <v>44226</v>
      </c>
      <c r="M902" s="742">
        <v>60514</v>
      </c>
      <c r="N902" s="352">
        <f t="shared" si="157"/>
        <v>209486</v>
      </c>
      <c r="O902" s="357">
        <f t="shared" ref="O902:O965" si="162">+$O$3-L902+1</f>
        <v>1157</v>
      </c>
      <c r="P902" s="410">
        <v>9</v>
      </c>
      <c r="Q902" s="358">
        <f t="shared" si="160"/>
        <v>3.1698630136986301</v>
      </c>
      <c r="R902" s="359">
        <f t="shared" ref="R902:R965" si="163">+P902-Q902</f>
        <v>5.8301369863013699</v>
      </c>
      <c r="S902" s="360">
        <f t="shared" ref="S902:S965" si="164">IF(R902&lt;0,0,IF(R902&gt;365,365,R902))</f>
        <v>5.8301369863013699</v>
      </c>
      <c r="T902" s="361">
        <f t="shared" ref="T902:T965" si="165">1/P902*0.95</f>
        <v>0.10555555555555554</v>
      </c>
      <c r="U902" s="362">
        <f t="shared" si="159"/>
        <v>28499.999999999996</v>
      </c>
      <c r="V902" s="362">
        <f t="shared" si="155"/>
        <v>180986</v>
      </c>
      <c r="W902" s="362">
        <f t="shared" ref="W902:W965" si="166">ROUND(+H902*5%,0)</f>
        <v>13500</v>
      </c>
      <c r="X902" s="742">
        <f t="shared" si="156"/>
        <v>167486</v>
      </c>
    </row>
    <row r="903" spans="1:24" ht="13.9">
      <c r="A903" s="349">
        <f t="shared" si="158"/>
        <v>895</v>
      </c>
      <c r="B903" s="412" t="s">
        <v>1886</v>
      </c>
      <c r="C903" s="412" t="s">
        <v>2149</v>
      </c>
      <c r="D903" s="413" t="s">
        <v>2150</v>
      </c>
      <c r="E903" s="412" t="s">
        <v>409</v>
      </c>
      <c r="F903" s="417"/>
      <c r="G903" s="418"/>
      <c r="H903" s="408">
        <v>135052.38</v>
      </c>
      <c r="I903" s="356"/>
      <c r="J903" s="356"/>
      <c r="K903" s="354">
        <f t="shared" si="161"/>
        <v>135052.38</v>
      </c>
      <c r="L903" s="416">
        <v>44226</v>
      </c>
      <c r="M903" s="742">
        <v>30268.528999999999</v>
      </c>
      <c r="N903" s="352">
        <f t="shared" si="157"/>
        <v>104783.85100000001</v>
      </c>
      <c r="O903" s="357">
        <f t="shared" si="162"/>
        <v>1157</v>
      </c>
      <c r="P903" s="410">
        <v>9</v>
      </c>
      <c r="Q903" s="358">
        <f t="shared" si="160"/>
        <v>3.1698630136986301</v>
      </c>
      <c r="R903" s="359">
        <f t="shared" si="163"/>
        <v>5.8301369863013699</v>
      </c>
      <c r="S903" s="360">
        <f t="shared" si="164"/>
        <v>5.8301369863013699</v>
      </c>
      <c r="T903" s="361">
        <f t="shared" si="165"/>
        <v>0.10555555555555554</v>
      </c>
      <c r="U903" s="362">
        <f t="shared" si="159"/>
        <v>14255.528999999999</v>
      </c>
      <c r="V903" s="362">
        <f t="shared" ref="V903:V966" si="167">+N903-U903</f>
        <v>90528.322000000015</v>
      </c>
      <c r="W903" s="362">
        <f t="shared" si="166"/>
        <v>6753</v>
      </c>
      <c r="X903" s="742">
        <f t="shared" ref="X903:X966" si="168">+V903-W903</f>
        <v>83775.322000000015</v>
      </c>
    </row>
    <row r="904" spans="1:24" ht="13.9">
      <c r="A904" s="349">
        <f t="shared" si="158"/>
        <v>896</v>
      </c>
      <c r="B904" s="412" t="s">
        <v>1886</v>
      </c>
      <c r="C904" s="412" t="s">
        <v>2149</v>
      </c>
      <c r="D904" s="413" t="s">
        <v>2150</v>
      </c>
      <c r="E904" s="412" t="s">
        <v>409</v>
      </c>
      <c r="F904" s="417"/>
      <c r="G904" s="418"/>
      <c r="H904" s="408">
        <v>110497.4</v>
      </c>
      <c r="I904" s="356"/>
      <c r="J904" s="356"/>
      <c r="K904" s="354">
        <f t="shared" si="161"/>
        <v>110497.4</v>
      </c>
      <c r="L904" s="416">
        <v>44226</v>
      </c>
      <c r="M904" s="742">
        <v>24765.614444444444</v>
      </c>
      <c r="N904" s="352">
        <f t="shared" ref="N904:N967" si="169">+K904-M904</f>
        <v>85731.785555555543</v>
      </c>
      <c r="O904" s="357">
        <f t="shared" si="162"/>
        <v>1157</v>
      </c>
      <c r="P904" s="410">
        <v>9</v>
      </c>
      <c r="Q904" s="358">
        <f t="shared" si="160"/>
        <v>3.1698630136986301</v>
      </c>
      <c r="R904" s="359">
        <f t="shared" si="163"/>
        <v>5.8301369863013699</v>
      </c>
      <c r="S904" s="360">
        <f t="shared" si="164"/>
        <v>5.8301369863013699</v>
      </c>
      <c r="T904" s="361">
        <f t="shared" si="165"/>
        <v>0.10555555555555554</v>
      </c>
      <c r="U904" s="362">
        <f t="shared" si="159"/>
        <v>11663.614444444442</v>
      </c>
      <c r="V904" s="362">
        <f t="shared" si="167"/>
        <v>74068.171111111107</v>
      </c>
      <c r="W904" s="362">
        <f t="shared" si="166"/>
        <v>5525</v>
      </c>
      <c r="X904" s="742">
        <f t="shared" si="168"/>
        <v>68543.171111111107</v>
      </c>
    </row>
    <row r="905" spans="1:24" ht="13.9">
      <c r="A905" s="349">
        <f t="shared" si="158"/>
        <v>897</v>
      </c>
      <c r="B905" s="412" t="s">
        <v>1886</v>
      </c>
      <c r="C905" s="412" t="s">
        <v>2149</v>
      </c>
      <c r="D905" s="413" t="s">
        <v>2150</v>
      </c>
      <c r="E905" s="412" t="s">
        <v>409</v>
      </c>
      <c r="F905" s="417"/>
      <c r="G905" s="418"/>
      <c r="H905" s="408">
        <v>350000</v>
      </c>
      <c r="I905" s="356"/>
      <c r="J905" s="356"/>
      <c r="K905" s="354">
        <f t="shared" si="161"/>
        <v>350000</v>
      </c>
      <c r="L905" s="416">
        <v>44226</v>
      </c>
      <c r="M905" s="742">
        <v>78443.444444444438</v>
      </c>
      <c r="N905" s="352">
        <f t="shared" si="169"/>
        <v>271556.55555555556</v>
      </c>
      <c r="O905" s="357">
        <f t="shared" si="162"/>
        <v>1157</v>
      </c>
      <c r="P905" s="410">
        <v>9</v>
      </c>
      <c r="Q905" s="358">
        <f t="shared" si="160"/>
        <v>3.1698630136986301</v>
      </c>
      <c r="R905" s="359">
        <f t="shared" si="163"/>
        <v>5.8301369863013699</v>
      </c>
      <c r="S905" s="360">
        <f t="shared" si="164"/>
        <v>5.8301369863013699</v>
      </c>
      <c r="T905" s="361">
        <f t="shared" si="165"/>
        <v>0.10555555555555554</v>
      </c>
      <c r="U905" s="362">
        <f t="shared" si="159"/>
        <v>36944.444444444438</v>
      </c>
      <c r="V905" s="362">
        <f t="shared" si="167"/>
        <v>234612.11111111112</v>
      </c>
      <c r="W905" s="362">
        <f t="shared" si="166"/>
        <v>17500</v>
      </c>
      <c r="X905" s="742">
        <f t="shared" si="168"/>
        <v>217112.11111111112</v>
      </c>
    </row>
    <row r="906" spans="1:24" ht="13.9">
      <c r="A906" s="349">
        <f t="shared" ref="A906:A969" si="170">+A905+1</f>
        <v>898</v>
      </c>
      <c r="B906" s="412" t="s">
        <v>1886</v>
      </c>
      <c r="C906" s="412" t="s">
        <v>2149</v>
      </c>
      <c r="D906" s="413" t="s">
        <v>2150</v>
      </c>
      <c r="E906" s="412" t="s">
        <v>409</v>
      </c>
      <c r="F906" s="417"/>
      <c r="G906" s="418"/>
      <c r="H906" s="408">
        <v>1840000</v>
      </c>
      <c r="I906" s="356"/>
      <c r="J906" s="356"/>
      <c r="K906" s="354">
        <f t="shared" si="161"/>
        <v>1840000</v>
      </c>
      <c r="L906" s="416">
        <v>44226</v>
      </c>
      <c r="M906" s="742">
        <v>412389.22222222219</v>
      </c>
      <c r="N906" s="352">
        <f t="shared" si="169"/>
        <v>1427610.7777777778</v>
      </c>
      <c r="O906" s="357">
        <f t="shared" si="162"/>
        <v>1157</v>
      </c>
      <c r="P906" s="410">
        <v>9</v>
      </c>
      <c r="Q906" s="358">
        <f t="shared" si="160"/>
        <v>3.1698630136986301</v>
      </c>
      <c r="R906" s="359">
        <f t="shared" si="163"/>
        <v>5.8301369863013699</v>
      </c>
      <c r="S906" s="360">
        <f t="shared" si="164"/>
        <v>5.8301369863013699</v>
      </c>
      <c r="T906" s="361">
        <f t="shared" si="165"/>
        <v>0.10555555555555554</v>
      </c>
      <c r="U906" s="362">
        <f t="shared" si="159"/>
        <v>194222.22222222219</v>
      </c>
      <c r="V906" s="362">
        <f t="shared" si="167"/>
        <v>1233388.5555555555</v>
      </c>
      <c r="W906" s="362">
        <f t="shared" si="166"/>
        <v>92000</v>
      </c>
      <c r="X906" s="742">
        <f t="shared" si="168"/>
        <v>1141388.5555555555</v>
      </c>
    </row>
    <row r="907" spans="1:24" ht="13.9">
      <c r="A907" s="349">
        <f t="shared" si="170"/>
        <v>899</v>
      </c>
      <c r="B907" s="412" t="s">
        <v>1886</v>
      </c>
      <c r="C907" s="412" t="s">
        <v>2149</v>
      </c>
      <c r="D907" s="413" t="s">
        <v>2150</v>
      </c>
      <c r="E907" s="412" t="s">
        <v>409</v>
      </c>
      <c r="F907" s="417"/>
      <c r="G907" s="418"/>
      <c r="H907" s="408">
        <v>1300000</v>
      </c>
      <c r="I907" s="356"/>
      <c r="J907" s="356"/>
      <c r="K907" s="354">
        <f t="shared" si="161"/>
        <v>1300000</v>
      </c>
      <c r="L907" s="416">
        <v>44226</v>
      </c>
      <c r="M907" s="742">
        <v>291362.22222222219</v>
      </c>
      <c r="N907" s="352">
        <f t="shared" si="169"/>
        <v>1008637.7777777778</v>
      </c>
      <c r="O907" s="357">
        <f t="shared" si="162"/>
        <v>1157</v>
      </c>
      <c r="P907" s="410">
        <v>9</v>
      </c>
      <c r="Q907" s="358">
        <f t="shared" si="160"/>
        <v>3.1698630136986301</v>
      </c>
      <c r="R907" s="359">
        <f t="shared" si="163"/>
        <v>5.8301369863013699</v>
      </c>
      <c r="S907" s="360">
        <f t="shared" si="164"/>
        <v>5.8301369863013699</v>
      </c>
      <c r="T907" s="361">
        <f t="shared" si="165"/>
        <v>0.10555555555555554</v>
      </c>
      <c r="U907" s="362">
        <f t="shared" si="159"/>
        <v>137222.22222222219</v>
      </c>
      <c r="V907" s="362">
        <f t="shared" si="167"/>
        <v>871415.5555555555</v>
      </c>
      <c r="W907" s="362">
        <f t="shared" si="166"/>
        <v>65000</v>
      </c>
      <c r="X907" s="742">
        <f t="shared" si="168"/>
        <v>806415.5555555555</v>
      </c>
    </row>
    <row r="908" spans="1:24" ht="13.9">
      <c r="A908" s="349">
        <f t="shared" si="170"/>
        <v>900</v>
      </c>
      <c r="B908" s="412" t="s">
        <v>1886</v>
      </c>
      <c r="C908" s="412" t="s">
        <v>2149</v>
      </c>
      <c r="D908" s="413" t="s">
        <v>2150</v>
      </c>
      <c r="E908" s="412" t="s">
        <v>409</v>
      </c>
      <c r="F908" s="417"/>
      <c r="G908" s="418"/>
      <c r="H908" s="408">
        <v>1250000</v>
      </c>
      <c r="I908" s="356"/>
      <c r="J908" s="356"/>
      <c r="K908" s="354">
        <f t="shared" si="161"/>
        <v>1250000</v>
      </c>
      <c r="L908" s="416">
        <v>44226</v>
      </c>
      <c r="M908" s="742">
        <v>280156.44444444444</v>
      </c>
      <c r="N908" s="352">
        <f t="shared" si="169"/>
        <v>969843.5555555555</v>
      </c>
      <c r="O908" s="357">
        <f t="shared" si="162"/>
        <v>1157</v>
      </c>
      <c r="P908" s="410">
        <v>9</v>
      </c>
      <c r="Q908" s="358">
        <f t="shared" si="160"/>
        <v>3.1698630136986301</v>
      </c>
      <c r="R908" s="359">
        <f t="shared" si="163"/>
        <v>5.8301369863013699</v>
      </c>
      <c r="S908" s="360">
        <f t="shared" si="164"/>
        <v>5.8301369863013699</v>
      </c>
      <c r="T908" s="361">
        <f t="shared" si="165"/>
        <v>0.10555555555555554</v>
      </c>
      <c r="U908" s="362">
        <f t="shared" si="159"/>
        <v>131944.44444444444</v>
      </c>
      <c r="V908" s="362">
        <f t="shared" si="167"/>
        <v>837899.11111111101</v>
      </c>
      <c r="W908" s="362">
        <f t="shared" si="166"/>
        <v>62500</v>
      </c>
      <c r="X908" s="742">
        <f t="shared" si="168"/>
        <v>775399.11111111101</v>
      </c>
    </row>
    <row r="909" spans="1:24" ht="13.9">
      <c r="A909" s="349">
        <f t="shared" si="170"/>
        <v>901</v>
      </c>
      <c r="B909" s="412" t="s">
        <v>1886</v>
      </c>
      <c r="C909" s="412" t="s">
        <v>2149</v>
      </c>
      <c r="D909" s="413" t="s">
        <v>2150</v>
      </c>
      <c r="E909" s="412" t="s">
        <v>409</v>
      </c>
      <c r="F909" s="417"/>
      <c r="G909" s="418"/>
      <c r="H909" s="408">
        <v>91355.790000000008</v>
      </c>
      <c r="I909" s="356"/>
      <c r="J909" s="356"/>
      <c r="K909" s="354">
        <f t="shared" si="161"/>
        <v>91355.790000000008</v>
      </c>
      <c r="L909" s="416">
        <v>44226</v>
      </c>
      <c r="M909" s="742">
        <v>20475.111166666666</v>
      </c>
      <c r="N909" s="352">
        <f t="shared" si="169"/>
        <v>70880.678833333339</v>
      </c>
      <c r="O909" s="357">
        <f t="shared" si="162"/>
        <v>1157</v>
      </c>
      <c r="P909" s="410">
        <v>9</v>
      </c>
      <c r="Q909" s="358">
        <f t="shared" si="160"/>
        <v>3.1698630136986301</v>
      </c>
      <c r="R909" s="359">
        <f t="shared" si="163"/>
        <v>5.8301369863013699</v>
      </c>
      <c r="S909" s="360">
        <f t="shared" si="164"/>
        <v>5.8301369863013699</v>
      </c>
      <c r="T909" s="361">
        <f t="shared" si="165"/>
        <v>0.10555555555555554</v>
      </c>
      <c r="U909" s="362">
        <f t="shared" si="159"/>
        <v>9643.1111666666657</v>
      </c>
      <c r="V909" s="362">
        <f t="shared" si="167"/>
        <v>61237.56766666667</v>
      </c>
      <c r="W909" s="362">
        <f t="shared" si="166"/>
        <v>4568</v>
      </c>
      <c r="X909" s="742">
        <f t="shared" si="168"/>
        <v>56669.56766666667</v>
      </c>
    </row>
    <row r="910" spans="1:24" ht="13.9">
      <c r="A910" s="349">
        <f t="shared" si="170"/>
        <v>902</v>
      </c>
      <c r="B910" s="412" t="s">
        <v>1886</v>
      </c>
      <c r="C910" s="412" t="s">
        <v>2149</v>
      </c>
      <c r="D910" s="413" t="s">
        <v>2150</v>
      </c>
      <c r="E910" s="412" t="s">
        <v>409</v>
      </c>
      <c r="F910" s="417"/>
      <c r="G910" s="418"/>
      <c r="H910" s="408">
        <v>925878.57</v>
      </c>
      <c r="I910" s="356"/>
      <c r="J910" s="356"/>
      <c r="K910" s="354">
        <f t="shared" si="161"/>
        <v>925878.57</v>
      </c>
      <c r="L910" s="416">
        <v>44226</v>
      </c>
      <c r="M910" s="742">
        <v>207512.62683333331</v>
      </c>
      <c r="N910" s="352">
        <f t="shared" si="169"/>
        <v>718365.94316666666</v>
      </c>
      <c r="O910" s="357">
        <f t="shared" si="162"/>
        <v>1157</v>
      </c>
      <c r="P910" s="410">
        <v>9</v>
      </c>
      <c r="Q910" s="358">
        <f t="shared" si="160"/>
        <v>3.1698630136986301</v>
      </c>
      <c r="R910" s="359">
        <f t="shared" si="163"/>
        <v>5.8301369863013699</v>
      </c>
      <c r="S910" s="360">
        <f t="shared" si="164"/>
        <v>5.8301369863013699</v>
      </c>
      <c r="T910" s="361">
        <f t="shared" si="165"/>
        <v>0.10555555555555554</v>
      </c>
      <c r="U910" s="362">
        <f t="shared" si="159"/>
        <v>97731.626833333314</v>
      </c>
      <c r="V910" s="362">
        <f t="shared" si="167"/>
        <v>620634.31633333338</v>
      </c>
      <c r="W910" s="362">
        <f t="shared" si="166"/>
        <v>46294</v>
      </c>
      <c r="X910" s="742">
        <f t="shared" si="168"/>
        <v>574340.31633333338</v>
      </c>
    </row>
    <row r="911" spans="1:24" ht="13.9">
      <c r="A911" s="349">
        <f t="shared" si="170"/>
        <v>903</v>
      </c>
      <c r="B911" s="412" t="s">
        <v>1886</v>
      </c>
      <c r="C911" s="412" t="s">
        <v>2149</v>
      </c>
      <c r="D911" s="413" t="s">
        <v>2150</v>
      </c>
      <c r="E911" s="412" t="s">
        <v>2151</v>
      </c>
      <c r="F911" s="417"/>
      <c r="G911" s="418"/>
      <c r="H911" s="408">
        <v>312682</v>
      </c>
      <c r="I911" s="356"/>
      <c r="J911" s="356"/>
      <c r="K911" s="354">
        <f t="shared" si="161"/>
        <v>312682</v>
      </c>
      <c r="L911" s="416">
        <v>44231</v>
      </c>
      <c r="M911" s="742">
        <v>69740.322222222225</v>
      </c>
      <c r="N911" s="352">
        <f t="shared" si="169"/>
        <v>242941.67777777778</v>
      </c>
      <c r="O911" s="357">
        <f t="shared" si="162"/>
        <v>1152</v>
      </c>
      <c r="P911" s="410">
        <v>9</v>
      </c>
      <c r="Q911" s="358">
        <f t="shared" si="160"/>
        <v>3.1561643835616437</v>
      </c>
      <c r="R911" s="359">
        <f t="shared" si="163"/>
        <v>5.8438356164383567</v>
      </c>
      <c r="S911" s="360">
        <f t="shared" si="164"/>
        <v>5.8438356164383567</v>
      </c>
      <c r="T911" s="361">
        <f t="shared" si="165"/>
        <v>0.10555555555555554</v>
      </c>
      <c r="U911" s="362">
        <f t="shared" si="159"/>
        <v>33005.322222222218</v>
      </c>
      <c r="V911" s="362">
        <f t="shared" si="167"/>
        <v>209936.35555555555</v>
      </c>
      <c r="W911" s="362">
        <f t="shared" si="166"/>
        <v>15634</v>
      </c>
      <c r="X911" s="742">
        <f t="shared" si="168"/>
        <v>194302.35555555555</v>
      </c>
    </row>
    <row r="912" spans="1:24" ht="13.9">
      <c r="A912" s="349">
        <f t="shared" si="170"/>
        <v>904</v>
      </c>
      <c r="B912" s="412" t="s">
        <v>1886</v>
      </c>
      <c r="C912" s="412" t="s">
        <v>2149</v>
      </c>
      <c r="D912" s="413" t="s">
        <v>2150</v>
      </c>
      <c r="E912" s="412" t="s">
        <v>2152</v>
      </c>
      <c r="F912" s="417"/>
      <c r="G912" s="418"/>
      <c r="H912" s="408">
        <v>22344</v>
      </c>
      <c r="I912" s="356"/>
      <c r="J912" s="356"/>
      <c r="K912" s="354">
        <f t="shared" si="161"/>
        <v>22344</v>
      </c>
      <c r="L912" s="416">
        <v>44240</v>
      </c>
      <c r="M912" s="742">
        <v>4939.5333333333328</v>
      </c>
      <c r="N912" s="352">
        <f t="shared" si="169"/>
        <v>17404.466666666667</v>
      </c>
      <c r="O912" s="357">
        <f t="shared" si="162"/>
        <v>1143</v>
      </c>
      <c r="P912" s="410">
        <v>9</v>
      </c>
      <c r="Q912" s="358">
        <f t="shared" si="160"/>
        <v>3.1315068493150684</v>
      </c>
      <c r="R912" s="359">
        <f t="shared" si="163"/>
        <v>5.868493150684932</v>
      </c>
      <c r="S912" s="360">
        <f t="shared" si="164"/>
        <v>5.868493150684932</v>
      </c>
      <c r="T912" s="361">
        <f t="shared" si="165"/>
        <v>0.10555555555555554</v>
      </c>
      <c r="U912" s="362">
        <f t="shared" si="159"/>
        <v>2358.5333333333328</v>
      </c>
      <c r="V912" s="362">
        <f t="shared" si="167"/>
        <v>15045.933333333334</v>
      </c>
      <c r="W912" s="362">
        <f t="shared" si="166"/>
        <v>1117</v>
      </c>
      <c r="X912" s="742">
        <f t="shared" si="168"/>
        <v>13928.933333333334</v>
      </c>
    </row>
    <row r="913" spans="1:24" ht="13.9">
      <c r="A913" s="349">
        <f t="shared" si="170"/>
        <v>905</v>
      </c>
      <c r="B913" s="412" t="s">
        <v>1886</v>
      </c>
      <c r="C913" s="412" t="s">
        <v>2149</v>
      </c>
      <c r="D913" s="413" t="s">
        <v>2150</v>
      </c>
      <c r="E913" s="412" t="s">
        <v>2152</v>
      </c>
      <c r="F913" s="417"/>
      <c r="G913" s="418"/>
      <c r="H913" s="408">
        <v>75852</v>
      </c>
      <c r="I913" s="356"/>
      <c r="J913" s="356"/>
      <c r="K913" s="354">
        <f t="shared" si="161"/>
        <v>75852</v>
      </c>
      <c r="L913" s="416">
        <v>44247</v>
      </c>
      <c r="M913" s="742">
        <v>16654.599999999999</v>
      </c>
      <c r="N913" s="352">
        <f t="shared" si="169"/>
        <v>59197.4</v>
      </c>
      <c r="O913" s="357">
        <f t="shared" si="162"/>
        <v>1136</v>
      </c>
      <c r="P913" s="410">
        <v>9</v>
      </c>
      <c r="Q913" s="358">
        <f t="shared" si="160"/>
        <v>3.1123287671232878</v>
      </c>
      <c r="R913" s="359">
        <f t="shared" si="163"/>
        <v>5.8876712328767127</v>
      </c>
      <c r="S913" s="360">
        <f t="shared" si="164"/>
        <v>5.8876712328767127</v>
      </c>
      <c r="T913" s="361">
        <f t="shared" si="165"/>
        <v>0.10555555555555554</v>
      </c>
      <c r="U913" s="362">
        <f t="shared" si="159"/>
        <v>8006.5999999999985</v>
      </c>
      <c r="V913" s="362">
        <f t="shared" si="167"/>
        <v>51190.8</v>
      </c>
      <c r="W913" s="362">
        <f t="shared" si="166"/>
        <v>3793</v>
      </c>
      <c r="X913" s="742">
        <f t="shared" si="168"/>
        <v>47397.8</v>
      </c>
    </row>
    <row r="914" spans="1:24" ht="13.9">
      <c r="A914" s="349">
        <f t="shared" si="170"/>
        <v>906</v>
      </c>
      <c r="B914" s="412" t="s">
        <v>1886</v>
      </c>
      <c r="C914" s="412" t="s">
        <v>2149</v>
      </c>
      <c r="D914" s="413" t="s">
        <v>2150</v>
      </c>
      <c r="E914" s="412" t="s">
        <v>2153</v>
      </c>
      <c r="F914" s="417"/>
      <c r="G914" s="418"/>
      <c r="H914" s="408">
        <v>1700000</v>
      </c>
      <c r="I914" s="356"/>
      <c r="J914" s="356"/>
      <c r="K914" s="354">
        <f t="shared" si="161"/>
        <v>1700000</v>
      </c>
      <c r="L914" s="416">
        <v>44274</v>
      </c>
      <c r="M914" s="742">
        <v>363313.44444444438</v>
      </c>
      <c r="N914" s="352">
        <f t="shared" si="169"/>
        <v>1336686.5555555555</v>
      </c>
      <c r="O914" s="357">
        <f t="shared" si="162"/>
        <v>1109</v>
      </c>
      <c r="P914" s="410">
        <v>9</v>
      </c>
      <c r="Q914" s="358">
        <f t="shared" si="160"/>
        <v>3.0383561643835617</v>
      </c>
      <c r="R914" s="359">
        <f t="shared" si="163"/>
        <v>5.9616438356164387</v>
      </c>
      <c r="S914" s="360">
        <f t="shared" si="164"/>
        <v>5.9616438356164387</v>
      </c>
      <c r="T914" s="361">
        <f t="shared" si="165"/>
        <v>0.10555555555555554</v>
      </c>
      <c r="U914" s="362">
        <f t="shared" si="159"/>
        <v>179444.44444444441</v>
      </c>
      <c r="V914" s="362">
        <f t="shared" si="167"/>
        <v>1157242.111111111</v>
      </c>
      <c r="W914" s="362">
        <f t="shared" si="166"/>
        <v>85000</v>
      </c>
      <c r="X914" s="742">
        <f t="shared" si="168"/>
        <v>1072242.111111111</v>
      </c>
    </row>
    <row r="915" spans="1:24" ht="13.9">
      <c r="A915" s="349">
        <f t="shared" si="170"/>
        <v>907</v>
      </c>
      <c r="B915" s="412" t="s">
        <v>1886</v>
      </c>
      <c r="C915" s="412" t="s">
        <v>2149</v>
      </c>
      <c r="D915" s="413" t="s">
        <v>2150</v>
      </c>
      <c r="E915" s="412" t="s">
        <v>409</v>
      </c>
      <c r="F915" s="417"/>
      <c r="G915" s="418"/>
      <c r="H915" s="408">
        <v>542943</v>
      </c>
      <c r="I915" s="356"/>
      <c r="J915" s="356"/>
      <c r="K915" s="354">
        <f t="shared" si="161"/>
        <v>542943</v>
      </c>
      <c r="L915" s="416">
        <v>44285</v>
      </c>
      <c r="M915" s="742">
        <v>114738.65</v>
      </c>
      <c r="N915" s="352">
        <f t="shared" si="169"/>
        <v>428204.35</v>
      </c>
      <c r="O915" s="357">
        <f t="shared" si="162"/>
        <v>1098</v>
      </c>
      <c r="P915" s="410">
        <v>9</v>
      </c>
      <c r="Q915" s="358">
        <f t="shared" si="160"/>
        <v>3.0082191780821916</v>
      </c>
      <c r="R915" s="359">
        <f t="shared" si="163"/>
        <v>5.9917808219178088</v>
      </c>
      <c r="S915" s="360">
        <f t="shared" si="164"/>
        <v>5.9917808219178088</v>
      </c>
      <c r="T915" s="361">
        <f t="shared" si="165"/>
        <v>0.10555555555555554</v>
      </c>
      <c r="U915" s="362">
        <f t="shared" si="159"/>
        <v>57310.649999999994</v>
      </c>
      <c r="V915" s="362">
        <f t="shared" si="167"/>
        <v>370893.69999999995</v>
      </c>
      <c r="W915" s="362">
        <f t="shared" si="166"/>
        <v>27147</v>
      </c>
      <c r="X915" s="742">
        <f t="shared" si="168"/>
        <v>343746.69999999995</v>
      </c>
    </row>
    <row r="916" spans="1:24" ht="13.9">
      <c r="A916" s="349">
        <f t="shared" si="170"/>
        <v>908</v>
      </c>
      <c r="B916" s="412" t="s">
        <v>71</v>
      </c>
      <c r="C916" s="412" t="s">
        <v>2149</v>
      </c>
      <c r="D916" s="413" t="s">
        <v>2150</v>
      </c>
      <c r="E916" s="412" t="s">
        <v>2154</v>
      </c>
      <c r="F916" s="417"/>
      <c r="G916" s="418"/>
      <c r="H916" s="408">
        <v>2721988</v>
      </c>
      <c r="I916" s="356"/>
      <c r="J916" s="356"/>
      <c r="K916" s="354">
        <f t="shared" si="161"/>
        <v>2721988</v>
      </c>
      <c r="L916" s="416">
        <v>44169</v>
      </c>
      <c r="M916" s="742">
        <v>666741.95555555553</v>
      </c>
      <c r="N916" s="352">
        <f t="shared" si="169"/>
        <v>2055246.0444444446</v>
      </c>
      <c r="O916" s="357">
        <f t="shared" si="162"/>
        <v>1214</v>
      </c>
      <c r="P916" s="410">
        <v>9</v>
      </c>
      <c r="Q916" s="358">
        <f t="shared" si="160"/>
        <v>3.3260273972602739</v>
      </c>
      <c r="R916" s="359">
        <f t="shared" si="163"/>
        <v>5.6739726027397257</v>
      </c>
      <c r="S916" s="360">
        <f t="shared" si="164"/>
        <v>5.6739726027397257</v>
      </c>
      <c r="T916" s="361">
        <f t="shared" si="165"/>
        <v>0.10555555555555554</v>
      </c>
      <c r="U916" s="362">
        <f t="shared" si="159"/>
        <v>287320.95555555553</v>
      </c>
      <c r="V916" s="362">
        <f t="shared" si="167"/>
        <v>1767925.0888888892</v>
      </c>
      <c r="W916" s="362">
        <f t="shared" si="166"/>
        <v>136099</v>
      </c>
      <c r="X916" s="742">
        <f t="shared" si="168"/>
        <v>1631826.0888888892</v>
      </c>
    </row>
    <row r="917" spans="1:24" ht="13.9">
      <c r="A917" s="349">
        <f t="shared" si="170"/>
        <v>909</v>
      </c>
      <c r="B917" s="412" t="s">
        <v>71</v>
      </c>
      <c r="C917" s="412" t="s">
        <v>2149</v>
      </c>
      <c r="D917" s="413" t="s">
        <v>2150</v>
      </c>
      <c r="E917" s="412" t="s">
        <v>2154</v>
      </c>
      <c r="F917" s="417"/>
      <c r="G917" s="418"/>
      <c r="H917" s="408">
        <v>2721988</v>
      </c>
      <c r="I917" s="356"/>
      <c r="J917" s="356"/>
      <c r="K917" s="354">
        <f t="shared" si="161"/>
        <v>2721988</v>
      </c>
      <c r="L917" s="416">
        <v>44169</v>
      </c>
      <c r="M917" s="742">
        <v>666741.95555555553</v>
      </c>
      <c r="N917" s="352">
        <f t="shared" si="169"/>
        <v>2055246.0444444446</v>
      </c>
      <c r="O917" s="357">
        <f t="shared" si="162"/>
        <v>1214</v>
      </c>
      <c r="P917" s="410">
        <v>9</v>
      </c>
      <c r="Q917" s="358">
        <f t="shared" si="160"/>
        <v>3.3260273972602739</v>
      </c>
      <c r="R917" s="359">
        <f t="shared" si="163"/>
        <v>5.6739726027397257</v>
      </c>
      <c r="S917" s="360">
        <f t="shared" si="164"/>
        <v>5.6739726027397257</v>
      </c>
      <c r="T917" s="361">
        <f t="shared" si="165"/>
        <v>0.10555555555555554</v>
      </c>
      <c r="U917" s="362">
        <f t="shared" si="159"/>
        <v>287320.95555555553</v>
      </c>
      <c r="V917" s="362">
        <f t="shared" si="167"/>
        <v>1767925.0888888892</v>
      </c>
      <c r="W917" s="362">
        <f t="shared" si="166"/>
        <v>136099</v>
      </c>
      <c r="X917" s="742">
        <f t="shared" si="168"/>
        <v>1631826.0888888892</v>
      </c>
    </row>
    <row r="918" spans="1:24" ht="13.9">
      <c r="A918" s="349">
        <f t="shared" si="170"/>
        <v>910</v>
      </c>
      <c r="B918" s="412" t="s">
        <v>71</v>
      </c>
      <c r="C918" s="412" t="s">
        <v>2149</v>
      </c>
      <c r="D918" s="413" t="s">
        <v>2150</v>
      </c>
      <c r="E918" s="412" t="s">
        <v>2154</v>
      </c>
      <c r="F918" s="417"/>
      <c r="G918" s="418"/>
      <c r="H918" s="408">
        <v>2721988</v>
      </c>
      <c r="I918" s="356"/>
      <c r="J918" s="356"/>
      <c r="K918" s="354">
        <f t="shared" si="161"/>
        <v>2721988</v>
      </c>
      <c r="L918" s="416">
        <v>44169</v>
      </c>
      <c r="M918" s="742">
        <v>666741.95555555553</v>
      </c>
      <c r="N918" s="352">
        <f t="shared" si="169"/>
        <v>2055246.0444444446</v>
      </c>
      <c r="O918" s="357">
        <f t="shared" si="162"/>
        <v>1214</v>
      </c>
      <c r="P918" s="410">
        <v>9</v>
      </c>
      <c r="Q918" s="358">
        <f t="shared" si="160"/>
        <v>3.3260273972602739</v>
      </c>
      <c r="R918" s="359">
        <f t="shared" si="163"/>
        <v>5.6739726027397257</v>
      </c>
      <c r="S918" s="360">
        <f t="shared" si="164"/>
        <v>5.6739726027397257</v>
      </c>
      <c r="T918" s="361">
        <f t="shared" si="165"/>
        <v>0.10555555555555554</v>
      </c>
      <c r="U918" s="362">
        <f t="shared" si="159"/>
        <v>287320.95555555553</v>
      </c>
      <c r="V918" s="362">
        <f t="shared" si="167"/>
        <v>1767925.0888888892</v>
      </c>
      <c r="W918" s="362">
        <f t="shared" si="166"/>
        <v>136099</v>
      </c>
      <c r="X918" s="742">
        <f t="shared" si="168"/>
        <v>1631826.0888888892</v>
      </c>
    </row>
    <row r="919" spans="1:24" ht="13.9">
      <c r="A919" s="349">
        <f t="shared" si="170"/>
        <v>911</v>
      </c>
      <c r="B919" s="412" t="s">
        <v>71</v>
      </c>
      <c r="C919" s="412" t="s">
        <v>2149</v>
      </c>
      <c r="D919" s="413" t="s">
        <v>2150</v>
      </c>
      <c r="E919" s="412" t="s">
        <v>2154</v>
      </c>
      <c r="F919" s="417"/>
      <c r="G919" s="418"/>
      <c r="H919" s="408">
        <v>2721988</v>
      </c>
      <c r="I919" s="356"/>
      <c r="J919" s="356"/>
      <c r="K919" s="354">
        <f t="shared" si="161"/>
        <v>2721988</v>
      </c>
      <c r="L919" s="416">
        <v>44169</v>
      </c>
      <c r="M919" s="742">
        <v>666741.95555555553</v>
      </c>
      <c r="N919" s="352">
        <f t="shared" si="169"/>
        <v>2055246.0444444446</v>
      </c>
      <c r="O919" s="357">
        <f t="shared" si="162"/>
        <v>1214</v>
      </c>
      <c r="P919" s="410">
        <v>9</v>
      </c>
      <c r="Q919" s="358">
        <f t="shared" si="160"/>
        <v>3.3260273972602739</v>
      </c>
      <c r="R919" s="359">
        <f t="shared" si="163"/>
        <v>5.6739726027397257</v>
      </c>
      <c r="S919" s="360">
        <f t="shared" si="164"/>
        <v>5.6739726027397257</v>
      </c>
      <c r="T919" s="361">
        <f t="shared" si="165"/>
        <v>0.10555555555555554</v>
      </c>
      <c r="U919" s="362">
        <f t="shared" si="159"/>
        <v>287320.95555555553</v>
      </c>
      <c r="V919" s="362">
        <f t="shared" si="167"/>
        <v>1767925.0888888892</v>
      </c>
      <c r="W919" s="362">
        <f t="shared" si="166"/>
        <v>136099</v>
      </c>
      <c r="X919" s="742">
        <f t="shared" si="168"/>
        <v>1631826.0888888892</v>
      </c>
    </row>
    <row r="920" spans="1:24" ht="13.9">
      <c r="A920" s="349">
        <f t="shared" si="170"/>
        <v>912</v>
      </c>
      <c r="B920" s="412" t="s">
        <v>71</v>
      </c>
      <c r="C920" s="412" t="s">
        <v>2149</v>
      </c>
      <c r="D920" s="413" t="s">
        <v>2150</v>
      </c>
      <c r="E920" s="412" t="s">
        <v>2154</v>
      </c>
      <c r="F920" s="417"/>
      <c r="G920" s="418"/>
      <c r="H920" s="408">
        <v>2721988</v>
      </c>
      <c r="I920" s="356"/>
      <c r="J920" s="356"/>
      <c r="K920" s="354">
        <f t="shared" si="161"/>
        <v>2721988</v>
      </c>
      <c r="L920" s="416">
        <v>44173</v>
      </c>
      <c r="M920" s="742">
        <v>663592.95555555553</v>
      </c>
      <c r="N920" s="352">
        <f t="shared" si="169"/>
        <v>2058395.0444444446</v>
      </c>
      <c r="O920" s="357">
        <f t="shared" si="162"/>
        <v>1210</v>
      </c>
      <c r="P920" s="410">
        <v>9</v>
      </c>
      <c r="Q920" s="358">
        <f t="shared" si="160"/>
        <v>3.3150684931506849</v>
      </c>
      <c r="R920" s="359">
        <f t="shared" si="163"/>
        <v>5.6849315068493151</v>
      </c>
      <c r="S920" s="360">
        <f t="shared" si="164"/>
        <v>5.6849315068493151</v>
      </c>
      <c r="T920" s="361">
        <f t="shared" si="165"/>
        <v>0.10555555555555554</v>
      </c>
      <c r="U920" s="362">
        <f t="shared" si="159"/>
        <v>287320.95555555553</v>
      </c>
      <c r="V920" s="362">
        <f t="shared" si="167"/>
        <v>1771074.0888888892</v>
      </c>
      <c r="W920" s="362">
        <f t="shared" si="166"/>
        <v>136099</v>
      </c>
      <c r="X920" s="742">
        <f t="shared" si="168"/>
        <v>1634975.0888888892</v>
      </c>
    </row>
    <row r="921" spans="1:24" ht="13.9">
      <c r="A921" s="349">
        <f t="shared" si="170"/>
        <v>913</v>
      </c>
      <c r="B921" s="412" t="s">
        <v>71</v>
      </c>
      <c r="C921" s="412" t="s">
        <v>2149</v>
      </c>
      <c r="D921" s="413" t="s">
        <v>2150</v>
      </c>
      <c r="E921" s="412" t="s">
        <v>2154</v>
      </c>
      <c r="F921" s="417"/>
      <c r="G921" s="418"/>
      <c r="H921" s="408">
        <v>2721988</v>
      </c>
      <c r="I921" s="356"/>
      <c r="J921" s="356"/>
      <c r="K921" s="354">
        <f t="shared" si="161"/>
        <v>2721988</v>
      </c>
      <c r="L921" s="416">
        <v>44173</v>
      </c>
      <c r="M921" s="742">
        <v>663592.95555555553</v>
      </c>
      <c r="N921" s="352">
        <f t="shared" si="169"/>
        <v>2058395.0444444446</v>
      </c>
      <c r="O921" s="357">
        <f t="shared" si="162"/>
        <v>1210</v>
      </c>
      <c r="P921" s="410">
        <v>9</v>
      </c>
      <c r="Q921" s="358">
        <f t="shared" si="160"/>
        <v>3.3150684931506849</v>
      </c>
      <c r="R921" s="359">
        <f t="shared" si="163"/>
        <v>5.6849315068493151</v>
      </c>
      <c r="S921" s="360">
        <f t="shared" si="164"/>
        <v>5.6849315068493151</v>
      </c>
      <c r="T921" s="361">
        <f t="shared" si="165"/>
        <v>0.10555555555555554</v>
      </c>
      <c r="U921" s="362">
        <f t="shared" si="159"/>
        <v>287320.95555555553</v>
      </c>
      <c r="V921" s="362">
        <f t="shared" si="167"/>
        <v>1771074.0888888892</v>
      </c>
      <c r="W921" s="362">
        <f t="shared" si="166"/>
        <v>136099</v>
      </c>
      <c r="X921" s="742">
        <f t="shared" si="168"/>
        <v>1634975.0888888892</v>
      </c>
    </row>
    <row r="922" spans="1:24" ht="13.9">
      <c r="A922" s="349">
        <f t="shared" si="170"/>
        <v>914</v>
      </c>
      <c r="B922" s="412" t="s">
        <v>71</v>
      </c>
      <c r="C922" s="412" t="s">
        <v>2149</v>
      </c>
      <c r="D922" s="413" t="s">
        <v>2150</v>
      </c>
      <c r="E922" s="412" t="s">
        <v>2154</v>
      </c>
      <c r="F922" s="417"/>
      <c r="G922" s="418"/>
      <c r="H922" s="408">
        <v>2721988</v>
      </c>
      <c r="I922" s="356"/>
      <c r="J922" s="356"/>
      <c r="K922" s="354">
        <f t="shared" si="161"/>
        <v>2721988</v>
      </c>
      <c r="L922" s="416">
        <v>44173</v>
      </c>
      <c r="M922" s="742">
        <v>663592.95555555553</v>
      </c>
      <c r="N922" s="352">
        <f t="shared" si="169"/>
        <v>2058395.0444444446</v>
      </c>
      <c r="O922" s="357">
        <f t="shared" si="162"/>
        <v>1210</v>
      </c>
      <c r="P922" s="410">
        <v>9</v>
      </c>
      <c r="Q922" s="358">
        <f t="shared" si="160"/>
        <v>3.3150684931506849</v>
      </c>
      <c r="R922" s="359">
        <f t="shared" si="163"/>
        <v>5.6849315068493151</v>
      </c>
      <c r="S922" s="360">
        <f t="shared" si="164"/>
        <v>5.6849315068493151</v>
      </c>
      <c r="T922" s="361">
        <f t="shared" si="165"/>
        <v>0.10555555555555554</v>
      </c>
      <c r="U922" s="362">
        <f t="shared" si="159"/>
        <v>287320.95555555553</v>
      </c>
      <c r="V922" s="362">
        <f t="shared" si="167"/>
        <v>1771074.0888888892</v>
      </c>
      <c r="W922" s="362">
        <f t="shared" si="166"/>
        <v>136099</v>
      </c>
      <c r="X922" s="742">
        <f t="shared" si="168"/>
        <v>1634975.0888888892</v>
      </c>
    </row>
    <row r="923" spans="1:24" ht="13.9">
      <c r="A923" s="349">
        <f t="shared" si="170"/>
        <v>915</v>
      </c>
      <c r="B923" s="412" t="s">
        <v>71</v>
      </c>
      <c r="C923" s="412" t="s">
        <v>2149</v>
      </c>
      <c r="D923" s="413" t="s">
        <v>2150</v>
      </c>
      <c r="E923" s="412" t="s">
        <v>2154</v>
      </c>
      <c r="F923" s="417"/>
      <c r="G923" s="418"/>
      <c r="H923" s="408">
        <v>2721988</v>
      </c>
      <c r="I923" s="356"/>
      <c r="J923" s="356"/>
      <c r="K923" s="354">
        <f t="shared" si="161"/>
        <v>2721988</v>
      </c>
      <c r="L923" s="416">
        <v>44173</v>
      </c>
      <c r="M923" s="742">
        <v>663592.95555555553</v>
      </c>
      <c r="N923" s="352">
        <f t="shared" si="169"/>
        <v>2058395.0444444446</v>
      </c>
      <c r="O923" s="357">
        <f t="shared" si="162"/>
        <v>1210</v>
      </c>
      <c r="P923" s="410">
        <v>9</v>
      </c>
      <c r="Q923" s="358">
        <f t="shared" si="160"/>
        <v>3.3150684931506849</v>
      </c>
      <c r="R923" s="359">
        <f t="shared" si="163"/>
        <v>5.6849315068493151</v>
      </c>
      <c r="S923" s="360">
        <f t="shared" si="164"/>
        <v>5.6849315068493151</v>
      </c>
      <c r="T923" s="361">
        <f t="shared" si="165"/>
        <v>0.10555555555555554</v>
      </c>
      <c r="U923" s="362">
        <f t="shared" si="159"/>
        <v>287320.95555555553</v>
      </c>
      <c r="V923" s="362">
        <f t="shared" si="167"/>
        <v>1771074.0888888892</v>
      </c>
      <c r="W923" s="362">
        <f t="shared" si="166"/>
        <v>136099</v>
      </c>
      <c r="X923" s="742">
        <f t="shared" si="168"/>
        <v>1634975.0888888892</v>
      </c>
    </row>
    <row r="924" spans="1:24" ht="13.9">
      <c r="A924" s="349">
        <f t="shared" si="170"/>
        <v>916</v>
      </c>
      <c r="B924" s="412" t="s">
        <v>983</v>
      </c>
      <c r="C924" s="412" t="s">
        <v>22</v>
      </c>
      <c r="D924" s="413" t="s">
        <v>2150</v>
      </c>
      <c r="E924" s="412" t="s">
        <v>2155</v>
      </c>
      <c r="F924" s="417"/>
      <c r="G924" s="418"/>
      <c r="H924" s="408">
        <v>80000</v>
      </c>
      <c r="I924" s="356"/>
      <c r="J924" s="356"/>
      <c r="K924" s="354">
        <f t="shared" si="161"/>
        <v>80000</v>
      </c>
      <c r="L924" s="416">
        <v>44243</v>
      </c>
      <c r="M924" s="742">
        <v>17883.444444444445</v>
      </c>
      <c r="N924" s="352">
        <f t="shared" si="169"/>
        <v>62116.555555555555</v>
      </c>
      <c r="O924" s="357">
        <f t="shared" si="162"/>
        <v>1140</v>
      </c>
      <c r="P924" s="410">
        <v>9</v>
      </c>
      <c r="Q924" s="358">
        <f t="shared" si="160"/>
        <v>3.1232876712328768</v>
      </c>
      <c r="R924" s="359">
        <f t="shared" si="163"/>
        <v>5.8767123287671232</v>
      </c>
      <c r="S924" s="360">
        <f t="shared" si="164"/>
        <v>5.8767123287671232</v>
      </c>
      <c r="T924" s="361">
        <f t="shared" si="165"/>
        <v>0.10555555555555554</v>
      </c>
      <c r="U924" s="362">
        <f t="shared" si="159"/>
        <v>8444.4444444444434</v>
      </c>
      <c r="V924" s="362">
        <f t="shared" si="167"/>
        <v>53672.111111111109</v>
      </c>
      <c r="W924" s="362">
        <f t="shared" si="166"/>
        <v>4000</v>
      </c>
      <c r="X924" s="742">
        <f t="shared" si="168"/>
        <v>49672.111111111109</v>
      </c>
    </row>
    <row r="925" spans="1:24" ht="13.9">
      <c r="A925" s="349">
        <f t="shared" si="170"/>
        <v>917</v>
      </c>
      <c r="B925" s="412" t="s">
        <v>332</v>
      </c>
      <c r="C925" s="412" t="s">
        <v>27</v>
      </c>
      <c r="D925" s="413" t="s">
        <v>2150</v>
      </c>
      <c r="E925" s="412" t="s">
        <v>424</v>
      </c>
      <c r="F925" s="417"/>
      <c r="G925" s="418"/>
      <c r="H925" s="408">
        <v>1160000</v>
      </c>
      <c r="I925" s="356"/>
      <c r="J925" s="356"/>
      <c r="K925" s="354">
        <f t="shared" si="161"/>
        <v>1160000</v>
      </c>
      <c r="L925" s="416">
        <v>44072</v>
      </c>
      <c r="M925" s="742">
        <v>316678.44444444444</v>
      </c>
      <c r="N925" s="352">
        <f t="shared" si="169"/>
        <v>843321.5555555555</v>
      </c>
      <c r="O925" s="357">
        <f t="shared" si="162"/>
        <v>1311</v>
      </c>
      <c r="P925" s="410">
        <v>9</v>
      </c>
      <c r="Q925" s="358">
        <f t="shared" si="160"/>
        <v>3.591780821917808</v>
      </c>
      <c r="R925" s="359">
        <f t="shared" si="163"/>
        <v>5.4082191780821915</v>
      </c>
      <c r="S925" s="360">
        <f t="shared" si="164"/>
        <v>5.4082191780821915</v>
      </c>
      <c r="T925" s="361">
        <f t="shared" si="165"/>
        <v>0.10555555555555554</v>
      </c>
      <c r="U925" s="362">
        <f t="shared" si="159"/>
        <v>122444.44444444442</v>
      </c>
      <c r="V925" s="362">
        <f t="shared" si="167"/>
        <v>720877.11111111112</v>
      </c>
      <c r="W925" s="362">
        <f t="shared" si="166"/>
        <v>58000</v>
      </c>
      <c r="X925" s="742">
        <f t="shared" si="168"/>
        <v>662877.11111111112</v>
      </c>
    </row>
    <row r="926" spans="1:24" ht="13.9">
      <c r="A926" s="349">
        <f t="shared" si="170"/>
        <v>918</v>
      </c>
      <c r="B926" s="412" t="s">
        <v>309</v>
      </c>
      <c r="C926" s="412" t="s">
        <v>2156</v>
      </c>
      <c r="D926" s="413" t="s">
        <v>2150</v>
      </c>
      <c r="E926" s="412" t="s">
        <v>2113</v>
      </c>
      <c r="F926" s="417"/>
      <c r="G926" s="418"/>
      <c r="H926" s="408">
        <v>845660</v>
      </c>
      <c r="I926" s="356"/>
      <c r="J926" s="356"/>
      <c r="K926" s="354">
        <f t="shared" si="161"/>
        <v>845660</v>
      </c>
      <c r="L926" s="416">
        <v>44049</v>
      </c>
      <c r="M926" s="742">
        <v>352410.11111111112</v>
      </c>
      <c r="N926" s="352">
        <f t="shared" si="169"/>
        <v>493249.88888888888</v>
      </c>
      <c r="O926" s="357">
        <f t="shared" si="162"/>
        <v>1334</v>
      </c>
      <c r="P926" s="410">
        <v>9</v>
      </c>
      <c r="Q926" s="358">
        <f t="shared" si="160"/>
        <v>3.6547945205479451</v>
      </c>
      <c r="R926" s="359">
        <f t="shared" si="163"/>
        <v>5.3452054794520549</v>
      </c>
      <c r="S926" s="360">
        <f t="shared" si="164"/>
        <v>5.3452054794520549</v>
      </c>
      <c r="T926" s="361">
        <f t="shared" si="165"/>
        <v>0.10555555555555554</v>
      </c>
      <c r="U926" s="362">
        <f t="shared" si="159"/>
        <v>89264.111111111095</v>
      </c>
      <c r="V926" s="362">
        <f t="shared" si="167"/>
        <v>403985.77777777775</v>
      </c>
      <c r="W926" s="362">
        <f t="shared" si="166"/>
        <v>42283</v>
      </c>
      <c r="X926" s="742">
        <f t="shared" si="168"/>
        <v>361702.77777777775</v>
      </c>
    </row>
    <row r="927" spans="1:24" ht="13.9">
      <c r="A927" s="349">
        <f t="shared" si="170"/>
        <v>919</v>
      </c>
      <c r="B927" s="412" t="s">
        <v>983</v>
      </c>
      <c r="C927" s="412" t="s">
        <v>20</v>
      </c>
      <c r="D927" s="413" t="s">
        <v>2150</v>
      </c>
      <c r="E927" s="412" t="s">
        <v>2155</v>
      </c>
      <c r="F927" s="417"/>
      <c r="G927" s="418"/>
      <c r="H927" s="408">
        <v>60000</v>
      </c>
      <c r="I927" s="356"/>
      <c r="J927" s="356"/>
      <c r="K927" s="354">
        <f t="shared" si="161"/>
        <v>60000</v>
      </c>
      <c r="L927" s="416">
        <v>44243</v>
      </c>
      <c r="M927" s="742">
        <v>13412.333333333332</v>
      </c>
      <c r="N927" s="352">
        <f t="shared" si="169"/>
        <v>46587.666666666672</v>
      </c>
      <c r="O927" s="357">
        <f t="shared" si="162"/>
        <v>1140</v>
      </c>
      <c r="P927" s="410">
        <v>9</v>
      </c>
      <c r="Q927" s="358">
        <f t="shared" si="160"/>
        <v>3.1232876712328768</v>
      </c>
      <c r="R927" s="359">
        <f t="shared" si="163"/>
        <v>5.8767123287671232</v>
      </c>
      <c r="S927" s="360">
        <f t="shared" si="164"/>
        <v>5.8767123287671232</v>
      </c>
      <c r="T927" s="361">
        <f t="shared" si="165"/>
        <v>0.10555555555555554</v>
      </c>
      <c r="U927" s="362">
        <f t="shared" si="159"/>
        <v>6333.3333333333321</v>
      </c>
      <c r="V927" s="362">
        <f t="shared" si="167"/>
        <v>40254.333333333343</v>
      </c>
      <c r="W927" s="362">
        <f t="shared" si="166"/>
        <v>3000</v>
      </c>
      <c r="X927" s="742">
        <f t="shared" si="168"/>
        <v>37254.333333333343</v>
      </c>
    </row>
    <row r="928" spans="1:24" ht="13.9">
      <c r="A928" s="349">
        <f t="shared" si="170"/>
        <v>920</v>
      </c>
      <c r="B928" s="412" t="s">
        <v>983</v>
      </c>
      <c r="C928" s="412" t="s">
        <v>20</v>
      </c>
      <c r="D928" s="413" t="s">
        <v>2150</v>
      </c>
      <c r="E928" s="412" t="s">
        <v>2155</v>
      </c>
      <c r="F928" s="417"/>
      <c r="G928" s="418"/>
      <c r="H928" s="408">
        <v>90000</v>
      </c>
      <c r="I928" s="356"/>
      <c r="J928" s="356"/>
      <c r="K928" s="354">
        <f t="shared" si="161"/>
        <v>90000</v>
      </c>
      <c r="L928" s="416">
        <v>44244</v>
      </c>
      <c r="M928" s="742">
        <v>20093</v>
      </c>
      <c r="N928" s="352">
        <f t="shared" si="169"/>
        <v>69907</v>
      </c>
      <c r="O928" s="357">
        <f t="shared" si="162"/>
        <v>1139</v>
      </c>
      <c r="P928" s="410">
        <v>9</v>
      </c>
      <c r="Q928" s="358">
        <f t="shared" si="160"/>
        <v>3.1205479452054794</v>
      </c>
      <c r="R928" s="359">
        <f t="shared" si="163"/>
        <v>5.8794520547945206</v>
      </c>
      <c r="S928" s="360">
        <f t="shared" si="164"/>
        <v>5.8794520547945206</v>
      </c>
      <c r="T928" s="361">
        <f t="shared" si="165"/>
        <v>0.10555555555555554</v>
      </c>
      <c r="U928" s="362">
        <f t="shared" si="159"/>
        <v>9499.9999999999982</v>
      </c>
      <c r="V928" s="362">
        <f t="shared" si="167"/>
        <v>60407</v>
      </c>
      <c r="W928" s="362">
        <f t="shared" si="166"/>
        <v>4500</v>
      </c>
      <c r="X928" s="742">
        <f t="shared" si="168"/>
        <v>55907</v>
      </c>
    </row>
    <row r="929" spans="1:24" ht="13.9">
      <c r="A929" s="349">
        <f t="shared" si="170"/>
        <v>921</v>
      </c>
      <c r="B929" s="412" t="s">
        <v>309</v>
      </c>
      <c r="C929" s="412" t="s">
        <v>20</v>
      </c>
      <c r="D929" s="413" t="s">
        <v>2150</v>
      </c>
      <c r="E929" s="412" t="s">
        <v>2061</v>
      </c>
      <c r="F929" s="417"/>
      <c r="G929" s="418"/>
      <c r="H929" s="408">
        <v>562320</v>
      </c>
      <c r="I929" s="356"/>
      <c r="J929" s="356"/>
      <c r="K929" s="354">
        <f t="shared" si="161"/>
        <v>562320</v>
      </c>
      <c r="L929" s="419">
        <v>44125</v>
      </c>
      <c r="M929" s="742">
        <v>197257</v>
      </c>
      <c r="N929" s="352">
        <f t="shared" si="169"/>
        <v>365063</v>
      </c>
      <c r="O929" s="357">
        <f t="shared" si="162"/>
        <v>1258</v>
      </c>
      <c r="P929" s="410">
        <v>9</v>
      </c>
      <c r="Q929" s="358">
        <f t="shared" si="160"/>
        <v>3.4465753424657533</v>
      </c>
      <c r="R929" s="359">
        <f t="shared" si="163"/>
        <v>5.5534246575342472</v>
      </c>
      <c r="S929" s="360">
        <f t="shared" si="164"/>
        <v>5.5534246575342472</v>
      </c>
      <c r="T929" s="361">
        <f t="shared" si="165"/>
        <v>0.10555555555555554</v>
      </c>
      <c r="U929" s="362">
        <f t="shared" si="159"/>
        <v>59355.999999999993</v>
      </c>
      <c r="V929" s="362">
        <f t="shared" si="167"/>
        <v>305707</v>
      </c>
      <c r="W929" s="362">
        <f t="shared" si="166"/>
        <v>28116</v>
      </c>
      <c r="X929" s="742">
        <f t="shared" si="168"/>
        <v>277591</v>
      </c>
    </row>
    <row r="930" spans="1:24" ht="13.9">
      <c r="A930" s="349">
        <f t="shared" si="170"/>
        <v>922</v>
      </c>
      <c r="B930" s="412" t="s">
        <v>309</v>
      </c>
      <c r="C930" s="412" t="s">
        <v>20</v>
      </c>
      <c r="D930" s="413" t="s">
        <v>2150</v>
      </c>
      <c r="E930" s="412" t="s">
        <v>2061</v>
      </c>
      <c r="F930" s="417"/>
      <c r="G930" s="418"/>
      <c r="H930" s="408">
        <v>453600</v>
      </c>
      <c r="I930" s="356"/>
      <c r="J930" s="356"/>
      <c r="K930" s="354">
        <f t="shared" si="161"/>
        <v>453600</v>
      </c>
      <c r="L930" s="419">
        <v>44142</v>
      </c>
      <c r="M930" s="742">
        <v>152429</v>
      </c>
      <c r="N930" s="352">
        <f t="shared" si="169"/>
        <v>301171</v>
      </c>
      <c r="O930" s="357">
        <f t="shared" si="162"/>
        <v>1241</v>
      </c>
      <c r="P930" s="410">
        <v>9</v>
      </c>
      <c r="Q930" s="358">
        <f t="shared" si="160"/>
        <v>3.4</v>
      </c>
      <c r="R930" s="359">
        <f t="shared" si="163"/>
        <v>5.6</v>
      </c>
      <c r="S930" s="360">
        <f t="shared" si="164"/>
        <v>5.6</v>
      </c>
      <c r="T930" s="361">
        <f t="shared" si="165"/>
        <v>0.10555555555555554</v>
      </c>
      <c r="U930" s="362">
        <f t="shared" si="159"/>
        <v>47879.999999999993</v>
      </c>
      <c r="V930" s="362">
        <f t="shared" si="167"/>
        <v>253291</v>
      </c>
      <c r="W930" s="362">
        <f t="shared" si="166"/>
        <v>22680</v>
      </c>
      <c r="X930" s="742">
        <f t="shared" si="168"/>
        <v>230611</v>
      </c>
    </row>
    <row r="931" spans="1:24" ht="13.9">
      <c r="A931" s="349">
        <f t="shared" si="170"/>
        <v>923</v>
      </c>
      <c r="B931" s="412" t="s">
        <v>309</v>
      </c>
      <c r="C931" s="412" t="s">
        <v>20</v>
      </c>
      <c r="D931" s="413" t="s">
        <v>2150</v>
      </c>
      <c r="E931" s="412" t="s">
        <v>2061</v>
      </c>
      <c r="F931" s="417"/>
      <c r="G931" s="418"/>
      <c r="H931" s="408">
        <v>544320</v>
      </c>
      <c r="I931" s="356"/>
      <c r="J931" s="356"/>
      <c r="K931" s="354">
        <f t="shared" si="161"/>
        <v>544320</v>
      </c>
      <c r="L931" s="419">
        <v>44145</v>
      </c>
      <c r="M931" s="742">
        <v>181498</v>
      </c>
      <c r="N931" s="352">
        <f t="shared" si="169"/>
        <v>362822</v>
      </c>
      <c r="O931" s="357">
        <f t="shared" si="162"/>
        <v>1238</v>
      </c>
      <c r="P931" s="410">
        <v>9</v>
      </c>
      <c r="Q931" s="358">
        <f t="shared" si="160"/>
        <v>3.3917808219178083</v>
      </c>
      <c r="R931" s="359">
        <f t="shared" si="163"/>
        <v>5.6082191780821917</v>
      </c>
      <c r="S931" s="360">
        <f t="shared" si="164"/>
        <v>5.6082191780821917</v>
      </c>
      <c r="T931" s="361">
        <f t="shared" si="165"/>
        <v>0.10555555555555554</v>
      </c>
      <c r="U931" s="362">
        <f t="shared" si="159"/>
        <v>57455.999999999993</v>
      </c>
      <c r="V931" s="362">
        <f t="shared" si="167"/>
        <v>305366</v>
      </c>
      <c r="W931" s="362">
        <f t="shared" si="166"/>
        <v>27216</v>
      </c>
      <c r="X931" s="742">
        <f t="shared" si="168"/>
        <v>278150</v>
      </c>
    </row>
    <row r="932" spans="1:24" ht="13.9">
      <c r="A932" s="349">
        <f t="shared" si="170"/>
        <v>924</v>
      </c>
      <c r="B932" s="412" t="s">
        <v>2157</v>
      </c>
      <c r="C932" s="412" t="s">
        <v>20</v>
      </c>
      <c r="D932" s="413" t="s">
        <v>2150</v>
      </c>
      <c r="E932" s="412" t="s">
        <v>2158</v>
      </c>
      <c r="F932" s="417"/>
      <c r="G932" s="418"/>
      <c r="H932" s="408">
        <v>1052420</v>
      </c>
      <c r="I932" s="356"/>
      <c r="J932" s="356"/>
      <c r="K932" s="354">
        <f t="shared" si="161"/>
        <v>1052420</v>
      </c>
      <c r="L932" s="419">
        <v>43956</v>
      </c>
      <c r="M932" s="742">
        <v>523486.77777777775</v>
      </c>
      <c r="N932" s="352">
        <f t="shared" si="169"/>
        <v>528933.22222222225</v>
      </c>
      <c r="O932" s="357">
        <f t="shared" si="162"/>
        <v>1427</v>
      </c>
      <c r="P932" s="410">
        <v>9</v>
      </c>
      <c r="Q932" s="358">
        <f t="shared" si="160"/>
        <v>3.9095890410958902</v>
      </c>
      <c r="R932" s="359">
        <f t="shared" si="163"/>
        <v>5.0904109589041102</v>
      </c>
      <c r="S932" s="360">
        <f t="shared" si="164"/>
        <v>5.0904109589041102</v>
      </c>
      <c r="T932" s="361">
        <f t="shared" si="165"/>
        <v>0.10555555555555554</v>
      </c>
      <c r="U932" s="362">
        <f t="shared" si="159"/>
        <v>111088.77777777777</v>
      </c>
      <c r="V932" s="362">
        <f t="shared" si="167"/>
        <v>417844.4444444445</v>
      </c>
      <c r="W932" s="362">
        <f t="shared" si="166"/>
        <v>52621</v>
      </c>
      <c r="X932" s="742">
        <f t="shared" si="168"/>
        <v>365223.4444444445</v>
      </c>
    </row>
    <row r="933" spans="1:24" ht="13.9">
      <c r="A933" s="349">
        <f t="shared" si="170"/>
        <v>925</v>
      </c>
      <c r="B933" s="412" t="s">
        <v>2157</v>
      </c>
      <c r="C933" s="412" t="s">
        <v>20</v>
      </c>
      <c r="D933" s="413" t="s">
        <v>2150</v>
      </c>
      <c r="E933" s="412" t="s">
        <v>2158</v>
      </c>
      <c r="F933" s="417"/>
      <c r="G933" s="418"/>
      <c r="H933" s="408">
        <v>938929.99999999988</v>
      </c>
      <c r="I933" s="356"/>
      <c r="J933" s="356"/>
      <c r="K933" s="354">
        <f t="shared" si="161"/>
        <v>938929.99999999988</v>
      </c>
      <c r="L933" s="419">
        <v>43960</v>
      </c>
      <c r="M933" s="742">
        <v>463777.27777777775</v>
      </c>
      <c r="N933" s="352">
        <f t="shared" si="169"/>
        <v>475152.72222222213</v>
      </c>
      <c r="O933" s="357">
        <f t="shared" si="162"/>
        <v>1423</v>
      </c>
      <c r="P933" s="410">
        <v>9</v>
      </c>
      <c r="Q933" s="358">
        <f t="shared" si="160"/>
        <v>3.8986301369863012</v>
      </c>
      <c r="R933" s="359">
        <f t="shared" si="163"/>
        <v>5.1013698630136988</v>
      </c>
      <c r="S933" s="360">
        <f t="shared" si="164"/>
        <v>5.1013698630136988</v>
      </c>
      <c r="T933" s="361">
        <f t="shared" si="165"/>
        <v>0.10555555555555554</v>
      </c>
      <c r="U933" s="362">
        <f t="shared" si="159"/>
        <v>99109.277777777752</v>
      </c>
      <c r="V933" s="362">
        <f t="shared" si="167"/>
        <v>376043.44444444438</v>
      </c>
      <c r="W933" s="362">
        <f t="shared" si="166"/>
        <v>46947</v>
      </c>
      <c r="X933" s="742">
        <f t="shared" si="168"/>
        <v>329096.44444444438</v>
      </c>
    </row>
    <row r="934" spans="1:24" ht="13.9">
      <c r="A934" s="349">
        <f t="shared" si="170"/>
        <v>926</v>
      </c>
      <c r="B934" s="412" t="s">
        <v>2157</v>
      </c>
      <c r="C934" s="412" t="s">
        <v>20</v>
      </c>
      <c r="D934" s="413" t="s">
        <v>2150</v>
      </c>
      <c r="E934" s="412" t="s">
        <v>2158</v>
      </c>
      <c r="F934" s="417"/>
      <c r="G934" s="418"/>
      <c r="H934" s="408">
        <v>954709.36631123745</v>
      </c>
      <c r="I934" s="356"/>
      <c r="J934" s="356"/>
      <c r="K934" s="354">
        <f t="shared" si="161"/>
        <v>954709.36631123745</v>
      </c>
      <c r="L934" s="419">
        <v>44148</v>
      </c>
      <c r="M934" s="742">
        <v>315852.87755507504</v>
      </c>
      <c r="N934" s="352">
        <f t="shared" si="169"/>
        <v>638856.48875616235</v>
      </c>
      <c r="O934" s="357">
        <f t="shared" si="162"/>
        <v>1235</v>
      </c>
      <c r="P934" s="410">
        <v>9</v>
      </c>
      <c r="Q934" s="358">
        <f t="shared" si="160"/>
        <v>3.3835616438356166</v>
      </c>
      <c r="R934" s="359">
        <f t="shared" si="163"/>
        <v>5.6164383561643838</v>
      </c>
      <c r="S934" s="360">
        <f t="shared" si="164"/>
        <v>5.6164383561643838</v>
      </c>
      <c r="T934" s="361">
        <f t="shared" si="165"/>
        <v>0.10555555555555554</v>
      </c>
      <c r="U934" s="362">
        <f t="shared" si="159"/>
        <v>100774.87755507504</v>
      </c>
      <c r="V934" s="362">
        <f t="shared" si="167"/>
        <v>538081.61120108725</v>
      </c>
      <c r="W934" s="362">
        <f t="shared" si="166"/>
        <v>47735</v>
      </c>
      <c r="X934" s="742">
        <f t="shared" si="168"/>
        <v>490346.61120108725</v>
      </c>
    </row>
    <row r="935" spans="1:24" ht="13.9">
      <c r="A935" s="349">
        <f t="shared" si="170"/>
        <v>927</v>
      </c>
      <c r="B935" s="412" t="s">
        <v>2157</v>
      </c>
      <c r="C935" s="412" t="s">
        <v>20</v>
      </c>
      <c r="D935" s="413" t="s">
        <v>2150</v>
      </c>
      <c r="E935" s="412" t="s">
        <v>2158</v>
      </c>
      <c r="F935" s="417"/>
      <c r="G935" s="418"/>
      <c r="H935" s="408">
        <v>404919.73123435001</v>
      </c>
      <c r="I935" s="356"/>
      <c r="J935" s="356"/>
      <c r="K935" s="354">
        <f t="shared" si="161"/>
        <v>404919.73123435001</v>
      </c>
      <c r="L935" s="419">
        <v>44161</v>
      </c>
      <c r="M935" s="742">
        <v>129395.52718584804</v>
      </c>
      <c r="N935" s="352">
        <f t="shared" si="169"/>
        <v>275524.20404850197</v>
      </c>
      <c r="O935" s="357">
        <f t="shared" si="162"/>
        <v>1222</v>
      </c>
      <c r="P935" s="410">
        <v>9</v>
      </c>
      <c r="Q935" s="358">
        <f t="shared" si="160"/>
        <v>3.3479452054794518</v>
      </c>
      <c r="R935" s="359">
        <f t="shared" si="163"/>
        <v>5.6520547945205486</v>
      </c>
      <c r="S935" s="360">
        <f t="shared" si="164"/>
        <v>5.6520547945205486</v>
      </c>
      <c r="T935" s="361">
        <f t="shared" si="165"/>
        <v>0.10555555555555554</v>
      </c>
      <c r="U935" s="362">
        <f t="shared" si="159"/>
        <v>42741.527185848048</v>
      </c>
      <c r="V935" s="362">
        <f t="shared" si="167"/>
        <v>232782.67686265393</v>
      </c>
      <c r="W935" s="362">
        <f t="shared" si="166"/>
        <v>20246</v>
      </c>
      <c r="X935" s="742">
        <f t="shared" si="168"/>
        <v>212536.67686265393</v>
      </c>
    </row>
    <row r="936" spans="1:24" ht="13.9">
      <c r="A936" s="349">
        <f t="shared" si="170"/>
        <v>928</v>
      </c>
      <c r="B936" s="412" t="s">
        <v>2157</v>
      </c>
      <c r="C936" s="412" t="s">
        <v>20</v>
      </c>
      <c r="D936" s="413" t="s">
        <v>2150</v>
      </c>
      <c r="E936" s="412" t="s">
        <v>2158</v>
      </c>
      <c r="F936" s="417"/>
      <c r="G936" s="418"/>
      <c r="H936" s="408">
        <v>505109.66473323753</v>
      </c>
      <c r="I936" s="356"/>
      <c r="J936" s="356"/>
      <c r="K936" s="354">
        <f t="shared" si="161"/>
        <v>505109.66473323753</v>
      </c>
      <c r="L936" s="419">
        <v>44161</v>
      </c>
      <c r="M936" s="742">
        <v>161412.13127739727</v>
      </c>
      <c r="N936" s="352">
        <f t="shared" si="169"/>
        <v>343697.53345584025</v>
      </c>
      <c r="O936" s="357">
        <f t="shared" si="162"/>
        <v>1222</v>
      </c>
      <c r="P936" s="410">
        <v>9</v>
      </c>
      <c r="Q936" s="358">
        <f t="shared" si="160"/>
        <v>3.3479452054794518</v>
      </c>
      <c r="R936" s="359">
        <f t="shared" si="163"/>
        <v>5.6520547945205486</v>
      </c>
      <c r="S936" s="360">
        <f t="shared" si="164"/>
        <v>5.6520547945205486</v>
      </c>
      <c r="T936" s="361">
        <f t="shared" si="165"/>
        <v>0.10555555555555554</v>
      </c>
      <c r="U936" s="362">
        <f t="shared" si="159"/>
        <v>53317.13127739729</v>
      </c>
      <c r="V936" s="362">
        <f t="shared" si="167"/>
        <v>290380.40217844298</v>
      </c>
      <c r="W936" s="362">
        <f t="shared" si="166"/>
        <v>25255</v>
      </c>
      <c r="X936" s="742">
        <f t="shared" si="168"/>
        <v>265125.40217844298</v>
      </c>
    </row>
    <row r="937" spans="1:24" ht="13.9">
      <c r="A937" s="349">
        <f t="shared" si="170"/>
        <v>929</v>
      </c>
      <c r="B937" s="412" t="s">
        <v>2157</v>
      </c>
      <c r="C937" s="412" t="s">
        <v>20</v>
      </c>
      <c r="D937" s="413" t="s">
        <v>2150</v>
      </c>
      <c r="E937" s="412" t="s">
        <v>2158</v>
      </c>
      <c r="F937" s="417"/>
      <c r="G937" s="418"/>
      <c r="H937" s="408">
        <v>1088779.2773222749</v>
      </c>
      <c r="I937" s="356"/>
      <c r="J937" s="356"/>
      <c r="K937" s="354">
        <f t="shared" si="161"/>
        <v>1088779.2773222749</v>
      </c>
      <c r="L937" s="419">
        <v>44168</v>
      </c>
      <c r="M937" s="742">
        <v>341316.70149512903</v>
      </c>
      <c r="N937" s="352">
        <f t="shared" si="169"/>
        <v>747462.57582714583</v>
      </c>
      <c r="O937" s="357">
        <f t="shared" si="162"/>
        <v>1215</v>
      </c>
      <c r="P937" s="410">
        <v>9</v>
      </c>
      <c r="Q937" s="358">
        <f t="shared" si="160"/>
        <v>3.3287671232876712</v>
      </c>
      <c r="R937" s="359">
        <f t="shared" si="163"/>
        <v>5.6712328767123292</v>
      </c>
      <c r="S937" s="360">
        <f t="shared" si="164"/>
        <v>5.6712328767123292</v>
      </c>
      <c r="T937" s="361">
        <f t="shared" si="165"/>
        <v>0.10555555555555554</v>
      </c>
      <c r="U937" s="362">
        <f t="shared" si="159"/>
        <v>114926.701495129</v>
      </c>
      <c r="V937" s="362">
        <f t="shared" si="167"/>
        <v>632535.8743320168</v>
      </c>
      <c r="W937" s="362">
        <f t="shared" si="166"/>
        <v>54439</v>
      </c>
      <c r="X937" s="742">
        <f t="shared" si="168"/>
        <v>578096.8743320168</v>
      </c>
    </row>
    <row r="938" spans="1:24" ht="13.9">
      <c r="A938" s="349">
        <f t="shared" si="170"/>
        <v>930</v>
      </c>
      <c r="B938" s="412" t="s">
        <v>2157</v>
      </c>
      <c r="C938" s="412" t="s">
        <v>20</v>
      </c>
      <c r="D938" s="413" t="s">
        <v>2150</v>
      </c>
      <c r="E938" s="412" t="s">
        <v>2158</v>
      </c>
      <c r="F938" s="417"/>
      <c r="G938" s="418"/>
      <c r="H938" s="408">
        <v>262509.82575898746</v>
      </c>
      <c r="I938" s="356"/>
      <c r="J938" s="356"/>
      <c r="K938" s="354">
        <f t="shared" si="161"/>
        <v>262509.82575898746</v>
      </c>
      <c r="L938" s="419">
        <v>44175</v>
      </c>
      <c r="M938" s="742">
        <v>80698.370496782009</v>
      </c>
      <c r="N938" s="352">
        <f t="shared" si="169"/>
        <v>181811.45526220545</v>
      </c>
      <c r="O938" s="357">
        <f t="shared" si="162"/>
        <v>1208</v>
      </c>
      <c r="P938" s="410">
        <v>9</v>
      </c>
      <c r="Q938" s="358">
        <f t="shared" si="160"/>
        <v>3.3095890410958906</v>
      </c>
      <c r="R938" s="359">
        <f t="shared" si="163"/>
        <v>5.6904109589041099</v>
      </c>
      <c r="S938" s="360">
        <f t="shared" si="164"/>
        <v>5.6904109589041099</v>
      </c>
      <c r="T938" s="361">
        <f t="shared" si="165"/>
        <v>0.10555555555555554</v>
      </c>
      <c r="U938" s="362">
        <f t="shared" ref="U938:U1001" si="171">+K938*T938</f>
        <v>27709.370496782005</v>
      </c>
      <c r="V938" s="362">
        <f t="shared" si="167"/>
        <v>154102.08476542344</v>
      </c>
      <c r="W938" s="362">
        <f t="shared" si="166"/>
        <v>13125</v>
      </c>
      <c r="X938" s="742">
        <f t="shared" si="168"/>
        <v>140977.08476542344</v>
      </c>
    </row>
    <row r="939" spans="1:24" ht="13.9">
      <c r="A939" s="349">
        <f t="shared" si="170"/>
        <v>931</v>
      </c>
      <c r="B939" s="412" t="s">
        <v>2157</v>
      </c>
      <c r="C939" s="412" t="s">
        <v>20</v>
      </c>
      <c r="D939" s="413" t="s">
        <v>2150</v>
      </c>
      <c r="E939" s="412" t="s">
        <v>2158</v>
      </c>
      <c r="F939" s="417"/>
      <c r="G939" s="418"/>
      <c r="H939" s="408">
        <v>688519.54299484997</v>
      </c>
      <c r="I939" s="356"/>
      <c r="J939" s="356"/>
      <c r="K939" s="354">
        <f t="shared" si="161"/>
        <v>688519.54299484997</v>
      </c>
      <c r="L939" s="419">
        <v>44176</v>
      </c>
      <c r="M939" s="742">
        <v>211062.06287167862</v>
      </c>
      <c r="N939" s="352">
        <f t="shared" si="169"/>
        <v>477457.48012317135</v>
      </c>
      <c r="O939" s="357">
        <f t="shared" si="162"/>
        <v>1207</v>
      </c>
      <c r="P939" s="410">
        <v>9</v>
      </c>
      <c r="Q939" s="358">
        <f t="shared" si="160"/>
        <v>3.3068493150684932</v>
      </c>
      <c r="R939" s="359">
        <f t="shared" si="163"/>
        <v>5.6931506849315063</v>
      </c>
      <c r="S939" s="360">
        <f t="shared" si="164"/>
        <v>5.6931506849315063</v>
      </c>
      <c r="T939" s="361">
        <f t="shared" si="165"/>
        <v>0.10555555555555554</v>
      </c>
      <c r="U939" s="362">
        <f t="shared" si="171"/>
        <v>72677.062871678601</v>
      </c>
      <c r="V939" s="362">
        <f t="shared" si="167"/>
        <v>404780.41725149273</v>
      </c>
      <c r="W939" s="362">
        <f t="shared" si="166"/>
        <v>34426</v>
      </c>
      <c r="X939" s="742">
        <f t="shared" si="168"/>
        <v>370354.41725149273</v>
      </c>
    </row>
    <row r="940" spans="1:24" ht="13.9">
      <c r="A940" s="349">
        <f t="shared" si="170"/>
        <v>932</v>
      </c>
      <c r="B940" s="412" t="s">
        <v>2157</v>
      </c>
      <c r="C940" s="412" t="s">
        <v>20</v>
      </c>
      <c r="D940" s="413" t="s">
        <v>2150</v>
      </c>
      <c r="E940" s="412" t="s">
        <v>2158</v>
      </c>
      <c r="F940" s="417"/>
      <c r="G940" s="418"/>
      <c r="H940" s="408">
        <v>324098.78487928875</v>
      </c>
      <c r="I940" s="356"/>
      <c r="J940" s="356"/>
      <c r="K940" s="354">
        <f t="shared" si="161"/>
        <v>324098.78487928875</v>
      </c>
      <c r="L940" s="419">
        <v>44184</v>
      </c>
      <c r="M940" s="742">
        <v>97101.427292813809</v>
      </c>
      <c r="N940" s="352">
        <f t="shared" si="169"/>
        <v>226997.35758647494</v>
      </c>
      <c r="O940" s="357">
        <f t="shared" si="162"/>
        <v>1199</v>
      </c>
      <c r="P940" s="410">
        <v>9</v>
      </c>
      <c r="Q940" s="358">
        <f t="shared" si="160"/>
        <v>3.2849315068493152</v>
      </c>
      <c r="R940" s="359">
        <f t="shared" si="163"/>
        <v>5.7150684931506852</v>
      </c>
      <c r="S940" s="360">
        <f t="shared" si="164"/>
        <v>5.7150684931506852</v>
      </c>
      <c r="T940" s="361">
        <f t="shared" si="165"/>
        <v>0.10555555555555554</v>
      </c>
      <c r="U940" s="362">
        <f t="shared" si="171"/>
        <v>34210.427292813809</v>
      </c>
      <c r="V940" s="362">
        <f t="shared" si="167"/>
        <v>192786.93029366113</v>
      </c>
      <c r="W940" s="362">
        <f t="shared" si="166"/>
        <v>16205</v>
      </c>
      <c r="X940" s="742">
        <f t="shared" si="168"/>
        <v>176581.93029366113</v>
      </c>
    </row>
    <row r="941" spans="1:24" ht="13.9">
      <c r="A941" s="349">
        <f t="shared" si="170"/>
        <v>933</v>
      </c>
      <c r="B941" s="412" t="s">
        <v>2157</v>
      </c>
      <c r="C941" s="412" t="s">
        <v>20</v>
      </c>
      <c r="D941" s="413" t="s">
        <v>2150</v>
      </c>
      <c r="E941" s="412" t="s">
        <v>2158</v>
      </c>
      <c r="F941" s="417"/>
      <c r="G941" s="418"/>
      <c r="H941" s="408">
        <v>682079.54726939998</v>
      </c>
      <c r="I941" s="356"/>
      <c r="J941" s="356"/>
      <c r="K941" s="354">
        <f t="shared" si="161"/>
        <v>682079.54726939998</v>
      </c>
      <c r="L941" s="419">
        <v>44184</v>
      </c>
      <c r="M941" s="742">
        <v>204354.28554510331</v>
      </c>
      <c r="N941" s="352">
        <f t="shared" si="169"/>
        <v>477725.26172429667</v>
      </c>
      <c r="O941" s="357">
        <f t="shared" si="162"/>
        <v>1199</v>
      </c>
      <c r="P941" s="410">
        <v>9</v>
      </c>
      <c r="Q941" s="358">
        <f t="shared" si="160"/>
        <v>3.2849315068493152</v>
      </c>
      <c r="R941" s="359">
        <f t="shared" si="163"/>
        <v>5.7150684931506852</v>
      </c>
      <c r="S941" s="360">
        <f t="shared" si="164"/>
        <v>5.7150684931506852</v>
      </c>
      <c r="T941" s="361">
        <f t="shared" si="165"/>
        <v>0.10555555555555554</v>
      </c>
      <c r="U941" s="362">
        <f t="shared" si="171"/>
        <v>71997.285545103325</v>
      </c>
      <c r="V941" s="362">
        <f t="shared" si="167"/>
        <v>405727.97617919336</v>
      </c>
      <c r="W941" s="362">
        <f t="shared" si="166"/>
        <v>34104</v>
      </c>
      <c r="X941" s="742">
        <f t="shared" si="168"/>
        <v>371623.97617919336</v>
      </c>
    </row>
    <row r="942" spans="1:24" ht="13.9">
      <c r="A942" s="349">
        <f t="shared" si="170"/>
        <v>934</v>
      </c>
      <c r="B942" s="412" t="s">
        <v>2157</v>
      </c>
      <c r="C942" s="412" t="s">
        <v>20</v>
      </c>
      <c r="D942" s="413" t="s">
        <v>2150</v>
      </c>
      <c r="E942" s="412" t="s">
        <v>2158</v>
      </c>
      <c r="F942" s="417"/>
      <c r="G942" s="418"/>
      <c r="H942" s="408">
        <v>114999.92366874999</v>
      </c>
      <c r="I942" s="356"/>
      <c r="J942" s="356"/>
      <c r="K942" s="354">
        <f t="shared" si="161"/>
        <v>114999.92366874999</v>
      </c>
      <c r="L942" s="419">
        <v>44188</v>
      </c>
      <c r="M942" s="742">
        <v>34054.88083170139</v>
      </c>
      <c r="N942" s="352">
        <f t="shared" si="169"/>
        <v>80945.042837048604</v>
      </c>
      <c r="O942" s="357">
        <f t="shared" si="162"/>
        <v>1195</v>
      </c>
      <c r="P942" s="410">
        <v>9</v>
      </c>
      <c r="Q942" s="358">
        <f t="shared" si="160"/>
        <v>3.2739726027397262</v>
      </c>
      <c r="R942" s="359">
        <f t="shared" si="163"/>
        <v>5.7260273972602738</v>
      </c>
      <c r="S942" s="360">
        <f t="shared" si="164"/>
        <v>5.7260273972602738</v>
      </c>
      <c r="T942" s="361">
        <f t="shared" si="165"/>
        <v>0.10555555555555554</v>
      </c>
      <c r="U942" s="362">
        <f t="shared" si="171"/>
        <v>12138.880831701386</v>
      </c>
      <c r="V942" s="362">
        <f t="shared" si="167"/>
        <v>68806.162005347214</v>
      </c>
      <c r="W942" s="362">
        <f t="shared" si="166"/>
        <v>5750</v>
      </c>
      <c r="X942" s="742">
        <f t="shared" si="168"/>
        <v>63056.162005347214</v>
      </c>
    </row>
    <row r="943" spans="1:24" ht="13.9">
      <c r="A943" s="349">
        <f t="shared" si="170"/>
        <v>935</v>
      </c>
      <c r="B943" s="412" t="s">
        <v>2157</v>
      </c>
      <c r="C943" s="412" t="s">
        <v>20</v>
      </c>
      <c r="D943" s="413" t="s">
        <v>2150</v>
      </c>
      <c r="E943" s="412" t="s">
        <v>2158</v>
      </c>
      <c r="F943" s="417"/>
      <c r="G943" s="418"/>
      <c r="H943" s="408">
        <v>944719.37294210005</v>
      </c>
      <c r="I943" s="356"/>
      <c r="J943" s="356"/>
      <c r="K943" s="354">
        <f t="shared" si="161"/>
        <v>944719.37294210005</v>
      </c>
      <c r="L943" s="419">
        <v>44189</v>
      </c>
      <c r="M943" s="742">
        <v>278943.37825499941</v>
      </c>
      <c r="N943" s="352">
        <f t="shared" si="169"/>
        <v>665775.99468710064</v>
      </c>
      <c r="O943" s="357">
        <f t="shared" si="162"/>
        <v>1194</v>
      </c>
      <c r="P943" s="410">
        <v>9</v>
      </c>
      <c r="Q943" s="358">
        <f t="shared" si="160"/>
        <v>3.2712328767123289</v>
      </c>
      <c r="R943" s="359">
        <f t="shared" si="163"/>
        <v>5.7287671232876711</v>
      </c>
      <c r="S943" s="360">
        <f t="shared" si="164"/>
        <v>5.7287671232876711</v>
      </c>
      <c r="T943" s="361">
        <f t="shared" si="165"/>
        <v>0.10555555555555554</v>
      </c>
      <c r="U943" s="362">
        <f t="shared" si="171"/>
        <v>99720.378254999436</v>
      </c>
      <c r="V943" s="362">
        <f t="shared" si="167"/>
        <v>566055.61643210123</v>
      </c>
      <c r="W943" s="362">
        <f t="shared" si="166"/>
        <v>47236</v>
      </c>
      <c r="X943" s="742">
        <f t="shared" si="168"/>
        <v>518819.61643210123</v>
      </c>
    </row>
    <row r="944" spans="1:24" ht="13.9">
      <c r="A944" s="349">
        <f t="shared" si="170"/>
        <v>936</v>
      </c>
      <c r="B944" s="412" t="s">
        <v>2157</v>
      </c>
      <c r="C944" s="412" t="s">
        <v>20</v>
      </c>
      <c r="D944" s="413" t="s">
        <v>2150</v>
      </c>
      <c r="E944" s="412" t="s">
        <v>2158</v>
      </c>
      <c r="F944" s="417"/>
      <c r="G944" s="418"/>
      <c r="H944" s="408">
        <v>1180179.2166555249</v>
      </c>
      <c r="I944" s="356"/>
      <c r="J944" s="356"/>
      <c r="K944" s="354">
        <f t="shared" si="161"/>
        <v>1180179.2166555249</v>
      </c>
      <c r="L944" s="419">
        <v>44204</v>
      </c>
      <c r="M944" s="742">
        <v>333108.47286919429</v>
      </c>
      <c r="N944" s="352">
        <f t="shared" si="169"/>
        <v>847070.74378633057</v>
      </c>
      <c r="O944" s="357">
        <f t="shared" si="162"/>
        <v>1179</v>
      </c>
      <c r="P944" s="410">
        <v>9</v>
      </c>
      <c r="Q944" s="358">
        <f t="shared" si="160"/>
        <v>3.2301369863013698</v>
      </c>
      <c r="R944" s="359">
        <f t="shared" si="163"/>
        <v>5.7698630136986306</v>
      </c>
      <c r="S944" s="360">
        <f t="shared" si="164"/>
        <v>5.7698630136986306</v>
      </c>
      <c r="T944" s="361">
        <f t="shared" si="165"/>
        <v>0.10555555555555554</v>
      </c>
      <c r="U944" s="362">
        <f t="shared" si="171"/>
        <v>124574.47286919427</v>
      </c>
      <c r="V944" s="362">
        <f t="shared" si="167"/>
        <v>722496.27091713634</v>
      </c>
      <c r="W944" s="362">
        <f t="shared" si="166"/>
        <v>59009</v>
      </c>
      <c r="X944" s="742">
        <f t="shared" si="168"/>
        <v>663487.27091713634</v>
      </c>
    </row>
    <row r="945" spans="1:24" ht="13.9">
      <c r="A945" s="349">
        <f t="shared" si="170"/>
        <v>937</v>
      </c>
      <c r="B945" s="412" t="s">
        <v>332</v>
      </c>
      <c r="C945" s="412" t="s">
        <v>21</v>
      </c>
      <c r="D945" s="413" t="s">
        <v>2150</v>
      </c>
      <c r="E945" s="412" t="s">
        <v>2159</v>
      </c>
      <c r="F945" s="417"/>
      <c r="G945" s="418"/>
      <c r="H945" s="408">
        <v>88000</v>
      </c>
      <c r="I945" s="356"/>
      <c r="J945" s="356"/>
      <c r="K945" s="354">
        <f t="shared" si="161"/>
        <v>88000</v>
      </c>
      <c r="L945" s="416">
        <v>44160</v>
      </c>
      <c r="M945" s="742">
        <v>21783.888888888887</v>
      </c>
      <c r="N945" s="352">
        <f t="shared" si="169"/>
        <v>66216.111111111109</v>
      </c>
      <c r="O945" s="357">
        <f t="shared" si="162"/>
        <v>1223</v>
      </c>
      <c r="P945" s="410">
        <v>9</v>
      </c>
      <c r="Q945" s="358">
        <f t="shared" si="160"/>
        <v>3.3506849315068492</v>
      </c>
      <c r="R945" s="359">
        <f t="shared" si="163"/>
        <v>5.6493150684931503</v>
      </c>
      <c r="S945" s="360">
        <f t="shared" si="164"/>
        <v>5.6493150684931503</v>
      </c>
      <c r="T945" s="361">
        <f t="shared" si="165"/>
        <v>0.10555555555555554</v>
      </c>
      <c r="U945" s="362">
        <f t="shared" si="171"/>
        <v>9288.8888888888869</v>
      </c>
      <c r="V945" s="362">
        <f t="shared" si="167"/>
        <v>56927.222222222219</v>
      </c>
      <c r="W945" s="362">
        <f t="shared" si="166"/>
        <v>4400</v>
      </c>
      <c r="X945" s="742">
        <f t="shared" si="168"/>
        <v>52527.222222222219</v>
      </c>
    </row>
    <row r="946" spans="1:24" ht="13.9">
      <c r="A946" s="349">
        <f t="shared" si="170"/>
        <v>938</v>
      </c>
      <c r="B946" s="412" t="s">
        <v>1884</v>
      </c>
      <c r="C946" s="412" t="s">
        <v>21</v>
      </c>
      <c r="D946" s="413" t="s">
        <v>2150</v>
      </c>
      <c r="E946" s="412" t="s">
        <v>2160</v>
      </c>
      <c r="F946" s="417"/>
      <c r="G946" s="418"/>
      <c r="H946" s="408">
        <v>1355000.82</v>
      </c>
      <c r="I946" s="356"/>
      <c r="J946" s="356"/>
      <c r="K946" s="354">
        <f t="shared" si="161"/>
        <v>1355000.82</v>
      </c>
      <c r="L946" s="420">
        <v>44118</v>
      </c>
      <c r="M946" s="742">
        <v>325554.86433333333</v>
      </c>
      <c r="N946" s="352">
        <f t="shared" si="169"/>
        <v>1029445.9556666667</v>
      </c>
      <c r="O946" s="357">
        <f t="shared" si="162"/>
        <v>1265</v>
      </c>
      <c r="P946" s="410">
        <v>9</v>
      </c>
      <c r="Q946" s="358">
        <f t="shared" si="160"/>
        <v>3.4657534246575343</v>
      </c>
      <c r="R946" s="359">
        <f t="shared" si="163"/>
        <v>5.5342465753424657</v>
      </c>
      <c r="S946" s="360">
        <f t="shared" si="164"/>
        <v>5.5342465753424657</v>
      </c>
      <c r="T946" s="361">
        <f t="shared" si="165"/>
        <v>0.10555555555555554</v>
      </c>
      <c r="U946" s="362">
        <f t="shared" si="171"/>
        <v>143027.86433333333</v>
      </c>
      <c r="V946" s="362">
        <f t="shared" si="167"/>
        <v>886418.0913333334</v>
      </c>
      <c r="W946" s="362">
        <f t="shared" si="166"/>
        <v>67750</v>
      </c>
      <c r="X946" s="742">
        <f t="shared" si="168"/>
        <v>818668.0913333334</v>
      </c>
    </row>
    <row r="947" spans="1:24" ht="13.9">
      <c r="A947" s="349">
        <f t="shared" si="170"/>
        <v>939</v>
      </c>
      <c r="B947" s="412" t="s">
        <v>1884</v>
      </c>
      <c r="C947" s="412" t="s">
        <v>21</v>
      </c>
      <c r="D947" s="413" t="s">
        <v>2150</v>
      </c>
      <c r="E947" s="412" t="s">
        <v>2160</v>
      </c>
      <c r="F947" s="417"/>
      <c r="G947" s="418"/>
      <c r="H947" s="408">
        <v>1355000.82</v>
      </c>
      <c r="I947" s="356"/>
      <c r="J947" s="356"/>
      <c r="K947" s="354">
        <f t="shared" si="161"/>
        <v>1355000.82</v>
      </c>
      <c r="L947" s="420">
        <v>44119</v>
      </c>
      <c r="M947" s="742">
        <v>325319.86433333333</v>
      </c>
      <c r="N947" s="352">
        <f t="shared" si="169"/>
        <v>1029680.9556666667</v>
      </c>
      <c r="O947" s="357">
        <f t="shared" si="162"/>
        <v>1264</v>
      </c>
      <c r="P947" s="410">
        <v>9</v>
      </c>
      <c r="Q947" s="358">
        <f t="shared" si="160"/>
        <v>3.463013698630137</v>
      </c>
      <c r="R947" s="359">
        <f t="shared" si="163"/>
        <v>5.536986301369863</v>
      </c>
      <c r="S947" s="360">
        <f t="shared" si="164"/>
        <v>5.536986301369863</v>
      </c>
      <c r="T947" s="361">
        <f t="shared" si="165"/>
        <v>0.10555555555555554</v>
      </c>
      <c r="U947" s="362">
        <f t="shared" si="171"/>
        <v>143027.86433333333</v>
      </c>
      <c r="V947" s="362">
        <f t="shared" si="167"/>
        <v>886653.0913333334</v>
      </c>
      <c r="W947" s="362">
        <f t="shared" si="166"/>
        <v>67750</v>
      </c>
      <c r="X947" s="742">
        <f t="shared" si="168"/>
        <v>818903.0913333334</v>
      </c>
    </row>
    <row r="948" spans="1:24" ht="13.9">
      <c r="A948" s="349">
        <f t="shared" si="170"/>
        <v>940</v>
      </c>
      <c r="B948" s="412" t="s">
        <v>576</v>
      </c>
      <c r="C948" s="412" t="s">
        <v>21</v>
      </c>
      <c r="D948" s="413" t="s">
        <v>2150</v>
      </c>
      <c r="E948" s="412" t="s">
        <v>2161</v>
      </c>
      <c r="F948" s="417"/>
      <c r="G948" s="418"/>
      <c r="H948" s="408">
        <v>1999998.6724999999</v>
      </c>
      <c r="I948" s="356"/>
      <c r="J948" s="356"/>
      <c r="K948" s="354">
        <f t="shared" si="161"/>
        <v>1999998.6724999999</v>
      </c>
      <c r="L948" s="416">
        <v>44140</v>
      </c>
      <c r="M948" s="742">
        <v>506665.97098611109</v>
      </c>
      <c r="N948" s="352">
        <f t="shared" si="169"/>
        <v>1493332.7015138888</v>
      </c>
      <c r="O948" s="357">
        <f t="shared" si="162"/>
        <v>1243</v>
      </c>
      <c r="P948" s="410">
        <v>9</v>
      </c>
      <c r="Q948" s="358">
        <f t="shared" si="160"/>
        <v>3.4054794520547946</v>
      </c>
      <c r="R948" s="359">
        <f t="shared" si="163"/>
        <v>5.5945205479452049</v>
      </c>
      <c r="S948" s="360">
        <f t="shared" si="164"/>
        <v>5.5945205479452049</v>
      </c>
      <c r="T948" s="361">
        <f t="shared" si="165"/>
        <v>0.10555555555555554</v>
      </c>
      <c r="U948" s="362">
        <f t="shared" si="171"/>
        <v>211110.97098611106</v>
      </c>
      <c r="V948" s="362">
        <f t="shared" si="167"/>
        <v>1282221.7305277777</v>
      </c>
      <c r="W948" s="362">
        <f t="shared" si="166"/>
        <v>100000</v>
      </c>
      <c r="X948" s="742">
        <f t="shared" si="168"/>
        <v>1182221.7305277777</v>
      </c>
    </row>
    <row r="949" spans="1:24" ht="13.9">
      <c r="A949" s="349">
        <f t="shared" si="170"/>
        <v>941</v>
      </c>
      <c r="B949" s="412" t="s">
        <v>576</v>
      </c>
      <c r="C949" s="412" t="s">
        <v>21</v>
      </c>
      <c r="D949" s="413" t="s">
        <v>2150</v>
      </c>
      <c r="E949" s="412" t="s">
        <v>2161</v>
      </c>
      <c r="F949" s="417"/>
      <c r="G949" s="418"/>
      <c r="H949" s="408">
        <v>649943.56859966996</v>
      </c>
      <c r="I949" s="356"/>
      <c r="J949" s="356"/>
      <c r="K949" s="354">
        <f t="shared" si="161"/>
        <v>649943.56859966996</v>
      </c>
      <c r="L949" s="416">
        <v>44140</v>
      </c>
      <c r="M949" s="742">
        <v>164652.1544632985</v>
      </c>
      <c r="N949" s="352">
        <f t="shared" si="169"/>
        <v>485291.41413637146</v>
      </c>
      <c r="O949" s="357">
        <f t="shared" si="162"/>
        <v>1243</v>
      </c>
      <c r="P949" s="410">
        <v>9</v>
      </c>
      <c r="Q949" s="358">
        <f t="shared" si="160"/>
        <v>3.4054794520547946</v>
      </c>
      <c r="R949" s="359">
        <f t="shared" si="163"/>
        <v>5.5945205479452049</v>
      </c>
      <c r="S949" s="360">
        <f t="shared" si="164"/>
        <v>5.5945205479452049</v>
      </c>
      <c r="T949" s="361">
        <f t="shared" si="165"/>
        <v>0.10555555555555554</v>
      </c>
      <c r="U949" s="362">
        <f t="shared" si="171"/>
        <v>68605.154463298488</v>
      </c>
      <c r="V949" s="362">
        <f t="shared" si="167"/>
        <v>416686.25967307296</v>
      </c>
      <c r="W949" s="362">
        <f t="shared" si="166"/>
        <v>32497</v>
      </c>
      <c r="X949" s="742">
        <f t="shared" si="168"/>
        <v>384189.25967307296</v>
      </c>
    </row>
    <row r="950" spans="1:24" ht="13.9">
      <c r="A950" s="349">
        <f t="shared" si="170"/>
        <v>942</v>
      </c>
      <c r="B950" s="412" t="s">
        <v>576</v>
      </c>
      <c r="C950" s="412" t="s">
        <v>21</v>
      </c>
      <c r="D950" s="413" t="s">
        <v>2150</v>
      </c>
      <c r="E950" s="412" t="s">
        <v>2161</v>
      </c>
      <c r="F950" s="417"/>
      <c r="G950" s="418"/>
      <c r="H950" s="408">
        <v>572491.62000843498</v>
      </c>
      <c r="I950" s="356"/>
      <c r="J950" s="356"/>
      <c r="K950" s="354">
        <f t="shared" si="161"/>
        <v>572491.62000843498</v>
      </c>
      <c r="L950" s="416">
        <v>44140</v>
      </c>
      <c r="M950" s="742">
        <v>145031.67100089035</v>
      </c>
      <c r="N950" s="352">
        <f t="shared" si="169"/>
        <v>427459.94900754467</v>
      </c>
      <c r="O950" s="357">
        <f t="shared" si="162"/>
        <v>1243</v>
      </c>
      <c r="P950" s="410">
        <v>9</v>
      </c>
      <c r="Q950" s="358">
        <f t="shared" si="160"/>
        <v>3.4054794520547946</v>
      </c>
      <c r="R950" s="359">
        <f t="shared" si="163"/>
        <v>5.5945205479452049</v>
      </c>
      <c r="S950" s="360">
        <f t="shared" si="164"/>
        <v>5.5945205479452049</v>
      </c>
      <c r="T950" s="361">
        <f t="shared" si="165"/>
        <v>0.10555555555555554</v>
      </c>
      <c r="U950" s="362">
        <f t="shared" si="171"/>
        <v>60429.671000890354</v>
      </c>
      <c r="V950" s="362">
        <f t="shared" si="167"/>
        <v>367030.27800665429</v>
      </c>
      <c r="W950" s="362">
        <f t="shared" si="166"/>
        <v>28625</v>
      </c>
      <c r="X950" s="742">
        <f t="shared" si="168"/>
        <v>338405.27800665429</v>
      </c>
    </row>
    <row r="951" spans="1:24" ht="13.9">
      <c r="A951" s="349">
        <f t="shared" si="170"/>
        <v>943</v>
      </c>
      <c r="B951" s="412" t="s">
        <v>983</v>
      </c>
      <c r="C951" s="412" t="s">
        <v>2132</v>
      </c>
      <c r="D951" s="413" t="s">
        <v>2150</v>
      </c>
      <c r="E951" s="412" t="s">
        <v>2155</v>
      </c>
      <c r="F951" s="417"/>
      <c r="G951" s="418"/>
      <c r="H951" s="408">
        <v>480000</v>
      </c>
      <c r="I951" s="356"/>
      <c r="J951" s="356"/>
      <c r="K951" s="354">
        <f t="shared" si="161"/>
        <v>480000</v>
      </c>
      <c r="L951" s="420">
        <v>44158</v>
      </c>
      <c r="M951" s="742">
        <v>119101.66666666666</v>
      </c>
      <c r="N951" s="352">
        <f t="shared" si="169"/>
        <v>360898.33333333337</v>
      </c>
      <c r="O951" s="357">
        <f t="shared" si="162"/>
        <v>1225</v>
      </c>
      <c r="P951" s="410">
        <v>9</v>
      </c>
      <c r="Q951" s="358">
        <f t="shared" si="160"/>
        <v>3.3561643835616439</v>
      </c>
      <c r="R951" s="359">
        <f t="shared" si="163"/>
        <v>5.6438356164383556</v>
      </c>
      <c r="S951" s="360">
        <f t="shared" si="164"/>
        <v>5.6438356164383556</v>
      </c>
      <c r="T951" s="361">
        <f t="shared" si="165"/>
        <v>0.10555555555555554</v>
      </c>
      <c r="U951" s="362">
        <f t="shared" si="171"/>
        <v>50666.666666666657</v>
      </c>
      <c r="V951" s="362">
        <f t="shared" si="167"/>
        <v>310231.66666666674</v>
      </c>
      <c r="W951" s="362">
        <f t="shared" si="166"/>
        <v>24000</v>
      </c>
      <c r="X951" s="742">
        <f t="shared" si="168"/>
        <v>286231.66666666674</v>
      </c>
    </row>
    <row r="952" spans="1:24" ht="13.9">
      <c r="A952" s="349">
        <f t="shared" si="170"/>
        <v>944</v>
      </c>
      <c r="B952" s="412" t="s">
        <v>983</v>
      </c>
      <c r="C952" s="412" t="s">
        <v>2132</v>
      </c>
      <c r="D952" s="413" t="s">
        <v>2150</v>
      </c>
      <c r="E952" s="412" t="s">
        <v>2155</v>
      </c>
      <c r="F952" s="417"/>
      <c r="G952" s="418"/>
      <c r="H952" s="408">
        <v>480000</v>
      </c>
      <c r="I952" s="356"/>
      <c r="J952" s="356"/>
      <c r="K952" s="354">
        <f t="shared" si="161"/>
        <v>480000</v>
      </c>
      <c r="L952" s="420">
        <v>44160</v>
      </c>
      <c r="M952" s="742">
        <v>118823.66666666666</v>
      </c>
      <c r="N952" s="352">
        <f t="shared" si="169"/>
        <v>361176.33333333337</v>
      </c>
      <c r="O952" s="357">
        <f t="shared" si="162"/>
        <v>1223</v>
      </c>
      <c r="P952" s="410">
        <v>9</v>
      </c>
      <c r="Q952" s="358">
        <f t="shared" si="160"/>
        <v>3.3506849315068492</v>
      </c>
      <c r="R952" s="359">
        <f t="shared" si="163"/>
        <v>5.6493150684931503</v>
      </c>
      <c r="S952" s="360">
        <f t="shared" si="164"/>
        <v>5.6493150684931503</v>
      </c>
      <c r="T952" s="361">
        <f t="shared" si="165"/>
        <v>0.10555555555555554</v>
      </c>
      <c r="U952" s="362">
        <f t="shared" si="171"/>
        <v>50666.666666666657</v>
      </c>
      <c r="V952" s="362">
        <f t="shared" si="167"/>
        <v>310509.66666666674</v>
      </c>
      <c r="W952" s="362">
        <f t="shared" si="166"/>
        <v>24000</v>
      </c>
      <c r="X952" s="742">
        <f t="shared" si="168"/>
        <v>286509.66666666674</v>
      </c>
    </row>
    <row r="953" spans="1:24" ht="13.9">
      <c r="A953" s="349">
        <f t="shared" si="170"/>
        <v>945</v>
      </c>
      <c r="B953" s="412" t="s">
        <v>42</v>
      </c>
      <c r="C953" s="412" t="s">
        <v>2132</v>
      </c>
      <c r="D953" s="413" t="s">
        <v>2150</v>
      </c>
      <c r="E953" s="412" t="s">
        <v>2162</v>
      </c>
      <c r="F953" s="417"/>
      <c r="G953" s="418"/>
      <c r="H953" s="408">
        <v>648000</v>
      </c>
      <c r="I953" s="356"/>
      <c r="J953" s="356"/>
      <c r="K953" s="354">
        <f t="shared" si="161"/>
        <v>648000</v>
      </c>
      <c r="L953" s="416">
        <v>44126</v>
      </c>
      <c r="M953" s="742">
        <v>166784</v>
      </c>
      <c r="N953" s="352">
        <f t="shared" si="169"/>
        <v>481216</v>
      </c>
      <c r="O953" s="357">
        <f t="shared" si="162"/>
        <v>1257</v>
      </c>
      <c r="P953" s="410">
        <v>9</v>
      </c>
      <c r="Q953" s="358">
        <f t="shared" si="160"/>
        <v>3.4438356164383563</v>
      </c>
      <c r="R953" s="359">
        <f t="shared" si="163"/>
        <v>5.5561643835616437</v>
      </c>
      <c r="S953" s="360">
        <f t="shared" si="164"/>
        <v>5.5561643835616437</v>
      </c>
      <c r="T953" s="361">
        <f t="shared" si="165"/>
        <v>0.10555555555555554</v>
      </c>
      <c r="U953" s="362">
        <f t="shared" si="171"/>
        <v>68399.999999999985</v>
      </c>
      <c r="V953" s="362">
        <f t="shared" si="167"/>
        <v>412816</v>
      </c>
      <c r="W953" s="362">
        <f t="shared" si="166"/>
        <v>32400</v>
      </c>
      <c r="X953" s="742">
        <f t="shared" si="168"/>
        <v>380416</v>
      </c>
    </row>
    <row r="954" spans="1:24" ht="13.9">
      <c r="A954" s="349">
        <f t="shared" si="170"/>
        <v>946</v>
      </c>
      <c r="B954" s="412" t="s">
        <v>332</v>
      </c>
      <c r="C954" s="412" t="s">
        <v>2132</v>
      </c>
      <c r="D954" s="413" t="s">
        <v>2150</v>
      </c>
      <c r="E954" s="412" t="s">
        <v>424</v>
      </c>
      <c r="F954" s="417"/>
      <c r="G954" s="418"/>
      <c r="H954" s="408">
        <v>1160000</v>
      </c>
      <c r="I954" s="356"/>
      <c r="J954" s="356"/>
      <c r="K954" s="354">
        <f t="shared" si="161"/>
        <v>1160000</v>
      </c>
      <c r="L954" s="420">
        <v>44072</v>
      </c>
      <c r="M954" s="742">
        <v>316678.44444444444</v>
      </c>
      <c r="N954" s="352">
        <f t="shared" si="169"/>
        <v>843321.5555555555</v>
      </c>
      <c r="O954" s="357">
        <f t="shared" si="162"/>
        <v>1311</v>
      </c>
      <c r="P954" s="410">
        <v>9</v>
      </c>
      <c r="Q954" s="358">
        <f t="shared" si="160"/>
        <v>3.591780821917808</v>
      </c>
      <c r="R954" s="359">
        <f t="shared" si="163"/>
        <v>5.4082191780821915</v>
      </c>
      <c r="S954" s="360">
        <f t="shared" si="164"/>
        <v>5.4082191780821915</v>
      </c>
      <c r="T954" s="361">
        <f t="shared" si="165"/>
        <v>0.10555555555555554</v>
      </c>
      <c r="U954" s="362">
        <f t="shared" si="171"/>
        <v>122444.44444444442</v>
      </c>
      <c r="V954" s="362">
        <f t="shared" si="167"/>
        <v>720877.11111111112</v>
      </c>
      <c r="W954" s="362">
        <f t="shared" si="166"/>
        <v>58000</v>
      </c>
      <c r="X954" s="742">
        <f t="shared" si="168"/>
        <v>662877.11111111112</v>
      </c>
    </row>
    <row r="955" spans="1:24" ht="13.9">
      <c r="A955" s="349">
        <f t="shared" si="170"/>
        <v>947</v>
      </c>
      <c r="B955" s="412" t="s">
        <v>332</v>
      </c>
      <c r="C955" s="412" t="s">
        <v>2132</v>
      </c>
      <c r="D955" s="413" t="s">
        <v>2150</v>
      </c>
      <c r="E955" s="412" t="s">
        <v>424</v>
      </c>
      <c r="F955" s="417"/>
      <c r="G955" s="418"/>
      <c r="H955" s="408">
        <v>580000</v>
      </c>
      <c r="I955" s="356"/>
      <c r="J955" s="356"/>
      <c r="K955" s="354">
        <f t="shared" si="161"/>
        <v>580000</v>
      </c>
      <c r="L955" s="420">
        <v>44072</v>
      </c>
      <c r="M955" s="742">
        <v>158339.22222222222</v>
      </c>
      <c r="N955" s="352">
        <f t="shared" si="169"/>
        <v>421660.77777777775</v>
      </c>
      <c r="O955" s="357">
        <f t="shared" si="162"/>
        <v>1311</v>
      </c>
      <c r="P955" s="410">
        <v>9</v>
      </c>
      <c r="Q955" s="358">
        <f t="shared" si="160"/>
        <v>3.591780821917808</v>
      </c>
      <c r="R955" s="359">
        <f t="shared" si="163"/>
        <v>5.4082191780821915</v>
      </c>
      <c r="S955" s="360">
        <f t="shared" si="164"/>
        <v>5.4082191780821915</v>
      </c>
      <c r="T955" s="361">
        <f t="shared" si="165"/>
        <v>0.10555555555555554</v>
      </c>
      <c r="U955" s="362">
        <f t="shared" si="171"/>
        <v>61222.222222222212</v>
      </c>
      <c r="V955" s="362">
        <f t="shared" si="167"/>
        <v>360438.55555555556</v>
      </c>
      <c r="W955" s="362">
        <f t="shared" si="166"/>
        <v>29000</v>
      </c>
      <c r="X955" s="742">
        <f t="shared" si="168"/>
        <v>331438.55555555556</v>
      </c>
    </row>
    <row r="956" spans="1:24" ht="13.9">
      <c r="A956" s="349">
        <f t="shared" si="170"/>
        <v>948</v>
      </c>
      <c r="B956" s="412" t="s">
        <v>332</v>
      </c>
      <c r="C956" s="412" t="s">
        <v>2132</v>
      </c>
      <c r="D956" s="413" t="s">
        <v>2150</v>
      </c>
      <c r="E956" s="412" t="s">
        <v>424</v>
      </c>
      <c r="F956" s="417"/>
      <c r="G956" s="418"/>
      <c r="H956" s="408">
        <v>1160000</v>
      </c>
      <c r="I956" s="356"/>
      <c r="J956" s="356"/>
      <c r="K956" s="354">
        <f t="shared" si="161"/>
        <v>1160000</v>
      </c>
      <c r="L956" s="420">
        <v>44072</v>
      </c>
      <c r="M956" s="742">
        <v>316678.44444444444</v>
      </c>
      <c r="N956" s="352">
        <f t="shared" si="169"/>
        <v>843321.5555555555</v>
      </c>
      <c r="O956" s="357">
        <f t="shared" si="162"/>
        <v>1311</v>
      </c>
      <c r="P956" s="410">
        <v>9</v>
      </c>
      <c r="Q956" s="358">
        <f t="shared" si="160"/>
        <v>3.591780821917808</v>
      </c>
      <c r="R956" s="359">
        <f t="shared" si="163"/>
        <v>5.4082191780821915</v>
      </c>
      <c r="S956" s="360">
        <f t="shared" si="164"/>
        <v>5.4082191780821915</v>
      </c>
      <c r="T956" s="361">
        <f t="shared" si="165"/>
        <v>0.10555555555555554</v>
      </c>
      <c r="U956" s="362">
        <f t="shared" si="171"/>
        <v>122444.44444444442</v>
      </c>
      <c r="V956" s="362">
        <f t="shared" si="167"/>
        <v>720877.11111111112</v>
      </c>
      <c r="W956" s="362">
        <f t="shared" si="166"/>
        <v>58000</v>
      </c>
      <c r="X956" s="742">
        <f t="shared" si="168"/>
        <v>662877.11111111112</v>
      </c>
    </row>
    <row r="957" spans="1:24" ht="13.9">
      <c r="A957" s="349">
        <f t="shared" si="170"/>
        <v>949</v>
      </c>
      <c r="B957" s="412" t="s">
        <v>332</v>
      </c>
      <c r="C957" s="412" t="s">
        <v>2132</v>
      </c>
      <c r="D957" s="413" t="s">
        <v>2150</v>
      </c>
      <c r="E957" s="412" t="s">
        <v>424</v>
      </c>
      <c r="F957" s="417"/>
      <c r="G957" s="418"/>
      <c r="H957" s="408">
        <v>580000</v>
      </c>
      <c r="I957" s="356"/>
      <c r="J957" s="356"/>
      <c r="K957" s="354">
        <f t="shared" si="161"/>
        <v>580000</v>
      </c>
      <c r="L957" s="420">
        <v>44072</v>
      </c>
      <c r="M957" s="742">
        <v>158339.22222222222</v>
      </c>
      <c r="N957" s="352">
        <f t="shared" si="169"/>
        <v>421660.77777777775</v>
      </c>
      <c r="O957" s="357">
        <f t="shared" si="162"/>
        <v>1311</v>
      </c>
      <c r="P957" s="410">
        <v>9</v>
      </c>
      <c r="Q957" s="358">
        <f t="shared" si="160"/>
        <v>3.591780821917808</v>
      </c>
      <c r="R957" s="359">
        <f t="shared" si="163"/>
        <v>5.4082191780821915</v>
      </c>
      <c r="S957" s="360">
        <f t="shared" si="164"/>
        <v>5.4082191780821915</v>
      </c>
      <c r="T957" s="361">
        <f t="shared" si="165"/>
        <v>0.10555555555555554</v>
      </c>
      <c r="U957" s="362">
        <f t="shared" si="171"/>
        <v>61222.222222222212</v>
      </c>
      <c r="V957" s="362">
        <f t="shared" si="167"/>
        <v>360438.55555555556</v>
      </c>
      <c r="W957" s="362">
        <f t="shared" si="166"/>
        <v>29000</v>
      </c>
      <c r="X957" s="742">
        <f t="shared" si="168"/>
        <v>331438.55555555556</v>
      </c>
    </row>
    <row r="958" spans="1:24" ht="13.9">
      <c r="A958" s="349">
        <f t="shared" si="170"/>
        <v>950</v>
      </c>
      <c r="B958" s="412" t="s">
        <v>309</v>
      </c>
      <c r="C958" s="421" t="s">
        <v>2079</v>
      </c>
      <c r="D958" s="413" t="s">
        <v>2150</v>
      </c>
      <c r="E958" s="412" t="s">
        <v>2113</v>
      </c>
      <c r="F958" s="417"/>
      <c r="G958" s="418"/>
      <c r="H958" s="408">
        <v>1457920</v>
      </c>
      <c r="I958" s="356"/>
      <c r="J958" s="356"/>
      <c r="K958" s="354">
        <f t="shared" si="161"/>
        <v>1457920</v>
      </c>
      <c r="L958" s="416">
        <v>44023</v>
      </c>
      <c r="M958" s="742">
        <v>640441.5555555555</v>
      </c>
      <c r="N958" s="352">
        <f t="shared" si="169"/>
        <v>817478.4444444445</v>
      </c>
      <c r="O958" s="357">
        <f t="shared" si="162"/>
        <v>1360</v>
      </c>
      <c r="P958" s="410">
        <v>9</v>
      </c>
      <c r="Q958" s="358">
        <f t="shared" si="160"/>
        <v>3.7260273972602738</v>
      </c>
      <c r="R958" s="359">
        <f t="shared" si="163"/>
        <v>5.2739726027397262</v>
      </c>
      <c r="S958" s="360">
        <f t="shared" si="164"/>
        <v>5.2739726027397262</v>
      </c>
      <c r="T958" s="361">
        <f t="shared" si="165"/>
        <v>0.10555555555555554</v>
      </c>
      <c r="U958" s="362">
        <f t="shared" si="171"/>
        <v>153891.55555555553</v>
      </c>
      <c r="V958" s="362">
        <f t="shared" si="167"/>
        <v>663586.88888888899</v>
      </c>
      <c r="W958" s="362">
        <f t="shared" si="166"/>
        <v>72896</v>
      </c>
      <c r="X958" s="742">
        <f t="shared" si="168"/>
        <v>590690.88888888899</v>
      </c>
    </row>
    <row r="959" spans="1:24" ht="13.9">
      <c r="A959" s="349">
        <f t="shared" si="170"/>
        <v>951</v>
      </c>
      <c r="B959" s="412" t="s">
        <v>42</v>
      </c>
      <c r="C959" s="421" t="s">
        <v>2079</v>
      </c>
      <c r="D959" s="413" t="s">
        <v>2150</v>
      </c>
      <c r="E959" s="412" t="s">
        <v>2096</v>
      </c>
      <c r="F959" s="417"/>
      <c r="G959" s="418"/>
      <c r="H959" s="408">
        <v>711870</v>
      </c>
      <c r="I959" s="356"/>
      <c r="J959" s="356"/>
      <c r="K959" s="354">
        <f t="shared" si="161"/>
        <v>711870</v>
      </c>
      <c r="L959" s="416">
        <v>44093</v>
      </c>
      <c r="M959" s="742">
        <v>190015.83333333331</v>
      </c>
      <c r="N959" s="352">
        <f t="shared" si="169"/>
        <v>521854.16666666669</v>
      </c>
      <c r="O959" s="357">
        <f t="shared" si="162"/>
        <v>1290</v>
      </c>
      <c r="P959" s="410">
        <v>9</v>
      </c>
      <c r="Q959" s="358">
        <f t="shared" si="160"/>
        <v>3.5342465753424657</v>
      </c>
      <c r="R959" s="359">
        <f t="shared" si="163"/>
        <v>5.4657534246575343</v>
      </c>
      <c r="S959" s="360">
        <f t="shared" si="164"/>
        <v>5.4657534246575343</v>
      </c>
      <c r="T959" s="361">
        <f t="shared" si="165"/>
        <v>0.10555555555555554</v>
      </c>
      <c r="U959" s="362">
        <f t="shared" si="171"/>
        <v>75141.833333333328</v>
      </c>
      <c r="V959" s="362">
        <f t="shared" si="167"/>
        <v>446712.33333333337</v>
      </c>
      <c r="W959" s="362">
        <f t="shared" si="166"/>
        <v>35594</v>
      </c>
      <c r="X959" s="742">
        <f t="shared" si="168"/>
        <v>411118.33333333337</v>
      </c>
    </row>
    <row r="960" spans="1:24" ht="13.9">
      <c r="A960" s="349">
        <f t="shared" si="170"/>
        <v>952</v>
      </c>
      <c r="B960" s="412" t="s">
        <v>42</v>
      </c>
      <c r="C960" s="421" t="s">
        <v>2079</v>
      </c>
      <c r="D960" s="413" t="s">
        <v>2150</v>
      </c>
      <c r="E960" s="412" t="s">
        <v>2163</v>
      </c>
      <c r="F960" s="417"/>
      <c r="G960" s="418"/>
      <c r="H960" s="408">
        <v>1177600</v>
      </c>
      <c r="I960" s="356"/>
      <c r="J960" s="356"/>
      <c r="K960" s="354">
        <f t="shared" si="161"/>
        <v>1177600</v>
      </c>
      <c r="L960" s="419">
        <v>44117</v>
      </c>
      <c r="M960" s="742">
        <v>306158.22222222219</v>
      </c>
      <c r="N960" s="352">
        <f t="shared" si="169"/>
        <v>871441.77777777775</v>
      </c>
      <c r="O960" s="357">
        <f t="shared" si="162"/>
        <v>1266</v>
      </c>
      <c r="P960" s="410">
        <v>9</v>
      </c>
      <c r="Q960" s="358">
        <f t="shared" si="160"/>
        <v>3.4684931506849317</v>
      </c>
      <c r="R960" s="359">
        <f t="shared" si="163"/>
        <v>5.5315068493150683</v>
      </c>
      <c r="S960" s="360">
        <f t="shared" si="164"/>
        <v>5.5315068493150683</v>
      </c>
      <c r="T960" s="361">
        <f t="shared" si="165"/>
        <v>0.10555555555555554</v>
      </c>
      <c r="U960" s="362">
        <f t="shared" si="171"/>
        <v>124302.2222222222</v>
      </c>
      <c r="V960" s="362">
        <f t="shared" si="167"/>
        <v>747139.5555555555</v>
      </c>
      <c r="W960" s="362">
        <f t="shared" si="166"/>
        <v>58880</v>
      </c>
      <c r="X960" s="742">
        <f t="shared" si="168"/>
        <v>688259.5555555555</v>
      </c>
    </row>
    <row r="961" spans="1:24" ht="13.9">
      <c r="A961" s="349">
        <f t="shared" si="170"/>
        <v>953</v>
      </c>
      <c r="B961" s="412" t="s">
        <v>42</v>
      </c>
      <c r="C961" s="421" t="s">
        <v>2079</v>
      </c>
      <c r="D961" s="413" t="s">
        <v>2150</v>
      </c>
      <c r="E961" s="412" t="s">
        <v>2096</v>
      </c>
      <c r="F961" s="417"/>
      <c r="G961" s="418"/>
      <c r="H961" s="408">
        <v>711870</v>
      </c>
      <c r="I961" s="356"/>
      <c r="J961" s="356"/>
      <c r="K961" s="354">
        <f t="shared" si="161"/>
        <v>711870</v>
      </c>
      <c r="L961" s="416">
        <v>44084</v>
      </c>
      <c r="M961" s="742">
        <v>191868.83333333331</v>
      </c>
      <c r="N961" s="352">
        <f t="shared" si="169"/>
        <v>520001.16666666669</v>
      </c>
      <c r="O961" s="357">
        <f t="shared" si="162"/>
        <v>1299</v>
      </c>
      <c r="P961" s="410">
        <v>9</v>
      </c>
      <c r="Q961" s="358">
        <f t="shared" ref="Q961:Q1022" si="172">+O961/365</f>
        <v>3.558904109589041</v>
      </c>
      <c r="R961" s="359">
        <f t="shared" si="163"/>
        <v>5.441095890410959</v>
      </c>
      <c r="S961" s="360">
        <f t="shared" si="164"/>
        <v>5.441095890410959</v>
      </c>
      <c r="T961" s="361">
        <f t="shared" si="165"/>
        <v>0.10555555555555554</v>
      </c>
      <c r="U961" s="362">
        <f t="shared" si="171"/>
        <v>75141.833333333328</v>
      </c>
      <c r="V961" s="362">
        <f t="shared" si="167"/>
        <v>444859.33333333337</v>
      </c>
      <c r="W961" s="362">
        <f t="shared" si="166"/>
        <v>35594</v>
      </c>
      <c r="X961" s="742">
        <f t="shared" si="168"/>
        <v>409265.33333333337</v>
      </c>
    </row>
    <row r="962" spans="1:24" ht="13.9">
      <c r="A962" s="349">
        <f t="shared" si="170"/>
        <v>954</v>
      </c>
      <c r="B962" s="412" t="s">
        <v>323</v>
      </c>
      <c r="C962" s="421" t="s">
        <v>19</v>
      </c>
      <c r="D962" s="413" t="s">
        <v>2150</v>
      </c>
      <c r="E962" s="412" t="s">
        <v>762</v>
      </c>
      <c r="F962" s="417"/>
      <c r="G962" s="418"/>
      <c r="H962" s="408">
        <v>5600000</v>
      </c>
      <c r="I962" s="356"/>
      <c r="J962" s="356"/>
      <c r="K962" s="354">
        <f t="shared" si="161"/>
        <v>5600000</v>
      </c>
      <c r="L962" s="419">
        <v>44197</v>
      </c>
      <c r="M962" s="742">
        <v>1326356.111111111</v>
      </c>
      <c r="N962" s="352">
        <f t="shared" si="169"/>
        <v>4273643.888888889</v>
      </c>
      <c r="O962" s="357">
        <f t="shared" si="162"/>
        <v>1186</v>
      </c>
      <c r="P962" s="410">
        <v>9</v>
      </c>
      <c r="Q962" s="358">
        <f t="shared" si="172"/>
        <v>3.2493150684931509</v>
      </c>
      <c r="R962" s="359">
        <f t="shared" si="163"/>
        <v>5.7506849315068491</v>
      </c>
      <c r="S962" s="360">
        <f t="shared" si="164"/>
        <v>5.7506849315068491</v>
      </c>
      <c r="T962" s="361">
        <f t="shared" si="165"/>
        <v>0.10555555555555554</v>
      </c>
      <c r="U962" s="362">
        <f t="shared" si="171"/>
        <v>591111.11111111101</v>
      </c>
      <c r="V962" s="362">
        <f t="shared" si="167"/>
        <v>3682532.777777778</v>
      </c>
      <c r="W962" s="362">
        <f t="shared" si="166"/>
        <v>280000</v>
      </c>
      <c r="X962" s="742">
        <f t="shared" si="168"/>
        <v>3402532.777777778</v>
      </c>
    </row>
    <row r="963" spans="1:24" ht="13.9">
      <c r="A963" s="349">
        <f t="shared" si="170"/>
        <v>955</v>
      </c>
      <c r="B963" s="412" t="s">
        <v>323</v>
      </c>
      <c r="C963" s="421" t="s">
        <v>19</v>
      </c>
      <c r="D963" s="413" t="s">
        <v>2150</v>
      </c>
      <c r="E963" s="412" t="s">
        <v>762</v>
      </c>
      <c r="F963" s="417"/>
      <c r="G963" s="418"/>
      <c r="H963" s="408">
        <v>5600000</v>
      </c>
      <c r="I963" s="356"/>
      <c r="J963" s="356"/>
      <c r="K963" s="354">
        <f t="shared" si="161"/>
        <v>5600000</v>
      </c>
      <c r="L963" s="419">
        <v>44197</v>
      </c>
      <c r="M963" s="742">
        <v>1326356.111111111</v>
      </c>
      <c r="N963" s="352">
        <f t="shared" si="169"/>
        <v>4273643.888888889</v>
      </c>
      <c r="O963" s="357">
        <f t="shared" si="162"/>
        <v>1186</v>
      </c>
      <c r="P963" s="410">
        <v>9</v>
      </c>
      <c r="Q963" s="358">
        <f t="shared" si="172"/>
        <v>3.2493150684931509</v>
      </c>
      <c r="R963" s="359">
        <f t="shared" si="163"/>
        <v>5.7506849315068491</v>
      </c>
      <c r="S963" s="360">
        <f t="shared" si="164"/>
        <v>5.7506849315068491</v>
      </c>
      <c r="T963" s="361">
        <f t="shared" si="165"/>
        <v>0.10555555555555554</v>
      </c>
      <c r="U963" s="362">
        <f t="shared" si="171"/>
        <v>591111.11111111101</v>
      </c>
      <c r="V963" s="362">
        <f t="shared" si="167"/>
        <v>3682532.777777778</v>
      </c>
      <c r="W963" s="362">
        <f t="shared" si="166"/>
        <v>280000</v>
      </c>
      <c r="X963" s="742">
        <f t="shared" si="168"/>
        <v>3402532.777777778</v>
      </c>
    </row>
    <row r="964" spans="1:24" ht="13.9">
      <c r="A964" s="349">
        <f t="shared" si="170"/>
        <v>956</v>
      </c>
      <c r="B964" s="412" t="s">
        <v>323</v>
      </c>
      <c r="C964" s="421" t="s">
        <v>19</v>
      </c>
      <c r="D964" s="413" t="s">
        <v>2150</v>
      </c>
      <c r="E964" s="412" t="s">
        <v>762</v>
      </c>
      <c r="F964" s="417"/>
      <c r="G964" s="418"/>
      <c r="H964" s="408">
        <v>5600000</v>
      </c>
      <c r="I964" s="356"/>
      <c r="J964" s="356"/>
      <c r="K964" s="354">
        <f t="shared" si="161"/>
        <v>5600000</v>
      </c>
      <c r="L964" s="419">
        <v>44197</v>
      </c>
      <c r="M964" s="742">
        <v>1326356.111111111</v>
      </c>
      <c r="N964" s="352">
        <f t="shared" si="169"/>
        <v>4273643.888888889</v>
      </c>
      <c r="O964" s="357">
        <f t="shared" si="162"/>
        <v>1186</v>
      </c>
      <c r="P964" s="410">
        <v>9</v>
      </c>
      <c r="Q964" s="358">
        <f t="shared" si="172"/>
        <v>3.2493150684931509</v>
      </c>
      <c r="R964" s="359">
        <f t="shared" si="163"/>
        <v>5.7506849315068491</v>
      </c>
      <c r="S964" s="360">
        <f t="shared" si="164"/>
        <v>5.7506849315068491</v>
      </c>
      <c r="T964" s="361">
        <f t="shared" si="165"/>
        <v>0.10555555555555554</v>
      </c>
      <c r="U964" s="362">
        <f t="shared" si="171"/>
        <v>591111.11111111101</v>
      </c>
      <c r="V964" s="362">
        <f t="shared" si="167"/>
        <v>3682532.777777778</v>
      </c>
      <c r="W964" s="362">
        <f t="shared" si="166"/>
        <v>280000</v>
      </c>
      <c r="X964" s="742">
        <f t="shared" si="168"/>
        <v>3402532.777777778</v>
      </c>
    </row>
    <row r="965" spans="1:24" ht="13.9">
      <c r="A965" s="349">
        <f t="shared" si="170"/>
        <v>957</v>
      </c>
      <c r="B965" s="412" t="s">
        <v>323</v>
      </c>
      <c r="C965" s="421" t="s">
        <v>19</v>
      </c>
      <c r="D965" s="413" t="s">
        <v>2150</v>
      </c>
      <c r="E965" s="412" t="s">
        <v>762</v>
      </c>
      <c r="F965" s="417"/>
      <c r="G965" s="418"/>
      <c r="H965" s="408">
        <v>5600000</v>
      </c>
      <c r="I965" s="356"/>
      <c r="J965" s="356"/>
      <c r="K965" s="354">
        <f t="shared" si="161"/>
        <v>5600000</v>
      </c>
      <c r="L965" s="419">
        <v>44197</v>
      </c>
      <c r="M965" s="742">
        <v>1326356.111111111</v>
      </c>
      <c r="N965" s="352">
        <f t="shared" si="169"/>
        <v>4273643.888888889</v>
      </c>
      <c r="O965" s="357">
        <f t="shared" si="162"/>
        <v>1186</v>
      </c>
      <c r="P965" s="410">
        <v>9</v>
      </c>
      <c r="Q965" s="358">
        <f t="shared" si="172"/>
        <v>3.2493150684931509</v>
      </c>
      <c r="R965" s="359">
        <f t="shared" si="163"/>
        <v>5.7506849315068491</v>
      </c>
      <c r="S965" s="360">
        <f t="shared" si="164"/>
        <v>5.7506849315068491</v>
      </c>
      <c r="T965" s="361">
        <f t="shared" si="165"/>
        <v>0.10555555555555554</v>
      </c>
      <c r="U965" s="362">
        <f t="shared" si="171"/>
        <v>591111.11111111101</v>
      </c>
      <c r="V965" s="362">
        <f t="shared" si="167"/>
        <v>3682532.777777778</v>
      </c>
      <c r="W965" s="362">
        <f t="shared" si="166"/>
        <v>280000</v>
      </c>
      <c r="X965" s="742">
        <f t="shared" si="168"/>
        <v>3402532.777777778</v>
      </c>
    </row>
    <row r="966" spans="1:24" ht="13.9">
      <c r="A966" s="349">
        <f t="shared" si="170"/>
        <v>958</v>
      </c>
      <c r="B966" s="412" t="s">
        <v>2157</v>
      </c>
      <c r="C966" s="421" t="s">
        <v>19</v>
      </c>
      <c r="D966" s="413" t="s">
        <v>2150</v>
      </c>
      <c r="E966" s="412" t="s">
        <v>2123</v>
      </c>
      <c r="F966" s="417"/>
      <c r="G966" s="418"/>
      <c r="H966" s="408">
        <v>59000</v>
      </c>
      <c r="I966" s="356"/>
      <c r="J966" s="356"/>
      <c r="K966" s="354">
        <f t="shared" ref="K966:K1027" si="173">+H966+I966-J966</f>
        <v>59000</v>
      </c>
      <c r="L966" s="416">
        <v>44244</v>
      </c>
      <c r="M966" s="742">
        <v>14605.777777777777</v>
      </c>
      <c r="N966" s="352">
        <f t="shared" si="169"/>
        <v>44394.222222222219</v>
      </c>
      <c r="O966" s="357">
        <f t="shared" ref="O966:O1026" si="174">+$O$3-L966+1</f>
        <v>1139</v>
      </c>
      <c r="P966" s="410">
        <v>9</v>
      </c>
      <c r="Q966" s="358">
        <f t="shared" si="172"/>
        <v>3.1205479452054794</v>
      </c>
      <c r="R966" s="359">
        <f t="shared" ref="R966:R1027" si="175">+P966-Q966</f>
        <v>5.8794520547945206</v>
      </c>
      <c r="S966" s="360">
        <f t="shared" ref="S966:S1027" si="176">IF(R966&lt;0,0,IF(R966&gt;365,365,R966))</f>
        <v>5.8794520547945206</v>
      </c>
      <c r="T966" s="361">
        <f t="shared" ref="T966:T1027" si="177">1/P966*0.95</f>
        <v>0.10555555555555554</v>
      </c>
      <c r="U966" s="362">
        <f t="shared" si="171"/>
        <v>6227.7777777777774</v>
      </c>
      <c r="V966" s="362">
        <f t="shared" si="167"/>
        <v>38166.444444444438</v>
      </c>
      <c r="W966" s="362">
        <f t="shared" ref="W966:W1027" si="178">ROUND(+H966*5%,0)</f>
        <v>2950</v>
      </c>
      <c r="X966" s="742">
        <f t="shared" si="168"/>
        <v>35216.444444444438</v>
      </c>
    </row>
    <row r="967" spans="1:24" ht="13.9">
      <c r="A967" s="349">
        <f t="shared" si="170"/>
        <v>959</v>
      </c>
      <c r="B967" s="412" t="s">
        <v>983</v>
      </c>
      <c r="C967" s="421" t="s">
        <v>19</v>
      </c>
      <c r="D967" s="413" t="s">
        <v>2150</v>
      </c>
      <c r="E967" s="422" t="s">
        <v>984</v>
      </c>
      <c r="F967" s="417"/>
      <c r="G967" s="418"/>
      <c r="H967" s="408">
        <v>39938</v>
      </c>
      <c r="I967" s="356"/>
      <c r="J967" s="356"/>
      <c r="K967" s="354">
        <f t="shared" si="173"/>
        <v>39938</v>
      </c>
      <c r="L967" s="420">
        <v>44151</v>
      </c>
      <c r="M967" s="742">
        <v>9990.677777777777</v>
      </c>
      <c r="N967" s="352">
        <f t="shared" si="169"/>
        <v>29947.322222222225</v>
      </c>
      <c r="O967" s="357">
        <f t="shared" si="174"/>
        <v>1232</v>
      </c>
      <c r="P967" s="410">
        <v>9</v>
      </c>
      <c r="Q967" s="358">
        <f t="shared" si="172"/>
        <v>3.3753424657534246</v>
      </c>
      <c r="R967" s="359">
        <f t="shared" si="175"/>
        <v>5.624657534246575</v>
      </c>
      <c r="S967" s="360">
        <f t="shared" si="176"/>
        <v>5.624657534246575</v>
      </c>
      <c r="T967" s="361">
        <f t="shared" si="177"/>
        <v>0.10555555555555554</v>
      </c>
      <c r="U967" s="362">
        <f t="shared" si="171"/>
        <v>4215.677777777777</v>
      </c>
      <c r="V967" s="362">
        <f t="shared" ref="V967:V1028" si="179">+N967-U967</f>
        <v>25731.64444444445</v>
      </c>
      <c r="W967" s="362">
        <f t="shared" si="178"/>
        <v>1997</v>
      </c>
      <c r="X967" s="742">
        <f t="shared" ref="X967:X1027" si="180">+V967-W967</f>
        <v>23734.64444444445</v>
      </c>
    </row>
    <row r="968" spans="1:24" ht="13.9">
      <c r="A968" s="349">
        <f t="shared" si="170"/>
        <v>960</v>
      </c>
      <c r="B968" s="412" t="s">
        <v>983</v>
      </c>
      <c r="C968" s="421" t="s">
        <v>19</v>
      </c>
      <c r="D968" s="413" t="s">
        <v>2150</v>
      </c>
      <c r="E968" s="412" t="s">
        <v>2164</v>
      </c>
      <c r="F968" s="417"/>
      <c r="G968" s="418"/>
      <c r="H968" s="408">
        <v>82000</v>
      </c>
      <c r="I968" s="356"/>
      <c r="J968" s="356"/>
      <c r="K968" s="354">
        <f t="shared" si="173"/>
        <v>82000</v>
      </c>
      <c r="L968" s="416">
        <v>44155</v>
      </c>
      <c r="M968" s="742">
        <v>20417.555555555555</v>
      </c>
      <c r="N968" s="352">
        <f t="shared" ref="N968:N1029" si="181">+K968-M968</f>
        <v>61582.444444444445</v>
      </c>
      <c r="O968" s="357">
        <f t="shared" si="174"/>
        <v>1228</v>
      </c>
      <c r="P968" s="410">
        <v>9</v>
      </c>
      <c r="Q968" s="358">
        <f t="shared" si="172"/>
        <v>3.3643835616438356</v>
      </c>
      <c r="R968" s="359">
        <f t="shared" si="175"/>
        <v>5.6356164383561644</v>
      </c>
      <c r="S968" s="360">
        <f t="shared" si="176"/>
        <v>5.6356164383561644</v>
      </c>
      <c r="T968" s="361">
        <f t="shared" si="177"/>
        <v>0.10555555555555554</v>
      </c>
      <c r="U968" s="362">
        <f t="shared" si="171"/>
        <v>8655.5555555555547</v>
      </c>
      <c r="V968" s="362">
        <f t="shared" si="179"/>
        <v>52926.888888888891</v>
      </c>
      <c r="W968" s="362">
        <f t="shared" si="178"/>
        <v>4100</v>
      </c>
      <c r="X968" s="742">
        <f t="shared" si="180"/>
        <v>48826.888888888891</v>
      </c>
    </row>
    <row r="969" spans="1:24" ht="13.9">
      <c r="A969" s="349">
        <f t="shared" si="170"/>
        <v>961</v>
      </c>
      <c r="B969" s="412" t="s">
        <v>576</v>
      </c>
      <c r="C969" s="421" t="s">
        <v>2165</v>
      </c>
      <c r="D969" s="413" t="s">
        <v>2150</v>
      </c>
      <c r="E969" s="412" t="s">
        <v>2166</v>
      </c>
      <c r="F969" s="417"/>
      <c r="G969" s="418"/>
      <c r="H969" s="408">
        <v>297000</v>
      </c>
      <c r="I969" s="356"/>
      <c r="J969" s="356"/>
      <c r="K969" s="354">
        <f t="shared" si="173"/>
        <v>297000</v>
      </c>
      <c r="L969" s="416">
        <v>44097</v>
      </c>
      <c r="M969" s="742">
        <v>78933</v>
      </c>
      <c r="N969" s="352">
        <f t="shared" si="181"/>
        <v>218067</v>
      </c>
      <c r="O969" s="357">
        <f t="shared" si="174"/>
        <v>1286</v>
      </c>
      <c r="P969" s="410">
        <v>9</v>
      </c>
      <c r="Q969" s="358">
        <f t="shared" si="172"/>
        <v>3.5232876712328767</v>
      </c>
      <c r="R969" s="359">
        <f t="shared" si="175"/>
        <v>5.4767123287671229</v>
      </c>
      <c r="S969" s="360">
        <f t="shared" si="176"/>
        <v>5.4767123287671229</v>
      </c>
      <c r="T969" s="361">
        <f t="shared" si="177"/>
        <v>0.10555555555555554</v>
      </c>
      <c r="U969" s="362">
        <f t="shared" si="171"/>
        <v>31349.999999999996</v>
      </c>
      <c r="V969" s="362">
        <f t="shared" si="179"/>
        <v>186717</v>
      </c>
      <c r="W969" s="362">
        <f t="shared" si="178"/>
        <v>14850</v>
      </c>
      <c r="X969" s="742">
        <f t="shared" si="180"/>
        <v>171867</v>
      </c>
    </row>
    <row r="970" spans="1:24" ht="13.9">
      <c r="A970" s="349">
        <f t="shared" ref="A970:A1032" si="182">+A969+1</f>
        <v>962</v>
      </c>
      <c r="B970" s="412" t="s">
        <v>60</v>
      </c>
      <c r="C970" s="421" t="s">
        <v>2165</v>
      </c>
      <c r="D970" s="413" t="s">
        <v>2150</v>
      </c>
      <c r="E970" s="412" t="s">
        <v>2166</v>
      </c>
      <c r="F970" s="417"/>
      <c r="G970" s="418"/>
      <c r="H970" s="408">
        <v>310000</v>
      </c>
      <c r="I970" s="356"/>
      <c r="J970" s="356"/>
      <c r="K970" s="354">
        <f t="shared" si="173"/>
        <v>310000</v>
      </c>
      <c r="L970" s="416">
        <v>44097</v>
      </c>
      <c r="M970" s="742">
        <v>116276.22222222222</v>
      </c>
      <c r="N970" s="352">
        <f t="shared" si="181"/>
        <v>193723.77777777778</v>
      </c>
      <c r="O970" s="357">
        <f t="shared" si="174"/>
        <v>1286</v>
      </c>
      <c r="P970" s="410">
        <v>9</v>
      </c>
      <c r="Q970" s="358">
        <f t="shared" si="172"/>
        <v>3.5232876712328767</v>
      </c>
      <c r="R970" s="359">
        <f t="shared" si="175"/>
        <v>5.4767123287671229</v>
      </c>
      <c r="S970" s="360">
        <f t="shared" si="176"/>
        <v>5.4767123287671229</v>
      </c>
      <c r="T970" s="361">
        <f t="shared" si="177"/>
        <v>0.10555555555555554</v>
      </c>
      <c r="U970" s="362">
        <f t="shared" si="171"/>
        <v>32722.222222222219</v>
      </c>
      <c r="V970" s="362">
        <f t="shared" si="179"/>
        <v>161001.55555555556</v>
      </c>
      <c r="W970" s="362">
        <f t="shared" si="178"/>
        <v>15500</v>
      </c>
      <c r="X970" s="742">
        <f t="shared" si="180"/>
        <v>145501.55555555556</v>
      </c>
    </row>
    <row r="971" spans="1:24" ht="13.9">
      <c r="A971" s="349">
        <f t="shared" si="182"/>
        <v>963</v>
      </c>
      <c r="B971" s="412" t="s">
        <v>578</v>
      </c>
      <c r="C971" s="421" t="s">
        <v>2165</v>
      </c>
      <c r="D971" s="413" t="s">
        <v>2150</v>
      </c>
      <c r="E971" s="412" t="s">
        <v>2117</v>
      </c>
      <c r="F971" s="417"/>
      <c r="G971" s="418"/>
      <c r="H971" s="408">
        <v>5200000</v>
      </c>
      <c r="I971" s="356"/>
      <c r="J971" s="356"/>
      <c r="K971" s="354">
        <f t="shared" si="173"/>
        <v>5200000</v>
      </c>
      <c r="L971" s="416">
        <v>44093</v>
      </c>
      <c r="M971" s="742">
        <v>1388011.8888888888</v>
      </c>
      <c r="N971" s="352">
        <f t="shared" si="181"/>
        <v>3811988.111111111</v>
      </c>
      <c r="O971" s="357">
        <f t="shared" si="174"/>
        <v>1290</v>
      </c>
      <c r="P971" s="410">
        <v>9</v>
      </c>
      <c r="Q971" s="358">
        <f t="shared" si="172"/>
        <v>3.5342465753424657</v>
      </c>
      <c r="R971" s="359">
        <f t="shared" si="175"/>
        <v>5.4657534246575343</v>
      </c>
      <c r="S971" s="360">
        <f t="shared" si="176"/>
        <v>5.4657534246575343</v>
      </c>
      <c r="T971" s="361">
        <f t="shared" si="177"/>
        <v>0.10555555555555554</v>
      </c>
      <c r="U971" s="362">
        <f t="shared" si="171"/>
        <v>548888.88888888876</v>
      </c>
      <c r="V971" s="362">
        <f t="shared" si="179"/>
        <v>3263099.222222222</v>
      </c>
      <c r="W971" s="362">
        <f t="shared" si="178"/>
        <v>260000</v>
      </c>
      <c r="X971" s="742">
        <f t="shared" si="180"/>
        <v>3003099.222222222</v>
      </c>
    </row>
    <row r="972" spans="1:24" ht="13.9">
      <c r="A972" s="349">
        <f t="shared" si="182"/>
        <v>964</v>
      </c>
      <c r="B972" s="412" t="s">
        <v>304</v>
      </c>
      <c r="C972" s="421" t="s">
        <v>2165</v>
      </c>
      <c r="D972" s="413" t="s">
        <v>2150</v>
      </c>
      <c r="E972" s="412" t="s">
        <v>1830</v>
      </c>
      <c r="F972" s="417"/>
      <c r="G972" s="418"/>
      <c r="H972" s="408">
        <v>890000</v>
      </c>
      <c r="I972" s="356"/>
      <c r="J972" s="356"/>
      <c r="K972" s="354">
        <f t="shared" si="173"/>
        <v>890000</v>
      </c>
      <c r="L972" s="416">
        <v>44100</v>
      </c>
      <c r="M972" s="742">
        <v>235762.44444444444</v>
      </c>
      <c r="N972" s="352">
        <f t="shared" si="181"/>
        <v>654237.5555555555</v>
      </c>
      <c r="O972" s="357">
        <f t="shared" si="174"/>
        <v>1283</v>
      </c>
      <c r="P972" s="410">
        <v>9</v>
      </c>
      <c r="Q972" s="358">
        <f t="shared" si="172"/>
        <v>3.515068493150685</v>
      </c>
      <c r="R972" s="359">
        <f t="shared" si="175"/>
        <v>5.484931506849315</v>
      </c>
      <c r="S972" s="360">
        <f t="shared" si="176"/>
        <v>5.484931506849315</v>
      </c>
      <c r="T972" s="361">
        <f t="shared" si="177"/>
        <v>0.10555555555555554</v>
      </c>
      <c r="U972" s="362">
        <f t="shared" si="171"/>
        <v>93944.444444444438</v>
      </c>
      <c r="V972" s="362">
        <f t="shared" si="179"/>
        <v>560293.11111111101</v>
      </c>
      <c r="W972" s="362">
        <f t="shared" si="178"/>
        <v>44500</v>
      </c>
      <c r="X972" s="742">
        <f t="shared" si="180"/>
        <v>515793.11111111101</v>
      </c>
    </row>
    <row r="973" spans="1:24" ht="13.9">
      <c r="A973" s="349">
        <f t="shared" si="182"/>
        <v>965</v>
      </c>
      <c r="B973" s="412" t="s">
        <v>304</v>
      </c>
      <c r="C973" s="421" t="s">
        <v>2165</v>
      </c>
      <c r="D973" s="413" t="s">
        <v>2150</v>
      </c>
      <c r="E973" s="412" t="s">
        <v>1830</v>
      </c>
      <c r="F973" s="417"/>
      <c r="G973" s="418"/>
      <c r="H973" s="408">
        <v>600000</v>
      </c>
      <c r="I973" s="356"/>
      <c r="J973" s="356"/>
      <c r="K973" s="354">
        <f t="shared" si="173"/>
        <v>600000</v>
      </c>
      <c r="L973" s="416">
        <v>44103</v>
      </c>
      <c r="M973" s="742">
        <v>158420.33333333331</v>
      </c>
      <c r="N973" s="352">
        <f t="shared" si="181"/>
        <v>441579.66666666669</v>
      </c>
      <c r="O973" s="357">
        <f t="shared" si="174"/>
        <v>1280</v>
      </c>
      <c r="P973" s="410">
        <v>9</v>
      </c>
      <c r="Q973" s="358">
        <f t="shared" si="172"/>
        <v>3.506849315068493</v>
      </c>
      <c r="R973" s="359">
        <f t="shared" si="175"/>
        <v>5.493150684931507</v>
      </c>
      <c r="S973" s="360">
        <f t="shared" si="176"/>
        <v>5.493150684931507</v>
      </c>
      <c r="T973" s="361">
        <f t="shared" si="177"/>
        <v>0.10555555555555554</v>
      </c>
      <c r="U973" s="362">
        <f t="shared" si="171"/>
        <v>63333.333333333321</v>
      </c>
      <c r="V973" s="362">
        <f t="shared" si="179"/>
        <v>378246.33333333337</v>
      </c>
      <c r="W973" s="362">
        <f t="shared" si="178"/>
        <v>30000</v>
      </c>
      <c r="X973" s="742">
        <f t="shared" si="180"/>
        <v>348246.33333333337</v>
      </c>
    </row>
    <row r="974" spans="1:24" ht="13.9">
      <c r="A974" s="349">
        <f t="shared" si="182"/>
        <v>966</v>
      </c>
      <c r="B974" s="412" t="s">
        <v>1814</v>
      </c>
      <c r="C974" s="421" t="s">
        <v>2165</v>
      </c>
      <c r="D974" s="413" t="s">
        <v>2150</v>
      </c>
      <c r="E974" s="412" t="s">
        <v>2117</v>
      </c>
      <c r="F974" s="417"/>
      <c r="G974" s="418"/>
      <c r="H974" s="408">
        <v>2120000</v>
      </c>
      <c r="I974" s="356"/>
      <c r="J974" s="356"/>
      <c r="K974" s="354">
        <f t="shared" si="173"/>
        <v>2120000</v>
      </c>
      <c r="L974" s="419">
        <v>44093</v>
      </c>
      <c r="M974" s="742">
        <v>565881.77777777775</v>
      </c>
      <c r="N974" s="352">
        <f t="shared" si="181"/>
        <v>1554118.2222222222</v>
      </c>
      <c r="O974" s="357">
        <f t="shared" si="174"/>
        <v>1290</v>
      </c>
      <c r="P974" s="410">
        <v>9</v>
      </c>
      <c r="Q974" s="358">
        <f t="shared" si="172"/>
        <v>3.5342465753424657</v>
      </c>
      <c r="R974" s="359">
        <f t="shared" si="175"/>
        <v>5.4657534246575343</v>
      </c>
      <c r="S974" s="360">
        <f t="shared" si="176"/>
        <v>5.4657534246575343</v>
      </c>
      <c r="T974" s="361">
        <f t="shared" si="177"/>
        <v>0.10555555555555554</v>
      </c>
      <c r="U974" s="362">
        <f t="shared" si="171"/>
        <v>223777.77777777775</v>
      </c>
      <c r="V974" s="362">
        <f t="shared" si="179"/>
        <v>1330340.4444444445</v>
      </c>
      <c r="W974" s="362">
        <f t="shared" si="178"/>
        <v>106000</v>
      </c>
      <c r="X974" s="742">
        <f t="shared" si="180"/>
        <v>1224340.4444444445</v>
      </c>
    </row>
    <row r="975" spans="1:24" ht="13.9">
      <c r="A975" s="349">
        <f t="shared" si="182"/>
        <v>967</v>
      </c>
      <c r="B975" s="412" t="s">
        <v>1814</v>
      </c>
      <c r="C975" s="421" t="s">
        <v>2165</v>
      </c>
      <c r="D975" s="413" t="s">
        <v>2150</v>
      </c>
      <c r="E975" s="412" t="s">
        <v>2117</v>
      </c>
      <c r="F975" s="417"/>
      <c r="G975" s="418"/>
      <c r="H975" s="408">
        <v>475000</v>
      </c>
      <c r="I975" s="356"/>
      <c r="J975" s="356"/>
      <c r="K975" s="354">
        <f t="shared" si="173"/>
        <v>475000</v>
      </c>
      <c r="L975" s="419">
        <v>44093</v>
      </c>
      <c r="M975" s="742">
        <v>126789.88888888888</v>
      </c>
      <c r="N975" s="352">
        <f t="shared" si="181"/>
        <v>348210.11111111112</v>
      </c>
      <c r="O975" s="357">
        <f t="shared" si="174"/>
        <v>1290</v>
      </c>
      <c r="P975" s="410">
        <v>9</v>
      </c>
      <c r="Q975" s="358">
        <f t="shared" si="172"/>
        <v>3.5342465753424657</v>
      </c>
      <c r="R975" s="359">
        <f t="shared" si="175"/>
        <v>5.4657534246575343</v>
      </c>
      <c r="S975" s="360">
        <f t="shared" si="176"/>
        <v>5.4657534246575343</v>
      </c>
      <c r="T975" s="361">
        <f t="shared" si="177"/>
        <v>0.10555555555555554</v>
      </c>
      <c r="U975" s="362">
        <f t="shared" si="171"/>
        <v>50138.888888888883</v>
      </c>
      <c r="V975" s="362">
        <f t="shared" si="179"/>
        <v>298071.22222222225</v>
      </c>
      <c r="W975" s="362">
        <f t="shared" si="178"/>
        <v>23750</v>
      </c>
      <c r="X975" s="742">
        <f t="shared" si="180"/>
        <v>274321.22222222225</v>
      </c>
    </row>
    <row r="976" spans="1:24" ht="13.9">
      <c r="A976" s="349">
        <f t="shared" si="182"/>
        <v>968</v>
      </c>
      <c r="B976" s="412" t="s">
        <v>42</v>
      </c>
      <c r="C976" s="421" t="s">
        <v>2165</v>
      </c>
      <c r="D976" s="413" t="s">
        <v>2150</v>
      </c>
      <c r="E976" s="412" t="s">
        <v>2154</v>
      </c>
      <c r="F976" s="417"/>
      <c r="G976" s="418"/>
      <c r="H976" s="408">
        <v>2869107.4271999998</v>
      </c>
      <c r="I976" s="356"/>
      <c r="J976" s="356"/>
      <c r="K976" s="354">
        <f t="shared" si="173"/>
        <v>2869107.4271999998</v>
      </c>
      <c r="L976" s="416">
        <v>44125</v>
      </c>
      <c r="M976" s="742">
        <v>739286.22842666658</v>
      </c>
      <c r="N976" s="352">
        <f t="shared" si="181"/>
        <v>2129821.1987733333</v>
      </c>
      <c r="O976" s="357">
        <f t="shared" si="174"/>
        <v>1258</v>
      </c>
      <c r="P976" s="410">
        <v>9</v>
      </c>
      <c r="Q976" s="358">
        <f t="shared" si="172"/>
        <v>3.4465753424657533</v>
      </c>
      <c r="R976" s="359">
        <f t="shared" si="175"/>
        <v>5.5534246575342472</v>
      </c>
      <c r="S976" s="360">
        <f t="shared" si="176"/>
        <v>5.5534246575342472</v>
      </c>
      <c r="T976" s="361">
        <f t="shared" si="177"/>
        <v>0.10555555555555554</v>
      </c>
      <c r="U976" s="362">
        <f t="shared" si="171"/>
        <v>302850.22842666658</v>
      </c>
      <c r="V976" s="362">
        <f t="shared" si="179"/>
        <v>1826970.9703466669</v>
      </c>
      <c r="W976" s="362">
        <f t="shared" si="178"/>
        <v>143455</v>
      </c>
      <c r="X976" s="742">
        <f t="shared" si="180"/>
        <v>1683515.9703466669</v>
      </c>
    </row>
    <row r="977" spans="1:24" ht="13.9">
      <c r="A977" s="349">
        <f t="shared" si="182"/>
        <v>969</v>
      </c>
      <c r="B977" s="412" t="s">
        <v>42</v>
      </c>
      <c r="C977" s="421" t="s">
        <v>2165</v>
      </c>
      <c r="D977" s="413" t="s">
        <v>2150</v>
      </c>
      <c r="E977" s="412" t="s">
        <v>2154</v>
      </c>
      <c r="F977" s="417"/>
      <c r="G977" s="418"/>
      <c r="H977" s="408">
        <v>283209.22239725047</v>
      </c>
      <c r="I977" s="356"/>
      <c r="J977" s="356"/>
      <c r="K977" s="354">
        <f t="shared" si="173"/>
        <v>283209.22239725047</v>
      </c>
      <c r="L977" s="416">
        <v>44125</v>
      </c>
      <c r="M977" s="742">
        <v>72975.30680859866</v>
      </c>
      <c r="N977" s="352">
        <f t="shared" si="181"/>
        <v>210233.91558865181</v>
      </c>
      <c r="O977" s="357">
        <f t="shared" si="174"/>
        <v>1258</v>
      </c>
      <c r="P977" s="410">
        <v>9</v>
      </c>
      <c r="Q977" s="358">
        <f t="shared" si="172"/>
        <v>3.4465753424657533</v>
      </c>
      <c r="R977" s="359">
        <f t="shared" si="175"/>
        <v>5.5534246575342472</v>
      </c>
      <c r="S977" s="360">
        <f t="shared" si="176"/>
        <v>5.5534246575342472</v>
      </c>
      <c r="T977" s="361">
        <f t="shared" si="177"/>
        <v>0.10555555555555554</v>
      </c>
      <c r="U977" s="362">
        <f t="shared" si="171"/>
        <v>29894.306808598656</v>
      </c>
      <c r="V977" s="362">
        <f t="shared" si="179"/>
        <v>180339.60878005315</v>
      </c>
      <c r="W977" s="362">
        <f t="shared" si="178"/>
        <v>14160</v>
      </c>
      <c r="X977" s="742">
        <f t="shared" si="180"/>
        <v>166179.60878005315</v>
      </c>
    </row>
    <row r="978" spans="1:24" ht="13.9">
      <c r="A978" s="349">
        <f t="shared" si="182"/>
        <v>970</v>
      </c>
      <c r="B978" s="412" t="s">
        <v>323</v>
      </c>
      <c r="C978" s="421" t="s">
        <v>2165</v>
      </c>
      <c r="D978" s="413" t="s">
        <v>2150</v>
      </c>
      <c r="E978" s="412" t="s">
        <v>2167</v>
      </c>
      <c r="F978" s="417"/>
      <c r="G978" s="418"/>
      <c r="H978" s="408">
        <v>7250000</v>
      </c>
      <c r="I978" s="356"/>
      <c r="J978" s="356"/>
      <c r="K978" s="354">
        <f t="shared" si="173"/>
        <v>7250000</v>
      </c>
      <c r="L978" s="419">
        <v>44088</v>
      </c>
      <c r="M978" s="742">
        <v>1945692.7777777775</v>
      </c>
      <c r="N978" s="352">
        <f t="shared" si="181"/>
        <v>5304307.222222222</v>
      </c>
      <c r="O978" s="357">
        <f t="shared" si="174"/>
        <v>1295</v>
      </c>
      <c r="P978" s="410">
        <v>9</v>
      </c>
      <c r="Q978" s="358">
        <f t="shared" si="172"/>
        <v>3.547945205479452</v>
      </c>
      <c r="R978" s="359">
        <f t="shared" si="175"/>
        <v>5.4520547945205475</v>
      </c>
      <c r="S978" s="360">
        <f t="shared" si="176"/>
        <v>5.4520547945205475</v>
      </c>
      <c r="T978" s="361">
        <f t="shared" si="177"/>
        <v>0.10555555555555554</v>
      </c>
      <c r="U978" s="362">
        <f t="shared" si="171"/>
        <v>765277.77777777764</v>
      </c>
      <c r="V978" s="362">
        <f t="shared" si="179"/>
        <v>4539029.444444444</v>
      </c>
      <c r="W978" s="362">
        <f t="shared" si="178"/>
        <v>362500</v>
      </c>
      <c r="X978" s="742">
        <f t="shared" si="180"/>
        <v>4176529.444444444</v>
      </c>
    </row>
    <row r="979" spans="1:24" ht="13.9">
      <c r="A979" s="349">
        <f t="shared" si="182"/>
        <v>971</v>
      </c>
      <c r="B979" s="412" t="s">
        <v>323</v>
      </c>
      <c r="C979" s="421" t="s">
        <v>2165</v>
      </c>
      <c r="D979" s="413" t="s">
        <v>2150</v>
      </c>
      <c r="E979" s="412" t="s">
        <v>2167</v>
      </c>
      <c r="F979" s="417"/>
      <c r="G979" s="418"/>
      <c r="H979" s="408">
        <v>5775000</v>
      </c>
      <c r="I979" s="356"/>
      <c r="J979" s="356"/>
      <c r="K979" s="354">
        <f t="shared" si="173"/>
        <v>5775000</v>
      </c>
      <c r="L979" s="419">
        <v>44088</v>
      </c>
      <c r="M979" s="742">
        <v>1549844.3333333333</v>
      </c>
      <c r="N979" s="352">
        <f t="shared" si="181"/>
        <v>4225155.666666667</v>
      </c>
      <c r="O979" s="357">
        <f t="shared" si="174"/>
        <v>1295</v>
      </c>
      <c r="P979" s="410">
        <v>9</v>
      </c>
      <c r="Q979" s="358">
        <f t="shared" si="172"/>
        <v>3.547945205479452</v>
      </c>
      <c r="R979" s="359">
        <f t="shared" si="175"/>
        <v>5.4520547945205475</v>
      </c>
      <c r="S979" s="360">
        <f t="shared" si="176"/>
        <v>5.4520547945205475</v>
      </c>
      <c r="T979" s="361">
        <f t="shared" si="177"/>
        <v>0.10555555555555554</v>
      </c>
      <c r="U979" s="362">
        <f t="shared" si="171"/>
        <v>609583.33333333326</v>
      </c>
      <c r="V979" s="362">
        <f t="shared" si="179"/>
        <v>3615572.333333334</v>
      </c>
      <c r="W979" s="362">
        <f t="shared" si="178"/>
        <v>288750</v>
      </c>
      <c r="X979" s="742">
        <f t="shared" si="180"/>
        <v>3326822.333333334</v>
      </c>
    </row>
    <row r="980" spans="1:24" ht="13.9">
      <c r="A980" s="349">
        <f t="shared" si="182"/>
        <v>972</v>
      </c>
      <c r="B980" s="412" t="s">
        <v>1721</v>
      </c>
      <c r="C980" s="421" t="s">
        <v>2165</v>
      </c>
      <c r="D980" s="413" t="s">
        <v>2150</v>
      </c>
      <c r="E980" s="412" t="s">
        <v>2168</v>
      </c>
      <c r="F980" s="417"/>
      <c r="G980" s="418"/>
      <c r="H980" s="408">
        <v>194085</v>
      </c>
      <c r="I980" s="356"/>
      <c r="J980" s="356"/>
      <c r="K980" s="354">
        <f t="shared" si="173"/>
        <v>194085</v>
      </c>
      <c r="L980" s="416">
        <v>44093</v>
      </c>
      <c r="M980" s="742">
        <v>51805.75</v>
      </c>
      <c r="N980" s="352">
        <f t="shared" si="181"/>
        <v>142279.25</v>
      </c>
      <c r="O980" s="357">
        <f t="shared" si="174"/>
        <v>1290</v>
      </c>
      <c r="P980" s="410">
        <v>9</v>
      </c>
      <c r="Q980" s="358">
        <f t="shared" si="172"/>
        <v>3.5342465753424657</v>
      </c>
      <c r="R980" s="359">
        <f t="shared" si="175"/>
        <v>5.4657534246575343</v>
      </c>
      <c r="S980" s="360">
        <f t="shared" si="176"/>
        <v>5.4657534246575343</v>
      </c>
      <c r="T980" s="361">
        <f t="shared" si="177"/>
        <v>0.10555555555555554</v>
      </c>
      <c r="U980" s="362">
        <f t="shared" si="171"/>
        <v>20486.749999999996</v>
      </c>
      <c r="V980" s="362">
        <f t="shared" si="179"/>
        <v>121792.5</v>
      </c>
      <c r="W980" s="362">
        <f t="shared" si="178"/>
        <v>9704</v>
      </c>
      <c r="X980" s="742">
        <f t="shared" si="180"/>
        <v>112088.5</v>
      </c>
    </row>
    <row r="981" spans="1:24" ht="13.9">
      <c r="A981" s="349">
        <f t="shared" si="182"/>
        <v>973</v>
      </c>
      <c r="B981" s="412" t="s">
        <v>1721</v>
      </c>
      <c r="C981" s="421" t="s">
        <v>2165</v>
      </c>
      <c r="D981" s="413" t="s">
        <v>2150</v>
      </c>
      <c r="E981" s="412" t="s">
        <v>2168</v>
      </c>
      <c r="F981" s="417"/>
      <c r="G981" s="418"/>
      <c r="H981" s="408">
        <v>2100000</v>
      </c>
      <c r="I981" s="356"/>
      <c r="J981" s="356"/>
      <c r="K981" s="354">
        <f t="shared" si="173"/>
        <v>2100000</v>
      </c>
      <c r="L981" s="416">
        <v>44093</v>
      </c>
      <c r="M981" s="742">
        <v>560543.66666666663</v>
      </c>
      <c r="N981" s="352">
        <f t="shared" si="181"/>
        <v>1539456.3333333335</v>
      </c>
      <c r="O981" s="357">
        <f t="shared" si="174"/>
        <v>1290</v>
      </c>
      <c r="P981" s="410">
        <v>9</v>
      </c>
      <c r="Q981" s="358">
        <f t="shared" si="172"/>
        <v>3.5342465753424657</v>
      </c>
      <c r="R981" s="359">
        <f t="shared" si="175"/>
        <v>5.4657534246575343</v>
      </c>
      <c r="S981" s="360">
        <f t="shared" si="176"/>
        <v>5.4657534246575343</v>
      </c>
      <c r="T981" s="361">
        <f t="shared" si="177"/>
        <v>0.10555555555555554</v>
      </c>
      <c r="U981" s="362">
        <f t="shared" si="171"/>
        <v>221666.66666666663</v>
      </c>
      <c r="V981" s="362">
        <f t="shared" si="179"/>
        <v>1317789.666666667</v>
      </c>
      <c r="W981" s="362">
        <f t="shared" si="178"/>
        <v>105000</v>
      </c>
      <c r="X981" s="742">
        <f t="shared" si="180"/>
        <v>1212789.666666667</v>
      </c>
    </row>
    <row r="982" spans="1:24" ht="13.9">
      <c r="A982" s="349">
        <f t="shared" si="182"/>
        <v>974</v>
      </c>
      <c r="B982" s="412" t="s">
        <v>1890</v>
      </c>
      <c r="C982" s="421" t="s">
        <v>2165</v>
      </c>
      <c r="D982" s="413" t="s">
        <v>2150</v>
      </c>
      <c r="E982" s="412" t="s">
        <v>2168</v>
      </c>
      <c r="F982" s="417"/>
      <c r="G982" s="418"/>
      <c r="H982" s="408">
        <v>3325000</v>
      </c>
      <c r="I982" s="356"/>
      <c r="J982" s="356"/>
      <c r="K982" s="354">
        <f t="shared" si="173"/>
        <v>3325000</v>
      </c>
      <c r="L982" s="416">
        <v>44091</v>
      </c>
      <c r="M982" s="742">
        <v>889450.22222222225</v>
      </c>
      <c r="N982" s="352">
        <f t="shared" si="181"/>
        <v>2435549.777777778</v>
      </c>
      <c r="O982" s="357">
        <f t="shared" si="174"/>
        <v>1292</v>
      </c>
      <c r="P982" s="410">
        <v>9</v>
      </c>
      <c r="Q982" s="358">
        <f t="shared" si="172"/>
        <v>3.5397260273972604</v>
      </c>
      <c r="R982" s="359">
        <f t="shared" si="175"/>
        <v>5.4602739726027396</v>
      </c>
      <c r="S982" s="360">
        <f t="shared" si="176"/>
        <v>5.4602739726027396</v>
      </c>
      <c r="T982" s="361">
        <f t="shared" si="177"/>
        <v>0.10555555555555554</v>
      </c>
      <c r="U982" s="362">
        <f t="shared" si="171"/>
        <v>350972.22222222219</v>
      </c>
      <c r="V982" s="362">
        <f t="shared" si="179"/>
        <v>2084577.5555555557</v>
      </c>
      <c r="W982" s="362">
        <f t="shared" si="178"/>
        <v>166250</v>
      </c>
      <c r="X982" s="742">
        <f t="shared" si="180"/>
        <v>1918327.5555555557</v>
      </c>
    </row>
    <row r="983" spans="1:24" ht="13.9">
      <c r="A983" s="349">
        <f t="shared" si="182"/>
        <v>975</v>
      </c>
      <c r="B983" s="412" t="s">
        <v>1890</v>
      </c>
      <c r="C983" s="421" t="s">
        <v>2165</v>
      </c>
      <c r="D983" s="413" t="s">
        <v>2150</v>
      </c>
      <c r="E983" s="412" t="s">
        <v>2168</v>
      </c>
      <c r="F983" s="417"/>
      <c r="G983" s="418"/>
      <c r="H983" s="408">
        <v>302205</v>
      </c>
      <c r="I983" s="356"/>
      <c r="J983" s="356"/>
      <c r="K983" s="354">
        <f t="shared" si="173"/>
        <v>302205</v>
      </c>
      <c r="L983" s="416">
        <v>44091</v>
      </c>
      <c r="M983" s="742">
        <v>80841.416666666657</v>
      </c>
      <c r="N983" s="352">
        <f t="shared" si="181"/>
        <v>221363.58333333334</v>
      </c>
      <c r="O983" s="357">
        <f t="shared" si="174"/>
        <v>1292</v>
      </c>
      <c r="P983" s="410">
        <v>9</v>
      </c>
      <c r="Q983" s="358">
        <f t="shared" si="172"/>
        <v>3.5397260273972604</v>
      </c>
      <c r="R983" s="359">
        <f t="shared" si="175"/>
        <v>5.4602739726027396</v>
      </c>
      <c r="S983" s="360">
        <f t="shared" si="176"/>
        <v>5.4602739726027396</v>
      </c>
      <c r="T983" s="361">
        <f t="shared" si="177"/>
        <v>0.10555555555555554</v>
      </c>
      <c r="U983" s="362">
        <f t="shared" si="171"/>
        <v>31899.416666666661</v>
      </c>
      <c r="V983" s="362">
        <f t="shared" si="179"/>
        <v>189464.16666666669</v>
      </c>
      <c r="W983" s="362">
        <f t="shared" si="178"/>
        <v>15110</v>
      </c>
      <c r="X983" s="742">
        <f t="shared" si="180"/>
        <v>174354.16666666669</v>
      </c>
    </row>
    <row r="984" spans="1:24" ht="13.9">
      <c r="A984" s="349">
        <f t="shared" si="182"/>
        <v>976</v>
      </c>
      <c r="B984" s="412" t="s">
        <v>328</v>
      </c>
      <c r="C984" s="421" t="s">
        <v>2165</v>
      </c>
      <c r="D984" s="413" t="s">
        <v>2150</v>
      </c>
      <c r="E984" s="412" t="s">
        <v>421</v>
      </c>
      <c r="F984" s="417"/>
      <c r="G984" s="418"/>
      <c r="H984" s="408">
        <v>415000</v>
      </c>
      <c r="I984" s="356"/>
      <c r="J984" s="356"/>
      <c r="K984" s="354">
        <f t="shared" si="173"/>
        <v>415000</v>
      </c>
      <c r="L984" s="416">
        <v>44083</v>
      </c>
      <c r="M984" s="742">
        <v>160700.55555555556</v>
      </c>
      <c r="N984" s="352">
        <f t="shared" si="181"/>
        <v>254299.44444444444</v>
      </c>
      <c r="O984" s="357">
        <f t="shared" si="174"/>
        <v>1300</v>
      </c>
      <c r="P984" s="410">
        <v>9</v>
      </c>
      <c r="Q984" s="358">
        <f t="shared" si="172"/>
        <v>3.5616438356164384</v>
      </c>
      <c r="R984" s="359">
        <f t="shared" si="175"/>
        <v>5.4383561643835616</v>
      </c>
      <c r="S984" s="360">
        <f t="shared" si="176"/>
        <v>5.4383561643835616</v>
      </c>
      <c r="T984" s="361">
        <f t="shared" si="177"/>
        <v>0.10555555555555554</v>
      </c>
      <c r="U984" s="362">
        <f t="shared" si="171"/>
        <v>43805.555555555547</v>
      </c>
      <c r="V984" s="362">
        <f t="shared" si="179"/>
        <v>210493.88888888888</v>
      </c>
      <c r="W984" s="362">
        <f t="shared" si="178"/>
        <v>20750</v>
      </c>
      <c r="X984" s="742">
        <f t="shared" si="180"/>
        <v>189743.88888888888</v>
      </c>
    </row>
    <row r="985" spans="1:24" ht="13.9">
      <c r="A985" s="349">
        <f t="shared" si="182"/>
        <v>977</v>
      </c>
      <c r="B985" s="412" t="s">
        <v>328</v>
      </c>
      <c r="C985" s="421" t="s">
        <v>2165</v>
      </c>
      <c r="D985" s="413" t="s">
        <v>2150</v>
      </c>
      <c r="E985" s="412" t="s">
        <v>765</v>
      </c>
      <c r="F985" s="417"/>
      <c r="G985" s="418"/>
      <c r="H985" s="408">
        <v>262125</v>
      </c>
      <c r="I985" s="356"/>
      <c r="J985" s="356"/>
      <c r="K985" s="354">
        <f t="shared" si="173"/>
        <v>262125</v>
      </c>
      <c r="L985" s="416">
        <v>44113</v>
      </c>
      <c r="M985" s="742">
        <v>94679.75</v>
      </c>
      <c r="N985" s="352">
        <f t="shared" si="181"/>
        <v>167445.25</v>
      </c>
      <c r="O985" s="357">
        <f t="shared" si="174"/>
        <v>1270</v>
      </c>
      <c r="P985" s="410">
        <v>9</v>
      </c>
      <c r="Q985" s="358">
        <f t="shared" si="172"/>
        <v>3.4794520547945207</v>
      </c>
      <c r="R985" s="359">
        <f t="shared" si="175"/>
        <v>5.5205479452054789</v>
      </c>
      <c r="S985" s="360">
        <f t="shared" si="176"/>
        <v>5.5205479452054789</v>
      </c>
      <c r="T985" s="361">
        <f t="shared" si="177"/>
        <v>0.10555555555555554</v>
      </c>
      <c r="U985" s="362">
        <f t="shared" si="171"/>
        <v>27668.749999999996</v>
      </c>
      <c r="V985" s="362">
        <f t="shared" si="179"/>
        <v>139776.5</v>
      </c>
      <c r="W985" s="362">
        <f t="shared" si="178"/>
        <v>13106</v>
      </c>
      <c r="X985" s="742">
        <f t="shared" si="180"/>
        <v>126670.5</v>
      </c>
    </row>
    <row r="986" spans="1:24" ht="13.9">
      <c r="A986" s="349">
        <f t="shared" si="182"/>
        <v>978</v>
      </c>
      <c r="B986" s="412" t="s">
        <v>1879</v>
      </c>
      <c r="C986" s="421" t="s">
        <v>2169</v>
      </c>
      <c r="D986" s="413" t="s">
        <v>2150</v>
      </c>
      <c r="E986" s="412" t="s">
        <v>2145</v>
      </c>
      <c r="F986" s="417"/>
      <c r="G986" s="418"/>
      <c r="H986" s="408">
        <v>37419</v>
      </c>
      <c r="I986" s="356"/>
      <c r="J986" s="356"/>
      <c r="K986" s="354">
        <f t="shared" si="173"/>
        <v>37419</v>
      </c>
      <c r="L986" s="416">
        <v>44120</v>
      </c>
      <c r="M986" s="742">
        <v>13288.783333333333</v>
      </c>
      <c r="N986" s="352">
        <f t="shared" si="181"/>
        <v>24130.216666666667</v>
      </c>
      <c r="O986" s="357">
        <f t="shared" si="174"/>
        <v>1263</v>
      </c>
      <c r="P986" s="410">
        <v>9</v>
      </c>
      <c r="Q986" s="358">
        <f t="shared" si="172"/>
        <v>3.4602739726027396</v>
      </c>
      <c r="R986" s="359">
        <f t="shared" si="175"/>
        <v>5.5397260273972604</v>
      </c>
      <c r="S986" s="360">
        <f t="shared" si="176"/>
        <v>5.5397260273972604</v>
      </c>
      <c r="T986" s="361">
        <f t="shared" si="177"/>
        <v>0.10555555555555554</v>
      </c>
      <c r="U986" s="362">
        <f t="shared" si="171"/>
        <v>3949.7833333333328</v>
      </c>
      <c r="V986" s="362">
        <f t="shared" si="179"/>
        <v>20180.433333333334</v>
      </c>
      <c r="W986" s="362">
        <f t="shared" si="178"/>
        <v>1871</v>
      </c>
      <c r="X986" s="742">
        <f t="shared" si="180"/>
        <v>18309.433333333334</v>
      </c>
    </row>
    <row r="987" spans="1:24" ht="13.9">
      <c r="A987" s="349">
        <f t="shared" si="182"/>
        <v>979</v>
      </c>
      <c r="B987" s="412" t="s">
        <v>562</v>
      </c>
      <c r="C987" s="421" t="s">
        <v>2095</v>
      </c>
      <c r="D987" s="413" t="s">
        <v>2150</v>
      </c>
      <c r="E987" s="412" t="s">
        <v>2117</v>
      </c>
      <c r="F987" s="417"/>
      <c r="G987" s="418"/>
      <c r="H987" s="408">
        <v>8700000</v>
      </c>
      <c r="I987" s="356"/>
      <c r="J987" s="356"/>
      <c r="K987" s="354">
        <f t="shared" si="173"/>
        <v>8700000</v>
      </c>
      <c r="L987" s="416">
        <v>44104</v>
      </c>
      <c r="M987" s="742">
        <v>3210392.333333333</v>
      </c>
      <c r="N987" s="352">
        <f t="shared" si="181"/>
        <v>5489607.666666667</v>
      </c>
      <c r="O987" s="357">
        <f t="shared" si="174"/>
        <v>1279</v>
      </c>
      <c r="P987" s="410">
        <v>9</v>
      </c>
      <c r="Q987" s="358">
        <f t="shared" si="172"/>
        <v>3.504109589041096</v>
      </c>
      <c r="R987" s="359">
        <f t="shared" si="175"/>
        <v>5.4958904109589035</v>
      </c>
      <c r="S987" s="360">
        <f t="shared" si="176"/>
        <v>5.4958904109589035</v>
      </c>
      <c r="T987" s="361">
        <f t="shared" si="177"/>
        <v>0.10555555555555554</v>
      </c>
      <c r="U987" s="362">
        <f t="shared" si="171"/>
        <v>918333.33333333326</v>
      </c>
      <c r="V987" s="362">
        <f t="shared" si="179"/>
        <v>4571274.333333334</v>
      </c>
      <c r="W987" s="362">
        <f t="shared" si="178"/>
        <v>435000</v>
      </c>
      <c r="X987" s="742">
        <f t="shared" si="180"/>
        <v>4136274.333333334</v>
      </c>
    </row>
    <row r="988" spans="1:24" ht="13.9">
      <c r="A988" s="349">
        <f t="shared" si="182"/>
        <v>980</v>
      </c>
      <c r="B988" s="412" t="s">
        <v>562</v>
      </c>
      <c r="C988" s="421" t="s">
        <v>2095</v>
      </c>
      <c r="D988" s="413" t="s">
        <v>2150</v>
      </c>
      <c r="E988" s="412" t="s">
        <v>2117</v>
      </c>
      <c r="F988" s="417"/>
      <c r="G988" s="418"/>
      <c r="H988" s="408">
        <v>785790.77760274964</v>
      </c>
      <c r="I988" s="356"/>
      <c r="J988" s="356"/>
      <c r="K988" s="354">
        <f t="shared" si="173"/>
        <v>785790.77760274964</v>
      </c>
      <c r="L988" s="416">
        <v>44104</v>
      </c>
      <c r="M988" s="742">
        <v>289965.58208029025</v>
      </c>
      <c r="N988" s="352">
        <f t="shared" si="181"/>
        <v>495825.1955224594</v>
      </c>
      <c r="O988" s="357">
        <f t="shared" si="174"/>
        <v>1279</v>
      </c>
      <c r="P988" s="410">
        <v>9</v>
      </c>
      <c r="Q988" s="358">
        <f t="shared" si="172"/>
        <v>3.504109589041096</v>
      </c>
      <c r="R988" s="359">
        <f t="shared" si="175"/>
        <v>5.4958904109589035</v>
      </c>
      <c r="S988" s="360">
        <f t="shared" si="176"/>
        <v>5.4958904109589035</v>
      </c>
      <c r="T988" s="361">
        <f t="shared" si="177"/>
        <v>0.10555555555555554</v>
      </c>
      <c r="U988" s="362">
        <f t="shared" si="171"/>
        <v>82944.582080290231</v>
      </c>
      <c r="V988" s="362">
        <f t="shared" si="179"/>
        <v>412880.61344216915</v>
      </c>
      <c r="W988" s="362">
        <f t="shared" si="178"/>
        <v>39290</v>
      </c>
      <c r="X988" s="742">
        <f t="shared" si="180"/>
        <v>373590.61344216915</v>
      </c>
    </row>
    <row r="989" spans="1:24" ht="13.9">
      <c r="A989" s="349">
        <f t="shared" si="182"/>
        <v>981</v>
      </c>
      <c r="B989" s="412" t="s">
        <v>1814</v>
      </c>
      <c r="C989" s="421" t="s">
        <v>2095</v>
      </c>
      <c r="D989" s="413" t="s">
        <v>2150</v>
      </c>
      <c r="E989" s="412" t="s">
        <v>2117</v>
      </c>
      <c r="F989" s="417"/>
      <c r="G989" s="418"/>
      <c r="H989" s="408">
        <v>2120000</v>
      </c>
      <c r="I989" s="356"/>
      <c r="J989" s="356"/>
      <c r="K989" s="354">
        <f t="shared" si="173"/>
        <v>2120000</v>
      </c>
      <c r="L989" s="416">
        <v>44135</v>
      </c>
      <c r="M989" s="742">
        <v>540131.77777777775</v>
      </c>
      <c r="N989" s="352">
        <f t="shared" si="181"/>
        <v>1579868.2222222222</v>
      </c>
      <c r="O989" s="357">
        <f t="shared" si="174"/>
        <v>1248</v>
      </c>
      <c r="P989" s="410">
        <v>9</v>
      </c>
      <c r="Q989" s="358">
        <f t="shared" si="172"/>
        <v>3.419178082191781</v>
      </c>
      <c r="R989" s="359">
        <f t="shared" si="175"/>
        <v>5.580821917808219</v>
      </c>
      <c r="S989" s="360">
        <f t="shared" si="176"/>
        <v>5.580821917808219</v>
      </c>
      <c r="T989" s="361">
        <f t="shared" si="177"/>
        <v>0.10555555555555554</v>
      </c>
      <c r="U989" s="362">
        <f t="shared" si="171"/>
        <v>223777.77777777775</v>
      </c>
      <c r="V989" s="362">
        <f t="shared" si="179"/>
        <v>1356090.4444444445</v>
      </c>
      <c r="W989" s="362">
        <f t="shared" si="178"/>
        <v>106000</v>
      </c>
      <c r="X989" s="742">
        <f t="shared" si="180"/>
        <v>1250090.4444444445</v>
      </c>
    </row>
    <row r="990" spans="1:24" ht="13.9">
      <c r="A990" s="349">
        <f t="shared" si="182"/>
        <v>982</v>
      </c>
      <c r="B990" s="412" t="s">
        <v>42</v>
      </c>
      <c r="C990" s="421" t="s">
        <v>2095</v>
      </c>
      <c r="D990" s="413" t="s">
        <v>2150</v>
      </c>
      <c r="E990" s="412" t="s">
        <v>2096</v>
      </c>
      <c r="F990" s="417"/>
      <c r="G990" s="418"/>
      <c r="H990" s="408">
        <v>584565</v>
      </c>
      <c r="I990" s="356"/>
      <c r="J990" s="356"/>
      <c r="K990" s="354">
        <f t="shared" si="173"/>
        <v>584565</v>
      </c>
      <c r="L990" s="416">
        <v>44060</v>
      </c>
      <c r="M990" s="742">
        <v>161614.08333333331</v>
      </c>
      <c r="N990" s="352">
        <f t="shared" si="181"/>
        <v>422950.91666666669</v>
      </c>
      <c r="O990" s="357">
        <f t="shared" si="174"/>
        <v>1323</v>
      </c>
      <c r="P990" s="410">
        <v>9</v>
      </c>
      <c r="Q990" s="358">
        <f t="shared" si="172"/>
        <v>3.6246575342465754</v>
      </c>
      <c r="R990" s="359">
        <f t="shared" si="175"/>
        <v>5.375342465753425</v>
      </c>
      <c r="S990" s="360">
        <f t="shared" si="176"/>
        <v>5.375342465753425</v>
      </c>
      <c r="T990" s="361">
        <f t="shared" si="177"/>
        <v>0.10555555555555554</v>
      </c>
      <c r="U990" s="362">
        <f t="shared" si="171"/>
        <v>61704.083333333328</v>
      </c>
      <c r="V990" s="362">
        <f t="shared" si="179"/>
        <v>361246.83333333337</v>
      </c>
      <c r="W990" s="362">
        <f t="shared" si="178"/>
        <v>29228</v>
      </c>
      <c r="X990" s="742">
        <f t="shared" si="180"/>
        <v>332018.83333333337</v>
      </c>
    </row>
    <row r="991" spans="1:24" ht="13.9">
      <c r="A991" s="349">
        <f t="shared" si="182"/>
        <v>983</v>
      </c>
      <c r="B991" s="412" t="s">
        <v>42</v>
      </c>
      <c r="C991" s="421" t="s">
        <v>2095</v>
      </c>
      <c r="D991" s="413" t="s">
        <v>2150</v>
      </c>
      <c r="E991" s="412" t="s">
        <v>2117</v>
      </c>
      <c r="F991" s="417"/>
      <c r="G991" s="418"/>
      <c r="H991" s="408">
        <v>475000.375</v>
      </c>
      <c r="I991" s="356"/>
      <c r="J991" s="356"/>
      <c r="K991" s="354">
        <f t="shared" si="173"/>
        <v>475000.375</v>
      </c>
      <c r="L991" s="416">
        <v>44135</v>
      </c>
      <c r="M991" s="742">
        <v>121019.92847222221</v>
      </c>
      <c r="N991" s="352">
        <f t="shared" si="181"/>
        <v>353980.44652777782</v>
      </c>
      <c r="O991" s="357">
        <f t="shared" si="174"/>
        <v>1248</v>
      </c>
      <c r="P991" s="410">
        <v>9</v>
      </c>
      <c r="Q991" s="358">
        <f t="shared" si="172"/>
        <v>3.419178082191781</v>
      </c>
      <c r="R991" s="359">
        <f t="shared" si="175"/>
        <v>5.580821917808219</v>
      </c>
      <c r="S991" s="360">
        <f t="shared" si="176"/>
        <v>5.580821917808219</v>
      </c>
      <c r="T991" s="361">
        <f t="shared" si="177"/>
        <v>0.10555555555555554</v>
      </c>
      <c r="U991" s="362">
        <f t="shared" si="171"/>
        <v>50138.928472222215</v>
      </c>
      <c r="V991" s="362">
        <f t="shared" si="179"/>
        <v>303841.51805555559</v>
      </c>
      <c r="W991" s="362">
        <f t="shared" si="178"/>
        <v>23750</v>
      </c>
      <c r="X991" s="742">
        <f t="shared" si="180"/>
        <v>280091.51805555559</v>
      </c>
    </row>
    <row r="992" spans="1:24" ht="13.9">
      <c r="A992" s="349">
        <f t="shared" si="182"/>
        <v>984</v>
      </c>
      <c r="B992" s="412" t="s">
        <v>42</v>
      </c>
      <c r="C992" s="421" t="s">
        <v>2095</v>
      </c>
      <c r="D992" s="413" t="s">
        <v>2150</v>
      </c>
      <c r="E992" s="412" t="s">
        <v>2117</v>
      </c>
      <c r="F992" s="417"/>
      <c r="G992" s="418"/>
      <c r="H992" s="408">
        <v>749999.75</v>
      </c>
      <c r="I992" s="356"/>
      <c r="J992" s="356"/>
      <c r="K992" s="354">
        <f t="shared" si="173"/>
        <v>749999.75</v>
      </c>
      <c r="L992" s="416">
        <v>44165</v>
      </c>
      <c r="M992" s="742">
        <v>184577.64027777777</v>
      </c>
      <c r="N992" s="352">
        <f t="shared" si="181"/>
        <v>565422.1097222222</v>
      </c>
      <c r="O992" s="357">
        <f t="shared" si="174"/>
        <v>1218</v>
      </c>
      <c r="P992" s="410">
        <v>9</v>
      </c>
      <c r="Q992" s="358">
        <f t="shared" si="172"/>
        <v>3.3369863013698629</v>
      </c>
      <c r="R992" s="359">
        <f t="shared" si="175"/>
        <v>5.6630136986301371</v>
      </c>
      <c r="S992" s="360">
        <f t="shared" si="176"/>
        <v>5.6630136986301371</v>
      </c>
      <c r="T992" s="361">
        <f t="shared" si="177"/>
        <v>0.10555555555555554</v>
      </c>
      <c r="U992" s="362">
        <f t="shared" si="171"/>
        <v>79166.640277777769</v>
      </c>
      <c r="V992" s="362">
        <f t="shared" si="179"/>
        <v>486255.4694444444</v>
      </c>
      <c r="W992" s="362">
        <f t="shared" si="178"/>
        <v>37500</v>
      </c>
      <c r="X992" s="742">
        <f t="shared" si="180"/>
        <v>448755.4694444444</v>
      </c>
    </row>
    <row r="993" spans="1:24" ht="13.9">
      <c r="A993" s="349">
        <f t="shared" si="182"/>
        <v>985</v>
      </c>
      <c r="B993" s="412" t="s">
        <v>42</v>
      </c>
      <c r="C993" s="421" t="s">
        <v>2095</v>
      </c>
      <c r="D993" s="413" t="s">
        <v>2150</v>
      </c>
      <c r="E993" s="412" t="s">
        <v>2117</v>
      </c>
      <c r="F993" s="417"/>
      <c r="G993" s="418"/>
      <c r="H993" s="408">
        <v>749999.75</v>
      </c>
      <c r="I993" s="356"/>
      <c r="J993" s="356"/>
      <c r="K993" s="354">
        <f t="shared" si="173"/>
        <v>749999.75</v>
      </c>
      <c r="L993" s="416">
        <v>44165</v>
      </c>
      <c r="M993" s="742">
        <v>184577.64027777777</v>
      </c>
      <c r="N993" s="352">
        <f t="shared" si="181"/>
        <v>565422.1097222222</v>
      </c>
      <c r="O993" s="357">
        <f t="shared" si="174"/>
        <v>1218</v>
      </c>
      <c r="P993" s="410">
        <v>9</v>
      </c>
      <c r="Q993" s="358">
        <f t="shared" si="172"/>
        <v>3.3369863013698629</v>
      </c>
      <c r="R993" s="359">
        <f t="shared" si="175"/>
        <v>5.6630136986301371</v>
      </c>
      <c r="S993" s="360">
        <f t="shared" si="176"/>
        <v>5.6630136986301371</v>
      </c>
      <c r="T993" s="361">
        <f t="shared" si="177"/>
        <v>0.10555555555555554</v>
      </c>
      <c r="U993" s="362">
        <f t="shared" si="171"/>
        <v>79166.640277777769</v>
      </c>
      <c r="V993" s="362">
        <f t="shared" si="179"/>
        <v>486255.4694444444</v>
      </c>
      <c r="W993" s="362">
        <f t="shared" si="178"/>
        <v>37500</v>
      </c>
      <c r="X993" s="742">
        <f t="shared" si="180"/>
        <v>448755.4694444444</v>
      </c>
    </row>
    <row r="994" spans="1:24" ht="13.9">
      <c r="A994" s="349">
        <f t="shared" si="182"/>
        <v>986</v>
      </c>
      <c r="B994" s="412" t="s">
        <v>42</v>
      </c>
      <c r="C994" s="421" t="s">
        <v>2095</v>
      </c>
      <c r="D994" s="413" t="s">
        <v>2150</v>
      </c>
      <c r="E994" s="412" t="s">
        <v>2117</v>
      </c>
      <c r="F994" s="417"/>
      <c r="G994" s="418"/>
      <c r="H994" s="408">
        <v>749999.75</v>
      </c>
      <c r="I994" s="356"/>
      <c r="J994" s="356"/>
      <c r="K994" s="354">
        <f t="shared" si="173"/>
        <v>749999.75</v>
      </c>
      <c r="L994" s="416">
        <v>44165</v>
      </c>
      <c r="M994" s="742">
        <v>184577.64027777777</v>
      </c>
      <c r="N994" s="352">
        <f t="shared" si="181"/>
        <v>565422.1097222222</v>
      </c>
      <c r="O994" s="357">
        <f t="shared" si="174"/>
        <v>1218</v>
      </c>
      <c r="P994" s="410">
        <v>9</v>
      </c>
      <c r="Q994" s="358">
        <f t="shared" si="172"/>
        <v>3.3369863013698629</v>
      </c>
      <c r="R994" s="359">
        <f t="shared" si="175"/>
        <v>5.6630136986301371</v>
      </c>
      <c r="S994" s="360">
        <f t="shared" si="176"/>
        <v>5.6630136986301371</v>
      </c>
      <c r="T994" s="361">
        <f t="shared" si="177"/>
        <v>0.10555555555555554</v>
      </c>
      <c r="U994" s="362">
        <f t="shared" si="171"/>
        <v>79166.640277777769</v>
      </c>
      <c r="V994" s="362">
        <f t="shared" si="179"/>
        <v>486255.4694444444</v>
      </c>
      <c r="W994" s="362">
        <f t="shared" si="178"/>
        <v>37500</v>
      </c>
      <c r="X994" s="742">
        <f t="shared" si="180"/>
        <v>448755.4694444444</v>
      </c>
    </row>
    <row r="995" spans="1:24" ht="13.9">
      <c r="A995" s="349">
        <f t="shared" si="182"/>
        <v>987</v>
      </c>
      <c r="B995" s="412" t="s">
        <v>42</v>
      </c>
      <c r="C995" s="421" t="s">
        <v>2095</v>
      </c>
      <c r="D995" s="413" t="s">
        <v>2150</v>
      </c>
      <c r="E995" s="412" t="s">
        <v>421</v>
      </c>
      <c r="F995" s="417"/>
      <c r="G995" s="418"/>
      <c r="H995" s="408">
        <v>743610</v>
      </c>
      <c r="I995" s="356"/>
      <c r="J995" s="356"/>
      <c r="K995" s="354">
        <f t="shared" si="173"/>
        <v>743610</v>
      </c>
      <c r="L995" s="416">
        <v>44259</v>
      </c>
      <c r="M995" s="742">
        <v>162790.16666666666</v>
      </c>
      <c r="N995" s="352">
        <f t="shared" si="181"/>
        <v>580819.83333333337</v>
      </c>
      <c r="O995" s="357">
        <f t="shared" si="174"/>
        <v>1124</v>
      </c>
      <c r="P995" s="410">
        <v>9</v>
      </c>
      <c r="Q995" s="358">
        <f t="shared" si="172"/>
        <v>3.0794520547945203</v>
      </c>
      <c r="R995" s="359">
        <f t="shared" si="175"/>
        <v>5.9205479452054792</v>
      </c>
      <c r="S995" s="360">
        <f t="shared" si="176"/>
        <v>5.9205479452054792</v>
      </c>
      <c r="T995" s="361">
        <f t="shared" si="177"/>
        <v>0.10555555555555554</v>
      </c>
      <c r="U995" s="362">
        <f t="shared" si="171"/>
        <v>78492.166666666657</v>
      </c>
      <c r="V995" s="362">
        <f t="shared" si="179"/>
        <v>502327.66666666674</v>
      </c>
      <c r="W995" s="362">
        <f t="shared" si="178"/>
        <v>37181</v>
      </c>
      <c r="X995" s="742">
        <f t="shared" si="180"/>
        <v>465146.66666666674</v>
      </c>
    </row>
    <row r="996" spans="1:24" ht="13.9">
      <c r="A996" s="349">
        <f t="shared" si="182"/>
        <v>988</v>
      </c>
      <c r="B996" s="412" t="s">
        <v>584</v>
      </c>
      <c r="C996" s="421" t="s">
        <v>2095</v>
      </c>
      <c r="D996" s="413" t="s">
        <v>2150</v>
      </c>
      <c r="E996" s="412" t="s">
        <v>2154</v>
      </c>
      <c r="F996" s="417"/>
      <c r="G996" s="418"/>
      <c r="H996" s="408">
        <v>2023070</v>
      </c>
      <c r="I996" s="356"/>
      <c r="J996" s="356"/>
      <c r="K996" s="354">
        <f t="shared" si="173"/>
        <v>2023070</v>
      </c>
      <c r="L996" s="416">
        <v>44155</v>
      </c>
      <c r="M996" s="742">
        <v>503735.27777777775</v>
      </c>
      <c r="N996" s="352">
        <f t="shared" si="181"/>
        <v>1519334.7222222222</v>
      </c>
      <c r="O996" s="357">
        <f t="shared" si="174"/>
        <v>1228</v>
      </c>
      <c r="P996" s="410">
        <v>9</v>
      </c>
      <c r="Q996" s="358">
        <f t="shared" si="172"/>
        <v>3.3643835616438356</v>
      </c>
      <c r="R996" s="359">
        <f t="shared" si="175"/>
        <v>5.6356164383561644</v>
      </c>
      <c r="S996" s="360">
        <f t="shared" si="176"/>
        <v>5.6356164383561644</v>
      </c>
      <c r="T996" s="361">
        <f t="shared" si="177"/>
        <v>0.10555555555555554</v>
      </c>
      <c r="U996" s="362">
        <f t="shared" si="171"/>
        <v>213546.27777777775</v>
      </c>
      <c r="V996" s="362">
        <f t="shared" si="179"/>
        <v>1305788.4444444445</v>
      </c>
      <c r="W996" s="362">
        <f t="shared" si="178"/>
        <v>101154</v>
      </c>
      <c r="X996" s="742">
        <f t="shared" si="180"/>
        <v>1204634.4444444445</v>
      </c>
    </row>
    <row r="997" spans="1:24" ht="13.9">
      <c r="A997" s="349">
        <f t="shared" si="182"/>
        <v>989</v>
      </c>
      <c r="B997" s="412" t="s">
        <v>584</v>
      </c>
      <c r="C997" s="421" t="s">
        <v>2095</v>
      </c>
      <c r="D997" s="413" t="s">
        <v>2150</v>
      </c>
      <c r="E997" s="412" t="s">
        <v>2154</v>
      </c>
      <c r="F997" s="417"/>
      <c r="G997" s="418"/>
      <c r="H997" s="408">
        <v>2023070</v>
      </c>
      <c r="I997" s="356"/>
      <c r="J997" s="356"/>
      <c r="K997" s="354">
        <f t="shared" si="173"/>
        <v>2023070</v>
      </c>
      <c r="L997" s="416">
        <v>44155</v>
      </c>
      <c r="M997" s="742">
        <v>503735.27777777775</v>
      </c>
      <c r="N997" s="352">
        <f t="shared" si="181"/>
        <v>1519334.7222222222</v>
      </c>
      <c r="O997" s="357">
        <f t="shared" si="174"/>
        <v>1228</v>
      </c>
      <c r="P997" s="410">
        <v>9</v>
      </c>
      <c r="Q997" s="358">
        <f t="shared" si="172"/>
        <v>3.3643835616438356</v>
      </c>
      <c r="R997" s="359">
        <f t="shared" si="175"/>
        <v>5.6356164383561644</v>
      </c>
      <c r="S997" s="360">
        <f t="shared" si="176"/>
        <v>5.6356164383561644</v>
      </c>
      <c r="T997" s="361">
        <f t="shared" si="177"/>
        <v>0.10555555555555554</v>
      </c>
      <c r="U997" s="362">
        <f t="shared" si="171"/>
        <v>213546.27777777775</v>
      </c>
      <c r="V997" s="362">
        <f t="shared" si="179"/>
        <v>1305788.4444444445</v>
      </c>
      <c r="W997" s="362">
        <f t="shared" si="178"/>
        <v>101154</v>
      </c>
      <c r="X997" s="742">
        <f t="shared" si="180"/>
        <v>1204634.4444444445</v>
      </c>
    </row>
    <row r="998" spans="1:24" ht="13.9">
      <c r="A998" s="349">
        <f t="shared" si="182"/>
        <v>990</v>
      </c>
      <c r="B998" s="412" t="s">
        <v>584</v>
      </c>
      <c r="C998" s="421" t="s">
        <v>2095</v>
      </c>
      <c r="D998" s="413" t="s">
        <v>2150</v>
      </c>
      <c r="E998" s="412" t="s">
        <v>2154</v>
      </c>
      <c r="F998" s="417"/>
      <c r="G998" s="418"/>
      <c r="H998" s="408">
        <v>2023070</v>
      </c>
      <c r="I998" s="356"/>
      <c r="J998" s="356"/>
      <c r="K998" s="354">
        <f t="shared" si="173"/>
        <v>2023070</v>
      </c>
      <c r="L998" s="416">
        <v>44155</v>
      </c>
      <c r="M998" s="742">
        <v>503735.27777777775</v>
      </c>
      <c r="N998" s="352">
        <f t="shared" si="181"/>
        <v>1519334.7222222222</v>
      </c>
      <c r="O998" s="357">
        <f t="shared" si="174"/>
        <v>1228</v>
      </c>
      <c r="P998" s="410">
        <v>9</v>
      </c>
      <c r="Q998" s="358">
        <f t="shared" si="172"/>
        <v>3.3643835616438356</v>
      </c>
      <c r="R998" s="359">
        <f t="shared" si="175"/>
        <v>5.6356164383561644</v>
      </c>
      <c r="S998" s="360">
        <f t="shared" si="176"/>
        <v>5.6356164383561644</v>
      </c>
      <c r="T998" s="361">
        <f t="shared" si="177"/>
        <v>0.10555555555555554</v>
      </c>
      <c r="U998" s="362">
        <f t="shared" si="171"/>
        <v>213546.27777777775</v>
      </c>
      <c r="V998" s="362">
        <f t="shared" si="179"/>
        <v>1305788.4444444445</v>
      </c>
      <c r="W998" s="362">
        <f t="shared" si="178"/>
        <v>101154</v>
      </c>
      <c r="X998" s="742">
        <f t="shared" si="180"/>
        <v>1204634.4444444445</v>
      </c>
    </row>
    <row r="999" spans="1:24" ht="13.9">
      <c r="A999" s="349">
        <f t="shared" si="182"/>
        <v>991</v>
      </c>
      <c r="B999" s="412" t="s">
        <v>309</v>
      </c>
      <c r="C999" s="421" t="s">
        <v>2095</v>
      </c>
      <c r="D999" s="413" t="s">
        <v>2150</v>
      </c>
      <c r="E999" s="412" t="s">
        <v>2113</v>
      </c>
      <c r="F999" s="417"/>
      <c r="G999" s="418"/>
      <c r="H999" s="408">
        <v>153000</v>
      </c>
      <c r="I999" s="356"/>
      <c r="J999" s="356"/>
      <c r="K999" s="354">
        <f t="shared" si="173"/>
        <v>153000</v>
      </c>
      <c r="L999" s="416">
        <v>43966</v>
      </c>
      <c r="M999" s="742">
        <v>74777</v>
      </c>
      <c r="N999" s="352">
        <f t="shared" si="181"/>
        <v>78223</v>
      </c>
      <c r="O999" s="357">
        <f t="shared" si="174"/>
        <v>1417</v>
      </c>
      <c r="P999" s="410">
        <v>9</v>
      </c>
      <c r="Q999" s="358">
        <f t="shared" si="172"/>
        <v>3.882191780821918</v>
      </c>
      <c r="R999" s="359">
        <f t="shared" si="175"/>
        <v>5.117808219178082</v>
      </c>
      <c r="S999" s="360">
        <f t="shared" si="176"/>
        <v>5.117808219178082</v>
      </c>
      <c r="T999" s="361">
        <f t="shared" si="177"/>
        <v>0.10555555555555554</v>
      </c>
      <c r="U999" s="362">
        <f t="shared" si="171"/>
        <v>16149.999999999998</v>
      </c>
      <c r="V999" s="362">
        <f t="shared" si="179"/>
        <v>62073</v>
      </c>
      <c r="W999" s="362">
        <f t="shared" si="178"/>
        <v>7650</v>
      </c>
      <c r="X999" s="742">
        <f t="shared" si="180"/>
        <v>54423</v>
      </c>
    </row>
    <row r="1000" spans="1:24" ht="13.9">
      <c r="A1000" s="349">
        <f t="shared" si="182"/>
        <v>992</v>
      </c>
      <c r="B1000" s="412" t="s">
        <v>309</v>
      </c>
      <c r="C1000" s="421" t="s">
        <v>2095</v>
      </c>
      <c r="D1000" s="413" t="s">
        <v>2150</v>
      </c>
      <c r="E1000" s="412" t="s">
        <v>2113</v>
      </c>
      <c r="F1000" s="417"/>
      <c r="G1000" s="418"/>
      <c r="H1000" s="408">
        <v>1469080</v>
      </c>
      <c r="I1000" s="356"/>
      <c r="J1000" s="356"/>
      <c r="K1000" s="354">
        <f t="shared" si="173"/>
        <v>1469080</v>
      </c>
      <c r="L1000" s="416">
        <v>44073</v>
      </c>
      <c r="M1000" s="742">
        <v>581616.5555555555</v>
      </c>
      <c r="N1000" s="352">
        <f t="shared" si="181"/>
        <v>887463.4444444445</v>
      </c>
      <c r="O1000" s="357">
        <f t="shared" si="174"/>
        <v>1310</v>
      </c>
      <c r="P1000" s="410">
        <v>9</v>
      </c>
      <c r="Q1000" s="358">
        <f t="shared" si="172"/>
        <v>3.5890410958904111</v>
      </c>
      <c r="R1000" s="359">
        <f t="shared" si="175"/>
        <v>5.4109589041095889</v>
      </c>
      <c r="S1000" s="360">
        <f t="shared" si="176"/>
        <v>5.4109589041095889</v>
      </c>
      <c r="T1000" s="361">
        <f t="shared" si="177"/>
        <v>0.10555555555555554</v>
      </c>
      <c r="U1000" s="362">
        <f t="shared" si="171"/>
        <v>155069.55555555553</v>
      </c>
      <c r="V1000" s="362">
        <f t="shared" si="179"/>
        <v>732393.88888888899</v>
      </c>
      <c r="W1000" s="362">
        <f t="shared" si="178"/>
        <v>73454</v>
      </c>
      <c r="X1000" s="742">
        <f t="shared" si="180"/>
        <v>658939.88888888899</v>
      </c>
    </row>
    <row r="1001" spans="1:24" ht="13.9">
      <c r="A1001" s="349">
        <f t="shared" si="182"/>
        <v>993</v>
      </c>
      <c r="B1001" s="412" t="s">
        <v>309</v>
      </c>
      <c r="C1001" s="421" t="s">
        <v>2095</v>
      </c>
      <c r="D1001" s="413" t="s">
        <v>2150</v>
      </c>
      <c r="E1001" s="412" t="s">
        <v>2113</v>
      </c>
      <c r="F1001" s="417"/>
      <c r="G1001" s="418"/>
      <c r="H1001" s="408">
        <v>244400</v>
      </c>
      <c r="I1001" s="356"/>
      <c r="J1001" s="356"/>
      <c r="K1001" s="354">
        <f t="shared" si="173"/>
        <v>244400</v>
      </c>
      <c r="L1001" s="416">
        <v>44090</v>
      </c>
      <c r="M1001" s="742">
        <v>93154.777777777781</v>
      </c>
      <c r="N1001" s="352">
        <f t="shared" si="181"/>
        <v>151245.22222222222</v>
      </c>
      <c r="O1001" s="357">
        <f t="shared" si="174"/>
        <v>1293</v>
      </c>
      <c r="P1001" s="410">
        <v>9</v>
      </c>
      <c r="Q1001" s="358">
        <f t="shared" si="172"/>
        <v>3.5424657534246577</v>
      </c>
      <c r="R1001" s="359">
        <f t="shared" si="175"/>
        <v>5.4575342465753423</v>
      </c>
      <c r="S1001" s="360">
        <f t="shared" si="176"/>
        <v>5.4575342465753423</v>
      </c>
      <c r="T1001" s="361">
        <f t="shared" si="177"/>
        <v>0.10555555555555554</v>
      </c>
      <c r="U1001" s="362">
        <f t="shared" si="171"/>
        <v>25797.777777777774</v>
      </c>
      <c r="V1001" s="362">
        <f t="shared" si="179"/>
        <v>125447.44444444444</v>
      </c>
      <c r="W1001" s="362">
        <f t="shared" si="178"/>
        <v>12220</v>
      </c>
      <c r="X1001" s="742">
        <f t="shared" si="180"/>
        <v>113227.44444444444</v>
      </c>
    </row>
    <row r="1002" spans="1:24" ht="13.9">
      <c r="A1002" s="349">
        <f t="shared" si="182"/>
        <v>994</v>
      </c>
      <c r="B1002" s="412" t="s">
        <v>309</v>
      </c>
      <c r="C1002" s="421" t="s">
        <v>2095</v>
      </c>
      <c r="D1002" s="413" t="s">
        <v>2150</v>
      </c>
      <c r="E1002" s="412" t="s">
        <v>2061</v>
      </c>
      <c r="F1002" s="417"/>
      <c r="G1002" s="418"/>
      <c r="H1002" s="408">
        <v>656200</v>
      </c>
      <c r="I1002" s="356"/>
      <c r="J1002" s="356"/>
      <c r="K1002" s="354">
        <f t="shared" si="173"/>
        <v>656200</v>
      </c>
      <c r="L1002" s="416">
        <v>44155</v>
      </c>
      <c r="M1002" s="742">
        <v>213110.55555555556</v>
      </c>
      <c r="N1002" s="352">
        <f t="shared" si="181"/>
        <v>443089.44444444444</v>
      </c>
      <c r="O1002" s="357">
        <f t="shared" si="174"/>
        <v>1228</v>
      </c>
      <c r="P1002" s="410">
        <v>9</v>
      </c>
      <c r="Q1002" s="358">
        <f t="shared" si="172"/>
        <v>3.3643835616438356</v>
      </c>
      <c r="R1002" s="359">
        <f t="shared" si="175"/>
        <v>5.6356164383561644</v>
      </c>
      <c r="S1002" s="360">
        <f t="shared" si="176"/>
        <v>5.6356164383561644</v>
      </c>
      <c r="T1002" s="361">
        <f t="shared" si="177"/>
        <v>0.10555555555555554</v>
      </c>
      <c r="U1002" s="362">
        <f t="shared" ref="U1002:U1063" si="183">+K1002*T1002</f>
        <v>69265.555555555547</v>
      </c>
      <c r="V1002" s="362">
        <f t="shared" si="179"/>
        <v>373823.88888888888</v>
      </c>
      <c r="W1002" s="362">
        <f t="shared" si="178"/>
        <v>32810</v>
      </c>
      <c r="X1002" s="742">
        <f t="shared" si="180"/>
        <v>341013.88888888888</v>
      </c>
    </row>
    <row r="1003" spans="1:24" ht="13.9">
      <c r="A1003" s="349">
        <f t="shared" si="182"/>
        <v>995</v>
      </c>
      <c r="B1003" s="412" t="s">
        <v>309</v>
      </c>
      <c r="C1003" s="421" t="s">
        <v>2095</v>
      </c>
      <c r="D1003" s="413" t="s">
        <v>2150</v>
      </c>
      <c r="E1003" s="412" t="s">
        <v>2061</v>
      </c>
      <c r="F1003" s="417"/>
      <c r="G1003" s="418"/>
      <c r="H1003" s="408">
        <v>568480</v>
      </c>
      <c r="I1003" s="356"/>
      <c r="J1003" s="356"/>
      <c r="K1003" s="354">
        <f t="shared" si="173"/>
        <v>568480</v>
      </c>
      <c r="L1003" s="416">
        <v>44174</v>
      </c>
      <c r="M1003" s="742">
        <v>175251.22222222222</v>
      </c>
      <c r="N1003" s="352">
        <f t="shared" si="181"/>
        <v>393228.77777777775</v>
      </c>
      <c r="O1003" s="357">
        <f t="shared" si="174"/>
        <v>1209</v>
      </c>
      <c r="P1003" s="410">
        <v>9</v>
      </c>
      <c r="Q1003" s="358">
        <f t="shared" si="172"/>
        <v>3.3123287671232875</v>
      </c>
      <c r="R1003" s="359">
        <f t="shared" si="175"/>
        <v>5.6876712328767125</v>
      </c>
      <c r="S1003" s="360">
        <f t="shared" si="176"/>
        <v>5.6876712328767125</v>
      </c>
      <c r="T1003" s="361">
        <f t="shared" si="177"/>
        <v>0.10555555555555554</v>
      </c>
      <c r="U1003" s="362">
        <f t="shared" si="183"/>
        <v>60006.222222222212</v>
      </c>
      <c r="V1003" s="362">
        <f t="shared" si="179"/>
        <v>333222.55555555556</v>
      </c>
      <c r="W1003" s="362">
        <f t="shared" si="178"/>
        <v>28424</v>
      </c>
      <c r="X1003" s="742">
        <f t="shared" si="180"/>
        <v>304798.55555555556</v>
      </c>
    </row>
    <row r="1004" spans="1:24" ht="13.9">
      <c r="A1004" s="349">
        <f t="shared" si="182"/>
        <v>996</v>
      </c>
      <c r="B1004" s="412" t="s">
        <v>309</v>
      </c>
      <c r="C1004" s="421" t="s">
        <v>2095</v>
      </c>
      <c r="D1004" s="413" t="s">
        <v>2150</v>
      </c>
      <c r="E1004" s="412" t="s">
        <v>406</v>
      </c>
      <c r="F1004" s="417"/>
      <c r="G1004" s="418"/>
      <c r="H1004" s="408">
        <v>178752</v>
      </c>
      <c r="I1004" s="356"/>
      <c r="J1004" s="356"/>
      <c r="K1004" s="354">
        <f t="shared" si="173"/>
        <v>178752</v>
      </c>
      <c r="L1004" s="416">
        <v>44184</v>
      </c>
      <c r="M1004" s="742">
        <v>53555.266666666663</v>
      </c>
      <c r="N1004" s="352">
        <f t="shared" si="181"/>
        <v>125196.73333333334</v>
      </c>
      <c r="O1004" s="357">
        <f t="shared" si="174"/>
        <v>1199</v>
      </c>
      <c r="P1004" s="410">
        <v>9</v>
      </c>
      <c r="Q1004" s="358">
        <f t="shared" si="172"/>
        <v>3.2849315068493152</v>
      </c>
      <c r="R1004" s="359">
        <f t="shared" si="175"/>
        <v>5.7150684931506852</v>
      </c>
      <c r="S1004" s="360">
        <f t="shared" si="176"/>
        <v>5.7150684931506852</v>
      </c>
      <c r="T1004" s="361">
        <f t="shared" si="177"/>
        <v>0.10555555555555554</v>
      </c>
      <c r="U1004" s="362">
        <f t="shared" si="183"/>
        <v>18868.266666666663</v>
      </c>
      <c r="V1004" s="362">
        <f t="shared" si="179"/>
        <v>106328.46666666667</v>
      </c>
      <c r="W1004" s="362">
        <f t="shared" si="178"/>
        <v>8938</v>
      </c>
      <c r="X1004" s="742">
        <f t="shared" si="180"/>
        <v>97390.466666666674</v>
      </c>
    </row>
    <row r="1005" spans="1:24" ht="13.9">
      <c r="A1005" s="349">
        <f t="shared" si="182"/>
        <v>997</v>
      </c>
      <c r="B1005" s="412" t="s">
        <v>309</v>
      </c>
      <c r="C1005" s="421" t="s">
        <v>2095</v>
      </c>
      <c r="D1005" s="413" t="s">
        <v>2150</v>
      </c>
      <c r="E1005" s="412" t="s">
        <v>406</v>
      </c>
      <c r="F1005" s="417"/>
      <c r="G1005" s="418"/>
      <c r="H1005" s="408">
        <v>1369900</v>
      </c>
      <c r="I1005" s="356"/>
      <c r="J1005" s="356"/>
      <c r="K1005" s="354">
        <f t="shared" si="173"/>
        <v>1369900</v>
      </c>
      <c r="L1005" s="416">
        <v>44184</v>
      </c>
      <c r="M1005" s="742">
        <v>410427.5555555555</v>
      </c>
      <c r="N1005" s="352">
        <f t="shared" si="181"/>
        <v>959472.4444444445</v>
      </c>
      <c r="O1005" s="357">
        <f t="shared" si="174"/>
        <v>1199</v>
      </c>
      <c r="P1005" s="410">
        <v>9</v>
      </c>
      <c r="Q1005" s="358">
        <f t="shared" si="172"/>
        <v>3.2849315068493152</v>
      </c>
      <c r="R1005" s="359">
        <f t="shared" si="175"/>
        <v>5.7150684931506852</v>
      </c>
      <c r="S1005" s="360">
        <f t="shared" si="176"/>
        <v>5.7150684931506852</v>
      </c>
      <c r="T1005" s="361">
        <f t="shared" si="177"/>
        <v>0.10555555555555554</v>
      </c>
      <c r="U1005" s="362">
        <f t="shared" si="183"/>
        <v>144600.55555555553</v>
      </c>
      <c r="V1005" s="362">
        <f t="shared" si="179"/>
        <v>814871.88888888899</v>
      </c>
      <c r="W1005" s="362">
        <f t="shared" si="178"/>
        <v>68495</v>
      </c>
      <c r="X1005" s="742">
        <f t="shared" si="180"/>
        <v>746376.88888888899</v>
      </c>
    </row>
    <row r="1006" spans="1:24" ht="13.9">
      <c r="A1006" s="349">
        <f t="shared" si="182"/>
        <v>998</v>
      </c>
      <c r="B1006" s="412" t="s">
        <v>309</v>
      </c>
      <c r="C1006" s="421" t="s">
        <v>2095</v>
      </c>
      <c r="D1006" s="413" t="s">
        <v>2150</v>
      </c>
      <c r="E1006" s="412" t="s">
        <v>2061</v>
      </c>
      <c r="F1006" s="417"/>
      <c r="G1006" s="418"/>
      <c r="H1006" s="408">
        <v>534480</v>
      </c>
      <c r="I1006" s="356"/>
      <c r="J1006" s="356"/>
      <c r="K1006" s="354">
        <f t="shared" si="173"/>
        <v>534480</v>
      </c>
      <c r="L1006" s="416">
        <v>44190</v>
      </c>
      <c r="M1006" s="742">
        <v>157350.33333333331</v>
      </c>
      <c r="N1006" s="352">
        <f t="shared" si="181"/>
        <v>377129.66666666669</v>
      </c>
      <c r="O1006" s="357">
        <f t="shared" si="174"/>
        <v>1193</v>
      </c>
      <c r="P1006" s="410">
        <v>9</v>
      </c>
      <c r="Q1006" s="358">
        <f t="shared" si="172"/>
        <v>3.2684931506849315</v>
      </c>
      <c r="R1006" s="359">
        <f t="shared" si="175"/>
        <v>5.7315068493150685</v>
      </c>
      <c r="S1006" s="360">
        <f t="shared" si="176"/>
        <v>5.7315068493150685</v>
      </c>
      <c r="T1006" s="361">
        <f t="shared" si="177"/>
        <v>0.10555555555555554</v>
      </c>
      <c r="U1006" s="362">
        <f t="shared" si="183"/>
        <v>56417.333333333328</v>
      </c>
      <c r="V1006" s="362">
        <f t="shared" si="179"/>
        <v>320712.33333333337</v>
      </c>
      <c r="W1006" s="362">
        <f t="shared" si="178"/>
        <v>26724</v>
      </c>
      <c r="X1006" s="742">
        <f t="shared" si="180"/>
        <v>293988.33333333337</v>
      </c>
    </row>
    <row r="1007" spans="1:24" ht="13.9">
      <c r="A1007" s="349">
        <f t="shared" si="182"/>
        <v>999</v>
      </c>
      <c r="B1007" s="412" t="s">
        <v>309</v>
      </c>
      <c r="C1007" s="421" t="s">
        <v>2095</v>
      </c>
      <c r="D1007" s="413" t="s">
        <v>2150</v>
      </c>
      <c r="E1007" s="412" t="s">
        <v>2113</v>
      </c>
      <c r="F1007" s="417"/>
      <c r="G1007" s="418"/>
      <c r="H1007" s="408">
        <v>290500</v>
      </c>
      <c r="I1007" s="356"/>
      <c r="J1007" s="356"/>
      <c r="K1007" s="354">
        <f t="shared" si="173"/>
        <v>290500</v>
      </c>
      <c r="L1007" s="416">
        <v>44232</v>
      </c>
      <c r="M1007" s="742">
        <v>74937.888888888876</v>
      </c>
      <c r="N1007" s="352">
        <f t="shared" si="181"/>
        <v>215562.11111111112</v>
      </c>
      <c r="O1007" s="357">
        <f t="shared" si="174"/>
        <v>1151</v>
      </c>
      <c r="P1007" s="410">
        <v>9</v>
      </c>
      <c r="Q1007" s="358">
        <f t="shared" si="172"/>
        <v>3.1534246575342464</v>
      </c>
      <c r="R1007" s="359">
        <f t="shared" si="175"/>
        <v>5.8465753424657532</v>
      </c>
      <c r="S1007" s="360">
        <f t="shared" si="176"/>
        <v>5.8465753424657532</v>
      </c>
      <c r="T1007" s="361">
        <f t="shared" si="177"/>
        <v>0.10555555555555554</v>
      </c>
      <c r="U1007" s="362">
        <f t="shared" si="183"/>
        <v>30663.888888888883</v>
      </c>
      <c r="V1007" s="362">
        <f t="shared" si="179"/>
        <v>184898.22222222225</v>
      </c>
      <c r="W1007" s="362">
        <f t="shared" si="178"/>
        <v>14525</v>
      </c>
      <c r="X1007" s="742">
        <f t="shared" si="180"/>
        <v>170373.22222222225</v>
      </c>
    </row>
    <row r="1008" spans="1:24" ht="13.9">
      <c r="A1008" s="349">
        <f t="shared" si="182"/>
        <v>1000</v>
      </c>
      <c r="B1008" s="412" t="s">
        <v>309</v>
      </c>
      <c r="C1008" s="421" t="s">
        <v>2095</v>
      </c>
      <c r="D1008" s="413" t="s">
        <v>2150</v>
      </c>
      <c r="E1008" s="412" t="s">
        <v>406</v>
      </c>
      <c r="F1008" s="417"/>
      <c r="G1008" s="418"/>
      <c r="H1008" s="408">
        <v>379965</v>
      </c>
      <c r="I1008" s="356"/>
      <c r="J1008" s="356"/>
      <c r="K1008" s="354">
        <f t="shared" si="173"/>
        <v>379965</v>
      </c>
      <c r="L1008" s="416">
        <v>44239</v>
      </c>
      <c r="M1008" s="742">
        <v>95708.416666666657</v>
      </c>
      <c r="N1008" s="352">
        <f t="shared" si="181"/>
        <v>284256.58333333337</v>
      </c>
      <c r="O1008" s="357">
        <f t="shared" si="174"/>
        <v>1144</v>
      </c>
      <c r="P1008" s="410">
        <v>9</v>
      </c>
      <c r="Q1008" s="358">
        <f t="shared" si="172"/>
        <v>3.1342465753424658</v>
      </c>
      <c r="R1008" s="359">
        <f t="shared" si="175"/>
        <v>5.8657534246575338</v>
      </c>
      <c r="S1008" s="360">
        <f t="shared" si="176"/>
        <v>5.8657534246575338</v>
      </c>
      <c r="T1008" s="361">
        <f t="shared" si="177"/>
        <v>0.10555555555555554</v>
      </c>
      <c r="U1008" s="362">
        <f t="shared" si="183"/>
        <v>40107.416666666664</v>
      </c>
      <c r="V1008" s="362">
        <f t="shared" si="179"/>
        <v>244149.16666666672</v>
      </c>
      <c r="W1008" s="362">
        <f t="shared" si="178"/>
        <v>18998</v>
      </c>
      <c r="X1008" s="742">
        <f t="shared" si="180"/>
        <v>225151.16666666672</v>
      </c>
    </row>
    <row r="1009" spans="1:24" ht="13.9">
      <c r="A1009" s="349">
        <f t="shared" si="182"/>
        <v>1001</v>
      </c>
      <c r="B1009" s="412" t="s">
        <v>309</v>
      </c>
      <c r="C1009" s="421" t="s">
        <v>2095</v>
      </c>
      <c r="D1009" s="413" t="s">
        <v>2150</v>
      </c>
      <c r="E1009" s="412" t="s">
        <v>406</v>
      </c>
      <c r="F1009" s="417"/>
      <c r="G1009" s="418"/>
      <c r="H1009" s="408">
        <v>677855</v>
      </c>
      <c r="I1009" s="356"/>
      <c r="J1009" s="356"/>
      <c r="K1009" s="354">
        <f t="shared" si="173"/>
        <v>677855</v>
      </c>
      <c r="L1009" s="416">
        <v>44263</v>
      </c>
      <c r="M1009" s="742">
        <v>156629.36111111109</v>
      </c>
      <c r="N1009" s="352">
        <f t="shared" si="181"/>
        <v>521225.63888888888</v>
      </c>
      <c r="O1009" s="357">
        <f t="shared" si="174"/>
        <v>1120</v>
      </c>
      <c r="P1009" s="410">
        <v>9</v>
      </c>
      <c r="Q1009" s="358">
        <f t="shared" si="172"/>
        <v>3.0684931506849313</v>
      </c>
      <c r="R1009" s="359">
        <f t="shared" si="175"/>
        <v>5.9315068493150687</v>
      </c>
      <c r="S1009" s="360">
        <f t="shared" si="176"/>
        <v>5.9315068493150687</v>
      </c>
      <c r="T1009" s="361">
        <f t="shared" si="177"/>
        <v>0.10555555555555554</v>
      </c>
      <c r="U1009" s="362">
        <f t="shared" si="183"/>
        <v>71551.361111111095</v>
      </c>
      <c r="V1009" s="362">
        <f t="shared" si="179"/>
        <v>449674.27777777775</v>
      </c>
      <c r="W1009" s="362">
        <f t="shared" si="178"/>
        <v>33893</v>
      </c>
      <c r="X1009" s="742">
        <f t="shared" si="180"/>
        <v>415781.27777777775</v>
      </c>
    </row>
    <row r="1010" spans="1:24" ht="13.9">
      <c r="A1010" s="349">
        <f t="shared" si="182"/>
        <v>1002</v>
      </c>
      <c r="B1010" s="412" t="s">
        <v>71</v>
      </c>
      <c r="C1010" s="394" t="s">
        <v>1302</v>
      </c>
      <c r="D1010" s="413" t="s">
        <v>2150</v>
      </c>
      <c r="E1010" s="412" t="s">
        <v>2170</v>
      </c>
      <c r="F1010" s="417"/>
      <c r="G1010" s="418"/>
      <c r="H1010" s="408">
        <v>600000</v>
      </c>
      <c r="I1010" s="356"/>
      <c r="J1010" s="356"/>
      <c r="K1010" s="354">
        <f t="shared" si="173"/>
        <v>600000</v>
      </c>
      <c r="L1010" s="416">
        <v>44198</v>
      </c>
      <c r="M1010" s="742">
        <v>141936.33333333331</v>
      </c>
      <c r="N1010" s="352">
        <f t="shared" si="181"/>
        <v>458063.66666666669</v>
      </c>
      <c r="O1010" s="357">
        <f t="shared" si="174"/>
        <v>1185</v>
      </c>
      <c r="P1010" s="410">
        <v>9</v>
      </c>
      <c r="Q1010" s="358">
        <f t="shared" si="172"/>
        <v>3.2465753424657535</v>
      </c>
      <c r="R1010" s="359">
        <f t="shared" si="175"/>
        <v>5.7534246575342465</v>
      </c>
      <c r="S1010" s="360">
        <f t="shared" si="176"/>
        <v>5.7534246575342465</v>
      </c>
      <c r="T1010" s="361">
        <f t="shared" si="177"/>
        <v>0.10555555555555554</v>
      </c>
      <c r="U1010" s="362">
        <f t="shared" si="183"/>
        <v>63333.333333333321</v>
      </c>
      <c r="V1010" s="362">
        <f t="shared" si="179"/>
        <v>394730.33333333337</v>
      </c>
      <c r="W1010" s="362">
        <f t="shared" si="178"/>
        <v>30000</v>
      </c>
      <c r="X1010" s="742">
        <f t="shared" si="180"/>
        <v>364730.33333333337</v>
      </c>
    </row>
    <row r="1011" spans="1:24" ht="13.9">
      <c r="A1011" s="349">
        <f t="shared" si="182"/>
        <v>1003</v>
      </c>
      <c r="B1011" s="412" t="s">
        <v>71</v>
      </c>
      <c r="C1011" s="394" t="s">
        <v>1302</v>
      </c>
      <c r="D1011" s="413" t="s">
        <v>2150</v>
      </c>
      <c r="E1011" s="412" t="s">
        <v>2170</v>
      </c>
      <c r="F1011" s="417"/>
      <c r="G1011" s="418"/>
      <c r="H1011" s="408">
        <v>600000</v>
      </c>
      <c r="I1011" s="356"/>
      <c r="J1011" s="356"/>
      <c r="K1011" s="354">
        <f t="shared" si="173"/>
        <v>600000</v>
      </c>
      <c r="L1011" s="416">
        <v>44198</v>
      </c>
      <c r="M1011" s="742">
        <v>141936.33333333331</v>
      </c>
      <c r="N1011" s="352">
        <f t="shared" si="181"/>
        <v>458063.66666666669</v>
      </c>
      <c r="O1011" s="357">
        <f t="shared" si="174"/>
        <v>1185</v>
      </c>
      <c r="P1011" s="410">
        <v>9</v>
      </c>
      <c r="Q1011" s="358">
        <f t="shared" si="172"/>
        <v>3.2465753424657535</v>
      </c>
      <c r="R1011" s="359">
        <f t="shared" si="175"/>
        <v>5.7534246575342465</v>
      </c>
      <c r="S1011" s="360">
        <f t="shared" si="176"/>
        <v>5.7534246575342465</v>
      </c>
      <c r="T1011" s="361">
        <f t="shared" si="177"/>
        <v>0.10555555555555554</v>
      </c>
      <c r="U1011" s="362">
        <f t="shared" si="183"/>
        <v>63333.333333333321</v>
      </c>
      <c r="V1011" s="362">
        <f t="shared" si="179"/>
        <v>394730.33333333337</v>
      </c>
      <c r="W1011" s="362">
        <f t="shared" si="178"/>
        <v>30000</v>
      </c>
      <c r="X1011" s="742">
        <f t="shared" si="180"/>
        <v>364730.33333333337</v>
      </c>
    </row>
    <row r="1012" spans="1:24" ht="13.9">
      <c r="A1012" s="349">
        <f t="shared" si="182"/>
        <v>1004</v>
      </c>
      <c r="B1012" s="412" t="s">
        <v>71</v>
      </c>
      <c r="C1012" s="394" t="s">
        <v>1302</v>
      </c>
      <c r="D1012" s="413" t="s">
        <v>2150</v>
      </c>
      <c r="E1012" s="412" t="s">
        <v>2170</v>
      </c>
      <c r="F1012" s="417"/>
      <c r="G1012" s="418"/>
      <c r="H1012" s="408">
        <v>600000</v>
      </c>
      <c r="I1012" s="356"/>
      <c r="J1012" s="356"/>
      <c r="K1012" s="354">
        <f t="shared" si="173"/>
        <v>600000</v>
      </c>
      <c r="L1012" s="416">
        <v>44198</v>
      </c>
      <c r="M1012" s="742">
        <v>141936.33333333331</v>
      </c>
      <c r="N1012" s="352">
        <f t="shared" si="181"/>
        <v>458063.66666666669</v>
      </c>
      <c r="O1012" s="357">
        <f t="shared" si="174"/>
        <v>1185</v>
      </c>
      <c r="P1012" s="410">
        <v>9</v>
      </c>
      <c r="Q1012" s="358">
        <f t="shared" si="172"/>
        <v>3.2465753424657535</v>
      </c>
      <c r="R1012" s="359">
        <f t="shared" si="175"/>
        <v>5.7534246575342465</v>
      </c>
      <c r="S1012" s="360">
        <f t="shared" si="176"/>
        <v>5.7534246575342465</v>
      </c>
      <c r="T1012" s="361">
        <f t="shared" si="177"/>
        <v>0.10555555555555554</v>
      </c>
      <c r="U1012" s="362">
        <f t="shared" si="183"/>
        <v>63333.333333333321</v>
      </c>
      <c r="V1012" s="362">
        <f t="shared" si="179"/>
        <v>394730.33333333337</v>
      </c>
      <c r="W1012" s="362">
        <f t="shared" si="178"/>
        <v>30000</v>
      </c>
      <c r="X1012" s="742">
        <f t="shared" si="180"/>
        <v>364730.33333333337</v>
      </c>
    </row>
    <row r="1013" spans="1:24" ht="13.9">
      <c r="A1013" s="349">
        <f t="shared" si="182"/>
        <v>1005</v>
      </c>
      <c r="B1013" s="412" t="s">
        <v>71</v>
      </c>
      <c r="C1013" s="394" t="s">
        <v>1302</v>
      </c>
      <c r="D1013" s="413" t="s">
        <v>2150</v>
      </c>
      <c r="E1013" s="412" t="s">
        <v>2170</v>
      </c>
      <c r="F1013" s="417"/>
      <c r="G1013" s="418"/>
      <c r="H1013" s="408">
        <v>600000</v>
      </c>
      <c r="I1013" s="356"/>
      <c r="J1013" s="356"/>
      <c r="K1013" s="354">
        <f t="shared" si="173"/>
        <v>600000</v>
      </c>
      <c r="L1013" s="416">
        <v>44198</v>
      </c>
      <c r="M1013" s="742">
        <v>141936.33333333331</v>
      </c>
      <c r="N1013" s="352">
        <f t="shared" si="181"/>
        <v>458063.66666666669</v>
      </c>
      <c r="O1013" s="357">
        <f t="shared" si="174"/>
        <v>1185</v>
      </c>
      <c r="P1013" s="410">
        <v>9</v>
      </c>
      <c r="Q1013" s="358">
        <f t="shared" si="172"/>
        <v>3.2465753424657535</v>
      </c>
      <c r="R1013" s="359">
        <f t="shared" si="175"/>
        <v>5.7534246575342465</v>
      </c>
      <c r="S1013" s="360">
        <f t="shared" si="176"/>
        <v>5.7534246575342465</v>
      </c>
      <c r="T1013" s="361">
        <f t="shared" si="177"/>
        <v>0.10555555555555554</v>
      </c>
      <c r="U1013" s="362">
        <f t="shared" si="183"/>
        <v>63333.333333333321</v>
      </c>
      <c r="V1013" s="362">
        <f t="shared" si="179"/>
        <v>394730.33333333337</v>
      </c>
      <c r="W1013" s="362">
        <f t="shared" si="178"/>
        <v>30000</v>
      </c>
      <c r="X1013" s="742">
        <f t="shared" si="180"/>
        <v>364730.33333333337</v>
      </c>
    </row>
    <row r="1014" spans="1:24" ht="13.9">
      <c r="A1014" s="349">
        <f t="shared" si="182"/>
        <v>1006</v>
      </c>
      <c r="B1014" s="412" t="s">
        <v>1454</v>
      </c>
      <c r="C1014" s="394" t="s">
        <v>1302</v>
      </c>
      <c r="D1014" s="413" t="s">
        <v>2150</v>
      </c>
      <c r="E1014" s="412" t="s">
        <v>2171</v>
      </c>
      <c r="F1014" s="417"/>
      <c r="G1014" s="418"/>
      <c r="H1014" s="408">
        <v>290000</v>
      </c>
      <c r="I1014" s="356"/>
      <c r="J1014" s="356"/>
      <c r="K1014" s="354">
        <f t="shared" si="173"/>
        <v>290000</v>
      </c>
      <c r="L1014" s="416">
        <v>44177</v>
      </c>
      <c r="M1014" s="742">
        <v>70364.111111111109</v>
      </c>
      <c r="N1014" s="352">
        <f t="shared" si="181"/>
        <v>219635.88888888888</v>
      </c>
      <c r="O1014" s="357">
        <f t="shared" si="174"/>
        <v>1206</v>
      </c>
      <c r="P1014" s="410">
        <v>9</v>
      </c>
      <c r="Q1014" s="358">
        <f t="shared" si="172"/>
        <v>3.3041095890410959</v>
      </c>
      <c r="R1014" s="359">
        <f t="shared" si="175"/>
        <v>5.6958904109589046</v>
      </c>
      <c r="S1014" s="360">
        <f t="shared" si="176"/>
        <v>5.6958904109589046</v>
      </c>
      <c r="T1014" s="361">
        <f t="shared" si="177"/>
        <v>0.10555555555555554</v>
      </c>
      <c r="U1014" s="362">
        <f t="shared" si="183"/>
        <v>30611.111111111106</v>
      </c>
      <c r="V1014" s="362">
        <f t="shared" si="179"/>
        <v>189024.77777777778</v>
      </c>
      <c r="W1014" s="362">
        <f t="shared" si="178"/>
        <v>14500</v>
      </c>
      <c r="X1014" s="742">
        <f t="shared" si="180"/>
        <v>174524.77777777778</v>
      </c>
    </row>
    <row r="1015" spans="1:24" ht="13.9">
      <c r="A1015" s="349">
        <f t="shared" si="182"/>
        <v>1007</v>
      </c>
      <c r="B1015" s="412" t="s">
        <v>1454</v>
      </c>
      <c r="C1015" s="394" t="s">
        <v>1302</v>
      </c>
      <c r="D1015" s="413" t="s">
        <v>2150</v>
      </c>
      <c r="E1015" s="412" t="s">
        <v>2172</v>
      </c>
      <c r="F1015" s="417"/>
      <c r="G1015" s="418"/>
      <c r="H1015" s="408">
        <v>3058750</v>
      </c>
      <c r="I1015" s="356"/>
      <c r="J1015" s="356"/>
      <c r="K1015" s="354">
        <f t="shared" si="173"/>
        <v>3058750</v>
      </c>
      <c r="L1015" s="416">
        <v>44055</v>
      </c>
      <c r="M1015" s="742">
        <v>623072.0555555555</v>
      </c>
      <c r="N1015" s="352">
        <f t="shared" si="181"/>
        <v>2435677.9444444445</v>
      </c>
      <c r="O1015" s="357">
        <f t="shared" si="174"/>
        <v>1328</v>
      </c>
      <c r="P1015" s="410">
        <v>9</v>
      </c>
      <c r="Q1015" s="358">
        <f t="shared" si="172"/>
        <v>3.6383561643835618</v>
      </c>
      <c r="R1015" s="359">
        <f t="shared" si="175"/>
        <v>5.3616438356164382</v>
      </c>
      <c r="S1015" s="360">
        <f t="shared" si="176"/>
        <v>5.3616438356164382</v>
      </c>
      <c r="T1015" s="361">
        <f t="shared" si="177"/>
        <v>0.10555555555555554</v>
      </c>
      <c r="U1015" s="362">
        <f t="shared" si="183"/>
        <v>322868.0555555555</v>
      </c>
      <c r="V1015" s="362">
        <f t="shared" si="179"/>
        <v>2112809.888888889</v>
      </c>
      <c r="W1015" s="362">
        <f t="shared" si="178"/>
        <v>152938</v>
      </c>
      <c r="X1015" s="742">
        <f t="shared" si="180"/>
        <v>1959871.888888889</v>
      </c>
    </row>
    <row r="1016" spans="1:24" ht="13.9">
      <c r="A1016" s="349">
        <f t="shared" si="182"/>
        <v>1008</v>
      </c>
      <c r="B1016" s="423" t="s">
        <v>914</v>
      </c>
      <c r="C1016" s="423" t="s">
        <v>18</v>
      </c>
      <c r="D1016" s="413" t="s">
        <v>2173</v>
      </c>
      <c r="E1016" s="423" t="s">
        <v>916</v>
      </c>
      <c r="F1016" s="417"/>
      <c r="G1016" s="424">
        <v>44558</v>
      </c>
      <c r="H1016" s="408">
        <v>500000</v>
      </c>
      <c r="I1016" s="356"/>
      <c r="J1016" s="356"/>
      <c r="K1016" s="354">
        <f t="shared" si="173"/>
        <v>500000</v>
      </c>
      <c r="L1016" s="425">
        <f>+'[84]Add21-22 (2)'!H4</f>
        <v>44558</v>
      </c>
      <c r="M1016" s="742">
        <v>66932.777777777781</v>
      </c>
      <c r="N1016" s="352">
        <f t="shared" si="181"/>
        <v>433067.22222222225</v>
      </c>
      <c r="O1016" s="357">
        <f t="shared" si="174"/>
        <v>825</v>
      </c>
      <c r="P1016" s="410">
        <v>9</v>
      </c>
      <c r="Q1016" s="358">
        <f t="shared" si="172"/>
        <v>2.2602739726027399</v>
      </c>
      <c r="R1016" s="359">
        <f t="shared" si="175"/>
        <v>6.7397260273972606</v>
      </c>
      <c r="S1016" s="360">
        <f t="shared" si="176"/>
        <v>6.7397260273972606</v>
      </c>
      <c r="T1016" s="361">
        <f t="shared" si="177"/>
        <v>0.10555555555555554</v>
      </c>
      <c r="U1016" s="362">
        <f t="shared" si="183"/>
        <v>52777.777777777774</v>
      </c>
      <c r="V1016" s="362">
        <f t="shared" si="179"/>
        <v>380289.4444444445</v>
      </c>
      <c r="W1016" s="362">
        <f t="shared" si="178"/>
        <v>25000</v>
      </c>
      <c r="X1016" s="742">
        <f t="shared" si="180"/>
        <v>355289.4444444445</v>
      </c>
    </row>
    <row r="1017" spans="1:24" ht="13.9">
      <c r="A1017" s="349">
        <f t="shared" si="182"/>
        <v>1009</v>
      </c>
      <c r="B1017" s="423" t="s">
        <v>917</v>
      </c>
      <c r="C1017" s="423" t="s">
        <v>18</v>
      </c>
      <c r="D1017" s="413" t="s">
        <v>2173</v>
      </c>
      <c r="E1017" s="423" t="s">
        <v>916</v>
      </c>
      <c r="F1017" s="417"/>
      <c r="G1017" s="424">
        <v>44558</v>
      </c>
      <c r="H1017" s="408">
        <v>1100000</v>
      </c>
      <c r="I1017" s="356"/>
      <c r="J1017" s="356"/>
      <c r="K1017" s="354">
        <f t="shared" si="173"/>
        <v>1100000</v>
      </c>
      <c r="L1017" s="425">
        <f>+'[84]Add21-22 (2)'!H5</f>
        <v>44558</v>
      </c>
      <c r="M1017" s="742">
        <v>147253.11111111109</v>
      </c>
      <c r="N1017" s="352">
        <f t="shared" si="181"/>
        <v>952746.88888888888</v>
      </c>
      <c r="O1017" s="357">
        <f t="shared" si="174"/>
        <v>825</v>
      </c>
      <c r="P1017" s="410">
        <v>9</v>
      </c>
      <c r="Q1017" s="358">
        <f t="shared" si="172"/>
        <v>2.2602739726027399</v>
      </c>
      <c r="R1017" s="359">
        <f t="shared" si="175"/>
        <v>6.7397260273972606</v>
      </c>
      <c r="S1017" s="360">
        <f t="shared" si="176"/>
        <v>6.7397260273972606</v>
      </c>
      <c r="T1017" s="361">
        <f t="shared" si="177"/>
        <v>0.10555555555555554</v>
      </c>
      <c r="U1017" s="362">
        <f t="shared" si="183"/>
        <v>116111.11111111109</v>
      </c>
      <c r="V1017" s="362">
        <f t="shared" si="179"/>
        <v>836635.77777777775</v>
      </c>
      <c r="W1017" s="362">
        <f t="shared" si="178"/>
        <v>55000</v>
      </c>
      <c r="X1017" s="742">
        <f t="shared" si="180"/>
        <v>781635.77777777775</v>
      </c>
    </row>
    <row r="1018" spans="1:24" ht="13.9">
      <c r="A1018" s="910">
        <f t="shared" si="182"/>
        <v>1010</v>
      </c>
      <c r="B1018" s="911" t="s">
        <v>919</v>
      </c>
      <c r="C1018" s="911" t="s">
        <v>18</v>
      </c>
      <c r="D1018" s="912" t="s">
        <v>2173</v>
      </c>
      <c r="E1018" s="911" t="s">
        <v>916</v>
      </c>
      <c r="F1018" s="913"/>
      <c r="G1018" s="914">
        <v>44558</v>
      </c>
      <c r="H1018" s="915">
        <v>7000000</v>
      </c>
      <c r="I1018" s="916"/>
      <c r="J1018" s="916">
        <f>+H1018</f>
        <v>7000000</v>
      </c>
      <c r="K1018" s="917">
        <f t="shared" si="173"/>
        <v>0</v>
      </c>
      <c r="L1018" s="918">
        <f>+'[84]Add21-22 (2)'!H6</f>
        <v>44558</v>
      </c>
      <c r="M1018" s="919">
        <v>937062.88888888876</v>
      </c>
      <c r="N1018" s="388">
        <v>0</v>
      </c>
      <c r="O1018" s="920">
        <f t="shared" si="174"/>
        <v>825</v>
      </c>
      <c r="P1018" s="921">
        <v>9</v>
      </c>
      <c r="Q1018" s="922">
        <f t="shared" si="172"/>
        <v>2.2602739726027399</v>
      </c>
      <c r="R1018" s="923">
        <f t="shared" si="175"/>
        <v>6.7397260273972606</v>
      </c>
      <c r="S1018" s="924">
        <f t="shared" si="176"/>
        <v>6.7397260273972606</v>
      </c>
      <c r="T1018" s="925">
        <f t="shared" si="177"/>
        <v>0.10555555555555554</v>
      </c>
      <c r="U1018" s="926">
        <v>16201</v>
      </c>
      <c r="V1018" s="926">
        <f t="shared" si="179"/>
        <v>-16201</v>
      </c>
      <c r="W1018" s="926">
        <f t="shared" si="178"/>
        <v>350000</v>
      </c>
      <c r="X1018" s="919">
        <f t="shared" si="180"/>
        <v>-366201</v>
      </c>
    </row>
    <row r="1019" spans="1:24" ht="13.9">
      <c r="A1019" s="910">
        <f t="shared" si="182"/>
        <v>1011</v>
      </c>
      <c r="B1019" s="911" t="s">
        <v>4198</v>
      </c>
      <c r="C1019" s="911" t="s">
        <v>18</v>
      </c>
      <c r="D1019" s="912" t="s">
        <v>2173</v>
      </c>
      <c r="E1019" s="911" t="s">
        <v>916</v>
      </c>
      <c r="F1019" s="913"/>
      <c r="G1019" s="914">
        <v>44558</v>
      </c>
      <c r="H1019" s="915">
        <v>1600000</v>
      </c>
      <c r="I1019" s="916"/>
      <c r="J1019" s="916">
        <f>+H1019</f>
        <v>1600000</v>
      </c>
      <c r="K1019" s="917">
        <f t="shared" si="173"/>
        <v>0</v>
      </c>
      <c r="L1019" s="918">
        <f>+'[84]Add21-22 (2)'!H7</f>
        <v>44558</v>
      </c>
      <c r="M1019" s="919">
        <f>107092.444444444+107092</f>
        <v>214184.444444444</v>
      </c>
      <c r="N1019" s="388">
        <v>0</v>
      </c>
      <c r="O1019" s="920">
        <f t="shared" si="174"/>
        <v>825</v>
      </c>
      <c r="P1019" s="921">
        <v>9</v>
      </c>
      <c r="Q1019" s="922">
        <f t="shared" si="172"/>
        <v>2.2602739726027399</v>
      </c>
      <c r="R1019" s="923">
        <f t="shared" si="175"/>
        <v>6.7397260273972606</v>
      </c>
      <c r="S1019" s="924">
        <f t="shared" si="176"/>
        <v>6.7397260273972606</v>
      </c>
      <c r="T1019" s="925">
        <f t="shared" si="177"/>
        <v>0.10555555555555554</v>
      </c>
      <c r="U1019" s="926">
        <v>33329</v>
      </c>
      <c r="V1019" s="926">
        <f t="shared" si="179"/>
        <v>-33329</v>
      </c>
      <c r="W1019" s="926">
        <f t="shared" si="178"/>
        <v>80000</v>
      </c>
      <c r="X1019" s="919">
        <f t="shared" si="180"/>
        <v>-113329</v>
      </c>
    </row>
    <row r="1020" spans="1:24" ht="13.9">
      <c r="A1020" s="349">
        <f t="shared" si="182"/>
        <v>1012</v>
      </c>
      <c r="B1020" s="714" t="s">
        <v>925</v>
      </c>
      <c r="C1020" s="714" t="s">
        <v>18</v>
      </c>
      <c r="D1020" s="715" t="s">
        <v>2173</v>
      </c>
      <c r="E1020" s="714" t="s">
        <v>916</v>
      </c>
      <c r="F1020" s="716"/>
      <c r="G1020" s="717">
        <v>44558</v>
      </c>
      <c r="H1020" s="718">
        <v>3100000</v>
      </c>
      <c r="I1020" s="719"/>
      <c r="J1020" s="719"/>
      <c r="K1020" s="373">
        <f t="shared" si="173"/>
        <v>3100000</v>
      </c>
      <c r="L1020" s="720">
        <f>+'[84]Add21-22 (2)'!H9</f>
        <v>44558</v>
      </c>
      <c r="M1020" s="742">
        <v>414984.22222222219</v>
      </c>
      <c r="N1020" s="371">
        <f t="shared" si="181"/>
        <v>2685015.777777778</v>
      </c>
      <c r="O1020" s="357">
        <f t="shared" si="174"/>
        <v>825</v>
      </c>
      <c r="P1020" s="721">
        <v>9</v>
      </c>
      <c r="Q1020" s="722">
        <f t="shared" si="172"/>
        <v>2.2602739726027399</v>
      </c>
      <c r="R1020" s="723">
        <f t="shared" si="175"/>
        <v>6.7397260273972606</v>
      </c>
      <c r="S1020" s="724">
        <f t="shared" si="176"/>
        <v>6.7397260273972606</v>
      </c>
      <c r="T1020" s="725">
        <f t="shared" si="177"/>
        <v>0.10555555555555554</v>
      </c>
      <c r="U1020" s="375">
        <f t="shared" si="183"/>
        <v>327222.22222222219</v>
      </c>
      <c r="V1020" s="375">
        <f t="shared" si="179"/>
        <v>2357793.555555556</v>
      </c>
      <c r="W1020" s="375">
        <f t="shared" si="178"/>
        <v>155000</v>
      </c>
      <c r="X1020" s="742">
        <f t="shared" si="180"/>
        <v>2202793.555555556</v>
      </c>
    </row>
    <row r="1021" spans="1:24" ht="13.9">
      <c r="A1021" s="349">
        <f t="shared" si="182"/>
        <v>1013</v>
      </c>
      <c r="B1021" s="423" t="s">
        <v>929</v>
      </c>
      <c r="C1021" s="423" t="s">
        <v>18</v>
      </c>
      <c r="D1021" s="413" t="s">
        <v>2173</v>
      </c>
      <c r="E1021" s="423" t="s">
        <v>916</v>
      </c>
      <c r="F1021" s="417"/>
      <c r="G1021" s="424">
        <v>44558</v>
      </c>
      <c r="H1021" s="408">
        <v>800000</v>
      </c>
      <c r="I1021" s="356"/>
      <c r="J1021" s="356"/>
      <c r="K1021" s="354">
        <f t="shared" si="173"/>
        <v>800000</v>
      </c>
      <c r="L1021" s="425">
        <f>+'[84]Add21-22 (2)'!H11</f>
        <v>44558</v>
      </c>
      <c r="M1021" s="742">
        <v>107092.44444444444</v>
      </c>
      <c r="N1021" s="352">
        <f t="shared" si="181"/>
        <v>692907.5555555555</v>
      </c>
      <c r="O1021" s="357">
        <f t="shared" si="174"/>
        <v>825</v>
      </c>
      <c r="P1021" s="410">
        <v>9</v>
      </c>
      <c r="Q1021" s="358">
        <f t="shared" si="172"/>
        <v>2.2602739726027399</v>
      </c>
      <c r="R1021" s="359">
        <f t="shared" si="175"/>
        <v>6.7397260273972606</v>
      </c>
      <c r="S1021" s="360">
        <f t="shared" si="176"/>
        <v>6.7397260273972606</v>
      </c>
      <c r="T1021" s="361">
        <f t="shared" si="177"/>
        <v>0.10555555555555554</v>
      </c>
      <c r="U1021" s="362">
        <f t="shared" si="183"/>
        <v>84444.444444444438</v>
      </c>
      <c r="V1021" s="362">
        <f t="shared" si="179"/>
        <v>608463.11111111101</v>
      </c>
      <c r="W1021" s="362">
        <f t="shared" si="178"/>
        <v>40000</v>
      </c>
      <c r="X1021" s="742">
        <f t="shared" si="180"/>
        <v>568463.11111111101</v>
      </c>
    </row>
    <row r="1022" spans="1:24" ht="13.9">
      <c r="A1022" s="349">
        <f t="shared" si="182"/>
        <v>1014</v>
      </c>
      <c r="B1022" s="423" t="s">
        <v>931</v>
      </c>
      <c r="C1022" s="423" t="s">
        <v>18</v>
      </c>
      <c r="D1022" s="413" t="s">
        <v>2173</v>
      </c>
      <c r="E1022" s="423" t="s">
        <v>916</v>
      </c>
      <c r="F1022" s="417"/>
      <c r="G1022" s="424">
        <v>44558</v>
      </c>
      <c r="H1022" s="408">
        <v>500000</v>
      </c>
      <c r="I1022" s="356"/>
      <c r="J1022" s="356"/>
      <c r="K1022" s="354">
        <f t="shared" si="173"/>
        <v>500000</v>
      </c>
      <c r="L1022" s="425">
        <f>+'[84]Add21-22 (2)'!H12</f>
        <v>44558</v>
      </c>
      <c r="M1022" s="742">
        <v>66932.777777777781</v>
      </c>
      <c r="N1022" s="352">
        <f t="shared" si="181"/>
        <v>433067.22222222225</v>
      </c>
      <c r="O1022" s="357">
        <f t="shared" si="174"/>
        <v>825</v>
      </c>
      <c r="P1022" s="410">
        <v>9</v>
      </c>
      <c r="Q1022" s="358">
        <f t="shared" si="172"/>
        <v>2.2602739726027399</v>
      </c>
      <c r="R1022" s="359">
        <f t="shared" si="175"/>
        <v>6.7397260273972606</v>
      </c>
      <c r="S1022" s="360">
        <f t="shared" si="176"/>
        <v>6.7397260273972606</v>
      </c>
      <c r="T1022" s="361">
        <f t="shared" si="177"/>
        <v>0.10555555555555554</v>
      </c>
      <c r="U1022" s="362">
        <f t="shared" si="183"/>
        <v>52777.777777777774</v>
      </c>
      <c r="V1022" s="362">
        <f t="shared" si="179"/>
        <v>380289.4444444445</v>
      </c>
      <c r="W1022" s="362">
        <f t="shared" si="178"/>
        <v>25000</v>
      </c>
      <c r="X1022" s="742">
        <f t="shared" si="180"/>
        <v>355289.4444444445</v>
      </c>
    </row>
    <row r="1023" spans="1:24" ht="13.9">
      <c r="A1023" s="349">
        <f t="shared" si="182"/>
        <v>1015</v>
      </c>
      <c r="B1023" s="423" t="s">
        <v>933</v>
      </c>
      <c r="C1023" s="423" t="s">
        <v>18</v>
      </c>
      <c r="D1023" s="413" t="s">
        <v>2173</v>
      </c>
      <c r="E1023" s="423" t="s">
        <v>916</v>
      </c>
      <c r="F1023" s="417"/>
      <c r="G1023" s="424">
        <v>44558</v>
      </c>
      <c r="H1023" s="408">
        <v>1900000</v>
      </c>
      <c r="I1023" s="356"/>
      <c r="J1023" s="356"/>
      <c r="K1023" s="354">
        <f t="shared" si="173"/>
        <v>1900000</v>
      </c>
      <c r="L1023" s="425">
        <f>+'[84]Add21-22 (2)'!H13</f>
        <v>44558</v>
      </c>
      <c r="M1023" s="742">
        <v>254345.55555555553</v>
      </c>
      <c r="N1023" s="352">
        <f t="shared" si="181"/>
        <v>1645654.4444444445</v>
      </c>
      <c r="O1023" s="357">
        <f t="shared" si="174"/>
        <v>825</v>
      </c>
      <c r="P1023" s="410">
        <v>9</v>
      </c>
      <c r="Q1023" s="358">
        <f t="shared" ref="Q1023:Q1086" si="184">+O1023/365</f>
        <v>2.2602739726027399</v>
      </c>
      <c r="R1023" s="359">
        <f t="shared" si="175"/>
        <v>6.7397260273972606</v>
      </c>
      <c r="S1023" s="360">
        <f t="shared" si="176"/>
        <v>6.7397260273972606</v>
      </c>
      <c r="T1023" s="361">
        <f t="shared" si="177"/>
        <v>0.10555555555555554</v>
      </c>
      <c r="U1023" s="362">
        <f t="shared" si="183"/>
        <v>200555.55555555553</v>
      </c>
      <c r="V1023" s="362">
        <f t="shared" si="179"/>
        <v>1445098.888888889</v>
      </c>
      <c r="W1023" s="362">
        <f t="shared" si="178"/>
        <v>95000</v>
      </c>
      <c r="X1023" s="742">
        <f t="shared" si="180"/>
        <v>1350098.888888889</v>
      </c>
    </row>
    <row r="1024" spans="1:24" ht="13.9">
      <c r="A1024" s="349">
        <f t="shared" si="182"/>
        <v>1016</v>
      </c>
      <c r="B1024" s="423" t="s">
        <v>935</v>
      </c>
      <c r="C1024" s="423" t="s">
        <v>18</v>
      </c>
      <c r="D1024" s="413" t="s">
        <v>2173</v>
      </c>
      <c r="E1024" s="423" t="s">
        <v>916</v>
      </c>
      <c r="F1024" s="417"/>
      <c r="G1024" s="424">
        <v>44558</v>
      </c>
      <c r="H1024" s="408">
        <v>850000</v>
      </c>
      <c r="I1024" s="356"/>
      <c r="J1024" s="356"/>
      <c r="K1024" s="354">
        <f t="shared" si="173"/>
        <v>850000</v>
      </c>
      <c r="L1024" s="425">
        <f>+'[84]Add21-22 (2)'!H14</f>
        <v>44558</v>
      </c>
      <c r="M1024" s="742">
        <v>113786.2222222222</v>
      </c>
      <c r="N1024" s="352">
        <f t="shared" si="181"/>
        <v>736213.77777777775</v>
      </c>
      <c r="O1024" s="357">
        <f t="shared" si="174"/>
        <v>825</v>
      </c>
      <c r="P1024" s="410">
        <v>9</v>
      </c>
      <c r="Q1024" s="358">
        <f t="shared" si="184"/>
        <v>2.2602739726027399</v>
      </c>
      <c r="R1024" s="359">
        <f t="shared" si="175"/>
        <v>6.7397260273972606</v>
      </c>
      <c r="S1024" s="360">
        <f t="shared" si="176"/>
        <v>6.7397260273972606</v>
      </c>
      <c r="T1024" s="361">
        <f t="shared" si="177"/>
        <v>0.10555555555555554</v>
      </c>
      <c r="U1024" s="362">
        <f t="shared" si="183"/>
        <v>89722.222222222204</v>
      </c>
      <c r="V1024" s="362">
        <f t="shared" si="179"/>
        <v>646491.5555555555</v>
      </c>
      <c r="W1024" s="362">
        <f t="shared" si="178"/>
        <v>42500</v>
      </c>
      <c r="X1024" s="742">
        <f t="shared" si="180"/>
        <v>603991.5555555555</v>
      </c>
    </row>
    <row r="1025" spans="1:24" ht="13.9">
      <c r="A1025" s="910">
        <f t="shared" si="182"/>
        <v>1017</v>
      </c>
      <c r="B1025" s="911" t="s">
        <v>937</v>
      </c>
      <c r="C1025" s="911" t="s">
        <v>18</v>
      </c>
      <c r="D1025" s="912" t="s">
        <v>2173</v>
      </c>
      <c r="E1025" s="911" t="s">
        <v>916</v>
      </c>
      <c r="F1025" s="913"/>
      <c r="G1025" s="914">
        <v>44558</v>
      </c>
      <c r="H1025" s="915">
        <v>950000</v>
      </c>
      <c r="I1025" s="916"/>
      <c r="J1025" s="916">
        <v>950000</v>
      </c>
      <c r="K1025" s="917">
        <f t="shared" si="173"/>
        <v>0</v>
      </c>
      <c r="L1025" s="918">
        <f>+'[84]Add21-22 (2)'!H15</f>
        <v>44558</v>
      </c>
      <c r="M1025" s="919">
        <v>127172.77777777777</v>
      </c>
      <c r="N1025" s="388">
        <v>0</v>
      </c>
      <c r="O1025" s="920">
        <f t="shared" si="174"/>
        <v>825</v>
      </c>
      <c r="P1025" s="921">
        <v>9</v>
      </c>
      <c r="Q1025" s="922">
        <f t="shared" si="184"/>
        <v>2.2602739726027399</v>
      </c>
      <c r="R1025" s="923">
        <f t="shared" si="175"/>
        <v>6.7397260273972606</v>
      </c>
      <c r="S1025" s="924">
        <f t="shared" si="176"/>
        <v>6.7397260273972606</v>
      </c>
      <c r="T1025" s="925">
        <f t="shared" si="177"/>
        <v>0.10555555555555554</v>
      </c>
      <c r="U1025" s="926">
        <v>19239</v>
      </c>
      <c r="V1025" s="926">
        <f t="shared" si="179"/>
        <v>-19239</v>
      </c>
      <c r="W1025" s="926">
        <f t="shared" si="178"/>
        <v>47500</v>
      </c>
      <c r="X1025" s="919">
        <f t="shared" si="180"/>
        <v>-66739</v>
      </c>
    </row>
    <row r="1026" spans="1:24" ht="13.9">
      <c r="A1026" s="349">
        <f t="shared" si="182"/>
        <v>1018</v>
      </c>
      <c r="B1026" s="423" t="s">
        <v>939</v>
      </c>
      <c r="C1026" s="423" t="s">
        <v>18</v>
      </c>
      <c r="D1026" s="413" t="s">
        <v>2173</v>
      </c>
      <c r="E1026" s="423" t="s">
        <v>916</v>
      </c>
      <c r="F1026" s="417"/>
      <c r="G1026" s="424">
        <v>44558</v>
      </c>
      <c r="H1026" s="408">
        <v>1850000</v>
      </c>
      <c r="I1026" s="356"/>
      <c r="J1026" s="356"/>
      <c r="K1026" s="354">
        <f t="shared" si="173"/>
        <v>1850000</v>
      </c>
      <c r="L1026" s="425">
        <f>+'[84]Add21-22 (2)'!H16</f>
        <v>44558</v>
      </c>
      <c r="M1026" s="742">
        <v>247651.77777777775</v>
      </c>
      <c r="N1026" s="352">
        <f t="shared" si="181"/>
        <v>1602348.2222222222</v>
      </c>
      <c r="O1026" s="357">
        <f t="shared" si="174"/>
        <v>825</v>
      </c>
      <c r="P1026" s="410">
        <v>9</v>
      </c>
      <c r="Q1026" s="358">
        <f t="shared" si="184"/>
        <v>2.2602739726027399</v>
      </c>
      <c r="R1026" s="359">
        <f t="shared" si="175"/>
        <v>6.7397260273972606</v>
      </c>
      <c r="S1026" s="360">
        <f t="shared" si="176"/>
        <v>6.7397260273972606</v>
      </c>
      <c r="T1026" s="361">
        <f t="shared" si="177"/>
        <v>0.10555555555555554</v>
      </c>
      <c r="U1026" s="362">
        <f t="shared" si="183"/>
        <v>195277.77777777775</v>
      </c>
      <c r="V1026" s="362">
        <f t="shared" si="179"/>
        <v>1407070.4444444445</v>
      </c>
      <c r="W1026" s="362">
        <f t="shared" si="178"/>
        <v>92500</v>
      </c>
      <c r="X1026" s="742">
        <f t="shared" si="180"/>
        <v>1314570.4444444445</v>
      </c>
    </row>
    <row r="1027" spans="1:24" ht="13.9">
      <c r="A1027" s="349">
        <f t="shared" si="182"/>
        <v>1019</v>
      </c>
      <c r="B1027" s="423" t="s">
        <v>941</v>
      </c>
      <c r="C1027" s="423" t="s">
        <v>18</v>
      </c>
      <c r="D1027" s="413" t="s">
        <v>2173</v>
      </c>
      <c r="E1027" s="423" t="s">
        <v>916</v>
      </c>
      <c r="F1027" s="417"/>
      <c r="G1027" s="424">
        <v>44558</v>
      </c>
      <c r="H1027" s="408">
        <v>1110000</v>
      </c>
      <c r="I1027" s="356"/>
      <c r="J1027" s="356"/>
      <c r="K1027" s="354">
        <f t="shared" si="173"/>
        <v>1110000</v>
      </c>
      <c r="L1027" s="425">
        <f>+'[84]Add21-22 (2)'!H17</f>
        <v>44558</v>
      </c>
      <c r="M1027" s="742">
        <v>148591.66666666666</v>
      </c>
      <c r="N1027" s="352">
        <f t="shared" si="181"/>
        <v>961408.33333333337</v>
      </c>
      <c r="O1027" s="357">
        <f t="shared" ref="O1027:O1090" si="185">+$O$3-L1027+1</f>
        <v>825</v>
      </c>
      <c r="P1027" s="410">
        <v>9</v>
      </c>
      <c r="Q1027" s="358">
        <f t="shared" si="184"/>
        <v>2.2602739726027399</v>
      </c>
      <c r="R1027" s="359">
        <f t="shared" si="175"/>
        <v>6.7397260273972606</v>
      </c>
      <c r="S1027" s="360">
        <f t="shared" si="176"/>
        <v>6.7397260273972606</v>
      </c>
      <c r="T1027" s="361">
        <f t="shared" si="177"/>
        <v>0.10555555555555554</v>
      </c>
      <c r="U1027" s="362">
        <f t="shared" si="183"/>
        <v>117166.66666666666</v>
      </c>
      <c r="V1027" s="362">
        <f t="shared" si="179"/>
        <v>844241.66666666674</v>
      </c>
      <c r="W1027" s="362">
        <f t="shared" si="178"/>
        <v>55500</v>
      </c>
      <c r="X1027" s="742">
        <f t="shared" si="180"/>
        <v>788741.66666666674</v>
      </c>
    </row>
    <row r="1028" spans="1:24" ht="13.9">
      <c r="A1028" s="349">
        <f t="shared" si="182"/>
        <v>1020</v>
      </c>
      <c r="B1028" s="423" t="s">
        <v>943</v>
      </c>
      <c r="C1028" s="423" t="s">
        <v>18</v>
      </c>
      <c r="D1028" s="413" t="s">
        <v>2173</v>
      </c>
      <c r="E1028" s="423" t="s">
        <v>916</v>
      </c>
      <c r="F1028" s="417"/>
      <c r="G1028" s="424">
        <v>44558</v>
      </c>
      <c r="H1028" s="408">
        <v>80000</v>
      </c>
      <c r="I1028" s="356"/>
      <c r="J1028" s="356"/>
      <c r="K1028" s="354">
        <f t="shared" ref="K1028:K1091" si="186">+H1028+I1028-J1028</f>
        <v>80000</v>
      </c>
      <c r="L1028" s="425">
        <f>+'[84]Add21-22 (2)'!H18</f>
        <v>44558</v>
      </c>
      <c r="M1028" s="742">
        <v>10709.444444444443</v>
      </c>
      <c r="N1028" s="352">
        <f t="shared" si="181"/>
        <v>69290.555555555562</v>
      </c>
      <c r="O1028" s="357">
        <f t="shared" si="185"/>
        <v>825</v>
      </c>
      <c r="P1028" s="410">
        <v>9</v>
      </c>
      <c r="Q1028" s="358">
        <f t="shared" si="184"/>
        <v>2.2602739726027399</v>
      </c>
      <c r="R1028" s="359">
        <f t="shared" ref="R1028:R1091" si="187">+P1028-Q1028</f>
        <v>6.7397260273972606</v>
      </c>
      <c r="S1028" s="360">
        <f t="shared" ref="S1028:S1091" si="188">IF(R1028&lt;0,0,IF(R1028&gt;365,365,R1028))</f>
        <v>6.7397260273972606</v>
      </c>
      <c r="T1028" s="361">
        <f t="shared" ref="T1028:T1091" si="189">1/P1028*0.95</f>
        <v>0.10555555555555554</v>
      </c>
      <c r="U1028" s="362">
        <f t="shared" si="183"/>
        <v>8444.4444444444434</v>
      </c>
      <c r="V1028" s="362">
        <f t="shared" si="179"/>
        <v>60846.111111111117</v>
      </c>
      <c r="W1028" s="362">
        <f t="shared" ref="W1028:W1091" si="190">ROUND(+H1028*5%,0)</f>
        <v>4000</v>
      </c>
      <c r="X1028" s="742">
        <f t="shared" ref="X1028:X1091" si="191">+V1028-W1028</f>
        <v>56846.111111111117</v>
      </c>
    </row>
    <row r="1029" spans="1:24" ht="13.9">
      <c r="A1029" s="349">
        <f t="shared" si="182"/>
        <v>1021</v>
      </c>
      <c r="B1029" s="423" t="s">
        <v>945</v>
      </c>
      <c r="C1029" s="423" t="s">
        <v>18</v>
      </c>
      <c r="D1029" s="413" t="s">
        <v>2173</v>
      </c>
      <c r="E1029" s="423" t="s">
        <v>916</v>
      </c>
      <c r="F1029" s="417"/>
      <c r="G1029" s="424">
        <v>44558</v>
      </c>
      <c r="H1029" s="408">
        <v>150000</v>
      </c>
      <c r="I1029" s="356"/>
      <c r="J1029" s="356"/>
      <c r="K1029" s="354">
        <f t="shared" si="186"/>
        <v>150000</v>
      </c>
      <c r="L1029" s="425">
        <f>+'[84]Add21-22 (2)'!H19</f>
        <v>44558</v>
      </c>
      <c r="M1029" s="742">
        <v>20080.333333333328</v>
      </c>
      <c r="N1029" s="352">
        <f t="shared" si="181"/>
        <v>129919.66666666667</v>
      </c>
      <c r="O1029" s="357">
        <f t="shared" si="185"/>
        <v>825</v>
      </c>
      <c r="P1029" s="410">
        <v>9</v>
      </c>
      <c r="Q1029" s="358">
        <f t="shared" si="184"/>
        <v>2.2602739726027399</v>
      </c>
      <c r="R1029" s="359">
        <f t="shared" si="187"/>
        <v>6.7397260273972606</v>
      </c>
      <c r="S1029" s="360">
        <f t="shared" si="188"/>
        <v>6.7397260273972606</v>
      </c>
      <c r="T1029" s="361">
        <f t="shared" si="189"/>
        <v>0.10555555555555554</v>
      </c>
      <c r="U1029" s="362">
        <f t="shared" si="183"/>
        <v>15833.33333333333</v>
      </c>
      <c r="V1029" s="362">
        <f t="shared" ref="V1029:V1092" si="192">+N1029-U1029</f>
        <v>114086.33333333334</v>
      </c>
      <c r="W1029" s="362">
        <f t="shared" si="190"/>
        <v>7500</v>
      </c>
      <c r="X1029" s="742">
        <f t="shared" si="191"/>
        <v>106586.33333333334</v>
      </c>
    </row>
    <row r="1030" spans="1:24" ht="13.9">
      <c r="A1030" s="349">
        <f t="shared" si="182"/>
        <v>1022</v>
      </c>
      <c r="B1030" s="423" t="s">
        <v>945</v>
      </c>
      <c r="C1030" s="423" t="s">
        <v>18</v>
      </c>
      <c r="D1030" s="413" t="s">
        <v>2173</v>
      </c>
      <c r="E1030" s="423" t="s">
        <v>916</v>
      </c>
      <c r="F1030" s="417"/>
      <c r="G1030" s="424">
        <v>44558</v>
      </c>
      <c r="H1030" s="408">
        <v>160000</v>
      </c>
      <c r="I1030" s="356"/>
      <c r="J1030" s="356"/>
      <c r="K1030" s="354">
        <f t="shared" si="186"/>
        <v>160000</v>
      </c>
      <c r="L1030" s="425">
        <f>+'[84]Add21-22 (2)'!H20</f>
        <v>44558</v>
      </c>
      <c r="M1030" s="742">
        <v>21418.888888888887</v>
      </c>
      <c r="N1030" s="352">
        <f t="shared" ref="N1030:N1093" si="193">+K1030-M1030</f>
        <v>138581.11111111112</v>
      </c>
      <c r="O1030" s="357">
        <f t="shared" si="185"/>
        <v>825</v>
      </c>
      <c r="P1030" s="410">
        <v>9</v>
      </c>
      <c r="Q1030" s="358">
        <f t="shared" si="184"/>
        <v>2.2602739726027399</v>
      </c>
      <c r="R1030" s="359">
        <f t="shared" si="187"/>
        <v>6.7397260273972606</v>
      </c>
      <c r="S1030" s="360">
        <f t="shared" si="188"/>
        <v>6.7397260273972606</v>
      </c>
      <c r="T1030" s="361">
        <f t="shared" si="189"/>
        <v>0.10555555555555554</v>
      </c>
      <c r="U1030" s="362">
        <f t="shared" si="183"/>
        <v>16888.888888888887</v>
      </c>
      <c r="V1030" s="362">
        <f t="shared" si="192"/>
        <v>121692.22222222223</v>
      </c>
      <c r="W1030" s="362">
        <f t="shared" si="190"/>
        <v>8000</v>
      </c>
      <c r="X1030" s="742">
        <f t="shared" si="191"/>
        <v>113692.22222222223</v>
      </c>
    </row>
    <row r="1031" spans="1:24" ht="13.9">
      <c r="A1031" s="349">
        <f t="shared" si="182"/>
        <v>1023</v>
      </c>
      <c r="B1031" s="423" t="s">
        <v>945</v>
      </c>
      <c r="C1031" s="423" t="s">
        <v>18</v>
      </c>
      <c r="D1031" s="413" t="s">
        <v>2173</v>
      </c>
      <c r="E1031" s="423" t="s">
        <v>916</v>
      </c>
      <c r="F1031" s="417"/>
      <c r="G1031" s="424">
        <v>44558</v>
      </c>
      <c r="H1031" s="408">
        <v>300000</v>
      </c>
      <c r="I1031" s="356"/>
      <c r="J1031" s="356"/>
      <c r="K1031" s="354">
        <f t="shared" si="186"/>
        <v>300000</v>
      </c>
      <c r="L1031" s="425">
        <f>+'[84]Add21-22 (2)'!H21</f>
        <v>44558</v>
      </c>
      <c r="M1031" s="742">
        <v>40159.666666666657</v>
      </c>
      <c r="N1031" s="352">
        <f t="shared" si="193"/>
        <v>259840.33333333334</v>
      </c>
      <c r="O1031" s="357">
        <f t="shared" si="185"/>
        <v>825</v>
      </c>
      <c r="P1031" s="410">
        <v>9</v>
      </c>
      <c r="Q1031" s="358">
        <f t="shared" si="184"/>
        <v>2.2602739726027399</v>
      </c>
      <c r="R1031" s="359">
        <f t="shared" si="187"/>
        <v>6.7397260273972606</v>
      </c>
      <c r="S1031" s="360">
        <f t="shared" si="188"/>
        <v>6.7397260273972606</v>
      </c>
      <c r="T1031" s="361">
        <f t="shared" si="189"/>
        <v>0.10555555555555554</v>
      </c>
      <c r="U1031" s="362">
        <f t="shared" si="183"/>
        <v>31666.666666666661</v>
      </c>
      <c r="V1031" s="362">
        <f t="shared" si="192"/>
        <v>228173.66666666669</v>
      </c>
      <c r="W1031" s="362">
        <f t="shared" si="190"/>
        <v>15000</v>
      </c>
      <c r="X1031" s="742">
        <f t="shared" si="191"/>
        <v>213173.66666666669</v>
      </c>
    </row>
    <row r="1032" spans="1:24" ht="13.9">
      <c r="A1032" s="349">
        <f t="shared" si="182"/>
        <v>1024</v>
      </c>
      <c r="B1032" s="423" t="s">
        <v>945</v>
      </c>
      <c r="C1032" s="423" t="s">
        <v>18</v>
      </c>
      <c r="D1032" s="413" t="s">
        <v>2173</v>
      </c>
      <c r="E1032" s="423" t="s">
        <v>916</v>
      </c>
      <c r="F1032" s="417"/>
      <c r="G1032" s="424">
        <v>44558</v>
      </c>
      <c r="H1032" s="408">
        <v>250000</v>
      </c>
      <c r="I1032" s="356"/>
      <c r="J1032" s="356"/>
      <c r="K1032" s="354">
        <f t="shared" si="186"/>
        <v>250000</v>
      </c>
      <c r="L1032" s="425">
        <f>+'[84]Add21-22 (2)'!H22</f>
        <v>44558</v>
      </c>
      <c r="M1032" s="742">
        <v>33466.888888888891</v>
      </c>
      <c r="N1032" s="352">
        <f t="shared" si="193"/>
        <v>216533.11111111112</v>
      </c>
      <c r="O1032" s="357">
        <f t="shared" si="185"/>
        <v>825</v>
      </c>
      <c r="P1032" s="410">
        <v>9</v>
      </c>
      <c r="Q1032" s="358">
        <f t="shared" si="184"/>
        <v>2.2602739726027399</v>
      </c>
      <c r="R1032" s="359">
        <f t="shared" si="187"/>
        <v>6.7397260273972606</v>
      </c>
      <c r="S1032" s="360">
        <f t="shared" si="188"/>
        <v>6.7397260273972606</v>
      </c>
      <c r="T1032" s="361">
        <f t="shared" si="189"/>
        <v>0.10555555555555554</v>
      </c>
      <c r="U1032" s="362">
        <f t="shared" si="183"/>
        <v>26388.888888888887</v>
      </c>
      <c r="V1032" s="362">
        <f t="shared" si="192"/>
        <v>190144.22222222225</v>
      </c>
      <c r="W1032" s="362">
        <f t="shared" si="190"/>
        <v>12500</v>
      </c>
      <c r="X1032" s="742">
        <f t="shared" si="191"/>
        <v>177644.22222222225</v>
      </c>
    </row>
    <row r="1033" spans="1:24" ht="13.9">
      <c r="A1033" s="349">
        <f t="shared" ref="A1033:A1096" si="194">+A1032+1</f>
        <v>1025</v>
      </c>
      <c r="B1033" s="423" t="s">
        <v>945</v>
      </c>
      <c r="C1033" s="423" t="s">
        <v>18</v>
      </c>
      <c r="D1033" s="413" t="s">
        <v>2173</v>
      </c>
      <c r="E1033" s="423" t="s">
        <v>916</v>
      </c>
      <c r="F1033" s="417"/>
      <c r="G1033" s="424">
        <v>44558</v>
      </c>
      <c r="H1033" s="408">
        <v>150000</v>
      </c>
      <c r="I1033" s="356"/>
      <c r="J1033" s="356"/>
      <c r="K1033" s="354">
        <f t="shared" si="186"/>
        <v>150000</v>
      </c>
      <c r="L1033" s="425">
        <f>+'[84]Add21-22 (2)'!H23</f>
        <v>44558</v>
      </c>
      <c r="M1033" s="742">
        <v>20080.333333333328</v>
      </c>
      <c r="N1033" s="352">
        <f t="shared" si="193"/>
        <v>129919.66666666667</v>
      </c>
      <c r="O1033" s="357">
        <f t="shared" si="185"/>
        <v>825</v>
      </c>
      <c r="P1033" s="410">
        <v>9</v>
      </c>
      <c r="Q1033" s="358">
        <f t="shared" si="184"/>
        <v>2.2602739726027399</v>
      </c>
      <c r="R1033" s="359">
        <f t="shared" si="187"/>
        <v>6.7397260273972606</v>
      </c>
      <c r="S1033" s="360">
        <f t="shared" si="188"/>
        <v>6.7397260273972606</v>
      </c>
      <c r="T1033" s="361">
        <f t="shared" si="189"/>
        <v>0.10555555555555554</v>
      </c>
      <c r="U1033" s="362">
        <f t="shared" si="183"/>
        <v>15833.33333333333</v>
      </c>
      <c r="V1033" s="362">
        <f t="shared" si="192"/>
        <v>114086.33333333334</v>
      </c>
      <c r="W1033" s="362">
        <f t="shared" si="190"/>
        <v>7500</v>
      </c>
      <c r="X1033" s="742">
        <f t="shared" si="191"/>
        <v>106586.33333333334</v>
      </c>
    </row>
    <row r="1034" spans="1:24" ht="13.9">
      <c r="A1034" s="349">
        <f t="shared" si="194"/>
        <v>1026</v>
      </c>
      <c r="B1034" s="423" t="s">
        <v>945</v>
      </c>
      <c r="C1034" s="423" t="s">
        <v>18</v>
      </c>
      <c r="D1034" s="413" t="s">
        <v>2173</v>
      </c>
      <c r="E1034" s="423" t="s">
        <v>916</v>
      </c>
      <c r="F1034" s="417"/>
      <c r="G1034" s="424">
        <v>44558</v>
      </c>
      <c r="H1034" s="408">
        <v>160000</v>
      </c>
      <c r="I1034" s="356"/>
      <c r="J1034" s="356"/>
      <c r="K1034" s="354">
        <f t="shared" si="186"/>
        <v>160000</v>
      </c>
      <c r="L1034" s="425">
        <f>+'[84]Add21-22 (2)'!H24</f>
        <v>44558</v>
      </c>
      <c r="M1034" s="742">
        <v>21418.888888888887</v>
      </c>
      <c r="N1034" s="352">
        <f t="shared" si="193"/>
        <v>138581.11111111112</v>
      </c>
      <c r="O1034" s="357">
        <f t="shared" si="185"/>
        <v>825</v>
      </c>
      <c r="P1034" s="410">
        <v>9</v>
      </c>
      <c r="Q1034" s="358">
        <f t="shared" si="184"/>
        <v>2.2602739726027399</v>
      </c>
      <c r="R1034" s="359">
        <f t="shared" si="187"/>
        <v>6.7397260273972606</v>
      </c>
      <c r="S1034" s="360">
        <f t="shared" si="188"/>
        <v>6.7397260273972606</v>
      </c>
      <c r="T1034" s="361">
        <f t="shared" si="189"/>
        <v>0.10555555555555554</v>
      </c>
      <c r="U1034" s="362">
        <f t="shared" si="183"/>
        <v>16888.888888888887</v>
      </c>
      <c r="V1034" s="362">
        <f t="shared" si="192"/>
        <v>121692.22222222223</v>
      </c>
      <c r="W1034" s="362">
        <f t="shared" si="190"/>
        <v>8000</v>
      </c>
      <c r="X1034" s="742">
        <f t="shared" si="191"/>
        <v>113692.22222222223</v>
      </c>
    </row>
    <row r="1035" spans="1:24" ht="13.9">
      <c r="A1035" s="349">
        <f t="shared" si="194"/>
        <v>1027</v>
      </c>
      <c r="B1035" s="423" t="s">
        <v>952</v>
      </c>
      <c r="C1035" s="423" t="s">
        <v>18</v>
      </c>
      <c r="D1035" s="413" t="s">
        <v>2173</v>
      </c>
      <c r="E1035" s="423" t="s">
        <v>916</v>
      </c>
      <c r="F1035" s="417"/>
      <c r="G1035" s="424">
        <v>44558</v>
      </c>
      <c r="H1035" s="408">
        <v>60000</v>
      </c>
      <c r="I1035" s="356"/>
      <c r="J1035" s="356"/>
      <c r="K1035" s="354">
        <f t="shared" si="186"/>
        <v>60000</v>
      </c>
      <c r="L1035" s="425">
        <f>+'[84]Add21-22 (2)'!H25</f>
        <v>44558</v>
      </c>
      <c r="M1035" s="742">
        <v>8032.3333333333321</v>
      </c>
      <c r="N1035" s="352">
        <f t="shared" si="193"/>
        <v>51967.666666666672</v>
      </c>
      <c r="O1035" s="357">
        <f t="shared" si="185"/>
        <v>825</v>
      </c>
      <c r="P1035" s="410">
        <v>9</v>
      </c>
      <c r="Q1035" s="358">
        <f t="shared" si="184"/>
        <v>2.2602739726027399</v>
      </c>
      <c r="R1035" s="359">
        <f t="shared" si="187"/>
        <v>6.7397260273972606</v>
      </c>
      <c r="S1035" s="360">
        <f t="shared" si="188"/>
        <v>6.7397260273972606</v>
      </c>
      <c r="T1035" s="361">
        <f t="shared" si="189"/>
        <v>0.10555555555555554</v>
      </c>
      <c r="U1035" s="362">
        <f t="shared" si="183"/>
        <v>6333.3333333333321</v>
      </c>
      <c r="V1035" s="362">
        <f t="shared" si="192"/>
        <v>45634.333333333343</v>
      </c>
      <c r="W1035" s="362">
        <f t="shared" si="190"/>
        <v>3000</v>
      </c>
      <c r="X1035" s="742">
        <f t="shared" si="191"/>
        <v>42634.333333333343</v>
      </c>
    </row>
    <row r="1036" spans="1:24" ht="13.9">
      <c r="A1036" s="349">
        <f t="shared" si="194"/>
        <v>1028</v>
      </c>
      <c r="B1036" s="423" t="s">
        <v>954</v>
      </c>
      <c r="C1036" s="423" t="s">
        <v>18</v>
      </c>
      <c r="D1036" s="413" t="s">
        <v>2173</v>
      </c>
      <c r="E1036" s="423" t="s">
        <v>916</v>
      </c>
      <c r="F1036" s="417"/>
      <c r="G1036" s="424">
        <v>44558</v>
      </c>
      <c r="H1036" s="408">
        <v>40000</v>
      </c>
      <c r="I1036" s="356"/>
      <c r="J1036" s="356"/>
      <c r="K1036" s="354">
        <f t="shared" si="186"/>
        <v>40000</v>
      </c>
      <c r="L1036" s="425">
        <f>+'[84]Add21-22 (2)'!H26</f>
        <v>44558</v>
      </c>
      <c r="M1036" s="742">
        <v>5354.2222222222217</v>
      </c>
      <c r="N1036" s="352">
        <f t="shared" si="193"/>
        <v>34645.777777777781</v>
      </c>
      <c r="O1036" s="357">
        <f t="shared" si="185"/>
        <v>825</v>
      </c>
      <c r="P1036" s="410">
        <v>9</v>
      </c>
      <c r="Q1036" s="358">
        <f t="shared" si="184"/>
        <v>2.2602739726027399</v>
      </c>
      <c r="R1036" s="359">
        <f t="shared" si="187"/>
        <v>6.7397260273972606</v>
      </c>
      <c r="S1036" s="360">
        <f t="shared" si="188"/>
        <v>6.7397260273972606</v>
      </c>
      <c r="T1036" s="361">
        <f t="shared" si="189"/>
        <v>0.10555555555555554</v>
      </c>
      <c r="U1036" s="362">
        <f t="shared" si="183"/>
        <v>4222.2222222222217</v>
      </c>
      <c r="V1036" s="362">
        <f t="shared" si="192"/>
        <v>30423.555555555558</v>
      </c>
      <c r="W1036" s="362">
        <f t="shared" si="190"/>
        <v>2000</v>
      </c>
      <c r="X1036" s="742">
        <f t="shared" si="191"/>
        <v>28423.555555555558</v>
      </c>
    </row>
    <row r="1037" spans="1:24" ht="13.9">
      <c r="A1037" s="349">
        <f t="shared" si="194"/>
        <v>1029</v>
      </c>
      <c r="B1037" s="423" t="s">
        <v>954</v>
      </c>
      <c r="C1037" s="423" t="s">
        <v>18</v>
      </c>
      <c r="D1037" s="413" t="s">
        <v>2173</v>
      </c>
      <c r="E1037" s="423" t="s">
        <v>916</v>
      </c>
      <c r="F1037" s="417"/>
      <c r="G1037" s="424">
        <v>44558</v>
      </c>
      <c r="H1037" s="408">
        <v>350000</v>
      </c>
      <c r="I1037" s="356"/>
      <c r="J1037" s="356"/>
      <c r="K1037" s="354">
        <f t="shared" si="186"/>
        <v>350000</v>
      </c>
      <c r="L1037" s="425">
        <f>+'[84]Add21-22 (2)'!H27</f>
        <v>44558</v>
      </c>
      <c r="M1037" s="742">
        <v>46853.444444444438</v>
      </c>
      <c r="N1037" s="352">
        <f t="shared" si="193"/>
        <v>303146.55555555556</v>
      </c>
      <c r="O1037" s="357">
        <f t="shared" si="185"/>
        <v>825</v>
      </c>
      <c r="P1037" s="410">
        <v>9</v>
      </c>
      <c r="Q1037" s="358">
        <f t="shared" si="184"/>
        <v>2.2602739726027399</v>
      </c>
      <c r="R1037" s="359">
        <f t="shared" si="187"/>
        <v>6.7397260273972606</v>
      </c>
      <c r="S1037" s="360">
        <f t="shared" si="188"/>
        <v>6.7397260273972606</v>
      </c>
      <c r="T1037" s="361">
        <f t="shared" si="189"/>
        <v>0.10555555555555554</v>
      </c>
      <c r="U1037" s="362">
        <f t="shared" si="183"/>
        <v>36944.444444444438</v>
      </c>
      <c r="V1037" s="362">
        <f t="shared" si="192"/>
        <v>266202.11111111112</v>
      </c>
      <c r="W1037" s="362">
        <f t="shared" si="190"/>
        <v>17500</v>
      </c>
      <c r="X1037" s="742">
        <f t="shared" si="191"/>
        <v>248702.11111111112</v>
      </c>
    </row>
    <row r="1038" spans="1:24" ht="13.9">
      <c r="A1038" s="349">
        <f t="shared" si="194"/>
        <v>1030</v>
      </c>
      <c r="B1038" s="423" t="s">
        <v>957</v>
      </c>
      <c r="C1038" s="423" t="s">
        <v>18</v>
      </c>
      <c r="D1038" s="413" t="s">
        <v>2173</v>
      </c>
      <c r="E1038" s="423" t="s">
        <v>958</v>
      </c>
      <c r="F1038" s="417"/>
      <c r="G1038" s="424">
        <v>44580</v>
      </c>
      <c r="H1038" s="408">
        <v>500000</v>
      </c>
      <c r="I1038" s="356"/>
      <c r="J1038" s="356"/>
      <c r="K1038" s="354">
        <f t="shared" si="186"/>
        <v>500000</v>
      </c>
      <c r="L1038" s="425">
        <f>+'[84]Add21-22 (2)'!H28</f>
        <v>44580</v>
      </c>
      <c r="M1038" s="742">
        <v>63584.777777777774</v>
      </c>
      <c r="N1038" s="352">
        <f t="shared" si="193"/>
        <v>436415.22222222225</v>
      </c>
      <c r="O1038" s="357">
        <f t="shared" si="185"/>
        <v>803</v>
      </c>
      <c r="P1038" s="410">
        <v>9</v>
      </c>
      <c r="Q1038" s="358">
        <f t="shared" si="184"/>
        <v>2.2000000000000002</v>
      </c>
      <c r="R1038" s="359">
        <f t="shared" si="187"/>
        <v>6.8</v>
      </c>
      <c r="S1038" s="360">
        <f t="shared" si="188"/>
        <v>6.8</v>
      </c>
      <c r="T1038" s="361">
        <f t="shared" si="189"/>
        <v>0.10555555555555554</v>
      </c>
      <c r="U1038" s="362">
        <f t="shared" si="183"/>
        <v>52777.777777777774</v>
      </c>
      <c r="V1038" s="362">
        <f t="shared" si="192"/>
        <v>383637.4444444445</v>
      </c>
      <c r="W1038" s="362">
        <f t="shared" si="190"/>
        <v>25000</v>
      </c>
      <c r="X1038" s="742">
        <f t="shared" si="191"/>
        <v>358637.4444444445</v>
      </c>
    </row>
    <row r="1039" spans="1:24" ht="13.9">
      <c r="A1039" s="349">
        <f t="shared" si="194"/>
        <v>1031</v>
      </c>
      <c r="B1039" s="423" t="s">
        <v>957</v>
      </c>
      <c r="C1039" s="423" t="s">
        <v>18</v>
      </c>
      <c r="D1039" s="413" t="s">
        <v>2173</v>
      </c>
      <c r="E1039" s="423" t="s">
        <v>959</v>
      </c>
      <c r="F1039" s="417"/>
      <c r="G1039" s="424">
        <v>44580</v>
      </c>
      <c r="H1039" s="408">
        <v>1600000</v>
      </c>
      <c r="I1039" s="356"/>
      <c r="J1039" s="356"/>
      <c r="K1039" s="354">
        <f t="shared" si="186"/>
        <v>1600000</v>
      </c>
      <c r="L1039" s="425">
        <f>+'[84]Add21-22 (2)'!H29</f>
        <v>44580</v>
      </c>
      <c r="M1039" s="742">
        <v>203469.88888888888</v>
      </c>
      <c r="N1039" s="352">
        <f t="shared" si="193"/>
        <v>1396530.111111111</v>
      </c>
      <c r="O1039" s="357">
        <f t="shared" si="185"/>
        <v>803</v>
      </c>
      <c r="P1039" s="410">
        <v>9</v>
      </c>
      <c r="Q1039" s="358">
        <f t="shared" si="184"/>
        <v>2.2000000000000002</v>
      </c>
      <c r="R1039" s="359">
        <f t="shared" si="187"/>
        <v>6.8</v>
      </c>
      <c r="S1039" s="360">
        <f t="shared" si="188"/>
        <v>6.8</v>
      </c>
      <c r="T1039" s="361">
        <f t="shared" si="189"/>
        <v>0.10555555555555554</v>
      </c>
      <c r="U1039" s="362">
        <f t="shared" si="183"/>
        <v>168888.88888888888</v>
      </c>
      <c r="V1039" s="362">
        <f t="shared" si="192"/>
        <v>1227641.222222222</v>
      </c>
      <c r="W1039" s="362">
        <f t="shared" si="190"/>
        <v>80000</v>
      </c>
      <c r="X1039" s="742">
        <f t="shared" si="191"/>
        <v>1147641.222222222</v>
      </c>
    </row>
    <row r="1040" spans="1:24" ht="13.9">
      <c r="A1040" s="349">
        <f t="shared" si="194"/>
        <v>1032</v>
      </c>
      <c r="B1040" s="423" t="s">
        <v>583</v>
      </c>
      <c r="C1040" s="423" t="s">
        <v>18</v>
      </c>
      <c r="D1040" s="413" t="s">
        <v>2173</v>
      </c>
      <c r="E1040" s="423" t="s">
        <v>916</v>
      </c>
      <c r="F1040" s="417"/>
      <c r="G1040" s="424">
        <v>44558</v>
      </c>
      <c r="H1040" s="408">
        <v>60000</v>
      </c>
      <c r="I1040" s="356"/>
      <c r="J1040" s="356"/>
      <c r="K1040" s="354">
        <f t="shared" si="186"/>
        <v>60000</v>
      </c>
      <c r="L1040" s="425">
        <f>+'[84]Add21-22 (2)'!H30</f>
        <v>44558</v>
      </c>
      <c r="M1040" s="742">
        <v>8032.3333333333321</v>
      </c>
      <c r="N1040" s="352">
        <f t="shared" si="193"/>
        <v>51967.666666666672</v>
      </c>
      <c r="O1040" s="357">
        <f t="shared" si="185"/>
        <v>825</v>
      </c>
      <c r="P1040" s="410">
        <v>9</v>
      </c>
      <c r="Q1040" s="358">
        <f t="shared" si="184"/>
        <v>2.2602739726027399</v>
      </c>
      <c r="R1040" s="359">
        <f t="shared" si="187"/>
        <v>6.7397260273972606</v>
      </c>
      <c r="S1040" s="360">
        <f t="shared" si="188"/>
        <v>6.7397260273972606</v>
      </c>
      <c r="T1040" s="361">
        <f t="shared" si="189"/>
        <v>0.10555555555555554</v>
      </c>
      <c r="U1040" s="362">
        <f t="shared" si="183"/>
        <v>6333.3333333333321</v>
      </c>
      <c r="V1040" s="362">
        <f t="shared" si="192"/>
        <v>45634.333333333343</v>
      </c>
      <c r="W1040" s="362">
        <f t="shared" si="190"/>
        <v>3000</v>
      </c>
      <c r="X1040" s="742">
        <f t="shared" si="191"/>
        <v>42634.333333333343</v>
      </c>
    </row>
    <row r="1041" spans="1:24" ht="13.9">
      <c r="A1041" s="349">
        <f t="shared" si="194"/>
        <v>1033</v>
      </c>
      <c r="B1041" s="423" t="s">
        <v>945</v>
      </c>
      <c r="C1041" s="423" t="s">
        <v>18</v>
      </c>
      <c r="D1041" s="413" t="s">
        <v>2173</v>
      </c>
      <c r="E1041" s="423" t="s">
        <v>916</v>
      </c>
      <c r="F1041" s="417"/>
      <c r="G1041" s="424">
        <v>44558</v>
      </c>
      <c r="H1041" s="408">
        <v>120000</v>
      </c>
      <c r="I1041" s="356"/>
      <c r="J1041" s="356"/>
      <c r="K1041" s="354">
        <f t="shared" si="186"/>
        <v>120000</v>
      </c>
      <c r="L1041" s="425">
        <f>+'[84]Add21-22 (2)'!H31</f>
        <v>44558</v>
      </c>
      <c r="M1041" s="742">
        <v>16063.666666666664</v>
      </c>
      <c r="N1041" s="352">
        <f t="shared" si="193"/>
        <v>103936.33333333334</v>
      </c>
      <c r="O1041" s="357">
        <f t="shared" si="185"/>
        <v>825</v>
      </c>
      <c r="P1041" s="410">
        <v>9</v>
      </c>
      <c r="Q1041" s="358">
        <f t="shared" si="184"/>
        <v>2.2602739726027399</v>
      </c>
      <c r="R1041" s="359">
        <f t="shared" si="187"/>
        <v>6.7397260273972606</v>
      </c>
      <c r="S1041" s="360">
        <f t="shared" si="188"/>
        <v>6.7397260273972606</v>
      </c>
      <c r="T1041" s="361">
        <f t="shared" si="189"/>
        <v>0.10555555555555554</v>
      </c>
      <c r="U1041" s="362">
        <f t="shared" si="183"/>
        <v>12666.666666666664</v>
      </c>
      <c r="V1041" s="362">
        <f t="shared" si="192"/>
        <v>91269.666666666686</v>
      </c>
      <c r="W1041" s="362">
        <f t="shared" si="190"/>
        <v>6000</v>
      </c>
      <c r="X1041" s="742">
        <f t="shared" si="191"/>
        <v>85269.666666666686</v>
      </c>
    </row>
    <row r="1042" spans="1:24" ht="13.9">
      <c r="A1042" s="349">
        <f t="shared" si="194"/>
        <v>1034</v>
      </c>
      <c r="B1042" s="423" t="s">
        <v>326</v>
      </c>
      <c r="C1042" s="423" t="s">
        <v>18</v>
      </c>
      <c r="D1042" s="413" t="s">
        <v>2173</v>
      </c>
      <c r="E1042" s="423" t="s">
        <v>916</v>
      </c>
      <c r="F1042" s="417"/>
      <c r="G1042" s="424">
        <v>44558</v>
      </c>
      <c r="H1042" s="408">
        <v>160000</v>
      </c>
      <c r="I1042" s="356"/>
      <c r="J1042" s="356"/>
      <c r="K1042" s="354">
        <f t="shared" si="186"/>
        <v>160000</v>
      </c>
      <c r="L1042" s="425">
        <f>+'[84]Add21-22 (2)'!H32</f>
        <v>44558</v>
      </c>
      <c r="M1042" s="742">
        <v>21418.888888888887</v>
      </c>
      <c r="N1042" s="352">
        <f t="shared" si="193"/>
        <v>138581.11111111112</v>
      </c>
      <c r="O1042" s="357">
        <f t="shared" si="185"/>
        <v>825</v>
      </c>
      <c r="P1042" s="410">
        <v>9</v>
      </c>
      <c r="Q1042" s="358">
        <f t="shared" si="184"/>
        <v>2.2602739726027399</v>
      </c>
      <c r="R1042" s="359">
        <f t="shared" si="187"/>
        <v>6.7397260273972606</v>
      </c>
      <c r="S1042" s="360">
        <f t="shared" si="188"/>
        <v>6.7397260273972606</v>
      </c>
      <c r="T1042" s="361">
        <f t="shared" si="189"/>
        <v>0.10555555555555554</v>
      </c>
      <c r="U1042" s="362">
        <f t="shared" si="183"/>
        <v>16888.888888888887</v>
      </c>
      <c r="V1042" s="362">
        <f t="shared" si="192"/>
        <v>121692.22222222223</v>
      </c>
      <c r="W1042" s="362">
        <f t="shared" si="190"/>
        <v>8000</v>
      </c>
      <c r="X1042" s="742">
        <f t="shared" si="191"/>
        <v>113692.22222222223</v>
      </c>
    </row>
    <row r="1043" spans="1:24" ht="13.9">
      <c r="A1043" s="349">
        <f t="shared" si="194"/>
        <v>1035</v>
      </c>
      <c r="B1043" s="423" t="s">
        <v>578</v>
      </c>
      <c r="C1043" s="423" t="s">
        <v>963</v>
      </c>
      <c r="D1043" s="413" t="s">
        <v>2173</v>
      </c>
      <c r="E1043" s="423" t="s">
        <v>965</v>
      </c>
      <c r="F1043" s="417"/>
      <c r="G1043" s="424">
        <v>44357</v>
      </c>
      <c r="H1043" s="408">
        <v>1900000</v>
      </c>
      <c r="I1043" s="356"/>
      <c r="J1043" s="356"/>
      <c r="K1043" s="354">
        <f t="shared" si="186"/>
        <v>1900000</v>
      </c>
      <c r="L1043" s="425">
        <f>+'[84]Add21-22 (2)'!H33</f>
        <v>44357</v>
      </c>
      <c r="M1043" s="742">
        <v>370601.5555555555</v>
      </c>
      <c r="N1043" s="352">
        <f t="shared" si="193"/>
        <v>1529398.4444444445</v>
      </c>
      <c r="O1043" s="357">
        <f t="shared" si="185"/>
        <v>1026</v>
      </c>
      <c r="P1043" s="410">
        <v>9</v>
      </c>
      <c r="Q1043" s="358">
        <f t="shared" si="184"/>
        <v>2.8109589041095893</v>
      </c>
      <c r="R1043" s="359">
        <f t="shared" si="187"/>
        <v>6.1890410958904107</v>
      </c>
      <c r="S1043" s="360">
        <f t="shared" si="188"/>
        <v>6.1890410958904107</v>
      </c>
      <c r="T1043" s="361">
        <f t="shared" si="189"/>
        <v>0.10555555555555554</v>
      </c>
      <c r="U1043" s="362">
        <f t="shared" si="183"/>
        <v>200555.55555555553</v>
      </c>
      <c r="V1043" s="362">
        <f t="shared" si="192"/>
        <v>1328842.888888889</v>
      </c>
      <c r="W1043" s="362">
        <f t="shared" si="190"/>
        <v>95000</v>
      </c>
      <c r="X1043" s="742">
        <f t="shared" si="191"/>
        <v>1233842.888888889</v>
      </c>
    </row>
    <row r="1044" spans="1:24" ht="13.9">
      <c r="A1044" s="349">
        <f t="shared" si="194"/>
        <v>1036</v>
      </c>
      <c r="B1044" s="423" t="s">
        <v>966</v>
      </c>
      <c r="C1044" s="423" t="s">
        <v>963</v>
      </c>
      <c r="D1044" s="413" t="s">
        <v>2173</v>
      </c>
      <c r="E1044" s="423" t="s">
        <v>965</v>
      </c>
      <c r="F1044" s="417"/>
      <c r="G1044" s="424">
        <v>44357</v>
      </c>
      <c r="H1044" s="408">
        <v>4001000</v>
      </c>
      <c r="I1044" s="356"/>
      <c r="J1044" s="356"/>
      <c r="K1044" s="354">
        <f t="shared" si="186"/>
        <v>4001000</v>
      </c>
      <c r="L1044" s="425">
        <f>+'[84]Add21-22 (2)'!H34</f>
        <v>44357</v>
      </c>
      <c r="M1044" s="742">
        <v>780407.77777777775</v>
      </c>
      <c r="N1044" s="352">
        <f t="shared" si="193"/>
        <v>3220592.222222222</v>
      </c>
      <c r="O1044" s="357">
        <f t="shared" si="185"/>
        <v>1026</v>
      </c>
      <c r="P1044" s="410">
        <v>9</v>
      </c>
      <c r="Q1044" s="358">
        <f t="shared" si="184"/>
        <v>2.8109589041095893</v>
      </c>
      <c r="R1044" s="359">
        <f t="shared" si="187"/>
        <v>6.1890410958904107</v>
      </c>
      <c r="S1044" s="360">
        <f t="shared" si="188"/>
        <v>6.1890410958904107</v>
      </c>
      <c r="T1044" s="361">
        <f t="shared" si="189"/>
        <v>0.10555555555555554</v>
      </c>
      <c r="U1044" s="362">
        <f t="shared" si="183"/>
        <v>422327.77777777769</v>
      </c>
      <c r="V1044" s="362">
        <f t="shared" si="192"/>
        <v>2798264.4444444445</v>
      </c>
      <c r="W1044" s="362">
        <f t="shared" si="190"/>
        <v>200050</v>
      </c>
      <c r="X1044" s="742">
        <f t="shared" si="191"/>
        <v>2598214.4444444445</v>
      </c>
    </row>
    <row r="1045" spans="1:24" ht="13.9">
      <c r="A1045" s="349">
        <f t="shared" si="194"/>
        <v>1037</v>
      </c>
      <c r="B1045" s="423" t="s">
        <v>966</v>
      </c>
      <c r="C1045" s="423" t="s">
        <v>963</v>
      </c>
      <c r="D1045" s="413" t="s">
        <v>2173</v>
      </c>
      <c r="E1045" s="423" t="s">
        <v>968</v>
      </c>
      <c r="F1045" s="417"/>
      <c r="G1045" s="424">
        <v>44394</v>
      </c>
      <c r="H1045" s="408">
        <v>75000</v>
      </c>
      <c r="I1045" s="356"/>
      <c r="J1045" s="356"/>
      <c r="K1045" s="354">
        <f t="shared" si="186"/>
        <v>75000</v>
      </c>
      <c r="L1045" s="425">
        <f>+'[84]Add21-22 (2)'!H35</f>
        <v>44394</v>
      </c>
      <c r="M1045" s="742">
        <v>13784.666666666664</v>
      </c>
      <c r="N1045" s="352">
        <f t="shared" si="193"/>
        <v>61215.333333333336</v>
      </c>
      <c r="O1045" s="357">
        <f t="shared" si="185"/>
        <v>989</v>
      </c>
      <c r="P1045" s="410">
        <v>9</v>
      </c>
      <c r="Q1045" s="358">
        <f t="shared" si="184"/>
        <v>2.7095890410958905</v>
      </c>
      <c r="R1045" s="359">
        <f t="shared" si="187"/>
        <v>6.2904109589041095</v>
      </c>
      <c r="S1045" s="360">
        <f t="shared" si="188"/>
        <v>6.2904109589041095</v>
      </c>
      <c r="T1045" s="361">
        <f t="shared" si="189"/>
        <v>0.10555555555555554</v>
      </c>
      <c r="U1045" s="362">
        <f t="shared" si="183"/>
        <v>7916.6666666666652</v>
      </c>
      <c r="V1045" s="362">
        <f t="shared" si="192"/>
        <v>53298.666666666672</v>
      </c>
      <c r="W1045" s="362">
        <f t="shared" si="190"/>
        <v>3750</v>
      </c>
      <c r="X1045" s="742">
        <f t="shared" si="191"/>
        <v>49548.666666666672</v>
      </c>
    </row>
    <row r="1046" spans="1:24" ht="13.9">
      <c r="A1046" s="349">
        <f t="shared" si="194"/>
        <v>1038</v>
      </c>
      <c r="B1046" s="423" t="s">
        <v>966</v>
      </c>
      <c r="C1046" s="423" t="s">
        <v>963</v>
      </c>
      <c r="D1046" s="413" t="s">
        <v>2173</v>
      </c>
      <c r="E1046" s="423" t="s">
        <v>965</v>
      </c>
      <c r="F1046" s="417"/>
      <c r="G1046" s="424">
        <v>44412</v>
      </c>
      <c r="H1046" s="408">
        <v>40000</v>
      </c>
      <c r="I1046" s="356"/>
      <c r="J1046" s="356"/>
      <c r="K1046" s="354">
        <f t="shared" si="186"/>
        <v>40000</v>
      </c>
      <c r="L1046" s="425">
        <f>+'[84]Add21-22 (2)'!H36</f>
        <v>44412</v>
      </c>
      <c r="M1046" s="742">
        <v>7132.2222222222217</v>
      </c>
      <c r="N1046" s="352">
        <f t="shared" si="193"/>
        <v>32867.777777777781</v>
      </c>
      <c r="O1046" s="357">
        <f t="shared" si="185"/>
        <v>971</v>
      </c>
      <c r="P1046" s="410">
        <v>9</v>
      </c>
      <c r="Q1046" s="358">
        <f t="shared" si="184"/>
        <v>2.6602739726027398</v>
      </c>
      <c r="R1046" s="359">
        <f t="shared" si="187"/>
        <v>6.3397260273972602</v>
      </c>
      <c r="S1046" s="360">
        <f t="shared" si="188"/>
        <v>6.3397260273972602</v>
      </c>
      <c r="T1046" s="361">
        <f t="shared" si="189"/>
        <v>0.10555555555555554</v>
      </c>
      <c r="U1046" s="362">
        <f t="shared" si="183"/>
        <v>4222.2222222222217</v>
      </c>
      <c r="V1046" s="362">
        <f t="shared" si="192"/>
        <v>28645.555555555558</v>
      </c>
      <c r="W1046" s="362">
        <f t="shared" si="190"/>
        <v>2000</v>
      </c>
      <c r="X1046" s="742">
        <f t="shared" si="191"/>
        <v>26645.555555555558</v>
      </c>
    </row>
    <row r="1047" spans="1:24" ht="13.9">
      <c r="A1047" s="349">
        <f t="shared" si="194"/>
        <v>1039</v>
      </c>
      <c r="B1047" s="423" t="s">
        <v>970</v>
      </c>
      <c r="C1047" s="423" t="s">
        <v>963</v>
      </c>
      <c r="D1047" s="413" t="s">
        <v>2173</v>
      </c>
      <c r="E1047" s="423" t="s">
        <v>764</v>
      </c>
      <c r="F1047" s="417"/>
      <c r="G1047" s="424">
        <v>44519</v>
      </c>
      <c r="H1047" s="408">
        <v>525000</v>
      </c>
      <c r="I1047" s="356"/>
      <c r="J1047" s="356"/>
      <c r="K1047" s="354">
        <f t="shared" si="186"/>
        <v>525000</v>
      </c>
      <c r="L1047" s="425">
        <f>+'[84]Add21-22 (2)'!H37</f>
        <v>44519</v>
      </c>
      <c r="M1047" s="742">
        <v>76512.666666666657</v>
      </c>
      <c r="N1047" s="352">
        <f t="shared" si="193"/>
        <v>448487.33333333337</v>
      </c>
      <c r="O1047" s="357">
        <f t="shared" si="185"/>
        <v>864</v>
      </c>
      <c r="P1047" s="410">
        <v>9</v>
      </c>
      <c r="Q1047" s="358">
        <f t="shared" si="184"/>
        <v>2.3671232876712329</v>
      </c>
      <c r="R1047" s="359">
        <f t="shared" si="187"/>
        <v>6.6328767123287671</v>
      </c>
      <c r="S1047" s="360">
        <f t="shared" si="188"/>
        <v>6.6328767123287671</v>
      </c>
      <c r="T1047" s="361">
        <f t="shared" si="189"/>
        <v>0.10555555555555554</v>
      </c>
      <c r="U1047" s="362">
        <f t="shared" si="183"/>
        <v>55416.666666666657</v>
      </c>
      <c r="V1047" s="362">
        <f t="shared" si="192"/>
        <v>393070.66666666674</v>
      </c>
      <c r="W1047" s="362">
        <f t="shared" si="190"/>
        <v>26250</v>
      </c>
      <c r="X1047" s="742">
        <f t="shared" si="191"/>
        <v>366820.66666666674</v>
      </c>
    </row>
    <row r="1048" spans="1:24" ht="13.9">
      <c r="A1048" s="349">
        <f t="shared" si="194"/>
        <v>1040</v>
      </c>
      <c r="B1048" s="423" t="s">
        <v>972</v>
      </c>
      <c r="C1048" s="423" t="s">
        <v>963</v>
      </c>
      <c r="D1048" s="413" t="s">
        <v>2173</v>
      </c>
      <c r="E1048" s="423" t="s">
        <v>170</v>
      </c>
      <c r="F1048" s="417"/>
      <c r="G1048" s="424">
        <v>44513</v>
      </c>
      <c r="H1048" s="408">
        <v>4275000</v>
      </c>
      <c r="I1048" s="356"/>
      <c r="J1048" s="356"/>
      <c r="K1048" s="354">
        <f t="shared" si="186"/>
        <v>4275000</v>
      </c>
      <c r="L1048" s="425">
        <f>+'[84]Add21-22 (2)'!H38</f>
        <v>44513</v>
      </c>
      <c r="M1048" s="742">
        <v>630839</v>
      </c>
      <c r="N1048" s="352">
        <f t="shared" si="193"/>
        <v>3644161</v>
      </c>
      <c r="O1048" s="357">
        <f t="shared" si="185"/>
        <v>870</v>
      </c>
      <c r="P1048" s="410">
        <v>9</v>
      </c>
      <c r="Q1048" s="358">
        <f t="shared" si="184"/>
        <v>2.3835616438356166</v>
      </c>
      <c r="R1048" s="359">
        <f t="shared" si="187"/>
        <v>6.6164383561643838</v>
      </c>
      <c r="S1048" s="360">
        <f t="shared" si="188"/>
        <v>6.6164383561643838</v>
      </c>
      <c r="T1048" s="361">
        <f t="shared" si="189"/>
        <v>0.10555555555555554</v>
      </c>
      <c r="U1048" s="362">
        <f t="shared" si="183"/>
        <v>451249.99999999994</v>
      </c>
      <c r="V1048" s="362">
        <f t="shared" si="192"/>
        <v>3192911</v>
      </c>
      <c r="W1048" s="362">
        <f t="shared" si="190"/>
        <v>213750</v>
      </c>
      <c r="X1048" s="742">
        <f t="shared" si="191"/>
        <v>2979161</v>
      </c>
    </row>
    <row r="1049" spans="1:24" ht="13.9">
      <c r="A1049" s="349">
        <f t="shared" si="194"/>
        <v>1041</v>
      </c>
      <c r="B1049" s="423" t="s">
        <v>974</v>
      </c>
      <c r="C1049" s="423" t="s">
        <v>963</v>
      </c>
      <c r="D1049" s="413" t="s">
        <v>2173</v>
      </c>
      <c r="E1049" s="423" t="s">
        <v>975</v>
      </c>
      <c r="F1049" s="417"/>
      <c r="G1049" s="424">
        <v>44384</v>
      </c>
      <c r="H1049" s="408">
        <v>850000</v>
      </c>
      <c r="I1049" s="356"/>
      <c r="J1049" s="356"/>
      <c r="K1049" s="354">
        <f t="shared" si="186"/>
        <v>850000</v>
      </c>
      <c r="L1049" s="425">
        <f>+'[84]Add21-22 (2)'!H39</f>
        <v>44384</v>
      </c>
      <c r="M1049" s="742">
        <v>158809.22222222219</v>
      </c>
      <c r="N1049" s="352">
        <f t="shared" si="193"/>
        <v>691190.77777777775</v>
      </c>
      <c r="O1049" s="357">
        <f t="shared" si="185"/>
        <v>999</v>
      </c>
      <c r="P1049" s="410">
        <v>9</v>
      </c>
      <c r="Q1049" s="358">
        <f t="shared" si="184"/>
        <v>2.7369863013698632</v>
      </c>
      <c r="R1049" s="359">
        <f t="shared" si="187"/>
        <v>6.2630136986301368</v>
      </c>
      <c r="S1049" s="360">
        <f t="shared" si="188"/>
        <v>6.2630136986301368</v>
      </c>
      <c r="T1049" s="361">
        <f t="shared" si="189"/>
        <v>0.10555555555555554</v>
      </c>
      <c r="U1049" s="362">
        <f t="shared" si="183"/>
        <v>89722.222222222204</v>
      </c>
      <c r="V1049" s="362">
        <f t="shared" si="192"/>
        <v>601468.5555555555</v>
      </c>
      <c r="W1049" s="362">
        <f t="shared" si="190"/>
        <v>42500</v>
      </c>
      <c r="X1049" s="742">
        <f t="shared" si="191"/>
        <v>558968.5555555555</v>
      </c>
    </row>
    <row r="1050" spans="1:24" ht="13.9">
      <c r="A1050" s="349">
        <f t="shared" si="194"/>
        <v>1042</v>
      </c>
      <c r="B1050" s="423" t="s">
        <v>976</v>
      </c>
      <c r="C1050" s="423" t="s">
        <v>963</v>
      </c>
      <c r="D1050" s="413" t="s">
        <v>2173</v>
      </c>
      <c r="E1050" s="423" t="s">
        <v>977</v>
      </c>
      <c r="F1050" s="417"/>
      <c r="G1050" s="424">
        <v>44615</v>
      </c>
      <c r="H1050" s="408">
        <v>156000</v>
      </c>
      <c r="I1050" s="356"/>
      <c r="J1050" s="356"/>
      <c r="K1050" s="354">
        <f t="shared" si="186"/>
        <v>156000</v>
      </c>
      <c r="L1050" s="425">
        <f>+'[84]Add21-22 (2)'!H40</f>
        <v>44620</v>
      </c>
      <c r="M1050" s="742">
        <v>17938.666666666664</v>
      </c>
      <c r="N1050" s="352">
        <f t="shared" si="193"/>
        <v>138061.33333333334</v>
      </c>
      <c r="O1050" s="357">
        <f t="shared" si="185"/>
        <v>763</v>
      </c>
      <c r="P1050" s="410">
        <v>9</v>
      </c>
      <c r="Q1050" s="358">
        <f t="shared" si="184"/>
        <v>2.0904109589041098</v>
      </c>
      <c r="R1050" s="359">
        <f t="shared" si="187"/>
        <v>6.9095890410958898</v>
      </c>
      <c r="S1050" s="360">
        <f t="shared" si="188"/>
        <v>6.9095890410958898</v>
      </c>
      <c r="T1050" s="361">
        <f t="shared" si="189"/>
        <v>0.10555555555555554</v>
      </c>
      <c r="U1050" s="362">
        <f t="shared" si="183"/>
        <v>16466.666666666664</v>
      </c>
      <c r="V1050" s="362">
        <f t="shared" si="192"/>
        <v>121594.66666666669</v>
      </c>
      <c r="W1050" s="362">
        <f t="shared" si="190"/>
        <v>7800</v>
      </c>
      <c r="X1050" s="742">
        <f t="shared" si="191"/>
        <v>113794.66666666669</v>
      </c>
    </row>
    <row r="1051" spans="1:24" ht="13.9">
      <c r="A1051" s="349">
        <f t="shared" si="194"/>
        <v>1043</v>
      </c>
      <c r="B1051" s="423" t="s">
        <v>978</v>
      </c>
      <c r="C1051" s="423" t="s">
        <v>979</v>
      </c>
      <c r="D1051" s="413" t="s">
        <v>2173</v>
      </c>
      <c r="E1051" s="423" t="s">
        <v>981</v>
      </c>
      <c r="F1051" s="417"/>
      <c r="G1051" s="424">
        <v>44641</v>
      </c>
      <c r="H1051" s="408">
        <v>10800000</v>
      </c>
      <c r="I1051" s="356"/>
      <c r="J1051" s="356"/>
      <c r="K1051" s="354">
        <f t="shared" si="186"/>
        <v>10800000</v>
      </c>
      <c r="L1051" s="425">
        <f>+'[84]Add21-22 (2)'!H41</f>
        <v>44644</v>
      </c>
      <c r="M1051" s="742">
        <v>1163013.9999999998</v>
      </c>
      <c r="N1051" s="352">
        <f t="shared" si="193"/>
        <v>9636986</v>
      </c>
      <c r="O1051" s="357">
        <f t="shared" si="185"/>
        <v>739</v>
      </c>
      <c r="P1051" s="410">
        <v>9</v>
      </c>
      <c r="Q1051" s="358">
        <f t="shared" si="184"/>
        <v>2.0246575342465754</v>
      </c>
      <c r="R1051" s="359">
        <f t="shared" si="187"/>
        <v>6.9753424657534246</v>
      </c>
      <c r="S1051" s="360">
        <f t="shared" si="188"/>
        <v>6.9753424657534246</v>
      </c>
      <c r="T1051" s="361">
        <f t="shared" si="189"/>
        <v>0.10555555555555554</v>
      </c>
      <c r="U1051" s="362">
        <f t="shared" si="183"/>
        <v>1139999.9999999998</v>
      </c>
      <c r="V1051" s="362">
        <f t="shared" si="192"/>
        <v>8496986</v>
      </c>
      <c r="W1051" s="362">
        <f t="shared" si="190"/>
        <v>540000</v>
      </c>
      <c r="X1051" s="742">
        <f t="shared" si="191"/>
        <v>7956986</v>
      </c>
    </row>
    <row r="1052" spans="1:24" ht="13.9">
      <c r="A1052" s="349">
        <f t="shared" si="194"/>
        <v>1044</v>
      </c>
      <c r="B1052" s="423" t="s">
        <v>982</v>
      </c>
      <c r="C1052" s="423" t="s">
        <v>19</v>
      </c>
      <c r="D1052" s="413" t="s">
        <v>2173</v>
      </c>
      <c r="E1052" s="423" t="s">
        <v>775</v>
      </c>
      <c r="F1052" s="417"/>
      <c r="G1052" s="424">
        <v>44574</v>
      </c>
      <c r="H1052" s="408">
        <v>6000000</v>
      </c>
      <c r="I1052" s="356"/>
      <c r="J1052" s="356"/>
      <c r="K1052" s="354">
        <f t="shared" si="186"/>
        <v>6000000</v>
      </c>
      <c r="L1052" s="425">
        <f>+'[84]Add21-22 (2)'!H42</f>
        <v>44581</v>
      </c>
      <c r="M1052" s="742">
        <v>761187.33333333326</v>
      </c>
      <c r="N1052" s="352">
        <f t="shared" si="193"/>
        <v>5238812.666666667</v>
      </c>
      <c r="O1052" s="357">
        <f t="shared" si="185"/>
        <v>802</v>
      </c>
      <c r="P1052" s="410">
        <v>9</v>
      </c>
      <c r="Q1052" s="358">
        <f t="shared" si="184"/>
        <v>2.1972602739726028</v>
      </c>
      <c r="R1052" s="359">
        <f t="shared" si="187"/>
        <v>6.8027397260273972</v>
      </c>
      <c r="S1052" s="360">
        <f t="shared" si="188"/>
        <v>6.8027397260273972</v>
      </c>
      <c r="T1052" s="361">
        <f t="shared" si="189"/>
        <v>0.10555555555555554</v>
      </c>
      <c r="U1052" s="362">
        <f t="shared" si="183"/>
        <v>633333.33333333326</v>
      </c>
      <c r="V1052" s="362">
        <f t="shared" si="192"/>
        <v>4605479.333333334</v>
      </c>
      <c r="W1052" s="362">
        <f t="shared" si="190"/>
        <v>300000</v>
      </c>
      <c r="X1052" s="742">
        <f t="shared" si="191"/>
        <v>4305479.333333334</v>
      </c>
    </row>
    <row r="1053" spans="1:24" ht="13.9">
      <c r="A1053" s="349">
        <f t="shared" si="194"/>
        <v>1045</v>
      </c>
      <c r="B1053" s="423" t="s">
        <v>983</v>
      </c>
      <c r="C1053" s="423" t="s">
        <v>19</v>
      </c>
      <c r="D1053" s="413" t="s">
        <v>2173</v>
      </c>
      <c r="E1053" s="423" t="s">
        <v>984</v>
      </c>
      <c r="F1053" s="417"/>
      <c r="G1053" s="424">
        <v>44324</v>
      </c>
      <c r="H1053" s="408">
        <v>40085</v>
      </c>
      <c r="I1053" s="356"/>
      <c r="J1053" s="356"/>
      <c r="K1053" s="354">
        <f t="shared" si="186"/>
        <v>40085</v>
      </c>
      <c r="L1053" s="425">
        <f>+'[84]Add21-22 (2)'!H43</f>
        <v>44324</v>
      </c>
      <c r="M1053" s="742">
        <v>8221.1944444444434</v>
      </c>
      <c r="N1053" s="352">
        <f t="shared" si="193"/>
        <v>31863.805555555555</v>
      </c>
      <c r="O1053" s="357">
        <f t="shared" si="185"/>
        <v>1059</v>
      </c>
      <c r="P1053" s="410">
        <v>9</v>
      </c>
      <c r="Q1053" s="358">
        <f t="shared" si="184"/>
        <v>2.9013698630136986</v>
      </c>
      <c r="R1053" s="359">
        <f t="shared" si="187"/>
        <v>6.0986301369863014</v>
      </c>
      <c r="S1053" s="360">
        <f t="shared" si="188"/>
        <v>6.0986301369863014</v>
      </c>
      <c r="T1053" s="361">
        <f t="shared" si="189"/>
        <v>0.10555555555555554</v>
      </c>
      <c r="U1053" s="362">
        <f t="shared" si="183"/>
        <v>4231.1944444444434</v>
      </c>
      <c r="V1053" s="362">
        <f t="shared" si="192"/>
        <v>27632.611111111109</v>
      </c>
      <c r="W1053" s="362">
        <f t="shared" si="190"/>
        <v>2004</v>
      </c>
      <c r="X1053" s="742">
        <f t="shared" si="191"/>
        <v>25628.611111111109</v>
      </c>
    </row>
    <row r="1054" spans="1:24" ht="13.9">
      <c r="A1054" s="349">
        <f t="shared" si="194"/>
        <v>1046</v>
      </c>
      <c r="B1054" s="423" t="s">
        <v>983</v>
      </c>
      <c r="C1054" s="423" t="s">
        <v>19</v>
      </c>
      <c r="D1054" s="413" t="s">
        <v>2173</v>
      </c>
      <c r="E1054" s="423" t="s">
        <v>984</v>
      </c>
      <c r="F1054" s="417"/>
      <c r="G1054" s="424">
        <v>44323</v>
      </c>
      <c r="H1054" s="408">
        <v>40085</v>
      </c>
      <c r="I1054" s="356"/>
      <c r="J1054" s="356"/>
      <c r="K1054" s="354">
        <f t="shared" si="186"/>
        <v>40085</v>
      </c>
      <c r="L1054" s="425">
        <f>+'[84]Add21-22 (2)'!H44</f>
        <v>44323</v>
      </c>
      <c r="M1054" s="742">
        <v>8233.1944444444434</v>
      </c>
      <c r="N1054" s="352">
        <f t="shared" si="193"/>
        <v>31851.805555555555</v>
      </c>
      <c r="O1054" s="357">
        <f t="shared" si="185"/>
        <v>1060</v>
      </c>
      <c r="P1054" s="410">
        <v>9</v>
      </c>
      <c r="Q1054" s="358">
        <f t="shared" si="184"/>
        <v>2.904109589041096</v>
      </c>
      <c r="R1054" s="359">
        <f t="shared" si="187"/>
        <v>6.095890410958904</v>
      </c>
      <c r="S1054" s="360">
        <f t="shared" si="188"/>
        <v>6.095890410958904</v>
      </c>
      <c r="T1054" s="361">
        <f t="shared" si="189"/>
        <v>0.10555555555555554</v>
      </c>
      <c r="U1054" s="362">
        <f t="shared" si="183"/>
        <v>4231.1944444444434</v>
      </c>
      <c r="V1054" s="362">
        <f t="shared" si="192"/>
        <v>27620.611111111109</v>
      </c>
      <c r="W1054" s="362">
        <f t="shared" si="190"/>
        <v>2004</v>
      </c>
      <c r="X1054" s="742">
        <f t="shared" si="191"/>
        <v>25616.611111111109</v>
      </c>
    </row>
    <row r="1055" spans="1:24" ht="13.9">
      <c r="A1055" s="349">
        <f t="shared" si="194"/>
        <v>1047</v>
      </c>
      <c r="B1055" s="423" t="s">
        <v>985</v>
      </c>
      <c r="C1055" s="423" t="s">
        <v>19</v>
      </c>
      <c r="D1055" s="413" t="s">
        <v>2173</v>
      </c>
      <c r="E1055" s="423" t="s">
        <v>987</v>
      </c>
      <c r="F1055" s="417"/>
      <c r="G1055" s="424">
        <v>44623</v>
      </c>
      <c r="H1055" s="408">
        <v>15508</v>
      </c>
      <c r="I1055" s="356"/>
      <c r="J1055" s="356"/>
      <c r="K1055" s="354">
        <f t="shared" si="186"/>
        <v>15508</v>
      </c>
      <c r="L1055" s="425">
        <f>+'[84]Add21-22 (2)'!H45</f>
        <v>44623</v>
      </c>
      <c r="M1055" s="742">
        <v>1768.9555555555553</v>
      </c>
      <c r="N1055" s="352">
        <f t="shared" si="193"/>
        <v>13739.044444444444</v>
      </c>
      <c r="O1055" s="357">
        <f t="shared" si="185"/>
        <v>760</v>
      </c>
      <c r="P1055" s="410">
        <v>9</v>
      </c>
      <c r="Q1055" s="358">
        <f t="shared" si="184"/>
        <v>2.0821917808219177</v>
      </c>
      <c r="R1055" s="359">
        <f t="shared" si="187"/>
        <v>6.9178082191780828</v>
      </c>
      <c r="S1055" s="360">
        <f t="shared" si="188"/>
        <v>6.9178082191780828</v>
      </c>
      <c r="T1055" s="361">
        <f t="shared" si="189"/>
        <v>0.10555555555555554</v>
      </c>
      <c r="U1055" s="362">
        <f t="shared" si="183"/>
        <v>1636.9555555555553</v>
      </c>
      <c r="V1055" s="362">
        <f t="shared" si="192"/>
        <v>12102.088888888888</v>
      </c>
      <c r="W1055" s="362">
        <f t="shared" si="190"/>
        <v>775</v>
      </c>
      <c r="X1055" s="742">
        <f t="shared" si="191"/>
        <v>11327.088888888888</v>
      </c>
    </row>
    <row r="1056" spans="1:24" ht="13.9">
      <c r="A1056" s="349">
        <f t="shared" si="194"/>
        <v>1048</v>
      </c>
      <c r="B1056" s="423" t="s">
        <v>982</v>
      </c>
      <c r="C1056" s="423" t="s">
        <v>988</v>
      </c>
      <c r="D1056" s="413" t="s">
        <v>2173</v>
      </c>
      <c r="E1056" s="423" t="s">
        <v>989</v>
      </c>
      <c r="F1056" s="417"/>
      <c r="G1056" s="424">
        <v>44434</v>
      </c>
      <c r="H1056" s="408">
        <v>7000000</v>
      </c>
      <c r="I1056" s="356"/>
      <c r="J1056" s="356"/>
      <c r="K1056" s="354">
        <f t="shared" si="186"/>
        <v>7000000</v>
      </c>
      <c r="L1056" s="425">
        <f>+'[84]Add21-22 (2)'!H46</f>
        <v>44434</v>
      </c>
      <c r="M1056" s="742">
        <v>1201293.8888888888</v>
      </c>
      <c r="N1056" s="352">
        <f t="shared" si="193"/>
        <v>5798706.111111111</v>
      </c>
      <c r="O1056" s="357">
        <f t="shared" si="185"/>
        <v>949</v>
      </c>
      <c r="P1056" s="410">
        <v>9</v>
      </c>
      <c r="Q1056" s="358">
        <f t="shared" si="184"/>
        <v>2.6</v>
      </c>
      <c r="R1056" s="359">
        <f t="shared" si="187"/>
        <v>6.4</v>
      </c>
      <c r="S1056" s="360">
        <f t="shared" si="188"/>
        <v>6.4</v>
      </c>
      <c r="T1056" s="361">
        <f t="shared" si="189"/>
        <v>0.10555555555555554</v>
      </c>
      <c r="U1056" s="362">
        <f t="shared" si="183"/>
        <v>738888.88888888876</v>
      </c>
      <c r="V1056" s="362">
        <f t="shared" si="192"/>
        <v>5059817.222222222</v>
      </c>
      <c r="W1056" s="362">
        <f t="shared" si="190"/>
        <v>350000</v>
      </c>
      <c r="X1056" s="742">
        <f t="shared" si="191"/>
        <v>4709817.222222222</v>
      </c>
    </row>
    <row r="1057" spans="1:24" ht="13.9">
      <c r="A1057" s="349">
        <f t="shared" si="194"/>
        <v>1049</v>
      </c>
      <c r="B1057" s="423" t="s">
        <v>983</v>
      </c>
      <c r="C1057" s="423" t="s">
        <v>20</v>
      </c>
      <c r="D1057" s="413" t="s">
        <v>2173</v>
      </c>
      <c r="E1057" s="423" t="s">
        <v>990</v>
      </c>
      <c r="F1057" s="417"/>
      <c r="G1057" s="424">
        <v>44560</v>
      </c>
      <c r="H1057" s="408">
        <v>121439</v>
      </c>
      <c r="I1057" s="356"/>
      <c r="J1057" s="356"/>
      <c r="K1057" s="354">
        <f t="shared" si="186"/>
        <v>121439</v>
      </c>
      <c r="L1057" s="425">
        <f>+'[84]Add21-22 (2)'!H47</f>
        <v>44560</v>
      </c>
      <c r="M1057" s="742">
        <v>16182.56111111111</v>
      </c>
      <c r="N1057" s="352">
        <f t="shared" si="193"/>
        <v>105256.43888888889</v>
      </c>
      <c r="O1057" s="357">
        <f t="shared" si="185"/>
        <v>823</v>
      </c>
      <c r="P1057" s="410">
        <v>9</v>
      </c>
      <c r="Q1057" s="358">
        <f t="shared" si="184"/>
        <v>2.2547945205479452</v>
      </c>
      <c r="R1057" s="359">
        <f t="shared" si="187"/>
        <v>6.7452054794520553</v>
      </c>
      <c r="S1057" s="360">
        <f t="shared" si="188"/>
        <v>6.7452054794520553</v>
      </c>
      <c r="T1057" s="361">
        <f t="shared" si="189"/>
        <v>0.10555555555555554</v>
      </c>
      <c r="U1057" s="362">
        <f t="shared" si="183"/>
        <v>12818.56111111111</v>
      </c>
      <c r="V1057" s="362">
        <f t="shared" si="192"/>
        <v>92437.877777777787</v>
      </c>
      <c r="W1057" s="362">
        <f t="shared" si="190"/>
        <v>6072</v>
      </c>
      <c r="X1057" s="742">
        <f t="shared" si="191"/>
        <v>86365.877777777787</v>
      </c>
    </row>
    <row r="1058" spans="1:24" ht="13.9">
      <c r="A1058" s="349">
        <f t="shared" si="194"/>
        <v>1050</v>
      </c>
      <c r="B1058" s="423" t="s">
        <v>983</v>
      </c>
      <c r="C1058" s="423" t="s">
        <v>20</v>
      </c>
      <c r="D1058" s="413" t="s">
        <v>2173</v>
      </c>
      <c r="E1058" s="423" t="s">
        <v>977</v>
      </c>
      <c r="F1058" s="417"/>
      <c r="G1058" s="424">
        <v>44592</v>
      </c>
      <c r="H1058" s="408">
        <v>312001</v>
      </c>
      <c r="I1058" s="356"/>
      <c r="J1058" s="356"/>
      <c r="K1058" s="354">
        <f t="shared" si="186"/>
        <v>312001</v>
      </c>
      <c r="L1058" s="425">
        <f>+'[84]Add21-22 (2)'!H48</f>
        <v>44592</v>
      </c>
      <c r="M1058" s="742">
        <v>38537.438888888886</v>
      </c>
      <c r="N1058" s="352">
        <f t="shared" si="193"/>
        <v>273463.56111111114</v>
      </c>
      <c r="O1058" s="357">
        <f t="shared" si="185"/>
        <v>791</v>
      </c>
      <c r="P1058" s="410">
        <v>9</v>
      </c>
      <c r="Q1058" s="358">
        <f t="shared" si="184"/>
        <v>2.1671232876712327</v>
      </c>
      <c r="R1058" s="359">
        <f t="shared" si="187"/>
        <v>6.8328767123287673</v>
      </c>
      <c r="S1058" s="360">
        <f t="shared" si="188"/>
        <v>6.8328767123287673</v>
      </c>
      <c r="T1058" s="361">
        <f t="shared" si="189"/>
        <v>0.10555555555555554</v>
      </c>
      <c r="U1058" s="362">
        <f t="shared" si="183"/>
        <v>32933.438888888886</v>
      </c>
      <c r="V1058" s="362">
        <f t="shared" si="192"/>
        <v>240530.12222222224</v>
      </c>
      <c r="W1058" s="362">
        <f t="shared" si="190"/>
        <v>15600</v>
      </c>
      <c r="X1058" s="742">
        <f t="shared" si="191"/>
        <v>224930.12222222224</v>
      </c>
    </row>
    <row r="1059" spans="1:24" ht="13.9">
      <c r="A1059" s="349">
        <f t="shared" si="194"/>
        <v>1051</v>
      </c>
      <c r="B1059" s="423" t="s">
        <v>983</v>
      </c>
      <c r="C1059" s="423" t="s">
        <v>20</v>
      </c>
      <c r="D1059" s="413" t="s">
        <v>2173</v>
      </c>
      <c r="E1059" s="423" t="s">
        <v>977</v>
      </c>
      <c r="F1059" s="417"/>
      <c r="G1059" s="424">
        <v>44616</v>
      </c>
      <c r="H1059" s="408">
        <v>80960</v>
      </c>
      <c r="I1059" s="356"/>
      <c r="J1059" s="356"/>
      <c r="K1059" s="354">
        <f t="shared" si="186"/>
        <v>80960</v>
      </c>
      <c r="L1059" s="425">
        <f>+'[84]Add21-22 (2)'!H49</f>
        <v>44616</v>
      </c>
      <c r="M1059" s="742">
        <v>9408.7777777777774</v>
      </c>
      <c r="N1059" s="352">
        <f t="shared" si="193"/>
        <v>71551.222222222219</v>
      </c>
      <c r="O1059" s="357">
        <f t="shared" si="185"/>
        <v>767</v>
      </c>
      <c r="P1059" s="410">
        <v>9</v>
      </c>
      <c r="Q1059" s="358">
        <f t="shared" si="184"/>
        <v>2.1013698630136988</v>
      </c>
      <c r="R1059" s="359">
        <f t="shared" si="187"/>
        <v>6.8986301369863012</v>
      </c>
      <c r="S1059" s="360">
        <f t="shared" si="188"/>
        <v>6.8986301369863012</v>
      </c>
      <c r="T1059" s="361">
        <f t="shared" si="189"/>
        <v>0.10555555555555554</v>
      </c>
      <c r="U1059" s="362">
        <f t="shared" si="183"/>
        <v>8545.7777777777774</v>
      </c>
      <c r="V1059" s="362">
        <f t="shared" si="192"/>
        <v>63005.444444444438</v>
      </c>
      <c r="W1059" s="362">
        <f t="shared" si="190"/>
        <v>4048</v>
      </c>
      <c r="X1059" s="742">
        <f t="shared" si="191"/>
        <v>58957.444444444438</v>
      </c>
    </row>
    <row r="1060" spans="1:24" ht="13.9">
      <c r="A1060" s="349">
        <f t="shared" si="194"/>
        <v>1052</v>
      </c>
      <c r="B1060" s="423" t="s">
        <v>307</v>
      </c>
      <c r="C1060" s="423" t="s">
        <v>20</v>
      </c>
      <c r="D1060" s="413" t="s">
        <v>2173</v>
      </c>
      <c r="E1060" s="423" t="s">
        <v>775</v>
      </c>
      <c r="F1060" s="417"/>
      <c r="G1060" s="424">
        <v>44568</v>
      </c>
      <c r="H1060" s="408">
        <v>31000000</v>
      </c>
      <c r="I1060" s="356"/>
      <c r="J1060" s="356"/>
      <c r="K1060" s="354">
        <f t="shared" si="186"/>
        <v>31000000</v>
      </c>
      <c r="L1060" s="425">
        <f>+'[84]Add21-22 (2)'!H50</f>
        <v>44613</v>
      </c>
      <c r="M1060" s="742">
        <v>3630822.222222222</v>
      </c>
      <c r="N1060" s="352">
        <f t="shared" si="193"/>
        <v>27369177.777777776</v>
      </c>
      <c r="O1060" s="357">
        <f t="shared" si="185"/>
        <v>770</v>
      </c>
      <c r="P1060" s="410">
        <v>9</v>
      </c>
      <c r="Q1060" s="358">
        <f t="shared" si="184"/>
        <v>2.1095890410958904</v>
      </c>
      <c r="R1060" s="359">
        <f t="shared" si="187"/>
        <v>6.8904109589041092</v>
      </c>
      <c r="S1060" s="360">
        <f t="shared" si="188"/>
        <v>6.8904109589041092</v>
      </c>
      <c r="T1060" s="361">
        <f t="shared" si="189"/>
        <v>0.10555555555555554</v>
      </c>
      <c r="U1060" s="362">
        <f t="shared" si="183"/>
        <v>3272222.222222222</v>
      </c>
      <c r="V1060" s="362">
        <f t="shared" si="192"/>
        <v>24096955.555555552</v>
      </c>
      <c r="W1060" s="362">
        <f t="shared" si="190"/>
        <v>1550000</v>
      </c>
      <c r="X1060" s="742">
        <f t="shared" si="191"/>
        <v>22546955.555555552</v>
      </c>
    </row>
    <row r="1061" spans="1:24" ht="13.9">
      <c r="A1061" s="349">
        <f t="shared" si="194"/>
        <v>1053</v>
      </c>
      <c r="B1061" s="423" t="s">
        <v>583</v>
      </c>
      <c r="C1061" s="423" t="s">
        <v>21</v>
      </c>
      <c r="D1061" s="413" t="s">
        <v>2173</v>
      </c>
      <c r="E1061" s="423" t="s">
        <v>992</v>
      </c>
      <c r="F1061" s="417"/>
      <c r="G1061" s="424">
        <v>44504</v>
      </c>
      <c r="H1061" s="408">
        <v>982142.96</v>
      </c>
      <c r="I1061" s="356"/>
      <c r="J1061" s="356"/>
      <c r="K1061" s="354">
        <f t="shared" si="186"/>
        <v>982142.96</v>
      </c>
      <c r="L1061" s="425">
        <f>+'[84]Add21-22 (2)'!H51</f>
        <v>44504</v>
      </c>
      <c r="M1061" s="742">
        <v>147620.64577777777</v>
      </c>
      <c r="N1061" s="352">
        <f t="shared" si="193"/>
        <v>834522.31422222219</v>
      </c>
      <c r="O1061" s="357">
        <f t="shared" si="185"/>
        <v>879</v>
      </c>
      <c r="P1061" s="410">
        <v>9</v>
      </c>
      <c r="Q1061" s="358">
        <f t="shared" si="184"/>
        <v>2.408219178082192</v>
      </c>
      <c r="R1061" s="359">
        <f t="shared" si="187"/>
        <v>6.5917808219178085</v>
      </c>
      <c r="S1061" s="360">
        <f t="shared" si="188"/>
        <v>6.5917808219178085</v>
      </c>
      <c r="T1061" s="361">
        <f t="shared" si="189"/>
        <v>0.10555555555555554</v>
      </c>
      <c r="U1061" s="362">
        <f t="shared" si="183"/>
        <v>103670.64577777775</v>
      </c>
      <c r="V1061" s="362">
        <f t="shared" si="192"/>
        <v>730851.66844444443</v>
      </c>
      <c r="W1061" s="362">
        <f t="shared" si="190"/>
        <v>49107</v>
      </c>
      <c r="X1061" s="742">
        <f t="shared" si="191"/>
        <v>681744.66844444443</v>
      </c>
    </row>
    <row r="1062" spans="1:24" ht="13.9">
      <c r="A1062" s="349">
        <f t="shared" si="194"/>
        <v>1054</v>
      </c>
      <c r="B1062" s="423" t="s">
        <v>583</v>
      </c>
      <c r="C1062" s="423" t="s">
        <v>21</v>
      </c>
      <c r="D1062" s="413" t="s">
        <v>2173</v>
      </c>
      <c r="E1062" s="423" t="s">
        <v>992</v>
      </c>
      <c r="F1062" s="417"/>
      <c r="G1062" s="424">
        <v>44504</v>
      </c>
      <c r="H1062" s="408">
        <v>982142.96</v>
      </c>
      <c r="I1062" s="356"/>
      <c r="J1062" s="356"/>
      <c r="K1062" s="354">
        <f t="shared" si="186"/>
        <v>982142.96</v>
      </c>
      <c r="L1062" s="425">
        <f>+'[84]Add21-22 (2)'!H52</f>
        <v>44504</v>
      </c>
      <c r="M1062" s="742">
        <v>147620.64577777777</v>
      </c>
      <c r="N1062" s="352">
        <f t="shared" si="193"/>
        <v>834522.31422222219</v>
      </c>
      <c r="O1062" s="357">
        <f t="shared" si="185"/>
        <v>879</v>
      </c>
      <c r="P1062" s="410">
        <v>9</v>
      </c>
      <c r="Q1062" s="358">
        <f t="shared" si="184"/>
        <v>2.408219178082192</v>
      </c>
      <c r="R1062" s="359">
        <f t="shared" si="187"/>
        <v>6.5917808219178085</v>
      </c>
      <c r="S1062" s="360">
        <f t="shared" si="188"/>
        <v>6.5917808219178085</v>
      </c>
      <c r="T1062" s="361">
        <f t="shared" si="189"/>
        <v>0.10555555555555554</v>
      </c>
      <c r="U1062" s="362">
        <f t="shared" si="183"/>
        <v>103670.64577777775</v>
      </c>
      <c r="V1062" s="362">
        <f t="shared" si="192"/>
        <v>730851.66844444443</v>
      </c>
      <c r="W1062" s="362">
        <f t="shared" si="190"/>
        <v>49107</v>
      </c>
      <c r="X1062" s="742">
        <f t="shared" si="191"/>
        <v>681744.66844444443</v>
      </c>
    </row>
    <row r="1063" spans="1:24" ht="13.9">
      <c r="A1063" s="349">
        <f t="shared" si="194"/>
        <v>1055</v>
      </c>
      <c r="B1063" s="423" t="s">
        <v>982</v>
      </c>
      <c r="C1063" s="423" t="s">
        <v>21</v>
      </c>
      <c r="D1063" s="413" t="s">
        <v>2173</v>
      </c>
      <c r="E1063" s="423" t="s">
        <v>992</v>
      </c>
      <c r="F1063" s="417"/>
      <c r="G1063" s="424">
        <v>44517</v>
      </c>
      <c r="H1063" s="408">
        <v>120536</v>
      </c>
      <c r="I1063" s="356"/>
      <c r="J1063" s="356"/>
      <c r="K1063" s="354">
        <f t="shared" si="186"/>
        <v>120536</v>
      </c>
      <c r="L1063" s="425">
        <f>+'[84]Add21-22 (2)'!H53</f>
        <v>44517</v>
      </c>
      <c r="M1063" s="742">
        <v>17640.244444444441</v>
      </c>
      <c r="N1063" s="352">
        <f t="shared" si="193"/>
        <v>102895.75555555556</v>
      </c>
      <c r="O1063" s="357">
        <f t="shared" si="185"/>
        <v>866</v>
      </c>
      <c r="P1063" s="410">
        <v>9</v>
      </c>
      <c r="Q1063" s="358">
        <f t="shared" si="184"/>
        <v>2.3726027397260272</v>
      </c>
      <c r="R1063" s="359">
        <f t="shared" si="187"/>
        <v>6.6273972602739732</v>
      </c>
      <c r="S1063" s="360">
        <f t="shared" si="188"/>
        <v>6.6273972602739732</v>
      </c>
      <c r="T1063" s="361">
        <f t="shared" si="189"/>
        <v>0.10555555555555554</v>
      </c>
      <c r="U1063" s="362">
        <f t="shared" si="183"/>
        <v>12723.244444444443</v>
      </c>
      <c r="V1063" s="362">
        <f t="shared" si="192"/>
        <v>90172.511111111118</v>
      </c>
      <c r="W1063" s="362">
        <f t="shared" si="190"/>
        <v>6027</v>
      </c>
      <c r="X1063" s="742">
        <f t="shared" si="191"/>
        <v>84145.511111111118</v>
      </c>
    </row>
    <row r="1064" spans="1:24" ht="13.9">
      <c r="A1064" s="349">
        <f t="shared" si="194"/>
        <v>1056</v>
      </c>
      <c r="B1064" s="423" t="s">
        <v>995</v>
      </c>
      <c r="C1064" s="423" t="s">
        <v>21</v>
      </c>
      <c r="D1064" s="413" t="s">
        <v>2173</v>
      </c>
      <c r="E1064" s="423" t="s">
        <v>992</v>
      </c>
      <c r="F1064" s="417"/>
      <c r="G1064" s="424">
        <v>44517</v>
      </c>
      <c r="H1064" s="408">
        <v>35714</v>
      </c>
      <c r="I1064" s="356"/>
      <c r="J1064" s="356"/>
      <c r="K1064" s="354">
        <f t="shared" si="186"/>
        <v>35714</v>
      </c>
      <c r="L1064" s="425">
        <f>+'[84]Add21-22 (2)'!H54</f>
        <v>44517</v>
      </c>
      <c r="M1064" s="742">
        <v>5226.8111111111102</v>
      </c>
      <c r="N1064" s="352">
        <f t="shared" si="193"/>
        <v>30487.18888888889</v>
      </c>
      <c r="O1064" s="357">
        <f t="shared" si="185"/>
        <v>866</v>
      </c>
      <c r="P1064" s="410">
        <v>9</v>
      </c>
      <c r="Q1064" s="358">
        <f t="shared" si="184"/>
        <v>2.3726027397260272</v>
      </c>
      <c r="R1064" s="359">
        <f t="shared" si="187"/>
        <v>6.6273972602739732</v>
      </c>
      <c r="S1064" s="360">
        <f t="shared" si="188"/>
        <v>6.6273972602739732</v>
      </c>
      <c r="T1064" s="361">
        <f t="shared" si="189"/>
        <v>0.10555555555555554</v>
      </c>
      <c r="U1064" s="362">
        <f t="shared" ref="U1064:U1127" si="195">+K1064*T1064</f>
        <v>3769.8111111111107</v>
      </c>
      <c r="V1064" s="362">
        <f t="shared" si="192"/>
        <v>26717.37777777778</v>
      </c>
      <c r="W1064" s="362">
        <f t="shared" si="190"/>
        <v>1786</v>
      </c>
      <c r="X1064" s="742">
        <f t="shared" si="191"/>
        <v>24931.37777777778</v>
      </c>
    </row>
    <row r="1065" spans="1:24" ht="13.9">
      <c r="A1065" s="349">
        <f t="shared" si="194"/>
        <v>1057</v>
      </c>
      <c r="B1065" s="423" t="s">
        <v>982</v>
      </c>
      <c r="C1065" s="423" t="s">
        <v>21</v>
      </c>
      <c r="D1065" s="413" t="s">
        <v>2173</v>
      </c>
      <c r="E1065" s="423" t="s">
        <v>992</v>
      </c>
      <c r="F1065" s="417"/>
      <c r="G1065" s="424">
        <v>44517</v>
      </c>
      <c r="H1065" s="408">
        <v>120536</v>
      </c>
      <c r="I1065" s="356"/>
      <c r="J1065" s="356"/>
      <c r="K1065" s="354">
        <f t="shared" si="186"/>
        <v>120536</v>
      </c>
      <c r="L1065" s="425">
        <f>+'[84]Add21-22 (2)'!H55</f>
        <v>44517</v>
      </c>
      <c r="M1065" s="742">
        <v>17640.244444444441</v>
      </c>
      <c r="N1065" s="352">
        <f t="shared" si="193"/>
        <v>102895.75555555556</v>
      </c>
      <c r="O1065" s="357">
        <f t="shared" si="185"/>
        <v>866</v>
      </c>
      <c r="P1065" s="410">
        <v>9</v>
      </c>
      <c r="Q1065" s="358">
        <f t="shared" si="184"/>
        <v>2.3726027397260272</v>
      </c>
      <c r="R1065" s="359">
        <f t="shared" si="187"/>
        <v>6.6273972602739732</v>
      </c>
      <c r="S1065" s="360">
        <f t="shared" si="188"/>
        <v>6.6273972602739732</v>
      </c>
      <c r="T1065" s="361">
        <f t="shared" si="189"/>
        <v>0.10555555555555554</v>
      </c>
      <c r="U1065" s="362">
        <f t="shared" si="195"/>
        <v>12723.244444444443</v>
      </c>
      <c r="V1065" s="362">
        <f t="shared" si="192"/>
        <v>90172.511111111118</v>
      </c>
      <c r="W1065" s="362">
        <f t="shared" si="190"/>
        <v>6027</v>
      </c>
      <c r="X1065" s="742">
        <f t="shared" si="191"/>
        <v>84145.511111111118</v>
      </c>
    </row>
    <row r="1066" spans="1:24" ht="13.9">
      <c r="A1066" s="349">
        <f t="shared" si="194"/>
        <v>1058</v>
      </c>
      <c r="B1066" s="423" t="s">
        <v>995</v>
      </c>
      <c r="C1066" s="423" t="s">
        <v>21</v>
      </c>
      <c r="D1066" s="413" t="s">
        <v>2173</v>
      </c>
      <c r="E1066" s="423" t="s">
        <v>992</v>
      </c>
      <c r="F1066" s="417"/>
      <c r="G1066" s="424">
        <v>44517</v>
      </c>
      <c r="H1066" s="408">
        <v>35714</v>
      </c>
      <c r="I1066" s="356"/>
      <c r="J1066" s="356"/>
      <c r="K1066" s="354">
        <f t="shared" si="186"/>
        <v>35714</v>
      </c>
      <c r="L1066" s="425">
        <f>+'[84]Add21-22 (2)'!H56</f>
        <v>44517</v>
      </c>
      <c r="M1066" s="742">
        <v>5226.8111111111102</v>
      </c>
      <c r="N1066" s="352">
        <f t="shared" si="193"/>
        <v>30487.18888888889</v>
      </c>
      <c r="O1066" s="357">
        <f t="shared" si="185"/>
        <v>866</v>
      </c>
      <c r="P1066" s="410">
        <v>9</v>
      </c>
      <c r="Q1066" s="358">
        <f t="shared" si="184"/>
        <v>2.3726027397260272</v>
      </c>
      <c r="R1066" s="359">
        <f t="shared" si="187"/>
        <v>6.6273972602739732</v>
      </c>
      <c r="S1066" s="360">
        <f t="shared" si="188"/>
        <v>6.6273972602739732</v>
      </c>
      <c r="T1066" s="361">
        <f t="shared" si="189"/>
        <v>0.10555555555555554</v>
      </c>
      <c r="U1066" s="362">
        <f t="shared" si="195"/>
        <v>3769.8111111111107</v>
      </c>
      <c r="V1066" s="362">
        <f t="shared" si="192"/>
        <v>26717.37777777778</v>
      </c>
      <c r="W1066" s="362">
        <f t="shared" si="190"/>
        <v>1786</v>
      </c>
      <c r="X1066" s="742">
        <f t="shared" si="191"/>
        <v>24931.37777777778</v>
      </c>
    </row>
    <row r="1067" spans="1:24" ht="13.9">
      <c r="A1067" s="349">
        <f t="shared" si="194"/>
        <v>1059</v>
      </c>
      <c r="B1067" s="423" t="s">
        <v>972</v>
      </c>
      <c r="C1067" s="423" t="s">
        <v>21</v>
      </c>
      <c r="D1067" s="413" t="s">
        <v>2173</v>
      </c>
      <c r="E1067" s="423" t="s">
        <v>170</v>
      </c>
      <c r="F1067" s="417"/>
      <c r="G1067" s="424">
        <v>44510</v>
      </c>
      <c r="H1067" s="408">
        <v>4275000</v>
      </c>
      <c r="I1067" s="356"/>
      <c r="J1067" s="356"/>
      <c r="K1067" s="354">
        <f t="shared" si="186"/>
        <v>4275000</v>
      </c>
      <c r="L1067" s="425">
        <f>+'[84]Add21-22 (2)'!H57</f>
        <v>44512</v>
      </c>
      <c r="M1067" s="742">
        <v>632140</v>
      </c>
      <c r="N1067" s="352">
        <f t="shared" si="193"/>
        <v>3642860</v>
      </c>
      <c r="O1067" s="357">
        <f t="shared" si="185"/>
        <v>871</v>
      </c>
      <c r="P1067" s="410">
        <v>9</v>
      </c>
      <c r="Q1067" s="358">
        <f t="shared" si="184"/>
        <v>2.3863013698630136</v>
      </c>
      <c r="R1067" s="359">
        <f t="shared" si="187"/>
        <v>6.6136986301369864</v>
      </c>
      <c r="S1067" s="360">
        <f t="shared" si="188"/>
        <v>6.6136986301369864</v>
      </c>
      <c r="T1067" s="361">
        <f t="shared" si="189"/>
        <v>0.10555555555555554</v>
      </c>
      <c r="U1067" s="362">
        <f t="shared" si="195"/>
        <v>451249.99999999994</v>
      </c>
      <c r="V1067" s="362">
        <f t="shared" si="192"/>
        <v>3191610</v>
      </c>
      <c r="W1067" s="362">
        <f t="shared" si="190"/>
        <v>213750</v>
      </c>
      <c r="X1067" s="742">
        <f t="shared" si="191"/>
        <v>2977860</v>
      </c>
    </row>
    <row r="1068" spans="1:24" ht="13.9">
      <c r="A1068" s="349">
        <f t="shared" si="194"/>
        <v>1060</v>
      </c>
      <c r="B1068" s="423" t="s">
        <v>972</v>
      </c>
      <c r="C1068" s="423" t="s">
        <v>21</v>
      </c>
      <c r="D1068" s="413" t="s">
        <v>2173</v>
      </c>
      <c r="E1068" s="423" t="s">
        <v>170</v>
      </c>
      <c r="F1068" s="417"/>
      <c r="G1068" s="424">
        <v>44510</v>
      </c>
      <c r="H1068" s="408">
        <v>4275000</v>
      </c>
      <c r="I1068" s="356"/>
      <c r="J1068" s="356"/>
      <c r="K1068" s="354">
        <f t="shared" si="186"/>
        <v>4275000</v>
      </c>
      <c r="L1068" s="425">
        <f>+'[84]Add21-22 (2)'!H58</f>
        <v>44512</v>
      </c>
      <c r="M1068" s="742">
        <v>632140</v>
      </c>
      <c r="N1068" s="352">
        <f t="shared" si="193"/>
        <v>3642860</v>
      </c>
      <c r="O1068" s="357">
        <f t="shared" si="185"/>
        <v>871</v>
      </c>
      <c r="P1068" s="410">
        <v>9</v>
      </c>
      <c r="Q1068" s="358">
        <f t="shared" si="184"/>
        <v>2.3863013698630136</v>
      </c>
      <c r="R1068" s="359">
        <f t="shared" si="187"/>
        <v>6.6136986301369864</v>
      </c>
      <c r="S1068" s="360">
        <f t="shared" si="188"/>
        <v>6.6136986301369864</v>
      </c>
      <c r="T1068" s="361">
        <f t="shared" si="189"/>
        <v>0.10555555555555554</v>
      </c>
      <c r="U1068" s="362">
        <f t="shared" si="195"/>
        <v>451249.99999999994</v>
      </c>
      <c r="V1068" s="362">
        <f t="shared" si="192"/>
        <v>3191610</v>
      </c>
      <c r="W1068" s="362">
        <f t="shared" si="190"/>
        <v>213750</v>
      </c>
      <c r="X1068" s="742">
        <f t="shared" si="191"/>
        <v>2977860</v>
      </c>
    </row>
    <row r="1069" spans="1:24" ht="13.9">
      <c r="A1069" s="349">
        <f t="shared" si="194"/>
        <v>1061</v>
      </c>
      <c r="B1069" s="423" t="s">
        <v>972</v>
      </c>
      <c r="C1069" s="423" t="s">
        <v>21</v>
      </c>
      <c r="D1069" s="413" t="s">
        <v>2173</v>
      </c>
      <c r="E1069" s="423" t="s">
        <v>170</v>
      </c>
      <c r="F1069" s="417"/>
      <c r="G1069" s="424">
        <v>44510</v>
      </c>
      <c r="H1069" s="408">
        <v>4275000</v>
      </c>
      <c r="I1069" s="356"/>
      <c r="J1069" s="356"/>
      <c r="K1069" s="354">
        <f t="shared" si="186"/>
        <v>4275000</v>
      </c>
      <c r="L1069" s="425">
        <f>+'[84]Add21-22 (2)'!H59</f>
        <v>44512</v>
      </c>
      <c r="M1069" s="742">
        <v>632140</v>
      </c>
      <c r="N1069" s="352">
        <f t="shared" si="193"/>
        <v>3642860</v>
      </c>
      <c r="O1069" s="357">
        <f t="shared" si="185"/>
        <v>871</v>
      </c>
      <c r="P1069" s="410">
        <v>9</v>
      </c>
      <c r="Q1069" s="358">
        <f t="shared" si="184"/>
        <v>2.3863013698630136</v>
      </c>
      <c r="R1069" s="359">
        <f t="shared" si="187"/>
        <v>6.6136986301369864</v>
      </c>
      <c r="S1069" s="360">
        <f t="shared" si="188"/>
        <v>6.6136986301369864</v>
      </c>
      <c r="T1069" s="361">
        <f t="shared" si="189"/>
        <v>0.10555555555555554</v>
      </c>
      <c r="U1069" s="362">
        <f t="shared" si="195"/>
        <v>451249.99999999994</v>
      </c>
      <c r="V1069" s="362">
        <f t="shared" si="192"/>
        <v>3191610</v>
      </c>
      <c r="W1069" s="362">
        <f t="shared" si="190"/>
        <v>213750</v>
      </c>
      <c r="X1069" s="742">
        <f t="shared" si="191"/>
        <v>2977860</v>
      </c>
    </row>
    <row r="1070" spans="1:24" ht="13.9">
      <c r="A1070" s="349">
        <f t="shared" si="194"/>
        <v>1062</v>
      </c>
      <c r="B1070" s="423" t="s">
        <v>972</v>
      </c>
      <c r="C1070" s="423" t="s">
        <v>21</v>
      </c>
      <c r="D1070" s="413" t="s">
        <v>2173</v>
      </c>
      <c r="E1070" s="423" t="s">
        <v>170</v>
      </c>
      <c r="F1070" s="417"/>
      <c r="G1070" s="424">
        <v>44510</v>
      </c>
      <c r="H1070" s="408">
        <v>4275000</v>
      </c>
      <c r="I1070" s="356"/>
      <c r="J1070" s="356"/>
      <c r="K1070" s="354">
        <f t="shared" si="186"/>
        <v>4275000</v>
      </c>
      <c r="L1070" s="425">
        <f>+'[84]Add21-22 (2)'!H60</f>
        <v>44512</v>
      </c>
      <c r="M1070" s="742">
        <v>632140</v>
      </c>
      <c r="N1070" s="352">
        <f t="shared" si="193"/>
        <v>3642860</v>
      </c>
      <c r="O1070" s="357">
        <f t="shared" si="185"/>
        <v>871</v>
      </c>
      <c r="P1070" s="410">
        <v>9</v>
      </c>
      <c r="Q1070" s="358">
        <f t="shared" si="184"/>
        <v>2.3863013698630136</v>
      </c>
      <c r="R1070" s="359">
        <f t="shared" si="187"/>
        <v>6.6136986301369864</v>
      </c>
      <c r="S1070" s="360">
        <f t="shared" si="188"/>
        <v>6.6136986301369864</v>
      </c>
      <c r="T1070" s="361">
        <f t="shared" si="189"/>
        <v>0.10555555555555554</v>
      </c>
      <c r="U1070" s="362">
        <f t="shared" si="195"/>
        <v>451249.99999999994</v>
      </c>
      <c r="V1070" s="362">
        <f t="shared" si="192"/>
        <v>3191610</v>
      </c>
      <c r="W1070" s="362">
        <f t="shared" si="190"/>
        <v>213750</v>
      </c>
      <c r="X1070" s="742">
        <f t="shared" si="191"/>
        <v>2977860</v>
      </c>
    </row>
    <row r="1071" spans="1:24" ht="13.9">
      <c r="A1071" s="349">
        <f t="shared" si="194"/>
        <v>1063</v>
      </c>
      <c r="B1071" s="423" t="s">
        <v>1003</v>
      </c>
      <c r="C1071" s="423" t="s">
        <v>21</v>
      </c>
      <c r="D1071" s="413" t="s">
        <v>2173</v>
      </c>
      <c r="E1071" s="423" t="s">
        <v>180</v>
      </c>
      <c r="F1071" s="417"/>
      <c r="G1071" s="424">
        <v>44526</v>
      </c>
      <c r="H1071" s="408">
        <v>508474.57000000007</v>
      </c>
      <c r="I1071" s="356"/>
      <c r="J1071" s="356"/>
      <c r="K1071" s="354">
        <f t="shared" si="186"/>
        <v>508474.57000000007</v>
      </c>
      <c r="L1071" s="425">
        <f>+'[84]Add21-22 (2)'!H61</f>
        <v>44526</v>
      </c>
      <c r="M1071" s="742">
        <v>73020.315722222222</v>
      </c>
      <c r="N1071" s="352">
        <f t="shared" si="193"/>
        <v>435454.25427777786</v>
      </c>
      <c r="O1071" s="357">
        <f t="shared" si="185"/>
        <v>857</v>
      </c>
      <c r="P1071" s="410">
        <v>9</v>
      </c>
      <c r="Q1071" s="358">
        <f t="shared" si="184"/>
        <v>2.3479452054794518</v>
      </c>
      <c r="R1071" s="359">
        <f t="shared" si="187"/>
        <v>6.6520547945205486</v>
      </c>
      <c r="S1071" s="360">
        <f t="shared" si="188"/>
        <v>6.6520547945205486</v>
      </c>
      <c r="T1071" s="361">
        <f t="shared" si="189"/>
        <v>0.10555555555555554</v>
      </c>
      <c r="U1071" s="362">
        <f t="shared" si="195"/>
        <v>53672.315722222222</v>
      </c>
      <c r="V1071" s="362">
        <f t="shared" si="192"/>
        <v>381781.93855555565</v>
      </c>
      <c r="W1071" s="362">
        <f t="shared" si="190"/>
        <v>25424</v>
      </c>
      <c r="X1071" s="742">
        <f t="shared" si="191"/>
        <v>356357.93855555565</v>
      </c>
    </row>
    <row r="1072" spans="1:24" ht="13.9">
      <c r="A1072" s="349">
        <f t="shared" si="194"/>
        <v>1064</v>
      </c>
      <c r="B1072" s="423" t="s">
        <v>1003</v>
      </c>
      <c r="C1072" s="423" t="s">
        <v>21</v>
      </c>
      <c r="D1072" s="413" t="s">
        <v>2173</v>
      </c>
      <c r="E1072" s="423" t="s">
        <v>180</v>
      </c>
      <c r="F1072" s="417"/>
      <c r="G1072" s="424">
        <v>44526</v>
      </c>
      <c r="H1072" s="408">
        <v>508474.57000000007</v>
      </c>
      <c r="I1072" s="356"/>
      <c r="J1072" s="356"/>
      <c r="K1072" s="354">
        <f t="shared" si="186"/>
        <v>508474.57000000007</v>
      </c>
      <c r="L1072" s="425">
        <f>+'[84]Add21-22 (2)'!H62</f>
        <v>44526</v>
      </c>
      <c r="M1072" s="742">
        <v>73020.315722222222</v>
      </c>
      <c r="N1072" s="352">
        <f t="shared" si="193"/>
        <v>435454.25427777786</v>
      </c>
      <c r="O1072" s="357">
        <f t="shared" si="185"/>
        <v>857</v>
      </c>
      <c r="P1072" s="410">
        <v>9</v>
      </c>
      <c r="Q1072" s="358">
        <f t="shared" si="184"/>
        <v>2.3479452054794518</v>
      </c>
      <c r="R1072" s="359">
        <f t="shared" si="187"/>
        <v>6.6520547945205486</v>
      </c>
      <c r="S1072" s="360">
        <f t="shared" si="188"/>
        <v>6.6520547945205486</v>
      </c>
      <c r="T1072" s="361">
        <f t="shared" si="189"/>
        <v>0.10555555555555554</v>
      </c>
      <c r="U1072" s="362">
        <f t="shared" si="195"/>
        <v>53672.315722222222</v>
      </c>
      <c r="V1072" s="362">
        <f t="shared" si="192"/>
        <v>381781.93855555565</v>
      </c>
      <c r="W1072" s="362">
        <f t="shared" si="190"/>
        <v>25424</v>
      </c>
      <c r="X1072" s="742">
        <f t="shared" si="191"/>
        <v>356357.93855555565</v>
      </c>
    </row>
    <row r="1073" spans="1:24" ht="13.9">
      <c r="A1073" s="349">
        <f t="shared" si="194"/>
        <v>1065</v>
      </c>
      <c r="B1073" s="423" t="s">
        <v>1003</v>
      </c>
      <c r="C1073" s="423" t="s">
        <v>21</v>
      </c>
      <c r="D1073" s="413" t="s">
        <v>2173</v>
      </c>
      <c r="E1073" s="423" t="s">
        <v>180</v>
      </c>
      <c r="F1073" s="417"/>
      <c r="G1073" s="424">
        <v>44543</v>
      </c>
      <c r="H1073" s="408">
        <v>508474.57000000007</v>
      </c>
      <c r="I1073" s="356"/>
      <c r="J1073" s="356"/>
      <c r="K1073" s="354">
        <f t="shared" si="186"/>
        <v>508474.57000000007</v>
      </c>
      <c r="L1073" s="425">
        <f>+'[84]Add21-22 (2)'!H63</f>
        <v>44543</v>
      </c>
      <c r="M1073" s="742">
        <v>70389.315722222222</v>
      </c>
      <c r="N1073" s="352">
        <f t="shared" si="193"/>
        <v>438085.25427777786</v>
      </c>
      <c r="O1073" s="357">
        <f t="shared" si="185"/>
        <v>840</v>
      </c>
      <c r="P1073" s="410">
        <v>9</v>
      </c>
      <c r="Q1073" s="358">
        <f t="shared" si="184"/>
        <v>2.3013698630136985</v>
      </c>
      <c r="R1073" s="359">
        <f t="shared" si="187"/>
        <v>6.6986301369863011</v>
      </c>
      <c r="S1073" s="360">
        <f t="shared" si="188"/>
        <v>6.6986301369863011</v>
      </c>
      <c r="T1073" s="361">
        <f t="shared" si="189"/>
        <v>0.10555555555555554</v>
      </c>
      <c r="U1073" s="362">
        <f t="shared" si="195"/>
        <v>53672.315722222222</v>
      </c>
      <c r="V1073" s="362">
        <f t="shared" si="192"/>
        <v>384412.93855555565</v>
      </c>
      <c r="W1073" s="362">
        <f t="shared" si="190"/>
        <v>25424</v>
      </c>
      <c r="X1073" s="742">
        <f t="shared" si="191"/>
        <v>358988.93855555565</v>
      </c>
    </row>
    <row r="1074" spans="1:24" ht="13.9">
      <c r="A1074" s="349">
        <f t="shared" si="194"/>
        <v>1066</v>
      </c>
      <c r="B1074" s="423" t="s">
        <v>1003</v>
      </c>
      <c r="C1074" s="423" t="s">
        <v>21</v>
      </c>
      <c r="D1074" s="413" t="s">
        <v>2173</v>
      </c>
      <c r="E1074" s="423" t="s">
        <v>180</v>
      </c>
      <c r="F1074" s="417"/>
      <c r="G1074" s="424">
        <v>44543</v>
      </c>
      <c r="H1074" s="408">
        <v>508474.57000000007</v>
      </c>
      <c r="I1074" s="356"/>
      <c r="J1074" s="356"/>
      <c r="K1074" s="354">
        <f t="shared" si="186"/>
        <v>508474.57000000007</v>
      </c>
      <c r="L1074" s="425">
        <f>+'[84]Add21-22 (2)'!H64</f>
        <v>44543</v>
      </c>
      <c r="M1074" s="742">
        <v>70389.315722222222</v>
      </c>
      <c r="N1074" s="352">
        <f t="shared" si="193"/>
        <v>438085.25427777786</v>
      </c>
      <c r="O1074" s="357">
        <f t="shared" si="185"/>
        <v>840</v>
      </c>
      <c r="P1074" s="410">
        <v>9</v>
      </c>
      <c r="Q1074" s="358">
        <f t="shared" si="184"/>
        <v>2.3013698630136985</v>
      </c>
      <c r="R1074" s="359">
        <f t="shared" si="187"/>
        <v>6.6986301369863011</v>
      </c>
      <c r="S1074" s="360">
        <f t="shared" si="188"/>
        <v>6.6986301369863011</v>
      </c>
      <c r="T1074" s="361">
        <f t="shared" si="189"/>
        <v>0.10555555555555554</v>
      </c>
      <c r="U1074" s="362">
        <f t="shared" si="195"/>
        <v>53672.315722222222</v>
      </c>
      <c r="V1074" s="362">
        <f t="shared" si="192"/>
        <v>384412.93855555565</v>
      </c>
      <c r="W1074" s="362">
        <f t="shared" si="190"/>
        <v>25424</v>
      </c>
      <c r="X1074" s="742">
        <f t="shared" si="191"/>
        <v>358988.93855555565</v>
      </c>
    </row>
    <row r="1075" spans="1:24" ht="13.9">
      <c r="A1075" s="349">
        <f t="shared" si="194"/>
        <v>1067</v>
      </c>
      <c r="B1075" s="423" t="s">
        <v>1004</v>
      </c>
      <c r="C1075" s="423" t="s">
        <v>21</v>
      </c>
      <c r="D1075" s="413" t="s">
        <v>2173</v>
      </c>
      <c r="E1075" s="423" t="s">
        <v>977</v>
      </c>
      <c r="F1075" s="417"/>
      <c r="G1075" s="424">
        <v>44438</v>
      </c>
      <c r="H1075" s="408">
        <v>390000</v>
      </c>
      <c r="I1075" s="356"/>
      <c r="J1075" s="356"/>
      <c r="K1075" s="354">
        <f t="shared" si="186"/>
        <v>390000</v>
      </c>
      <c r="L1075" s="425">
        <f>+'[84]Add21-22 (2)'!H65</f>
        <v>44438</v>
      </c>
      <c r="M1075" s="742">
        <v>66454.666666666657</v>
      </c>
      <c r="N1075" s="352">
        <f t="shared" si="193"/>
        <v>323545.33333333337</v>
      </c>
      <c r="O1075" s="357">
        <f t="shared" si="185"/>
        <v>945</v>
      </c>
      <c r="P1075" s="410">
        <v>9</v>
      </c>
      <c r="Q1075" s="358">
        <f t="shared" si="184"/>
        <v>2.5890410958904111</v>
      </c>
      <c r="R1075" s="359">
        <f t="shared" si="187"/>
        <v>6.4109589041095889</v>
      </c>
      <c r="S1075" s="360">
        <f t="shared" si="188"/>
        <v>6.4109589041095889</v>
      </c>
      <c r="T1075" s="361">
        <f t="shared" si="189"/>
        <v>0.10555555555555554</v>
      </c>
      <c r="U1075" s="362">
        <f t="shared" si="195"/>
        <v>41166.666666666664</v>
      </c>
      <c r="V1075" s="362">
        <f t="shared" si="192"/>
        <v>282378.66666666669</v>
      </c>
      <c r="W1075" s="362">
        <f t="shared" si="190"/>
        <v>19500</v>
      </c>
      <c r="X1075" s="742">
        <f t="shared" si="191"/>
        <v>262878.66666666669</v>
      </c>
    </row>
    <row r="1076" spans="1:24" ht="13.9">
      <c r="A1076" s="349">
        <f t="shared" si="194"/>
        <v>1068</v>
      </c>
      <c r="B1076" s="423" t="s">
        <v>1005</v>
      </c>
      <c r="C1076" s="423" t="s">
        <v>21</v>
      </c>
      <c r="D1076" s="413" t="s">
        <v>2173</v>
      </c>
      <c r="E1076" s="423" t="s">
        <v>407</v>
      </c>
      <c r="F1076" s="417"/>
      <c r="G1076" s="424">
        <v>44565</v>
      </c>
      <c r="H1076" s="408">
        <v>1150001</v>
      </c>
      <c r="I1076" s="356"/>
      <c r="J1076" s="356"/>
      <c r="K1076" s="354">
        <f t="shared" si="186"/>
        <v>1150001</v>
      </c>
      <c r="L1076" s="425">
        <f>+'[84]Add21-22 (2)'!H66</f>
        <v>44592</v>
      </c>
      <c r="M1076" s="742">
        <v>142043.99444444443</v>
      </c>
      <c r="N1076" s="352">
        <f t="shared" si="193"/>
        <v>1007957.0055555556</v>
      </c>
      <c r="O1076" s="357">
        <f t="shared" si="185"/>
        <v>791</v>
      </c>
      <c r="P1076" s="410">
        <v>9</v>
      </c>
      <c r="Q1076" s="358">
        <f t="shared" si="184"/>
        <v>2.1671232876712327</v>
      </c>
      <c r="R1076" s="359">
        <f t="shared" si="187"/>
        <v>6.8328767123287673</v>
      </c>
      <c r="S1076" s="360">
        <f t="shared" si="188"/>
        <v>6.8328767123287673</v>
      </c>
      <c r="T1076" s="361">
        <f t="shared" si="189"/>
        <v>0.10555555555555554</v>
      </c>
      <c r="U1076" s="362">
        <f t="shared" si="195"/>
        <v>121388.99444444443</v>
      </c>
      <c r="V1076" s="362">
        <f t="shared" si="192"/>
        <v>886568.01111111115</v>
      </c>
      <c r="W1076" s="362">
        <f t="shared" si="190"/>
        <v>57500</v>
      </c>
      <c r="X1076" s="742">
        <f t="shared" si="191"/>
        <v>829068.01111111115</v>
      </c>
    </row>
    <row r="1077" spans="1:24" ht="13.9">
      <c r="A1077" s="349">
        <f t="shared" si="194"/>
        <v>1069</v>
      </c>
      <c r="B1077" s="423" t="s">
        <v>1007</v>
      </c>
      <c r="C1077" s="423" t="s">
        <v>21</v>
      </c>
      <c r="D1077" s="413" t="s">
        <v>2173</v>
      </c>
      <c r="E1077" s="423" t="s">
        <v>1008</v>
      </c>
      <c r="F1077" s="417"/>
      <c r="G1077" s="424">
        <v>44641</v>
      </c>
      <c r="H1077" s="408">
        <v>57660</v>
      </c>
      <c r="I1077" s="356"/>
      <c r="J1077" s="356"/>
      <c r="K1077" s="354">
        <f t="shared" si="186"/>
        <v>57660</v>
      </c>
      <c r="L1077" s="425">
        <f>+'[84]Add21-22 (2)'!H67</f>
        <v>44641</v>
      </c>
      <c r="M1077" s="742">
        <v>6262.3333333333321</v>
      </c>
      <c r="N1077" s="352">
        <f t="shared" si="193"/>
        <v>51397.666666666672</v>
      </c>
      <c r="O1077" s="357">
        <f t="shared" si="185"/>
        <v>742</v>
      </c>
      <c r="P1077" s="410">
        <v>9</v>
      </c>
      <c r="Q1077" s="358">
        <f t="shared" si="184"/>
        <v>2.032876712328767</v>
      </c>
      <c r="R1077" s="359">
        <f t="shared" si="187"/>
        <v>6.9671232876712335</v>
      </c>
      <c r="S1077" s="360">
        <f t="shared" si="188"/>
        <v>6.9671232876712335</v>
      </c>
      <c r="T1077" s="361">
        <f t="shared" si="189"/>
        <v>0.10555555555555554</v>
      </c>
      <c r="U1077" s="362">
        <f t="shared" si="195"/>
        <v>6086.3333333333321</v>
      </c>
      <c r="V1077" s="362">
        <f t="shared" si="192"/>
        <v>45311.333333333343</v>
      </c>
      <c r="W1077" s="362">
        <f t="shared" si="190"/>
        <v>2883</v>
      </c>
      <c r="X1077" s="742">
        <f t="shared" si="191"/>
        <v>42428.333333333343</v>
      </c>
    </row>
    <row r="1078" spans="1:24" ht="13.9">
      <c r="A1078" s="349">
        <f t="shared" si="194"/>
        <v>1070</v>
      </c>
      <c r="B1078" s="423" t="s">
        <v>1009</v>
      </c>
      <c r="C1078" s="423" t="s">
        <v>21</v>
      </c>
      <c r="D1078" s="413" t="s">
        <v>2173</v>
      </c>
      <c r="E1078" s="423" t="s">
        <v>1008</v>
      </c>
      <c r="F1078" s="417"/>
      <c r="G1078" s="424">
        <v>44644</v>
      </c>
      <c r="H1078" s="408">
        <v>13020</v>
      </c>
      <c r="I1078" s="356"/>
      <c r="J1078" s="356"/>
      <c r="K1078" s="354">
        <f t="shared" si="186"/>
        <v>13020</v>
      </c>
      <c r="L1078" s="425">
        <f>+'[84]Add21-22 (2)'!H68</f>
        <v>44644</v>
      </c>
      <c r="M1078" s="742">
        <v>1402.3333333333333</v>
      </c>
      <c r="N1078" s="352">
        <f t="shared" si="193"/>
        <v>11617.666666666666</v>
      </c>
      <c r="O1078" s="357">
        <f t="shared" si="185"/>
        <v>739</v>
      </c>
      <c r="P1078" s="410">
        <v>9</v>
      </c>
      <c r="Q1078" s="358">
        <f t="shared" si="184"/>
        <v>2.0246575342465754</v>
      </c>
      <c r="R1078" s="359">
        <f t="shared" si="187"/>
        <v>6.9753424657534246</v>
      </c>
      <c r="S1078" s="360">
        <f t="shared" si="188"/>
        <v>6.9753424657534246</v>
      </c>
      <c r="T1078" s="361">
        <f t="shared" si="189"/>
        <v>0.10555555555555554</v>
      </c>
      <c r="U1078" s="362">
        <f t="shared" si="195"/>
        <v>1374.3333333333333</v>
      </c>
      <c r="V1078" s="362">
        <f t="shared" si="192"/>
        <v>10243.333333333332</v>
      </c>
      <c r="W1078" s="362">
        <f t="shared" si="190"/>
        <v>651</v>
      </c>
      <c r="X1078" s="742">
        <f t="shared" si="191"/>
        <v>9592.3333333333321</v>
      </c>
    </row>
    <row r="1079" spans="1:24" ht="13.9">
      <c r="A1079" s="349">
        <f t="shared" si="194"/>
        <v>1071</v>
      </c>
      <c r="B1079" s="423" t="s">
        <v>1010</v>
      </c>
      <c r="C1079" s="423" t="s">
        <v>22</v>
      </c>
      <c r="D1079" s="413" t="s">
        <v>2173</v>
      </c>
      <c r="E1079" s="423" t="s">
        <v>1012</v>
      </c>
      <c r="F1079" s="417"/>
      <c r="G1079" s="424">
        <v>44540</v>
      </c>
      <c r="H1079" s="408">
        <v>1530000</v>
      </c>
      <c r="I1079" s="356"/>
      <c r="J1079" s="356"/>
      <c r="K1079" s="354">
        <f t="shared" si="186"/>
        <v>1530000</v>
      </c>
      <c r="L1079" s="425">
        <f>+'[84]Add21-22 (2)'!H69</f>
        <v>44540</v>
      </c>
      <c r="M1079" s="742">
        <v>213198.99999999997</v>
      </c>
      <c r="N1079" s="352">
        <f t="shared" si="193"/>
        <v>1316801</v>
      </c>
      <c r="O1079" s="357">
        <f t="shared" si="185"/>
        <v>843</v>
      </c>
      <c r="P1079" s="410">
        <v>9</v>
      </c>
      <c r="Q1079" s="358">
        <f t="shared" si="184"/>
        <v>2.3095890410958906</v>
      </c>
      <c r="R1079" s="359">
        <f t="shared" si="187"/>
        <v>6.6904109589041099</v>
      </c>
      <c r="S1079" s="360">
        <f t="shared" si="188"/>
        <v>6.6904109589041099</v>
      </c>
      <c r="T1079" s="361">
        <f t="shared" si="189"/>
        <v>0.10555555555555554</v>
      </c>
      <c r="U1079" s="362">
        <f t="shared" si="195"/>
        <v>161499.99999999997</v>
      </c>
      <c r="V1079" s="362">
        <f t="shared" si="192"/>
        <v>1155301</v>
      </c>
      <c r="W1079" s="362">
        <f t="shared" si="190"/>
        <v>76500</v>
      </c>
      <c r="X1079" s="742">
        <f t="shared" si="191"/>
        <v>1078801</v>
      </c>
    </row>
    <row r="1080" spans="1:24" ht="13.9">
      <c r="A1080" s="349">
        <f t="shared" si="194"/>
        <v>1072</v>
      </c>
      <c r="B1080" s="423" t="s">
        <v>1013</v>
      </c>
      <c r="C1080" s="423" t="s">
        <v>22</v>
      </c>
      <c r="D1080" s="413" t="s">
        <v>2173</v>
      </c>
      <c r="E1080" s="423" t="s">
        <v>1014</v>
      </c>
      <c r="F1080" s="417"/>
      <c r="G1080" s="424">
        <v>44631</v>
      </c>
      <c r="H1080" s="408">
        <v>237250</v>
      </c>
      <c r="I1080" s="356"/>
      <c r="J1080" s="356"/>
      <c r="K1080" s="354">
        <f t="shared" si="186"/>
        <v>237250</v>
      </c>
      <c r="L1080" s="425">
        <f>+'[84]Add21-22 (2)'!H70</f>
        <v>44651</v>
      </c>
      <c r="M1080" s="742">
        <v>25043.055555555551</v>
      </c>
      <c r="N1080" s="352">
        <f t="shared" si="193"/>
        <v>212206.94444444444</v>
      </c>
      <c r="O1080" s="357">
        <f t="shared" si="185"/>
        <v>732</v>
      </c>
      <c r="P1080" s="410">
        <v>9</v>
      </c>
      <c r="Q1080" s="358">
        <f t="shared" si="184"/>
        <v>2.0054794520547947</v>
      </c>
      <c r="R1080" s="359">
        <f t="shared" si="187"/>
        <v>6.9945205479452053</v>
      </c>
      <c r="S1080" s="360">
        <f t="shared" si="188"/>
        <v>6.9945205479452053</v>
      </c>
      <c r="T1080" s="361">
        <f t="shared" si="189"/>
        <v>0.10555555555555554</v>
      </c>
      <c r="U1080" s="362">
        <f t="shared" si="195"/>
        <v>25043.055555555551</v>
      </c>
      <c r="V1080" s="362">
        <f t="shared" si="192"/>
        <v>187163.88888888888</v>
      </c>
      <c r="W1080" s="362">
        <f t="shared" si="190"/>
        <v>11863</v>
      </c>
      <c r="X1080" s="742">
        <f t="shared" si="191"/>
        <v>175300.88888888888</v>
      </c>
    </row>
    <row r="1081" spans="1:24" ht="13.9">
      <c r="A1081" s="349">
        <f t="shared" si="194"/>
        <v>1073</v>
      </c>
      <c r="B1081" s="423" t="s">
        <v>1015</v>
      </c>
      <c r="C1081" s="423" t="s">
        <v>1016</v>
      </c>
      <c r="D1081" s="413" t="s">
        <v>2173</v>
      </c>
      <c r="E1081" s="423" t="s">
        <v>977</v>
      </c>
      <c r="F1081" s="417"/>
      <c r="G1081" s="424">
        <v>44618</v>
      </c>
      <c r="H1081" s="408">
        <v>364000</v>
      </c>
      <c r="I1081" s="356"/>
      <c r="J1081" s="356"/>
      <c r="K1081" s="354">
        <f t="shared" si="186"/>
        <v>364000</v>
      </c>
      <c r="L1081" s="425">
        <f>+'[84]Add21-22 (2)'!H71</f>
        <v>44620</v>
      </c>
      <c r="M1081" s="742">
        <v>41857.222222222219</v>
      </c>
      <c r="N1081" s="352">
        <f t="shared" si="193"/>
        <v>322142.77777777775</v>
      </c>
      <c r="O1081" s="357">
        <f t="shared" si="185"/>
        <v>763</v>
      </c>
      <c r="P1081" s="410">
        <v>9</v>
      </c>
      <c r="Q1081" s="358">
        <f t="shared" si="184"/>
        <v>2.0904109589041098</v>
      </c>
      <c r="R1081" s="359">
        <f t="shared" si="187"/>
        <v>6.9095890410958898</v>
      </c>
      <c r="S1081" s="360">
        <f t="shared" si="188"/>
        <v>6.9095890410958898</v>
      </c>
      <c r="T1081" s="361">
        <f t="shared" si="189"/>
        <v>0.10555555555555554</v>
      </c>
      <c r="U1081" s="362">
        <f t="shared" si="195"/>
        <v>38422.222222222219</v>
      </c>
      <c r="V1081" s="362">
        <f t="shared" si="192"/>
        <v>283720.5555555555</v>
      </c>
      <c r="W1081" s="362">
        <f t="shared" si="190"/>
        <v>18200</v>
      </c>
      <c r="X1081" s="742">
        <f t="shared" si="191"/>
        <v>265520.5555555555</v>
      </c>
    </row>
    <row r="1082" spans="1:24" ht="13.9">
      <c r="A1082" s="349">
        <f t="shared" si="194"/>
        <v>1074</v>
      </c>
      <c r="B1082" s="423" t="s">
        <v>1017</v>
      </c>
      <c r="C1082" s="423" t="s">
        <v>1016</v>
      </c>
      <c r="D1082" s="413" t="s">
        <v>2173</v>
      </c>
      <c r="E1082" s="423" t="s">
        <v>977</v>
      </c>
      <c r="F1082" s="417"/>
      <c r="G1082" s="424">
        <v>44624</v>
      </c>
      <c r="H1082" s="408">
        <v>696000</v>
      </c>
      <c r="I1082" s="356"/>
      <c r="J1082" s="356"/>
      <c r="K1082" s="354">
        <f t="shared" si="186"/>
        <v>696000</v>
      </c>
      <c r="L1082" s="425">
        <f>+'[84]Add21-22 (2)'!H72</f>
        <v>44624</v>
      </c>
      <c r="M1082" s="742">
        <v>79187.666666666657</v>
      </c>
      <c r="N1082" s="352">
        <f t="shared" si="193"/>
        <v>616812.33333333337</v>
      </c>
      <c r="O1082" s="357">
        <f t="shared" si="185"/>
        <v>759</v>
      </c>
      <c r="P1082" s="410">
        <v>9</v>
      </c>
      <c r="Q1082" s="358">
        <f t="shared" si="184"/>
        <v>2.0794520547945203</v>
      </c>
      <c r="R1082" s="359">
        <f t="shared" si="187"/>
        <v>6.9205479452054792</v>
      </c>
      <c r="S1082" s="360">
        <f t="shared" si="188"/>
        <v>6.9205479452054792</v>
      </c>
      <c r="T1082" s="361">
        <f t="shared" si="189"/>
        <v>0.10555555555555554</v>
      </c>
      <c r="U1082" s="362">
        <f t="shared" si="195"/>
        <v>73466.666666666657</v>
      </c>
      <c r="V1082" s="362">
        <f t="shared" si="192"/>
        <v>543345.66666666674</v>
      </c>
      <c r="W1082" s="362">
        <f t="shared" si="190"/>
        <v>34800</v>
      </c>
      <c r="X1082" s="742">
        <f t="shared" si="191"/>
        <v>508545.66666666674</v>
      </c>
    </row>
    <row r="1083" spans="1:24" ht="13.9">
      <c r="A1083" s="349">
        <f t="shared" si="194"/>
        <v>1075</v>
      </c>
      <c r="B1083" s="423" t="s">
        <v>1018</v>
      </c>
      <c r="C1083" s="423" t="s">
        <v>1016</v>
      </c>
      <c r="D1083" s="413" t="s">
        <v>2173</v>
      </c>
      <c r="E1083" s="423" t="s">
        <v>977</v>
      </c>
      <c r="F1083" s="417"/>
      <c r="G1083" s="424">
        <v>44631</v>
      </c>
      <c r="H1083" s="408">
        <v>180000</v>
      </c>
      <c r="I1083" s="356"/>
      <c r="J1083" s="356"/>
      <c r="K1083" s="354">
        <f t="shared" si="186"/>
        <v>180000</v>
      </c>
      <c r="L1083" s="425">
        <f>+'[84]Add21-22 (2)'!H73</f>
        <v>44631</v>
      </c>
      <c r="M1083" s="742">
        <v>20095.999999999996</v>
      </c>
      <c r="N1083" s="352">
        <f t="shared" si="193"/>
        <v>159904</v>
      </c>
      <c r="O1083" s="357">
        <f t="shared" si="185"/>
        <v>752</v>
      </c>
      <c r="P1083" s="410">
        <v>9</v>
      </c>
      <c r="Q1083" s="358">
        <f t="shared" si="184"/>
        <v>2.0602739726027397</v>
      </c>
      <c r="R1083" s="359">
        <f t="shared" si="187"/>
        <v>6.9397260273972599</v>
      </c>
      <c r="S1083" s="360">
        <f t="shared" si="188"/>
        <v>6.9397260273972599</v>
      </c>
      <c r="T1083" s="361">
        <f t="shared" si="189"/>
        <v>0.10555555555555554</v>
      </c>
      <c r="U1083" s="362">
        <f t="shared" si="195"/>
        <v>18999.999999999996</v>
      </c>
      <c r="V1083" s="362">
        <f t="shared" si="192"/>
        <v>140904</v>
      </c>
      <c r="W1083" s="362">
        <f t="shared" si="190"/>
        <v>9000</v>
      </c>
      <c r="X1083" s="742">
        <f t="shared" si="191"/>
        <v>131904</v>
      </c>
    </row>
    <row r="1084" spans="1:24" ht="13.9">
      <c r="A1084" s="349">
        <f t="shared" si="194"/>
        <v>1076</v>
      </c>
      <c r="B1084" s="423" t="s">
        <v>1018</v>
      </c>
      <c r="C1084" s="423" t="s">
        <v>1016</v>
      </c>
      <c r="D1084" s="413" t="s">
        <v>2173</v>
      </c>
      <c r="E1084" s="423" t="s">
        <v>977</v>
      </c>
      <c r="F1084" s="417"/>
      <c r="G1084" s="424">
        <v>44631</v>
      </c>
      <c r="H1084" s="408">
        <v>90000</v>
      </c>
      <c r="I1084" s="356"/>
      <c r="J1084" s="356"/>
      <c r="K1084" s="354">
        <f t="shared" si="186"/>
        <v>90000</v>
      </c>
      <c r="L1084" s="425">
        <f>+'[84]Add21-22 (2)'!H74</f>
        <v>44631</v>
      </c>
      <c r="M1084" s="742">
        <v>10047.999999999998</v>
      </c>
      <c r="N1084" s="352">
        <f t="shared" si="193"/>
        <v>79952</v>
      </c>
      <c r="O1084" s="357">
        <f t="shared" si="185"/>
        <v>752</v>
      </c>
      <c r="P1084" s="410">
        <v>9</v>
      </c>
      <c r="Q1084" s="358">
        <f t="shared" si="184"/>
        <v>2.0602739726027397</v>
      </c>
      <c r="R1084" s="359">
        <f t="shared" si="187"/>
        <v>6.9397260273972599</v>
      </c>
      <c r="S1084" s="360">
        <f t="shared" si="188"/>
        <v>6.9397260273972599</v>
      </c>
      <c r="T1084" s="361">
        <f t="shared" si="189"/>
        <v>0.10555555555555554</v>
      </c>
      <c r="U1084" s="362">
        <f t="shared" si="195"/>
        <v>9499.9999999999982</v>
      </c>
      <c r="V1084" s="362">
        <f t="shared" si="192"/>
        <v>70452</v>
      </c>
      <c r="W1084" s="362">
        <f t="shared" si="190"/>
        <v>4500</v>
      </c>
      <c r="X1084" s="742">
        <f t="shared" si="191"/>
        <v>65952</v>
      </c>
    </row>
    <row r="1085" spans="1:24" ht="13.9">
      <c r="A1085" s="349">
        <f t="shared" si="194"/>
        <v>1077</v>
      </c>
      <c r="B1085" s="423" t="s">
        <v>1019</v>
      </c>
      <c r="C1085" s="423" t="s">
        <v>1016</v>
      </c>
      <c r="D1085" s="413" t="s">
        <v>2173</v>
      </c>
      <c r="E1085" s="423" t="s">
        <v>1020</v>
      </c>
      <c r="F1085" s="417"/>
      <c r="G1085" s="424">
        <v>44640</v>
      </c>
      <c r="H1085" s="408">
        <v>23000000</v>
      </c>
      <c r="I1085" s="356"/>
      <c r="J1085" s="356"/>
      <c r="K1085" s="354">
        <f t="shared" si="186"/>
        <v>23000000</v>
      </c>
      <c r="L1085" s="425">
        <f>+'[84]Add21-22 (2)'!H75</f>
        <v>44640</v>
      </c>
      <c r="M1085" s="742">
        <v>2504794.7777777775</v>
      </c>
      <c r="N1085" s="352">
        <f t="shared" si="193"/>
        <v>20495205.222222224</v>
      </c>
      <c r="O1085" s="357">
        <f t="shared" si="185"/>
        <v>743</v>
      </c>
      <c r="P1085" s="410">
        <v>9</v>
      </c>
      <c r="Q1085" s="358">
        <f t="shared" si="184"/>
        <v>2.0356164383561643</v>
      </c>
      <c r="R1085" s="359">
        <f t="shared" si="187"/>
        <v>6.9643835616438352</v>
      </c>
      <c r="S1085" s="360">
        <f t="shared" si="188"/>
        <v>6.9643835616438352</v>
      </c>
      <c r="T1085" s="361">
        <f t="shared" si="189"/>
        <v>0.10555555555555554</v>
      </c>
      <c r="U1085" s="362">
        <f t="shared" si="195"/>
        <v>2427777.7777777775</v>
      </c>
      <c r="V1085" s="362">
        <f t="shared" si="192"/>
        <v>18067427.444444448</v>
      </c>
      <c r="W1085" s="362">
        <f t="shared" si="190"/>
        <v>1150000</v>
      </c>
      <c r="X1085" s="742">
        <f t="shared" si="191"/>
        <v>16917427.444444448</v>
      </c>
    </row>
    <row r="1086" spans="1:24" ht="13.9">
      <c r="A1086" s="349">
        <f t="shared" si="194"/>
        <v>1078</v>
      </c>
      <c r="B1086" s="423" t="s">
        <v>972</v>
      </c>
      <c r="C1086" s="423" t="s">
        <v>23</v>
      </c>
      <c r="D1086" s="413" t="s">
        <v>2173</v>
      </c>
      <c r="E1086" s="423" t="s">
        <v>170</v>
      </c>
      <c r="F1086" s="417"/>
      <c r="G1086" s="424">
        <v>44438</v>
      </c>
      <c r="H1086" s="408">
        <v>4175000</v>
      </c>
      <c r="I1086" s="356"/>
      <c r="J1086" s="356"/>
      <c r="K1086" s="354">
        <f t="shared" si="186"/>
        <v>4175000</v>
      </c>
      <c r="L1086" s="425">
        <f>+'[84]Add21-22 (2)'!H76</f>
        <v>44469</v>
      </c>
      <c r="M1086" s="742">
        <v>672003.44444444438</v>
      </c>
      <c r="N1086" s="352">
        <f t="shared" si="193"/>
        <v>3502996.5555555555</v>
      </c>
      <c r="O1086" s="357">
        <f t="shared" si="185"/>
        <v>914</v>
      </c>
      <c r="P1086" s="410">
        <v>9</v>
      </c>
      <c r="Q1086" s="358">
        <f t="shared" si="184"/>
        <v>2.504109589041096</v>
      </c>
      <c r="R1086" s="359">
        <f t="shared" si="187"/>
        <v>6.4958904109589035</v>
      </c>
      <c r="S1086" s="360">
        <f t="shared" si="188"/>
        <v>6.4958904109589035</v>
      </c>
      <c r="T1086" s="361">
        <f t="shared" si="189"/>
        <v>0.10555555555555554</v>
      </c>
      <c r="U1086" s="362">
        <f t="shared" si="195"/>
        <v>440694.44444444438</v>
      </c>
      <c r="V1086" s="362">
        <f t="shared" si="192"/>
        <v>3062302.111111111</v>
      </c>
      <c r="W1086" s="362">
        <f t="shared" si="190"/>
        <v>208750</v>
      </c>
      <c r="X1086" s="742">
        <f t="shared" si="191"/>
        <v>2853552.111111111</v>
      </c>
    </row>
    <row r="1087" spans="1:24" ht="13.9">
      <c r="A1087" s="349">
        <f t="shared" si="194"/>
        <v>1079</v>
      </c>
      <c r="B1087" s="423" t="s">
        <v>972</v>
      </c>
      <c r="C1087" s="423" t="s">
        <v>23</v>
      </c>
      <c r="D1087" s="413" t="s">
        <v>2173</v>
      </c>
      <c r="E1087" s="423" t="s">
        <v>170</v>
      </c>
      <c r="F1087" s="417"/>
      <c r="G1087" s="424">
        <v>44438</v>
      </c>
      <c r="H1087" s="408">
        <v>4175000</v>
      </c>
      <c r="I1087" s="356"/>
      <c r="J1087" s="356"/>
      <c r="K1087" s="354">
        <f t="shared" si="186"/>
        <v>4175000</v>
      </c>
      <c r="L1087" s="425">
        <f>+'[84]Add21-22 (2)'!H77</f>
        <v>44469</v>
      </c>
      <c r="M1087" s="742">
        <v>672003.44444444438</v>
      </c>
      <c r="N1087" s="352">
        <f t="shared" si="193"/>
        <v>3502996.5555555555</v>
      </c>
      <c r="O1087" s="357">
        <f t="shared" si="185"/>
        <v>914</v>
      </c>
      <c r="P1087" s="410">
        <v>9</v>
      </c>
      <c r="Q1087" s="358">
        <f t="shared" ref="Q1087:Q1150" si="196">+O1087/365</f>
        <v>2.504109589041096</v>
      </c>
      <c r="R1087" s="359">
        <f t="shared" si="187"/>
        <v>6.4958904109589035</v>
      </c>
      <c r="S1087" s="360">
        <f t="shared" si="188"/>
        <v>6.4958904109589035</v>
      </c>
      <c r="T1087" s="361">
        <f t="shared" si="189"/>
        <v>0.10555555555555554</v>
      </c>
      <c r="U1087" s="362">
        <f t="shared" si="195"/>
        <v>440694.44444444438</v>
      </c>
      <c r="V1087" s="362">
        <f t="shared" si="192"/>
        <v>3062302.111111111</v>
      </c>
      <c r="W1087" s="362">
        <f t="shared" si="190"/>
        <v>208750</v>
      </c>
      <c r="X1087" s="742">
        <f t="shared" si="191"/>
        <v>2853552.111111111</v>
      </c>
    </row>
    <row r="1088" spans="1:24" ht="13.9">
      <c r="A1088" s="349">
        <f t="shared" si="194"/>
        <v>1080</v>
      </c>
      <c r="B1088" s="423" t="s">
        <v>972</v>
      </c>
      <c r="C1088" s="423" t="s">
        <v>23</v>
      </c>
      <c r="D1088" s="413" t="s">
        <v>2173</v>
      </c>
      <c r="E1088" s="423" t="s">
        <v>170</v>
      </c>
      <c r="F1088" s="417"/>
      <c r="G1088" s="424">
        <v>44438</v>
      </c>
      <c r="H1088" s="408">
        <v>4175000</v>
      </c>
      <c r="I1088" s="356"/>
      <c r="J1088" s="356"/>
      <c r="K1088" s="354">
        <f t="shared" si="186"/>
        <v>4175000</v>
      </c>
      <c r="L1088" s="425">
        <f>+'[84]Add21-22 (2)'!H78</f>
        <v>44469</v>
      </c>
      <c r="M1088" s="742">
        <v>672003.44444444438</v>
      </c>
      <c r="N1088" s="352">
        <f t="shared" si="193"/>
        <v>3502996.5555555555</v>
      </c>
      <c r="O1088" s="357">
        <f t="shared" si="185"/>
        <v>914</v>
      </c>
      <c r="P1088" s="410">
        <v>9</v>
      </c>
      <c r="Q1088" s="358">
        <f t="shared" si="196"/>
        <v>2.504109589041096</v>
      </c>
      <c r="R1088" s="359">
        <f t="shared" si="187"/>
        <v>6.4958904109589035</v>
      </c>
      <c r="S1088" s="360">
        <f t="shared" si="188"/>
        <v>6.4958904109589035</v>
      </c>
      <c r="T1088" s="361">
        <f t="shared" si="189"/>
        <v>0.10555555555555554</v>
      </c>
      <c r="U1088" s="362">
        <f t="shared" si="195"/>
        <v>440694.44444444438</v>
      </c>
      <c r="V1088" s="362">
        <f t="shared" si="192"/>
        <v>3062302.111111111</v>
      </c>
      <c r="W1088" s="362">
        <f t="shared" si="190"/>
        <v>208750</v>
      </c>
      <c r="X1088" s="742">
        <f t="shared" si="191"/>
        <v>2853552.111111111</v>
      </c>
    </row>
    <row r="1089" spans="1:24" ht="13.9">
      <c r="A1089" s="349">
        <f t="shared" si="194"/>
        <v>1081</v>
      </c>
      <c r="B1089" s="423" t="s">
        <v>972</v>
      </c>
      <c r="C1089" s="423" t="s">
        <v>23</v>
      </c>
      <c r="D1089" s="413" t="s">
        <v>2173</v>
      </c>
      <c r="E1089" s="423" t="s">
        <v>170</v>
      </c>
      <c r="F1089" s="417"/>
      <c r="G1089" s="424">
        <v>44438</v>
      </c>
      <c r="H1089" s="408">
        <v>4175000</v>
      </c>
      <c r="I1089" s="356"/>
      <c r="J1089" s="356"/>
      <c r="K1089" s="354">
        <f t="shared" si="186"/>
        <v>4175000</v>
      </c>
      <c r="L1089" s="425">
        <f>+'[84]Add21-22 (2)'!H79</f>
        <v>44469</v>
      </c>
      <c r="M1089" s="742">
        <v>672003.44444444438</v>
      </c>
      <c r="N1089" s="352">
        <f t="shared" si="193"/>
        <v>3502996.5555555555</v>
      </c>
      <c r="O1089" s="357">
        <f t="shared" si="185"/>
        <v>914</v>
      </c>
      <c r="P1089" s="410">
        <v>9</v>
      </c>
      <c r="Q1089" s="358">
        <f t="shared" si="196"/>
        <v>2.504109589041096</v>
      </c>
      <c r="R1089" s="359">
        <f t="shared" si="187"/>
        <v>6.4958904109589035</v>
      </c>
      <c r="S1089" s="360">
        <f t="shared" si="188"/>
        <v>6.4958904109589035</v>
      </c>
      <c r="T1089" s="361">
        <f t="shared" si="189"/>
        <v>0.10555555555555554</v>
      </c>
      <c r="U1089" s="362">
        <f t="shared" si="195"/>
        <v>440694.44444444438</v>
      </c>
      <c r="V1089" s="362">
        <f t="shared" si="192"/>
        <v>3062302.111111111</v>
      </c>
      <c r="W1089" s="362">
        <f t="shared" si="190"/>
        <v>208750</v>
      </c>
      <c r="X1089" s="742">
        <f t="shared" si="191"/>
        <v>2853552.111111111</v>
      </c>
    </row>
    <row r="1090" spans="1:24" ht="13.9">
      <c r="A1090" s="349">
        <f t="shared" si="194"/>
        <v>1082</v>
      </c>
      <c r="B1090" s="423" t="s">
        <v>972</v>
      </c>
      <c r="C1090" s="423" t="s">
        <v>23</v>
      </c>
      <c r="D1090" s="413" t="s">
        <v>2173</v>
      </c>
      <c r="E1090" s="423" t="s">
        <v>170</v>
      </c>
      <c r="F1090" s="417"/>
      <c r="G1090" s="424">
        <v>44438</v>
      </c>
      <c r="H1090" s="408">
        <v>4175000</v>
      </c>
      <c r="I1090" s="356"/>
      <c r="J1090" s="356"/>
      <c r="K1090" s="354">
        <f t="shared" si="186"/>
        <v>4175000</v>
      </c>
      <c r="L1090" s="425">
        <f>+'[84]Add21-22 (2)'!H80</f>
        <v>44469</v>
      </c>
      <c r="M1090" s="742">
        <v>672003.44444444438</v>
      </c>
      <c r="N1090" s="352">
        <f t="shared" si="193"/>
        <v>3502996.5555555555</v>
      </c>
      <c r="O1090" s="357">
        <f t="shared" si="185"/>
        <v>914</v>
      </c>
      <c r="P1090" s="410">
        <v>9</v>
      </c>
      <c r="Q1090" s="358">
        <f t="shared" si="196"/>
        <v>2.504109589041096</v>
      </c>
      <c r="R1090" s="359">
        <f t="shared" si="187"/>
        <v>6.4958904109589035</v>
      </c>
      <c r="S1090" s="360">
        <f t="shared" si="188"/>
        <v>6.4958904109589035</v>
      </c>
      <c r="T1090" s="361">
        <f t="shared" si="189"/>
        <v>0.10555555555555554</v>
      </c>
      <c r="U1090" s="362">
        <f t="shared" si="195"/>
        <v>440694.44444444438</v>
      </c>
      <c r="V1090" s="362">
        <f t="shared" si="192"/>
        <v>3062302.111111111</v>
      </c>
      <c r="W1090" s="362">
        <f t="shared" si="190"/>
        <v>208750</v>
      </c>
      <c r="X1090" s="742">
        <f t="shared" si="191"/>
        <v>2853552.111111111</v>
      </c>
    </row>
    <row r="1091" spans="1:24" ht="13.9">
      <c r="A1091" s="349">
        <f t="shared" si="194"/>
        <v>1083</v>
      </c>
      <c r="B1091" s="423" t="s">
        <v>972</v>
      </c>
      <c r="C1091" s="423" t="s">
        <v>23</v>
      </c>
      <c r="D1091" s="413" t="s">
        <v>2173</v>
      </c>
      <c r="E1091" s="423" t="s">
        <v>170</v>
      </c>
      <c r="F1091" s="417"/>
      <c r="G1091" s="424">
        <v>44438</v>
      </c>
      <c r="H1091" s="408">
        <v>4175000</v>
      </c>
      <c r="I1091" s="356"/>
      <c r="J1091" s="356"/>
      <c r="K1091" s="354">
        <f t="shared" si="186"/>
        <v>4175000</v>
      </c>
      <c r="L1091" s="425">
        <f>+'[84]Add21-22 (2)'!H81</f>
        <v>44469</v>
      </c>
      <c r="M1091" s="742">
        <v>672003.44444444438</v>
      </c>
      <c r="N1091" s="352">
        <f t="shared" si="193"/>
        <v>3502996.5555555555</v>
      </c>
      <c r="O1091" s="357">
        <f t="shared" ref="O1091:O1154" si="197">+$O$3-L1091+1</f>
        <v>914</v>
      </c>
      <c r="P1091" s="410">
        <v>9</v>
      </c>
      <c r="Q1091" s="358">
        <f t="shared" si="196"/>
        <v>2.504109589041096</v>
      </c>
      <c r="R1091" s="359">
        <f t="shared" si="187"/>
        <v>6.4958904109589035</v>
      </c>
      <c r="S1091" s="360">
        <f t="shared" si="188"/>
        <v>6.4958904109589035</v>
      </c>
      <c r="T1091" s="361">
        <f t="shared" si="189"/>
        <v>0.10555555555555554</v>
      </c>
      <c r="U1091" s="362">
        <f t="shared" si="195"/>
        <v>440694.44444444438</v>
      </c>
      <c r="V1091" s="362">
        <f t="shared" si="192"/>
        <v>3062302.111111111</v>
      </c>
      <c r="W1091" s="362">
        <f t="shared" si="190"/>
        <v>208750</v>
      </c>
      <c r="X1091" s="742">
        <f t="shared" si="191"/>
        <v>2853552.111111111</v>
      </c>
    </row>
    <row r="1092" spans="1:24" ht="13.9">
      <c r="A1092" s="349">
        <f t="shared" si="194"/>
        <v>1084</v>
      </c>
      <c r="B1092" s="423" t="s">
        <v>972</v>
      </c>
      <c r="C1092" s="423" t="s">
        <v>23</v>
      </c>
      <c r="D1092" s="413" t="s">
        <v>2173</v>
      </c>
      <c r="E1092" s="423" t="s">
        <v>170</v>
      </c>
      <c r="F1092" s="417"/>
      <c r="G1092" s="424">
        <v>44513</v>
      </c>
      <c r="H1092" s="408">
        <v>4275000</v>
      </c>
      <c r="I1092" s="356"/>
      <c r="J1092" s="356"/>
      <c r="K1092" s="354">
        <f t="shared" ref="K1092:K1155" si="198">+H1092+I1092-J1092</f>
        <v>4275000</v>
      </c>
      <c r="L1092" s="425">
        <f>+'[84]Add21-22 (2)'!H82</f>
        <v>44513</v>
      </c>
      <c r="M1092" s="742">
        <v>630839</v>
      </c>
      <c r="N1092" s="352">
        <f t="shared" si="193"/>
        <v>3644161</v>
      </c>
      <c r="O1092" s="357">
        <f t="shared" si="197"/>
        <v>870</v>
      </c>
      <c r="P1092" s="410">
        <v>9</v>
      </c>
      <c r="Q1092" s="358">
        <f t="shared" si="196"/>
        <v>2.3835616438356166</v>
      </c>
      <c r="R1092" s="359">
        <f t="shared" ref="R1092:R1155" si="199">+P1092-Q1092</f>
        <v>6.6164383561643838</v>
      </c>
      <c r="S1092" s="360">
        <f t="shared" ref="S1092:S1155" si="200">IF(R1092&lt;0,0,IF(R1092&gt;365,365,R1092))</f>
        <v>6.6164383561643838</v>
      </c>
      <c r="T1092" s="361">
        <f t="shared" ref="T1092:T1155" si="201">1/P1092*0.95</f>
        <v>0.10555555555555554</v>
      </c>
      <c r="U1092" s="362">
        <f t="shared" si="195"/>
        <v>451249.99999999994</v>
      </c>
      <c r="V1092" s="362">
        <f t="shared" si="192"/>
        <v>3192911</v>
      </c>
      <c r="W1092" s="362">
        <f t="shared" ref="W1092:W1155" si="202">ROUND(+H1092*5%,0)</f>
        <v>213750</v>
      </c>
      <c r="X1092" s="742">
        <f t="shared" ref="X1092:X1155" si="203">+V1092-W1092</f>
        <v>2979161</v>
      </c>
    </row>
    <row r="1093" spans="1:24" ht="13.9">
      <c r="A1093" s="349">
        <f t="shared" si="194"/>
        <v>1085</v>
      </c>
      <c r="B1093" s="423" t="s">
        <v>972</v>
      </c>
      <c r="C1093" s="423" t="s">
        <v>23</v>
      </c>
      <c r="D1093" s="413" t="s">
        <v>2173</v>
      </c>
      <c r="E1093" s="423" t="s">
        <v>170</v>
      </c>
      <c r="F1093" s="417"/>
      <c r="G1093" s="424">
        <v>44567</v>
      </c>
      <c r="H1093" s="408">
        <v>4275000</v>
      </c>
      <c r="I1093" s="356"/>
      <c r="J1093" s="356"/>
      <c r="K1093" s="354">
        <f t="shared" si="198"/>
        <v>4275000</v>
      </c>
      <c r="L1093" s="425">
        <f>+'[84]Add21-22 (2)'!H83</f>
        <v>44581</v>
      </c>
      <c r="M1093" s="742">
        <v>542346</v>
      </c>
      <c r="N1093" s="352">
        <f t="shared" si="193"/>
        <v>3732654</v>
      </c>
      <c r="O1093" s="357">
        <f t="shared" si="197"/>
        <v>802</v>
      </c>
      <c r="P1093" s="410">
        <v>9</v>
      </c>
      <c r="Q1093" s="358">
        <f t="shared" si="196"/>
        <v>2.1972602739726028</v>
      </c>
      <c r="R1093" s="359">
        <f t="shared" si="199"/>
        <v>6.8027397260273972</v>
      </c>
      <c r="S1093" s="360">
        <f t="shared" si="200"/>
        <v>6.8027397260273972</v>
      </c>
      <c r="T1093" s="361">
        <f t="shared" si="201"/>
        <v>0.10555555555555554</v>
      </c>
      <c r="U1093" s="362">
        <f t="shared" si="195"/>
        <v>451249.99999999994</v>
      </c>
      <c r="V1093" s="362">
        <f t="shared" ref="V1093:V1156" si="204">+N1093-U1093</f>
        <v>3281404</v>
      </c>
      <c r="W1093" s="362">
        <f t="shared" si="202"/>
        <v>213750</v>
      </c>
      <c r="X1093" s="742">
        <f t="shared" si="203"/>
        <v>3067654</v>
      </c>
    </row>
    <row r="1094" spans="1:24" ht="13.9">
      <c r="A1094" s="349">
        <f t="shared" si="194"/>
        <v>1086</v>
      </c>
      <c r="B1094" s="423" t="s">
        <v>972</v>
      </c>
      <c r="C1094" s="423" t="s">
        <v>23</v>
      </c>
      <c r="D1094" s="413" t="s">
        <v>2173</v>
      </c>
      <c r="E1094" s="423" t="s">
        <v>170</v>
      </c>
      <c r="F1094" s="417"/>
      <c r="G1094" s="424">
        <v>44567</v>
      </c>
      <c r="H1094" s="408">
        <v>5800000</v>
      </c>
      <c r="I1094" s="356"/>
      <c r="J1094" s="356"/>
      <c r="K1094" s="354">
        <f t="shared" si="198"/>
        <v>5800000</v>
      </c>
      <c r="L1094" s="425">
        <f>+'[84]Add21-22 (2)'!H84</f>
        <v>44581</v>
      </c>
      <c r="M1094" s="742">
        <v>735814.22222222213</v>
      </c>
      <c r="N1094" s="352">
        <f t="shared" ref="N1094:N1157" si="205">+K1094-M1094</f>
        <v>5064185.777777778</v>
      </c>
      <c r="O1094" s="357">
        <f t="shared" si="197"/>
        <v>802</v>
      </c>
      <c r="P1094" s="410">
        <v>9</v>
      </c>
      <c r="Q1094" s="358">
        <f t="shared" si="196"/>
        <v>2.1972602739726028</v>
      </c>
      <c r="R1094" s="359">
        <f t="shared" si="199"/>
        <v>6.8027397260273972</v>
      </c>
      <c r="S1094" s="360">
        <f t="shared" si="200"/>
        <v>6.8027397260273972</v>
      </c>
      <c r="T1094" s="361">
        <f t="shared" si="201"/>
        <v>0.10555555555555554</v>
      </c>
      <c r="U1094" s="362">
        <f t="shared" si="195"/>
        <v>612222.22222222213</v>
      </c>
      <c r="V1094" s="362">
        <f t="shared" si="204"/>
        <v>4451963.555555556</v>
      </c>
      <c r="W1094" s="362">
        <f t="shared" si="202"/>
        <v>290000</v>
      </c>
      <c r="X1094" s="742">
        <f t="shared" si="203"/>
        <v>4161963.555555556</v>
      </c>
    </row>
    <row r="1095" spans="1:24" ht="13.9">
      <c r="A1095" s="349">
        <f t="shared" si="194"/>
        <v>1087</v>
      </c>
      <c r="B1095" s="423" t="s">
        <v>972</v>
      </c>
      <c r="C1095" s="423" t="s">
        <v>23</v>
      </c>
      <c r="D1095" s="413" t="s">
        <v>2173</v>
      </c>
      <c r="E1095" s="423" t="s">
        <v>170</v>
      </c>
      <c r="F1095" s="417"/>
      <c r="G1095" s="424">
        <v>44567</v>
      </c>
      <c r="H1095" s="408">
        <v>5800000</v>
      </c>
      <c r="I1095" s="356"/>
      <c r="J1095" s="356"/>
      <c r="K1095" s="354">
        <f t="shared" si="198"/>
        <v>5800000</v>
      </c>
      <c r="L1095" s="425">
        <f>+'[84]Add21-22 (2)'!H85</f>
        <v>44586</v>
      </c>
      <c r="M1095" s="742">
        <v>726986.22222222213</v>
      </c>
      <c r="N1095" s="352">
        <f t="shared" si="205"/>
        <v>5073013.777777778</v>
      </c>
      <c r="O1095" s="357">
        <f t="shared" si="197"/>
        <v>797</v>
      </c>
      <c r="P1095" s="410">
        <v>9</v>
      </c>
      <c r="Q1095" s="358">
        <f t="shared" si="196"/>
        <v>2.1835616438356165</v>
      </c>
      <c r="R1095" s="359">
        <f t="shared" si="199"/>
        <v>6.8164383561643831</v>
      </c>
      <c r="S1095" s="360">
        <f t="shared" si="200"/>
        <v>6.8164383561643831</v>
      </c>
      <c r="T1095" s="361">
        <f t="shared" si="201"/>
        <v>0.10555555555555554</v>
      </c>
      <c r="U1095" s="362">
        <f t="shared" si="195"/>
        <v>612222.22222222213</v>
      </c>
      <c r="V1095" s="362">
        <f t="shared" si="204"/>
        <v>4460791.555555556</v>
      </c>
      <c r="W1095" s="362">
        <f t="shared" si="202"/>
        <v>290000</v>
      </c>
      <c r="X1095" s="742">
        <f t="shared" si="203"/>
        <v>4170791.555555556</v>
      </c>
    </row>
    <row r="1096" spans="1:24" ht="13.9">
      <c r="A1096" s="349">
        <f t="shared" si="194"/>
        <v>1088</v>
      </c>
      <c r="B1096" s="423" t="s">
        <v>972</v>
      </c>
      <c r="C1096" s="423" t="s">
        <v>23</v>
      </c>
      <c r="D1096" s="413" t="s">
        <v>2173</v>
      </c>
      <c r="E1096" s="423" t="s">
        <v>170</v>
      </c>
      <c r="F1096" s="417"/>
      <c r="G1096" s="424">
        <v>44567</v>
      </c>
      <c r="H1096" s="408">
        <v>4275000</v>
      </c>
      <c r="I1096" s="356"/>
      <c r="J1096" s="356"/>
      <c r="K1096" s="354">
        <f t="shared" si="198"/>
        <v>4275000</v>
      </c>
      <c r="L1096" s="425">
        <f>+'[84]Add21-22 (2)'!H86</f>
        <v>44586</v>
      </c>
      <c r="M1096" s="742">
        <v>535839</v>
      </c>
      <c r="N1096" s="352">
        <f t="shared" si="205"/>
        <v>3739161</v>
      </c>
      <c r="O1096" s="357">
        <f t="shared" si="197"/>
        <v>797</v>
      </c>
      <c r="P1096" s="410">
        <v>9</v>
      </c>
      <c r="Q1096" s="358">
        <f t="shared" si="196"/>
        <v>2.1835616438356165</v>
      </c>
      <c r="R1096" s="359">
        <f t="shared" si="199"/>
        <v>6.8164383561643831</v>
      </c>
      <c r="S1096" s="360">
        <f t="shared" si="200"/>
        <v>6.8164383561643831</v>
      </c>
      <c r="T1096" s="361">
        <f t="shared" si="201"/>
        <v>0.10555555555555554</v>
      </c>
      <c r="U1096" s="362">
        <f t="shared" si="195"/>
        <v>451249.99999999994</v>
      </c>
      <c r="V1096" s="362">
        <f t="shared" si="204"/>
        <v>3287911</v>
      </c>
      <c r="W1096" s="362">
        <f t="shared" si="202"/>
        <v>213750</v>
      </c>
      <c r="X1096" s="742">
        <f t="shared" si="203"/>
        <v>3074161</v>
      </c>
    </row>
    <row r="1097" spans="1:24" ht="13.9">
      <c r="A1097" s="349">
        <f t="shared" ref="A1097:A1160" si="206">+A1096+1</f>
        <v>1089</v>
      </c>
      <c r="B1097" s="423" t="s">
        <v>972</v>
      </c>
      <c r="C1097" s="423" t="s">
        <v>23</v>
      </c>
      <c r="D1097" s="413" t="s">
        <v>2173</v>
      </c>
      <c r="E1097" s="423" t="s">
        <v>170</v>
      </c>
      <c r="F1097" s="417"/>
      <c r="G1097" s="424">
        <v>44567</v>
      </c>
      <c r="H1097" s="408">
        <v>4275000</v>
      </c>
      <c r="I1097" s="356"/>
      <c r="J1097" s="356"/>
      <c r="K1097" s="354">
        <f t="shared" si="198"/>
        <v>4275000</v>
      </c>
      <c r="L1097" s="425">
        <f>+'[84]Add21-22 (2)'!H87</f>
        <v>44586</v>
      </c>
      <c r="M1097" s="742">
        <v>535839</v>
      </c>
      <c r="N1097" s="352">
        <f t="shared" si="205"/>
        <v>3739161</v>
      </c>
      <c r="O1097" s="357">
        <f t="shared" si="197"/>
        <v>797</v>
      </c>
      <c r="P1097" s="410">
        <v>9</v>
      </c>
      <c r="Q1097" s="358">
        <f t="shared" si="196"/>
        <v>2.1835616438356165</v>
      </c>
      <c r="R1097" s="359">
        <f t="shared" si="199"/>
        <v>6.8164383561643831</v>
      </c>
      <c r="S1097" s="360">
        <f t="shared" si="200"/>
        <v>6.8164383561643831</v>
      </c>
      <c r="T1097" s="361">
        <f t="shared" si="201"/>
        <v>0.10555555555555554</v>
      </c>
      <c r="U1097" s="362">
        <f t="shared" si="195"/>
        <v>451249.99999999994</v>
      </c>
      <c r="V1097" s="362">
        <f t="shared" si="204"/>
        <v>3287911</v>
      </c>
      <c r="W1097" s="362">
        <f t="shared" si="202"/>
        <v>213750</v>
      </c>
      <c r="X1097" s="742">
        <f t="shared" si="203"/>
        <v>3074161</v>
      </c>
    </row>
    <row r="1098" spans="1:24" ht="13.9">
      <c r="A1098" s="349">
        <f t="shared" si="206"/>
        <v>1090</v>
      </c>
      <c r="B1098" s="423" t="s">
        <v>972</v>
      </c>
      <c r="C1098" s="423" t="s">
        <v>23</v>
      </c>
      <c r="D1098" s="413" t="s">
        <v>2173</v>
      </c>
      <c r="E1098" s="423" t="s">
        <v>170</v>
      </c>
      <c r="F1098" s="417"/>
      <c r="G1098" s="424">
        <v>44623</v>
      </c>
      <c r="H1098" s="408">
        <v>4275000</v>
      </c>
      <c r="I1098" s="356"/>
      <c r="J1098" s="356"/>
      <c r="K1098" s="354">
        <f t="shared" si="198"/>
        <v>4275000</v>
      </c>
      <c r="L1098" s="425">
        <f>+'[84]Add21-22 (2)'!H88</f>
        <v>44625</v>
      </c>
      <c r="M1098" s="742">
        <v>485085.99999999994</v>
      </c>
      <c r="N1098" s="352">
        <f t="shared" si="205"/>
        <v>3789914</v>
      </c>
      <c r="O1098" s="357">
        <f t="shared" si="197"/>
        <v>758</v>
      </c>
      <c r="P1098" s="410">
        <v>9</v>
      </c>
      <c r="Q1098" s="358">
        <f t="shared" si="196"/>
        <v>2.0767123287671234</v>
      </c>
      <c r="R1098" s="359">
        <f t="shared" si="199"/>
        <v>6.9232876712328766</v>
      </c>
      <c r="S1098" s="360">
        <f t="shared" si="200"/>
        <v>6.9232876712328766</v>
      </c>
      <c r="T1098" s="361">
        <f t="shared" si="201"/>
        <v>0.10555555555555554</v>
      </c>
      <c r="U1098" s="362">
        <f t="shared" si="195"/>
        <v>451249.99999999994</v>
      </c>
      <c r="V1098" s="362">
        <f t="shared" si="204"/>
        <v>3338664</v>
      </c>
      <c r="W1098" s="362">
        <f t="shared" si="202"/>
        <v>213750</v>
      </c>
      <c r="X1098" s="742">
        <f t="shared" si="203"/>
        <v>3124914</v>
      </c>
    </row>
    <row r="1099" spans="1:24" ht="13.9">
      <c r="A1099" s="349">
        <f t="shared" si="206"/>
        <v>1091</v>
      </c>
      <c r="B1099" s="423" t="s">
        <v>1034</v>
      </c>
      <c r="C1099" s="423" t="s">
        <v>23</v>
      </c>
      <c r="D1099" s="413" t="s">
        <v>2173</v>
      </c>
      <c r="E1099" s="423" t="s">
        <v>170</v>
      </c>
      <c r="F1099" s="417"/>
      <c r="G1099" s="424">
        <v>44597</v>
      </c>
      <c r="H1099" s="408">
        <v>1150000</v>
      </c>
      <c r="I1099" s="356"/>
      <c r="J1099" s="356"/>
      <c r="K1099" s="354">
        <f t="shared" si="198"/>
        <v>1150000</v>
      </c>
      <c r="L1099" s="425">
        <f>+'[84]Add21-22 (2)'!H89</f>
        <v>44597</v>
      </c>
      <c r="M1099" s="742">
        <v>140292.88888888888</v>
      </c>
      <c r="N1099" s="352">
        <f t="shared" si="205"/>
        <v>1009707.1111111111</v>
      </c>
      <c r="O1099" s="357">
        <f t="shared" si="197"/>
        <v>786</v>
      </c>
      <c r="P1099" s="410">
        <v>9</v>
      </c>
      <c r="Q1099" s="358">
        <f t="shared" si="196"/>
        <v>2.1534246575342464</v>
      </c>
      <c r="R1099" s="359">
        <f t="shared" si="199"/>
        <v>6.8465753424657532</v>
      </c>
      <c r="S1099" s="360">
        <f t="shared" si="200"/>
        <v>6.8465753424657532</v>
      </c>
      <c r="T1099" s="361">
        <f t="shared" si="201"/>
        <v>0.10555555555555554</v>
      </c>
      <c r="U1099" s="362">
        <f t="shared" si="195"/>
        <v>121388.88888888888</v>
      </c>
      <c r="V1099" s="362">
        <f t="shared" si="204"/>
        <v>888318.22222222225</v>
      </c>
      <c r="W1099" s="362">
        <f t="shared" si="202"/>
        <v>57500</v>
      </c>
      <c r="X1099" s="742">
        <f t="shared" si="203"/>
        <v>830818.22222222225</v>
      </c>
    </row>
    <row r="1100" spans="1:24" ht="13.9">
      <c r="A1100" s="349">
        <f t="shared" si="206"/>
        <v>1092</v>
      </c>
      <c r="B1100" s="423" t="s">
        <v>1036</v>
      </c>
      <c r="C1100" s="423" t="s">
        <v>23</v>
      </c>
      <c r="D1100" s="413" t="s">
        <v>2173</v>
      </c>
      <c r="E1100" s="423" t="s">
        <v>1038</v>
      </c>
      <c r="F1100" s="417"/>
      <c r="G1100" s="424">
        <v>44591</v>
      </c>
      <c r="H1100" s="408">
        <v>1045791</v>
      </c>
      <c r="I1100" s="356"/>
      <c r="J1100" s="356"/>
      <c r="K1100" s="354">
        <f t="shared" si="198"/>
        <v>1045791</v>
      </c>
      <c r="L1100" s="425">
        <f>+'[84]Add21-22 (2)'!H90</f>
        <v>44613</v>
      </c>
      <c r="M1100" s="742">
        <v>122486.04999999999</v>
      </c>
      <c r="N1100" s="352">
        <f t="shared" si="205"/>
        <v>923304.95</v>
      </c>
      <c r="O1100" s="357">
        <f t="shared" si="197"/>
        <v>770</v>
      </c>
      <c r="P1100" s="410">
        <v>9</v>
      </c>
      <c r="Q1100" s="358">
        <f t="shared" si="196"/>
        <v>2.1095890410958904</v>
      </c>
      <c r="R1100" s="359">
        <f t="shared" si="199"/>
        <v>6.8904109589041092</v>
      </c>
      <c r="S1100" s="360">
        <f t="shared" si="200"/>
        <v>6.8904109589041092</v>
      </c>
      <c r="T1100" s="361">
        <f t="shared" si="201"/>
        <v>0.10555555555555554</v>
      </c>
      <c r="U1100" s="362">
        <f t="shared" si="195"/>
        <v>110389.04999999999</v>
      </c>
      <c r="V1100" s="362">
        <f t="shared" si="204"/>
        <v>812915.89999999991</v>
      </c>
      <c r="W1100" s="362">
        <f t="shared" si="202"/>
        <v>52290</v>
      </c>
      <c r="X1100" s="742">
        <f t="shared" si="203"/>
        <v>760625.89999999991</v>
      </c>
    </row>
    <row r="1101" spans="1:24" ht="13.9">
      <c r="A1101" s="349">
        <f t="shared" si="206"/>
        <v>1093</v>
      </c>
      <c r="B1101" s="423" t="s">
        <v>1036</v>
      </c>
      <c r="C1101" s="423" t="s">
        <v>23</v>
      </c>
      <c r="D1101" s="413" t="s">
        <v>2173</v>
      </c>
      <c r="E1101" s="423" t="s">
        <v>1038</v>
      </c>
      <c r="F1101" s="417"/>
      <c r="G1101" s="424">
        <v>44591</v>
      </c>
      <c r="H1101" s="408">
        <v>1045791</v>
      </c>
      <c r="I1101" s="356"/>
      <c r="J1101" s="356"/>
      <c r="K1101" s="354">
        <f t="shared" si="198"/>
        <v>1045791</v>
      </c>
      <c r="L1101" s="425">
        <f>+'[84]Add21-22 (2)'!H91</f>
        <v>44613</v>
      </c>
      <c r="M1101" s="742">
        <v>122486.04999999999</v>
      </c>
      <c r="N1101" s="352">
        <f t="shared" si="205"/>
        <v>923304.95</v>
      </c>
      <c r="O1101" s="357">
        <f t="shared" si="197"/>
        <v>770</v>
      </c>
      <c r="P1101" s="410">
        <v>9</v>
      </c>
      <c r="Q1101" s="358">
        <f t="shared" si="196"/>
        <v>2.1095890410958904</v>
      </c>
      <c r="R1101" s="359">
        <f t="shared" si="199"/>
        <v>6.8904109589041092</v>
      </c>
      <c r="S1101" s="360">
        <f t="shared" si="200"/>
        <v>6.8904109589041092</v>
      </c>
      <c r="T1101" s="361">
        <f t="shared" si="201"/>
        <v>0.10555555555555554</v>
      </c>
      <c r="U1101" s="362">
        <f t="shared" si="195"/>
        <v>110389.04999999999</v>
      </c>
      <c r="V1101" s="362">
        <f t="shared" si="204"/>
        <v>812915.89999999991</v>
      </c>
      <c r="W1101" s="362">
        <f t="shared" si="202"/>
        <v>52290</v>
      </c>
      <c r="X1101" s="742">
        <f t="shared" si="203"/>
        <v>760625.89999999991</v>
      </c>
    </row>
    <row r="1102" spans="1:24" ht="13.9">
      <c r="A1102" s="349">
        <f t="shared" si="206"/>
        <v>1094</v>
      </c>
      <c r="B1102" s="423" t="s">
        <v>1036</v>
      </c>
      <c r="C1102" s="423" t="s">
        <v>23</v>
      </c>
      <c r="D1102" s="413" t="s">
        <v>2173</v>
      </c>
      <c r="E1102" s="423" t="s">
        <v>1038</v>
      </c>
      <c r="F1102" s="417"/>
      <c r="G1102" s="424">
        <v>44591</v>
      </c>
      <c r="H1102" s="408">
        <v>1045791</v>
      </c>
      <c r="I1102" s="356"/>
      <c r="J1102" s="356"/>
      <c r="K1102" s="354">
        <f t="shared" si="198"/>
        <v>1045791</v>
      </c>
      <c r="L1102" s="425">
        <f>+'[84]Add21-22 (2)'!H92</f>
        <v>44613</v>
      </c>
      <c r="M1102" s="742">
        <v>122486.04999999999</v>
      </c>
      <c r="N1102" s="352">
        <f t="shared" si="205"/>
        <v>923304.95</v>
      </c>
      <c r="O1102" s="357">
        <f t="shared" si="197"/>
        <v>770</v>
      </c>
      <c r="P1102" s="410">
        <v>9</v>
      </c>
      <c r="Q1102" s="358">
        <f t="shared" si="196"/>
        <v>2.1095890410958904</v>
      </c>
      <c r="R1102" s="359">
        <f t="shared" si="199"/>
        <v>6.8904109589041092</v>
      </c>
      <c r="S1102" s="360">
        <f t="shared" si="200"/>
        <v>6.8904109589041092</v>
      </c>
      <c r="T1102" s="361">
        <f t="shared" si="201"/>
        <v>0.10555555555555554</v>
      </c>
      <c r="U1102" s="362">
        <f t="shared" si="195"/>
        <v>110389.04999999999</v>
      </c>
      <c r="V1102" s="362">
        <f t="shared" si="204"/>
        <v>812915.89999999991</v>
      </c>
      <c r="W1102" s="362">
        <f t="shared" si="202"/>
        <v>52290</v>
      </c>
      <c r="X1102" s="742">
        <f t="shared" si="203"/>
        <v>760625.89999999991</v>
      </c>
    </row>
    <row r="1103" spans="1:24" ht="13.9">
      <c r="A1103" s="349">
        <f t="shared" si="206"/>
        <v>1095</v>
      </c>
      <c r="B1103" s="423" t="s">
        <v>1036</v>
      </c>
      <c r="C1103" s="423" t="s">
        <v>23</v>
      </c>
      <c r="D1103" s="413" t="s">
        <v>2173</v>
      </c>
      <c r="E1103" s="423" t="s">
        <v>1038</v>
      </c>
      <c r="F1103" s="417"/>
      <c r="G1103" s="424">
        <v>44591</v>
      </c>
      <c r="H1103" s="408">
        <v>1045791</v>
      </c>
      <c r="I1103" s="356"/>
      <c r="J1103" s="356"/>
      <c r="K1103" s="354">
        <f t="shared" si="198"/>
        <v>1045791</v>
      </c>
      <c r="L1103" s="425">
        <f>+'[84]Add21-22 (2)'!H93</f>
        <v>44613</v>
      </c>
      <c r="M1103" s="742">
        <v>122486.04999999999</v>
      </c>
      <c r="N1103" s="352">
        <f t="shared" si="205"/>
        <v>923304.95</v>
      </c>
      <c r="O1103" s="357">
        <f t="shared" si="197"/>
        <v>770</v>
      </c>
      <c r="P1103" s="410">
        <v>9</v>
      </c>
      <c r="Q1103" s="358">
        <f t="shared" si="196"/>
        <v>2.1095890410958904</v>
      </c>
      <c r="R1103" s="359">
        <f t="shared" si="199"/>
        <v>6.8904109589041092</v>
      </c>
      <c r="S1103" s="360">
        <f t="shared" si="200"/>
        <v>6.8904109589041092</v>
      </c>
      <c r="T1103" s="361">
        <f t="shared" si="201"/>
        <v>0.10555555555555554</v>
      </c>
      <c r="U1103" s="362">
        <f t="shared" si="195"/>
        <v>110389.04999999999</v>
      </c>
      <c r="V1103" s="362">
        <f t="shared" si="204"/>
        <v>812915.89999999991</v>
      </c>
      <c r="W1103" s="362">
        <f t="shared" si="202"/>
        <v>52290</v>
      </c>
      <c r="X1103" s="742">
        <f t="shared" si="203"/>
        <v>760625.89999999991</v>
      </c>
    </row>
    <row r="1104" spans="1:24" ht="13.9">
      <c r="A1104" s="349">
        <f t="shared" si="206"/>
        <v>1096</v>
      </c>
      <c r="B1104" s="423" t="s">
        <v>1042</v>
      </c>
      <c r="C1104" s="423" t="s">
        <v>23</v>
      </c>
      <c r="D1104" s="413" t="s">
        <v>2173</v>
      </c>
      <c r="E1104" s="423" t="s">
        <v>1038</v>
      </c>
      <c r="F1104" s="417"/>
      <c r="G1104" s="424">
        <v>44583</v>
      </c>
      <c r="H1104" s="408">
        <v>1129332</v>
      </c>
      <c r="I1104" s="356"/>
      <c r="J1104" s="356"/>
      <c r="K1104" s="354">
        <f t="shared" si="198"/>
        <v>1129332</v>
      </c>
      <c r="L1104" s="425">
        <f>+'[84]Add21-22 (2)'!H94</f>
        <v>44643</v>
      </c>
      <c r="M1104" s="742">
        <v>121957.26666666665</v>
      </c>
      <c r="N1104" s="352">
        <f t="shared" si="205"/>
        <v>1007374.7333333334</v>
      </c>
      <c r="O1104" s="357">
        <f t="shared" si="197"/>
        <v>740</v>
      </c>
      <c r="P1104" s="410">
        <v>9</v>
      </c>
      <c r="Q1104" s="358">
        <f t="shared" si="196"/>
        <v>2.0273972602739727</v>
      </c>
      <c r="R1104" s="359">
        <f t="shared" si="199"/>
        <v>6.9726027397260273</v>
      </c>
      <c r="S1104" s="360">
        <f t="shared" si="200"/>
        <v>6.9726027397260273</v>
      </c>
      <c r="T1104" s="361">
        <f t="shared" si="201"/>
        <v>0.10555555555555554</v>
      </c>
      <c r="U1104" s="362">
        <f t="shared" si="195"/>
        <v>119207.26666666665</v>
      </c>
      <c r="V1104" s="362">
        <f t="shared" si="204"/>
        <v>888167.46666666679</v>
      </c>
      <c r="W1104" s="362">
        <f t="shared" si="202"/>
        <v>56467</v>
      </c>
      <c r="X1104" s="742">
        <f t="shared" si="203"/>
        <v>831700.46666666679</v>
      </c>
    </row>
    <row r="1105" spans="1:24" ht="13.9">
      <c r="A1105" s="349">
        <f t="shared" si="206"/>
        <v>1097</v>
      </c>
      <c r="B1105" s="423" t="s">
        <v>1042</v>
      </c>
      <c r="C1105" s="423" t="s">
        <v>23</v>
      </c>
      <c r="D1105" s="413" t="s">
        <v>2173</v>
      </c>
      <c r="E1105" s="423" t="s">
        <v>1038</v>
      </c>
      <c r="F1105" s="417"/>
      <c r="G1105" s="424">
        <v>44583</v>
      </c>
      <c r="H1105" s="408">
        <v>1129332</v>
      </c>
      <c r="I1105" s="356"/>
      <c r="J1105" s="356"/>
      <c r="K1105" s="354">
        <f t="shared" si="198"/>
        <v>1129332</v>
      </c>
      <c r="L1105" s="425">
        <f>+'[84]Add21-22 (2)'!H95</f>
        <v>44643</v>
      </c>
      <c r="M1105" s="742">
        <v>121957.26666666665</v>
      </c>
      <c r="N1105" s="352">
        <f t="shared" si="205"/>
        <v>1007374.7333333334</v>
      </c>
      <c r="O1105" s="357">
        <f t="shared" si="197"/>
        <v>740</v>
      </c>
      <c r="P1105" s="410">
        <v>9</v>
      </c>
      <c r="Q1105" s="358">
        <f t="shared" si="196"/>
        <v>2.0273972602739727</v>
      </c>
      <c r="R1105" s="359">
        <f t="shared" si="199"/>
        <v>6.9726027397260273</v>
      </c>
      <c r="S1105" s="360">
        <f t="shared" si="200"/>
        <v>6.9726027397260273</v>
      </c>
      <c r="T1105" s="361">
        <f t="shared" si="201"/>
        <v>0.10555555555555554</v>
      </c>
      <c r="U1105" s="362">
        <f t="shared" si="195"/>
        <v>119207.26666666665</v>
      </c>
      <c r="V1105" s="362">
        <f t="shared" si="204"/>
        <v>888167.46666666679</v>
      </c>
      <c r="W1105" s="362">
        <f t="shared" si="202"/>
        <v>56467</v>
      </c>
      <c r="X1105" s="742">
        <f t="shared" si="203"/>
        <v>831700.46666666679</v>
      </c>
    </row>
    <row r="1106" spans="1:24" ht="13.9">
      <c r="A1106" s="349">
        <f t="shared" si="206"/>
        <v>1098</v>
      </c>
      <c r="B1106" s="423" t="s">
        <v>1042</v>
      </c>
      <c r="C1106" s="423" t="s">
        <v>23</v>
      </c>
      <c r="D1106" s="413" t="s">
        <v>2173</v>
      </c>
      <c r="E1106" s="423" t="s">
        <v>1038</v>
      </c>
      <c r="F1106" s="417"/>
      <c r="G1106" s="424">
        <v>44583</v>
      </c>
      <c r="H1106" s="408">
        <v>1129332</v>
      </c>
      <c r="I1106" s="356"/>
      <c r="J1106" s="356"/>
      <c r="K1106" s="354">
        <f t="shared" si="198"/>
        <v>1129332</v>
      </c>
      <c r="L1106" s="425">
        <f>+'[84]Add21-22 (2)'!H96</f>
        <v>44643</v>
      </c>
      <c r="M1106" s="742">
        <v>121957.26666666665</v>
      </c>
      <c r="N1106" s="352">
        <f t="shared" si="205"/>
        <v>1007374.7333333334</v>
      </c>
      <c r="O1106" s="357">
        <f t="shared" si="197"/>
        <v>740</v>
      </c>
      <c r="P1106" s="410">
        <v>9</v>
      </c>
      <c r="Q1106" s="358">
        <f t="shared" si="196"/>
        <v>2.0273972602739727</v>
      </c>
      <c r="R1106" s="359">
        <f t="shared" si="199"/>
        <v>6.9726027397260273</v>
      </c>
      <c r="S1106" s="360">
        <f t="shared" si="200"/>
        <v>6.9726027397260273</v>
      </c>
      <c r="T1106" s="361">
        <f t="shared" si="201"/>
        <v>0.10555555555555554</v>
      </c>
      <c r="U1106" s="362">
        <f t="shared" si="195"/>
        <v>119207.26666666665</v>
      </c>
      <c r="V1106" s="362">
        <f t="shared" si="204"/>
        <v>888167.46666666679</v>
      </c>
      <c r="W1106" s="362">
        <f t="shared" si="202"/>
        <v>56467</v>
      </c>
      <c r="X1106" s="742">
        <f t="shared" si="203"/>
        <v>831700.46666666679</v>
      </c>
    </row>
    <row r="1107" spans="1:24" ht="13.9">
      <c r="A1107" s="349">
        <f t="shared" si="206"/>
        <v>1099</v>
      </c>
      <c r="B1107" s="423" t="s">
        <v>1042</v>
      </c>
      <c r="C1107" s="423" t="s">
        <v>23</v>
      </c>
      <c r="D1107" s="413" t="s">
        <v>2173</v>
      </c>
      <c r="E1107" s="423" t="s">
        <v>1038</v>
      </c>
      <c r="F1107" s="417"/>
      <c r="G1107" s="424">
        <v>44583</v>
      </c>
      <c r="H1107" s="408">
        <v>1129332</v>
      </c>
      <c r="I1107" s="356"/>
      <c r="J1107" s="356"/>
      <c r="K1107" s="354">
        <f t="shared" si="198"/>
        <v>1129332</v>
      </c>
      <c r="L1107" s="425">
        <f>+'[84]Add21-22 (2)'!H97</f>
        <v>44643</v>
      </c>
      <c r="M1107" s="742">
        <v>121957.26666666665</v>
      </c>
      <c r="N1107" s="352">
        <f t="shared" si="205"/>
        <v>1007374.7333333334</v>
      </c>
      <c r="O1107" s="357">
        <f t="shared" si="197"/>
        <v>740</v>
      </c>
      <c r="P1107" s="410">
        <v>9</v>
      </c>
      <c r="Q1107" s="358">
        <f t="shared" si="196"/>
        <v>2.0273972602739727</v>
      </c>
      <c r="R1107" s="359">
        <f t="shared" si="199"/>
        <v>6.9726027397260273</v>
      </c>
      <c r="S1107" s="360">
        <f t="shared" si="200"/>
        <v>6.9726027397260273</v>
      </c>
      <c r="T1107" s="361">
        <f t="shared" si="201"/>
        <v>0.10555555555555554</v>
      </c>
      <c r="U1107" s="362">
        <f t="shared" si="195"/>
        <v>119207.26666666665</v>
      </c>
      <c r="V1107" s="362">
        <f t="shared" si="204"/>
        <v>888167.46666666679</v>
      </c>
      <c r="W1107" s="362">
        <f t="shared" si="202"/>
        <v>56467</v>
      </c>
      <c r="X1107" s="742">
        <f t="shared" si="203"/>
        <v>831700.46666666679</v>
      </c>
    </row>
    <row r="1108" spans="1:24" ht="13.9">
      <c r="A1108" s="349">
        <f t="shared" si="206"/>
        <v>1100</v>
      </c>
      <c r="B1108" s="423" t="s">
        <v>1042</v>
      </c>
      <c r="C1108" s="423" t="s">
        <v>23</v>
      </c>
      <c r="D1108" s="413" t="s">
        <v>2173</v>
      </c>
      <c r="E1108" s="423" t="s">
        <v>1038</v>
      </c>
      <c r="F1108" s="417"/>
      <c r="G1108" s="424">
        <v>44583</v>
      </c>
      <c r="H1108" s="408">
        <v>1129332</v>
      </c>
      <c r="I1108" s="356"/>
      <c r="J1108" s="356"/>
      <c r="K1108" s="354">
        <f t="shared" si="198"/>
        <v>1129332</v>
      </c>
      <c r="L1108" s="425">
        <f>+'[84]Add21-22 (2)'!H98</f>
        <v>44643</v>
      </c>
      <c r="M1108" s="742">
        <v>121957.26666666665</v>
      </c>
      <c r="N1108" s="352">
        <f t="shared" si="205"/>
        <v>1007374.7333333334</v>
      </c>
      <c r="O1108" s="357">
        <f t="shared" si="197"/>
        <v>740</v>
      </c>
      <c r="P1108" s="410">
        <v>9</v>
      </c>
      <c r="Q1108" s="358">
        <f t="shared" si="196"/>
        <v>2.0273972602739727</v>
      </c>
      <c r="R1108" s="359">
        <f t="shared" si="199"/>
        <v>6.9726027397260273</v>
      </c>
      <c r="S1108" s="360">
        <f t="shared" si="200"/>
        <v>6.9726027397260273</v>
      </c>
      <c r="T1108" s="361">
        <f t="shared" si="201"/>
        <v>0.10555555555555554</v>
      </c>
      <c r="U1108" s="362">
        <f t="shared" si="195"/>
        <v>119207.26666666665</v>
      </c>
      <c r="V1108" s="362">
        <f t="shared" si="204"/>
        <v>888167.46666666679</v>
      </c>
      <c r="W1108" s="362">
        <f t="shared" si="202"/>
        <v>56467</v>
      </c>
      <c r="X1108" s="742">
        <f t="shared" si="203"/>
        <v>831700.46666666679</v>
      </c>
    </row>
    <row r="1109" spans="1:24" ht="13.9">
      <c r="A1109" s="349">
        <f t="shared" si="206"/>
        <v>1101</v>
      </c>
      <c r="B1109" s="423" t="s">
        <v>1042</v>
      </c>
      <c r="C1109" s="423" t="s">
        <v>23</v>
      </c>
      <c r="D1109" s="413" t="s">
        <v>2173</v>
      </c>
      <c r="E1109" s="423" t="s">
        <v>1038</v>
      </c>
      <c r="F1109" s="417"/>
      <c r="G1109" s="424">
        <v>44583</v>
      </c>
      <c r="H1109" s="408">
        <v>1129332</v>
      </c>
      <c r="I1109" s="356"/>
      <c r="J1109" s="356"/>
      <c r="K1109" s="354">
        <f t="shared" si="198"/>
        <v>1129332</v>
      </c>
      <c r="L1109" s="425">
        <f>+'[84]Add21-22 (2)'!H99</f>
        <v>44643</v>
      </c>
      <c r="M1109" s="742">
        <v>121957.26666666665</v>
      </c>
      <c r="N1109" s="352">
        <f t="shared" si="205"/>
        <v>1007374.7333333334</v>
      </c>
      <c r="O1109" s="357">
        <f t="shared" si="197"/>
        <v>740</v>
      </c>
      <c r="P1109" s="410">
        <v>9</v>
      </c>
      <c r="Q1109" s="358">
        <f t="shared" si="196"/>
        <v>2.0273972602739727</v>
      </c>
      <c r="R1109" s="359">
        <f t="shared" si="199"/>
        <v>6.9726027397260273</v>
      </c>
      <c r="S1109" s="360">
        <f t="shared" si="200"/>
        <v>6.9726027397260273</v>
      </c>
      <c r="T1109" s="361">
        <f t="shared" si="201"/>
        <v>0.10555555555555554</v>
      </c>
      <c r="U1109" s="362">
        <f t="shared" si="195"/>
        <v>119207.26666666665</v>
      </c>
      <c r="V1109" s="362">
        <f t="shared" si="204"/>
        <v>888167.46666666679</v>
      </c>
      <c r="W1109" s="362">
        <f t="shared" si="202"/>
        <v>56467</v>
      </c>
      <c r="X1109" s="742">
        <f t="shared" si="203"/>
        <v>831700.46666666679</v>
      </c>
    </row>
    <row r="1110" spans="1:24" ht="13.9">
      <c r="A1110" s="349">
        <f t="shared" si="206"/>
        <v>1102</v>
      </c>
      <c r="B1110" s="423" t="s">
        <v>1042</v>
      </c>
      <c r="C1110" s="423" t="s">
        <v>23</v>
      </c>
      <c r="D1110" s="413" t="s">
        <v>2173</v>
      </c>
      <c r="E1110" s="423" t="s">
        <v>1038</v>
      </c>
      <c r="F1110" s="417"/>
      <c r="G1110" s="424">
        <v>44583</v>
      </c>
      <c r="H1110" s="408">
        <v>1129332</v>
      </c>
      <c r="I1110" s="356"/>
      <c r="J1110" s="356"/>
      <c r="K1110" s="354">
        <f t="shared" si="198"/>
        <v>1129332</v>
      </c>
      <c r="L1110" s="425">
        <f>+'[84]Add21-22 (2)'!H100</f>
        <v>44643</v>
      </c>
      <c r="M1110" s="742">
        <v>121957.26666666665</v>
      </c>
      <c r="N1110" s="352">
        <f t="shared" si="205"/>
        <v>1007374.7333333334</v>
      </c>
      <c r="O1110" s="357">
        <f t="shared" si="197"/>
        <v>740</v>
      </c>
      <c r="P1110" s="410">
        <v>9</v>
      </c>
      <c r="Q1110" s="358">
        <f t="shared" si="196"/>
        <v>2.0273972602739727</v>
      </c>
      <c r="R1110" s="359">
        <f t="shared" si="199"/>
        <v>6.9726027397260273</v>
      </c>
      <c r="S1110" s="360">
        <f t="shared" si="200"/>
        <v>6.9726027397260273</v>
      </c>
      <c r="T1110" s="361">
        <f t="shared" si="201"/>
        <v>0.10555555555555554</v>
      </c>
      <c r="U1110" s="362">
        <f t="shared" si="195"/>
        <v>119207.26666666665</v>
      </c>
      <c r="V1110" s="362">
        <f t="shared" si="204"/>
        <v>888167.46666666679</v>
      </c>
      <c r="W1110" s="362">
        <f t="shared" si="202"/>
        <v>56467</v>
      </c>
      <c r="X1110" s="742">
        <f t="shared" si="203"/>
        <v>831700.46666666679</v>
      </c>
    </row>
    <row r="1111" spans="1:24" ht="13.9">
      <c r="A1111" s="349">
        <f t="shared" si="206"/>
        <v>1103</v>
      </c>
      <c r="B1111" s="423" t="s">
        <v>1042</v>
      </c>
      <c r="C1111" s="423" t="s">
        <v>23</v>
      </c>
      <c r="D1111" s="413" t="s">
        <v>2173</v>
      </c>
      <c r="E1111" s="423" t="s">
        <v>1038</v>
      </c>
      <c r="F1111" s="417"/>
      <c r="G1111" s="424">
        <v>44583</v>
      </c>
      <c r="H1111" s="408">
        <v>1129332</v>
      </c>
      <c r="I1111" s="356"/>
      <c r="J1111" s="356"/>
      <c r="K1111" s="354">
        <f t="shared" si="198"/>
        <v>1129332</v>
      </c>
      <c r="L1111" s="425">
        <f>+'[84]Add21-22 (2)'!H101</f>
        <v>44643</v>
      </c>
      <c r="M1111" s="742">
        <v>121957.26666666665</v>
      </c>
      <c r="N1111" s="352">
        <f t="shared" si="205"/>
        <v>1007374.7333333334</v>
      </c>
      <c r="O1111" s="357">
        <f t="shared" si="197"/>
        <v>740</v>
      </c>
      <c r="P1111" s="410">
        <v>9</v>
      </c>
      <c r="Q1111" s="358">
        <f t="shared" si="196"/>
        <v>2.0273972602739727</v>
      </c>
      <c r="R1111" s="359">
        <f t="shared" si="199"/>
        <v>6.9726027397260273</v>
      </c>
      <c r="S1111" s="360">
        <f t="shared" si="200"/>
        <v>6.9726027397260273</v>
      </c>
      <c r="T1111" s="361">
        <f t="shared" si="201"/>
        <v>0.10555555555555554</v>
      </c>
      <c r="U1111" s="362">
        <f t="shared" si="195"/>
        <v>119207.26666666665</v>
      </c>
      <c r="V1111" s="362">
        <f t="shared" si="204"/>
        <v>888167.46666666679</v>
      </c>
      <c r="W1111" s="362">
        <f t="shared" si="202"/>
        <v>56467</v>
      </c>
      <c r="X1111" s="742">
        <f t="shared" si="203"/>
        <v>831700.46666666679</v>
      </c>
    </row>
    <row r="1112" spans="1:24" ht="13.9">
      <c r="A1112" s="349">
        <f t="shared" si="206"/>
        <v>1104</v>
      </c>
      <c r="B1112" s="423" t="s">
        <v>1051</v>
      </c>
      <c r="C1112" s="423" t="s">
        <v>23</v>
      </c>
      <c r="D1112" s="413" t="s">
        <v>2173</v>
      </c>
      <c r="E1112" s="423" t="s">
        <v>1053</v>
      </c>
      <c r="F1112" s="417"/>
      <c r="G1112" s="424">
        <v>44643</v>
      </c>
      <c r="H1112" s="408">
        <v>1440000</v>
      </c>
      <c r="I1112" s="356"/>
      <c r="J1112" s="356"/>
      <c r="K1112" s="354">
        <f t="shared" si="198"/>
        <v>1440000</v>
      </c>
      <c r="L1112" s="425">
        <f>+'[84]Add21-22 (2)'!H102</f>
        <v>44643</v>
      </c>
      <c r="M1112" s="742">
        <v>155506.99999999997</v>
      </c>
      <c r="N1112" s="352">
        <f t="shared" si="205"/>
        <v>1284493</v>
      </c>
      <c r="O1112" s="357">
        <f t="shared" si="197"/>
        <v>740</v>
      </c>
      <c r="P1112" s="410">
        <v>9</v>
      </c>
      <c r="Q1112" s="358">
        <f t="shared" si="196"/>
        <v>2.0273972602739727</v>
      </c>
      <c r="R1112" s="359">
        <f t="shared" si="199"/>
        <v>6.9726027397260273</v>
      </c>
      <c r="S1112" s="360">
        <f t="shared" si="200"/>
        <v>6.9726027397260273</v>
      </c>
      <c r="T1112" s="361">
        <f t="shared" si="201"/>
        <v>0.10555555555555554</v>
      </c>
      <c r="U1112" s="362">
        <f t="shared" si="195"/>
        <v>151999.99999999997</v>
      </c>
      <c r="V1112" s="362">
        <f t="shared" si="204"/>
        <v>1132493</v>
      </c>
      <c r="W1112" s="362">
        <f t="shared" si="202"/>
        <v>72000</v>
      </c>
      <c r="X1112" s="742">
        <f t="shared" si="203"/>
        <v>1060493</v>
      </c>
    </row>
    <row r="1113" spans="1:24" ht="13.9">
      <c r="A1113" s="349">
        <f t="shared" si="206"/>
        <v>1105</v>
      </c>
      <c r="B1113" s="423" t="s">
        <v>1054</v>
      </c>
      <c r="C1113" s="423" t="s">
        <v>23</v>
      </c>
      <c r="D1113" s="413" t="s">
        <v>2173</v>
      </c>
      <c r="E1113" s="423" t="s">
        <v>1055</v>
      </c>
      <c r="F1113" s="417"/>
      <c r="G1113" s="424">
        <v>44603</v>
      </c>
      <c r="H1113" s="408">
        <v>115000</v>
      </c>
      <c r="I1113" s="356"/>
      <c r="J1113" s="356"/>
      <c r="K1113" s="354">
        <f t="shared" si="198"/>
        <v>115000</v>
      </c>
      <c r="L1113" s="425">
        <f>+'[84]Add21-22 (2)'!H103</f>
        <v>44607</v>
      </c>
      <c r="M1113" s="742">
        <v>13678.888888888887</v>
      </c>
      <c r="N1113" s="352">
        <f t="shared" si="205"/>
        <v>101321.11111111111</v>
      </c>
      <c r="O1113" s="357">
        <f t="shared" si="197"/>
        <v>776</v>
      </c>
      <c r="P1113" s="410">
        <v>9</v>
      </c>
      <c r="Q1113" s="358">
        <f t="shared" si="196"/>
        <v>2.1260273972602741</v>
      </c>
      <c r="R1113" s="359">
        <f t="shared" si="199"/>
        <v>6.8739726027397259</v>
      </c>
      <c r="S1113" s="360">
        <f t="shared" si="200"/>
        <v>6.8739726027397259</v>
      </c>
      <c r="T1113" s="361">
        <f t="shared" si="201"/>
        <v>0.10555555555555554</v>
      </c>
      <c r="U1113" s="362">
        <f t="shared" si="195"/>
        <v>12138.888888888887</v>
      </c>
      <c r="V1113" s="362">
        <f t="shared" si="204"/>
        <v>89182.222222222219</v>
      </c>
      <c r="W1113" s="362">
        <f t="shared" si="202"/>
        <v>5750</v>
      </c>
      <c r="X1113" s="742">
        <f t="shared" si="203"/>
        <v>83432.222222222219</v>
      </c>
    </row>
    <row r="1114" spans="1:24" ht="13.9">
      <c r="A1114" s="349">
        <f t="shared" si="206"/>
        <v>1106</v>
      </c>
      <c r="B1114" s="423" t="s">
        <v>1054</v>
      </c>
      <c r="C1114" s="423" t="s">
        <v>23</v>
      </c>
      <c r="D1114" s="413" t="s">
        <v>2173</v>
      </c>
      <c r="E1114" s="423" t="s">
        <v>1055</v>
      </c>
      <c r="F1114" s="417"/>
      <c r="G1114" s="424">
        <v>44560</v>
      </c>
      <c r="H1114" s="408">
        <v>115000</v>
      </c>
      <c r="I1114" s="356"/>
      <c r="J1114" s="356"/>
      <c r="K1114" s="354">
        <f t="shared" si="198"/>
        <v>115000</v>
      </c>
      <c r="L1114" s="425">
        <f>+'[84]Add21-22 (2)'!H104</f>
        <v>44607</v>
      </c>
      <c r="M1114" s="742">
        <v>13678.888888888887</v>
      </c>
      <c r="N1114" s="352">
        <f t="shared" si="205"/>
        <v>101321.11111111111</v>
      </c>
      <c r="O1114" s="357">
        <f t="shared" si="197"/>
        <v>776</v>
      </c>
      <c r="P1114" s="410">
        <v>9</v>
      </c>
      <c r="Q1114" s="358">
        <f t="shared" si="196"/>
        <v>2.1260273972602741</v>
      </c>
      <c r="R1114" s="359">
        <f t="shared" si="199"/>
        <v>6.8739726027397259</v>
      </c>
      <c r="S1114" s="360">
        <f t="shared" si="200"/>
        <v>6.8739726027397259</v>
      </c>
      <c r="T1114" s="361">
        <f t="shared" si="201"/>
        <v>0.10555555555555554</v>
      </c>
      <c r="U1114" s="362">
        <f t="shared" si="195"/>
        <v>12138.888888888887</v>
      </c>
      <c r="V1114" s="362">
        <f t="shared" si="204"/>
        <v>89182.222222222219</v>
      </c>
      <c r="W1114" s="362">
        <f t="shared" si="202"/>
        <v>5750</v>
      </c>
      <c r="X1114" s="742">
        <f t="shared" si="203"/>
        <v>83432.222222222219</v>
      </c>
    </row>
    <row r="1115" spans="1:24" ht="13.9">
      <c r="A1115" s="349">
        <f t="shared" si="206"/>
        <v>1107</v>
      </c>
      <c r="B1115" s="423" t="s">
        <v>1056</v>
      </c>
      <c r="C1115" s="423" t="s">
        <v>23</v>
      </c>
      <c r="D1115" s="413" t="s">
        <v>2173</v>
      </c>
      <c r="E1115" s="423" t="s">
        <v>1057</v>
      </c>
      <c r="F1115" s="417"/>
      <c r="G1115" s="424">
        <v>44614</v>
      </c>
      <c r="H1115" s="408">
        <v>2500000</v>
      </c>
      <c r="I1115" s="356"/>
      <c r="J1115" s="356"/>
      <c r="K1115" s="354">
        <f t="shared" si="198"/>
        <v>2500000</v>
      </c>
      <c r="L1115" s="425">
        <f>+'[84]Add21-22 (2)'!H105</f>
        <v>44620</v>
      </c>
      <c r="M1115" s="742">
        <v>287480.88888888888</v>
      </c>
      <c r="N1115" s="352">
        <f t="shared" si="205"/>
        <v>2212519.111111111</v>
      </c>
      <c r="O1115" s="357">
        <f t="shared" si="197"/>
        <v>763</v>
      </c>
      <c r="P1115" s="410">
        <v>9</v>
      </c>
      <c r="Q1115" s="358">
        <f t="shared" si="196"/>
        <v>2.0904109589041098</v>
      </c>
      <c r="R1115" s="359">
        <f t="shared" si="199"/>
        <v>6.9095890410958898</v>
      </c>
      <c r="S1115" s="360">
        <f t="shared" si="200"/>
        <v>6.9095890410958898</v>
      </c>
      <c r="T1115" s="361">
        <f t="shared" si="201"/>
        <v>0.10555555555555554</v>
      </c>
      <c r="U1115" s="362">
        <f t="shared" si="195"/>
        <v>263888.88888888888</v>
      </c>
      <c r="V1115" s="362">
        <f t="shared" si="204"/>
        <v>1948630.222222222</v>
      </c>
      <c r="W1115" s="362">
        <f t="shared" si="202"/>
        <v>125000</v>
      </c>
      <c r="X1115" s="742">
        <f t="shared" si="203"/>
        <v>1823630.222222222</v>
      </c>
    </row>
    <row r="1116" spans="1:24" ht="13.9">
      <c r="A1116" s="349">
        <f t="shared" si="206"/>
        <v>1108</v>
      </c>
      <c r="B1116" s="423" t="s">
        <v>324</v>
      </c>
      <c r="C1116" s="423" t="s">
        <v>23</v>
      </c>
      <c r="D1116" s="413" t="s">
        <v>2173</v>
      </c>
      <c r="E1116" s="423" t="s">
        <v>989</v>
      </c>
      <c r="F1116" s="417"/>
      <c r="G1116" s="424">
        <v>44526</v>
      </c>
      <c r="H1116" s="408">
        <v>7031682</v>
      </c>
      <c r="I1116" s="356"/>
      <c r="J1116" s="356"/>
      <c r="K1116" s="354">
        <f t="shared" si="198"/>
        <v>7031682</v>
      </c>
      <c r="L1116" s="425">
        <f>+'[84]Add21-22 (2)'!H106</f>
        <v>44526</v>
      </c>
      <c r="M1116" s="742">
        <v>1009801.0999999999</v>
      </c>
      <c r="N1116" s="352">
        <f t="shared" si="205"/>
        <v>6021880.9000000004</v>
      </c>
      <c r="O1116" s="357">
        <f t="shared" si="197"/>
        <v>857</v>
      </c>
      <c r="P1116" s="410">
        <v>9</v>
      </c>
      <c r="Q1116" s="358">
        <f t="shared" si="196"/>
        <v>2.3479452054794518</v>
      </c>
      <c r="R1116" s="359">
        <f t="shared" si="199"/>
        <v>6.6520547945205486</v>
      </c>
      <c r="S1116" s="360">
        <f t="shared" si="200"/>
        <v>6.6520547945205486</v>
      </c>
      <c r="T1116" s="361">
        <f t="shared" si="201"/>
        <v>0.10555555555555554</v>
      </c>
      <c r="U1116" s="362">
        <f t="shared" si="195"/>
        <v>742233.09999999986</v>
      </c>
      <c r="V1116" s="362">
        <f t="shared" si="204"/>
        <v>5279647.8000000007</v>
      </c>
      <c r="W1116" s="362">
        <f t="shared" si="202"/>
        <v>351584</v>
      </c>
      <c r="X1116" s="742">
        <f t="shared" si="203"/>
        <v>4928063.8000000007</v>
      </c>
    </row>
    <row r="1117" spans="1:24" ht="13.9">
      <c r="A1117" s="349">
        <f t="shared" si="206"/>
        <v>1109</v>
      </c>
      <c r="B1117" s="423" t="s">
        <v>324</v>
      </c>
      <c r="C1117" s="423" t="s">
        <v>23</v>
      </c>
      <c r="D1117" s="413" t="s">
        <v>2173</v>
      </c>
      <c r="E1117" s="423" t="s">
        <v>989</v>
      </c>
      <c r="F1117" s="417"/>
      <c r="G1117" s="424">
        <v>44526</v>
      </c>
      <c r="H1117" s="408">
        <v>7031682</v>
      </c>
      <c r="I1117" s="356"/>
      <c r="J1117" s="356"/>
      <c r="K1117" s="354">
        <f t="shared" si="198"/>
        <v>7031682</v>
      </c>
      <c r="L1117" s="425">
        <f>+'[84]Add21-22 (2)'!H107</f>
        <v>44526</v>
      </c>
      <c r="M1117" s="742">
        <v>1009801.0999999999</v>
      </c>
      <c r="N1117" s="352">
        <f t="shared" si="205"/>
        <v>6021880.9000000004</v>
      </c>
      <c r="O1117" s="357">
        <f t="shared" si="197"/>
        <v>857</v>
      </c>
      <c r="P1117" s="410">
        <v>9</v>
      </c>
      <c r="Q1117" s="358">
        <f t="shared" si="196"/>
        <v>2.3479452054794518</v>
      </c>
      <c r="R1117" s="359">
        <f t="shared" si="199"/>
        <v>6.6520547945205486</v>
      </c>
      <c r="S1117" s="360">
        <f t="shared" si="200"/>
        <v>6.6520547945205486</v>
      </c>
      <c r="T1117" s="361">
        <f t="shared" si="201"/>
        <v>0.10555555555555554</v>
      </c>
      <c r="U1117" s="362">
        <f t="shared" si="195"/>
        <v>742233.09999999986</v>
      </c>
      <c r="V1117" s="362">
        <f t="shared" si="204"/>
        <v>5279647.8000000007</v>
      </c>
      <c r="W1117" s="362">
        <f t="shared" si="202"/>
        <v>351584</v>
      </c>
      <c r="X1117" s="742">
        <f t="shared" si="203"/>
        <v>4928063.8000000007</v>
      </c>
    </row>
    <row r="1118" spans="1:24" ht="13.9">
      <c r="A1118" s="349">
        <f t="shared" si="206"/>
        <v>1110</v>
      </c>
      <c r="B1118" s="423" t="s">
        <v>324</v>
      </c>
      <c r="C1118" s="423" t="s">
        <v>23</v>
      </c>
      <c r="D1118" s="413" t="s">
        <v>2173</v>
      </c>
      <c r="E1118" s="423" t="s">
        <v>989</v>
      </c>
      <c r="F1118" s="417"/>
      <c r="G1118" s="424">
        <v>44526</v>
      </c>
      <c r="H1118" s="408">
        <v>7031682</v>
      </c>
      <c r="I1118" s="356"/>
      <c r="J1118" s="356"/>
      <c r="K1118" s="354">
        <f t="shared" si="198"/>
        <v>7031682</v>
      </c>
      <c r="L1118" s="425">
        <f>+'[84]Add21-22 (2)'!H108</f>
        <v>44526</v>
      </c>
      <c r="M1118" s="742">
        <v>1009801.0999999999</v>
      </c>
      <c r="N1118" s="352">
        <f t="shared" si="205"/>
        <v>6021880.9000000004</v>
      </c>
      <c r="O1118" s="357">
        <f t="shared" si="197"/>
        <v>857</v>
      </c>
      <c r="P1118" s="410">
        <v>9</v>
      </c>
      <c r="Q1118" s="358">
        <f t="shared" si="196"/>
        <v>2.3479452054794518</v>
      </c>
      <c r="R1118" s="359">
        <f t="shared" si="199"/>
        <v>6.6520547945205486</v>
      </c>
      <c r="S1118" s="360">
        <f t="shared" si="200"/>
        <v>6.6520547945205486</v>
      </c>
      <c r="T1118" s="361">
        <f t="shared" si="201"/>
        <v>0.10555555555555554</v>
      </c>
      <c r="U1118" s="362">
        <f t="shared" si="195"/>
        <v>742233.09999999986</v>
      </c>
      <c r="V1118" s="362">
        <f t="shared" si="204"/>
        <v>5279647.8000000007</v>
      </c>
      <c r="W1118" s="362">
        <f t="shared" si="202"/>
        <v>351584</v>
      </c>
      <c r="X1118" s="742">
        <f t="shared" si="203"/>
        <v>4928063.8000000007</v>
      </c>
    </row>
    <row r="1119" spans="1:24" ht="13.9">
      <c r="A1119" s="349">
        <f t="shared" si="206"/>
        <v>1111</v>
      </c>
      <c r="B1119" s="423" t="s">
        <v>583</v>
      </c>
      <c r="C1119" s="423" t="s">
        <v>23</v>
      </c>
      <c r="D1119" s="413" t="s">
        <v>2173</v>
      </c>
      <c r="E1119" s="423" t="s">
        <v>1058</v>
      </c>
      <c r="F1119" s="417"/>
      <c r="G1119" s="424">
        <v>44616</v>
      </c>
      <c r="H1119" s="408">
        <v>1013392</v>
      </c>
      <c r="I1119" s="356"/>
      <c r="J1119" s="356"/>
      <c r="K1119" s="354">
        <f t="shared" si="198"/>
        <v>1013392</v>
      </c>
      <c r="L1119" s="425">
        <f>+'[84]Add21-22 (2)'!H109</f>
        <v>44616</v>
      </c>
      <c r="M1119" s="742">
        <v>117766.15555555554</v>
      </c>
      <c r="N1119" s="352">
        <f t="shared" si="205"/>
        <v>895625.8444444444</v>
      </c>
      <c r="O1119" s="357">
        <f t="shared" si="197"/>
        <v>767</v>
      </c>
      <c r="P1119" s="410">
        <v>9</v>
      </c>
      <c r="Q1119" s="358">
        <f t="shared" si="196"/>
        <v>2.1013698630136988</v>
      </c>
      <c r="R1119" s="359">
        <f t="shared" si="199"/>
        <v>6.8986301369863012</v>
      </c>
      <c r="S1119" s="360">
        <f t="shared" si="200"/>
        <v>6.8986301369863012</v>
      </c>
      <c r="T1119" s="361">
        <f t="shared" si="201"/>
        <v>0.10555555555555554</v>
      </c>
      <c r="U1119" s="362">
        <f t="shared" si="195"/>
        <v>106969.15555555554</v>
      </c>
      <c r="V1119" s="362">
        <f t="shared" si="204"/>
        <v>788656.68888888881</v>
      </c>
      <c r="W1119" s="362">
        <f t="shared" si="202"/>
        <v>50670</v>
      </c>
      <c r="X1119" s="742">
        <f t="shared" si="203"/>
        <v>737986.68888888881</v>
      </c>
    </row>
    <row r="1120" spans="1:24" ht="13.9">
      <c r="A1120" s="349">
        <f t="shared" si="206"/>
        <v>1112</v>
      </c>
      <c r="B1120" s="423" t="s">
        <v>583</v>
      </c>
      <c r="C1120" s="423" t="s">
        <v>23</v>
      </c>
      <c r="D1120" s="413" t="s">
        <v>2173</v>
      </c>
      <c r="E1120" s="423" t="s">
        <v>1058</v>
      </c>
      <c r="F1120" s="417"/>
      <c r="G1120" s="424">
        <v>44616</v>
      </c>
      <c r="H1120" s="408">
        <v>1013392</v>
      </c>
      <c r="I1120" s="356"/>
      <c r="J1120" s="356"/>
      <c r="K1120" s="354">
        <f t="shared" si="198"/>
        <v>1013392</v>
      </c>
      <c r="L1120" s="425">
        <f>+'[84]Add21-22 (2)'!H110</f>
        <v>44616</v>
      </c>
      <c r="M1120" s="742">
        <v>117766.15555555554</v>
      </c>
      <c r="N1120" s="352">
        <f t="shared" si="205"/>
        <v>895625.8444444444</v>
      </c>
      <c r="O1120" s="357">
        <f t="shared" si="197"/>
        <v>767</v>
      </c>
      <c r="P1120" s="410">
        <v>9</v>
      </c>
      <c r="Q1120" s="358">
        <f t="shared" si="196"/>
        <v>2.1013698630136988</v>
      </c>
      <c r="R1120" s="359">
        <f t="shared" si="199"/>
        <v>6.8986301369863012</v>
      </c>
      <c r="S1120" s="360">
        <f t="shared" si="200"/>
        <v>6.8986301369863012</v>
      </c>
      <c r="T1120" s="361">
        <f t="shared" si="201"/>
        <v>0.10555555555555554</v>
      </c>
      <c r="U1120" s="362">
        <f t="shared" si="195"/>
        <v>106969.15555555554</v>
      </c>
      <c r="V1120" s="362">
        <f t="shared" si="204"/>
        <v>788656.68888888881</v>
      </c>
      <c r="W1120" s="362">
        <f t="shared" si="202"/>
        <v>50670</v>
      </c>
      <c r="X1120" s="742">
        <f t="shared" si="203"/>
        <v>737986.68888888881</v>
      </c>
    </row>
    <row r="1121" spans="1:24" ht="13.9">
      <c r="A1121" s="349">
        <f t="shared" si="206"/>
        <v>1113</v>
      </c>
      <c r="B1121" s="423" t="s">
        <v>957</v>
      </c>
      <c r="C1121" s="423" t="s">
        <v>23</v>
      </c>
      <c r="D1121" s="413" t="s">
        <v>2173</v>
      </c>
      <c r="E1121" s="423" t="s">
        <v>1060</v>
      </c>
      <c r="F1121" s="417"/>
      <c r="G1121" s="424">
        <v>44649</v>
      </c>
      <c r="H1121" s="408">
        <v>2723037</v>
      </c>
      <c r="I1121" s="356"/>
      <c r="J1121" s="356"/>
      <c r="K1121" s="354">
        <f t="shared" si="198"/>
        <v>2723037</v>
      </c>
      <c r="L1121" s="425">
        <f>+'[84]Add21-22 (2)'!H111</f>
        <v>44649</v>
      </c>
      <c r="M1121" s="742">
        <v>289089.68333333329</v>
      </c>
      <c r="N1121" s="352">
        <f t="shared" si="205"/>
        <v>2433947.3166666669</v>
      </c>
      <c r="O1121" s="357">
        <f t="shared" si="197"/>
        <v>734</v>
      </c>
      <c r="P1121" s="410">
        <v>9</v>
      </c>
      <c r="Q1121" s="358">
        <f t="shared" si="196"/>
        <v>2.010958904109589</v>
      </c>
      <c r="R1121" s="359">
        <f t="shared" si="199"/>
        <v>6.9890410958904106</v>
      </c>
      <c r="S1121" s="360">
        <f t="shared" si="200"/>
        <v>6.9890410958904106</v>
      </c>
      <c r="T1121" s="361">
        <f t="shared" si="201"/>
        <v>0.10555555555555554</v>
      </c>
      <c r="U1121" s="362">
        <f t="shared" si="195"/>
        <v>287431.68333333329</v>
      </c>
      <c r="V1121" s="362">
        <f t="shared" si="204"/>
        <v>2146515.6333333338</v>
      </c>
      <c r="W1121" s="362">
        <f t="shared" si="202"/>
        <v>136152</v>
      </c>
      <c r="X1121" s="742">
        <f t="shared" si="203"/>
        <v>2010363.6333333338</v>
      </c>
    </row>
    <row r="1122" spans="1:24" ht="13.9">
      <c r="A1122" s="349">
        <f t="shared" si="206"/>
        <v>1114</v>
      </c>
      <c r="B1122" s="423" t="s">
        <v>957</v>
      </c>
      <c r="C1122" s="423" t="s">
        <v>23</v>
      </c>
      <c r="D1122" s="413" t="s">
        <v>2173</v>
      </c>
      <c r="E1122" s="423" t="s">
        <v>1060</v>
      </c>
      <c r="F1122" s="417"/>
      <c r="G1122" s="424">
        <v>44649</v>
      </c>
      <c r="H1122" s="408">
        <v>2723037</v>
      </c>
      <c r="I1122" s="356"/>
      <c r="J1122" s="356"/>
      <c r="K1122" s="354">
        <f t="shared" si="198"/>
        <v>2723037</v>
      </c>
      <c r="L1122" s="425">
        <f>+'[84]Add21-22 (2)'!H112</f>
        <v>44649</v>
      </c>
      <c r="M1122" s="742">
        <v>289089.68333333329</v>
      </c>
      <c r="N1122" s="352">
        <f t="shared" si="205"/>
        <v>2433947.3166666669</v>
      </c>
      <c r="O1122" s="357">
        <f t="shared" si="197"/>
        <v>734</v>
      </c>
      <c r="P1122" s="410">
        <v>9</v>
      </c>
      <c r="Q1122" s="358">
        <f t="shared" si="196"/>
        <v>2.010958904109589</v>
      </c>
      <c r="R1122" s="359">
        <f t="shared" si="199"/>
        <v>6.9890410958904106</v>
      </c>
      <c r="S1122" s="360">
        <f t="shared" si="200"/>
        <v>6.9890410958904106</v>
      </c>
      <c r="T1122" s="361">
        <f t="shared" si="201"/>
        <v>0.10555555555555554</v>
      </c>
      <c r="U1122" s="362">
        <f t="shared" si="195"/>
        <v>287431.68333333329</v>
      </c>
      <c r="V1122" s="362">
        <f t="shared" si="204"/>
        <v>2146515.6333333338</v>
      </c>
      <c r="W1122" s="362">
        <f t="shared" si="202"/>
        <v>136152</v>
      </c>
      <c r="X1122" s="742">
        <f t="shared" si="203"/>
        <v>2010363.6333333338</v>
      </c>
    </row>
    <row r="1123" spans="1:24" ht="13.9">
      <c r="A1123" s="349">
        <f t="shared" si="206"/>
        <v>1115</v>
      </c>
      <c r="B1123" s="423" t="s">
        <v>957</v>
      </c>
      <c r="C1123" s="423" t="s">
        <v>23</v>
      </c>
      <c r="D1123" s="413" t="s">
        <v>2173</v>
      </c>
      <c r="E1123" s="423" t="s">
        <v>1060</v>
      </c>
      <c r="F1123" s="417"/>
      <c r="G1123" s="424">
        <v>44649</v>
      </c>
      <c r="H1123" s="408">
        <v>2723037</v>
      </c>
      <c r="I1123" s="356"/>
      <c r="J1123" s="356"/>
      <c r="K1123" s="354">
        <f t="shared" si="198"/>
        <v>2723037</v>
      </c>
      <c r="L1123" s="425">
        <f>+'[84]Add21-22 (2)'!H113</f>
        <v>44649</v>
      </c>
      <c r="M1123" s="742">
        <v>289089.68333333329</v>
      </c>
      <c r="N1123" s="352">
        <f t="shared" si="205"/>
        <v>2433947.3166666669</v>
      </c>
      <c r="O1123" s="357">
        <f t="shared" si="197"/>
        <v>734</v>
      </c>
      <c r="P1123" s="410">
        <v>9</v>
      </c>
      <c r="Q1123" s="358">
        <f t="shared" si="196"/>
        <v>2.010958904109589</v>
      </c>
      <c r="R1123" s="359">
        <f t="shared" si="199"/>
        <v>6.9890410958904106</v>
      </c>
      <c r="S1123" s="360">
        <f t="shared" si="200"/>
        <v>6.9890410958904106</v>
      </c>
      <c r="T1123" s="361">
        <f t="shared" si="201"/>
        <v>0.10555555555555554</v>
      </c>
      <c r="U1123" s="362">
        <f t="shared" si="195"/>
        <v>287431.68333333329</v>
      </c>
      <c r="V1123" s="362">
        <f t="shared" si="204"/>
        <v>2146515.6333333338</v>
      </c>
      <c r="W1123" s="362">
        <f t="shared" si="202"/>
        <v>136152</v>
      </c>
      <c r="X1123" s="742">
        <f t="shared" si="203"/>
        <v>2010363.6333333338</v>
      </c>
    </row>
    <row r="1124" spans="1:24" ht="13.9">
      <c r="A1124" s="349">
        <f t="shared" si="206"/>
        <v>1116</v>
      </c>
      <c r="B1124" s="423" t="s">
        <v>957</v>
      </c>
      <c r="C1124" s="423" t="s">
        <v>23</v>
      </c>
      <c r="D1124" s="413" t="s">
        <v>2173</v>
      </c>
      <c r="E1124" s="423" t="s">
        <v>1060</v>
      </c>
      <c r="F1124" s="417"/>
      <c r="G1124" s="424">
        <v>44649</v>
      </c>
      <c r="H1124" s="408">
        <v>2723037</v>
      </c>
      <c r="I1124" s="356"/>
      <c r="J1124" s="356"/>
      <c r="K1124" s="354">
        <f t="shared" si="198"/>
        <v>2723037</v>
      </c>
      <c r="L1124" s="425">
        <f>+'[84]Add21-22 (2)'!H114</f>
        <v>44649</v>
      </c>
      <c r="M1124" s="742">
        <v>289089.68333333329</v>
      </c>
      <c r="N1124" s="352">
        <f t="shared" si="205"/>
        <v>2433947.3166666669</v>
      </c>
      <c r="O1124" s="357">
        <f t="shared" si="197"/>
        <v>734</v>
      </c>
      <c r="P1124" s="410">
        <v>9</v>
      </c>
      <c r="Q1124" s="358">
        <f t="shared" si="196"/>
        <v>2.010958904109589</v>
      </c>
      <c r="R1124" s="359">
        <f t="shared" si="199"/>
        <v>6.9890410958904106</v>
      </c>
      <c r="S1124" s="360">
        <f t="shared" si="200"/>
        <v>6.9890410958904106</v>
      </c>
      <c r="T1124" s="361">
        <f t="shared" si="201"/>
        <v>0.10555555555555554</v>
      </c>
      <c r="U1124" s="362">
        <f t="shared" si="195"/>
        <v>287431.68333333329</v>
      </c>
      <c r="V1124" s="362">
        <f t="shared" si="204"/>
        <v>2146515.6333333338</v>
      </c>
      <c r="W1124" s="362">
        <f t="shared" si="202"/>
        <v>136152</v>
      </c>
      <c r="X1124" s="742">
        <f t="shared" si="203"/>
        <v>2010363.6333333338</v>
      </c>
    </row>
    <row r="1125" spans="1:24" ht="13.9">
      <c r="A1125" s="349">
        <f t="shared" si="206"/>
        <v>1117</v>
      </c>
      <c r="B1125" s="423" t="s">
        <v>957</v>
      </c>
      <c r="C1125" s="423" t="s">
        <v>23</v>
      </c>
      <c r="D1125" s="413" t="s">
        <v>2173</v>
      </c>
      <c r="E1125" s="423" t="s">
        <v>1060</v>
      </c>
      <c r="F1125" s="417"/>
      <c r="G1125" s="424">
        <v>44649</v>
      </c>
      <c r="H1125" s="408">
        <v>2723037</v>
      </c>
      <c r="I1125" s="356"/>
      <c r="J1125" s="356"/>
      <c r="K1125" s="354">
        <f t="shared" si="198"/>
        <v>2723037</v>
      </c>
      <c r="L1125" s="425">
        <f>+'[84]Add21-22 (2)'!H115</f>
        <v>44649</v>
      </c>
      <c r="M1125" s="742">
        <v>289089.68333333329</v>
      </c>
      <c r="N1125" s="352">
        <f t="shared" si="205"/>
        <v>2433947.3166666669</v>
      </c>
      <c r="O1125" s="357">
        <f t="shared" si="197"/>
        <v>734</v>
      </c>
      <c r="P1125" s="410">
        <v>9</v>
      </c>
      <c r="Q1125" s="358">
        <f t="shared" si="196"/>
        <v>2.010958904109589</v>
      </c>
      <c r="R1125" s="359">
        <f t="shared" si="199"/>
        <v>6.9890410958904106</v>
      </c>
      <c r="S1125" s="360">
        <f t="shared" si="200"/>
        <v>6.9890410958904106</v>
      </c>
      <c r="T1125" s="361">
        <f t="shared" si="201"/>
        <v>0.10555555555555554</v>
      </c>
      <c r="U1125" s="362">
        <f t="shared" si="195"/>
        <v>287431.68333333329</v>
      </c>
      <c r="V1125" s="362">
        <f t="shared" si="204"/>
        <v>2146515.6333333338</v>
      </c>
      <c r="W1125" s="362">
        <f t="shared" si="202"/>
        <v>136152</v>
      </c>
      <c r="X1125" s="742">
        <f t="shared" si="203"/>
        <v>2010363.6333333338</v>
      </c>
    </row>
    <row r="1126" spans="1:24" ht="13.9">
      <c r="A1126" s="349">
        <f t="shared" si="206"/>
        <v>1118</v>
      </c>
      <c r="B1126" s="423" t="s">
        <v>957</v>
      </c>
      <c r="C1126" s="423" t="s">
        <v>23</v>
      </c>
      <c r="D1126" s="413" t="s">
        <v>2173</v>
      </c>
      <c r="E1126" s="423" t="s">
        <v>1060</v>
      </c>
      <c r="F1126" s="417"/>
      <c r="G1126" s="424">
        <v>44649</v>
      </c>
      <c r="H1126" s="408">
        <v>2723037</v>
      </c>
      <c r="I1126" s="356"/>
      <c r="J1126" s="356"/>
      <c r="K1126" s="354">
        <f t="shared" si="198"/>
        <v>2723037</v>
      </c>
      <c r="L1126" s="425">
        <f>+'[84]Add21-22 (2)'!H116</f>
        <v>44649</v>
      </c>
      <c r="M1126" s="742">
        <v>289089.68333333329</v>
      </c>
      <c r="N1126" s="352">
        <f t="shared" si="205"/>
        <v>2433947.3166666669</v>
      </c>
      <c r="O1126" s="357">
        <f t="shared" si="197"/>
        <v>734</v>
      </c>
      <c r="P1126" s="410">
        <v>9</v>
      </c>
      <c r="Q1126" s="358">
        <f t="shared" si="196"/>
        <v>2.010958904109589</v>
      </c>
      <c r="R1126" s="359">
        <f t="shared" si="199"/>
        <v>6.9890410958904106</v>
      </c>
      <c r="S1126" s="360">
        <f t="shared" si="200"/>
        <v>6.9890410958904106</v>
      </c>
      <c r="T1126" s="361">
        <f t="shared" si="201"/>
        <v>0.10555555555555554</v>
      </c>
      <c r="U1126" s="362">
        <f t="shared" si="195"/>
        <v>287431.68333333329</v>
      </c>
      <c r="V1126" s="362">
        <f t="shared" si="204"/>
        <v>2146515.6333333338</v>
      </c>
      <c r="W1126" s="362">
        <f t="shared" si="202"/>
        <v>136152</v>
      </c>
      <c r="X1126" s="742">
        <f t="shared" si="203"/>
        <v>2010363.6333333338</v>
      </c>
    </row>
    <row r="1127" spans="1:24" ht="13.9">
      <c r="A1127" s="349">
        <f t="shared" si="206"/>
        <v>1119</v>
      </c>
      <c r="B1127" s="423" t="s">
        <v>957</v>
      </c>
      <c r="C1127" s="423" t="s">
        <v>23</v>
      </c>
      <c r="D1127" s="413" t="s">
        <v>2173</v>
      </c>
      <c r="E1127" s="423" t="s">
        <v>1060</v>
      </c>
      <c r="F1127" s="417"/>
      <c r="G1127" s="424">
        <v>44649</v>
      </c>
      <c r="H1127" s="408">
        <v>2723037</v>
      </c>
      <c r="I1127" s="356"/>
      <c r="J1127" s="356"/>
      <c r="K1127" s="354">
        <f t="shared" si="198"/>
        <v>2723037</v>
      </c>
      <c r="L1127" s="425">
        <f>+'[84]Add21-22 (2)'!H117</f>
        <v>44649</v>
      </c>
      <c r="M1127" s="742">
        <v>289089.68333333329</v>
      </c>
      <c r="N1127" s="352">
        <f t="shared" si="205"/>
        <v>2433947.3166666669</v>
      </c>
      <c r="O1127" s="357">
        <f t="shared" si="197"/>
        <v>734</v>
      </c>
      <c r="P1127" s="410">
        <v>9</v>
      </c>
      <c r="Q1127" s="358">
        <f t="shared" si="196"/>
        <v>2.010958904109589</v>
      </c>
      <c r="R1127" s="359">
        <f t="shared" si="199"/>
        <v>6.9890410958904106</v>
      </c>
      <c r="S1127" s="360">
        <f t="shared" si="200"/>
        <v>6.9890410958904106</v>
      </c>
      <c r="T1127" s="361">
        <f t="shared" si="201"/>
        <v>0.10555555555555554</v>
      </c>
      <c r="U1127" s="362">
        <f t="shared" si="195"/>
        <v>287431.68333333329</v>
      </c>
      <c r="V1127" s="362">
        <f t="shared" si="204"/>
        <v>2146515.6333333338</v>
      </c>
      <c r="W1127" s="362">
        <f t="shared" si="202"/>
        <v>136152</v>
      </c>
      <c r="X1127" s="742">
        <f t="shared" si="203"/>
        <v>2010363.6333333338</v>
      </c>
    </row>
    <row r="1128" spans="1:24" ht="13.9">
      <c r="A1128" s="349">
        <f t="shared" si="206"/>
        <v>1120</v>
      </c>
      <c r="B1128" s="423" t="s">
        <v>957</v>
      </c>
      <c r="C1128" s="423" t="s">
        <v>23</v>
      </c>
      <c r="D1128" s="413" t="s">
        <v>2173</v>
      </c>
      <c r="E1128" s="423" t="s">
        <v>1060</v>
      </c>
      <c r="F1128" s="417"/>
      <c r="G1128" s="424">
        <v>44649</v>
      </c>
      <c r="H1128" s="408">
        <v>2723037</v>
      </c>
      <c r="I1128" s="356"/>
      <c r="J1128" s="356"/>
      <c r="K1128" s="354">
        <f t="shared" si="198"/>
        <v>2723037</v>
      </c>
      <c r="L1128" s="425">
        <f>+'[84]Add21-22 (2)'!H118</f>
        <v>44649</v>
      </c>
      <c r="M1128" s="742">
        <v>289089.68333333329</v>
      </c>
      <c r="N1128" s="352">
        <f t="shared" si="205"/>
        <v>2433947.3166666669</v>
      </c>
      <c r="O1128" s="357">
        <f t="shared" si="197"/>
        <v>734</v>
      </c>
      <c r="P1128" s="410">
        <v>9</v>
      </c>
      <c r="Q1128" s="358">
        <f t="shared" si="196"/>
        <v>2.010958904109589</v>
      </c>
      <c r="R1128" s="359">
        <f t="shared" si="199"/>
        <v>6.9890410958904106</v>
      </c>
      <c r="S1128" s="360">
        <f t="shared" si="200"/>
        <v>6.9890410958904106</v>
      </c>
      <c r="T1128" s="361">
        <f t="shared" si="201"/>
        <v>0.10555555555555554</v>
      </c>
      <c r="U1128" s="362">
        <f t="shared" ref="U1128:U1165" si="207">+K1128*T1128</f>
        <v>287431.68333333329</v>
      </c>
      <c r="V1128" s="362">
        <f t="shared" si="204"/>
        <v>2146515.6333333338</v>
      </c>
      <c r="W1128" s="362">
        <f t="shared" si="202"/>
        <v>136152</v>
      </c>
      <c r="X1128" s="742">
        <f t="shared" si="203"/>
        <v>2010363.6333333338</v>
      </c>
    </row>
    <row r="1129" spans="1:24" ht="13.9">
      <c r="A1129" s="349">
        <f t="shared" si="206"/>
        <v>1121</v>
      </c>
      <c r="B1129" s="423" t="s">
        <v>957</v>
      </c>
      <c r="C1129" s="423" t="s">
        <v>23</v>
      </c>
      <c r="D1129" s="413" t="s">
        <v>2173</v>
      </c>
      <c r="E1129" s="423" t="s">
        <v>1060</v>
      </c>
      <c r="F1129" s="417"/>
      <c r="G1129" s="424">
        <v>44649</v>
      </c>
      <c r="H1129" s="408">
        <v>2723037</v>
      </c>
      <c r="I1129" s="356"/>
      <c r="J1129" s="356"/>
      <c r="K1129" s="354">
        <f t="shared" si="198"/>
        <v>2723037</v>
      </c>
      <c r="L1129" s="425">
        <f>+'[84]Add21-22 (2)'!H119</f>
        <v>44649</v>
      </c>
      <c r="M1129" s="742">
        <v>289089.68333333329</v>
      </c>
      <c r="N1129" s="352">
        <f t="shared" si="205"/>
        <v>2433947.3166666669</v>
      </c>
      <c r="O1129" s="357">
        <f t="shared" si="197"/>
        <v>734</v>
      </c>
      <c r="P1129" s="410">
        <v>9</v>
      </c>
      <c r="Q1129" s="358">
        <f t="shared" si="196"/>
        <v>2.010958904109589</v>
      </c>
      <c r="R1129" s="359">
        <f t="shared" si="199"/>
        <v>6.9890410958904106</v>
      </c>
      <c r="S1129" s="360">
        <f t="shared" si="200"/>
        <v>6.9890410958904106</v>
      </c>
      <c r="T1129" s="361">
        <f t="shared" si="201"/>
        <v>0.10555555555555554</v>
      </c>
      <c r="U1129" s="362">
        <f t="shared" si="207"/>
        <v>287431.68333333329</v>
      </c>
      <c r="V1129" s="362">
        <f t="shared" si="204"/>
        <v>2146515.6333333338</v>
      </c>
      <c r="W1129" s="362">
        <f t="shared" si="202"/>
        <v>136152</v>
      </c>
      <c r="X1129" s="742">
        <f t="shared" si="203"/>
        <v>2010363.6333333338</v>
      </c>
    </row>
    <row r="1130" spans="1:24" ht="13.9">
      <c r="A1130" s="349">
        <f t="shared" si="206"/>
        <v>1122</v>
      </c>
      <c r="B1130" s="423" t="s">
        <v>957</v>
      </c>
      <c r="C1130" s="423" t="s">
        <v>23</v>
      </c>
      <c r="D1130" s="413" t="s">
        <v>2173</v>
      </c>
      <c r="E1130" s="423" t="s">
        <v>1060</v>
      </c>
      <c r="F1130" s="417"/>
      <c r="G1130" s="424">
        <v>44649</v>
      </c>
      <c r="H1130" s="408">
        <v>2723037</v>
      </c>
      <c r="I1130" s="356"/>
      <c r="J1130" s="356"/>
      <c r="K1130" s="354">
        <f t="shared" si="198"/>
        <v>2723037</v>
      </c>
      <c r="L1130" s="425">
        <f>+'[84]Add21-22 (2)'!H120</f>
        <v>44649</v>
      </c>
      <c r="M1130" s="742">
        <v>289089.68333333329</v>
      </c>
      <c r="N1130" s="352">
        <f t="shared" si="205"/>
        <v>2433947.3166666669</v>
      </c>
      <c r="O1130" s="357">
        <f t="shared" si="197"/>
        <v>734</v>
      </c>
      <c r="P1130" s="410">
        <v>9</v>
      </c>
      <c r="Q1130" s="358">
        <f t="shared" si="196"/>
        <v>2.010958904109589</v>
      </c>
      <c r="R1130" s="359">
        <f t="shared" si="199"/>
        <v>6.9890410958904106</v>
      </c>
      <c r="S1130" s="360">
        <f t="shared" si="200"/>
        <v>6.9890410958904106</v>
      </c>
      <c r="T1130" s="361">
        <f t="shared" si="201"/>
        <v>0.10555555555555554</v>
      </c>
      <c r="U1130" s="362">
        <f t="shared" si="207"/>
        <v>287431.68333333329</v>
      </c>
      <c r="V1130" s="362">
        <f t="shared" si="204"/>
        <v>2146515.6333333338</v>
      </c>
      <c r="W1130" s="362">
        <f t="shared" si="202"/>
        <v>136152</v>
      </c>
      <c r="X1130" s="742">
        <f t="shared" si="203"/>
        <v>2010363.6333333338</v>
      </c>
    </row>
    <row r="1131" spans="1:24" ht="13.9">
      <c r="A1131" s="349">
        <f t="shared" si="206"/>
        <v>1123</v>
      </c>
      <c r="B1131" s="423" t="s">
        <v>957</v>
      </c>
      <c r="C1131" s="423" t="s">
        <v>23</v>
      </c>
      <c r="D1131" s="413" t="s">
        <v>2173</v>
      </c>
      <c r="E1131" s="423" t="s">
        <v>1060</v>
      </c>
      <c r="F1131" s="417"/>
      <c r="G1131" s="424">
        <v>44649</v>
      </c>
      <c r="H1131" s="408">
        <v>2723037</v>
      </c>
      <c r="I1131" s="356"/>
      <c r="J1131" s="356"/>
      <c r="K1131" s="354">
        <f t="shared" si="198"/>
        <v>2723037</v>
      </c>
      <c r="L1131" s="425">
        <f>+'[84]Add21-22 (2)'!H121</f>
        <v>44649</v>
      </c>
      <c r="M1131" s="742">
        <v>289089.68333333329</v>
      </c>
      <c r="N1131" s="352">
        <f t="shared" si="205"/>
        <v>2433947.3166666669</v>
      </c>
      <c r="O1131" s="357">
        <f t="shared" si="197"/>
        <v>734</v>
      </c>
      <c r="P1131" s="410">
        <v>9</v>
      </c>
      <c r="Q1131" s="358">
        <f t="shared" si="196"/>
        <v>2.010958904109589</v>
      </c>
      <c r="R1131" s="359">
        <f t="shared" si="199"/>
        <v>6.9890410958904106</v>
      </c>
      <c r="S1131" s="360">
        <f t="shared" si="200"/>
        <v>6.9890410958904106</v>
      </c>
      <c r="T1131" s="361">
        <f t="shared" si="201"/>
        <v>0.10555555555555554</v>
      </c>
      <c r="U1131" s="362">
        <f t="shared" si="207"/>
        <v>287431.68333333329</v>
      </c>
      <c r="V1131" s="362">
        <f t="shared" si="204"/>
        <v>2146515.6333333338</v>
      </c>
      <c r="W1131" s="362">
        <f t="shared" si="202"/>
        <v>136152</v>
      </c>
      <c r="X1131" s="742">
        <f t="shared" si="203"/>
        <v>2010363.6333333338</v>
      </c>
    </row>
    <row r="1132" spans="1:24" ht="13.9">
      <c r="A1132" s="349">
        <f t="shared" si="206"/>
        <v>1124</v>
      </c>
      <c r="B1132" s="423" t="s">
        <v>957</v>
      </c>
      <c r="C1132" s="423" t="s">
        <v>23</v>
      </c>
      <c r="D1132" s="413" t="s">
        <v>2173</v>
      </c>
      <c r="E1132" s="423" t="s">
        <v>1060</v>
      </c>
      <c r="F1132" s="417"/>
      <c r="G1132" s="424">
        <v>44649</v>
      </c>
      <c r="H1132" s="408">
        <v>2723037</v>
      </c>
      <c r="I1132" s="356"/>
      <c r="J1132" s="356"/>
      <c r="K1132" s="354">
        <f t="shared" si="198"/>
        <v>2723037</v>
      </c>
      <c r="L1132" s="425">
        <f>+'[84]Add21-22 (2)'!H122</f>
        <v>44649</v>
      </c>
      <c r="M1132" s="742">
        <v>289089.68333333329</v>
      </c>
      <c r="N1132" s="352">
        <f t="shared" si="205"/>
        <v>2433947.3166666669</v>
      </c>
      <c r="O1132" s="357">
        <f t="shared" si="197"/>
        <v>734</v>
      </c>
      <c r="P1132" s="410">
        <v>9</v>
      </c>
      <c r="Q1132" s="358">
        <f t="shared" si="196"/>
        <v>2.010958904109589</v>
      </c>
      <c r="R1132" s="359">
        <f t="shared" si="199"/>
        <v>6.9890410958904106</v>
      </c>
      <c r="S1132" s="360">
        <f t="shared" si="200"/>
        <v>6.9890410958904106</v>
      </c>
      <c r="T1132" s="361">
        <f t="shared" si="201"/>
        <v>0.10555555555555554</v>
      </c>
      <c r="U1132" s="362">
        <f t="shared" si="207"/>
        <v>287431.68333333329</v>
      </c>
      <c r="V1132" s="362">
        <f t="shared" si="204"/>
        <v>2146515.6333333338</v>
      </c>
      <c r="W1132" s="362">
        <f t="shared" si="202"/>
        <v>136152</v>
      </c>
      <c r="X1132" s="742">
        <f t="shared" si="203"/>
        <v>2010363.6333333338</v>
      </c>
    </row>
    <row r="1133" spans="1:24" ht="13.9">
      <c r="A1133" s="349">
        <f t="shared" si="206"/>
        <v>1125</v>
      </c>
      <c r="B1133" s="423" t="s">
        <v>957</v>
      </c>
      <c r="C1133" s="423" t="s">
        <v>23</v>
      </c>
      <c r="D1133" s="413" t="s">
        <v>2173</v>
      </c>
      <c r="E1133" s="423" t="s">
        <v>1060</v>
      </c>
      <c r="F1133" s="417"/>
      <c r="G1133" s="424">
        <v>44649</v>
      </c>
      <c r="H1133" s="408">
        <v>2723037</v>
      </c>
      <c r="I1133" s="356"/>
      <c r="J1133" s="356"/>
      <c r="K1133" s="354">
        <f t="shared" si="198"/>
        <v>2723037</v>
      </c>
      <c r="L1133" s="425">
        <f>+'[84]Add21-22 (2)'!H123</f>
        <v>44649</v>
      </c>
      <c r="M1133" s="742">
        <v>289089.68333333329</v>
      </c>
      <c r="N1133" s="352">
        <f t="shared" si="205"/>
        <v>2433947.3166666669</v>
      </c>
      <c r="O1133" s="357">
        <f t="shared" si="197"/>
        <v>734</v>
      </c>
      <c r="P1133" s="410">
        <v>9</v>
      </c>
      <c r="Q1133" s="358">
        <f t="shared" si="196"/>
        <v>2.010958904109589</v>
      </c>
      <c r="R1133" s="359">
        <f t="shared" si="199"/>
        <v>6.9890410958904106</v>
      </c>
      <c r="S1133" s="360">
        <f t="shared" si="200"/>
        <v>6.9890410958904106</v>
      </c>
      <c r="T1133" s="361">
        <f t="shared" si="201"/>
        <v>0.10555555555555554</v>
      </c>
      <c r="U1133" s="362">
        <f t="shared" si="207"/>
        <v>287431.68333333329</v>
      </c>
      <c r="V1133" s="362">
        <f t="shared" si="204"/>
        <v>2146515.6333333338</v>
      </c>
      <c r="W1133" s="362">
        <f t="shared" si="202"/>
        <v>136152</v>
      </c>
      <c r="X1133" s="742">
        <f t="shared" si="203"/>
        <v>2010363.6333333338</v>
      </c>
    </row>
    <row r="1134" spans="1:24" ht="13.9">
      <c r="A1134" s="349">
        <f t="shared" si="206"/>
        <v>1126</v>
      </c>
      <c r="B1134" s="423" t="s">
        <v>957</v>
      </c>
      <c r="C1134" s="423" t="s">
        <v>23</v>
      </c>
      <c r="D1134" s="413" t="s">
        <v>2173</v>
      </c>
      <c r="E1134" s="423" t="s">
        <v>1060</v>
      </c>
      <c r="F1134" s="417"/>
      <c r="G1134" s="424">
        <v>44649</v>
      </c>
      <c r="H1134" s="408">
        <v>2723037</v>
      </c>
      <c r="I1134" s="356"/>
      <c r="J1134" s="356"/>
      <c r="K1134" s="354">
        <f t="shared" si="198"/>
        <v>2723037</v>
      </c>
      <c r="L1134" s="425">
        <f>+'[84]Add21-22 (2)'!H124</f>
        <v>44649</v>
      </c>
      <c r="M1134" s="742">
        <v>289089.68333333329</v>
      </c>
      <c r="N1134" s="352">
        <f t="shared" si="205"/>
        <v>2433947.3166666669</v>
      </c>
      <c r="O1134" s="357">
        <f t="shared" si="197"/>
        <v>734</v>
      </c>
      <c r="P1134" s="410">
        <v>9</v>
      </c>
      <c r="Q1134" s="358">
        <f t="shared" si="196"/>
        <v>2.010958904109589</v>
      </c>
      <c r="R1134" s="359">
        <f t="shared" si="199"/>
        <v>6.9890410958904106</v>
      </c>
      <c r="S1134" s="360">
        <f t="shared" si="200"/>
        <v>6.9890410958904106</v>
      </c>
      <c r="T1134" s="361">
        <f t="shared" si="201"/>
        <v>0.10555555555555554</v>
      </c>
      <c r="U1134" s="362">
        <f t="shared" si="207"/>
        <v>287431.68333333329</v>
      </c>
      <c r="V1134" s="362">
        <f t="shared" si="204"/>
        <v>2146515.6333333338</v>
      </c>
      <c r="W1134" s="362">
        <f t="shared" si="202"/>
        <v>136152</v>
      </c>
      <c r="X1134" s="742">
        <f t="shared" si="203"/>
        <v>2010363.6333333338</v>
      </c>
    </row>
    <row r="1135" spans="1:24" ht="13.9">
      <c r="A1135" s="349">
        <f t="shared" si="206"/>
        <v>1127</v>
      </c>
      <c r="B1135" s="423" t="s">
        <v>957</v>
      </c>
      <c r="C1135" s="423" t="s">
        <v>23</v>
      </c>
      <c r="D1135" s="413" t="s">
        <v>2173</v>
      </c>
      <c r="E1135" s="423" t="s">
        <v>1060</v>
      </c>
      <c r="F1135" s="417"/>
      <c r="G1135" s="424">
        <v>44649</v>
      </c>
      <c r="H1135" s="408">
        <v>2723037</v>
      </c>
      <c r="I1135" s="356"/>
      <c r="J1135" s="356"/>
      <c r="K1135" s="354">
        <f t="shared" si="198"/>
        <v>2723037</v>
      </c>
      <c r="L1135" s="425">
        <f>+'[84]Add21-22 (2)'!H125</f>
        <v>44649</v>
      </c>
      <c r="M1135" s="742">
        <v>289089.68333333329</v>
      </c>
      <c r="N1135" s="352">
        <f t="shared" si="205"/>
        <v>2433947.3166666669</v>
      </c>
      <c r="O1135" s="357">
        <f t="shared" si="197"/>
        <v>734</v>
      </c>
      <c r="P1135" s="410">
        <v>9</v>
      </c>
      <c r="Q1135" s="358">
        <f t="shared" si="196"/>
        <v>2.010958904109589</v>
      </c>
      <c r="R1135" s="359">
        <f t="shared" si="199"/>
        <v>6.9890410958904106</v>
      </c>
      <c r="S1135" s="360">
        <f t="shared" si="200"/>
        <v>6.9890410958904106</v>
      </c>
      <c r="T1135" s="361">
        <f t="shared" si="201"/>
        <v>0.10555555555555554</v>
      </c>
      <c r="U1135" s="362">
        <f t="shared" si="207"/>
        <v>287431.68333333329</v>
      </c>
      <c r="V1135" s="362">
        <f t="shared" si="204"/>
        <v>2146515.6333333338</v>
      </c>
      <c r="W1135" s="362">
        <f t="shared" si="202"/>
        <v>136152</v>
      </c>
      <c r="X1135" s="742">
        <f t="shared" si="203"/>
        <v>2010363.6333333338</v>
      </c>
    </row>
    <row r="1136" spans="1:24" ht="13.9">
      <c r="A1136" s="349">
        <f t="shared" si="206"/>
        <v>1128</v>
      </c>
      <c r="B1136" s="423" t="s">
        <v>957</v>
      </c>
      <c r="C1136" s="423" t="s">
        <v>23</v>
      </c>
      <c r="D1136" s="413" t="s">
        <v>2173</v>
      </c>
      <c r="E1136" s="423" t="s">
        <v>1060</v>
      </c>
      <c r="F1136" s="417"/>
      <c r="G1136" s="424">
        <v>44649</v>
      </c>
      <c r="H1136" s="408">
        <v>2723037</v>
      </c>
      <c r="I1136" s="356"/>
      <c r="J1136" s="356"/>
      <c r="K1136" s="354">
        <f t="shared" si="198"/>
        <v>2723037</v>
      </c>
      <c r="L1136" s="425">
        <f>+'[84]Add21-22 (2)'!H126</f>
        <v>44649</v>
      </c>
      <c r="M1136" s="742">
        <v>289089.68333333329</v>
      </c>
      <c r="N1136" s="352">
        <f t="shared" si="205"/>
        <v>2433947.3166666669</v>
      </c>
      <c r="O1136" s="357">
        <f t="shared" si="197"/>
        <v>734</v>
      </c>
      <c r="P1136" s="410">
        <v>9</v>
      </c>
      <c r="Q1136" s="358">
        <f t="shared" si="196"/>
        <v>2.010958904109589</v>
      </c>
      <c r="R1136" s="359">
        <f t="shared" si="199"/>
        <v>6.9890410958904106</v>
      </c>
      <c r="S1136" s="360">
        <f t="shared" si="200"/>
        <v>6.9890410958904106</v>
      </c>
      <c r="T1136" s="361">
        <f t="shared" si="201"/>
        <v>0.10555555555555554</v>
      </c>
      <c r="U1136" s="362">
        <f t="shared" si="207"/>
        <v>287431.68333333329</v>
      </c>
      <c r="V1136" s="362">
        <f t="shared" si="204"/>
        <v>2146515.6333333338</v>
      </c>
      <c r="W1136" s="362">
        <f t="shared" si="202"/>
        <v>136152</v>
      </c>
      <c r="X1136" s="742">
        <f t="shared" si="203"/>
        <v>2010363.6333333338</v>
      </c>
    </row>
    <row r="1137" spans="1:24" ht="13.9">
      <c r="A1137" s="349">
        <f t="shared" si="206"/>
        <v>1129</v>
      </c>
      <c r="B1137" s="423" t="s">
        <v>957</v>
      </c>
      <c r="C1137" s="423" t="s">
        <v>23</v>
      </c>
      <c r="D1137" s="413" t="s">
        <v>2173</v>
      </c>
      <c r="E1137" s="423" t="s">
        <v>1060</v>
      </c>
      <c r="F1137" s="417"/>
      <c r="G1137" s="424">
        <v>44649</v>
      </c>
      <c r="H1137" s="408">
        <v>2723037</v>
      </c>
      <c r="I1137" s="356"/>
      <c r="J1137" s="356"/>
      <c r="K1137" s="354">
        <f t="shared" si="198"/>
        <v>2723037</v>
      </c>
      <c r="L1137" s="425">
        <f>+'[84]Add21-22 (2)'!H127</f>
        <v>44649</v>
      </c>
      <c r="M1137" s="742">
        <v>289089.68333333329</v>
      </c>
      <c r="N1137" s="352">
        <f t="shared" si="205"/>
        <v>2433947.3166666669</v>
      </c>
      <c r="O1137" s="357">
        <f t="shared" si="197"/>
        <v>734</v>
      </c>
      <c r="P1137" s="410">
        <v>9</v>
      </c>
      <c r="Q1137" s="358">
        <f t="shared" si="196"/>
        <v>2.010958904109589</v>
      </c>
      <c r="R1137" s="359">
        <f t="shared" si="199"/>
        <v>6.9890410958904106</v>
      </c>
      <c r="S1137" s="360">
        <f t="shared" si="200"/>
        <v>6.9890410958904106</v>
      </c>
      <c r="T1137" s="361">
        <f t="shared" si="201"/>
        <v>0.10555555555555554</v>
      </c>
      <c r="U1137" s="362">
        <f t="shared" si="207"/>
        <v>287431.68333333329</v>
      </c>
      <c r="V1137" s="362">
        <f t="shared" si="204"/>
        <v>2146515.6333333338</v>
      </c>
      <c r="W1137" s="362">
        <f t="shared" si="202"/>
        <v>136152</v>
      </c>
      <c r="X1137" s="742">
        <f t="shared" si="203"/>
        <v>2010363.6333333338</v>
      </c>
    </row>
    <row r="1138" spans="1:24" ht="13.9">
      <c r="A1138" s="349">
        <f t="shared" si="206"/>
        <v>1130</v>
      </c>
      <c r="B1138" s="423" t="s">
        <v>957</v>
      </c>
      <c r="C1138" s="423" t="s">
        <v>23</v>
      </c>
      <c r="D1138" s="413" t="s">
        <v>2173</v>
      </c>
      <c r="E1138" s="423" t="s">
        <v>1060</v>
      </c>
      <c r="F1138" s="417"/>
      <c r="G1138" s="424">
        <v>44649</v>
      </c>
      <c r="H1138" s="408">
        <v>2723037</v>
      </c>
      <c r="I1138" s="356"/>
      <c r="J1138" s="356"/>
      <c r="K1138" s="354">
        <f t="shared" si="198"/>
        <v>2723037</v>
      </c>
      <c r="L1138" s="425">
        <f>+'[84]Add21-22 (2)'!H128</f>
        <v>44649</v>
      </c>
      <c r="M1138" s="742">
        <v>289089.68333333329</v>
      </c>
      <c r="N1138" s="352">
        <f t="shared" si="205"/>
        <v>2433947.3166666669</v>
      </c>
      <c r="O1138" s="357">
        <f t="shared" si="197"/>
        <v>734</v>
      </c>
      <c r="P1138" s="410">
        <v>9</v>
      </c>
      <c r="Q1138" s="358">
        <f t="shared" si="196"/>
        <v>2.010958904109589</v>
      </c>
      <c r="R1138" s="359">
        <f t="shared" si="199"/>
        <v>6.9890410958904106</v>
      </c>
      <c r="S1138" s="360">
        <f t="shared" si="200"/>
        <v>6.9890410958904106</v>
      </c>
      <c r="T1138" s="361">
        <f t="shared" si="201"/>
        <v>0.10555555555555554</v>
      </c>
      <c r="U1138" s="362">
        <f t="shared" si="207"/>
        <v>287431.68333333329</v>
      </c>
      <c r="V1138" s="362">
        <f t="shared" si="204"/>
        <v>2146515.6333333338</v>
      </c>
      <c r="W1138" s="362">
        <f t="shared" si="202"/>
        <v>136152</v>
      </c>
      <c r="X1138" s="742">
        <f t="shared" si="203"/>
        <v>2010363.6333333338</v>
      </c>
    </row>
    <row r="1139" spans="1:24" ht="13.9">
      <c r="A1139" s="349">
        <f t="shared" si="206"/>
        <v>1131</v>
      </c>
      <c r="B1139" s="423" t="s">
        <v>957</v>
      </c>
      <c r="C1139" s="423" t="s">
        <v>23</v>
      </c>
      <c r="D1139" s="413" t="s">
        <v>2173</v>
      </c>
      <c r="E1139" s="423" t="s">
        <v>1060</v>
      </c>
      <c r="F1139" s="417"/>
      <c r="G1139" s="424">
        <v>44649</v>
      </c>
      <c r="H1139" s="408">
        <v>2723037</v>
      </c>
      <c r="I1139" s="356"/>
      <c r="J1139" s="356"/>
      <c r="K1139" s="354">
        <f t="shared" si="198"/>
        <v>2723037</v>
      </c>
      <c r="L1139" s="425">
        <f>+'[84]Add21-22 (2)'!H129</f>
        <v>44649</v>
      </c>
      <c r="M1139" s="742">
        <v>289089.68333333329</v>
      </c>
      <c r="N1139" s="352">
        <f t="shared" si="205"/>
        <v>2433947.3166666669</v>
      </c>
      <c r="O1139" s="357">
        <f t="shared" si="197"/>
        <v>734</v>
      </c>
      <c r="P1139" s="410">
        <v>9</v>
      </c>
      <c r="Q1139" s="358">
        <f t="shared" si="196"/>
        <v>2.010958904109589</v>
      </c>
      <c r="R1139" s="359">
        <f t="shared" si="199"/>
        <v>6.9890410958904106</v>
      </c>
      <c r="S1139" s="360">
        <f t="shared" si="200"/>
        <v>6.9890410958904106</v>
      </c>
      <c r="T1139" s="361">
        <f t="shared" si="201"/>
        <v>0.10555555555555554</v>
      </c>
      <c r="U1139" s="362">
        <f t="shared" si="207"/>
        <v>287431.68333333329</v>
      </c>
      <c r="V1139" s="362">
        <f t="shared" si="204"/>
        <v>2146515.6333333338</v>
      </c>
      <c r="W1139" s="362">
        <f t="shared" si="202"/>
        <v>136152</v>
      </c>
      <c r="X1139" s="742">
        <f t="shared" si="203"/>
        <v>2010363.6333333338</v>
      </c>
    </row>
    <row r="1140" spans="1:24" ht="13.9">
      <c r="A1140" s="349">
        <f t="shared" si="206"/>
        <v>1132</v>
      </c>
      <c r="B1140" s="423" t="s">
        <v>957</v>
      </c>
      <c r="C1140" s="423" t="s">
        <v>23</v>
      </c>
      <c r="D1140" s="413" t="s">
        <v>2173</v>
      </c>
      <c r="E1140" s="423" t="s">
        <v>1060</v>
      </c>
      <c r="F1140" s="417"/>
      <c r="G1140" s="424">
        <v>44649</v>
      </c>
      <c r="H1140" s="408">
        <v>2723037</v>
      </c>
      <c r="I1140" s="356"/>
      <c r="J1140" s="356"/>
      <c r="K1140" s="354">
        <f t="shared" si="198"/>
        <v>2723037</v>
      </c>
      <c r="L1140" s="425">
        <f>+'[84]Add21-22 (2)'!H130</f>
        <v>44649</v>
      </c>
      <c r="M1140" s="742">
        <v>289089.68333333329</v>
      </c>
      <c r="N1140" s="352">
        <f t="shared" si="205"/>
        <v>2433947.3166666669</v>
      </c>
      <c r="O1140" s="357">
        <f t="shared" si="197"/>
        <v>734</v>
      </c>
      <c r="P1140" s="410">
        <v>9</v>
      </c>
      <c r="Q1140" s="358">
        <f t="shared" si="196"/>
        <v>2.010958904109589</v>
      </c>
      <c r="R1140" s="359">
        <f t="shared" si="199"/>
        <v>6.9890410958904106</v>
      </c>
      <c r="S1140" s="360">
        <f t="shared" si="200"/>
        <v>6.9890410958904106</v>
      </c>
      <c r="T1140" s="361">
        <f t="shared" si="201"/>
        <v>0.10555555555555554</v>
      </c>
      <c r="U1140" s="362">
        <f t="shared" si="207"/>
        <v>287431.68333333329</v>
      </c>
      <c r="V1140" s="362">
        <f t="shared" si="204"/>
        <v>2146515.6333333338</v>
      </c>
      <c r="W1140" s="362">
        <f t="shared" si="202"/>
        <v>136152</v>
      </c>
      <c r="X1140" s="742">
        <f t="shared" si="203"/>
        <v>2010363.6333333338</v>
      </c>
    </row>
    <row r="1141" spans="1:24" ht="13.9">
      <c r="A1141" s="349">
        <f t="shared" si="206"/>
        <v>1133</v>
      </c>
      <c r="B1141" s="423" t="s">
        <v>1080</v>
      </c>
      <c r="C1141" s="423" t="s">
        <v>23</v>
      </c>
      <c r="D1141" s="413" t="s">
        <v>2173</v>
      </c>
      <c r="E1141" s="423" t="s">
        <v>1081</v>
      </c>
      <c r="F1141" s="417"/>
      <c r="G1141" s="424">
        <v>44649</v>
      </c>
      <c r="H1141" s="408">
        <v>3500000</v>
      </c>
      <c r="I1141" s="356"/>
      <c r="J1141" s="356"/>
      <c r="K1141" s="354">
        <f t="shared" si="198"/>
        <v>3500000</v>
      </c>
      <c r="L1141" s="425">
        <f>+'[84]Add21-22 (2)'!H131</f>
        <v>44649</v>
      </c>
      <c r="M1141" s="742">
        <v>371575.44444444438</v>
      </c>
      <c r="N1141" s="352">
        <f t="shared" si="205"/>
        <v>3128424.5555555555</v>
      </c>
      <c r="O1141" s="357">
        <f t="shared" si="197"/>
        <v>734</v>
      </c>
      <c r="P1141" s="410">
        <v>9</v>
      </c>
      <c r="Q1141" s="358">
        <f t="shared" si="196"/>
        <v>2.010958904109589</v>
      </c>
      <c r="R1141" s="359">
        <f t="shared" si="199"/>
        <v>6.9890410958904106</v>
      </c>
      <c r="S1141" s="360">
        <f t="shared" si="200"/>
        <v>6.9890410958904106</v>
      </c>
      <c r="T1141" s="361">
        <f t="shared" si="201"/>
        <v>0.10555555555555554</v>
      </c>
      <c r="U1141" s="362">
        <f t="shared" si="207"/>
        <v>369444.44444444438</v>
      </c>
      <c r="V1141" s="362">
        <f t="shared" si="204"/>
        <v>2758980.111111111</v>
      </c>
      <c r="W1141" s="362">
        <f t="shared" si="202"/>
        <v>175000</v>
      </c>
      <c r="X1141" s="742">
        <f t="shared" si="203"/>
        <v>2583980.111111111</v>
      </c>
    </row>
    <row r="1142" spans="1:24" ht="13.9">
      <c r="A1142" s="349">
        <f t="shared" si="206"/>
        <v>1134</v>
      </c>
      <c r="B1142" s="423" t="s">
        <v>1082</v>
      </c>
      <c r="C1142" s="423" t="s">
        <v>23</v>
      </c>
      <c r="D1142" s="413" t="s">
        <v>2173</v>
      </c>
      <c r="E1142" s="423" t="s">
        <v>1083</v>
      </c>
      <c r="F1142" s="417"/>
      <c r="G1142" s="424">
        <v>44632</v>
      </c>
      <c r="H1142" s="408">
        <v>672000</v>
      </c>
      <c r="I1142" s="356"/>
      <c r="J1142" s="356"/>
      <c r="K1142" s="354">
        <f t="shared" si="198"/>
        <v>672000</v>
      </c>
      <c r="L1142" s="425">
        <f>+'[84]Add21-22 (2)'!H132</f>
        <v>44649</v>
      </c>
      <c r="M1142" s="742">
        <v>71342.333333333328</v>
      </c>
      <c r="N1142" s="352">
        <f t="shared" si="205"/>
        <v>600657.66666666663</v>
      </c>
      <c r="O1142" s="357">
        <f t="shared" si="197"/>
        <v>734</v>
      </c>
      <c r="P1142" s="410">
        <v>9</v>
      </c>
      <c r="Q1142" s="358">
        <f t="shared" si="196"/>
        <v>2.010958904109589</v>
      </c>
      <c r="R1142" s="359">
        <f t="shared" si="199"/>
        <v>6.9890410958904106</v>
      </c>
      <c r="S1142" s="360">
        <f t="shared" si="200"/>
        <v>6.9890410958904106</v>
      </c>
      <c r="T1142" s="361">
        <f t="shared" si="201"/>
        <v>0.10555555555555554</v>
      </c>
      <c r="U1142" s="362">
        <f t="shared" si="207"/>
        <v>70933.333333333328</v>
      </c>
      <c r="V1142" s="362">
        <f t="shared" si="204"/>
        <v>529724.33333333326</v>
      </c>
      <c r="W1142" s="362">
        <f t="shared" si="202"/>
        <v>33600</v>
      </c>
      <c r="X1142" s="742">
        <f t="shared" si="203"/>
        <v>496124.33333333326</v>
      </c>
    </row>
    <row r="1143" spans="1:24" ht="13.9">
      <c r="A1143" s="349">
        <f t="shared" si="206"/>
        <v>1135</v>
      </c>
      <c r="B1143" s="423" t="s">
        <v>1082</v>
      </c>
      <c r="C1143" s="423" t="s">
        <v>23</v>
      </c>
      <c r="D1143" s="413" t="s">
        <v>2173</v>
      </c>
      <c r="E1143" s="423" t="s">
        <v>1083</v>
      </c>
      <c r="F1143" s="417"/>
      <c r="G1143" s="424">
        <v>44632</v>
      </c>
      <c r="H1143" s="408">
        <v>672000</v>
      </c>
      <c r="I1143" s="356"/>
      <c r="J1143" s="356"/>
      <c r="K1143" s="354">
        <f t="shared" si="198"/>
        <v>672000</v>
      </c>
      <c r="L1143" s="425">
        <f>+'[84]Add21-22 (2)'!H133</f>
        <v>44649</v>
      </c>
      <c r="M1143" s="742">
        <v>71342.333333333328</v>
      </c>
      <c r="N1143" s="352">
        <f t="shared" si="205"/>
        <v>600657.66666666663</v>
      </c>
      <c r="O1143" s="357">
        <f t="shared" si="197"/>
        <v>734</v>
      </c>
      <c r="P1143" s="410">
        <v>9</v>
      </c>
      <c r="Q1143" s="358">
        <f t="shared" si="196"/>
        <v>2.010958904109589</v>
      </c>
      <c r="R1143" s="359">
        <f t="shared" si="199"/>
        <v>6.9890410958904106</v>
      </c>
      <c r="S1143" s="360">
        <f t="shared" si="200"/>
        <v>6.9890410958904106</v>
      </c>
      <c r="T1143" s="361">
        <f t="shared" si="201"/>
        <v>0.10555555555555554</v>
      </c>
      <c r="U1143" s="362">
        <f t="shared" si="207"/>
        <v>70933.333333333328</v>
      </c>
      <c r="V1143" s="362">
        <f t="shared" si="204"/>
        <v>529724.33333333326</v>
      </c>
      <c r="W1143" s="362">
        <f t="shared" si="202"/>
        <v>33600</v>
      </c>
      <c r="X1143" s="742">
        <f t="shared" si="203"/>
        <v>496124.33333333326</v>
      </c>
    </row>
    <row r="1144" spans="1:24" ht="13.9">
      <c r="A1144" s="349">
        <f t="shared" si="206"/>
        <v>1136</v>
      </c>
      <c r="B1144" s="423" t="s">
        <v>1082</v>
      </c>
      <c r="C1144" s="423" t="s">
        <v>23</v>
      </c>
      <c r="D1144" s="413" t="s">
        <v>2173</v>
      </c>
      <c r="E1144" s="423" t="s">
        <v>1083</v>
      </c>
      <c r="F1144" s="417"/>
      <c r="G1144" s="424">
        <v>44632</v>
      </c>
      <c r="H1144" s="408">
        <v>956000</v>
      </c>
      <c r="I1144" s="356"/>
      <c r="J1144" s="356"/>
      <c r="K1144" s="354">
        <f t="shared" si="198"/>
        <v>956000</v>
      </c>
      <c r="L1144" s="425">
        <f>+'[84]Add21-22 (2)'!H134</f>
        <v>44649</v>
      </c>
      <c r="M1144" s="742">
        <v>101493.11111111109</v>
      </c>
      <c r="N1144" s="352">
        <f t="shared" si="205"/>
        <v>854506.88888888888</v>
      </c>
      <c r="O1144" s="357">
        <f t="shared" si="197"/>
        <v>734</v>
      </c>
      <c r="P1144" s="410">
        <v>9</v>
      </c>
      <c r="Q1144" s="358">
        <f t="shared" si="196"/>
        <v>2.010958904109589</v>
      </c>
      <c r="R1144" s="359">
        <f t="shared" si="199"/>
        <v>6.9890410958904106</v>
      </c>
      <c r="S1144" s="360">
        <f t="shared" si="200"/>
        <v>6.9890410958904106</v>
      </c>
      <c r="T1144" s="361">
        <f t="shared" si="201"/>
        <v>0.10555555555555554</v>
      </c>
      <c r="U1144" s="362">
        <f t="shared" si="207"/>
        <v>100911.11111111109</v>
      </c>
      <c r="V1144" s="362">
        <f t="shared" si="204"/>
        <v>753595.77777777775</v>
      </c>
      <c r="W1144" s="362">
        <f t="shared" si="202"/>
        <v>47800</v>
      </c>
      <c r="X1144" s="742">
        <f t="shared" si="203"/>
        <v>705795.77777777775</v>
      </c>
    </row>
    <row r="1145" spans="1:24" ht="13.9">
      <c r="A1145" s="349">
        <f t="shared" si="206"/>
        <v>1137</v>
      </c>
      <c r="B1145" s="423" t="s">
        <v>1084</v>
      </c>
      <c r="C1145" s="423" t="s">
        <v>23</v>
      </c>
      <c r="D1145" s="413" t="s">
        <v>2173</v>
      </c>
      <c r="E1145" s="423" t="s">
        <v>1085</v>
      </c>
      <c r="F1145" s="417"/>
      <c r="G1145" s="424">
        <v>44649</v>
      </c>
      <c r="H1145" s="408">
        <v>3300000</v>
      </c>
      <c r="I1145" s="356"/>
      <c r="J1145" s="356"/>
      <c r="K1145" s="354">
        <f t="shared" si="198"/>
        <v>3300000</v>
      </c>
      <c r="L1145" s="425">
        <f>+'[84]Add21-22 (2)'!H135</f>
        <v>44649</v>
      </c>
      <c r="M1145" s="742">
        <v>350342.33333333331</v>
      </c>
      <c r="N1145" s="352">
        <f t="shared" si="205"/>
        <v>2949657.6666666665</v>
      </c>
      <c r="O1145" s="357">
        <f t="shared" si="197"/>
        <v>734</v>
      </c>
      <c r="P1145" s="410">
        <v>9</v>
      </c>
      <c r="Q1145" s="358">
        <f t="shared" si="196"/>
        <v>2.010958904109589</v>
      </c>
      <c r="R1145" s="359">
        <f t="shared" si="199"/>
        <v>6.9890410958904106</v>
      </c>
      <c r="S1145" s="360">
        <f t="shared" si="200"/>
        <v>6.9890410958904106</v>
      </c>
      <c r="T1145" s="361">
        <f t="shared" si="201"/>
        <v>0.10555555555555554</v>
      </c>
      <c r="U1145" s="362">
        <f t="shared" si="207"/>
        <v>348333.33333333331</v>
      </c>
      <c r="V1145" s="362">
        <f t="shared" si="204"/>
        <v>2601324.333333333</v>
      </c>
      <c r="W1145" s="362">
        <f t="shared" si="202"/>
        <v>165000</v>
      </c>
      <c r="X1145" s="742">
        <f t="shared" si="203"/>
        <v>2436324.333333333</v>
      </c>
    </row>
    <row r="1146" spans="1:24" ht="13.9">
      <c r="A1146" s="349">
        <f t="shared" si="206"/>
        <v>1138</v>
      </c>
      <c r="B1146" s="423" t="s">
        <v>1084</v>
      </c>
      <c r="C1146" s="423" t="s">
        <v>23</v>
      </c>
      <c r="D1146" s="413" t="s">
        <v>2173</v>
      </c>
      <c r="E1146" s="423" t="s">
        <v>1085</v>
      </c>
      <c r="F1146" s="417"/>
      <c r="G1146" s="424">
        <v>44649</v>
      </c>
      <c r="H1146" s="408">
        <v>3300000</v>
      </c>
      <c r="I1146" s="356"/>
      <c r="J1146" s="356"/>
      <c r="K1146" s="354">
        <f t="shared" si="198"/>
        <v>3300000</v>
      </c>
      <c r="L1146" s="425">
        <f>+'[84]Add21-22 (2)'!H136</f>
        <v>44649</v>
      </c>
      <c r="M1146" s="742">
        <v>350342.33333333331</v>
      </c>
      <c r="N1146" s="352">
        <f t="shared" si="205"/>
        <v>2949657.6666666665</v>
      </c>
      <c r="O1146" s="357">
        <f t="shared" si="197"/>
        <v>734</v>
      </c>
      <c r="P1146" s="410">
        <v>9</v>
      </c>
      <c r="Q1146" s="358">
        <f t="shared" si="196"/>
        <v>2.010958904109589</v>
      </c>
      <c r="R1146" s="359">
        <f t="shared" si="199"/>
        <v>6.9890410958904106</v>
      </c>
      <c r="S1146" s="360">
        <f t="shared" si="200"/>
        <v>6.9890410958904106</v>
      </c>
      <c r="T1146" s="361">
        <f t="shared" si="201"/>
        <v>0.10555555555555554</v>
      </c>
      <c r="U1146" s="362">
        <f t="shared" si="207"/>
        <v>348333.33333333331</v>
      </c>
      <c r="V1146" s="362">
        <f t="shared" si="204"/>
        <v>2601324.333333333</v>
      </c>
      <c r="W1146" s="362">
        <f t="shared" si="202"/>
        <v>165000</v>
      </c>
      <c r="X1146" s="742">
        <f t="shared" si="203"/>
        <v>2436324.333333333</v>
      </c>
    </row>
    <row r="1147" spans="1:24" ht="13.9">
      <c r="A1147" s="349">
        <f t="shared" si="206"/>
        <v>1139</v>
      </c>
      <c r="B1147" s="423" t="s">
        <v>1086</v>
      </c>
      <c r="C1147" s="423" t="s">
        <v>25</v>
      </c>
      <c r="D1147" s="413" t="s">
        <v>2173</v>
      </c>
      <c r="E1147" s="423" t="s">
        <v>180</v>
      </c>
      <c r="F1147" s="417"/>
      <c r="G1147" s="424">
        <v>44632</v>
      </c>
      <c r="H1147" s="408">
        <v>444917</v>
      </c>
      <c r="I1147" s="356"/>
      <c r="J1147" s="356"/>
      <c r="K1147" s="354">
        <f t="shared" si="198"/>
        <v>444917</v>
      </c>
      <c r="L1147" s="425">
        <f>+'[84]Add21-22 (2)'!H137</f>
        <v>44632</v>
      </c>
      <c r="M1147" s="742">
        <v>49536.461111111108</v>
      </c>
      <c r="N1147" s="352">
        <f t="shared" si="205"/>
        <v>395380.5388888889</v>
      </c>
      <c r="O1147" s="357">
        <f t="shared" si="197"/>
        <v>751</v>
      </c>
      <c r="P1147" s="410">
        <v>9</v>
      </c>
      <c r="Q1147" s="358">
        <f t="shared" si="196"/>
        <v>2.0575342465753423</v>
      </c>
      <c r="R1147" s="359">
        <f t="shared" si="199"/>
        <v>6.9424657534246581</v>
      </c>
      <c r="S1147" s="360">
        <f t="shared" si="200"/>
        <v>6.9424657534246581</v>
      </c>
      <c r="T1147" s="361">
        <f t="shared" si="201"/>
        <v>0.10555555555555554</v>
      </c>
      <c r="U1147" s="362">
        <f t="shared" si="207"/>
        <v>46963.461111111108</v>
      </c>
      <c r="V1147" s="362">
        <f t="shared" si="204"/>
        <v>348417.0777777778</v>
      </c>
      <c r="W1147" s="362">
        <f t="shared" si="202"/>
        <v>22246</v>
      </c>
      <c r="X1147" s="742">
        <f t="shared" si="203"/>
        <v>326171.0777777778</v>
      </c>
    </row>
    <row r="1148" spans="1:24" ht="13.9">
      <c r="A1148" s="349">
        <f t="shared" si="206"/>
        <v>1140</v>
      </c>
      <c r="B1148" s="423" t="s">
        <v>1087</v>
      </c>
      <c r="C1148" s="423" t="s">
        <v>26</v>
      </c>
      <c r="D1148" s="413" t="s">
        <v>2173</v>
      </c>
      <c r="E1148" s="423" t="s">
        <v>1088</v>
      </c>
      <c r="F1148" s="417"/>
      <c r="G1148" s="424">
        <v>44305</v>
      </c>
      <c r="H1148" s="408">
        <v>1125000</v>
      </c>
      <c r="I1148" s="356"/>
      <c r="J1148" s="356"/>
      <c r="K1148" s="354">
        <f t="shared" si="198"/>
        <v>1125000</v>
      </c>
      <c r="L1148" s="425">
        <f>+'[84]Add21-22 (2)'!H138</f>
        <v>44305</v>
      </c>
      <c r="M1148" s="742">
        <v>237243</v>
      </c>
      <c r="N1148" s="352">
        <f t="shared" si="205"/>
        <v>887757</v>
      </c>
      <c r="O1148" s="357">
        <f t="shared" si="197"/>
        <v>1078</v>
      </c>
      <c r="P1148" s="410">
        <v>9</v>
      </c>
      <c r="Q1148" s="358">
        <f t="shared" si="196"/>
        <v>2.9534246575342467</v>
      </c>
      <c r="R1148" s="359">
        <f t="shared" si="199"/>
        <v>6.0465753424657533</v>
      </c>
      <c r="S1148" s="360">
        <f t="shared" si="200"/>
        <v>6.0465753424657533</v>
      </c>
      <c r="T1148" s="361">
        <f t="shared" si="201"/>
        <v>0.10555555555555554</v>
      </c>
      <c r="U1148" s="362">
        <f t="shared" si="207"/>
        <v>118749.99999999999</v>
      </c>
      <c r="V1148" s="362">
        <f t="shared" si="204"/>
        <v>769007</v>
      </c>
      <c r="W1148" s="362">
        <f t="shared" si="202"/>
        <v>56250</v>
      </c>
      <c r="X1148" s="742">
        <f t="shared" si="203"/>
        <v>712757</v>
      </c>
    </row>
    <row r="1149" spans="1:24" ht="13.9">
      <c r="A1149" s="349">
        <f t="shared" si="206"/>
        <v>1141</v>
      </c>
      <c r="B1149" s="423" t="s">
        <v>1089</v>
      </c>
      <c r="C1149" s="423" t="s">
        <v>27</v>
      </c>
      <c r="D1149" s="413" t="s">
        <v>2173</v>
      </c>
      <c r="E1149" s="423" t="s">
        <v>977</v>
      </c>
      <c r="F1149" s="417"/>
      <c r="G1149" s="424">
        <v>44287</v>
      </c>
      <c r="H1149" s="408">
        <v>570000</v>
      </c>
      <c r="I1149" s="356"/>
      <c r="J1149" s="356"/>
      <c r="K1149" s="354">
        <f t="shared" si="198"/>
        <v>570000</v>
      </c>
      <c r="L1149" s="425">
        <f>+'[84]Add21-22 (2)'!H139</f>
        <v>44287</v>
      </c>
      <c r="M1149" s="742">
        <v>123326.66666666666</v>
      </c>
      <c r="N1149" s="352">
        <f t="shared" si="205"/>
        <v>446673.33333333337</v>
      </c>
      <c r="O1149" s="357">
        <f t="shared" si="197"/>
        <v>1096</v>
      </c>
      <c r="P1149" s="410">
        <v>9</v>
      </c>
      <c r="Q1149" s="358">
        <f t="shared" si="196"/>
        <v>3.0027397260273974</v>
      </c>
      <c r="R1149" s="359">
        <f t="shared" si="199"/>
        <v>5.9972602739726026</v>
      </c>
      <c r="S1149" s="360">
        <f t="shared" si="200"/>
        <v>5.9972602739726026</v>
      </c>
      <c r="T1149" s="361">
        <f t="shared" si="201"/>
        <v>0.10555555555555554</v>
      </c>
      <c r="U1149" s="362">
        <f t="shared" si="207"/>
        <v>60166.666666666657</v>
      </c>
      <c r="V1149" s="362">
        <f t="shared" si="204"/>
        <v>386506.66666666674</v>
      </c>
      <c r="W1149" s="362">
        <f t="shared" si="202"/>
        <v>28500</v>
      </c>
      <c r="X1149" s="742">
        <f t="shared" si="203"/>
        <v>358006.66666666674</v>
      </c>
    </row>
    <row r="1150" spans="1:24" ht="13.9">
      <c r="A1150" s="349">
        <f t="shared" si="206"/>
        <v>1142</v>
      </c>
      <c r="B1150" s="423" t="s">
        <v>1089</v>
      </c>
      <c r="C1150" s="423" t="s">
        <v>27</v>
      </c>
      <c r="D1150" s="413" t="s">
        <v>2173</v>
      </c>
      <c r="E1150" s="423" t="s">
        <v>977</v>
      </c>
      <c r="F1150" s="417"/>
      <c r="G1150" s="424">
        <v>44365</v>
      </c>
      <c r="H1150" s="408">
        <v>285000</v>
      </c>
      <c r="I1150" s="356"/>
      <c r="J1150" s="356"/>
      <c r="K1150" s="354">
        <f t="shared" si="198"/>
        <v>285000</v>
      </c>
      <c r="L1150" s="425">
        <f>+'[84]Add21-22 (2)'!H140</f>
        <v>44365</v>
      </c>
      <c r="M1150" s="742">
        <v>54896.333333333328</v>
      </c>
      <c r="N1150" s="352">
        <f t="shared" si="205"/>
        <v>230103.66666666669</v>
      </c>
      <c r="O1150" s="357">
        <f t="shared" si="197"/>
        <v>1018</v>
      </c>
      <c r="P1150" s="410">
        <v>9</v>
      </c>
      <c r="Q1150" s="358">
        <f t="shared" si="196"/>
        <v>2.7890410958904108</v>
      </c>
      <c r="R1150" s="359">
        <f t="shared" si="199"/>
        <v>6.2109589041095887</v>
      </c>
      <c r="S1150" s="360">
        <f t="shared" si="200"/>
        <v>6.2109589041095887</v>
      </c>
      <c r="T1150" s="361">
        <f t="shared" si="201"/>
        <v>0.10555555555555554</v>
      </c>
      <c r="U1150" s="362">
        <f t="shared" si="207"/>
        <v>30083.333333333328</v>
      </c>
      <c r="V1150" s="362">
        <f t="shared" si="204"/>
        <v>200020.33333333337</v>
      </c>
      <c r="W1150" s="362">
        <f t="shared" si="202"/>
        <v>14250</v>
      </c>
      <c r="X1150" s="742">
        <f t="shared" si="203"/>
        <v>185770.33333333337</v>
      </c>
    </row>
    <row r="1151" spans="1:24" ht="13.9">
      <c r="A1151" s="349">
        <f t="shared" si="206"/>
        <v>1143</v>
      </c>
      <c r="B1151" s="423" t="s">
        <v>1089</v>
      </c>
      <c r="C1151" s="423" t="s">
        <v>27</v>
      </c>
      <c r="D1151" s="413" t="s">
        <v>2173</v>
      </c>
      <c r="E1151" s="423" t="s">
        <v>977</v>
      </c>
      <c r="F1151" s="417"/>
      <c r="G1151" s="424">
        <v>44600</v>
      </c>
      <c r="H1151" s="408">
        <v>870000</v>
      </c>
      <c r="I1151" s="356"/>
      <c r="J1151" s="356"/>
      <c r="K1151" s="354">
        <f t="shared" si="198"/>
        <v>870000</v>
      </c>
      <c r="L1151" s="425">
        <f>+'[84]Add21-22 (2)'!H141</f>
        <v>44600</v>
      </c>
      <c r="M1151" s="742">
        <v>105340.33333333331</v>
      </c>
      <c r="N1151" s="352">
        <f t="shared" si="205"/>
        <v>764659.66666666674</v>
      </c>
      <c r="O1151" s="357">
        <f t="shared" si="197"/>
        <v>783</v>
      </c>
      <c r="P1151" s="410">
        <v>9</v>
      </c>
      <c r="Q1151" s="358">
        <f t="shared" ref="Q1151:Q1165" si="208">+O1151/365</f>
        <v>2.1452054794520548</v>
      </c>
      <c r="R1151" s="359">
        <f t="shared" si="199"/>
        <v>6.8547945205479452</v>
      </c>
      <c r="S1151" s="360">
        <f t="shared" si="200"/>
        <v>6.8547945205479452</v>
      </c>
      <c r="T1151" s="361">
        <f t="shared" si="201"/>
        <v>0.10555555555555554</v>
      </c>
      <c r="U1151" s="362">
        <f t="shared" si="207"/>
        <v>91833.333333333314</v>
      </c>
      <c r="V1151" s="362">
        <f t="shared" si="204"/>
        <v>672826.33333333349</v>
      </c>
      <c r="W1151" s="362">
        <f t="shared" si="202"/>
        <v>43500</v>
      </c>
      <c r="X1151" s="742">
        <f t="shared" si="203"/>
        <v>629326.33333333349</v>
      </c>
    </row>
    <row r="1152" spans="1:24" ht="13.9">
      <c r="A1152" s="349">
        <f t="shared" si="206"/>
        <v>1144</v>
      </c>
      <c r="B1152" s="423" t="s">
        <v>1089</v>
      </c>
      <c r="C1152" s="423" t="s">
        <v>27</v>
      </c>
      <c r="D1152" s="413" t="s">
        <v>2173</v>
      </c>
      <c r="E1152" s="423" t="s">
        <v>977</v>
      </c>
      <c r="F1152" s="417"/>
      <c r="G1152" s="424">
        <v>44643</v>
      </c>
      <c r="H1152" s="408">
        <v>130000</v>
      </c>
      <c r="I1152" s="356"/>
      <c r="J1152" s="356"/>
      <c r="K1152" s="354">
        <f t="shared" si="198"/>
        <v>130000</v>
      </c>
      <c r="L1152" s="425">
        <f>+'[84]Add21-22 (2)'!H142</f>
        <v>44643</v>
      </c>
      <c r="M1152" s="742">
        <v>14039.222222222221</v>
      </c>
      <c r="N1152" s="352">
        <f t="shared" si="205"/>
        <v>115960.77777777778</v>
      </c>
      <c r="O1152" s="357">
        <f t="shared" si="197"/>
        <v>740</v>
      </c>
      <c r="P1152" s="410">
        <v>9</v>
      </c>
      <c r="Q1152" s="358">
        <f t="shared" si="208"/>
        <v>2.0273972602739727</v>
      </c>
      <c r="R1152" s="359">
        <f t="shared" si="199"/>
        <v>6.9726027397260273</v>
      </c>
      <c r="S1152" s="360">
        <f t="shared" si="200"/>
        <v>6.9726027397260273</v>
      </c>
      <c r="T1152" s="361">
        <f t="shared" si="201"/>
        <v>0.10555555555555554</v>
      </c>
      <c r="U1152" s="362">
        <f t="shared" si="207"/>
        <v>13722.222222222221</v>
      </c>
      <c r="V1152" s="362">
        <f t="shared" si="204"/>
        <v>102238.55555555556</v>
      </c>
      <c r="W1152" s="362">
        <f t="shared" si="202"/>
        <v>6500</v>
      </c>
      <c r="X1152" s="742">
        <f t="shared" si="203"/>
        <v>95738.555555555562</v>
      </c>
    </row>
    <row r="1153" spans="1:24" ht="13.9">
      <c r="A1153" s="349">
        <f t="shared" si="206"/>
        <v>1145</v>
      </c>
      <c r="B1153" s="423" t="s">
        <v>1090</v>
      </c>
      <c r="C1153" s="423" t="s">
        <v>28</v>
      </c>
      <c r="D1153" s="413" t="s">
        <v>2173</v>
      </c>
      <c r="E1153" s="423" t="s">
        <v>1091</v>
      </c>
      <c r="F1153" s="417"/>
      <c r="G1153" s="424">
        <v>44431</v>
      </c>
      <c r="H1153" s="408">
        <v>70000</v>
      </c>
      <c r="I1153" s="356"/>
      <c r="J1153" s="356"/>
      <c r="K1153" s="354">
        <f t="shared" si="198"/>
        <v>70000</v>
      </c>
      <c r="L1153" s="425">
        <f>+'[84]Add21-22 (2)'!H143</f>
        <v>44431</v>
      </c>
      <c r="M1153" s="742">
        <v>12076.888888888887</v>
      </c>
      <c r="N1153" s="352">
        <f t="shared" si="205"/>
        <v>57923.111111111109</v>
      </c>
      <c r="O1153" s="357">
        <f t="shared" si="197"/>
        <v>952</v>
      </c>
      <c r="P1153" s="410">
        <v>9</v>
      </c>
      <c r="Q1153" s="358">
        <f t="shared" si="208"/>
        <v>2.6082191780821917</v>
      </c>
      <c r="R1153" s="359">
        <f t="shared" si="199"/>
        <v>6.3917808219178083</v>
      </c>
      <c r="S1153" s="360">
        <f t="shared" si="200"/>
        <v>6.3917808219178083</v>
      </c>
      <c r="T1153" s="361">
        <f t="shared" si="201"/>
        <v>0.10555555555555554</v>
      </c>
      <c r="U1153" s="362">
        <f t="shared" si="207"/>
        <v>7388.8888888888878</v>
      </c>
      <c r="V1153" s="362">
        <f t="shared" si="204"/>
        <v>50534.222222222219</v>
      </c>
      <c r="W1153" s="362">
        <f t="shared" si="202"/>
        <v>3500</v>
      </c>
      <c r="X1153" s="742">
        <f t="shared" si="203"/>
        <v>47034.222222222219</v>
      </c>
    </row>
    <row r="1154" spans="1:24" ht="13.9">
      <c r="A1154" s="349">
        <f t="shared" si="206"/>
        <v>1146</v>
      </c>
      <c r="B1154" s="423" t="s">
        <v>1092</v>
      </c>
      <c r="C1154" s="423" t="s">
        <v>28</v>
      </c>
      <c r="D1154" s="413" t="s">
        <v>2173</v>
      </c>
      <c r="E1154" s="423" t="s">
        <v>180</v>
      </c>
      <c r="F1154" s="417"/>
      <c r="G1154" s="424">
        <v>44581</v>
      </c>
      <c r="H1154" s="408">
        <v>432205</v>
      </c>
      <c r="I1154" s="356"/>
      <c r="J1154" s="356"/>
      <c r="K1154" s="354">
        <f t="shared" si="198"/>
        <v>432205</v>
      </c>
      <c r="L1154" s="425">
        <f>+'[84]Add21-22 (2)'!H144</f>
        <v>44581</v>
      </c>
      <c r="M1154" s="742">
        <v>54831.638888888883</v>
      </c>
      <c r="N1154" s="352">
        <f t="shared" si="205"/>
        <v>377373.36111111112</v>
      </c>
      <c r="O1154" s="357">
        <f t="shared" si="197"/>
        <v>802</v>
      </c>
      <c r="P1154" s="410">
        <v>9</v>
      </c>
      <c r="Q1154" s="358">
        <f t="shared" si="208"/>
        <v>2.1972602739726028</v>
      </c>
      <c r="R1154" s="359">
        <f t="shared" si="199"/>
        <v>6.8027397260273972</v>
      </c>
      <c r="S1154" s="360">
        <f t="shared" si="200"/>
        <v>6.8027397260273972</v>
      </c>
      <c r="T1154" s="361">
        <f t="shared" si="201"/>
        <v>0.10555555555555554</v>
      </c>
      <c r="U1154" s="362">
        <f t="shared" si="207"/>
        <v>45621.638888888883</v>
      </c>
      <c r="V1154" s="362">
        <f t="shared" si="204"/>
        <v>331751.72222222225</v>
      </c>
      <c r="W1154" s="362">
        <f t="shared" si="202"/>
        <v>21610</v>
      </c>
      <c r="X1154" s="742">
        <f t="shared" si="203"/>
        <v>310141.72222222225</v>
      </c>
    </row>
    <row r="1155" spans="1:24" ht="13.9">
      <c r="A1155" s="349">
        <f t="shared" si="206"/>
        <v>1147</v>
      </c>
      <c r="B1155" s="423" t="s">
        <v>1093</v>
      </c>
      <c r="C1155" s="423" t="s">
        <v>1094</v>
      </c>
      <c r="D1155" s="413" t="s">
        <v>2173</v>
      </c>
      <c r="E1155" s="423" t="s">
        <v>1095</v>
      </c>
      <c r="F1155" s="417"/>
      <c r="G1155" s="424">
        <v>44588</v>
      </c>
      <c r="H1155" s="408">
        <v>2703970</v>
      </c>
      <c r="I1155" s="356"/>
      <c r="J1155" s="356"/>
      <c r="K1155" s="354">
        <f t="shared" si="198"/>
        <v>2703970</v>
      </c>
      <c r="L1155" s="425">
        <f>+'[84]Add21-22 (2)'!H145</f>
        <v>44593</v>
      </c>
      <c r="M1155" s="742">
        <v>333160.0555555555</v>
      </c>
      <c r="N1155" s="352">
        <f t="shared" si="205"/>
        <v>2370809.9444444445</v>
      </c>
      <c r="O1155" s="357">
        <f t="shared" ref="O1155:O1218" si="209">+$O$3-L1155+1</f>
        <v>790</v>
      </c>
      <c r="P1155" s="410">
        <v>9</v>
      </c>
      <c r="Q1155" s="358">
        <f t="shared" si="208"/>
        <v>2.1643835616438358</v>
      </c>
      <c r="R1155" s="359">
        <f t="shared" si="199"/>
        <v>6.8356164383561637</v>
      </c>
      <c r="S1155" s="360">
        <f t="shared" si="200"/>
        <v>6.8356164383561637</v>
      </c>
      <c r="T1155" s="361">
        <f t="shared" si="201"/>
        <v>0.10555555555555554</v>
      </c>
      <c r="U1155" s="362">
        <f t="shared" si="207"/>
        <v>285419.0555555555</v>
      </c>
      <c r="V1155" s="362">
        <f t="shared" si="204"/>
        <v>2085390.888888889</v>
      </c>
      <c r="W1155" s="362">
        <f t="shared" si="202"/>
        <v>135199</v>
      </c>
      <c r="X1155" s="742">
        <f t="shared" si="203"/>
        <v>1950191.888888889</v>
      </c>
    </row>
    <row r="1156" spans="1:24" ht="13.9">
      <c r="A1156" s="349">
        <f t="shared" si="206"/>
        <v>1148</v>
      </c>
      <c r="B1156" s="423" t="s">
        <v>1096</v>
      </c>
      <c r="C1156" s="423" t="s">
        <v>1094</v>
      </c>
      <c r="D1156" s="413" t="s">
        <v>2173</v>
      </c>
      <c r="E1156" s="423" t="s">
        <v>981</v>
      </c>
      <c r="F1156" s="417"/>
      <c r="G1156" s="424">
        <v>44592</v>
      </c>
      <c r="H1156" s="408">
        <v>3840149</v>
      </c>
      <c r="I1156" s="356"/>
      <c r="J1156" s="356"/>
      <c r="K1156" s="354">
        <f t="shared" ref="K1156:K1219" si="210">+H1156+I1156-J1156</f>
        <v>3840149</v>
      </c>
      <c r="L1156" s="425">
        <f>+'[84]Add21-22 (2)'!H146</f>
        <v>44613</v>
      </c>
      <c r="M1156" s="742">
        <v>449771.06111111108</v>
      </c>
      <c r="N1156" s="352">
        <f t="shared" si="205"/>
        <v>3390377.9388888888</v>
      </c>
      <c r="O1156" s="357">
        <f t="shared" si="209"/>
        <v>770</v>
      </c>
      <c r="P1156" s="410">
        <v>9</v>
      </c>
      <c r="Q1156" s="358">
        <f t="shared" si="208"/>
        <v>2.1095890410958904</v>
      </c>
      <c r="R1156" s="359">
        <f t="shared" ref="R1156:R1165" si="211">+P1156-Q1156</f>
        <v>6.8904109589041092</v>
      </c>
      <c r="S1156" s="360">
        <f t="shared" ref="S1156:S1165" si="212">IF(R1156&lt;0,0,IF(R1156&gt;365,365,R1156))</f>
        <v>6.8904109589041092</v>
      </c>
      <c r="T1156" s="361">
        <f t="shared" ref="T1156:T1165" si="213">1/P1156*0.95</f>
        <v>0.10555555555555554</v>
      </c>
      <c r="U1156" s="362">
        <f t="shared" si="207"/>
        <v>405349.06111111108</v>
      </c>
      <c r="V1156" s="362">
        <f t="shared" si="204"/>
        <v>2985028.8777777776</v>
      </c>
      <c r="W1156" s="362">
        <f t="shared" ref="W1156:W1165" si="214">ROUND(+H1156*5%,0)</f>
        <v>192007</v>
      </c>
      <c r="X1156" s="742">
        <f t="shared" ref="X1156:X1219" si="215">+V1156-W1156</f>
        <v>2793021.8777777776</v>
      </c>
    </row>
    <row r="1157" spans="1:24" ht="13.9">
      <c r="A1157" s="349">
        <f t="shared" si="206"/>
        <v>1149</v>
      </c>
      <c r="B1157" s="423" t="s">
        <v>978</v>
      </c>
      <c r="C1157" s="423" t="s">
        <v>1094</v>
      </c>
      <c r="D1157" s="413" t="s">
        <v>2173</v>
      </c>
      <c r="E1157" s="423" t="s">
        <v>981</v>
      </c>
      <c r="F1157" s="417"/>
      <c r="G1157" s="424">
        <v>44641</v>
      </c>
      <c r="H1157" s="408">
        <v>10800000</v>
      </c>
      <c r="I1157" s="356"/>
      <c r="J1157" s="356"/>
      <c r="K1157" s="354">
        <f t="shared" si="210"/>
        <v>10800000</v>
      </c>
      <c r="L1157" s="425">
        <f>+'[84]Add21-22 (2)'!H147</f>
        <v>44644</v>
      </c>
      <c r="M1157" s="742">
        <v>1163013.9999999998</v>
      </c>
      <c r="N1157" s="352">
        <f t="shared" si="205"/>
        <v>9636986</v>
      </c>
      <c r="O1157" s="357">
        <f t="shared" si="209"/>
        <v>739</v>
      </c>
      <c r="P1157" s="410">
        <v>9</v>
      </c>
      <c r="Q1157" s="358">
        <f t="shared" si="208"/>
        <v>2.0246575342465754</v>
      </c>
      <c r="R1157" s="359">
        <f t="shared" si="211"/>
        <v>6.9753424657534246</v>
      </c>
      <c r="S1157" s="360">
        <f t="shared" si="212"/>
        <v>6.9753424657534246</v>
      </c>
      <c r="T1157" s="361">
        <f t="shared" si="213"/>
        <v>0.10555555555555554</v>
      </c>
      <c r="U1157" s="362">
        <f t="shared" si="207"/>
        <v>1139999.9999999998</v>
      </c>
      <c r="V1157" s="362">
        <f t="shared" ref="V1157:V1165" si="216">+N1157-U1157</f>
        <v>8496986</v>
      </c>
      <c r="W1157" s="362">
        <f t="shared" si="214"/>
        <v>540000</v>
      </c>
      <c r="X1157" s="742">
        <f t="shared" si="215"/>
        <v>7956986</v>
      </c>
    </row>
    <row r="1158" spans="1:24" ht="13.9">
      <c r="A1158" s="349">
        <f t="shared" si="206"/>
        <v>1150</v>
      </c>
      <c r="B1158" s="423" t="s">
        <v>1097</v>
      </c>
      <c r="C1158" s="423" t="s">
        <v>1094</v>
      </c>
      <c r="D1158" s="413" t="s">
        <v>2173</v>
      </c>
      <c r="E1158" s="423" t="s">
        <v>170</v>
      </c>
      <c r="F1158" s="417"/>
      <c r="G1158" s="424">
        <v>44623</v>
      </c>
      <c r="H1158" s="408">
        <v>4375000</v>
      </c>
      <c r="I1158" s="356"/>
      <c r="J1158" s="356"/>
      <c r="K1158" s="354">
        <f t="shared" si="210"/>
        <v>4375000</v>
      </c>
      <c r="L1158" s="425">
        <f>+'[84]Add21-22 (2)'!H148</f>
        <v>44623</v>
      </c>
      <c r="M1158" s="742">
        <v>499096.5555555555</v>
      </c>
      <c r="N1158" s="352">
        <f t="shared" ref="N1158:N1221" si="217">+K1158-M1158</f>
        <v>3875903.4444444445</v>
      </c>
      <c r="O1158" s="357">
        <f t="shared" si="209"/>
        <v>760</v>
      </c>
      <c r="P1158" s="410">
        <v>9</v>
      </c>
      <c r="Q1158" s="358">
        <f t="shared" si="208"/>
        <v>2.0821917808219177</v>
      </c>
      <c r="R1158" s="359">
        <f t="shared" si="211"/>
        <v>6.9178082191780828</v>
      </c>
      <c r="S1158" s="360">
        <f t="shared" si="212"/>
        <v>6.9178082191780828</v>
      </c>
      <c r="T1158" s="361">
        <f t="shared" si="213"/>
        <v>0.10555555555555554</v>
      </c>
      <c r="U1158" s="362">
        <f t="shared" si="207"/>
        <v>461805.5555555555</v>
      </c>
      <c r="V1158" s="362">
        <f t="shared" si="216"/>
        <v>3414097.888888889</v>
      </c>
      <c r="W1158" s="362">
        <f t="shared" si="214"/>
        <v>218750</v>
      </c>
      <c r="X1158" s="742">
        <f t="shared" si="215"/>
        <v>3195347.888888889</v>
      </c>
    </row>
    <row r="1159" spans="1:24" ht="13.9">
      <c r="A1159" s="349">
        <f t="shared" si="206"/>
        <v>1151</v>
      </c>
      <c r="B1159" s="423" t="s">
        <v>1099</v>
      </c>
      <c r="C1159" s="423" t="s">
        <v>1094</v>
      </c>
      <c r="D1159" s="413" t="s">
        <v>2173</v>
      </c>
      <c r="E1159" s="423" t="s">
        <v>1101</v>
      </c>
      <c r="F1159" s="417"/>
      <c r="G1159" s="424">
        <v>44648</v>
      </c>
      <c r="H1159" s="408">
        <v>2187740</v>
      </c>
      <c r="I1159" s="356"/>
      <c r="J1159" s="356"/>
      <c r="K1159" s="354">
        <f t="shared" si="210"/>
        <v>2187740</v>
      </c>
      <c r="L1159" s="425">
        <f>+'[84]Add21-22 (2)'!H149</f>
        <v>44648</v>
      </c>
      <c r="M1159" s="742">
        <v>232926.11111111107</v>
      </c>
      <c r="N1159" s="352">
        <f t="shared" si="217"/>
        <v>1954813.888888889</v>
      </c>
      <c r="O1159" s="357">
        <f t="shared" si="209"/>
        <v>735</v>
      </c>
      <c r="P1159" s="410">
        <v>9</v>
      </c>
      <c r="Q1159" s="358">
        <f t="shared" si="208"/>
        <v>2.0136986301369864</v>
      </c>
      <c r="R1159" s="359">
        <f t="shared" si="211"/>
        <v>6.9863013698630141</v>
      </c>
      <c r="S1159" s="360">
        <f t="shared" si="212"/>
        <v>6.9863013698630141</v>
      </c>
      <c r="T1159" s="361">
        <f t="shared" si="213"/>
        <v>0.10555555555555554</v>
      </c>
      <c r="U1159" s="362">
        <f t="shared" si="207"/>
        <v>230928.11111111107</v>
      </c>
      <c r="V1159" s="362">
        <f t="shared" si="216"/>
        <v>1723885.777777778</v>
      </c>
      <c r="W1159" s="362">
        <f t="shared" si="214"/>
        <v>109387</v>
      </c>
      <c r="X1159" s="742">
        <f t="shared" si="215"/>
        <v>1614498.777777778</v>
      </c>
    </row>
    <row r="1160" spans="1:24" ht="13.9">
      <c r="A1160" s="349">
        <f t="shared" si="206"/>
        <v>1152</v>
      </c>
      <c r="B1160" s="423" t="s">
        <v>1102</v>
      </c>
      <c r="C1160" s="423" t="s">
        <v>1094</v>
      </c>
      <c r="D1160" s="413" t="s">
        <v>2173</v>
      </c>
      <c r="E1160" s="423" t="s">
        <v>1103</v>
      </c>
      <c r="F1160" s="417"/>
      <c r="G1160" s="424">
        <v>44648</v>
      </c>
      <c r="H1160" s="408">
        <v>390880</v>
      </c>
      <c r="I1160" s="356"/>
      <c r="J1160" s="356"/>
      <c r="K1160" s="354">
        <f t="shared" si="210"/>
        <v>390880</v>
      </c>
      <c r="L1160" s="425">
        <f>+'[84]Add21-22 (2)'!H150</f>
        <v>44648</v>
      </c>
      <c r="M1160" s="742">
        <v>41616.555555555547</v>
      </c>
      <c r="N1160" s="352">
        <f t="shared" si="217"/>
        <v>349263.44444444444</v>
      </c>
      <c r="O1160" s="357">
        <f t="shared" si="209"/>
        <v>735</v>
      </c>
      <c r="P1160" s="410">
        <v>9</v>
      </c>
      <c r="Q1160" s="358">
        <f t="shared" si="208"/>
        <v>2.0136986301369864</v>
      </c>
      <c r="R1160" s="359">
        <f t="shared" si="211"/>
        <v>6.9863013698630141</v>
      </c>
      <c r="S1160" s="360">
        <f t="shared" si="212"/>
        <v>6.9863013698630141</v>
      </c>
      <c r="T1160" s="361">
        <f t="shared" si="213"/>
        <v>0.10555555555555554</v>
      </c>
      <c r="U1160" s="362">
        <f t="shared" si="207"/>
        <v>41259.555555555547</v>
      </c>
      <c r="V1160" s="362">
        <f t="shared" si="216"/>
        <v>308003.88888888888</v>
      </c>
      <c r="W1160" s="362">
        <f t="shared" si="214"/>
        <v>19544</v>
      </c>
      <c r="X1160" s="742">
        <f t="shared" si="215"/>
        <v>288459.88888888888</v>
      </c>
    </row>
    <row r="1161" spans="1:24" ht="13.9">
      <c r="A1161" s="349">
        <f t="shared" ref="A1161:A1224" si="218">+A1160+1</f>
        <v>1153</v>
      </c>
      <c r="B1161" s="423" t="s">
        <v>1104</v>
      </c>
      <c r="C1161" s="423" t="s">
        <v>1094</v>
      </c>
      <c r="D1161" s="413" t="s">
        <v>2173</v>
      </c>
      <c r="E1161" s="423" t="s">
        <v>170</v>
      </c>
      <c r="F1161" s="417"/>
      <c r="G1161" s="424">
        <v>44648</v>
      </c>
      <c r="H1161" s="408">
        <v>1050000</v>
      </c>
      <c r="I1161" s="356"/>
      <c r="J1161" s="356"/>
      <c r="K1161" s="354">
        <f t="shared" si="210"/>
        <v>1050000</v>
      </c>
      <c r="L1161" s="425">
        <f>+'[84]Add21-22 (2)'!H151</f>
        <v>44648</v>
      </c>
      <c r="M1161" s="742">
        <v>111792.33333333331</v>
      </c>
      <c r="N1161" s="352">
        <f t="shared" si="217"/>
        <v>938207.66666666674</v>
      </c>
      <c r="O1161" s="357">
        <f t="shared" si="209"/>
        <v>735</v>
      </c>
      <c r="P1161" s="410">
        <v>9</v>
      </c>
      <c r="Q1161" s="358">
        <f t="shared" si="208"/>
        <v>2.0136986301369864</v>
      </c>
      <c r="R1161" s="359">
        <f t="shared" si="211"/>
        <v>6.9863013698630141</v>
      </c>
      <c r="S1161" s="360">
        <f t="shared" si="212"/>
        <v>6.9863013698630141</v>
      </c>
      <c r="T1161" s="361">
        <f t="shared" si="213"/>
        <v>0.10555555555555554</v>
      </c>
      <c r="U1161" s="362">
        <f t="shared" si="207"/>
        <v>110833.33333333331</v>
      </c>
      <c r="V1161" s="362">
        <f t="shared" si="216"/>
        <v>827374.33333333349</v>
      </c>
      <c r="W1161" s="362">
        <f t="shared" si="214"/>
        <v>52500</v>
      </c>
      <c r="X1161" s="742">
        <f t="shared" si="215"/>
        <v>774874.33333333349</v>
      </c>
    </row>
    <row r="1162" spans="1:24" ht="13.9">
      <c r="A1162" s="349">
        <f t="shared" si="218"/>
        <v>1154</v>
      </c>
      <c r="B1162" s="423" t="s">
        <v>1106</v>
      </c>
      <c r="C1162" s="423" t="s">
        <v>29</v>
      </c>
      <c r="D1162" s="413" t="s">
        <v>2173</v>
      </c>
      <c r="E1162" s="423" t="s">
        <v>1103</v>
      </c>
      <c r="F1162" s="417"/>
      <c r="G1162" s="424">
        <v>44634</v>
      </c>
      <c r="H1162" s="408">
        <v>392865</v>
      </c>
      <c r="I1162" s="356">
        <v>0</v>
      </c>
      <c r="J1162" s="356">
        <v>0</v>
      </c>
      <c r="K1162" s="354">
        <f t="shared" si="210"/>
        <v>392865</v>
      </c>
      <c r="L1162" s="425">
        <f>+'[84]Add21-22 (2)'!H152</f>
        <v>44634</v>
      </c>
      <c r="M1162" s="742">
        <v>43502.083333333328</v>
      </c>
      <c r="N1162" s="352">
        <f t="shared" si="217"/>
        <v>349362.91666666669</v>
      </c>
      <c r="O1162" s="357">
        <f t="shared" si="209"/>
        <v>749</v>
      </c>
      <c r="P1162" s="410">
        <v>9</v>
      </c>
      <c r="Q1162" s="358">
        <f t="shared" si="208"/>
        <v>2.0520547945205481</v>
      </c>
      <c r="R1162" s="359">
        <f t="shared" si="211"/>
        <v>6.9479452054794519</v>
      </c>
      <c r="S1162" s="360">
        <f t="shared" si="212"/>
        <v>6.9479452054794519</v>
      </c>
      <c r="T1162" s="361">
        <f t="shared" si="213"/>
        <v>0.10555555555555554</v>
      </c>
      <c r="U1162" s="362">
        <f t="shared" si="207"/>
        <v>41469.083333333328</v>
      </c>
      <c r="V1162" s="362">
        <f t="shared" si="216"/>
        <v>307893.83333333337</v>
      </c>
      <c r="W1162" s="362">
        <f t="shared" si="214"/>
        <v>19643</v>
      </c>
      <c r="X1162" s="742">
        <f t="shared" si="215"/>
        <v>288250.83333333337</v>
      </c>
    </row>
    <row r="1163" spans="1:24" ht="13.9">
      <c r="A1163" s="349">
        <f t="shared" si="218"/>
        <v>1155</v>
      </c>
      <c r="B1163" s="423" t="s">
        <v>1107</v>
      </c>
      <c r="C1163" s="423" t="s">
        <v>1108</v>
      </c>
      <c r="D1163" s="413" t="s">
        <v>2173</v>
      </c>
      <c r="E1163" s="423" t="s">
        <v>180</v>
      </c>
      <c r="F1163" s="417"/>
      <c r="G1163" s="424">
        <v>44620</v>
      </c>
      <c r="H1163" s="408">
        <v>677966</v>
      </c>
      <c r="I1163" s="356"/>
      <c r="J1163" s="356"/>
      <c r="K1163" s="354">
        <f t="shared" si="210"/>
        <v>677966</v>
      </c>
      <c r="L1163" s="425">
        <f>+'[84]Add21-22 (2)'!H153</f>
        <v>44620</v>
      </c>
      <c r="M1163" s="742">
        <v>77961.077777777769</v>
      </c>
      <c r="N1163" s="352">
        <f t="shared" si="217"/>
        <v>600004.9222222222</v>
      </c>
      <c r="O1163" s="357">
        <f t="shared" si="209"/>
        <v>763</v>
      </c>
      <c r="P1163" s="410">
        <v>9</v>
      </c>
      <c r="Q1163" s="358">
        <f t="shared" si="208"/>
        <v>2.0904109589041098</v>
      </c>
      <c r="R1163" s="359">
        <f t="shared" si="211"/>
        <v>6.9095890410958898</v>
      </c>
      <c r="S1163" s="360">
        <f t="shared" si="212"/>
        <v>6.9095890410958898</v>
      </c>
      <c r="T1163" s="361">
        <f t="shared" si="213"/>
        <v>0.10555555555555554</v>
      </c>
      <c r="U1163" s="362">
        <f t="shared" si="207"/>
        <v>71563.077777777769</v>
      </c>
      <c r="V1163" s="362">
        <f t="shared" si="216"/>
        <v>528441.8444444444</v>
      </c>
      <c r="W1163" s="362">
        <f t="shared" si="214"/>
        <v>33898</v>
      </c>
      <c r="X1163" s="742">
        <f t="shared" si="215"/>
        <v>494543.8444444444</v>
      </c>
    </row>
    <row r="1164" spans="1:24" ht="13.9">
      <c r="A1164" s="349">
        <f t="shared" si="218"/>
        <v>1156</v>
      </c>
      <c r="B1164" s="423" t="s">
        <v>1107</v>
      </c>
      <c r="C1164" s="423" t="s">
        <v>1108</v>
      </c>
      <c r="D1164" s="413" t="s">
        <v>2173</v>
      </c>
      <c r="E1164" s="423" t="s">
        <v>180</v>
      </c>
      <c r="F1164" s="417"/>
      <c r="G1164" s="424">
        <v>44620</v>
      </c>
      <c r="H1164" s="408">
        <v>677966</v>
      </c>
      <c r="I1164" s="356"/>
      <c r="J1164" s="356"/>
      <c r="K1164" s="354">
        <f t="shared" si="210"/>
        <v>677966</v>
      </c>
      <c r="L1164" s="425">
        <f>+'[84]Add21-22 (2)'!H154</f>
        <v>44620</v>
      </c>
      <c r="M1164" s="742">
        <v>77961.077777777769</v>
      </c>
      <c r="N1164" s="352">
        <f t="shared" si="217"/>
        <v>600004.9222222222</v>
      </c>
      <c r="O1164" s="357">
        <f t="shared" si="209"/>
        <v>763</v>
      </c>
      <c r="P1164" s="410">
        <v>9</v>
      </c>
      <c r="Q1164" s="358">
        <f t="shared" si="208"/>
        <v>2.0904109589041098</v>
      </c>
      <c r="R1164" s="359">
        <f t="shared" si="211"/>
        <v>6.9095890410958898</v>
      </c>
      <c r="S1164" s="360">
        <f t="shared" si="212"/>
        <v>6.9095890410958898</v>
      </c>
      <c r="T1164" s="361">
        <f t="shared" si="213"/>
        <v>0.10555555555555554</v>
      </c>
      <c r="U1164" s="362">
        <f t="shared" si="207"/>
        <v>71563.077777777769</v>
      </c>
      <c r="V1164" s="362">
        <f t="shared" si="216"/>
        <v>528441.8444444444</v>
      </c>
      <c r="W1164" s="362">
        <f t="shared" si="214"/>
        <v>33898</v>
      </c>
      <c r="X1164" s="742">
        <f t="shared" si="215"/>
        <v>494543.8444444444</v>
      </c>
    </row>
    <row r="1165" spans="1:24" ht="13.9">
      <c r="A1165" s="349">
        <f t="shared" si="218"/>
        <v>1157</v>
      </c>
      <c r="B1165" s="423" t="s">
        <v>1107</v>
      </c>
      <c r="C1165" s="423" t="s">
        <v>1108</v>
      </c>
      <c r="D1165" s="413" t="s">
        <v>2173</v>
      </c>
      <c r="E1165" s="423" t="s">
        <v>180</v>
      </c>
      <c r="F1165" s="417"/>
      <c r="G1165" s="424">
        <v>44620</v>
      </c>
      <c r="H1165" s="408">
        <v>677966</v>
      </c>
      <c r="I1165" s="356"/>
      <c r="J1165" s="356"/>
      <c r="K1165" s="354">
        <f t="shared" si="210"/>
        <v>677966</v>
      </c>
      <c r="L1165" s="425">
        <f>+'[84]Add21-22 (2)'!H155</f>
        <v>44620</v>
      </c>
      <c r="M1165" s="742">
        <v>77961.077777777769</v>
      </c>
      <c r="N1165" s="352">
        <f t="shared" si="217"/>
        <v>600004.9222222222</v>
      </c>
      <c r="O1165" s="357">
        <f t="shared" si="209"/>
        <v>763</v>
      </c>
      <c r="P1165" s="410">
        <v>9</v>
      </c>
      <c r="Q1165" s="358">
        <f t="shared" si="208"/>
        <v>2.0904109589041098</v>
      </c>
      <c r="R1165" s="359">
        <f t="shared" si="211"/>
        <v>6.9095890410958898</v>
      </c>
      <c r="S1165" s="360">
        <f t="shared" si="212"/>
        <v>6.9095890410958898</v>
      </c>
      <c r="T1165" s="361">
        <f t="shared" si="213"/>
        <v>0.10555555555555554</v>
      </c>
      <c r="U1165" s="362">
        <f t="shared" si="207"/>
        <v>71563.077777777769</v>
      </c>
      <c r="V1165" s="362">
        <f t="shared" si="216"/>
        <v>528441.8444444444</v>
      </c>
      <c r="W1165" s="362">
        <f t="shared" si="214"/>
        <v>33898</v>
      </c>
      <c r="X1165" s="742">
        <f t="shared" si="215"/>
        <v>494543.8444444444</v>
      </c>
    </row>
    <row r="1166" spans="1:24" ht="13.9">
      <c r="A1166" s="349">
        <f t="shared" si="218"/>
        <v>1158</v>
      </c>
      <c r="B1166" s="654" t="s">
        <v>304</v>
      </c>
      <c r="C1166" s="654" t="s">
        <v>35</v>
      </c>
      <c r="D1166" s="743" t="s">
        <v>3663</v>
      </c>
      <c r="E1166" s="654" t="s">
        <v>403</v>
      </c>
      <c r="F1166" s="334"/>
      <c r="G1166" s="657">
        <v>44920</v>
      </c>
      <c r="H1166" s="426">
        <v>1344500</v>
      </c>
      <c r="I1166" s="744"/>
      <c r="J1166" s="744"/>
      <c r="K1166" s="354">
        <f t="shared" si="210"/>
        <v>1344500</v>
      </c>
      <c r="L1166" s="657">
        <v>44920</v>
      </c>
      <c r="M1166" s="742">
        <v>39291</v>
      </c>
      <c r="N1166" s="352">
        <f t="shared" si="217"/>
        <v>1305209</v>
      </c>
      <c r="O1166" s="357">
        <f t="shared" si="209"/>
        <v>463</v>
      </c>
      <c r="P1166" s="410">
        <v>9</v>
      </c>
      <c r="Q1166" s="358">
        <f t="shared" ref="Q1166:Q1229" si="219">+O1166/365</f>
        <v>1.2684931506849315</v>
      </c>
      <c r="R1166" s="359">
        <f t="shared" ref="R1166:R1229" si="220">+P1166-Q1166</f>
        <v>7.7315068493150685</v>
      </c>
      <c r="S1166" s="360">
        <f t="shared" ref="S1166:S1229" si="221">IF(R1166&lt;0,0,IF(R1166&gt;365,365,R1166))</f>
        <v>7.7315068493150685</v>
      </c>
      <c r="T1166" s="361">
        <f t="shared" ref="T1166:T1229" si="222">1/P1166*0.95</f>
        <v>0.10555555555555554</v>
      </c>
      <c r="U1166" s="362">
        <f t="shared" ref="U1166:U1229" si="223">+K1166*T1166</f>
        <v>141919.44444444444</v>
      </c>
      <c r="V1166" s="362">
        <f t="shared" ref="V1166:V1229" si="224">+N1166-U1166</f>
        <v>1163289.5555555555</v>
      </c>
      <c r="W1166" s="362">
        <f t="shared" ref="W1166:W1229" si="225">ROUND(+H1166*5%,0)</f>
        <v>67225</v>
      </c>
      <c r="X1166" s="742">
        <f t="shared" si="215"/>
        <v>1096064.5555555555</v>
      </c>
    </row>
    <row r="1167" spans="1:24" ht="13.9">
      <c r="A1167" s="349">
        <f t="shared" si="218"/>
        <v>1159</v>
      </c>
      <c r="B1167" s="654" t="s">
        <v>560</v>
      </c>
      <c r="C1167" s="654" t="s">
        <v>35</v>
      </c>
      <c r="D1167" s="743" t="s">
        <v>3663</v>
      </c>
      <c r="E1167" s="654" t="s">
        <v>757</v>
      </c>
      <c r="F1167" s="334"/>
      <c r="G1167" s="657">
        <v>44900</v>
      </c>
      <c r="H1167" s="426">
        <v>410880</v>
      </c>
      <c r="I1167" s="744"/>
      <c r="J1167" s="744"/>
      <c r="K1167" s="354">
        <f t="shared" si="210"/>
        <v>410880</v>
      </c>
      <c r="L1167" s="657">
        <v>44900</v>
      </c>
      <c r="M1167" s="742">
        <v>14509</v>
      </c>
      <c r="N1167" s="352">
        <f t="shared" si="217"/>
        <v>396371</v>
      </c>
      <c r="O1167" s="357">
        <f t="shared" si="209"/>
        <v>483</v>
      </c>
      <c r="P1167" s="410">
        <v>9</v>
      </c>
      <c r="Q1167" s="358">
        <f t="shared" si="219"/>
        <v>1.3232876712328767</v>
      </c>
      <c r="R1167" s="359">
        <f t="shared" si="220"/>
        <v>7.6767123287671231</v>
      </c>
      <c r="S1167" s="360">
        <f t="shared" si="221"/>
        <v>7.6767123287671231</v>
      </c>
      <c r="T1167" s="361">
        <f t="shared" si="222"/>
        <v>0.10555555555555554</v>
      </c>
      <c r="U1167" s="362">
        <f t="shared" si="223"/>
        <v>43370.666666666664</v>
      </c>
      <c r="V1167" s="362">
        <f t="shared" si="224"/>
        <v>353000.33333333331</v>
      </c>
      <c r="W1167" s="362">
        <f t="shared" si="225"/>
        <v>20544</v>
      </c>
      <c r="X1167" s="742">
        <f t="shared" si="215"/>
        <v>332456.33333333331</v>
      </c>
    </row>
    <row r="1168" spans="1:24" ht="13.9">
      <c r="A1168" s="349">
        <f t="shared" si="218"/>
        <v>1160</v>
      </c>
      <c r="B1168" s="654" t="s">
        <v>561</v>
      </c>
      <c r="C1168" s="654" t="s">
        <v>35</v>
      </c>
      <c r="D1168" s="743" t="s">
        <v>3663</v>
      </c>
      <c r="E1168" s="654" t="s">
        <v>758</v>
      </c>
      <c r="F1168" s="334"/>
      <c r="G1168" s="657">
        <v>44900</v>
      </c>
      <c r="H1168" s="426">
        <v>74034.38</v>
      </c>
      <c r="I1168" s="744"/>
      <c r="J1168" s="744"/>
      <c r="K1168" s="354">
        <f t="shared" si="210"/>
        <v>74034.38</v>
      </c>
      <c r="L1168" s="657">
        <v>44900</v>
      </c>
      <c r="M1168" s="742">
        <v>2614</v>
      </c>
      <c r="N1168" s="352">
        <f t="shared" si="217"/>
        <v>71420.38</v>
      </c>
      <c r="O1168" s="357">
        <f t="shared" si="209"/>
        <v>483</v>
      </c>
      <c r="P1168" s="410">
        <v>9</v>
      </c>
      <c r="Q1168" s="358">
        <f t="shared" si="219"/>
        <v>1.3232876712328767</v>
      </c>
      <c r="R1168" s="359">
        <f t="shared" si="220"/>
        <v>7.6767123287671231</v>
      </c>
      <c r="S1168" s="360">
        <f t="shared" si="221"/>
        <v>7.6767123287671231</v>
      </c>
      <c r="T1168" s="361">
        <f t="shared" si="222"/>
        <v>0.10555555555555554</v>
      </c>
      <c r="U1168" s="362">
        <f t="shared" si="223"/>
        <v>7814.7401111111103</v>
      </c>
      <c r="V1168" s="362">
        <f t="shared" si="224"/>
        <v>63605.639888888894</v>
      </c>
      <c r="W1168" s="362">
        <f t="shared" si="225"/>
        <v>3702</v>
      </c>
      <c r="X1168" s="742">
        <f t="shared" si="215"/>
        <v>59903.639888888894</v>
      </c>
    </row>
    <row r="1169" spans="1:24" ht="13.9">
      <c r="A1169" s="349">
        <f t="shared" si="218"/>
        <v>1161</v>
      </c>
      <c r="B1169" s="654" t="s">
        <v>561</v>
      </c>
      <c r="C1169" s="654" t="s">
        <v>35</v>
      </c>
      <c r="D1169" s="743" t="s">
        <v>3663</v>
      </c>
      <c r="E1169" s="654" t="s">
        <v>757</v>
      </c>
      <c r="F1169" s="334"/>
      <c r="G1169" s="657">
        <v>44964</v>
      </c>
      <c r="H1169" s="426">
        <v>145200</v>
      </c>
      <c r="I1169" s="744"/>
      <c r="J1169" s="744"/>
      <c r="K1169" s="354">
        <f t="shared" si="210"/>
        <v>145200</v>
      </c>
      <c r="L1169" s="657">
        <v>44964</v>
      </c>
      <c r="M1169" s="742">
        <v>2298</v>
      </c>
      <c r="N1169" s="352">
        <f t="shared" si="217"/>
        <v>142902</v>
      </c>
      <c r="O1169" s="357">
        <f t="shared" si="209"/>
        <v>419</v>
      </c>
      <c r="P1169" s="410">
        <v>9</v>
      </c>
      <c r="Q1169" s="358">
        <f t="shared" si="219"/>
        <v>1.1479452054794521</v>
      </c>
      <c r="R1169" s="359">
        <f t="shared" si="220"/>
        <v>7.8520547945205479</v>
      </c>
      <c r="S1169" s="360">
        <f t="shared" si="221"/>
        <v>7.8520547945205479</v>
      </c>
      <c r="T1169" s="361">
        <f t="shared" si="222"/>
        <v>0.10555555555555554</v>
      </c>
      <c r="U1169" s="362">
        <f t="shared" si="223"/>
        <v>15326.666666666664</v>
      </c>
      <c r="V1169" s="362">
        <f t="shared" si="224"/>
        <v>127575.33333333334</v>
      </c>
      <c r="W1169" s="362">
        <f t="shared" si="225"/>
        <v>7260</v>
      </c>
      <c r="X1169" s="742">
        <f t="shared" si="215"/>
        <v>120315.33333333334</v>
      </c>
    </row>
    <row r="1170" spans="1:24" ht="13.9">
      <c r="A1170" s="349">
        <f t="shared" si="218"/>
        <v>1162</v>
      </c>
      <c r="B1170" s="665" t="s">
        <v>62</v>
      </c>
      <c r="C1170" s="666" t="s">
        <v>3614</v>
      </c>
      <c r="D1170" s="743" t="s">
        <v>3663</v>
      </c>
      <c r="E1170" s="665" t="s">
        <v>164</v>
      </c>
      <c r="F1170" s="334"/>
      <c r="G1170" s="668">
        <v>44741</v>
      </c>
      <c r="H1170" s="426">
        <v>2555000</v>
      </c>
      <c r="I1170" s="744"/>
      <c r="J1170" s="744"/>
      <c r="K1170" s="354">
        <f t="shared" si="210"/>
        <v>2555000</v>
      </c>
      <c r="L1170" s="668">
        <v>44741</v>
      </c>
      <c r="M1170" s="742">
        <v>213889</v>
      </c>
      <c r="N1170" s="352">
        <f t="shared" si="217"/>
        <v>2341111</v>
      </c>
      <c r="O1170" s="357">
        <f t="shared" si="209"/>
        <v>642</v>
      </c>
      <c r="P1170" s="410">
        <v>9</v>
      </c>
      <c r="Q1170" s="358">
        <f t="shared" si="219"/>
        <v>1.7589041095890412</v>
      </c>
      <c r="R1170" s="359">
        <f t="shared" si="220"/>
        <v>7.2410958904109588</v>
      </c>
      <c r="S1170" s="360">
        <f t="shared" si="221"/>
        <v>7.2410958904109588</v>
      </c>
      <c r="T1170" s="361">
        <f t="shared" si="222"/>
        <v>0.10555555555555554</v>
      </c>
      <c r="U1170" s="362">
        <f t="shared" si="223"/>
        <v>269694.44444444438</v>
      </c>
      <c r="V1170" s="362">
        <f t="shared" si="224"/>
        <v>2071416.5555555555</v>
      </c>
      <c r="W1170" s="362">
        <f t="shared" si="225"/>
        <v>127750</v>
      </c>
      <c r="X1170" s="742">
        <f t="shared" si="215"/>
        <v>1943666.5555555555</v>
      </c>
    </row>
    <row r="1171" spans="1:24" ht="13.9">
      <c r="A1171" s="349">
        <f t="shared" si="218"/>
        <v>1163</v>
      </c>
      <c r="B1171" s="665" t="s">
        <v>62</v>
      </c>
      <c r="C1171" s="666" t="s">
        <v>3614</v>
      </c>
      <c r="D1171" s="743" t="s">
        <v>3663</v>
      </c>
      <c r="E1171" s="665" t="s">
        <v>164</v>
      </c>
      <c r="F1171" s="334"/>
      <c r="G1171" s="668">
        <v>44741</v>
      </c>
      <c r="H1171" s="426">
        <v>2555000</v>
      </c>
      <c r="I1171" s="744"/>
      <c r="J1171" s="744"/>
      <c r="K1171" s="354">
        <f t="shared" si="210"/>
        <v>2555000</v>
      </c>
      <c r="L1171" s="668">
        <v>44741</v>
      </c>
      <c r="M1171" s="742">
        <v>213889</v>
      </c>
      <c r="N1171" s="352">
        <f t="shared" si="217"/>
        <v>2341111</v>
      </c>
      <c r="O1171" s="357">
        <f t="shared" si="209"/>
        <v>642</v>
      </c>
      <c r="P1171" s="410">
        <v>9</v>
      </c>
      <c r="Q1171" s="358">
        <f t="shared" si="219"/>
        <v>1.7589041095890412</v>
      </c>
      <c r="R1171" s="359">
        <f t="shared" si="220"/>
        <v>7.2410958904109588</v>
      </c>
      <c r="S1171" s="360">
        <f t="shared" si="221"/>
        <v>7.2410958904109588</v>
      </c>
      <c r="T1171" s="361">
        <f t="shared" si="222"/>
        <v>0.10555555555555554</v>
      </c>
      <c r="U1171" s="362">
        <f t="shared" si="223"/>
        <v>269694.44444444438</v>
      </c>
      <c r="V1171" s="362">
        <f t="shared" si="224"/>
        <v>2071416.5555555555</v>
      </c>
      <c r="W1171" s="362">
        <f t="shared" si="225"/>
        <v>127750</v>
      </c>
      <c r="X1171" s="742">
        <f t="shared" si="215"/>
        <v>1943666.5555555555</v>
      </c>
    </row>
    <row r="1172" spans="1:24" ht="13.9">
      <c r="A1172" s="349">
        <f t="shared" si="218"/>
        <v>1164</v>
      </c>
      <c r="B1172" s="665" t="s">
        <v>62</v>
      </c>
      <c r="C1172" s="666" t="s">
        <v>3614</v>
      </c>
      <c r="D1172" s="743" t="s">
        <v>3663</v>
      </c>
      <c r="E1172" s="665" t="s">
        <v>164</v>
      </c>
      <c r="F1172" s="334"/>
      <c r="G1172" s="668">
        <v>44741</v>
      </c>
      <c r="H1172" s="426">
        <v>2555000</v>
      </c>
      <c r="I1172" s="744"/>
      <c r="J1172" s="744"/>
      <c r="K1172" s="354">
        <f t="shared" si="210"/>
        <v>2555000</v>
      </c>
      <c r="L1172" s="668">
        <v>44741</v>
      </c>
      <c r="M1172" s="742">
        <v>213889</v>
      </c>
      <c r="N1172" s="352">
        <f t="shared" si="217"/>
        <v>2341111</v>
      </c>
      <c r="O1172" s="357">
        <f t="shared" si="209"/>
        <v>642</v>
      </c>
      <c r="P1172" s="410">
        <v>9</v>
      </c>
      <c r="Q1172" s="358">
        <f t="shared" si="219"/>
        <v>1.7589041095890412</v>
      </c>
      <c r="R1172" s="359">
        <f t="shared" si="220"/>
        <v>7.2410958904109588</v>
      </c>
      <c r="S1172" s="360">
        <f t="shared" si="221"/>
        <v>7.2410958904109588</v>
      </c>
      <c r="T1172" s="361">
        <f t="shared" si="222"/>
        <v>0.10555555555555554</v>
      </c>
      <c r="U1172" s="362">
        <f t="shared" si="223"/>
        <v>269694.44444444438</v>
      </c>
      <c r="V1172" s="362">
        <f t="shared" si="224"/>
        <v>2071416.5555555555</v>
      </c>
      <c r="W1172" s="362">
        <f t="shared" si="225"/>
        <v>127750</v>
      </c>
      <c r="X1172" s="742">
        <f t="shared" si="215"/>
        <v>1943666.5555555555</v>
      </c>
    </row>
    <row r="1173" spans="1:24" ht="13.9">
      <c r="A1173" s="349">
        <f t="shared" si="218"/>
        <v>1165</v>
      </c>
      <c r="B1173" s="669" t="s">
        <v>323</v>
      </c>
      <c r="C1173" s="670" t="s">
        <v>3427</v>
      </c>
      <c r="D1173" s="743" t="s">
        <v>3663</v>
      </c>
      <c r="E1173" s="669" t="s">
        <v>170</v>
      </c>
      <c r="F1173" s="334"/>
      <c r="G1173" s="672">
        <v>44950</v>
      </c>
      <c r="H1173" s="426">
        <v>5800000</v>
      </c>
      <c r="I1173" s="744"/>
      <c r="J1173" s="744"/>
      <c r="K1173" s="354">
        <f t="shared" si="210"/>
        <v>5800000</v>
      </c>
      <c r="L1173" s="672">
        <v>44950</v>
      </c>
      <c r="M1173" s="742">
        <v>116530</v>
      </c>
      <c r="N1173" s="352">
        <f t="shared" si="217"/>
        <v>5683470</v>
      </c>
      <c r="O1173" s="357">
        <f t="shared" si="209"/>
        <v>433</v>
      </c>
      <c r="P1173" s="410">
        <v>9</v>
      </c>
      <c r="Q1173" s="358">
        <f t="shared" si="219"/>
        <v>1.1863013698630136</v>
      </c>
      <c r="R1173" s="359">
        <f t="shared" si="220"/>
        <v>7.8136986301369866</v>
      </c>
      <c r="S1173" s="360">
        <f t="shared" si="221"/>
        <v>7.8136986301369866</v>
      </c>
      <c r="T1173" s="361">
        <f t="shared" si="222"/>
        <v>0.10555555555555554</v>
      </c>
      <c r="U1173" s="362">
        <f t="shared" si="223"/>
        <v>612222.22222222213</v>
      </c>
      <c r="V1173" s="362">
        <f t="shared" si="224"/>
        <v>5071247.777777778</v>
      </c>
      <c r="W1173" s="362">
        <f t="shared" si="225"/>
        <v>290000</v>
      </c>
      <c r="X1173" s="742">
        <f t="shared" si="215"/>
        <v>4781247.777777778</v>
      </c>
    </row>
    <row r="1174" spans="1:24" ht="13.9">
      <c r="A1174" s="349">
        <f t="shared" si="218"/>
        <v>1166</v>
      </c>
      <c r="B1174" s="669" t="s">
        <v>323</v>
      </c>
      <c r="C1174" s="670" t="s">
        <v>3427</v>
      </c>
      <c r="D1174" s="743" t="s">
        <v>3663</v>
      </c>
      <c r="E1174" s="669" t="s">
        <v>170</v>
      </c>
      <c r="F1174" s="334"/>
      <c r="G1174" s="672">
        <v>44951</v>
      </c>
      <c r="H1174" s="426">
        <v>5800000</v>
      </c>
      <c r="I1174" s="744"/>
      <c r="J1174" s="744"/>
      <c r="K1174" s="354">
        <f t="shared" si="210"/>
        <v>5800000</v>
      </c>
      <c r="L1174" s="672">
        <v>44951</v>
      </c>
      <c r="M1174" s="742">
        <v>114764</v>
      </c>
      <c r="N1174" s="352">
        <f t="shared" si="217"/>
        <v>5685236</v>
      </c>
      <c r="O1174" s="357">
        <f t="shared" si="209"/>
        <v>432</v>
      </c>
      <c r="P1174" s="410">
        <v>9</v>
      </c>
      <c r="Q1174" s="358">
        <f t="shared" si="219"/>
        <v>1.1835616438356165</v>
      </c>
      <c r="R1174" s="359">
        <f t="shared" si="220"/>
        <v>7.8164383561643831</v>
      </c>
      <c r="S1174" s="360">
        <f t="shared" si="221"/>
        <v>7.8164383561643831</v>
      </c>
      <c r="T1174" s="361">
        <f t="shared" si="222"/>
        <v>0.10555555555555554</v>
      </c>
      <c r="U1174" s="362">
        <f t="shared" si="223"/>
        <v>612222.22222222213</v>
      </c>
      <c r="V1174" s="362">
        <f t="shared" si="224"/>
        <v>5073013.777777778</v>
      </c>
      <c r="W1174" s="362">
        <f t="shared" si="225"/>
        <v>290000</v>
      </c>
      <c r="X1174" s="742">
        <f t="shared" si="215"/>
        <v>4783013.777777778</v>
      </c>
    </row>
    <row r="1175" spans="1:24" ht="13.9">
      <c r="A1175" s="349">
        <f t="shared" si="218"/>
        <v>1167</v>
      </c>
      <c r="B1175" s="669" t="s">
        <v>564</v>
      </c>
      <c r="C1175" s="670" t="s">
        <v>3427</v>
      </c>
      <c r="D1175" s="743" t="s">
        <v>3663</v>
      </c>
      <c r="E1175" s="669" t="s">
        <v>3425</v>
      </c>
      <c r="F1175" s="334"/>
      <c r="G1175" s="672">
        <v>44954</v>
      </c>
      <c r="H1175" s="426">
        <v>26271.78</v>
      </c>
      <c r="I1175" s="744"/>
      <c r="J1175" s="744"/>
      <c r="K1175" s="354">
        <f t="shared" si="210"/>
        <v>26271.78</v>
      </c>
      <c r="L1175" s="672">
        <v>44954</v>
      </c>
      <c r="M1175" s="742">
        <v>496</v>
      </c>
      <c r="N1175" s="352">
        <f t="shared" si="217"/>
        <v>25775.78</v>
      </c>
      <c r="O1175" s="357">
        <f t="shared" si="209"/>
        <v>429</v>
      </c>
      <c r="P1175" s="410">
        <v>9</v>
      </c>
      <c r="Q1175" s="358">
        <f t="shared" si="219"/>
        <v>1.1753424657534246</v>
      </c>
      <c r="R1175" s="359">
        <f t="shared" si="220"/>
        <v>7.8246575342465752</v>
      </c>
      <c r="S1175" s="360">
        <f t="shared" si="221"/>
        <v>7.8246575342465752</v>
      </c>
      <c r="T1175" s="361">
        <f t="shared" si="222"/>
        <v>0.10555555555555554</v>
      </c>
      <c r="U1175" s="362">
        <f t="shared" si="223"/>
        <v>2773.132333333333</v>
      </c>
      <c r="V1175" s="362">
        <f t="shared" si="224"/>
        <v>23002.647666666664</v>
      </c>
      <c r="W1175" s="362">
        <f t="shared" si="225"/>
        <v>1314</v>
      </c>
      <c r="X1175" s="742">
        <f t="shared" si="215"/>
        <v>21688.647666666664</v>
      </c>
    </row>
    <row r="1176" spans="1:24" ht="13.9">
      <c r="A1176" s="349">
        <f t="shared" si="218"/>
        <v>1168</v>
      </c>
      <c r="B1176" s="670" t="s">
        <v>2358</v>
      </c>
      <c r="C1176" s="670" t="s">
        <v>3427</v>
      </c>
      <c r="D1176" s="743" t="s">
        <v>3663</v>
      </c>
      <c r="E1176" s="670" t="s">
        <v>3455</v>
      </c>
      <c r="F1176" s="334"/>
      <c r="G1176" s="672">
        <v>44941</v>
      </c>
      <c r="H1176" s="426">
        <v>707186</v>
      </c>
      <c r="I1176" s="744"/>
      <c r="J1176" s="744"/>
      <c r="K1176" s="354">
        <f t="shared" si="210"/>
        <v>707186</v>
      </c>
      <c r="L1176" s="672">
        <v>44941</v>
      </c>
      <c r="M1176" s="742">
        <v>18164</v>
      </c>
      <c r="N1176" s="352">
        <f t="shared" si="217"/>
        <v>689022</v>
      </c>
      <c r="O1176" s="357">
        <f t="shared" si="209"/>
        <v>442</v>
      </c>
      <c r="P1176" s="410">
        <v>9</v>
      </c>
      <c r="Q1176" s="358">
        <f t="shared" si="219"/>
        <v>1.210958904109589</v>
      </c>
      <c r="R1176" s="359">
        <f t="shared" si="220"/>
        <v>7.7890410958904113</v>
      </c>
      <c r="S1176" s="360">
        <f t="shared" si="221"/>
        <v>7.7890410958904113</v>
      </c>
      <c r="T1176" s="361">
        <f t="shared" si="222"/>
        <v>0.10555555555555554</v>
      </c>
      <c r="U1176" s="362">
        <f t="shared" si="223"/>
        <v>74647.411111111098</v>
      </c>
      <c r="V1176" s="362">
        <f t="shared" si="224"/>
        <v>614374.58888888895</v>
      </c>
      <c r="W1176" s="362">
        <f t="shared" si="225"/>
        <v>35359</v>
      </c>
      <c r="X1176" s="742">
        <f t="shared" si="215"/>
        <v>579015.58888888895</v>
      </c>
    </row>
    <row r="1177" spans="1:24" ht="13.9">
      <c r="A1177" s="349">
        <f t="shared" si="218"/>
        <v>1169</v>
      </c>
      <c r="B1177" s="670" t="s">
        <v>3524</v>
      </c>
      <c r="C1177" s="670" t="s">
        <v>3427</v>
      </c>
      <c r="D1177" s="743" t="s">
        <v>3663</v>
      </c>
      <c r="E1177" s="670" t="s">
        <v>407</v>
      </c>
      <c r="F1177" s="334"/>
      <c r="G1177" s="672">
        <v>44971</v>
      </c>
      <c r="H1177" s="426">
        <v>4250000</v>
      </c>
      <c r="I1177" s="744"/>
      <c r="J1177" s="744"/>
      <c r="K1177" s="354">
        <f t="shared" si="210"/>
        <v>4250000</v>
      </c>
      <c r="L1177" s="672">
        <v>44971</v>
      </c>
      <c r="M1177" s="742">
        <v>58219</v>
      </c>
      <c r="N1177" s="352">
        <f t="shared" si="217"/>
        <v>4191781</v>
      </c>
      <c r="O1177" s="357">
        <f t="shared" si="209"/>
        <v>412</v>
      </c>
      <c r="P1177" s="410">
        <v>9</v>
      </c>
      <c r="Q1177" s="358">
        <f t="shared" si="219"/>
        <v>1.1287671232876713</v>
      </c>
      <c r="R1177" s="359">
        <f t="shared" si="220"/>
        <v>7.8712328767123285</v>
      </c>
      <c r="S1177" s="360">
        <f t="shared" si="221"/>
        <v>7.8712328767123285</v>
      </c>
      <c r="T1177" s="361">
        <f t="shared" si="222"/>
        <v>0.10555555555555554</v>
      </c>
      <c r="U1177" s="362">
        <f t="shared" si="223"/>
        <v>448611.11111111107</v>
      </c>
      <c r="V1177" s="362">
        <f t="shared" si="224"/>
        <v>3743169.888888889</v>
      </c>
      <c r="W1177" s="362">
        <f t="shared" si="225"/>
        <v>212500</v>
      </c>
      <c r="X1177" s="742">
        <f t="shared" si="215"/>
        <v>3530669.888888889</v>
      </c>
    </row>
    <row r="1178" spans="1:24" ht="13.9">
      <c r="A1178" s="349">
        <f t="shared" si="218"/>
        <v>1170</v>
      </c>
      <c r="B1178" s="670" t="s">
        <v>326</v>
      </c>
      <c r="C1178" s="670" t="s">
        <v>3427</v>
      </c>
      <c r="D1178" s="743" t="s">
        <v>3663</v>
      </c>
      <c r="E1178" s="670" t="s">
        <v>419</v>
      </c>
      <c r="F1178" s="334"/>
      <c r="G1178" s="672">
        <v>44977</v>
      </c>
      <c r="H1178" s="426">
        <v>1150000</v>
      </c>
      <c r="I1178" s="744"/>
      <c r="J1178" s="744"/>
      <c r="K1178" s="354">
        <f t="shared" si="210"/>
        <v>1150000</v>
      </c>
      <c r="L1178" s="672">
        <v>44977</v>
      </c>
      <c r="M1178" s="742">
        <v>13653</v>
      </c>
      <c r="N1178" s="352">
        <f t="shared" si="217"/>
        <v>1136347</v>
      </c>
      <c r="O1178" s="357">
        <f t="shared" si="209"/>
        <v>406</v>
      </c>
      <c r="P1178" s="410">
        <v>9</v>
      </c>
      <c r="Q1178" s="358">
        <f t="shared" si="219"/>
        <v>1.1123287671232878</v>
      </c>
      <c r="R1178" s="359">
        <f t="shared" si="220"/>
        <v>7.8876712328767127</v>
      </c>
      <c r="S1178" s="360">
        <f t="shared" si="221"/>
        <v>7.8876712328767127</v>
      </c>
      <c r="T1178" s="361">
        <f t="shared" si="222"/>
        <v>0.10555555555555554</v>
      </c>
      <c r="U1178" s="362">
        <f t="shared" si="223"/>
        <v>121388.88888888888</v>
      </c>
      <c r="V1178" s="362">
        <f t="shared" si="224"/>
        <v>1014958.1111111111</v>
      </c>
      <c r="W1178" s="362">
        <f t="shared" si="225"/>
        <v>57500</v>
      </c>
      <c r="X1178" s="742">
        <f t="shared" si="215"/>
        <v>957458.11111111112</v>
      </c>
    </row>
    <row r="1179" spans="1:24" ht="13.9">
      <c r="A1179" s="349">
        <f t="shared" si="218"/>
        <v>1171</v>
      </c>
      <c r="B1179" s="670" t="s">
        <v>3522</v>
      </c>
      <c r="C1179" s="670" t="s">
        <v>3427</v>
      </c>
      <c r="D1179" s="743" t="s">
        <v>3663</v>
      </c>
      <c r="E1179" s="670" t="s">
        <v>407</v>
      </c>
      <c r="F1179" s="334"/>
      <c r="G1179" s="672">
        <v>44982</v>
      </c>
      <c r="H1179" s="426">
        <v>26780</v>
      </c>
      <c r="I1179" s="744"/>
      <c r="J1179" s="744"/>
      <c r="K1179" s="354">
        <f t="shared" si="210"/>
        <v>26780</v>
      </c>
      <c r="L1179" s="672">
        <v>44982</v>
      </c>
      <c r="M1179" s="742">
        <v>277</v>
      </c>
      <c r="N1179" s="352">
        <f t="shared" si="217"/>
        <v>26503</v>
      </c>
      <c r="O1179" s="357">
        <f t="shared" si="209"/>
        <v>401</v>
      </c>
      <c r="P1179" s="410">
        <v>9</v>
      </c>
      <c r="Q1179" s="358">
        <f t="shared" si="219"/>
        <v>1.0986301369863014</v>
      </c>
      <c r="R1179" s="359">
        <f t="shared" si="220"/>
        <v>7.9013698630136986</v>
      </c>
      <c r="S1179" s="360">
        <f t="shared" si="221"/>
        <v>7.9013698630136986</v>
      </c>
      <c r="T1179" s="361">
        <f t="shared" si="222"/>
        <v>0.10555555555555554</v>
      </c>
      <c r="U1179" s="362">
        <f t="shared" si="223"/>
        <v>2826.7777777777774</v>
      </c>
      <c r="V1179" s="362">
        <f t="shared" si="224"/>
        <v>23676.222222222223</v>
      </c>
      <c r="W1179" s="362">
        <f t="shared" si="225"/>
        <v>1339</v>
      </c>
      <c r="X1179" s="742">
        <f t="shared" si="215"/>
        <v>22337.222222222223</v>
      </c>
    </row>
    <row r="1180" spans="1:24" ht="13.9">
      <c r="A1180" s="349">
        <f t="shared" si="218"/>
        <v>1172</v>
      </c>
      <c r="B1180" s="670" t="s">
        <v>307</v>
      </c>
      <c r="C1180" s="670" t="s">
        <v>3427</v>
      </c>
      <c r="D1180" s="743" t="s">
        <v>3663</v>
      </c>
      <c r="E1180" s="670" t="s">
        <v>407</v>
      </c>
      <c r="F1180" s="334"/>
      <c r="G1180" s="672">
        <v>44982</v>
      </c>
      <c r="H1180" s="426">
        <v>1965000</v>
      </c>
      <c r="I1180" s="744"/>
      <c r="J1180" s="744"/>
      <c r="K1180" s="354">
        <f t="shared" si="210"/>
        <v>1965000</v>
      </c>
      <c r="L1180" s="672">
        <v>44982</v>
      </c>
      <c r="M1180" s="742">
        <v>20338</v>
      </c>
      <c r="N1180" s="352">
        <f t="shared" si="217"/>
        <v>1944662</v>
      </c>
      <c r="O1180" s="357">
        <f t="shared" si="209"/>
        <v>401</v>
      </c>
      <c r="P1180" s="410">
        <v>9</v>
      </c>
      <c r="Q1180" s="358">
        <f t="shared" si="219"/>
        <v>1.0986301369863014</v>
      </c>
      <c r="R1180" s="359">
        <f t="shared" si="220"/>
        <v>7.9013698630136986</v>
      </c>
      <c r="S1180" s="360">
        <f t="shared" si="221"/>
        <v>7.9013698630136986</v>
      </c>
      <c r="T1180" s="361">
        <f t="shared" si="222"/>
        <v>0.10555555555555554</v>
      </c>
      <c r="U1180" s="362">
        <f t="shared" si="223"/>
        <v>207416.66666666663</v>
      </c>
      <c r="V1180" s="362">
        <f t="shared" si="224"/>
        <v>1737245.3333333335</v>
      </c>
      <c r="W1180" s="362">
        <f t="shared" si="225"/>
        <v>98250</v>
      </c>
      <c r="X1180" s="742">
        <f t="shared" si="215"/>
        <v>1638995.3333333335</v>
      </c>
    </row>
    <row r="1181" spans="1:24" ht="13.9">
      <c r="A1181" s="349">
        <f t="shared" si="218"/>
        <v>1173</v>
      </c>
      <c r="B1181" s="669" t="s">
        <v>71</v>
      </c>
      <c r="C1181" s="681" t="s">
        <v>3427</v>
      </c>
      <c r="D1181" s="743" t="s">
        <v>3663</v>
      </c>
      <c r="E1181" s="669" t="s">
        <v>766</v>
      </c>
      <c r="F1181" s="334"/>
      <c r="G1181" s="672">
        <v>45009</v>
      </c>
      <c r="H1181" s="426">
        <v>3270421.12</v>
      </c>
      <c r="I1181" s="744"/>
      <c r="J1181" s="744"/>
      <c r="K1181" s="354">
        <f t="shared" si="210"/>
        <v>3270421.12</v>
      </c>
      <c r="L1181" s="672">
        <v>45009</v>
      </c>
      <c r="M1181" s="742">
        <v>6969</v>
      </c>
      <c r="N1181" s="352">
        <f t="shared" si="217"/>
        <v>3263452.12</v>
      </c>
      <c r="O1181" s="357">
        <f t="shared" si="209"/>
        <v>374</v>
      </c>
      <c r="P1181" s="410">
        <v>9</v>
      </c>
      <c r="Q1181" s="358">
        <f t="shared" si="219"/>
        <v>1.0246575342465754</v>
      </c>
      <c r="R1181" s="359">
        <f t="shared" si="220"/>
        <v>7.9753424657534246</v>
      </c>
      <c r="S1181" s="360">
        <f t="shared" si="221"/>
        <v>7.9753424657534246</v>
      </c>
      <c r="T1181" s="361">
        <f t="shared" si="222"/>
        <v>0.10555555555555554</v>
      </c>
      <c r="U1181" s="362">
        <f t="shared" si="223"/>
        <v>345211.1182222222</v>
      </c>
      <c r="V1181" s="362">
        <f t="shared" si="224"/>
        <v>2918241.0017777779</v>
      </c>
      <c r="W1181" s="362">
        <f t="shared" si="225"/>
        <v>163521</v>
      </c>
      <c r="X1181" s="742">
        <f t="shared" si="215"/>
        <v>2754720.0017777779</v>
      </c>
    </row>
    <row r="1182" spans="1:24" ht="13.9">
      <c r="A1182" s="349">
        <f t="shared" si="218"/>
        <v>1174</v>
      </c>
      <c r="B1182" s="669" t="s">
        <v>71</v>
      </c>
      <c r="C1182" s="681" t="s">
        <v>3427</v>
      </c>
      <c r="D1182" s="743" t="s">
        <v>3663</v>
      </c>
      <c r="E1182" s="669" t="s">
        <v>766</v>
      </c>
      <c r="F1182" s="334"/>
      <c r="G1182" s="672">
        <v>45009</v>
      </c>
      <c r="H1182" s="426">
        <v>3270421.12</v>
      </c>
      <c r="I1182" s="744"/>
      <c r="J1182" s="744"/>
      <c r="K1182" s="354">
        <f t="shared" si="210"/>
        <v>3270421.12</v>
      </c>
      <c r="L1182" s="672">
        <v>45009</v>
      </c>
      <c r="M1182" s="742">
        <v>6969</v>
      </c>
      <c r="N1182" s="352">
        <f t="shared" si="217"/>
        <v>3263452.12</v>
      </c>
      <c r="O1182" s="357">
        <f t="shared" si="209"/>
        <v>374</v>
      </c>
      <c r="P1182" s="410">
        <v>9</v>
      </c>
      <c r="Q1182" s="358">
        <f t="shared" si="219"/>
        <v>1.0246575342465754</v>
      </c>
      <c r="R1182" s="359">
        <f t="shared" si="220"/>
        <v>7.9753424657534246</v>
      </c>
      <c r="S1182" s="360">
        <f t="shared" si="221"/>
        <v>7.9753424657534246</v>
      </c>
      <c r="T1182" s="361">
        <f t="shared" si="222"/>
        <v>0.10555555555555554</v>
      </c>
      <c r="U1182" s="362">
        <f t="shared" si="223"/>
        <v>345211.1182222222</v>
      </c>
      <c r="V1182" s="362">
        <f t="shared" si="224"/>
        <v>2918241.0017777779</v>
      </c>
      <c r="W1182" s="362">
        <f t="shared" si="225"/>
        <v>163521</v>
      </c>
      <c r="X1182" s="742">
        <f t="shared" si="215"/>
        <v>2754720.0017777779</v>
      </c>
    </row>
    <row r="1183" spans="1:24" ht="13.9">
      <c r="A1183" s="349">
        <f t="shared" si="218"/>
        <v>1175</v>
      </c>
      <c r="B1183" s="669" t="s">
        <v>71</v>
      </c>
      <c r="C1183" s="681" t="s">
        <v>3427</v>
      </c>
      <c r="D1183" s="743" t="s">
        <v>3663</v>
      </c>
      <c r="E1183" s="669" t="s">
        <v>766</v>
      </c>
      <c r="F1183" s="334"/>
      <c r="G1183" s="672">
        <v>45009</v>
      </c>
      <c r="H1183" s="426">
        <v>3270421.12</v>
      </c>
      <c r="I1183" s="744"/>
      <c r="J1183" s="744"/>
      <c r="K1183" s="354">
        <f t="shared" si="210"/>
        <v>3270421.12</v>
      </c>
      <c r="L1183" s="672">
        <v>45009</v>
      </c>
      <c r="M1183" s="742">
        <v>6969</v>
      </c>
      <c r="N1183" s="352">
        <f t="shared" si="217"/>
        <v>3263452.12</v>
      </c>
      <c r="O1183" s="357">
        <f t="shared" si="209"/>
        <v>374</v>
      </c>
      <c r="P1183" s="410">
        <v>9</v>
      </c>
      <c r="Q1183" s="358">
        <f t="shared" si="219"/>
        <v>1.0246575342465754</v>
      </c>
      <c r="R1183" s="359">
        <f t="shared" si="220"/>
        <v>7.9753424657534246</v>
      </c>
      <c r="S1183" s="360">
        <f t="shared" si="221"/>
        <v>7.9753424657534246</v>
      </c>
      <c r="T1183" s="361">
        <f t="shared" si="222"/>
        <v>0.10555555555555554</v>
      </c>
      <c r="U1183" s="362">
        <f t="shared" si="223"/>
        <v>345211.1182222222</v>
      </c>
      <c r="V1183" s="362">
        <f t="shared" si="224"/>
        <v>2918241.0017777779</v>
      </c>
      <c r="W1183" s="362">
        <f t="shared" si="225"/>
        <v>163521</v>
      </c>
      <c r="X1183" s="742">
        <f t="shared" si="215"/>
        <v>2754720.0017777779</v>
      </c>
    </row>
    <row r="1184" spans="1:24" ht="13.9">
      <c r="A1184" s="349">
        <f t="shared" si="218"/>
        <v>1176</v>
      </c>
      <c r="B1184" s="669" t="s">
        <v>71</v>
      </c>
      <c r="C1184" s="681" t="s">
        <v>3427</v>
      </c>
      <c r="D1184" s="743" t="s">
        <v>3663</v>
      </c>
      <c r="E1184" s="669" t="s">
        <v>766</v>
      </c>
      <c r="F1184" s="334"/>
      <c r="G1184" s="672">
        <v>45009</v>
      </c>
      <c r="H1184" s="426">
        <v>3270421.12</v>
      </c>
      <c r="I1184" s="744"/>
      <c r="J1184" s="744"/>
      <c r="K1184" s="354">
        <f t="shared" si="210"/>
        <v>3270421.12</v>
      </c>
      <c r="L1184" s="672">
        <v>45009</v>
      </c>
      <c r="M1184" s="742">
        <v>6969</v>
      </c>
      <c r="N1184" s="352">
        <f t="shared" si="217"/>
        <v>3263452.12</v>
      </c>
      <c r="O1184" s="357">
        <f t="shared" si="209"/>
        <v>374</v>
      </c>
      <c r="P1184" s="410">
        <v>9</v>
      </c>
      <c r="Q1184" s="358">
        <f t="shared" si="219"/>
        <v>1.0246575342465754</v>
      </c>
      <c r="R1184" s="359">
        <f t="shared" si="220"/>
        <v>7.9753424657534246</v>
      </c>
      <c r="S1184" s="360">
        <f t="shared" si="221"/>
        <v>7.9753424657534246</v>
      </c>
      <c r="T1184" s="361">
        <f t="shared" si="222"/>
        <v>0.10555555555555554</v>
      </c>
      <c r="U1184" s="362">
        <f t="shared" si="223"/>
        <v>345211.1182222222</v>
      </c>
      <c r="V1184" s="362">
        <f t="shared" si="224"/>
        <v>2918241.0017777779</v>
      </c>
      <c r="W1184" s="362">
        <f t="shared" si="225"/>
        <v>163521</v>
      </c>
      <c r="X1184" s="742">
        <f t="shared" si="215"/>
        <v>2754720.0017777779</v>
      </c>
    </row>
    <row r="1185" spans="1:24" ht="13.9">
      <c r="A1185" s="349">
        <f t="shared" si="218"/>
        <v>1177</v>
      </c>
      <c r="B1185" s="669" t="s">
        <v>71</v>
      </c>
      <c r="C1185" s="681" t="s">
        <v>3427</v>
      </c>
      <c r="D1185" s="743" t="s">
        <v>3663</v>
      </c>
      <c r="E1185" s="669" t="s">
        <v>766</v>
      </c>
      <c r="F1185" s="334"/>
      <c r="G1185" s="672">
        <v>45009</v>
      </c>
      <c r="H1185" s="426">
        <v>3270421.12</v>
      </c>
      <c r="I1185" s="744"/>
      <c r="J1185" s="744"/>
      <c r="K1185" s="354">
        <f t="shared" si="210"/>
        <v>3270421.12</v>
      </c>
      <c r="L1185" s="672">
        <v>45009</v>
      </c>
      <c r="M1185" s="742">
        <v>6969</v>
      </c>
      <c r="N1185" s="352">
        <f t="shared" si="217"/>
        <v>3263452.12</v>
      </c>
      <c r="O1185" s="357">
        <f t="shared" si="209"/>
        <v>374</v>
      </c>
      <c r="P1185" s="410">
        <v>9</v>
      </c>
      <c r="Q1185" s="358">
        <f t="shared" si="219"/>
        <v>1.0246575342465754</v>
      </c>
      <c r="R1185" s="359">
        <f t="shared" si="220"/>
        <v>7.9753424657534246</v>
      </c>
      <c r="S1185" s="360">
        <f t="shared" si="221"/>
        <v>7.9753424657534246</v>
      </c>
      <c r="T1185" s="361">
        <f t="shared" si="222"/>
        <v>0.10555555555555554</v>
      </c>
      <c r="U1185" s="362">
        <f t="shared" si="223"/>
        <v>345211.1182222222</v>
      </c>
      <c r="V1185" s="362">
        <f t="shared" si="224"/>
        <v>2918241.0017777779</v>
      </c>
      <c r="W1185" s="362">
        <f t="shared" si="225"/>
        <v>163521</v>
      </c>
      <c r="X1185" s="742">
        <f t="shared" si="215"/>
        <v>2754720.0017777779</v>
      </c>
    </row>
    <row r="1186" spans="1:24" ht="13.9">
      <c r="A1186" s="349">
        <f t="shared" si="218"/>
        <v>1178</v>
      </c>
      <c r="B1186" s="669" t="s">
        <v>71</v>
      </c>
      <c r="C1186" s="681" t="s">
        <v>3427</v>
      </c>
      <c r="D1186" s="743" t="s">
        <v>3663</v>
      </c>
      <c r="E1186" s="669" t="s">
        <v>766</v>
      </c>
      <c r="F1186" s="334"/>
      <c r="G1186" s="672">
        <v>45016</v>
      </c>
      <c r="H1186" s="426">
        <v>1236077</v>
      </c>
      <c r="I1186" s="744"/>
      <c r="J1186" s="744"/>
      <c r="K1186" s="354">
        <f t="shared" si="210"/>
        <v>1236077</v>
      </c>
      <c r="L1186" s="672">
        <v>45016</v>
      </c>
      <c r="M1186" s="742">
        <v>0</v>
      </c>
      <c r="N1186" s="352">
        <f t="shared" si="217"/>
        <v>1236077</v>
      </c>
      <c r="O1186" s="357">
        <f t="shared" si="209"/>
        <v>367</v>
      </c>
      <c r="P1186" s="410">
        <v>9</v>
      </c>
      <c r="Q1186" s="358">
        <f t="shared" si="219"/>
        <v>1.0054794520547945</v>
      </c>
      <c r="R1186" s="359">
        <f t="shared" si="220"/>
        <v>7.9945205479452053</v>
      </c>
      <c r="S1186" s="360">
        <f t="shared" si="221"/>
        <v>7.9945205479452053</v>
      </c>
      <c r="T1186" s="361">
        <f t="shared" si="222"/>
        <v>0.10555555555555554</v>
      </c>
      <c r="U1186" s="362">
        <f t="shared" si="223"/>
        <v>130474.79444444443</v>
      </c>
      <c r="V1186" s="362">
        <f t="shared" si="224"/>
        <v>1105602.2055555556</v>
      </c>
      <c r="W1186" s="362">
        <f t="shared" si="225"/>
        <v>61804</v>
      </c>
      <c r="X1186" s="742">
        <f t="shared" si="215"/>
        <v>1043798.2055555556</v>
      </c>
    </row>
    <row r="1187" spans="1:24" ht="13.9">
      <c r="A1187" s="349">
        <f t="shared" si="218"/>
        <v>1179</v>
      </c>
      <c r="B1187" s="665" t="s">
        <v>3458</v>
      </c>
      <c r="C1187" s="666" t="s">
        <v>26</v>
      </c>
      <c r="D1187" s="743" t="s">
        <v>3663</v>
      </c>
      <c r="E1187" s="665" t="s">
        <v>166</v>
      </c>
      <c r="F1187" s="334"/>
      <c r="G1187" s="668">
        <v>44662</v>
      </c>
      <c r="H1187" s="426">
        <v>17976030</v>
      </c>
      <c r="I1187" s="744"/>
      <c r="J1187" s="744"/>
      <c r="K1187" s="354">
        <f t="shared" si="210"/>
        <v>17976030</v>
      </c>
      <c r="L1187" s="668">
        <v>44662</v>
      </c>
      <c r="M1187" s="742">
        <v>1937143</v>
      </c>
      <c r="N1187" s="352">
        <f t="shared" si="217"/>
        <v>16038887</v>
      </c>
      <c r="O1187" s="357">
        <f t="shared" si="209"/>
        <v>721</v>
      </c>
      <c r="P1187" s="410">
        <v>9</v>
      </c>
      <c r="Q1187" s="358">
        <f t="shared" si="219"/>
        <v>1.9753424657534246</v>
      </c>
      <c r="R1187" s="359">
        <f t="shared" si="220"/>
        <v>7.0246575342465754</v>
      </c>
      <c r="S1187" s="360">
        <f t="shared" si="221"/>
        <v>7.0246575342465754</v>
      </c>
      <c r="T1187" s="361">
        <f t="shared" si="222"/>
        <v>0.10555555555555554</v>
      </c>
      <c r="U1187" s="362">
        <f t="shared" si="223"/>
        <v>1897469.833333333</v>
      </c>
      <c r="V1187" s="362">
        <f t="shared" si="224"/>
        <v>14141417.166666668</v>
      </c>
      <c r="W1187" s="362">
        <f t="shared" si="225"/>
        <v>898802</v>
      </c>
      <c r="X1187" s="742">
        <f t="shared" si="215"/>
        <v>13242615.166666668</v>
      </c>
    </row>
    <row r="1188" spans="1:24" ht="13.9">
      <c r="A1188" s="349">
        <f t="shared" si="218"/>
        <v>1180</v>
      </c>
      <c r="B1188" s="684" t="s">
        <v>71</v>
      </c>
      <c r="C1188" s="684" t="s">
        <v>26</v>
      </c>
      <c r="D1188" s="743" t="s">
        <v>3663</v>
      </c>
      <c r="E1188" s="684" t="s">
        <v>402</v>
      </c>
      <c r="F1188" s="334"/>
      <c r="G1188" s="657">
        <v>44808</v>
      </c>
      <c r="H1188" s="426">
        <v>925000</v>
      </c>
      <c r="I1188" s="744"/>
      <c r="J1188" s="744"/>
      <c r="K1188" s="354">
        <f t="shared" si="210"/>
        <v>925000</v>
      </c>
      <c r="L1188" s="657">
        <v>44808</v>
      </c>
      <c r="M1188" s="742">
        <v>58569</v>
      </c>
      <c r="N1188" s="352">
        <f t="shared" si="217"/>
        <v>866431</v>
      </c>
      <c r="O1188" s="357">
        <f t="shared" si="209"/>
        <v>575</v>
      </c>
      <c r="P1188" s="410">
        <v>9</v>
      </c>
      <c r="Q1188" s="358">
        <f t="shared" si="219"/>
        <v>1.5753424657534247</v>
      </c>
      <c r="R1188" s="359">
        <f t="shared" si="220"/>
        <v>7.4246575342465757</v>
      </c>
      <c r="S1188" s="360">
        <f t="shared" si="221"/>
        <v>7.4246575342465757</v>
      </c>
      <c r="T1188" s="361">
        <f t="shared" si="222"/>
        <v>0.10555555555555554</v>
      </c>
      <c r="U1188" s="362">
        <f t="shared" si="223"/>
        <v>97638.888888888876</v>
      </c>
      <c r="V1188" s="362">
        <f t="shared" si="224"/>
        <v>768792.11111111112</v>
      </c>
      <c r="W1188" s="362">
        <f t="shared" si="225"/>
        <v>46250</v>
      </c>
      <c r="X1188" s="742">
        <f t="shared" si="215"/>
        <v>722542.11111111112</v>
      </c>
    </row>
    <row r="1189" spans="1:24" ht="13.9">
      <c r="A1189" s="349">
        <f t="shared" si="218"/>
        <v>1181</v>
      </c>
      <c r="B1189" s="684" t="s">
        <v>71</v>
      </c>
      <c r="C1189" s="684" t="s">
        <v>26</v>
      </c>
      <c r="D1189" s="743" t="s">
        <v>3663</v>
      </c>
      <c r="E1189" s="684" t="s">
        <v>402</v>
      </c>
      <c r="F1189" s="334"/>
      <c r="G1189" s="657">
        <v>44808</v>
      </c>
      <c r="H1189" s="426">
        <v>925000</v>
      </c>
      <c r="I1189" s="744"/>
      <c r="J1189" s="744"/>
      <c r="K1189" s="354">
        <f t="shared" si="210"/>
        <v>925000</v>
      </c>
      <c r="L1189" s="657">
        <v>44808</v>
      </c>
      <c r="M1189" s="742">
        <v>58569</v>
      </c>
      <c r="N1189" s="352">
        <f t="shared" si="217"/>
        <v>866431</v>
      </c>
      <c r="O1189" s="357">
        <f t="shared" si="209"/>
        <v>575</v>
      </c>
      <c r="P1189" s="410">
        <v>9</v>
      </c>
      <c r="Q1189" s="358">
        <f t="shared" si="219"/>
        <v>1.5753424657534247</v>
      </c>
      <c r="R1189" s="359">
        <f t="shared" si="220"/>
        <v>7.4246575342465757</v>
      </c>
      <c r="S1189" s="360">
        <f t="shared" si="221"/>
        <v>7.4246575342465757</v>
      </c>
      <c r="T1189" s="361">
        <f t="shared" si="222"/>
        <v>0.10555555555555554</v>
      </c>
      <c r="U1189" s="362">
        <f t="shared" si="223"/>
        <v>97638.888888888876</v>
      </c>
      <c r="V1189" s="362">
        <f t="shared" si="224"/>
        <v>768792.11111111112</v>
      </c>
      <c r="W1189" s="362">
        <f t="shared" si="225"/>
        <v>46250</v>
      </c>
      <c r="X1189" s="742">
        <f t="shared" si="215"/>
        <v>722542.11111111112</v>
      </c>
    </row>
    <row r="1190" spans="1:24" ht="13.9">
      <c r="A1190" s="349">
        <f t="shared" si="218"/>
        <v>1182</v>
      </c>
      <c r="B1190" s="684" t="s">
        <v>71</v>
      </c>
      <c r="C1190" s="684" t="s">
        <v>26</v>
      </c>
      <c r="D1190" s="743" t="s">
        <v>3663</v>
      </c>
      <c r="E1190" s="684" t="s">
        <v>402</v>
      </c>
      <c r="F1190" s="334"/>
      <c r="G1190" s="657">
        <v>44808</v>
      </c>
      <c r="H1190" s="426">
        <v>925000</v>
      </c>
      <c r="I1190" s="744"/>
      <c r="J1190" s="744"/>
      <c r="K1190" s="354">
        <f t="shared" si="210"/>
        <v>925000</v>
      </c>
      <c r="L1190" s="657">
        <v>44808</v>
      </c>
      <c r="M1190" s="742">
        <v>58569</v>
      </c>
      <c r="N1190" s="352">
        <f t="shared" si="217"/>
        <v>866431</v>
      </c>
      <c r="O1190" s="357">
        <f t="shared" si="209"/>
        <v>575</v>
      </c>
      <c r="P1190" s="410">
        <v>9</v>
      </c>
      <c r="Q1190" s="358">
        <f t="shared" si="219"/>
        <v>1.5753424657534247</v>
      </c>
      <c r="R1190" s="359">
        <f t="shared" si="220"/>
        <v>7.4246575342465757</v>
      </c>
      <c r="S1190" s="360">
        <f t="shared" si="221"/>
        <v>7.4246575342465757</v>
      </c>
      <c r="T1190" s="361">
        <f t="shared" si="222"/>
        <v>0.10555555555555554</v>
      </c>
      <c r="U1190" s="362">
        <f t="shared" si="223"/>
        <v>97638.888888888876</v>
      </c>
      <c r="V1190" s="362">
        <f t="shared" si="224"/>
        <v>768792.11111111112</v>
      </c>
      <c r="W1190" s="362">
        <f t="shared" si="225"/>
        <v>46250</v>
      </c>
      <c r="X1190" s="742">
        <f t="shared" si="215"/>
        <v>722542.11111111112</v>
      </c>
    </row>
    <row r="1191" spans="1:24" ht="13.9">
      <c r="A1191" s="349">
        <f t="shared" si="218"/>
        <v>1183</v>
      </c>
      <c r="B1191" s="684" t="s">
        <v>71</v>
      </c>
      <c r="C1191" s="684" t="s">
        <v>26</v>
      </c>
      <c r="D1191" s="743" t="s">
        <v>3663</v>
      </c>
      <c r="E1191" s="684" t="s">
        <v>402</v>
      </c>
      <c r="F1191" s="334"/>
      <c r="G1191" s="657">
        <v>44808</v>
      </c>
      <c r="H1191" s="426">
        <v>925000</v>
      </c>
      <c r="I1191" s="744"/>
      <c r="J1191" s="744"/>
      <c r="K1191" s="354">
        <f t="shared" si="210"/>
        <v>925000</v>
      </c>
      <c r="L1191" s="657">
        <v>44808</v>
      </c>
      <c r="M1191" s="742">
        <v>58569</v>
      </c>
      <c r="N1191" s="352">
        <f t="shared" si="217"/>
        <v>866431</v>
      </c>
      <c r="O1191" s="357">
        <f t="shared" si="209"/>
        <v>575</v>
      </c>
      <c r="P1191" s="410">
        <v>9</v>
      </c>
      <c r="Q1191" s="358">
        <f t="shared" si="219"/>
        <v>1.5753424657534247</v>
      </c>
      <c r="R1191" s="359">
        <f t="shared" si="220"/>
        <v>7.4246575342465757</v>
      </c>
      <c r="S1191" s="360">
        <f t="shared" si="221"/>
        <v>7.4246575342465757</v>
      </c>
      <c r="T1191" s="361">
        <f t="shared" si="222"/>
        <v>0.10555555555555554</v>
      </c>
      <c r="U1191" s="362">
        <f t="shared" si="223"/>
        <v>97638.888888888876</v>
      </c>
      <c r="V1191" s="362">
        <f t="shared" si="224"/>
        <v>768792.11111111112</v>
      </c>
      <c r="W1191" s="362">
        <f t="shared" si="225"/>
        <v>46250</v>
      </c>
      <c r="X1191" s="742">
        <f t="shared" si="215"/>
        <v>722542.11111111112</v>
      </c>
    </row>
    <row r="1192" spans="1:24" ht="13.9">
      <c r="A1192" s="349">
        <f t="shared" si="218"/>
        <v>1184</v>
      </c>
      <c r="B1192" s="684" t="s">
        <v>71</v>
      </c>
      <c r="C1192" s="684" t="s">
        <v>26</v>
      </c>
      <c r="D1192" s="743" t="s">
        <v>3663</v>
      </c>
      <c r="E1192" s="684" t="s">
        <v>402</v>
      </c>
      <c r="F1192" s="334"/>
      <c r="G1192" s="657">
        <v>44808</v>
      </c>
      <c r="H1192" s="426">
        <v>925000</v>
      </c>
      <c r="I1192" s="744"/>
      <c r="J1192" s="744"/>
      <c r="K1192" s="354">
        <f t="shared" si="210"/>
        <v>925000</v>
      </c>
      <c r="L1192" s="657">
        <v>44808</v>
      </c>
      <c r="M1192" s="742">
        <v>58569</v>
      </c>
      <c r="N1192" s="352">
        <f t="shared" si="217"/>
        <v>866431</v>
      </c>
      <c r="O1192" s="357">
        <f t="shared" si="209"/>
        <v>575</v>
      </c>
      <c r="P1192" s="410">
        <v>9</v>
      </c>
      <c r="Q1192" s="358">
        <f t="shared" si="219"/>
        <v>1.5753424657534247</v>
      </c>
      <c r="R1192" s="359">
        <f t="shared" si="220"/>
        <v>7.4246575342465757</v>
      </c>
      <c r="S1192" s="360">
        <f t="shared" si="221"/>
        <v>7.4246575342465757</v>
      </c>
      <c r="T1192" s="361">
        <f t="shared" si="222"/>
        <v>0.10555555555555554</v>
      </c>
      <c r="U1192" s="362">
        <f t="shared" si="223"/>
        <v>97638.888888888876</v>
      </c>
      <c r="V1192" s="362">
        <f t="shared" si="224"/>
        <v>768792.11111111112</v>
      </c>
      <c r="W1192" s="362">
        <f t="shared" si="225"/>
        <v>46250</v>
      </c>
      <c r="X1192" s="742">
        <f t="shared" si="215"/>
        <v>722542.11111111112</v>
      </c>
    </row>
    <row r="1193" spans="1:24" ht="13.9">
      <c r="A1193" s="349">
        <f t="shared" si="218"/>
        <v>1185</v>
      </c>
      <c r="B1193" s="684" t="s">
        <v>71</v>
      </c>
      <c r="C1193" s="684" t="s">
        <v>26</v>
      </c>
      <c r="D1193" s="743" t="s">
        <v>3663</v>
      </c>
      <c r="E1193" s="684" t="s">
        <v>402</v>
      </c>
      <c r="F1193" s="334"/>
      <c r="G1193" s="657">
        <v>44808</v>
      </c>
      <c r="H1193" s="426">
        <v>925000</v>
      </c>
      <c r="I1193" s="744"/>
      <c r="J1193" s="744"/>
      <c r="K1193" s="354">
        <f t="shared" si="210"/>
        <v>925000</v>
      </c>
      <c r="L1193" s="657">
        <v>44808</v>
      </c>
      <c r="M1193" s="742">
        <v>58569</v>
      </c>
      <c r="N1193" s="352">
        <f t="shared" si="217"/>
        <v>866431</v>
      </c>
      <c r="O1193" s="357">
        <f t="shared" si="209"/>
        <v>575</v>
      </c>
      <c r="P1193" s="410">
        <v>9</v>
      </c>
      <c r="Q1193" s="358">
        <f t="shared" si="219"/>
        <v>1.5753424657534247</v>
      </c>
      <c r="R1193" s="359">
        <f t="shared" si="220"/>
        <v>7.4246575342465757</v>
      </c>
      <c r="S1193" s="360">
        <f t="shared" si="221"/>
        <v>7.4246575342465757</v>
      </c>
      <c r="T1193" s="361">
        <f t="shared" si="222"/>
        <v>0.10555555555555554</v>
      </c>
      <c r="U1193" s="362">
        <f t="shared" si="223"/>
        <v>97638.888888888876</v>
      </c>
      <c r="V1193" s="362">
        <f t="shared" si="224"/>
        <v>768792.11111111112</v>
      </c>
      <c r="W1193" s="362">
        <f t="shared" si="225"/>
        <v>46250</v>
      </c>
      <c r="X1193" s="742">
        <f t="shared" si="215"/>
        <v>722542.11111111112</v>
      </c>
    </row>
    <row r="1194" spans="1:24" ht="13.9">
      <c r="A1194" s="349">
        <f t="shared" si="218"/>
        <v>1186</v>
      </c>
      <c r="B1194" s="684" t="s">
        <v>71</v>
      </c>
      <c r="C1194" s="684" t="s">
        <v>26</v>
      </c>
      <c r="D1194" s="743" t="s">
        <v>3663</v>
      </c>
      <c r="E1194" s="684" t="s">
        <v>402</v>
      </c>
      <c r="F1194" s="334"/>
      <c r="G1194" s="657">
        <v>44808</v>
      </c>
      <c r="H1194" s="426">
        <v>925000</v>
      </c>
      <c r="I1194" s="744"/>
      <c r="J1194" s="744"/>
      <c r="K1194" s="354">
        <f t="shared" si="210"/>
        <v>925000</v>
      </c>
      <c r="L1194" s="657">
        <v>44808</v>
      </c>
      <c r="M1194" s="742">
        <v>58569</v>
      </c>
      <c r="N1194" s="352">
        <f t="shared" si="217"/>
        <v>866431</v>
      </c>
      <c r="O1194" s="357">
        <f t="shared" si="209"/>
        <v>575</v>
      </c>
      <c r="P1194" s="410">
        <v>9</v>
      </c>
      <c r="Q1194" s="358">
        <f t="shared" si="219"/>
        <v>1.5753424657534247</v>
      </c>
      <c r="R1194" s="359">
        <f t="shared" si="220"/>
        <v>7.4246575342465757</v>
      </c>
      <c r="S1194" s="360">
        <f t="shared" si="221"/>
        <v>7.4246575342465757</v>
      </c>
      <c r="T1194" s="361">
        <f t="shared" si="222"/>
        <v>0.10555555555555554</v>
      </c>
      <c r="U1194" s="362">
        <f t="shared" si="223"/>
        <v>97638.888888888876</v>
      </c>
      <c r="V1194" s="362">
        <f t="shared" si="224"/>
        <v>768792.11111111112</v>
      </c>
      <c r="W1194" s="362">
        <f t="shared" si="225"/>
        <v>46250</v>
      </c>
      <c r="X1194" s="742">
        <f t="shared" si="215"/>
        <v>722542.11111111112</v>
      </c>
    </row>
    <row r="1195" spans="1:24" ht="13.9">
      <c r="A1195" s="349">
        <f t="shared" si="218"/>
        <v>1187</v>
      </c>
      <c r="B1195" s="684" t="s">
        <v>71</v>
      </c>
      <c r="C1195" s="684" t="s">
        <v>26</v>
      </c>
      <c r="D1195" s="743" t="s">
        <v>3663</v>
      </c>
      <c r="E1195" s="684" t="s">
        <v>402</v>
      </c>
      <c r="F1195" s="334"/>
      <c r="G1195" s="657">
        <v>44808</v>
      </c>
      <c r="H1195" s="426">
        <v>925000</v>
      </c>
      <c r="I1195" s="744"/>
      <c r="J1195" s="744"/>
      <c r="K1195" s="354">
        <f t="shared" si="210"/>
        <v>925000</v>
      </c>
      <c r="L1195" s="657">
        <v>44808</v>
      </c>
      <c r="M1195" s="742">
        <v>58569</v>
      </c>
      <c r="N1195" s="352">
        <f t="shared" si="217"/>
        <v>866431</v>
      </c>
      <c r="O1195" s="357">
        <f t="shared" si="209"/>
        <v>575</v>
      </c>
      <c r="P1195" s="410">
        <v>9</v>
      </c>
      <c r="Q1195" s="358">
        <f t="shared" si="219"/>
        <v>1.5753424657534247</v>
      </c>
      <c r="R1195" s="359">
        <f t="shared" si="220"/>
        <v>7.4246575342465757</v>
      </c>
      <c r="S1195" s="360">
        <f t="shared" si="221"/>
        <v>7.4246575342465757</v>
      </c>
      <c r="T1195" s="361">
        <f t="shared" si="222"/>
        <v>0.10555555555555554</v>
      </c>
      <c r="U1195" s="362">
        <f t="shared" si="223"/>
        <v>97638.888888888876</v>
      </c>
      <c r="V1195" s="362">
        <f t="shared" si="224"/>
        <v>768792.11111111112</v>
      </c>
      <c r="W1195" s="362">
        <f t="shared" si="225"/>
        <v>46250</v>
      </c>
      <c r="X1195" s="742">
        <f t="shared" si="215"/>
        <v>722542.11111111112</v>
      </c>
    </row>
    <row r="1196" spans="1:24" ht="13.9">
      <c r="A1196" s="349">
        <f t="shared" si="218"/>
        <v>1188</v>
      </c>
      <c r="B1196" s="684" t="s">
        <v>71</v>
      </c>
      <c r="C1196" s="684" t="s">
        <v>26</v>
      </c>
      <c r="D1196" s="743" t="s">
        <v>3663</v>
      </c>
      <c r="E1196" s="684" t="s">
        <v>402</v>
      </c>
      <c r="F1196" s="334"/>
      <c r="G1196" s="657">
        <v>44808</v>
      </c>
      <c r="H1196" s="426">
        <v>925000</v>
      </c>
      <c r="I1196" s="744"/>
      <c r="J1196" s="744"/>
      <c r="K1196" s="354">
        <f t="shared" si="210"/>
        <v>925000</v>
      </c>
      <c r="L1196" s="657">
        <v>44808</v>
      </c>
      <c r="M1196" s="742">
        <v>58569</v>
      </c>
      <c r="N1196" s="352">
        <f t="shared" si="217"/>
        <v>866431</v>
      </c>
      <c r="O1196" s="357">
        <f t="shared" si="209"/>
        <v>575</v>
      </c>
      <c r="P1196" s="410">
        <v>9</v>
      </c>
      <c r="Q1196" s="358">
        <f t="shared" si="219"/>
        <v>1.5753424657534247</v>
      </c>
      <c r="R1196" s="359">
        <f t="shared" si="220"/>
        <v>7.4246575342465757</v>
      </c>
      <c r="S1196" s="360">
        <f t="shared" si="221"/>
        <v>7.4246575342465757</v>
      </c>
      <c r="T1196" s="361">
        <f t="shared" si="222"/>
        <v>0.10555555555555554</v>
      </c>
      <c r="U1196" s="362">
        <f t="shared" si="223"/>
        <v>97638.888888888876</v>
      </c>
      <c r="V1196" s="362">
        <f t="shared" si="224"/>
        <v>768792.11111111112</v>
      </c>
      <c r="W1196" s="362">
        <f t="shared" si="225"/>
        <v>46250</v>
      </c>
      <c r="X1196" s="742">
        <f t="shared" si="215"/>
        <v>722542.11111111112</v>
      </c>
    </row>
    <row r="1197" spans="1:24" ht="13.9">
      <c r="A1197" s="349">
        <f t="shared" si="218"/>
        <v>1189</v>
      </c>
      <c r="B1197" s="684" t="s">
        <v>71</v>
      </c>
      <c r="C1197" s="684" t="s">
        <v>26</v>
      </c>
      <c r="D1197" s="743" t="s">
        <v>3663</v>
      </c>
      <c r="E1197" s="684" t="s">
        <v>402</v>
      </c>
      <c r="F1197" s="334"/>
      <c r="G1197" s="657">
        <v>44808</v>
      </c>
      <c r="H1197" s="426">
        <v>925000</v>
      </c>
      <c r="I1197" s="744"/>
      <c r="J1197" s="744"/>
      <c r="K1197" s="354">
        <f t="shared" si="210"/>
        <v>925000</v>
      </c>
      <c r="L1197" s="657">
        <v>44808</v>
      </c>
      <c r="M1197" s="742">
        <v>58569</v>
      </c>
      <c r="N1197" s="352">
        <f t="shared" si="217"/>
        <v>866431</v>
      </c>
      <c r="O1197" s="357">
        <f t="shared" si="209"/>
        <v>575</v>
      </c>
      <c r="P1197" s="410">
        <v>9</v>
      </c>
      <c r="Q1197" s="358">
        <f t="shared" si="219"/>
        <v>1.5753424657534247</v>
      </c>
      <c r="R1197" s="359">
        <f t="shared" si="220"/>
        <v>7.4246575342465757</v>
      </c>
      <c r="S1197" s="360">
        <f t="shared" si="221"/>
        <v>7.4246575342465757</v>
      </c>
      <c r="T1197" s="361">
        <f t="shared" si="222"/>
        <v>0.10555555555555554</v>
      </c>
      <c r="U1197" s="362">
        <f t="shared" si="223"/>
        <v>97638.888888888876</v>
      </c>
      <c r="V1197" s="362">
        <f t="shared" si="224"/>
        <v>768792.11111111112</v>
      </c>
      <c r="W1197" s="362">
        <f t="shared" si="225"/>
        <v>46250</v>
      </c>
      <c r="X1197" s="742">
        <f t="shared" si="215"/>
        <v>722542.11111111112</v>
      </c>
    </row>
    <row r="1198" spans="1:24" ht="13.9">
      <c r="A1198" s="349">
        <f t="shared" si="218"/>
        <v>1190</v>
      </c>
      <c r="B1198" s="684" t="s">
        <v>71</v>
      </c>
      <c r="C1198" s="684" t="s">
        <v>26</v>
      </c>
      <c r="D1198" s="743" t="s">
        <v>3663</v>
      </c>
      <c r="E1198" s="684" t="s">
        <v>402</v>
      </c>
      <c r="F1198" s="334"/>
      <c r="G1198" s="657">
        <v>44808</v>
      </c>
      <c r="H1198" s="426">
        <v>925000</v>
      </c>
      <c r="I1198" s="744"/>
      <c r="J1198" s="744"/>
      <c r="K1198" s="354">
        <f t="shared" si="210"/>
        <v>925000</v>
      </c>
      <c r="L1198" s="657">
        <v>44808</v>
      </c>
      <c r="M1198" s="742">
        <v>58569</v>
      </c>
      <c r="N1198" s="352">
        <f t="shared" si="217"/>
        <v>866431</v>
      </c>
      <c r="O1198" s="357">
        <f t="shared" si="209"/>
        <v>575</v>
      </c>
      <c r="P1198" s="410">
        <v>9</v>
      </c>
      <c r="Q1198" s="358">
        <f t="shared" si="219"/>
        <v>1.5753424657534247</v>
      </c>
      <c r="R1198" s="359">
        <f t="shared" si="220"/>
        <v>7.4246575342465757</v>
      </c>
      <c r="S1198" s="360">
        <f t="shared" si="221"/>
        <v>7.4246575342465757</v>
      </c>
      <c r="T1198" s="361">
        <f t="shared" si="222"/>
        <v>0.10555555555555554</v>
      </c>
      <c r="U1198" s="362">
        <f t="shared" si="223"/>
        <v>97638.888888888876</v>
      </c>
      <c r="V1198" s="362">
        <f t="shared" si="224"/>
        <v>768792.11111111112</v>
      </c>
      <c r="W1198" s="362">
        <f t="shared" si="225"/>
        <v>46250</v>
      </c>
      <c r="X1198" s="742">
        <f t="shared" si="215"/>
        <v>722542.11111111112</v>
      </c>
    </row>
    <row r="1199" spans="1:24" ht="13.9">
      <c r="A1199" s="349">
        <f t="shared" si="218"/>
        <v>1191</v>
      </c>
      <c r="B1199" s="684" t="s">
        <v>71</v>
      </c>
      <c r="C1199" s="684" t="s">
        <v>26</v>
      </c>
      <c r="D1199" s="743" t="s">
        <v>3663</v>
      </c>
      <c r="E1199" s="684" t="s">
        <v>402</v>
      </c>
      <c r="F1199" s="334"/>
      <c r="G1199" s="657">
        <v>44808</v>
      </c>
      <c r="H1199" s="426">
        <v>925000</v>
      </c>
      <c r="I1199" s="744"/>
      <c r="J1199" s="744"/>
      <c r="K1199" s="354">
        <f t="shared" si="210"/>
        <v>925000</v>
      </c>
      <c r="L1199" s="657">
        <v>44808</v>
      </c>
      <c r="M1199" s="742">
        <v>58569</v>
      </c>
      <c r="N1199" s="352">
        <f t="shared" si="217"/>
        <v>866431</v>
      </c>
      <c r="O1199" s="357">
        <f t="shared" si="209"/>
        <v>575</v>
      </c>
      <c r="P1199" s="410">
        <v>9</v>
      </c>
      <c r="Q1199" s="358">
        <f t="shared" si="219"/>
        <v>1.5753424657534247</v>
      </c>
      <c r="R1199" s="359">
        <f t="shared" si="220"/>
        <v>7.4246575342465757</v>
      </c>
      <c r="S1199" s="360">
        <f t="shared" si="221"/>
        <v>7.4246575342465757</v>
      </c>
      <c r="T1199" s="361">
        <f t="shared" si="222"/>
        <v>0.10555555555555554</v>
      </c>
      <c r="U1199" s="362">
        <f t="shared" si="223"/>
        <v>97638.888888888876</v>
      </c>
      <c r="V1199" s="362">
        <f t="shared" si="224"/>
        <v>768792.11111111112</v>
      </c>
      <c r="W1199" s="362">
        <f t="shared" si="225"/>
        <v>46250</v>
      </c>
      <c r="X1199" s="742">
        <f t="shared" si="215"/>
        <v>722542.11111111112</v>
      </c>
    </row>
    <row r="1200" spans="1:24" ht="13.9">
      <c r="A1200" s="349">
        <f t="shared" si="218"/>
        <v>1192</v>
      </c>
      <c r="B1200" s="669" t="s">
        <v>3423</v>
      </c>
      <c r="C1200" s="670" t="s">
        <v>2474</v>
      </c>
      <c r="D1200" s="743" t="s">
        <v>3663</v>
      </c>
      <c r="E1200" s="669" t="s">
        <v>3421</v>
      </c>
      <c r="F1200" s="334"/>
      <c r="G1200" s="672">
        <v>44947</v>
      </c>
      <c r="H1200" s="426">
        <v>19000000</v>
      </c>
      <c r="I1200" s="744"/>
      <c r="J1200" s="744"/>
      <c r="K1200" s="354">
        <f t="shared" si="210"/>
        <v>19000000</v>
      </c>
      <c r="L1200" s="672">
        <v>44947</v>
      </c>
      <c r="M1200" s="742">
        <v>399087</v>
      </c>
      <c r="N1200" s="352">
        <f t="shared" si="217"/>
        <v>18600913</v>
      </c>
      <c r="O1200" s="357">
        <f t="shared" si="209"/>
        <v>436</v>
      </c>
      <c r="P1200" s="410">
        <v>9</v>
      </c>
      <c r="Q1200" s="358">
        <f t="shared" si="219"/>
        <v>1.1945205479452055</v>
      </c>
      <c r="R1200" s="359">
        <f t="shared" si="220"/>
        <v>7.8054794520547945</v>
      </c>
      <c r="S1200" s="360">
        <f t="shared" si="221"/>
        <v>7.8054794520547945</v>
      </c>
      <c r="T1200" s="361">
        <f t="shared" si="222"/>
        <v>0.10555555555555554</v>
      </c>
      <c r="U1200" s="362">
        <f t="shared" si="223"/>
        <v>2005555.5555555553</v>
      </c>
      <c r="V1200" s="362">
        <f t="shared" si="224"/>
        <v>16595357.444444444</v>
      </c>
      <c r="W1200" s="362">
        <f t="shared" si="225"/>
        <v>950000</v>
      </c>
      <c r="X1200" s="742">
        <f t="shared" si="215"/>
        <v>15645357.444444444</v>
      </c>
    </row>
    <row r="1201" spans="1:24" ht="13.9">
      <c r="A1201" s="349">
        <f t="shared" si="218"/>
        <v>1193</v>
      </c>
      <c r="B1201" s="669" t="s">
        <v>3423</v>
      </c>
      <c r="C1201" s="670" t="s">
        <v>2474</v>
      </c>
      <c r="D1201" s="743" t="s">
        <v>3663</v>
      </c>
      <c r="E1201" s="669" t="s">
        <v>3421</v>
      </c>
      <c r="F1201" s="334"/>
      <c r="G1201" s="672">
        <v>44947</v>
      </c>
      <c r="H1201" s="426">
        <v>1000000</v>
      </c>
      <c r="I1201" s="744"/>
      <c r="J1201" s="744"/>
      <c r="K1201" s="354">
        <f t="shared" si="210"/>
        <v>1000000</v>
      </c>
      <c r="L1201" s="672">
        <v>44947</v>
      </c>
      <c r="M1201" s="742">
        <v>21005</v>
      </c>
      <c r="N1201" s="352">
        <f t="shared" si="217"/>
        <v>978995</v>
      </c>
      <c r="O1201" s="357">
        <f t="shared" si="209"/>
        <v>436</v>
      </c>
      <c r="P1201" s="410">
        <v>9</v>
      </c>
      <c r="Q1201" s="358">
        <f t="shared" si="219"/>
        <v>1.1945205479452055</v>
      </c>
      <c r="R1201" s="359">
        <f t="shared" si="220"/>
        <v>7.8054794520547945</v>
      </c>
      <c r="S1201" s="360">
        <f t="shared" si="221"/>
        <v>7.8054794520547945</v>
      </c>
      <c r="T1201" s="361">
        <f t="shared" si="222"/>
        <v>0.10555555555555554</v>
      </c>
      <c r="U1201" s="362">
        <f t="shared" si="223"/>
        <v>105555.55555555555</v>
      </c>
      <c r="V1201" s="362">
        <f t="shared" si="224"/>
        <v>873439.4444444445</v>
      </c>
      <c r="W1201" s="362">
        <f t="shared" si="225"/>
        <v>50000</v>
      </c>
      <c r="X1201" s="742">
        <f t="shared" si="215"/>
        <v>823439.4444444445</v>
      </c>
    </row>
    <row r="1202" spans="1:24" ht="13.9">
      <c r="A1202" s="349">
        <f t="shared" si="218"/>
        <v>1194</v>
      </c>
      <c r="B1202" s="670" t="s">
        <v>583</v>
      </c>
      <c r="C1202" s="670" t="s">
        <v>2474</v>
      </c>
      <c r="D1202" s="743" t="s">
        <v>3663</v>
      </c>
      <c r="E1202" s="670" t="s">
        <v>3515</v>
      </c>
      <c r="F1202" s="334"/>
      <c r="G1202" s="672">
        <v>44967</v>
      </c>
      <c r="H1202" s="426">
        <v>490000</v>
      </c>
      <c r="I1202" s="744"/>
      <c r="J1202" s="744"/>
      <c r="K1202" s="354">
        <f t="shared" si="210"/>
        <v>490000</v>
      </c>
      <c r="L1202" s="672">
        <v>44967</v>
      </c>
      <c r="M1202" s="742">
        <v>7309</v>
      </c>
      <c r="N1202" s="352">
        <f t="shared" si="217"/>
        <v>482691</v>
      </c>
      <c r="O1202" s="357">
        <f t="shared" si="209"/>
        <v>416</v>
      </c>
      <c r="P1202" s="410">
        <v>9</v>
      </c>
      <c r="Q1202" s="358">
        <f t="shared" si="219"/>
        <v>1.1397260273972603</v>
      </c>
      <c r="R1202" s="359">
        <f t="shared" si="220"/>
        <v>7.86027397260274</v>
      </c>
      <c r="S1202" s="360">
        <f t="shared" si="221"/>
        <v>7.86027397260274</v>
      </c>
      <c r="T1202" s="361">
        <f t="shared" si="222"/>
        <v>0.10555555555555554</v>
      </c>
      <c r="U1202" s="362">
        <f t="shared" si="223"/>
        <v>51722.222222222212</v>
      </c>
      <c r="V1202" s="362">
        <f t="shared" si="224"/>
        <v>430968.77777777781</v>
      </c>
      <c r="W1202" s="362">
        <f t="shared" si="225"/>
        <v>24500</v>
      </c>
      <c r="X1202" s="742">
        <f t="shared" si="215"/>
        <v>406468.77777777781</v>
      </c>
    </row>
    <row r="1203" spans="1:24" ht="13.9">
      <c r="A1203" s="349">
        <f t="shared" si="218"/>
        <v>1195</v>
      </c>
      <c r="B1203" s="670" t="s">
        <v>583</v>
      </c>
      <c r="C1203" s="670" t="s">
        <v>2474</v>
      </c>
      <c r="D1203" s="743" t="s">
        <v>3663</v>
      </c>
      <c r="E1203" s="670" t="s">
        <v>3515</v>
      </c>
      <c r="F1203" s="334"/>
      <c r="G1203" s="672">
        <v>44967</v>
      </c>
      <c r="H1203" s="426">
        <v>480000</v>
      </c>
      <c r="I1203" s="744"/>
      <c r="J1203" s="744"/>
      <c r="K1203" s="354">
        <f t="shared" si="210"/>
        <v>480000</v>
      </c>
      <c r="L1203" s="672">
        <v>44967</v>
      </c>
      <c r="M1203" s="742">
        <v>7160</v>
      </c>
      <c r="N1203" s="352">
        <f t="shared" si="217"/>
        <v>472840</v>
      </c>
      <c r="O1203" s="357">
        <f t="shared" si="209"/>
        <v>416</v>
      </c>
      <c r="P1203" s="410">
        <v>9</v>
      </c>
      <c r="Q1203" s="358">
        <f t="shared" si="219"/>
        <v>1.1397260273972603</v>
      </c>
      <c r="R1203" s="359">
        <f t="shared" si="220"/>
        <v>7.86027397260274</v>
      </c>
      <c r="S1203" s="360">
        <f t="shared" si="221"/>
        <v>7.86027397260274</v>
      </c>
      <c r="T1203" s="361">
        <f t="shared" si="222"/>
        <v>0.10555555555555554</v>
      </c>
      <c r="U1203" s="362">
        <f t="shared" si="223"/>
        <v>50666.666666666657</v>
      </c>
      <c r="V1203" s="362">
        <f t="shared" si="224"/>
        <v>422173.33333333337</v>
      </c>
      <c r="W1203" s="362">
        <f t="shared" si="225"/>
        <v>24000</v>
      </c>
      <c r="X1203" s="742">
        <f t="shared" si="215"/>
        <v>398173.33333333337</v>
      </c>
    </row>
    <row r="1204" spans="1:24" ht="13.9">
      <c r="A1204" s="349">
        <f t="shared" si="218"/>
        <v>1196</v>
      </c>
      <c r="B1204" s="670" t="s">
        <v>583</v>
      </c>
      <c r="C1204" s="670" t="s">
        <v>2474</v>
      </c>
      <c r="D1204" s="743" t="s">
        <v>3663</v>
      </c>
      <c r="E1204" s="670" t="s">
        <v>3515</v>
      </c>
      <c r="F1204" s="334"/>
      <c r="G1204" s="672">
        <v>44967</v>
      </c>
      <c r="H1204" s="426">
        <v>500000</v>
      </c>
      <c r="I1204" s="744"/>
      <c r="J1204" s="744"/>
      <c r="K1204" s="354">
        <f t="shared" si="210"/>
        <v>500000</v>
      </c>
      <c r="L1204" s="672">
        <v>44967</v>
      </c>
      <c r="M1204" s="742">
        <v>7458</v>
      </c>
      <c r="N1204" s="352">
        <f t="shared" si="217"/>
        <v>492542</v>
      </c>
      <c r="O1204" s="357">
        <f t="shared" si="209"/>
        <v>416</v>
      </c>
      <c r="P1204" s="410">
        <v>9</v>
      </c>
      <c r="Q1204" s="358">
        <f t="shared" si="219"/>
        <v>1.1397260273972603</v>
      </c>
      <c r="R1204" s="359">
        <f t="shared" si="220"/>
        <v>7.86027397260274</v>
      </c>
      <c r="S1204" s="360">
        <f t="shared" si="221"/>
        <v>7.86027397260274</v>
      </c>
      <c r="T1204" s="361">
        <f t="shared" si="222"/>
        <v>0.10555555555555554</v>
      </c>
      <c r="U1204" s="362">
        <f t="shared" si="223"/>
        <v>52777.777777777774</v>
      </c>
      <c r="V1204" s="362">
        <f t="shared" si="224"/>
        <v>439764.22222222225</v>
      </c>
      <c r="W1204" s="362">
        <f t="shared" si="225"/>
        <v>25000</v>
      </c>
      <c r="X1204" s="742">
        <f t="shared" si="215"/>
        <v>414764.22222222225</v>
      </c>
    </row>
    <row r="1205" spans="1:24" ht="13.9">
      <c r="A1205" s="349">
        <f t="shared" si="218"/>
        <v>1197</v>
      </c>
      <c r="B1205" s="670" t="s">
        <v>583</v>
      </c>
      <c r="C1205" s="670" t="s">
        <v>2474</v>
      </c>
      <c r="D1205" s="743" t="s">
        <v>3663</v>
      </c>
      <c r="E1205" s="670" t="s">
        <v>3515</v>
      </c>
      <c r="F1205" s="334"/>
      <c r="G1205" s="672">
        <v>44967</v>
      </c>
      <c r="H1205" s="426">
        <v>540000</v>
      </c>
      <c r="I1205" s="744"/>
      <c r="J1205" s="744"/>
      <c r="K1205" s="354">
        <f t="shared" si="210"/>
        <v>540000</v>
      </c>
      <c r="L1205" s="672">
        <v>44967</v>
      </c>
      <c r="M1205" s="742">
        <v>8055</v>
      </c>
      <c r="N1205" s="352">
        <f t="shared" si="217"/>
        <v>531945</v>
      </c>
      <c r="O1205" s="357">
        <f t="shared" si="209"/>
        <v>416</v>
      </c>
      <c r="P1205" s="410">
        <v>9</v>
      </c>
      <c r="Q1205" s="358">
        <f t="shared" si="219"/>
        <v>1.1397260273972603</v>
      </c>
      <c r="R1205" s="359">
        <f t="shared" si="220"/>
        <v>7.86027397260274</v>
      </c>
      <c r="S1205" s="360">
        <f t="shared" si="221"/>
        <v>7.86027397260274</v>
      </c>
      <c r="T1205" s="361">
        <f t="shared" si="222"/>
        <v>0.10555555555555554</v>
      </c>
      <c r="U1205" s="362">
        <f t="shared" si="223"/>
        <v>56999.999999999993</v>
      </c>
      <c r="V1205" s="362">
        <f t="shared" si="224"/>
        <v>474945</v>
      </c>
      <c r="W1205" s="362">
        <f t="shared" si="225"/>
        <v>27000</v>
      </c>
      <c r="X1205" s="742">
        <f t="shared" si="215"/>
        <v>447945</v>
      </c>
    </row>
    <row r="1206" spans="1:24" ht="13.9">
      <c r="A1206" s="349">
        <f t="shared" si="218"/>
        <v>1198</v>
      </c>
      <c r="B1206" s="670" t="s">
        <v>583</v>
      </c>
      <c r="C1206" s="670" t="s">
        <v>2474</v>
      </c>
      <c r="D1206" s="743" t="s">
        <v>3663</v>
      </c>
      <c r="E1206" s="670" t="s">
        <v>3515</v>
      </c>
      <c r="F1206" s="334"/>
      <c r="G1206" s="672">
        <v>44970</v>
      </c>
      <c r="H1206" s="426">
        <v>500000</v>
      </c>
      <c r="I1206" s="744"/>
      <c r="J1206" s="744"/>
      <c r="K1206" s="354">
        <f t="shared" si="210"/>
        <v>500000</v>
      </c>
      <c r="L1206" s="672">
        <v>44970</v>
      </c>
      <c r="M1206" s="742">
        <v>7002</v>
      </c>
      <c r="N1206" s="352">
        <f t="shared" si="217"/>
        <v>492998</v>
      </c>
      <c r="O1206" s="357">
        <f t="shared" si="209"/>
        <v>413</v>
      </c>
      <c r="P1206" s="410">
        <v>9</v>
      </c>
      <c r="Q1206" s="358">
        <f t="shared" si="219"/>
        <v>1.1315068493150684</v>
      </c>
      <c r="R1206" s="359">
        <f t="shared" si="220"/>
        <v>7.868493150684932</v>
      </c>
      <c r="S1206" s="360">
        <f t="shared" si="221"/>
        <v>7.868493150684932</v>
      </c>
      <c r="T1206" s="361">
        <f t="shared" si="222"/>
        <v>0.10555555555555554</v>
      </c>
      <c r="U1206" s="362">
        <f t="shared" si="223"/>
        <v>52777.777777777774</v>
      </c>
      <c r="V1206" s="362">
        <f t="shared" si="224"/>
        <v>440220.22222222225</v>
      </c>
      <c r="W1206" s="362">
        <f t="shared" si="225"/>
        <v>25000</v>
      </c>
      <c r="X1206" s="742">
        <f t="shared" si="215"/>
        <v>415220.22222222225</v>
      </c>
    </row>
    <row r="1207" spans="1:24" ht="13.9">
      <c r="A1207" s="349">
        <f t="shared" si="218"/>
        <v>1199</v>
      </c>
      <c r="B1207" s="670" t="s">
        <v>3616</v>
      </c>
      <c r="C1207" s="670" t="s">
        <v>2474</v>
      </c>
      <c r="D1207" s="743" t="s">
        <v>3663</v>
      </c>
      <c r="E1207" s="670" t="s">
        <v>3617</v>
      </c>
      <c r="F1207" s="334"/>
      <c r="G1207" s="672">
        <v>44669</v>
      </c>
      <c r="H1207" s="426">
        <v>144068</v>
      </c>
      <c r="I1207" s="744"/>
      <c r="J1207" s="744"/>
      <c r="K1207" s="354">
        <f t="shared" si="210"/>
        <v>144068</v>
      </c>
      <c r="L1207" s="672">
        <v>44669</v>
      </c>
      <c r="M1207" s="742">
        <v>15218</v>
      </c>
      <c r="N1207" s="352">
        <f t="shared" si="217"/>
        <v>128850</v>
      </c>
      <c r="O1207" s="357">
        <f t="shared" si="209"/>
        <v>714</v>
      </c>
      <c r="P1207" s="410">
        <v>9</v>
      </c>
      <c r="Q1207" s="358">
        <f t="shared" si="219"/>
        <v>1.9561643835616438</v>
      </c>
      <c r="R1207" s="359">
        <f t="shared" si="220"/>
        <v>7.043835616438356</v>
      </c>
      <c r="S1207" s="360">
        <f t="shared" si="221"/>
        <v>7.043835616438356</v>
      </c>
      <c r="T1207" s="361">
        <f t="shared" si="222"/>
        <v>0.10555555555555554</v>
      </c>
      <c r="U1207" s="362">
        <f t="shared" si="223"/>
        <v>15207.177777777775</v>
      </c>
      <c r="V1207" s="362">
        <f t="shared" si="224"/>
        <v>113642.82222222222</v>
      </c>
      <c r="W1207" s="362">
        <f t="shared" si="225"/>
        <v>7203</v>
      </c>
      <c r="X1207" s="742">
        <f t="shared" si="215"/>
        <v>106439.82222222222</v>
      </c>
    </row>
    <row r="1208" spans="1:24" ht="13.9">
      <c r="A1208" s="349">
        <f t="shared" si="218"/>
        <v>1200</v>
      </c>
      <c r="B1208" s="669" t="s">
        <v>3560</v>
      </c>
      <c r="C1208" s="670" t="s">
        <v>2474</v>
      </c>
      <c r="D1208" s="743" t="s">
        <v>3663</v>
      </c>
      <c r="E1208" s="669" t="s">
        <v>3557</v>
      </c>
      <c r="F1208" s="334"/>
      <c r="G1208" s="672">
        <v>45008</v>
      </c>
      <c r="H1208" s="426">
        <v>102678.64</v>
      </c>
      <c r="I1208" s="744"/>
      <c r="J1208" s="744"/>
      <c r="K1208" s="354">
        <f t="shared" si="210"/>
        <v>102678.64</v>
      </c>
      <c r="L1208" s="672">
        <v>45008</v>
      </c>
      <c r="M1208" s="742">
        <v>250</v>
      </c>
      <c r="N1208" s="352">
        <f t="shared" si="217"/>
        <v>102428.64</v>
      </c>
      <c r="O1208" s="357">
        <f t="shared" si="209"/>
        <v>375</v>
      </c>
      <c r="P1208" s="410">
        <v>9</v>
      </c>
      <c r="Q1208" s="358">
        <f t="shared" si="219"/>
        <v>1.0273972602739727</v>
      </c>
      <c r="R1208" s="359">
        <f t="shared" si="220"/>
        <v>7.9726027397260273</v>
      </c>
      <c r="S1208" s="360">
        <f t="shared" si="221"/>
        <v>7.9726027397260273</v>
      </c>
      <c r="T1208" s="361">
        <f t="shared" si="222"/>
        <v>0.10555555555555554</v>
      </c>
      <c r="U1208" s="362">
        <f t="shared" si="223"/>
        <v>10838.300888888887</v>
      </c>
      <c r="V1208" s="362">
        <f t="shared" si="224"/>
        <v>91590.339111111112</v>
      </c>
      <c r="W1208" s="362">
        <f t="shared" si="225"/>
        <v>5134</v>
      </c>
      <c r="X1208" s="742">
        <f t="shared" si="215"/>
        <v>86456.339111111112</v>
      </c>
    </row>
    <row r="1209" spans="1:24" ht="13.9">
      <c r="A1209" s="349">
        <f t="shared" si="218"/>
        <v>1201</v>
      </c>
      <c r="B1209" s="669" t="s">
        <v>3560</v>
      </c>
      <c r="C1209" s="670" t="s">
        <v>2474</v>
      </c>
      <c r="D1209" s="743" t="s">
        <v>3663</v>
      </c>
      <c r="E1209" s="669" t="s">
        <v>3557</v>
      </c>
      <c r="F1209" s="334"/>
      <c r="G1209" s="672">
        <v>45008</v>
      </c>
      <c r="H1209" s="426">
        <v>84821.48</v>
      </c>
      <c r="I1209" s="744"/>
      <c r="J1209" s="744"/>
      <c r="K1209" s="354">
        <f t="shared" si="210"/>
        <v>84821.48</v>
      </c>
      <c r="L1209" s="672">
        <v>45008</v>
      </c>
      <c r="M1209" s="742">
        <v>207</v>
      </c>
      <c r="N1209" s="352">
        <f t="shared" si="217"/>
        <v>84614.48</v>
      </c>
      <c r="O1209" s="357">
        <f t="shared" si="209"/>
        <v>375</v>
      </c>
      <c r="P1209" s="410">
        <v>9</v>
      </c>
      <c r="Q1209" s="358">
        <f t="shared" si="219"/>
        <v>1.0273972602739727</v>
      </c>
      <c r="R1209" s="359">
        <f t="shared" si="220"/>
        <v>7.9726027397260273</v>
      </c>
      <c r="S1209" s="360">
        <f t="shared" si="221"/>
        <v>7.9726027397260273</v>
      </c>
      <c r="T1209" s="361">
        <f t="shared" si="222"/>
        <v>0.10555555555555554</v>
      </c>
      <c r="U1209" s="362">
        <f t="shared" si="223"/>
        <v>8953.3784444444427</v>
      </c>
      <c r="V1209" s="362">
        <f t="shared" si="224"/>
        <v>75661.10155555555</v>
      </c>
      <c r="W1209" s="362">
        <f t="shared" si="225"/>
        <v>4241</v>
      </c>
      <c r="X1209" s="742">
        <f t="shared" si="215"/>
        <v>71420.10155555555</v>
      </c>
    </row>
    <row r="1210" spans="1:24" ht="13.9">
      <c r="A1210" s="349">
        <f t="shared" si="218"/>
        <v>1202</v>
      </c>
      <c r="B1210" s="669" t="s">
        <v>583</v>
      </c>
      <c r="C1210" s="670" t="s">
        <v>2474</v>
      </c>
      <c r="D1210" s="743" t="s">
        <v>3663</v>
      </c>
      <c r="E1210" s="669" t="s">
        <v>3557</v>
      </c>
      <c r="F1210" s="334"/>
      <c r="G1210" s="672">
        <v>45008</v>
      </c>
      <c r="H1210" s="426">
        <v>770089.32000000007</v>
      </c>
      <c r="I1210" s="744"/>
      <c r="J1210" s="744"/>
      <c r="K1210" s="354">
        <f t="shared" si="210"/>
        <v>770089.32000000007</v>
      </c>
      <c r="L1210" s="672">
        <v>45008</v>
      </c>
      <c r="M1210" s="742">
        <v>1875</v>
      </c>
      <c r="N1210" s="352">
        <f t="shared" si="217"/>
        <v>768214.32000000007</v>
      </c>
      <c r="O1210" s="357">
        <f t="shared" si="209"/>
        <v>375</v>
      </c>
      <c r="P1210" s="410">
        <v>9</v>
      </c>
      <c r="Q1210" s="358">
        <f t="shared" si="219"/>
        <v>1.0273972602739727</v>
      </c>
      <c r="R1210" s="359">
        <f t="shared" si="220"/>
        <v>7.9726027397260273</v>
      </c>
      <c r="S1210" s="360">
        <f t="shared" si="221"/>
        <v>7.9726027397260273</v>
      </c>
      <c r="T1210" s="361">
        <f t="shared" si="222"/>
        <v>0.10555555555555554</v>
      </c>
      <c r="U1210" s="362">
        <f t="shared" si="223"/>
        <v>81287.205999999991</v>
      </c>
      <c r="V1210" s="362">
        <f t="shared" si="224"/>
        <v>686927.11400000006</v>
      </c>
      <c r="W1210" s="362">
        <f t="shared" si="225"/>
        <v>38504</v>
      </c>
      <c r="X1210" s="742">
        <f t="shared" si="215"/>
        <v>648423.11400000006</v>
      </c>
    </row>
    <row r="1211" spans="1:24" ht="13.9">
      <c r="A1211" s="349">
        <f t="shared" si="218"/>
        <v>1203</v>
      </c>
      <c r="B1211" s="669" t="s">
        <v>71</v>
      </c>
      <c r="C1211" s="670" t="s">
        <v>2474</v>
      </c>
      <c r="D1211" s="743" t="s">
        <v>3663</v>
      </c>
      <c r="E1211" s="669" t="s">
        <v>3377</v>
      </c>
      <c r="F1211" s="334"/>
      <c r="G1211" s="672">
        <v>45015</v>
      </c>
      <c r="H1211" s="426">
        <v>925000</v>
      </c>
      <c r="I1211" s="744"/>
      <c r="J1211" s="744"/>
      <c r="K1211" s="354">
        <f t="shared" si="210"/>
        <v>925000</v>
      </c>
      <c r="L1211" s="672">
        <v>45015</v>
      </c>
      <c r="M1211" s="742">
        <v>282</v>
      </c>
      <c r="N1211" s="352">
        <f t="shared" si="217"/>
        <v>924718</v>
      </c>
      <c r="O1211" s="357">
        <f t="shared" si="209"/>
        <v>368</v>
      </c>
      <c r="P1211" s="410">
        <v>9</v>
      </c>
      <c r="Q1211" s="358">
        <f t="shared" si="219"/>
        <v>1.0082191780821919</v>
      </c>
      <c r="R1211" s="359">
        <f t="shared" si="220"/>
        <v>7.9917808219178079</v>
      </c>
      <c r="S1211" s="360">
        <f t="shared" si="221"/>
        <v>7.9917808219178079</v>
      </c>
      <c r="T1211" s="361">
        <f t="shared" si="222"/>
        <v>0.10555555555555554</v>
      </c>
      <c r="U1211" s="362">
        <f t="shared" si="223"/>
        <v>97638.888888888876</v>
      </c>
      <c r="V1211" s="362">
        <f t="shared" si="224"/>
        <v>827079.11111111112</v>
      </c>
      <c r="W1211" s="362">
        <f t="shared" si="225"/>
        <v>46250</v>
      </c>
      <c r="X1211" s="742">
        <f t="shared" si="215"/>
        <v>780829.11111111112</v>
      </c>
    </row>
    <row r="1212" spans="1:24" ht="13.9">
      <c r="A1212" s="349">
        <f t="shared" si="218"/>
        <v>1204</v>
      </c>
      <c r="B1212" s="669" t="s">
        <v>71</v>
      </c>
      <c r="C1212" s="670" t="s">
        <v>2474</v>
      </c>
      <c r="D1212" s="743" t="s">
        <v>3663</v>
      </c>
      <c r="E1212" s="669" t="s">
        <v>3377</v>
      </c>
      <c r="F1212" s="334"/>
      <c r="G1212" s="672">
        <v>45015</v>
      </c>
      <c r="H1212" s="426">
        <v>925000</v>
      </c>
      <c r="I1212" s="744"/>
      <c r="J1212" s="744"/>
      <c r="K1212" s="354">
        <f t="shared" si="210"/>
        <v>925000</v>
      </c>
      <c r="L1212" s="672">
        <v>45015</v>
      </c>
      <c r="M1212" s="742">
        <v>282</v>
      </c>
      <c r="N1212" s="352">
        <f t="shared" si="217"/>
        <v>924718</v>
      </c>
      <c r="O1212" s="357">
        <f t="shared" si="209"/>
        <v>368</v>
      </c>
      <c r="P1212" s="410">
        <v>9</v>
      </c>
      <c r="Q1212" s="358">
        <f t="shared" si="219"/>
        <v>1.0082191780821919</v>
      </c>
      <c r="R1212" s="359">
        <f t="shared" si="220"/>
        <v>7.9917808219178079</v>
      </c>
      <c r="S1212" s="360">
        <f t="shared" si="221"/>
        <v>7.9917808219178079</v>
      </c>
      <c r="T1212" s="361">
        <f t="shared" si="222"/>
        <v>0.10555555555555554</v>
      </c>
      <c r="U1212" s="362">
        <f t="shared" si="223"/>
        <v>97638.888888888876</v>
      </c>
      <c r="V1212" s="362">
        <f t="shared" si="224"/>
        <v>827079.11111111112</v>
      </c>
      <c r="W1212" s="362">
        <f t="shared" si="225"/>
        <v>46250</v>
      </c>
      <c r="X1212" s="742">
        <f t="shared" si="215"/>
        <v>780829.11111111112</v>
      </c>
    </row>
    <row r="1213" spans="1:24" ht="13.9">
      <c r="A1213" s="349">
        <f t="shared" si="218"/>
        <v>1205</v>
      </c>
      <c r="B1213" s="665" t="s">
        <v>61</v>
      </c>
      <c r="C1213" s="666" t="s">
        <v>75</v>
      </c>
      <c r="D1213" s="743" t="s">
        <v>3663</v>
      </c>
      <c r="E1213" s="665" t="s">
        <v>170</v>
      </c>
      <c r="F1213" s="334"/>
      <c r="G1213" s="668">
        <v>44655</v>
      </c>
      <c r="H1213" s="426">
        <v>5700000</v>
      </c>
      <c r="I1213" s="744"/>
      <c r="J1213" s="744"/>
      <c r="K1213" s="354">
        <f t="shared" si="210"/>
        <v>5700000</v>
      </c>
      <c r="L1213" s="668">
        <v>44655</v>
      </c>
      <c r="M1213" s="742">
        <v>626393</v>
      </c>
      <c r="N1213" s="352">
        <f t="shared" si="217"/>
        <v>5073607</v>
      </c>
      <c r="O1213" s="357">
        <f t="shared" si="209"/>
        <v>728</v>
      </c>
      <c r="P1213" s="410">
        <v>9</v>
      </c>
      <c r="Q1213" s="358">
        <f t="shared" si="219"/>
        <v>1.9945205479452055</v>
      </c>
      <c r="R1213" s="359">
        <f t="shared" si="220"/>
        <v>7.0054794520547947</v>
      </c>
      <c r="S1213" s="360">
        <f t="shared" si="221"/>
        <v>7.0054794520547947</v>
      </c>
      <c r="T1213" s="361">
        <f t="shared" si="222"/>
        <v>0.10555555555555554</v>
      </c>
      <c r="U1213" s="362">
        <f t="shared" si="223"/>
        <v>601666.66666666663</v>
      </c>
      <c r="V1213" s="362">
        <f t="shared" si="224"/>
        <v>4471940.333333333</v>
      </c>
      <c r="W1213" s="362">
        <f t="shared" si="225"/>
        <v>285000</v>
      </c>
      <c r="X1213" s="742">
        <f t="shared" si="215"/>
        <v>4186940.333333333</v>
      </c>
    </row>
    <row r="1214" spans="1:24" ht="13.9">
      <c r="A1214" s="349">
        <f t="shared" si="218"/>
        <v>1206</v>
      </c>
      <c r="B1214" s="665" t="s">
        <v>61</v>
      </c>
      <c r="C1214" s="666" t="s">
        <v>75</v>
      </c>
      <c r="D1214" s="743" t="s">
        <v>3663</v>
      </c>
      <c r="E1214" s="665" t="s">
        <v>170</v>
      </c>
      <c r="F1214" s="334"/>
      <c r="G1214" s="668">
        <v>44656</v>
      </c>
      <c r="H1214" s="426">
        <v>5700000</v>
      </c>
      <c r="I1214" s="744"/>
      <c r="J1214" s="744"/>
      <c r="K1214" s="354">
        <f t="shared" si="210"/>
        <v>5700000</v>
      </c>
      <c r="L1214" s="668">
        <v>44656</v>
      </c>
      <c r="M1214" s="742">
        <v>624658</v>
      </c>
      <c r="N1214" s="352">
        <f t="shared" si="217"/>
        <v>5075342</v>
      </c>
      <c r="O1214" s="357">
        <f t="shared" si="209"/>
        <v>727</v>
      </c>
      <c r="P1214" s="410">
        <v>9</v>
      </c>
      <c r="Q1214" s="358">
        <f t="shared" si="219"/>
        <v>1.9917808219178081</v>
      </c>
      <c r="R1214" s="359">
        <f t="shared" si="220"/>
        <v>7.0082191780821921</v>
      </c>
      <c r="S1214" s="360">
        <f t="shared" si="221"/>
        <v>7.0082191780821921</v>
      </c>
      <c r="T1214" s="361">
        <f t="shared" si="222"/>
        <v>0.10555555555555554</v>
      </c>
      <c r="U1214" s="362">
        <f t="shared" si="223"/>
        <v>601666.66666666663</v>
      </c>
      <c r="V1214" s="362">
        <f t="shared" si="224"/>
        <v>4473675.333333333</v>
      </c>
      <c r="W1214" s="362">
        <f t="shared" si="225"/>
        <v>285000</v>
      </c>
      <c r="X1214" s="742">
        <f t="shared" si="215"/>
        <v>4188675.333333333</v>
      </c>
    </row>
    <row r="1215" spans="1:24" ht="13.9">
      <c r="A1215" s="349">
        <f t="shared" si="218"/>
        <v>1207</v>
      </c>
      <c r="B1215" s="665" t="s">
        <v>61</v>
      </c>
      <c r="C1215" s="666" t="s">
        <v>75</v>
      </c>
      <c r="D1215" s="743" t="s">
        <v>3663</v>
      </c>
      <c r="E1215" s="665" t="s">
        <v>170</v>
      </c>
      <c r="F1215" s="334"/>
      <c r="G1215" s="668">
        <v>44656</v>
      </c>
      <c r="H1215" s="426">
        <v>5700000</v>
      </c>
      <c r="I1215" s="744"/>
      <c r="J1215" s="744"/>
      <c r="K1215" s="354">
        <f t="shared" si="210"/>
        <v>5700000</v>
      </c>
      <c r="L1215" s="668">
        <v>44656</v>
      </c>
      <c r="M1215" s="742">
        <v>624658</v>
      </c>
      <c r="N1215" s="352">
        <f t="shared" si="217"/>
        <v>5075342</v>
      </c>
      <c r="O1215" s="357">
        <f t="shared" si="209"/>
        <v>727</v>
      </c>
      <c r="P1215" s="410">
        <v>9</v>
      </c>
      <c r="Q1215" s="358">
        <f t="shared" si="219"/>
        <v>1.9917808219178081</v>
      </c>
      <c r="R1215" s="359">
        <f t="shared" si="220"/>
        <v>7.0082191780821921</v>
      </c>
      <c r="S1215" s="360">
        <f t="shared" si="221"/>
        <v>7.0082191780821921</v>
      </c>
      <c r="T1215" s="361">
        <f t="shared" si="222"/>
        <v>0.10555555555555554</v>
      </c>
      <c r="U1215" s="362">
        <f t="shared" si="223"/>
        <v>601666.66666666663</v>
      </c>
      <c r="V1215" s="362">
        <f t="shared" si="224"/>
        <v>4473675.333333333</v>
      </c>
      <c r="W1215" s="362">
        <f t="shared" si="225"/>
        <v>285000</v>
      </c>
      <c r="X1215" s="742">
        <f t="shared" si="215"/>
        <v>4188675.333333333</v>
      </c>
    </row>
    <row r="1216" spans="1:24" ht="13.9">
      <c r="A1216" s="349">
        <f t="shared" si="218"/>
        <v>1208</v>
      </c>
      <c r="B1216" s="665" t="s">
        <v>61</v>
      </c>
      <c r="C1216" s="666" t="s">
        <v>75</v>
      </c>
      <c r="D1216" s="743" t="s">
        <v>3663</v>
      </c>
      <c r="E1216" s="665" t="s">
        <v>170</v>
      </c>
      <c r="F1216" s="334"/>
      <c r="G1216" s="668">
        <v>44711</v>
      </c>
      <c r="H1216" s="426">
        <v>9000000</v>
      </c>
      <c r="I1216" s="744"/>
      <c r="J1216" s="744"/>
      <c r="K1216" s="354">
        <f t="shared" si="210"/>
        <v>9000000</v>
      </c>
      <c r="L1216" s="668">
        <v>44711</v>
      </c>
      <c r="M1216" s="742">
        <v>835616</v>
      </c>
      <c r="N1216" s="352">
        <f t="shared" si="217"/>
        <v>8164384</v>
      </c>
      <c r="O1216" s="357">
        <f t="shared" si="209"/>
        <v>672</v>
      </c>
      <c r="P1216" s="410">
        <v>9</v>
      </c>
      <c r="Q1216" s="358">
        <f t="shared" si="219"/>
        <v>1.8410958904109589</v>
      </c>
      <c r="R1216" s="359">
        <f t="shared" si="220"/>
        <v>7.1589041095890416</v>
      </c>
      <c r="S1216" s="360">
        <f t="shared" si="221"/>
        <v>7.1589041095890416</v>
      </c>
      <c r="T1216" s="361">
        <f t="shared" si="222"/>
        <v>0.10555555555555554</v>
      </c>
      <c r="U1216" s="362">
        <f t="shared" si="223"/>
        <v>949999.99999999988</v>
      </c>
      <c r="V1216" s="362">
        <f t="shared" si="224"/>
        <v>7214384</v>
      </c>
      <c r="W1216" s="362">
        <f t="shared" si="225"/>
        <v>450000</v>
      </c>
      <c r="X1216" s="742">
        <f t="shared" si="215"/>
        <v>6764384</v>
      </c>
    </row>
    <row r="1217" spans="1:24" ht="13.9">
      <c r="A1217" s="349">
        <f t="shared" si="218"/>
        <v>1209</v>
      </c>
      <c r="B1217" s="665" t="s">
        <v>61</v>
      </c>
      <c r="C1217" s="666" t="s">
        <v>75</v>
      </c>
      <c r="D1217" s="743" t="s">
        <v>3663</v>
      </c>
      <c r="E1217" s="665" t="s">
        <v>170</v>
      </c>
      <c r="F1217" s="334"/>
      <c r="G1217" s="668">
        <v>44711</v>
      </c>
      <c r="H1217" s="426">
        <v>9000000</v>
      </c>
      <c r="I1217" s="744"/>
      <c r="J1217" s="744"/>
      <c r="K1217" s="354">
        <f t="shared" si="210"/>
        <v>9000000</v>
      </c>
      <c r="L1217" s="668">
        <v>44711</v>
      </c>
      <c r="M1217" s="742">
        <v>835616</v>
      </c>
      <c r="N1217" s="352">
        <f t="shared" si="217"/>
        <v>8164384</v>
      </c>
      <c r="O1217" s="357">
        <f t="shared" si="209"/>
        <v>672</v>
      </c>
      <c r="P1217" s="410">
        <v>9</v>
      </c>
      <c r="Q1217" s="358">
        <f t="shared" si="219"/>
        <v>1.8410958904109589</v>
      </c>
      <c r="R1217" s="359">
        <f t="shared" si="220"/>
        <v>7.1589041095890416</v>
      </c>
      <c r="S1217" s="360">
        <f t="shared" si="221"/>
        <v>7.1589041095890416</v>
      </c>
      <c r="T1217" s="361">
        <f t="shared" si="222"/>
        <v>0.10555555555555554</v>
      </c>
      <c r="U1217" s="362">
        <f t="shared" si="223"/>
        <v>949999.99999999988</v>
      </c>
      <c r="V1217" s="362">
        <f t="shared" si="224"/>
        <v>7214384</v>
      </c>
      <c r="W1217" s="362">
        <f t="shared" si="225"/>
        <v>450000</v>
      </c>
      <c r="X1217" s="742">
        <f t="shared" si="215"/>
        <v>6764384</v>
      </c>
    </row>
    <row r="1218" spans="1:24" ht="13.9">
      <c r="A1218" s="349">
        <f t="shared" si="218"/>
        <v>1210</v>
      </c>
      <c r="B1218" s="665" t="s">
        <v>61</v>
      </c>
      <c r="C1218" s="666" t="s">
        <v>75</v>
      </c>
      <c r="D1218" s="743" t="s">
        <v>3663</v>
      </c>
      <c r="E1218" s="665" t="s">
        <v>170</v>
      </c>
      <c r="F1218" s="334"/>
      <c r="G1218" s="668">
        <v>44711</v>
      </c>
      <c r="H1218" s="426">
        <v>9000000</v>
      </c>
      <c r="I1218" s="744"/>
      <c r="J1218" s="744"/>
      <c r="K1218" s="354">
        <f t="shared" si="210"/>
        <v>9000000</v>
      </c>
      <c r="L1218" s="668">
        <v>44711</v>
      </c>
      <c r="M1218" s="742">
        <v>835616</v>
      </c>
      <c r="N1218" s="352">
        <f t="shared" si="217"/>
        <v>8164384</v>
      </c>
      <c r="O1218" s="357">
        <f t="shared" si="209"/>
        <v>672</v>
      </c>
      <c r="P1218" s="410">
        <v>9</v>
      </c>
      <c r="Q1218" s="358">
        <f t="shared" si="219"/>
        <v>1.8410958904109589</v>
      </c>
      <c r="R1218" s="359">
        <f t="shared" si="220"/>
        <v>7.1589041095890416</v>
      </c>
      <c r="S1218" s="360">
        <f t="shared" si="221"/>
        <v>7.1589041095890416</v>
      </c>
      <c r="T1218" s="361">
        <f t="shared" si="222"/>
        <v>0.10555555555555554</v>
      </c>
      <c r="U1218" s="362">
        <f t="shared" si="223"/>
        <v>949999.99999999988</v>
      </c>
      <c r="V1218" s="362">
        <f t="shared" si="224"/>
        <v>7214384</v>
      </c>
      <c r="W1218" s="362">
        <f t="shared" si="225"/>
        <v>450000</v>
      </c>
      <c r="X1218" s="742">
        <f t="shared" si="215"/>
        <v>6764384</v>
      </c>
    </row>
    <row r="1219" spans="1:24" ht="13.9">
      <c r="A1219" s="349">
        <f t="shared" si="218"/>
        <v>1211</v>
      </c>
      <c r="B1219" s="665" t="s">
        <v>64</v>
      </c>
      <c r="C1219" s="666" t="s">
        <v>75</v>
      </c>
      <c r="D1219" s="743" t="s">
        <v>3663</v>
      </c>
      <c r="E1219" s="665" t="s">
        <v>172</v>
      </c>
      <c r="F1219" s="334"/>
      <c r="G1219" s="668">
        <v>44742</v>
      </c>
      <c r="H1219" s="426">
        <v>1035501</v>
      </c>
      <c r="I1219" s="744"/>
      <c r="J1219" s="744"/>
      <c r="K1219" s="354">
        <f t="shared" si="210"/>
        <v>1035501</v>
      </c>
      <c r="L1219" s="668">
        <v>44742</v>
      </c>
      <c r="M1219" s="742">
        <v>86371</v>
      </c>
      <c r="N1219" s="352">
        <f t="shared" si="217"/>
        <v>949130</v>
      </c>
      <c r="O1219" s="357">
        <f t="shared" ref="O1219:O1282" si="226">+$O$3-L1219+1</f>
        <v>641</v>
      </c>
      <c r="P1219" s="410">
        <v>9</v>
      </c>
      <c r="Q1219" s="358">
        <f t="shared" si="219"/>
        <v>1.7561643835616438</v>
      </c>
      <c r="R1219" s="359">
        <f t="shared" si="220"/>
        <v>7.2438356164383562</v>
      </c>
      <c r="S1219" s="360">
        <f t="shared" si="221"/>
        <v>7.2438356164383562</v>
      </c>
      <c r="T1219" s="361">
        <f t="shared" si="222"/>
        <v>0.10555555555555554</v>
      </c>
      <c r="U1219" s="362">
        <f t="shared" si="223"/>
        <v>109302.88333333332</v>
      </c>
      <c r="V1219" s="362">
        <f t="shared" si="224"/>
        <v>839827.1166666667</v>
      </c>
      <c r="W1219" s="362">
        <f t="shared" si="225"/>
        <v>51775</v>
      </c>
      <c r="X1219" s="742">
        <f t="shared" si="215"/>
        <v>788052.1166666667</v>
      </c>
    </row>
    <row r="1220" spans="1:24" ht="13.9">
      <c r="A1220" s="349">
        <f t="shared" si="218"/>
        <v>1212</v>
      </c>
      <c r="B1220" s="665" t="s">
        <v>64</v>
      </c>
      <c r="C1220" s="666" t="s">
        <v>75</v>
      </c>
      <c r="D1220" s="743" t="s">
        <v>3663</v>
      </c>
      <c r="E1220" s="665" t="s">
        <v>172</v>
      </c>
      <c r="F1220" s="334"/>
      <c r="G1220" s="657">
        <v>44742</v>
      </c>
      <c r="H1220" s="426">
        <v>1315782</v>
      </c>
      <c r="I1220" s="744"/>
      <c r="J1220" s="744"/>
      <c r="K1220" s="354">
        <f t="shared" ref="K1220:K1283" si="227">+H1220+I1220-J1220</f>
        <v>1315782</v>
      </c>
      <c r="L1220" s="657">
        <v>44742</v>
      </c>
      <c r="M1220" s="742">
        <v>109749</v>
      </c>
      <c r="N1220" s="352">
        <f t="shared" si="217"/>
        <v>1206033</v>
      </c>
      <c r="O1220" s="357">
        <f t="shared" si="226"/>
        <v>641</v>
      </c>
      <c r="P1220" s="410">
        <v>9</v>
      </c>
      <c r="Q1220" s="358">
        <f t="shared" si="219"/>
        <v>1.7561643835616438</v>
      </c>
      <c r="R1220" s="359">
        <f t="shared" si="220"/>
        <v>7.2438356164383562</v>
      </c>
      <c r="S1220" s="360">
        <f t="shared" si="221"/>
        <v>7.2438356164383562</v>
      </c>
      <c r="T1220" s="361">
        <f t="shared" si="222"/>
        <v>0.10555555555555554</v>
      </c>
      <c r="U1220" s="362">
        <f t="shared" si="223"/>
        <v>138888.09999999998</v>
      </c>
      <c r="V1220" s="362">
        <f t="shared" si="224"/>
        <v>1067144.8999999999</v>
      </c>
      <c r="W1220" s="362">
        <f t="shared" si="225"/>
        <v>65789</v>
      </c>
      <c r="X1220" s="742">
        <f t="shared" ref="X1220:X1283" si="228">+V1220-W1220</f>
        <v>1001355.8999999999</v>
      </c>
    </row>
    <row r="1221" spans="1:24" ht="13.9">
      <c r="A1221" s="349">
        <f t="shared" si="218"/>
        <v>1213</v>
      </c>
      <c r="B1221" s="665" t="s">
        <v>71</v>
      </c>
      <c r="C1221" s="666" t="s">
        <v>75</v>
      </c>
      <c r="D1221" s="743" t="s">
        <v>3663</v>
      </c>
      <c r="E1221" s="665" t="s">
        <v>172</v>
      </c>
      <c r="F1221" s="334"/>
      <c r="G1221" s="687">
        <v>44663</v>
      </c>
      <c r="H1221" s="426">
        <v>2723036</v>
      </c>
      <c r="I1221" s="744"/>
      <c r="J1221" s="744"/>
      <c r="K1221" s="354">
        <f t="shared" si="227"/>
        <v>2723036</v>
      </c>
      <c r="L1221" s="687">
        <v>44663</v>
      </c>
      <c r="M1221" s="742">
        <v>292612</v>
      </c>
      <c r="N1221" s="352">
        <f t="shared" si="217"/>
        <v>2430424</v>
      </c>
      <c r="O1221" s="357">
        <f t="shared" si="226"/>
        <v>720</v>
      </c>
      <c r="P1221" s="410">
        <v>9</v>
      </c>
      <c r="Q1221" s="358">
        <f t="shared" si="219"/>
        <v>1.9726027397260273</v>
      </c>
      <c r="R1221" s="359">
        <f t="shared" si="220"/>
        <v>7.0273972602739727</v>
      </c>
      <c r="S1221" s="360">
        <f t="shared" si="221"/>
        <v>7.0273972602739727</v>
      </c>
      <c r="T1221" s="361">
        <f t="shared" si="222"/>
        <v>0.10555555555555554</v>
      </c>
      <c r="U1221" s="362">
        <f t="shared" si="223"/>
        <v>287431.57777777774</v>
      </c>
      <c r="V1221" s="362">
        <f t="shared" si="224"/>
        <v>2142992.4222222222</v>
      </c>
      <c r="W1221" s="362">
        <f t="shared" si="225"/>
        <v>136152</v>
      </c>
      <c r="X1221" s="742">
        <f t="shared" si="228"/>
        <v>2006840.4222222222</v>
      </c>
    </row>
    <row r="1222" spans="1:24" ht="13.9">
      <c r="A1222" s="349">
        <f t="shared" si="218"/>
        <v>1214</v>
      </c>
      <c r="B1222" s="665" t="s">
        <v>71</v>
      </c>
      <c r="C1222" s="666" t="s">
        <v>75</v>
      </c>
      <c r="D1222" s="743" t="s">
        <v>3663</v>
      </c>
      <c r="E1222" s="665" t="s">
        <v>172</v>
      </c>
      <c r="F1222" s="334"/>
      <c r="G1222" s="657">
        <v>44663</v>
      </c>
      <c r="H1222" s="426">
        <v>2723036</v>
      </c>
      <c r="I1222" s="744"/>
      <c r="J1222" s="744"/>
      <c r="K1222" s="354">
        <f t="shared" si="227"/>
        <v>2723036</v>
      </c>
      <c r="L1222" s="657">
        <v>44663</v>
      </c>
      <c r="M1222" s="742">
        <v>292612</v>
      </c>
      <c r="N1222" s="352">
        <f t="shared" ref="N1222:N1285" si="229">+K1222-M1222</f>
        <v>2430424</v>
      </c>
      <c r="O1222" s="357">
        <f t="shared" si="226"/>
        <v>720</v>
      </c>
      <c r="P1222" s="410">
        <v>9</v>
      </c>
      <c r="Q1222" s="358">
        <f t="shared" si="219"/>
        <v>1.9726027397260273</v>
      </c>
      <c r="R1222" s="359">
        <f t="shared" si="220"/>
        <v>7.0273972602739727</v>
      </c>
      <c r="S1222" s="360">
        <f t="shared" si="221"/>
        <v>7.0273972602739727</v>
      </c>
      <c r="T1222" s="361">
        <f t="shared" si="222"/>
        <v>0.10555555555555554</v>
      </c>
      <c r="U1222" s="362">
        <f t="shared" si="223"/>
        <v>287431.57777777774</v>
      </c>
      <c r="V1222" s="362">
        <f t="shared" si="224"/>
        <v>2142992.4222222222</v>
      </c>
      <c r="W1222" s="362">
        <f t="shared" si="225"/>
        <v>136152</v>
      </c>
      <c r="X1222" s="742">
        <f t="shared" si="228"/>
        <v>2006840.4222222222</v>
      </c>
    </row>
    <row r="1223" spans="1:24" ht="13.9">
      <c r="A1223" s="349">
        <f t="shared" si="218"/>
        <v>1215</v>
      </c>
      <c r="B1223" s="665" t="s">
        <v>71</v>
      </c>
      <c r="C1223" s="666" t="s">
        <v>75</v>
      </c>
      <c r="D1223" s="743" t="s">
        <v>3663</v>
      </c>
      <c r="E1223" s="665" t="s">
        <v>172</v>
      </c>
      <c r="F1223" s="334"/>
      <c r="G1223" s="657">
        <v>44663</v>
      </c>
      <c r="H1223" s="426">
        <v>2723036</v>
      </c>
      <c r="I1223" s="744"/>
      <c r="J1223" s="744"/>
      <c r="K1223" s="354">
        <f t="shared" si="227"/>
        <v>2723036</v>
      </c>
      <c r="L1223" s="657">
        <v>44663</v>
      </c>
      <c r="M1223" s="742">
        <v>292612</v>
      </c>
      <c r="N1223" s="352">
        <f t="shared" si="229"/>
        <v>2430424</v>
      </c>
      <c r="O1223" s="357">
        <f t="shared" si="226"/>
        <v>720</v>
      </c>
      <c r="P1223" s="410">
        <v>9</v>
      </c>
      <c r="Q1223" s="358">
        <f t="shared" si="219"/>
        <v>1.9726027397260273</v>
      </c>
      <c r="R1223" s="359">
        <f t="shared" si="220"/>
        <v>7.0273972602739727</v>
      </c>
      <c r="S1223" s="360">
        <f t="shared" si="221"/>
        <v>7.0273972602739727</v>
      </c>
      <c r="T1223" s="361">
        <f t="shared" si="222"/>
        <v>0.10555555555555554</v>
      </c>
      <c r="U1223" s="362">
        <f t="shared" si="223"/>
        <v>287431.57777777774</v>
      </c>
      <c r="V1223" s="362">
        <f t="shared" si="224"/>
        <v>2142992.4222222222</v>
      </c>
      <c r="W1223" s="362">
        <f t="shared" si="225"/>
        <v>136152</v>
      </c>
      <c r="X1223" s="742">
        <f t="shared" si="228"/>
        <v>2006840.4222222222</v>
      </c>
    </row>
    <row r="1224" spans="1:24" ht="13.9">
      <c r="A1224" s="349">
        <f t="shared" si="218"/>
        <v>1216</v>
      </c>
      <c r="B1224" s="665" t="s">
        <v>71</v>
      </c>
      <c r="C1224" s="666" t="s">
        <v>75</v>
      </c>
      <c r="D1224" s="743" t="s">
        <v>3663</v>
      </c>
      <c r="E1224" s="665" t="s">
        <v>172</v>
      </c>
      <c r="F1224" s="334"/>
      <c r="G1224" s="657">
        <v>44663</v>
      </c>
      <c r="H1224" s="426">
        <v>2723036</v>
      </c>
      <c r="I1224" s="744"/>
      <c r="J1224" s="744"/>
      <c r="K1224" s="354">
        <f t="shared" si="227"/>
        <v>2723036</v>
      </c>
      <c r="L1224" s="657">
        <v>44663</v>
      </c>
      <c r="M1224" s="742">
        <v>292612</v>
      </c>
      <c r="N1224" s="352">
        <f t="shared" si="229"/>
        <v>2430424</v>
      </c>
      <c r="O1224" s="357">
        <f t="shared" si="226"/>
        <v>720</v>
      </c>
      <c r="P1224" s="410">
        <v>9</v>
      </c>
      <c r="Q1224" s="358">
        <f t="shared" si="219"/>
        <v>1.9726027397260273</v>
      </c>
      <c r="R1224" s="359">
        <f t="shared" si="220"/>
        <v>7.0273972602739727</v>
      </c>
      <c r="S1224" s="360">
        <f t="shared" si="221"/>
        <v>7.0273972602739727</v>
      </c>
      <c r="T1224" s="361">
        <f t="shared" si="222"/>
        <v>0.10555555555555554</v>
      </c>
      <c r="U1224" s="362">
        <f t="shared" si="223"/>
        <v>287431.57777777774</v>
      </c>
      <c r="V1224" s="362">
        <f t="shared" si="224"/>
        <v>2142992.4222222222</v>
      </c>
      <c r="W1224" s="362">
        <f t="shared" si="225"/>
        <v>136152</v>
      </c>
      <c r="X1224" s="742">
        <f t="shared" si="228"/>
        <v>2006840.4222222222</v>
      </c>
    </row>
    <row r="1225" spans="1:24" ht="13.9">
      <c r="A1225" s="349">
        <f t="shared" ref="A1225:A1288" si="230">+A1224+1</f>
        <v>1217</v>
      </c>
      <c r="B1225" s="665" t="s">
        <v>71</v>
      </c>
      <c r="C1225" s="666" t="s">
        <v>75</v>
      </c>
      <c r="D1225" s="743" t="s">
        <v>3663</v>
      </c>
      <c r="E1225" s="665" t="s">
        <v>172</v>
      </c>
      <c r="F1225" s="334"/>
      <c r="G1225" s="657">
        <v>44663</v>
      </c>
      <c r="H1225" s="426">
        <v>2723036</v>
      </c>
      <c r="I1225" s="744"/>
      <c r="J1225" s="744"/>
      <c r="K1225" s="354">
        <f t="shared" si="227"/>
        <v>2723036</v>
      </c>
      <c r="L1225" s="657">
        <v>44663</v>
      </c>
      <c r="M1225" s="742">
        <v>292612</v>
      </c>
      <c r="N1225" s="352">
        <f t="shared" si="229"/>
        <v>2430424</v>
      </c>
      <c r="O1225" s="357">
        <f t="shared" si="226"/>
        <v>720</v>
      </c>
      <c r="P1225" s="410">
        <v>9</v>
      </c>
      <c r="Q1225" s="358">
        <f t="shared" si="219"/>
        <v>1.9726027397260273</v>
      </c>
      <c r="R1225" s="359">
        <f t="shared" si="220"/>
        <v>7.0273972602739727</v>
      </c>
      <c r="S1225" s="360">
        <f t="shared" si="221"/>
        <v>7.0273972602739727</v>
      </c>
      <c r="T1225" s="361">
        <f t="shared" si="222"/>
        <v>0.10555555555555554</v>
      </c>
      <c r="U1225" s="362">
        <f t="shared" si="223"/>
        <v>287431.57777777774</v>
      </c>
      <c r="V1225" s="362">
        <f t="shared" si="224"/>
        <v>2142992.4222222222</v>
      </c>
      <c r="W1225" s="362">
        <f t="shared" si="225"/>
        <v>136152</v>
      </c>
      <c r="X1225" s="742">
        <f t="shared" si="228"/>
        <v>2006840.4222222222</v>
      </c>
    </row>
    <row r="1226" spans="1:24" ht="13.9">
      <c r="A1226" s="349">
        <f t="shared" si="230"/>
        <v>1218</v>
      </c>
      <c r="B1226" s="665" t="s">
        <v>71</v>
      </c>
      <c r="C1226" s="666" t="s">
        <v>75</v>
      </c>
      <c r="D1226" s="743" t="s">
        <v>3663</v>
      </c>
      <c r="E1226" s="665" t="s">
        <v>172</v>
      </c>
      <c r="F1226" s="334"/>
      <c r="G1226" s="657">
        <v>44663</v>
      </c>
      <c r="H1226" s="426">
        <v>2723036</v>
      </c>
      <c r="I1226" s="744"/>
      <c r="J1226" s="744"/>
      <c r="K1226" s="354">
        <f t="shared" si="227"/>
        <v>2723036</v>
      </c>
      <c r="L1226" s="657">
        <v>44663</v>
      </c>
      <c r="M1226" s="742">
        <v>292612</v>
      </c>
      <c r="N1226" s="352">
        <f t="shared" si="229"/>
        <v>2430424</v>
      </c>
      <c r="O1226" s="357">
        <f t="shared" si="226"/>
        <v>720</v>
      </c>
      <c r="P1226" s="410">
        <v>9</v>
      </c>
      <c r="Q1226" s="358">
        <f t="shared" si="219"/>
        <v>1.9726027397260273</v>
      </c>
      <c r="R1226" s="359">
        <f t="shared" si="220"/>
        <v>7.0273972602739727</v>
      </c>
      <c r="S1226" s="360">
        <f t="shared" si="221"/>
        <v>7.0273972602739727</v>
      </c>
      <c r="T1226" s="361">
        <f t="shared" si="222"/>
        <v>0.10555555555555554</v>
      </c>
      <c r="U1226" s="362">
        <f t="shared" si="223"/>
        <v>287431.57777777774</v>
      </c>
      <c r="V1226" s="362">
        <f t="shared" si="224"/>
        <v>2142992.4222222222</v>
      </c>
      <c r="W1226" s="362">
        <f t="shared" si="225"/>
        <v>136152</v>
      </c>
      <c r="X1226" s="742">
        <f t="shared" si="228"/>
        <v>2006840.4222222222</v>
      </c>
    </row>
    <row r="1227" spans="1:24" ht="13.9">
      <c r="A1227" s="349">
        <f t="shared" si="230"/>
        <v>1219</v>
      </c>
      <c r="B1227" s="665" t="s">
        <v>71</v>
      </c>
      <c r="C1227" s="666" t="s">
        <v>75</v>
      </c>
      <c r="D1227" s="743" t="s">
        <v>3663</v>
      </c>
      <c r="E1227" s="665" t="s">
        <v>172</v>
      </c>
      <c r="F1227" s="334"/>
      <c r="G1227" s="657">
        <v>44663</v>
      </c>
      <c r="H1227" s="426">
        <v>2723036</v>
      </c>
      <c r="I1227" s="744"/>
      <c r="J1227" s="744"/>
      <c r="K1227" s="354">
        <f t="shared" si="227"/>
        <v>2723036</v>
      </c>
      <c r="L1227" s="657">
        <v>44663</v>
      </c>
      <c r="M1227" s="742">
        <v>292612</v>
      </c>
      <c r="N1227" s="352">
        <f t="shared" si="229"/>
        <v>2430424</v>
      </c>
      <c r="O1227" s="357">
        <f t="shared" si="226"/>
        <v>720</v>
      </c>
      <c r="P1227" s="410">
        <v>9</v>
      </c>
      <c r="Q1227" s="358">
        <f t="shared" si="219"/>
        <v>1.9726027397260273</v>
      </c>
      <c r="R1227" s="359">
        <f t="shared" si="220"/>
        <v>7.0273972602739727</v>
      </c>
      <c r="S1227" s="360">
        <f t="shared" si="221"/>
        <v>7.0273972602739727</v>
      </c>
      <c r="T1227" s="361">
        <f t="shared" si="222"/>
        <v>0.10555555555555554</v>
      </c>
      <c r="U1227" s="362">
        <f t="shared" si="223"/>
        <v>287431.57777777774</v>
      </c>
      <c r="V1227" s="362">
        <f t="shared" si="224"/>
        <v>2142992.4222222222</v>
      </c>
      <c r="W1227" s="362">
        <f t="shared" si="225"/>
        <v>136152</v>
      </c>
      <c r="X1227" s="742">
        <f t="shared" si="228"/>
        <v>2006840.4222222222</v>
      </c>
    </row>
    <row r="1228" spans="1:24" ht="13.9">
      <c r="A1228" s="349">
        <f t="shared" si="230"/>
        <v>1220</v>
      </c>
      <c r="B1228" s="665" t="s">
        <v>71</v>
      </c>
      <c r="C1228" s="666" t="s">
        <v>75</v>
      </c>
      <c r="D1228" s="743" t="s">
        <v>3663</v>
      </c>
      <c r="E1228" s="665" t="s">
        <v>172</v>
      </c>
      <c r="F1228" s="334"/>
      <c r="G1228" s="657">
        <v>44663</v>
      </c>
      <c r="H1228" s="426">
        <v>2723036</v>
      </c>
      <c r="I1228" s="744"/>
      <c r="J1228" s="744"/>
      <c r="K1228" s="354">
        <f t="shared" si="227"/>
        <v>2723036</v>
      </c>
      <c r="L1228" s="657">
        <v>44663</v>
      </c>
      <c r="M1228" s="742">
        <v>292612</v>
      </c>
      <c r="N1228" s="352">
        <f t="shared" si="229"/>
        <v>2430424</v>
      </c>
      <c r="O1228" s="357">
        <f t="shared" si="226"/>
        <v>720</v>
      </c>
      <c r="P1228" s="410">
        <v>9</v>
      </c>
      <c r="Q1228" s="358">
        <f t="shared" si="219"/>
        <v>1.9726027397260273</v>
      </c>
      <c r="R1228" s="359">
        <f t="shared" si="220"/>
        <v>7.0273972602739727</v>
      </c>
      <c r="S1228" s="360">
        <f t="shared" si="221"/>
        <v>7.0273972602739727</v>
      </c>
      <c r="T1228" s="361">
        <f t="shared" si="222"/>
        <v>0.10555555555555554</v>
      </c>
      <c r="U1228" s="362">
        <f t="shared" si="223"/>
        <v>287431.57777777774</v>
      </c>
      <c r="V1228" s="362">
        <f t="shared" si="224"/>
        <v>2142992.4222222222</v>
      </c>
      <c r="W1228" s="362">
        <f t="shared" si="225"/>
        <v>136152</v>
      </c>
      <c r="X1228" s="742">
        <f t="shared" si="228"/>
        <v>2006840.4222222222</v>
      </c>
    </row>
    <row r="1229" spans="1:24" ht="13.9">
      <c r="A1229" s="349">
        <f t="shared" si="230"/>
        <v>1221</v>
      </c>
      <c r="B1229" s="665" t="s">
        <v>71</v>
      </c>
      <c r="C1229" s="666" t="s">
        <v>75</v>
      </c>
      <c r="D1229" s="743" t="s">
        <v>3663</v>
      </c>
      <c r="E1229" s="665" t="s">
        <v>172</v>
      </c>
      <c r="F1229" s="334"/>
      <c r="G1229" s="687">
        <v>44663</v>
      </c>
      <c r="H1229" s="426">
        <v>2723036</v>
      </c>
      <c r="I1229" s="744"/>
      <c r="J1229" s="744"/>
      <c r="K1229" s="354">
        <f t="shared" si="227"/>
        <v>2723036</v>
      </c>
      <c r="L1229" s="687">
        <v>44663</v>
      </c>
      <c r="M1229" s="742">
        <v>292612</v>
      </c>
      <c r="N1229" s="352">
        <f t="shared" si="229"/>
        <v>2430424</v>
      </c>
      <c r="O1229" s="357">
        <f t="shared" si="226"/>
        <v>720</v>
      </c>
      <c r="P1229" s="410">
        <v>9</v>
      </c>
      <c r="Q1229" s="358">
        <f t="shared" si="219"/>
        <v>1.9726027397260273</v>
      </c>
      <c r="R1229" s="359">
        <f t="shared" si="220"/>
        <v>7.0273972602739727</v>
      </c>
      <c r="S1229" s="360">
        <f t="shared" si="221"/>
        <v>7.0273972602739727</v>
      </c>
      <c r="T1229" s="361">
        <f t="shared" si="222"/>
        <v>0.10555555555555554</v>
      </c>
      <c r="U1229" s="362">
        <f t="shared" si="223"/>
        <v>287431.57777777774</v>
      </c>
      <c r="V1229" s="362">
        <f t="shared" si="224"/>
        <v>2142992.4222222222</v>
      </c>
      <c r="W1229" s="362">
        <f t="shared" si="225"/>
        <v>136152</v>
      </c>
      <c r="X1229" s="742">
        <f t="shared" si="228"/>
        <v>2006840.4222222222</v>
      </c>
    </row>
    <row r="1230" spans="1:24" ht="13.9">
      <c r="A1230" s="349">
        <f t="shared" si="230"/>
        <v>1222</v>
      </c>
      <c r="B1230" s="665" t="s">
        <v>71</v>
      </c>
      <c r="C1230" s="666" t="s">
        <v>75</v>
      </c>
      <c r="D1230" s="743" t="s">
        <v>3663</v>
      </c>
      <c r="E1230" s="665" t="s">
        <v>172</v>
      </c>
      <c r="F1230" s="334"/>
      <c r="G1230" s="687">
        <v>44663</v>
      </c>
      <c r="H1230" s="426">
        <v>2723036</v>
      </c>
      <c r="I1230" s="744"/>
      <c r="J1230" s="744"/>
      <c r="K1230" s="354">
        <f t="shared" si="227"/>
        <v>2723036</v>
      </c>
      <c r="L1230" s="687">
        <v>44663</v>
      </c>
      <c r="M1230" s="742">
        <v>292612</v>
      </c>
      <c r="N1230" s="352">
        <f t="shared" si="229"/>
        <v>2430424</v>
      </c>
      <c r="O1230" s="357">
        <f t="shared" si="226"/>
        <v>720</v>
      </c>
      <c r="P1230" s="410">
        <v>9</v>
      </c>
      <c r="Q1230" s="358">
        <f t="shared" ref="Q1230:Q1293" si="231">+O1230/365</f>
        <v>1.9726027397260273</v>
      </c>
      <c r="R1230" s="359">
        <f t="shared" ref="R1230:R1293" si="232">+P1230-Q1230</f>
        <v>7.0273972602739727</v>
      </c>
      <c r="S1230" s="360">
        <f t="shared" ref="S1230:S1293" si="233">IF(R1230&lt;0,0,IF(R1230&gt;365,365,R1230))</f>
        <v>7.0273972602739727</v>
      </c>
      <c r="T1230" s="361">
        <f t="shared" ref="T1230:T1293" si="234">1/P1230*0.95</f>
        <v>0.10555555555555554</v>
      </c>
      <c r="U1230" s="362">
        <f t="shared" ref="U1230:U1293" si="235">+K1230*T1230</f>
        <v>287431.57777777774</v>
      </c>
      <c r="V1230" s="362">
        <f t="shared" ref="V1230:V1293" si="236">+N1230-U1230</f>
        <v>2142992.4222222222</v>
      </c>
      <c r="W1230" s="362">
        <f t="shared" ref="W1230:W1293" si="237">ROUND(+H1230*5%,0)</f>
        <v>136152</v>
      </c>
      <c r="X1230" s="742">
        <f t="shared" si="228"/>
        <v>2006840.4222222222</v>
      </c>
    </row>
    <row r="1231" spans="1:24" ht="13.9">
      <c r="A1231" s="349">
        <f t="shared" si="230"/>
        <v>1223</v>
      </c>
      <c r="B1231" s="654" t="s">
        <v>323</v>
      </c>
      <c r="C1231" s="684" t="s">
        <v>75</v>
      </c>
      <c r="D1231" s="743" t="s">
        <v>3663</v>
      </c>
      <c r="E1231" s="654" t="s">
        <v>170</v>
      </c>
      <c r="F1231" s="334"/>
      <c r="G1231" s="657">
        <v>44869</v>
      </c>
      <c r="H1231" s="426">
        <v>5800000</v>
      </c>
      <c r="I1231" s="744"/>
      <c r="J1231" s="744"/>
      <c r="K1231" s="354">
        <f t="shared" si="227"/>
        <v>5800000</v>
      </c>
      <c r="L1231" s="657">
        <v>44869</v>
      </c>
      <c r="M1231" s="742">
        <v>259543</v>
      </c>
      <c r="N1231" s="352">
        <f t="shared" si="229"/>
        <v>5540457</v>
      </c>
      <c r="O1231" s="357">
        <f t="shared" si="226"/>
        <v>514</v>
      </c>
      <c r="P1231" s="410">
        <v>9</v>
      </c>
      <c r="Q1231" s="358">
        <f t="shared" si="231"/>
        <v>1.4082191780821918</v>
      </c>
      <c r="R1231" s="359">
        <f t="shared" si="232"/>
        <v>7.5917808219178085</v>
      </c>
      <c r="S1231" s="360">
        <f t="shared" si="233"/>
        <v>7.5917808219178085</v>
      </c>
      <c r="T1231" s="361">
        <f t="shared" si="234"/>
        <v>0.10555555555555554</v>
      </c>
      <c r="U1231" s="362">
        <f t="shared" si="235"/>
        <v>612222.22222222213</v>
      </c>
      <c r="V1231" s="362">
        <f t="shared" si="236"/>
        <v>4928234.777777778</v>
      </c>
      <c r="W1231" s="362">
        <f t="shared" si="237"/>
        <v>290000</v>
      </c>
      <c r="X1231" s="742">
        <f t="shared" si="228"/>
        <v>4638234.777777778</v>
      </c>
    </row>
    <row r="1232" spans="1:24" ht="13.9">
      <c r="A1232" s="349">
        <f t="shared" si="230"/>
        <v>1224</v>
      </c>
      <c r="B1232" s="654" t="s">
        <v>323</v>
      </c>
      <c r="C1232" s="684" t="s">
        <v>75</v>
      </c>
      <c r="D1232" s="743" t="s">
        <v>3663</v>
      </c>
      <c r="E1232" s="654" t="s">
        <v>170</v>
      </c>
      <c r="F1232" s="334"/>
      <c r="G1232" s="657">
        <v>44869</v>
      </c>
      <c r="H1232" s="426">
        <v>5800000</v>
      </c>
      <c r="I1232" s="744"/>
      <c r="J1232" s="744"/>
      <c r="K1232" s="354">
        <f t="shared" si="227"/>
        <v>5800000</v>
      </c>
      <c r="L1232" s="657">
        <v>44869</v>
      </c>
      <c r="M1232" s="742">
        <v>259543</v>
      </c>
      <c r="N1232" s="352">
        <f t="shared" si="229"/>
        <v>5540457</v>
      </c>
      <c r="O1232" s="357">
        <f t="shared" si="226"/>
        <v>514</v>
      </c>
      <c r="P1232" s="410">
        <v>9</v>
      </c>
      <c r="Q1232" s="358">
        <f t="shared" si="231"/>
        <v>1.4082191780821918</v>
      </c>
      <c r="R1232" s="359">
        <f t="shared" si="232"/>
        <v>7.5917808219178085</v>
      </c>
      <c r="S1232" s="360">
        <f t="shared" si="233"/>
        <v>7.5917808219178085</v>
      </c>
      <c r="T1232" s="361">
        <f t="shared" si="234"/>
        <v>0.10555555555555554</v>
      </c>
      <c r="U1232" s="362">
        <f t="shared" si="235"/>
        <v>612222.22222222213</v>
      </c>
      <c r="V1232" s="362">
        <f t="shared" si="236"/>
        <v>4928234.777777778</v>
      </c>
      <c r="W1232" s="362">
        <f t="shared" si="237"/>
        <v>290000</v>
      </c>
      <c r="X1232" s="742">
        <f t="shared" si="228"/>
        <v>4638234.777777778</v>
      </c>
    </row>
    <row r="1233" spans="1:24" ht="13.9">
      <c r="A1233" s="349">
        <f t="shared" si="230"/>
        <v>1225</v>
      </c>
      <c r="B1233" s="669" t="s">
        <v>1886</v>
      </c>
      <c r="C1233" s="681" t="s">
        <v>75</v>
      </c>
      <c r="D1233" s="743" t="s">
        <v>3663</v>
      </c>
      <c r="E1233" s="669" t="s">
        <v>3594</v>
      </c>
      <c r="F1233" s="334"/>
      <c r="G1233" s="672">
        <v>45016</v>
      </c>
      <c r="H1233" s="426">
        <v>6900000</v>
      </c>
      <c r="I1233" s="744"/>
      <c r="J1233" s="744"/>
      <c r="K1233" s="354">
        <f t="shared" si="227"/>
        <v>6900000</v>
      </c>
      <c r="L1233" s="672">
        <v>45016</v>
      </c>
      <c r="M1233" s="742">
        <v>0</v>
      </c>
      <c r="N1233" s="352">
        <f t="shared" si="229"/>
        <v>6900000</v>
      </c>
      <c r="O1233" s="357">
        <f t="shared" si="226"/>
        <v>367</v>
      </c>
      <c r="P1233" s="410">
        <v>9</v>
      </c>
      <c r="Q1233" s="358">
        <f t="shared" si="231"/>
        <v>1.0054794520547945</v>
      </c>
      <c r="R1233" s="359">
        <f t="shared" si="232"/>
        <v>7.9945205479452053</v>
      </c>
      <c r="S1233" s="360">
        <f t="shared" si="233"/>
        <v>7.9945205479452053</v>
      </c>
      <c r="T1233" s="361">
        <f t="shared" si="234"/>
        <v>0.10555555555555554</v>
      </c>
      <c r="U1233" s="362">
        <f t="shared" si="235"/>
        <v>728333.33333333326</v>
      </c>
      <c r="V1233" s="362">
        <f t="shared" si="236"/>
        <v>6171666.666666667</v>
      </c>
      <c r="W1233" s="362">
        <f t="shared" si="237"/>
        <v>345000</v>
      </c>
      <c r="X1233" s="742">
        <f t="shared" si="228"/>
        <v>5826666.666666667</v>
      </c>
    </row>
    <row r="1234" spans="1:24" ht="13.9">
      <c r="A1234" s="349">
        <f t="shared" si="230"/>
        <v>1226</v>
      </c>
      <c r="B1234" s="669" t="s">
        <v>1886</v>
      </c>
      <c r="C1234" s="681" t="s">
        <v>75</v>
      </c>
      <c r="D1234" s="743" t="s">
        <v>3663</v>
      </c>
      <c r="E1234" s="669" t="s">
        <v>3594</v>
      </c>
      <c r="F1234" s="334"/>
      <c r="G1234" s="672">
        <v>45016</v>
      </c>
      <c r="H1234" s="426">
        <v>1400000</v>
      </c>
      <c r="I1234" s="744"/>
      <c r="J1234" s="744"/>
      <c r="K1234" s="354">
        <f t="shared" si="227"/>
        <v>1400000</v>
      </c>
      <c r="L1234" s="672">
        <v>45016</v>
      </c>
      <c r="M1234" s="742">
        <v>0</v>
      </c>
      <c r="N1234" s="352">
        <f t="shared" si="229"/>
        <v>1400000</v>
      </c>
      <c r="O1234" s="357">
        <f t="shared" si="226"/>
        <v>367</v>
      </c>
      <c r="P1234" s="410">
        <v>9</v>
      </c>
      <c r="Q1234" s="358">
        <f t="shared" si="231"/>
        <v>1.0054794520547945</v>
      </c>
      <c r="R1234" s="359">
        <f t="shared" si="232"/>
        <v>7.9945205479452053</v>
      </c>
      <c r="S1234" s="360">
        <f t="shared" si="233"/>
        <v>7.9945205479452053</v>
      </c>
      <c r="T1234" s="361">
        <f t="shared" si="234"/>
        <v>0.10555555555555554</v>
      </c>
      <c r="U1234" s="362">
        <f t="shared" si="235"/>
        <v>147777.77777777775</v>
      </c>
      <c r="V1234" s="362">
        <f t="shared" si="236"/>
        <v>1252222.2222222222</v>
      </c>
      <c r="W1234" s="362">
        <f t="shared" si="237"/>
        <v>70000</v>
      </c>
      <c r="X1234" s="742">
        <f t="shared" si="228"/>
        <v>1182222.2222222222</v>
      </c>
    </row>
    <row r="1235" spans="1:24" ht="13.9">
      <c r="A1235" s="349">
        <f t="shared" si="230"/>
        <v>1227</v>
      </c>
      <c r="B1235" s="669" t="s">
        <v>1886</v>
      </c>
      <c r="C1235" s="681" t="s">
        <v>75</v>
      </c>
      <c r="D1235" s="743" t="s">
        <v>3663</v>
      </c>
      <c r="E1235" s="669" t="s">
        <v>3594</v>
      </c>
      <c r="F1235" s="334"/>
      <c r="G1235" s="672">
        <v>45016</v>
      </c>
      <c r="H1235" s="426">
        <v>6400000</v>
      </c>
      <c r="I1235" s="744"/>
      <c r="J1235" s="744"/>
      <c r="K1235" s="354">
        <f t="shared" si="227"/>
        <v>6400000</v>
      </c>
      <c r="L1235" s="672">
        <v>45016</v>
      </c>
      <c r="M1235" s="742">
        <v>0</v>
      </c>
      <c r="N1235" s="352">
        <f t="shared" si="229"/>
        <v>6400000</v>
      </c>
      <c r="O1235" s="357">
        <f t="shared" si="226"/>
        <v>367</v>
      </c>
      <c r="P1235" s="410">
        <v>9</v>
      </c>
      <c r="Q1235" s="358">
        <f t="shared" si="231"/>
        <v>1.0054794520547945</v>
      </c>
      <c r="R1235" s="359">
        <f t="shared" si="232"/>
        <v>7.9945205479452053</v>
      </c>
      <c r="S1235" s="360">
        <f t="shared" si="233"/>
        <v>7.9945205479452053</v>
      </c>
      <c r="T1235" s="361">
        <f t="shared" si="234"/>
        <v>0.10555555555555554</v>
      </c>
      <c r="U1235" s="362">
        <f t="shared" si="235"/>
        <v>675555.5555555555</v>
      </c>
      <c r="V1235" s="362">
        <f t="shared" si="236"/>
        <v>5724444.444444444</v>
      </c>
      <c r="W1235" s="362">
        <f t="shared" si="237"/>
        <v>320000</v>
      </c>
      <c r="X1235" s="742">
        <f t="shared" si="228"/>
        <v>5404444.444444444</v>
      </c>
    </row>
    <row r="1236" spans="1:24" ht="13.9">
      <c r="A1236" s="349">
        <f t="shared" si="230"/>
        <v>1228</v>
      </c>
      <c r="B1236" s="669" t="s">
        <v>1886</v>
      </c>
      <c r="C1236" s="681" t="s">
        <v>75</v>
      </c>
      <c r="D1236" s="743" t="s">
        <v>3663</v>
      </c>
      <c r="E1236" s="669" t="s">
        <v>3594</v>
      </c>
      <c r="F1236" s="334"/>
      <c r="G1236" s="672">
        <v>45016</v>
      </c>
      <c r="H1236" s="426">
        <v>4300000</v>
      </c>
      <c r="I1236" s="744"/>
      <c r="J1236" s="744"/>
      <c r="K1236" s="354">
        <f t="shared" si="227"/>
        <v>4300000</v>
      </c>
      <c r="L1236" s="672">
        <v>45016</v>
      </c>
      <c r="M1236" s="742">
        <v>0</v>
      </c>
      <c r="N1236" s="352">
        <f t="shared" si="229"/>
        <v>4300000</v>
      </c>
      <c r="O1236" s="357">
        <f t="shared" si="226"/>
        <v>367</v>
      </c>
      <c r="P1236" s="410">
        <v>9</v>
      </c>
      <c r="Q1236" s="358">
        <f t="shared" si="231"/>
        <v>1.0054794520547945</v>
      </c>
      <c r="R1236" s="359">
        <f t="shared" si="232"/>
        <v>7.9945205479452053</v>
      </c>
      <c r="S1236" s="360">
        <f t="shared" si="233"/>
        <v>7.9945205479452053</v>
      </c>
      <c r="T1236" s="361">
        <f t="shared" si="234"/>
        <v>0.10555555555555554</v>
      </c>
      <c r="U1236" s="362">
        <f t="shared" si="235"/>
        <v>453888.88888888882</v>
      </c>
      <c r="V1236" s="362">
        <f t="shared" si="236"/>
        <v>3846111.111111111</v>
      </c>
      <c r="W1236" s="362">
        <f t="shared" si="237"/>
        <v>215000</v>
      </c>
      <c r="X1236" s="742">
        <f t="shared" si="228"/>
        <v>3631111.111111111</v>
      </c>
    </row>
    <row r="1237" spans="1:24" ht="13.9">
      <c r="A1237" s="349">
        <f t="shared" si="230"/>
        <v>1229</v>
      </c>
      <c r="B1237" s="669" t="s">
        <v>1886</v>
      </c>
      <c r="C1237" s="681" t="s">
        <v>75</v>
      </c>
      <c r="D1237" s="743" t="s">
        <v>3663</v>
      </c>
      <c r="E1237" s="669" t="s">
        <v>3594</v>
      </c>
      <c r="F1237" s="334"/>
      <c r="G1237" s="672">
        <v>45016</v>
      </c>
      <c r="H1237" s="426">
        <v>1150000</v>
      </c>
      <c r="I1237" s="744"/>
      <c r="J1237" s="744"/>
      <c r="K1237" s="354">
        <f t="shared" si="227"/>
        <v>1150000</v>
      </c>
      <c r="L1237" s="672">
        <v>45016</v>
      </c>
      <c r="M1237" s="742">
        <v>0</v>
      </c>
      <c r="N1237" s="352">
        <f t="shared" si="229"/>
        <v>1150000</v>
      </c>
      <c r="O1237" s="357">
        <f t="shared" si="226"/>
        <v>367</v>
      </c>
      <c r="P1237" s="410">
        <v>9</v>
      </c>
      <c r="Q1237" s="358">
        <f t="shared" si="231"/>
        <v>1.0054794520547945</v>
      </c>
      <c r="R1237" s="359">
        <f t="shared" si="232"/>
        <v>7.9945205479452053</v>
      </c>
      <c r="S1237" s="360">
        <f t="shared" si="233"/>
        <v>7.9945205479452053</v>
      </c>
      <c r="T1237" s="361">
        <f t="shared" si="234"/>
        <v>0.10555555555555554</v>
      </c>
      <c r="U1237" s="362">
        <f t="shared" si="235"/>
        <v>121388.88888888888</v>
      </c>
      <c r="V1237" s="362">
        <f t="shared" si="236"/>
        <v>1028611.1111111111</v>
      </c>
      <c r="W1237" s="362">
        <f t="shared" si="237"/>
        <v>57500</v>
      </c>
      <c r="X1237" s="742">
        <f t="shared" si="228"/>
        <v>971111.11111111112</v>
      </c>
    </row>
    <row r="1238" spans="1:24" ht="13.9">
      <c r="A1238" s="349">
        <f t="shared" si="230"/>
        <v>1230</v>
      </c>
      <c r="B1238" s="669" t="s">
        <v>1886</v>
      </c>
      <c r="C1238" s="681" t="s">
        <v>75</v>
      </c>
      <c r="D1238" s="743" t="s">
        <v>3663</v>
      </c>
      <c r="E1238" s="669" t="s">
        <v>3594</v>
      </c>
      <c r="F1238" s="334"/>
      <c r="G1238" s="672">
        <v>45016</v>
      </c>
      <c r="H1238" s="426">
        <v>800000</v>
      </c>
      <c r="I1238" s="744"/>
      <c r="J1238" s="744"/>
      <c r="K1238" s="354">
        <f t="shared" si="227"/>
        <v>800000</v>
      </c>
      <c r="L1238" s="672">
        <v>45016</v>
      </c>
      <c r="M1238" s="742">
        <v>0</v>
      </c>
      <c r="N1238" s="352">
        <f t="shared" si="229"/>
        <v>800000</v>
      </c>
      <c r="O1238" s="357">
        <f t="shared" si="226"/>
        <v>367</v>
      </c>
      <c r="P1238" s="410">
        <v>9</v>
      </c>
      <c r="Q1238" s="358">
        <f t="shared" si="231"/>
        <v>1.0054794520547945</v>
      </c>
      <c r="R1238" s="359">
        <f t="shared" si="232"/>
        <v>7.9945205479452053</v>
      </c>
      <c r="S1238" s="360">
        <f t="shared" si="233"/>
        <v>7.9945205479452053</v>
      </c>
      <c r="T1238" s="361">
        <f t="shared" si="234"/>
        <v>0.10555555555555554</v>
      </c>
      <c r="U1238" s="362">
        <f t="shared" si="235"/>
        <v>84444.444444444438</v>
      </c>
      <c r="V1238" s="362">
        <f t="shared" si="236"/>
        <v>715555.5555555555</v>
      </c>
      <c r="W1238" s="362">
        <f t="shared" si="237"/>
        <v>40000</v>
      </c>
      <c r="X1238" s="742">
        <f t="shared" si="228"/>
        <v>675555.5555555555</v>
      </c>
    </row>
    <row r="1239" spans="1:24" ht="13.9">
      <c r="A1239" s="349">
        <f t="shared" si="230"/>
        <v>1231</v>
      </c>
      <c r="B1239" s="669" t="s">
        <v>1886</v>
      </c>
      <c r="C1239" s="681" t="s">
        <v>75</v>
      </c>
      <c r="D1239" s="743" t="s">
        <v>3663</v>
      </c>
      <c r="E1239" s="669" t="s">
        <v>3594</v>
      </c>
      <c r="F1239" s="334"/>
      <c r="G1239" s="672">
        <v>45016</v>
      </c>
      <c r="H1239" s="426">
        <v>700000</v>
      </c>
      <c r="I1239" s="744"/>
      <c r="J1239" s="744"/>
      <c r="K1239" s="354">
        <f t="shared" si="227"/>
        <v>700000</v>
      </c>
      <c r="L1239" s="672">
        <v>45016</v>
      </c>
      <c r="M1239" s="742">
        <v>0</v>
      </c>
      <c r="N1239" s="352">
        <f t="shared" si="229"/>
        <v>700000</v>
      </c>
      <c r="O1239" s="357">
        <f t="shared" si="226"/>
        <v>367</v>
      </c>
      <c r="P1239" s="410">
        <v>9</v>
      </c>
      <c r="Q1239" s="358">
        <f t="shared" si="231"/>
        <v>1.0054794520547945</v>
      </c>
      <c r="R1239" s="359">
        <f t="shared" si="232"/>
        <v>7.9945205479452053</v>
      </c>
      <c r="S1239" s="360">
        <f t="shared" si="233"/>
        <v>7.9945205479452053</v>
      </c>
      <c r="T1239" s="361">
        <f t="shared" si="234"/>
        <v>0.10555555555555554</v>
      </c>
      <c r="U1239" s="362">
        <f t="shared" si="235"/>
        <v>73888.888888888876</v>
      </c>
      <c r="V1239" s="362">
        <f t="shared" si="236"/>
        <v>626111.11111111112</v>
      </c>
      <c r="W1239" s="362">
        <f t="shared" si="237"/>
        <v>35000</v>
      </c>
      <c r="X1239" s="742">
        <f t="shared" si="228"/>
        <v>591111.11111111112</v>
      </c>
    </row>
    <row r="1240" spans="1:24" ht="13.9">
      <c r="A1240" s="349">
        <f t="shared" si="230"/>
        <v>1232</v>
      </c>
      <c r="B1240" s="669" t="s">
        <v>1886</v>
      </c>
      <c r="C1240" s="681" t="s">
        <v>75</v>
      </c>
      <c r="D1240" s="743" t="s">
        <v>3663</v>
      </c>
      <c r="E1240" s="669" t="s">
        <v>3594</v>
      </c>
      <c r="F1240" s="334"/>
      <c r="G1240" s="672">
        <v>45016</v>
      </c>
      <c r="H1240" s="426">
        <v>2800000</v>
      </c>
      <c r="I1240" s="744"/>
      <c r="J1240" s="744"/>
      <c r="K1240" s="354">
        <f t="shared" si="227"/>
        <v>2800000</v>
      </c>
      <c r="L1240" s="672">
        <v>45016</v>
      </c>
      <c r="M1240" s="742">
        <v>0</v>
      </c>
      <c r="N1240" s="352">
        <f t="shared" si="229"/>
        <v>2800000</v>
      </c>
      <c r="O1240" s="357">
        <f t="shared" si="226"/>
        <v>367</v>
      </c>
      <c r="P1240" s="410">
        <v>9</v>
      </c>
      <c r="Q1240" s="358">
        <f t="shared" si="231"/>
        <v>1.0054794520547945</v>
      </c>
      <c r="R1240" s="359">
        <f t="shared" si="232"/>
        <v>7.9945205479452053</v>
      </c>
      <c r="S1240" s="360">
        <f t="shared" si="233"/>
        <v>7.9945205479452053</v>
      </c>
      <c r="T1240" s="361">
        <f t="shared" si="234"/>
        <v>0.10555555555555554</v>
      </c>
      <c r="U1240" s="362">
        <f t="shared" si="235"/>
        <v>295555.5555555555</v>
      </c>
      <c r="V1240" s="362">
        <f t="shared" si="236"/>
        <v>2504444.4444444445</v>
      </c>
      <c r="W1240" s="362">
        <f t="shared" si="237"/>
        <v>140000</v>
      </c>
      <c r="X1240" s="742">
        <f t="shared" si="228"/>
        <v>2364444.4444444445</v>
      </c>
    </row>
    <row r="1241" spans="1:24" ht="13.9">
      <c r="A1241" s="349">
        <f t="shared" si="230"/>
        <v>1233</v>
      </c>
      <c r="B1241" s="669" t="s">
        <v>1886</v>
      </c>
      <c r="C1241" s="681" t="s">
        <v>75</v>
      </c>
      <c r="D1241" s="743" t="s">
        <v>3663</v>
      </c>
      <c r="E1241" s="669" t="s">
        <v>3594</v>
      </c>
      <c r="F1241" s="334"/>
      <c r="G1241" s="672">
        <v>45016</v>
      </c>
      <c r="H1241" s="426">
        <v>3500000</v>
      </c>
      <c r="I1241" s="744"/>
      <c r="J1241" s="744"/>
      <c r="K1241" s="354">
        <f t="shared" si="227"/>
        <v>3500000</v>
      </c>
      <c r="L1241" s="672">
        <v>45016</v>
      </c>
      <c r="M1241" s="742">
        <v>0</v>
      </c>
      <c r="N1241" s="352">
        <f t="shared" si="229"/>
        <v>3500000</v>
      </c>
      <c r="O1241" s="357">
        <f t="shared" si="226"/>
        <v>367</v>
      </c>
      <c r="P1241" s="410">
        <v>9</v>
      </c>
      <c r="Q1241" s="358">
        <f t="shared" si="231"/>
        <v>1.0054794520547945</v>
      </c>
      <c r="R1241" s="359">
        <f t="shared" si="232"/>
        <v>7.9945205479452053</v>
      </c>
      <c r="S1241" s="360">
        <f t="shared" si="233"/>
        <v>7.9945205479452053</v>
      </c>
      <c r="T1241" s="361">
        <f t="shared" si="234"/>
        <v>0.10555555555555554</v>
      </c>
      <c r="U1241" s="362">
        <f t="shared" si="235"/>
        <v>369444.44444444438</v>
      </c>
      <c r="V1241" s="362">
        <f t="shared" si="236"/>
        <v>3130555.5555555555</v>
      </c>
      <c r="W1241" s="362">
        <f t="shared" si="237"/>
        <v>175000</v>
      </c>
      <c r="X1241" s="742">
        <f t="shared" si="228"/>
        <v>2955555.5555555555</v>
      </c>
    </row>
    <row r="1242" spans="1:24" ht="13.9">
      <c r="A1242" s="349">
        <f t="shared" si="230"/>
        <v>1234</v>
      </c>
      <c r="B1242" s="669" t="s">
        <v>1886</v>
      </c>
      <c r="C1242" s="681" t="s">
        <v>75</v>
      </c>
      <c r="D1242" s="743" t="s">
        <v>3663</v>
      </c>
      <c r="E1242" s="669" t="s">
        <v>3594</v>
      </c>
      <c r="F1242" s="334"/>
      <c r="G1242" s="672">
        <v>45016</v>
      </c>
      <c r="H1242" s="426">
        <v>2360886</v>
      </c>
      <c r="I1242" s="744"/>
      <c r="J1242" s="744"/>
      <c r="K1242" s="354">
        <f t="shared" si="227"/>
        <v>2360886</v>
      </c>
      <c r="L1242" s="672">
        <v>45016</v>
      </c>
      <c r="M1242" s="742">
        <v>0</v>
      </c>
      <c r="N1242" s="352">
        <f t="shared" si="229"/>
        <v>2360886</v>
      </c>
      <c r="O1242" s="357">
        <f t="shared" si="226"/>
        <v>367</v>
      </c>
      <c r="P1242" s="410">
        <v>9</v>
      </c>
      <c r="Q1242" s="358">
        <f t="shared" si="231"/>
        <v>1.0054794520547945</v>
      </c>
      <c r="R1242" s="359">
        <f t="shared" si="232"/>
        <v>7.9945205479452053</v>
      </c>
      <c r="S1242" s="360">
        <f t="shared" si="233"/>
        <v>7.9945205479452053</v>
      </c>
      <c r="T1242" s="361">
        <f t="shared" si="234"/>
        <v>0.10555555555555554</v>
      </c>
      <c r="U1242" s="362">
        <f t="shared" si="235"/>
        <v>249204.6333333333</v>
      </c>
      <c r="V1242" s="362">
        <f t="shared" si="236"/>
        <v>2111681.3666666667</v>
      </c>
      <c r="W1242" s="362">
        <f t="shared" si="237"/>
        <v>118044</v>
      </c>
      <c r="X1242" s="742">
        <f t="shared" si="228"/>
        <v>1993637.3666666667</v>
      </c>
    </row>
    <row r="1243" spans="1:24" ht="13.9">
      <c r="A1243" s="349">
        <f t="shared" si="230"/>
        <v>1235</v>
      </c>
      <c r="B1243" s="669" t="s">
        <v>1886</v>
      </c>
      <c r="C1243" s="681" t="s">
        <v>75</v>
      </c>
      <c r="D1243" s="743" t="s">
        <v>3663</v>
      </c>
      <c r="E1243" s="669" t="s">
        <v>3594</v>
      </c>
      <c r="F1243" s="334"/>
      <c r="G1243" s="672">
        <v>45016</v>
      </c>
      <c r="H1243" s="426">
        <v>1000000</v>
      </c>
      <c r="I1243" s="744"/>
      <c r="J1243" s="744"/>
      <c r="K1243" s="354">
        <f t="shared" si="227"/>
        <v>1000000</v>
      </c>
      <c r="L1243" s="672">
        <v>45016</v>
      </c>
      <c r="M1243" s="742">
        <v>0</v>
      </c>
      <c r="N1243" s="352">
        <f t="shared" si="229"/>
        <v>1000000</v>
      </c>
      <c r="O1243" s="357">
        <f t="shared" si="226"/>
        <v>367</v>
      </c>
      <c r="P1243" s="410">
        <v>9</v>
      </c>
      <c r="Q1243" s="358">
        <f t="shared" si="231"/>
        <v>1.0054794520547945</v>
      </c>
      <c r="R1243" s="359">
        <f t="shared" si="232"/>
        <v>7.9945205479452053</v>
      </c>
      <c r="S1243" s="360">
        <f t="shared" si="233"/>
        <v>7.9945205479452053</v>
      </c>
      <c r="T1243" s="361">
        <f t="shared" si="234"/>
        <v>0.10555555555555554</v>
      </c>
      <c r="U1243" s="362">
        <f t="shared" si="235"/>
        <v>105555.55555555555</v>
      </c>
      <c r="V1243" s="362">
        <f t="shared" si="236"/>
        <v>894444.4444444445</v>
      </c>
      <c r="W1243" s="362">
        <f t="shared" si="237"/>
        <v>50000</v>
      </c>
      <c r="X1243" s="742">
        <f t="shared" si="228"/>
        <v>844444.4444444445</v>
      </c>
    </row>
    <row r="1244" spans="1:24" ht="13.9">
      <c r="A1244" s="349">
        <f t="shared" si="230"/>
        <v>1236</v>
      </c>
      <c r="B1244" s="669" t="s">
        <v>1886</v>
      </c>
      <c r="C1244" s="681" t="s">
        <v>75</v>
      </c>
      <c r="D1244" s="743" t="s">
        <v>3663</v>
      </c>
      <c r="E1244" s="669" t="s">
        <v>3594</v>
      </c>
      <c r="F1244" s="334"/>
      <c r="G1244" s="672">
        <v>45016</v>
      </c>
      <c r="H1244" s="426">
        <v>1100000</v>
      </c>
      <c r="I1244" s="744"/>
      <c r="J1244" s="744"/>
      <c r="K1244" s="354">
        <f t="shared" si="227"/>
        <v>1100000</v>
      </c>
      <c r="L1244" s="672">
        <v>45016</v>
      </c>
      <c r="M1244" s="742">
        <v>0</v>
      </c>
      <c r="N1244" s="352">
        <f t="shared" si="229"/>
        <v>1100000</v>
      </c>
      <c r="O1244" s="357">
        <f t="shared" si="226"/>
        <v>367</v>
      </c>
      <c r="P1244" s="410">
        <v>9</v>
      </c>
      <c r="Q1244" s="358">
        <f t="shared" si="231"/>
        <v>1.0054794520547945</v>
      </c>
      <c r="R1244" s="359">
        <f t="shared" si="232"/>
        <v>7.9945205479452053</v>
      </c>
      <c r="S1244" s="360">
        <f t="shared" si="233"/>
        <v>7.9945205479452053</v>
      </c>
      <c r="T1244" s="361">
        <f t="shared" si="234"/>
        <v>0.10555555555555554</v>
      </c>
      <c r="U1244" s="362">
        <f t="shared" si="235"/>
        <v>116111.11111111109</v>
      </c>
      <c r="V1244" s="362">
        <f t="shared" si="236"/>
        <v>983888.88888888888</v>
      </c>
      <c r="W1244" s="362">
        <f t="shared" si="237"/>
        <v>55000</v>
      </c>
      <c r="X1244" s="742">
        <f t="shared" si="228"/>
        <v>928888.88888888888</v>
      </c>
    </row>
    <row r="1245" spans="1:24" ht="13.9">
      <c r="A1245" s="349">
        <f t="shared" si="230"/>
        <v>1237</v>
      </c>
      <c r="B1245" s="669" t="s">
        <v>1886</v>
      </c>
      <c r="C1245" s="681" t="s">
        <v>75</v>
      </c>
      <c r="D1245" s="743" t="s">
        <v>3663</v>
      </c>
      <c r="E1245" s="669" t="s">
        <v>3594</v>
      </c>
      <c r="F1245" s="334"/>
      <c r="G1245" s="672">
        <v>45016</v>
      </c>
      <c r="H1245" s="426">
        <v>600000</v>
      </c>
      <c r="I1245" s="744"/>
      <c r="J1245" s="744"/>
      <c r="K1245" s="354">
        <f t="shared" si="227"/>
        <v>600000</v>
      </c>
      <c r="L1245" s="672">
        <v>45016</v>
      </c>
      <c r="M1245" s="742">
        <v>0</v>
      </c>
      <c r="N1245" s="352">
        <f t="shared" si="229"/>
        <v>600000</v>
      </c>
      <c r="O1245" s="357">
        <f t="shared" si="226"/>
        <v>367</v>
      </c>
      <c r="P1245" s="410">
        <v>9</v>
      </c>
      <c r="Q1245" s="358">
        <f t="shared" si="231"/>
        <v>1.0054794520547945</v>
      </c>
      <c r="R1245" s="359">
        <f t="shared" si="232"/>
        <v>7.9945205479452053</v>
      </c>
      <c r="S1245" s="360">
        <f t="shared" si="233"/>
        <v>7.9945205479452053</v>
      </c>
      <c r="T1245" s="361">
        <f t="shared" si="234"/>
        <v>0.10555555555555554</v>
      </c>
      <c r="U1245" s="362">
        <f t="shared" si="235"/>
        <v>63333.333333333321</v>
      </c>
      <c r="V1245" s="362">
        <f t="shared" si="236"/>
        <v>536666.66666666663</v>
      </c>
      <c r="W1245" s="362">
        <f t="shared" si="237"/>
        <v>30000</v>
      </c>
      <c r="X1245" s="742">
        <f t="shared" si="228"/>
        <v>506666.66666666663</v>
      </c>
    </row>
    <row r="1246" spans="1:24" ht="13.9">
      <c r="A1246" s="349">
        <f t="shared" si="230"/>
        <v>1238</v>
      </c>
      <c r="B1246" s="665" t="s">
        <v>56</v>
      </c>
      <c r="C1246" s="654" t="s">
        <v>3459</v>
      </c>
      <c r="D1246" s="743" t="s">
        <v>3663</v>
      </c>
      <c r="E1246" s="665" t="s">
        <v>163</v>
      </c>
      <c r="F1246" s="334"/>
      <c r="G1246" s="668">
        <v>44656</v>
      </c>
      <c r="H1246" s="426">
        <v>620000</v>
      </c>
      <c r="I1246" s="744"/>
      <c r="J1246" s="744"/>
      <c r="K1246" s="354">
        <f t="shared" si="227"/>
        <v>620000</v>
      </c>
      <c r="L1246" s="668">
        <v>44656</v>
      </c>
      <c r="M1246" s="742">
        <v>122301</v>
      </c>
      <c r="N1246" s="352">
        <f t="shared" si="229"/>
        <v>497699</v>
      </c>
      <c r="O1246" s="357">
        <f t="shared" si="226"/>
        <v>727</v>
      </c>
      <c r="P1246" s="410">
        <v>9</v>
      </c>
      <c r="Q1246" s="358">
        <f t="shared" si="231"/>
        <v>1.9917808219178081</v>
      </c>
      <c r="R1246" s="359">
        <f t="shared" si="232"/>
        <v>7.0082191780821921</v>
      </c>
      <c r="S1246" s="360">
        <f t="shared" si="233"/>
        <v>7.0082191780821921</v>
      </c>
      <c r="T1246" s="361">
        <f t="shared" si="234"/>
        <v>0.10555555555555554</v>
      </c>
      <c r="U1246" s="362">
        <f t="shared" si="235"/>
        <v>65444.444444444438</v>
      </c>
      <c r="V1246" s="362">
        <f t="shared" si="236"/>
        <v>432254.55555555556</v>
      </c>
      <c r="W1246" s="362">
        <f t="shared" si="237"/>
        <v>31000</v>
      </c>
      <c r="X1246" s="742">
        <f t="shared" si="228"/>
        <v>401254.55555555556</v>
      </c>
    </row>
    <row r="1247" spans="1:24" ht="13.9">
      <c r="A1247" s="349">
        <f t="shared" si="230"/>
        <v>1239</v>
      </c>
      <c r="B1247" s="665" t="s">
        <v>56</v>
      </c>
      <c r="C1247" s="654" t="s">
        <v>3459</v>
      </c>
      <c r="D1247" s="743" t="s">
        <v>3663</v>
      </c>
      <c r="E1247" s="665" t="s">
        <v>163</v>
      </c>
      <c r="F1247" s="334"/>
      <c r="G1247" s="668">
        <v>44656</v>
      </c>
      <c r="H1247" s="426">
        <v>620000</v>
      </c>
      <c r="I1247" s="744"/>
      <c r="J1247" s="744"/>
      <c r="K1247" s="354">
        <f t="shared" si="227"/>
        <v>620000</v>
      </c>
      <c r="L1247" s="668">
        <v>44656</v>
      </c>
      <c r="M1247" s="742">
        <v>122301</v>
      </c>
      <c r="N1247" s="352">
        <f t="shared" si="229"/>
        <v>497699</v>
      </c>
      <c r="O1247" s="357">
        <f t="shared" si="226"/>
        <v>727</v>
      </c>
      <c r="P1247" s="410">
        <v>9</v>
      </c>
      <c r="Q1247" s="358">
        <f t="shared" si="231"/>
        <v>1.9917808219178081</v>
      </c>
      <c r="R1247" s="359">
        <f t="shared" si="232"/>
        <v>7.0082191780821921</v>
      </c>
      <c r="S1247" s="360">
        <f t="shared" si="233"/>
        <v>7.0082191780821921</v>
      </c>
      <c r="T1247" s="361">
        <f t="shared" si="234"/>
        <v>0.10555555555555554</v>
      </c>
      <c r="U1247" s="362">
        <f t="shared" si="235"/>
        <v>65444.444444444438</v>
      </c>
      <c r="V1247" s="362">
        <f t="shared" si="236"/>
        <v>432254.55555555556</v>
      </c>
      <c r="W1247" s="362">
        <f t="shared" si="237"/>
        <v>31000</v>
      </c>
      <c r="X1247" s="742">
        <f t="shared" si="228"/>
        <v>401254.55555555556</v>
      </c>
    </row>
    <row r="1248" spans="1:24" ht="13.9">
      <c r="A1248" s="349">
        <f t="shared" si="230"/>
        <v>1240</v>
      </c>
      <c r="B1248" s="665" t="s">
        <v>56</v>
      </c>
      <c r="C1248" s="654" t="s">
        <v>3459</v>
      </c>
      <c r="D1248" s="743" t="s">
        <v>3663</v>
      </c>
      <c r="E1248" s="665" t="s">
        <v>163</v>
      </c>
      <c r="F1248" s="334"/>
      <c r="G1248" s="668">
        <v>44656</v>
      </c>
      <c r="H1248" s="426">
        <v>620000</v>
      </c>
      <c r="I1248" s="744"/>
      <c r="J1248" s="744"/>
      <c r="K1248" s="354">
        <f t="shared" si="227"/>
        <v>620000</v>
      </c>
      <c r="L1248" s="668">
        <v>44656</v>
      </c>
      <c r="M1248" s="742">
        <v>122301</v>
      </c>
      <c r="N1248" s="352">
        <f t="shared" si="229"/>
        <v>497699</v>
      </c>
      <c r="O1248" s="357">
        <f t="shared" si="226"/>
        <v>727</v>
      </c>
      <c r="P1248" s="410">
        <v>9</v>
      </c>
      <c r="Q1248" s="358">
        <f t="shared" si="231"/>
        <v>1.9917808219178081</v>
      </c>
      <c r="R1248" s="359">
        <f t="shared" si="232"/>
        <v>7.0082191780821921</v>
      </c>
      <c r="S1248" s="360">
        <f t="shared" si="233"/>
        <v>7.0082191780821921</v>
      </c>
      <c r="T1248" s="361">
        <f t="shared" si="234"/>
        <v>0.10555555555555554</v>
      </c>
      <c r="U1248" s="362">
        <f t="shared" si="235"/>
        <v>65444.444444444438</v>
      </c>
      <c r="V1248" s="362">
        <f t="shared" si="236"/>
        <v>432254.55555555556</v>
      </c>
      <c r="W1248" s="362">
        <f t="shared" si="237"/>
        <v>31000</v>
      </c>
      <c r="X1248" s="742">
        <f t="shared" si="228"/>
        <v>401254.55555555556</v>
      </c>
    </row>
    <row r="1249" spans="1:24" ht="13.9">
      <c r="A1249" s="349">
        <f t="shared" si="230"/>
        <v>1241</v>
      </c>
      <c r="B1249" s="665" t="s">
        <v>56</v>
      </c>
      <c r="C1249" s="654" t="s">
        <v>3459</v>
      </c>
      <c r="D1249" s="743" t="s">
        <v>3663</v>
      </c>
      <c r="E1249" s="665" t="s">
        <v>163</v>
      </c>
      <c r="F1249" s="334"/>
      <c r="G1249" s="668">
        <v>44656</v>
      </c>
      <c r="H1249" s="426">
        <v>620000</v>
      </c>
      <c r="I1249" s="744"/>
      <c r="J1249" s="744"/>
      <c r="K1249" s="354">
        <f t="shared" si="227"/>
        <v>620000</v>
      </c>
      <c r="L1249" s="668">
        <v>44656</v>
      </c>
      <c r="M1249" s="742">
        <v>122301</v>
      </c>
      <c r="N1249" s="352">
        <f t="shared" si="229"/>
        <v>497699</v>
      </c>
      <c r="O1249" s="357">
        <f t="shared" si="226"/>
        <v>727</v>
      </c>
      <c r="P1249" s="410">
        <v>9</v>
      </c>
      <c r="Q1249" s="358">
        <f t="shared" si="231"/>
        <v>1.9917808219178081</v>
      </c>
      <c r="R1249" s="359">
        <f t="shared" si="232"/>
        <v>7.0082191780821921</v>
      </c>
      <c r="S1249" s="360">
        <f t="shared" si="233"/>
        <v>7.0082191780821921</v>
      </c>
      <c r="T1249" s="361">
        <f t="shared" si="234"/>
        <v>0.10555555555555554</v>
      </c>
      <c r="U1249" s="362">
        <f t="shared" si="235"/>
        <v>65444.444444444438</v>
      </c>
      <c r="V1249" s="362">
        <f t="shared" si="236"/>
        <v>432254.55555555556</v>
      </c>
      <c r="W1249" s="362">
        <f t="shared" si="237"/>
        <v>31000</v>
      </c>
      <c r="X1249" s="742">
        <f t="shared" si="228"/>
        <v>401254.55555555556</v>
      </c>
    </row>
    <row r="1250" spans="1:24" ht="13.9">
      <c r="A1250" s="349">
        <f t="shared" si="230"/>
        <v>1242</v>
      </c>
      <c r="B1250" s="665" t="s">
        <v>58</v>
      </c>
      <c r="C1250" s="654" t="s">
        <v>3459</v>
      </c>
      <c r="D1250" s="743" t="s">
        <v>3663</v>
      </c>
      <c r="E1250" s="665" t="s">
        <v>165</v>
      </c>
      <c r="F1250" s="334"/>
      <c r="G1250" s="668">
        <v>44726</v>
      </c>
      <c r="H1250" s="426">
        <v>4250000</v>
      </c>
      <c r="I1250" s="744"/>
      <c r="J1250" s="744"/>
      <c r="K1250" s="354">
        <f t="shared" si="227"/>
        <v>4250000</v>
      </c>
      <c r="L1250" s="668">
        <v>44726</v>
      </c>
      <c r="M1250" s="742">
        <v>375190</v>
      </c>
      <c r="N1250" s="352">
        <f t="shared" si="229"/>
        <v>3874810</v>
      </c>
      <c r="O1250" s="357">
        <f t="shared" si="226"/>
        <v>657</v>
      </c>
      <c r="P1250" s="410">
        <v>9</v>
      </c>
      <c r="Q1250" s="358">
        <f t="shared" si="231"/>
        <v>1.8</v>
      </c>
      <c r="R1250" s="359">
        <f t="shared" si="232"/>
        <v>7.2</v>
      </c>
      <c r="S1250" s="360">
        <f t="shared" si="233"/>
        <v>7.2</v>
      </c>
      <c r="T1250" s="361">
        <f t="shared" si="234"/>
        <v>0.10555555555555554</v>
      </c>
      <c r="U1250" s="362">
        <f t="shared" si="235"/>
        <v>448611.11111111107</v>
      </c>
      <c r="V1250" s="362">
        <f t="shared" si="236"/>
        <v>3426198.888888889</v>
      </c>
      <c r="W1250" s="362">
        <f t="shared" si="237"/>
        <v>212500</v>
      </c>
      <c r="X1250" s="742">
        <f t="shared" si="228"/>
        <v>3213698.888888889</v>
      </c>
    </row>
    <row r="1251" spans="1:24" ht="13.9">
      <c r="A1251" s="349">
        <f t="shared" si="230"/>
        <v>1243</v>
      </c>
      <c r="B1251" s="665" t="s">
        <v>65</v>
      </c>
      <c r="C1251" s="654" t="s">
        <v>3459</v>
      </c>
      <c r="D1251" s="743" t="s">
        <v>3663</v>
      </c>
      <c r="E1251" s="665" t="s">
        <v>173</v>
      </c>
      <c r="F1251" s="334"/>
      <c r="G1251" s="657">
        <v>44690</v>
      </c>
      <c r="H1251" s="426">
        <v>230000</v>
      </c>
      <c r="I1251" s="744"/>
      <c r="J1251" s="744"/>
      <c r="K1251" s="354">
        <f t="shared" si="227"/>
        <v>230000</v>
      </c>
      <c r="L1251" s="657">
        <v>44690</v>
      </c>
      <c r="M1251" s="742">
        <v>22825</v>
      </c>
      <c r="N1251" s="352">
        <f t="shared" si="229"/>
        <v>207175</v>
      </c>
      <c r="O1251" s="357">
        <f t="shared" si="226"/>
        <v>693</v>
      </c>
      <c r="P1251" s="410">
        <v>9</v>
      </c>
      <c r="Q1251" s="358">
        <f t="shared" si="231"/>
        <v>1.8986301369863015</v>
      </c>
      <c r="R1251" s="359">
        <f t="shared" si="232"/>
        <v>7.1013698630136988</v>
      </c>
      <c r="S1251" s="360">
        <f t="shared" si="233"/>
        <v>7.1013698630136988</v>
      </c>
      <c r="T1251" s="361">
        <f t="shared" si="234"/>
        <v>0.10555555555555554</v>
      </c>
      <c r="U1251" s="362">
        <f t="shared" si="235"/>
        <v>24277.777777777774</v>
      </c>
      <c r="V1251" s="362">
        <f t="shared" si="236"/>
        <v>182897.22222222222</v>
      </c>
      <c r="W1251" s="362">
        <f t="shared" si="237"/>
        <v>11500</v>
      </c>
      <c r="X1251" s="742">
        <f t="shared" si="228"/>
        <v>171397.22222222222</v>
      </c>
    </row>
    <row r="1252" spans="1:24" ht="13.9">
      <c r="A1252" s="349">
        <f t="shared" si="230"/>
        <v>1244</v>
      </c>
      <c r="B1252" s="665" t="s">
        <v>65</v>
      </c>
      <c r="C1252" s="654" t="s">
        <v>3459</v>
      </c>
      <c r="D1252" s="743" t="s">
        <v>3663</v>
      </c>
      <c r="E1252" s="665" t="s">
        <v>173</v>
      </c>
      <c r="F1252" s="334"/>
      <c r="G1252" s="668">
        <v>44691</v>
      </c>
      <c r="H1252" s="426">
        <v>230000</v>
      </c>
      <c r="I1252" s="744"/>
      <c r="J1252" s="744"/>
      <c r="K1252" s="354">
        <f t="shared" si="227"/>
        <v>230000</v>
      </c>
      <c r="L1252" s="668">
        <v>44691</v>
      </c>
      <c r="M1252" s="742">
        <v>22755</v>
      </c>
      <c r="N1252" s="352">
        <f t="shared" si="229"/>
        <v>207245</v>
      </c>
      <c r="O1252" s="357">
        <f t="shared" si="226"/>
        <v>692</v>
      </c>
      <c r="P1252" s="410">
        <v>9</v>
      </c>
      <c r="Q1252" s="358">
        <f t="shared" si="231"/>
        <v>1.8958904109589041</v>
      </c>
      <c r="R1252" s="359">
        <f t="shared" si="232"/>
        <v>7.1041095890410961</v>
      </c>
      <c r="S1252" s="360">
        <f t="shared" si="233"/>
        <v>7.1041095890410961</v>
      </c>
      <c r="T1252" s="361">
        <f t="shared" si="234"/>
        <v>0.10555555555555554</v>
      </c>
      <c r="U1252" s="362">
        <f t="shared" si="235"/>
        <v>24277.777777777774</v>
      </c>
      <c r="V1252" s="362">
        <f t="shared" si="236"/>
        <v>182967.22222222222</v>
      </c>
      <c r="W1252" s="362">
        <f t="shared" si="237"/>
        <v>11500</v>
      </c>
      <c r="X1252" s="742">
        <f t="shared" si="228"/>
        <v>171467.22222222222</v>
      </c>
    </row>
    <row r="1253" spans="1:24" ht="13.9">
      <c r="A1253" s="349">
        <f t="shared" si="230"/>
        <v>1245</v>
      </c>
      <c r="B1253" s="665" t="s">
        <v>66</v>
      </c>
      <c r="C1253" s="654" t="s">
        <v>3459</v>
      </c>
      <c r="D1253" s="743" t="s">
        <v>3663</v>
      </c>
      <c r="E1253" s="665" t="s">
        <v>174</v>
      </c>
      <c r="F1253" s="334"/>
      <c r="G1253" s="668">
        <v>44733</v>
      </c>
      <c r="H1253" s="426">
        <v>56000</v>
      </c>
      <c r="I1253" s="744"/>
      <c r="J1253" s="744"/>
      <c r="K1253" s="354">
        <f t="shared" si="227"/>
        <v>56000</v>
      </c>
      <c r="L1253" s="668">
        <v>44733</v>
      </c>
      <c r="M1253" s="742">
        <v>4824</v>
      </c>
      <c r="N1253" s="352">
        <f t="shared" si="229"/>
        <v>51176</v>
      </c>
      <c r="O1253" s="357">
        <f t="shared" si="226"/>
        <v>650</v>
      </c>
      <c r="P1253" s="410">
        <v>9</v>
      </c>
      <c r="Q1253" s="358">
        <f t="shared" si="231"/>
        <v>1.7808219178082192</v>
      </c>
      <c r="R1253" s="359">
        <f t="shared" si="232"/>
        <v>7.2191780821917808</v>
      </c>
      <c r="S1253" s="360">
        <f t="shared" si="233"/>
        <v>7.2191780821917808</v>
      </c>
      <c r="T1253" s="361">
        <f t="shared" si="234"/>
        <v>0.10555555555555554</v>
      </c>
      <c r="U1253" s="362">
        <f t="shared" si="235"/>
        <v>5911.1111111111104</v>
      </c>
      <c r="V1253" s="362">
        <f t="shared" si="236"/>
        <v>45264.888888888891</v>
      </c>
      <c r="W1253" s="362">
        <f t="shared" si="237"/>
        <v>2800</v>
      </c>
      <c r="X1253" s="742">
        <f t="shared" si="228"/>
        <v>42464.888888888891</v>
      </c>
    </row>
    <row r="1254" spans="1:24" ht="13.9">
      <c r="A1254" s="349">
        <f t="shared" si="230"/>
        <v>1246</v>
      </c>
      <c r="B1254" s="665" t="s">
        <v>68</v>
      </c>
      <c r="C1254" s="654" t="s">
        <v>3459</v>
      </c>
      <c r="D1254" s="743" t="s">
        <v>3663</v>
      </c>
      <c r="E1254" s="665" t="s">
        <v>175</v>
      </c>
      <c r="F1254" s="334"/>
      <c r="G1254" s="657">
        <v>44662</v>
      </c>
      <c r="H1254" s="426">
        <v>2353995</v>
      </c>
      <c r="I1254" s="744"/>
      <c r="J1254" s="744"/>
      <c r="K1254" s="354">
        <f t="shared" si="227"/>
        <v>2353995</v>
      </c>
      <c r="L1254" s="657">
        <v>44662</v>
      </c>
      <c r="M1254" s="742">
        <v>253673</v>
      </c>
      <c r="N1254" s="352">
        <f t="shared" si="229"/>
        <v>2100322</v>
      </c>
      <c r="O1254" s="357">
        <f t="shared" si="226"/>
        <v>721</v>
      </c>
      <c r="P1254" s="410">
        <v>9</v>
      </c>
      <c r="Q1254" s="358">
        <f t="shared" si="231"/>
        <v>1.9753424657534246</v>
      </c>
      <c r="R1254" s="359">
        <f t="shared" si="232"/>
        <v>7.0246575342465754</v>
      </c>
      <c r="S1254" s="360">
        <f t="shared" si="233"/>
        <v>7.0246575342465754</v>
      </c>
      <c r="T1254" s="361">
        <f t="shared" si="234"/>
        <v>0.10555555555555554</v>
      </c>
      <c r="U1254" s="362">
        <f t="shared" si="235"/>
        <v>248477.24999999997</v>
      </c>
      <c r="V1254" s="362">
        <f t="shared" si="236"/>
        <v>1851844.75</v>
      </c>
      <c r="W1254" s="362">
        <f t="shared" si="237"/>
        <v>117700</v>
      </c>
      <c r="X1254" s="742">
        <f t="shared" si="228"/>
        <v>1734144.75</v>
      </c>
    </row>
    <row r="1255" spans="1:24" ht="13.9">
      <c r="A1255" s="349">
        <f t="shared" si="230"/>
        <v>1247</v>
      </c>
      <c r="B1255" s="665" t="s">
        <v>68</v>
      </c>
      <c r="C1255" s="654" t="s">
        <v>3459</v>
      </c>
      <c r="D1255" s="743" t="s">
        <v>3663</v>
      </c>
      <c r="E1255" s="665" t="s">
        <v>175</v>
      </c>
      <c r="F1255" s="334"/>
      <c r="G1255" s="657">
        <v>44721</v>
      </c>
      <c r="H1255" s="426">
        <v>2337430</v>
      </c>
      <c r="I1255" s="744"/>
      <c r="J1255" s="744"/>
      <c r="K1255" s="354">
        <f t="shared" si="227"/>
        <v>2337430</v>
      </c>
      <c r="L1255" s="657">
        <v>44721</v>
      </c>
      <c r="M1255" s="742">
        <v>209906</v>
      </c>
      <c r="N1255" s="352">
        <f t="shared" si="229"/>
        <v>2127524</v>
      </c>
      <c r="O1255" s="357">
        <f t="shared" si="226"/>
        <v>662</v>
      </c>
      <c r="P1255" s="410">
        <v>9</v>
      </c>
      <c r="Q1255" s="358">
        <f t="shared" si="231"/>
        <v>1.8136986301369864</v>
      </c>
      <c r="R1255" s="359">
        <f t="shared" si="232"/>
        <v>7.1863013698630134</v>
      </c>
      <c r="S1255" s="360">
        <f t="shared" si="233"/>
        <v>7.1863013698630134</v>
      </c>
      <c r="T1255" s="361">
        <f t="shared" si="234"/>
        <v>0.10555555555555554</v>
      </c>
      <c r="U1255" s="362">
        <f t="shared" si="235"/>
        <v>246728.72222222219</v>
      </c>
      <c r="V1255" s="362">
        <f t="shared" si="236"/>
        <v>1880795.2777777778</v>
      </c>
      <c r="W1255" s="362">
        <f t="shared" si="237"/>
        <v>116872</v>
      </c>
      <c r="X1255" s="742">
        <f t="shared" si="228"/>
        <v>1763923.2777777778</v>
      </c>
    </row>
    <row r="1256" spans="1:24" ht="13.9">
      <c r="A1256" s="349">
        <f t="shared" si="230"/>
        <v>1248</v>
      </c>
      <c r="B1256" s="665" t="s">
        <v>70</v>
      </c>
      <c r="C1256" s="654" t="s">
        <v>3459</v>
      </c>
      <c r="D1256" s="743" t="s">
        <v>3663</v>
      </c>
      <c r="E1256" s="665" t="s">
        <v>176</v>
      </c>
      <c r="F1256" s="334"/>
      <c r="G1256" s="657">
        <v>44712</v>
      </c>
      <c r="H1256" s="426">
        <v>96526</v>
      </c>
      <c r="I1256" s="744"/>
      <c r="J1256" s="744"/>
      <c r="K1256" s="354">
        <f t="shared" si="227"/>
        <v>96526</v>
      </c>
      <c r="L1256" s="657">
        <v>44712</v>
      </c>
      <c r="M1256" s="742">
        <v>8933</v>
      </c>
      <c r="N1256" s="352">
        <f t="shared" si="229"/>
        <v>87593</v>
      </c>
      <c r="O1256" s="357">
        <f t="shared" si="226"/>
        <v>671</v>
      </c>
      <c r="P1256" s="410">
        <v>9</v>
      </c>
      <c r="Q1256" s="358">
        <f t="shared" si="231"/>
        <v>1.8383561643835618</v>
      </c>
      <c r="R1256" s="359">
        <f t="shared" si="232"/>
        <v>7.161643835616438</v>
      </c>
      <c r="S1256" s="360">
        <f t="shared" si="233"/>
        <v>7.161643835616438</v>
      </c>
      <c r="T1256" s="361">
        <f t="shared" si="234"/>
        <v>0.10555555555555554</v>
      </c>
      <c r="U1256" s="362">
        <f t="shared" si="235"/>
        <v>10188.855555555554</v>
      </c>
      <c r="V1256" s="362">
        <f t="shared" si="236"/>
        <v>77404.14444444445</v>
      </c>
      <c r="W1256" s="362">
        <f t="shared" si="237"/>
        <v>4826</v>
      </c>
      <c r="X1256" s="742">
        <f t="shared" si="228"/>
        <v>72578.14444444445</v>
      </c>
    </row>
    <row r="1257" spans="1:24" ht="13.9">
      <c r="A1257" s="349">
        <f t="shared" si="230"/>
        <v>1249</v>
      </c>
      <c r="B1257" s="665" t="s">
        <v>71</v>
      </c>
      <c r="C1257" s="654" t="s">
        <v>3459</v>
      </c>
      <c r="D1257" s="743" t="s">
        <v>3663</v>
      </c>
      <c r="E1257" s="665" t="s">
        <v>178</v>
      </c>
      <c r="F1257" s="334"/>
      <c r="G1257" s="687">
        <v>44658</v>
      </c>
      <c r="H1257" s="426">
        <v>2812500</v>
      </c>
      <c r="I1257" s="744"/>
      <c r="J1257" s="744"/>
      <c r="K1257" s="354">
        <f t="shared" si="227"/>
        <v>2812500</v>
      </c>
      <c r="L1257" s="687">
        <v>44658</v>
      </c>
      <c r="M1257" s="742">
        <v>306507</v>
      </c>
      <c r="N1257" s="352">
        <f t="shared" si="229"/>
        <v>2505993</v>
      </c>
      <c r="O1257" s="357">
        <f t="shared" si="226"/>
        <v>725</v>
      </c>
      <c r="P1257" s="410">
        <v>9</v>
      </c>
      <c r="Q1257" s="358">
        <f t="shared" si="231"/>
        <v>1.9863013698630136</v>
      </c>
      <c r="R1257" s="359">
        <f t="shared" si="232"/>
        <v>7.0136986301369859</v>
      </c>
      <c r="S1257" s="360">
        <f t="shared" si="233"/>
        <v>7.0136986301369859</v>
      </c>
      <c r="T1257" s="361">
        <f t="shared" si="234"/>
        <v>0.10555555555555554</v>
      </c>
      <c r="U1257" s="362">
        <f t="shared" si="235"/>
        <v>296874.99999999994</v>
      </c>
      <c r="V1257" s="362">
        <f t="shared" si="236"/>
        <v>2209118</v>
      </c>
      <c r="W1257" s="362">
        <f t="shared" si="237"/>
        <v>140625</v>
      </c>
      <c r="X1257" s="742">
        <f t="shared" si="228"/>
        <v>2068493</v>
      </c>
    </row>
    <row r="1258" spans="1:24" ht="13.9">
      <c r="A1258" s="349">
        <f t="shared" si="230"/>
        <v>1250</v>
      </c>
      <c r="B1258" s="665" t="s">
        <v>71</v>
      </c>
      <c r="C1258" s="654" t="s">
        <v>3459</v>
      </c>
      <c r="D1258" s="743" t="s">
        <v>3663</v>
      </c>
      <c r="E1258" s="665" t="s">
        <v>178</v>
      </c>
      <c r="F1258" s="334"/>
      <c r="G1258" s="687">
        <v>44658</v>
      </c>
      <c r="H1258" s="426">
        <v>2812500</v>
      </c>
      <c r="I1258" s="744"/>
      <c r="J1258" s="744"/>
      <c r="K1258" s="354">
        <f t="shared" si="227"/>
        <v>2812500</v>
      </c>
      <c r="L1258" s="687">
        <v>44658</v>
      </c>
      <c r="M1258" s="742">
        <v>306507</v>
      </c>
      <c r="N1258" s="352">
        <f t="shared" si="229"/>
        <v>2505993</v>
      </c>
      <c r="O1258" s="357">
        <f t="shared" si="226"/>
        <v>725</v>
      </c>
      <c r="P1258" s="410">
        <v>9</v>
      </c>
      <c r="Q1258" s="358">
        <f t="shared" si="231"/>
        <v>1.9863013698630136</v>
      </c>
      <c r="R1258" s="359">
        <f t="shared" si="232"/>
        <v>7.0136986301369859</v>
      </c>
      <c r="S1258" s="360">
        <f t="shared" si="233"/>
        <v>7.0136986301369859</v>
      </c>
      <c r="T1258" s="361">
        <f t="shared" si="234"/>
        <v>0.10555555555555554</v>
      </c>
      <c r="U1258" s="362">
        <f t="shared" si="235"/>
        <v>296874.99999999994</v>
      </c>
      <c r="V1258" s="362">
        <f t="shared" si="236"/>
        <v>2209118</v>
      </c>
      <c r="W1258" s="362">
        <f t="shared" si="237"/>
        <v>140625</v>
      </c>
      <c r="X1258" s="742">
        <f t="shared" si="228"/>
        <v>2068493</v>
      </c>
    </row>
    <row r="1259" spans="1:24" ht="13.9">
      <c r="A1259" s="349">
        <f t="shared" si="230"/>
        <v>1251</v>
      </c>
      <c r="B1259" s="665" t="s">
        <v>71</v>
      </c>
      <c r="C1259" s="654" t="s">
        <v>3459</v>
      </c>
      <c r="D1259" s="743" t="s">
        <v>3663</v>
      </c>
      <c r="E1259" s="665" t="s">
        <v>178</v>
      </c>
      <c r="F1259" s="334"/>
      <c r="G1259" s="668">
        <v>44658</v>
      </c>
      <c r="H1259" s="426">
        <v>2812500</v>
      </c>
      <c r="I1259" s="744"/>
      <c r="J1259" s="744"/>
      <c r="K1259" s="354">
        <f t="shared" si="227"/>
        <v>2812500</v>
      </c>
      <c r="L1259" s="668">
        <v>44658</v>
      </c>
      <c r="M1259" s="742">
        <v>306507</v>
      </c>
      <c r="N1259" s="352">
        <f t="shared" si="229"/>
        <v>2505993</v>
      </c>
      <c r="O1259" s="357">
        <f t="shared" si="226"/>
        <v>725</v>
      </c>
      <c r="P1259" s="410">
        <v>9</v>
      </c>
      <c r="Q1259" s="358">
        <f t="shared" si="231"/>
        <v>1.9863013698630136</v>
      </c>
      <c r="R1259" s="359">
        <f t="shared" si="232"/>
        <v>7.0136986301369859</v>
      </c>
      <c r="S1259" s="360">
        <f t="shared" si="233"/>
        <v>7.0136986301369859</v>
      </c>
      <c r="T1259" s="361">
        <f t="shared" si="234"/>
        <v>0.10555555555555554</v>
      </c>
      <c r="U1259" s="362">
        <f t="shared" si="235"/>
        <v>296874.99999999994</v>
      </c>
      <c r="V1259" s="362">
        <f t="shared" si="236"/>
        <v>2209118</v>
      </c>
      <c r="W1259" s="362">
        <f t="shared" si="237"/>
        <v>140625</v>
      </c>
      <c r="X1259" s="742">
        <f t="shared" si="228"/>
        <v>2068493</v>
      </c>
    </row>
    <row r="1260" spans="1:24" ht="13.9">
      <c r="A1260" s="349">
        <f t="shared" si="230"/>
        <v>1252</v>
      </c>
      <c r="B1260" s="665" t="s">
        <v>71</v>
      </c>
      <c r="C1260" s="654" t="s">
        <v>3459</v>
      </c>
      <c r="D1260" s="743" t="s">
        <v>3663</v>
      </c>
      <c r="E1260" s="665" t="s">
        <v>178</v>
      </c>
      <c r="F1260" s="334"/>
      <c r="G1260" s="668">
        <v>44658</v>
      </c>
      <c r="H1260" s="426">
        <v>2812500</v>
      </c>
      <c r="I1260" s="744"/>
      <c r="J1260" s="744"/>
      <c r="K1260" s="354">
        <f t="shared" si="227"/>
        <v>2812500</v>
      </c>
      <c r="L1260" s="668">
        <v>44658</v>
      </c>
      <c r="M1260" s="742">
        <v>306507</v>
      </c>
      <c r="N1260" s="352">
        <f t="shared" si="229"/>
        <v>2505993</v>
      </c>
      <c r="O1260" s="357">
        <f t="shared" si="226"/>
        <v>725</v>
      </c>
      <c r="P1260" s="410">
        <v>9</v>
      </c>
      <c r="Q1260" s="358">
        <f t="shared" si="231"/>
        <v>1.9863013698630136</v>
      </c>
      <c r="R1260" s="359">
        <f t="shared" si="232"/>
        <v>7.0136986301369859</v>
      </c>
      <c r="S1260" s="360">
        <f t="shared" si="233"/>
        <v>7.0136986301369859</v>
      </c>
      <c r="T1260" s="361">
        <f t="shared" si="234"/>
        <v>0.10555555555555554</v>
      </c>
      <c r="U1260" s="362">
        <f t="shared" si="235"/>
        <v>296874.99999999994</v>
      </c>
      <c r="V1260" s="362">
        <f t="shared" si="236"/>
        <v>2209118</v>
      </c>
      <c r="W1260" s="362">
        <f t="shared" si="237"/>
        <v>140625</v>
      </c>
      <c r="X1260" s="742">
        <f t="shared" si="228"/>
        <v>2068493</v>
      </c>
    </row>
    <row r="1261" spans="1:24" ht="13.9">
      <c r="A1261" s="349">
        <f t="shared" si="230"/>
        <v>1253</v>
      </c>
      <c r="B1261" s="665" t="s">
        <v>71</v>
      </c>
      <c r="C1261" s="654" t="s">
        <v>3459</v>
      </c>
      <c r="D1261" s="743" t="s">
        <v>3663</v>
      </c>
      <c r="E1261" s="665" t="s">
        <v>178</v>
      </c>
      <c r="F1261" s="334"/>
      <c r="G1261" s="668">
        <v>44658</v>
      </c>
      <c r="H1261" s="426">
        <v>2812500</v>
      </c>
      <c r="I1261" s="744"/>
      <c r="J1261" s="744"/>
      <c r="K1261" s="354">
        <f t="shared" si="227"/>
        <v>2812500</v>
      </c>
      <c r="L1261" s="668">
        <v>44658</v>
      </c>
      <c r="M1261" s="742">
        <v>306507</v>
      </c>
      <c r="N1261" s="352">
        <f t="shared" si="229"/>
        <v>2505993</v>
      </c>
      <c r="O1261" s="357">
        <f t="shared" si="226"/>
        <v>725</v>
      </c>
      <c r="P1261" s="410">
        <v>9</v>
      </c>
      <c r="Q1261" s="358">
        <f t="shared" si="231"/>
        <v>1.9863013698630136</v>
      </c>
      <c r="R1261" s="359">
        <f t="shared" si="232"/>
        <v>7.0136986301369859</v>
      </c>
      <c r="S1261" s="360">
        <f t="shared" si="233"/>
        <v>7.0136986301369859</v>
      </c>
      <c r="T1261" s="361">
        <f t="shared" si="234"/>
        <v>0.10555555555555554</v>
      </c>
      <c r="U1261" s="362">
        <f t="shared" si="235"/>
        <v>296874.99999999994</v>
      </c>
      <c r="V1261" s="362">
        <f t="shared" si="236"/>
        <v>2209118</v>
      </c>
      <c r="W1261" s="362">
        <f t="shared" si="237"/>
        <v>140625</v>
      </c>
      <c r="X1261" s="742">
        <f t="shared" si="228"/>
        <v>2068493</v>
      </c>
    </row>
    <row r="1262" spans="1:24" ht="13.9">
      <c r="A1262" s="349">
        <f t="shared" si="230"/>
        <v>1254</v>
      </c>
      <c r="B1262" s="665" t="s">
        <v>71</v>
      </c>
      <c r="C1262" s="654" t="s">
        <v>3459</v>
      </c>
      <c r="D1262" s="743" t="s">
        <v>3663</v>
      </c>
      <c r="E1262" s="665" t="s">
        <v>178</v>
      </c>
      <c r="F1262" s="334"/>
      <c r="G1262" s="668">
        <v>44658</v>
      </c>
      <c r="H1262" s="426">
        <v>2812500</v>
      </c>
      <c r="I1262" s="744"/>
      <c r="J1262" s="744"/>
      <c r="K1262" s="354">
        <f t="shared" si="227"/>
        <v>2812500</v>
      </c>
      <c r="L1262" s="668">
        <v>44658</v>
      </c>
      <c r="M1262" s="742">
        <v>306507</v>
      </c>
      <c r="N1262" s="352">
        <f t="shared" si="229"/>
        <v>2505993</v>
      </c>
      <c r="O1262" s="357">
        <f t="shared" si="226"/>
        <v>725</v>
      </c>
      <c r="P1262" s="410">
        <v>9</v>
      </c>
      <c r="Q1262" s="358">
        <f t="shared" si="231"/>
        <v>1.9863013698630136</v>
      </c>
      <c r="R1262" s="359">
        <f t="shared" si="232"/>
        <v>7.0136986301369859</v>
      </c>
      <c r="S1262" s="360">
        <f t="shared" si="233"/>
        <v>7.0136986301369859</v>
      </c>
      <c r="T1262" s="361">
        <f t="shared" si="234"/>
        <v>0.10555555555555554</v>
      </c>
      <c r="U1262" s="362">
        <f t="shared" si="235"/>
        <v>296874.99999999994</v>
      </c>
      <c r="V1262" s="362">
        <f t="shared" si="236"/>
        <v>2209118</v>
      </c>
      <c r="W1262" s="362">
        <f t="shared" si="237"/>
        <v>140625</v>
      </c>
      <c r="X1262" s="742">
        <f t="shared" si="228"/>
        <v>2068493</v>
      </c>
    </row>
    <row r="1263" spans="1:24" ht="13.9">
      <c r="A1263" s="349">
        <f t="shared" si="230"/>
        <v>1255</v>
      </c>
      <c r="B1263" s="665" t="s">
        <v>71</v>
      </c>
      <c r="C1263" s="654" t="s">
        <v>3459</v>
      </c>
      <c r="D1263" s="743" t="s">
        <v>3663</v>
      </c>
      <c r="E1263" s="665" t="s">
        <v>178</v>
      </c>
      <c r="F1263" s="334"/>
      <c r="G1263" s="657">
        <v>44658</v>
      </c>
      <c r="H1263" s="426">
        <v>2812500</v>
      </c>
      <c r="I1263" s="744"/>
      <c r="J1263" s="744"/>
      <c r="K1263" s="354">
        <f t="shared" si="227"/>
        <v>2812500</v>
      </c>
      <c r="L1263" s="657">
        <v>44658</v>
      </c>
      <c r="M1263" s="742">
        <v>306507</v>
      </c>
      <c r="N1263" s="352">
        <f t="shared" si="229"/>
        <v>2505993</v>
      </c>
      <c r="O1263" s="357">
        <f t="shared" si="226"/>
        <v>725</v>
      </c>
      <c r="P1263" s="410">
        <v>9</v>
      </c>
      <c r="Q1263" s="358">
        <f t="shared" si="231"/>
        <v>1.9863013698630136</v>
      </c>
      <c r="R1263" s="359">
        <f t="shared" si="232"/>
        <v>7.0136986301369859</v>
      </c>
      <c r="S1263" s="360">
        <f t="shared" si="233"/>
        <v>7.0136986301369859</v>
      </c>
      <c r="T1263" s="361">
        <f t="shared" si="234"/>
        <v>0.10555555555555554</v>
      </c>
      <c r="U1263" s="362">
        <f t="shared" si="235"/>
        <v>296874.99999999994</v>
      </c>
      <c r="V1263" s="362">
        <f t="shared" si="236"/>
        <v>2209118</v>
      </c>
      <c r="W1263" s="362">
        <f t="shared" si="237"/>
        <v>140625</v>
      </c>
      <c r="X1263" s="742">
        <f t="shared" si="228"/>
        <v>2068493</v>
      </c>
    </row>
    <row r="1264" spans="1:24" ht="13.9">
      <c r="A1264" s="349">
        <f t="shared" si="230"/>
        <v>1256</v>
      </c>
      <c r="B1264" s="665" t="s">
        <v>71</v>
      </c>
      <c r="C1264" s="654" t="s">
        <v>3459</v>
      </c>
      <c r="D1264" s="743" t="s">
        <v>3663</v>
      </c>
      <c r="E1264" s="665" t="s">
        <v>178</v>
      </c>
      <c r="F1264" s="334"/>
      <c r="G1264" s="657">
        <v>44658</v>
      </c>
      <c r="H1264" s="426">
        <v>2812500</v>
      </c>
      <c r="I1264" s="744"/>
      <c r="J1264" s="744"/>
      <c r="K1264" s="354">
        <f t="shared" si="227"/>
        <v>2812500</v>
      </c>
      <c r="L1264" s="657">
        <v>44658</v>
      </c>
      <c r="M1264" s="742">
        <v>306507</v>
      </c>
      <c r="N1264" s="352">
        <f t="shared" si="229"/>
        <v>2505993</v>
      </c>
      <c r="O1264" s="357">
        <f t="shared" si="226"/>
        <v>725</v>
      </c>
      <c r="P1264" s="410">
        <v>9</v>
      </c>
      <c r="Q1264" s="358">
        <f t="shared" si="231"/>
        <v>1.9863013698630136</v>
      </c>
      <c r="R1264" s="359">
        <f t="shared" si="232"/>
        <v>7.0136986301369859</v>
      </c>
      <c r="S1264" s="360">
        <f t="shared" si="233"/>
        <v>7.0136986301369859</v>
      </c>
      <c r="T1264" s="361">
        <f t="shared" si="234"/>
        <v>0.10555555555555554</v>
      </c>
      <c r="U1264" s="362">
        <f t="shared" si="235"/>
        <v>296874.99999999994</v>
      </c>
      <c r="V1264" s="362">
        <f t="shared" si="236"/>
        <v>2209118</v>
      </c>
      <c r="W1264" s="362">
        <f t="shared" si="237"/>
        <v>140625</v>
      </c>
      <c r="X1264" s="742">
        <f t="shared" si="228"/>
        <v>2068493</v>
      </c>
    </row>
    <row r="1265" spans="1:24" ht="13.9">
      <c r="A1265" s="349">
        <f t="shared" si="230"/>
        <v>1257</v>
      </c>
      <c r="B1265" s="665" t="s">
        <v>71</v>
      </c>
      <c r="C1265" s="654" t="s">
        <v>3459</v>
      </c>
      <c r="D1265" s="743" t="s">
        <v>3663</v>
      </c>
      <c r="E1265" s="665" t="s">
        <v>178</v>
      </c>
      <c r="F1265" s="334"/>
      <c r="G1265" s="657">
        <v>44658</v>
      </c>
      <c r="H1265" s="426">
        <v>2812500</v>
      </c>
      <c r="I1265" s="744"/>
      <c r="J1265" s="744"/>
      <c r="K1265" s="354">
        <f t="shared" si="227"/>
        <v>2812500</v>
      </c>
      <c r="L1265" s="657">
        <v>44658</v>
      </c>
      <c r="M1265" s="742">
        <v>306507</v>
      </c>
      <c r="N1265" s="352">
        <f t="shared" si="229"/>
        <v>2505993</v>
      </c>
      <c r="O1265" s="357">
        <f t="shared" si="226"/>
        <v>725</v>
      </c>
      <c r="P1265" s="410">
        <v>9</v>
      </c>
      <c r="Q1265" s="358">
        <f t="shared" si="231"/>
        <v>1.9863013698630136</v>
      </c>
      <c r="R1265" s="359">
        <f t="shared" si="232"/>
        <v>7.0136986301369859</v>
      </c>
      <c r="S1265" s="360">
        <f t="shared" si="233"/>
        <v>7.0136986301369859</v>
      </c>
      <c r="T1265" s="361">
        <f t="shared" si="234"/>
        <v>0.10555555555555554</v>
      </c>
      <c r="U1265" s="362">
        <f t="shared" si="235"/>
        <v>296874.99999999994</v>
      </c>
      <c r="V1265" s="362">
        <f t="shared" si="236"/>
        <v>2209118</v>
      </c>
      <c r="W1265" s="362">
        <f t="shared" si="237"/>
        <v>140625</v>
      </c>
      <c r="X1265" s="742">
        <f t="shared" si="228"/>
        <v>2068493</v>
      </c>
    </row>
    <row r="1266" spans="1:24" ht="13.9">
      <c r="A1266" s="349">
        <f t="shared" si="230"/>
        <v>1258</v>
      </c>
      <c r="B1266" s="665" t="s">
        <v>71</v>
      </c>
      <c r="C1266" s="654" t="s">
        <v>3459</v>
      </c>
      <c r="D1266" s="743" t="s">
        <v>3663</v>
      </c>
      <c r="E1266" s="665" t="s">
        <v>178</v>
      </c>
      <c r="F1266" s="334"/>
      <c r="G1266" s="657">
        <v>44658</v>
      </c>
      <c r="H1266" s="426">
        <v>2812500</v>
      </c>
      <c r="I1266" s="744"/>
      <c r="J1266" s="744"/>
      <c r="K1266" s="354">
        <f t="shared" si="227"/>
        <v>2812500</v>
      </c>
      <c r="L1266" s="657">
        <v>44658</v>
      </c>
      <c r="M1266" s="742">
        <v>306507</v>
      </c>
      <c r="N1266" s="352">
        <f t="shared" si="229"/>
        <v>2505993</v>
      </c>
      <c r="O1266" s="357">
        <f t="shared" si="226"/>
        <v>725</v>
      </c>
      <c r="P1266" s="410">
        <v>9</v>
      </c>
      <c r="Q1266" s="358">
        <f t="shared" si="231"/>
        <v>1.9863013698630136</v>
      </c>
      <c r="R1266" s="359">
        <f t="shared" si="232"/>
        <v>7.0136986301369859</v>
      </c>
      <c r="S1266" s="360">
        <f t="shared" si="233"/>
        <v>7.0136986301369859</v>
      </c>
      <c r="T1266" s="361">
        <f t="shared" si="234"/>
        <v>0.10555555555555554</v>
      </c>
      <c r="U1266" s="362">
        <f t="shared" si="235"/>
        <v>296874.99999999994</v>
      </c>
      <c r="V1266" s="362">
        <f t="shared" si="236"/>
        <v>2209118</v>
      </c>
      <c r="W1266" s="362">
        <f t="shared" si="237"/>
        <v>140625</v>
      </c>
      <c r="X1266" s="742">
        <f t="shared" si="228"/>
        <v>2068493</v>
      </c>
    </row>
    <row r="1267" spans="1:24" ht="13.9">
      <c r="A1267" s="349">
        <f t="shared" si="230"/>
        <v>1259</v>
      </c>
      <c r="B1267" s="665" t="s">
        <v>71</v>
      </c>
      <c r="C1267" s="654" t="s">
        <v>3459</v>
      </c>
      <c r="D1267" s="743" t="s">
        <v>3663</v>
      </c>
      <c r="E1267" s="665" t="s">
        <v>178</v>
      </c>
      <c r="F1267" s="334"/>
      <c r="G1267" s="668">
        <v>44658</v>
      </c>
      <c r="H1267" s="426">
        <v>2812500</v>
      </c>
      <c r="I1267" s="744"/>
      <c r="J1267" s="744"/>
      <c r="K1267" s="354">
        <f t="shared" si="227"/>
        <v>2812500</v>
      </c>
      <c r="L1267" s="668">
        <v>44658</v>
      </c>
      <c r="M1267" s="742">
        <v>306507</v>
      </c>
      <c r="N1267" s="352">
        <f t="shared" si="229"/>
        <v>2505993</v>
      </c>
      <c r="O1267" s="357">
        <f t="shared" si="226"/>
        <v>725</v>
      </c>
      <c r="P1267" s="410">
        <v>9</v>
      </c>
      <c r="Q1267" s="358">
        <f t="shared" si="231"/>
        <v>1.9863013698630136</v>
      </c>
      <c r="R1267" s="359">
        <f t="shared" si="232"/>
        <v>7.0136986301369859</v>
      </c>
      <c r="S1267" s="360">
        <f t="shared" si="233"/>
        <v>7.0136986301369859</v>
      </c>
      <c r="T1267" s="361">
        <f t="shared" si="234"/>
        <v>0.10555555555555554</v>
      </c>
      <c r="U1267" s="362">
        <f t="shared" si="235"/>
        <v>296874.99999999994</v>
      </c>
      <c r="V1267" s="362">
        <f t="shared" si="236"/>
        <v>2209118</v>
      </c>
      <c r="W1267" s="362">
        <f t="shared" si="237"/>
        <v>140625</v>
      </c>
      <c r="X1267" s="742">
        <f t="shared" si="228"/>
        <v>2068493</v>
      </c>
    </row>
    <row r="1268" spans="1:24" ht="13.9">
      <c r="A1268" s="349">
        <f t="shared" si="230"/>
        <v>1260</v>
      </c>
      <c r="B1268" s="665" t="s">
        <v>71</v>
      </c>
      <c r="C1268" s="654" t="s">
        <v>3459</v>
      </c>
      <c r="D1268" s="743" t="s">
        <v>3663</v>
      </c>
      <c r="E1268" s="665" t="s">
        <v>178</v>
      </c>
      <c r="F1268" s="334"/>
      <c r="G1268" s="668">
        <v>44658</v>
      </c>
      <c r="H1268" s="426">
        <v>2812500</v>
      </c>
      <c r="I1268" s="744"/>
      <c r="J1268" s="744"/>
      <c r="K1268" s="354">
        <f t="shared" si="227"/>
        <v>2812500</v>
      </c>
      <c r="L1268" s="668">
        <v>44658</v>
      </c>
      <c r="M1268" s="742">
        <v>306507</v>
      </c>
      <c r="N1268" s="352">
        <f t="shared" si="229"/>
        <v>2505993</v>
      </c>
      <c r="O1268" s="357">
        <f t="shared" si="226"/>
        <v>725</v>
      </c>
      <c r="P1268" s="410">
        <v>9</v>
      </c>
      <c r="Q1268" s="358">
        <f t="shared" si="231"/>
        <v>1.9863013698630136</v>
      </c>
      <c r="R1268" s="359">
        <f t="shared" si="232"/>
        <v>7.0136986301369859</v>
      </c>
      <c r="S1268" s="360">
        <f t="shared" si="233"/>
        <v>7.0136986301369859</v>
      </c>
      <c r="T1268" s="361">
        <f t="shared" si="234"/>
        <v>0.10555555555555554</v>
      </c>
      <c r="U1268" s="362">
        <f t="shared" si="235"/>
        <v>296874.99999999994</v>
      </c>
      <c r="V1268" s="362">
        <f t="shared" si="236"/>
        <v>2209118</v>
      </c>
      <c r="W1268" s="362">
        <f t="shared" si="237"/>
        <v>140625</v>
      </c>
      <c r="X1268" s="742">
        <f t="shared" si="228"/>
        <v>2068493</v>
      </c>
    </row>
    <row r="1269" spans="1:24" ht="13.9">
      <c r="A1269" s="349">
        <f t="shared" si="230"/>
        <v>1261</v>
      </c>
      <c r="B1269" s="665" t="s">
        <v>71</v>
      </c>
      <c r="C1269" s="654" t="s">
        <v>3459</v>
      </c>
      <c r="D1269" s="743" t="s">
        <v>3663</v>
      </c>
      <c r="E1269" s="665" t="s">
        <v>178</v>
      </c>
      <c r="F1269" s="334"/>
      <c r="G1269" s="668">
        <v>44658</v>
      </c>
      <c r="H1269" s="426">
        <v>2812500</v>
      </c>
      <c r="I1269" s="744"/>
      <c r="J1269" s="744"/>
      <c r="K1269" s="354">
        <f t="shared" si="227"/>
        <v>2812500</v>
      </c>
      <c r="L1269" s="668">
        <v>44658</v>
      </c>
      <c r="M1269" s="742">
        <v>306507</v>
      </c>
      <c r="N1269" s="352">
        <f t="shared" si="229"/>
        <v>2505993</v>
      </c>
      <c r="O1269" s="357">
        <f t="shared" si="226"/>
        <v>725</v>
      </c>
      <c r="P1269" s="410">
        <v>9</v>
      </c>
      <c r="Q1269" s="358">
        <f t="shared" si="231"/>
        <v>1.9863013698630136</v>
      </c>
      <c r="R1269" s="359">
        <f t="shared" si="232"/>
        <v>7.0136986301369859</v>
      </c>
      <c r="S1269" s="360">
        <f t="shared" si="233"/>
        <v>7.0136986301369859</v>
      </c>
      <c r="T1269" s="361">
        <f t="shared" si="234"/>
        <v>0.10555555555555554</v>
      </c>
      <c r="U1269" s="362">
        <f t="shared" si="235"/>
        <v>296874.99999999994</v>
      </c>
      <c r="V1269" s="362">
        <f t="shared" si="236"/>
        <v>2209118</v>
      </c>
      <c r="W1269" s="362">
        <f t="shared" si="237"/>
        <v>140625</v>
      </c>
      <c r="X1269" s="742">
        <f t="shared" si="228"/>
        <v>2068493</v>
      </c>
    </row>
    <row r="1270" spans="1:24" ht="13.9">
      <c r="A1270" s="349">
        <f t="shared" si="230"/>
        <v>1262</v>
      </c>
      <c r="B1270" s="665" t="s">
        <v>71</v>
      </c>
      <c r="C1270" s="654" t="s">
        <v>3459</v>
      </c>
      <c r="D1270" s="743" t="s">
        <v>3663</v>
      </c>
      <c r="E1270" s="665" t="s">
        <v>178</v>
      </c>
      <c r="F1270" s="334"/>
      <c r="G1270" s="668">
        <v>44658</v>
      </c>
      <c r="H1270" s="426">
        <v>2812500</v>
      </c>
      <c r="I1270" s="744"/>
      <c r="J1270" s="744"/>
      <c r="K1270" s="354">
        <f t="shared" si="227"/>
        <v>2812500</v>
      </c>
      <c r="L1270" s="668">
        <v>44658</v>
      </c>
      <c r="M1270" s="742">
        <v>306507</v>
      </c>
      <c r="N1270" s="352">
        <f t="shared" si="229"/>
        <v>2505993</v>
      </c>
      <c r="O1270" s="357">
        <f t="shared" si="226"/>
        <v>725</v>
      </c>
      <c r="P1270" s="410">
        <v>9</v>
      </c>
      <c r="Q1270" s="358">
        <f t="shared" si="231"/>
        <v>1.9863013698630136</v>
      </c>
      <c r="R1270" s="359">
        <f t="shared" si="232"/>
        <v>7.0136986301369859</v>
      </c>
      <c r="S1270" s="360">
        <f t="shared" si="233"/>
        <v>7.0136986301369859</v>
      </c>
      <c r="T1270" s="361">
        <f t="shared" si="234"/>
        <v>0.10555555555555554</v>
      </c>
      <c r="U1270" s="362">
        <f t="shared" si="235"/>
        <v>296874.99999999994</v>
      </c>
      <c r="V1270" s="362">
        <f t="shared" si="236"/>
        <v>2209118</v>
      </c>
      <c r="W1270" s="362">
        <f t="shared" si="237"/>
        <v>140625</v>
      </c>
      <c r="X1270" s="742">
        <f t="shared" si="228"/>
        <v>2068493</v>
      </c>
    </row>
    <row r="1271" spans="1:24" ht="13.9">
      <c r="A1271" s="349">
        <f t="shared" si="230"/>
        <v>1263</v>
      </c>
      <c r="B1271" s="665" t="s">
        <v>71</v>
      </c>
      <c r="C1271" s="654" t="s">
        <v>3459</v>
      </c>
      <c r="D1271" s="743" t="s">
        <v>3663</v>
      </c>
      <c r="E1271" s="665" t="s">
        <v>178</v>
      </c>
      <c r="F1271" s="334"/>
      <c r="G1271" s="668">
        <v>44658</v>
      </c>
      <c r="H1271" s="426">
        <v>2812500</v>
      </c>
      <c r="I1271" s="744"/>
      <c r="J1271" s="744"/>
      <c r="K1271" s="354">
        <f t="shared" si="227"/>
        <v>2812500</v>
      </c>
      <c r="L1271" s="668">
        <v>44658</v>
      </c>
      <c r="M1271" s="742">
        <v>306507</v>
      </c>
      <c r="N1271" s="352">
        <f t="shared" si="229"/>
        <v>2505993</v>
      </c>
      <c r="O1271" s="357">
        <f t="shared" si="226"/>
        <v>725</v>
      </c>
      <c r="P1271" s="410">
        <v>9</v>
      </c>
      <c r="Q1271" s="358">
        <f t="shared" si="231"/>
        <v>1.9863013698630136</v>
      </c>
      <c r="R1271" s="359">
        <f t="shared" si="232"/>
        <v>7.0136986301369859</v>
      </c>
      <c r="S1271" s="360">
        <f t="shared" si="233"/>
        <v>7.0136986301369859</v>
      </c>
      <c r="T1271" s="361">
        <f t="shared" si="234"/>
        <v>0.10555555555555554</v>
      </c>
      <c r="U1271" s="362">
        <f t="shared" si="235"/>
        <v>296874.99999999994</v>
      </c>
      <c r="V1271" s="362">
        <f t="shared" si="236"/>
        <v>2209118</v>
      </c>
      <c r="W1271" s="362">
        <f t="shared" si="237"/>
        <v>140625</v>
      </c>
      <c r="X1271" s="742">
        <f t="shared" si="228"/>
        <v>2068493</v>
      </c>
    </row>
    <row r="1272" spans="1:24" ht="13.9">
      <c r="A1272" s="349">
        <f t="shared" si="230"/>
        <v>1264</v>
      </c>
      <c r="B1272" s="665" t="s">
        <v>71</v>
      </c>
      <c r="C1272" s="654" t="s">
        <v>3459</v>
      </c>
      <c r="D1272" s="743" t="s">
        <v>3663</v>
      </c>
      <c r="E1272" s="665" t="s">
        <v>178</v>
      </c>
      <c r="F1272" s="334"/>
      <c r="G1272" s="668">
        <v>44690</v>
      </c>
      <c r="H1272" s="426">
        <v>2812500</v>
      </c>
      <c r="I1272" s="744"/>
      <c r="J1272" s="744"/>
      <c r="K1272" s="354">
        <f t="shared" si="227"/>
        <v>2812500</v>
      </c>
      <c r="L1272" s="668">
        <v>44690</v>
      </c>
      <c r="M1272" s="742">
        <v>279110</v>
      </c>
      <c r="N1272" s="352">
        <f t="shared" si="229"/>
        <v>2533390</v>
      </c>
      <c r="O1272" s="357">
        <f t="shared" si="226"/>
        <v>693</v>
      </c>
      <c r="P1272" s="410">
        <v>9</v>
      </c>
      <c r="Q1272" s="358">
        <f t="shared" si="231"/>
        <v>1.8986301369863015</v>
      </c>
      <c r="R1272" s="359">
        <f t="shared" si="232"/>
        <v>7.1013698630136988</v>
      </c>
      <c r="S1272" s="360">
        <f t="shared" si="233"/>
        <v>7.1013698630136988</v>
      </c>
      <c r="T1272" s="361">
        <f t="shared" si="234"/>
        <v>0.10555555555555554</v>
      </c>
      <c r="U1272" s="362">
        <f t="shared" si="235"/>
        <v>296874.99999999994</v>
      </c>
      <c r="V1272" s="362">
        <f t="shared" si="236"/>
        <v>2236515</v>
      </c>
      <c r="W1272" s="362">
        <f t="shared" si="237"/>
        <v>140625</v>
      </c>
      <c r="X1272" s="742">
        <f t="shared" si="228"/>
        <v>2095890</v>
      </c>
    </row>
    <row r="1273" spans="1:24" ht="13.9">
      <c r="A1273" s="349">
        <f t="shared" si="230"/>
        <v>1265</v>
      </c>
      <c r="B1273" s="665" t="s">
        <v>71</v>
      </c>
      <c r="C1273" s="654" t="s">
        <v>3459</v>
      </c>
      <c r="D1273" s="743" t="s">
        <v>3663</v>
      </c>
      <c r="E1273" s="665" t="s">
        <v>178</v>
      </c>
      <c r="F1273" s="334"/>
      <c r="G1273" s="668">
        <v>44690</v>
      </c>
      <c r="H1273" s="426">
        <v>2812500</v>
      </c>
      <c r="I1273" s="744"/>
      <c r="J1273" s="744"/>
      <c r="K1273" s="354">
        <f t="shared" si="227"/>
        <v>2812500</v>
      </c>
      <c r="L1273" s="668">
        <v>44690</v>
      </c>
      <c r="M1273" s="742">
        <v>279110</v>
      </c>
      <c r="N1273" s="352">
        <f t="shared" si="229"/>
        <v>2533390</v>
      </c>
      <c r="O1273" s="357">
        <f t="shared" si="226"/>
        <v>693</v>
      </c>
      <c r="P1273" s="410">
        <v>9</v>
      </c>
      <c r="Q1273" s="358">
        <f t="shared" si="231"/>
        <v>1.8986301369863015</v>
      </c>
      <c r="R1273" s="359">
        <f t="shared" si="232"/>
        <v>7.1013698630136988</v>
      </c>
      <c r="S1273" s="360">
        <f t="shared" si="233"/>
        <v>7.1013698630136988</v>
      </c>
      <c r="T1273" s="361">
        <f t="shared" si="234"/>
        <v>0.10555555555555554</v>
      </c>
      <c r="U1273" s="362">
        <f t="shared" si="235"/>
        <v>296874.99999999994</v>
      </c>
      <c r="V1273" s="362">
        <f t="shared" si="236"/>
        <v>2236515</v>
      </c>
      <c r="W1273" s="362">
        <f t="shared" si="237"/>
        <v>140625</v>
      </c>
      <c r="X1273" s="742">
        <f t="shared" si="228"/>
        <v>2095890</v>
      </c>
    </row>
    <row r="1274" spans="1:24" ht="13.9">
      <c r="A1274" s="349">
        <f t="shared" si="230"/>
        <v>1266</v>
      </c>
      <c r="B1274" s="665" t="s">
        <v>71</v>
      </c>
      <c r="C1274" s="654" t="s">
        <v>3459</v>
      </c>
      <c r="D1274" s="743" t="s">
        <v>3663</v>
      </c>
      <c r="E1274" s="665" t="s">
        <v>178</v>
      </c>
      <c r="F1274" s="334"/>
      <c r="G1274" s="668">
        <v>44690</v>
      </c>
      <c r="H1274" s="426">
        <v>2812500</v>
      </c>
      <c r="I1274" s="744"/>
      <c r="J1274" s="744"/>
      <c r="K1274" s="354">
        <f t="shared" si="227"/>
        <v>2812500</v>
      </c>
      <c r="L1274" s="668">
        <v>44690</v>
      </c>
      <c r="M1274" s="742">
        <v>279110</v>
      </c>
      <c r="N1274" s="352">
        <f t="shared" si="229"/>
        <v>2533390</v>
      </c>
      <c r="O1274" s="357">
        <f t="shared" si="226"/>
        <v>693</v>
      </c>
      <c r="P1274" s="410">
        <v>9</v>
      </c>
      <c r="Q1274" s="358">
        <f t="shared" si="231"/>
        <v>1.8986301369863015</v>
      </c>
      <c r="R1274" s="359">
        <f t="shared" si="232"/>
        <v>7.1013698630136988</v>
      </c>
      <c r="S1274" s="360">
        <f t="shared" si="233"/>
        <v>7.1013698630136988</v>
      </c>
      <c r="T1274" s="361">
        <f t="shared" si="234"/>
        <v>0.10555555555555554</v>
      </c>
      <c r="U1274" s="362">
        <f t="shared" si="235"/>
        <v>296874.99999999994</v>
      </c>
      <c r="V1274" s="362">
        <f t="shared" si="236"/>
        <v>2236515</v>
      </c>
      <c r="W1274" s="362">
        <f t="shared" si="237"/>
        <v>140625</v>
      </c>
      <c r="X1274" s="742">
        <f t="shared" si="228"/>
        <v>2095890</v>
      </c>
    </row>
    <row r="1275" spans="1:24" ht="13.9">
      <c r="A1275" s="349">
        <f t="shared" si="230"/>
        <v>1267</v>
      </c>
      <c r="B1275" s="665" t="s">
        <v>71</v>
      </c>
      <c r="C1275" s="654" t="s">
        <v>3459</v>
      </c>
      <c r="D1275" s="743" t="s">
        <v>3663</v>
      </c>
      <c r="E1275" s="665" t="s">
        <v>178</v>
      </c>
      <c r="F1275" s="334"/>
      <c r="G1275" s="668">
        <v>44690</v>
      </c>
      <c r="H1275" s="426">
        <v>2812500</v>
      </c>
      <c r="I1275" s="744"/>
      <c r="J1275" s="744"/>
      <c r="K1275" s="354">
        <f t="shared" si="227"/>
        <v>2812500</v>
      </c>
      <c r="L1275" s="668">
        <v>44690</v>
      </c>
      <c r="M1275" s="742">
        <v>279110</v>
      </c>
      <c r="N1275" s="352">
        <f t="shared" si="229"/>
        <v>2533390</v>
      </c>
      <c r="O1275" s="357">
        <f t="shared" si="226"/>
        <v>693</v>
      </c>
      <c r="P1275" s="410">
        <v>9</v>
      </c>
      <c r="Q1275" s="358">
        <f t="shared" si="231"/>
        <v>1.8986301369863015</v>
      </c>
      <c r="R1275" s="359">
        <f t="shared" si="232"/>
        <v>7.1013698630136988</v>
      </c>
      <c r="S1275" s="360">
        <f t="shared" si="233"/>
        <v>7.1013698630136988</v>
      </c>
      <c r="T1275" s="361">
        <f t="shared" si="234"/>
        <v>0.10555555555555554</v>
      </c>
      <c r="U1275" s="362">
        <f t="shared" si="235"/>
        <v>296874.99999999994</v>
      </c>
      <c r="V1275" s="362">
        <f t="shared" si="236"/>
        <v>2236515</v>
      </c>
      <c r="W1275" s="362">
        <f t="shared" si="237"/>
        <v>140625</v>
      </c>
      <c r="X1275" s="742">
        <f t="shared" si="228"/>
        <v>2095890</v>
      </c>
    </row>
    <row r="1276" spans="1:24" ht="13.9">
      <c r="A1276" s="349">
        <f t="shared" si="230"/>
        <v>1268</v>
      </c>
      <c r="B1276" s="665" t="s">
        <v>71</v>
      </c>
      <c r="C1276" s="654" t="s">
        <v>3459</v>
      </c>
      <c r="D1276" s="743" t="s">
        <v>3663</v>
      </c>
      <c r="E1276" s="665" t="s">
        <v>178</v>
      </c>
      <c r="F1276" s="334"/>
      <c r="G1276" s="668">
        <v>44712</v>
      </c>
      <c r="H1276" s="426">
        <v>2812500</v>
      </c>
      <c r="I1276" s="744"/>
      <c r="J1276" s="744"/>
      <c r="K1276" s="354">
        <f t="shared" si="227"/>
        <v>2812500</v>
      </c>
      <c r="L1276" s="668">
        <v>44712</v>
      </c>
      <c r="M1276" s="742">
        <v>260274</v>
      </c>
      <c r="N1276" s="352">
        <f t="shared" si="229"/>
        <v>2552226</v>
      </c>
      <c r="O1276" s="357">
        <f t="shared" si="226"/>
        <v>671</v>
      </c>
      <c r="P1276" s="410">
        <v>9</v>
      </c>
      <c r="Q1276" s="358">
        <f t="shared" si="231"/>
        <v>1.8383561643835618</v>
      </c>
      <c r="R1276" s="359">
        <f t="shared" si="232"/>
        <v>7.161643835616438</v>
      </c>
      <c r="S1276" s="360">
        <f t="shared" si="233"/>
        <v>7.161643835616438</v>
      </c>
      <c r="T1276" s="361">
        <f t="shared" si="234"/>
        <v>0.10555555555555554</v>
      </c>
      <c r="U1276" s="362">
        <f t="shared" si="235"/>
        <v>296874.99999999994</v>
      </c>
      <c r="V1276" s="362">
        <f t="shared" si="236"/>
        <v>2255351</v>
      </c>
      <c r="W1276" s="362">
        <f t="shared" si="237"/>
        <v>140625</v>
      </c>
      <c r="X1276" s="742">
        <f t="shared" si="228"/>
        <v>2114726</v>
      </c>
    </row>
    <row r="1277" spans="1:24" ht="13.9">
      <c r="A1277" s="349">
        <f t="shared" si="230"/>
        <v>1269</v>
      </c>
      <c r="B1277" s="684" t="s">
        <v>304</v>
      </c>
      <c r="C1277" s="654" t="s">
        <v>3459</v>
      </c>
      <c r="D1277" s="743" t="s">
        <v>3663</v>
      </c>
      <c r="E1277" s="684" t="s">
        <v>403</v>
      </c>
      <c r="F1277" s="334"/>
      <c r="G1277" s="657">
        <v>44776</v>
      </c>
      <c r="H1277" s="426">
        <v>1193880</v>
      </c>
      <c r="I1277" s="744"/>
      <c r="J1277" s="744"/>
      <c r="K1277" s="354">
        <f t="shared" si="227"/>
        <v>1193880</v>
      </c>
      <c r="L1277" s="657">
        <v>44776</v>
      </c>
      <c r="M1277" s="742">
        <v>87224</v>
      </c>
      <c r="N1277" s="352">
        <f t="shared" si="229"/>
        <v>1106656</v>
      </c>
      <c r="O1277" s="357">
        <f t="shared" si="226"/>
        <v>607</v>
      </c>
      <c r="P1277" s="410">
        <v>9</v>
      </c>
      <c r="Q1277" s="358">
        <f t="shared" si="231"/>
        <v>1.6630136986301369</v>
      </c>
      <c r="R1277" s="359">
        <f t="shared" si="232"/>
        <v>7.3369863013698629</v>
      </c>
      <c r="S1277" s="360">
        <f t="shared" si="233"/>
        <v>7.3369863013698629</v>
      </c>
      <c r="T1277" s="361">
        <f t="shared" si="234"/>
        <v>0.10555555555555554</v>
      </c>
      <c r="U1277" s="362">
        <f t="shared" si="235"/>
        <v>126020.66666666666</v>
      </c>
      <c r="V1277" s="362">
        <f t="shared" si="236"/>
        <v>980635.33333333337</v>
      </c>
      <c r="W1277" s="362">
        <f t="shared" si="237"/>
        <v>59694</v>
      </c>
      <c r="X1277" s="742">
        <f t="shared" si="228"/>
        <v>920941.33333333337</v>
      </c>
    </row>
    <row r="1278" spans="1:24" ht="13.9">
      <c r="A1278" s="349">
        <f t="shared" si="230"/>
        <v>1270</v>
      </c>
      <c r="B1278" s="684" t="s">
        <v>305</v>
      </c>
      <c r="C1278" s="654" t="s">
        <v>3459</v>
      </c>
      <c r="D1278" s="743" t="s">
        <v>3663</v>
      </c>
      <c r="E1278" s="684" t="s">
        <v>403</v>
      </c>
      <c r="F1278" s="334"/>
      <c r="G1278" s="657">
        <v>44776</v>
      </c>
      <c r="H1278" s="426">
        <v>471039.8</v>
      </c>
      <c r="I1278" s="744"/>
      <c r="J1278" s="744"/>
      <c r="K1278" s="354">
        <f t="shared" si="227"/>
        <v>471039.8</v>
      </c>
      <c r="L1278" s="657">
        <v>44776</v>
      </c>
      <c r="M1278" s="742">
        <v>34414</v>
      </c>
      <c r="N1278" s="352">
        <f t="shared" si="229"/>
        <v>436625.8</v>
      </c>
      <c r="O1278" s="357">
        <f t="shared" si="226"/>
        <v>607</v>
      </c>
      <c r="P1278" s="410">
        <v>9</v>
      </c>
      <c r="Q1278" s="358">
        <f t="shared" si="231"/>
        <v>1.6630136986301369</v>
      </c>
      <c r="R1278" s="359">
        <f t="shared" si="232"/>
        <v>7.3369863013698629</v>
      </c>
      <c r="S1278" s="360">
        <f t="shared" si="233"/>
        <v>7.3369863013698629</v>
      </c>
      <c r="T1278" s="361">
        <f t="shared" si="234"/>
        <v>0.10555555555555554</v>
      </c>
      <c r="U1278" s="362">
        <f t="shared" si="235"/>
        <v>49720.86777777777</v>
      </c>
      <c r="V1278" s="362">
        <f t="shared" si="236"/>
        <v>386904.93222222221</v>
      </c>
      <c r="W1278" s="362">
        <f t="shared" si="237"/>
        <v>23552</v>
      </c>
      <c r="X1278" s="742">
        <f t="shared" si="228"/>
        <v>363352.93222222221</v>
      </c>
    </row>
    <row r="1279" spans="1:24" ht="13.9">
      <c r="A1279" s="349">
        <f t="shared" si="230"/>
        <v>1271</v>
      </c>
      <c r="B1279" s="684" t="s">
        <v>304</v>
      </c>
      <c r="C1279" s="654" t="s">
        <v>3459</v>
      </c>
      <c r="D1279" s="743" t="s">
        <v>3663</v>
      </c>
      <c r="E1279" s="684" t="s">
        <v>403</v>
      </c>
      <c r="F1279" s="334"/>
      <c r="G1279" s="657">
        <v>44777</v>
      </c>
      <c r="H1279" s="426">
        <v>1193880</v>
      </c>
      <c r="I1279" s="744"/>
      <c r="J1279" s="744"/>
      <c r="K1279" s="354">
        <f t="shared" si="227"/>
        <v>1193880</v>
      </c>
      <c r="L1279" s="657">
        <v>44777</v>
      </c>
      <c r="M1279" s="742">
        <v>86861</v>
      </c>
      <c r="N1279" s="352">
        <f t="shared" si="229"/>
        <v>1107019</v>
      </c>
      <c r="O1279" s="357">
        <f t="shared" si="226"/>
        <v>606</v>
      </c>
      <c r="P1279" s="410">
        <v>9</v>
      </c>
      <c r="Q1279" s="358">
        <f t="shared" si="231"/>
        <v>1.6602739726027398</v>
      </c>
      <c r="R1279" s="359">
        <f t="shared" si="232"/>
        <v>7.3397260273972602</v>
      </c>
      <c r="S1279" s="360">
        <f t="shared" si="233"/>
        <v>7.3397260273972602</v>
      </c>
      <c r="T1279" s="361">
        <f t="shared" si="234"/>
        <v>0.10555555555555554</v>
      </c>
      <c r="U1279" s="362">
        <f t="shared" si="235"/>
        <v>126020.66666666666</v>
      </c>
      <c r="V1279" s="362">
        <f t="shared" si="236"/>
        <v>980998.33333333337</v>
      </c>
      <c r="W1279" s="362">
        <f t="shared" si="237"/>
        <v>59694</v>
      </c>
      <c r="X1279" s="742">
        <f t="shared" si="228"/>
        <v>921304.33333333337</v>
      </c>
    </row>
    <row r="1280" spans="1:24" ht="13.9">
      <c r="A1280" s="349">
        <f t="shared" si="230"/>
        <v>1272</v>
      </c>
      <c r="B1280" s="684" t="s">
        <v>304</v>
      </c>
      <c r="C1280" s="654" t="s">
        <v>3459</v>
      </c>
      <c r="D1280" s="743" t="s">
        <v>3663</v>
      </c>
      <c r="E1280" s="684" t="s">
        <v>403</v>
      </c>
      <c r="F1280" s="334"/>
      <c r="G1280" s="657">
        <v>44780</v>
      </c>
      <c r="H1280" s="426">
        <v>1203880</v>
      </c>
      <c r="I1280" s="744"/>
      <c r="J1280" s="744"/>
      <c r="K1280" s="354">
        <f t="shared" si="227"/>
        <v>1203880</v>
      </c>
      <c r="L1280" s="657">
        <v>44780</v>
      </c>
      <c r="M1280" s="742">
        <v>86489</v>
      </c>
      <c r="N1280" s="352">
        <f t="shared" si="229"/>
        <v>1117391</v>
      </c>
      <c r="O1280" s="357">
        <f t="shared" si="226"/>
        <v>603</v>
      </c>
      <c r="P1280" s="410">
        <v>9</v>
      </c>
      <c r="Q1280" s="358">
        <f t="shared" si="231"/>
        <v>1.6520547945205479</v>
      </c>
      <c r="R1280" s="359">
        <f t="shared" si="232"/>
        <v>7.3479452054794523</v>
      </c>
      <c r="S1280" s="360">
        <f t="shared" si="233"/>
        <v>7.3479452054794523</v>
      </c>
      <c r="T1280" s="361">
        <f t="shared" si="234"/>
        <v>0.10555555555555554</v>
      </c>
      <c r="U1280" s="362">
        <f t="shared" si="235"/>
        <v>127076.2222222222</v>
      </c>
      <c r="V1280" s="362">
        <f t="shared" si="236"/>
        <v>990314.77777777775</v>
      </c>
      <c r="W1280" s="362">
        <f t="shared" si="237"/>
        <v>60194</v>
      </c>
      <c r="X1280" s="742">
        <f t="shared" si="228"/>
        <v>930120.77777777775</v>
      </c>
    </row>
    <row r="1281" spans="1:24" ht="13.9">
      <c r="A1281" s="349">
        <f t="shared" si="230"/>
        <v>1273</v>
      </c>
      <c r="B1281" s="684" t="s">
        <v>304</v>
      </c>
      <c r="C1281" s="654" t="s">
        <v>3459</v>
      </c>
      <c r="D1281" s="743" t="s">
        <v>3663</v>
      </c>
      <c r="E1281" s="684" t="s">
        <v>403</v>
      </c>
      <c r="F1281" s="334"/>
      <c r="G1281" s="657">
        <v>44817</v>
      </c>
      <c r="H1281" s="426">
        <v>1525380</v>
      </c>
      <c r="I1281" s="744"/>
      <c r="J1281" s="744"/>
      <c r="K1281" s="354">
        <f t="shared" si="227"/>
        <v>1525380</v>
      </c>
      <c r="L1281" s="657">
        <v>44817</v>
      </c>
      <c r="M1281" s="742">
        <v>92405</v>
      </c>
      <c r="N1281" s="352">
        <f t="shared" si="229"/>
        <v>1432975</v>
      </c>
      <c r="O1281" s="357">
        <f t="shared" si="226"/>
        <v>566</v>
      </c>
      <c r="P1281" s="410">
        <v>9</v>
      </c>
      <c r="Q1281" s="358">
        <f t="shared" si="231"/>
        <v>1.5506849315068494</v>
      </c>
      <c r="R1281" s="359">
        <f t="shared" si="232"/>
        <v>7.4493150684931511</v>
      </c>
      <c r="S1281" s="360">
        <f t="shared" si="233"/>
        <v>7.4493150684931511</v>
      </c>
      <c r="T1281" s="361">
        <f t="shared" si="234"/>
        <v>0.10555555555555554</v>
      </c>
      <c r="U1281" s="362">
        <f t="shared" si="235"/>
        <v>161012.33333333331</v>
      </c>
      <c r="V1281" s="362">
        <f t="shared" si="236"/>
        <v>1271962.6666666667</v>
      </c>
      <c r="W1281" s="362">
        <f t="shared" si="237"/>
        <v>76269</v>
      </c>
      <c r="X1281" s="742">
        <f t="shared" si="228"/>
        <v>1195693.6666666667</v>
      </c>
    </row>
    <row r="1282" spans="1:24" ht="13.9">
      <c r="A1282" s="349">
        <f t="shared" si="230"/>
        <v>1274</v>
      </c>
      <c r="B1282" s="684" t="s">
        <v>306</v>
      </c>
      <c r="C1282" s="654" t="s">
        <v>3459</v>
      </c>
      <c r="D1282" s="743" t="s">
        <v>3663</v>
      </c>
      <c r="E1282" s="684" t="s">
        <v>404</v>
      </c>
      <c r="F1282" s="334"/>
      <c r="G1282" s="657">
        <v>44826</v>
      </c>
      <c r="H1282" s="426">
        <v>6000000</v>
      </c>
      <c r="I1282" s="744"/>
      <c r="J1282" s="744"/>
      <c r="K1282" s="354">
        <f t="shared" si="227"/>
        <v>6000000</v>
      </c>
      <c r="L1282" s="657">
        <v>44826</v>
      </c>
      <c r="M1282" s="742">
        <v>347032</v>
      </c>
      <c r="N1282" s="352">
        <f t="shared" si="229"/>
        <v>5652968</v>
      </c>
      <c r="O1282" s="357">
        <f t="shared" si="226"/>
        <v>557</v>
      </c>
      <c r="P1282" s="410">
        <v>9</v>
      </c>
      <c r="Q1282" s="358">
        <f t="shared" si="231"/>
        <v>1.526027397260274</v>
      </c>
      <c r="R1282" s="359">
        <f t="shared" si="232"/>
        <v>7.4739726027397264</v>
      </c>
      <c r="S1282" s="360">
        <f t="shared" si="233"/>
        <v>7.4739726027397264</v>
      </c>
      <c r="T1282" s="361">
        <f t="shared" si="234"/>
        <v>0.10555555555555554</v>
      </c>
      <c r="U1282" s="362">
        <f t="shared" si="235"/>
        <v>633333.33333333326</v>
      </c>
      <c r="V1282" s="362">
        <f t="shared" si="236"/>
        <v>5019634.666666667</v>
      </c>
      <c r="W1282" s="362">
        <f t="shared" si="237"/>
        <v>300000</v>
      </c>
      <c r="X1282" s="742">
        <f t="shared" si="228"/>
        <v>4719634.666666667</v>
      </c>
    </row>
    <row r="1283" spans="1:24" ht="13.9">
      <c r="A1283" s="349">
        <f t="shared" si="230"/>
        <v>1275</v>
      </c>
      <c r="B1283" s="684" t="s">
        <v>304</v>
      </c>
      <c r="C1283" s="654" t="s">
        <v>3459</v>
      </c>
      <c r="D1283" s="743" t="s">
        <v>3663</v>
      </c>
      <c r="E1283" s="684" t="s">
        <v>403</v>
      </c>
      <c r="F1283" s="334"/>
      <c r="G1283" s="657">
        <v>44805</v>
      </c>
      <c r="H1283" s="426">
        <v>889379.99999999988</v>
      </c>
      <c r="I1283" s="744"/>
      <c r="J1283" s="744"/>
      <c r="K1283" s="354">
        <f t="shared" si="227"/>
        <v>889379.99999999988</v>
      </c>
      <c r="L1283" s="657">
        <v>44805</v>
      </c>
      <c r="M1283" s="742">
        <v>57126</v>
      </c>
      <c r="N1283" s="352">
        <f t="shared" si="229"/>
        <v>832253.99999999988</v>
      </c>
      <c r="O1283" s="357">
        <f t="shared" ref="O1283:O1346" si="238">+$O$3-L1283+1</f>
        <v>578</v>
      </c>
      <c r="P1283" s="410">
        <v>9</v>
      </c>
      <c r="Q1283" s="358">
        <f t="shared" si="231"/>
        <v>1.5835616438356164</v>
      </c>
      <c r="R1283" s="359">
        <f t="shared" si="232"/>
        <v>7.4164383561643836</v>
      </c>
      <c r="S1283" s="360">
        <f t="shared" si="233"/>
        <v>7.4164383561643836</v>
      </c>
      <c r="T1283" s="361">
        <f t="shared" si="234"/>
        <v>0.10555555555555554</v>
      </c>
      <c r="U1283" s="362">
        <f t="shared" si="235"/>
        <v>93878.999999999971</v>
      </c>
      <c r="V1283" s="362">
        <f t="shared" si="236"/>
        <v>738374.99999999988</v>
      </c>
      <c r="W1283" s="362">
        <f t="shared" si="237"/>
        <v>44469</v>
      </c>
      <c r="X1283" s="742">
        <f t="shared" si="228"/>
        <v>693905.99999999988</v>
      </c>
    </row>
    <row r="1284" spans="1:24" ht="13.9">
      <c r="A1284" s="349">
        <f t="shared" si="230"/>
        <v>1276</v>
      </c>
      <c r="B1284" s="684" t="s">
        <v>307</v>
      </c>
      <c r="C1284" s="654" t="s">
        <v>3459</v>
      </c>
      <c r="D1284" s="743" t="s">
        <v>3663</v>
      </c>
      <c r="E1284" s="684" t="s">
        <v>405</v>
      </c>
      <c r="F1284" s="334"/>
      <c r="G1284" s="657">
        <v>44748</v>
      </c>
      <c r="H1284" s="426">
        <v>4150000</v>
      </c>
      <c r="I1284" s="744"/>
      <c r="J1284" s="744"/>
      <c r="K1284" s="354">
        <f t="shared" ref="K1284:K1347" si="239">+H1284+I1284-J1284</f>
        <v>4150000</v>
      </c>
      <c r="L1284" s="657">
        <v>44748</v>
      </c>
      <c r="M1284" s="742">
        <v>338569</v>
      </c>
      <c r="N1284" s="352">
        <f t="shared" si="229"/>
        <v>3811431</v>
      </c>
      <c r="O1284" s="357">
        <f t="shared" si="238"/>
        <v>635</v>
      </c>
      <c r="P1284" s="410">
        <v>9</v>
      </c>
      <c r="Q1284" s="358">
        <f t="shared" si="231"/>
        <v>1.7397260273972603</v>
      </c>
      <c r="R1284" s="359">
        <f t="shared" si="232"/>
        <v>7.2602739726027394</v>
      </c>
      <c r="S1284" s="360">
        <f t="shared" si="233"/>
        <v>7.2602739726027394</v>
      </c>
      <c r="T1284" s="361">
        <f t="shared" si="234"/>
        <v>0.10555555555555554</v>
      </c>
      <c r="U1284" s="362">
        <f t="shared" si="235"/>
        <v>438055.5555555555</v>
      </c>
      <c r="V1284" s="362">
        <f t="shared" si="236"/>
        <v>3373375.4444444445</v>
      </c>
      <c r="W1284" s="362">
        <f t="shared" si="237"/>
        <v>207500</v>
      </c>
      <c r="X1284" s="742">
        <f t="shared" ref="X1284:X1347" si="240">+V1284-W1284</f>
        <v>3165875.4444444445</v>
      </c>
    </row>
    <row r="1285" spans="1:24" ht="13.9">
      <c r="A1285" s="349">
        <f t="shared" si="230"/>
        <v>1277</v>
      </c>
      <c r="B1285" s="684" t="s">
        <v>307</v>
      </c>
      <c r="C1285" s="654" t="s">
        <v>3459</v>
      </c>
      <c r="D1285" s="743" t="s">
        <v>3663</v>
      </c>
      <c r="E1285" s="684" t="s">
        <v>405</v>
      </c>
      <c r="F1285" s="334"/>
      <c r="G1285" s="657">
        <v>44748</v>
      </c>
      <c r="H1285" s="426">
        <v>4150000</v>
      </c>
      <c r="I1285" s="744"/>
      <c r="J1285" s="744"/>
      <c r="K1285" s="354">
        <f t="shared" si="239"/>
        <v>4150000</v>
      </c>
      <c r="L1285" s="657">
        <v>44748</v>
      </c>
      <c r="M1285" s="742">
        <v>338569</v>
      </c>
      <c r="N1285" s="352">
        <f t="shared" si="229"/>
        <v>3811431</v>
      </c>
      <c r="O1285" s="357">
        <f t="shared" si="238"/>
        <v>635</v>
      </c>
      <c r="P1285" s="410">
        <v>9</v>
      </c>
      <c r="Q1285" s="358">
        <f t="shared" si="231"/>
        <v>1.7397260273972603</v>
      </c>
      <c r="R1285" s="359">
        <f t="shared" si="232"/>
        <v>7.2602739726027394</v>
      </c>
      <c r="S1285" s="360">
        <f t="shared" si="233"/>
        <v>7.2602739726027394</v>
      </c>
      <c r="T1285" s="361">
        <f t="shared" si="234"/>
        <v>0.10555555555555554</v>
      </c>
      <c r="U1285" s="362">
        <f t="shared" si="235"/>
        <v>438055.5555555555</v>
      </c>
      <c r="V1285" s="362">
        <f t="shared" si="236"/>
        <v>3373375.4444444445</v>
      </c>
      <c r="W1285" s="362">
        <f t="shared" si="237"/>
        <v>207500</v>
      </c>
      <c r="X1285" s="742">
        <f t="shared" si="240"/>
        <v>3165875.4444444445</v>
      </c>
    </row>
    <row r="1286" spans="1:24" ht="13.9">
      <c r="A1286" s="349">
        <f t="shared" si="230"/>
        <v>1278</v>
      </c>
      <c r="B1286" s="684" t="s">
        <v>308</v>
      </c>
      <c r="C1286" s="654" t="s">
        <v>3459</v>
      </c>
      <c r="D1286" s="743" t="s">
        <v>3663</v>
      </c>
      <c r="E1286" s="684" t="s">
        <v>170</v>
      </c>
      <c r="F1286" s="334"/>
      <c r="G1286" s="657">
        <v>44811</v>
      </c>
      <c r="H1286" s="426">
        <v>5800000</v>
      </c>
      <c r="I1286" s="744"/>
      <c r="J1286" s="744"/>
      <c r="K1286" s="354">
        <f t="shared" si="239"/>
        <v>5800000</v>
      </c>
      <c r="L1286" s="657">
        <v>44811</v>
      </c>
      <c r="M1286" s="742">
        <v>361948</v>
      </c>
      <c r="N1286" s="352">
        <f t="shared" ref="N1286:N1349" si="241">+K1286-M1286</f>
        <v>5438052</v>
      </c>
      <c r="O1286" s="357">
        <f t="shared" si="238"/>
        <v>572</v>
      </c>
      <c r="P1286" s="410">
        <v>9</v>
      </c>
      <c r="Q1286" s="358">
        <f t="shared" si="231"/>
        <v>1.5671232876712329</v>
      </c>
      <c r="R1286" s="359">
        <f t="shared" si="232"/>
        <v>7.4328767123287669</v>
      </c>
      <c r="S1286" s="360">
        <f t="shared" si="233"/>
        <v>7.4328767123287669</v>
      </c>
      <c r="T1286" s="361">
        <f t="shared" si="234"/>
        <v>0.10555555555555554</v>
      </c>
      <c r="U1286" s="362">
        <f t="shared" si="235"/>
        <v>612222.22222222213</v>
      </c>
      <c r="V1286" s="362">
        <f t="shared" si="236"/>
        <v>4825829.777777778</v>
      </c>
      <c r="W1286" s="362">
        <f t="shared" si="237"/>
        <v>290000</v>
      </c>
      <c r="X1286" s="742">
        <f t="shared" si="240"/>
        <v>4535829.777777778</v>
      </c>
    </row>
    <row r="1287" spans="1:24" ht="13.9">
      <c r="A1287" s="349">
        <f t="shared" si="230"/>
        <v>1279</v>
      </c>
      <c r="B1287" s="684" t="s">
        <v>308</v>
      </c>
      <c r="C1287" s="654" t="s">
        <v>3459</v>
      </c>
      <c r="D1287" s="743" t="s">
        <v>3663</v>
      </c>
      <c r="E1287" s="684" t="s">
        <v>170</v>
      </c>
      <c r="F1287" s="334"/>
      <c r="G1287" s="657">
        <v>44811</v>
      </c>
      <c r="H1287" s="426">
        <v>5800000</v>
      </c>
      <c r="I1287" s="744"/>
      <c r="J1287" s="744"/>
      <c r="K1287" s="354">
        <f t="shared" si="239"/>
        <v>5800000</v>
      </c>
      <c r="L1287" s="657">
        <v>44811</v>
      </c>
      <c r="M1287" s="742">
        <v>361948</v>
      </c>
      <c r="N1287" s="352">
        <f t="shared" si="241"/>
        <v>5438052</v>
      </c>
      <c r="O1287" s="357">
        <f t="shared" si="238"/>
        <v>572</v>
      </c>
      <c r="P1287" s="410">
        <v>9</v>
      </c>
      <c r="Q1287" s="358">
        <f t="shared" si="231"/>
        <v>1.5671232876712329</v>
      </c>
      <c r="R1287" s="359">
        <f t="shared" si="232"/>
        <v>7.4328767123287669</v>
      </c>
      <c r="S1287" s="360">
        <f t="shared" si="233"/>
        <v>7.4328767123287669</v>
      </c>
      <c r="T1287" s="361">
        <f t="shared" si="234"/>
        <v>0.10555555555555554</v>
      </c>
      <c r="U1287" s="362">
        <f t="shared" si="235"/>
        <v>612222.22222222213</v>
      </c>
      <c r="V1287" s="362">
        <f t="shared" si="236"/>
        <v>4825829.777777778</v>
      </c>
      <c r="W1287" s="362">
        <f t="shared" si="237"/>
        <v>290000</v>
      </c>
      <c r="X1287" s="742">
        <f t="shared" si="240"/>
        <v>4535829.777777778</v>
      </c>
    </row>
    <row r="1288" spans="1:24" ht="13.9">
      <c r="A1288" s="349">
        <f t="shared" si="230"/>
        <v>1280</v>
      </c>
      <c r="B1288" s="684" t="s">
        <v>308</v>
      </c>
      <c r="C1288" s="654" t="s">
        <v>3459</v>
      </c>
      <c r="D1288" s="743" t="s">
        <v>3663</v>
      </c>
      <c r="E1288" s="684" t="s">
        <v>170</v>
      </c>
      <c r="F1288" s="334"/>
      <c r="G1288" s="657">
        <v>44818</v>
      </c>
      <c r="H1288" s="426">
        <v>5800000</v>
      </c>
      <c r="I1288" s="744"/>
      <c r="J1288" s="744"/>
      <c r="K1288" s="354">
        <f t="shared" si="239"/>
        <v>5800000</v>
      </c>
      <c r="L1288" s="657">
        <v>44818</v>
      </c>
      <c r="M1288" s="742">
        <v>349589</v>
      </c>
      <c r="N1288" s="352">
        <f t="shared" si="241"/>
        <v>5450411</v>
      </c>
      <c r="O1288" s="357">
        <f t="shared" si="238"/>
        <v>565</v>
      </c>
      <c r="P1288" s="410">
        <v>9</v>
      </c>
      <c r="Q1288" s="358">
        <f t="shared" si="231"/>
        <v>1.547945205479452</v>
      </c>
      <c r="R1288" s="359">
        <f t="shared" si="232"/>
        <v>7.4520547945205475</v>
      </c>
      <c r="S1288" s="360">
        <f t="shared" si="233"/>
        <v>7.4520547945205475</v>
      </c>
      <c r="T1288" s="361">
        <f t="shared" si="234"/>
        <v>0.10555555555555554</v>
      </c>
      <c r="U1288" s="362">
        <f t="shared" si="235"/>
        <v>612222.22222222213</v>
      </c>
      <c r="V1288" s="362">
        <f t="shared" si="236"/>
        <v>4838188.777777778</v>
      </c>
      <c r="W1288" s="362">
        <f t="shared" si="237"/>
        <v>290000</v>
      </c>
      <c r="X1288" s="742">
        <f t="shared" si="240"/>
        <v>4548188.777777778</v>
      </c>
    </row>
    <row r="1289" spans="1:24" ht="13.9">
      <c r="A1289" s="349">
        <f t="shared" ref="A1289:A1352" si="242">+A1288+1</f>
        <v>1281</v>
      </c>
      <c r="B1289" s="684" t="s">
        <v>309</v>
      </c>
      <c r="C1289" s="654" t="s">
        <v>3459</v>
      </c>
      <c r="D1289" s="743" t="s">
        <v>3663</v>
      </c>
      <c r="E1289" s="684" t="s">
        <v>406</v>
      </c>
      <c r="F1289" s="334"/>
      <c r="G1289" s="657">
        <v>44832</v>
      </c>
      <c r="H1289" s="426">
        <v>1865430</v>
      </c>
      <c r="I1289" s="744"/>
      <c r="J1289" s="744"/>
      <c r="K1289" s="354">
        <f t="shared" si="239"/>
        <v>1865430</v>
      </c>
      <c r="L1289" s="657">
        <v>44832</v>
      </c>
      <c r="M1289" s="742">
        <v>104487</v>
      </c>
      <c r="N1289" s="352">
        <f t="shared" si="241"/>
        <v>1760943</v>
      </c>
      <c r="O1289" s="357">
        <f t="shared" si="238"/>
        <v>551</v>
      </c>
      <c r="P1289" s="410">
        <v>9</v>
      </c>
      <c r="Q1289" s="358">
        <f t="shared" si="231"/>
        <v>1.5095890410958903</v>
      </c>
      <c r="R1289" s="359">
        <f t="shared" si="232"/>
        <v>7.4904109589041097</v>
      </c>
      <c r="S1289" s="360">
        <f t="shared" si="233"/>
        <v>7.4904109589041097</v>
      </c>
      <c r="T1289" s="361">
        <f t="shared" si="234"/>
        <v>0.10555555555555554</v>
      </c>
      <c r="U1289" s="362">
        <f t="shared" si="235"/>
        <v>196906.49999999997</v>
      </c>
      <c r="V1289" s="362">
        <f t="shared" si="236"/>
        <v>1564036.5</v>
      </c>
      <c r="W1289" s="362">
        <f t="shared" si="237"/>
        <v>93272</v>
      </c>
      <c r="X1289" s="742">
        <f t="shared" si="240"/>
        <v>1470764.5</v>
      </c>
    </row>
    <row r="1290" spans="1:24" ht="13.9">
      <c r="A1290" s="349">
        <f t="shared" si="242"/>
        <v>1282</v>
      </c>
      <c r="B1290" s="684" t="s">
        <v>62</v>
      </c>
      <c r="C1290" s="654" t="s">
        <v>3459</v>
      </c>
      <c r="D1290" s="743" t="s">
        <v>3663</v>
      </c>
      <c r="E1290" s="684" t="s">
        <v>407</v>
      </c>
      <c r="F1290" s="334"/>
      <c r="G1290" s="657">
        <v>44827</v>
      </c>
      <c r="H1290" s="426">
        <v>2794650</v>
      </c>
      <c r="I1290" s="744"/>
      <c r="J1290" s="744"/>
      <c r="K1290" s="354">
        <f t="shared" si="239"/>
        <v>2794650</v>
      </c>
      <c r="L1290" s="657">
        <v>44827</v>
      </c>
      <c r="M1290" s="742">
        <v>160788</v>
      </c>
      <c r="N1290" s="352">
        <f t="shared" si="241"/>
        <v>2633862</v>
      </c>
      <c r="O1290" s="357">
        <f t="shared" si="238"/>
        <v>556</v>
      </c>
      <c r="P1290" s="410">
        <v>9</v>
      </c>
      <c r="Q1290" s="358">
        <f t="shared" si="231"/>
        <v>1.5232876712328767</v>
      </c>
      <c r="R1290" s="359">
        <f t="shared" si="232"/>
        <v>7.4767123287671229</v>
      </c>
      <c r="S1290" s="360">
        <f t="shared" si="233"/>
        <v>7.4767123287671229</v>
      </c>
      <c r="T1290" s="361">
        <f t="shared" si="234"/>
        <v>0.10555555555555554</v>
      </c>
      <c r="U1290" s="362">
        <f t="shared" si="235"/>
        <v>294990.83333333331</v>
      </c>
      <c r="V1290" s="362">
        <f t="shared" si="236"/>
        <v>2338871.1666666665</v>
      </c>
      <c r="W1290" s="362">
        <f t="shared" si="237"/>
        <v>139733</v>
      </c>
      <c r="X1290" s="742">
        <f t="shared" si="240"/>
        <v>2199138.1666666665</v>
      </c>
    </row>
    <row r="1291" spans="1:24" ht="13.9">
      <c r="A1291" s="349">
        <f t="shared" si="242"/>
        <v>1283</v>
      </c>
      <c r="B1291" s="684" t="s">
        <v>62</v>
      </c>
      <c r="C1291" s="654" t="s">
        <v>3459</v>
      </c>
      <c r="D1291" s="743" t="s">
        <v>3663</v>
      </c>
      <c r="E1291" s="684" t="s">
        <v>407</v>
      </c>
      <c r="F1291" s="334"/>
      <c r="G1291" s="657">
        <v>44827</v>
      </c>
      <c r="H1291" s="426">
        <v>2794650</v>
      </c>
      <c r="I1291" s="744"/>
      <c r="J1291" s="744"/>
      <c r="K1291" s="354">
        <f t="shared" si="239"/>
        <v>2794650</v>
      </c>
      <c r="L1291" s="657">
        <v>44827</v>
      </c>
      <c r="M1291" s="742">
        <v>160788</v>
      </c>
      <c r="N1291" s="352">
        <f t="shared" si="241"/>
        <v>2633862</v>
      </c>
      <c r="O1291" s="357">
        <f t="shared" si="238"/>
        <v>556</v>
      </c>
      <c r="P1291" s="410">
        <v>9</v>
      </c>
      <c r="Q1291" s="358">
        <f t="shared" si="231"/>
        <v>1.5232876712328767</v>
      </c>
      <c r="R1291" s="359">
        <f t="shared" si="232"/>
        <v>7.4767123287671229</v>
      </c>
      <c r="S1291" s="360">
        <f t="shared" si="233"/>
        <v>7.4767123287671229</v>
      </c>
      <c r="T1291" s="361">
        <f t="shared" si="234"/>
        <v>0.10555555555555554</v>
      </c>
      <c r="U1291" s="362">
        <f t="shared" si="235"/>
        <v>294990.83333333331</v>
      </c>
      <c r="V1291" s="362">
        <f t="shared" si="236"/>
        <v>2338871.1666666665</v>
      </c>
      <c r="W1291" s="362">
        <f t="shared" si="237"/>
        <v>139733</v>
      </c>
      <c r="X1291" s="742">
        <f t="shared" si="240"/>
        <v>2199138.1666666665</v>
      </c>
    </row>
    <row r="1292" spans="1:24" ht="13.9">
      <c r="A1292" s="349">
        <f t="shared" si="242"/>
        <v>1284</v>
      </c>
      <c r="B1292" s="684" t="s">
        <v>62</v>
      </c>
      <c r="C1292" s="654" t="s">
        <v>3459</v>
      </c>
      <c r="D1292" s="743" t="s">
        <v>3663</v>
      </c>
      <c r="E1292" s="684" t="s">
        <v>407</v>
      </c>
      <c r="F1292" s="334"/>
      <c r="G1292" s="657">
        <v>44827</v>
      </c>
      <c r="H1292" s="426">
        <v>2794650</v>
      </c>
      <c r="I1292" s="744"/>
      <c r="J1292" s="744"/>
      <c r="K1292" s="354">
        <f t="shared" si="239"/>
        <v>2794650</v>
      </c>
      <c r="L1292" s="657">
        <v>44827</v>
      </c>
      <c r="M1292" s="742">
        <v>160788</v>
      </c>
      <c r="N1292" s="352">
        <f t="shared" si="241"/>
        <v>2633862</v>
      </c>
      <c r="O1292" s="357">
        <f t="shared" si="238"/>
        <v>556</v>
      </c>
      <c r="P1292" s="410">
        <v>9</v>
      </c>
      <c r="Q1292" s="358">
        <f t="shared" si="231"/>
        <v>1.5232876712328767</v>
      </c>
      <c r="R1292" s="359">
        <f t="shared" si="232"/>
        <v>7.4767123287671229</v>
      </c>
      <c r="S1292" s="360">
        <f t="shared" si="233"/>
        <v>7.4767123287671229</v>
      </c>
      <c r="T1292" s="361">
        <f t="shared" si="234"/>
        <v>0.10555555555555554</v>
      </c>
      <c r="U1292" s="362">
        <f t="shared" si="235"/>
        <v>294990.83333333331</v>
      </c>
      <c r="V1292" s="362">
        <f t="shared" si="236"/>
        <v>2338871.1666666665</v>
      </c>
      <c r="W1292" s="362">
        <f t="shared" si="237"/>
        <v>139733</v>
      </c>
      <c r="X1292" s="742">
        <f t="shared" si="240"/>
        <v>2199138.1666666665</v>
      </c>
    </row>
    <row r="1293" spans="1:24" ht="13.9">
      <c r="A1293" s="349">
        <f t="shared" si="242"/>
        <v>1285</v>
      </c>
      <c r="B1293" s="684" t="s">
        <v>62</v>
      </c>
      <c r="C1293" s="654" t="s">
        <v>3459</v>
      </c>
      <c r="D1293" s="743" t="s">
        <v>3663</v>
      </c>
      <c r="E1293" s="684" t="s">
        <v>407</v>
      </c>
      <c r="F1293" s="334"/>
      <c r="G1293" s="657">
        <v>44827</v>
      </c>
      <c r="H1293" s="426">
        <v>2794650</v>
      </c>
      <c r="I1293" s="744"/>
      <c r="J1293" s="744"/>
      <c r="K1293" s="354">
        <f t="shared" si="239"/>
        <v>2794650</v>
      </c>
      <c r="L1293" s="657">
        <v>44827</v>
      </c>
      <c r="M1293" s="742">
        <v>160788</v>
      </c>
      <c r="N1293" s="352">
        <f t="shared" si="241"/>
        <v>2633862</v>
      </c>
      <c r="O1293" s="357">
        <f t="shared" si="238"/>
        <v>556</v>
      </c>
      <c r="P1293" s="410">
        <v>9</v>
      </c>
      <c r="Q1293" s="358">
        <f t="shared" si="231"/>
        <v>1.5232876712328767</v>
      </c>
      <c r="R1293" s="359">
        <f t="shared" si="232"/>
        <v>7.4767123287671229</v>
      </c>
      <c r="S1293" s="360">
        <f t="shared" si="233"/>
        <v>7.4767123287671229</v>
      </c>
      <c r="T1293" s="361">
        <f t="shared" si="234"/>
        <v>0.10555555555555554</v>
      </c>
      <c r="U1293" s="362">
        <f t="shared" si="235"/>
        <v>294990.83333333331</v>
      </c>
      <c r="V1293" s="362">
        <f t="shared" si="236"/>
        <v>2338871.1666666665</v>
      </c>
      <c r="W1293" s="362">
        <f t="shared" si="237"/>
        <v>139733</v>
      </c>
      <c r="X1293" s="742">
        <f t="shared" si="240"/>
        <v>2199138.1666666665</v>
      </c>
    </row>
    <row r="1294" spans="1:24" ht="13.9">
      <c r="A1294" s="349">
        <f t="shared" si="242"/>
        <v>1286</v>
      </c>
      <c r="B1294" s="684" t="s">
        <v>62</v>
      </c>
      <c r="C1294" s="654" t="s">
        <v>3459</v>
      </c>
      <c r="D1294" s="743" t="s">
        <v>3663</v>
      </c>
      <c r="E1294" s="684" t="s">
        <v>407</v>
      </c>
      <c r="F1294" s="334"/>
      <c r="G1294" s="657">
        <v>44827</v>
      </c>
      <c r="H1294" s="426">
        <v>2794650</v>
      </c>
      <c r="I1294" s="744"/>
      <c r="J1294" s="744"/>
      <c r="K1294" s="354">
        <f t="shared" si="239"/>
        <v>2794650</v>
      </c>
      <c r="L1294" s="657">
        <v>44827</v>
      </c>
      <c r="M1294" s="742">
        <v>160788</v>
      </c>
      <c r="N1294" s="352">
        <f t="shared" si="241"/>
        <v>2633862</v>
      </c>
      <c r="O1294" s="357">
        <f t="shared" si="238"/>
        <v>556</v>
      </c>
      <c r="P1294" s="410">
        <v>9</v>
      </c>
      <c r="Q1294" s="358">
        <f t="shared" ref="Q1294:Q1357" si="243">+O1294/365</f>
        <v>1.5232876712328767</v>
      </c>
      <c r="R1294" s="359">
        <f t="shared" ref="R1294:R1357" si="244">+P1294-Q1294</f>
        <v>7.4767123287671229</v>
      </c>
      <c r="S1294" s="360">
        <f t="shared" ref="S1294:S1357" si="245">IF(R1294&lt;0,0,IF(R1294&gt;365,365,R1294))</f>
        <v>7.4767123287671229</v>
      </c>
      <c r="T1294" s="361">
        <f t="shared" ref="T1294:T1357" si="246">1/P1294*0.95</f>
        <v>0.10555555555555554</v>
      </c>
      <c r="U1294" s="362">
        <f t="shared" ref="U1294:U1357" si="247">+K1294*T1294</f>
        <v>294990.83333333331</v>
      </c>
      <c r="V1294" s="362">
        <f t="shared" ref="V1294:V1357" si="248">+N1294-U1294</f>
        <v>2338871.1666666665</v>
      </c>
      <c r="W1294" s="362">
        <f t="shared" ref="W1294:W1357" si="249">ROUND(+H1294*5%,0)</f>
        <v>139733</v>
      </c>
      <c r="X1294" s="742">
        <f t="shared" si="240"/>
        <v>2199138.1666666665</v>
      </c>
    </row>
    <row r="1295" spans="1:24" ht="13.9">
      <c r="A1295" s="349">
        <f t="shared" si="242"/>
        <v>1287</v>
      </c>
      <c r="B1295" s="684" t="s">
        <v>62</v>
      </c>
      <c r="C1295" s="654" t="s">
        <v>3459</v>
      </c>
      <c r="D1295" s="743" t="s">
        <v>3663</v>
      </c>
      <c r="E1295" s="684" t="s">
        <v>407</v>
      </c>
      <c r="F1295" s="334"/>
      <c r="G1295" s="657">
        <v>44827</v>
      </c>
      <c r="H1295" s="426">
        <v>2794650</v>
      </c>
      <c r="I1295" s="744"/>
      <c r="J1295" s="744"/>
      <c r="K1295" s="354">
        <f t="shared" si="239"/>
        <v>2794650</v>
      </c>
      <c r="L1295" s="657">
        <v>44827</v>
      </c>
      <c r="M1295" s="742">
        <v>160788</v>
      </c>
      <c r="N1295" s="352">
        <f t="shared" si="241"/>
        <v>2633862</v>
      </c>
      <c r="O1295" s="357">
        <f t="shared" si="238"/>
        <v>556</v>
      </c>
      <c r="P1295" s="410">
        <v>9</v>
      </c>
      <c r="Q1295" s="358">
        <f t="shared" si="243"/>
        <v>1.5232876712328767</v>
      </c>
      <c r="R1295" s="359">
        <f t="shared" si="244"/>
        <v>7.4767123287671229</v>
      </c>
      <c r="S1295" s="360">
        <f t="shared" si="245"/>
        <v>7.4767123287671229</v>
      </c>
      <c r="T1295" s="361">
        <f t="shared" si="246"/>
        <v>0.10555555555555554</v>
      </c>
      <c r="U1295" s="362">
        <f t="shared" si="247"/>
        <v>294990.83333333331</v>
      </c>
      <c r="V1295" s="362">
        <f t="shared" si="248"/>
        <v>2338871.1666666665</v>
      </c>
      <c r="W1295" s="362">
        <f t="shared" si="249"/>
        <v>139733</v>
      </c>
      <c r="X1295" s="742">
        <f t="shared" si="240"/>
        <v>2199138.1666666665</v>
      </c>
    </row>
    <row r="1296" spans="1:24" ht="13.9">
      <c r="A1296" s="349">
        <f t="shared" si="242"/>
        <v>1288</v>
      </c>
      <c r="B1296" s="684" t="s">
        <v>62</v>
      </c>
      <c r="C1296" s="654" t="s">
        <v>3459</v>
      </c>
      <c r="D1296" s="743" t="s">
        <v>3663</v>
      </c>
      <c r="E1296" s="684" t="s">
        <v>407</v>
      </c>
      <c r="F1296" s="334"/>
      <c r="G1296" s="657">
        <v>44827</v>
      </c>
      <c r="H1296" s="426">
        <v>2794650</v>
      </c>
      <c r="I1296" s="744"/>
      <c r="J1296" s="744"/>
      <c r="K1296" s="354">
        <f t="shared" si="239"/>
        <v>2794650</v>
      </c>
      <c r="L1296" s="657">
        <v>44827</v>
      </c>
      <c r="M1296" s="742">
        <v>160788</v>
      </c>
      <c r="N1296" s="352">
        <f t="shared" si="241"/>
        <v>2633862</v>
      </c>
      <c r="O1296" s="357">
        <f t="shared" si="238"/>
        <v>556</v>
      </c>
      <c r="P1296" s="410">
        <v>9</v>
      </c>
      <c r="Q1296" s="358">
        <f t="shared" si="243"/>
        <v>1.5232876712328767</v>
      </c>
      <c r="R1296" s="359">
        <f t="shared" si="244"/>
        <v>7.4767123287671229</v>
      </c>
      <c r="S1296" s="360">
        <f t="shared" si="245"/>
        <v>7.4767123287671229</v>
      </c>
      <c r="T1296" s="361">
        <f t="shared" si="246"/>
        <v>0.10555555555555554</v>
      </c>
      <c r="U1296" s="362">
        <f t="shared" si="247"/>
        <v>294990.83333333331</v>
      </c>
      <c r="V1296" s="362">
        <f t="shared" si="248"/>
        <v>2338871.1666666665</v>
      </c>
      <c r="W1296" s="362">
        <f t="shared" si="249"/>
        <v>139733</v>
      </c>
      <c r="X1296" s="742">
        <f t="shared" si="240"/>
        <v>2199138.1666666665</v>
      </c>
    </row>
    <row r="1297" spans="1:24" ht="13.9">
      <c r="A1297" s="349">
        <f t="shared" si="242"/>
        <v>1289</v>
      </c>
      <c r="B1297" s="684" t="s">
        <v>310</v>
      </c>
      <c r="C1297" s="654" t="s">
        <v>3459</v>
      </c>
      <c r="D1297" s="743" t="s">
        <v>3663</v>
      </c>
      <c r="E1297" s="684" t="s">
        <v>408</v>
      </c>
      <c r="F1297" s="334"/>
      <c r="G1297" s="657">
        <v>44803</v>
      </c>
      <c r="H1297" s="426">
        <v>870000</v>
      </c>
      <c r="I1297" s="744"/>
      <c r="J1297" s="744"/>
      <c r="K1297" s="354">
        <f t="shared" si="239"/>
        <v>870000</v>
      </c>
      <c r="L1297" s="657">
        <v>44803</v>
      </c>
      <c r="M1297" s="742">
        <v>56411</v>
      </c>
      <c r="N1297" s="352">
        <f t="shared" si="241"/>
        <v>813589</v>
      </c>
      <c r="O1297" s="357">
        <f t="shared" si="238"/>
        <v>580</v>
      </c>
      <c r="P1297" s="410">
        <v>9</v>
      </c>
      <c r="Q1297" s="358">
        <f t="shared" si="243"/>
        <v>1.5890410958904109</v>
      </c>
      <c r="R1297" s="359">
        <f t="shared" si="244"/>
        <v>7.4109589041095889</v>
      </c>
      <c r="S1297" s="360">
        <f t="shared" si="245"/>
        <v>7.4109589041095889</v>
      </c>
      <c r="T1297" s="361">
        <f t="shared" si="246"/>
        <v>0.10555555555555554</v>
      </c>
      <c r="U1297" s="362">
        <f t="shared" si="247"/>
        <v>91833.333333333314</v>
      </c>
      <c r="V1297" s="362">
        <f t="shared" si="248"/>
        <v>721755.66666666674</v>
      </c>
      <c r="W1297" s="362">
        <f t="shared" si="249"/>
        <v>43500</v>
      </c>
      <c r="X1297" s="742">
        <f t="shared" si="240"/>
        <v>678255.66666666674</v>
      </c>
    </row>
    <row r="1298" spans="1:24" ht="13.9">
      <c r="A1298" s="349">
        <f t="shared" si="242"/>
        <v>1290</v>
      </c>
      <c r="B1298" s="654" t="s">
        <v>562</v>
      </c>
      <c r="C1298" s="654" t="s">
        <v>3459</v>
      </c>
      <c r="D1298" s="743" t="s">
        <v>3663</v>
      </c>
      <c r="E1298" s="654" t="s">
        <v>759</v>
      </c>
      <c r="F1298" s="334"/>
      <c r="G1298" s="657">
        <v>44900</v>
      </c>
      <c r="H1298" s="426">
        <v>9774860</v>
      </c>
      <c r="I1298" s="744"/>
      <c r="J1298" s="744"/>
      <c r="K1298" s="354">
        <f t="shared" si="239"/>
        <v>9774860</v>
      </c>
      <c r="L1298" s="657">
        <v>44900</v>
      </c>
      <c r="M1298" s="742">
        <v>345170</v>
      </c>
      <c r="N1298" s="352">
        <f t="shared" si="241"/>
        <v>9429690</v>
      </c>
      <c r="O1298" s="357">
        <f t="shared" si="238"/>
        <v>483</v>
      </c>
      <c r="P1298" s="410">
        <v>9</v>
      </c>
      <c r="Q1298" s="358">
        <f t="shared" si="243"/>
        <v>1.3232876712328767</v>
      </c>
      <c r="R1298" s="359">
        <f t="shared" si="244"/>
        <v>7.6767123287671231</v>
      </c>
      <c r="S1298" s="360">
        <f t="shared" si="245"/>
        <v>7.6767123287671231</v>
      </c>
      <c r="T1298" s="361">
        <f t="shared" si="246"/>
        <v>0.10555555555555554</v>
      </c>
      <c r="U1298" s="362">
        <f t="shared" si="247"/>
        <v>1031790.7777777776</v>
      </c>
      <c r="V1298" s="362">
        <f t="shared" si="248"/>
        <v>8397899.222222222</v>
      </c>
      <c r="W1298" s="362">
        <f t="shared" si="249"/>
        <v>488743</v>
      </c>
      <c r="X1298" s="742">
        <f t="shared" si="240"/>
        <v>7909156.222222222</v>
      </c>
    </row>
    <row r="1299" spans="1:24" ht="13.9">
      <c r="A1299" s="349">
        <f t="shared" si="242"/>
        <v>1291</v>
      </c>
      <c r="B1299" s="654" t="s">
        <v>562</v>
      </c>
      <c r="C1299" s="654" t="s">
        <v>3459</v>
      </c>
      <c r="D1299" s="743" t="s">
        <v>3663</v>
      </c>
      <c r="E1299" s="654" t="s">
        <v>759</v>
      </c>
      <c r="F1299" s="334"/>
      <c r="G1299" s="657">
        <v>44900</v>
      </c>
      <c r="H1299" s="426">
        <v>9774860</v>
      </c>
      <c r="I1299" s="744"/>
      <c r="J1299" s="744"/>
      <c r="K1299" s="354">
        <f t="shared" si="239"/>
        <v>9774860</v>
      </c>
      <c r="L1299" s="657">
        <v>44900</v>
      </c>
      <c r="M1299" s="742">
        <v>345170</v>
      </c>
      <c r="N1299" s="352">
        <f t="shared" si="241"/>
        <v>9429690</v>
      </c>
      <c r="O1299" s="357">
        <f t="shared" si="238"/>
        <v>483</v>
      </c>
      <c r="P1299" s="410">
        <v>9</v>
      </c>
      <c r="Q1299" s="358">
        <f t="shared" si="243"/>
        <v>1.3232876712328767</v>
      </c>
      <c r="R1299" s="359">
        <f t="shared" si="244"/>
        <v>7.6767123287671231</v>
      </c>
      <c r="S1299" s="360">
        <f t="shared" si="245"/>
        <v>7.6767123287671231</v>
      </c>
      <c r="T1299" s="361">
        <f t="shared" si="246"/>
        <v>0.10555555555555554</v>
      </c>
      <c r="U1299" s="362">
        <f t="shared" si="247"/>
        <v>1031790.7777777776</v>
      </c>
      <c r="V1299" s="362">
        <f t="shared" si="248"/>
        <v>8397899.222222222</v>
      </c>
      <c r="W1299" s="362">
        <f t="shared" si="249"/>
        <v>488743</v>
      </c>
      <c r="X1299" s="742">
        <f t="shared" si="240"/>
        <v>7909156.222222222</v>
      </c>
    </row>
    <row r="1300" spans="1:24" ht="13.9">
      <c r="A1300" s="349">
        <f t="shared" si="242"/>
        <v>1292</v>
      </c>
      <c r="B1300" s="654" t="s">
        <v>563</v>
      </c>
      <c r="C1300" s="654" t="s">
        <v>3459</v>
      </c>
      <c r="D1300" s="743" t="s">
        <v>3663</v>
      </c>
      <c r="E1300" s="654" t="s">
        <v>407</v>
      </c>
      <c r="F1300" s="334"/>
      <c r="G1300" s="657">
        <v>44895</v>
      </c>
      <c r="H1300" s="426">
        <v>2094170</v>
      </c>
      <c r="I1300" s="744"/>
      <c r="J1300" s="744"/>
      <c r="K1300" s="354">
        <f t="shared" si="239"/>
        <v>2094170</v>
      </c>
      <c r="L1300" s="657">
        <v>44895</v>
      </c>
      <c r="M1300" s="742">
        <v>77137</v>
      </c>
      <c r="N1300" s="352">
        <f t="shared" si="241"/>
        <v>2017033</v>
      </c>
      <c r="O1300" s="357">
        <f t="shared" si="238"/>
        <v>488</v>
      </c>
      <c r="P1300" s="410">
        <v>9</v>
      </c>
      <c r="Q1300" s="358">
        <f t="shared" si="243"/>
        <v>1.3369863013698631</v>
      </c>
      <c r="R1300" s="359">
        <f t="shared" si="244"/>
        <v>7.6630136986301371</v>
      </c>
      <c r="S1300" s="360">
        <f t="shared" si="245"/>
        <v>7.6630136986301371</v>
      </c>
      <c r="T1300" s="361">
        <f t="shared" si="246"/>
        <v>0.10555555555555554</v>
      </c>
      <c r="U1300" s="362">
        <f t="shared" si="247"/>
        <v>221051.27777777775</v>
      </c>
      <c r="V1300" s="362">
        <f t="shared" si="248"/>
        <v>1795981.7222222222</v>
      </c>
      <c r="W1300" s="362">
        <f t="shared" si="249"/>
        <v>104709</v>
      </c>
      <c r="X1300" s="742">
        <f t="shared" si="240"/>
        <v>1691272.7222222222</v>
      </c>
    </row>
    <row r="1301" spans="1:24" ht="13.9">
      <c r="A1301" s="349">
        <f t="shared" si="242"/>
        <v>1293</v>
      </c>
      <c r="B1301" s="654" t="s">
        <v>563</v>
      </c>
      <c r="C1301" s="654" t="s">
        <v>3459</v>
      </c>
      <c r="D1301" s="743" t="s">
        <v>3663</v>
      </c>
      <c r="E1301" s="654" t="s">
        <v>407</v>
      </c>
      <c r="F1301" s="334"/>
      <c r="G1301" s="657">
        <v>44895</v>
      </c>
      <c r="H1301" s="426">
        <v>2094170</v>
      </c>
      <c r="I1301" s="744"/>
      <c r="J1301" s="744"/>
      <c r="K1301" s="354">
        <f t="shared" si="239"/>
        <v>2094170</v>
      </c>
      <c r="L1301" s="657">
        <v>44895</v>
      </c>
      <c r="M1301" s="742">
        <v>77137</v>
      </c>
      <c r="N1301" s="352">
        <f t="shared" si="241"/>
        <v>2017033</v>
      </c>
      <c r="O1301" s="357">
        <f t="shared" si="238"/>
        <v>488</v>
      </c>
      <c r="P1301" s="410">
        <v>9</v>
      </c>
      <c r="Q1301" s="358">
        <f t="shared" si="243"/>
        <v>1.3369863013698631</v>
      </c>
      <c r="R1301" s="359">
        <f t="shared" si="244"/>
        <v>7.6630136986301371</v>
      </c>
      <c r="S1301" s="360">
        <f t="shared" si="245"/>
        <v>7.6630136986301371</v>
      </c>
      <c r="T1301" s="361">
        <f t="shared" si="246"/>
        <v>0.10555555555555554</v>
      </c>
      <c r="U1301" s="362">
        <f t="shared" si="247"/>
        <v>221051.27777777775</v>
      </c>
      <c r="V1301" s="362">
        <f t="shared" si="248"/>
        <v>1795981.7222222222</v>
      </c>
      <c r="W1301" s="362">
        <f t="shared" si="249"/>
        <v>104709</v>
      </c>
      <c r="X1301" s="742">
        <f t="shared" si="240"/>
        <v>1691272.7222222222</v>
      </c>
    </row>
    <row r="1302" spans="1:24" ht="13.9">
      <c r="A1302" s="349">
        <f t="shared" si="242"/>
        <v>1294</v>
      </c>
      <c r="B1302" s="654" t="s">
        <v>563</v>
      </c>
      <c r="C1302" s="654" t="s">
        <v>3459</v>
      </c>
      <c r="D1302" s="743" t="s">
        <v>3663</v>
      </c>
      <c r="E1302" s="654" t="s">
        <v>407</v>
      </c>
      <c r="F1302" s="334"/>
      <c r="G1302" s="657">
        <v>44895</v>
      </c>
      <c r="H1302" s="426">
        <v>2094170</v>
      </c>
      <c r="I1302" s="744"/>
      <c r="J1302" s="744"/>
      <c r="K1302" s="354">
        <f t="shared" si="239"/>
        <v>2094170</v>
      </c>
      <c r="L1302" s="657">
        <v>44895</v>
      </c>
      <c r="M1302" s="742">
        <v>77137</v>
      </c>
      <c r="N1302" s="352">
        <f t="shared" si="241"/>
        <v>2017033</v>
      </c>
      <c r="O1302" s="357">
        <f t="shared" si="238"/>
        <v>488</v>
      </c>
      <c r="P1302" s="410">
        <v>9</v>
      </c>
      <c r="Q1302" s="358">
        <f t="shared" si="243"/>
        <v>1.3369863013698631</v>
      </c>
      <c r="R1302" s="359">
        <f t="shared" si="244"/>
        <v>7.6630136986301371</v>
      </c>
      <c r="S1302" s="360">
        <f t="shared" si="245"/>
        <v>7.6630136986301371</v>
      </c>
      <c r="T1302" s="361">
        <f t="shared" si="246"/>
        <v>0.10555555555555554</v>
      </c>
      <c r="U1302" s="362">
        <f t="shared" si="247"/>
        <v>221051.27777777775</v>
      </c>
      <c r="V1302" s="362">
        <f t="shared" si="248"/>
        <v>1795981.7222222222</v>
      </c>
      <c r="W1302" s="362">
        <f t="shared" si="249"/>
        <v>104709</v>
      </c>
      <c r="X1302" s="742">
        <f t="shared" si="240"/>
        <v>1691272.7222222222</v>
      </c>
    </row>
    <row r="1303" spans="1:24" ht="13.9">
      <c r="A1303" s="349">
        <f t="shared" si="242"/>
        <v>1295</v>
      </c>
      <c r="B1303" s="654" t="s">
        <v>563</v>
      </c>
      <c r="C1303" s="654" t="s">
        <v>3459</v>
      </c>
      <c r="D1303" s="743" t="s">
        <v>3663</v>
      </c>
      <c r="E1303" s="654" t="s">
        <v>407</v>
      </c>
      <c r="F1303" s="334"/>
      <c r="G1303" s="657">
        <v>44895</v>
      </c>
      <c r="H1303" s="426">
        <v>2094170</v>
      </c>
      <c r="I1303" s="744"/>
      <c r="J1303" s="744"/>
      <c r="K1303" s="354">
        <f t="shared" si="239"/>
        <v>2094170</v>
      </c>
      <c r="L1303" s="657">
        <v>44895</v>
      </c>
      <c r="M1303" s="742">
        <v>77137</v>
      </c>
      <c r="N1303" s="352">
        <f t="shared" si="241"/>
        <v>2017033</v>
      </c>
      <c r="O1303" s="357">
        <f t="shared" si="238"/>
        <v>488</v>
      </c>
      <c r="P1303" s="410">
        <v>9</v>
      </c>
      <c r="Q1303" s="358">
        <f t="shared" si="243"/>
        <v>1.3369863013698631</v>
      </c>
      <c r="R1303" s="359">
        <f t="shared" si="244"/>
        <v>7.6630136986301371</v>
      </c>
      <c r="S1303" s="360">
        <f t="shared" si="245"/>
        <v>7.6630136986301371</v>
      </c>
      <c r="T1303" s="361">
        <f t="shared" si="246"/>
        <v>0.10555555555555554</v>
      </c>
      <c r="U1303" s="362">
        <f t="shared" si="247"/>
        <v>221051.27777777775</v>
      </c>
      <c r="V1303" s="362">
        <f t="shared" si="248"/>
        <v>1795981.7222222222</v>
      </c>
      <c r="W1303" s="362">
        <f t="shared" si="249"/>
        <v>104709</v>
      </c>
      <c r="X1303" s="742">
        <f t="shared" si="240"/>
        <v>1691272.7222222222</v>
      </c>
    </row>
    <row r="1304" spans="1:24" ht="13.9">
      <c r="A1304" s="349">
        <f t="shared" si="242"/>
        <v>1296</v>
      </c>
      <c r="B1304" s="654" t="s">
        <v>564</v>
      </c>
      <c r="C1304" s="654" t="s">
        <v>3459</v>
      </c>
      <c r="D1304" s="743" t="s">
        <v>3663</v>
      </c>
      <c r="E1304" s="654" t="s">
        <v>180</v>
      </c>
      <c r="F1304" s="334"/>
      <c r="G1304" s="657">
        <v>44841</v>
      </c>
      <c r="H1304" s="426">
        <v>419492</v>
      </c>
      <c r="I1304" s="744"/>
      <c r="J1304" s="744"/>
      <c r="K1304" s="354">
        <f t="shared" si="239"/>
        <v>419492</v>
      </c>
      <c r="L1304" s="657">
        <v>44841</v>
      </c>
      <c r="M1304" s="742">
        <v>22347</v>
      </c>
      <c r="N1304" s="352">
        <f t="shared" si="241"/>
        <v>397145</v>
      </c>
      <c r="O1304" s="357">
        <f t="shared" si="238"/>
        <v>542</v>
      </c>
      <c r="P1304" s="410">
        <v>9</v>
      </c>
      <c r="Q1304" s="358">
        <f t="shared" si="243"/>
        <v>1.484931506849315</v>
      </c>
      <c r="R1304" s="359">
        <f t="shared" si="244"/>
        <v>7.515068493150685</v>
      </c>
      <c r="S1304" s="360">
        <f t="shared" si="245"/>
        <v>7.515068493150685</v>
      </c>
      <c r="T1304" s="361">
        <f t="shared" si="246"/>
        <v>0.10555555555555554</v>
      </c>
      <c r="U1304" s="362">
        <f t="shared" si="247"/>
        <v>44279.711111111108</v>
      </c>
      <c r="V1304" s="362">
        <f t="shared" si="248"/>
        <v>352865.2888888889</v>
      </c>
      <c r="W1304" s="362">
        <f t="shared" si="249"/>
        <v>20975</v>
      </c>
      <c r="X1304" s="742">
        <f t="shared" si="240"/>
        <v>331890.2888888889</v>
      </c>
    </row>
    <row r="1305" spans="1:24" ht="13.9">
      <c r="A1305" s="349">
        <f t="shared" si="242"/>
        <v>1297</v>
      </c>
      <c r="B1305" s="654" t="s">
        <v>564</v>
      </c>
      <c r="C1305" s="654" t="s">
        <v>3459</v>
      </c>
      <c r="D1305" s="743" t="s">
        <v>3663</v>
      </c>
      <c r="E1305" s="654" t="s">
        <v>180</v>
      </c>
      <c r="F1305" s="334"/>
      <c r="G1305" s="657">
        <v>44841</v>
      </c>
      <c r="H1305" s="426">
        <v>419492</v>
      </c>
      <c r="I1305" s="744"/>
      <c r="J1305" s="744"/>
      <c r="K1305" s="354">
        <f t="shared" si="239"/>
        <v>419492</v>
      </c>
      <c r="L1305" s="657">
        <v>44841</v>
      </c>
      <c r="M1305" s="742">
        <v>22347</v>
      </c>
      <c r="N1305" s="352">
        <f t="shared" si="241"/>
        <v>397145</v>
      </c>
      <c r="O1305" s="357">
        <f t="shared" si="238"/>
        <v>542</v>
      </c>
      <c r="P1305" s="410">
        <v>9</v>
      </c>
      <c r="Q1305" s="358">
        <f t="shared" si="243"/>
        <v>1.484931506849315</v>
      </c>
      <c r="R1305" s="359">
        <f t="shared" si="244"/>
        <v>7.515068493150685</v>
      </c>
      <c r="S1305" s="360">
        <f t="shared" si="245"/>
        <v>7.515068493150685</v>
      </c>
      <c r="T1305" s="361">
        <f t="shared" si="246"/>
        <v>0.10555555555555554</v>
      </c>
      <c r="U1305" s="362">
        <f t="shared" si="247"/>
        <v>44279.711111111108</v>
      </c>
      <c r="V1305" s="362">
        <f t="shared" si="248"/>
        <v>352865.2888888889</v>
      </c>
      <c r="W1305" s="362">
        <f t="shared" si="249"/>
        <v>20975</v>
      </c>
      <c r="X1305" s="742">
        <f t="shared" si="240"/>
        <v>331890.2888888889</v>
      </c>
    </row>
    <row r="1306" spans="1:24" ht="13.9">
      <c r="A1306" s="349">
        <f t="shared" si="242"/>
        <v>1298</v>
      </c>
      <c r="B1306" s="654" t="s">
        <v>564</v>
      </c>
      <c r="C1306" s="654" t="s">
        <v>3459</v>
      </c>
      <c r="D1306" s="743" t="s">
        <v>3663</v>
      </c>
      <c r="E1306" s="654" t="s">
        <v>180</v>
      </c>
      <c r="F1306" s="334"/>
      <c r="G1306" s="657">
        <v>44841</v>
      </c>
      <c r="H1306" s="426">
        <v>419492</v>
      </c>
      <c r="I1306" s="744"/>
      <c r="J1306" s="744"/>
      <c r="K1306" s="354">
        <f t="shared" si="239"/>
        <v>419492</v>
      </c>
      <c r="L1306" s="657">
        <v>44841</v>
      </c>
      <c r="M1306" s="742">
        <v>22347</v>
      </c>
      <c r="N1306" s="352">
        <f t="shared" si="241"/>
        <v>397145</v>
      </c>
      <c r="O1306" s="357">
        <f t="shared" si="238"/>
        <v>542</v>
      </c>
      <c r="P1306" s="410">
        <v>9</v>
      </c>
      <c r="Q1306" s="358">
        <f t="shared" si="243"/>
        <v>1.484931506849315</v>
      </c>
      <c r="R1306" s="359">
        <f t="shared" si="244"/>
        <v>7.515068493150685</v>
      </c>
      <c r="S1306" s="360">
        <f t="shared" si="245"/>
        <v>7.515068493150685</v>
      </c>
      <c r="T1306" s="361">
        <f t="shared" si="246"/>
        <v>0.10555555555555554</v>
      </c>
      <c r="U1306" s="362">
        <f t="shared" si="247"/>
        <v>44279.711111111108</v>
      </c>
      <c r="V1306" s="362">
        <f t="shared" si="248"/>
        <v>352865.2888888889</v>
      </c>
      <c r="W1306" s="362">
        <f t="shared" si="249"/>
        <v>20975</v>
      </c>
      <c r="X1306" s="742">
        <f t="shared" si="240"/>
        <v>331890.2888888889</v>
      </c>
    </row>
    <row r="1307" spans="1:24" ht="13.9">
      <c r="A1307" s="349">
        <f t="shared" si="242"/>
        <v>1299</v>
      </c>
      <c r="B1307" s="654" t="s">
        <v>564</v>
      </c>
      <c r="C1307" s="654" t="s">
        <v>3459</v>
      </c>
      <c r="D1307" s="743" t="s">
        <v>3663</v>
      </c>
      <c r="E1307" s="654" t="s">
        <v>180</v>
      </c>
      <c r="F1307" s="334"/>
      <c r="G1307" s="657">
        <v>44890</v>
      </c>
      <c r="H1307" s="426">
        <v>419492</v>
      </c>
      <c r="I1307" s="744"/>
      <c r="J1307" s="744"/>
      <c r="K1307" s="354">
        <f t="shared" si="239"/>
        <v>419492</v>
      </c>
      <c r="L1307" s="657">
        <v>44890</v>
      </c>
      <c r="M1307" s="742">
        <v>16090</v>
      </c>
      <c r="N1307" s="352">
        <f t="shared" si="241"/>
        <v>403402</v>
      </c>
      <c r="O1307" s="357">
        <f t="shared" si="238"/>
        <v>493</v>
      </c>
      <c r="P1307" s="410">
        <v>9</v>
      </c>
      <c r="Q1307" s="358">
        <f t="shared" si="243"/>
        <v>1.3506849315068492</v>
      </c>
      <c r="R1307" s="359">
        <f t="shared" si="244"/>
        <v>7.6493150684931503</v>
      </c>
      <c r="S1307" s="360">
        <f t="shared" si="245"/>
        <v>7.6493150684931503</v>
      </c>
      <c r="T1307" s="361">
        <f t="shared" si="246"/>
        <v>0.10555555555555554</v>
      </c>
      <c r="U1307" s="362">
        <f t="shared" si="247"/>
        <v>44279.711111111108</v>
      </c>
      <c r="V1307" s="362">
        <f t="shared" si="248"/>
        <v>359122.2888888889</v>
      </c>
      <c r="W1307" s="362">
        <f t="shared" si="249"/>
        <v>20975</v>
      </c>
      <c r="X1307" s="742">
        <f t="shared" si="240"/>
        <v>338147.2888888889</v>
      </c>
    </row>
    <row r="1308" spans="1:24" ht="13.9">
      <c r="A1308" s="349">
        <f t="shared" si="242"/>
        <v>1300</v>
      </c>
      <c r="B1308" s="654" t="s">
        <v>564</v>
      </c>
      <c r="C1308" s="654" t="s">
        <v>3459</v>
      </c>
      <c r="D1308" s="743" t="s">
        <v>3663</v>
      </c>
      <c r="E1308" s="654" t="s">
        <v>180</v>
      </c>
      <c r="F1308" s="334"/>
      <c r="G1308" s="657">
        <v>44890</v>
      </c>
      <c r="H1308" s="426">
        <v>474576.27</v>
      </c>
      <c r="I1308" s="744"/>
      <c r="J1308" s="744"/>
      <c r="K1308" s="354">
        <f t="shared" si="239"/>
        <v>474576.27</v>
      </c>
      <c r="L1308" s="657">
        <v>44890</v>
      </c>
      <c r="M1308" s="742">
        <v>18203</v>
      </c>
      <c r="N1308" s="352">
        <f t="shared" si="241"/>
        <v>456373.27</v>
      </c>
      <c r="O1308" s="357">
        <f t="shared" si="238"/>
        <v>493</v>
      </c>
      <c r="P1308" s="410">
        <v>9</v>
      </c>
      <c r="Q1308" s="358">
        <f t="shared" si="243"/>
        <v>1.3506849315068492</v>
      </c>
      <c r="R1308" s="359">
        <f t="shared" si="244"/>
        <v>7.6493150684931503</v>
      </c>
      <c r="S1308" s="360">
        <f t="shared" si="245"/>
        <v>7.6493150684931503</v>
      </c>
      <c r="T1308" s="361">
        <f t="shared" si="246"/>
        <v>0.10555555555555554</v>
      </c>
      <c r="U1308" s="362">
        <f t="shared" si="247"/>
        <v>50094.161833333332</v>
      </c>
      <c r="V1308" s="362">
        <f t="shared" si="248"/>
        <v>406279.1081666667</v>
      </c>
      <c r="W1308" s="362">
        <f t="shared" si="249"/>
        <v>23729</v>
      </c>
      <c r="X1308" s="742">
        <f t="shared" si="240"/>
        <v>382550.1081666667</v>
      </c>
    </row>
    <row r="1309" spans="1:24" ht="13.9">
      <c r="A1309" s="349">
        <f t="shared" si="242"/>
        <v>1301</v>
      </c>
      <c r="B1309" s="654" t="s">
        <v>564</v>
      </c>
      <c r="C1309" s="654" t="s">
        <v>3459</v>
      </c>
      <c r="D1309" s="743" t="s">
        <v>3663</v>
      </c>
      <c r="E1309" s="654" t="s">
        <v>180</v>
      </c>
      <c r="F1309" s="334"/>
      <c r="G1309" s="657">
        <v>44890</v>
      </c>
      <c r="H1309" s="426">
        <v>419492</v>
      </c>
      <c r="I1309" s="744"/>
      <c r="J1309" s="744"/>
      <c r="K1309" s="354">
        <f t="shared" si="239"/>
        <v>419492</v>
      </c>
      <c r="L1309" s="657">
        <v>44890</v>
      </c>
      <c r="M1309" s="742">
        <v>16090</v>
      </c>
      <c r="N1309" s="352">
        <f t="shared" si="241"/>
        <v>403402</v>
      </c>
      <c r="O1309" s="357">
        <f t="shared" si="238"/>
        <v>493</v>
      </c>
      <c r="P1309" s="410">
        <v>9</v>
      </c>
      <c r="Q1309" s="358">
        <f t="shared" si="243"/>
        <v>1.3506849315068492</v>
      </c>
      <c r="R1309" s="359">
        <f t="shared" si="244"/>
        <v>7.6493150684931503</v>
      </c>
      <c r="S1309" s="360">
        <f t="shared" si="245"/>
        <v>7.6493150684931503</v>
      </c>
      <c r="T1309" s="361">
        <f t="shared" si="246"/>
        <v>0.10555555555555554</v>
      </c>
      <c r="U1309" s="362">
        <f t="shared" si="247"/>
        <v>44279.711111111108</v>
      </c>
      <c r="V1309" s="362">
        <f t="shared" si="248"/>
        <v>359122.2888888889</v>
      </c>
      <c r="W1309" s="362">
        <f t="shared" si="249"/>
        <v>20975</v>
      </c>
      <c r="X1309" s="742">
        <f t="shared" si="240"/>
        <v>338147.2888888889</v>
      </c>
    </row>
    <row r="1310" spans="1:24" ht="13.9">
      <c r="A1310" s="349">
        <f t="shared" si="242"/>
        <v>1302</v>
      </c>
      <c r="B1310" s="654" t="s">
        <v>564</v>
      </c>
      <c r="C1310" s="654" t="s">
        <v>3459</v>
      </c>
      <c r="D1310" s="743" t="s">
        <v>3663</v>
      </c>
      <c r="E1310" s="654" t="s">
        <v>760</v>
      </c>
      <c r="F1310" s="334"/>
      <c r="G1310" s="657">
        <v>44876</v>
      </c>
      <c r="H1310" s="426">
        <v>80084</v>
      </c>
      <c r="I1310" s="744"/>
      <c r="J1310" s="744"/>
      <c r="K1310" s="354">
        <f t="shared" si="239"/>
        <v>80084</v>
      </c>
      <c r="L1310" s="657">
        <v>44876</v>
      </c>
      <c r="M1310" s="742">
        <v>3413</v>
      </c>
      <c r="N1310" s="352">
        <f t="shared" si="241"/>
        <v>76671</v>
      </c>
      <c r="O1310" s="357">
        <f t="shared" si="238"/>
        <v>507</v>
      </c>
      <c r="P1310" s="410">
        <v>9</v>
      </c>
      <c r="Q1310" s="358">
        <f t="shared" si="243"/>
        <v>1.3890410958904109</v>
      </c>
      <c r="R1310" s="359">
        <f t="shared" si="244"/>
        <v>7.6109589041095891</v>
      </c>
      <c r="S1310" s="360">
        <f t="shared" si="245"/>
        <v>7.6109589041095891</v>
      </c>
      <c r="T1310" s="361">
        <f t="shared" si="246"/>
        <v>0.10555555555555554</v>
      </c>
      <c r="U1310" s="362">
        <f t="shared" si="247"/>
        <v>8453.3111111111102</v>
      </c>
      <c r="V1310" s="362">
        <f t="shared" si="248"/>
        <v>68217.688888888893</v>
      </c>
      <c r="W1310" s="362">
        <f t="shared" si="249"/>
        <v>4004</v>
      </c>
      <c r="X1310" s="742">
        <f t="shared" si="240"/>
        <v>64213.688888888893</v>
      </c>
    </row>
    <row r="1311" spans="1:24" ht="13.9">
      <c r="A1311" s="349">
        <f t="shared" si="242"/>
        <v>1303</v>
      </c>
      <c r="B1311" s="654" t="s">
        <v>564</v>
      </c>
      <c r="C1311" s="654" t="s">
        <v>3459</v>
      </c>
      <c r="D1311" s="743" t="s">
        <v>3663</v>
      </c>
      <c r="E1311" s="654" t="s">
        <v>760</v>
      </c>
      <c r="F1311" s="334"/>
      <c r="G1311" s="657">
        <v>44891</v>
      </c>
      <c r="H1311" s="426">
        <v>155084.74</v>
      </c>
      <c r="I1311" s="744"/>
      <c r="J1311" s="744"/>
      <c r="K1311" s="354">
        <f t="shared" si="239"/>
        <v>155084.74</v>
      </c>
      <c r="L1311" s="657">
        <v>44891</v>
      </c>
      <c r="M1311" s="742">
        <v>5901</v>
      </c>
      <c r="N1311" s="352">
        <f t="shared" si="241"/>
        <v>149183.74</v>
      </c>
      <c r="O1311" s="357">
        <f t="shared" si="238"/>
        <v>492</v>
      </c>
      <c r="P1311" s="410">
        <v>9</v>
      </c>
      <c r="Q1311" s="358">
        <f t="shared" si="243"/>
        <v>1.3479452054794521</v>
      </c>
      <c r="R1311" s="359">
        <f t="shared" si="244"/>
        <v>7.6520547945205477</v>
      </c>
      <c r="S1311" s="360">
        <f t="shared" si="245"/>
        <v>7.6520547945205477</v>
      </c>
      <c r="T1311" s="361">
        <f t="shared" si="246"/>
        <v>0.10555555555555554</v>
      </c>
      <c r="U1311" s="362">
        <f t="shared" si="247"/>
        <v>16370.055888888886</v>
      </c>
      <c r="V1311" s="362">
        <f t="shared" si="248"/>
        <v>132813.6841111111</v>
      </c>
      <c r="W1311" s="362">
        <f t="shared" si="249"/>
        <v>7754</v>
      </c>
      <c r="X1311" s="742">
        <f t="shared" si="240"/>
        <v>125059.6841111111</v>
      </c>
    </row>
    <row r="1312" spans="1:24" ht="13.9">
      <c r="A1312" s="349">
        <f t="shared" si="242"/>
        <v>1304</v>
      </c>
      <c r="B1312" s="654" t="s">
        <v>564</v>
      </c>
      <c r="C1312" s="654" t="s">
        <v>3459</v>
      </c>
      <c r="D1312" s="743" t="s">
        <v>3663</v>
      </c>
      <c r="E1312" s="654" t="s">
        <v>761</v>
      </c>
      <c r="F1312" s="334"/>
      <c r="G1312" s="657">
        <v>44893</v>
      </c>
      <c r="H1312" s="426">
        <v>3010000</v>
      </c>
      <c r="I1312" s="744"/>
      <c r="J1312" s="744"/>
      <c r="K1312" s="354">
        <f t="shared" si="239"/>
        <v>3010000</v>
      </c>
      <c r="L1312" s="657">
        <v>44893</v>
      </c>
      <c r="M1312" s="742">
        <v>112703</v>
      </c>
      <c r="N1312" s="352">
        <f t="shared" si="241"/>
        <v>2897297</v>
      </c>
      <c r="O1312" s="357">
        <f t="shared" si="238"/>
        <v>490</v>
      </c>
      <c r="P1312" s="410">
        <v>9</v>
      </c>
      <c r="Q1312" s="358">
        <f t="shared" si="243"/>
        <v>1.3424657534246576</v>
      </c>
      <c r="R1312" s="359">
        <f t="shared" si="244"/>
        <v>7.6575342465753424</v>
      </c>
      <c r="S1312" s="360">
        <f t="shared" si="245"/>
        <v>7.6575342465753424</v>
      </c>
      <c r="T1312" s="361">
        <f t="shared" si="246"/>
        <v>0.10555555555555554</v>
      </c>
      <c r="U1312" s="362">
        <f t="shared" si="247"/>
        <v>317722.22222222219</v>
      </c>
      <c r="V1312" s="362">
        <f t="shared" si="248"/>
        <v>2579574.777777778</v>
      </c>
      <c r="W1312" s="362">
        <f t="shared" si="249"/>
        <v>150500</v>
      </c>
      <c r="X1312" s="742">
        <f t="shared" si="240"/>
        <v>2429074.777777778</v>
      </c>
    </row>
    <row r="1313" spans="1:24" ht="13.9">
      <c r="A1313" s="349">
        <f t="shared" si="242"/>
        <v>1305</v>
      </c>
      <c r="B1313" s="654" t="s">
        <v>564</v>
      </c>
      <c r="C1313" s="654" t="s">
        <v>3459</v>
      </c>
      <c r="D1313" s="743" t="s">
        <v>3663</v>
      </c>
      <c r="E1313" s="654" t="s">
        <v>180</v>
      </c>
      <c r="F1313" s="334"/>
      <c r="G1313" s="657">
        <v>44896</v>
      </c>
      <c r="H1313" s="426">
        <v>474576</v>
      </c>
      <c r="I1313" s="744"/>
      <c r="J1313" s="744"/>
      <c r="K1313" s="354">
        <f t="shared" si="239"/>
        <v>474576</v>
      </c>
      <c r="L1313" s="657">
        <v>44896</v>
      </c>
      <c r="M1313" s="742">
        <v>17336</v>
      </c>
      <c r="N1313" s="352">
        <f t="shared" si="241"/>
        <v>457240</v>
      </c>
      <c r="O1313" s="357">
        <f t="shared" si="238"/>
        <v>487</v>
      </c>
      <c r="P1313" s="410">
        <v>9</v>
      </c>
      <c r="Q1313" s="358">
        <f t="shared" si="243"/>
        <v>1.3342465753424657</v>
      </c>
      <c r="R1313" s="359">
        <f t="shared" si="244"/>
        <v>7.6657534246575345</v>
      </c>
      <c r="S1313" s="360">
        <f t="shared" si="245"/>
        <v>7.6657534246575345</v>
      </c>
      <c r="T1313" s="361">
        <f t="shared" si="246"/>
        <v>0.10555555555555554</v>
      </c>
      <c r="U1313" s="362">
        <f t="shared" si="247"/>
        <v>50094.133333333324</v>
      </c>
      <c r="V1313" s="362">
        <f t="shared" si="248"/>
        <v>407145.8666666667</v>
      </c>
      <c r="W1313" s="362">
        <f t="shared" si="249"/>
        <v>23729</v>
      </c>
      <c r="X1313" s="742">
        <f t="shared" si="240"/>
        <v>383416.8666666667</v>
      </c>
    </row>
    <row r="1314" spans="1:24" ht="13.9">
      <c r="A1314" s="349">
        <f t="shared" si="242"/>
        <v>1306</v>
      </c>
      <c r="B1314" s="654" t="s">
        <v>324</v>
      </c>
      <c r="C1314" s="654" t="s">
        <v>3459</v>
      </c>
      <c r="D1314" s="743" t="s">
        <v>3663</v>
      </c>
      <c r="E1314" s="654" t="s">
        <v>170</v>
      </c>
      <c r="F1314" s="334"/>
      <c r="G1314" s="657">
        <v>44884</v>
      </c>
      <c r="H1314" s="426">
        <v>6537355</v>
      </c>
      <c r="I1314" s="744"/>
      <c r="J1314" s="744"/>
      <c r="K1314" s="354">
        <f t="shared" si="239"/>
        <v>6537355</v>
      </c>
      <c r="L1314" s="657">
        <v>44884</v>
      </c>
      <c r="M1314" s="742">
        <v>262688</v>
      </c>
      <c r="N1314" s="352">
        <f t="shared" si="241"/>
        <v>6274667</v>
      </c>
      <c r="O1314" s="357">
        <f t="shared" si="238"/>
        <v>499</v>
      </c>
      <c r="P1314" s="410">
        <v>9</v>
      </c>
      <c r="Q1314" s="358">
        <f t="shared" si="243"/>
        <v>1.3671232876712329</v>
      </c>
      <c r="R1314" s="359">
        <f t="shared" si="244"/>
        <v>7.6328767123287671</v>
      </c>
      <c r="S1314" s="360">
        <f t="shared" si="245"/>
        <v>7.6328767123287671</v>
      </c>
      <c r="T1314" s="361">
        <f t="shared" si="246"/>
        <v>0.10555555555555554</v>
      </c>
      <c r="U1314" s="362">
        <f t="shared" si="247"/>
        <v>690054.13888888876</v>
      </c>
      <c r="V1314" s="362">
        <f t="shared" si="248"/>
        <v>5584612.861111111</v>
      </c>
      <c r="W1314" s="362">
        <f t="shared" si="249"/>
        <v>326868</v>
      </c>
      <c r="X1314" s="742">
        <f t="shared" si="240"/>
        <v>5257744.861111111</v>
      </c>
    </row>
    <row r="1315" spans="1:24" ht="13.9">
      <c r="A1315" s="349">
        <f t="shared" si="242"/>
        <v>1307</v>
      </c>
      <c r="B1315" s="654" t="s">
        <v>324</v>
      </c>
      <c r="C1315" s="654" t="s">
        <v>3459</v>
      </c>
      <c r="D1315" s="743" t="s">
        <v>3663</v>
      </c>
      <c r="E1315" s="654" t="s">
        <v>170</v>
      </c>
      <c r="F1315" s="334"/>
      <c r="G1315" s="657">
        <v>44888</v>
      </c>
      <c r="H1315" s="426">
        <v>6537355</v>
      </c>
      <c r="I1315" s="744"/>
      <c r="J1315" s="744"/>
      <c r="K1315" s="354">
        <f t="shared" si="239"/>
        <v>6537355</v>
      </c>
      <c r="L1315" s="657">
        <v>44888</v>
      </c>
      <c r="M1315" s="742">
        <v>254728</v>
      </c>
      <c r="N1315" s="352">
        <f t="shared" si="241"/>
        <v>6282627</v>
      </c>
      <c r="O1315" s="357">
        <f t="shared" si="238"/>
        <v>495</v>
      </c>
      <c r="P1315" s="410">
        <v>9</v>
      </c>
      <c r="Q1315" s="358">
        <f t="shared" si="243"/>
        <v>1.3561643835616439</v>
      </c>
      <c r="R1315" s="359">
        <f t="shared" si="244"/>
        <v>7.6438356164383556</v>
      </c>
      <c r="S1315" s="360">
        <f t="shared" si="245"/>
        <v>7.6438356164383556</v>
      </c>
      <c r="T1315" s="361">
        <f t="shared" si="246"/>
        <v>0.10555555555555554</v>
      </c>
      <c r="U1315" s="362">
        <f t="shared" si="247"/>
        <v>690054.13888888876</v>
      </c>
      <c r="V1315" s="362">
        <f t="shared" si="248"/>
        <v>5592572.861111111</v>
      </c>
      <c r="W1315" s="362">
        <f t="shared" si="249"/>
        <v>326868</v>
      </c>
      <c r="X1315" s="742">
        <f t="shared" si="240"/>
        <v>5265704.861111111</v>
      </c>
    </row>
    <row r="1316" spans="1:24" ht="13.9">
      <c r="A1316" s="349">
        <f t="shared" si="242"/>
        <v>1308</v>
      </c>
      <c r="B1316" s="654" t="s">
        <v>324</v>
      </c>
      <c r="C1316" s="654" t="s">
        <v>3459</v>
      </c>
      <c r="D1316" s="743" t="s">
        <v>3663</v>
      </c>
      <c r="E1316" s="654" t="s">
        <v>170</v>
      </c>
      <c r="F1316" s="334"/>
      <c r="G1316" s="657">
        <v>44889</v>
      </c>
      <c r="H1316" s="426">
        <v>6537355</v>
      </c>
      <c r="I1316" s="744"/>
      <c r="J1316" s="744"/>
      <c r="K1316" s="354">
        <f t="shared" si="239"/>
        <v>6537355</v>
      </c>
      <c r="L1316" s="657">
        <v>44889</v>
      </c>
      <c r="M1316" s="742">
        <v>252738</v>
      </c>
      <c r="N1316" s="352">
        <f t="shared" si="241"/>
        <v>6284617</v>
      </c>
      <c r="O1316" s="357">
        <f t="shared" si="238"/>
        <v>494</v>
      </c>
      <c r="P1316" s="410">
        <v>9</v>
      </c>
      <c r="Q1316" s="358">
        <f t="shared" si="243"/>
        <v>1.3534246575342466</v>
      </c>
      <c r="R1316" s="359">
        <f t="shared" si="244"/>
        <v>7.6465753424657539</v>
      </c>
      <c r="S1316" s="360">
        <f t="shared" si="245"/>
        <v>7.6465753424657539</v>
      </c>
      <c r="T1316" s="361">
        <f t="shared" si="246"/>
        <v>0.10555555555555554</v>
      </c>
      <c r="U1316" s="362">
        <f t="shared" si="247"/>
        <v>690054.13888888876</v>
      </c>
      <c r="V1316" s="362">
        <f t="shared" si="248"/>
        <v>5594562.861111111</v>
      </c>
      <c r="W1316" s="362">
        <f t="shared" si="249"/>
        <v>326868</v>
      </c>
      <c r="X1316" s="742">
        <f t="shared" si="240"/>
        <v>5267694.861111111</v>
      </c>
    </row>
    <row r="1317" spans="1:24" ht="13.9">
      <c r="A1317" s="349">
        <f t="shared" si="242"/>
        <v>1309</v>
      </c>
      <c r="B1317" s="654" t="s">
        <v>565</v>
      </c>
      <c r="C1317" s="654" t="s">
        <v>3459</v>
      </c>
      <c r="D1317" s="743" t="s">
        <v>3663</v>
      </c>
      <c r="E1317" s="654" t="s">
        <v>420</v>
      </c>
      <c r="F1317" s="334"/>
      <c r="G1317" s="657">
        <v>44891</v>
      </c>
      <c r="H1317" s="426">
        <v>12692385</v>
      </c>
      <c r="I1317" s="744"/>
      <c r="J1317" s="744"/>
      <c r="K1317" s="354">
        <f t="shared" si="239"/>
        <v>12692385</v>
      </c>
      <c r="L1317" s="657">
        <v>44891</v>
      </c>
      <c r="M1317" s="742">
        <v>482967</v>
      </c>
      <c r="N1317" s="352">
        <f t="shared" si="241"/>
        <v>12209418</v>
      </c>
      <c r="O1317" s="357">
        <f t="shared" si="238"/>
        <v>492</v>
      </c>
      <c r="P1317" s="410">
        <v>9</v>
      </c>
      <c r="Q1317" s="358">
        <f t="shared" si="243"/>
        <v>1.3479452054794521</v>
      </c>
      <c r="R1317" s="359">
        <f t="shared" si="244"/>
        <v>7.6520547945205477</v>
      </c>
      <c r="S1317" s="360">
        <f t="shared" si="245"/>
        <v>7.6520547945205477</v>
      </c>
      <c r="T1317" s="361">
        <f t="shared" si="246"/>
        <v>0.10555555555555554</v>
      </c>
      <c r="U1317" s="362">
        <f t="shared" si="247"/>
        <v>1339751.7499999998</v>
      </c>
      <c r="V1317" s="362">
        <f t="shared" si="248"/>
        <v>10869666.25</v>
      </c>
      <c r="W1317" s="362">
        <f t="shared" si="249"/>
        <v>634619</v>
      </c>
      <c r="X1317" s="742">
        <f t="shared" si="240"/>
        <v>10235047.25</v>
      </c>
    </row>
    <row r="1318" spans="1:24" ht="13.9">
      <c r="A1318" s="349">
        <f t="shared" si="242"/>
        <v>1310</v>
      </c>
      <c r="B1318" s="654" t="s">
        <v>565</v>
      </c>
      <c r="C1318" s="654" t="s">
        <v>3459</v>
      </c>
      <c r="D1318" s="743" t="s">
        <v>3663</v>
      </c>
      <c r="E1318" s="654" t="s">
        <v>420</v>
      </c>
      <c r="F1318" s="334"/>
      <c r="G1318" s="657">
        <v>44891</v>
      </c>
      <c r="H1318" s="426">
        <v>24457745</v>
      </c>
      <c r="I1318" s="744"/>
      <c r="J1318" s="744"/>
      <c r="K1318" s="354">
        <f t="shared" si="239"/>
        <v>24457745</v>
      </c>
      <c r="L1318" s="657">
        <v>44891</v>
      </c>
      <c r="M1318" s="742">
        <v>930660</v>
      </c>
      <c r="N1318" s="352">
        <f t="shared" si="241"/>
        <v>23527085</v>
      </c>
      <c r="O1318" s="357">
        <f t="shared" si="238"/>
        <v>492</v>
      </c>
      <c r="P1318" s="410">
        <v>9</v>
      </c>
      <c r="Q1318" s="358">
        <f t="shared" si="243"/>
        <v>1.3479452054794521</v>
      </c>
      <c r="R1318" s="359">
        <f t="shared" si="244"/>
        <v>7.6520547945205477</v>
      </c>
      <c r="S1318" s="360">
        <f t="shared" si="245"/>
        <v>7.6520547945205477</v>
      </c>
      <c r="T1318" s="361">
        <f t="shared" si="246"/>
        <v>0.10555555555555554</v>
      </c>
      <c r="U1318" s="362">
        <f t="shared" si="247"/>
        <v>2581650.8611111105</v>
      </c>
      <c r="V1318" s="362">
        <f t="shared" si="248"/>
        <v>20945434.138888888</v>
      </c>
      <c r="W1318" s="362">
        <f t="shared" si="249"/>
        <v>1222887</v>
      </c>
      <c r="X1318" s="742">
        <f t="shared" si="240"/>
        <v>19722547.138888888</v>
      </c>
    </row>
    <row r="1319" spans="1:24" ht="13.9">
      <c r="A1319" s="349">
        <f t="shared" si="242"/>
        <v>1311</v>
      </c>
      <c r="B1319" s="654" t="s">
        <v>566</v>
      </c>
      <c r="C1319" s="654" t="s">
        <v>3459</v>
      </c>
      <c r="D1319" s="743" t="s">
        <v>3663</v>
      </c>
      <c r="E1319" s="654" t="s">
        <v>420</v>
      </c>
      <c r="F1319" s="334"/>
      <c r="G1319" s="657">
        <v>44889</v>
      </c>
      <c r="H1319" s="426">
        <v>2914255</v>
      </c>
      <c r="I1319" s="744"/>
      <c r="J1319" s="744"/>
      <c r="K1319" s="354">
        <f t="shared" si="239"/>
        <v>2914255</v>
      </c>
      <c r="L1319" s="657">
        <v>44889</v>
      </c>
      <c r="M1319" s="742">
        <v>112667</v>
      </c>
      <c r="N1319" s="352">
        <f t="shared" si="241"/>
        <v>2801588</v>
      </c>
      <c r="O1319" s="357">
        <f t="shared" si="238"/>
        <v>494</v>
      </c>
      <c r="P1319" s="410">
        <v>9</v>
      </c>
      <c r="Q1319" s="358">
        <f t="shared" si="243"/>
        <v>1.3534246575342466</v>
      </c>
      <c r="R1319" s="359">
        <f t="shared" si="244"/>
        <v>7.6465753424657539</v>
      </c>
      <c r="S1319" s="360">
        <f t="shared" si="245"/>
        <v>7.6465753424657539</v>
      </c>
      <c r="T1319" s="361">
        <f t="shared" si="246"/>
        <v>0.10555555555555554</v>
      </c>
      <c r="U1319" s="362">
        <f t="shared" si="247"/>
        <v>307615.8055555555</v>
      </c>
      <c r="V1319" s="362">
        <f t="shared" si="248"/>
        <v>2493972.1944444445</v>
      </c>
      <c r="W1319" s="362">
        <f t="shared" si="249"/>
        <v>145713</v>
      </c>
      <c r="X1319" s="742">
        <f t="shared" si="240"/>
        <v>2348259.1944444445</v>
      </c>
    </row>
    <row r="1320" spans="1:24" ht="13.9">
      <c r="A1320" s="349">
        <f t="shared" si="242"/>
        <v>1312</v>
      </c>
      <c r="B1320" s="654" t="s">
        <v>566</v>
      </c>
      <c r="C1320" s="654" t="s">
        <v>3459</v>
      </c>
      <c r="D1320" s="743" t="s">
        <v>3663</v>
      </c>
      <c r="E1320" s="654" t="s">
        <v>420</v>
      </c>
      <c r="F1320" s="334"/>
      <c r="G1320" s="657">
        <v>44889</v>
      </c>
      <c r="H1320" s="426">
        <v>2914255</v>
      </c>
      <c r="I1320" s="744"/>
      <c r="J1320" s="744"/>
      <c r="K1320" s="354">
        <f t="shared" si="239"/>
        <v>2914255</v>
      </c>
      <c r="L1320" s="657">
        <v>44889</v>
      </c>
      <c r="M1320" s="742">
        <v>112667</v>
      </c>
      <c r="N1320" s="352">
        <f t="shared" si="241"/>
        <v>2801588</v>
      </c>
      <c r="O1320" s="357">
        <f t="shared" si="238"/>
        <v>494</v>
      </c>
      <c r="P1320" s="410">
        <v>9</v>
      </c>
      <c r="Q1320" s="358">
        <f t="shared" si="243"/>
        <v>1.3534246575342466</v>
      </c>
      <c r="R1320" s="359">
        <f t="shared" si="244"/>
        <v>7.6465753424657539</v>
      </c>
      <c r="S1320" s="360">
        <f t="shared" si="245"/>
        <v>7.6465753424657539</v>
      </c>
      <c r="T1320" s="361">
        <f t="shared" si="246"/>
        <v>0.10555555555555554</v>
      </c>
      <c r="U1320" s="362">
        <f t="shared" si="247"/>
        <v>307615.8055555555</v>
      </c>
      <c r="V1320" s="362">
        <f t="shared" si="248"/>
        <v>2493972.1944444445</v>
      </c>
      <c r="W1320" s="362">
        <f t="shared" si="249"/>
        <v>145713</v>
      </c>
      <c r="X1320" s="742">
        <f t="shared" si="240"/>
        <v>2348259.1944444445</v>
      </c>
    </row>
    <row r="1321" spans="1:24" ht="13.9">
      <c r="A1321" s="349">
        <f t="shared" si="242"/>
        <v>1313</v>
      </c>
      <c r="B1321" s="654" t="s">
        <v>566</v>
      </c>
      <c r="C1321" s="654" t="s">
        <v>3459</v>
      </c>
      <c r="D1321" s="743" t="s">
        <v>3663</v>
      </c>
      <c r="E1321" s="654" t="s">
        <v>420</v>
      </c>
      <c r="F1321" s="334"/>
      <c r="G1321" s="657">
        <v>44889</v>
      </c>
      <c r="H1321" s="426">
        <v>2914255</v>
      </c>
      <c r="I1321" s="744"/>
      <c r="J1321" s="744"/>
      <c r="K1321" s="354">
        <f t="shared" si="239"/>
        <v>2914255</v>
      </c>
      <c r="L1321" s="657">
        <v>44889</v>
      </c>
      <c r="M1321" s="742">
        <v>112667</v>
      </c>
      <c r="N1321" s="352">
        <f t="shared" si="241"/>
        <v>2801588</v>
      </c>
      <c r="O1321" s="357">
        <f t="shared" si="238"/>
        <v>494</v>
      </c>
      <c r="P1321" s="410">
        <v>9</v>
      </c>
      <c r="Q1321" s="358">
        <f t="shared" si="243"/>
        <v>1.3534246575342466</v>
      </c>
      <c r="R1321" s="359">
        <f t="shared" si="244"/>
        <v>7.6465753424657539</v>
      </c>
      <c r="S1321" s="360">
        <f t="shared" si="245"/>
        <v>7.6465753424657539</v>
      </c>
      <c r="T1321" s="361">
        <f t="shared" si="246"/>
        <v>0.10555555555555554</v>
      </c>
      <c r="U1321" s="362">
        <f t="shared" si="247"/>
        <v>307615.8055555555</v>
      </c>
      <c r="V1321" s="362">
        <f t="shared" si="248"/>
        <v>2493972.1944444445</v>
      </c>
      <c r="W1321" s="362">
        <f t="shared" si="249"/>
        <v>145713</v>
      </c>
      <c r="X1321" s="742">
        <f t="shared" si="240"/>
        <v>2348259.1944444445</v>
      </c>
    </row>
    <row r="1322" spans="1:24" ht="13.9">
      <c r="A1322" s="349">
        <f t="shared" si="242"/>
        <v>1314</v>
      </c>
      <c r="B1322" s="654" t="s">
        <v>567</v>
      </c>
      <c r="C1322" s="654" t="s">
        <v>3459</v>
      </c>
      <c r="D1322" s="743" t="s">
        <v>3663</v>
      </c>
      <c r="E1322" s="654" t="s">
        <v>762</v>
      </c>
      <c r="F1322" s="334"/>
      <c r="G1322" s="657">
        <v>44890</v>
      </c>
      <c r="H1322" s="426">
        <v>5938800</v>
      </c>
      <c r="I1322" s="744"/>
      <c r="J1322" s="744"/>
      <c r="K1322" s="354">
        <f t="shared" si="239"/>
        <v>5938800</v>
      </c>
      <c r="L1322" s="657">
        <v>44890</v>
      </c>
      <c r="M1322" s="742">
        <v>227790</v>
      </c>
      <c r="N1322" s="352">
        <f t="shared" si="241"/>
        <v>5711010</v>
      </c>
      <c r="O1322" s="357">
        <f t="shared" si="238"/>
        <v>493</v>
      </c>
      <c r="P1322" s="410">
        <v>9</v>
      </c>
      <c r="Q1322" s="358">
        <f t="shared" si="243"/>
        <v>1.3506849315068492</v>
      </c>
      <c r="R1322" s="359">
        <f t="shared" si="244"/>
        <v>7.6493150684931503</v>
      </c>
      <c r="S1322" s="360">
        <f t="shared" si="245"/>
        <v>7.6493150684931503</v>
      </c>
      <c r="T1322" s="361">
        <f t="shared" si="246"/>
        <v>0.10555555555555554</v>
      </c>
      <c r="U1322" s="362">
        <f t="shared" si="247"/>
        <v>626873.33333333326</v>
      </c>
      <c r="V1322" s="362">
        <f t="shared" si="248"/>
        <v>5084136.666666667</v>
      </c>
      <c r="W1322" s="362">
        <f t="shared" si="249"/>
        <v>296940</v>
      </c>
      <c r="X1322" s="742">
        <f t="shared" si="240"/>
        <v>4787196.666666667</v>
      </c>
    </row>
    <row r="1323" spans="1:24" ht="13.9">
      <c r="A1323" s="349">
        <f t="shared" si="242"/>
        <v>1315</v>
      </c>
      <c r="B1323" s="654" t="s">
        <v>567</v>
      </c>
      <c r="C1323" s="654" t="s">
        <v>3459</v>
      </c>
      <c r="D1323" s="743" t="s">
        <v>3663</v>
      </c>
      <c r="E1323" s="654" t="s">
        <v>762</v>
      </c>
      <c r="F1323" s="334"/>
      <c r="G1323" s="657">
        <v>44890</v>
      </c>
      <c r="H1323" s="426">
        <v>5938800</v>
      </c>
      <c r="I1323" s="744"/>
      <c r="J1323" s="744"/>
      <c r="K1323" s="354">
        <f t="shared" si="239"/>
        <v>5938800</v>
      </c>
      <c r="L1323" s="657">
        <v>44890</v>
      </c>
      <c r="M1323" s="742">
        <v>227790</v>
      </c>
      <c r="N1323" s="352">
        <f t="shared" si="241"/>
        <v>5711010</v>
      </c>
      <c r="O1323" s="357">
        <f t="shared" si="238"/>
        <v>493</v>
      </c>
      <c r="P1323" s="410">
        <v>9</v>
      </c>
      <c r="Q1323" s="358">
        <f t="shared" si="243"/>
        <v>1.3506849315068492</v>
      </c>
      <c r="R1323" s="359">
        <f t="shared" si="244"/>
        <v>7.6493150684931503</v>
      </c>
      <c r="S1323" s="360">
        <f t="shared" si="245"/>
        <v>7.6493150684931503</v>
      </c>
      <c r="T1323" s="361">
        <f t="shared" si="246"/>
        <v>0.10555555555555554</v>
      </c>
      <c r="U1323" s="362">
        <f t="shared" si="247"/>
        <v>626873.33333333326</v>
      </c>
      <c r="V1323" s="362">
        <f t="shared" si="248"/>
        <v>5084136.666666667</v>
      </c>
      <c r="W1323" s="362">
        <f t="shared" si="249"/>
        <v>296940</v>
      </c>
      <c r="X1323" s="742">
        <f t="shared" si="240"/>
        <v>4787196.666666667</v>
      </c>
    </row>
    <row r="1324" spans="1:24" ht="13.9">
      <c r="A1324" s="349">
        <f t="shared" si="242"/>
        <v>1316</v>
      </c>
      <c r="B1324" s="654" t="s">
        <v>568</v>
      </c>
      <c r="C1324" s="654" t="s">
        <v>3459</v>
      </c>
      <c r="D1324" s="743" t="s">
        <v>3663</v>
      </c>
      <c r="E1324" s="654" t="s">
        <v>763</v>
      </c>
      <c r="F1324" s="334"/>
      <c r="G1324" s="657">
        <v>44865</v>
      </c>
      <c r="H1324" s="426">
        <v>199290</v>
      </c>
      <c r="I1324" s="744"/>
      <c r="J1324" s="744"/>
      <c r="K1324" s="354">
        <f t="shared" si="239"/>
        <v>199290</v>
      </c>
      <c r="L1324" s="657">
        <v>44865</v>
      </c>
      <c r="M1324" s="742">
        <v>27482</v>
      </c>
      <c r="N1324" s="352">
        <f t="shared" si="241"/>
        <v>171808</v>
      </c>
      <c r="O1324" s="357">
        <f t="shared" si="238"/>
        <v>518</v>
      </c>
      <c r="P1324" s="410">
        <v>9</v>
      </c>
      <c r="Q1324" s="358">
        <f t="shared" si="243"/>
        <v>1.4191780821917808</v>
      </c>
      <c r="R1324" s="359">
        <f t="shared" si="244"/>
        <v>7.580821917808219</v>
      </c>
      <c r="S1324" s="360">
        <f t="shared" si="245"/>
        <v>7.580821917808219</v>
      </c>
      <c r="T1324" s="361">
        <f t="shared" si="246"/>
        <v>0.10555555555555554</v>
      </c>
      <c r="U1324" s="362">
        <f t="shared" si="247"/>
        <v>21036.166666666664</v>
      </c>
      <c r="V1324" s="362">
        <f t="shared" si="248"/>
        <v>150771.83333333334</v>
      </c>
      <c r="W1324" s="362">
        <f t="shared" si="249"/>
        <v>9965</v>
      </c>
      <c r="X1324" s="742">
        <f t="shared" si="240"/>
        <v>140806.83333333334</v>
      </c>
    </row>
    <row r="1325" spans="1:24" ht="13.9">
      <c r="A1325" s="349">
        <f t="shared" si="242"/>
        <v>1317</v>
      </c>
      <c r="B1325" s="654" t="s">
        <v>568</v>
      </c>
      <c r="C1325" s="654" t="s">
        <v>3459</v>
      </c>
      <c r="D1325" s="743" t="s">
        <v>3663</v>
      </c>
      <c r="E1325" s="654" t="s">
        <v>763</v>
      </c>
      <c r="F1325" s="334"/>
      <c r="G1325" s="657">
        <v>44865</v>
      </c>
      <c r="H1325" s="426">
        <v>561071</v>
      </c>
      <c r="I1325" s="744"/>
      <c r="J1325" s="744"/>
      <c r="K1325" s="354">
        <f t="shared" si="239"/>
        <v>561071</v>
      </c>
      <c r="L1325" s="657">
        <v>44865</v>
      </c>
      <c r="M1325" s="742">
        <v>77371</v>
      </c>
      <c r="N1325" s="352">
        <f t="shared" si="241"/>
        <v>483700</v>
      </c>
      <c r="O1325" s="357">
        <f t="shared" si="238"/>
        <v>518</v>
      </c>
      <c r="P1325" s="410">
        <v>9</v>
      </c>
      <c r="Q1325" s="358">
        <f t="shared" si="243"/>
        <v>1.4191780821917808</v>
      </c>
      <c r="R1325" s="359">
        <f t="shared" si="244"/>
        <v>7.580821917808219</v>
      </c>
      <c r="S1325" s="360">
        <f t="shared" si="245"/>
        <v>7.580821917808219</v>
      </c>
      <c r="T1325" s="361">
        <f t="shared" si="246"/>
        <v>0.10555555555555554</v>
      </c>
      <c r="U1325" s="362">
        <f t="shared" si="247"/>
        <v>59224.161111111105</v>
      </c>
      <c r="V1325" s="362">
        <f t="shared" si="248"/>
        <v>424475.83888888889</v>
      </c>
      <c r="W1325" s="362">
        <f t="shared" si="249"/>
        <v>28054</v>
      </c>
      <c r="X1325" s="742">
        <f t="shared" si="240"/>
        <v>396421.83888888889</v>
      </c>
    </row>
    <row r="1326" spans="1:24" ht="13.9">
      <c r="A1326" s="349">
        <f t="shared" si="242"/>
        <v>1318</v>
      </c>
      <c r="B1326" s="654" t="s">
        <v>568</v>
      </c>
      <c r="C1326" s="654" t="s">
        <v>3459</v>
      </c>
      <c r="D1326" s="743" t="s">
        <v>3663</v>
      </c>
      <c r="E1326" s="654" t="s">
        <v>763</v>
      </c>
      <c r="F1326" s="334"/>
      <c r="G1326" s="657">
        <v>44865</v>
      </c>
      <c r="H1326" s="426">
        <v>1089340</v>
      </c>
      <c r="I1326" s="744"/>
      <c r="J1326" s="744"/>
      <c r="K1326" s="354">
        <f t="shared" si="239"/>
        <v>1089340</v>
      </c>
      <c r="L1326" s="657">
        <v>44865</v>
      </c>
      <c r="M1326" s="742">
        <v>150219</v>
      </c>
      <c r="N1326" s="352">
        <f t="shared" si="241"/>
        <v>939121</v>
      </c>
      <c r="O1326" s="357">
        <f t="shared" si="238"/>
        <v>518</v>
      </c>
      <c r="P1326" s="410">
        <v>9</v>
      </c>
      <c r="Q1326" s="358">
        <f t="shared" si="243"/>
        <v>1.4191780821917808</v>
      </c>
      <c r="R1326" s="359">
        <f t="shared" si="244"/>
        <v>7.580821917808219</v>
      </c>
      <c r="S1326" s="360">
        <f t="shared" si="245"/>
        <v>7.580821917808219</v>
      </c>
      <c r="T1326" s="361">
        <f t="shared" si="246"/>
        <v>0.10555555555555554</v>
      </c>
      <c r="U1326" s="362">
        <f t="shared" si="247"/>
        <v>114985.88888888888</v>
      </c>
      <c r="V1326" s="362">
        <f t="shared" si="248"/>
        <v>824135.11111111112</v>
      </c>
      <c r="W1326" s="362">
        <f t="shared" si="249"/>
        <v>54467</v>
      </c>
      <c r="X1326" s="742">
        <f t="shared" si="240"/>
        <v>769668.11111111112</v>
      </c>
    </row>
    <row r="1327" spans="1:24" ht="13.9">
      <c r="A1327" s="349">
        <f t="shared" si="242"/>
        <v>1319</v>
      </c>
      <c r="B1327" s="654" t="s">
        <v>568</v>
      </c>
      <c r="C1327" s="654" t="s">
        <v>3459</v>
      </c>
      <c r="D1327" s="743" t="s">
        <v>3663</v>
      </c>
      <c r="E1327" s="654" t="s">
        <v>763</v>
      </c>
      <c r="F1327" s="334"/>
      <c r="G1327" s="657">
        <v>44869</v>
      </c>
      <c r="H1327" s="426">
        <v>940100</v>
      </c>
      <c r="I1327" s="744"/>
      <c r="J1327" s="744"/>
      <c r="K1327" s="354">
        <f t="shared" si="239"/>
        <v>940100</v>
      </c>
      <c r="L1327" s="657">
        <v>44869</v>
      </c>
      <c r="M1327" s="742">
        <v>126205</v>
      </c>
      <c r="N1327" s="352">
        <f t="shared" si="241"/>
        <v>813895</v>
      </c>
      <c r="O1327" s="357">
        <f t="shared" si="238"/>
        <v>514</v>
      </c>
      <c r="P1327" s="410">
        <v>9</v>
      </c>
      <c r="Q1327" s="358">
        <f t="shared" si="243"/>
        <v>1.4082191780821918</v>
      </c>
      <c r="R1327" s="359">
        <f t="shared" si="244"/>
        <v>7.5917808219178085</v>
      </c>
      <c r="S1327" s="360">
        <f t="shared" si="245"/>
        <v>7.5917808219178085</v>
      </c>
      <c r="T1327" s="361">
        <f t="shared" si="246"/>
        <v>0.10555555555555554</v>
      </c>
      <c r="U1327" s="362">
        <f t="shared" si="247"/>
        <v>99232.777777777766</v>
      </c>
      <c r="V1327" s="362">
        <f t="shared" si="248"/>
        <v>714662.22222222225</v>
      </c>
      <c r="W1327" s="362">
        <f t="shared" si="249"/>
        <v>47005</v>
      </c>
      <c r="X1327" s="742">
        <f t="shared" si="240"/>
        <v>667657.22222222225</v>
      </c>
    </row>
    <row r="1328" spans="1:24" ht="13.9">
      <c r="A1328" s="349">
        <f t="shared" si="242"/>
        <v>1320</v>
      </c>
      <c r="B1328" s="654" t="s">
        <v>568</v>
      </c>
      <c r="C1328" s="654" t="s">
        <v>3459</v>
      </c>
      <c r="D1328" s="743" t="s">
        <v>3663</v>
      </c>
      <c r="E1328" s="654" t="s">
        <v>763</v>
      </c>
      <c r="F1328" s="334"/>
      <c r="G1328" s="657">
        <v>44870</v>
      </c>
      <c r="H1328" s="426">
        <v>588000</v>
      </c>
      <c r="I1328" s="744"/>
      <c r="J1328" s="744"/>
      <c r="K1328" s="354">
        <f t="shared" si="239"/>
        <v>588000</v>
      </c>
      <c r="L1328" s="657">
        <v>44870</v>
      </c>
      <c r="M1328" s="742">
        <v>78400</v>
      </c>
      <c r="N1328" s="352">
        <f t="shared" si="241"/>
        <v>509600</v>
      </c>
      <c r="O1328" s="357">
        <f t="shared" si="238"/>
        <v>513</v>
      </c>
      <c r="P1328" s="410">
        <v>9</v>
      </c>
      <c r="Q1328" s="358">
        <f t="shared" si="243"/>
        <v>1.4054794520547946</v>
      </c>
      <c r="R1328" s="359">
        <f t="shared" si="244"/>
        <v>7.5945205479452049</v>
      </c>
      <c r="S1328" s="360">
        <f t="shared" si="245"/>
        <v>7.5945205479452049</v>
      </c>
      <c r="T1328" s="361">
        <f t="shared" si="246"/>
        <v>0.10555555555555554</v>
      </c>
      <c r="U1328" s="362">
        <f t="shared" si="247"/>
        <v>62066.666666666657</v>
      </c>
      <c r="V1328" s="362">
        <f t="shared" si="248"/>
        <v>447533.33333333337</v>
      </c>
      <c r="W1328" s="362">
        <f t="shared" si="249"/>
        <v>29400</v>
      </c>
      <c r="X1328" s="742">
        <f t="shared" si="240"/>
        <v>418133.33333333337</v>
      </c>
    </row>
    <row r="1329" spans="1:24" ht="13.9">
      <c r="A1329" s="349">
        <f t="shared" si="242"/>
        <v>1321</v>
      </c>
      <c r="B1329" s="654" t="s">
        <v>568</v>
      </c>
      <c r="C1329" s="654" t="s">
        <v>3459</v>
      </c>
      <c r="D1329" s="743" t="s">
        <v>3663</v>
      </c>
      <c r="E1329" s="654" t="s">
        <v>763</v>
      </c>
      <c r="F1329" s="334"/>
      <c r="G1329" s="657">
        <v>44870</v>
      </c>
      <c r="H1329" s="426">
        <v>252000</v>
      </c>
      <c r="I1329" s="744"/>
      <c r="J1329" s="744"/>
      <c r="K1329" s="354">
        <f t="shared" si="239"/>
        <v>252000</v>
      </c>
      <c r="L1329" s="657">
        <v>44870</v>
      </c>
      <c r="M1329" s="742">
        <v>33600</v>
      </c>
      <c r="N1329" s="352">
        <f t="shared" si="241"/>
        <v>218400</v>
      </c>
      <c r="O1329" s="357">
        <f t="shared" si="238"/>
        <v>513</v>
      </c>
      <c r="P1329" s="410">
        <v>9</v>
      </c>
      <c r="Q1329" s="358">
        <f t="shared" si="243"/>
        <v>1.4054794520547946</v>
      </c>
      <c r="R1329" s="359">
        <f t="shared" si="244"/>
        <v>7.5945205479452049</v>
      </c>
      <c r="S1329" s="360">
        <f t="shared" si="245"/>
        <v>7.5945205479452049</v>
      </c>
      <c r="T1329" s="361">
        <f t="shared" si="246"/>
        <v>0.10555555555555554</v>
      </c>
      <c r="U1329" s="362">
        <f t="shared" si="247"/>
        <v>26599.999999999996</v>
      </c>
      <c r="V1329" s="362">
        <f t="shared" si="248"/>
        <v>191800</v>
      </c>
      <c r="W1329" s="362">
        <f t="shared" si="249"/>
        <v>12600</v>
      </c>
      <c r="X1329" s="742">
        <f t="shared" si="240"/>
        <v>179200</v>
      </c>
    </row>
    <row r="1330" spans="1:24" ht="13.9">
      <c r="A1330" s="349">
        <f t="shared" si="242"/>
        <v>1322</v>
      </c>
      <c r="B1330" s="654" t="s">
        <v>568</v>
      </c>
      <c r="C1330" s="654" t="s">
        <v>3459</v>
      </c>
      <c r="D1330" s="743" t="s">
        <v>3663</v>
      </c>
      <c r="E1330" s="654" t="s">
        <v>763</v>
      </c>
      <c r="F1330" s="334"/>
      <c r="G1330" s="657">
        <v>44870</v>
      </c>
      <c r="H1330" s="426">
        <v>446775</v>
      </c>
      <c r="I1330" s="744"/>
      <c r="J1330" s="744"/>
      <c r="K1330" s="354">
        <f t="shared" si="239"/>
        <v>446775</v>
      </c>
      <c r="L1330" s="657">
        <v>44870</v>
      </c>
      <c r="M1330" s="742">
        <v>59570</v>
      </c>
      <c r="N1330" s="352">
        <f t="shared" si="241"/>
        <v>387205</v>
      </c>
      <c r="O1330" s="357">
        <f t="shared" si="238"/>
        <v>513</v>
      </c>
      <c r="P1330" s="410">
        <v>9</v>
      </c>
      <c r="Q1330" s="358">
        <f t="shared" si="243"/>
        <v>1.4054794520547946</v>
      </c>
      <c r="R1330" s="359">
        <f t="shared" si="244"/>
        <v>7.5945205479452049</v>
      </c>
      <c r="S1330" s="360">
        <f t="shared" si="245"/>
        <v>7.5945205479452049</v>
      </c>
      <c r="T1330" s="361">
        <f t="shared" si="246"/>
        <v>0.10555555555555554</v>
      </c>
      <c r="U1330" s="362">
        <f t="shared" si="247"/>
        <v>47159.583333333328</v>
      </c>
      <c r="V1330" s="362">
        <f t="shared" si="248"/>
        <v>340045.41666666669</v>
      </c>
      <c r="W1330" s="362">
        <f t="shared" si="249"/>
        <v>22339</v>
      </c>
      <c r="X1330" s="742">
        <f t="shared" si="240"/>
        <v>317706.41666666669</v>
      </c>
    </row>
    <row r="1331" spans="1:24" ht="13.9">
      <c r="A1331" s="349">
        <f t="shared" si="242"/>
        <v>1323</v>
      </c>
      <c r="B1331" s="654" t="s">
        <v>568</v>
      </c>
      <c r="C1331" s="654" t="s">
        <v>3459</v>
      </c>
      <c r="D1331" s="743" t="s">
        <v>3663</v>
      </c>
      <c r="E1331" s="654" t="s">
        <v>763</v>
      </c>
      <c r="F1331" s="334"/>
      <c r="G1331" s="657">
        <v>44870</v>
      </c>
      <c r="H1331" s="426">
        <v>81340</v>
      </c>
      <c r="I1331" s="744"/>
      <c r="J1331" s="744"/>
      <c r="K1331" s="354">
        <f t="shared" si="239"/>
        <v>81340</v>
      </c>
      <c r="L1331" s="657">
        <v>44870</v>
      </c>
      <c r="M1331" s="742">
        <v>10845</v>
      </c>
      <c r="N1331" s="352">
        <f t="shared" si="241"/>
        <v>70495</v>
      </c>
      <c r="O1331" s="357">
        <f t="shared" si="238"/>
        <v>513</v>
      </c>
      <c r="P1331" s="410">
        <v>9</v>
      </c>
      <c r="Q1331" s="358">
        <f t="shared" si="243"/>
        <v>1.4054794520547946</v>
      </c>
      <c r="R1331" s="359">
        <f t="shared" si="244"/>
        <v>7.5945205479452049</v>
      </c>
      <c r="S1331" s="360">
        <f t="shared" si="245"/>
        <v>7.5945205479452049</v>
      </c>
      <c r="T1331" s="361">
        <f t="shared" si="246"/>
        <v>0.10555555555555554</v>
      </c>
      <c r="U1331" s="362">
        <f t="shared" si="247"/>
        <v>8585.8888888888869</v>
      </c>
      <c r="V1331" s="362">
        <f t="shared" si="248"/>
        <v>61909.111111111109</v>
      </c>
      <c r="W1331" s="362">
        <f t="shared" si="249"/>
        <v>4067</v>
      </c>
      <c r="X1331" s="742">
        <f t="shared" si="240"/>
        <v>57842.111111111109</v>
      </c>
    </row>
    <row r="1332" spans="1:24" ht="13.9">
      <c r="A1332" s="349">
        <f t="shared" si="242"/>
        <v>1324</v>
      </c>
      <c r="B1332" s="654" t="s">
        <v>568</v>
      </c>
      <c r="C1332" s="654" t="s">
        <v>3459</v>
      </c>
      <c r="D1332" s="743" t="s">
        <v>3663</v>
      </c>
      <c r="E1332" s="654" t="s">
        <v>763</v>
      </c>
      <c r="F1332" s="334"/>
      <c r="G1332" s="657">
        <v>44870</v>
      </c>
      <c r="H1332" s="426">
        <v>489440</v>
      </c>
      <c r="I1332" s="744"/>
      <c r="J1332" s="744"/>
      <c r="K1332" s="354">
        <f t="shared" si="239"/>
        <v>489440</v>
      </c>
      <c r="L1332" s="657">
        <v>44870</v>
      </c>
      <c r="M1332" s="742">
        <v>65259</v>
      </c>
      <c r="N1332" s="352">
        <f t="shared" si="241"/>
        <v>424181</v>
      </c>
      <c r="O1332" s="357">
        <f t="shared" si="238"/>
        <v>513</v>
      </c>
      <c r="P1332" s="410">
        <v>9</v>
      </c>
      <c r="Q1332" s="358">
        <f t="shared" si="243"/>
        <v>1.4054794520547946</v>
      </c>
      <c r="R1332" s="359">
        <f t="shared" si="244"/>
        <v>7.5945205479452049</v>
      </c>
      <c r="S1332" s="360">
        <f t="shared" si="245"/>
        <v>7.5945205479452049</v>
      </c>
      <c r="T1332" s="361">
        <f t="shared" si="246"/>
        <v>0.10555555555555554</v>
      </c>
      <c r="U1332" s="362">
        <f t="shared" si="247"/>
        <v>51663.111111111102</v>
      </c>
      <c r="V1332" s="362">
        <f t="shared" si="248"/>
        <v>372517.88888888888</v>
      </c>
      <c r="W1332" s="362">
        <f t="shared" si="249"/>
        <v>24472</v>
      </c>
      <c r="X1332" s="742">
        <f t="shared" si="240"/>
        <v>348045.88888888888</v>
      </c>
    </row>
    <row r="1333" spans="1:24" ht="13.9">
      <c r="A1333" s="349">
        <f t="shared" si="242"/>
        <v>1325</v>
      </c>
      <c r="B1333" s="654" t="s">
        <v>568</v>
      </c>
      <c r="C1333" s="654" t="s">
        <v>3459</v>
      </c>
      <c r="D1333" s="743" t="s">
        <v>3663</v>
      </c>
      <c r="E1333" s="654" t="s">
        <v>763</v>
      </c>
      <c r="F1333" s="334"/>
      <c r="G1333" s="657">
        <v>44875</v>
      </c>
      <c r="H1333" s="426">
        <v>129469</v>
      </c>
      <c r="I1333" s="744"/>
      <c r="J1333" s="744"/>
      <c r="K1333" s="354">
        <f t="shared" si="239"/>
        <v>129469</v>
      </c>
      <c r="L1333" s="657">
        <v>44875</v>
      </c>
      <c r="M1333" s="742">
        <v>16671</v>
      </c>
      <c r="N1333" s="352">
        <f t="shared" si="241"/>
        <v>112798</v>
      </c>
      <c r="O1333" s="357">
        <f t="shared" si="238"/>
        <v>508</v>
      </c>
      <c r="P1333" s="410">
        <v>9</v>
      </c>
      <c r="Q1333" s="358">
        <f t="shared" si="243"/>
        <v>1.3917808219178083</v>
      </c>
      <c r="R1333" s="359">
        <f t="shared" si="244"/>
        <v>7.6082191780821917</v>
      </c>
      <c r="S1333" s="360">
        <f t="shared" si="245"/>
        <v>7.6082191780821917</v>
      </c>
      <c r="T1333" s="361">
        <f t="shared" si="246"/>
        <v>0.10555555555555554</v>
      </c>
      <c r="U1333" s="362">
        <f t="shared" si="247"/>
        <v>13666.17222222222</v>
      </c>
      <c r="V1333" s="362">
        <f t="shared" si="248"/>
        <v>99131.827777777784</v>
      </c>
      <c r="W1333" s="362">
        <f t="shared" si="249"/>
        <v>6473</v>
      </c>
      <c r="X1333" s="742">
        <f t="shared" si="240"/>
        <v>92658.827777777784</v>
      </c>
    </row>
    <row r="1334" spans="1:24" ht="13.9">
      <c r="A1334" s="349">
        <f t="shared" si="242"/>
        <v>1326</v>
      </c>
      <c r="B1334" s="654" t="s">
        <v>568</v>
      </c>
      <c r="C1334" s="654" t="s">
        <v>3459</v>
      </c>
      <c r="D1334" s="743" t="s">
        <v>3663</v>
      </c>
      <c r="E1334" s="654" t="s">
        <v>763</v>
      </c>
      <c r="F1334" s="334"/>
      <c r="G1334" s="657">
        <v>44881</v>
      </c>
      <c r="H1334" s="426">
        <v>126250</v>
      </c>
      <c r="I1334" s="744"/>
      <c r="J1334" s="744"/>
      <c r="K1334" s="354">
        <f t="shared" si="239"/>
        <v>126250</v>
      </c>
      <c r="L1334" s="657">
        <v>44881</v>
      </c>
      <c r="M1334" s="742">
        <v>15565</v>
      </c>
      <c r="N1334" s="352">
        <f t="shared" si="241"/>
        <v>110685</v>
      </c>
      <c r="O1334" s="357">
        <f t="shared" si="238"/>
        <v>502</v>
      </c>
      <c r="P1334" s="410">
        <v>9</v>
      </c>
      <c r="Q1334" s="358">
        <f t="shared" si="243"/>
        <v>1.3753424657534246</v>
      </c>
      <c r="R1334" s="359">
        <f t="shared" si="244"/>
        <v>7.624657534246575</v>
      </c>
      <c r="S1334" s="360">
        <f t="shared" si="245"/>
        <v>7.624657534246575</v>
      </c>
      <c r="T1334" s="361">
        <f t="shared" si="246"/>
        <v>0.10555555555555554</v>
      </c>
      <c r="U1334" s="362">
        <f t="shared" si="247"/>
        <v>13326.388888888887</v>
      </c>
      <c r="V1334" s="362">
        <f t="shared" si="248"/>
        <v>97358.611111111109</v>
      </c>
      <c r="W1334" s="362">
        <f t="shared" si="249"/>
        <v>6313</v>
      </c>
      <c r="X1334" s="742">
        <f t="shared" si="240"/>
        <v>91045.611111111109</v>
      </c>
    </row>
    <row r="1335" spans="1:24" ht="13.9">
      <c r="A1335" s="349">
        <f t="shared" si="242"/>
        <v>1327</v>
      </c>
      <c r="B1335" s="654" t="s">
        <v>568</v>
      </c>
      <c r="C1335" s="654" t="s">
        <v>3459</v>
      </c>
      <c r="D1335" s="743" t="s">
        <v>3663</v>
      </c>
      <c r="E1335" s="654" t="s">
        <v>763</v>
      </c>
      <c r="F1335" s="334"/>
      <c r="G1335" s="657">
        <v>44881</v>
      </c>
      <c r="H1335" s="426">
        <v>1201421</v>
      </c>
      <c r="I1335" s="744"/>
      <c r="J1335" s="744"/>
      <c r="K1335" s="354">
        <f t="shared" si="239"/>
        <v>1201421</v>
      </c>
      <c r="L1335" s="657">
        <v>44881</v>
      </c>
      <c r="M1335" s="742">
        <v>148120</v>
      </c>
      <c r="N1335" s="352">
        <f t="shared" si="241"/>
        <v>1053301</v>
      </c>
      <c r="O1335" s="357">
        <f t="shared" si="238"/>
        <v>502</v>
      </c>
      <c r="P1335" s="410">
        <v>9</v>
      </c>
      <c r="Q1335" s="358">
        <f t="shared" si="243"/>
        <v>1.3753424657534246</v>
      </c>
      <c r="R1335" s="359">
        <f t="shared" si="244"/>
        <v>7.624657534246575</v>
      </c>
      <c r="S1335" s="360">
        <f t="shared" si="245"/>
        <v>7.624657534246575</v>
      </c>
      <c r="T1335" s="361">
        <f t="shared" si="246"/>
        <v>0.10555555555555554</v>
      </c>
      <c r="U1335" s="362">
        <f t="shared" si="247"/>
        <v>126816.6611111111</v>
      </c>
      <c r="V1335" s="362">
        <f t="shared" si="248"/>
        <v>926484.33888888895</v>
      </c>
      <c r="W1335" s="362">
        <f t="shared" si="249"/>
        <v>60071</v>
      </c>
      <c r="X1335" s="742">
        <f t="shared" si="240"/>
        <v>866413.33888888895</v>
      </c>
    </row>
    <row r="1336" spans="1:24" ht="13.9">
      <c r="A1336" s="349">
        <f t="shared" si="242"/>
        <v>1328</v>
      </c>
      <c r="B1336" s="654" t="s">
        <v>568</v>
      </c>
      <c r="C1336" s="654" t="s">
        <v>3459</v>
      </c>
      <c r="D1336" s="743" t="s">
        <v>3663</v>
      </c>
      <c r="E1336" s="654" t="s">
        <v>763</v>
      </c>
      <c r="F1336" s="334"/>
      <c r="G1336" s="657">
        <v>44902</v>
      </c>
      <c r="H1336" s="426">
        <v>167300</v>
      </c>
      <c r="I1336" s="744"/>
      <c r="J1336" s="744"/>
      <c r="K1336" s="354">
        <f t="shared" si="239"/>
        <v>167300</v>
      </c>
      <c r="L1336" s="657">
        <v>44902</v>
      </c>
      <c r="M1336" s="742">
        <v>17418</v>
      </c>
      <c r="N1336" s="352">
        <f t="shared" si="241"/>
        <v>149882</v>
      </c>
      <c r="O1336" s="357">
        <f t="shared" si="238"/>
        <v>481</v>
      </c>
      <c r="P1336" s="410">
        <v>9</v>
      </c>
      <c r="Q1336" s="358">
        <f t="shared" si="243"/>
        <v>1.3178082191780822</v>
      </c>
      <c r="R1336" s="359">
        <f t="shared" si="244"/>
        <v>7.6821917808219178</v>
      </c>
      <c r="S1336" s="360">
        <f t="shared" si="245"/>
        <v>7.6821917808219178</v>
      </c>
      <c r="T1336" s="361">
        <f t="shared" si="246"/>
        <v>0.10555555555555554</v>
      </c>
      <c r="U1336" s="362">
        <f t="shared" si="247"/>
        <v>17659.444444444442</v>
      </c>
      <c r="V1336" s="362">
        <f t="shared" si="248"/>
        <v>132222.55555555556</v>
      </c>
      <c r="W1336" s="362">
        <f t="shared" si="249"/>
        <v>8365</v>
      </c>
      <c r="X1336" s="742">
        <f t="shared" si="240"/>
        <v>123857.55555555556</v>
      </c>
    </row>
    <row r="1337" spans="1:24" ht="13.9">
      <c r="A1337" s="349">
        <f t="shared" si="242"/>
        <v>1329</v>
      </c>
      <c r="B1337" s="654" t="s">
        <v>568</v>
      </c>
      <c r="C1337" s="654" t="s">
        <v>3459</v>
      </c>
      <c r="D1337" s="743" t="s">
        <v>3663</v>
      </c>
      <c r="E1337" s="654" t="s">
        <v>763</v>
      </c>
      <c r="F1337" s="334"/>
      <c r="G1337" s="657">
        <v>44902</v>
      </c>
      <c r="H1337" s="426">
        <v>325359.2</v>
      </c>
      <c r="I1337" s="744"/>
      <c r="J1337" s="744"/>
      <c r="K1337" s="354">
        <f t="shared" si="239"/>
        <v>325359.2</v>
      </c>
      <c r="L1337" s="657">
        <v>44902</v>
      </c>
      <c r="M1337" s="742">
        <v>33873</v>
      </c>
      <c r="N1337" s="352">
        <f t="shared" si="241"/>
        <v>291486.2</v>
      </c>
      <c r="O1337" s="357">
        <f t="shared" si="238"/>
        <v>481</v>
      </c>
      <c r="P1337" s="410">
        <v>9</v>
      </c>
      <c r="Q1337" s="358">
        <f t="shared" si="243"/>
        <v>1.3178082191780822</v>
      </c>
      <c r="R1337" s="359">
        <f t="shared" si="244"/>
        <v>7.6821917808219178</v>
      </c>
      <c r="S1337" s="360">
        <f t="shared" si="245"/>
        <v>7.6821917808219178</v>
      </c>
      <c r="T1337" s="361">
        <f t="shared" si="246"/>
        <v>0.10555555555555554</v>
      </c>
      <c r="U1337" s="362">
        <f t="shared" si="247"/>
        <v>34343.47111111111</v>
      </c>
      <c r="V1337" s="362">
        <f t="shared" si="248"/>
        <v>257142.7288888889</v>
      </c>
      <c r="W1337" s="362">
        <f t="shared" si="249"/>
        <v>16268</v>
      </c>
      <c r="X1337" s="742">
        <f t="shared" si="240"/>
        <v>240874.7288888889</v>
      </c>
    </row>
    <row r="1338" spans="1:24" ht="13.9">
      <c r="A1338" s="349">
        <f t="shared" si="242"/>
        <v>1330</v>
      </c>
      <c r="B1338" s="654" t="s">
        <v>569</v>
      </c>
      <c r="C1338" s="654" t="s">
        <v>3459</v>
      </c>
      <c r="D1338" s="743" t="s">
        <v>3663</v>
      </c>
      <c r="E1338" s="654" t="s">
        <v>406</v>
      </c>
      <c r="F1338" s="334"/>
      <c r="G1338" s="657">
        <v>44844</v>
      </c>
      <c r="H1338" s="426">
        <v>1739587</v>
      </c>
      <c r="I1338" s="744"/>
      <c r="J1338" s="744"/>
      <c r="K1338" s="354">
        <f t="shared" si="239"/>
        <v>1739587</v>
      </c>
      <c r="L1338" s="657">
        <v>44844</v>
      </c>
      <c r="M1338" s="742">
        <v>273250</v>
      </c>
      <c r="N1338" s="352">
        <f t="shared" si="241"/>
        <v>1466337</v>
      </c>
      <c r="O1338" s="357">
        <f t="shared" si="238"/>
        <v>539</v>
      </c>
      <c r="P1338" s="410">
        <v>9</v>
      </c>
      <c r="Q1338" s="358">
        <f t="shared" si="243"/>
        <v>1.4767123287671233</v>
      </c>
      <c r="R1338" s="359">
        <f t="shared" si="244"/>
        <v>7.5232876712328771</v>
      </c>
      <c r="S1338" s="360">
        <f t="shared" si="245"/>
        <v>7.5232876712328771</v>
      </c>
      <c r="T1338" s="361">
        <f t="shared" si="246"/>
        <v>0.10555555555555554</v>
      </c>
      <c r="U1338" s="362">
        <f t="shared" si="247"/>
        <v>183623.0722222222</v>
      </c>
      <c r="V1338" s="362">
        <f t="shared" si="248"/>
        <v>1282713.9277777779</v>
      </c>
      <c r="W1338" s="362">
        <f t="shared" si="249"/>
        <v>86979</v>
      </c>
      <c r="X1338" s="742">
        <f t="shared" si="240"/>
        <v>1195734.9277777779</v>
      </c>
    </row>
    <row r="1339" spans="1:24" ht="13.9">
      <c r="A1339" s="349">
        <f t="shared" si="242"/>
        <v>1331</v>
      </c>
      <c r="B1339" s="654" t="s">
        <v>569</v>
      </c>
      <c r="C1339" s="654" t="s">
        <v>3459</v>
      </c>
      <c r="D1339" s="743" t="s">
        <v>3663</v>
      </c>
      <c r="E1339" s="654" t="s">
        <v>406</v>
      </c>
      <c r="F1339" s="334"/>
      <c r="G1339" s="657">
        <v>44870</v>
      </c>
      <c r="H1339" s="426">
        <v>2075088.16</v>
      </c>
      <c r="I1339" s="744"/>
      <c r="J1339" s="744"/>
      <c r="K1339" s="354">
        <f t="shared" si="239"/>
        <v>2075088.16</v>
      </c>
      <c r="L1339" s="657">
        <v>44870</v>
      </c>
      <c r="M1339" s="742">
        <v>276678</v>
      </c>
      <c r="N1339" s="352">
        <f t="shared" si="241"/>
        <v>1798410.16</v>
      </c>
      <c r="O1339" s="357">
        <f t="shared" si="238"/>
        <v>513</v>
      </c>
      <c r="P1339" s="410">
        <v>9</v>
      </c>
      <c r="Q1339" s="358">
        <f t="shared" si="243"/>
        <v>1.4054794520547946</v>
      </c>
      <c r="R1339" s="359">
        <f t="shared" si="244"/>
        <v>7.5945205479452049</v>
      </c>
      <c r="S1339" s="360">
        <f t="shared" si="245"/>
        <v>7.5945205479452049</v>
      </c>
      <c r="T1339" s="361">
        <f t="shared" si="246"/>
        <v>0.10555555555555554</v>
      </c>
      <c r="U1339" s="362">
        <f t="shared" si="247"/>
        <v>219037.08355555552</v>
      </c>
      <c r="V1339" s="362">
        <f t="shared" si="248"/>
        <v>1579373.0764444445</v>
      </c>
      <c r="W1339" s="362">
        <f t="shared" si="249"/>
        <v>103754</v>
      </c>
      <c r="X1339" s="742">
        <f t="shared" si="240"/>
        <v>1475619.0764444445</v>
      </c>
    </row>
    <row r="1340" spans="1:24" ht="13.9">
      <c r="A1340" s="349">
        <f t="shared" si="242"/>
        <v>1332</v>
      </c>
      <c r="B1340" s="654" t="s">
        <v>569</v>
      </c>
      <c r="C1340" s="654" t="s">
        <v>3459</v>
      </c>
      <c r="D1340" s="743" t="s">
        <v>3663</v>
      </c>
      <c r="E1340" s="654" t="s">
        <v>406</v>
      </c>
      <c r="F1340" s="334"/>
      <c r="G1340" s="657">
        <v>44890</v>
      </c>
      <c r="H1340" s="426">
        <v>2184779</v>
      </c>
      <c r="I1340" s="744"/>
      <c r="J1340" s="744"/>
      <c r="K1340" s="354">
        <f t="shared" si="239"/>
        <v>2184779</v>
      </c>
      <c r="L1340" s="657">
        <v>44890</v>
      </c>
      <c r="M1340" s="742">
        <v>251399</v>
      </c>
      <c r="N1340" s="352">
        <f t="shared" si="241"/>
        <v>1933380</v>
      </c>
      <c r="O1340" s="357">
        <f t="shared" si="238"/>
        <v>493</v>
      </c>
      <c r="P1340" s="410">
        <v>9</v>
      </c>
      <c r="Q1340" s="358">
        <f t="shared" si="243"/>
        <v>1.3506849315068492</v>
      </c>
      <c r="R1340" s="359">
        <f t="shared" si="244"/>
        <v>7.6493150684931503</v>
      </c>
      <c r="S1340" s="360">
        <f t="shared" si="245"/>
        <v>7.6493150684931503</v>
      </c>
      <c r="T1340" s="361">
        <f t="shared" si="246"/>
        <v>0.10555555555555554</v>
      </c>
      <c r="U1340" s="362">
        <f t="shared" si="247"/>
        <v>230615.56111111108</v>
      </c>
      <c r="V1340" s="362">
        <f t="shared" si="248"/>
        <v>1702764.4388888888</v>
      </c>
      <c r="W1340" s="362">
        <f t="shared" si="249"/>
        <v>109239</v>
      </c>
      <c r="X1340" s="742">
        <f t="shared" si="240"/>
        <v>1593525.4388888888</v>
      </c>
    </row>
    <row r="1341" spans="1:24" ht="13.9">
      <c r="A1341" s="349">
        <f t="shared" si="242"/>
        <v>1333</v>
      </c>
      <c r="B1341" s="654" t="s">
        <v>569</v>
      </c>
      <c r="C1341" s="654" t="s">
        <v>3459</v>
      </c>
      <c r="D1341" s="743" t="s">
        <v>3663</v>
      </c>
      <c r="E1341" s="654" t="s">
        <v>406</v>
      </c>
      <c r="F1341" s="334"/>
      <c r="G1341" s="657">
        <v>44896</v>
      </c>
      <c r="H1341" s="426">
        <v>194084</v>
      </c>
      <c r="I1341" s="744"/>
      <c r="J1341" s="744"/>
      <c r="K1341" s="354">
        <f t="shared" si="239"/>
        <v>194084</v>
      </c>
      <c r="L1341" s="657">
        <v>44896</v>
      </c>
      <c r="M1341" s="742">
        <v>21269</v>
      </c>
      <c r="N1341" s="352">
        <f t="shared" si="241"/>
        <v>172815</v>
      </c>
      <c r="O1341" s="357">
        <f t="shared" si="238"/>
        <v>487</v>
      </c>
      <c r="P1341" s="410">
        <v>9</v>
      </c>
      <c r="Q1341" s="358">
        <f t="shared" si="243"/>
        <v>1.3342465753424657</v>
      </c>
      <c r="R1341" s="359">
        <f t="shared" si="244"/>
        <v>7.6657534246575345</v>
      </c>
      <c r="S1341" s="360">
        <f t="shared" si="245"/>
        <v>7.6657534246575345</v>
      </c>
      <c r="T1341" s="361">
        <f t="shared" si="246"/>
        <v>0.10555555555555554</v>
      </c>
      <c r="U1341" s="362">
        <f t="shared" si="247"/>
        <v>20486.644444444442</v>
      </c>
      <c r="V1341" s="362">
        <f t="shared" si="248"/>
        <v>152328.35555555555</v>
      </c>
      <c r="W1341" s="362">
        <f t="shared" si="249"/>
        <v>9704</v>
      </c>
      <c r="X1341" s="742">
        <f t="shared" si="240"/>
        <v>142624.35555555555</v>
      </c>
    </row>
    <row r="1342" spans="1:24" ht="13.9">
      <c r="A1342" s="349">
        <f t="shared" si="242"/>
        <v>1334</v>
      </c>
      <c r="B1342" s="654" t="s">
        <v>327</v>
      </c>
      <c r="C1342" s="654" t="s">
        <v>3459</v>
      </c>
      <c r="D1342" s="743" t="s">
        <v>3663</v>
      </c>
      <c r="E1342" s="654" t="s">
        <v>764</v>
      </c>
      <c r="F1342" s="334"/>
      <c r="G1342" s="657">
        <v>44891</v>
      </c>
      <c r="H1342" s="426">
        <v>530000</v>
      </c>
      <c r="I1342" s="744"/>
      <c r="J1342" s="744"/>
      <c r="K1342" s="354">
        <f t="shared" si="239"/>
        <v>530000</v>
      </c>
      <c r="L1342" s="657">
        <v>44891</v>
      </c>
      <c r="M1342" s="742">
        <v>20167</v>
      </c>
      <c r="N1342" s="352">
        <f t="shared" si="241"/>
        <v>509833</v>
      </c>
      <c r="O1342" s="357">
        <f t="shared" si="238"/>
        <v>492</v>
      </c>
      <c r="P1342" s="410">
        <v>9</v>
      </c>
      <c r="Q1342" s="358">
        <f t="shared" si="243"/>
        <v>1.3479452054794521</v>
      </c>
      <c r="R1342" s="359">
        <f t="shared" si="244"/>
        <v>7.6520547945205477</v>
      </c>
      <c r="S1342" s="360">
        <f t="shared" si="245"/>
        <v>7.6520547945205477</v>
      </c>
      <c r="T1342" s="361">
        <f t="shared" si="246"/>
        <v>0.10555555555555554</v>
      </c>
      <c r="U1342" s="362">
        <f t="shared" si="247"/>
        <v>55944.444444444438</v>
      </c>
      <c r="V1342" s="362">
        <f t="shared" si="248"/>
        <v>453888.55555555556</v>
      </c>
      <c r="W1342" s="362">
        <f t="shared" si="249"/>
        <v>26500</v>
      </c>
      <c r="X1342" s="742">
        <f t="shared" si="240"/>
        <v>427388.55555555556</v>
      </c>
    </row>
    <row r="1343" spans="1:24" ht="13.9">
      <c r="A1343" s="349">
        <f t="shared" si="242"/>
        <v>1335</v>
      </c>
      <c r="B1343" s="654" t="s">
        <v>327</v>
      </c>
      <c r="C1343" s="654" t="s">
        <v>3459</v>
      </c>
      <c r="D1343" s="743" t="s">
        <v>3663</v>
      </c>
      <c r="E1343" s="654" t="s">
        <v>764</v>
      </c>
      <c r="F1343" s="334"/>
      <c r="G1343" s="657">
        <v>44904</v>
      </c>
      <c r="H1343" s="426">
        <v>1100000</v>
      </c>
      <c r="I1343" s="744"/>
      <c r="J1343" s="744"/>
      <c r="K1343" s="354">
        <f t="shared" si="239"/>
        <v>1100000</v>
      </c>
      <c r="L1343" s="657">
        <v>44904</v>
      </c>
      <c r="M1343" s="742">
        <v>37504</v>
      </c>
      <c r="N1343" s="352">
        <f t="shared" si="241"/>
        <v>1062496</v>
      </c>
      <c r="O1343" s="357">
        <f t="shared" si="238"/>
        <v>479</v>
      </c>
      <c r="P1343" s="410">
        <v>9</v>
      </c>
      <c r="Q1343" s="358">
        <f t="shared" si="243"/>
        <v>1.3123287671232877</v>
      </c>
      <c r="R1343" s="359">
        <f t="shared" si="244"/>
        <v>7.6876712328767125</v>
      </c>
      <c r="S1343" s="360">
        <f t="shared" si="245"/>
        <v>7.6876712328767125</v>
      </c>
      <c r="T1343" s="361">
        <f t="shared" si="246"/>
        <v>0.10555555555555554</v>
      </c>
      <c r="U1343" s="362">
        <f t="shared" si="247"/>
        <v>116111.11111111109</v>
      </c>
      <c r="V1343" s="362">
        <f t="shared" si="248"/>
        <v>946384.88888888888</v>
      </c>
      <c r="W1343" s="362">
        <f t="shared" si="249"/>
        <v>55000</v>
      </c>
      <c r="X1343" s="742">
        <f t="shared" si="240"/>
        <v>891384.88888888888</v>
      </c>
    </row>
    <row r="1344" spans="1:24" ht="13.9">
      <c r="A1344" s="349">
        <f t="shared" si="242"/>
        <v>1336</v>
      </c>
      <c r="B1344" s="654" t="s">
        <v>327</v>
      </c>
      <c r="C1344" s="654" t="s">
        <v>3459</v>
      </c>
      <c r="D1344" s="743" t="s">
        <v>3663</v>
      </c>
      <c r="E1344" s="654" t="s">
        <v>764</v>
      </c>
      <c r="F1344" s="334"/>
      <c r="G1344" s="657">
        <v>44904</v>
      </c>
      <c r="H1344" s="426">
        <v>1100000</v>
      </c>
      <c r="I1344" s="744"/>
      <c r="J1344" s="744"/>
      <c r="K1344" s="354">
        <f t="shared" si="239"/>
        <v>1100000</v>
      </c>
      <c r="L1344" s="657">
        <v>44904</v>
      </c>
      <c r="M1344" s="742">
        <v>37504</v>
      </c>
      <c r="N1344" s="352">
        <f t="shared" si="241"/>
        <v>1062496</v>
      </c>
      <c r="O1344" s="357">
        <f t="shared" si="238"/>
        <v>479</v>
      </c>
      <c r="P1344" s="410">
        <v>9</v>
      </c>
      <c r="Q1344" s="358">
        <f t="shared" si="243"/>
        <v>1.3123287671232877</v>
      </c>
      <c r="R1344" s="359">
        <f t="shared" si="244"/>
        <v>7.6876712328767125</v>
      </c>
      <c r="S1344" s="360">
        <f t="shared" si="245"/>
        <v>7.6876712328767125</v>
      </c>
      <c r="T1344" s="361">
        <f t="shared" si="246"/>
        <v>0.10555555555555554</v>
      </c>
      <c r="U1344" s="362">
        <f t="shared" si="247"/>
        <v>116111.11111111109</v>
      </c>
      <c r="V1344" s="362">
        <f t="shared" si="248"/>
        <v>946384.88888888888</v>
      </c>
      <c r="W1344" s="362">
        <f t="shared" si="249"/>
        <v>55000</v>
      </c>
      <c r="X1344" s="742">
        <f t="shared" si="240"/>
        <v>891384.88888888888</v>
      </c>
    </row>
    <row r="1345" spans="1:24" ht="13.9">
      <c r="A1345" s="349">
        <f t="shared" si="242"/>
        <v>1337</v>
      </c>
      <c r="B1345" s="654" t="s">
        <v>570</v>
      </c>
      <c r="C1345" s="654" t="s">
        <v>3459</v>
      </c>
      <c r="D1345" s="743" t="s">
        <v>3663</v>
      </c>
      <c r="E1345" s="654" t="s">
        <v>765</v>
      </c>
      <c r="F1345" s="334"/>
      <c r="G1345" s="657">
        <v>44924</v>
      </c>
      <c r="H1345" s="426">
        <v>152858</v>
      </c>
      <c r="I1345" s="744"/>
      <c r="J1345" s="744"/>
      <c r="K1345" s="354">
        <f t="shared" si="239"/>
        <v>152858</v>
      </c>
      <c r="L1345" s="657">
        <v>44924</v>
      </c>
      <c r="M1345" s="742">
        <v>4281</v>
      </c>
      <c r="N1345" s="352">
        <f t="shared" si="241"/>
        <v>148577</v>
      </c>
      <c r="O1345" s="357">
        <f t="shared" si="238"/>
        <v>459</v>
      </c>
      <c r="P1345" s="410">
        <v>9</v>
      </c>
      <c r="Q1345" s="358">
        <f t="shared" si="243"/>
        <v>1.2575342465753425</v>
      </c>
      <c r="R1345" s="359">
        <f t="shared" si="244"/>
        <v>7.742465753424657</v>
      </c>
      <c r="S1345" s="360">
        <f t="shared" si="245"/>
        <v>7.742465753424657</v>
      </c>
      <c r="T1345" s="361">
        <f t="shared" si="246"/>
        <v>0.10555555555555554</v>
      </c>
      <c r="U1345" s="362">
        <f t="shared" si="247"/>
        <v>16135.011111111109</v>
      </c>
      <c r="V1345" s="362">
        <f t="shared" si="248"/>
        <v>132441.98888888888</v>
      </c>
      <c r="W1345" s="362">
        <f t="shared" si="249"/>
        <v>7643</v>
      </c>
      <c r="X1345" s="742">
        <f t="shared" si="240"/>
        <v>124798.98888888888</v>
      </c>
    </row>
    <row r="1346" spans="1:24" ht="13.9">
      <c r="A1346" s="349">
        <f t="shared" si="242"/>
        <v>1338</v>
      </c>
      <c r="B1346" s="654" t="s">
        <v>570</v>
      </c>
      <c r="C1346" s="654" t="s">
        <v>3459</v>
      </c>
      <c r="D1346" s="743" t="s">
        <v>3663</v>
      </c>
      <c r="E1346" s="654" t="s">
        <v>765</v>
      </c>
      <c r="F1346" s="334"/>
      <c r="G1346" s="657">
        <v>44926</v>
      </c>
      <c r="H1346" s="426">
        <v>29440</v>
      </c>
      <c r="I1346" s="744"/>
      <c r="J1346" s="744"/>
      <c r="K1346" s="354">
        <f t="shared" si="239"/>
        <v>29440</v>
      </c>
      <c r="L1346" s="657">
        <v>44926</v>
      </c>
      <c r="M1346" s="742">
        <v>807</v>
      </c>
      <c r="N1346" s="352">
        <f t="shared" si="241"/>
        <v>28633</v>
      </c>
      <c r="O1346" s="357">
        <f t="shared" si="238"/>
        <v>457</v>
      </c>
      <c r="P1346" s="410">
        <v>9</v>
      </c>
      <c r="Q1346" s="358">
        <f t="shared" si="243"/>
        <v>1.252054794520548</v>
      </c>
      <c r="R1346" s="359">
        <f t="shared" si="244"/>
        <v>7.7479452054794518</v>
      </c>
      <c r="S1346" s="360">
        <f t="shared" si="245"/>
        <v>7.7479452054794518</v>
      </c>
      <c r="T1346" s="361">
        <f t="shared" si="246"/>
        <v>0.10555555555555554</v>
      </c>
      <c r="U1346" s="362">
        <f t="shared" si="247"/>
        <v>3107.5555555555552</v>
      </c>
      <c r="V1346" s="362">
        <f t="shared" si="248"/>
        <v>25525.444444444445</v>
      </c>
      <c r="W1346" s="362">
        <f t="shared" si="249"/>
        <v>1472</v>
      </c>
      <c r="X1346" s="742">
        <f t="shared" si="240"/>
        <v>24053.444444444445</v>
      </c>
    </row>
    <row r="1347" spans="1:24" ht="13.9">
      <c r="A1347" s="349">
        <f t="shared" si="242"/>
        <v>1339</v>
      </c>
      <c r="B1347" s="654" t="s">
        <v>71</v>
      </c>
      <c r="C1347" s="654" t="s">
        <v>3459</v>
      </c>
      <c r="D1347" s="743" t="s">
        <v>3663</v>
      </c>
      <c r="E1347" s="654" t="s">
        <v>766</v>
      </c>
      <c r="F1347" s="334"/>
      <c r="G1347" s="657">
        <v>44862</v>
      </c>
      <c r="H1347" s="426">
        <v>2860458</v>
      </c>
      <c r="I1347" s="744"/>
      <c r="J1347" s="744"/>
      <c r="K1347" s="354">
        <f t="shared" si="239"/>
        <v>2860458</v>
      </c>
      <c r="L1347" s="657">
        <v>44862</v>
      </c>
      <c r="M1347" s="742">
        <v>134098</v>
      </c>
      <c r="N1347" s="352">
        <f t="shared" si="241"/>
        <v>2726360</v>
      </c>
      <c r="O1347" s="357">
        <f t="shared" ref="O1347:O1410" si="250">+$O$3-L1347+1</f>
        <v>521</v>
      </c>
      <c r="P1347" s="410">
        <v>9</v>
      </c>
      <c r="Q1347" s="358">
        <f t="shared" si="243"/>
        <v>1.4273972602739726</v>
      </c>
      <c r="R1347" s="359">
        <f t="shared" si="244"/>
        <v>7.5726027397260278</v>
      </c>
      <c r="S1347" s="360">
        <f t="shared" si="245"/>
        <v>7.5726027397260278</v>
      </c>
      <c r="T1347" s="361">
        <f t="shared" si="246"/>
        <v>0.10555555555555554</v>
      </c>
      <c r="U1347" s="362">
        <f t="shared" si="247"/>
        <v>301937.23333333328</v>
      </c>
      <c r="V1347" s="362">
        <f t="shared" si="248"/>
        <v>2424422.7666666666</v>
      </c>
      <c r="W1347" s="362">
        <f t="shared" si="249"/>
        <v>143023</v>
      </c>
      <c r="X1347" s="742">
        <f t="shared" si="240"/>
        <v>2281399.7666666666</v>
      </c>
    </row>
    <row r="1348" spans="1:24" ht="13.9">
      <c r="A1348" s="349">
        <f t="shared" si="242"/>
        <v>1340</v>
      </c>
      <c r="B1348" s="654" t="s">
        <v>71</v>
      </c>
      <c r="C1348" s="654" t="s">
        <v>3459</v>
      </c>
      <c r="D1348" s="743" t="s">
        <v>3663</v>
      </c>
      <c r="E1348" s="654" t="s">
        <v>766</v>
      </c>
      <c r="F1348" s="334"/>
      <c r="G1348" s="657">
        <v>44862</v>
      </c>
      <c r="H1348" s="426">
        <v>2860458</v>
      </c>
      <c r="I1348" s="744"/>
      <c r="J1348" s="744"/>
      <c r="K1348" s="354">
        <f t="shared" ref="K1348:K1411" si="251">+H1348+I1348-J1348</f>
        <v>2860458</v>
      </c>
      <c r="L1348" s="657">
        <v>44862</v>
      </c>
      <c r="M1348" s="742">
        <v>134098</v>
      </c>
      <c r="N1348" s="352">
        <f t="shared" si="241"/>
        <v>2726360</v>
      </c>
      <c r="O1348" s="357">
        <f t="shared" si="250"/>
        <v>521</v>
      </c>
      <c r="P1348" s="410">
        <v>9</v>
      </c>
      <c r="Q1348" s="358">
        <f t="shared" si="243"/>
        <v>1.4273972602739726</v>
      </c>
      <c r="R1348" s="359">
        <f t="shared" si="244"/>
        <v>7.5726027397260278</v>
      </c>
      <c r="S1348" s="360">
        <f t="shared" si="245"/>
        <v>7.5726027397260278</v>
      </c>
      <c r="T1348" s="361">
        <f t="shared" si="246"/>
        <v>0.10555555555555554</v>
      </c>
      <c r="U1348" s="362">
        <f t="shared" si="247"/>
        <v>301937.23333333328</v>
      </c>
      <c r="V1348" s="362">
        <f t="shared" si="248"/>
        <v>2424422.7666666666</v>
      </c>
      <c r="W1348" s="362">
        <f t="shared" si="249"/>
        <v>143023</v>
      </c>
      <c r="X1348" s="742">
        <f t="shared" ref="X1348:X1411" si="252">+V1348-W1348</f>
        <v>2281399.7666666666</v>
      </c>
    </row>
    <row r="1349" spans="1:24" ht="13.9">
      <c r="A1349" s="349">
        <f t="shared" si="242"/>
        <v>1341</v>
      </c>
      <c r="B1349" s="654" t="s">
        <v>71</v>
      </c>
      <c r="C1349" s="654" t="s">
        <v>3459</v>
      </c>
      <c r="D1349" s="743" t="s">
        <v>3663</v>
      </c>
      <c r="E1349" s="654" t="s">
        <v>766</v>
      </c>
      <c r="F1349" s="334"/>
      <c r="G1349" s="657">
        <v>44862</v>
      </c>
      <c r="H1349" s="426">
        <v>2860458</v>
      </c>
      <c r="I1349" s="744"/>
      <c r="J1349" s="744"/>
      <c r="K1349" s="354">
        <f t="shared" si="251"/>
        <v>2860458</v>
      </c>
      <c r="L1349" s="657">
        <v>44862</v>
      </c>
      <c r="M1349" s="742">
        <v>134098</v>
      </c>
      <c r="N1349" s="352">
        <f t="shared" si="241"/>
        <v>2726360</v>
      </c>
      <c r="O1349" s="357">
        <f t="shared" si="250"/>
        <v>521</v>
      </c>
      <c r="P1349" s="410">
        <v>9</v>
      </c>
      <c r="Q1349" s="358">
        <f t="shared" si="243"/>
        <v>1.4273972602739726</v>
      </c>
      <c r="R1349" s="359">
        <f t="shared" si="244"/>
        <v>7.5726027397260278</v>
      </c>
      <c r="S1349" s="360">
        <f t="shared" si="245"/>
        <v>7.5726027397260278</v>
      </c>
      <c r="T1349" s="361">
        <f t="shared" si="246"/>
        <v>0.10555555555555554</v>
      </c>
      <c r="U1349" s="362">
        <f t="shared" si="247"/>
        <v>301937.23333333328</v>
      </c>
      <c r="V1349" s="362">
        <f t="shared" si="248"/>
        <v>2424422.7666666666</v>
      </c>
      <c r="W1349" s="362">
        <f t="shared" si="249"/>
        <v>143023</v>
      </c>
      <c r="X1349" s="742">
        <f t="shared" si="252"/>
        <v>2281399.7666666666</v>
      </c>
    </row>
    <row r="1350" spans="1:24" ht="13.9">
      <c r="A1350" s="349">
        <f t="shared" si="242"/>
        <v>1342</v>
      </c>
      <c r="B1350" s="654" t="s">
        <v>71</v>
      </c>
      <c r="C1350" s="654" t="s">
        <v>3459</v>
      </c>
      <c r="D1350" s="743" t="s">
        <v>3663</v>
      </c>
      <c r="E1350" s="654" t="s">
        <v>766</v>
      </c>
      <c r="F1350" s="334"/>
      <c r="G1350" s="657">
        <v>44907</v>
      </c>
      <c r="H1350" s="426">
        <v>1429455</v>
      </c>
      <c r="I1350" s="744"/>
      <c r="J1350" s="744"/>
      <c r="K1350" s="354">
        <f t="shared" si="251"/>
        <v>1429455</v>
      </c>
      <c r="L1350" s="657">
        <v>44907</v>
      </c>
      <c r="M1350" s="742">
        <v>47431</v>
      </c>
      <c r="N1350" s="352">
        <f t="shared" ref="N1350:N1413" si="253">+K1350-M1350</f>
        <v>1382024</v>
      </c>
      <c r="O1350" s="357">
        <f t="shared" si="250"/>
        <v>476</v>
      </c>
      <c r="P1350" s="410">
        <v>9</v>
      </c>
      <c r="Q1350" s="358">
        <f t="shared" si="243"/>
        <v>1.3041095890410959</v>
      </c>
      <c r="R1350" s="359">
        <f t="shared" si="244"/>
        <v>7.6958904109589046</v>
      </c>
      <c r="S1350" s="360">
        <f t="shared" si="245"/>
        <v>7.6958904109589046</v>
      </c>
      <c r="T1350" s="361">
        <f t="shared" si="246"/>
        <v>0.10555555555555554</v>
      </c>
      <c r="U1350" s="362">
        <f t="shared" si="247"/>
        <v>150886.91666666666</v>
      </c>
      <c r="V1350" s="362">
        <f t="shared" si="248"/>
        <v>1231137.0833333333</v>
      </c>
      <c r="W1350" s="362">
        <f t="shared" si="249"/>
        <v>71473</v>
      </c>
      <c r="X1350" s="742">
        <f t="shared" si="252"/>
        <v>1159664.0833333333</v>
      </c>
    </row>
    <row r="1351" spans="1:24" ht="13.9">
      <c r="A1351" s="349">
        <f t="shared" si="242"/>
        <v>1343</v>
      </c>
      <c r="B1351" s="654" t="s">
        <v>71</v>
      </c>
      <c r="C1351" s="654" t="s">
        <v>3459</v>
      </c>
      <c r="D1351" s="743" t="s">
        <v>3663</v>
      </c>
      <c r="E1351" s="654" t="s">
        <v>766</v>
      </c>
      <c r="F1351" s="334"/>
      <c r="G1351" s="657">
        <v>44907</v>
      </c>
      <c r="H1351" s="426">
        <v>1429455</v>
      </c>
      <c r="I1351" s="744"/>
      <c r="J1351" s="744"/>
      <c r="K1351" s="354">
        <f t="shared" si="251"/>
        <v>1429455</v>
      </c>
      <c r="L1351" s="657">
        <v>44907</v>
      </c>
      <c r="M1351" s="742">
        <v>47431</v>
      </c>
      <c r="N1351" s="352">
        <f t="shared" si="253"/>
        <v>1382024</v>
      </c>
      <c r="O1351" s="357">
        <f t="shared" si="250"/>
        <v>476</v>
      </c>
      <c r="P1351" s="410">
        <v>9</v>
      </c>
      <c r="Q1351" s="358">
        <f t="shared" si="243"/>
        <v>1.3041095890410959</v>
      </c>
      <c r="R1351" s="359">
        <f t="shared" si="244"/>
        <v>7.6958904109589046</v>
      </c>
      <c r="S1351" s="360">
        <f t="shared" si="245"/>
        <v>7.6958904109589046</v>
      </c>
      <c r="T1351" s="361">
        <f t="shared" si="246"/>
        <v>0.10555555555555554</v>
      </c>
      <c r="U1351" s="362">
        <f t="shared" si="247"/>
        <v>150886.91666666666</v>
      </c>
      <c r="V1351" s="362">
        <f t="shared" si="248"/>
        <v>1231137.0833333333</v>
      </c>
      <c r="W1351" s="362">
        <f t="shared" si="249"/>
        <v>71473</v>
      </c>
      <c r="X1351" s="742">
        <f t="shared" si="252"/>
        <v>1159664.0833333333</v>
      </c>
    </row>
    <row r="1352" spans="1:24" ht="13.9">
      <c r="A1352" s="349">
        <f t="shared" si="242"/>
        <v>1344</v>
      </c>
      <c r="B1352" s="654" t="s">
        <v>71</v>
      </c>
      <c r="C1352" s="654" t="s">
        <v>3459</v>
      </c>
      <c r="D1352" s="743" t="s">
        <v>3663</v>
      </c>
      <c r="E1352" s="654" t="s">
        <v>766</v>
      </c>
      <c r="F1352" s="334"/>
      <c r="G1352" s="657">
        <v>44907</v>
      </c>
      <c r="H1352" s="426">
        <v>1429455</v>
      </c>
      <c r="I1352" s="744"/>
      <c r="J1352" s="744"/>
      <c r="K1352" s="354">
        <f t="shared" si="251"/>
        <v>1429455</v>
      </c>
      <c r="L1352" s="657">
        <v>44907</v>
      </c>
      <c r="M1352" s="742">
        <v>47431</v>
      </c>
      <c r="N1352" s="352">
        <f t="shared" si="253"/>
        <v>1382024</v>
      </c>
      <c r="O1352" s="357">
        <f t="shared" si="250"/>
        <v>476</v>
      </c>
      <c r="P1352" s="410">
        <v>9</v>
      </c>
      <c r="Q1352" s="358">
        <f t="shared" si="243"/>
        <v>1.3041095890410959</v>
      </c>
      <c r="R1352" s="359">
        <f t="shared" si="244"/>
        <v>7.6958904109589046</v>
      </c>
      <c r="S1352" s="360">
        <f t="shared" si="245"/>
        <v>7.6958904109589046</v>
      </c>
      <c r="T1352" s="361">
        <f t="shared" si="246"/>
        <v>0.10555555555555554</v>
      </c>
      <c r="U1352" s="362">
        <f t="shared" si="247"/>
        <v>150886.91666666666</v>
      </c>
      <c r="V1352" s="362">
        <f t="shared" si="248"/>
        <v>1231137.0833333333</v>
      </c>
      <c r="W1352" s="362">
        <f t="shared" si="249"/>
        <v>71473</v>
      </c>
      <c r="X1352" s="742">
        <f t="shared" si="252"/>
        <v>1159664.0833333333</v>
      </c>
    </row>
    <row r="1353" spans="1:24" ht="13.9">
      <c r="A1353" s="349">
        <f t="shared" ref="A1353:A1416" si="254">+A1352+1</f>
        <v>1345</v>
      </c>
      <c r="B1353" s="654" t="s">
        <v>71</v>
      </c>
      <c r="C1353" s="654" t="s">
        <v>3459</v>
      </c>
      <c r="D1353" s="743" t="s">
        <v>3663</v>
      </c>
      <c r="E1353" s="654" t="s">
        <v>766</v>
      </c>
      <c r="F1353" s="334"/>
      <c r="G1353" s="657">
        <v>44908</v>
      </c>
      <c r="H1353" s="426">
        <v>3270421</v>
      </c>
      <c r="I1353" s="744"/>
      <c r="J1353" s="744"/>
      <c r="K1353" s="354">
        <f t="shared" si="251"/>
        <v>3270421</v>
      </c>
      <c r="L1353" s="657">
        <v>44908</v>
      </c>
      <c r="M1353" s="742">
        <v>107521</v>
      </c>
      <c r="N1353" s="352">
        <f t="shared" si="253"/>
        <v>3162900</v>
      </c>
      <c r="O1353" s="357">
        <f t="shared" si="250"/>
        <v>475</v>
      </c>
      <c r="P1353" s="410">
        <v>9</v>
      </c>
      <c r="Q1353" s="358">
        <f t="shared" si="243"/>
        <v>1.3013698630136987</v>
      </c>
      <c r="R1353" s="359">
        <f t="shared" si="244"/>
        <v>7.6986301369863011</v>
      </c>
      <c r="S1353" s="360">
        <f t="shared" si="245"/>
        <v>7.6986301369863011</v>
      </c>
      <c r="T1353" s="361">
        <f t="shared" si="246"/>
        <v>0.10555555555555554</v>
      </c>
      <c r="U1353" s="362">
        <f t="shared" si="247"/>
        <v>345211.10555555549</v>
      </c>
      <c r="V1353" s="362">
        <f t="shared" si="248"/>
        <v>2817688.8944444447</v>
      </c>
      <c r="W1353" s="362">
        <f t="shared" si="249"/>
        <v>163521</v>
      </c>
      <c r="X1353" s="742">
        <f t="shared" si="252"/>
        <v>2654167.8944444447</v>
      </c>
    </row>
    <row r="1354" spans="1:24" ht="13.9">
      <c r="A1354" s="349">
        <f t="shared" si="254"/>
        <v>1346</v>
      </c>
      <c r="B1354" s="654" t="s">
        <v>71</v>
      </c>
      <c r="C1354" s="654" t="s">
        <v>3459</v>
      </c>
      <c r="D1354" s="743" t="s">
        <v>3663</v>
      </c>
      <c r="E1354" s="654" t="s">
        <v>766</v>
      </c>
      <c r="F1354" s="334"/>
      <c r="G1354" s="657">
        <v>44908</v>
      </c>
      <c r="H1354" s="426">
        <v>3270421</v>
      </c>
      <c r="I1354" s="744"/>
      <c r="J1354" s="744"/>
      <c r="K1354" s="354">
        <f t="shared" si="251"/>
        <v>3270421</v>
      </c>
      <c r="L1354" s="657">
        <v>44908</v>
      </c>
      <c r="M1354" s="742">
        <v>107521</v>
      </c>
      <c r="N1354" s="352">
        <f t="shared" si="253"/>
        <v>3162900</v>
      </c>
      <c r="O1354" s="357">
        <f t="shared" si="250"/>
        <v>475</v>
      </c>
      <c r="P1354" s="410">
        <v>9</v>
      </c>
      <c r="Q1354" s="358">
        <f t="shared" si="243"/>
        <v>1.3013698630136987</v>
      </c>
      <c r="R1354" s="359">
        <f t="shared" si="244"/>
        <v>7.6986301369863011</v>
      </c>
      <c r="S1354" s="360">
        <f t="shared" si="245"/>
        <v>7.6986301369863011</v>
      </c>
      <c r="T1354" s="361">
        <f t="shared" si="246"/>
        <v>0.10555555555555554</v>
      </c>
      <c r="U1354" s="362">
        <f t="shared" si="247"/>
        <v>345211.10555555549</v>
      </c>
      <c r="V1354" s="362">
        <f t="shared" si="248"/>
        <v>2817688.8944444447</v>
      </c>
      <c r="W1354" s="362">
        <f t="shared" si="249"/>
        <v>163521</v>
      </c>
      <c r="X1354" s="742">
        <f t="shared" si="252"/>
        <v>2654167.8944444447</v>
      </c>
    </row>
    <row r="1355" spans="1:24" ht="13.9">
      <c r="A1355" s="349">
        <f t="shared" si="254"/>
        <v>1347</v>
      </c>
      <c r="B1355" s="654" t="s">
        <v>71</v>
      </c>
      <c r="C1355" s="654" t="s">
        <v>3459</v>
      </c>
      <c r="D1355" s="743" t="s">
        <v>3663</v>
      </c>
      <c r="E1355" s="654" t="s">
        <v>766</v>
      </c>
      <c r="F1355" s="334"/>
      <c r="G1355" s="657">
        <v>44908</v>
      </c>
      <c r="H1355" s="426">
        <v>3270421</v>
      </c>
      <c r="I1355" s="744"/>
      <c r="J1355" s="744"/>
      <c r="K1355" s="354">
        <f t="shared" si="251"/>
        <v>3270421</v>
      </c>
      <c r="L1355" s="657">
        <v>44908</v>
      </c>
      <c r="M1355" s="742">
        <v>107521</v>
      </c>
      <c r="N1355" s="352">
        <f t="shared" si="253"/>
        <v>3162900</v>
      </c>
      <c r="O1355" s="357">
        <f t="shared" si="250"/>
        <v>475</v>
      </c>
      <c r="P1355" s="410">
        <v>9</v>
      </c>
      <c r="Q1355" s="358">
        <f t="shared" si="243"/>
        <v>1.3013698630136987</v>
      </c>
      <c r="R1355" s="359">
        <f t="shared" si="244"/>
        <v>7.6986301369863011</v>
      </c>
      <c r="S1355" s="360">
        <f t="shared" si="245"/>
        <v>7.6986301369863011</v>
      </c>
      <c r="T1355" s="361">
        <f t="shared" si="246"/>
        <v>0.10555555555555554</v>
      </c>
      <c r="U1355" s="362">
        <f t="shared" si="247"/>
        <v>345211.10555555549</v>
      </c>
      <c r="V1355" s="362">
        <f t="shared" si="248"/>
        <v>2817688.8944444447</v>
      </c>
      <c r="W1355" s="362">
        <f t="shared" si="249"/>
        <v>163521</v>
      </c>
      <c r="X1355" s="742">
        <f t="shared" si="252"/>
        <v>2654167.8944444447</v>
      </c>
    </row>
    <row r="1356" spans="1:24" ht="13.9">
      <c r="A1356" s="349">
        <f t="shared" si="254"/>
        <v>1348</v>
      </c>
      <c r="B1356" s="654" t="s">
        <v>71</v>
      </c>
      <c r="C1356" s="654" t="s">
        <v>3459</v>
      </c>
      <c r="D1356" s="743" t="s">
        <v>3663</v>
      </c>
      <c r="E1356" s="654" t="s">
        <v>766</v>
      </c>
      <c r="F1356" s="334"/>
      <c r="G1356" s="657">
        <v>44908</v>
      </c>
      <c r="H1356" s="426">
        <v>3270421</v>
      </c>
      <c r="I1356" s="744"/>
      <c r="J1356" s="744"/>
      <c r="K1356" s="354">
        <f t="shared" si="251"/>
        <v>3270421</v>
      </c>
      <c r="L1356" s="657">
        <v>44908</v>
      </c>
      <c r="M1356" s="742">
        <v>107521</v>
      </c>
      <c r="N1356" s="352">
        <f t="shared" si="253"/>
        <v>3162900</v>
      </c>
      <c r="O1356" s="357">
        <f t="shared" si="250"/>
        <v>475</v>
      </c>
      <c r="P1356" s="410">
        <v>9</v>
      </c>
      <c r="Q1356" s="358">
        <f t="shared" si="243"/>
        <v>1.3013698630136987</v>
      </c>
      <c r="R1356" s="359">
        <f t="shared" si="244"/>
        <v>7.6986301369863011</v>
      </c>
      <c r="S1356" s="360">
        <f t="shared" si="245"/>
        <v>7.6986301369863011</v>
      </c>
      <c r="T1356" s="361">
        <f t="shared" si="246"/>
        <v>0.10555555555555554</v>
      </c>
      <c r="U1356" s="362">
        <f t="shared" si="247"/>
        <v>345211.10555555549</v>
      </c>
      <c r="V1356" s="362">
        <f t="shared" si="248"/>
        <v>2817688.8944444447</v>
      </c>
      <c r="W1356" s="362">
        <f t="shared" si="249"/>
        <v>163521</v>
      </c>
      <c r="X1356" s="742">
        <f t="shared" si="252"/>
        <v>2654167.8944444447</v>
      </c>
    </row>
    <row r="1357" spans="1:24" ht="13.9">
      <c r="A1357" s="349">
        <f t="shared" si="254"/>
        <v>1349</v>
      </c>
      <c r="B1357" s="654" t="s">
        <v>71</v>
      </c>
      <c r="C1357" s="654" t="s">
        <v>3459</v>
      </c>
      <c r="D1357" s="743" t="s">
        <v>3663</v>
      </c>
      <c r="E1357" s="654" t="s">
        <v>766</v>
      </c>
      <c r="F1357" s="334"/>
      <c r="G1357" s="657">
        <v>44908</v>
      </c>
      <c r="H1357" s="426">
        <v>3270421</v>
      </c>
      <c r="I1357" s="744"/>
      <c r="J1357" s="744"/>
      <c r="K1357" s="354">
        <f t="shared" si="251"/>
        <v>3270421</v>
      </c>
      <c r="L1357" s="657">
        <v>44908</v>
      </c>
      <c r="M1357" s="742">
        <v>107521</v>
      </c>
      <c r="N1357" s="352">
        <f t="shared" si="253"/>
        <v>3162900</v>
      </c>
      <c r="O1357" s="357">
        <f t="shared" si="250"/>
        <v>475</v>
      </c>
      <c r="P1357" s="410">
        <v>9</v>
      </c>
      <c r="Q1357" s="358">
        <f t="shared" si="243"/>
        <v>1.3013698630136987</v>
      </c>
      <c r="R1357" s="359">
        <f t="shared" si="244"/>
        <v>7.6986301369863011</v>
      </c>
      <c r="S1357" s="360">
        <f t="shared" si="245"/>
        <v>7.6986301369863011</v>
      </c>
      <c r="T1357" s="361">
        <f t="shared" si="246"/>
        <v>0.10555555555555554</v>
      </c>
      <c r="U1357" s="362">
        <f t="shared" si="247"/>
        <v>345211.10555555549</v>
      </c>
      <c r="V1357" s="362">
        <f t="shared" si="248"/>
        <v>2817688.8944444447</v>
      </c>
      <c r="W1357" s="362">
        <f t="shared" si="249"/>
        <v>163521</v>
      </c>
      <c r="X1357" s="742">
        <f t="shared" si="252"/>
        <v>2654167.8944444447</v>
      </c>
    </row>
    <row r="1358" spans="1:24" ht="13.9">
      <c r="A1358" s="349">
        <f t="shared" si="254"/>
        <v>1350</v>
      </c>
      <c r="B1358" s="654" t="s">
        <v>71</v>
      </c>
      <c r="C1358" s="654" t="s">
        <v>3459</v>
      </c>
      <c r="D1358" s="743" t="s">
        <v>3663</v>
      </c>
      <c r="E1358" s="654" t="s">
        <v>766</v>
      </c>
      <c r="F1358" s="334"/>
      <c r="G1358" s="657">
        <v>44908</v>
      </c>
      <c r="H1358" s="426">
        <v>3270421</v>
      </c>
      <c r="I1358" s="744"/>
      <c r="J1358" s="744"/>
      <c r="K1358" s="354">
        <f t="shared" si="251"/>
        <v>3270421</v>
      </c>
      <c r="L1358" s="657">
        <v>44908</v>
      </c>
      <c r="M1358" s="742">
        <v>107521</v>
      </c>
      <c r="N1358" s="352">
        <f t="shared" si="253"/>
        <v>3162900</v>
      </c>
      <c r="O1358" s="357">
        <f t="shared" si="250"/>
        <v>475</v>
      </c>
      <c r="P1358" s="410">
        <v>9</v>
      </c>
      <c r="Q1358" s="358">
        <f t="shared" ref="Q1358:Q1421" si="255">+O1358/365</f>
        <v>1.3013698630136987</v>
      </c>
      <c r="R1358" s="359">
        <f t="shared" ref="R1358:R1421" si="256">+P1358-Q1358</f>
        <v>7.6986301369863011</v>
      </c>
      <c r="S1358" s="360">
        <f t="shared" ref="S1358:S1421" si="257">IF(R1358&lt;0,0,IF(R1358&gt;365,365,R1358))</f>
        <v>7.6986301369863011</v>
      </c>
      <c r="T1358" s="361">
        <f t="shared" ref="T1358:T1421" si="258">1/P1358*0.95</f>
        <v>0.10555555555555554</v>
      </c>
      <c r="U1358" s="362">
        <f t="shared" ref="U1358:U1421" si="259">+K1358*T1358</f>
        <v>345211.10555555549</v>
      </c>
      <c r="V1358" s="362">
        <f t="shared" ref="V1358:V1421" si="260">+N1358-U1358</f>
        <v>2817688.8944444447</v>
      </c>
      <c r="W1358" s="362">
        <f t="shared" ref="W1358:W1421" si="261">ROUND(+H1358*5%,0)</f>
        <v>163521</v>
      </c>
      <c r="X1358" s="742">
        <f t="shared" si="252"/>
        <v>2654167.8944444447</v>
      </c>
    </row>
    <row r="1359" spans="1:24" ht="13.9">
      <c r="A1359" s="349">
        <f t="shared" si="254"/>
        <v>1351</v>
      </c>
      <c r="B1359" s="654" t="s">
        <v>71</v>
      </c>
      <c r="C1359" s="654" t="s">
        <v>3459</v>
      </c>
      <c r="D1359" s="743" t="s">
        <v>3663</v>
      </c>
      <c r="E1359" s="654" t="s">
        <v>766</v>
      </c>
      <c r="F1359" s="334"/>
      <c r="G1359" s="657">
        <v>44908</v>
      </c>
      <c r="H1359" s="426">
        <v>3270421</v>
      </c>
      <c r="I1359" s="744"/>
      <c r="J1359" s="744"/>
      <c r="K1359" s="354">
        <f t="shared" si="251"/>
        <v>3270421</v>
      </c>
      <c r="L1359" s="657">
        <v>44908</v>
      </c>
      <c r="M1359" s="742">
        <v>107521</v>
      </c>
      <c r="N1359" s="352">
        <f t="shared" si="253"/>
        <v>3162900</v>
      </c>
      <c r="O1359" s="357">
        <f t="shared" si="250"/>
        <v>475</v>
      </c>
      <c r="P1359" s="410">
        <v>9</v>
      </c>
      <c r="Q1359" s="358">
        <f t="shared" si="255"/>
        <v>1.3013698630136987</v>
      </c>
      <c r="R1359" s="359">
        <f t="shared" si="256"/>
        <v>7.6986301369863011</v>
      </c>
      <c r="S1359" s="360">
        <f t="shared" si="257"/>
        <v>7.6986301369863011</v>
      </c>
      <c r="T1359" s="361">
        <f t="shared" si="258"/>
        <v>0.10555555555555554</v>
      </c>
      <c r="U1359" s="362">
        <f t="shared" si="259"/>
        <v>345211.10555555549</v>
      </c>
      <c r="V1359" s="362">
        <f t="shared" si="260"/>
        <v>2817688.8944444447</v>
      </c>
      <c r="W1359" s="362">
        <f t="shared" si="261"/>
        <v>163521</v>
      </c>
      <c r="X1359" s="742">
        <f t="shared" si="252"/>
        <v>2654167.8944444447</v>
      </c>
    </row>
    <row r="1360" spans="1:24" ht="13.9">
      <c r="A1360" s="349">
        <f t="shared" si="254"/>
        <v>1352</v>
      </c>
      <c r="B1360" s="654" t="s">
        <v>71</v>
      </c>
      <c r="C1360" s="654" t="s">
        <v>3459</v>
      </c>
      <c r="D1360" s="743" t="s">
        <v>3663</v>
      </c>
      <c r="E1360" s="654" t="s">
        <v>766</v>
      </c>
      <c r="F1360" s="334"/>
      <c r="G1360" s="657">
        <v>44908</v>
      </c>
      <c r="H1360" s="426">
        <v>3270421</v>
      </c>
      <c r="I1360" s="744"/>
      <c r="J1360" s="744"/>
      <c r="K1360" s="354">
        <f t="shared" si="251"/>
        <v>3270421</v>
      </c>
      <c r="L1360" s="657">
        <v>44908</v>
      </c>
      <c r="M1360" s="742">
        <v>107521</v>
      </c>
      <c r="N1360" s="352">
        <f t="shared" si="253"/>
        <v>3162900</v>
      </c>
      <c r="O1360" s="357">
        <f t="shared" si="250"/>
        <v>475</v>
      </c>
      <c r="P1360" s="410">
        <v>9</v>
      </c>
      <c r="Q1360" s="358">
        <f t="shared" si="255"/>
        <v>1.3013698630136987</v>
      </c>
      <c r="R1360" s="359">
        <f t="shared" si="256"/>
        <v>7.6986301369863011</v>
      </c>
      <c r="S1360" s="360">
        <f t="shared" si="257"/>
        <v>7.6986301369863011</v>
      </c>
      <c r="T1360" s="361">
        <f t="shared" si="258"/>
        <v>0.10555555555555554</v>
      </c>
      <c r="U1360" s="362">
        <f t="shared" si="259"/>
        <v>345211.10555555549</v>
      </c>
      <c r="V1360" s="362">
        <f t="shared" si="260"/>
        <v>2817688.8944444447</v>
      </c>
      <c r="W1360" s="362">
        <f t="shared" si="261"/>
        <v>163521</v>
      </c>
      <c r="X1360" s="742">
        <f t="shared" si="252"/>
        <v>2654167.8944444447</v>
      </c>
    </row>
    <row r="1361" spans="1:24" ht="13.9">
      <c r="A1361" s="349">
        <f t="shared" si="254"/>
        <v>1353</v>
      </c>
      <c r="B1361" s="654" t="s">
        <v>71</v>
      </c>
      <c r="C1361" s="654" t="s">
        <v>3459</v>
      </c>
      <c r="D1361" s="743" t="s">
        <v>3663</v>
      </c>
      <c r="E1361" s="654" t="s">
        <v>766</v>
      </c>
      <c r="F1361" s="334"/>
      <c r="G1361" s="657">
        <v>44908</v>
      </c>
      <c r="H1361" s="426">
        <v>3270421</v>
      </c>
      <c r="I1361" s="744"/>
      <c r="J1361" s="744"/>
      <c r="K1361" s="354">
        <f t="shared" si="251"/>
        <v>3270421</v>
      </c>
      <c r="L1361" s="657">
        <v>44908</v>
      </c>
      <c r="M1361" s="742">
        <v>107521</v>
      </c>
      <c r="N1361" s="352">
        <f t="shared" si="253"/>
        <v>3162900</v>
      </c>
      <c r="O1361" s="357">
        <f t="shared" si="250"/>
        <v>475</v>
      </c>
      <c r="P1361" s="410">
        <v>9</v>
      </c>
      <c r="Q1361" s="358">
        <f t="shared" si="255"/>
        <v>1.3013698630136987</v>
      </c>
      <c r="R1361" s="359">
        <f t="shared" si="256"/>
        <v>7.6986301369863011</v>
      </c>
      <c r="S1361" s="360">
        <f t="shared" si="257"/>
        <v>7.6986301369863011</v>
      </c>
      <c r="T1361" s="361">
        <f t="shared" si="258"/>
        <v>0.10555555555555554</v>
      </c>
      <c r="U1361" s="362">
        <f t="shared" si="259"/>
        <v>345211.10555555549</v>
      </c>
      <c r="V1361" s="362">
        <f t="shared" si="260"/>
        <v>2817688.8944444447</v>
      </c>
      <c r="W1361" s="362">
        <f t="shared" si="261"/>
        <v>163521</v>
      </c>
      <c r="X1361" s="742">
        <f t="shared" si="252"/>
        <v>2654167.8944444447</v>
      </c>
    </row>
    <row r="1362" spans="1:24" ht="13.9">
      <c r="A1362" s="349">
        <f t="shared" si="254"/>
        <v>1354</v>
      </c>
      <c r="B1362" s="654" t="s">
        <v>71</v>
      </c>
      <c r="C1362" s="654" t="s">
        <v>3459</v>
      </c>
      <c r="D1362" s="743" t="s">
        <v>3663</v>
      </c>
      <c r="E1362" s="654" t="s">
        <v>766</v>
      </c>
      <c r="F1362" s="334"/>
      <c r="G1362" s="657">
        <v>44908</v>
      </c>
      <c r="H1362" s="426">
        <v>3270421</v>
      </c>
      <c r="I1362" s="744"/>
      <c r="J1362" s="744"/>
      <c r="K1362" s="354">
        <f t="shared" si="251"/>
        <v>3270421</v>
      </c>
      <c r="L1362" s="657">
        <v>44908</v>
      </c>
      <c r="M1362" s="742">
        <v>107521</v>
      </c>
      <c r="N1362" s="352">
        <f t="shared" si="253"/>
        <v>3162900</v>
      </c>
      <c r="O1362" s="357">
        <f t="shared" si="250"/>
        <v>475</v>
      </c>
      <c r="P1362" s="410">
        <v>9</v>
      </c>
      <c r="Q1362" s="358">
        <f t="shared" si="255"/>
        <v>1.3013698630136987</v>
      </c>
      <c r="R1362" s="359">
        <f t="shared" si="256"/>
        <v>7.6986301369863011</v>
      </c>
      <c r="S1362" s="360">
        <f t="shared" si="257"/>
        <v>7.6986301369863011</v>
      </c>
      <c r="T1362" s="361">
        <f t="shared" si="258"/>
        <v>0.10555555555555554</v>
      </c>
      <c r="U1362" s="362">
        <f t="shared" si="259"/>
        <v>345211.10555555549</v>
      </c>
      <c r="V1362" s="362">
        <f t="shared" si="260"/>
        <v>2817688.8944444447</v>
      </c>
      <c r="W1362" s="362">
        <f t="shared" si="261"/>
        <v>163521</v>
      </c>
      <c r="X1362" s="742">
        <f t="shared" si="252"/>
        <v>2654167.8944444447</v>
      </c>
    </row>
    <row r="1363" spans="1:24" ht="13.9">
      <c r="A1363" s="349">
        <f t="shared" si="254"/>
        <v>1355</v>
      </c>
      <c r="B1363" s="654" t="s">
        <v>71</v>
      </c>
      <c r="C1363" s="654" t="s">
        <v>3459</v>
      </c>
      <c r="D1363" s="743" t="s">
        <v>3663</v>
      </c>
      <c r="E1363" s="654" t="s">
        <v>766</v>
      </c>
      <c r="F1363" s="334"/>
      <c r="G1363" s="657">
        <v>44914</v>
      </c>
      <c r="H1363" s="426">
        <v>3270421</v>
      </c>
      <c r="I1363" s="744"/>
      <c r="J1363" s="744"/>
      <c r="K1363" s="354">
        <f t="shared" si="251"/>
        <v>3270421</v>
      </c>
      <c r="L1363" s="657">
        <v>44914</v>
      </c>
      <c r="M1363" s="742">
        <v>101547</v>
      </c>
      <c r="N1363" s="352">
        <f t="shared" si="253"/>
        <v>3168874</v>
      </c>
      <c r="O1363" s="357">
        <f t="shared" si="250"/>
        <v>469</v>
      </c>
      <c r="P1363" s="410">
        <v>9</v>
      </c>
      <c r="Q1363" s="358">
        <f t="shared" si="255"/>
        <v>1.284931506849315</v>
      </c>
      <c r="R1363" s="359">
        <f t="shared" si="256"/>
        <v>7.7150684931506852</v>
      </c>
      <c r="S1363" s="360">
        <f t="shared" si="257"/>
        <v>7.7150684931506852</v>
      </c>
      <c r="T1363" s="361">
        <f t="shared" si="258"/>
        <v>0.10555555555555554</v>
      </c>
      <c r="U1363" s="362">
        <f t="shared" si="259"/>
        <v>345211.10555555549</v>
      </c>
      <c r="V1363" s="362">
        <f t="shared" si="260"/>
        <v>2823662.8944444447</v>
      </c>
      <c r="W1363" s="362">
        <f t="shared" si="261"/>
        <v>163521</v>
      </c>
      <c r="X1363" s="742">
        <f t="shared" si="252"/>
        <v>2660141.8944444447</v>
      </c>
    </row>
    <row r="1364" spans="1:24" ht="13.9">
      <c r="A1364" s="349">
        <f t="shared" si="254"/>
        <v>1356</v>
      </c>
      <c r="B1364" s="654" t="s">
        <v>71</v>
      </c>
      <c r="C1364" s="654" t="s">
        <v>3459</v>
      </c>
      <c r="D1364" s="743" t="s">
        <v>3663</v>
      </c>
      <c r="E1364" s="654" t="s">
        <v>766</v>
      </c>
      <c r="F1364" s="334"/>
      <c r="G1364" s="657">
        <v>44914</v>
      </c>
      <c r="H1364" s="426">
        <v>3270421</v>
      </c>
      <c r="I1364" s="744"/>
      <c r="J1364" s="744"/>
      <c r="K1364" s="354">
        <f t="shared" si="251"/>
        <v>3270421</v>
      </c>
      <c r="L1364" s="657">
        <v>44914</v>
      </c>
      <c r="M1364" s="742">
        <v>101547</v>
      </c>
      <c r="N1364" s="352">
        <f t="shared" si="253"/>
        <v>3168874</v>
      </c>
      <c r="O1364" s="357">
        <f t="shared" si="250"/>
        <v>469</v>
      </c>
      <c r="P1364" s="410">
        <v>9</v>
      </c>
      <c r="Q1364" s="358">
        <f t="shared" si="255"/>
        <v>1.284931506849315</v>
      </c>
      <c r="R1364" s="359">
        <f t="shared" si="256"/>
        <v>7.7150684931506852</v>
      </c>
      <c r="S1364" s="360">
        <f t="shared" si="257"/>
        <v>7.7150684931506852</v>
      </c>
      <c r="T1364" s="361">
        <f t="shared" si="258"/>
        <v>0.10555555555555554</v>
      </c>
      <c r="U1364" s="362">
        <f t="shared" si="259"/>
        <v>345211.10555555549</v>
      </c>
      <c r="V1364" s="362">
        <f t="shared" si="260"/>
        <v>2823662.8944444447</v>
      </c>
      <c r="W1364" s="362">
        <f t="shared" si="261"/>
        <v>163521</v>
      </c>
      <c r="X1364" s="742">
        <f t="shared" si="252"/>
        <v>2660141.8944444447</v>
      </c>
    </row>
    <row r="1365" spans="1:24" ht="13.9">
      <c r="A1365" s="349">
        <f t="shared" si="254"/>
        <v>1357</v>
      </c>
      <c r="B1365" s="654" t="s">
        <v>71</v>
      </c>
      <c r="C1365" s="654" t="s">
        <v>3459</v>
      </c>
      <c r="D1365" s="743" t="s">
        <v>3663</v>
      </c>
      <c r="E1365" s="654" t="s">
        <v>766</v>
      </c>
      <c r="F1365" s="334"/>
      <c r="G1365" s="657">
        <v>44914</v>
      </c>
      <c r="H1365" s="426">
        <v>3270421</v>
      </c>
      <c r="I1365" s="744"/>
      <c r="J1365" s="744"/>
      <c r="K1365" s="354">
        <f t="shared" si="251"/>
        <v>3270421</v>
      </c>
      <c r="L1365" s="657">
        <v>44914</v>
      </c>
      <c r="M1365" s="742">
        <v>101547</v>
      </c>
      <c r="N1365" s="352">
        <f t="shared" si="253"/>
        <v>3168874</v>
      </c>
      <c r="O1365" s="357">
        <f t="shared" si="250"/>
        <v>469</v>
      </c>
      <c r="P1365" s="410">
        <v>9</v>
      </c>
      <c r="Q1365" s="358">
        <f t="shared" si="255"/>
        <v>1.284931506849315</v>
      </c>
      <c r="R1365" s="359">
        <f t="shared" si="256"/>
        <v>7.7150684931506852</v>
      </c>
      <c r="S1365" s="360">
        <f t="shared" si="257"/>
        <v>7.7150684931506852</v>
      </c>
      <c r="T1365" s="361">
        <f t="shared" si="258"/>
        <v>0.10555555555555554</v>
      </c>
      <c r="U1365" s="362">
        <f t="shared" si="259"/>
        <v>345211.10555555549</v>
      </c>
      <c r="V1365" s="362">
        <f t="shared" si="260"/>
        <v>2823662.8944444447</v>
      </c>
      <c r="W1365" s="362">
        <f t="shared" si="261"/>
        <v>163521</v>
      </c>
      <c r="X1365" s="742">
        <f t="shared" si="252"/>
        <v>2660141.8944444447</v>
      </c>
    </row>
    <row r="1366" spans="1:24" ht="13.9">
      <c r="A1366" s="349">
        <f t="shared" si="254"/>
        <v>1358</v>
      </c>
      <c r="B1366" s="654" t="s">
        <v>71</v>
      </c>
      <c r="C1366" s="654" t="s">
        <v>3459</v>
      </c>
      <c r="D1366" s="743" t="s">
        <v>3663</v>
      </c>
      <c r="E1366" s="654" t="s">
        <v>766</v>
      </c>
      <c r="F1366" s="334"/>
      <c r="G1366" s="657">
        <v>44914</v>
      </c>
      <c r="H1366" s="426">
        <v>3270421</v>
      </c>
      <c r="I1366" s="744"/>
      <c r="J1366" s="744"/>
      <c r="K1366" s="354">
        <f t="shared" si="251"/>
        <v>3270421</v>
      </c>
      <c r="L1366" s="657">
        <v>44914</v>
      </c>
      <c r="M1366" s="742">
        <v>101547</v>
      </c>
      <c r="N1366" s="352">
        <f t="shared" si="253"/>
        <v>3168874</v>
      </c>
      <c r="O1366" s="357">
        <f t="shared" si="250"/>
        <v>469</v>
      </c>
      <c r="P1366" s="410">
        <v>9</v>
      </c>
      <c r="Q1366" s="358">
        <f t="shared" si="255"/>
        <v>1.284931506849315</v>
      </c>
      <c r="R1366" s="359">
        <f t="shared" si="256"/>
        <v>7.7150684931506852</v>
      </c>
      <c r="S1366" s="360">
        <f t="shared" si="257"/>
        <v>7.7150684931506852</v>
      </c>
      <c r="T1366" s="361">
        <f t="shared" si="258"/>
        <v>0.10555555555555554</v>
      </c>
      <c r="U1366" s="362">
        <f t="shared" si="259"/>
        <v>345211.10555555549</v>
      </c>
      <c r="V1366" s="362">
        <f t="shared" si="260"/>
        <v>2823662.8944444447</v>
      </c>
      <c r="W1366" s="362">
        <f t="shared" si="261"/>
        <v>163521</v>
      </c>
      <c r="X1366" s="742">
        <f t="shared" si="252"/>
        <v>2660141.8944444447</v>
      </c>
    </row>
    <row r="1367" spans="1:24" ht="13.9">
      <c r="A1367" s="349">
        <f t="shared" si="254"/>
        <v>1359</v>
      </c>
      <c r="B1367" s="654" t="s">
        <v>71</v>
      </c>
      <c r="C1367" s="654" t="s">
        <v>3459</v>
      </c>
      <c r="D1367" s="743" t="s">
        <v>3663</v>
      </c>
      <c r="E1367" s="654" t="s">
        <v>766</v>
      </c>
      <c r="F1367" s="334"/>
      <c r="G1367" s="657">
        <v>44914</v>
      </c>
      <c r="H1367" s="426">
        <v>3270421</v>
      </c>
      <c r="I1367" s="744"/>
      <c r="J1367" s="744"/>
      <c r="K1367" s="354">
        <f t="shared" si="251"/>
        <v>3270421</v>
      </c>
      <c r="L1367" s="657">
        <v>44914</v>
      </c>
      <c r="M1367" s="742">
        <v>101547</v>
      </c>
      <c r="N1367" s="352">
        <f t="shared" si="253"/>
        <v>3168874</v>
      </c>
      <c r="O1367" s="357">
        <f t="shared" si="250"/>
        <v>469</v>
      </c>
      <c r="P1367" s="410">
        <v>9</v>
      </c>
      <c r="Q1367" s="358">
        <f t="shared" si="255"/>
        <v>1.284931506849315</v>
      </c>
      <c r="R1367" s="359">
        <f t="shared" si="256"/>
        <v>7.7150684931506852</v>
      </c>
      <c r="S1367" s="360">
        <f t="shared" si="257"/>
        <v>7.7150684931506852</v>
      </c>
      <c r="T1367" s="361">
        <f t="shared" si="258"/>
        <v>0.10555555555555554</v>
      </c>
      <c r="U1367" s="362">
        <f t="shared" si="259"/>
        <v>345211.10555555549</v>
      </c>
      <c r="V1367" s="362">
        <f t="shared" si="260"/>
        <v>2823662.8944444447</v>
      </c>
      <c r="W1367" s="362">
        <f t="shared" si="261"/>
        <v>163521</v>
      </c>
      <c r="X1367" s="742">
        <f t="shared" si="252"/>
        <v>2660141.8944444447</v>
      </c>
    </row>
    <row r="1368" spans="1:24" ht="13.9">
      <c r="A1368" s="349">
        <f t="shared" si="254"/>
        <v>1360</v>
      </c>
      <c r="B1368" s="654" t="s">
        <v>71</v>
      </c>
      <c r="C1368" s="654" t="s">
        <v>3459</v>
      </c>
      <c r="D1368" s="743" t="s">
        <v>3663</v>
      </c>
      <c r="E1368" s="654" t="s">
        <v>766</v>
      </c>
      <c r="F1368" s="334"/>
      <c r="G1368" s="657">
        <v>44914</v>
      </c>
      <c r="H1368" s="426">
        <v>3270421</v>
      </c>
      <c r="I1368" s="744"/>
      <c r="J1368" s="744"/>
      <c r="K1368" s="354">
        <f t="shared" si="251"/>
        <v>3270421</v>
      </c>
      <c r="L1368" s="657">
        <v>44914</v>
      </c>
      <c r="M1368" s="742">
        <v>101547</v>
      </c>
      <c r="N1368" s="352">
        <f t="shared" si="253"/>
        <v>3168874</v>
      </c>
      <c r="O1368" s="357">
        <f t="shared" si="250"/>
        <v>469</v>
      </c>
      <c r="P1368" s="410">
        <v>9</v>
      </c>
      <c r="Q1368" s="358">
        <f t="shared" si="255"/>
        <v>1.284931506849315</v>
      </c>
      <c r="R1368" s="359">
        <f t="shared" si="256"/>
        <v>7.7150684931506852</v>
      </c>
      <c r="S1368" s="360">
        <f t="shared" si="257"/>
        <v>7.7150684931506852</v>
      </c>
      <c r="T1368" s="361">
        <f t="shared" si="258"/>
        <v>0.10555555555555554</v>
      </c>
      <c r="U1368" s="362">
        <f t="shared" si="259"/>
        <v>345211.10555555549</v>
      </c>
      <c r="V1368" s="362">
        <f t="shared" si="260"/>
        <v>2823662.8944444447</v>
      </c>
      <c r="W1368" s="362">
        <f t="shared" si="261"/>
        <v>163521</v>
      </c>
      <c r="X1368" s="742">
        <f t="shared" si="252"/>
        <v>2660141.8944444447</v>
      </c>
    </row>
    <row r="1369" spans="1:24" ht="13.9">
      <c r="A1369" s="349">
        <f t="shared" si="254"/>
        <v>1361</v>
      </c>
      <c r="B1369" s="654" t="s">
        <v>71</v>
      </c>
      <c r="C1369" s="654" t="s">
        <v>3459</v>
      </c>
      <c r="D1369" s="743" t="s">
        <v>3663</v>
      </c>
      <c r="E1369" s="654" t="s">
        <v>402</v>
      </c>
      <c r="F1369" s="334"/>
      <c r="G1369" s="657">
        <v>44925</v>
      </c>
      <c r="H1369" s="426">
        <v>10500000</v>
      </c>
      <c r="I1369" s="744"/>
      <c r="J1369" s="744"/>
      <c r="K1369" s="354">
        <f t="shared" si="251"/>
        <v>10500000</v>
      </c>
      <c r="L1369" s="657">
        <v>44925</v>
      </c>
      <c r="M1369" s="742">
        <v>290868</v>
      </c>
      <c r="N1369" s="352">
        <f t="shared" si="253"/>
        <v>10209132</v>
      </c>
      <c r="O1369" s="357">
        <f t="shared" si="250"/>
        <v>458</v>
      </c>
      <c r="P1369" s="410">
        <v>9</v>
      </c>
      <c r="Q1369" s="358">
        <f t="shared" si="255"/>
        <v>1.2547945205479452</v>
      </c>
      <c r="R1369" s="359">
        <f t="shared" si="256"/>
        <v>7.7452054794520553</v>
      </c>
      <c r="S1369" s="360">
        <f t="shared" si="257"/>
        <v>7.7452054794520553</v>
      </c>
      <c r="T1369" s="361">
        <f t="shared" si="258"/>
        <v>0.10555555555555554</v>
      </c>
      <c r="U1369" s="362">
        <f t="shared" si="259"/>
        <v>1108333.3333333333</v>
      </c>
      <c r="V1369" s="362">
        <f t="shared" si="260"/>
        <v>9100798.666666666</v>
      </c>
      <c r="W1369" s="362">
        <f t="shared" si="261"/>
        <v>525000</v>
      </c>
      <c r="X1369" s="742">
        <f t="shared" si="252"/>
        <v>8575798.666666666</v>
      </c>
    </row>
    <row r="1370" spans="1:24" ht="13.9">
      <c r="A1370" s="349">
        <f t="shared" si="254"/>
        <v>1362</v>
      </c>
      <c r="B1370" s="654" t="s">
        <v>71</v>
      </c>
      <c r="C1370" s="654" t="s">
        <v>3459</v>
      </c>
      <c r="D1370" s="743" t="s">
        <v>3663</v>
      </c>
      <c r="E1370" s="654" t="s">
        <v>402</v>
      </c>
      <c r="F1370" s="334"/>
      <c r="G1370" s="657">
        <v>44925</v>
      </c>
      <c r="H1370" s="426">
        <v>10500000</v>
      </c>
      <c r="I1370" s="744"/>
      <c r="J1370" s="744"/>
      <c r="K1370" s="354">
        <f t="shared" si="251"/>
        <v>10500000</v>
      </c>
      <c r="L1370" s="657">
        <v>44925</v>
      </c>
      <c r="M1370" s="742">
        <v>290868</v>
      </c>
      <c r="N1370" s="352">
        <f t="shared" si="253"/>
        <v>10209132</v>
      </c>
      <c r="O1370" s="357">
        <f t="shared" si="250"/>
        <v>458</v>
      </c>
      <c r="P1370" s="410">
        <v>9</v>
      </c>
      <c r="Q1370" s="358">
        <f t="shared" si="255"/>
        <v>1.2547945205479452</v>
      </c>
      <c r="R1370" s="359">
        <f t="shared" si="256"/>
        <v>7.7452054794520553</v>
      </c>
      <c r="S1370" s="360">
        <f t="shared" si="257"/>
        <v>7.7452054794520553</v>
      </c>
      <c r="T1370" s="361">
        <f t="shared" si="258"/>
        <v>0.10555555555555554</v>
      </c>
      <c r="U1370" s="362">
        <f t="shared" si="259"/>
        <v>1108333.3333333333</v>
      </c>
      <c r="V1370" s="362">
        <f t="shared" si="260"/>
        <v>9100798.666666666</v>
      </c>
      <c r="W1370" s="362">
        <f t="shared" si="261"/>
        <v>525000</v>
      </c>
      <c r="X1370" s="742">
        <f t="shared" si="252"/>
        <v>8575798.666666666</v>
      </c>
    </row>
    <row r="1371" spans="1:24" ht="13.9">
      <c r="A1371" s="349">
        <f t="shared" si="254"/>
        <v>1363</v>
      </c>
      <c r="B1371" s="654" t="s">
        <v>71</v>
      </c>
      <c r="C1371" s="654" t="s">
        <v>3459</v>
      </c>
      <c r="D1371" s="743" t="s">
        <v>3663</v>
      </c>
      <c r="E1371" s="654" t="s">
        <v>402</v>
      </c>
      <c r="F1371" s="334"/>
      <c r="G1371" s="657">
        <v>44925</v>
      </c>
      <c r="H1371" s="426">
        <v>10500000</v>
      </c>
      <c r="I1371" s="744"/>
      <c r="J1371" s="744"/>
      <c r="K1371" s="354">
        <f t="shared" si="251"/>
        <v>10500000</v>
      </c>
      <c r="L1371" s="657">
        <v>44925</v>
      </c>
      <c r="M1371" s="742">
        <v>290868</v>
      </c>
      <c r="N1371" s="352">
        <f t="shared" si="253"/>
        <v>10209132</v>
      </c>
      <c r="O1371" s="357">
        <f t="shared" si="250"/>
        <v>458</v>
      </c>
      <c r="P1371" s="410">
        <v>9</v>
      </c>
      <c r="Q1371" s="358">
        <f t="shared" si="255"/>
        <v>1.2547945205479452</v>
      </c>
      <c r="R1371" s="359">
        <f t="shared" si="256"/>
        <v>7.7452054794520553</v>
      </c>
      <c r="S1371" s="360">
        <f t="shared" si="257"/>
        <v>7.7452054794520553</v>
      </c>
      <c r="T1371" s="361">
        <f t="shared" si="258"/>
        <v>0.10555555555555554</v>
      </c>
      <c r="U1371" s="362">
        <f t="shared" si="259"/>
        <v>1108333.3333333333</v>
      </c>
      <c r="V1371" s="362">
        <f t="shared" si="260"/>
        <v>9100798.666666666</v>
      </c>
      <c r="W1371" s="362">
        <f t="shared" si="261"/>
        <v>525000</v>
      </c>
      <c r="X1371" s="742">
        <f t="shared" si="252"/>
        <v>8575798.666666666</v>
      </c>
    </row>
    <row r="1372" spans="1:24" ht="13.9">
      <c r="A1372" s="349">
        <f t="shared" si="254"/>
        <v>1364</v>
      </c>
      <c r="B1372" s="654" t="s">
        <v>71</v>
      </c>
      <c r="C1372" s="654" t="s">
        <v>3459</v>
      </c>
      <c r="D1372" s="743" t="s">
        <v>3663</v>
      </c>
      <c r="E1372" s="654" t="s">
        <v>402</v>
      </c>
      <c r="F1372" s="334"/>
      <c r="G1372" s="657">
        <v>44925</v>
      </c>
      <c r="H1372" s="426">
        <v>10500000</v>
      </c>
      <c r="I1372" s="744"/>
      <c r="J1372" s="744"/>
      <c r="K1372" s="354">
        <f t="shared" si="251"/>
        <v>10500000</v>
      </c>
      <c r="L1372" s="657">
        <v>44925</v>
      </c>
      <c r="M1372" s="742">
        <v>290868</v>
      </c>
      <c r="N1372" s="352">
        <f t="shared" si="253"/>
        <v>10209132</v>
      </c>
      <c r="O1372" s="357">
        <f t="shared" si="250"/>
        <v>458</v>
      </c>
      <c r="P1372" s="410">
        <v>9</v>
      </c>
      <c r="Q1372" s="358">
        <f t="shared" si="255"/>
        <v>1.2547945205479452</v>
      </c>
      <c r="R1372" s="359">
        <f t="shared" si="256"/>
        <v>7.7452054794520553</v>
      </c>
      <c r="S1372" s="360">
        <f t="shared" si="257"/>
        <v>7.7452054794520553</v>
      </c>
      <c r="T1372" s="361">
        <f t="shared" si="258"/>
        <v>0.10555555555555554</v>
      </c>
      <c r="U1372" s="362">
        <f t="shared" si="259"/>
        <v>1108333.3333333333</v>
      </c>
      <c r="V1372" s="362">
        <f t="shared" si="260"/>
        <v>9100798.666666666</v>
      </c>
      <c r="W1372" s="362">
        <f t="shared" si="261"/>
        <v>525000</v>
      </c>
      <c r="X1372" s="742">
        <f t="shared" si="252"/>
        <v>8575798.666666666</v>
      </c>
    </row>
    <row r="1373" spans="1:24" ht="13.9">
      <c r="A1373" s="349">
        <f t="shared" si="254"/>
        <v>1365</v>
      </c>
      <c r="B1373" s="654" t="s">
        <v>71</v>
      </c>
      <c r="C1373" s="654" t="s">
        <v>3459</v>
      </c>
      <c r="D1373" s="743" t="s">
        <v>3663</v>
      </c>
      <c r="E1373" s="654" t="s">
        <v>178</v>
      </c>
      <c r="F1373" s="334"/>
      <c r="G1373" s="657">
        <v>44926</v>
      </c>
      <c r="H1373" s="426">
        <v>3281250</v>
      </c>
      <c r="I1373" s="744"/>
      <c r="J1373" s="744"/>
      <c r="K1373" s="354">
        <f t="shared" si="251"/>
        <v>3281250</v>
      </c>
      <c r="L1373" s="657">
        <v>44926</v>
      </c>
      <c r="M1373" s="742">
        <v>89897</v>
      </c>
      <c r="N1373" s="352">
        <f t="shared" si="253"/>
        <v>3191353</v>
      </c>
      <c r="O1373" s="357">
        <f t="shared" si="250"/>
        <v>457</v>
      </c>
      <c r="P1373" s="410">
        <v>9</v>
      </c>
      <c r="Q1373" s="358">
        <f t="shared" si="255"/>
        <v>1.252054794520548</v>
      </c>
      <c r="R1373" s="359">
        <f t="shared" si="256"/>
        <v>7.7479452054794518</v>
      </c>
      <c r="S1373" s="360">
        <f t="shared" si="257"/>
        <v>7.7479452054794518</v>
      </c>
      <c r="T1373" s="361">
        <f t="shared" si="258"/>
        <v>0.10555555555555554</v>
      </c>
      <c r="U1373" s="362">
        <f t="shared" si="259"/>
        <v>346354.16666666663</v>
      </c>
      <c r="V1373" s="362">
        <f t="shared" si="260"/>
        <v>2844998.8333333335</v>
      </c>
      <c r="W1373" s="362">
        <f t="shared" si="261"/>
        <v>164063</v>
      </c>
      <c r="X1373" s="742">
        <f t="shared" si="252"/>
        <v>2680935.8333333335</v>
      </c>
    </row>
    <row r="1374" spans="1:24" ht="13.9">
      <c r="A1374" s="349">
        <f t="shared" si="254"/>
        <v>1366</v>
      </c>
      <c r="B1374" s="654" t="s">
        <v>71</v>
      </c>
      <c r="C1374" s="654" t="s">
        <v>3459</v>
      </c>
      <c r="D1374" s="743" t="s">
        <v>3663</v>
      </c>
      <c r="E1374" s="654" t="s">
        <v>178</v>
      </c>
      <c r="F1374" s="334"/>
      <c r="G1374" s="657">
        <v>44926</v>
      </c>
      <c r="H1374" s="426">
        <v>3281250</v>
      </c>
      <c r="I1374" s="744"/>
      <c r="J1374" s="744"/>
      <c r="K1374" s="354">
        <f t="shared" si="251"/>
        <v>3281250</v>
      </c>
      <c r="L1374" s="657">
        <v>44926</v>
      </c>
      <c r="M1374" s="742">
        <v>89897</v>
      </c>
      <c r="N1374" s="352">
        <f t="shared" si="253"/>
        <v>3191353</v>
      </c>
      <c r="O1374" s="357">
        <f t="shared" si="250"/>
        <v>457</v>
      </c>
      <c r="P1374" s="410">
        <v>9</v>
      </c>
      <c r="Q1374" s="358">
        <f t="shared" si="255"/>
        <v>1.252054794520548</v>
      </c>
      <c r="R1374" s="359">
        <f t="shared" si="256"/>
        <v>7.7479452054794518</v>
      </c>
      <c r="S1374" s="360">
        <f t="shared" si="257"/>
        <v>7.7479452054794518</v>
      </c>
      <c r="T1374" s="361">
        <f t="shared" si="258"/>
        <v>0.10555555555555554</v>
      </c>
      <c r="U1374" s="362">
        <f t="shared" si="259"/>
        <v>346354.16666666663</v>
      </c>
      <c r="V1374" s="362">
        <f t="shared" si="260"/>
        <v>2844998.8333333335</v>
      </c>
      <c r="W1374" s="362">
        <f t="shared" si="261"/>
        <v>164063</v>
      </c>
      <c r="X1374" s="742">
        <f t="shared" si="252"/>
        <v>2680935.8333333335</v>
      </c>
    </row>
    <row r="1375" spans="1:24" ht="13.9">
      <c r="A1375" s="349">
        <f t="shared" si="254"/>
        <v>1367</v>
      </c>
      <c r="B1375" s="654" t="s">
        <v>71</v>
      </c>
      <c r="C1375" s="654" t="s">
        <v>3459</v>
      </c>
      <c r="D1375" s="743" t="s">
        <v>3663</v>
      </c>
      <c r="E1375" s="654" t="s">
        <v>178</v>
      </c>
      <c r="F1375" s="334"/>
      <c r="G1375" s="657">
        <v>44926</v>
      </c>
      <c r="H1375" s="426">
        <v>3281250</v>
      </c>
      <c r="I1375" s="744"/>
      <c r="J1375" s="744"/>
      <c r="K1375" s="354">
        <f t="shared" si="251"/>
        <v>3281250</v>
      </c>
      <c r="L1375" s="657">
        <v>44926</v>
      </c>
      <c r="M1375" s="742">
        <v>89897</v>
      </c>
      <c r="N1375" s="352">
        <f t="shared" si="253"/>
        <v>3191353</v>
      </c>
      <c r="O1375" s="357">
        <f t="shared" si="250"/>
        <v>457</v>
      </c>
      <c r="P1375" s="410">
        <v>9</v>
      </c>
      <c r="Q1375" s="358">
        <f t="shared" si="255"/>
        <v>1.252054794520548</v>
      </c>
      <c r="R1375" s="359">
        <f t="shared" si="256"/>
        <v>7.7479452054794518</v>
      </c>
      <c r="S1375" s="360">
        <f t="shared" si="257"/>
        <v>7.7479452054794518</v>
      </c>
      <c r="T1375" s="361">
        <f t="shared" si="258"/>
        <v>0.10555555555555554</v>
      </c>
      <c r="U1375" s="362">
        <f t="shared" si="259"/>
        <v>346354.16666666663</v>
      </c>
      <c r="V1375" s="362">
        <f t="shared" si="260"/>
        <v>2844998.8333333335</v>
      </c>
      <c r="W1375" s="362">
        <f t="shared" si="261"/>
        <v>164063</v>
      </c>
      <c r="X1375" s="742">
        <f t="shared" si="252"/>
        <v>2680935.8333333335</v>
      </c>
    </row>
    <row r="1376" spans="1:24" ht="13.9">
      <c r="A1376" s="349">
        <f t="shared" si="254"/>
        <v>1368</v>
      </c>
      <c r="B1376" s="654" t="s">
        <v>71</v>
      </c>
      <c r="C1376" s="654" t="s">
        <v>3459</v>
      </c>
      <c r="D1376" s="743" t="s">
        <v>3663</v>
      </c>
      <c r="E1376" s="654" t="s">
        <v>178</v>
      </c>
      <c r="F1376" s="334"/>
      <c r="G1376" s="657">
        <v>44926</v>
      </c>
      <c r="H1376" s="426">
        <v>3281250</v>
      </c>
      <c r="I1376" s="744"/>
      <c r="J1376" s="744"/>
      <c r="K1376" s="354">
        <f t="shared" si="251"/>
        <v>3281250</v>
      </c>
      <c r="L1376" s="657">
        <v>44926</v>
      </c>
      <c r="M1376" s="742">
        <v>89897</v>
      </c>
      <c r="N1376" s="352">
        <f t="shared" si="253"/>
        <v>3191353</v>
      </c>
      <c r="O1376" s="357">
        <f t="shared" si="250"/>
        <v>457</v>
      </c>
      <c r="P1376" s="410">
        <v>9</v>
      </c>
      <c r="Q1376" s="358">
        <f t="shared" si="255"/>
        <v>1.252054794520548</v>
      </c>
      <c r="R1376" s="359">
        <f t="shared" si="256"/>
        <v>7.7479452054794518</v>
      </c>
      <c r="S1376" s="360">
        <f t="shared" si="257"/>
        <v>7.7479452054794518</v>
      </c>
      <c r="T1376" s="361">
        <f t="shared" si="258"/>
        <v>0.10555555555555554</v>
      </c>
      <c r="U1376" s="362">
        <f t="shared" si="259"/>
        <v>346354.16666666663</v>
      </c>
      <c r="V1376" s="362">
        <f t="shared" si="260"/>
        <v>2844998.8333333335</v>
      </c>
      <c r="W1376" s="362">
        <f t="shared" si="261"/>
        <v>164063</v>
      </c>
      <c r="X1376" s="742">
        <f t="shared" si="252"/>
        <v>2680935.8333333335</v>
      </c>
    </row>
    <row r="1377" spans="1:24" ht="13.9">
      <c r="A1377" s="349">
        <f t="shared" si="254"/>
        <v>1369</v>
      </c>
      <c r="B1377" s="654" t="s">
        <v>71</v>
      </c>
      <c r="C1377" s="654" t="s">
        <v>3459</v>
      </c>
      <c r="D1377" s="743" t="s">
        <v>3663</v>
      </c>
      <c r="E1377" s="654" t="s">
        <v>178</v>
      </c>
      <c r="F1377" s="334"/>
      <c r="G1377" s="657">
        <v>44926</v>
      </c>
      <c r="H1377" s="426">
        <v>3281250</v>
      </c>
      <c r="I1377" s="744"/>
      <c r="J1377" s="744"/>
      <c r="K1377" s="354">
        <f t="shared" si="251"/>
        <v>3281250</v>
      </c>
      <c r="L1377" s="657">
        <v>44926</v>
      </c>
      <c r="M1377" s="742">
        <v>89897</v>
      </c>
      <c r="N1377" s="352">
        <f t="shared" si="253"/>
        <v>3191353</v>
      </c>
      <c r="O1377" s="357">
        <f t="shared" si="250"/>
        <v>457</v>
      </c>
      <c r="P1377" s="410">
        <v>9</v>
      </c>
      <c r="Q1377" s="358">
        <f t="shared" si="255"/>
        <v>1.252054794520548</v>
      </c>
      <c r="R1377" s="359">
        <f t="shared" si="256"/>
        <v>7.7479452054794518</v>
      </c>
      <c r="S1377" s="360">
        <f t="shared" si="257"/>
        <v>7.7479452054794518</v>
      </c>
      <c r="T1377" s="361">
        <f t="shared" si="258"/>
        <v>0.10555555555555554</v>
      </c>
      <c r="U1377" s="362">
        <f t="shared" si="259"/>
        <v>346354.16666666663</v>
      </c>
      <c r="V1377" s="362">
        <f t="shared" si="260"/>
        <v>2844998.8333333335</v>
      </c>
      <c r="W1377" s="362">
        <f t="shared" si="261"/>
        <v>164063</v>
      </c>
      <c r="X1377" s="742">
        <f t="shared" si="252"/>
        <v>2680935.8333333335</v>
      </c>
    </row>
    <row r="1378" spans="1:24" ht="13.9">
      <c r="A1378" s="349">
        <f t="shared" si="254"/>
        <v>1370</v>
      </c>
      <c r="B1378" s="654" t="s">
        <v>71</v>
      </c>
      <c r="C1378" s="654" t="s">
        <v>3459</v>
      </c>
      <c r="D1378" s="743" t="s">
        <v>3663</v>
      </c>
      <c r="E1378" s="654" t="s">
        <v>178</v>
      </c>
      <c r="F1378" s="334"/>
      <c r="G1378" s="657">
        <v>44926</v>
      </c>
      <c r="H1378" s="426">
        <v>3281250</v>
      </c>
      <c r="I1378" s="744"/>
      <c r="J1378" s="744"/>
      <c r="K1378" s="354">
        <f t="shared" si="251"/>
        <v>3281250</v>
      </c>
      <c r="L1378" s="657">
        <v>44926</v>
      </c>
      <c r="M1378" s="742">
        <v>89897</v>
      </c>
      <c r="N1378" s="352">
        <f t="shared" si="253"/>
        <v>3191353</v>
      </c>
      <c r="O1378" s="357">
        <f t="shared" si="250"/>
        <v>457</v>
      </c>
      <c r="P1378" s="410">
        <v>9</v>
      </c>
      <c r="Q1378" s="358">
        <f t="shared" si="255"/>
        <v>1.252054794520548</v>
      </c>
      <c r="R1378" s="359">
        <f t="shared" si="256"/>
        <v>7.7479452054794518</v>
      </c>
      <c r="S1378" s="360">
        <f t="shared" si="257"/>
        <v>7.7479452054794518</v>
      </c>
      <c r="T1378" s="361">
        <f t="shared" si="258"/>
        <v>0.10555555555555554</v>
      </c>
      <c r="U1378" s="362">
        <f t="shared" si="259"/>
        <v>346354.16666666663</v>
      </c>
      <c r="V1378" s="362">
        <f t="shared" si="260"/>
        <v>2844998.8333333335</v>
      </c>
      <c r="W1378" s="362">
        <f t="shared" si="261"/>
        <v>164063</v>
      </c>
      <c r="X1378" s="742">
        <f t="shared" si="252"/>
        <v>2680935.8333333335</v>
      </c>
    </row>
    <row r="1379" spans="1:24" ht="13.9">
      <c r="A1379" s="349">
        <f t="shared" si="254"/>
        <v>1371</v>
      </c>
      <c r="B1379" s="654" t="s">
        <v>71</v>
      </c>
      <c r="C1379" s="654" t="s">
        <v>3459</v>
      </c>
      <c r="D1379" s="743" t="s">
        <v>3663</v>
      </c>
      <c r="E1379" s="654" t="s">
        <v>178</v>
      </c>
      <c r="F1379" s="334"/>
      <c r="G1379" s="657">
        <v>44926</v>
      </c>
      <c r="H1379" s="426">
        <v>3281250</v>
      </c>
      <c r="I1379" s="744"/>
      <c r="J1379" s="744"/>
      <c r="K1379" s="354">
        <f t="shared" si="251"/>
        <v>3281250</v>
      </c>
      <c r="L1379" s="657">
        <v>44926</v>
      </c>
      <c r="M1379" s="742">
        <v>89897</v>
      </c>
      <c r="N1379" s="352">
        <f t="shared" si="253"/>
        <v>3191353</v>
      </c>
      <c r="O1379" s="357">
        <f t="shared" si="250"/>
        <v>457</v>
      </c>
      <c r="P1379" s="410">
        <v>9</v>
      </c>
      <c r="Q1379" s="358">
        <f t="shared" si="255"/>
        <v>1.252054794520548</v>
      </c>
      <c r="R1379" s="359">
        <f t="shared" si="256"/>
        <v>7.7479452054794518</v>
      </c>
      <c r="S1379" s="360">
        <f t="shared" si="257"/>
        <v>7.7479452054794518</v>
      </c>
      <c r="T1379" s="361">
        <f t="shared" si="258"/>
        <v>0.10555555555555554</v>
      </c>
      <c r="U1379" s="362">
        <f t="shared" si="259"/>
        <v>346354.16666666663</v>
      </c>
      <c r="V1379" s="362">
        <f t="shared" si="260"/>
        <v>2844998.8333333335</v>
      </c>
      <c r="W1379" s="362">
        <f t="shared" si="261"/>
        <v>164063</v>
      </c>
      <c r="X1379" s="742">
        <f t="shared" si="252"/>
        <v>2680935.8333333335</v>
      </c>
    </row>
    <row r="1380" spans="1:24" ht="13.9">
      <c r="A1380" s="349">
        <f t="shared" si="254"/>
        <v>1372</v>
      </c>
      <c r="B1380" s="654" t="s">
        <v>71</v>
      </c>
      <c r="C1380" s="654" t="s">
        <v>3459</v>
      </c>
      <c r="D1380" s="743" t="s">
        <v>3663</v>
      </c>
      <c r="E1380" s="654" t="s">
        <v>178</v>
      </c>
      <c r="F1380" s="334"/>
      <c r="G1380" s="657">
        <v>44926</v>
      </c>
      <c r="H1380" s="426">
        <v>3281250</v>
      </c>
      <c r="I1380" s="744"/>
      <c r="J1380" s="744"/>
      <c r="K1380" s="354">
        <f t="shared" si="251"/>
        <v>3281250</v>
      </c>
      <c r="L1380" s="657">
        <v>44926</v>
      </c>
      <c r="M1380" s="742">
        <v>89897</v>
      </c>
      <c r="N1380" s="352">
        <f t="shared" si="253"/>
        <v>3191353</v>
      </c>
      <c r="O1380" s="357">
        <f t="shared" si="250"/>
        <v>457</v>
      </c>
      <c r="P1380" s="410">
        <v>9</v>
      </c>
      <c r="Q1380" s="358">
        <f t="shared" si="255"/>
        <v>1.252054794520548</v>
      </c>
      <c r="R1380" s="359">
        <f t="shared" si="256"/>
        <v>7.7479452054794518</v>
      </c>
      <c r="S1380" s="360">
        <f t="shared" si="257"/>
        <v>7.7479452054794518</v>
      </c>
      <c r="T1380" s="361">
        <f t="shared" si="258"/>
        <v>0.10555555555555554</v>
      </c>
      <c r="U1380" s="362">
        <f t="shared" si="259"/>
        <v>346354.16666666663</v>
      </c>
      <c r="V1380" s="362">
        <f t="shared" si="260"/>
        <v>2844998.8333333335</v>
      </c>
      <c r="W1380" s="362">
        <f t="shared" si="261"/>
        <v>164063</v>
      </c>
      <c r="X1380" s="742">
        <f t="shared" si="252"/>
        <v>2680935.8333333335</v>
      </c>
    </row>
    <row r="1381" spans="1:24" ht="13.9">
      <c r="A1381" s="349">
        <f t="shared" si="254"/>
        <v>1373</v>
      </c>
      <c r="B1381" s="654" t="s">
        <v>71</v>
      </c>
      <c r="C1381" s="654" t="s">
        <v>3459</v>
      </c>
      <c r="D1381" s="743" t="s">
        <v>3663</v>
      </c>
      <c r="E1381" s="654" t="s">
        <v>178</v>
      </c>
      <c r="F1381" s="334"/>
      <c r="G1381" s="657">
        <v>44926</v>
      </c>
      <c r="H1381" s="426">
        <v>3281250</v>
      </c>
      <c r="I1381" s="744"/>
      <c r="J1381" s="744"/>
      <c r="K1381" s="354">
        <f t="shared" si="251"/>
        <v>3281250</v>
      </c>
      <c r="L1381" s="657">
        <v>44926</v>
      </c>
      <c r="M1381" s="742">
        <v>89897</v>
      </c>
      <c r="N1381" s="352">
        <f t="shared" si="253"/>
        <v>3191353</v>
      </c>
      <c r="O1381" s="357">
        <f t="shared" si="250"/>
        <v>457</v>
      </c>
      <c r="P1381" s="410">
        <v>9</v>
      </c>
      <c r="Q1381" s="358">
        <f t="shared" si="255"/>
        <v>1.252054794520548</v>
      </c>
      <c r="R1381" s="359">
        <f t="shared" si="256"/>
        <v>7.7479452054794518</v>
      </c>
      <c r="S1381" s="360">
        <f t="shared" si="257"/>
        <v>7.7479452054794518</v>
      </c>
      <c r="T1381" s="361">
        <f t="shared" si="258"/>
        <v>0.10555555555555554</v>
      </c>
      <c r="U1381" s="362">
        <f t="shared" si="259"/>
        <v>346354.16666666663</v>
      </c>
      <c r="V1381" s="362">
        <f t="shared" si="260"/>
        <v>2844998.8333333335</v>
      </c>
      <c r="W1381" s="362">
        <f t="shared" si="261"/>
        <v>164063</v>
      </c>
      <c r="X1381" s="742">
        <f t="shared" si="252"/>
        <v>2680935.8333333335</v>
      </c>
    </row>
    <row r="1382" spans="1:24" ht="13.9">
      <c r="A1382" s="349">
        <f t="shared" si="254"/>
        <v>1374</v>
      </c>
      <c r="B1382" s="654" t="s">
        <v>71</v>
      </c>
      <c r="C1382" s="654" t="s">
        <v>3459</v>
      </c>
      <c r="D1382" s="743" t="s">
        <v>3663</v>
      </c>
      <c r="E1382" s="654" t="s">
        <v>178</v>
      </c>
      <c r="F1382" s="334"/>
      <c r="G1382" s="657">
        <v>44926</v>
      </c>
      <c r="H1382" s="426">
        <v>3281250</v>
      </c>
      <c r="I1382" s="744"/>
      <c r="J1382" s="744"/>
      <c r="K1382" s="354">
        <f t="shared" si="251"/>
        <v>3281250</v>
      </c>
      <c r="L1382" s="657">
        <v>44926</v>
      </c>
      <c r="M1382" s="742">
        <v>89897</v>
      </c>
      <c r="N1382" s="352">
        <f t="shared" si="253"/>
        <v>3191353</v>
      </c>
      <c r="O1382" s="357">
        <f t="shared" si="250"/>
        <v>457</v>
      </c>
      <c r="P1382" s="410">
        <v>9</v>
      </c>
      <c r="Q1382" s="358">
        <f t="shared" si="255"/>
        <v>1.252054794520548</v>
      </c>
      <c r="R1382" s="359">
        <f t="shared" si="256"/>
        <v>7.7479452054794518</v>
      </c>
      <c r="S1382" s="360">
        <f t="shared" si="257"/>
        <v>7.7479452054794518</v>
      </c>
      <c r="T1382" s="361">
        <f t="shared" si="258"/>
        <v>0.10555555555555554</v>
      </c>
      <c r="U1382" s="362">
        <f t="shared" si="259"/>
        <v>346354.16666666663</v>
      </c>
      <c r="V1382" s="362">
        <f t="shared" si="260"/>
        <v>2844998.8333333335</v>
      </c>
      <c r="W1382" s="362">
        <f t="shared" si="261"/>
        <v>164063</v>
      </c>
      <c r="X1382" s="742">
        <f t="shared" si="252"/>
        <v>2680935.8333333335</v>
      </c>
    </row>
    <row r="1383" spans="1:24" ht="13.9">
      <c r="A1383" s="349">
        <f t="shared" si="254"/>
        <v>1375</v>
      </c>
      <c r="B1383" s="654" t="s">
        <v>71</v>
      </c>
      <c r="C1383" s="654" t="s">
        <v>3459</v>
      </c>
      <c r="D1383" s="743" t="s">
        <v>3663</v>
      </c>
      <c r="E1383" s="654" t="s">
        <v>402</v>
      </c>
      <c r="F1383" s="334"/>
      <c r="G1383" s="657">
        <v>44926</v>
      </c>
      <c r="H1383" s="426">
        <v>10500000</v>
      </c>
      <c r="I1383" s="744"/>
      <c r="J1383" s="744"/>
      <c r="K1383" s="354">
        <f t="shared" si="251"/>
        <v>10500000</v>
      </c>
      <c r="L1383" s="657">
        <v>44926</v>
      </c>
      <c r="M1383" s="742">
        <v>287671</v>
      </c>
      <c r="N1383" s="352">
        <f t="shared" si="253"/>
        <v>10212329</v>
      </c>
      <c r="O1383" s="357">
        <f t="shared" si="250"/>
        <v>457</v>
      </c>
      <c r="P1383" s="410">
        <v>9</v>
      </c>
      <c r="Q1383" s="358">
        <f t="shared" si="255"/>
        <v>1.252054794520548</v>
      </c>
      <c r="R1383" s="359">
        <f t="shared" si="256"/>
        <v>7.7479452054794518</v>
      </c>
      <c r="S1383" s="360">
        <f t="shared" si="257"/>
        <v>7.7479452054794518</v>
      </c>
      <c r="T1383" s="361">
        <f t="shared" si="258"/>
        <v>0.10555555555555554</v>
      </c>
      <c r="U1383" s="362">
        <f t="shared" si="259"/>
        <v>1108333.3333333333</v>
      </c>
      <c r="V1383" s="362">
        <f t="shared" si="260"/>
        <v>9103995.666666666</v>
      </c>
      <c r="W1383" s="362">
        <f t="shared" si="261"/>
        <v>525000</v>
      </c>
      <c r="X1383" s="742">
        <f t="shared" si="252"/>
        <v>8578995.666666666</v>
      </c>
    </row>
    <row r="1384" spans="1:24" ht="13.9">
      <c r="A1384" s="349">
        <f t="shared" si="254"/>
        <v>1376</v>
      </c>
      <c r="B1384" s="654" t="s">
        <v>71</v>
      </c>
      <c r="C1384" s="654" t="s">
        <v>3459</v>
      </c>
      <c r="D1384" s="743" t="s">
        <v>3663</v>
      </c>
      <c r="E1384" s="654" t="s">
        <v>402</v>
      </c>
      <c r="F1384" s="334"/>
      <c r="G1384" s="657">
        <v>44926</v>
      </c>
      <c r="H1384" s="426">
        <v>10500000</v>
      </c>
      <c r="I1384" s="744"/>
      <c r="J1384" s="744"/>
      <c r="K1384" s="354">
        <f t="shared" si="251"/>
        <v>10500000</v>
      </c>
      <c r="L1384" s="657">
        <v>44926</v>
      </c>
      <c r="M1384" s="742">
        <v>287671</v>
      </c>
      <c r="N1384" s="352">
        <f t="shared" si="253"/>
        <v>10212329</v>
      </c>
      <c r="O1384" s="357">
        <f t="shared" si="250"/>
        <v>457</v>
      </c>
      <c r="P1384" s="410">
        <v>9</v>
      </c>
      <c r="Q1384" s="358">
        <f t="shared" si="255"/>
        <v>1.252054794520548</v>
      </c>
      <c r="R1384" s="359">
        <f t="shared" si="256"/>
        <v>7.7479452054794518</v>
      </c>
      <c r="S1384" s="360">
        <f t="shared" si="257"/>
        <v>7.7479452054794518</v>
      </c>
      <c r="T1384" s="361">
        <f t="shared" si="258"/>
        <v>0.10555555555555554</v>
      </c>
      <c r="U1384" s="362">
        <f t="shared" si="259"/>
        <v>1108333.3333333333</v>
      </c>
      <c r="V1384" s="362">
        <f t="shared" si="260"/>
        <v>9103995.666666666</v>
      </c>
      <c r="W1384" s="362">
        <f t="shared" si="261"/>
        <v>525000</v>
      </c>
      <c r="X1384" s="742">
        <f t="shared" si="252"/>
        <v>8578995.666666666</v>
      </c>
    </row>
    <row r="1385" spans="1:24" ht="13.9">
      <c r="A1385" s="349">
        <f t="shared" si="254"/>
        <v>1377</v>
      </c>
      <c r="B1385" s="654" t="s">
        <v>71</v>
      </c>
      <c r="C1385" s="654" t="s">
        <v>3459</v>
      </c>
      <c r="D1385" s="743" t="s">
        <v>3663</v>
      </c>
      <c r="E1385" s="654" t="s">
        <v>402</v>
      </c>
      <c r="F1385" s="334"/>
      <c r="G1385" s="657">
        <v>44926</v>
      </c>
      <c r="H1385" s="426">
        <v>10500000</v>
      </c>
      <c r="I1385" s="744"/>
      <c r="J1385" s="744"/>
      <c r="K1385" s="354">
        <f t="shared" si="251"/>
        <v>10500000</v>
      </c>
      <c r="L1385" s="657">
        <v>44926</v>
      </c>
      <c r="M1385" s="742">
        <v>287671</v>
      </c>
      <c r="N1385" s="352">
        <f t="shared" si="253"/>
        <v>10212329</v>
      </c>
      <c r="O1385" s="357">
        <f t="shared" si="250"/>
        <v>457</v>
      </c>
      <c r="P1385" s="410">
        <v>9</v>
      </c>
      <c r="Q1385" s="358">
        <f t="shared" si="255"/>
        <v>1.252054794520548</v>
      </c>
      <c r="R1385" s="359">
        <f t="shared" si="256"/>
        <v>7.7479452054794518</v>
      </c>
      <c r="S1385" s="360">
        <f t="shared" si="257"/>
        <v>7.7479452054794518</v>
      </c>
      <c r="T1385" s="361">
        <f t="shared" si="258"/>
        <v>0.10555555555555554</v>
      </c>
      <c r="U1385" s="362">
        <f t="shared" si="259"/>
        <v>1108333.3333333333</v>
      </c>
      <c r="V1385" s="362">
        <f t="shared" si="260"/>
        <v>9103995.666666666</v>
      </c>
      <c r="W1385" s="362">
        <f t="shared" si="261"/>
        <v>525000</v>
      </c>
      <c r="X1385" s="742">
        <f t="shared" si="252"/>
        <v>8578995.666666666</v>
      </c>
    </row>
    <row r="1386" spans="1:24" ht="13.9">
      <c r="A1386" s="349">
        <f t="shared" si="254"/>
        <v>1378</v>
      </c>
      <c r="B1386" s="654" t="s">
        <v>71</v>
      </c>
      <c r="C1386" s="654" t="s">
        <v>3459</v>
      </c>
      <c r="D1386" s="743" t="s">
        <v>3663</v>
      </c>
      <c r="E1386" s="654" t="s">
        <v>402</v>
      </c>
      <c r="F1386" s="334"/>
      <c r="G1386" s="657">
        <v>44926</v>
      </c>
      <c r="H1386" s="426">
        <v>10500000</v>
      </c>
      <c r="I1386" s="744"/>
      <c r="J1386" s="744"/>
      <c r="K1386" s="354">
        <f t="shared" si="251"/>
        <v>10500000</v>
      </c>
      <c r="L1386" s="657">
        <v>44926</v>
      </c>
      <c r="M1386" s="742">
        <v>287671</v>
      </c>
      <c r="N1386" s="352">
        <f t="shared" si="253"/>
        <v>10212329</v>
      </c>
      <c r="O1386" s="357">
        <f t="shared" si="250"/>
        <v>457</v>
      </c>
      <c r="P1386" s="410">
        <v>9</v>
      </c>
      <c r="Q1386" s="358">
        <f t="shared" si="255"/>
        <v>1.252054794520548</v>
      </c>
      <c r="R1386" s="359">
        <f t="shared" si="256"/>
        <v>7.7479452054794518</v>
      </c>
      <c r="S1386" s="360">
        <f t="shared" si="257"/>
        <v>7.7479452054794518</v>
      </c>
      <c r="T1386" s="361">
        <f t="shared" si="258"/>
        <v>0.10555555555555554</v>
      </c>
      <c r="U1386" s="362">
        <f t="shared" si="259"/>
        <v>1108333.3333333333</v>
      </c>
      <c r="V1386" s="362">
        <f t="shared" si="260"/>
        <v>9103995.666666666</v>
      </c>
      <c r="W1386" s="362">
        <f t="shared" si="261"/>
        <v>525000</v>
      </c>
      <c r="X1386" s="742">
        <f t="shared" si="252"/>
        <v>8578995.666666666</v>
      </c>
    </row>
    <row r="1387" spans="1:24" ht="13.9">
      <c r="A1387" s="349">
        <f t="shared" si="254"/>
        <v>1379</v>
      </c>
      <c r="B1387" s="654" t="s">
        <v>71</v>
      </c>
      <c r="C1387" s="654" t="s">
        <v>3459</v>
      </c>
      <c r="D1387" s="743" t="s">
        <v>3663</v>
      </c>
      <c r="E1387" s="654" t="s">
        <v>402</v>
      </c>
      <c r="F1387" s="334"/>
      <c r="G1387" s="657">
        <v>44926</v>
      </c>
      <c r="H1387" s="426">
        <v>10500000</v>
      </c>
      <c r="I1387" s="744"/>
      <c r="J1387" s="744"/>
      <c r="K1387" s="354">
        <f t="shared" si="251"/>
        <v>10500000</v>
      </c>
      <c r="L1387" s="657">
        <v>44926</v>
      </c>
      <c r="M1387" s="742">
        <v>287671</v>
      </c>
      <c r="N1387" s="352">
        <f t="shared" si="253"/>
        <v>10212329</v>
      </c>
      <c r="O1387" s="357">
        <f t="shared" si="250"/>
        <v>457</v>
      </c>
      <c r="P1387" s="410">
        <v>9</v>
      </c>
      <c r="Q1387" s="358">
        <f t="shared" si="255"/>
        <v>1.252054794520548</v>
      </c>
      <c r="R1387" s="359">
        <f t="shared" si="256"/>
        <v>7.7479452054794518</v>
      </c>
      <c r="S1387" s="360">
        <f t="shared" si="257"/>
        <v>7.7479452054794518</v>
      </c>
      <c r="T1387" s="361">
        <f t="shared" si="258"/>
        <v>0.10555555555555554</v>
      </c>
      <c r="U1387" s="362">
        <f t="shared" si="259"/>
        <v>1108333.3333333333</v>
      </c>
      <c r="V1387" s="362">
        <f t="shared" si="260"/>
        <v>9103995.666666666</v>
      </c>
      <c r="W1387" s="362">
        <f t="shared" si="261"/>
        <v>525000</v>
      </c>
      <c r="X1387" s="742">
        <f t="shared" si="252"/>
        <v>8578995.666666666</v>
      </c>
    </row>
    <row r="1388" spans="1:24" ht="13.9">
      <c r="A1388" s="349">
        <f t="shared" si="254"/>
        <v>1380</v>
      </c>
      <c r="B1388" s="670" t="s">
        <v>1884</v>
      </c>
      <c r="C1388" s="654" t="s">
        <v>3459</v>
      </c>
      <c r="D1388" s="743" t="s">
        <v>3663</v>
      </c>
      <c r="E1388" s="670" t="s">
        <v>3420</v>
      </c>
      <c r="F1388" s="334"/>
      <c r="G1388" s="672">
        <v>44945</v>
      </c>
      <c r="H1388" s="426">
        <v>3569990</v>
      </c>
      <c r="I1388" s="744"/>
      <c r="J1388" s="744"/>
      <c r="K1388" s="354">
        <f t="shared" si="251"/>
        <v>3569990</v>
      </c>
      <c r="L1388" s="672">
        <v>44945</v>
      </c>
      <c r="M1388" s="742">
        <v>77160</v>
      </c>
      <c r="N1388" s="352">
        <f t="shared" si="253"/>
        <v>3492830</v>
      </c>
      <c r="O1388" s="357">
        <f t="shared" si="250"/>
        <v>438</v>
      </c>
      <c r="P1388" s="410">
        <v>9</v>
      </c>
      <c r="Q1388" s="358">
        <f t="shared" si="255"/>
        <v>1.2</v>
      </c>
      <c r="R1388" s="359">
        <f t="shared" si="256"/>
        <v>7.8</v>
      </c>
      <c r="S1388" s="360">
        <f t="shared" si="257"/>
        <v>7.8</v>
      </c>
      <c r="T1388" s="361">
        <f t="shared" si="258"/>
        <v>0.10555555555555554</v>
      </c>
      <c r="U1388" s="362">
        <f t="shared" si="259"/>
        <v>376832.27777777775</v>
      </c>
      <c r="V1388" s="362">
        <f t="shared" si="260"/>
        <v>3115997.722222222</v>
      </c>
      <c r="W1388" s="362">
        <f t="shared" si="261"/>
        <v>178500</v>
      </c>
      <c r="X1388" s="742">
        <f t="shared" si="252"/>
        <v>2937497.722222222</v>
      </c>
    </row>
    <row r="1389" spans="1:24" ht="13.9">
      <c r="A1389" s="349">
        <f t="shared" si="254"/>
        <v>1381</v>
      </c>
      <c r="B1389" s="670" t="s">
        <v>315</v>
      </c>
      <c r="C1389" s="654" t="s">
        <v>3459</v>
      </c>
      <c r="D1389" s="743" t="s">
        <v>3663</v>
      </c>
      <c r="E1389" s="670" t="s">
        <v>410</v>
      </c>
      <c r="F1389" s="334"/>
      <c r="G1389" s="672">
        <v>44945</v>
      </c>
      <c r="H1389" s="426">
        <v>25783495</v>
      </c>
      <c r="I1389" s="744"/>
      <c r="J1389" s="744"/>
      <c r="K1389" s="354">
        <f t="shared" si="251"/>
        <v>25783495</v>
      </c>
      <c r="L1389" s="672">
        <v>44945</v>
      </c>
      <c r="M1389" s="742">
        <v>557269</v>
      </c>
      <c r="N1389" s="352">
        <f t="shared" si="253"/>
        <v>25226226</v>
      </c>
      <c r="O1389" s="357">
        <f t="shared" si="250"/>
        <v>438</v>
      </c>
      <c r="P1389" s="410">
        <v>9</v>
      </c>
      <c r="Q1389" s="358">
        <f t="shared" si="255"/>
        <v>1.2</v>
      </c>
      <c r="R1389" s="359">
        <f t="shared" si="256"/>
        <v>7.8</v>
      </c>
      <c r="S1389" s="360">
        <f t="shared" si="257"/>
        <v>7.8</v>
      </c>
      <c r="T1389" s="361">
        <f t="shared" si="258"/>
        <v>0.10555555555555554</v>
      </c>
      <c r="U1389" s="362">
        <f t="shared" si="259"/>
        <v>2721591.1388888885</v>
      </c>
      <c r="V1389" s="362">
        <f t="shared" si="260"/>
        <v>22504634.861111112</v>
      </c>
      <c r="W1389" s="362">
        <f t="shared" si="261"/>
        <v>1289175</v>
      </c>
      <c r="X1389" s="742">
        <f t="shared" si="252"/>
        <v>21215459.861111112</v>
      </c>
    </row>
    <row r="1390" spans="1:24" ht="13.9">
      <c r="A1390" s="349">
        <f t="shared" si="254"/>
        <v>1382</v>
      </c>
      <c r="B1390" s="669" t="s">
        <v>3340</v>
      </c>
      <c r="C1390" s="654" t="s">
        <v>3459</v>
      </c>
      <c r="D1390" s="743" t="s">
        <v>3663</v>
      </c>
      <c r="E1390" s="669" t="s">
        <v>763</v>
      </c>
      <c r="F1390" s="334"/>
      <c r="G1390" s="672">
        <v>44931</v>
      </c>
      <c r="H1390" s="426">
        <v>392490</v>
      </c>
      <c r="I1390" s="744"/>
      <c r="J1390" s="744"/>
      <c r="K1390" s="354">
        <f t="shared" si="251"/>
        <v>392490</v>
      </c>
      <c r="L1390" s="672">
        <v>44931</v>
      </c>
      <c r="M1390" s="742">
        <v>30467</v>
      </c>
      <c r="N1390" s="352">
        <f t="shared" si="253"/>
        <v>362023</v>
      </c>
      <c r="O1390" s="357">
        <f t="shared" si="250"/>
        <v>452</v>
      </c>
      <c r="P1390" s="410">
        <v>9</v>
      </c>
      <c r="Q1390" s="358">
        <f t="shared" si="255"/>
        <v>1.2383561643835617</v>
      </c>
      <c r="R1390" s="359">
        <f t="shared" si="256"/>
        <v>7.7616438356164386</v>
      </c>
      <c r="S1390" s="360">
        <f t="shared" si="257"/>
        <v>7.7616438356164386</v>
      </c>
      <c r="T1390" s="361">
        <f t="shared" si="258"/>
        <v>0.10555555555555554</v>
      </c>
      <c r="U1390" s="362">
        <f t="shared" si="259"/>
        <v>41429.499999999993</v>
      </c>
      <c r="V1390" s="362">
        <f t="shared" si="260"/>
        <v>320593.5</v>
      </c>
      <c r="W1390" s="362">
        <f t="shared" si="261"/>
        <v>19625</v>
      </c>
      <c r="X1390" s="742">
        <f t="shared" si="252"/>
        <v>300968.5</v>
      </c>
    </row>
    <row r="1391" spans="1:24" ht="13.9">
      <c r="A1391" s="349">
        <f t="shared" si="254"/>
        <v>1383</v>
      </c>
      <c r="B1391" s="669" t="s">
        <v>3340</v>
      </c>
      <c r="C1391" s="654" t="s">
        <v>3459</v>
      </c>
      <c r="D1391" s="743" t="s">
        <v>3663</v>
      </c>
      <c r="E1391" s="669" t="s">
        <v>763</v>
      </c>
      <c r="F1391" s="334"/>
      <c r="G1391" s="672">
        <v>44931</v>
      </c>
      <c r="H1391" s="426">
        <v>248219</v>
      </c>
      <c r="I1391" s="744"/>
      <c r="J1391" s="744"/>
      <c r="K1391" s="354">
        <f t="shared" si="251"/>
        <v>248219</v>
      </c>
      <c r="L1391" s="672">
        <v>44931</v>
      </c>
      <c r="M1391" s="742">
        <v>19268</v>
      </c>
      <c r="N1391" s="352">
        <f t="shared" si="253"/>
        <v>228951</v>
      </c>
      <c r="O1391" s="357">
        <f t="shared" si="250"/>
        <v>452</v>
      </c>
      <c r="P1391" s="410">
        <v>9</v>
      </c>
      <c r="Q1391" s="358">
        <f t="shared" si="255"/>
        <v>1.2383561643835617</v>
      </c>
      <c r="R1391" s="359">
        <f t="shared" si="256"/>
        <v>7.7616438356164386</v>
      </c>
      <c r="S1391" s="360">
        <f t="shared" si="257"/>
        <v>7.7616438356164386</v>
      </c>
      <c r="T1391" s="361">
        <f t="shared" si="258"/>
        <v>0.10555555555555554</v>
      </c>
      <c r="U1391" s="362">
        <f t="shared" si="259"/>
        <v>26200.894444444442</v>
      </c>
      <c r="V1391" s="362">
        <f t="shared" si="260"/>
        <v>202750.10555555555</v>
      </c>
      <c r="W1391" s="362">
        <f t="shared" si="261"/>
        <v>12411</v>
      </c>
      <c r="X1391" s="742">
        <f t="shared" si="252"/>
        <v>190339.10555555555</v>
      </c>
    </row>
    <row r="1392" spans="1:24" ht="13.9">
      <c r="A1392" s="349">
        <f t="shared" si="254"/>
        <v>1384</v>
      </c>
      <c r="B1392" s="669" t="s">
        <v>3340</v>
      </c>
      <c r="C1392" s="654" t="s">
        <v>3459</v>
      </c>
      <c r="D1392" s="743" t="s">
        <v>3663</v>
      </c>
      <c r="E1392" s="669" t="s">
        <v>763</v>
      </c>
      <c r="F1392" s="334"/>
      <c r="G1392" s="672">
        <v>44931</v>
      </c>
      <c r="H1392" s="426">
        <v>766010</v>
      </c>
      <c r="I1392" s="744"/>
      <c r="J1392" s="744"/>
      <c r="K1392" s="354">
        <f t="shared" si="251"/>
        <v>766010</v>
      </c>
      <c r="L1392" s="672">
        <v>44931</v>
      </c>
      <c r="M1392" s="742">
        <v>59462</v>
      </c>
      <c r="N1392" s="352">
        <f t="shared" si="253"/>
        <v>706548</v>
      </c>
      <c r="O1392" s="357">
        <f t="shared" si="250"/>
        <v>452</v>
      </c>
      <c r="P1392" s="410">
        <v>9</v>
      </c>
      <c r="Q1392" s="358">
        <f t="shared" si="255"/>
        <v>1.2383561643835617</v>
      </c>
      <c r="R1392" s="359">
        <f t="shared" si="256"/>
        <v>7.7616438356164386</v>
      </c>
      <c r="S1392" s="360">
        <f t="shared" si="257"/>
        <v>7.7616438356164386</v>
      </c>
      <c r="T1392" s="361">
        <f t="shared" si="258"/>
        <v>0.10555555555555554</v>
      </c>
      <c r="U1392" s="362">
        <f t="shared" si="259"/>
        <v>80856.611111111095</v>
      </c>
      <c r="V1392" s="362">
        <f t="shared" si="260"/>
        <v>625691.38888888888</v>
      </c>
      <c r="W1392" s="362">
        <f t="shared" si="261"/>
        <v>38301</v>
      </c>
      <c r="X1392" s="742">
        <f t="shared" si="252"/>
        <v>587390.38888888888</v>
      </c>
    </row>
    <row r="1393" spans="1:24" ht="13.9">
      <c r="A1393" s="349">
        <f t="shared" si="254"/>
        <v>1385</v>
      </c>
      <c r="B1393" s="669" t="s">
        <v>3340</v>
      </c>
      <c r="C1393" s="654" t="s">
        <v>3459</v>
      </c>
      <c r="D1393" s="743" t="s">
        <v>3663</v>
      </c>
      <c r="E1393" s="669" t="s">
        <v>763</v>
      </c>
      <c r="F1393" s="334"/>
      <c r="G1393" s="672">
        <v>44932</v>
      </c>
      <c r="H1393" s="426">
        <v>1059800</v>
      </c>
      <c r="I1393" s="744"/>
      <c r="J1393" s="744"/>
      <c r="K1393" s="354">
        <f t="shared" si="251"/>
        <v>1059800</v>
      </c>
      <c r="L1393" s="672">
        <v>44932</v>
      </c>
      <c r="M1393" s="742">
        <v>81300</v>
      </c>
      <c r="N1393" s="352">
        <f t="shared" si="253"/>
        <v>978500</v>
      </c>
      <c r="O1393" s="357">
        <f t="shared" si="250"/>
        <v>451</v>
      </c>
      <c r="P1393" s="410">
        <v>9</v>
      </c>
      <c r="Q1393" s="358">
        <f t="shared" si="255"/>
        <v>1.2356164383561643</v>
      </c>
      <c r="R1393" s="359">
        <f t="shared" si="256"/>
        <v>7.7643835616438359</v>
      </c>
      <c r="S1393" s="360">
        <f t="shared" si="257"/>
        <v>7.7643835616438359</v>
      </c>
      <c r="T1393" s="361">
        <f t="shared" si="258"/>
        <v>0.10555555555555554</v>
      </c>
      <c r="U1393" s="362">
        <f t="shared" si="259"/>
        <v>111867.77777777777</v>
      </c>
      <c r="V1393" s="362">
        <f t="shared" si="260"/>
        <v>866632.22222222225</v>
      </c>
      <c r="W1393" s="362">
        <f t="shared" si="261"/>
        <v>52990</v>
      </c>
      <c r="X1393" s="742">
        <f t="shared" si="252"/>
        <v>813642.22222222225</v>
      </c>
    </row>
    <row r="1394" spans="1:24" ht="13.9">
      <c r="A1394" s="349">
        <f t="shared" si="254"/>
        <v>1386</v>
      </c>
      <c r="B1394" s="669" t="s">
        <v>3340</v>
      </c>
      <c r="C1394" s="654" t="s">
        <v>3459</v>
      </c>
      <c r="D1394" s="743" t="s">
        <v>3663</v>
      </c>
      <c r="E1394" s="669" t="s">
        <v>763</v>
      </c>
      <c r="F1394" s="334"/>
      <c r="G1394" s="672">
        <v>44932</v>
      </c>
      <c r="H1394" s="426">
        <v>337400</v>
      </c>
      <c r="I1394" s="744"/>
      <c r="J1394" s="744"/>
      <c r="K1394" s="354">
        <f t="shared" si="251"/>
        <v>337400</v>
      </c>
      <c r="L1394" s="672">
        <v>44932</v>
      </c>
      <c r="M1394" s="742">
        <v>25883</v>
      </c>
      <c r="N1394" s="352">
        <f t="shared" si="253"/>
        <v>311517</v>
      </c>
      <c r="O1394" s="357">
        <f t="shared" si="250"/>
        <v>451</v>
      </c>
      <c r="P1394" s="410">
        <v>9</v>
      </c>
      <c r="Q1394" s="358">
        <f t="shared" si="255"/>
        <v>1.2356164383561643</v>
      </c>
      <c r="R1394" s="359">
        <f t="shared" si="256"/>
        <v>7.7643835616438359</v>
      </c>
      <c r="S1394" s="360">
        <f t="shared" si="257"/>
        <v>7.7643835616438359</v>
      </c>
      <c r="T1394" s="361">
        <f t="shared" si="258"/>
        <v>0.10555555555555554</v>
      </c>
      <c r="U1394" s="362">
        <f t="shared" si="259"/>
        <v>35614.444444444438</v>
      </c>
      <c r="V1394" s="362">
        <f t="shared" si="260"/>
        <v>275902.55555555556</v>
      </c>
      <c r="W1394" s="362">
        <f t="shared" si="261"/>
        <v>16870</v>
      </c>
      <c r="X1394" s="742">
        <f t="shared" si="252"/>
        <v>259032.55555555556</v>
      </c>
    </row>
    <row r="1395" spans="1:24" ht="13.9">
      <c r="A1395" s="349">
        <f t="shared" si="254"/>
        <v>1387</v>
      </c>
      <c r="B1395" s="669" t="s">
        <v>3340</v>
      </c>
      <c r="C1395" s="654" t="s">
        <v>3459</v>
      </c>
      <c r="D1395" s="743" t="s">
        <v>3663</v>
      </c>
      <c r="E1395" s="669" t="s">
        <v>763</v>
      </c>
      <c r="F1395" s="334"/>
      <c r="G1395" s="672">
        <v>44934</v>
      </c>
      <c r="H1395" s="426">
        <v>236800</v>
      </c>
      <c r="I1395" s="744"/>
      <c r="J1395" s="744"/>
      <c r="K1395" s="354">
        <f t="shared" si="251"/>
        <v>236800</v>
      </c>
      <c r="L1395" s="672">
        <v>44934</v>
      </c>
      <c r="M1395" s="742">
        <v>17733</v>
      </c>
      <c r="N1395" s="352">
        <f t="shared" si="253"/>
        <v>219067</v>
      </c>
      <c r="O1395" s="357">
        <f t="shared" si="250"/>
        <v>449</v>
      </c>
      <c r="P1395" s="410">
        <v>9</v>
      </c>
      <c r="Q1395" s="358">
        <f t="shared" si="255"/>
        <v>1.2301369863013698</v>
      </c>
      <c r="R1395" s="359">
        <f t="shared" si="256"/>
        <v>7.7698630136986306</v>
      </c>
      <c r="S1395" s="360">
        <f t="shared" si="257"/>
        <v>7.7698630136986306</v>
      </c>
      <c r="T1395" s="361">
        <f t="shared" si="258"/>
        <v>0.10555555555555554</v>
      </c>
      <c r="U1395" s="362">
        <f t="shared" si="259"/>
        <v>24995.555555555551</v>
      </c>
      <c r="V1395" s="362">
        <f t="shared" si="260"/>
        <v>194071.44444444444</v>
      </c>
      <c r="W1395" s="362">
        <f t="shared" si="261"/>
        <v>11840</v>
      </c>
      <c r="X1395" s="742">
        <f t="shared" si="252"/>
        <v>182231.44444444444</v>
      </c>
    </row>
    <row r="1396" spans="1:24" ht="13.9">
      <c r="A1396" s="349">
        <f t="shared" si="254"/>
        <v>1388</v>
      </c>
      <c r="B1396" s="669" t="s">
        <v>3340</v>
      </c>
      <c r="C1396" s="654" t="s">
        <v>3459</v>
      </c>
      <c r="D1396" s="743" t="s">
        <v>3663</v>
      </c>
      <c r="E1396" s="669" t="s">
        <v>763</v>
      </c>
      <c r="F1396" s="334"/>
      <c r="G1396" s="672">
        <v>44934</v>
      </c>
      <c r="H1396" s="426">
        <v>1420930</v>
      </c>
      <c r="I1396" s="744"/>
      <c r="J1396" s="744"/>
      <c r="K1396" s="354">
        <f t="shared" si="251"/>
        <v>1420930</v>
      </c>
      <c r="L1396" s="672">
        <v>44934</v>
      </c>
      <c r="M1396" s="742">
        <v>106408</v>
      </c>
      <c r="N1396" s="352">
        <f t="shared" si="253"/>
        <v>1314522</v>
      </c>
      <c r="O1396" s="357">
        <f t="shared" si="250"/>
        <v>449</v>
      </c>
      <c r="P1396" s="410">
        <v>9</v>
      </c>
      <c r="Q1396" s="358">
        <f t="shared" si="255"/>
        <v>1.2301369863013698</v>
      </c>
      <c r="R1396" s="359">
        <f t="shared" si="256"/>
        <v>7.7698630136986306</v>
      </c>
      <c r="S1396" s="360">
        <f t="shared" si="257"/>
        <v>7.7698630136986306</v>
      </c>
      <c r="T1396" s="361">
        <f t="shared" si="258"/>
        <v>0.10555555555555554</v>
      </c>
      <c r="U1396" s="362">
        <f t="shared" si="259"/>
        <v>149987.05555555553</v>
      </c>
      <c r="V1396" s="362">
        <f t="shared" si="260"/>
        <v>1164534.9444444445</v>
      </c>
      <c r="W1396" s="362">
        <f t="shared" si="261"/>
        <v>71047</v>
      </c>
      <c r="X1396" s="742">
        <f t="shared" si="252"/>
        <v>1093487.9444444445</v>
      </c>
    </row>
    <row r="1397" spans="1:24" ht="13.9">
      <c r="A1397" s="349">
        <f t="shared" si="254"/>
        <v>1389</v>
      </c>
      <c r="B1397" s="669" t="s">
        <v>3340</v>
      </c>
      <c r="C1397" s="654" t="s">
        <v>3459</v>
      </c>
      <c r="D1397" s="743" t="s">
        <v>3663</v>
      </c>
      <c r="E1397" s="669" t="s">
        <v>763</v>
      </c>
      <c r="F1397" s="334"/>
      <c r="G1397" s="672">
        <v>44934</v>
      </c>
      <c r="H1397" s="426">
        <v>164150</v>
      </c>
      <c r="I1397" s="744"/>
      <c r="J1397" s="744"/>
      <c r="K1397" s="354">
        <f t="shared" si="251"/>
        <v>164150</v>
      </c>
      <c r="L1397" s="672">
        <v>44934</v>
      </c>
      <c r="M1397" s="742">
        <v>12293</v>
      </c>
      <c r="N1397" s="352">
        <f t="shared" si="253"/>
        <v>151857</v>
      </c>
      <c r="O1397" s="357">
        <f t="shared" si="250"/>
        <v>449</v>
      </c>
      <c r="P1397" s="410">
        <v>9</v>
      </c>
      <c r="Q1397" s="358">
        <f t="shared" si="255"/>
        <v>1.2301369863013698</v>
      </c>
      <c r="R1397" s="359">
        <f t="shared" si="256"/>
        <v>7.7698630136986306</v>
      </c>
      <c r="S1397" s="360">
        <f t="shared" si="257"/>
        <v>7.7698630136986306</v>
      </c>
      <c r="T1397" s="361">
        <f t="shared" si="258"/>
        <v>0.10555555555555554</v>
      </c>
      <c r="U1397" s="362">
        <f t="shared" si="259"/>
        <v>17326.944444444442</v>
      </c>
      <c r="V1397" s="362">
        <f t="shared" si="260"/>
        <v>134530.05555555556</v>
      </c>
      <c r="W1397" s="362">
        <f t="shared" si="261"/>
        <v>8208</v>
      </c>
      <c r="X1397" s="742">
        <f t="shared" si="252"/>
        <v>126322.05555555556</v>
      </c>
    </row>
    <row r="1398" spans="1:24" ht="13.9">
      <c r="A1398" s="349">
        <f t="shared" si="254"/>
        <v>1390</v>
      </c>
      <c r="B1398" s="669" t="s">
        <v>3380</v>
      </c>
      <c r="C1398" s="654" t="s">
        <v>3459</v>
      </c>
      <c r="D1398" s="743" t="s">
        <v>3663</v>
      </c>
      <c r="E1398" s="669" t="s">
        <v>406</v>
      </c>
      <c r="F1398" s="334"/>
      <c r="G1398" s="672">
        <v>44932</v>
      </c>
      <c r="H1398" s="426">
        <v>691405</v>
      </c>
      <c r="I1398" s="744"/>
      <c r="J1398" s="744"/>
      <c r="K1398" s="354">
        <f t="shared" si="251"/>
        <v>691405</v>
      </c>
      <c r="L1398" s="672">
        <v>44932</v>
      </c>
      <c r="M1398" s="742">
        <v>53039</v>
      </c>
      <c r="N1398" s="352">
        <f t="shared" si="253"/>
        <v>638366</v>
      </c>
      <c r="O1398" s="357">
        <f t="shared" si="250"/>
        <v>451</v>
      </c>
      <c r="P1398" s="410">
        <v>9</v>
      </c>
      <c r="Q1398" s="358">
        <f t="shared" si="255"/>
        <v>1.2356164383561643</v>
      </c>
      <c r="R1398" s="359">
        <f t="shared" si="256"/>
        <v>7.7643835616438359</v>
      </c>
      <c r="S1398" s="360">
        <f t="shared" si="257"/>
        <v>7.7643835616438359</v>
      </c>
      <c r="T1398" s="361">
        <f t="shared" si="258"/>
        <v>0.10555555555555554</v>
      </c>
      <c r="U1398" s="362">
        <f t="shared" si="259"/>
        <v>72981.638888888876</v>
      </c>
      <c r="V1398" s="362">
        <f t="shared" si="260"/>
        <v>565384.36111111112</v>
      </c>
      <c r="W1398" s="362">
        <f t="shared" si="261"/>
        <v>34570</v>
      </c>
      <c r="X1398" s="742">
        <f t="shared" si="252"/>
        <v>530814.36111111112</v>
      </c>
    </row>
    <row r="1399" spans="1:24" ht="13.9">
      <c r="A1399" s="349">
        <f t="shared" si="254"/>
        <v>1391</v>
      </c>
      <c r="B1399" s="669" t="s">
        <v>3380</v>
      </c>
      <c r="C1399" s="654" t="s">
        <v>3459</v>
      </c>
      <c r="D1399" s="743" t="s">
        <v>3663</v>
      </c>
      <c r="E1399" s="669" t="s">
        <v>406</v>
      </c>
      <c r="F1399" s="334"/>
      <c r="G1399" s="672">
        <v>44933</v>
      </c>
      <c r="H1399" s="426">
        <v>357673</v>
      </c>
      <c r="I1399" s="744"/>
      <c r="J1399" s="744"/>
      <c r="K1399" s="354">
        <f t="shared" si="251"/>
        <v>357673</v>
      </c>
      <c r="L1399" s="672">
        <v>44933</v>
      </c>
      <c r="M1399" s="742">
        <v>27111</v>
      </c>
      <c r="N1399" s="352">
        <f t="shared" si="253"/>
        <v>330562</v>
      </c>
      <c r="O1399" s="357">
        <f t="shared" si="250"/>
        <v>450</v>
      </c>
      <c r="P1399" s="410">
        <v>9</v>
      </c>
      <c r="Q1399" s="358">
        <f t="shared" si="255"/>
        <v>1.2328767123287672</v>
      </c>
      <c r="R1399" s="359">
        <f t="shared" si="256"/>
        <v>7.7671232876712324</v>
      </c>
      <c r="S1399" s="360">
        <f t="shared" si="257"/>
        <v>7.7671232876712324</v>
      </c>
      <c r="T1399" s="361">
        <f t="shared" si="258"/>
        <v>0.10555555555555554</v>
      </c>
      <c r="U1399" s="362">
        <f t="shared" si="259"/>
        <v>37754.37222222222</v>
      </c>
      <c r="V1399" s="362">
        <f t="shared" si="260"/>
        <v>292807.62777777779</v>
      </c>
      <c r="W1399" s="362">
        <f t="shared" si="261"/>
        <v>17884</v>
      </c>
      <c r="X1399" s="742">
        <f t="shared" si="252"/>
        <v>274923.62777777779</v>
      </c>
    </row>
    <row r="1400" spans="1:24" ht="13.9">
      <c r="A1400" s="349">
        <f t="shared" si="254"/>
        <v>1392</v>
      </c>
      <c r="B1400" s="669" t="s">
        <v>3380</v>
      </c>
      <c r="C1400" s="654" t="s">
        <v>3459</v>
      </c>
      <c r="D1400" s="743" t="s">
        <v>3663</v>
      </c>
      <c r="E1400" s="669" t="s">
        <v>406</v>
      </c>
      <c r="F1400" s="334"/>
      <c r="G1400" s="672">
        <v>44933</v>
      </c>
      <c r="H1400" s="426">
        <v>562347</v>
      </c>
      <c r="I1400" s="744"/>
      <c r="J1400" s="744"/>
      <c r="K1400" s="354">
        <f t="shared" si="251"/>
        <v>562347</v>
      </c>
      <c r="L1400" s="672">
        <v>44933</v>
      </c>
      <c r="M1400" s="742">
        <v>42625</v>
      </c>
      <c r="N1400" s="352">
        <f t="shared" si="253"/>
        <v>519722</v>
      </c>
      <c r="O1400" s="357">
        <f t="shared" si="250"/>
        <v>450</v>
      </c>
      <c r="P1400" s="410">
        <v>9</v>
      </c>
      <c r="Q1400" s="358">
        <f t="shared" si="255"/>
        <v>1.2328767123287672</v>
      </c>
      <c r="R1400" s="359">
        <f t="shared" si="256"/>
        <v>7.7671232876712324</v>
      </c>
      <c r="S1400" s="360">
        <f t="shared" si="257"/>
        <v>7.7671232876712324</v>
      </c>
      <c r="T1400" s="361">
        <f t="shared" si="258"/>
        <v>0.10555555555555554</v>
      </c>
      <c r="U1400" s="362">
        <f t="shared" si="259"/>
        <v>59358.849999999991</v>
      </c>
      <c r="V1400" s="362">
        <f t="shared" si="260"/>
        <v>460363.15</v>
      </c>
      <c r="W1400" s="362">
        <f t="shared" si="261"/>
        <v>28117</v>
      </c>
      <c r="X1400" s="742">
        <f t="shared" si="252"/>
        <v>432246.15</v>
      </c>
    </row>
    <row r="1401" spans="1:24" ht="13.9">
      <c r="A1401" s="349">
        <f t="shared" si="254"/>
        <v>1393</v>
      </c>
      <c r="B1401" s="669" t="s">
        <v>3380</v>
      </c>
      <c r="C1401" s="654" t="s">
        <v>3459</v>
      </c>
      <c r="D1401" s="743" t="s">
        <v>3663</v>
      </c>
      <c r="E1401" s="669" t="s">
        <v>406</v>
      </c>
      <c r="F1401" s="334"/>
      <c r="G1401" s="692">
        <v>44934</v>
      </c>
      <c r="H1401" s="426">
        <v>1904045</v>
      </c>
      <c r="I1401" s="744"/>
      <c r="J1401" s="744"/>
      <c r="K1401" s="354">
        <f t="shared" si="251"/>
        <v>1904045</v>
      </c>
      <c r="L1401" s="692">
        <v>44934</v>
      </c>
      <c r="M1401" s="742">
        <v>142586</v>
      </c>
      <c r="N1401" s="352">
        <f t="shared" si="253"/>
        <v>1761459</v>
      </c>
      <c r="O1401" s="357">
        <f t="shared" si="250"/>
        <v>449</v>
      </c>
      <c r="P1401" s="410">
        <v>9</v>
      </c>
      <c r="Q1401" s="358">
        <f t="shared" si="255"/>
        <v>1.2301369863013698</v>
      </c>
      <c r="R1401" s="359">
        <f t="shared" si="256"/>
        <v>7.7698630136986306</v>
      </c>
      <c r="S1401" s="360">
        <f t="shared" si="257"/>
        <v>7.7698630136986306</v>
      </c>
      <c r="T1401" s="361">
        <f t="shared" si="258"/>
        <v>0.10555555555555554</v>
      </c>
      <c r="U1401" s="362">
        <f t="shared" si="259"/>
        <v>200982.52777777775</v>
      </c>
      <c r="V1401" s="362">
        <f t="shared" si="260"/>
        <v>1560476.4722222222</v>
      </c>
      <c r="W1401" s="362">
        <f t="shared" si="261"/>
        <v>95202</v>
      </c>
      <c r="X1401" s="742">
        <f t="shared" si="252"/>
        <v>1465274.4722222222</v>
      </c>
    </row>
    <row r="1402" spans="1:24" ht="13.9">
      <c r="A1402" s="349">
        <f t="shared" si="254"/>
        <v>1394</v>
      </c>
      <c r="B1402" s="669" t="s">
        <v>71</v>
      </c>
      <c r="C1402" s="654" t="s">
        <v>3459</v>
      </c>
      <c r="D1402" s="743" t="s">
        <v>3663</v>
      </c>
      <c r="E1402" s="669" t="s">
        <v>766</v>
      </c>
      <c r="F1402" s="334"/>
      <c r="G1402" s="693">
        <v>44942</v>
      </c>
      <c r="H1402" s="426">
        <v>3270421</v>
      </c>
      <c r="I1402" s="744"/>
      <c r="J1402" s="744"/>
      <c r="K1402" s="354">
        <f t="shared" si="251"/>
        <v>3270421</v>
      </c>
      <c r="L1402" s="693">
        <v>44942</v>
      </c>
      <c r="M1402" s="742">
        <v>73672</v>
      </c>
      <c r="N1402" s="352">
        <f t="shared" si="253"/>
        <v>3196749</v>
      </c>
      <c r="O1402" s="357">
        <f t="shared" si="250"/>
        <v>441</v>
      </c>
      <c r="P1402" s="410">
        <v>9</v>
      </c>
      <c r="Q1402" s="358">
        <f t="shared" si="255"/>
        <v>1.2082191780821918</v>
      </c>
      <c r="R1402" s="359">
        <f t="shared" si="256"/>
        <v>7.7917808219178077</v>
      </c>
      <c r="S1402" s="360">
        <f t="shared" si="257"/>
        <v>7.7917808219178077</v>
      </c>
      <c r="T1402" s="361">
        <f t="shared" si="258"/>
        <v>0.10555555555555554</v>
      </c>
      <c r="U1402" s="362">
        <f t="shared" si="259"/>
        <v>345211.10555555549</v>
      </c>
      <c r="V1402" s="362">
        <f t="shared" si="260"/>
        <v>2851537.8944444447</v>
      </c>
      <c r="W1402" s="362">
        <f t="shared" si="261"/>
        <v>163521</v>
      </c>
      <c r="X1402" s="742">
        <f t="shared" si="252"/>
        <v>2688016.8944444447</v>
      </c>
    </row>
    <row r="1403" spans="1:24" ht="13.9">
      <c r="A1403" s="349">
        <f t="shared" si="254"/>
        <v>1395</v>
      </c>
      <c r="B1403" s="669" t="s">
        <v>71</v>
      </c>
      <c r="C1403" s="654" t="s">
        <v>3459</v>
      </c>
      <c r="D1403" s="743" t="s">
        <v>3663</v>
      </c>
      <c r="E1403" s="669" t="s">
        <v>766</v>
      </c>
      <c r="F1403" s="334"/>
      <c r="G1403" s="672">
        <v>44942</v>
      </c>
      <c r="H1403" s="426">
        <v>3270421</v>
      </c>
      <c r="I1403" s="744"/>
      <c r="J1403" s="744"/>
      <c r="K1403" s="354">
        <f t="shared" si="251"/>
        <v>3270421</v>
      </c>
      <c r="L1403" s="672">
        <v>44942</v>
      </c>
      <c r="M1403" s="742">
        <v>73672</v>
      </c>
      <c r="N1403" s="352">
        <f t="shared" si="253"/>
        <v>3196749</v>
      </c>
      <c r="O1403" s="357">
        <f t="shared" si="250"/>
        <v>441</v>
      </c>
      <c r="P1403" s="410">
        <v>9</v>
      </c>
      <c r="Q1403" s="358">
        <f t="shared" si="255"/>
        <v>1.2082191780821918</v>
      </c>
      <c r="R1403" s="359">
        <f t="shared" si="256"/>
        <v>7.7917808219178077</v>
      </c>
      <c r="S1403" s="360">
        <f t="shared" si="257"/>
        <v>7.7917808219178077</v>
      </c>
      <c r="T1403" s="361">
        <f t="shared" si="258"/>
        <v>0.10555555555555554</v>
      </c>
      <c r="U1403" s="362">
        <f t="shared" si="259"/>
        <v>345211.10555555549</v>
      </c>
      <c r="V1403" s="362">
        <f t="shared" si="260"/>
        <v>2851537.8944444447</v>
      </c>
      <c r="W1403" s="362">
        <f t="shared" si="261"/>
        <v>163521</v>
      </c>
      <c r="X1403" s="742">
        <f t="shared" si="252"/>
        <v>2688016.8944444447</v>
      </c>
    </row>
    <row r="1404" spans="1:24" ht="13.9">
      <c r="A1404" s="349">
        <f t="shared" si="254"/>
        <v>1396</v>
      </c>
      <c r="B1404" s="669" t="s">
        <v>71</v>
      </c>
      <c r="C1404" s="654" t="s">
        <v>3459</v>
      </c>
      <c r="D1404" s="743" t="s">
        <v>3663</v>
      </c>
      <c r="E1404" s="669" t="s">
        <v>766</v>
      </c>
      <c r="F1404" s="334"/>
      <c r="G1404" s="672">
        <v>44942</v>
      </c>
      <c r="H1404" s="426">
        <v>3270421</v>
      </c>
      <c r="I1404" s="744"/>
      <c r="J1404" s="744"/>
      <c r="K1404" s="354">
        <f t="shared" si="251"/>
        <v>3270421</v>
      </c>
      <c r="L1404" s="672">
        <v>44942</v>
      </c>
      <c r="M1404" s="742">
        <v>73672</v>
      </c>
      <c r="N1404" s="352">
        <f t="shared" si="253"/>
        <v>3196749</v>
      </c>
      <c r="O1404" s="357">
        <f t="shared" si="250"/>
        <v>441</v>
      </c>
      <c r="P1404" s="410">
        <v>9</v>
      </c>
      <c r="Q1404" s="358">
        <f t="shared" si="255"/>
        <v>1.2082191780821918</v>
      </c>
      <c r="R1404" s="359">
        <f t="shared" si="256"/>
        <v>7.7917808219178077</v>
      </c>
      <c r="S1404" s="360">
        <f t="shared" si="257"/>
        <v>7.7917808219178077</v>
      </c>
      <c r="T1404" s="361">
        <f t="shared" si="258"/>
        <v>0.10555555555555554</v>
      </c>
      <c r="U1404" s="362">
        <f t="shared" si="259"/>
        <v>345211.10555555549</v>
      </c>
      <c r="V1404" s="362">
        <f t="shared" si="260"/>
        <v>2851537.8944444447</v>
      </c>
      <c r="W1404" s="362">
        <f t="shared" si="261"/>
        <v>163521</v>
      </c>
      <c r="X1404" s="742">
        <f t="shared" si="252"/>
        <v>2688016.8944444447</v>
      </c>
    </row>
    <row r="1405" spans="1:24" ht="13.9">
      <c r="A1405" s="349">
        <f t="shared" si="254"/>
        <v>1397</v>
      </c>
      <c r="B1405" s="669" t="s">
        <v>71</v>
      </c>
      <c r="C1405" s="654" t="s">
        <v>3459</v>
      </c>
      <c r="D1405" s="743" t="s">
        <v>3663</v>
      </c>
      <c r="E1405" s="669" t="s">
        <v>766</v>
      </c>
      <c r="F1405" s="334"/>
      <c r="G1405" s="672">
        <v>44942</v>
      </c>
      <c r="H1405" s="426">
        <v>3270421</v>
      </c>
      <c r="I1405" s="744"/>
      <c r="J1405" s="744"/>
      <c r="K1405" s="354">
        <f t="shared" si="251"/>
        <v>3270421</v>
      </c>
      <c r="L1405" s="672">
        <v>44942</v>
      </c>
      <c r="M1405" s="742">
        <v>73672</v>
      </c>
      <c r="N1405" s="352">
        <f t="shared" si="253"/>
        <v>3196749</v>
      </c>
      <c r="O1405" s="357">
        <f t="shared" si="250"/>
        <v>441</v>
      </c>
      <c r="P1405" s="410">
        <v>9</v>
      </c>
      <c r="Q1405" s="358">
        <f t="shared" si="255"/>
        <v>1.2082191780821918</v>
      </c>
      <c r="R1405" s="359">
        <f t="shared" si="256"/>
        <v>7.7917808219178077</v>
      </c>
      <c r="S1405" s="360">
        <f t="shared" si="257"/>
        <v>7.7917808219178077</v>
      </c>
      <c r="T1405" s="361">
        <f t="shared" si="258"/>
        <v>0.10555555555555554</v>
      </c>
      <c r="U1405" s="362">
        <f t="shared" si="259"/>
        <v>345211.10555555549</v>
      </c>
      <c r="V1405" s="362">
        <f t="shared" si="260"/>
        <v>2851537.8944444447</v>
      </c>
      <c r="W1405" s="362">
        <f t="shared" si="261"/>
        <v>163521</v>
      </c>
      <c r="X1405" s="742">
        <f t="shared" si="252"/>
        <v>2688016.8944444447</v>
      </c>
    </row>
    <row r="1406" spans="1:24" ht="13.9">
      <c r="A1406" s="349">
        <f t="shared" si="254"/>
        <v>1398</v>
      </c>
      <c r="B1406" s="669" t="s">
        <v>71</v>
      </c>
      <c r="C1406" s="654" t="s">
        <v>3459</v>
      </c>
      <c r="D1406" s="743" t="s">
        <v>3663</v>
      </c>
      <c r="E1406" s="669" t="s">
        <v>766</v>
      </c>
      <c r="F1406" s="334"/>
      <c r="G1406" s="672">
        <v>44942</v>
      </c>
      <c r="H1406" s="426">
        <v>3270421</v>
      </c>
      <c r="I1406" s="744"/>
      <c r="J1406" s="744"/>
      <c r="K1406" s="354">
        <f t="shared" si="251"/>
        <v>3270421</v>
      </c>
      <c r="L1406" s="672">
        <v>44942</v>
      </c>
      <c r="M1406" s="742">
        <v>73672</v>
      </c>
      <c r="N1406" s="352">
        <f t="shared" si="253"/>
        <v>3196749</v>
      </c>
      <c r="O1406" s="357">
        <f t="shared" si="250"/>
        <v>441</v>
      </c>
      <c r="P1406" s="410">
        <v>9</v>
      </c>
      <c r="Q1406" s="358">
        <f t="shared" si="255"/>
        <v>1.2082191780821918</v>
      </c>
      <c r="R1406" s="359">
        <f t="shared" si="256"/>
        <v>7.7917808219178077</v>
      </c>
      <c r="S1406" s="360">
        <f t="shared" si="257"/>
        <v>7.7917808219178077</v>
      </c>
      <c r="T1406" s="361">
        <f t="shared" si="258"/>
        <v>0.10555555555555554</v>
      </c>
      <c r="U1406" s="362">
        <f t="shared" si="259"/>
        <v>345211.10555555549</v>
      </c>
      <c r="V1406" s="362">
        <f t="shared" si="260"/>
        <v>2851537.8944444447</v>
      </c>
      <c r="W1406" s="362">
        <f t="shared" si="261"/>
        <v>163521</v>
      </c>
      <c r="X1406" s="742">
        <f t="shared" si="252"/>
        <v>2688016.8944444447</v>
      </c>
    </row>
    <row r="1407" spans="1:24" ht="13.9">
      <c r="A1407" s="349">
        <f t="shared" si="254"/>
        <v>1399</v>
      </c>
      <c r="B1407" s="669" t="s">
        <v>71</v>
      </c>
      <c r="C1407" s="654" t="s">
        <v>3459</v>
      </c>
      <c r="D1407" s="743" t="s">
        <v>3663</v>
      </c>
      <c r="E1407" s="669" t="s">
        <v>766</v>
      </c>
      <c r="F1407" s="334"/>
      <c r="G1407" s="672">
        <v>44942</v>
      </c>
      <c r="H1407" s="426">
        <v>3270421</v>
      </c>
      <c r="I1407" s="744"/>
      <c r="J1407" s="744"/>
      <c r="K1407" s="354">
        <f t="shared" si="251"/>
        <v>3270421</v>
      </c>
      <c r="L1407" s="672">
        <v>44942</v>
      </c>
      <c r="M1407" s="742">
        <v>73672</v>
      </c>
      <c r="N1407" s="352">
        <f t="shared" si="253"/>
        <v>3196749</v>
      </c>
      <c r="O1407" s="357">
        <f t="shared" si="250"/>
        <v>441</v>
      </c>
      <c r="P1407" s="410">
        <v>9</v>
      </c>
      <c r="Q1407" s="358">
        <f t="shared" si="255"/>
        <v>1.2082191780821918</v>
      </c>
      <c r="R1407" s="359">
        <f t="shared" si="256"/>
        <v>7.7917808219178077</v>
      </c>
      <c r="S1407" s="360">
        <f t="shared" si="257"/>
        <v>7.7917808219178077</v>
      </c>
      <c r="T1407" s="361">
        <f t="shared" si="258"/>
        <v>0.10555555555555554</v>
      </c>
      <c r="U1407" s="362">
        <f t="shared" si="259"/>
        <v>345211.10555555549</v>
      </c>
      <c r="V1407" s="362">
        <f t="shared" si="260"/>
        <v>2851537.8944444447</v>
      </c>
      <c r="W1407" s="362">
        <f t="shared" si="261"/>
        <v>163521</v>
      </c>
      <c r="X1407" s="742">
        <f t="shared" si="252"/>
        <v>2688016.8944444447</v>
      </c>
    </row>
    <row r="1408" spans="1:24" ht="13.9">
      <c r="A1408" s="349">
        <f t="shared" si="254"/>
        <v>1400</v>
      </c>
      <c r="B1408" s="669" t="s">
        <v>71</v>
      </c>
      <c r="C1408" s="654" t="s">
        <v>3459</v>
      </c>
      <c r="D1408" s="743" t="s">
        <v>3663</v>
      </c>
      <c r="E1408" s="669" t="s">
        <v>766</v>
      </c>
      <c r="F1408" s="334"/>
      <c r="G1408" s="672">
        <v>44942</v>
      </c>
      <c r="H1408" s="426">
        <v>3270421</v>
      </c>
      <c r="I1408" s="744"/>
      <c r="J1408" s="744"/>
      <c r="K1408" s="354">
        <f t="shared" si="251"/>
        <v>3270421</v>
      </c>
      <c r="L1408" s="672">
        <v>44942</v>
      </c>
      <c r="M1408" s="742">
        <v>73672</v>
      </c>
      <c r="N1408" s="352">
        <f t="shared" si="253"/>
        <v>3196749</v>
      </c>
      <c r="O1408" s="357">
        <f t="shared" si="250"/>
        <v>441</v>
      </c>
      <c r="P1408" s="410">
        <v>9</v>
      </c>
      <c r="Q1408" s="358">
        <f t="shared" si="255"/>
        <v>1.2082191780821918</v>
      </c>
      <c r="R1408" s="359">
        <f t="shared" si="256"/>
        <v>7.7917808219178077</v>
      </c>
      <c r="S1408" s="360">
        <f t="shared" si="257"/>
        <v>7.7917808219178077</v>
      </c>
      <c r="T1408" s="361">
        <f t="shared" si="258"/>
        <v>0.10555555555555554</v>
      </c>
      <c r="U1408" s="362">
        <f t="shared" si="259"/>
        <v>345211.10555555549</v>
      </c>
      <c r="V1408" s="362">
        <f t="shared" si="260"/>
        <v>2851537.8944444447</v>
      </c>
      <c r="W1408" s="362">
        <f t="shared" si="261"/>
        <v>163521</v>
      </c>
      <c r="X1408" s="742">
        <f t="shared" si="252"/>
        <v>2688016.8944444447</v>
      </c>
    </row>
    <row r="1409" spans="1:24" ht="13.9">
      <c r="A1409" s="349">
        <f t="shared" si="254"/>
        <v>1401</v>
      </c>
      <c r="B1409" s="669" t="s">
        <v>71</v>
      </c>
      <c r="C1409" s="654" t="s">
        <v>3459</v>
      </c>
      <c r="D1409" s="743" t="s">
        <v>3663</v>
      </c>
      <c r="E1409" s="669" t="s">
        <v>766</v>
      </c>
      <c r="F1409" s="334"/>
      <c r="G1409" s="672">
        <v>44942</v>
      </c>
      <c r="H1409" s="426">
        <v>3270421</v>
      </c>
      <c r="I1409" s="744"/>
      <c r="J1409" s="744"/>
      <c r="K1409" s="354">
        <f t="shared" si="251"/>
        <v>3270421</v>
      </c>
      <c r="L1409" s="672">
        <v>44942</v>
      </c>
      <c r="M1409" s="742">
        <v>73672</v>
      </c>
      <c r="N1409" s="352">
        <f t="shared" si="253"/>
        <v>3196749</v>
      </c>
      <c r="O1409" s="357">
        <f t="shared" si="250"/>
        <v>441</v>
      </c>
      <c r="P1409" s="410">
        <v>9</v>
      </c>
      <c r="Q1409" s="358">
        <f t="shared" si="255"/>
        <v>1.2082191780821918</v>
      </c>
      <c r="R1409" s="359">
        <f t="shared" si="256"/>
        <v>7.7917808219178077</v>
      </c>
      <c r="S1409" s="360">
        <f t="shared" si="257"/>
        <v>7.7917808219178077</v>
      </c>
      <c r="T1409" s="361">
        <f t="shared" si="258"/>
        <v>0.10555555555555554</v>
      </c>
      <c r="U1409" s="362">
        <f t="shared" si="259"/>
        <v>345211.10555555549</v>
      </c>
      <c r="V1409" s="362">
        <f t="shared" si="260"/>
        <v>2851537.8944444447</v>
      </c>
      <c r="W1409" s="362">
        <f t="shared" si="261"/>
        <v>163521</v>
      </c>
      <c r="X1409" s="742">
        <f t="shared" si="252"/>
        <v>2688016.8944444447</v>
      </c>
    </row>
    <row r="1410" spans="1:24" ht="13.9">
      <c r="A1410" s="349">
        <f t="shared" si="254"/>
        <v>1402</v>
      </c>
      <c r="B1410" s="669" t="s">
        <v>71</v>
      </c>
      <c r="C1410" s="654" t="s">
        <v>3459</v>
      </c>
      <c r="D1410" s="743" t="s">
        <v>3663</v>
      </c>
      <c r="E1410" s="669" t="s">
        <v>766</v>
      </c>
      <c r="F1410" s="334"/>
      <c r="G1410" s="693">
        <v>44942</v>
      </c>
      <c r="H1410" s="426">
        <v>3270421</v>
      </c>
      <c r="I1410" s="744"/>
      <c r="J1410" s="744"/>
      <c r="K1410" s="354">
        <f t="shared" si="251"/>
        <v>3270421</v>
      </c>
      <c r="L1410" s="693">
        <v>44942</v>
      </c>
      <c r="M1410" s="742">
        <v>73672</v>
      </c>
      <c r="N1410" s="352">
        <f t="shared" si="253"/>
        <v>3196749</v>
      </c>
      <c r="O1410" s="357">
        <f t="shared" si="250"/>
        <v>441</v>
      </c>
      <c r="P1410" s="410">
        <v>9</v>
      </c>
      <c r="Q1410" s="358">
        <f t="shared" si="255"/>
        <v>1.2082191780821918</v>
      </c>
      <c r="R1410" s="359">
        <f t="shared" si="256"/>
        <v>7.7917808219178077</v>
      </c>
      <c r="S1410" s="360">
        <f t="shared" si="257"/>
        <v>7.7917808219178077</v>
      </c>
      <c r="T1410" s="361">
        <f t="shared" si="258"/>
        <v>0.10555555555555554</v>
      </c>
      <c r="U1410" s="362">
        <f t="shared" si="259"/>
        <v>345211.10555555549</v>
      </c>
      <c r="V1410" s="362">
        <f t="shared" si="260"/>
        <v>2851537.8944444447</v>
      </c>
      <c r="W1410" s="362">
        <f t="shared" si="261"/>
        <v>163521</v>
      </c>
      <c r="X1410" s="742">
        <f t="shared" si="252"/>
        <v>2688016.8944444447</v>
      </c>
    </row>
    <row r="1411" spans="1:24" ht="13.9">
      <c r="A1411" s="349">
        <f t="shared" si="254"/>
        <v>1403</v>
      </c>
      <c r="B1411" s="669" t="s">
        <v>71</v>
      </c>
      <c r="C1411" s="654" t="s">
        <v>3459</v>
      </c>
      <c r="D1411" s="743" t="s">
        <v>3663</v>
      </c>
      <c r="E1411" s="669" t="s">
        <v>766</v>
      </c>
      <c r="F1411" s="334"/>
      <c r="G1411" s="693">
        <v>44942</v>
      </c>
      <c r="H1411" s="426">
        <v>3270421</v>
      </c>
      <c r="I1411" s="744"/>
      <c r="J1411" s="744"/>
      <c r="K1411" s="354">
        <f t="shared" si="251"/>
        <v>3270421</v>
      </c>
      <c r="L1411" s="693">
        <v>44942</v>
      </c>
      <c r="M1411" s="742">
        <v>73672</v>
      </c>
      <c r="N1411" s="352">
        <f t="shared" si="253"/>
        <v>3196749</v>
      </c>
      <c r="O1411" s="357">
        <f t="shared" ref="O1411:O1474" si="262">+$O$3-L1411+1</f>
        <v>441</v>
      </c>
      <c r="P1411" s="410">
        <v>9</v>
      </c>
      <c r="Q1411" s="358">
        <f t="shared" si="255"/>
        <v>1.2082191780821918</v>
      </c>
      <c r="R1411" s="359">
        <f t="shared" si="256"/>
        <v>7.7917808219178077</v>
      </c>
      <c r="S1411" s="360">
        <f t="shared" si="257"/>
        <v>7.7917808219178077</v>
      </c>
      <c r="T1411" s="361">
        <f t="shared" si="258"/>
        <v>0.10555555555555554</v>
      </c>
      <c r="U1411" s="362">
        <f t="shared" si="259"/>
        <v>345211.10555555549</v>
      </c>
      <c r="V1411" s="362">
        <f t="shared" si="260"/>
        <v>2851537.8944444447</v>
      </c>
      <c r="W1411" s="362">
        <f t="shared" si="261"/>
        <v>163521</v>
      </c>
      <c r="X1411" s="742">
        <f t="shared" si="252"/>
        <v>2688016.8944444447</v>
      </c>
    </row>
    <row r="1412" spans="1:24" ht="13.9">
      <c r="A1412" s="349">
        <f t="shared" si="254"/>
        <v>1404</v>
      </c>
      <c r="B1412" s="669" t="s">
        <v>71</v>
      </c>
      <c r="C1412" s="654" t="s">
        <v>3459</v>
      </c>
      <c r="D1412" s="743" t="s">
        <v>3663</v>
      </c>
      <c r="E1412" s="669" t="s">
        <v>766</v>
      </c>
      <c r="F1412" s="334"/>
      <c r="G1412" s="672">
        <v>44942</v>
      </c>
      <c r="H1412" s="426">
        <v>3270421</v>
      </c>
      <c r="I1412" s="744"/>
      <c r="J1412" s="744"/>
      <c r="K1412" s="354">
        <f t="shared" ref="K1412:K1475" si="263">+H1412+I1412-J1412</f>
        <v>3270421</v>
      </c>
      <c r="L1412" s="672">
        <v>44942</v>
      </c>
      <c r="M1412" s="742">
        <v>73672</v>
      </c>
      <c r="N1412" s="352">
        <f t="shared" si="253"/>
        <v>3196749</v>
      </c>
      <c r="O1412" s="357">
        <f t="shared" si="262"/>
        <v>441</v>
      </c>
      <c r="P1412" s="410">
        <v>9</v>
      </c>
      <c r="Q1412" s="358">
        <f t="shared" si="255"/>
        <v>1.2082191780821918</v>
      </c>
      <c r="R1412" s="359">
        <f t="shared" si="256"/>
        <v>7.7917808219178077</v>
      </c>
      <c r="S1412" s="360">
        <f t="shared" si="257"/>
        <v>7.7917808219178077</v>
      </c>
      <c r="T1412" s="361">
        <f t="shared" si="258"/>
        <v>0.10555555555555554</v>
      </c>
      <c r="U1412" s="362">
        <f t="shared" si="259"/>
        <v>345211.10555555549</v>
      </c>
      <c r="V1412" s="362">
        <f t="shared" si="260"/>
        <v>2851537.8944444447</v>
      </c>
      <c r="W1412" s="362">
        <f t="shared" si="261"/>
        <v>163521</v>
      </c>
      <c r="X1412" s="742">
        <f t="shared" ref="X1412:X1475" si="264">+V1412-W1412</f>
        <v>2688016.8944444447</v>
      </c>
    </row>
    <row r="1413" spans="1:24" ht="13.9">
      <c r="A1413" s="349">
        <f t="shared" si="254"/>
        <v>1405</v>
      </c>
      <c r="B1413" s="669" t="s">
        <v>71</v>
      </c>
      <c r="C1413" s="654" t="s">
        <v>3459</v>
      </c>
      <c r="D1413" s="743" t="s">
        <v>3663</v>
      </c>
      <c r="E1413" s="669" t="s">
        <v>766</v>
      </c>
      <c r="F1413" s="334"/>
      <c r="G1413" s="672">
        <v>44942</v>
      </c>
      <c r="H1413" s="426">
        <v>3270421</v>
      </c>
      <c r="I1413" s="744"/>
      <c r="J1413" s="744"/>
      <c r="K1413" s="354">
        <f t="shared" si="263"/>
        <v>3270421</v>
      </c>
      <c r="L1413" s="672">
        <v>44942</v>
      </c>
      <c r="M1413" s="742">
        <v>73672</v>
      </c>
      <c r="N1413" s="352">
        <f t="shared" si="253"/>
        <v>3196749</v>
      </c>
      <c r="O1413" s="357">
        <f t="shared" si="262"/>
        <v>441</v>
      </c>
      <c r="P1413" s="410">
        <v>9</v>
      </c>
      <c r="Q1413" s="358">
        <f t="shared" si="255"/>
        <v>1.2082191780821918</v>
      </c>
      <c r="R1413" s="359">
        <f t="shared" si="256"/>
        <v>7.7917808219178077</v>
      </c>
      <c r="S1413" s="360">
        <f t="shared" si="257"/>
        <v>7.7917808219178077</v>
      </c>
      <c r="T1413" s="361">
        <f t="shared" si="258"/>
        <v>0.10555555555555554</v>
      </c>
      <c r="U1413" s="362">
        <f t="shared" si="259"/>
        <v>345211.10555555549</v>
      </c>
      <c r="V1413" s="362">
        <f t="shared" si="260"/>
        <v>2851537.8944444447</v>
      </c>
      <c r="W1413" s="362">
        <f t="shared" si="261"/>
        <v>163521</v>
      </c>
      <c r="X1413" s="742">
        <f t="shared" si="264"/>
        <v>2688016.8944444447</v>
      </c>
    </row>
    <row r="1414" spans="1:24" ht="13.9">
      <c r="A1414" s="349">
        <f t="shared" si="254"/>
        <v>1406</v>
      </c>
      <c r="B1414" s="669" t="s">
        <v>71</v>
      </c>
      <c r="C1414" s="654" t="s">
        <v>3459</v>
      </c>
      <c r="D1414" s="743" t="s">
        <v>3663</v>
      </c>
      <c r="E1414" s="669" t="s">
        <v>766</v>
      </c>
      <c r="F1414" s="334"/>
      <c r="G1414" s="672">
        <v>44942</v>
      </c>
      <c r="H1414" s="426">
        <v>3270421</v>
      </c>
      <c r="I1414" s="744"/>
      <c r="J1414" s="744"/>
      <c r="K1414" s="354">
        <f t="shared" si="263"/>
        <v>3270421</v>
      </c>
      <c r="L1414" s="672">
        <v>44942</v>
      </c>
      <c r="M1414" s="742">
        <v>73672</v>
      </c>
      <c r="N1414" s="352">
        <f t="shared" ref="N1414:N1477" si="265">+K1414-M1414</f>
        <v>3196749</v>
      </c>
      <c r="O1414" s="357">
        <f t="shared" si="262"/>
        <v>441</v>
      </c>
      <c r="P1414" s="410">
        <v>9</v>
      </c>
      <c r="Q1414" s="358">
        <f t="shared" si="255"/>
        <v>1.2082191780821918</v>
      </c>
      <c r="R1414" s="359">
        <f t="shared" si="256"/>
        <v>7.7917808219178077</v>
      </c>
      <c r="S1414" s="360">
        <f t="shared" si="257"/>
        <v>7.7917808219178077</v>
      </c>
      <c r="T1414" s="361">
        <f t="shared" si="258"/>
        <v>0.10555555555555554</v>
      </c>
      <c r="U1414" s="362">
        <f t="shared" si="259"/>
        <v>345211.10555555549</v>
      </c>
      <c r="V1414" s="362">
        <f t="shared" si="260"/>
        <v>2851537.8944444447</v>
      </c>
      <c r="W1414" s="362">
        <f t="shared" si="261"/>
        <v>163521</v>
      </c>
      <c r="X1414" s="742">
        <f t="shared" si="264"/>
        <v>2688016.8944444447</v>
      </c>
    </row>
    <row r="1415" spans="1:24" ht="13.9">
      <c r="A1415" s="349">
        <f t="shared" si="254"/>
        <v>1407</v>
      </c>
      <c r="B1415" s="670" t="s">
        <v>71</v>
      </c>
      <c r="C1415" s="654" t="s">
        <v>3459</v>
      </c>
      <c r="D1415" s="743" t="s">
        <v>3663</v>
      </c>
      <c r="E1415" s="670" t="s">
        <v>766</v>
      </c>
      <c r="F1415" s="334"/>
      <c r="G1415" s="672">
        <v>44942</v>
      </c>
      <c r="H1415" s="426">
        <v>3270421</v>
      </c>
      <c r="I1415" s="744"/>
      <c r="J1415" s="744"/>
      <c r="K1415" s="354">
        <f t="shared" si="263"/>
        <v>3270421</v>
      </c>
      <c r="L1415" s="672">
        <v>44942</v>
      </c>
      <c r="M1415" s="742">
        <v>73672</v>
      </c>
      <c r="N1415" s="352">
        <f t="shared" si="265"/>
        <v>3196749</v>
      </c>
      <c r="O1415" s="357">
        <f t="shared" si="262"/>
        <v>441</v>
      </c>
      <c r="P1415" s="410">
        <v>9</v>
      </c>
      <c r="Q1415" s="358">
        <f t="shared" si="255"/>
        <v>1.2082191780821918</v>
      </c>
      <c r="R1415" s="359">
        <f t="shared" si="256"/>
        <v>7.7917808219178077</v>
      </c>
      <c r="S1415" s="360">
        <f t="shared" si="257"/>
        <v>7.7917808219178077</v>
      </c>
      <c r="T1415" s="361">
        <f t="shared" si="258"/>
        <v>0.10555555555555554</v>
      </c>
      <c r="U1415" s="362">
        <f t="shared" si="259"/>
        <v>345211.10555555549</v>
      </c>
      <c r="V1415" s="362">
        <f t="shared" si="260"/>
        <v>2851537.8944444447</v>
      </c>
      <c r="W1415" s="362">
        <f t="shared" si="261"/>
        <v>163521</v>
      </c>
      <c r="X1415" s="742">
        <f t="shared" si="264"/>
        <v>2688016.8944444447</v>
      </c>
    </row>
    <row r="1416" spans="1:24" ht="13.9">
      <c r="A1416" s="349">
        <f t="shared" si="254"/>
        <v>1408</v>
      </c>
      <c r="B1416" s="669" t="s">
        <v>3392</v>
      </c>
      <c r="C1416" s="654" t="s">
        <v>3459</v>
      </c>
      <c r="D1416" s="743" t="s">
        <v>3663</v>
      </c>
      <c r="E1416" s="669" t="s">
        <v>410</v>
      </c>
      <c r="F1416" s="334"/>
      <c r="G1416" s="672">
        <v>44942</v>
      </c>
      <c r="H1416" s="426">
        <v>3065254</v>
      </c>
      <c r="I1416" s="744"/>
      <c r="J1416" s="744"/>
      <c r="K1416" s="354">
        <f t="shared" si="263"/>
        <v>3065254</v>
      </c>
      <c r="L1416" s="672">
        <v>44942</v>
      </c>
      <c r="M1416" s="742">
        <v>69050</v>
      </c>
      <c r="N1416" s="352">
        <f t="shared" si="265"/>
        <v>2996204</v>
      </c>
      <c r="O1416" s="357">
        <f t="shared" si="262"/>
        <v>441</v>
      </c>
      <c r="P1416" s="410">
        <v>9</v>
      </c>
      <c r="Q1416" s="358">
        <f t="shared" si="255"/>
        <v>1.2082191780821918</v>
      </c>
      <c r="R1416" s="359">
        <f t="shared" si="256"/>
        <v>7.7917808219178077</v>
      </c>
      <c r="S1416" s="360">
        <f t="shared" si="257"/>
        <v>7.7917808219178077</v>
      </c>
      <c r="T1416" s="361">
        <f t="shared" si="258"/>
        <v>0.10555555555555554</v>
      </c>
      <c r="U1416" s="362">
        <f t="shared" si="259"/>
        <v>323554.58888888883</v>
      </c>
      <c r="V1416" s="362">
        <f t="shared" si="260"/>
        <v>2672649.4111111113</v>
      </c>
      <c r="W1416" s="362">
        <f t="shared" si="261"/>
        <v>153263</v>
      </c>
      <c r="X1416" s="742">
        <f t="shared" si="264"/>
        <v>2519386.4111111113</v>
      </c>
    </row>
    <row r="1417" spans="1:24" ht="13.9">
      <c r="A1417" s="349">
        <f t="shared" ref="A1417:A1480" si="266">+A1416+1</f>
        <v>1409</v>
      </c>
      <c r="B1417" s="670" t="s">
        <v>323</v>
      </c>
      <c r="C1417" s="654" t="s">
        <v>3459</v>
      </c>
      <c r="D1417" s="743" t="s">
        <v>3663</v>
      </c>
      <c r="E1417" s="670" t="s">
        <v>170</v>
      </c>
      <c r="F1417" s="334"/>
      <c r="G1417" s="672">
        <v>44939</v>
      </c>
      <c r="H1417" s="426">
        <v>5800000</v>
      </c>
      <c r="I1417" s="744"/>
      <c r="J1417" s="744"/>
      <c r="K1417" s="354">
        <f t="shared" si="263"/>
        <v>5800000</v>
      </c>
      <c r="L1417" s="672">
        <v>44939</v>
      </c>
      <c r="M1417" s="742">
        <v>135951</v>
      </c>
      <c r="N1417" s="352">
        <f t="shared" si="265"/>
        <v>5664049</v>
      </c>
      <c r="O1417" s="357">
        <f t="shared" si="262"/>
        <v>444</v>
      </c>
      <c r="P1417" s="410">
        <v>9</v>
      </c>
      <c r="Q1417" s="358">
        <f t="shared" si="255"/>
        <v>1.2164383561643837</v>
      </c>
      <c r="R1417" s="359">
        <f t="shared" si="256"/>
        <v>7.7835616438356166</v>
      </c>
      <c r="S1417" s="360">
        <f t="shared" si="257"/>
        <v>7.7835616438356166</v>
      </c>
      <c r="T1417" s="361">
        <f t="shared" si="258"/>
        <v>0.10555555555555554</v>
      </c>
      <c r="U1417" s="362">
        <f t="shared" si="259"/>
        <v>612222.22222222213</v>
      </c>
      <c r="V1417" s="362">
        <f t="shared" si="260"/>
        <v>5051826.777777778</v>
      </c>
      <c r="W1417" s="362">
        <f t="shared" si="261"/>
        <v>290000</v>
      </c>
      <c r="X1417" s="742">
        <f t="shared" si="264"/>
        <v>4761826.777777778</v>
      </c>
    </row>
    <row r="1418" spans="1:24" ht="13.9">
      <c r="A1418" s="349">
        <f t="shared" si="266"/>
        <v>1410</v>
      </c>
      <c r="B1418" s="670" t="s">
        <v>323</v>
      </c>
      <c r="C1418" s="654" t="s">
        <v>3459</v>
      </c>
      <c r="D1418" s="743" t="s">
        <v>3663</v>
      </c>
      <c r="E1418" s="670" t="s">
        <v>170</v>
      </c>
      <c r="F1418" s="334"/>
      <c r="G1418" s="672">
        <v>44951</v>
      </c>
      <c r="H1418" s="426">
        <v>9000000</v>
      </c>
      <c r="I1418" s="744"/>
      <c r="J1418" s="744"/>
      <c r="K1418" s="354">
        <f t="shared" si="263"/>
        <v>9000000</v>
      </c>
      <c r="L1418" s="672">
        <v>44951</v>
      </c>
      <c r="M1418" s="742">
        <v>178082</v>
      </c>
      <c r="N1418" s="352">
        <f t="shared" si="265"/>
        <v>8821918</v>
      </c>
      <c r="O1418" s="357">
        <f t="shared" si="262"/>
        <v>432</v>
      </c>
      <c r="P1418" s="410">
        <v>9</v>
      </c>
      <c r="Q1418" s="358">
        <f t="shared" si="255"/>
        <v>1.1835616438356165</v>
      </c>
      <c r="R1418" s="359">
        <f t="shared" si="256"/>
        <v>7.8164383561643831</v>
      </c>
      <c r="S1418" s="360">
        <f t="shared" si="257"/>
        <v>7.8164383561643831</v>
      </c>
      <c r="T1418" s="361">
        <f t="shared" si="258"/>
        <v>0.10555555555555554</v>
      </c>
      <c r="U1418" s="362">
        <f t="shared" si="259"/>
        <v>949999.99999999988</v>
      </c>
      <c r="V1418" s="362">
        <f t="shared" si="260"/>
        <v>7871918</v>
      </c>
      <c r="W1418" s="362">
        <f t="shared" si="261"/>
        <v>450000</v>
      </c>
      <c r="X1418" s="742">
        <f t="shared" si="264"/>
        <v>7421918</v>
      </c>
    </row>
    <row r="1419" spans="1:24" ht="13.9">
      <c r="A1419" s="349">
        <f t="shared" si="266"/>
        <v>1411</v>
      </c>
      <c r="B1419" s="670" t="s">
        <v>324</v>
      </c>
      <c r="C1419" s="654" t="s">
        <v>3459</v>
      </c>
      <c r="D1419" s="743" t="s">
        <v>3663</v>
      </c>
      <c r="E1419" s="670" t="s">
        <v>170</v>
      </c>
      <c r="F1419" s="334"/>
      <c r="G1419" s="672">
        <v>44939</v>
      </c>
      <c r="H1419" s="426">
        <v>6537330</v>
      </c>
      <c r="I1419" s="744"/>
      <c r="J1419" s="744"/>
      <c r="K1419" s="354">
        <f t="shared" si="263"/>
        <v>6537330</v>
      </c>
      <c r="L1419" s="672">
        <v>44939</v>
      </c>
      <c r="M1419" s="742">
        <v>153234</v>
      </c>
      <c r="N1419" s="352">
        <f t="shared" si="265"/>
        <v>6384096</v>
      </c>
      <c r="O1419" s="357">
        <f t="shared" si="262"/>
        <v>444</v>
      </c>
      <c r="P1419" s="410">
        <v>9</v>
      </c>
      <c r="Q1419" s="358">
        <f t="shared" si="255"/>
        <v>1.2164383561643837</v>
      </c>
      <c r="R1419" s="359">
        <f t="shared" si="256"/>
        <v>7.7835616438356166</v>
      </c>
      <c r="S1419" s="360">
        <f t="shared" si="257"/>
        <v>7.7835616438356166</v>
      </c>
      <c r="T1419" s="361">
        <f t="shared" si="258"/>
        <v>0.10555555555555554</v>
      </c>
      <c r="U1419" s="362">
        <f t="shared" si="259"/>
        <v>690051.49999999988</v>
      </c>
      <c r="V1419" s="362">
        <f t="shared" si="260"/>
        <v>5694044.5</v>
      </c>
      <c r="W1419" s="362">
        <f t="shared" si="261"/>
        <v>326867</v>
      </c>
      <c r="X1419" s="742">
        <f t="shared" si="264"/>
        <v>5367177.5</v>
      </c>
    </row>
    <row r="1420" spans="1:24" ht="13.9">
      <c r="A1420" s="349">
        <f t="shared" si="266"/>
        <v>1412</v>
      </c>
      <c r="B1420" s="670" t="s">
        <v>324</v>
      </c>
      <c r="C1420" s="654" t="s">
        <v>3459</v>
      </c>
      <c r="D1420" s="743" t="s">
        <v>3663</v>
      </c>
      <c r="E1420" s="670" t="s">
        <v>170</v>
      </c>
      <c r="F1420" s="334"/>
      <c r="G1420" s="672">
        <v>44943</v>
      </c>
      <c r="H1420" s="426">
        <v>6537330</v>
      </c>
      <c r="I1420" s="744"/>
      <c r="J1420" s="744"/>
      <c r="K1420" s="354">
        <f t="shared" si="263"/>
        <v>6537330</v>
      </c>
      <c r="L1420" s="672">
        <v>44943</v>
      </c>
      <c r="M1420" s="742">
        <v>145274</v>
      </c>
      <c r="N1420" s="352">
        <f t="shared" si="265"/>
        <v>6392056</v>
      </c>
      <c r="O1420" s="357">
        <f t="shared" si="262"/>
        <v>440</v>
      </c>
      <c r="P1420" s="410">
        <v>9</v>
      </c>
      <c r="Q1420" s="358">
        <f t="shared" si="255"/>
        <v>1.2054794520547945</v>
      </c>
      <c r="R1420" s="359">
        <f t="shared" si="256"/>
        <v>7.794520547945206</v>
      </c>
      <c r="S1420" s="360">
        <f t="shared" si="257"/>
        <v>7.794520547945206</v>
      </c>
      <c r="T1420" s="361">
        <f t="shared" si="258"/>
        <v>0.10555555555555554</v>
      </c>
      <c r="U1420" s="362">
        <f t="shared" si="259"/>
        <v>690051.49999999988</v>
      </c>
      <c r="V1420" s="362">
        <f t="shared" si="260"/>
        <v>5702004.5</v>
      </c>
      <c r="W1420" s="362">
        <f t="shared" si="261"/>
        <v>326867</v>
      </c>
      <c r="X1420" s="742">
        <f t="shared" si="264"/>
        <v>5375137.5</v>
      </c>
    </row>
    <row r="1421" spans="1:24" ht="13.9">
      <c r="A1421" s="349">
        <f t="shared" si="266"/>
        <v>1413</v>
      </c>
      <c r="B1421" s="670" t="s">
        <v>568</v>
      </c>
      <c r="C1421" s="654" t="s">
        <v>3459</v>
      </c>
      <c r="D1421" s="743" t="s">
        <v>3663</v>
      </c>
      <c r="E1421" s="670" t="s">
        <v>3382</v>
      </c>
      <c r="F1421" s="334"/>
      <c r="G1421" s="672">
        <v>44957</v>
      </c>
      <c r="H1421" s="426">
        <v>33000</v>
      </c>
      <c r="I1421" s="744"/>
      <c r="J1421" s="744"/>
      <c r="K1421" s="354">
        <f t="shared" si="263"/>
        <v>33000</v>
      </c>
      <c r="L1421" s="672">
        <v>44957</v>
      </c>
      <c r="M1421" s="742">
        <v>1778</v>
      </c>
      <c r="N1421" s="352">
        <f t="shared" si="265"/>
        <v>31222</v>
      </c>
      <c r="O1421" s="357">
        <f t="shared" si="262"/>
        <v>426</v>
      </c>
      <c r="P1421" s="410">
        <v>9</v>
      </c>
      <c r="Q1421" s="358">
        <f t="shared" si="255"/>
        <v>1.167123287671233</v>
      </c>
      <c r="R1421" s="359">
        <f t="shared" si="256"/>
        <v>7.8328767123287673</v>
      </c>
      <c r="S1421" s="360">
        <f t="shared" si="257"/>
        <v>7.8328767123287673</v>
      </c>
      <c r="T1421" s="361">
        <f t="shared" si="258"/>
        <v>0.10555555555555554</v>
      </c>
      <c r="U1421" s="362">
        <f t="shared" si="259"/>
        <v>3483.333333333333</v>
      </c>
      <c r="V1421" s="362">
        <f t="shared" si="260"/>
        <v>27738.666666666668</v>
      </c>
      <c r="W1421" s="362">
        <f t="shared" si="261"/>
        <v>1650</v>
      </c>
      <c r="X1421" s="742">
        <f t="shared" si="264"/>
        <v>26088.666666666668</v>
      </c>
    </row>
    <row r="1422" spans="1:24" ht="13.9">
      <c r="A1422" s="349">
        <f t="shared" si="266"/>
        <v>1414</v>
      </c>
      <c r="B1422" s="670" t="s">
        <v>568</v>
      </c>
      <c r="C1422" s="654" t="s">
        <v>3459</v>
      </c>
      <c r="D1422" s="743" t="s">
        <v>3663</v>
      </c>
      <c r="E1422" s="670" t="s">
        <v>3382</v>
      </c>
      <c r="F1422" s="334"/>
      <c r="G1422" s="672">
        <v>44957</v>
      </c>
      <c r="H1422" s="426">
        <v>72500</v>
      </c>
      <c r="I1422" s="744"/>
      <c r="J1422" s="744"/>
      <c r="K1422" s="354">
        <f t="shared" si="263"/>
        <v>72500</v>
      </c>
      <c r="L1422" s="672">
        <v>44957</v>
      </c>
      <c r="M1422" s="742">
        <v>3906</v>
      </c>
      <c r="N1422" s="352">
        <f t="shared" si="265"/>
        <v>68594</v>
      </c>
      <c r="O1422" s="357">
        <f t="shared" si="262"/>
        <v>426</v>
      </c>
      <c r="P1422" s="410">
        <v>9</v>
      </c>
      <c r="Q1422" s="358">
        <f t="shared" ref="Q1422:Q1485" si="267">+O1422/365</f>
        <v>1.167123287671233</v>
      </c>
      <c r="R1422" s="359">
        <f t="shared" ref="R1422:R1485" si="268">+P1422-Q1422</f>
        <v>7.8328767123287673</v>
      </c>
      <c r="S1422" s="360">
        <f t="shared" ref="S1422:S1485" si="269">IF(R1422&lt;0,0,IF(R1422&gt;365,365,R1422))</f>
        <v>7.8328767123287673</v>
      </c>
      <c r="T1422" s="361">
        <f t="shared" ref="T1422:T1485" si="270">1/P1422*0.95</f>
        <v>0.10555555555555554</v>
      </c>
      <c r="U1422" s="362">
        <f t="shared" ref="U1422:U1485" si="271">+K1422*T1422</f>
        <v>7652.7777777777765</v>
      </c>
      <c r="V1422" s="362">
        <f t="shared" ref="V1422:V1485" si="272">+N1422-U1422</f>
        <v>60941.222222222226</v>
      </c>
      <c r="W1422" s="362">
        <f t="shared" ref="W1422:W1485" si="273">ROUND(+H1422*5%,0)</f>
        <v>3625</v>
      </c>
      <c r="X1422" s="742">
        <f t="shared" si="264"/>
        <v>57316.222222222226</v>
      </c>
    </row>
    <row r="1423" spans="1:24" ht="13.9">
      <c r="A1423" s="349">
        <f t="shared" si="266"/>
        <v>1415</v>
      </c>
      <c r="B1423" s="670" t="s">
        <v>568</v>
      </c>
      <c r="C1423" s="654" t="s">
        <v>3459</v>
      </c>
      <c r="D1423" s="743" t="s">
        <v>3663</v>
      </c>
      <c r="E1423" s="670" t="s">
        <v>3382</v>
      </c>
      <c r="F1423" s="334"/>
      <c r="G1423" s="672">
        <v>44957</v>
      </c>
      <c r="H1423" s="426">
        <v>33000</v>
      </c>
      <c r="I1423" s="744"/>
      <c r="J1423" s="744"/>
      <c r="K1423" s="354">
        <f t="shared" si="263"/>
        <v>33000</v>
      </c>
      <c r="L1423" s="672">
        <v>44957</v>
      </c>
      <c r="M1423" s="742">
        <v>1778</v>
      </c>
      <c r="N1423" s="352">
        <f t="shared" si="265"/>
        <v>31222</v>
      </c>
      <c r="O1423" s="357">
        <f t="shared" si="262"/>
        <v>426</v>
      </c>
      <c r="P1423" s="410">
        <v>9</v>
      </c>
      <c r="Q1423" s="358">
        <f t="shared" si="267"/>
        <v>1.167123287671233</v>
      </c>
      <c r="R1423" s="359">
        <f t="shared" si="268"/>
        <v>7.8328767123287673</v>
      </c>
      <c r="S1423" s="360">
        <f t="shared" si="269"/>
        <v>7.8328767123287673</v>
      </c>
      <c r="T1423" s="361">
        <f t="shared" si="270"/>
        <v>0.10555555555555554</v>
      </c>
      <c r="U1423" s="362">
        <f t="shared" si="271"/>
        <v>3483.333333333333</v>
      </c>
      <c r="V1423" s="362">
        <f t="shared" si="272"/>
        <v>27738.666666666668</v>
      </c>
      <c r="W1423" s="362">
        <f t="shared" si="273"/>
        <v>1650</v>
      </c>
      <c r="X1423" s="742">
        <f t="shared" si="264"/>
        <v>26088.666666666668</v>
      </c>
    </row>
    <row r="1424" spans="1:24" ht="13.9">
      <c r="A1424" s="349">
        <f t="shared" si="266"/>
        <v>1416</v>
      </c>
      <c r="B1424" s="670" t="s">
        <v>568</v>
      </c>
      <c r="C1424" s="654" t="s">
        <v>3459</v>
      </c>
      <c r="D1424" s="743" t="s">
        <v>3663</v>
      </c>
      <c r="E1424" s="670" t="s">
        <v>3382</v>
      </c>
      <c r="F1424" s="334"/>
      <c r="G1424" s="672">
        <v>44957</v>
      </c>
      <c r="H1424" s="426">
        <v>29348.260000000002</v>
      </c>
      <c r="I1424" s="744"/>
      <c r="J1424" s="744"/>
      <c r="K1424" s="354">
        <f t="shared" si="263"/>
        <v>29348.260000000002</v>
      </c>
      <c r="L1424" s="672">
        <v>44957</v>
      </c>
      <c r="M1424" s="742">
        <v>1581</v>
      </c>
      <c r="N1424" s="352">
        <f t="shared" si="265"/>
        <v>27767.260000000002</v>
      </c>
      <c r="O1424" s="357">
        <f t="shared" si="262"/>
        <v>426</v>
      </c>
      <c r="P1424" s="410">
        <v>9</v>
      </c>
      <c r="Q1424" s="358">
        <f t="shared" si="267"/>
        <v>1.167123287671233</v>
      </c>
      <c r="R1424" s="359">
        <f t="shared" si="268"/>
        <v>7.8328767123287673</v>
      </c>
      <c r="S1424" s="360">
        <f t="shared" si="269"/>
        <v>7.8328767123287673</v>
      </c>
      <c r="T1424" s="361">
        <f t="shared" si="270"/>
        <v>0.10555555555555554</v>
      </c>
      <c r="U1424" s="362">
        <f t="shared" si="271"/>
        <v>3097.8718888888889</v>
      </c>
      <c r="V1424" s="362">
        <f t="shared" si="272"/>
        <v>24669.388111111111</v>
      </c>
      <c r="W1424" s="362">
        <f t="shared" si="273"/>
        <v>1467</v>
      </c>
      <c r="X1424" s="742">
        <f t="shared" si="264"/>
        <v>23202.388111111111</v>
      </c>
    </row>
    <row r="1425" spans="1:24" ht="13.9">
      <c r="A1425" s="349">
        <f t="shared" si="266"/>
        <v>1417</v>
      </c>
      <c r="B1425" s="670" t="s">
        <v>3380</v>
      </c>
      <c r="C1425" s="654" t="s">
        <v>3459</v>
      </c>
      <c r="D1425" s="743" t="s">
        <v>3663</v>
      </c>
      <c r="E1425" s="670" t="s">
        <v>406</v>
      </c>
      <c r="F1425" s="334"/>
      <c r="G1425" s="672">
        <v>44940</v>
      </c>
      <c r="H1425" s="426">
        <v>1887850</v>
      </c>
      <c r="I1425" s="744"/>
      <c r="J1425" s="744"/>
      <c r="K1425" s="354">
        <f t="shared" si="263"/>
        <v>1887850</v>
      </c>
      <c r="L1425" s="672">
        <v>44940</v>
      </c>
      <c r="M1425" s="742">
        <v>131029</v>
      </c>
      <c r="N1425" s="352">
        <f t="shared" si="265"/>
        <v>1756821</v>
      </c>
      <c r="O1425" s="357">
        <f t="shared" si="262"/>
        <v>443</v>
      </c>
      <c r="P1425" s="410">
        <v>9</v>
      </c>
      <c r="Q1425" s="358">
        <f t="shared" si="267"/>
        <v>1.2136986301369863</v>
      </c>
      <c r="R1425" s="359">
        <f t="shared" si="268"/>
        <v>7.7863013698630139</v>
      </c>
      <c r="S1425" s="360">
        <f t="shared" si="269"/>
        <v>7.7863013698630139</v>
      </c>
      <c r="T1425" s="361">
        <f t="shared" si="270"/>
        <v>0.10555555555555554</v>
      </c>
      <c r="U1425" s="362">
        <f t="shared" si="271"/>
        <v>199273.05555555553</v>
      </c>
      <c r="V1425" s="362">
        <f t="shared" si="272"/>
        <v>1557547.9444444445</v>
      </c>
      <c r="W1425" s="362">
        <f t="shared" si="273"/>
        <v>94393</v>
      </c>
      <c r="X1425" s="742">
        <f t="shared" si="264"/>
        <v>1463154.9444444445</v>
      </c>
    </row>
    <row r="1426" spans="1:24" ht="13.9">
      <c r="A1426" s="349">
        <f t="shared" si="266"/>
        <v>1418</v>
      </c>
      <c r="B1426" s="670" t="s">
        <v>3380</v>
      </c>
      <c r="C1426" s="654" t="s">
        <v>3459</v>
      </c>
      <c r="D1426" s="743" t="s">
        <v>3663</v>
      </c>
      <c r="E1426" s="670" t="s">
        <v>406</v>
      </c>
      <c r="F1426" s="334"/>
      <c r="G1426" s="672">
        <v>44942</v>
      </c>
      <c r="H1426" s="426">
        <v>211413</v>
      </c>
      <c r="I1426" s="744"/>
      <c r="J1426" s="744"/>
      <c r="K1426" s="354">
        <f t="shared" si="263"/>
        <v>211413</v>
      </c>
      <c r="L1426" s="672">
        <v>44942</v>
      </c>
      <c r="M1426" s="742">
        <v>14287</v>
      </c>
      <c r="N1426" s="352">
        <f t="shared" si="265"/>
        <v>197126</v>
      </c>
      <c r="O1426" s="357">
        <f t="shared" si="262"/>
        <v>441</v>
      </c>
      <c r="P1426" s="410">
        <v>9</v>
      </c>
      <c r="Q1426" s="358">
        <f t="shared" si="267"/>
        <v>1.2082191780821918</v>
      </c>
      <c r="R1426" s="359">
        <f t="shared" si="268"/>
        <v>7.7917808219178077</v>
      </c>
      <c r="S1426" s="360">
        <f t="shared" si="269"/>
        <v>7.7917808219178077</v>
      </c>
      <c r="T1426" s="361">
        <f t="shared" si="270"/>
        <v>0.10555555555555554</v>
      </c>
      <c r="U1426" s="362">
        <f t="shared" si="271"/>
        <v>22315.816666666662</v>
      </c>
      <c r="V1426" s="362">
        <f t="shared" si="272"/>
        <v>174810.18333333335</v>
      </c>
      <c r="W1426" s="362">
        <f t="shared" si="273"/>
        <v>10571</v>
      </c>
      <c r="X1426" s="742">
        <f t="shared" si="264"/>
        <v>164239.18333333335</v>
      </c>
    </row>
    <row r="1427" spans="1:24" ht="13.9">
      <c r="A1427" s="349">
        <f t="shared" si="266"/>
        <v>1419</v>
      </c>
      <c r="B1427" s="670" t="s">
        <v>71</v>
      </c>
      <c r="C1427" s="654" t="s">
        <v>3459</v>
      </c>
      <c r="D1427" s="743" t="s">
        <v>3663</v>
      </c>
      <c r="E1427" s="670" t="s">
        <v>3377</v>
      </c>
      <c r="F1427" s="334"/>
      <c r="G1427" s="672">
        <v>44957</v>
      </c>
      <c r="H1427" s="426">
        <v>10612410</v>
      </c>
      <c r="I1427" s="744"/>
      <c r="J1427" s="744"/>
      <c r="K1427" s="354">
        <f t="shared" si="263"/>
        <v>10612410</v>
      </c>
      <c r="L1427" s="672">
        <v>44957</v>
      </c>
      <c r="M1427" s="742">
        <v>190603</v>
      </c>
      <c r="N1427" s="352">
        <f t="shared" si="265"/>
        <v>10421807</v>
      </c>
      <c r="O1427" s="357">
        <f t="shared" si="262"/>
        <v>426</v>
      </c>
      <c r="P1427" s="410">
        <v>9</v>
      </c>
      <c r="Q1427" s="358">
        <f t="shared" si="267"/>
        <v>1.167123287671233</v>
      </c>
      <c r="R1427" s="359">
        <f t="shared" si="268"/>
        <v>7.8328767123287673</v>
      </c>
      <c r="S1427" s="360">
        <f t="shared" si="269"/>
        <v>7.8328767123287673</v>
      </c>
      <c r="T1427" s="361">
        <f t="shared" si="270"/>
        <v>0.10555555555555554</v>
      </c>
      <c r="U1427" s="362">
        <f t="shared" si="271"/>
        <v>1120198.8333333333</v>
      </c>
      <c r="V1427" s="362">
        <f t="shared" si="272"/>
        <v>9301608.166666666</v>
      </c>
      <c r="W1427" s="362">
        <f t="shared" si="273"/>
        <v>530621</v>
      </c>
      <c r="X1427" s="742">
        <f t="shared" si="264"/>
        <v>8770987.166666666</v>
      </c>
    </row>
    <row r="1428" spans="1:24" ht="13.9">
      <c r="A1428" s="349">
        <f t="shared" si="266"/>
        <v>1420</v>
      </c>
      <c r="B1428" s="670" t="s">
        <v>3514</v>
      </c>
      <c r="C1428" s="670" t="s">
        <v>3459</v>
      </c>
      <c r="D1428" s="743" t="s">
        <v>3663</v>
      </c>
      <c r="E1428" s="670" t="s">
        <v>3347</v>
      </c>
      <c r="F1428" s="334"/>
      <c r="G1428" s="672">
        <v>44958</v>
      </c>
      <c r="H1428" s="426">
        <v>625000</v>
      </c>
      <c r="I1428" s="744"/>
      <c r="J1428" s="744"/>
      <c r="K1428" s="354">
        <f t="shared" si="263"/>
        <v>625000</v>
      </c>
      <c r="L1428" s="672">
        <v>44958</v>
      </c>
      <c r="M1428" s="742">
        <v>11035</v>
      </c>
      <c r="N1428" s="352">
        <f t="shared" si="265"/>
        <v>613965</v>
      </c>
      <c r="O1428" s="357">
        <f t="shared" si="262"/>
        <v>425</v>
      </c>
      <c r="P1428" s="410">
        <v>9</v>
      </c>
      <c r="Q1428" s="358">
        <f t="shared" si="267"/>
        <v>1.1643835616438356</v>
      </c>
      <c r="R1428" s="359">
        <f t="shared" si="268"/>
        <v>7.8356164383561646</v>
      </c>
      <c r="S1428" s="360">
        <f t="shared" si="269"/>
        <v>7.8356164383561646</v>
      </c>
      <c r="T1428" s="361">
        <f t="shared" si="270"/>
        <v>0.10555555555555554</v>
      </c>
      <c r="U1428" s="362">
        <f t="shared" si="271"/>
        <v>65972.222222222219</v>
      </c>
      <c r="V1428" s="362">
        <f t="shared" si="272"/>
        <v>547992.77777777775</v>
      </c>
      <c r="W1428" s="362">
        <f t="shared" si="273"/>
        <v>31250</v>
      </c>
      <c r="X1428" s="742">
        <f t="shared" si="264"/>
        <v>516742.77777777775</v>
      </c>
    </row>
    <row r="1429" spans="1:24" ht="13.9">
      <c r="A1429" s="349">
        <f t="shared" si="266"/>
        <v>1421</v>
      </c>
      <c r="B1429" s="670" t="s">
        <v>3514</v>
      </c>
      <c r="C1429" s="670" t="s">
        <v>3459</v>
      </c>
      <c r="D1429" s="743" t="s">
        <v>3663</v>
      </c>
      <c r="E1429" s="670" t="s">
        <v>3347</v>
      </c>
      <c r="F1429" s="334"/>
      <c r="G1429" s="672">
        <v>44958</v>
      </c>
      <c r="H1429" s="426">
        <v>625000</v>
      </c>
      <c r="I1429" s="744"/>
      <c r="J1429" s="744"/>
      <c r="K1429" s="354">
        <f t="shared" si="263"/>
        <v>625000</v>
      </c>
      <c r="L1429" s="672">
        <v>44958</v>
      </c>
      <c r="M1429" s="742">
        <v>11035</v>
      </c>
      <c r="N1429" s="352">
        <f t="shared" si="265"/>
        <v>613965</v>
      </c>
      <c r="O1429" s="357">
        <f t="shared" si="262"/>
        <v>425</v>
      </c>
      <c r="P1429" s="410">
        <v>9</v>
      </c>
      <c r="Q1429" s="358">
        <f t="shared" si="267"/>
        <v>1.1643835616438356</v>
      </c>
      <c r="R1429" s="359">
        <f t="shared" si="268"/>
        <v>7.8356164383561646</v>
      </c>
      <c r="S1429" s="360">
        <f t="shared" si="269"/>
        <v>7.8356164383561646</v>
      </c>
      <c r="T1429" s="361">
        <f t="shared" si="270"/>
        <v>0.10555555555555554</v>
      </c>
      <c r="U1429" s="362">
        <f t="shared" si="271"/>
        <v>65972.222222222219</v>
      </c>
      <c r="V1429" s="362">
        <f t="shared" si="272"/>
        <v>547992.77777777775</v>
      </c>
      <c r="W1429" s="362">
        <f t="shared" si="273"/>
        <v>31250</v>
      </c>
      <c r="X1429" s="742">
        <f t="shared" si="264"/>
        <v>516742.77777777775</v>
      </c>
    </row>
    <row r="1430" spans="1:24" ht="13.9">
      <c r="A1430" s="349">
        <f t="shared" si="266"/>
        <v>1422</v>
      </c>
      <c r="B1430" s="670" t="s">
        <v>568</v>
      </c>
      <c r="C1430" s="670" t="s">
        <v>3459</v>
      </c>
      <c r="D1430" s="743" t="s">
        <v>3663</v>
      </c>
      <c r="E1430" s="670" t="s">
        <v>763</v>
      </c>
      <c r="F1430" s="334"/>
      <c r="G1430" s="672">
        <v>44968</v>
      </c>
      <c r="H1430" s="426">
        <v>996780</v>
      </c>
      <c r="I1430" s="744"/>
      <c r="J1430" s="744"/>
      <c r="K1430" s="354">
        <f t="shared" si="263"/>
        <v>996780</v>
      </c>
      <c r="L1430" s="672">
        <v>44968</v>
      </c>
      <c r="M1430" s="742">
        <v>43694</v>
      </c>
      <c r="N1430" s="352">
        <f t="shared" si="265"/>
        <v>953086</v>
      </c>
      <c r="O1430" s="357">
        <f t="shared" si="262"/>
        <v>415</v>
      </c>
      <c r="P1430" s="410">
        <v>9</v>
      </c>
      <c r="Q1430" s="358">
        <f t="shared" si="267"/>
        <v>1.1369863013698631</v>
      </c>
      <c r="R1430" s="359">
        <f t="shared" si="268"/>
        <v>7.8630136986301373</v>
      </c>
      <c r="S1430" s="360">
        <f t="shared" si="269"/>
        <v>7.8630136986301373</v>
      </c>
      <c r="T1430" s="361">
        <f t="shared" si="270"/>
        <v>0.10555555555555554</v>
      </c>
      <c r="U1430" s="362">
        <f t="shared" si="271"/>
        <v>105215.66666666666</v>
      </c>
      <c r="V1430" s="362">
        <f t="shared" si="272"/>
        <v>847870.33333333337</v>
      </c>
      <c r="W1430" s="362">
        <f t="shared" si="273"/>
        <v>49839</v>
      </c>
      <c r="X1430" s="742">
        <f t="shared" si="264"/>
        <v>798031.33333333337</v>
      </c>
    </row>
    <row r="1431" spans="1:24" ht="13.9">
      <c r="A1431" s="349">
        <f t="shared" si="266"/>
        <v>1423</v>
      </c>
      <c r="B1431" s="670" t="s">
        <v>568</v>
      </c>
      <c r="C1431" s="670" t="s">
        <v>3459</v>
      </c>
      <c r="D1431" s="743" t="s">
        <v>3663</v>
      </c>
      <c r="E1431" s="670" t="s">
        <v>763</v>
      </c>
      <c r="F1431" s="334"/>
      <c r="G1431" s="672">
        <v>44968</v>
      </c>
      <c r="H1431" s="426">
        <v>159332</v>
      </c>
      <c r="I1431" s="744"/>
      <c r="J1431" s="744"/>
      <c r="K1431" s="354">
        <f t="shared" si="263"/>
        <v>159332</v>
      </c>
      <c r="L1431" s="672">
        <v>44968</v>
      </c>
      <c r="M1431" s="742">
        <v>6984</v>
      </c>
      <c r="N1431" s="352">
        <f t="shared" si="265"/>
        <v>152348</v>
      </c>
      <c r="O1431" s="357">
        <f t="shared" si="262"/>
        <v>415</v>
      </c>
      <c r="P1431" s="410">
        <v>9</v>
      </c>
      <c r="Q1431" s="358">
        <f t="shared" si="267"/>
        <v>1.1369863013698631</v>
      </c>
      <c r="R1431" s="359">
        <f t="shared" si="268"/>
        <v>7.8630136986301373</v>
      </c>
      <c r="S1431" s="360">
        <f t="shared" si="269"/>
        <v>7.8630136986301373</v>
      </c>
      <c r="T1431" s="361">
        <f t="shared" si="270"/>
        <v>0.10555555555555554</v>
      </c>
      <c r="U1431" s="362">
        <f t="shared" si="271"/>
        <v>16818.377777777776</v>
      </c>
      <c r="V1431" s="362">
        <f t="shared" si="272"/>
        <v>135529.62222222221</v>
      </c>
      <c r="W1431" s="362">
        <f t="shared" si="273"/>
        <v>7967</v>
      </c>
      <c r="X1431" s="742">
        <f t="shared" si="264"/>
        <v>127562.62222222221</v>
      </c>
    </row>
    <row r="1432" spans="1:24" ht="13.9">
      <c r="A1432" s="349">
        <f t="shared" si="266"/>
        <v>1424</v>
      </c>
      <c r="B1432" s="670" t="s">
        <v>568</v>
      </c>
      <c r="C1432" s="670" t="s">
        <v>3459</v>
      </c>
      <c r="D1432" s="743" t="s">
        <v>3663</v>
      </c>
      <c r="E1432" s="670" t="s">
        <v>3382</v>
      </c>
      <c r="F1432" s="334"/>
      <c r="G1432" s="672">
        <v>44968</v>
      </c>
      <c r="H1432" s="426">
        <v>72500</v>
      </c>
      <c r="I1432" s="744"/>
      <c r="J1432" s="744"/>
      <c r="K1432" s="354">
        <f t="shared" si="263"/>
        <v>72500</v>
      </c>
      <c r="L1432" s="672">
        <v>44968</v>
      </c>
      <c r="M1432" s="742">
        <v>3178</v>
      </c>
      <c r="N1432" s="352">
        <f t="shared" si="265"/>
        <v>69322</v>
      </c>
      <c r="O1432" s="357">
        <f t="shared" si="262"/>
        <v>415</v>
      </c>
      <c r="P1432" s="410">
        <v>9</v>
      </c>
      <c r="Q1432" s="358">
        <f t="shared" si="267"/>
        <v>1.1369863013698631</v>
      </c>
      <c r="R1432" s="359">
        <f t="shared" si="268"/>
        <v>7.8630136986301373</v>
      </c>
      <c r="S1432" s="360">
        <f t="shared" si="269"/>
        <v>7.8630136986301373</v>
      </c>
      <c r="T1432" s="361">
        <f t="shared" si="270"/>
        <v>0.10555555555555554</v>
      </c>
      <c r="U1432" s="362">
        <f t="shared" si="271"/>
        <v>7652.7777777777765</v>
      </c>
      <c r="V1432" s="362">
        <f t="shared" si="272"/>
        <v>61669.222222222226</v>
      </c>
      <c r="W1432" s="362">
        <f t="shared" si="273"/>
        <v>3625</v>
      </c>
      <c r="X1432" s="742">
        <f t="shared" si="264"/>
        <v>58044.222222222226</v>
      </c>
    </row>
    <row r="1433" spans="1:24" ht="13.9">
      <c r="A1433" s="349">
        <f t="shared" si="266"/>
        <v>1425</v>
      </c>
      <c r="B1433" s="670" t="s">
        <v>568</v>
      </c>
      <c r="C1433" s="670" t="s">
        <v>3459</v>
      </c>
      <c r="D1433" s="743" t="s">
        <v>3663</v>
      </c>
      <c r="E1433" s="670" t="s">
        <v>763</v>
      </c>
      <c r="F1433" s="334"/>
      <c r="G1433" s="672">
        <v>44970</v>
      </c>
      <c r="H1433" s="426">
        <v>184000</v>
      </c>
      <c r="I1433" s="744"/>
      <c r="J1433" s="744"/>
      <c r="K1433" s="354">
        <f t="shared" si="263"/>
        <v>184000</v>
      </c>
      <c r="L1433" s="672">
        <v>44970</v>
      </c>
      <c r="M1433" s="742">
        <v>7730</v>
      </c>
      <c r="N1433" s="352">
        <f t="shared" si="265"/>
        <v>176270</v>
      </c>
      <c r="O1433" s="357">
        <f t="shared" si="262"/>
        <v>413</v>
      </c>
      <c r="P1433" s="410">
        <v>9</v>
      </c>
      <c r="Q1433" s="358">
        <f t="shared" si="267"/>
        <v>1.1315068493150684</v>
      </c>
      <c r="R1433" s="359">
        <f t="shared" si="268"/>
        <v>7.868493150684932</v>
      </c>
      <c r="S1433" s="360">
        <f t="shared" si="269"/>
        <v>7.868493150684932</v>
      </c>
      <c r="T1433" s="361">
        <f t="shared" si="270"/>
        <v>0.10555555555555554</v>
      </c>
      <c r="U1433" s="362">
        <f t="shared" si="271"/>
        <v>19422.222222222219</v>
      </c>
      <c r="V1433" s="362">
        <f t="shared" si="272"/>
        <v>156847.77777777778</v>
      </c>
      <c r="W1433" s="362">
        <f t="shared" si="273"/>
        <v>9200</v>
      </c>
      <c r="X1433" s="742">
        <f t="shared" si="264"/>
        <v>147647.77777777778</v>
      </c>
    </row>
    <row r="1434" spans="1:24" ht="13.9">
      <c r="A1434" s="349">
        <f t="shared" si="266"/>
        <v>1426</v>
      </c>
      <c r="B1434" s="670" t="s">
        <v>3380</v>
      </c>
      <c r="C1434" s="670" t="s">
        <v>3459</v>
      </c>
      <c r="D1434" s="743" t="s">
        <v>3663</v>
      </c>
      <c r="E1434" s="670" t="s">
        <v>406</v>
      </c>
      <c r="F1434" s="334"/>
      <c r="G1434" s="672">
        <v>44970</v>
      </c>
      <c r="H1434" s="426">
        <v>721435</v>
      </c>
      <c r="I1434" s="744"/>
      <c r="J1434" s="744"/>
      <c r="K1434" s="354">
        <f t="shared" si="263"/>
        <v>721435</v>
      </c>
      <c r="L1434" s="672">
        <v>44970</v>
      </c>
      <c r="M1434" s="742">
        <v>30307</v>
      </c>
      <c r="N1434" s="352">
        <f t="shared" si="265"/>
        <v>691128</v>
      </c>
      <c r="O1434" s="357">
        <f t="shared" si="262"/>
        <v>413</v>
      </c>
      <c r="P1434" s="410">
        <v>9</v>
      </c>
      <c r="Q1434" s="358">
        <f t="shared" si="267"/>
        <v>1.1315068493150684</v>
      </c>
      <c r="R1434" s="359">
        <f t="shared" si="268"/>
        <v>7.868493150684932</v>
      </c>
      <c r="S1434" s="360">
        <f t="shared" si="269"/>
        <v>7.868493150684932</v>
      </c>
      <c r="T1434" s="361">
        <f t="shared" si="270"/>
        <v>0.10555555555555554</v>
      </c>
      <c r="U1434" s="362">
        <f t="shared" si="271"/>
        <v>76151.472222222219</v>
      </c>
      <c r="V1434" s="362">
        <f t="shared" si="272"/>
        <v>614976.52777777775</v>
      </c>
      <c r="W1434" s="362">
        <f t="shared" si="273"/>
        <v>36072</v>
      </c>
      <c r="X1434" s="742">
        <f t="shared" si="264"/>
        <v>578904.52777777775</v>
      </c>
    </row>
    <row r="1435" spans="1:24" ht="13.9">
      <c r="A1435" s="349">
        <f t="shared" si="266"/>
        <v>1427</v>
      </c>
      <c r="B1435" s="670" t="s">
        <v>3380</v>
      </c>
      <c r="C1435" s="670" t="s">
        <v>3459</v>
      </c>
      <c r="D1435" s="743" t="s">
        <v>3663</v>
      </c>
      <c r="E1435" s="670" t="s">
        <v>406</v>
      </c>
      <c r="F1435" s="334"/>
      <c r="G1435" s="672">
        <v>44970</v>
      </c>
      <c r="H1435" s="426">
        <v>444731</v>
      </c>
      <c r="I1435" s="744"/>
      <c r="J1435" s="744"/>
      <c r="K1435" s="354">
        <f t="shared" si="263"/>
        <v>444731</v>
      </c>
      <c r="L1435" s="672">
        <v>44970</v>
      </c>
      <c r="M1435" s="742">
        <v>18683</v>
      </c>
      <c r="N1435" s="352">
        <f t="shared" si="265"/>
        <v>426048</v>
      </c>
      <c r="O1435" s="357">
        <f t="shared" si="262"/>
        <v>413</v>
      </c>
      <c r="P1435" s="410">
        <v>9</v>
      </c>
      <c r="Q1435" s="358">
        <f t="shared" si="267"/>
        <v>1.1315068493150684</v>
      </c>
      <c r="R1435" s="359">
        <f t="shared" si="268"/>
        <v>7.868493150684932</v>
      </c>
      <c r="S1435" s="360">
        <f t="shared" si="269"/>
        <v>7.868493150684932</v>
      </c>
      <c r="T1435" s="361">
        <f t="shared" si="270"/>
        <v>0.10555555555555554</v>
      </c>
      <c r="U1435" s="362">
        <f t="shared" si="271"/>
        <v>46943.827777777769</v>
      </c>
      <c r="V1435" s="362">
        <f t="shared" si="272"/>
        <v>379104.1722222222</v>
      </c>
      <c r="W1435" s="362">
        <f t="shared" si="273"/>
        <v>22237</v>
      </c>
      <c r="X1435" s="742">
        <f t="shared" si="264"/>
        <v>356867.1722222222</v>
      </c>
    </row>
    <row r="1436" spans="1:24" ht="13.9">
      <c r="A1436" s="349">
        <f t="shared" si="266"/>
        <v>1428</v>
      </c>
      <c r="B1436" s="670" t="s">
        <v>3380</v>
      </c>
      <c r="C1436" s="670" t="s">
        <v>3459</v>
      </c>
      <c r="D1436" s="743" t="s">
        <v>3663</v>
      </c>
      <c r="E1436" s="670" t="s">
        <v>406</v>
      </c>
      <c r="F1436" s="334"/>
      <c r="G1436" s="672">
        <v>44970</v>
      </c>
      <c r="H1436" s="426">
        <v>1008150</v>
      </c>
      <c r="I1436" s="744"/>
      <c r="J1436" s="744"/>
      <c r="K1436" s="354">
        <f t="shared" si="263"/>
        <v>1008150</v>
      </c>
      <c r="L1436" s="672">
        <v>44970</v>
      </c>
      <c r="M1436" s="742">
        <v>42352</v>
      </c>
      <c r="N1436" s="352">
        <f t="shared" si="265"/>
        <v>965798</v>
      </c>
      <c r="O1436" s="357">
        <f t="shared" si="262"/>
        <v>413</v>
      </c>
      <c r="P1436" s="410">
        <v>9</v>
      </c>
      <c r="Q1436" s="358">
        <f t="shared" si="267"/>
        <v>1.1315068493150684</v>
      </c>
      <c r="R1436" s="359">
        <f t="shared" si="268"/>
        <v>7.868493150684932</v>
      </c>
      <c r="S1436" s="360">
        <f t="shared" si="269"/>
        <v>7.868493150684932</v>
      </c>
      <c r="T1436" s="361">
        <f t="shared" si="270"/>
        <v>0.10555555555555554</v>
      </c>
      <c r="U1436" s="362">
        <f t="shared" si="271"/>
        <v>106415.83333333331</v>
      </c>
      <c r="V1436" s="362">
        <f t="shared" si="272"/>
        <v>859382.16666666674</v>
      </c>
      <c r="W1436" s="362">
        <f t="shared" si="273"/>
        <v>50408</v>
      </c>
      <c r="X1436" s="742">
        <f t="shared" si="264"/>
        <v>808974.16666666674</v>
      </c>
    </row>
    <row r="1437" spans="1:24" ht="13.9">
      <c r="A1437" s="349">
        <f t="shared" si="266"/>
        <v>1429</v>
      </c>
      <c r="B1437" s="670" t="s">
        <v>3380</v>
      </c>
      <c r="C1437" s="670" t="s">
        <v>3459</v>
      </c>
      <c r="D1437" s="743" t="s">
        <v>3663</v>
      </c>
      <c r="E1437" s="670" t="s">
        <v>406</v>
      </c>
      <c r="F1437" s="334"/>
      <c r="G1437" s="672">
        <v>44970</v>
      </c>
      <c r="H1437" s="426">
        <v>1006720</v>
      </c>
      <c r="I1437" s="744"/>
      <c r="J1437" s="744"/>
      <c r="K1437" s="354">
        <f t="shared" si="263"/>
        <v>1006720</v>
      </c>
      <c r="L1437" s="672">
        <v>44970</v>
      </c>
      <c r="M1437" s="742">
        <v>42291</v>
      </c>
      <c r="N1437" s="352">
        <f t="shared" si="265"/>
        <v>964429</v>
      </c>
      <c r="O1437" s="357">
        <f t="shared" si="262"/>
        <v>413</v>
      </c>
      <c r="P1437" s="410">
        <v>9</v>
      </c>
      <c r="Q1437" s="358">
        <f t="shared" si="267"/>
        <v>1.1315068493150684</v>
      </c>
      <c r="R1437" s="359">
        <f t="shared" si="268"/>
        <v>7.868493150684932</v>
      </c>
      <c r="S1437" s="360">
        <f t="shared" si="269"/>
        <v>7.868493150684932</v>
      </c>
      <c r="T1437" s="361">
        <f t="shared" si="270"/>
        <v>0.10555555555555554</v>
      </c>
      <c r="U1437" s="362">
        <f t="shared" si="271"/>
        <v>106264.88888888888</v>
      </c>
      <c r="V1437" s="362">
        <f t="shared" si="272"/>
        <v>858164.11111111112</v>
      </c>
      <c r="W1437" s="362">
        <f t="shared" si="273"/>
        <v>50336</v>
      </c>
      <c r="X1437" s="742">
        <f t="shared" si="264"/>
        <v>807828.11111111112</v>
      </c>
    </row>
    <row r="1438" spans="1:24" ht="13.9">
      <c r="A1438" s="349">
        <f t="shared" si="266"/>
        <v>1430</v>
      </c>
      <c r="B1438" s="669" t="s">
        <v>583</v>
      </c>
      <c r="C1438" s="670" t="s">
        <v>3459</v>
      </c>
      <c r="D1438" s="743" t="s">
        <v>3663</v>
      </c>
      <c r="E1438" s="669" t="s">
        <v>410</v>
      </c>
      <c r="F1438" s="334"/>
      <c r="G1438" s="672">
        <v>44979</v>
      </c>
      <c r="H1438" s="426">
        <v>290000</v>
      </c>
      <c r="I1438" s="744"/>
      <c r="J1438" s="744"/>
      <c r="K1438" s="354">
        <f t="shared" si="263"/>
        <v>290000</v>
      </c>
      <c r="L1438" s="672">
        <v>44979</v>
      </c>
      <c r="M1438" s="742">
        <v>3266</v>
      </c>
      <c r="N1438" s="352">
        <f t="shared" si="265"/>
        <v>286734</v>
      </c>
      <c r="O1438" s="357">
        <f t="shared" si="262"/>
        <v>404</v>
      </c>
      <c r="P1438" s="410">
        <v>9</v>
      </c>
      <c r="Q1438" s="358">
        <f t="shared" si="267"/>
        <v>1.106849315068493</v>
      </c>
      <c r="R1438" s="359">
        <f t="shared" si="268"/>
        <v>7.8931506849315074</v>
      </c>
      <c r="S1438" s="360">
        <f t="shared" si="269"/>
        <v>7.8931506849315074</v>
      </c>
      <c r="T1438" s="361">
        <f t="shared" si="270"/>
        <v>0.10555555555555554</v>
      </c>
      <c r="U1438" s="362">
        <f t="shared" si="271"/>
        <v>30611.111111111106</v>
      </c>
      <c r="V1438" s="362">
        <f t="shared" si="272"/>
        <v>256122.88888888891</v>
      </c>
      <c r="W1438" s="362">
        <f t="shared" si="273"/>
        <v>14500</v>
      </c>
      <c r="X1438" s="742">
        <f t="shared" si="264"/>
        <v>241622.88888888891</v>
      </c>
    </row>
    <row r="1439" spans="1:24" ht="13.9">
      <c r="A1439" s="349">
        <f t="shared" si="266"/>
        <v>1431</v>
      </c>
      <c r="B1439" s="669" t="s">
        <v>583</v>
      </c>
      <c r="C1439" s="670" t="s">
        <v>3459</v>
      </c>
      <c r="D1439" s="743" t="s">
        <v>3663</v>
      </c>
      <c r="E1439" s="669" t="s">
        <v>410</v>
      </c>
      <c r="F1439" s="334"/>
      <c r="G1439" s="672">
        <v>44979</v>
      </c>
      <c r="H1439" s="426">
        <v>290000</v>
      </c>
      <c r="I1439" s="744"/>
      <c r="J1439" s="744"/>
      <c r="K1439" s="354">
        <f t="shared" si="263"/>
        <v>290000</v>
      </c>
      <c r="L1439" s="672">
        <v>44979</v>
      </c>
      <c r="M1439" s="742">
        <v>3266</v>
      </c>
      <c r="N1439" s="352">
        <f t="shared" si="265"/>
        <v>286734</v>
      </c>
      <c r="O1439" s="357">
        <f t="shared" si="262"/>
        <v>404</v>
      </c>
      <c r="P1439" s="410">
        <v>9</v>
      </c>
      <c r="Q1439" s="358">
        <f t="shared" si="267"/>
        <v>1.106849315068493</v>
      </c>
      <c r="R1439" s="359">
        <f t="shared" si="268"/>
        <v>7.8931506849315074</v>
      </c>
      <c r="S1439" s="360">
        <f t="shared" si="269"/>
        <v>7.8931506849315074</v>
      </c>
      <c r="T1439" s="361">
        <f t="shared" si="270"/>
        <v>0.10555555555555554</v>
      </c>
      <c r="U1439" s="362">
        <f t="shared" si="271"/>
        <v>30611.111111111106</v>
      </c>
      <c r="V1439" s="362">
        <f t="shared" si="272"/>
        <v>256122.88888888891</v>
      </c>
      <c r="W1439" s="362">
        <f t="shared" si="273"/>
        <v>14500</v>
      </c>
      <c r="X1439" s="742">
        <f t="shared" si="264"/>
        <v>241622.88888888891</v>
      </c>
    </row>
    <row r="1440" spans="1:24" ht="13.9">
      <c r="A1440" s="349">
        <f t="shared" si="266"/>
        <v>1432</v>
      </c>
      <c r="B1440" s="669" t="s">
        <v>3503</v>
      </c>
      <c r="C1440" s="670" t="s">
        <v>3459</v>
      </c>
      <c r="D1440" s="743" t="s">
        <v>3663</v>
      </c>
      <c r="E1440" s="669" t="s">
        <v>408</v>
      </c>
      <c r="F1440" s="334"/>
      <c r="G1440" s="672">
        <v>44982</v>
      </c>
      <c r="H1440" s="426">
        <v>300000</v>
      </c>
      <c r="I1440" s="744"/>
      <c r="J1440" s="744"/>
      <c r="K1440" s="354">
        <f t="shared" si="263"/>
        <v>300000</v>
      </c>
      <c r="L1440" s="672">
        <v>44982</v>
      </c>
      <c r="M1440" s="742">
        <v>3105</v>
      </c>
      <c r="N1440" s="352">
        <f t="shared" si="265"/>
        <v>296895</v>
      </c>
      <c r="O1440" s="357">
        <f t="shared" si="262"/>
        <v>401</v>
      </c>
      <c r="P1440" s="410">
        <v>9</v>
      </c>
      <c r="Q1440" s="358">
        <f t="shared" si="267"/>
        <v>1.0986301369863014</v>
      </c>
      <c r="R1440" s="359">
        <f t="shared" si="268"/>
        <v>7.9013698630136986</v>
      </c>
      <c r="S1440" s="360">
        <f t="shared" si="269"/>
        <v>7.9013698630136986</v>
      </c>
      <c r="T1440" s="361">
        <f t="shared" si="270"/>
        <v>0.10555555555555554</v>
      </c>
      <c r="U1440" s="362">
        <f t="shared" si="271"/>
        <v>31666.666666666661</v>
      </c>
      <c r="V1440" s="362">
        <f t="shared" si="272"/>
        <v>265228.33333333331</v>
      </c>
      <c r="W1440" s="362">
        <f t="shared" si="273"/>
        <v>15000</v>
      </c>
      <c r="X1440" s="742">
        <f t="shared" si="264"/>
        <v>250228.33333333331</v>
      </c>
    </row>
    <row r="1441" spans="1:24" ht="13.9">
      <c r="A1441" s="349">
        <f t="shared" si="266"/>
        <v>1433</v>
      </c>
      <c r="B1441" s="669" t="s">
        <v>3380</v>
      </c>
      <c r="C1441" s="670" t="s">
        <v>3459</v>
      </c>
      <c r="D1441" s="743" t="s">
        <v>3663</v>
      </c>
      <c r="E1441" s="669" t="s">
        <v>406</v>
      </c>
      <c r="F1441" s="334"/>
      <c r="G1441" s="672">
        <v>44984</v>
      </c>
      <c r="H1441" s="426">
        <v>769339.8</v>
      </c>
      <c r="I1441" s="744"/>
      <c r="J1441" s="744"/>
      <c r="K1441" s="354">
        <f t="shared" si="263"/>
        <v>769339.8</v>
      </c>
      <c r="L1441" s="672">
        <v>44984</v>
      </c>
      <c r="M1441" s="742">
        <v>22483</v>
      </c>
      <c r="N1441" s="352">
        <f t="shared" si="265"/>
        <v>746856.8</v>
      </c>
      <c r="O1441" s="357">
        <f t="shared" si="262"/>
        <v>399</v>
      </c>
      <c r="P1441" s="410">
        <v>9</v>
      </c>
      <c r="Q1441" s="358">
        <f t="shared" si="267"/>
        <v>1.0931506849315069</v>
      </c>
      <c r="R1441" s="359">
        <f t="shared" si="268"/>
        <v>7.9068493150684933</v>
      </c>
      <c r="S1441" s="360">
        <f t="shared" si="269"/>
        <v>7.9068493150684933</v>
      </c>
      <c r="T1441" s="361">
        <f t="shared" si="270"/>
        <v>0.10555555555555554</v>
      </c>
      <c r="U1441" s="362">
        <f t="shared" si="271"/>
        <v>81208.09</v>
      </c>
      <c r="V1441" s="362">
        <f t="shared" si="272"/>
        <v>665648.71000000008</v>
      </c>
      <c r="W1441" s="362">
        <f t="shared" si="273"/>
        <v>38467</v>
      </c>
      <c r="X1441" s="742">
        <f t="shared" si="264"/>
        <v>627181.71000000008</v>
      </c>
    </row>
    <row r="1442" spans="1:24" ht="13.9">
      <c r="A1442" s="349">
        <f t="shared" si="266"/>
        <v>1434</v>
      </c>
      <c r="B1442" s="669" t="s">
        <v>568</v>
      </c>
      <c r="C1442" s="670" t="s">
        <v>3459</v>
      </c>
      <c r="D1442" s="743" t="s">
        <v>3663</v>
      </c>
      <c r="E1442" s="669" t="s">
        <v>763</v>
      </c>
      <c r="F1442" s="334"/>
      <c r="G1442" s="672">
        <v>44984</v>
      </c>
      <c r="H1442" s="426">
        <v>1211224</v>
      </c>
      <c r="I1442" s="744"/>
      <c r="J1442" s="744"/>
      <c r="K1442" s="354">
        <f t="shared" si="263"/>
        <v>1211224</v>
      </c>
      <c r="L1442" s="672">
        <v>44984</v>
      </c>
      <c r="M1442" s="742">
        <v>35397</v>
      </c>
      <c r="N1442" s="352">
        <f t="shared" si="265"/>
        <v>1175827</v>
      </c>
      <c r="O1442" s="357">
        <f t="shared" si="262"/>
        <v>399</v>
      </c>
      <c r="P1442" s="410">
        <v>9</v>
      </c>
      <c r="Q1442" s="358">
        <f t="shared" si="267"/>
        <v>1.0931506849315069</v>
      </c>
      <c r="R1442" s="359">
        <f t="shared" si="268"/>
        <v>7.9068493150684933</v>
      </c>
      <c r="S1442" s="360">
        <f t="shared" si="269"/>
        <v>7.9068493150684933</v>
      </c>
      <c r="T1442" s="361">
        <f t="shared" si="270"/>
        <v>0.10555555555555554</v>
      </c>
      <c r="U1442" s="362">
        <f t="shared" si="271"/>
        <v>127851.4222222222</v>
      </c>
      <c r="V1442" s="362">
        <f t="shared" si="272"/>
        <v>1047975.5777777778</v>
      </c>
      <c r="W1442" s="362">
        <f t="shared" si="273"/>
        <v>60561</v>
      </c>
      <c r="X1442" s="742">
        <f t="shared" si="264"/>
        <v>987414.5777777778</v>
      </c>
    </row>
    <row r="1443" spans="1:24" ht="13.9">
      <c r="A1443" s="349">
        <f t="shared" si="266"/>
        <v>1435</v>
      </c>
      <c r="B1443" s="669" t="s">
        <v>568</v>
      </c>
      <c r="C1443" s="670" t="s">
        <v>3459</v>
      </c>
      <c r="D1443" s="743" t="s">
        <v>3663</v>
      </c>
      <c r="E1443" s="669" t="s">
        <v>763</v>
      </c>
      <c r="F1443" s="334"/>
      <c r="G1443" s="672">
        <v>44984</v>
      </c>
      <c r="H1443" s="426">
        <v>145740</v>
      </c>
      <c r="I1443" s="744"/>
      <c r="J1443" s="744"/>
      <c r="K1443" s="354">
        <f t="shared" si="263"/>
        <v>145740</v>
      </c>
      <c r="L1443" s="672">
        <v>44984</v>
      </c>
      <c r="M1443" s="742">
        <v>4259</v>
      </c>
      <c r="N1443" s="352">
        <f t="shared" si="265"/>
        <v>141481</v>
      </c>
      <c r="O1443" s="357">
        <f t="shared" si="262"/>
        <v>399</v>
      </c>
      <c r="P1443" s="410">
        <v>9</v>
      </c>
      <c r="Q1443" s="358">
        <f t="shared" si="267"/>
        <v>1.0931506849315069</v>
      </c>
      <c r="R1443" s="359">
        <f t="shared" si="268"/>
        <v>7.9068493150684933</v>
      </c>
      <c r="S1443" s="360">
        <f t="shared" si="269"/>
        <v>7.9068493150684933</v>
      </c>
      <c r="T1443" s="361">
        <f t="shared" si="270"/>
        <v>0.10555555555555554</v>
      </c>
      <c r="U1443" s="362">
        <f t="shared" si="271"/>
        <v>15383.666666666664</v>
      </c>
      <c r="V1443" s="362">
        <f t="shared" si="272"/>
        <v>126097.33333333334</v>
      </c>
      <c r="W1443" s="362">
        <f t="shared" si="273"/>
        <v>7287</v>
      </c>
      <c r="X1443" s="742">
        <f t="shared" si="264"/>
        <v>118810.33333333334</v>
      </c>
    </row>
    <row r="1444" spans="1:24" ht="13.9">
      <c r="A1444" s="349">
        <f t="shared" si="266"/>
        <v>1436</v>
      </c>
      <c r="B1444" s="669" t="s">
        <v>3541</v>
      </c>
      <c r="C1444" s="670" t="s">
        <v>3459</v>
      </c>
      <c r="D1444" s="743" t="s">
        <v>3663</v>
      </c>
      <c r="E1444" s="669" t="s">
        <v>410</v>
      </c>
      <c r="F1444" s="334"/>
      <c r="G1444" s="672">
        <v>44987</v>
      </c>
      <c r="H1444" s="426">
        <v>738306</v>
      </c>
      <c r="I1444" s="744"/>
      <c r="J1444" s="744"/>
      <c r="K1444" s="354">
        <f t="shared" si="263"/>
        <v>738306</v>
      </c>
      <c r="L1444" s="672">
        <v>44987</v>
      </c>
      <c r="M1444" s="742">
        <v>6518</v>
      </c>
      <c r="N1444" s="352">
        <f t="shared" si="265"/>
        <v>731788</v>
      </c>
      <c r="O1444" s="357">
        <f t="shared" si="262"/>
        <v>396</v>
      </c>
      <c r="P1444" s="410">
        <v>9</v>
      </c>
      <c r="Q1444" s="358">
        <f t="shared" si="267"/>
        <v>1.0849315068493151</v>
      </c>
      <c r="R1444" s="359">
        <f t="shared" si="268"/>
        <v>7.9150684931506845</v>
      </c>
      <c r="S1444" s="360">
        <f t="shared" si="269"/>
        <v>7.9150684931506845</v>
      </c>
      <c r="T1444" s="361">
        <f t="shared" si="270"/>
        <v>0.10555555555555554</v>
      </c>
      <c r="U1444" s="362">
        <f t="shared" si="271"/>
        <v>77932.299999999988</v>
      </c>
      <c r="V1444" s="362">
        <f t="shared" si="272"/>
        <v>653855.69999999995</v>
      </c>
      <c r="W1444" s="362">
        <f t="shared" si="273"/>
        <v>36915</v>
      </c>
      <c r="X1444" s="742">
        <f t="shared" si="264"/>
        <v>616940.69999999995</v>
      </c>
    </row>
    <row r="1445" spans="1:24" ht="13.9">
      <c r="A1445" s="349">
        <f t="shared" si="266"/>
        <v>1437</v>
      </c>
      <c r="B1445" s="669" t="s">
        <v>71</v>
      </c>
      <c r="C1445" s="670" t="s">
        <v>3459</v>
      </c>
      <c r="D1445" s="743" t="s">
        <v>3663</v>
      </c>
      <c r="E1445" s="669" t="s">
        <v>766</v>
      </c>
      <c r="F1445" s="334"/>
      <c r="G1445" s="672">
        <v>44989</v>
      </c>
      <c r="H1445" s="426">
        <v>1429455</v>
      </c>
      <c r="I1445" s="744"/>
      <c r="J1445" s="744"/>
      <c r="K1445" s="354">
        <f t="shared" si="263"/>
        <v>1429455</v>
      </c>
      <c r="L1445" s="672">
        <v>44989</v>
      </c>
      <c r="M1445" s="742">
        <v>11749</v>
      </c>
      <c r="N1445" s="352">
        <f t="shared" si="265"/>
        <v>1417706</v>
      </c>
      <c r="O1445" s="357">
        <f t="shared" si="262"/>
        <v>394</v>
      </c>
      <c r="P1445" s="410">
        <v>9</v>
      </c>
      <c r="Q1445" s="358">
        <f t="shared" si="267"/>
        <v>1.0794520547945206</v>
      </c>
      <c r="R1445" s="359">
        <f t="shared" si="268"/>
        <v>7.9205479452054792</v>
      </c>
      <c r="S1445" s="360">
        <f t="shared" si="269"/>
        <v>7.9205479452054792</v>
      </c>
      <c r="T1445" s="361">
        <f t="shared" si="270"/>
        <v>0.10555555555555554</v>
      </c>
      <c r="U1445" s="362">
        <f t="shared" si="271"/>
        <v>150886.91666666666</v>
      </c>
      <c r="V1445" s="362">
        <f t="shared" si="272"/>
        <v>1266819.0833333333</v>
      </c>
      <c r="W1445" s="362">
        <f t="shared" si="273"/>
        <v>71473</v>
      </c>
      <c r="X1445" s="742">
        <f t="shared" si="264"/>
        <v>1195346.0833333333</v>
      </c>
    </row>
    <row r="1446" spans="1:24" ht="13.9">
      <c r="A1446" s="349">
        <f t="shared" si="266"/>
        <v>1438</v>
      </c>
      <c r="B1446" s="669" t="s">
        <v>3544</v>
      </c>
      <c r="C1446" s="670" t="s">
        <v>3459</v>
      </c>
      <c r="D1446" s="743" t="s">
        <v>3663</v>
      </c>
      <c r="E1446" s="669" t="s">
        <v>410</v>
      </c>
      <c r="F1446" s="334"/>
      <c r="G1446" s="672">
        <v>44991</v>
      </c>
      <c r="H1446" s="426">
        <v>290000</v>
      </c>
      <c r="I1446" s="744"/>
      <c r="J1446" s="744"/>
      <c r="K1446" s="354">
        <f t="shared" si="263"/>
        <v>290000</v>
      </c>
      <c r="L1446" s="672">
        <v>44991</v>
      </c>
      <c r="M1446" s="742">
        <v>2207</v>
      </c>
      <c r="N1446" s="352">
        <f t="shared" si="265"/>
        <v>287793</v>
      </c>
      <c r="O1446" s="357">
        <f t="shared" si="262"/>
        <v>392</v>
      </c>
      <c r="P1446" s="410">
        <v>9</v>
      </c>
      <c r="Q1446" s="358">
        <f t="shared" si="267"/>
        <v>1.0739726027397261</v>
      </c>
      <c r="R1446" s="359">
        <f t="shared" si="268"/>
        <v>7.9260273972602739</v>
      </c>
      <c r="S1446" s="360">
        <f t="shared" si="269"/>
        <v>7.9260273972602739</v>
      </c>
      <c r="T1446" s="361">
        <f t="shared" si="270"/>
        <v>0.10555555555555554</v>
      </c>
      <c r="U1446" s="362">
        <f t="shared" si="271"/>
        <v>30611.111111111106</v>
      </c>
      <c r="V1446" s="362">
        <f t="shared" si="272"/>
        <v>257181.88888888891</v>
      </c>
      <c r="W1446" s="362">
        <f t="shared" si="273"/>
        <v>14500</v>
      </c>
      <c r="X1446" s="742">
        <f t="shared" si="264"/>
        <v>242681.88888888891</v>
      </c>
    </row>
    <row r="1447" spans="1:24" ht="13.9">
      <c r="A1447" s="349">
        <f t="shared" si="266"/>
        <v>1439</v>
      </c>
      <c r="B1447" s="669" t="s">
        <v>570</v>
      </c>
      <c r="C1447" s="670" t="s">
        <v>3459</v>
      </c>
      <c r="D1447" s="743" t="s">
        <v>3663</v>
      </c>
      <c r="E1447" s="669" t="s">
        <v>765</v>
      </c>
      <c r="F1447" s="334"/>
      <c r="G1447" s="672">
        <v>44985</v>
      </c>
      <c r="H1447" s="426">
        <v>145200</v>
      </c>
      <c r="I1447" s="744"/>
      <c r="J1447" s="744"/>
      <c r="K1447" s="354">
        <f t="shared" si="263"/>
        <v>145200</v>
      </c>
      <c r="L1447" s="672">
        <v>44985</v>
      </c>
      <c r="M1447" s="742">
        <v>1370</v>
      </c>
      <c r="N1447" s="352">
        <f t="shared" si="265"/>
        <v>143830</v>
      </c>
      <c r="O1447" s="357">
        <f t="shared" si="262"/>
        <v>398</v>
      </c>
      <c r="P1447" s="410">
        <v>9</v>
      </c>
      <c r="Q1447" s="358">
        <f t="shared" si="267"/>
        <v>1.0904109589041096</v>
      </c>
      <c r="R1447" s="359">
        <f t="shared" si="268"/>
        <v>7.9095890410958907</v>
      </c>
      <c r="S1447" s="360">
        <f t="shared" si="269"/>
        <v>7.9095890410958907</v>
      </c>
      <c r="T1447" s="361">
        <f t="shared" si="270"/>
        <v>0.10555555555555554</v>
      </c>
      <c r="U1447" s="362">
        <f t="shared" si="271"/>
        <v>15326.666666666664</v>
      </c>
      <c r="V1447" s="362">
        <f t="shared" si="272"/>
        <v>128503.33333333334</v>
      </c>
      <c r="W1447" s="362">
        <f t="shared" si="273"/>
        <v>7260</v>
      </c>
      <c r="X1447" s="742">
        <f t="shared" si="264"/>
        <v>121243.33333333334</v>
      </c>
    </row>
    <row r="1448" spans="1:24" ht="13.9">
      <c r="A1448" s="349">
        <f t="shared" si="266"/>
        <v>1440</v>
      </c>
      <c r="B1448" s="669" t="s">
        <v>62</v>
      </c>
      <c r="C1448" s="670" t="s">
        <v>3459</v>
      </c>
      <c r="D1448" s="743" t="s">
        <v>3663</v>
      </c>
      <c r="E1448" s="669" t="s">
        <v>3575</v>
      </c>
      <c r="F1448" s="334"/>
      <c r="G1448" s="672">
        <v>45013</v>
      </c>
      <c r="H1448" s="426">
        <v>2700000</v>
      </c>
      <c r="I1448" s="744"/>
      <c r="J1448" s="744"/>
      <c r="K1448" s="354">
        <f t="shared" si="263"/>
        <v>2700000</v>
      </c>
      <c r="L1448" s="672">
        <v>45013</v>
      </c>
      <c r="M1448" s="742">
        <v>2466</v>
      </c>
      <c r="N1448" s="352">
        <f t="shared" si="265"/>
        <v>2697534</v>
      </c>
      <c r="O1448" s="357">
        <f t="shared" si="262"/>
        <v>370</v>
      </c>
      <c r="P1448" s="410">
        <v>9</v>
      </c>
      <c r="Q1448" s="358">
        <f t="shared" si="267"/>
        <v>1.0136986301369864</v>
      </c>
      <c r="R1448" s="359">
        <f t="shared" si="268"/>
        <v>7.9863013698630141</v>
      </c>
      <c r="S1448" s="360">
        <f t="shared" si="269"/>
        <v>7.9863013698630141</v>
      </c>
      <c r="T1448" s="361">
        <f t="shared" si="270"/>
        <v>0.10555555555555554</v>
      </c>
      <c r="U1448" s="362">
        <f t="shared" si="271"/>
        <v>284999.99999999994</v>
      </c>
      <c r="V1448" s="362">
        <f t="shared" si="272"/>
        <v>2412534</v>
      </c>
      <c r="W1448" s="362">
        <f t="shared" si="273"/>
        <v>135000</v>
      </c>
      <c r="X1448" s="742">
        <f t="shared" si="264"/>
        <v>2277534</v>
      </c>
    </row>
    <row r="1449" spans="1:24" ht="13.9">
      <c r="A1449" s="349">
        <f t="shared" si="266"/>
        <v>1441</v>
      </c>
      <c r="B1449" s="669" t="s">
        <v>62</v>
      </c>
      <c r="C1449" s="670" t="s">
        <v>3459</v>
      </c>
      <c r="D1449" s="743" t="s">
        <v>3663</v>
      </c>
      <c r="E1449" s="669" t="s">
        <v>3575</v>
      </c>
      <c r="F1449" s="334"/>
      <c r="G1449" s="672">
        <v>45013</v>
      </c>
      <c r="H1449" s="426">
        <v>2700000</v>
      </c>
      <c r="I1449" s="744"/>
      <c r="J1449" s="744"/>
      <c r="K1449" s="354">
        <f t="shared" si="263"/>
        <v>2700000</v>
      </c>
      <c r="L1449" s="672">
        <v>45013</v>
      </c>
      <c r="M1449" s="742">
        <v>2466</v>
      </c>
      <c r="N1449" s="352">
        <f t="shared" si="265"/>
        <v>2697534</v>
      </c>
      <c r="O1449" s="357">
        <f t="shared" si="262"/>
        <v>370</v>
      </c>
      <c r="P1449" s="410">
        <v>9</v>
      </c>
      <c r="Q1449" s="358">
        <f t="shared" si="267"/>
        <v>1.0136986301369864</v>
      </c>
      <c r="R1449" s="359">
        <f t="shared" si="268"/>
        <v>7.9863013698630141</v>
      </c>
      <c r="S1449" s="360">
        <f t="shared" si="269"/>
        <v>7.9863013698630141</v>
      </c>
      <c r="T1449" s="361">
        <f t="shared" si="270"/>
        <v>0.10555555555555554</v>
      </c>
      <c r="U1449" s="362">
        <f t="shared" si="271"/>
        <v>284999.99999999994</v>
      </c>
      <c r="V1449" s="362">
        <f t="shared" si="272"/>
        <v>2412534</v>
      </c>
      <c r="W1449" s="362">
        <f t="shared" si="273"/>
        <v>135000</v>
      </c>
      <c r="X1449" s="742">
        <f t="shared" si="264"/>
        <v>2277534</v>
      </c>
    </row>
    <row r="1450" spans="1:24" ht="13.9">
      <c r="A1450" s="349">
        <f t="shared" si="266"/>
        <v>1442</v>
      </c>
      <c r="B1450" s="669" t="s">
        <v>585</v>
      </c>
      <c r="C1450" s="670" t="s">
        <v>3459</v>
      </c>
      <c r="D1450" s="743" t="s">
        <v>3663</v>
      </c>
      <c r="E1450" s="669" t="s">
        <v>3573</v>
      </c>
      <c r="F1450" s="334"/>
      <c r="G1450" s="672">
        <v>45008</v>
      </c>
      <c r="H1450" s="426">
        <v>5674470</v>
      </c>
      <c r="I1450" s="744"/>
      <c r="J1450" s="744"/>
      <c r="K1450" s="354">
        <f t="shared" si="263"/>
        <v>5674470</v>
      </c>
      <c r="L1450" s="672">
        <v>45008</v>
      </c>
      <c r="M1450" s="742">
        <v>13819</v>
      </c>
      <c r="N1450" s="352">
        <f t="shared" si="265"/>
        <v>5660651</v>
      </c>
      <c r="O1450" s="357">
        <f t="shared" si="262"/>
        <v>375</v>
      </c>
      <c r="P1450" s="410">
        <v>9</v>
      </c>
      <c r="Q1450" s="358">
        <f t="shared" si="267"/>
        <v>1.0273972602739727</v>
      </c>
      <c r="R1450" s="359">
        <f t="shared" si="268"/>
        <v>7.9726027397260273</v>
      </c>
      <c r="S1450" s="360">
        <f t="shared" si="269"/>
        <v>7.9726027397260273</v>
      </c>
      <c r="T1450" s="361">
        <f t="shared" si="270"/>
        <v>0.10555555555555554</v>
      </c>
      <c r="U1450" s="362">
        <f t="shared" si="271"/>
        <v>598971.83333333326</v>
      </c>
      <c r="V1450" s="362">
        <f t="shared" si="272"/>
        <v>5061679.166666667</v>
      </c>
      <c r="W1450" s="362">
        <f t="shared" si="273"/>
        <v>283724</v>
      </c>
      <c r="X1450" s="742">
        <f t="shared" si="264"/>
        <v>4777955.166666667</v>
      </c>
    </row>
    <row r="1451" spans="1:24" ht="13.9">
      <c r="A1451" s="349">
        <f t="shared" si="266"/>
        <v>1443</v>
      </c>
      <c r="B1451" s="669" t="s">
        <v>324</v>
      </c>
      <c r="C1451" s="670" t="s">
        <v>3459</v>
      </c>
      <c r="D1451" s="743" t="s">
        <v>3663</v>
      </c>
      <c r="E1451" s="669" t="s">
        <v>170</v>
      </c>
      <c r="F1451" s="334"/>
      <c r="G1451" s="672">
        <v>45005</v>
      </c>
      <c r="H1451" s="426">
        <v>6000000</v>
      </c>
      <c r="I1451" s="744"/>
      <c r="J1451" s="744"/>
      <c r="K1451" s="354">
        <f t="shared" si="263"/>
        <v>6000000</v>
      </c>
      <c r="L1451" s="672">
        <v>45005</v>
      </c>
      <c r="M1451" s="742">
        <v>20091</v>
      </c>
      <c r="N1451" s="352">
        <f t="shared" si="265"/>
        <v>5979909</v>
      </c>
      <c r="O1451" s="357">
        <f t="shared" si="262"/>
        <v>378</v>
      </c>
      <c r="P1451" s="410">
        <v>9</v>
      </c>
      <c r="Q1451" s="358">
        <f t="shared" si="267"/>
        <v>1.0356164383561643</v>
      </c>
      <c r="R1451" s="359">
        <f t="shared" si="268"/>
        <v>7.9643835616438352</v>
      </c>
      <c r="S1451" s="360">
        <f t="shared" si="269"/>
        <v>7.9643835616438352</v>
      </c>
      <c r="T1451" s="361">
        <f t="shared" si="270"/>
        <v>0.10555555555555554</v>
      </c>
      <c r="U1451" s="362">
        <f t="shared" si="271"/>
        <v>633333.33333333326</v>
      </c>
      <c r="V1451" s="362">
        <f t="shared" si="272"/>
        <v>5346575.666666667</v>
      </c>
      <c r="W1451" s="362">
        <f t="shared" si="273"/>
        <v>300000</v>
      </c>
      <c r="X1451" s="742">
        <f t="shared" si="264"/>
        <v>5046575.666666667</v>
      </c>
    </row>
    <row r="1452" spans="1:24" ht="13.9">
      <c r="A1452" s="349">
        <f t="shared" si="266"/>
        <v>1444</v>
      </c>
      <c r="B1452" s="669" t="s">
        <v>324</v>
      </c>
      <c r="C1452" s="670" t="s">
        <v>3459</v>
      </c>
      <c r="D1452" s="743" t="s">
        <v>3663</v>
      </c>
      <c r="E1452" s="669" t="s">
        <v>170</v>
      </c>
      <c r="F1452" s="334"/>
      <c r="G1452" s="672">
        <v>45005</v>
      </c>
      <c r="H1452" s="426">
        <v>6000000</v>
      </c>
      <c r="I1452" s="744"/>
      <c r="J1452" s="744"/>
      <c r="K1452" s="354">
        <f t="shared" si="263"/>
        <v>6000000</v>
      </c>
      <c r="L1452" s="672">
        <v>45005</v>
      </c>
      <c r="M1452" s="742">
        <v>20091</v>
      </c>
      <c r="N1452" s="352">
        <f t="shared" si="265"/>
        <v>5979909</v>
      </c>
      <c r="O1452" s="357">
        <f t="shared" si="262"/>
        <v>378</v>
      </c>
      <c r="P1452" s="410">
        <v>9</v>
      </c>
      <c r="Q1452" s="358">
        <f t="shared" si="267"/>
        <v>1.0356164383561643</v>
      </c>
      <c r="R1452" s="359">
        <f t="shared" si="268"/>
        <v>7.9643835616438352</v>
      </c>
      <c r="S1452" s="360">
        <f t="shared" si="269"/>
        <v>7.9643835616438352</v>
      </c>
      <c r="T1452" s="361">
        <f t="shared" si="270"/>
        <v>0.10555555555555554</v>
      </c>
      <c r="U1452" s="362">
        <f t="shared" si="271"/>
        <v>633333.33333333326</v>
      </c>
      <c r="V1452" s="362">
        <f t="shared" si="272"/>
        <v>5346575.666666667</v>
      </c>
      <c r="W1452" s="362">
        <f t="shared" si="273"/>
        <v>300000</v>
      </c>
      <c r="X1452" s="742">
        <f t="shared" si="264"/>
        <v>5046575.666666667</v>
      </c>
    </row>
    <row r="1453" spans="1:24" ht="13.9">
      <c r="A1453" s="349">
        <f t="shared" si="266"/>
        <v>1445</v>
      </c>
      <c r="B1453" s="669" t="s">
        <v>309</v>
      </c>
      <c r="C1453" s="670" t="s">
        <v>3459</v>
      </c>
      <c r="D1453" s="743" t="s">
        <v>3663</v>
      </c>
      <c r="E1453" s="669" t="s">
        <v>406</v>
      </c>
      <c r="F1453" s="334"/>
      <c r="G1453" s="672">
        <v>45005</v>
      </c>
      <c r="H1453" s="426">
        <v>808138</v>
      </c>
      <c r="I1453" s="744"/>
      <c r="J1453" s="744"/>
      <c r="K1453" s="354">
        <f t="shared" si="263"/>
        <v>808138</v>
      </c>
      <c r="L1453" s="672">
        <v>45005</v>
      </c>
      <c r="M1453" s="742">
        <v>8118</v>
      </c>
      <c r="N1453" s="352">
        <f t="shared" si="265"/>
        <v>800020</v>
      </c>
      <c r="O1453" s="357">
        <f t="shared" si="262"/>
        <v>378</v>
      </c>
      <c r="P1453" s="410">
        <v>9</v>
      </c>
      <c r="Q1453" s="358">
        <f t="shared" si="267"/>
        <v>1.0356164383561643</v>
      </c>
      <c r="R1453" s="359">
        <f t="shared" si="268"/>
        <v>7.9643835616438352</v>
      </c>
      <c r="S1453" s="360">
        <f t="shared" si="269"/>
        <v>7.9643835616438352</v>
      </c>
      <c r="T1453" s="361">
        <f t="shared" si="270"/>
        <v>0.10555555555555554</v>
      </c>
      <c r="U1453" s="362">
        <f t="shared" si="271"/>
        <v>85303.455555555542</v>
      </c>
      <c r="V1453" s="362">
        <f t="shared" si="272"/>
        <v>714716.54444444447</v>
      </c>
      <c r="W1453" s="362">
        <f t="shared" si="273"/>
        <v>40407</v>
      </c>
      <c r="X1453" s="742">
        <f t="shared" si="264"/>
        <v>674309.54444444447</v>
      </c>
    </row>
    <row r="1454" spans="1:24" ht="13.9">
      <c r="A1454" s="349">
        <f t="shared" si="266"/>
        <v>1446</v>
      </c>
      <c r="B1454" s="669" t="s">
        <v>309</v>
      </c>
      <c r="C1454" s="670" t="s">
        <v>3459</v>
      </c>
      <c r="D1454" s="743" t="s">
        <v>3663</v>
      </c>
      <c r="E1454" s="669" t="s">
        <v>406</v>
      </c>
      <c r="F1454" s="334"/>
      <c r="G1454" s="672">
        <v>45005</v>
      </c>
      <c r="H1454" s="426">
        <v>840911.02</v>
      </c>
      <c r="I1454" s="744"/>
      <c r="J1454" s="744"/>
      <c r="K1454" s="354">
        <f t="shared" si="263"/>
        <v>840911.02</v>
      </c>
      <c r="L1454" s="672">
        <v>45005</v>
      </c>
      <c r="M1454" s="742">
        <v>8448</v>
      </c>
      <c r="N1454" s="352">
        <f t="shared" si="265"/>
        <v>832463.02</v>
      </c>
      <c r="O1454" s="357">
        <f t="shared" si="262"/>
        <v>378</v>
      </c>
      <c r="P1454" s="410">
        <v>9</v>
      </c>
      <c r="Q1454" s="358">
        <f t="shared" si="267"/>
        <v>1.0356164383561643</v>
      </c>
      <c r="R1454" s="359">
        <f t="shared" si="268"/>
        <v>7.9643835616438352</v>
      </c>
      <c r="S1454" s="360">
        <f t="shared" si="269"/>
        <v>7.9643835616438352</v>
      </c>
      <c r="T1454" s="361">
        <f t="shared" si="270"/>
        <v>0.10555555555555554</v>
      </c>
      <c r="U1454" s="362">
        <f t="shared" si="271"/>
        <v>88762.829888888882</v>
      </c>
      <c r="V1454" s="362">
        <f t="shared" si="272"/>
        <v>743700.19011111115</v>
      </c>
      <c r="W1454" s="362">
        <f t="shared" si="273"/>
        <v>42046</v>
      </c>
      <c r="X1454" s="742">
        <f t="shared" si="264"/>
        <v>701654.19011111115</v>
      </c>
    </row>
    <row r="1455" spans="1:24" ht="13.9">
      <c r="A1455" s="349">
        <f t="shared" si="266"/>
        <v>1447</v>
      </c>
      <c r="B1455" s="669" t="s">
        <v>309</v>
      </c>
      <c r="C1455" s="670" t="s">
        <v>3459</v>
      </c>
      <c r="D1455" s="743" t="s">
        <v>3663</v>
      </c>
      <c r="E1455" s="669" t="s">
        <v>406</v>
      </c>
      <c r="F1455" s="334"/>
      <c r="G1455" s="672">
        <v>45005</v>
      </c>
      <c r="H1455" s="426">
        <v>944767.85</v>
      </c>
      <c r="I1455" s="744"/>
      <c r="J1455" s="744"/>
      <c r="K1455" s="354">
        <f t="shared" si="263"/>
        <v>944767.85</v>
      </c>
      <c r="L1455" s="672">
        <v>45005</v>
      </c>
      <c r="M1455" s="742">
        <v>9491</v>
      </c>
      <c r="N1455" s="352">
        <f t="shared" si="265"/>
        <v>935276.85</v>
      </c>
      <c r="O1455" s="357">
        <f t="shared" si="262"/>
        <v>378</v>
      </c>
      <c r="P1455" s="410">
        <v>9</v>
      </c>
      <c r="Q1455" s="358">
        <f t="shared" si="267"/>
        <v>1.0356164383561643</v>
      </c>
      <c r="R1455" s="359">
        <f t="shared" si="268"/>
        <v>7.9643835616438352</v>
      </c>
      <c r="S1455" s="360">
        <f t="shared" si="269"/>
        <v>7.9643835616438352</v>
      </c>
      <c r="T1455" s="361">
        <f t="shared" si="270"/>
        <v>0.10555555555555554</v>
      </c>
      <c r="U1455" s="362">
        <f t="shared" si="271"/>
        <v>99725.495277777765</v>
      </c>
      <c r="V1455" s="362">
        <f t="shared" si="272"/>
        <v>835551.3547222222</v>
      </c>
      <c r="W1455" s="362">
        <f t="shared" si="273"/>
        <v>47238</v>
      </c>
      <c r="X1455" s="742">
        <f t="shared" si="264"/>
        <v>788313.3547222222</v>
      </c>
    </row>
    <row r="1456" spans="1:24" ht="13.9">
      <c r="A1456" s="349">
        <f t="shared" si="266"/>
        <v>1448</v>
      </c>
      <c r="B1456" s="669" t="s">
        <v>309</v>
      </c>
      <c r="C1456" s="670" t="s">
        <v>3459</v>
      </c>
      <c r="D1456" s="743" t="s">
        <v>3663</v>
      </c>
      <c r="E1456" s="669" t="s">
        <v>406</v>
      </c>
      <c r="F1456" s="334"/>
      <c r="G1456" s="672">
        <v>45005</v>
      </c>
      <c r="H1456" s="426">
        <v>595991</v>
      </c>
      <c r="I1456" s="744"/>
      <c r="J1456" s="744"/>
      <c r="K1456" s="354">
        <f t="shared" si="263"/>
        <v>595991</v>
      </c>
      <c r="L1456" s="672">
        <v>45005</v>
      </c>
      <c r="M1456" s="742">
        <v>5987</v>
      </c>
      <c r="N1456" s="352">
        <f t="shared" si="265"/>
        <v>590004</v>
      </c>
      <c r="O1456" s="357">
        <f t="shared" si="262"/>
        <v>378</v>
      </c>
      <c r="P1456" s="410">
        <v>9</v>
      </c>
      <c r="Q1456" s="358">
        <f t="shared" si="267"/>
        <v>1.0356164383561643</v>
      </c>
      <c r="R1456" s="359">
        <f t="shared" si="268"/>
        <v>7.9643835616438352</v>
      </c>
      <c r="S1456" s="360">
        <f t="shared" si="269"/>
        <v>7.9643835616438352</v>
      </c>
      <c r="T1456" s="361">
        <f t="shared" si="270"/>
        <v>0.10555555555555554</v>
      </c>
      <c r="U1456" s="362">
        <f t="shared" si="271"/>
        <v>62910.161111111105</v>
      </c>
      <c r="V1456" s="362">
        <f t="shared" si="272"/>
        <v>527093.83888888895</v>
      </c>
      <c r="W1456" s="362">
        <f t="shared" si="273"/>
        <v>29800</v>
      </c>
      <c r="X1456" s="742">
        <f t="shared" si="264"/>
        <v>497293.83888888895</v>
      </c>
    </row>
    <row r="1457" spans="1:24" ht="13.9">
      <c r="A1457" s="349">
        <f t="shared" si="266"/>
        <v>1449</v>
      </c>
      <c r="B1457" s="669" t="s">
        <v>3563</v>
      </c>
      <c r="C1457" s="670" t="s">
        <v>3459</v>
      </c>
      <c r="D1457" s="743" t="s">
        <v>3663</v>
      </c>
      <c r="E1457" s="669" t="s">
        <v>407</v>
      </c>
      <c r="F1457" s="334"/>
      <c r="G1457" s="672">
        <v>45009</v>
      </c>
      <c r="H1457" s="426">
        <v>2159540</v>
      </c>
      <c r="I1457" s="744"/>
      <c r="J1457" s="744"/>
      <c r="K1457" s="354">
        <f t="shared" si="263"/>
        <v>2159540</v>
      </c>
      <c r="L1457" s="672">
        <v>45009</v>
      </c>
      <c r="M1457" s="742">
        <v>4602</v>
      </c>
      <c r="N1457" s="352">
        <f t="shared" si="265"/>
        <v>2154938</v>
      </c>
      <c r="O1457" s="357">
        <f t="shared" si="262"/>
        <v>374</v>
      </c>
      <c r="P1457" s="410">
        <v>9</v>
      </c>
      <c r="Q1457" s="358">
        <f t="shared" si="267"/>
        <v>1.0246575342465754</v>
      </c>
      <c r="R1457" s="359">
        <f t="shared" si="268"/>
        <v>7.9753424657534246</v>
      </c>
      <c r="S1457" s="360">
        <f t="shared" si="269"/>
        <v>7.9753424657534246</v>
      </c>
      <c r="T1457" s="361">
        <f t="shared" si="270"/>
        <v>0.10555555555555554</v>
      </c>
      <c r="U1457" s="362">
        <f t="shared" si="271"/>
        <v>227951.44444444441</v>
      </c>
      <c r="V1457" s="362">
        <f t="shared" si="272"/>
        <v>1926986.5555555555</v>
      </c>
      <c r="W1457" s="362">
        <f t="shared" si="273"/>
        <v>107977</v>
      </c>
      <c r="X1457" s="742">
        <f t="shared" si="264"/>
        <v>1819009.5555555555</v>
      </c>
    </row>
    <row r="1458" spans="1:24" ht="13.9">
      <c r="A1458" s="349">
        <f t="shared" si="266"/>
        <v>1450</v>
      </c>
      <c r="B1458" s="669" t="s">
        <v>3563</v>
      </c>
      <c r="C1458" s="670" t="s">
        <v>3459</v>
      </c>
      <c r="D1458" s="743" t="s">
        <v>3663</v>
      </c>
      <c r="E1458" s="669" t="s">
        <v>407</v>
      </c>
      <c r="F1458" s="334"/>
      <c r="G1458" s="672">
        <v>45009</v>
      </c>
      <c r="H1458" s="426">
        <v>2159540</v>
      </c>
      <c r="I1458" s="744"/>
      <c r="J1458" s="744"/>
      <c r="K1458" s="354">
        <f t="shared" si="263"/>
        <v>2159540</v>
      </c>
      <c r="L1458" s="672">
        <v>45009</v>
      </c>
      <c r="M1458" s="742">
        <v>4602</v>
      </c>
      <c r="N1458" s="352">
        <f t="shared" si="265"/>
        <v>2154938</v>
      </c>
      <c r="O1458" s="357">
        <f t="shared" si="262"/>
        <v>374</v>
      </c>
      <c r="P1458" s="410">
        <v>9</v>
      </c>
      <c r="Q1458" s="358">
        <f t="shared" si="267"/>
        <v>1.0246575342465754</v>
      </c>
      <c r="R1458" s="359">
        <f t="shared" si="268"/>
        <v>7.9753424657534246</v>
      </c>
      <c r="S1458" s="360">
        <f t="shared" si="269"/>
        <v>7.9753424657534246</v>
      </c>
      <c r="T1458" s="361">
        <f t="shared" si="270"/>
        <v>0.10555555555555554</v>
      </c>
      <c r="U1458" s="362">
        <f t="shared" si="271"/>
        <v>227951.44444444441</v>
      </c>
      <c r="V1458" s="362">
        <f t="shared" si="272"/>
        <v>1926986.5555555555</v>
      </c>
      <c r="W1458" s="362">
        <f t="shared" si="273"/>
        <v>107977</v>
      </c>
      <c r="X1458" s="742">
        <f t="shared" si="264"/>
        <v>1819009.5555555555</v>
      </c>
    </row>
    <row r="1459" spans="1:24" ht="13.9">
      <c r="A1459" s="349">
        <f t="shared" si="266"/>
        <v>1451</v>
      </c>
      <c r="B1459" s="669" t="s">
        <v>3563</v>
      </c>
      <c r="C1459" s="670" t="s">
        <v>3459</v>
      </c>
      <c r="D1459" s="743" t="s">
        <v>3663</v>
      </c>
      <c r="E1459" s="669" t="s">
        <v>407</v>
      </c>
      <c r="F1459" s="334"/>
      <c r="G1459" s="672">
        <v>45009</v>
      </c>
      <c r="H1459" s="426">
        <v>2159540</v>
      </c>
      <c r="I1459" s="744"/>
      <c r="J1459" s="744"/>
      <c r="K1459" s="354">
        <f t="shared" si="263"/>
        <v>2159540</v>
      </c>
      <c r="L1459" s="672">
        <v>45009</v>
      </c>
      <c r="M1459" s="742">
        <v>4602</v>
      </c>
      <c r="N1459" s="352">
        <f t="shared" si="265"/>
        <v>2154938</v>
      </c>
      <c r="O1459" s="357">
        <f t="shared" si="262"/>
        <v>374</v>
      </c>
      <c r="P1459" s="410">
        <v>9</v>
      </c>
      <c r="Q1459" s="358">
        <f t="shared" si="267"/>
        <v>1.0246575342465754</v>
      </c>
      <c r="R1459" s="359">
        <f t="shared" si="268"/>
        <v>7.9753424657534246</v>
      </c>
      <c r="S1459" s="360">
        <f t="shared" si="269"/>
        <v>7.9753424657534246</v>
      </c>
      <c r="T1459" s="361">
        <f t="shared" si="270"/>
        <v>0.10555555555555554</v>
      </c>
      <c r="U1459" s="362">
        <f t="shared" si="271"/>
        <v>227951.44444444441</v>
      </c>
      <c r="V1459" s="362">
        <f t="shared" si="272"/>
        <v>1926986.5555555555</v>
      </c>
      <c r="W1459" s="362">
        <f t="shared" si="273"/>
        <v>107977</v>
      </c>
      <c r="X1459" s="742">
        <f t="shared" si="264"/>
        <v>1819009.5555555555</v>
      </c>
    </row>
    <row r="1460" spans="1:24" ht="13.9">
      <c r="A1460" s="349">
        <f t="shared" si="266"/>
        <v>1452</v>
      </c>
      <c r="B1460" s="669" t="s">
        <v>3563</v>
      </c>
      <c r="C1460" s="670" t="s">
        <v>3459</v>
      </c>
      <c r="D1460" s="743" t="s">
        <v>3663</v>
      </c>
      <c r="E1460" s="669" t="s">
        <v>407</v>
      </c>
      <c r="F1460" s="334"/>
      <c r="G1460" s="672">
        <v>45015</v>
      </c>
      <c r="H1460" s="426">
        <v>2159540</v>
      </c>
      <c r="I1460" s="744"/>
      <c r="J1460" s="744"/>
      <c r="K1460" s="354">
        <f t="shared" si="263"/>
        <v>2159540</v>
      </c>
      <c r="L1460" s="672">
        <v>45015</v>
      </c>
      <c r="M1460" s="742">
        <v>657</v>
      </c>
      <c r="N1460" s="352">
        <f t="shared" si="265"/>
        <v>2158883</v>
      </c>
      <c r="O1460" s="357">
        <f t="shared" si="262"/>
        <v>368</v>
      </c>
      <c r="P1460" s="410">
        <v>9</v>
      </c>
      <c r="Q1460" s="358">
        <f t="shared" si="267"/>
        <v>1.0082191780821919</v>
      </c>
      <c r="R1460" s="359">
        <f t="shared" si="268"/>
        <v>7.9917808219178079</v>
      </c>
      <c r="S1460" s="360">
        <f t="shared" si="269"/>
        <v>7.9917808219178079</v>
      </c>
      <c r="T1460" s="361">
        <f t="shared" si="270"/>
        <v>0.10555555555555554</v>
      </c>
      <c r="U1460" s="362">
        <f t="shared" si="271"/>
        <v>227951.44444444441</v>
      </c>
      <c r="V1460" s="362">
        <f t="shared" si="272"/>
        <v>1930931.5555555555</v>
      </c>
      <c r="W1460" s="362">
        <f t="shared" si="273"/>
        <v>107977</v>
      </c>
      <c r="X1460" s="742">
        <f t="shared" si="264"/>
        <v>1822954.5555555555</v>
      </c>
    </row>
    <row r="1461" spans="1:24" ht="13.9">
      <c r="A1461" s="349">
        <f t="shared" si="266"/>
        <v>1453</v>
      </c>
      <c r="B1461" s="669" t="s">
        <v>577</v>
      </c>
      <c r="C1461" s="670" t="s">
        <v>3459</v>
      </c>
      <c r="D1461" s="743" t="s">
        <v>3663</v>
      </c>
      <c r="E1461" s="669" t="s">
        <v>774</v>
      </c>
      <c r="F1461" s="334"/>
      <c r="G1461" s="672">
        <v>45016</v>
      </c>
      <c r="H1461" s="426">
        <v>140000</v>
      </c>
      <c r="I1461" s="744"/>
      <c r="J1461" s="744"/>
      <c r="K1461" s="354">
        <f t="shared" si="263"/>
        <v>140000</v>
      </c>
      <c r="L1461" s="672">
        <v>45016</v>
      </c>
      <c r="M1461" s="742">
        <v>0</v>
      </c>
      <c r="N1461" s="352">
        <f t="shared" si="265"/>
        <v>140000</v>
      </c>
      <c r="O1461" s="357">
        <f t="shared" si="262"/>
        <v>367</v>
      </c>
      <c r="P1461" s="410">
        <v>9</v>
      </c>
      <c r="Q1461" s="358">
        <f t="shared" si="267"/>
        <v>1.0054794520547945</v>
      </c>
      <c r="R1461" s="359">
        <f t="shared" si="268"/>
        <v>7.9945205479452053</v>
      </c>
      <c r="S1461" s="360">
        <f t="shared" si="269"/>
        <v>7.9945205479452053</v>
      </c>
      <c r="T1461" s="361">
        <f t="shared" si="270"/>
        <v>0.10555555555555554</v>
      </c>
      <c r="U1461" s="362">
        <f t="shared" si="271"/>
        <v>14777.777777777776</v>
      </c>
      <c r="V1461" s="362">
        <f t="shared" si="272"/>
        <v>125222.22222222222</v>
      </c>
      <c r="W1461" s="362">
        <f t="shared" si="273"/>
        <v>7000</v>
      </c>
      <c r="X1461" s="742">
        <f t="shared" si="264"/>
        <v>118222.22222222222</v>
      </c>
    </row>
    <row r="1462" spans="1:24" ht="13.9">
      <c r="A1462" s="349">
        <f t="shared" si="266"/>
        <v>1454</v>
      </c>
      <c r="B1462" s="669" t="s">
        <v>309</v>
      </c>
      <c r="C1462" s="670" t="s">
        <v>3459</v>
      </c>
      <c r="D1462" s="743" t="s">
        <v>3663</v>
      </c>
      <c r="E1462" s="669" t="s">
        <v>3627</v>
      </c>
      <c r="F1462" s="334"/>
      <c r="G1462" s="672">
        <v>45016</v>
      </c>
      <c r="H1462" s="426">
        <v>2893694</v>
      </c>
      <c r="I1462" s="744"/>
      <c r="J1462" s="744"/>
      <c r="K1462" s="354">
        <f t="shared" si="263"/>
        <v>2893694</v>
      </c>
      <c r="L1462" s="672">
        <v>45016</v>
      </c>
      <c r="M1462" s="742">
        <v>0</v>
      </c>
      <c r="N1462" s="352">
        <f t="shared" si="265"/>
        <v>2893694</v>
      </c>
      <c r="O1462" s="357">
        <f t="shared" si="262"/>
        <v>367</v>
      </c>
      <c r="P1462" s="410">
        <v>9</v>
      </c>
      <c r="Q1462" s="358">
        <f t="shared" si="267"/>
        <v>1.0054794520547945</v>
      </c>
      <c r="R1462" s="359">
        <f t="shared" si="268"/>
        <v>7.9945205479452053</v>
      </c>
      <c r="S1462" s="360">
        <f t="shared" si="269"/>
        <v>7.9945205479452053</v>
      </c>
      <c r="T1462" s="361">
        <f t="shared" si="270"/>
        <v>0.10555555555555554</v>
      </c>
      <c r="U1462" s="362">
        <f t="shared" si="271"/>
        <v>305445.47777777776</v>
      </c>
      <c r="V1462" s="362">
        <f t="shared" si="272"/>
        <v>2588248.5222222223</v>
      </c>
      <c r="W1462" s="362">
        <f t="shared" si="273"/>
        <v>144685</v>
      </c>
      <c r="X1462" s="742">
        <f t="shared" si="264"/>
        <v>2443563.5222222223</v>
      </c>
    </row>
    <row r="1463" spans="1:24" ht="13.9">
      <c r="A1463" s="349">
        <f t="shared" si="266"/>
        <v>1455</v>
      </c>
      <c r="B1463" s="669" t="s">
        <v>309</v>
      </c>
      <c r="C1463" s="670" t="s">
        <v>3459</v>
      </c>
      <c r="D1463" s="743" t="s">
        <v>3663</v>
      </c>
      <c r="E1463" s="669" t="s">
        <v>3627</v>
      </c>
      <c r="F1463" s="334"/>
      <c r="G1463" s="672">
        <v>45016</v>
      </c>
      <c r="H1463" s="426">
        <v>690204</v>
      </c>
      <c r="I1463" s="744"/>
      <c r="J1463" s="744"/>
      <c r="K1463" s="354">
        <f t="shared" si="263"/>
        <v>690204</v>
      </c>
      <c r="L1463" s="672">
        <v>45016</v>
      </c>
      <c r="M1463" s="742">
        <v>0</v>
      </c>
      <c r="N1463" s="352">
        <f t="shared" si="265"/>
        <v>690204</v>
      </c>
      <c r="O1463" s="357">
        <f t="shared" si="262"/>
        <v>367</v>
      </c>
      <c r="P1463" s="410">
        <v>9</v>
      </c>
      <c r="Q1463" s="358">
        <f t="shared" si="267"/>
        <v>1.0054794520547945</v>
      </c>
      <c r="R1463" s="359">
        <f t="shared" si="268"/>
        <v>7.9945205479452053</v>
      </c>
      <c r="S1463" s="360">
        <f t="shared" si="269"/>
        <v>7.9945205479452053</v>
      </c>
      <c r="T1463" s="361">
        <f t="shared" si="270"/>
        <v>0.10555555555555554</v>
      </c>
      <c r="U1463" s="362">
        <f t="shared" si="271"/>
        <v>72854.866666666654</v>
      </c>
      <c r="V1463" s="362">
        <f t="shared" si="272"/>
        <v>617349.1333333333</v>
      </c>
      <c r="W1463" s="362">
        <f t="shared" si="273"/>
        <v>34510</v>
      </c>
      <c r="X1463" s="742">
        <f t="shared" si="264"/>
        <v>582839.1333333333</v>
      </c>
    </row>
    <row r="1464" spans="1:24" ht="13.9">
      <c r="A1464" s="349">
        <f t="shared" si="266"/>
        <v>1456</v>
      </c>
      <c r="B1464" s="665" t="s">
        <v>58</v>
      </c>
      <c r="C1464" s="654" t="s">
        <v>3460</v>
      </c>
      <c r="D1464" s="743" t="s">
        <v>3663</v>
      </c>
      <c r="E1464" s="665" t="s">
        <v>165</v>
      </c>
      <c r="F1464" s="334"/>
      <c r="G1464" s="668">
        <v>44722</v>
      </c>
      <c r="H1464" s="426">
        <v>4250000</v>
      </c>
      <c r="I1464" s="744"/>
      <c r="J1464" s="744"/>
      <c r="K1464" s="354">
        <f t="shared" si="263"/>
        <v>4250000</v>
      </c>
      <c r="L1464" s="668">
        <v>44722</v>
      </c>
      <c r="M1464" s="742">
        <v>380365</v>
      </c>
      <c r="N1464" s="352">
        <f t="shared" si="265"/>
        <v>3869635</v>
      </c>
      <c r="O1464" s="357">
        <f t="shared" si="262"/>
        <v>661</v>
      </c>
      <c r="P1464" s="410">
        <v>9</v>
      </c>
      <c r="Q1464" s="358">
        <f t="shared" si="267"/>
        <v>1.810958904109589</v>
      </c>
      <c r="R1464" s="359">
        <f t="shared" si="268"/>
        <v>7.1890410958904107</v>
      </c>
      <c r="S1464" s="360">
        <f t="shared" si="269"/>
        <v>7.1890410958904107</v>
      </c>
      <c r="T1464" s="361">
        <f t="shared" si="270"/>
        <v>0.10555555555555554</v>
      </c>
      <c r="U1464" s="362">
        <f t="shared" si="271"/>
        <v>448611.11111111107</v>
      </c>
      <c r="V1464" s="362">
        <f t="shared" si="272"/>
        <v>3421023.888888889</v>
      </c>
      <c r="W1464" s="362">
        <f t="shared" si="273"/>
        <v>212500</v>
      </c>
      <c r="X1464" s="742">
        <f t="shared" si="264"/>
        <v>3208523.888888889</v>
      </c>
    </row>
    <row r="1465" spans="1:24" ht="13.9">
      <c r="A1465" s="349">
        <f t="shared" si="266"/>
        <v>1457</v>
      </c>
      <c r="B1465" s="665" t="s">
        <v>59</v>
      </c>
      <c r="C1465" s="654" t="s">
        <v>3460</v>
      </c>
      <c r="D1465" s="743" t="s">
        <v>3663</v>
      </c>
      <c r="E1465" s="665" t="s">
        <v>167</v>
      </c>
      <c r="F1465" s="334"/>
      <c r="G1465" s="668">
        <v>44742</v>
      </c>
      <c r="H1465" s="426">
        <v>34711000</v>
      </c>
      <c r="I1465" s="744"/>
      <c r="J1465" s="744"/>
      <c r="K1465" s="354">
        <f t="shared" si="263"/>
        <v>34711000</v>
      </c>
      <c r="L1465" s="668">
        <v>44742</v>
      </c>
      <c r="M1465" s="742">
        <v>2895225</v>
      </c>
      <c r="N1465" s="352">
        <f t="shared" si="265"/>
        <v>31815775</v>
      </c>
      <c r="O1465" s="357">
        <f t="shared" si="262"/>
        <v>641</v>
      </c>
      <c r="P1465" s="410">
        <v>9</v>
      </c>
      <c r="Q1465" s="358">
        <f t="shared" si="267"/>
        <v>1.7561643835616438</v>
      </c>
      <c r="R1465" s="359">
        <f t="shared" si="268"/>
        <v>7.2438356164383562</v>
      </c>
      <c r="S1465" s="360">
        <f t="shared" si="269"/>
        <v>7.2438356164383562</v>
      </c>
      <c r="T1465" s="361">
        <f t="shared" si="270"/>
        <v>0.10555555555555554</v>
      </c>
      <c r="U1465" s="362">
        <f t="shared" si="271"/>
        <v>3663938.8888888885</v>
      </c>
      <c r="V1465" s="362">
        <f t="shared" si="272"/>
        <v>28151836.111111112</v>
      </c>
      <c r="W1465" s="362">
        <f t="shared" si="273"/>
        <v>1735550</v>
      </c>
      <c r="X1465" s="742">
        <f t="shared" si="264"/>
        <v>26416286.111111112</v>
      </c>
    </row>
    <row r="1466" spans="1:24" ht="13.9">
      <c r="A1466" s="349">
        <f t="shared" si="266"/>
        <v>1458</v>
      </c>
      <c r="B1466" s="665" t="s">
        <v>70</v>
      </c>
      <c r="C1466" s="654" t="s">
        <v>3460</v>
      </c>
      <c r="D1466" s="743" t="s">
        <v>3663</v>
      </c>
      <c r="E1466" s="665" t="s">
        <v>177</v>
      </c>
      <c r="F1466" s="334"/>
      <c r="G1466" s="657">
        <v>44655</v>
      </c>
      <c r="H1466" s="426">
        <v>122640.00000000001</v>
      </c>
      <c r="I1466" s="744"/>
      <c r="J1466" s="744"/>
      <c r="K1466" s="354">
        <f t="shared" si="263"/>
        <v>122640.00000000001</v>
      </c>
      <c r="L1466" s="657">
        <v>44655</v>
      </c>
      <c r="M1466" s="742">
        <v>13477</v>
      </c>
      <c r="N1466" s="352">
        <f t="shared" si="265"/>
        <v>109163.00000000001</v>
      </c>
      <c r="O1466" s="357">
        <f t="shared" si="262"/>
        <v>728</v>
      </c>
      <c r="P1466" s="410">
        <v>9</v>
      </c>
      <c r="Q1466" s="358">
        <f t="shared" si="267"/>
        <v>1.9945205479452055</v>
      </c>
      <c r="R1466" s="359">
        <f t="shared" si="268"/>
        <v>7.0054794520547947</v>
      </c>
      <c r="S1466" s="360">
        <f t="shared" si="269"/>
        <v>7.0054794520547947</v>
      </c>
      <c r="T1466" s="361">
        <f t="shared" si="270"/>
        <v>0.10555555555555554</v>
      </c>
      <c r="U1466" s="362">
        <f t="shared" si="271"/>
        <v>12945.333333333334</v>
      </c>
      <c r="V1466" s="362">
        <f t="shared" si="272"/>
        <v>96217.666666666686</v>
      </c>
      <c r="W1466" s="362">
        <f t="shared" si="273"/>
        <v>6132</v>
      </c>
      <c r="X1466" s="742">
        <f t="shared" si="264"/>
        <v>90085.666666666686</v>
      </c>
    </row>
    <row r="1467" spans="1:24" ht="13.9">
      <c r="A1467" s="349">
        <f t="shared" si="266"/>
        <v>1459</v>
      </c>
      <c r="B1467" s="665" t="s">
        <v>70</v>
      </c>
      <c r="C1467" s="654" t="s">
        <v>3460</v>
      </c>
      <c r="D1467" s="743" t="s">
        <v>3663</v>
      </c>
      <c r="E1467" s="665" t="s">
        <v>176</v>
      </c>
      <c r="F1467" s="334"/>
      <c r="G1467" s="657">
        <v>44668</v>
      </c>
      <c r="H1467" s="426">
        <v>445803.00000000006</v>
      </c>
      <c r="I1467" s="744"/>
      <c r="J1467" s="744"/>
      <c r="K1467" s="354">
        <f t="shared" si="263"/>
        <v>445803.00000000006</v>
      </c>
      <c r="L1467" s="657">
        <v>44668</v>
      </c>
      <c r="M1467" s="742">
        <v>47227</v>
      </c>
      <c r="N1467" s="352">
        <f t="shared" si="265"/>
        <v>398576.00000000006</v>
      </c>
      <c r="O1467" s="357">
        <f t="shared" si="262"/>
        <v>715</v>
      </c>
      <c r="P1467" s="410">
        <v>9</v>
      </c>
      <c r="Q1467" s="358">
        <f t="shared" si="267"/>
        <v>1.9589041095890412</v>
      </c>
      <c r="R1467" s="359">
        <f t="shared" si="268"/>
        <v>7.0410958904109586</v>
      </c>
      <c r="S1467" s="360">
        <f t="shared" si="269"/>
        <v>7.0410958904109586</v>
      </c>
      <c r="T1467" s="361">
        <f t="shared" si="270"/>
        <v>0.10555555555555554</v>
      </c>
      <c r="U1467" s="362">
        <f t="shared" si="271"/>
        <v>47056.98333333333</v>
      </c>
      <c r="V1467" s="362">
        <f t="shared" si="272"/>
        <v>351519.01666666672</v>
      </c>
      <c r="W1467" s="362">
        <f t="shared" si="273"/>
        <v>22290</v>
      </c>
      <c r="X1467" s="742">
        <f t="shared" si="264"/>
        <v>329229.01666666672</v>
      </c>
    </row>
    <row r="1468" spans="1:24" ht="13.9">
      <c r="A1468" s="349">
        <f t="shared" si="266"/>
        <v>1460</v>
      </c>
      <c r="B1468" s="684" t="s">
        <v>311</v>
      </c>
      <c r="C1468" s="654" t="s">
        <v>3460</v>
      </c>
      <c r="D1468" s="743" t="s">
        <v>3663</v>
      </c>
      <c r="E1468" s="684" t="s">
        <v>403</v>
      </c>
      <c r="F1468" s="334"/>
      <c r="G1468" s="657">
        <v>44829</v>
      </c>
      <c r="H1468" s="426">
        <v>1207380.6000000001</v>
      </c>
      <c r="I1468" s="744"/>
      <c r="J1468" s="744"/>
      <c r="K1468" s="354">
        <f t="shared" si="263"/>
        <v>1207380.6000000001</v>
      </c>
      <c r="L1468" s="657">
        <v>44829</v>
      </c>
      <c r="M1468" s="742">
        <v>68731</v>
      </c>
      <c r="N1468" s="352">
        <f t="shared" si="265"/>
        <v>1138649.6000000001</v>
      </c>
      <c r="O1468" s="357">
        <f t="shared" si="262"/>
        <v>554</v>
      </c>
      <c r="P1468" s="410">
        <v>9</v>
      </c>
      <c r="Q1468" s="358">
        <f t="shared" si="267"/>
        <v>1.5178082191780822</v>
      </c>
      <c r="R1468" s="359">
        <f t="shared" si="268"/>
        <v>7.4821917808219176</v>
      </c>
      <c r="S1468" s="360">
        <f t="shared" si="269"/>
        <v>7.4821917808219176</v>
      </c>
      <c r="T1468" s="361">
        <f t="shared" si="270"/>
        <v>0.10555555555555554</v>
      </c>
      <c r="U1468" s="362">
        <f t="shared" si="271"/>
        <v>127445.73</v>
      </c>
      <c r="V1468" s="362">
        <f t="shared" si="272"/>
        <v>1011203.8700000001</v>
      </c>
      <c r="W1468" s="362">
        <f t="shared" si="273"/>
        <v>60369</v>
      </c>
      <c r="X1468" s="742">
        <f t="shared" si="264"/>
        <v>950834.87000000011</v>
      </c>
    </row>
    <row r="1469" spans="1:24" ht="13.9">
      <c r="A1469" s="349">
        <f t="shared" si="266"/>
        <v>1461</v>
      </c>
      <c r="B1469" s="684" t="s">
        <v>312</v>
      </c>
      <c r="C1469" s="654" t="s">
        <v>3460</v>
      </c>
      <c r="D1469" s="743" t="s">
        <v>3663</v>
      </c>
      <c r="E1469" s="684" t="s">
        <v>409</v>
      </c>
      <c r="F1469" s="334"/>
      <c r="G1469" s="657">
        <v>44773</v>
      </c>
      <c r="H1469" s="426">
        <v>1125000</v>
      </c>
      <c r="I1469" s="744"/>
      <c r="J1469" s="744"/>
      <c r="K1469" s="354">
        <f t="shared" si="263"/>
        <v>1125000</v>
      </c>
      <c r="L1469" s="657">
        <v>44773</v>
      </c>
      <c r="M1469" s="742">
        <v>83219</v>
      </c>
      <c r="N1469" s="352">
        <f t="shared" si="265"/>
        <v>1041781</v>
      </c>
      <c r="O1469" s="357">
        <f t="shared" si="262"/>
        <v>610</v>
      </c>
      <c r="P1469" s="410">
        <v>9</v>
      </c>
      <c r="Q1469" s="358">
        <f t="shared" si="267"/>
        <v>1.6712328767123288</v>
      </c>
      <c r="R1469" s="359">
        <f t="shared" si="268"/>
        <v>7.3287671232876708</v>
      </c>
      <c r="S1469" s="360">
        <f t="shared" si="269"/>
        <v>7.3287671232876708</v>
      </c>
      <c r="T1469" s="361">
        <f t="shared" si="270"/>
        <v>0.10555555555555554</v>
      </c>
      <c r="U1469" s="362">
        <f t="shared" si="271"/>
        <v>118749.99999999999</v>
      </c>
      <c r="V1469" s="362">
        <f t="shared" si="272"/>
        <v>923031</v>
      </c>
      <c r="W1469" s="362">
        <f t="shared" si="273"/>
        <v>56250</v>
      </c>
      <c r="X1469" s="742">
        <f t="shared" si="264"/>
        <v>866781</v>
      </c>
    </row>
    <row r="1470" spans="1:24" ht="13.9">
      <c r="A1470" s="349">
        <f t="shared" si="266"/>
        <v>1462</v>
      </c>
      <c r="B1470" s="684" t="s">
        <v>312</v>
      </c>
      <c r="C1470" s="654" t="s">
        <v>3460</v>
      </c>
      <c r="D1470" s="743" t="s">
        <v>3663</v>
      </c>
      <c r="E1470" s="684" t="s">
        <v>409</v>
      </c>
      <c r="F1470" s="334"/>
      <c r="G1470" s="657">
        <v>44773</v>
      </c>
      <c r="H1470" s="426">
        <v>40000</v>
      </c>
      <c r="I1470" s="744"/>
      <c r="J1470" s="744"/>
      <c r="K1470" s="354">
        <f t="shared" si="263"/>
        <v>40000</v>
      </c>
      <c r="L1470" s="657">
        <v>44773</v>
      </c>
      <c r="M1470" s="742">
        <v>2959</v>
      </c>
      <c r="N1470" s="352">
        <f t="shared" si="265"/>
        <v>37041</v>
      </c>
      <c r="O1470" s="357">
        <f t="shared" si="262"/>
        <v>610</v>
      </c>
      <c r="P1470" s="410">
        <v>9</v>
      </c>
      <c r="Q1470" s="358">
        <f t="shared" si="267"/>
        <v>1.6712328767123288</v>
      </c>
      <c r="R1470" s="359">
        <f t="shared" si="268"/>
        <v>7.3287671232876708</v>
      </c>
      <c r="S1470" s="360">
        <f t="shared" si="269"/>
        <v>7.3287671232876708</v>
      </c>
      <c r="T1470" s="361">
        <f t="shared" si="270"/>
        <v>0.10555555555555554</v>
      </c>
      <c r="U1470" s="362">
        <f t="shared" si="271"/>
        <v>4222.2222222222217</v>
      </c>
      <c r="V1470" s="362">
        <f t="shared" si="272"/>
        <v>32818.777777777781</v>
      </c>
      <c r="W1470" s="362">
        <f t="shared" si="273"/>
        <v>2000</v>
      </c>
      <c r="X1470" s="742">
        <f t="shared" si="264"/>
        <v>30818.777777777781</v>
      </c>
    </row>
    <row r="1471" spans="1:24" ht="13.9">
      <c r="A1471" s="349">
        <f t="shared" si="266"/>
        <v>1463</v>
      </c>
      <c r="B1471" s="684" t="s">
        <v>312</v>
      </c>
      <c r="C1471" s="654" t="s">
        <v>3460</v>
      </c>
      <c r="D1471" s="743" t="s">
        <v>3663</v>
      </c>
      <c r="E1471" s="684" t="s">
        <v>409</v>
      </c>
      <c r="F1471" s="334"/>
      <c r="G1471" s="657">
        <v>44773</v>
      </c>
      <c r="H1471" s="426">
        <v>9749.99</v>
      </c>
      <c r="I1471" s="744"/>
      <c r="J1471" s="744"/>
      <c r="K1471" s="354">
        <f t="shared" si="263"/>
        <v>9749.99</v>
      </c>
      <c r="L1471" s="657">
        <v>44773</v>
      </c>
      <c r="M1471" s="742">
        <v>721</v>
      </c>
      <c r="N1471" s="352">
        <f t="shared" si="265"/>
        <v>9028.99</v>
      </c>
      <c r="O1471" s="357">
        <f t="shared" si="262"/>
        <v>610</v>
      </c>
      <c r="P1471" s="410">
        <v>9</v>
      </c>
      <c r="Q1471" s="358">
        <f t="shared" si="267"/>
        <v>1.6712328767123288</v>
      </c>
      <c r="R1471" s="359">
        <f t="shared" si="268"/>
        <v>7.3287671232876708</v>
      </c>
      <c r="S1471" s="360">
        <f t="shared" si="269"/>
        <v>7.3287671232876708</v>
      </c>
      <c r="T1471" s="361">
        <f t="shared" si="270"/>
        <v>0.10555555555555554</v>
      </c>
      <c r="U1471" s="362">
        <f t="shared" si="271"/>
        <v>1029.165611111111</v>
      </c>
      <c r="V1471" s="362">
        <f t="shared" si="272"/>
        <v>7999.8243888888883</v>
      </c>
      <c r="W1471" s="362">
        <f t="shared" si="273"/>
        <v>487</v>
      </c>
      <c r="X1471" s="742">
        <f t="shared" si="264"/>
        <v>7512.8243888888883</v>
      </c>
    </row>
    <row r="1472" spans="1:24" ht="13.9">
      <c r="A1472" s="349">
        <f t="shared" si="266"/>
        <v>1464</v>
      </c>
      <c r="B1472" s="684" t="s">
        <v>312</v>
      </c>
      <c r="C1472" s="654" t="s">
        <v>3460</v>
      </c>
      <c r="D1472" s="743" t="s">
        <v>3663</v>
      </c>
      <c r="E1472" s="684" t="s">
        <v>409</v>
      </c>
      <c r="F1472" s="334"/>
      <c r="G1472" s="657">
        <v>44773</v>
      </c>
      <c r="H1472" s="426">
        <v>1154000</v>
      </c>
      <c r="I1472" s="744"/>
      <c r="J1472" s="744"/>
      <c r="K1472" s="354">
        <f t="shared" si="263"/>
        <v>1154000</v>
      </c>
      <c r="L1472" s="657">
        <v>44773</v>
      </c>
      <c r="M1472" s="742">
        <v>85364</v>
      </c>
      <c r="N1472" s="352">
        <f t="shared" si="265"/>
        <v>1068636</v>
      </c>
      <c r="O1472" s="357">
        <f t="shared" si="262"/>
        <v>610</v>
      </c>
      <c r="P1472" s="410">
        <v>9</v>
      </c>
      <c r="Q1472" s="358">
        <f t="shared" si="267"/>
        <v>1.6712328767123288</v>
      </c>
      <c r="R1472" s="359">
        <f t="shared" si="268"/>
        <v>7.3287671232876708</v>
      </c>
      <c r="S1472" s="360">
        <f t="shared" si="269"/>
        <v>7.3287671232876708</v>
      </c>
      <c r="T1472" s="361">
        <f t="shared" si="270"/>
        <v>0.10555555555555554</v>
      </c>
      <c r="U1472" s="362">
        <f t="shared" si="271"/>
        <v>121811.11111111109</v>
      </c>
      <c r="V1472" s="362">
        <f t="shared" si="272"/>
        <v>946824.88888888888</v>
      </c>
      <c r="W1472" s="362">
        <f t="shared" si="273"/>
        <v>57700</v>
      </c>
      <c r="X1472" s="742">
        <f t="shared" si="264"/>
        <v>889124.88888888888</v>
      </c>
    </row>
    <row r="1473" spans="1:24" ht="13.9">
      <c r="A1473" s="349">
        <f t="shared" si="266"/>
        <v>1465</v>
      </c>
      <c r="B1473" s="684" t="s">
        <v>312</v>
      </c>
      <c r="C1473" s="654" t="s">
        <v>3460</v>
      </c>
      <c r="D1473" s="743" t="s">
        <v>3663</v>
      </c>
      <c r="E1473" s="684" t="s">
        <v>409</v>
      </c>
      <c r="F1473" s="334"/>
      <c r="G1473" s="657">
        <v>44797</v>
      </c>
      <c r="H1473" s="426">
        <v>55250.310000000005</v>
      </c>
      <c r="I1473" s="744"/>
      <c r="J1473" s="744"/>
      <c r="K1473" s="354">
        <f t="shared" si="263"/>
        <v>55250.310000000005</v>
      </c>
      <c r="L1473" s="657">
        <v>44797</v>
      </c>
      <c r="M1473" s="742">
        <v>3683</v>
      </c>
      <c r="N1473" s="352">
        <f t="shared" si="265"/>
        <v>51567.310000000005</v>
      </c>
      <c r="O1473" s="357">
        <f t="shared" si="262"/>
        <v>586</v>
      </c>
      <c r="P1473" s="410">
        <v>9</v>
      </c>
      <c r="Q1473" s="358">
        <f t="shared" si="267"/>
        <v>1.6054794520547946</v>
      </c>
      <c r="R1473" s="359">
        <f t="shared" si="268"/>
        <v>7.3945205479452056</v>
      </c>
      <c r="S1473" s="360">
        <f t="shared" si="269"/>
        <v>7.3945205479452056</v>
      </c>
      <c r="T1473" s="361">
        <f t="shared" si="270"/>
        <v>0.10555555555555554</v>
      </c>
      <c r="U1473" s="362">
        <f t="shared" si="271"/>
        <v>5831.9771666666666</v>
      </c>
      <c r="V1473" s="362">
        <f t="shared" si="272"/>
        <v>45735.332833333341</v>
      </c>
      <c r="W1473" s="362">
        <f t="shared" si="273"/>
        <v>2763</v>
      </c>
      <c r="X1473" s="742">
        <f t="shared" si="264"/>
        <v>42972.332833333341</v>
      </c>
    </row>
    <row r="1474" spans="1:24" ht="13.9">
      <c r="A1474" s="349">
        <f t="shared" si="266"/>
        <v>1466</v>
      </c>
      <c r="B1474" s="684" t="s">
        <v>312</v>
      </c>
      <c r="C1474" s="654" t="s">
        <v>3460</v>
      </c>
      <c r="D1474" s="743" t="s">
        <v>3663</v>
      </c>
      <c r="E1474" s="684" t="s">
        <v>409</v>
      </c>
      <c r="F1474" s="334"/>
      <c r="G1474" s="657">
        <v>44797</v>
      </c>
      <c r="H1474" s="426">
        <v>514984.68</v>
      </c>
      <c r="I1474" s="744"/>
      <c r="J1474" s="744"/>
      <c r="K1474" s="354">
        <f t="shared" si="263"/>
        <v>514984.68</v>
      </c>
      <c r="L1474" s="657">
        <v>44797</v>
      </c>
      <c r="M1474" s="742">
        <v>34332</v>
      </c>
      <c r="N1474" s="352">
        <f t="shared" si="265"/>
        <v>480652.68</v>
      </c>
      <c r="O1474" s="357">
        <f t="shared" si="262"/>
        <v>586</v>
      </c>
      <c r="P1474" s="410">
        <v>9</v>
      </c>
      <c r="Q1474" s="358">
        <f t="shared" si="267"/>
        <v>1.6054794520547946</v>
      </c>
      <c r="R1474" s="359">
        <f t="shared" si="268"/>
        <v>7.3945205479452056</v>
      </c>
      <c r="S1474" s="360">
        <f t="shared" si="269"/>
        <v>7.3945205479452056</v>
      </c>
      <c r="T1474" s="361">
        <f t="shared" si="270"/>
        <v>0.10555555555555554</v>
      </c>
      <c r="U1474" s="362">
        <f t="shared" si="271"/>
        <v>54359.493999999992</v>
      </c>
      <c r="V1474" s="362">
        <f t="shared" si="272"/>
        <v>426293.18599999999</v>
      </c>
      <c r="W1474" s="362">
        <f t="shared" si="273"/>
        <v>25749</v>
      </c>
      <c r="X1474" s="742">
        <f t="shared" si="264"/>
        <v>400544.18599999999</v>
      </c>
    </row>
    <row r="1475" spans="1:24" ht="13.9">
      <c r="A1475" s="349">
        <f t="shared" si="266"/>
        <v>1467</v>
      </c>
      <c r="B1475" s="684" t="s">
        <v>312</v>
      </c>
      <c r="C1475" s="654" t="s">
        <v>3460</v>
      </c>
      <c r="D1475" s="743" t="s">
        <v>3663</v>
      </c>
      <c r="E1475" s="684" t="s">
        <v>409</v>
      </c>
      <c r="F1475" s="334"/>
      <c r="G1475" s="657">
        <v>44797</v>
      </c>
      <c r="H1475" s="426">
        <v>514985</v>
      </c>
      <c r="I1475" s="744"/>
      <c r="J1475" s="744"/>
      <c r="K1475" s="354">
        <f t="shared" si="263"/>
        <v>514985</v>
      </c>
      <c r="L1475" s="657">
        <v>44797</v>
      </c>
      <c r="M1475" s="742">
        <v>34332</v>
      </c>
      <c r="N1475" s="352">
        <f t="shared" si="265"/>
        <v>480653</v>
      </c>
      <c r="O1475" s="357">
        <f t="shared" ref="O1475:O1538" si="274">+$O$3-L1475+1</f>
        <v>586</v>
      </c>
      <c r="P1475" s="410">
        <v>9</v>
      </c>
      <c r="Q1475" s="358">
        <f t="shared" si="267"/>
        <v>1.6054794520547946</v>
      </c>
      <c r="R1475" s="359">
        <f t="shared" si="268"/>
        <v>7.3945205479452056</v>
      </c>
      <c r="S1475" s="360">
        <f t="shared" si="269"/>
        <v>7.3945205479452056</v>
      </c>
      <c r="T1475" s="361">
        <f t="shared" si="270"/>
        <v>0.10555555555555554</v>
      </c>
      <c r="U1475" s="362">
        <f t="shared" si="271"/>
        <v>54359.527777777774</v>
      </c>
      <c r="V1475" s="362">
        <f t="shared" si="272"/>
        <v>426293.47222222225</v>
      </c>
      <c r="W1475" s="362">
        <f t="shared" si="273"/>
        <v>25749</v>
      </c>
      <c r="X1475" s="742">
        <f t="shared" si="264"/>
        <v>400544.47222222225</v>
      </c>
    </row>
    <row r="1476" spans="1:24" ht="13.9">
      <c r="A1476" s="349">
        <f t="shared" si="266"/>
        <v>1468</v>
      </c>
      <c r="B1476" s="684" t="s">
        <v>313</v>
      </c>
      <c r="C1476" s="654" t="s">
        <v>3460</v>
      </c>
      <c r="D1476" s="743" t="s">
        <v>3663</v>
      </c>
      <c r="E1476" s="684" t="s">
        <v>180</v>
      </c>
      <c r="F1476" s="334"/>
      <c r="G1476" s="657">
        <v>44813</v>
      </c>
      <c r="H1476" s="426">
        <v>474576.27</v>
      </c>
      <c r="I1476" s="744"/>
      <c r="J1476" s="744"/>
      <c r="K1476" s="354">
        <f t="shared" ref="K1476:K1539" si="275">+H1476+I1476-J1476</f>
        <v>474576.27</v>
      </c>
      <c r="L1476" s="657">
        <v>44813</v>
      </c>
      <c r="M1476" s="742">
        <v>29327</v>
      </c>
      <c r="N1476" s="352">
        <f t="shared" si="265"/>
        <v>445249.27</v>
      </c>
      <c r="O1476" s="357">
        <f t="shared" si="274"/>
        <v>570</v>
      </c>
      <c r="P1476" s="410">
        <v>9</v>
      </c>
      <c r="Q1476" s="358">
        <f t="shared" si="267"/>
        <v>1.5616438356164384</v>
      </c>
      <c r="R1476" s="359">
        <f t="shared" si="268"/>
        <v>7.4383561643835616</v>
      </c>
      <c r="S1476" s="360">
        <f t="shared" si="269"/>
        <v>7.4383561643835616</v>
      </c>
      <c r="T1476" s="361">
        <f t="shared" si="270"/>
        <v>0.10555555555555554</v>
      </c>
      <c r="U1476" s="362">
        <f t="shared" si="271"/>
        <v>50094.161833333332</v>
      </c>
      <c r="V1476" s="362">
        <f t="shared" si="272"/>
        <v>395155.1081666667</v>
      </c>
      <c r="W1476" s="362">
        <f t="shared" si="273"/>
        <v>23729</v>
      </c>
      <c r="X1476" s="742">
        <f t="shared" ref="X1476:X1539" si="276">+V1476-W1476</f>
        <v>371426.1081666667</v>
      </c>
    </row>
    <row r="1477" spans="1:24" ht="13.9">
      <c r="A1477" s="349">
        <f t="shared" si="266"/>
        <v>1469</v>
      </c>
      <c r="B1477" s="684" t="s">
        <v>313</v>
      </c>
      <c r="C1477" s="654" t="s">
        <v>3460</v>
      </c>
      <c r="D1477" s="743" t="s">
        <v>3663</v>
      </c>
      <c r="E1477" s="684" t="s">
        <v>180</v>
      </c>
      <c r="F1477" s="334"/>
      <c r="G1477" s="657">
        <v>44813</v>
      </c>
      <c r="H1477" s="426">
        <v>474576.27</v>
      </c>
      <c r="I1477" s="744"/>
      <c r="J1477" s="744"/>
      <c r="K1477" s="354">
        <f t="shared" si="275"/>
        <v>474576.27</v>
      </c>
      <c r="L1477" s="657">
        <v>44813</v>
      </c>
      <c r="M1477" s="742">
        <v>29327</v>
      </c>
      <c r="N1477" s="352">
        <f t="shared" si="265"/>
        <v>445249.27</v>
      </c>
      <c r="O1477" s="357">
        <f t="shared" si="274"/>
        <v>570</v>
      </c>
      <c r="P1477" s="410">
        <v>9</v>
      </c>
      <c r="Q1477" s="358">
        <f t="shared" si="267"/>
        <v>1.5616438356164384</v>
      </c>
      <c r="R1477" s="359">
        <f t="shared" si="268"/>
        <v>7.4383561643835616</v>
      </c>
      <c r="S1477" s="360">
        <f t="shared" si="269"/>
        <v>7.4383561643835616</v>
      </c>
      <c r="T1477" s="361">
        <f t="shared" si="270"/>
        <v>0.10555555555555554</v>
      </c>
      <c r="U1477" s="362">
        <f t="shared" si="271"/>
        <v>50094.161833333332</v>
      </c>
      <c r="V1477" s="362">
        <f t="shared" si="272"/>
        <v>395155.1081666667</v>
      </c>
      <c r="W1477" s="362">
        <f t="shared" si="273"/>
        <v>23729</v>
      </c>
      <c r="X1477" s="742">
        <f t="shared" si="276"/>
        <v>371426.1081666667</v>
      </c>
    </row>
    <row r="1478" spans="1:24" ht="13.9">
      <c r="A1478" s="349">
        <f t="shared" si="266"/>
        <v>1470</v>
      </c>
      <c r="B1478" s="684" t="s">
        <v>314</v>
      </c>
      <c r="C1478" s="654" t="s">
        <v>3460</v>
      </c>
      <c r="D1478" s="743" t="s">
        <v>3663</v>
      </c>
      <c r="E1478" s="684" t="s">
        <v>180</v>
      </c>
      <c r="F1478" s="334"/>
      <c r="G1478" s="657">
        <v>44834</v>
      </c>
      <c r="H1478" s="426">
        <v>419491.52</v>
      </c>
      <c r="I1478" s="744"/>
      <c r="J1478" s="744"/>
      <c r="K1478" s="354">
        <f t="shared" si="275"/>
        <v>419491.52</v>
      </c>
      <c r="L1478" s="657">
        <v>44834</v>
      </c>
      <c r="M1478" s="742">
        <v>23241</v>
      </c>
      <c r="N1478" s="352">
        <f t="shared" ref="N1478:N1541" si="277">+K1478-M1478</f>
        <v>396250.52</v>
      </c>
      <c r="O1478" s="357">
        <f t="shared" si="274"/>
        <v>549</v>
      </c>
      <c r="P1478" s="410">
        <v>9</v>
      </c>
      <c r="Q1478" s="358">
        <f t="shared" si="267"/>
        <v>1.5041095890410958</v>
      </c>
      <c r="R1478" s="359">
        <f t="shared" si="268"/>
        <v>7.4958904109589044</v>
      </c>
      <c r="S1478" s="360">
        <f t="shared" si="269"/>
        <v>7.4958904109589044</v>
      </c>
      <c r="T1478" s="361">
        <f t="shared" si="270"/>
        <v>0.10555555555555554</v>
      </c>
      <c r="U1478" s="362">
        <f t="shared" si="271"/>
        <v>44279.660444444438</v>
      </c>
      <c r="V1478" s="362">
        <f t="shared" si="272"/>
        <v>351970.85955555557</v>
      </c>
      <c r="W1478" s="362">
        <f t="shared" si="273"/>
        <v>20975</v>
      </c>
      <c r="X1478" s="742">
        <f t="shared" si="276"/>
        <v>330995.85955555557</v>
      </c>
    </row>
    <row r="1479" spans="1:24" ht="13.9">
      <c r="A1479" s="349">
        <f t="shared" si="266"/>
        <v>1471</v>
      </c>
      <c r="B1479" s="684" t="s">
        <v>314</v>
      </c>
      <c r="C1479" s="654" t="s">
        <v>3460</v>
      </c>
      <c r="D1479" s="743" t="s">
        <v>3663</v>
      </c>
      <c r="E1479" s="684" t="s">
        <v>180</v>
      </c>
      <c r="F1479" s="334"/>
      <c r="G1479" s="657">
        <v>44834</v>
      </c>
      <c r="H1479" s="426">
        <v>419491.52</v>
      </c>
      <c r="I1479" s="744"/>
      <c r="J1479" s="744"/>
      <c r="K1479" s="354">
        <f t="shared" si="275"/>
        <v>419491.52</v>
      </c>
      <c r="L1479" s="657">
        <v>44834</v>
      </c>
      <c r="M1479" s="742">
        <v>23241</v>
      </c>
      <c r="N1479" s="352">
        <f t="shared" si="277"/>
        <v>396250.52</v>
      </c>
      <c r="O1479" s="357">
        <f t="shared" si="274"/>
        <v>549</v>
      </c>
      <c r="P1479" s="410">
        <v>9</v>
      </c>
      <c r="Q1479" s="358">
        <f t="shared" si="267"/>
        <v>1.5041095890410958</v>
      </c>
      <c r="R1479" s="359">
        <f t="shared" si="268"/>
        <v>7.4958904109589044</v>
      </c>
      <c r="S1479" s="360">
        <f t="shared" si="269"/>
        <v>7.4958904109589044</v>
      </c>
      <c r="T1479" s="361">
        <f t="shared" si="270"/>
        <v>0.10555555555555554</v>
      </c>
      <c r="U1479" s="362">
        <f t="shared" si="271"/>
        <v>44279.660444444438</v>
      </c>
      <c r="V1479" s="362">
        <f t="shared" si="272"/>
        <v>351970.85955555557</v>
      </c>
      <c r="W1479" s="362">
        <f t="shared" si="273"/>
        <v>20975</v>
      </c>
      <c r="X1479" s="742">
        <f t="shared" si="276"/>
        <v>330995.85955555557</v>
      </c>
    </row>
    <row r="1480" spans="1:24" ht="13.9">
      <c r="A1480" s="349">
        <f t="shared" si="266"/>
        <v>1472</v>
      </c>
      <c r="B1480" s="684" t="s">
        <v>314</v>
      </c>
      <c r="C1480" s="654" t="s">
        <v>3460</v>
      </c>
      <c r="D1480" s="743" t="s">
        <v>3663</v>
      </c>
      <c r="E1480" s="684" t="s">
        <v>180</v>
      </c>
      <c r="F1480" s="334"/>
      <c r="G1480" s="657">
        <v>44834</v>
      </c>
      <c r="H1480" s="426">
        <v>419491.52</v>
      </c>
      <c r="I1480" s="744"/>
      <c r="J1480" s="744"/>
      <c r="K1480" s="354">
        <f t="shared" si="275"/>
        <v>419491.52</v>
      </c>
      <c r="L1480" s="657">
        <v>44834</v>
      </c>
      <c r="M1480" s="742">
        <v>23241</v>
      </c>
      <c r="N1480" s="352">
        <f t="shared" si="277"/>
        <v>396250.52</v>
      </c>
      <c r="O1480" s="357">
        <f t="shared" si="274"/>
        <v>549</v>
      </c>
      <c r="P1480" s="410">
        <v>9</v>
      </c>
      <c r="Q1480" s="358">
        <f t="shared" si="267"/>
        <v>1.5041095890410958</v>
      </c>
      <c r="R1480" s="359">
        <f t="shared" si="268"/>
        <v>7.4958904109589044</v>
      </c>
      <c r="S1480" s="360">
        <f t="shared" si="269"/>
        <v>7.4958904109589044</v>
      </c>
      <c r="T1480" s="361">
        <f t="shared" si="270"/>
        <v>0.10555555555555554</v>
      </c>
      <c r="U1480" s="362">
        <f t="shared" si="271"/>
        <v>44279.660444444438</v>
      </c>
      <c r="V1480" s="362">
        <f t="shared" si="272"/>
        <v>351970.85955555557</v>
      </c>
      <c r="W1480" s="362">
        <f t="shared" si="273"/>
        <v>20975</v>
      </c>
      <c r="X1480" s="742">
        <f t="shared" si="276"/>
        <v>330995.85955555557</v>
      </c>
    </row>
    <row r="1481" spans="1:24" ht="13.9">
      <c r="A1481" s="349">
        <f t="shared" ref="A1481:A1544" si="278">+A1480+1</f>
        <v>1473</v>
      </c>
      <c r="B1481" s="684" t="s">
        <v>315</v>
      </c>
      <c r="C1481" s="654" t="s">
        <v>3460</v>
      </c>
      <c r="D1481" s="743" t="s">
        <v>3663</v>
      </c>
      <c r="E1481" s="684" t="s">
        <v>410</v>
      </c>
      <c r="F1481" s="334"/>
      <c r="G1481" s="657">
        <v>44773</v>
      </c>
      <c r="H1481" s="426">
        <v>25800000</v>
      </c>
      <c r="I1481" s="744"/>
      <c r="J1481" s="744"/>
      <c r="K1481" s="354">
        <f t="shared" si="275"/>
        <v>25800000</v>
      </c>
      <c r="L1481" s="657">
        <v>44773</v>
      </c>
      <c r="M1481" s="742">
        <v>1908493</v>
      </c>
      <c r="N1481" s="352">
        <f t="shared" si="277"/>
        <v>23891507</v>
      </c>
      <c r="O1481" s="357">
        <f t="shared" si="274"/>
        <v>610</v>
      </c>
      <c r="P1481" s="410">
        <v>9</v>
      </c>
      <c r="Q1481" s="358">
        <f t="shared" si="267"/>
        <v>1.6712328767123288</v>
      </c>
      <c r="R1481" s="359">
        <f t="shared" si="268"/>
        <v>7.3287671232876708</v>
      </c>
      <c r="S1481" s="360">
        <f t="shared" si="269"/>
        <v>7.3287671232876708</v>
      </c>
      <c r="T1481" s="361">
        <f t="shared" si="270"/>
        <v>0.10555555555555554</v>
      </c>
      <c r="U1481" s="362">
        <f t="shared" si="271"/>
        <v>2723333.333333333</v>
      </c>
      <c r="V1481" s="362">
        <f t="shared" si="272"/>
        <v>21168173.666666668</v>
      </c>
      <c r="W1481" s="362">
        <f t="shared" si="273"/>
        <v>1290000</v>
      </c>
      <c r="X1481" s="742">
        <f t="shared" si="276"/>
        <v>19878173.666666668</v>
      </c>
    </row>
    <row r="1482" spans="1:24" ht="13.9">
      <c r="A1482" s="349">
        <f t="shared" si="278"/>
        <v>1474</v>
      </c>
      <c r="B1482" s="684" t="s">
        <v>316</v>
      </c>
      <c r="C1482" s="654" t="s">
        <v>3460</v>
      </c>
      <c r="D1482" s="743" t="s">
        <v>3663</v>
      </c>
      <c r="E1482" s="684" t="s">
        <v>410</v>
      </c>
      <c r="F1482" s="334"/>
      <c r="G1482" s="657">
        <v>44798</v>
      </c>
      <c r="H1482" s="426">
        <v>841756</v>
      </c>
      <c r="I1482" s="744"/>
      <c r="J1482" s="744"/>
      <c r="K1482" s="354">
        <f t="shared" si="275"/>
        <v>841756</v>
      </c>
      <c r="L1482" s="657">
        <v>44798</v>
      </c>
      <c r="M1482" s="742">
        <v>55861</v>
      </c>
      <c r="N1482" s="352">
        <f t="shared" si="277"/>
        <v>785895</v>
      </c>
      <c r="O1482" s="357">
        <f t="shared" si="274"/>
        <v>585</v>
      </c>
      <c r="P1482" s="410">
        <v>9</v>
      </c>
      <c r="Q1482" s="358">
        <f t="shared" si="267"/>
        <v>1.6027397260273972</v>
      </c>
      <c r="R1482" s="359">
        <f t="shared" si="268"/>
        <v>7.397260273972603</v>
      </c>
      <c r="S1482" s="360">
        <f t="shared" si="269"/>
        <v>7.397260273972603</v>
      </c>
      <c r="T1482" s="361">
        <f t="shared" si="270"/>
        <v>0.10555555555555554</v>
      </c>
      <c r="U1482" s="362">
        <f t="shared" si="271"/>
        <v>88852.022222222207</v>
      </c>
      <c r="V1482" s="362">
        <f t="shared" si="272"/>
        <v>697042.97777777782</v>
      </c>
      <c r="W1482" s="362">
        <f t="shared" si="273"/>
        <v>42088</v>
      </c>
      <c r="X1482" s="742">
        <f t="shared" si="276"/>
        <v>654954.97777777782</v>
      </c>
    </row>
    <row r="1483" spans="1:24" ht="13.9">
      <c r="A1483" s="349">
        <f t="shared" si="278"/>
        <v>1475</v>
      </c>
      <c r="B1483" s="684" t="s">
        <v>302</v>
      </c>
      <c r="C1483" s="654" t="s">
        <v>3460</v>
      </c>
      <c r="D1483" s="743" t="s">
        <v>3663</v>
      </c>
      <c r="E1483" s="684" t="s">
        <v>170</v>
      </c>
      <c r="F1483" s="334"/>
      <c r="G1483" s="657">
        <v>44797</v>
      </c>
      <c r="H1483" s="426">
        <v>1075000</v>
      </c>
      <c r="I1483" s="744"/>
      <c r="J1483" s="744"/>
      <c r="K1483" s="354">
        <f t="shared" si="275"/>
        <v>1075000</v>
      </c>
      <c r="L1483" s="657">
        <v>44797</v>
      </c>
      <c r="M1483" s="742">
        <v>71667</v>
      </c>
      <c r="N1483" s="352">
        <f t="shared" si="277"/>
        <v>1003333</v>
      </c>
      <c r="O1483" s="357">
        <f t="shared" si="274"/>
        <v>586</v>
      </c>
      <c r="P1483" s="410">
        <v>9</v>
      </c>
      <c r="Q1483" s="358">
        <f t="shared" si="267"/>
        <v>1.6054794520547946</v>
      </c>
      <c r="R1483" s="359">
        <f t="shared" si="268"/>
        <v>7.3945205479452056</v>
      </c>
      <c r="S1483" s="360">
        <f t="shared" si="269"/>
        <v>7.3945205479452056</v>
      </c>
      <c r="T1483" s="361">
        <f t="shared" si="270"/>
        <v>0.10555555555555554</v>
      </c>
      <c r="U1483" s="362">
        <f t="shared" si="271"/>
        <v>113472.2222222222</v>
      </c>
      <c r="V1483" s="362">
        <f t="shared" si="272"/>
        <v>889860.77777777775</v>
      </c>
      <c r="W1483" s="362">
        <f t="shared" si="273"/>
        <v>53750</v>
      </c>
      <c r="X1483" s="742">
        <f t="shared" si="276"/>
        <v>836110.77777777775</v>
      </c>
    </row>
    <row r="1484" spans="1:24" ht="13.9">
      <c r="A1484" s="349">
        <f t="shared" si="278"/>
        <v>1476</v>
      </c>
      <c r="B1484" s="654" t="s">
        <v>571</v>
      </c>
      <c r="C1484" s="654" t="s">
        <v>3460</v>
      </c>
      <c r="D1484" s="743" t="s">
        <v>3663</v>
      </c>
      <c r="E1484" s="654" t="s">
        <v>410</v>
      </c>
      <c r="F1484" s="334"/>
      <c r="G1484" s="657">
        <v>44902</v>
      </c>
      <c r="H1484" s="426">
        <v>840000</v>
      </c>
      <c r="I1484" s="744"/>
      <c r="J1484" s="744"/>
      <c r="K1484" s="354">
        <f t="shared" si="275"/>
        <v>840000</v>
      </c>
      <c r="L1484" s="657">
        <v>44902</v>
      </c>
      <c r="M1484" s="742">
        <v>29151</v>
      </c>
      <c r="N1484" s="352">
        <f t="shared" si="277"/>
        <v>810849</v>
      </c>
      <c r="O1484" s="357">
        <f t="shared" si="274"/>
        <v>481</v>
      </c>
      <c r="P1484" s="410">
        <v>9</v>
      </c>
      <c r="Q1484" s="358">
        <f t="shared" si="267"/>
        <v>1.3178082191780822</v>
      </c>
      <c r="R1484" s="359">
        <f t="shared" si="268"/>
        <v>7.6821917808219178</v>
      </c>
      <c r="S1484" s="360">
        <f t="shared" si="269"/>
        <v>7.6821917808219178</v>
      </c>
      <c r="T1484" s="361">
        <f t="shared" si="270"/>
        <v>0.10555555555555554</v>
      </c>
      <c r="U1484" s="362">
        <f t="shared" si="271"/>
        <v>88666.666666666657</v>
      </c>
      <c r="V1484" s="362">
        <f t="shared" si="272"/>
        <v>722182.33333333337</v>
      </c>
      <c r="W1484" s="362">
        <f t="shared" si="273"/>
        <v>42000</v>
      </c>
      <c r="X1484" s="742">
        <f t="shared" si="276"/>
        <v>680182.33333333337</v>
      </c>
    </row>
    <row r="1485" spans="1:24" ht="13.9">
      <c r="A1485" s="349">
        <f t="shared" si="278"/>
        <v>1477</v>
      </c>
      <c r="B1485" s="654" t="s">
        <v>571</v>
      </c>
      <c r="C1485" s="654" t="s">
        <v>3460</v>
      </c>
      <c r="D1485" s="743" t="s">
        <v>3663</v>
      </c>
      <c r="E1485" s="654" t="s">
        <v>410</v>
      </c>
      <c r="F1485" s="334"/>
      <c r="G1485" s="657">
        <v>44904</v>
      </c>
      <c r="H1485" s="426">
        <v>840000</v>
      </c>
      <c r="I1485" s="744"/>
      <c r="J1485" s="744"/>
      <c r="K1485" s="354">
        <f t="shared" si="275"/>
        <v>840000</v>
      </c>
      <c r="L1485" s="657">
        <v>44904</v>
      </c>
      <c r="M1485" s="742">
        <v>28639</v>
      </c>
      <c r="N1485" s="352">
        <f t="shared" si="277"/>
        <v>811361</v>
      </c>
      <c r="O1485" s="357">
        <f t="shared" si="274"/>
        <v>479</v>
      </c>
      <c r="P1485" s="410">
        <v>9</v>
      </c>
      <c r="Q1485" s="358">
        <f t="shared" si="267"/>
        <v>1.3123287671232877</v>
      </c>
      <c r="R1485" s="359">
        <f t="shared" si="268"/>
        <v>7.6876712328767125</v>
      </c>
      <c r="S1485" s="360">
        <f t="shared" si="269"/>
        <v>7.6876712328767125</v>
      </c>
      <c r="T1485" s="361">
        <f t="shared" si="270"/>
        <v>0.10555555555555554</v>
      </c>
      <c r="U1485" s="362">
        <f t="shared" si="271"/>
        <v>88666.666666666657</v>
      </c>
      <c r="V1485" s="362">
        <f t="shared" si="272"/>
        <v>722694.33333333337</v>
      </c>
      <c r="W1485" s="362">
        <f t="shared" si="273"/>
        <v>42000</v>
      </c>
      <c r="X1485" s="742">
        <f t="shared" si="276"/>
        <v>680694.33333333337</v>
      </c>
    </row>
    <row r="1486" spans="1:24" ht="13.9">
      <c r="A1486" s="349">
        <f t="shared" si="278"/>
        <v>1478</v>
      </c>
      <c r="B1486" s="654" t="s">
        <v>562</v>
      </c>
      <c r="C1486" s="654" t="s">
        <v>3460</v>
      </c>
      <c r="D1486" s="743" t="s">
        <v>3663</v>
      </c>
      <c r="E1486" s="654" t="s">
        <v>759</v>
      </c>
      <c r="F1486" s="334"/>
      <c r="G1486" s="657">
        <v>44892</v>
      </c>
      <c r="H1486" s="426">
        <v>9831800</v>
      </c>
      <c r="I1486" s="744"/>
      <c r="J1486" s="744"/>
      <c r="K1486" s="354">
        <f t="shared" si="275"/>
        <v>9831800</v>
      </c>
      <c r="L1486" s="657">
        <v>44892</v>
      </c>
      <c r="M1486" s="742">
        <v>371124</v>
      </c>
      <c r="N1486" s="352">
        <f t="shared" si="277"/>
        <v>9460676</v>
      </c>
      <c r="O1486" s="357">
        <f t="shared" si="274"/>
        <v>491</v>
      </c>
      <c r="P1486" s="410">
        <v>9</v>
      </c>
      <c r="Q1486" s="358">
        <f t="shared" ref="Q1486:Q1549" si="279">+O1486/365</f>
        <v>1.3452054794520547</v>
      </c>
      <c r="R1486" s="359">
        <f t="shared" ref="R1486:R1549" si="280">+P1486-Q1486</f>
        <v>7.6547945205479451</v>
      </c>
      <c r="S1486" s="360">
        <f t="shared" ref="S1486:S1549" si="281">IF(R1486&lt;0,0,IF(R1486&gt;365,365,R1486))</f>
        <v>7.6547945205479451</v>
      </c>
      <c r="T1486" s="361">
        <f t="shared" ref="T1486:T1549" si="282">1/P1486*0.95</f>
        <v>0.10555555555555554</v>
      </c>
      <c r="U1486" s="362">
        <f t="shared" ref="U1486:U1549" si="283">+K1486*T1486</f>
        <v>1037801.111111111</v>
      </c>
      <c r="V1486" s="362">
        <f t="shared" ref="V1486:V1549" si="284">+N1486-U1486</f>
        <v>8422874.8888888881</v>
      </c>
      <c r="W1486" s="362">
        <f t="shared" ref="W1486:W1549" si="285">ROUND(+H1486*5%,0)</f>
        <v>491590</v>
      </c>
      <c r="X1486" s="742">
        <f t="shared" si="276"/>
        <v>7931284.8888888881</v>
      </c>
    </row>
    <row r="1487" spans="1:24" ht="13.9">
      <c r="A1487" s="349">
        <f t="shared" si="278"/>
        <v>1479</v>
      </c>
      <c r="B1487" s="654" t="s">
        <v>572</v>
      </c>
      <c r="C1487" s="654" t="s">
        <v>3460</v>
      </c>
      <c r="D1487" s="743" t="s">
        <v>3663</v>
      </c>
      <c r="E1487" s="654" t="s">
        <v>767</v>
      </c>
      <c r="F1487" s="334"/>
      <c r="G1487" s="657">
        <v>44844</v>
      </c>
      <c r="H1487" s="426">
        <v>6000000</v>
      </c>
      <c r="I1487" s="744"/>
      <c r="J1487" s="744"/>
      <c r="K1487" s="354">
        <f t="shared" si="275"/>
        <v>6000000</v>
      </c>
      <c r="L1487" s="657">
        <v>44844</v>
      </c>
      <c r="M1487" s="742">
        <v>314155</v>
      </c>
      <c r="N1487" s="352">
        <f t="shared" si="277"/>
        <v>5685845</v>
      </c>
      <c r="O1487" s="357">
        <f t="shared" si="274"/>
        <v>539</v>
      </c>
      <c r="P1487" s="410">
        <v>9</v>
      </c>
      <c r="Q1487" s="358">
        <f t="shared" si="279"/>
        <v>1.4767123287671233</v>
      </c>
      <c r="R1487" s="359">
        <f t="shared" si="280"/>
        <v>7.5232876712328771</v>
      </c>
      <c r="S1487" s="360">
        <f t="shared" si="281"/>
        <v>7.5232876712328771</v>
      </c>
      <c r="T1487" s="361">
        <f t="shared" si="282"/>
        <v>0.10555555555555554</v>
      </c>
      <c r="U1487" s="362">
        <f t="shared" si="283"/>
        <v>633333.33333333326</v>
      </c>
      <c r="V1487" s="362">
        <f t="shared" si="284"/>
        <v>5052511.666666667</v>
      </c>
      <c r="W1487" s="362">
        <f t="shared" si="285"/>
        <v>300000</v>
      </c>
      <c r="X1487" s="742">
        <f t="shared" si="276"/>
        <v>4752511.666666667</v>
      </c>
    </row>
    <row r="1488" spans="1:24" ht="13.9">
      <c r="A1488" s="349">
        <f t="shared" si="278"/>
        <v>1480</v>
      </c>
      <c r="B1488" s="654" t="s">
        <v>572</v>
      </c>
      <c r="C1488" s="654" t="s">
        <v>3460</v>
      </c>
      <c r="D1488" s="743" t="s">
        <v>3663</v>
      </c>
      <c r="E1488" s="654" t="s">
        <v>767</v>
      </c>
      <c r="F1488" s="334"/>
      <c r="G1488" s="657">
        <v>44917</v>
      </c>
      <c r="H1488" s="426">
        <v>1004125</v>
      </c>
      <c r="I1488" s="744"/>
      <c r="J1488" s="744"/>
      <c r="K1488" s="354">
        <f t="shared" si="275"/>
        <v>1004125</v>
      </c>
      <c r="L1488" s="657">
        <v>44917</v>
      </c>
      <c r="M1488" s="742">
        <v>30261</v>
      </c>
      <c r="N1488" s="352">
        <f t="shared" si="277"/>
        <v>973864</v>
      </c>
      <c r="O1488" s="357">
        <f t="shared" si="274"/>
        <v>466</v>
      </c>
      <c r="P1488" s="410">
        <v>9</v>
      </c>
      <c r="Q1488" s="358">
        <f t="shared" si="279"/>
        <v>1.2767123287671234</v>
      </c>
      <c r="R1488" s="359">
        <f t="shared" si="280"/>
        <v>7.7232876712328764</v>
      </c>
      <c r="S1488" s="360">
        <f t="shared" si="281"/>
        <v>7.7232876712328764</v>
      </c>
      <c r="T1488" s="361">
        <f t="shared" si="282"/>
        <v>0.10555555555555554</v>
      </c>
      <c r="U1488" s="362">
        <f t="shared" si="283"/>
        <v>105990.9722222222</v>
      </c>
      <c r="V1488" s="362">
        <f t="shared" si="284"/>
        <v>867873.02777777775</v>
      </c>
      <c r="W1488" s="362">
        <f t="shared" si="285"/>
        <v>50206</v>
      </c>
      <c r="X1488" s="742">
        <f t="shared" si="276"/>
        <v>817667.02777777775</v>
      </c>
    </row>
    <row r="1489" spans="1:24" ht="13.9">
      <c r="A1489" s="349">
        <f t="shared" si="278"/>
        <v>1481</v>
      </c>
      <c r="B1489" s="654" t="s">
        <v>323</v>
      </c>
      <c r="C1489" s="654" t="s">
        <v>3460</v>
      </c>
      <c r="D1489" s="743" t="s">
        <v>3663</v>
      </c>
      <c r="E1489" s="654" t="s">
        <v>170</v>
      </c>
      <c r="F1489" s="334"/>
      <c r="G1489" s="657">
        <v>44891</v>
      </c>
      <c r="H1489" s="426">
        <v>5800000</v>
      </c>
      <c r="I1489" s="744"/>
      <c r="J1489" s="744"/>
      <c r="K1489" s="354">
        <f t="shared" si="275"/>
        <v>5800000</v>
      </c>
      <c r="L1489" s="657">
        <v>44891</v>
      </c>
      <c r="M1489" s="742">
        <v>220700</v>
      </c>
      <c r="N1489" s="352">
        <f t="shared" si="277"/>
        <v>5579300</v>
      </c>
      <c r="O1489" s="357">
        <f t="shared" si="274"/>
        <v>492</v>
      </c>
      <c r="P1489" s="410">
        <v>9</v>
      </c>
      <c r="Q1489" s="358">
        <f t="shared" si="279"/>
        <v>1.3479452054794521</v>
      </c>
      <c r="R1489" s="359">
        <f t="shared" si="280"/>
        <v>7.6520547945205477</v>
      </c>
      <c r="S1489" s="360">
        <f t="shared" si="281"/>
        <v>7.6520547945205477</v>
      </c>
      <c r="T1489" s="361">
        <f t="shared" si="282"/>
        <v>0.10555555555555554</v>
      </c>
      <c r="U1489" s="362">
        <f t="shared" si="283"/>
        <v>612222.22222222213</v>
      </c>
      <c r="V1489" s="362">
        <f t="shared" si="284"/>
        <v>4967077.777777778</v>
      </c>
      <c r="W1489" s="362">
        <f t="shared" si="285"/>
        <v>290000</v>
      </c>
      <c r="X1489" s="742">
        <f t="shared" si="276"/>
        <v>4677077.777777778</v>
      </c>
    </row>
    <row r="1490" spans="1:24" ht="13.9">
      <c r="A1490" s="349">
        <f t="shared" si="278"/>
        <v>1482</v>
      </c>
      <c r="B1490" s="654" t="s">
        <v>323</v>
      </c>
      <c r="C1490" s="654" t="s">
        <v>3460</v>
      </c>
      <c r="D1490" s="743" t="s">
        <v>3663</v>
      </c>
      <c r="E1490" s="654" t="s">
        <v>170</v>
      </c>
      <c r="F1490" s="334"/>
      <c r="G1490" s="657">
        <v>44891</v>
      </c>
      <c r="H1490" s="426">
        <v>9000000</v>
      </c>
      <c r="I1490" s="744"/>
      <c r="J1490" s="744"/>
      <c r="K1490" s="354">
        <f t="shared" si="275"/>
        <v>9000000</v>
      </c>
      <c r="L1490" s="657">
        <v>44891</v>
      </c>
      <c r="M1490" s="742">
        <v>342466</v>
      </c>
      <c r="N1490" s="352">
        <f t="shared" si="277"/>
        <v>8657534</v>
      </c>
      <c r="O1490" s="357">
        <f t="shared" si="274"/>
        <v>492</v>
      </c>
      <c r="P1490" s="410">
        <v>9</v>
      </c>
      <c r="Q1490" s="358">
        <f t="shared" si="279"/>
        <v>1.3479452054794521</v>
      </c>
      <c r="R1490" s="359">
        <f t="shared" si="280"/>
        <v>7.6520547945205477</v>
      </c>
      <c r="S1490" s="360">
        <f t="shared" si="281"/>
        <v>7.6520547945205477</v>
      </c>
      <c r="T1490" s="361">
        <f t="shared" si="282"/>
        <v>0.10555555555555554</v>
      </c>
      <c r="U1490" s="362">
        <f t="shared" si="283"/>
        <v>949999.99999999988</v>
      </c>
      <c r="V1490" s="362">
        <f t="shared" si="284"/>
        <v>7707534</v>
      </c>
      <c r="W1490" s="362">
        <f t="shared" si="285"/>
        <v>450000</v>
      </c>
      <c r="X1490" s="742">
        <f t="shared" si="276"/>
        <v>7257534</v>
      </c>
    </row>
    <row r="1491" spans="1:24" ht="13.9">
      <c r="A1491" s="349">
        <f t="shared" si="278"/>
        <v>1483</v>
      </c>
      <c r="B1491" s="654" t="s">
        <v>323</v>
      </c>
      <c r="C1491" s="654" t="s">
        <v>3460</v>
      </c>
      <c r="D1491" s="743" t="s">
        <v>3663</v>
      </c>
      <c r="E1491" s="654" t="s">
        <v>170</v>
      </c>
      <c r="F1491" s="334"/>
      <c r="G1491" s="657">
        <v>44891</v>
      </c>
      <c r="H1491" s="426">
        <v>5800000</v>
      </c>
      <c r="I1491" s="744"/>
      <c r="J1491" s="744"/>
      <c r="K1491" s="354">
        <f t="shared" si="275"/>
        <v>5800000</v>
      </c>
      <c r="L1491" s="657">
        <v>44891</v>
      </c>
      <c r="M1491" s="742">
        <v>220700</v>
      </c>
      <c r="N1491" s="352">
        <f t="shared" si="277"/>
        <v>5579300</v>
      </c>
      <c r="O1491" s="357">
        <f t="shared" si="274"/>
        <v>492</v>
      </c>
      <c r="P1491" s="410">
        <v>9</v>
      </c>
      <c r="Q1491" s="358">
        <f t="shared" si="279"/>
        <v>1.3479452054794521</v>
      </c>
      <c r="R1491" s="359">
        <f t="shared" si="280"/>
        <v>7.6520547945205477</v>
      </c>
      <c r="S1491" s="360">
        <f t="shared" si="281"/>
        <v>7.6520547945205477</v>
      </c>
      <c r="T1491" s="361">
        <f t="shared" si="282"/>
        <v>0.10555555555555554</v>
      </c>
      <c r="U1491" s="362">
        <f t="shared" si="283"/>
        <v>612222.22222222213</v>
      </c>
      <c r="V1491" s="362">
        <f t="shared" si="284"/>
        <v>4967077.777777778</v>
      </c>
      <c r="W1491" s="362">
        <f t="shared" si="285"/>
        <v>290000</v>
      </c>
      <c r="X1491" s="742">
        <f t="shared" si="276"/>
        <v>4677077.777777778</v>
      </c>
    </row>
    <row r="1492" spans="1:24" ht="13.9">
      <c r="A1492" s="349">
        <f t="shared" si="278"/>
        <v>1484</v>
      </c>
      <c r="B1492" s="654" t="s">
        <v>323</v>
      </c>
      <c r="C1492" s="654" t="s">
        <v>3460</v>
      </c>
      <c r="D1492" s="743" t="s">
        <v>3663</v>
      </c>
      <c r="E1492" s="654" t="s">
        <v>170</v>
      </c>
      <c r="F1492" s="334"/>
      <c r="G1492" s="657">
        <v>44891</v>
      </c>
      <c r="H1492" s="426">
        <v>9000000</v>
      </c>
      <c r="I1492" s="744"/>
      <c r="J1492" s="744"/>
      <c r="K1492" s="354">
        <f t="shared" si="275"/>
        <v>9000000</v>
      </c>
      <c r="L1492" s="657">
        <v>44891</v>
      </c>
      <c r="M1492" s="742">
        <v>342466</v>
      </c>
      <c r="N1492" s="352">
        <f t="shared" si="277"/>
        <v>8657534</v>
      </c>
      <c r="O1492" s="357">
        <f t="shared" si="274"/>
        <v>492</v>
      </c>
      <c r="P1492" s="410">
        <v>9</v>
      </c>
      <c r="Q1492" s="358">
        <f t="shared" si="279"/>
        <v>1.3479452054794521</v>
      </c>
      <c r="R1492" s="359">
        <f t="shared" si="280"/>
        <v>7.6520547945205477</v>
      </c>
      <c r="S1492" s="360">
        <f t="shared" si="281"/>
        <v>7.6520547945205477</v>
      </c>
      <c r="T1492" s="361">
        <f t="shared" si="282"/>
        <v>0.10555555555555554</v>
      </c>
      <c r="U1492" s="362">
        <f t="shared" si="283"/>
        <v>949999.99999999988</v>
      </c>
      <c r="V1492" s="362">
        <f t="shared" si="284"/>
        <v>7707534</v>
      </c>
      <c r="W1492" s="362">
        <f t="shared" si="285"/>
        <v>450000</v>
      </c>
      <c r="X1492" s="742">
        <f t="shared" si="276"/>
        <v>7257534</v>
      </c>
    </row>
    <row r="1493" spans="1:24" ht="13.9">
      <c r="A1493" s="349">
        <f t="shared" si="278"/>
        <v>1485</v>
      </c>
      <c r="B1493" s="654" t="s">
        <v>564</v>
      </c>
      <c r="C1493" s="654" t="s">
        <v>3460</v>
      </c>
      <c r="D1493" s="743" t="s">
        <v>3663</v>
      </c>
      <c r="E1493" s="654" t="s">
        <v>768</v>
      </c>
      <c r="F1493" s="334"/>
      <c r="G1493" s="657">
        <v>44844</v>
      </c>
      <c r="H1493" s="426">
        <v>114000</v>
      </c>
      <c r="I1493" s="744"/>
      <c r="J1493" s="744"/>
      <c r="K1493" s="354">
        <f t="shared" si="275"/>
        <v>114000</v>
      </c>
      <c r="L1493" s="657">
        <v>44844</v>
      </c>
      <c r="M1493" s="742">
        <v>5969</v>
      </c>
      <c r="N1493" s="352">
        <f t="shared" si="277"/>
        <v>108031</v>
      </c>
      <c r="O1493" s="357">
        <f t="shared" si="274"/>
        <v>539</v>
      </c>
      <c r="P1493" s="410">
        <v>9</v>
      </c>
      <c r="Q1493" s="358">
        <f t="shared" si="279"/>
        <v>1.4767123287671233</v>
      </c>
      <c r="R1493" s="359">
        <f t="shared" si="280"/>
        <v>7.5232876712328771</v>
      </c>
      <c r="S1493" s="360">
        <f t="shared" si="281"/>
        <v>7.5232876712328771</v>
      </c>
      <c r="T1493" s="361">
        <f t="shared" si="282"/>
        <v>0.10555555555555554</v>
      </c>
      <c r="U1493" s="362">
        <f t="shared" si="283"/>
        <v>12033.333333333332</v>
      </c>
      <c r="V1493" s="362">
        <f t="shared" si="284"/>
        <v>95997.666666666672</v>
      </c>
      <c r="W1493" s="362">
        <f t="shared" si="285"/>
        <v>5700</v>
      </c>
      <c r="X1493" s="742">
        <f t="shared" si="276"/>
        <v>90297.666666666672</v>
      </c>
    </row>
    <row r="1494" spans="1:24" ht="13.9">
      <c r="A1494" s="349">
        <f t="shared" si="278"/>
        <v>1486</v>
      </c>
      <c r="B1494" s="654" t="s">
        <v>564</v>
      </c>
      <c r="C1494" s="654" t="s">
        <v>3460</v>
      </c>
      <c r="D1494" s="743" t="s">
        <v>3663</v>
      </c>
      <c r="E1494" s="654" t="s">
        <v>761</v>
      </c>
      <c r="F1494" s="334"/>
      <c r="G1494" s="657">
        <v>44907</v>
      </c>
      <c r="H1494" s="426">
        <v>3010000</v>
      </c>
      <c r="I1494" s="744"/>
      <c r="J1494" s="744"/>
      <c r="K1494" s="354">
        <f t="shared" si="275"/>
        <v>3010000</v>
      </c>
      <c r="L1494" s="657">
        <v>44907</v>
      </c>
      <c r="M1494" s="742">
        <v>99875</v>
      </c>
      <c r="N1494" s="352">
        <f t="shared" si="277"/>
        <v>2910125</v>
      </c>
      <c r="O1494" s="357">
        <f t="shared" si="274"/>
        <v>476</v>
      </c>
      <c r="P1494" s="410">
        <v>9</v>
      </c>
      <c r="Q1494" s="358">
        <f t="shared" si="279"/>
        <v>1.3041095890410959</v>
      </c>
      <c r="R1494" s="359">
        <f t="shared" si="280"/>
        <v>7.6958904109589046</v>
      </c>
      <c r="S1494" s="360">
        <f t="shared" si="281"/>
        <v>7.6958904109589046</v>
      </c>
      <c r="T1494" s="361">
        <f t="shared" si="282"/>
        <v>0.10555555555555554</v>
      </c>
      <c r="U1494" s="362">
        <f t="shared" si="283"/>
        <v>317722.22222222219</v>
      </c>
      <c r="V1494" s="362">
        <f t="shared" si="284"/>
        <v>2592402.777777778</v>
      </c>
      <c r="W1494" s="362">
        <f t="shared" si="285"/>
        <v>150500</v>
      </c>
      <c r="X1494" s="742">
        <f t="shared" si="276"/>
        <v>2441902.777777778</v>
      </c>
    </row>
    <row r="1495" spans="1:24" ht="13.9">
      <c r="A1495" s="349">
        <f t="shared" si="278"/>
        <v>1487</v>
      </c>
      <c r="B1495" s="654" t="s">
        <v>565</v>
      </c>
      <c r="C1495" s="654" t="s">
        <v>3460</v>
      </c>
      <c r="D1495" s="743" t="s">
        <v>3663</v>
      </c>
      <c r="E1495" s="654" t="s">
        <v>420</v>
      </c>
      <c r="F1495" s="334"/>
      <c r="G1495" s="657">
        <v>44895</v>
      </c>
      <c r="H1495" s="426">
        <v>12692385</v>
      </c>
      <c r="I1495" s="744"/>
      <c r="J1495" s="744"/>
      <c r="K1495" s="354">
        <f t="shared" si="275"/>
        <v>12692385</v>
      </c>
      <c r="L1495" s="657">
        <v>44895</v>
      </c>
      <c r="M1495" s="742">
        <v>467513</v>
      </c>
      <c r="N1495" s="352">
        <f t="shared" si="277"/>
        <v>12224872</v>
      </c>
      <c r="O1495" s="357">
        <f t="shared" si="274"/>
        <v>488</v>
      </c>
      <c r="P1495" s="410">
        <v>9</v>
      </c>
      <c r="Q1495" s="358">
        <f t="shared" si="279"/>
        <v>1.3369863013698631</v>
      </c>
      <c r="R1495" s="359">
        <f t="shared" si="280"/>
        <v>7.6630136986301371</v>
      </c>
      <c r="S1495" s="360">
        <f t="shared" si="281"/>
        <v>7.6630136986301371</v>
      </c>
      <c r="T1495" s="361">
        <f t="shared" si="282"/>
        <v>0.10555555555555554</v>
      </c>
      <c r="U1495" s="362">
        <f t="shared" si="283"/>
        <v>1339751.7499999998</v>
      </c>
      <c r="V1495" s="362">
        <f t="shared" si="284"/>
        <v>10885120.25</v>
      </c>
      <c r="W1495" s="362">
        <f t="shared" si="285"/>
        <v>634619</v>
      </c>
      <c r="X1495" s="742">
        <f t="shared" si="276"/>
        <v>10250501.25</v>
      </c>
    </row>
    <row r="1496" spans="1:24" ht="13.9">
      <c r="A1496" s="349">
        <f t="shared" si="278"/>
        <v>1488</v>
      </c>
      <c r="B1496" s="654" t="s">
        <v>568</v>
      </c>
      <c r="C1496" s="654" t="s">
        <v>3460</v>
      </c>
      <c r="D1496" s="743" t="s">
        <v>3663</v>
      </c>
      <c r="E1496" s="654" t="s">
        <v>763</v>
      </c>
      <c r="F1496" s="334"/>
      <c r="G1496" s="657">
        <v>44865</v>
      </c>
      <c r="H1496" s="426">
        <v>1326906</v>
      </c>
      <c r="I1496" s="744"/>
      <c r="J1496" s="744"/>
      <c r="K1496" s="354">
        <f t="shared" si="275"/>
        <v>1326906</v>
      </c>
      <c r="L1496" s="657">
        <v>44865</v>
      </c>
      <c r="M1496" s="742">
        <v>182980</v>
      </c>
      <c r="N1496" s="352">
        <f t="shared" si="277"/>
        <v>1143926</v>
      </c>
      <c r="O1496" s="357">
        <f t="shared" si="274"/>
        <v>518</v>
      </c>
      <c r="P1496" s="410">
        <v>9</v>
      </c>
      <c r="Q1496" s="358">
        <f t="shared" si="279"/>
        <v>1.4191780821917808</v>
      </c>
      <c r="R1496" s="359">
        <f t="shared" si="280"/>
        <v>7.580821917808219</v>
      </c>
      <c r="S1496" s="360">
        <f t="shared" si="281"/>
        <v>7.580821917808219</v>
      </c>
      <c r="T1496" s="361">
        <f t="shared" si="282"/>
        <v>0.10555555555555554</v>
      </c>
      <c r="U1496" s="362">
        <f t="shared" si="283"/>
        <v>140062.29999999999</v>
      </c>
      <c r="V1496" s="362">
        <f t="shared" si="284"/>
        <v>1003863.7</v>
      </c>
      <c r="W1496" s="362">
        <f t="shared" si="285"/>
        <v>66345</v>
      </c>
      <c r="X1496" s="742">
        <f t="shared" si="276"/>
        <v>937518.7</v>
      </c>
    </row>
    <row r="1497" spans="1:24" ht="13.9">
      <c r="A1497" s="349">
        <f t="shared" si="278"/>
        <v>1489</v>
      </c>
      <c r="B1497" s="654" t="s">
        <v>568</v>
      </c>
      <c r="C1497" s="654" t="s">
        <v>3460</v>
      </c>
      <c r="D1497" s="743" t="s">
        <v>3663</v>
      </c>
      <c r="E1497" s="654" t="s">
        <v>763</v>
      </c>
      <c r="F1497" s="334"/>
      <c r="G1497" s="657">
        <v>44865</v>
      </c>
      <c r="H1497" s="426">
        <v>39270.400000000001</v>
      </c>
      <c r="I1497" s="744"/>
      <c r="J1497" s="744"/>
      <c r="K1497" s="354">
        <f t="shared" si="275"/>
        <v>39270.400000000001</v>
      </c>
      <c r="L1497" s="657">
        <v>44865</v>
      </c>
      <c r="M1497" s="742">
        <v>5415</v>
      </c>
      <c r="N1497" s="352">
        <f t="shared" si="277"/>
        <v>33855.4</v>
      </c>
      <c r="O1497" s="357">
        <f t="shared" si="274"/>
        <v>518</v>
      </c>
      <c r="P1497" s="410">
        <v>9</v>
      </c>
      <c r="Q1497" s="358">
        <f t="shared" si="279"/>
        <v>1.4191780821917808</v>
      </c>
      <c r="R1497" s="359">
        <f t="shared" si="280"/>
        <v>7.580821917808219</v>
      </c>
      <c r="S1497" s="360">
        <f t="shared" si="281"/>
        <v>7.580821917808219</v>
      </c>
      <c r="T1497" s="361">
        <f t="shared" si="282"/>
        <v>0.10555555555555554</v>
      </c>
      <c r="U1497" s="362">
        <f t="shared" si="283"/>
        <v>4145.2088888888884</v>
      </c>
      <c r="V1497" s="362">
        <f t="shared" si="284"/>
        <v>29710.191111111111</v>
      </c>
      <c r="W1497" s="362">
        <f t="shared" si="285"/>
        <v>1964</v>
      </c>
      <c r="X1497" s="742">
        <f t="shared" si="276"/>
        <v>27746.191111111111</v>
      </c>
    </row>
    <row r="1498" spans="1:24" ht="13.9">
      <c r="A1498" s="349">
        <f t="shared" si="278"/>
        <v>1490</v>
      </c>
      <c r="B1498" s="654" t="s">
        <v>568</v>
      </c>
      <c r="C1498" s="654" t="s">
        <v>3460</v>
      </c>
      <c r="D1498" s="743" t="s">
        <v>3663</v>
      </c>
      <c r="E1498" s="654" t="s">
        <v>763</v>
      </c>
      <c r="F1498" s="334"/>
      <c r="G1498" s="657">
        <v>44870</v>
      </c>
      <c r="H1498" s="426">
        <v>422100</v>
      </c>
      <c r="I1498" s="744"/>
      <c r="J1498" s="744"/>
      <c r="K1498" s="354">
        <f t="shared" si="275"/>
        <v>422100</v>
      </c>
      <c r="L1498" s="657">
        <v>44870</v>
      </c>
      <c r="M1498" s="742">
        <v>56280</v>
      </c>
      <c r="N1498" s="352">
        <f t="shared" si="277"/>
        <v>365820</v>
      </c>
      <c r="O1498" s="357">
        <f t="shared" si="274"/>
        <v>513</v>
      </c>
      <c r="P1498" s="410">
        <v>9</v>
      </c>
      <c r="Q1498" s="358">
        <f t="shared" si="279"/>
        <v>1.4054794520547946</v>
      </c>
      <c r="R1498" s="359">
        <f t="shared" si="280"/>
        <v>7.5945205479452049</v>
      </c>
      <c r="S1498" s="360">
        <f t="shared" si="281"/>
        <v>7.5945205479452049</v>
      </c>
      <c r="T1498" s="361">
        <f t="shared" si="282"/>
        <v>0.10555555555555554</v>
      </c>
      <c r="U1498" s="362">
        <f t="shared" si="283"/>
        <v>44554.999999999993</v>
      </c>
      <c r="V1498" s="362">
        <f t="shared" si="284"/>
        <v>321265</v>
      </c>
      <c r="W1498" s="362">
        <f t="shared" si="285"/>
        <v>21105</v>
      </c>
      <c r="X1498" s="742">
        <f t="shared" si="276"/>
        <v>300160</v>
      </c>
    </row>
    <row r="1499" spans="1:24" ht="13.9">
      <c r="A1499" s="349">
        <f t="shared" si="278"/>
        <v>1491</v>
      </c>
      <c r="B1499" s="654" t="s">
        <v>568</v>
      </c>
      <c r="C1499" s="654" t="s">
        <v>3460</v>
      </c>
      <c r="D1499" s="743" t="s">
        <v>3663</v>
      </c>
      <c r="E1499" s="654" t="s">
        <v>763</v>
      </c>
      <c r="F1499" s="334"/>
      <c r="G1499" s="657">
        <v>44870</v>
      </c>
      <c r="H1499" s="426">
        <v>610260.19999999995</v>
      </c>
      <c r="I1499" s="744"/>
      <c r="J1499" s="744"/>
      <c r="K1499" s="354">
        <f t="shared" si="275"/>
        <v>610260.19999999995</v>
      </c>
      <c r="L1499" s="657">
        <v>44870</v>
      </c>
      <c r="M1499" s="742">
        <v>81368</v>
      </c>
      <c r="N1499" s="352">
        <f t="shared" si="277"/>
        <v>528892.19999999995</v>
      </c>
      <c r="O1499" s="357">
        <f t="shared" si="274"/>
        <v>513</v>
      </c>
      <c r="P1499" s="410">
        <v>9</v>
      </c>
      <c r="Q1499" s="358">
        <f t="shared" si="279"/>
        <v>1.4054794520547946</v>
      </c>
      <c r="R1499" s="359">
        <f t="shared" si="280"/>
        <v>7.5945205479452049</v>
      </c>
      <c r="S1499" s="360">
        <f t="shared" si="281"/>
        <v>7.5945205479452049</v>
      </c>
      <c r="T1499" s="361">
        <f t="shared" si="282"/>
        <v>0.10555555555555554</v>
      </c>
      <c r="U1499" s="362">
        <f t="shared" si="283"/>
        <v>64416.354444444434</v>
      </c>
      <c r="V1499" s="362">
        <f t="shared" si="284"/>
        <v>464475.84555555554</v>
      </c>
      <c r="W1499" s="362">
        <f t="shared" si="285"/>
        <v>30513</v>
      </c>
      <c r="X1499" s="742">
        <f t="shared" si="276"/>
        <v>433962.84555555554</v>
      </c>
    </row>
    <row r="1500" spans="1:24" ht="13.9">
      <c r="A1500" s="349">
        <f t="shared" si="278"/>
        <v>1492</v>
      </c>
      <c r="B1500" s="654" t="s">
        <v>568</v>
      </c>
      <c r="C1500" s="654" t="s">
        <v>3460</v>
      </c>
      <c r="D1500" s="743" t="s">
        <v>3663</v>
      </c>
      <c r="E1500" s="654" t="s">
        <v>763</v>
      </c>
      <c r="F1500" s="334"/>
      <c r="G1500" s="657">
        <v>44876</v>
      </c>
      <c r="H1500" s="426">
        <v>81340</v>
      </c>
      <c r="I1500" s="744"/>
      <c r="J1500" s="744"/>
      <c r="K1500" s="354">
        <f t="shared" si="275"/>
        <v>81340</v>
      </c>
      <c r="L1500" s="657">
        <v>44876</v>
      </c>
      <c r="M1500" s="742">
        <v>10400</v>
      </c>
      <c r="N1500" s="352">
        <f t="shared" si="277"/>
        <v>70940</v>
      </c>
      <c r="O1500" s="357">
        <f t="shared" si="274"/>
        <v>507</v>
      </c>
      <c r="P1500" s="410">
        <v>9</v>
      </c>
      <c r="Q1500" s="358">
        <f t="shared" si="279"/>
        <v>1.3890410958904109</v>
      </c>
      <c r="R1500" s="359">
        <f t="shared" si="280"/>
        <v>7.6109589041095891</v>
      </c>
      <c r="S1500" s="360">
        <f t="shared" si="281"/>
        <v>7.6109589041095891</v>
      </c>
      <c r="T1500" s="361">
        <f t="shared" si="282"/>
        <v>0.10555555555555554</v>
      </c>
      <c r="U1500" s="362">
        <f t="shared" si="283"/>
        <v>8585.8888888888869</v>
      </c>
      <c r="V1500" s="362">
        <f t="shared" si="284"/>
        <v>62354.111111111109</v>
      </c>
      <c r="W1500" s="362">
        <f t="shared" si="285"/>
        <v>4067</v>
      </c>
      <c r="X1500" s="742">
        <f t="shared" si="276"/>
        <v>58287.111111111109</v>
      </c>
    </row>
    <row r="1501" spans="1:24" ht="13.9">
      <c r="A1501" s="349">
        <f t="shared" si="278"/>
        <v>1493</v>
      </c>
      <c r="B1501" s="654" t="s">
        <v>573</v>
      </c>
      <c r="C1501" s="654" t="s">
        <v>3460</v>
      </c>
      <c r="D1501" s="743" t="s">
        <v>3663</v>
      </c>
      <c r="E1501" s="654" t="s">
        <v>764</v>
      </c>
      <c r="F1501" s="334"/>
      <c r="G1501" s="657">
        <v>44885</v>
      </c>
      <c r="H1501" s="426">
        <v>530000</v>
      </c>
      <c r="I1501" s="744"/>
      <c r="J1501" s="744"/>
      <c r="K1501" s="354">
        <f t="shared" si="275"/>
        <v>530000</v>
      </c>
      <c r="L1501" s="657">
        <v>44885</v>
      </c>
      <c r="M1501" s="742">
        <v>21135</v>
      </c>
      <c r="N1501" s="352">
        <f t="shared" si="277"/>
        <v>508865</v>
      </c>
      <c r="O1501" s="357">
        <f t="shared" si="274"/>
        <v>498</v>
      </c>
      <c r="P1501" s="410">
        <v>9</v>
      </c>
      <c r="Q1501" s="358">
        <f t="shared" si="279"/>
        <v>1.3643835616438356</v>
      </c>
      <c r="R1501" s="359">
        <f t="shared" si="280"/>
        <v>7.6356164383561644</v>
      </c>
      <c r="S1501" s="360">
        <f t="shared" si="281"/>
        <v>7.6356164383561644</v>
      </c>
      <c r="T1501" s="361">
        <f t="shared" si="282"/>
        <v>0.10555555555555554</v>
      </c>
      <c r="U1501" s="362">
        <f t="shared" si="283"/>
        <v>55944.444444444438</v>
      </c>
      <c r="V1501" s="362">
        <f t="shared" si="284"/>
        <v>452920.55555555556</v>
      </c>
      <c r="W1501" s="362">
        <f t="shared" si="285"/>
        <v>26500</v>
      </c>
      <c r="X1501" s="742">
        <f t="shared" si="276"/>
        <v>426420.55555555556</v>
      </c>
    </row>
    <row r="1502" spans="1:24" ht="13.9">
      <c r="A1502" s="349">
        <f t="shared" si="278"/>
        <v>1494</v>
      </c>
      <c r="B1502" s="654" t="s">
        <v>573</v>
      </c>
      <c r="C1502" s="654" t="s">
        <v>3460</v>
      </c>
      <c r="D1502" s="743" t="s">
        <v>3663</v>
      </c>
      <c r="E1502" s="654" t="s">
        <v>420</v>
      </c>
      <c r="F1502" s="334"/>
      <c r="G1502" s="657">
        <v>44895</v>
      </c>
      <c r="H1502" s="426">
        <v>2914255</v>
      </c>
      <c r="I1502" s="744"/>
      <c r="J1502" s="744"/>
      <c r="K1502" s="354">
        <f t="shared" si="275"/>
        <v>2914255</v>
      </c>
      <c r="L1502" s="657">
        <v>44895</v>
      </c>
      <c r="M1502" s="742">
        <v>107344</v>
      </c>
      <c r="N1502" s="352">
        <f t="shared" si="277"/>
        <v>2806911</v>
      </c>
      <c r="O1502" s="357">
        <f t="shared" si="274"/>
        <v>488</v>
      </c>
      <c r="P1502" s="410">
        <v>9</v>
      </c>
      <c r="Q1502" s="358">
        <f t="shared" si="279"/>
        <v>1.3369863013698631</v>
      </c>
      <c r="R1502" s="359">
        <f t="shared" si="280"/>
        <v>7.6630136986301371</v>
      </c>
      <c r="S1502" s="360">
        <f t="shared" si="281"/>
        <v>7.6630136986301371</v>
      </c>
      <c r="T1502" s="361">
        <f t="shared" si="282"/>
        <v>0.10555555555555554</v>
      </c>
      <c r="U1502" s="362">
        <f t="shared" si="283"/>
        <v>307615.8055555555</v>
      </c>
      <c r="V1502" s="362">
        <f t="shared" si="284"/>
        <v>2499295.1944444445</v>
      </c>
      <c r="W1502" s="362">
        <f t="shared" si="285"/>
        <v>145713</v>
      </c>
      <c r="X1502" s="742">
        <f t="shared" si="276"/>
        <v>2353582.1944444445</v>
      </c>
    </row>
    <row r="1503" spans="1:24" ht="13.9">
      <c r="A1503" s="349">
        <f t="shared" si="278"/>
        <v>1495</v>
      </c>
      <c r="B1503" s="670" t="s">
        <v>323</v>
      </c>
      <c r="C1503" s="654" t="s">
        <v>3460</v>
      </c>
      <c r="D1503" s="743" t="s">
        <v>3663</v>
      </c>
      <c r="E1503" s="670" t="s">
        <v>170</v>
      </c>
      <c r="F1503" s="334"/>
      <c r="G1503" s="672">
        <v>44954</v>
      </c>
      <c r="H1503" s="426">
        <v>9000000</v>
      </c>
      <c r="I1503" s="744"/>
      <c r="J1503" s="744"/>
      <c r="K1503" s="354">
        <f t="shared" si="275"/>
        <v>9000000</v>
      </c>
      <c r="L1503" s="672">
        <v>44954</v>
      </c>
      <c r="M1503" s="742">
        <v>169863</v>
      </c>
      <c r="N1503" s="352">
        <f t="shared" si="277"/>
        <v>8830137</v>
      </c>
      <c r="O1503" s="357">
        <f t="shared" si="274"/>
        <v>429</v>
      </c>
      <c r="P1503" s="410">
        <v>9</v>
      </c>
      <c r="Q1503" s="358">
        <f t="shared" si="279"/>
        <v>1.1753424657534246</v>
      </c>
      <c r="R1503" s="359">
        <f t="shared" si="280"/>
        <v>7.8246575342465752</v>
      </c>
      <c r="S1503" s="360">
        <f t="shared" si="281"/>
        <v>7.8246575342465752</v>
      </c>
      <c r="T1503" s="361">
        <f t="shared" si="282"/>
        <v>0.10555555555555554</v>
      </c>
      <c r="U1503" s="362">
        <f t="shared" si="283"/>
        <v>949999.99999999988</v>
      </c>
      <c r="V1503" s="362">
        <f t="shared" si="284"/>
        <v>7880137</v>
      </c>
      <c r="W1503" s="362">
        <f t="shared" si="285"/>
        <v>450000</v>
      </c>
      <c r="X1503" s="742">
        <f t="shared" si="276"/>
        <v>7430137</v>
      </c>
    </row>
    <row r="1504" spans="1:24" ht="13.9">
      <c r="A1504" s="349">
        <f t="shared" si="278"/>
        <v>1496</v>
      </c>
      <c r="B1504" s="669" t="s">
        <v>568</v>
      </c>
      <c r="C1504" s="681" t="s">
        <v>3460</v>
      </c>
      <c r="D1504" s="743" t="s">
        <v>3663</v>
      </c>
      <c r="E1504" s="669" t="s">
        <v>763</v>
      </c>
      <c r="F1504" s="334"/>
      <c r="G1504" s="672">
        <v>44977</v>
      </c>
      <c r="H1504" s="426">
        <v>1586137</v>
      </c>
      <c r="I1504" s="744"/>
      <c r="J1504" s="744"/>
      <c r="K1504" s="354">
        <f t="shared" si="275"/>
        <v>1586137</v>
      </c>
      <c r="L1504" s="672">
        <v>44977</v>
      </c>
      <c r="M1504" s="742">
        <v>56493</v>
      </c>
      <c r="N1504" s="352">
        <f t="shared" si="277"/>
        <v>1529644</v>
      </c>
      <c r="O1504" s="357">
        <f t="shared" si="274"/>
        <v>406</v>
      </c>
      <c r="P1504" s="410">
        <v>9</v>
      </c>
      <c r="Q1504" s="358">
        <f t="shared" si="279"/>
        <v>1.1123287671232878</v>
      </c>
      <c r="R1504" s="359">
        <f t="shared" si="280"/>
        <v>7.8876712328767127</v>
      </c>
      <c r="S1504" s="360">
        <f t="shared" si="281"/>
        <v>7.8876712328767127</v>
      </c>
      <c r="T1504" s="361">
        <f t="shared" si="282"/>
        <v>0.10555555555555554</v>
      </c>
      <c r="U1504" s="362">
        <f t="shared" si="283"/>
        <v>167425.5722222222</v>
      </c>
      <c r="V1504" s="362">
        <f t="shared" si="284"/>
        <v>1362218.4277777779</v>
      </c>
      <c r="W1504" s="362">
        <f t="shared" si="285"/>
        <v>79307</v>
      </c>
      <c r="X1504" s="742">
        <f t="shared" si="276"/>
        <v>1282911.4277777779</v>
      </c>
    </row>
    <row r="1505" spans="1:24" ht="13.9">
      <c r="A1505" s="349">
        <f t="shared" si="278"/>
        <v>1497</v>
      </c>
      <c r="B1505" s="669" t="s">
        <v>568</v>
      </c>
      <c r="C1505" s="681" t="s">
        <v>3460</v>
      </c>
      <c r="D1505" s="743" t="s">
        <v>3663</v>
      </c>
      <c r="E1505" s="669" t="s">
        <v>763</v>
      </c>
      <c r="F1505" s="334"/>
      <c r="G1505" s="672">
        <v>44977</v>
      </c>
      <c r="H1505" s="426">
        <v>64330</v>
      </c>
      <c r="I1505" s="744"/>
      <c r="J1505" s="744"/>
      <c r="K1505" s="354">
        <f t="shared" si="275"/>
        <v>64330</v>
      </c>
      <c r="L1505" s="672">
        <v>44977</v>
      </c>
      <c r="M1505" s="742">
        <v>2291</v>
      </c>
      <c r="N1505" s="352">
        <f t="shared" si="277"/>
        <v>62039</v>
      </c>
      <c r="O1505" s="357">
        <f t="shared" si="274"/>
        <v>406</v>
      </c>
      <c r="P1505" s="410">
        <v>9</v>
      </c>
      <c r="Q1505" s="358">
        <f t="shared" si="279"/>
        <v>1.1123287671232878</v>
      </c>
      <c r="R1505" s="359">
        <f t="shared" si="280"/>
        <v>7.8876712328767127</v>
      </c>
      <c r="S1505" s="360">
        <f t="shared" si="281"/>
        <v>7.8876712328767127</v>
      </c>
      <c r="T1505" s="361">
        <f t="shared" si="282"/>
        <v>0.10555555555555554</v>
      </c>
      <c r="U1505" s="362">
        <f t="shared" si="283"/>
        <v>6790.3888888888878</v>
      </c>
      <c r="V1505" s="362">
        <f t="shared" si="284"/>
        <v>55248.611111111109</v>
      </c>
      <c r="W1505" s="362">
        <f t="shared" si="285"/>
        <v>3217</v>
      </c>
      <c r="X1505" s="742">
        <f t="shared" si="276"/>
        <v>52031.611111111109</v>
      </c>
    </row>
    <row r="1506" spans="1:24" ht="13.9">
      <c r="A1506" s="349">
        <f t="shared" si="278"/>
        <v>1498</v>
      </c>
      <c r="B1506" s="665" t="s">
        <v>60</v>
      </c>
      <c r="C1506" s="666" t="s">
        <v>22</v>
      </c>
      <c r="D1506" s="743" t="s">
        <v>3663</v>
      </c>
      <c r="E1506" s="665" t="s">
        <v>168</v>
      </c>
      <c r="F1506" s="334"/>
      <c r="G1506" s="668">
        <v>44669</v>
      </c>
      <c r="H1506" s="426">
        <v>114459.99999999999</v>
      </c>
      <c r="I1506" s="744"/>
      <c r="J1506" s="744"/>
      <c r="K1506" s="354">
        <f t="shared" si="275"/>
        <v>114459.99999999999</v>
      </c>
      <c r="L1506" s="668">
        <v>44669</v>
      </c>
      <c r="M1506" s="742">
        <v>12091</v>
      </c>
      <c r="N1506" s="352">
        <f t="shared" si="277"/>
        <v>102368.99999999999</v>
      </c>
      <c r="O1506" s="357">
        <f t="shared" si="274"/>
        <v>714</v>
      </c>
      <c r="P1506" s="410">
        <v>9</v>
      </c>
      <c r="Q1506" s="358">
        <f t="shared" si="279"/>
        <v>1.9561643835616438</v>
      </c>
      <c r="R1506" s="359">
        <f t="shared" si="280"/>
        <v>7.043835616438356</v>
      </c>
      <c r="S1506" s="360">
        <f t="shared" si="281"/>
        <v>7.043835616438356</v>
      </c>
      <c r="T1506" s="361">
        <f t="shared" si="282"/>
        <v>0.10555555555555554</v>
      </c>
      <c r="U1506" s="362">
        <f t="shared" si="283"/>
        <v>12081.888888888885</v>
      </c>
      <c r="V1506" s="362">
        <f t="shared" si="284"/>
        <v>90287.111111111095</v>
      </c>
      <c r="W1506" s="362">
        <f t="shared" si="285"/>
        <v>5723</v>
      </c>
      <c r="X1506" s="742">
        <f t="shared" si="276"/>
        <v>84564.111111111095</v>
      </c>
    </row>
    <row r="1507" spans="1:24" ht="13.9">
      <c r="A1507" s="349">
        <f t="shared" si="278"/>
        <v>1499</v>
      </c>
      <c r="B1507" s="684" t="s">
        <v>317</v>
      </c>
      <c r="C1507" s="695" t="s">
        <v>22</v>
      </c>
      <c r="D1507" s="743" t="s">
        <v>3663</v>
      </c>
      <c r="E1507" s="684" t="s">
        <v>411</v>
      </c>
      <c r="F1507" s="334"/>
      <c r="G1507" s="657">
        <v>44795</v>
      </c>
      <c r="H1507" s="426">
        <v>450000</v>
      </c>
      <c r="I1507" s="744"/>
      <c r="J1507" s="744"/>
      <c r="K1507" s="354">
        <f t="shared" si="275"/>
        <v>450000</v>
      </c>
      <c r="L1507" s="657">
        <v>44795</v>
      </c>
      <c r="M1507" s="742">
        <v>30274</v>
      </c>
      <c r="N1507" s="352">
        <f t="shared" si="277"/>
        <v>419726</v>
      </c>
      <c r="O1507" s="357">
        <f t="shared" si="274"/>
        <v>588</v>
      </c>
      <c r="P1507" s="410">
        <v>9</v>
      </c>
      <c r="Q1507" s="358">
        <f t="shared" si="279"/>
        <v>1.6109589041095891</v>
      </c>
      <c r="R1507" s="359">
        <f t="shared" si="280"/>
        <v>7.3890410958904109</v>
      </c>
      <c r="S1507" s="360">
        <f t="shared" si="281"/>
        <v>7.3890410958904109</v>
      </c>
      <c r="T1507" s="361">
        <f t="shared" si="282"/>
        <v>0.10555555555555554</v>
      </c>
      <c r="U1507" s="362">
        <f t="shared" si="283"/>
        <v>47499.999999999993</v>
      </c>
      <c r="V1507" s="362">
        <f t="shared" si="284"/>
        <v>372226</v>
      </c>
      <c r="W1507" s="362">
        <f t="shared" si="285"/>
        <v>22500</v>
      </c>
      <c r="X1507" s="742">
        <f t="shared" si="276"/>
        <v>349726</v>
      </c>
    </row>
    <row r="1508" spans="1:24" ht="13.9">
      <c r="A1508" s="349">
        <f t="shared" si="278"/>
        <v>1500</v>
      </c>
      <c r="B1508" s="684" t="s">
        <v>318</v>
      </c>
      <c r="C1508" s="695" t="s">
        <v>22</v>
      </c>
      <c r="D1508" s="743" t="s">
        <v>3663</v>
      </c>
      <c r="E1508" s="684" t="s">
        <v>411</v>
      </c>
      <c r="F1508" s="334"/>
      <c r="G1508" s="657">
        <v>44793</v>
      </c>
      <c r="H1508" s="426">
        <v>500000</v>
      </c>
      <c r="I1508" s="744"/>
      <c r="J1508" s="744"/>
      <c r="K1508" s="354">
        <f t="shared" si="275"/>
        <v>500000</v>
      </c>
      <c r="L1508" s="657">
        <v>44793</v>
      </c>
      <c r="M1508" s="742">
        <v>33942</v>
      </c>
      <c r="N1508" s="352">
        <f t="shared" si="277"/>
        <v>466058</v>
      </c>
      <c r="O1508" s="357">
        <f t="shared" si="274"/>
        <v>590</v>
      </c>
      <c r="P1508" s="410">
        <v>9</v>
      </c>
      <c r="Q1508" s="358">
        <f t="shared" si="279"/>
        <v>1.6164383561643836</v>
      </c>
      <c r="R1508" s="359">
        <f t="shared" si="280"/>
        <v>7.3835616438356162</v>
      </c>
      <c r="S1508" s="360">
        <f t="shared" si="281"/>
        <v>7.3835616438356162</v>
      </c>
      <c r="T1508" s="361">
        <f t="shared" si="282"/>
        <v>0.10555555555555554</v>
      </c>
      <c r="U1508" s="362">
        <f t="shared" si="283"/>
        <v>52777.777777777774</v>
      </c>
      <c r="V1508" s="362">
        <f t="shared" si="284"/>
        <v>413280.22222222225</v>
      </c>
      <c r="W1508" s="362">
        <f t="shared" si="285"/>
        <v>25000</v>
      </c>
      <c r="X1508" s="742">
        <f t="shared" si="276"/>
        <v>388280.22222222225</v>
      </c>
    </row>
    <row r="1509" spans="1:24" ht="13.9">
      <c r="A1509" s="349">
        <f t="shared" si="278"/>
        <v>1501</v>
      </c>
      <c r="B1509" s="684" t="s">
        <v>309</v>
      </c>
      <c r="C1509" s="695" t="s">
        <v>22</v>
      </c>
      <c r="D1509" s="743" t="s">
        <v>3663</v>
      </c>
      <c r="E1509" s="684" t="s">
        <v>412</v>
      </c>
      <c r="F1509" s="334"/>
      <c r="G1509" s="657">
        <v>44812</v>
      </c>
      <c r="H1509" s="426">
        <v>116589</v>
      </c>
      <c r="I1509" s="744"/>
      <c r="J1509" s="744"/>
      <c r="K1509" s="354">
        <f t="shared" si="275"/>
        <v>116589</v>
      </c>
      <c r="L1509" s="657">
        <v>44812</v>
      </c>
      <c r="M1509" s="742">
        <v>7240</v>
      </c>
      <c r="N1509" s="352">
        <f t="shared" si="277"/>
        <v>109349</v>
      </c>
      <c r="O1509" s="357">
        <f t="shared" si="274"/>
        <v>571</v>
      </c>
      <c r="P1509" s="410">
        <v>9</v>
      </c>
      <c r="Q1509" s="358">
        <f t="shared" si="279"/>
        <v>1.5643835616438355</v>
      </c>
      <c r="R1509" s="359">
        <f t="shared" si="280"/>
        <v>7.4356164383561643</v>
      </c>
      <c r="S1509" s="360">
        <f t="shared" si="281"/>
        <v>7.4356164383561643</v>
      </c>
      <c r="T1509" s="361">
        <f t="shared" si="282"/>
        <v>0.10555555555555554</v>
      </c>
      <c r="U1509" s="362">
        <f t="shared" si="283"/>
        <v>12306.616666666665</v>
      </c>
      <c r="V1509" s="362">
        <f t="shared" si="284"/>
        <v>97042.383333333331</v>
      </c>
      <c r="W1509" s="362">
        <f t="shared" si="285"/>
        <v>5829</v>
      </c>
      <c r="X1509" s="742">
        <f t="shared" si="276"/>
        <v>91213.383333333331</v>
      </c>
    </row>
    <row r="1510" spans="1:24" ht="13.9">
      <c r="A1510" s="349">
        <f t="shared" si="278"/>
        <v>1502</v>
      </c>
      <c r="B1510" s="684" t="s">
        <v>309</v>
      </c>
      <c r="C1510" s="695" t="s">
        <v>22</v>
      </c>
      <c r="D1510" s="743" t="s">
        <v>3663</v>
      </c>
      <c r="E1510" s="684" t="s">
        <v>413</v>
      </c>
      <c r="F1510" s="334"/>
      <c r="G1510" s="657">
        <v>44812</v>
      </c>
      <c r="H1510" s="426">
        <v>227000</v>
      </c>
      <c r="I1510" s="744"/>
      <c r="J1510" s="744"/>
      <c r="K1510" s="354">
        <f t="shared" si="275"/>
        <v>227000</v>
      </c>
      <c r="L1510" s="657">
        <v>44812</v>
      </c>
      <c r="M1510" s="742">
        <v>14097</v>
      </c>
      <c r="N1510" s="352">
        <f t="shared" si="277"/>
        <v>212903</v>
      </c>
      <c r="O1510" s="357">
        <f t="shared" si="274"/>
        <v>571</v>
      </c>
      <c r="P1510" s="410">
        <v>9</v>
      </c>
      <c r="Q1510" s="358">
        <f t="shared" si="279"/>
        <v>1.5643835616438355</v>
      </c>
      <c r="R1510" s="359">
        <f t="shared" si="280"/>
        <v>7.4356164383561643</v>
      </c>
      <c r="S1510" s="360">
        <f t="shared" si="281"/>
        <v>7.4356164383561643</v>
      </c>
      <c r="T1510" s="361">
        <f t="shared" si="282"/>
        <v>0.10555555555555554</v>
      </c>
      <c r="U1510" s="362">
        <f t="shared" si="283"/>
        <v>23961.111111111109</v>
      </c>
      <c r="V1510" s="362">
        <f t="shared" si="284"/>
        <v>188941.88888888888</v>
      </c>
      <c r="W1510" s="362">
        <f t="shared" si="285"/>
        <v>11350</v>
      </c>
      <c r="X1510" s="742">
        <f t="shared" si="276"/>
        <v>177591.88888888888</v>
      </c>
    </row>
    <row r="1511" spans="1:24" ht="13.9">
      <c r="A1511" s="349">
        <f t="shared" si="278"/>
        <v>1503</v>
      </c>
      <c r="B1511" s="654" t="s">
        <v>332</v>
      </c>
      <c r="C1511" s="684" t="s">
        <v>22</v>
      </c>
      <c r="D1511" s="743" t="s">
        <v>3663</v>
      </c>
      <c r="E1511" s="654" t="s">
        <v>418</v>
      </c>
      <c r="F1511" s="334"/>
      <c r="G1511" s="657">
        <v>44895</v>
      </c>
      <c r="H1511" s="426">
        <v>155000</v>
      </c>
      <c r="I1511" s="744"/>
      <c r="J1511" s="744"/>
      <c r="K1511" s="354">
        <f t="shared" si="275"/>
        <v>155000</v>
      </c>
      <c r="L1511" s="657">
        <v>44895</v>
      </c>
      <c r="M1511" s="742">
        <v>5709</v>
      </c>
      <c r="N1511" s="352">
        <f t="shared" si="277"/>
        <v>149291</v>
      </c>
      <c r="O1511" s="357">
        <f t="shared" si="274"/>
        <v>488</v>
      </c>
      <c r="P1511" s="410">
        <v>9</v>
      </c>
      <c r="Q1511" s="358">
        <f t="shared" si="279"/>
        <v>1.3369863013698631</v>
      </c>
      <c r="R1511" s="359">
        <f t="shared" si="280"/>
        <v>7.6630136986301371</v>
      </c>
      <c r="S1511" s="360">
        <f t="shared" si="281"/>
        <v>7.6630136986301371</v>
      </c>
      <c r="T1511" s="361">
        <f t="shared" si="282"/>
        <v>0.10555555555555554</v>
      </c>
      <c r="U1511" s="362">
        <f t="shared" si="283"/>
        <v>16361.111111111109</v>
      </c>
      <c r="V1511" s="362">
        <f t="shared" si="284"/>
        <v>132929.88888888888</v>
      </c>
      <c r="W1511" s="362">
        <f t="shared" si="285"/>
        <v>7750</v>
      </c>
      <c r="X1511" s="742">
        <f t="shared" si="276"/>
        <v>125179.88888888888</v>
      </c>
    </row>
    <row r="1512" spans="1:24" ht="13.9">
      <c r="A1512" s="349">
        <f t="shared" si="278"/>
        <v>1504</v>
      </c>
      <c r="B1512" s="654" t="s">
        <v>332</v>
      </c>
      <c r="C1512" s="684" t="s">
        <v>22</v>
      </c>
      <c r="D1512" s="743" t="s">
        <v>3663</v>
      </c>
      <c r="E1512" s="654" t="s">
        <v>418</v>
      </c>
      <c r="F1512" s="334"/>
      <c r="G1512" s="657">
        <v>44895</v>
      </c>
      <c r="H1512" s="426">
        <v>155000</v>
      </c>
      <c r="I1512" s="744"/>
      <c r="J1512" s="744"/>
      <c r="K1512" s="354">
        <f t="shared" si="275"/>
        <v>155000</v>
      </c>
      <c r="L1512" s="657">
        <v>44895</v>
      </c>
      <c r="M1512" s="742">
        <v>5709</v>
      </c>
      <c r="N1512" s="352">
        <f t="shared" si="277"/>
        <v>149291</v>
      </c>
      <c r="O1512" s="357">
        <f t="shared" si="274"/>
        <v>488</v>
      </c>
      <c r="P1512" s="410">
        <v>9</v>
      </c>
      <c r="Q1512" s="358">
        <f t="shared" si="279"/>
        <v>1.3369863013698631</v>
      </c>
      <c r="R1512" s="359">
        <f t="shared" si="280"/>
        <v>7.6630136986301371</v>
      </c>
      <c r="S1512" s="360">
        <f t="shared" si="281"/>
        <v>7.6630136986301371</v>
      </c>
      <c r="T1512" s="361">
        <f t="shared" si="282"/>
        <v>0.10555555555555554</v>
      </c>
      <c r="U1512" s="362">
        <f t="shared" si="283"/>
        <v>16361.111111111109</v>
      </c>
      <c r="V1512" s="362">
        <f t="shared" si="284"/>
        <v>132929.88888888888</v>
      </c>
      <c r="W1512" s="362">
        <f t="shared" si="285"/>
        <v>7750</v>
      </c>
      <c r="X1512" s="742">
        <f t="shared" si="276"/>
        <v>125179.88888888888</v>
      </c>
    </row>
    <row r="1513" spans="1:24" ht="13.9">
      <c r="A1513" s="349">
        <f t="shared" si="278"/>
        <v>1505</v>
      </c>
      <c r="B1513" s="654" t="s">
        <v>574</v>
      </c>
      <c r="C1513" s="684" t="s">
        <v>22</v>
      </c>
      <c r="D1513" s="743" t="s">
        <v>3663</v>
      </c>
      <c r="E1513" s="654" t="s">
        <v>769</v>
      </c>
      <c r="F1513" s="334"/>
      <c r="G1513" s="657">
        <v>44864</v>
      </c>
      <c r="H1513" s="426">
        <v>155334.78</v>
      </c>
      <c r="I1513" s="744"/>
      <c r="J1513" s="744"/>
      <c r="K1513" s="354">
        <f t="shared" si="275"/>
        <v>155334.78</v>
      </c>
      <c r="L1513" s="657">
        <v>44864</v>
      </c>
      <c r="M1513" s="742">
        <v>7187</v>
      </c>
      <c r="N1513" s="352">
        <f t="shared" si="277"/>
        <v>148147.78</v>
      </c>
      <c r="O1513" s="357">
        <f t="shared" si="274"/>
        <v>519</v>
      </c>
      <c r="P1513" s="410">
        <v>9</v>
      </c>
      <c r="Q1513" s="358">
        <f t="shared" si="279"/>
        <v>1.4219178082191781</v>
      </c>
      <c r="R1513" s="359">
        <f t="shared" si="280"/>
        <v>7.5780821917808217</v>
      </c>
      <c r="S1513" s="360">
        <f t="shared" si="281"/>
        <v>7.5780821917808217</v>
      </c>
      <c r="T1513" s="361">
        <f t="shared" si="282"/>
        <v>0.10555555555555554</v>
      </c>
      <c r="U1513" s="362">
        <f t="shared" si="283"/>
        <v>16396.448999999997</v>
      </c>
      <c r="V1513" s="362">
        <f t="shared" si="284"/>
        <v>131751.33100000001</v>
      </c>
      <c r="W1513" s="362">
        <f t="shared" si="285"/>
        <v>7767</v>
      </c>
      <c r="X1513" s="742">
        <f t="shared" si="276"/>
        <v>123984.33100000001</v>
      </c>
    </row>
    <row r="1514" spans="1:24" ht="13.9">
      <c r="A1514" s="349">
        <f t="shared" si="278"/>
        <v>1506</v>
      </c>
      <c r="B1514" s="654" t="s">
        <v>60</v>
      </c>
      <c r="C1514" s="684" t="s">
        <v>22</v>
      </c>
      <c r="D1514" s="743" t="s">
        <v>3663</v>
      </c>
      <c r="E1514" s="654" t="s">
        <v>770</v>
      </c>
      <c r="F1514" s="334"/>
      <c r="G1514" s="657">
        <v>44865</v>
      </c>
      <c r="H1514" s="426">
        <v>425000</v>
      </c>
      <c r="I1514" s="744"/>
      <c r="J1514" s="744"/>
      <c r="K1514" s="354">
        <f t="shared" si="275"/>
        <v>425000</v>
      </c>
      <c r="L1514" s="657">
        <v>44865</v>
      </c>
      <c r="M1514" s="742">
        <v>19536</v>
      </c>
      <c r="N1514" s="352">
        <f t="shared" si="277"/>
        <v>405464</v>
      </c>
      <c r="O1514" s="357">
        <f t="shared" si="274"/>
        <v>518</v>
      </c>
      <c r="P1514" s="410">
        <v>9</v>
      </c>
      <c r="Q1514" s="358">
        <f t="shared" si="279"/>
        <v>1.4191780821917808</v>
      </c>
      <c r="R1514" s="359">
        <f t="shared" si="280"/>
        <v>7.580821917808219</v>
      </c>
      <c r="S1514" s="360">
        <f t="shared" si="281"/>
        <v>7.580821917808219</v>
      </c>
      <c r="T1514" s="361">
        <f t="shared" si="282"/>
        <v>0.10555555555555554</v>
      </c>
      <c r="U1514" s="362">
        <f t="shared" si="283"/>
        <v>44861.111111111102</v>
      </c>
      <c r="V1514" s="362">
        <f t="shared" si="284"/>
        <v>360602.88888888888</v>
      </c>
      <c r="W1514" s="362">
        <f t="shared" si="285"/>
        <v>21250</v>
      </c>
      <c r="X1514" s="742">
        <f t="shared" si="276"/>
        <v>339352.88888888888</v>
      </c>
    </row>
    <row r="1515" spans="1:24" ht="13.9">
      <c r="A1515" s="349">
        <f t="shared" si="278"/>
        <v>1507</v>
      </c>
      <c r="B1515" s="654" t="s">
        <v>60</v>
      </c>
      <c r="C1515" s="684" t="s">
        <v>22</v>
      </c>
      <c r="D1515" s="743" t="s">
        <v>3663</v>
      </c>
      <c r="E1515" s="654" t="s">
        <v>770</v>
      </c>
      <c r="F1515" s="334"/>
      <c r="G1515" s="657">
        <v>44865</v>
      </c>
      <c r="H1515" s="426">
        <v>425000</v>
      </c>
      <c r="I1515" s="744"/>
      <c r="J1515" s="744"/>
      <c r="K1515" s="354">
        <f t="shared" si="275"/>
        <v>425000</v>
      </c>
      <c r="L1515" s="657">
        <v>44865</v>
      </c>
      <c r="M1515" s="742">
        <v>19536</v>
      </c>
      <c r="N1515" s="352">
        <f t="shared" si="277"/>
        <v>405464</v>
      </c>
      <c r="O1515" s="357">
        <f t="shared" si="274"/>
        <v>518</v>
      </c>
      <c r="P1515" s="410">
        <v>9</v>
      </c>
      <c r="Q1515" s="358">
        <f t="shared" si="279"/>
        <v>1.4191780821917808</v>
      </c>
      <c r="R1515" s="359">
        <f t="shared" si="280"/>
        <v>7.580821917808219</v>
      </c>
      <c r="S1515" s="360">
        <f t="shared" si="281"/>
        <v>7.580821917808219</v>
      </c>
      <c r="T1515" s="361">
        <f t="shared" si="282"/>
        <v>0.10555555555555554</v>
      </c>
      <c r="U1515" s="362">
        <f t="shared" si="283"/>
        <v>44861.111111111102</v>
      </c>
      <c r="V1515" s="362">
        <f t="shared" si="284"/>
        <v>360602.88888888888</v>
      </c>
      <c r="W1515" s="362">
        <f t="shared" si="285"/>
        <v>21250</v>
      </c>
      <c r="X1515" s="742">
        <f t="shared" si="276"/>
        <v>339352.88888888888</v>
      </c>
    </row>
    <row r="1516" spans="1:24" ht="13.9">
      <c r="A1516" s="349">
        <f t="shared" si="278"/>
        <v>1508</v>
      </c>
      <c r="B1516" s="654" t="s">
        <v>60</v>
      </c>
      <c r="C1516" s="684" t="s">
        <v>22</v>
      </c>
      <c r="D1516" s="743" t="s">
        <v>3663</v>
      </c>
      <c r="E1516" s="654" t="s">
        <v>771</v>
      </c>
      <c r="F1516" s="334"/>
      <c r="G1516" s="657">
        <v>44895</v>
      </c>
      <c r="H1516" s="426">
        <v>452000</v>
      </c>
      <c r="I1516" s="744"/>
      <c r="J1516" s="744"/>
      <c r="K1516" s="354">
        <f t="shared" si="275"/>
        <v>452000</v>
      </c>
      <c r="L1516" s="657">
        <v>44895</v>
      </c>
      <c r="M1516" s="742">
        <v>16649</v>
      </c>
      <c r="N1516" s="352">
        <f t="shared" si="277"/>
        <v>435351</v>
      </c>
      <c r="O1516" s="357">
        <f t="shared" si="274"/>
        <v>488</v>
      </c>
      <c r="P1516" s="410">
        <v>9</v>
      </c>
      <c r="Q1516" s="358">
        <f t="shared" si="279"/>
        <v>1.3369863013698631</v>
      </c>
      <c r="R1516" s="359">
        <f t="shared" si="280"/>
        <v>7.6630136986301371</v>
      </c>
      <c r="S1516" s="360">
        <f t="shared" si="281"/>
        <v>7.6630136986301371</v>
      </c>
      <c r="T1516" s="361">
        <f t="shared" si="282"/>
        <v>0.10555555555555554</v>
      </c>
      <c r="U1516" s="362">
        <f t="shared" si="283"/>
        <v>47711.111111111102</v>
      </c>
      <c r="V1516" s="362">
        <f t="shared" si="284"/>
        <v>387639.88888888888</v>
      </c>
      <c r="W1516" s="362">
        <f t="shared" si="285"/>
        <v>22600</v>
      </c>
      <c r="X1516" s="742">
        <f t="shared" si="276"/>
        <v>365039.88888888888</v>
      </c>
    </row>
    <row r="1517" spans="1:24" ht="13.9">
      <c r="A1517" s="349">
        <f t="shared" si="278"/>
        <v>1509</v>
      </c>
      <c r="B1517" s="654" t="s">
        <v>60</v>
      </c>
      <c r="C1517" s="684" t="s">
        <v>22</v>
      </c>
      <c r="D1517" s="743" t="s">
        <v>3663</v>
      </c>
      <c r="E1517" s="654" t="s">
        <v>771</v>
      </c>
      <c r="F1517" s="334"/>
      <c r="G1517" s="657">
        <v>44926</v>
      </c>
      <c r="H1517" s="426">
        <v>113000</v>
      </c>
      <c r="I1517" s="744"/>
      <c r="J1517" s="744"/>
      <c r="K1517" s="354">
        <f t="shared" si="275"/>
        <v>113000</v>
      </c>
      <c r="L1517" s="657">
        <v>44926</v>
      </c>
      <c r="M1517" s="742">
        <v>3096</v>
      </c>
      <c r="N1517" s="352">
        <f t="shared" si="277"/>
        <v>109904</v>
      </c>
      <c r="O1517" s="357">
        <f t="shared" si="274"/>
        <v>457</v>
      </c>
      <c r="P1517" s="410">
        <v>9</v>
      </c>
      <c r="Q1517" s="358">
        <f t="shared" si="279"/>
        <v>1.252054794520548</v>
      </c>
      <c r="R1517" s="359">
        <f t="shared" si="280"/>
        <v>7.7479452054794518</v>
      </c>
      <c r="S1517" s="360">
        <f t="shared" si="281"/>
        <v>7.7479452054794518</v>
      </c>
      <c r="T1517" s="361">
        <f t="shared" si="282"/>
        <v>0.10555555555555554</v>
      </c>
      <c r="U1517" s="362">
        <f t="shared" si="283"/>
        <v>11927.777777777776</v>
      </c>
      <c r="V1517" s="362">
        <f t="shared" si="284"/>
        <v>97976.222222222219</v>
      </c>
      <c r="W1517" s="362">
        <f t="shared" si="285"/>
        <v>5650</v>
      </c>
      <c r="X1517" s="742">
        <f t="shared" si="276"/>
        <v>92326.222222222219</v>
      </c>
    </row>
    <row r="1518" spans="1:24" ht="13.9">
      <c r="A1518" s="349">
        <f t="shared" si="278"/>
        <v>1510</v>
      </c>
      <c r="B1518" s="654" t="s">
        <v>60</v>
      </c>
      <c r="C1518" s="684" t="s">
        <v>22</v>
      </c>
      <c r="D1518" s="743" t="s">
        <v>3663</v>
      </c>
      <c r="E1518" s="654" t="s">
        <v>771</v>
      </c>
      <c r="F1518" s="334"/>
      <c r="G1518" s="657">
        <v>44926</v>
      </c>
      <c r="H1518" s="426">
        <v>466000</v>
      </c>
      <c r="I1518" s="744"/>
      <c r="J1518" s="744"/>
      <c r="K1518" s="354">
        <f t="shared" si="275"/>
        <v>466000</v>
      </c>
      <c r="L1518" s="657">
        <v>44926</v>
      </c>
      <c r="M1518" s="742">
        <v>12767</v>
      </c>
      <c r="N1518" s="352">
        <f t="shared" si="277"/>
        <v>453233</v>
      </c>
      <c r="O1518" s="357">
        <f t="shared" si="274"/>
        <v>457</v>
      </c>
      <c r="P1518" s="410">
        <v>9</v>
      </c>
      <c r="Q1518" s="358">
        <f t="shared" si="279"/>
        <v>1.252054794520548</v>
      </c>
      <c r="R1518" s="359">
        <f t="shared" si="280"/>
        <v>7.7479452054794518</v>
      </c>
      <c r="S1518" s="360">
        <f t="shared" si="281"/>
        <v>7.7479452054794518</v>
      </c>
      <c r="T1518" s="361">
        <f t="shared" si="282"/>
        <v>0.10555555555555554</v>
      </c>
      <c r="U1518" s="362">
        <f t="shared" si="283"/>
        <v>49188.888888888883</v>
      </c>
      <c r="V1518" s="362">
        <f t="shared" si="284"/>
        <v>404044.11111111112</v>
      </c>
      <c r="W1518" s="362">
        <f t="shared" si="285"/>
        <v>23300</v>
      </c>
      <c r="X1518" s="742">
        <f t="shared" si="276"/>
        <v>380744.11111111112</v>
      </c>
    </row>
    <row r="1519" spans="1:24" ht="13.9">
      <c r="A1519" s="349">
        <f t="shared" si="278"/>
        <v>1511</v>
      </c>
      <c r="B1519" s="654" t="s">
        <v>318</v>
      </c>
      <c r="C1519" s="684" t="s">
        <v>22</v>
      </c>
      <c r="D1519" s="743" t="s">
        <v>3663</v>
      </c>
      <c r="E1519" s="654" t="s">
        <v>772</v>
      </c>
      <c r="F1519" s="334"/>
      <c r="G1519" s="657">
        <v>44835</v>
      </c>
      <c r="H1519" s="426">
        <v>1030000</v>
      </c>
      <c r="I1519" s="744"/>
      <c r="J1519" s="744"/>
      <c r="K1519" s="354">
        <f t="shared" si="275"/>
        <v>1030000</v>
      </c>
      <c r="L1519" s="657">
        <v>44835</v>
      </c>
      <c r="M1519" s="742">
        <v>56752</v>
      </c>
      <c r="N1519" s="352">
        <f t="shared" si="277"/>
        <v>973248</v>
      </c>
      <c r="O1519" s="357">
        <f t="shared" si="274"/>
        <v>548</v>
      </c>
      <c r="P1519" s="410">
        <v>9</v>
      </c>
      <c r="Q1519" s="358">
        <f t="shared" si="279"/>
        <v>1.5013698630136987</v>
      </c>
      <c r="R1519" s="359">
        <f t="shared" si="280"/>
        <v>7.4986301369863018</v>
      </c>
      <c r="S1519" s="360">
        <f t="shared" si="281"/>
        <v>7.4986301369863018</v>
      </c>
      <c r="T1519" s="361">
        <f t="shared" si="282"/>
        <v>0.10555555555555554</v>
      </c>
      <c r="U1519" s="362">
        <f t="shared" si="283"/>
        <v>108722.2222222222</v>
      </c>
      <c r="V1519" s="362">
        <f t="shared" si="284"/>
        <v>864525.77777777775</v>
      </c>
      <c r="W1519" s="362">
        <f t="shared" si="285"/>
        <v>51500</v>
      </c>
      <c r="X1519" s="742">
        <f t="shared" si="276"/>
        <v>813025.77777777775</v>
      </c>
    </row>
    <row r="1520" spans="1:24" ht="13.9">
      <c r="A1520" s="349">
        <f t="shared" si="278"/>
        <v>1512</v>
      </c>
      <c r="B1520" s="654" t="s">
        <v>568</v>
      </c>
      <c r="C1520" s="684" t="s">
        <v>22</v>
      </c>
      <c r="D1520" s="743" t="s">
        <v>3663</v>
      </c>
      <c r="E1520" s="654" t="s">
        <v>413</v>
      </c>
      <c r="F1520" s="334"/>
      <c r="G1520" s="657">
        <v>44835</v>
      </c>
      <c r="H1520" s="426">
        <v>75000</v>
      </c>
      <c r="I1520" s="744"/>
      <c r="J1520" s="744"/>
      <c r="K1520" s="354">
        <f t="shared" si="275"/>
        <v>75000</v>
      </c>
      <c r="L1520" s="657">
        <v>44835</v>
      </c>
      <c r="M1520" s="742">
        <v>12397</v>
      </c>
      <c r="N1520" s="352">
        <f t="shared" si="277"/>
        <v>62603</v>
      </c>
      <c r="O1520" s="357">
        <f t="shared" si="274"/>
        <v>548</v>
      </c>
      <c r="P1520" s="410">
        <v>9</v>
      </c>
      <c r="Q1520" s="358">
        <f t="shared" si="279"/>
        <v>1.5013698630136987</v>
      </c>
      <c r="R1520" s="359">
        <f t="shared" si="280"/>
        <v>7.4986301369863018</v>
      </c>
      <c r="S1520" s="360">
        <f t="shared" si="281"/>
        <v>7.4986301369863018</v>
      </c>
      <c r="T1520" s="361">
        <f t="shared" si="282"/>
        <v>0.10555555555555554</v>
      </c>
      <c r="U1520" s="362">
        <f t="shared" si="283"/>
        <v>7916.6666666666652</v>
      </c>
      <c r="V1520" s="362">
        <f t="shared" si="284"/>
        <v>54686.333333333336</v>
      </c>
      <c r="W1520" s="362">
        <f t="shared" si="285"/>
        <v>3750</v>
      </c>
      <c r="X1520" s="742">
        <f t="shared" si="276"/>
        <v>50936.333333333336</v>
      </c>
    </row>
    <row r="1521" spans="1:24" ht="13.9">
      <c r="A1521" s="349">
        <f t="shared" si="278"/>
        <v>1513</v>
      </c>
      <c r="B1521" s="654" t="s">
        <v>568</v>
      </c>
      <c r="C1521" s="684" t="s">
        <v>22</v>
      </c>
      <c r="D1521" s="743" t="s">
        <v>3663</v>
      </c>
      <c r="E1521" s="654" t="s">
        <v>413</v>
      </c>
      <c r="F1521" s="334"/>
      <c r="G1521" s="657">
        <v>44835</v>
      </c>
      <c r="H1521" s="426">
        <v>84000</v>
      </c>
      <c r="I1521" s="744"/>
      <c r="J1521" s="744"/>
      <c r="K1521" s="354">
        <f t="shared" si="275"/>
        <v>84000</v>
      </c>
      <c r="L1521" s="657">
        <v>44835</v>
      </c>
      <c r="M1521" s="742">
        <v>13885</v>
      </c>
      <c r="N1521" s="352">
        <f t="shared" si="277"/>
        <v>70115</v>
      </c>
      <c r="O1521" s="357">
        <f t="shared" si="274"/>
        <v>548</v>
      </c>
      <c r="P1521" s="410">
        <v>9</v>
      </c>
      <c r="Q1521" s="358">
        <f t="shared" si="279"/>
        <v>1.5013698630136987</v>
      </c>
      <c r="R1521" s="359">
        <f t="shared" si="280"/>
        <v>7.4986301369863018</v>
      </c>
      <c r="S1521" s="360">
        <f t="shared" si="281"/>
        <v>7.4986301369863018</v>
      </c>
      <c r="T1521" s="361">
        <f t="shared" si="282"/>
        <v>0.10555555555555554</v>
      </c>
      <c r="U1521" s="362">
        <f t="shared" si="283"/>
        <v>8866.6666666666661</v>
      </c>
      <c r="V1521" s="362">
        <f t="shared" si="284"/>
        <v>61248.333333333336</v>
      </c>
      <c r="W1521" s="362">
        <f t="shared" si="285"/>
        <v>4200</v>
      </c>
      <c r="X1521" s="742">
        <f t="shared" si="276"/>
        <v>57048.333333333336</v>
      </c>
    </row>
    <row r="1522" spans="1:24" ht="13.9">
      <c r="A1522" s="349">
        <f t="shared" si="278"/>
        <v>1514</v>
      </c>
      <c r="B1522" s="654" t="s">
        <v>568</v>
      </c>
      <c r="C1522" s="684" t="s">
        <v>22</v>
      </c>
      <c r="D1522" s="743" t="s">
        <v>3663</v>
      </c>
      <c r="E1522" s="654" t="s">
        <v>413</v>
      </c>
      <c r="F1522" s="334"/>
      <c r="G1522" s="657">
        <v>44895</v>
      </c>
      <c r="H1522" s="426">
        <v>99000</v>
      </c>
      <c r="I1522" s="744"/>
      <c r="J1522" s="744"/>
      <c r="K1522" s="354">
        <f t="shared" si="275"/>
        <v>99000</v>
      </c>
      <c r="L1522" s="657">
        <v>44895</v>
      </c>
      <c r="M1522" s="742">
        <v>10940</v>
      </c>
      <c r="N1522" s="352">
        <f t="shared" si="277"/>
        <v>88060</v>
      </c>
      <c r="O1522" s="357">
        <f t="shared" si="274"/>
        <v>488</v>
      </c>
      <c r="P1522" s="410">
        <v>9</v>
      </c>
      <c r="Q1522" s="358">
        <f t="shared" si="279"/>
        <v>1.3369863013698631</v>
      </c>
      <c r="R1522" s="359">
        <f t="shared" si="280"/>
        <v>7.6630136986301371</v>
      </c>
      <c r="S1522" s="360">
        <f t="shared" si="281"/>
        <v>7.6630136986301371</v>
      </c>
      <c r="T1522" s="361">
        <f t="shared" si="282"/>
        <v>0.10555555555555554</v>
      </c>
      <c r="U1522" s="362">
        <f t="shared" si="283"/>
        <v>10449.999999999998</v>
      </c>
      <c r="V1522" s="362">
        <f t="shared" si="284"/>
        <v>77610</v>
      </c>
      <c r="W1522" s="362">
        <f t="shared" si="285"/>
        <v>4950</v>
      </c>
      <c r="X1522" s="742">
        <f t="shared" si="276"/>
        <v>72660</v>
      </c>
    </row>
    <row r="1523" spans="1:24" ht="13.9">
      <c r="A1523" s="349">
        <f t="shared" si="278"/>
        <v>1515</v>
      </c>
      <c r="B1523" s="654" t="s">
        <v>568</v>
      </c>
      <c r="C1523" s="684" t="s">
        <v>22</v>
      </c>
      <c r="D1523" s="743" t="s">
        <v>3663</v>
      </c>
      <c r="E1523" s="654" t="s">
        <v>413</v>
      </c>
      <c r="F1523" s="334"/>
      <c r="G1523" s="657">
        <v>44895</v>
      </c>
      <c r="H1523" s="426">
        <v>21700</v>
      </c>
      <c r="I1523" s="744"/>
      <c r="J1523" s="744"/>
      <c r="K1523" s="354">
        <f t="shared" si="275"/>
        <v>21700</v>
      </c>
      <c r="L1523" s="657">
        <v>44895</v>
      </c>
      <c r="M1523" s="742">
        <v>2398</v>
      </c>
      <c r="N1523" s="352">
        <f t="shared" si="277"/>
        <v>19302</v>
      </c>
      <c r="O1523" s="357">
        <f t="shared" si="274"/>
        <v>488</v>
      </c>
      <c r="P1523" s="410">
        <v>9</v>
      </c>
      <c r="Q1523" s="358">
        <f t="shared" si="279"/>
        <v>1.3369863013698631</v>
      </c>
      <c r="R1523" s="359">
        <f t="shared" si="280"/>
        <v>7.6630136986301371</v>
      </c>
      <c r="S1523" s="360">
        <f t="shared" si="281"/>
        <v>7.6630136986301371</v>
      </c>
      <c r="T1523" s="361">
        <f t="shared" si="282"/>
        <v>0.10555555555555554</v>
      </c>
      <c r="U1523" s="362">
        <f t="shared" si="283"/>
        <v>2290.5555555555552</v>
      </c>
      <c r="V1523" s="362">
        <f t="shared" si="284"/>
        <v>17011.444444444445</v>
      </c>
      <c r="W1523" s="362">
        <f t="shared" si="285"/>
        <v>1085</v>
      </c>
      <c r="X1523" s="742">
        <f t="shared" si="276"/>
        <v>15926.444444444445</v>
      </c>
    </row>
    <row r="1524" spans="1:24" ht="13.9">
      <c r="A1524" s="349">
        <f t="shared" si="278"/>
        <v>1516</v>
      </c>
      <c r="B1524" s="654" t="s">
        <v>568</v>
      </c>
      <c r="C1524" s="684" t="s">
        <v>22</v>
      </c>
      <c r="D1524" s="743" t="s">
        <v>3663</v>
      </c>
      <c r="E1524" s="654" t="s">
        <v>413</v>
      </c>
      <c r="F1524" s="334"/>
      <c r="G1524" s="657">
        <v>44926</v>
      </c>
      <c r="H1524" s="426">
        <v>131700</v>
      </c>
      <c r="I1524" s="744"/>
      <c r="J1524" s="744"/>
      <c r="K1524" s="354">
        <f t="shared" si="275"/>
        <v>131700</v>
      </c>
      <c r="L1524" s="657">
        <v>44926</v>
      </c>
      <c r="M1524" s="742">
        <v>10825</v>
      </c>
      <c r="N1524" s="352">
        <f t="shared" si="277"/>
        <v>120875</v>
      </c>
      <c r="O1524" s="357">
        <f t="shared" si="274"/>
        <v>457</v>
      </c>
      <c r="P1524" s="410">
        <v>9</v>
      </c>
      <c r="Q1524" s="358">
        <f t="shared" si="279"/>
        <v>1.252054794520548</v>
      </c>
      <c r="R1524" s="359">
        <f t="shared" si="280"/>
        <v>7.7479452054794518</v>
      </c>
      <c r="S1524" s="360">
        <f t="shared" si="281"/>
        <v>7.7479452054794518</v>
      </c>
      <c r="T1524" s="361">
        <f t="shared" si="282"/>
        <v>0.10555555555555554</v>
      </c>
      <c r="U1524" s="362">
        <f t="shared" si="283"/>
        <v>13901.666666666664</v>
      </c>
      <c r="V1524" s="362">
        <f t="shared" si="284"/>
        <v>106973.33333333334</v>
      </c>
      <c r="W1524" s="362">
        <f t="shared" si="285"/>
        <v>6585</v>
      </c>
      <c r="X1524" s="742">
        <f t="shared" si="276"/>
        <v>100388.33333333334</v>
      </c>
    </row>
    <row r="1525" spans="1:24" ht="13.9">
      <c r="A1525" s="349">
        <f t="shared" si="278"/>
        <v>1517</v>
      </c>
      <c r="B1525" s="654" t="s">
        <v>568</v>
      </c>
      <c r="C1525" s="684" t="s">
        <v>22</v>
      </c>
      <c r="D1525" s="743" t="s">
        <v>3663</v>
      </c>
      <c r="E1525" s="654" t="s">
        <v>413</v>
      </c>
      <c r="F1525" s="334"/>
      <c r="G1525" s="657">
        <v>44926</v>
      </c>
      <c r="H1525" s="426">
        <v>15300</v>
      </c>
      <c r="I1525" s="744"/>
      <c r="J1525" s="744"/>
      <c r="K1525" s="354">
        <f t="shared" si="275"/>
        <v>15300</v>
      </c>
      <c r="L1525" s="657">
        <v>44926</v>
      </c>
      <c r="M1525" s="742">
        <v>1258</v>
      </c>
      <c r="N1525" s="352">
        <f t="shared" si="277"/>
        <v>14042</v>
      </c>
      <c r="O1525" s="357">
        <f t="shared" si="274"/>
        <v>457</v>
      </c>
      <c r="P1525" s="410">
        <v>9</v>
      </c>
      <c r="Q1525" s="358">
        <f t="shared" si="279"/>
        <v>1.252054794520548</v>
      </c>
      <c r="R1525" s="359">
        <f t="shared" si="280"/>
        <v>7.7479452054794518</v>
      </c>
      <c r="S1525" s="360">
        <f t="shared" si="281"/>
        <v>7.7479452054794518</v>
      </c>
      <c r="T1525" s="361">
        <f t="shared" si="282"/>
        <v>0.10555555555555554</v>
      </c>
      <c r="U1525" s="362">
        <f t="shared" si="283"/>
        <v>1614.9999999999998</v>
      </c>
      <c r="V1525" s="362">
        <f t="shared" si="284"/>
        <v>12427</v>
      </c>
      <c r="W1525" s="362">
        <f t="shared" si="285"/>
        <v>765</v>
      </c>
      <c r="X1525" s="742">
        <f t="shared" si="276"/>
        <v>11662</v>
      </c>
    </row>
    <row r="1526" spans="1:24" ht="13.9">
      <c r="A1526" s="349">
        <f t="shared" si="278"/>
        <v>1518</v>
      </c>
      <c r="B1526" s="654" t="s">
        <v>320</v>
      </c>
      <c r="C1526" s="684" t="s">
        <v>22</v>
      </c>
      <c r="D1526" s="743" t="s">
        <v>3663</v>
      </c>
      <c r="E1526" s="654" t="s">
        <v>773</v>
      </c>
      <c r="F1526" s="334"/>
      <c r="G1526" s="657">
        <v>44865</v>
      </c>
      <c r="H1526" s="426">
        <v>832500</v>
      </c>
      <c r="I1526" s="744"/>
      <c r="J1526" s="744"/>
      <c r="K1526" s="354">
        <f t="shared" si="275"/>
        <v>832500</v>
      </c>
      <c r="L1526" s="657">
        <v>44865</v>
      </c>
      <c r="M1526" s="742">
        <v>114801</v>
      </c>
      <c r="N1526" s="352">
        <f t="shared" si="277"/>
        <v>717699</v>
      </c>
      <c r="O1526" s="357">
        <f t="shared" si="274"/>
        <v>518</v>
      </c>
      <c r="P1526" s="410">
        <v>9</v>
      </c>
      <c r="Q1526" s="358">
        <f t="shared" si="279"/>
        <v>1.4191780821917808</v>
      </c>
      <c r="R1526" s="359">
        <f t="shared" si="280"/>
        <v>7.580821917808219</v>
      </c>
      <c r="S1526" s="360">
        <f t="shared" si="281"/>
        <v>7.580821917808219</v>
      </c>
      <c r="T1526" s="361">
        <f t="shared" si="282"/>
        <v>0.10555555555555554</v>
      </c>
      <c r="U1526" s="362">
        <f t="shared" si="283"/>
        <v>87874.999999999985</v>
      </c>
      <c r="V1526" s="362">
        <f t="shared" si="284"/>
        <v>629824</v>
      </c>
      <c r="W1526" s="362">
        <f t="shared" si="285"/>
        <v>41625</v>
      </c>
      <c r="X1526" s="742">
        <f t="shared" si="276"/>
        <v>588199</v>
      </c>
    </row>
    <row r="1527" spans="1:24" ht="13.9">
      <c r="A1527" s="349">
        <f t="shared" si="278"/>
        <v>1519</v>
      </c>
      <c r="B1527" s="669" t="s">
        <v>60</v>
      </c>
      <c r="C1527" s="681" t="s">
        <v>22</v>
      </c>
      <c r="D1527" s="743" t="s">
        <v>3663</v>
      </c>
      <c r="E1527" s="669" t="s">
        <v>3495</v>
      </c>
      <c r="F1527" s="334"/>
      <c r="G1527" s="672">
        <v>44972</v>
      </c>
      <c r="H1527" s="426">
        <v>699000</v>
      </c>
      <c r="I1527" s="744"/>
      <c r="J1527" s="744"/>
      <c r="K1527" s="354">
        <f t="shared" si="275"/>
        <v>699000</v>
      </c>
      <c r="L1527" s="672">
        <v>44972</v>
      </c>
      <c r="M1527" s="742">
        <v>9363</v>
      </c>
      <c r="N1527" s="352">
        <f t="shared" si="277"/>
        <v>689637</v>
      </c>
      <c r="O1527" s="357">
        <f t="shared" si="274"/>
        <v>411</v>
      </c>
      <c r="P1527" s="410">
        <v>9</v>
      </c>
      <c r="Q1527" s="358">
        <f t="shared" si="279"/>
        <v>1.1260273972602739</v>
      </c>
      <c r="R1527" s="359">
        <f t="shared" si="280"/>
        <v>7.8739726027397259</v>
      </c>
      <c r="S1527" s="360">
        <f t="shared" si="281"/>
        <v>7.8739726027397259</v>
      </c>
      <c r="T1527" s="361">
        <f t="shared" si="282"/>
        <v>0.10555555555555554</v>
      </c>
      <c r="U1527" s="362">
        <f t="shared" si="283"/>
        <v>73783.333333333328</v>
      </c>
      <c r="V1527" s="362">
        <f t="shared" si="284"/>
        <v>615853.66666666663</v>
      </c>
      <c r="W1527" s="362">
        <f t="shared" si="285"/>
        <v>34950</v>
      </c>
      <c r="X1527" s="742">
        <f t="shared" si="276"/>
        <v>580903.66666666663</v>
      </c>
    </row>
    <row r="1528" spans="1:24" ht="13.9">
      <c r="A1528" s="349">
        <f t="shared" si="278"/>
        <v>1520</v>
      </c>
      <c r="B1528" s="669" t="s">
        <v>3380</v>
      </c>
      <c r="C1528" s="681" t="s">
        <v>22</v>
      </c>
      <c r="D1528" s="743" t="s">
        <v>3663</v>
      </c>
      <c r="E1528" s="669" t="s">
        <v>413</v>
      </c>
      <c r="F1528" s="334"/>
      <c r="G1528" s="672">
        <v>44984</v>
      </c>
      <c r="H1528" s="426">
        <v>370000</v>
      </c>
      <c r="I1528" s="744"/>
      <c r="J1528" s="744"/>
      <c r="K1528" s="354">
        <f t="shared" si="275"/>
        <v>370000</v>
      </c>
      <c r="L1528" s="672">
        <v>44984</v>
      </c>
      <c r="M1528" s="742">
        <v>10813</v>
      </c>
      <c r="N1528" s="352">
        <f t="shared" si="277"/>
        <v>359187</v>
      </c>
      <c r="O1528" s="357">
        <f t="shared" si="274"/>
        <v>399</v>
      </c>
      <c r="P1528" s="410">
        <v>9</v>
      </c>
      <c r="Q1528" s="358">
        <f t="shared" si="279"/>
        <v>1.0931506849315069</v>
      </c>
      <c r="R1528" s="359">
        <f t="shared" si="280"/>
        <v>7.9068493150684933</v>
      </c>
      <c r="S1528" s="360">
        <f t="shared" si="281"/>
        <v>7.9068493150684933</v>
      </c>
      <c r="T1528" s="361">
        <f t="shared" si="282"/>
        <v>0.10555555555555554</v>
      </c>
      <c r="U1528" s="362">
        <f t="shared" si="283"/>
        <v>39055.555555555547</v>
      </c>
      <c r="V1528" s="362">
        <f t="shared" si="284"/>
        <v>320131.44444444444</v>
      </c>
      <c r="W1528" s="362">
        <f t="shared" si="285"/>
        <v>18500</v>
      </c>
      <c r="X1528" s="742">
        <f t="shared" si="276"/>
        <v>301631.44444444444</v>
      </c>
    </row>
    <row r="1529" spans="1:24" ht="13.9">
      <c r="A1529" s="349">
        <f t="shared" si="278"/>
        <v>1521</v>
      </c>
      <c r="B1529" s="669" t="s">
        <v>60</v>
      </c>
      <c r="C1529" s="681" t="s">
        <v>22</v>
      </c>
      <c r="D1529" s="743" t="s">
        <v>3663</v>
      </c>
      <c r="E1529" s="669" t="s">
        <v>3495</v>
      </c>
      <c r="F1529" s="334"/>
      <c r="G1529" s="672">
        <v>45016</v>
      </c>
      <c r="H1529" s="426">
        <v>120000</v>
      </c>
      <c r="I1529" s="744"/>
      <c r="J1529" s="744"/>
      <c r="K1529" s="354">
        <f t="shared" si="275"/>
        <v>120000</v>
      </c>
      <c r="L1529" s="672">
        <v>45016</v>
      </c>
      <c r="M1529" s="742">
        <v>0</v>
      </c>
      <c r="N1529" s="352">
        <f t="shared" si="277"/>
        <v>120000</v>
      </c>
      <c r="O1529" s="357">
        <f t="shared" si="274"/>
        <v>367</v>
      </c>
      <c r="P1529" s="410">
        <v>9</v>
      </c>
      <c r="Q1529" s="358">
        <f t="shared" si="279"/>
        <v>1.0054794520547945</v>
      </c>
      <c r="R1529" s="359">
        <f t="shared" si="280"/>
        <v>7.9945205479452053</v>
      </c>
      <c r="S1529" s="360">
        <f t="shared" si="281"/>
        <v>7.9945205479452053</v>
      </c>
      <c r="T1529" s="361">
        <f t="shared" si="282"/>
        <v>0.10555555555555554</v>
      </c>
      <c r="U1529" s="362">
        <f t="shared" si="283"/>
        <v>12666.666666666664</v>
      </c>
      <c r="V1529" s="362">
        <f t="shared" si="284"/>
        <v>107333.33333333334</v>
      </c>
      <c r="W1529" s="362">
        <f t="shared" si="285"/>
        <v>6000</v>
      </c>
      <c r="X1529" s="742">
        <f t="shared" si="276"/>
        <v>101333.33333333334</v>
      </c>
    </row>
    <row r="1530" spans="1:24" ht="13.9">
      <c r="A1530" s="349">
        <f t="shared" si="278"/>
        <v>1522</v>
      </c>
      <c r="B1530" s="669" t="s">
        <v>60</v>
      </c>
      <c r="C1530" s="681" t="s">
        <v>22</v>
      </c>
      <c r="D1530" s="743" t="s">
        <v>3663</v>
      </c>
      <c r="E1530" s="669" t="s">
        <v>3495</v>
      </c>
      <c r="F1530" s="334"/>
      <c r="G1530" s="672">
        <v>45016</v>
      </c>
      <c r="H1530" s="426">
        <v>466000</v>
      </c>
      <c r="I1530" s="744"/>
      <c r="J1530" s="744"/>
      <c r="K1530" s="354">
        <f t="shared" si="275"/>
        <v>466000</v>
      </c>
      <c r="L1530" s="672">
        <v>45016</v>
      </c>
      <c r="M1530" s="742">
        <v>0</v>
      </c>
      <c r="N1530" s="352">
        <f t="shared" si="277"/>
        <v>466000</v>
      </c>
      <c r="O1530" s="357">
        <f t="shared" si="274"/>
        <v>367</v>
      </c>
      <c r="P1530" s="410">
        <v>9</v>
      </c>
      <c r="Q1530" s="358">
        <f t="shared" si="279"/>
        <v>1.0054794520547945</v>
      </c>
      <c r="R1530" s="359">
        <f t="shared" si="280"/>
        <v>7.9945205479452053</v>
      </c>
      <c r="S1530" s="360">
        <f t="shared" si="281"/>
        <v>7.9945205479452053</v>
      </c>
      <c r="T1530" s="361">
        <f t="shared" si="282"/>
        <v>0.10555555555555554</v>
      </c>
      <c r="U1530" s="362">
        <f t="shared" si="283"/>
        <v>49188.888888888883</v>
      </c>
      <c r="V1530" s="362">
        <f t="shared" si="284"/>
        <v>416811.11111111112</v>
      </c>
      <c r="W1530" s="362">
        <f t="shared" si="285"/>
        <v>23300</v>
      </c>
      <c r="X1530" s="742">
        <f t="shared" si="276"/>
        <v>393511.11111111112</v>
      </c>
    </row>
    <row r="1531" spans="1:24" ht="13.9">
      <c r="A1531" s="349">
        <f t="shared" si="278"/>
        <v>1523</v>
      </c>
      <c r="B1531" s="669" t="s">
        <v>3380</v>
      </c>
      <c r="C1531" s="681" t="s">
        <v>22</v>
      </c>
      <c r="D1531" s="743" t="s">
        <v>3663</v>
      </c>
      <c r="E1531" s="669" t="s">
        <v>413</v>
      </c>
      <c r="F1531" s="334"/>
      <c r="G1531" s="672">
        <v>44986</v>
      </c>
      <c r="H1531" s="426">
        <v>63000</v>
      </c>
      <c r="I1531" s="744"/>
      <c r="J1531" s="744"/>
      <c r="K1531" s="354">
        <f t="shared" si="275"/>
        <v>63000</v>
      </c>
      <c r="L1531" s="672">
        <v>44986</v>
      </c>
      <c r="M1531" s="742">
        <v>1726</v>
      </c>
      <c r="N1531" s="352">
        <f t="shared" si="277"/>
        <v>61274</v>
      </c>
      <c r="O1531" s="357">
        <f t="shared" si="274"/>
        <v>397</v>
      </c>
      <c r="P1531" s="410">
        <v>9</v>
      </c>
      <c r="Q1531" s="358">
        <f t="shared" si="279"/>
        <v>1.0876712328767124</v>
      </c>
      <c r="R1531" s="359">
        <f t="shared" si="280"/>
        <v>7.912328767123288</v>
      </c>
      <c r="S1531" s="360">
        <f t="shared" si="281"/>
        <v>7.912328767123288</v>
      </c>
      <c r="T1531" s="361">
        <f t="shared" si="282"/>
        <v>0.10555555555555554</v>
      </c>
      <c r="U1531" s="362">
        <f t="shared" si="283"/>
        <v>6649.9999999999991</v>
      </c>
      <c r="V1531" s="362">
        <f t="shared" si="284"/>
        <v>54624</v>
      </c>
      <c r="W1531" s="362">
        <f t="shared" si="285"/>
        <v>3150</v>
      </c>
      <c r="X1531" s="742">
        <f t="shared" si="276"/>
        <v>51474</v>
      </c>
    </row>
    <row r="1532" spans="1:24" ht="13.9">
      <c r="A1532" s="349">
        <f t="shared" si="278"/>
        <v>1524</v>
      </c>
      <c r="B1532" s="669" t="s">
        <v>3380</v>
      </c>
      <c r="C1532" s="681" t="s">
        <v>22</v>
      </c>
      <c r="D1532" s="743" t="s">
        <v>3663</v>
      </c>
      <c r="E1532" s="669" t="s">
        <v>413</v>
      </c>
      <c r="F1532" s="334"/>
      <c r="G1532" s="672">
        <v>44986</v>
      </c>
      <c r="H1532" s="426">
        <v>16300</v>
      </c>
      <c r="I1532" s="744"/>
      <c r="J1532" s="744"/>
      <c r="K1532" s="354">
        <f t="shared" si="275"/>
        <v>16300</v>
      </c>
      <c r="L1532" s="672">
        <v>44986</v>
      </c>
      <c r="M1532" s="742">
        <v>447</v>
      </c>
      <c r="N1532" s="352">
        <f t="shared" si="277"/>
        <v>15853</v>
      </c>
      <c r="O1532" s="357">
        <f t="shared" si="274"/>
        <v>397</v>
      </c>
      <c r="P1532" s="410">
        <v>9</v>
      </c>
      <c r="Q1532" s="358">
        <f t="shared" si="279"/>
        <v>1.0876712328767124</v>
      </c>
      <c r="R1532" s="359">
        <f t="shared" si="280"/>
        <v>7.912328767123288</v>
      </c>
      <c r="S1532" s="360">
        <f t="shared" si="281"/>
        <v>7.912328767123288</v>
      </c>
      <c r="T1532" s="361">
        <f t="shared" si="282"/>
        <v>0.10555555555555554</v>
      </c>
      <c r="U1532" s="362">
        <f t="shared" si="283"/>
        <v>1720.5555555555554</v>
      </c>
      <c r="V1532" s="362">
        <f t="shared" si="284"/>
        <v>14132.444444444445</v>
      </c>
      <c r="W1532" s="362">
        <f t="shared" si="285"/>
        <v>815</v>
      </c>
      <c r="X1532" s="742">
        <f t="shared" si="276"/>
        <v>13317.444444444445</v>
      </c>
    </row>
    <row r="1533" spans="1:24" ht="13.9">
      <c r="A1533" s="349">
        <f t="shared" si="278"/>
        <v>1525</v>
      </c>
      <c r="B1533" s="669" t="s">
        <v>3380</v>
      </c>
      <c r="C1533" s="681" t="s">
        <v>22</v>
      </c>
      <c r="D1533" s="743" t="s">
        <v>3663</v>
      </c>
      <c r="E1533" s="669" t="s">
        <v>413</v>
      </c>
      <c r="F1533" s="334"/>
      <c r="G1533" s="672">
        <v>45002</v>
      </c>
      <c r="H1533" s="426">
        <v>246600</v>
      </c>
      <c r="I1533" s="744"/>
      <c r="J1533" s="744"/>
      <c r="K1533" s="354">
        <f t="shared" si="275"/>
        <v>246600</v>
      </c>
      <c r="L1533" s="672">
        <v>45002</v>
      </c>
      <c r="M1533" s="742">
        <v>3153</v>
      </c>
      <c r="N1533" s="352">
        <f t="shared" si="277"/>
        <v>243447</v>
      </c>
      <c r="O1533" s="357">
        <f t="shared" si="274"/>
        <v>381</v>
      </c>
      <c r="P1533" s="410">
        <v>9</v>
      </c>
      <c r="Q1533" s="358">
        <f t="shared" si="279"/>
        <v>1.0438356164383562</v>
      </c>
      <c r="R1533" s="359">
        <f t="shared" si="280"/>
        <v>7.956164383561644</v>
      </c>
      <c r="S1533" s="360">
        <f t="shared" si="281"/>
        <v>7.956164383561644</v>
      </c>
      <c r="T1533" s="361">
        <f t="shared" si="282"/>
        <v>0.10555555555555554</v>
      </c>
      <c r="U1533" s="362">
        <f t="shared" si="283"/>
        <v>26029.999999999996</v>
      </c>
      <c r="V1533" s="362">
        <f t="shared" si="284"/>
        <v>217417</v>
      </c>
      <c r="W1533" s="362">
        <f t="shared" si="285"/>
        <v>12330</v>
      </c>
      <c r="X1533" s="742">
        <f t="shared" si="276"/>
        <v>205087</v>
      </c>
    </row>
    <row r="1534" spans="1:24" ht="13.9">
      <c r="A1534" s="349">
        <f t="shared" si="278"/>
        <v>1526</v>
      </c>
      <c r="B1534" s="669" t="s">
        <v>3380</v>
      </c>
      <c r="C1534" s="681" t="s">
        <v>22</v>
      </c>
      <c r="D1534" s="743" t="s">
        <v>3663</v>
      </c>
      <c r="E1534" s="669" t="s">
        <v>413</v>
      </c>
      <c r="F1534" s="334"/>
      <c r="G1534" s="672">
        <v>45010</v>
      </c>
      <c r="H1534" s="426">
        <v>8371</v>
      </c>
      <c r="I1534" s="744"/>
      <c r="J1534" s="744"/>
      <c r="K1534" s="354">
        <f t="shared" si="275"/>
        <v>8371</v>
      </c>
      <c r="L1534" s="672">
        <v>45010</v>
      </c>
      <c r="M1534" s="742">
        <v>46</v>
      </c>
      <c r="N1534" s="352">
        <f t="shared" si="277"/>
        <v>8325</v>
      </c>
      <c r="O1534" s="357">
        <f t="shared" si="274"/>
        <v>373</v>
      </c>
      <c r="P1534" s="410">
        <v>9</v>
      </c>
      <c r="Q1534" s="358">
        <f t="shared" si="279"/>
        <v>1.021917808219178</v>
      </c>
      <c r="R1534" s="359">
        <f t="shared" si="280"/>
        <v>7.978082191780822</v>
      </c>
      <c r="S1534" s="360">
        <f t="shared" si="281"/>
        <v>7.978082191780822</v>
      </c>
      <c r="T1534" s="361">
        <f t="shared" si="282"/>
        <v>0.10555555555555554</v>
      </c>
      <c r="U1534" s="362">
        <f t="shared" si="283"/>
        <v>883.60555555555538</v>
      </c>
      <c r="V1534" s="362">
        <f t="shared" si="284"/>
        <v>7441.3944444444442</v>
      </c>
      <c r="W1534" s="362">
        <f t="shared" si="285"/>
        <v>419</v>
      </c>
      <c r="X1534" s="742">
        <f t="shared" si="276"/>
        <v>7022.3944444444442</v>
      </c>
    </row>
    <row r="1535" spans="1:24" ht="13.9">
      <c r="A1535" s="349">
        <f t="shared" si="278"/>
        <v>1527</v>
      </c>
      <c r="B1535" s="669" t="s">
        <v>3380</v>
      </c>
      <c r="C1535" s="681" t="s">
        <v>22</v>
      </c>
      <c r="D1535" s="743" t="s">
        <v>3663</v>
      </c>
      <c r="E1535" s="669" t="s">
        <v>413</v>
      </c>
      <c r="F1535" s="334"/>
      <c r="G1535" s="672">
        <v>45016</v>
      </c>
      <c r="H1535" s="426">
        <v>25871</v>
      </c>
      <c r="I1535" s="744"/>
      <c r="J1535" s="744"/>
      <c r="K1535" s="354">
        <f t="shared" si="275"/>
        <v>25871</v>
      </c>
      <c r="L1535" s="672">
        <v>45016</v>
      </c>
      <c r="M1535" s="742">
        <v>0</v>
      </c>
      <c r="N1535" s="352">
        <f t="shared" si="277"/>
        <v>25871</v>
      </c>
      <c r="O1535" s="357">
        <f t="shared" si="274"/>
        <v>367</v>
      </c>
      <c r="P1535" s="410">
        <v>9</v>
      </c>
      <c r="Q1535" s="358">
        <f t="shared" si="279"/>
        <v>1.0054794520547945</v>
      </c>
      <c r="R1535" s="359">
        <f t="shared" si="280"/>
        <v>7.9945205479452053</v>
      </c>
      <c r="S1535" s="360">
        <f t="shared" si="281"/>
        <v>7.9945205479452053</v>
      </c>
      <c r="T1535" s="361">
        <f t="shared" si="282"/>
        <v>0.10555555555555554</v>
      </c>
      <c r="U1535" s="362">
        <f t="shared" si="283"/>
        <v>2730.8277777777776</v>
      </c>
      <c r="V1535" s="362">
        <f t="shared" si="284"/>
        <v>23140.172222222223</v>
      </c>
      <c r="W1535" s="362">
        <f t="shared" si="285"/>
        <v>1294</v>
      </c>
      <c r="X1535" s="742">
        <f t="shared" si="276"/>
        <v>21846.172222222223</v>
      </c>
    </row>
    <row r="1536" spans="1:24" ht="13.9">
      <c r="A1536" s="349">
        <f t="shared" si="278"/>
        <v>1528</v>
      </c>
      <c r="B1536" s="665" t="s">
        <v>70</v>
      </c>
      <c r="C1536" s="665" t="s">
        <v>3461</v>
      </c>
      <c r="D1536" s="743" t="s">
        <v>3663</v>
      </c>
      <c r="E1536" s="665" t="s">
        <v>177</v>
      </c>
      <c r="F1536" s="334"/>
      <c r="G1536" s="657">
        <v>44660</v>
      </c>
      <c r="H1536" s="426">
        <v>147200</v>
      </c>
      <c r="I1536" s="744"/>
      <c r="J1536" s="744"/>
      <c r="K1536" s="354">
        <f t="shared" si="275"/>
        <v>147200</v>
      </c>
      <c r="L1536" s="657">
        <v>44660</v>
      </c>
      <c r="M1536" s="742">
        <v>15952</v>
      </c>
      <c r="N1536" s="352">
        <f t="shared" si="277"/>
        <v>131248</v>
      </c>
      <c r="O1536" s="357">
        <f t="shared" si="274"/>
        <v>723</v>
      </c>
      <c r="P1536" s="410">
        <v>9</v>
      </c>
      <c r="Q1536" s="358">
        <f t="shared" si="279"/>
        <v>1.9808219178082191</v>
      </c>
      <c r="R1536" s="359">
        <f t="shared" si="280"/>
        <v>7.0191780821917806</v>
      </c>
      <c r="S1536" s="360">
        <f t="shared" si="281"/>
        <v>7.0191780821917806</v>
      </c>
      <c r="T1536" s="361">
        <f t="shared" si="282"/>
        <v>0.10555555555555554</v>
      </c>
      <c r="U1536" s="362">
        <f t="shared" si="283"/>
        <v>15537.777777777776</v>
      </c>
      <c r="V1536" s="362">
        <f t="shared" si="284"/>
        <v>115710.22222222222</v>
      </c>
      <c r="W1536" s="362">
        <f t="shared" si="285"/>
        <v>7360</v>
      </c>
      <c r="X1536" s="742">
        <f t="shared" si="276"/>
        <v>108350.22222222222</v>
      </c>
    </row>
    <row r="1537" spans="1:24" ht="13.9">
      <c r="A1537" s="349">
        <f t="shared" si="278"/>
        <v>1529</v>
      </c>
      <c r="B1537" s="665" t="s">
        <v>71</v>
      </c>
      <c r="C1537" s="665" t="s">
        <v>3461</v>
      </c>
      <c r="D1537" s="743" t="s">
        <v>3663</v>
      </c>
      <c r="E1537" s="665" t="s">
        <v>172</v>
      </c>
      <c r="F1537" s="334"/>
      <c r="G1537" s="668">
        <v>44663</v>
      </c>
      <c r="H1537" s="426">
        <v>2723036</v>
      </c>
      <c r="I1537" s="744"/>
      <c r="J1537" s="744"/>
      <c r="K1537" s="354">
        <f t="shared" si="275"/>
        <v>2723036</v>
      </c>
      <c r="L1537" s="668">
        <v>44663</v>
      </c>
      <c r="M1537" s="742">
        <v>292612</v>
      </c>
      <c r="N1537" s="352">
        <f t="shared" si="277"/>
        <v>2430424</v>
      </c>
      <c r="O1537" s="357">
        <f t="shared" si="274"/>
        <v>720</v>
      </c>
      <c r="P1537" s="410">
        <v>9</v>
      </c>
      <c r="Q1537" s="358">
        <f t="shared" si="279"/>
        <v>1.9726027397260273</v>
      </c>
      <c r="R1537" s="359">
        <f t="shared" si="280"/>
        <v>7.0273972602739727</v>
      </c>
      <c r="S1537" s="360">
        <f t="shared" si="281"/>
        <v>7.0273972602739727</v>
      </c>
      <c r="T1537" s="361">
        <f t="shared" si="282"/>
        <v>0.10555555555555554</v>
      </c>
      <c r="U1537" s="362">
        <f t="shared" si="283"/>
        <v>287431.57777777774</v>
      </c>
      <c r="V1537" s="362">
        <f t="shared" si="284"/>
        <v>2142992.4222222222</v>
      </c>
      <c r="W1537" s="362">
        <f t="shared" si="285"/>
        <v>136152</v>
      </c>
      <c r="X1537" s="742">
        <f t="shared" si="276"/>
        <v>2006840.4222222222</v>
      </c>
    </row>
    <row r="1538" spans="1:24" ht="13.9">
      <c r="A1538" s="349">
        <f t="shared" si="278"/>
        <v>1530</v>
      </c>
      <c r="B1538" s="665" t="s">
        <v>71</v>
      </c>
      <c r="C1538" s="665" t="s">
        <v>3461</v>
      </c>
      <c r="D1538" s="743" t="s">
        <v>3663</v>
      </c>
      <c r="E1538" s="665" t="s">
        <v>172</v>
      </c>
      <c r="F1538" s="334"/>
      <c r="G1538" s="668">
        <v>44663</v>
      </c>
      <c r="H1538" s="426">
        <v>2723036</v>
      </c>
      <c r="I1538" s="744"/>
      <c r="J1538" s="744"/>
      <c r="K1538" s="354">
        <f t="shared" si="275"/>
        <v>2723036</v>
      </c>
      <c r="L1538" s="668">
        <v>44663</v>
      </c>
      <c r="M1538" s="742">
        <v>292612</v>
      </c>
      <c r="N1538" s="352">
        <f t="shared" si="277"/>
        <v>2430424</v>
      </c>
      <c r="O1538" s="357">
        <f t="shared" si="274"/>
        <v>720</v>
      </c>
      <c r="P1538" s="410">
        <v>9</v>
      </c>
      <c r="Q1538" s="358">
        <f t="shared" si="279"/>
        <v>1.9726027397260273</v>
      </c>
      <c r="R1538" s="359">
        <f t="shared" si="280"/>
        <v>7.0273972602739727</v>
      </c>
      <c r="S1538" s="360">
        <f t="shared" si="281"/>
        <v>7.0273972602739727</v>
      </c>
      <c r="T1538" s="361">
        <f t="shared" si="282"/>
        <v>0.10555555555555554</v>
      </c>
      <c r="U1538" s="362">
        <f t="shared" si="283"/>
        <v>287431.57777777774</v>
      </c>
      <c r="V1538" s="362">
        <f t="shared" si="284"/>
        <v>2142992.4222222222</v>
      </c>
      <c r="W1538" s="362">
        <f t="shared" si="285"/>
        <v>136152</v>
      </c>
      <c r="X1538" s="742">
        <f t="shared" si="276"/>
        <v>2006840.4222222222</v>
      </c>
    </row>
    <row r="1539" spans="1:24" ht="13.9">
      <c r="A1539" s="349">
        <f t="shared" si="278"/>
        <v>1531</v>
      </c>
      <c r="B1539" s="684" t="s">
        <v>319</v>
      </c>
      <c r="C1539" s="665" t="s">
        <v>3461</v>
      </c>
      <c r="D1539" s="743" t="s">
        <v>3663</v>
      </c>
      <c r="E1539" s="684" t="s">
        <v>407</v>
      </c>
      <c r="F1539" s="334"/>
      <c r="G1539" s="657">
        <v>44753</v>
      </c>
      <c r="H1539" s="426">
        <v>3605109</v>
      </c>
      <c r="I1539" s="744"/>
      <c r="J1539" s="744"/>
      <c r="K1539" s="354">
        <f t="shared" si="275"/>
        <v>3605109</v>
      </c>
      <c r="L1539" s="657">
        <v>44753</v>
      </c>
      <c r="M1539" s="742">
        <v>288628</v>
      </c>
      <c r="N1539" s="352">
        <f t="shared" si="277"/>
        <v>3316481</v>
      </c>
      <c r="O1539" s="357">
        <f t="shared" ref="O1539:O1602" si="286">+$O$3-L1539+1</f>
        <v>630</v>
      </c>
      <c r="P1539" s="410">
        <v>9</v>
      </c>
      <c r="Q1539" s="358">
        <f t="shared" si="279"/>
        <v>1.726027397260274</v>
      </c>
      <c r="R1539" s="359">
        <f t="shared" si="280"/>
        <v>7.2739726027397262</v>
      </c>
      <c r="S1539" s="360">
        <f t="shared" si="281"/>
        <v>7.2739726027397262</v>
      </c>
      <c r="T1539" s="361">
        <f t="shared" si="282"/>
        <v>0.10555555555555554</v>
      </c>
      <c r="U1539" s="362">
        <f t="shared" si="283"/>
        <v>380539.28333333327</v>
      </c>
      <c r="V1539" s="362">
        <f t="shared" si="284"/>
        <v>2935941.7166666668</v>
      </c>
      <c r="W1539" s="362">
        <f t="shared" si="285"/>
        <v>180255</v>
      </c>
      <c r="X1539" s="742">
        <f t="shared" si="276"/>
        <v>2755686.7166666668</v>
      </c>
    </row>
    <row r="1540" spans="1:24" ht="13.9">
      <c r="A1540" s="349">
        <f t="shared" si="278"/>
        <v>1532</v>
      </c>
      <c r="B1540" s="684" t="s">
        <v>319</v>
      </c>
      <c r="C1540" s="665" t="s">
        <v>3461</v>
      </c>
      <c r="D1540" s="743" t="s">
        <v>3663</v>
      </c>
      <c r="E1540" s="684" t="s">
        <v>407</v>
      </c>
      <c r="F1540" s="334"/>
      <c r="G1540" s="657">
        <v>44824</v>
      </c>
      <c r="H1540" s="426">
        <v>3605109</v>
      </c>
      <c r="I1540" s="744"/>
      <c r="J1540" s="744"/>
      <c r="K1540" s="354">
        <f t="shared" ref="K1540:K1603" si="287">+H1540+I1540-J1540</f>
        <v>3605109</v>
      </c>
      <c r="L1540" s="657">
        <v>44824</v>
      </c>
      <c r="M1540" s="742">
        <v>210710</v>
      </c>
      <c r="N1540" s="352">
        <f t="shared" si="277"/>
        <v>3394399</v>
      </c>
      <c r="O1540" s="357">
        <f t="shared" si="286"/>
        <v>559</v>
      </c>
      <c r="P1540" s="410">
        <v>9</v>
      </c>
      <c r="Q1540" s="358">
        <f t="shared" si="279"/>
        <v>1.5315068493150685</v>
      </c>
      <c r="R1540" s="359">
        <f t="shared" si="280"/>
        <v>7.4684931506849317</v>
      </c>
      <c r="S1540" s="360">
        <f t="shared" si="281"/>
        <v>7.4684931506849317</v>
      </c>
      <c r="T1540" s="361">
        <f t="shared" si="282"/>
        <v>0.10555555555555554</v>
      </c>
      <c r="U1540" s="362">
        <f t="shared" si="283"/>
        <v>380539.28333333327</v>
      </c>
      <c r="V1540" s="362">
        <f t="shared" si="284"/>
        <v>3013859.7166666668</v>
      </c>
      <c r="W1540" s="362">
        <f t="shared" si="285"/>
        <v>180255</v>
      </c>
      <c r="X1540" s="742">
        <f t="shared" ref="X1540:X1603" si="288">+V1540-W1540</f>
        <v>2833604.7166666668</v>
      </c>
    </row>
    <row r="1541" spans="1:24" ht="13.9">
      <c r="A1541" s="349">
        <f t="shared" si="278"/>
        <v>1533</v>
      </c>
      <c r="B1541" s="684" t="s">
        <v>302</v>
      </c>
      <c r="C1541" s="665" t="s">
        <v>3461</v>
      </c>
      <c r="D1541" s="743" t="s">
        <v>3663</v>
      </c>
      <c r="E1541" s="684" t="s">
        <v>175</v>
      </c>
      <c r="F1541" s="334"/>
      <c r="G1541" s="657">
        <v>44803</v>
      </c>
      <c r="H1541" s="426">
        <v>185516.98</v>
      </c>
      <c r="I1541" s="744"/>
      <c r="J1541" s="744"/>
      <c r="K1541" s="354">
        <f t="shared" si="287"/>
        <v>185516.98</v>
      </c>
      <c r="L1541" s="657">
        <v>44803</v>
      </c>
      <c r="M1541" s="742">
        <v>12029</v>
      </c>
      <c r="N1541" s="352">
        <f t="shared" si="277"/>
        <v>173487.98</v>
      </c>
      <c r="O1541" s="357">
        <f t="shared" si="286"/>
        <v>580</v>
      </c>
      <c r="P1541" s="410">
        <v>9</v>
      </c>
      <c r="Q1541" s="358">
        <f t="shared" si="279"/>
        <v>1.5890410958904109</v>
      </c>
      <c r="R1541" s="359">
        <f t="shared" si="280"/>
        <v>7.4109589041095889</v>
      </c>
      <c r="S1541" s="360">
        <f t="shared" si="281"/>
        <v>7.4109589041095889</v>
      </c>
      <c r="T1541" s="361">
        <f t="shared" si="282"/>
        <v>0.10555555555555554</v>
      </c>
      <c r="U1541" s="362">
        <f t="shared" si="283"/>
        <v>19582.347888888886</v>
      </c>
      <c r="V1541" s="362">
        <f t="shared" si="284"/>
        <v>153905.63211111113</v>
      </c>
      <c r="W1541" s="362">
        <f t="shared" si="285"/>
        <v>9276</v>
      </c>
      <c r="X1541" s="742">
        <f t="shared" si="288"/>
        <v>144629.63211111113</v>
      </c>
    </row>
    <row r="1542" spans="1:24" ht="13.9">
      <c r="A1542" s="349">
        <f t="shared" si="278"/>
        <v>1534</v>
      </c>
      <c r="B1542" s="654" t="s">
        <v>564</v>
      </c>
      <c r="C1542" s="654" t="s">
        <v>586</v>
      </c>
      <c r="D1542" s="743" t="s">
        <v>3663</v>
      </c>
      <c r="E1542" s="654" t="s">
        <v>761</v>
      </c>
      <c r="F1542" s="334"/>
      <c r="G1542" s="657">
        <v>44897</v>
      </c>
      <c r="H1542" s="426">
        <v>3010000</v>
      </c>
      <c r="I1542" s="744"/>
      <c r="J1542" s="744"/>
      <c r="K1542" s="354">
        <f t="shared" si="287"/>
        <v>3010000</v>
      </c>
      <c r="L1542" s="657">
        <v>44897</v>
      </c>
      <c r="M1542" s="742">
        <v>109038</v>
      </c>
      <c r="N1542" s="352">
        <f t="shared" ref="N1542:N1605" si="289">+K1542-M1542</f>
        <v>2900962</v>
      </c>
      <c r="O1542" s="357">
        <f t="shared" si="286"/>
        <v>486</v>
      </c>
      <c r="P1542" s="410">
        <v>9</v>
      </c>
      <c r="Q1542" s="358">
        <f t="shared" si="279"/>
        <v>1.3315068493150686</v>
      </c>
      <c r="R1542" s="359">
        <f t="shared" si="280"/>
        <v>7.668493150684931</v>
      </c>
      <c r="S1542" s="360">
        <f t="shared" si="281"/>
        <v>7.668493150684931</v>
      </c>
      <c r="T1542" s="361">
        <f t="shared" si="282"/>
        <v>0.10555555555555554</v>
      </c>
      <c r="U1542" s="362">
        <f t="shared" si="283"/>
        <v>317722.22222222219</v>
      </c>
      <c r="V1542" s="362">
        <f t="shared" si="284"/>
        <v>2583239.777777778</v>
      </c>
      <c r="W1542" s="362">
        <f t="shared" si="285"/>
        <v>150500</v>
      </c>
      <c r="X1542" s="742">
        <f t="shared" si="288"/>
        <v>2432739.777777778</v>
      </c>
    </row>
    <row r="1543" spans="1:24" ht="13.9">
      <c r="A1543" s="349">
        <f t="shared" si="278"/>
        <v>1535</v>
      </c>
      <c r="B1543" s="669" t="s">
        <v>326</v>
      </c>
      <c r="C1543" s="670" t="s">
        <v>586</v>
      </c>
      <c r="D1543" s="743" t="s">
        <v>3663</v>
      </c>
      <c r="E1543" s="669" t="s">
        <v>419</v>
      </c>
      <c r="F1543" s="334"/>
      <c r="G1543" s="672">
        <v>44945</v>
      </c>
      <c r="H1543" s="426">
        <v>1150000</v>
      </c>
      <c r="I1543" s="744"/>
      <c r="J1543" s="744"/>
      <c r="K1543" s="354">
        <f t="shared" si="287"/>
        <v>1150000</v>
      </c>
      <c r="L1543" s="672">
        <v>44945</v>
      </c>
      <c r="M1543" s="742">
        <v>24855</v>
      </c>
      <c r="N1543" s="352">
        <f t="shared" si="289"/>
        <v>1125145</v>
      </c>
      <c r="O1543" s="357">
        <f t="shared" si="286"/>
        <v>438</v>
      </c>
      <c r="P1543" s="410">
        <v>9</v>
      </c>
      <c r="Q1543" s="358">
        <f t="shared" si="279"/>
        <v>1.2</v>
      </c>
      <c r="R1543" s="359">
        <f t="shared" si="280"/>
        <v>7.8</v>
      </c>
      <c r="S1543" s="360">
        <f t="shared" si="281"/>
        <v>7.8</v>
      </c>
      <c r="T1543" s="361">
        <f t="shared" si="282"/>
        <v>0.10555555555555554</v>
      </c>
      <c r="U1543" s="362">
        <f t="shared" si="283"/>
        <v>121388.88888888888</v>
      </c>
      <c r="V1543" s="362">
        <f t="shared" si="284"/>
        <v>1003756.1111111111</v>
      </c>
      <c r="W1543" s="362">
        <f t="shared" si="285"/>
        <v>57500</v>
      </c>
      <c r="X1543" s="742">
        <f t="shared" si="288"/>
        <v>946256.11111111112</v>
      </c>
    </row>
    <row r="1544" spans="1:24" ht="13.9">
      <c r="A1544" s="349">
        <f t="shared" si="278"/>
        <v>1536</v>
      </c>
      <c r="B1544" s="669" t="s">
        <v>1283</v>
      </c>
      <c r="C1544" s="681" t="s">
        <v>586</v>
      </c>
      <c r="D1544" s="743" t="s">
        <v>3663</v>
      </c>
      <c r="E1544" s="669" t="s">
        <v>3493</v>
      </c>
      <c r="F1544" s="334"/>
      <c r="G1544" s="672">
        <v>44977</v>
      </c>
      <c r="H1544" s="426">
        <v>224300</v>
      </c>
      <c r="I1544" s="744"/>
      <c r="J1544" s="744"/>
      <c r="K1544" s="354">
        <f t="shared" si="287"/>
        <v>224300</v>
      </c>
      <c r="L1544" s="672">
        <v>44977</v>
      </c>
      <c r="M1544" s="742">
        <v>2663</v>
      </c>
      <c r="N1544" s="352">
        <f t="shared" si="289"/>
        <v>221637</v>
      </c>
      <c r="O1544" s="357">
        <f t="shared" si="286"/>
        <v>406</v>
      </c>
      <c r="P1544" s="410">
        <v>9</v>
      </c>
      <c r="Q1544" s="358">
        <f t="shared" si="279"/>
        <v>1.1123287671232878</v>
      </c>
      <c r="R1544" s="359">
        <f t="shared" si="280"/>
        <v>7.8876712328767127</v>
      </c>
      <c r="S1544" s="360">
        <f t="shared" si="281"/>
        <v>7.8876712328767127</v>
      </c>
      <c r="T1544" s="361">
        <f t="shared" si="282"/>
        <v>0.10555555555555554</v>
      </c>
      <c r="U1544" s="362">
        <f t="shared" si="283"/>
        <v>23676.111111111109</v>
      </c>
      <c r="V1544" s="362">
        <f t="shared" si="284"/>
        <v>197960.88888888888</v>
      </c>
      <c r="W1544" s="362">
        <f t="shared" si="285"/>
        <v>11215</v>
      </c>
      <c r="X1544" s="742">
        <f t="shared" si="288"/>
        <v>186745.88888888888</v>
      </c>
    </row>
    <row r="1545" spans="1:24" ht="13.9">
      <c r="A1545" s="349">
        <f t="shared" ref="A1545:A1608" si="290">+A1544+1</f>
        <v>1537</v>
      </c>
      <c r="B1545" s="684" t="s">
        <v>302</v>
      </c>
      <c r="C1545" s="654" t="s">
        <v>18</v>
      </c>
      <c r="D1545" s="743" t="s">
        <v>3663</v>
      </c>
      <c r="E1545" s="684" t="s">
        <v>170</v>
      </c>
      <c r="F1545" s="334"/>
      <c r="G1545" s="657">
        <v>44801</v>
      </c>
      <c r="H1545" s="426">
        <v>1100000</v>
      </c>
      <c r="I1545" s="744"/>
      <c r="J1545" s="744"/>
      <c r="K1545" s="354">
        <f t="shared" si="287"/>
        <v>1100000</v>
      </c>
      <c r="L1545" s="657">
        <v>44801</v>
      </c>
      <c r="M1545" s="742">
        <v>71994</v>
      </c>
      <c r="N1545" s="352">
        <f t="shared" si="289"/>
        <v>1028006</v>
      </c>
      <c r="O1545" s="357">
        <f t="shared" si="286"/>
        <v>582</v>
      </c>
      <c r="P1545" s="410">
        <v>9</v>
      </c>
      <c r="Q1545" s="358">
        <f t="shared" si="279"/>
        <v>1.5945205479452054</v>
      </c>
      <c r="R1545" s="359">
        <f t="shared" si="280"/>
        <v>7.4054794520547951</v>
      </c>
      <c r="S1545" s="360">
        <f t="shared" si="281"/>
        <v>7.4054794520547951</v>
      </c>
      <c r="T1545" s="361">
        <f t="shared" si="282"/>
        <v>0.10555555555555554</v>
      </c>
      <c r="U1545" s="362">
        <f t="shared" si="283"/>
        <v>116111.11111111109</v>
      </c>
      <c r="V1545" s="362">
        <f t="shared" si="284"/>
        <v>911894.88888888888</v>
      </c>
      <c r="W1545" s="362">
        <f t="shared" si="285"/>
        <v>55000</v>
      </c>
      <c r="X1545" s="742">
        <f t="shared" si="288"/>
        <v>856894.88888888888</v>
      </c>
    </row>
    <row r="1546" spans="1:24" ht="13.9">
      <c r="A1546" s="349">
        <f t="shared" si="290"/>
        <v>1538</v>
      </c>
      <c r="B1546" s="654" t="s">
        <v>575</v>
      </c>
      <c r="C1546" s="654" t="s">
        <v>18</v>
      </c>
      <c r="D1546" s="743" t="s">
        <v>3663</v>
      </c>
      <c r="E1546" s="654" t="s">
        <v>759</v>
      </c>
      <c r="F1546" s="334"/>
      <c r="G1546" s="657">
        <v>44909</v>
      </c>
      <c r="H1546" s="426">
        <v>875000</v>
      </c>
      <c r="I1546" s="744"/>
      <c r="J1546" s="744"/>
      <c r="K1546" s="354">
        <f t="shared" si="287"/>
        <v>875000</v>
      </c>
      <c r="L1546" s="657">
        <v>44909</v>
      </c>
      <c r="M1546" s="742">
        <v>28501</v>
      </c>
      <c r="N1546" s="352">
        <f t="shared" si="289"/>
        <v>846499</v>
      </c>
      <c r="O1546" s="357">
        <f t="shared" si="286"/>
        <v>474</v>
      </c>
      <c r="P1546" s="410">
        <v>9</v>
      </c>
      <c r="Q1546" s="358">
        <f t="shared" si="279"/>
        <v>1.2986301369863014</v>
      </c>
      <c r="R1546" s="359">
        <f t="shared" si="280"/>
        <v>7.7013698630136984</v>
      </c>
      <c r="S1546" s="360">
        <f t="shared" si="281"/>
        <v>7.7013698630136984</v>
      </c>
      <c r="T1546" s="361">
        <f t="shared" si="282"/>
        <v>0.10555555555555554</v>
      </c>
      <c r="U1546" s="362">
        <f t="shared" si="283"/>
        <v>92361.111111111095</v>
      </c>
      <c r="V1546" s="362">
        <f t="shared" si="284"/>
        <v>754137.88888888888</v>
      </c>
      <c r="W1546" s="362">
        <f t="shared" si="285"/>
        <v>43750</v>
      </c>
      <c r="X1546" s="742">
        <f t="shared" si="288"/>
        <v>710387.88888888888</v>
      </c>
    </row>
    <row r="1547" spans="1:24" ht="13.9">
      <c r="A1547" s="349">
        <f t="shared" si="290"/>
        <v>1539</v>
      </c>
      <c r="B1547" s="654" t="s">
        <v>575</v>
      </c>
      <c r="C1547" s="654" t="s">
        <v>18</v>
      </c>
      <c r="D1547" s="743" t="s">
        <v>3663</v>
      </c>
      <c r="E1547" s="654" t="s">
        <v>759</v>
      </c>
      <c r="F1547" s="334"/>
      <c r="G1547" s="657">
        <v>44909</v>
      </c>
      <c r="H1547" s="426">
        <v>875000</v>
      </c>
      <c r="I1547" s="744"/>
      <c r="J1547" s="744"/>
      <c r="K1547" s="354">
        <f t="shared" si="287"/>
        <v>875000</v>
      </c>
      <c r="L1547" s="657">
        <v>44909</v>
      </c>
      <c r="M1547" s="742">
        <v>28501</v>
      </c>
      <c r="N1547" s="352">
        <f t="shared" si="289"/>
        <v>846499</v>
      </c>
      <c r="O1547" s="357">
        <f t="shared" si="286"/>
        <v>474</v>
      </c>
      <c r="P1547" s="410">
        <v>9</v>
      </c>
      <c r="Q1547" s="358">
        <f t="shared" si="279"/>
        <v>1.2986301369863014</v>
      </c>
      <c r="R1547" s="359">
        <f t="shared" si="280"/>
        <v>7.7013698630136984</v>
      </c>
      <c r="S1547" s="360">
        <f t="shared" si="281"/>
        <v>7.7013698630136984</v>
      </c>
      <c r="T1547" s="361">
        <f t="shared" si="282"/>
        <v>0.10555555555555554</v>
      </c>
      <c r="U1547" s="362">
        <f t="shared" si="283"/>
        <v>92361.111111111095</v>
      </c>
      <c r="V1547" s="362">
        <f t="shared" si="284"/>
        <v>754137.88888888888</v>
      </c>
      <c r="W1547" s="362">
        <f t="shared" si="285"/>
        <v>43750</v>
      </c>
      <c r="X1547" s="742">
        <f t="shared" si="288"/>
        <v>710387.88888888888</v>
      </c>
    </row>
    <row r="1548" spans="1:24" ht="13.9">
      <c r="A1548" s="349">
        <f t="shared" si="290"/>
        <v>1540</v>
      </c>
      <c r="B1548" s="654" t="s">
        <v>323</v>
      </c>
      <c r="C1548" s="654" t="s">
        <v>18</v>
      </c>
      <c r="D1548" s="743" t="s">
        <v>3663</v>
      </c>
      <c r="E1548" s="654" t="s">
        <v>170</v>
      </c>
      <c r="F1548" s="334"/>
      <c r="G1548" s="657">
        <v>44869</v>
      </c>
      <c r="H1548" s="426">
        <v>5800000</v>
      </c>
      <c r="I1548" s="744"/>
      <c r="J1548" s="744"/>
      <c r="K1548" s="354">
        <f t="shared" si="287"/>
        <v>5800000</v>
      </c>
      <c r="L1548" s="657">
        <v>44869</v>
      </c>
      <c r="M1548" s="742">
        <v>259543</v>
      </c>
      <c r="N1548" s="352">
        <f t="shared" si="289"/>
        <v>5540457</v>
      </c>
      <c r="O1548" s="357">
        <f t="shared" si="286"/>
        <v>514</v>
      </c>
      <c r="P1548" s="410">
        <v>9</v>
      </c>
      <c r="Q1548" s="358">
        <f t="shared" si="279"/>
        <v>1.4082191780821918</v>
      </c>
      <c r="R1548" s="359">
        <f t="shared" si="280"/>
        <v>7.5917808219178085</v>
      </c>
      <c r="S1548" s="360">
        <f t="shared" si="281"/>
        <v>7.5917808219178085</v>
      </c>
      <c r="T1548" s="361">
        <f t="shared" si="282"/>
        <v>0.10555555555555554</v>
      </c>
      <c r="U1548" s="362">
        <f t="shared" si="283"/>
        <v>612222.22222222213</v>
      </c>
      <c r="V1548" s="362">
        <f t="shared" si="284"/>
        <v>4928234.777777778</v>
      </c>
      <c r="W1548" s="362">
        <f t="shared" si="285"/>
        <v>290000</v>
      </c>
      <c r="X1548" s="742">
        <f t="shared" si="288"/>
        <v>4638234.777777778</v>
      </c>
    </row>
    <row r="1549" spans="1:24" ht="13.9">
      <c r="A1549" s="349">
        <f t="shared" si="290"/>
        <v>1541</v>
      </c>
      <c r="B1549" s="654" t="s">
        <v>323</v>
      </c>
      <c r="C1549" s="654" t="s">
        <v>18</v>
      </c>
      <c r="D1549" s="743" t="s">
        <v>3663</v>
      </c>
      <c r="E1549" s="654" t="s">
        <v>170</v>
      </c>
      <c r="F1549" s="334"/>
      <c r="G1549" s="657">
        <v>44869</v>
      </c>
      <c r="H1549" s="426">
        <v>5800000</v>
      </c>
      <c r="I1549" s="744"/>
      <c r="J1549" s="744"/>
      <c r="K1549" s="354">
        <f t="shared" si="287"/>
        <v>5800000</v>
      </c>
      <c r="L1549" s="657">
        <v>44869</v>
      </c>
      <c r="M1549" s="742">
        <v>259543</v>
      </c>
      <c r="N1549" s="352">
        <f t="shared" si="289"/>
        <v>5540457</v>
      </c>
      <c r="O1549" s="357">
        <f t="shared" si="286"/>
        <v>514</v>
      </c>
      <c r="P1549" s="410">
        <v>9</v>
      </c>
      <c r="Q1549" s="358">
        <f t="shared" si="279"/>
        <v>1.4082191780821918</v>
      </c>
      <c r="R1549" s="359">
        <f t="shared" si="280"/>
        <v>7.5917808219178085</v>
      </c>
      <c r="S1549" s="360">
        <f t="shared" si="281"/>
        <v>7.5917808219178085</v>
      </c>
      <c r="T1549" s="361">
        <f t="shared" si="282"/>
        <v>0.10555555555555554</v>
      </c>
      <c r="U1549" s="362">
        <f t="shared" si="283"/>
        <v>612222.22222222213</v>
      </c>
      <c r="V1549" s="362">
        <f t="shared" si="284"/>
        <v>4928234.777777778</v>
      </c>
      <c r="W1549" s="362">
        <f t="shared" si="285"/>
        <v>290000</v>
      </c>
      <c r="X1549" s="742">
        <f t="shared" si="288"/>
        <v>4638234.777777778</v>
      </c>
    </row>
    <row r="1550" spans="1:24" ht="13.9">
      <c r="A1550" s="349">
        <f t="shared" si="290"/>
        <v>1542</v>
      </c>
      <c r="B1550" s="654" t="s">
        <v>564</v>
      </c>
      <c r="C1550" s="654" t="s">
        <v>18</v>
      </c>
      <c r="D1550" s="743" t="s">
        <v>3663</v>
      </c>
      <c r="E1550" s="654" t="s">
        <v>761</v>
      </c>
      <c r="F1550" s="334"/>
      <c r="G1550" s="657">
        <v>44887</v>
      </c>
      <c r="H1550" s="426">
        <v>3010000</v>
      </c>
      <c r="I1550" s="744"/>
      <c r="J1550" s="744"/>
      <c r="K1550" s="354">
        <f t="shared" si="287"/>
        <v>3010000</v>
      </c>
      <c r="L1550" s="657">
        <v>44887</v>
      </c>
      <c r="M1550" s="742">
        <v>118201</v>
      </c>
      <c r="N1550" s="352">
        <f t="shared" si="289"/>
        <v>2891799</v>
      </c>
      <c r="O1550" s="357">
        <f t="shared" si="286"/>
        <v>496</v>
      </c>
      <c r="P1550" s="410">
        <v>9</v>
      </c>
      <c r="Q1550" s="358">
        <f t="shared" ref="Q1550:Q1613" si="291">+O1550/365</f>
        <v>1.3589041095890411</v>
      </c>
      <c r="R1550" s="359">
        <f t="shared" ref="R1550:R1613" si="292">+P1550-Q1550</f>
        <v>7.6410958904109592</v>
      </c>
      <c r="S1550" s="360">
        <f t="shared" ref="S1550:S1613" si="293">IF(R1550&lt;0,0,IF(R1550&gt;365,365,R1550))</f>
        <v>7.6410958904109592</v>
      </c>
      <c r="T1550" s="361">
        <f t="shared" ref="T1550:T1613" si="294">1/P1550*0.95</f>
        <v>0.10555555555555554</v>
      </c>
      <c r="U1550" s="362">
        <f t="shared" ref="U1550:U1613" si="295">+K1550*T1550</f>
        <v>317722.22222222219</v>
      </c>
      <c r="V1550" s="362">
        <f t="shared" ref="V1550:V1613" si="296">+N1550-U1550</f>
        <v>2574076.777777778</v>
      </c>
      <c r="W1550" s="362">
        <f t="shared" ref="W1550:W1613" si="297">ROUND(+H1550*5%,0)</f>
        <v>150500</v>
      </c>
      <c r="X1550" s="742">
        <f t="shared" si="288"/>
        <v>2423576.777777778</v>
      </c>
    </row>
    <row r="1551" spans="1:24" ht="13.9">
      <c r="A1551" s="349">
        <f t="shared" si="290"/>
        <v>1543</v>
      </c>
      <c r="B1551" s="654" t="s">
        <v>575</v>
      </c>
      <c r="C1551" s="696" t="s">
        <v>27</v>
      </c>
      <c r="D1551" s="743" t="s">
        <v>3663</v>
      </c>
      <c r="E1551" s="654" t="s">
        <v>759</v>
      </c>
      <c r="F1551" s="334"/>
      <c r="G1551" s="657">
        <v>44926</v>
      </c>
      <c r="H1551" s="426">
        <v>875000</v>
      </c>
      <c r="I1551" s="744"/>
      <c r="J1551" s="744"/>
      <c r="K1551" s="354">
        <f t="shared" si="287"/>
        <v>875000</v>
      </c>
      <c r="L1551" s="657">
        <v>44926</v>
      </c>
      <c r="M1551" s="742">
        <v>23973</v>
      </c>
      <c r="N1551" s="352">
        <f t="shared" si="289"/>
        <v>851027</v>
      </c>
      <c r="O1551" s="357">
        <f t="shared" si="286"/>
        <v>457</v>
      </c>
      <c r="P1551" s="410">
        <v>9</v>
      </c>
      <c r="Q1551" s="358">
        <f t="shared" si="291"/>
        <v>1.252054794520548</v>
      </c>
      <c r="R1551" s="359">
        <f t="shared" si="292"/>
        <v>7.7479452054794518</v>
      </c>
      <c r="S1551" s="360">
        <f t="shared" si="293"/>
        <v>7.7479452054794518</v>
      </c>
      <c r="T1551" s="361">
        <f t="shared" si="294"/>
        <v>0.10555555555555554</v>
      </c>
      <c r="U1551" s="362">
        <f t="shared" si="295"/>
        <v>92361.111111111095</v>
      </c>
      <c r="V1551" s="362">
        <f t="shared" si="296"/>
        <v>758665.88888888888</v>
      </c>
      <c r="W1551" s="362">
        <f t="shared" si="297"/>
        <v>43750</v>
      </c>
      <c r="X1551" s="742">
        <f t="shared" si="288"/>
        <v>714915.88888888888</v>
      </c>
    </row>
    <row r="1552" spans="1:24" ht="13.9">
      <c r="A1552" s="349">
        <f t="shared" si="290"/>
        <v>1544</v>
      </c>
      <c r="B1552" s="654" t="s">
        <v>575</v>
      </c>
      <c r="C1552" s="696" t="s">
        <v>27</v>
      </c>
      <c r="D1552" s="743" t="s">
        <v>3663</v>
      </c>
      <c r="E1552" s="654" t="s">
        <v>759</v>
      </c>
      <c r="F1552" s="334"/>
      <c r="G1552" s="657">
        <v>44926</v>
      </c>
      <c r="H1552" s="426">
        <v>875000</v>
      </c>
      <c r="I1552" s="744"/>
      <c r="J1552" s="744"/>
      <c r="K1552" s="354">
        <f t="shared" si="287"/>
        <v>875000</v>
      </c>
      <c r="L1552" s="657">
        <v>44926</v>
      </c>
      <c r="M1552" s="742">
        <v>23973</v>
      </c>
      <c r="N1552" s="352">
        <f t="shared" si="289"/>
        <v>851027</v>
      </c>
      <c r="O1552" s="357">
        <f t="shared" si="286"/>
        <v>457</v>
      </c>
      <c r="P1552" s="410">
        <v>9</v>
      </c>
      <c r="Q1552" s="358">
        <f t="shared" si="291"/>
        <v>1.252054794520548</v>
      </c>
      <c r="R1552" s="359">
        <f t="shared" si="292"/>
        <v>7.7479452054794518</v>
      </c>
      <c r="S1552" s="360">
        <f t="shared" si="293"/>
        <v>7.7479452054794518</v>
      </c>
      <c r="T1552" s="361">
        <f t="shared" si="294"/>
        <v>0.10555555555555554</v>
      </c>
      <c r="U1552" s="362">
        <f t="shared" si="295"/>
        <v>92361.111111111095</v>
      </c>
      <c r="V1552" s="362">
        <f t="shared" si="296"/>
        <v>758665.88888888888</v>
      </c>
      <c r="W1552" s="362">
        <f t="shared" si="297"/>
        <v>43750</v>
      </c>
      <c r="X1552" s="742">
        <f t="shared" si="288"/>
        <v>714915.88888888888</v>
      </c>
    </row>
    <row r="1553" spans="1:24" ht="13.9">
      <c r="A1553" s="349">
        <f t="shared" si="290"/>
        <v>1545</v>
      </c>
      <c r="B1553" s="654" t="s">
        <v>575</v>
      </c>
      <c r="C1553" s="696" t="s">
        <v>27</v>
      </c>
      <c r="D1553" s="743" t="s">
        <v>3663</v>
      </c>
      <c r="E1553" s="654" t="s">
        <v>759</v>
      </c>
      <c r="F1553" s="334"/>
      <c r="G1553" s="657">
        <v>44926</v>
      </c>
      <c r="H1553" s="426">
        <v>875000</v>
      </c>
      <c r="I1553" s="744"/>
      <c r="J1553" s="744"/>
      <c r="K1553" s="354">
        <f t="shared" si="287"/>
        <v>875000</v>
      </c>
      <c r="L1553" s="657">
        <v>44926</v>
      </c>
      <c r="M1553" s="742">
        <v>23973</v>
      </c>
      <c r="N1553" s="352">
        <f t="shared" si="289"/>
        <v>851027</v>
      </c>
      <c r="O1553" s="357">
        <f t="shared" si="286"/>
        <v>457</v>
      </c>
      <c r="P1553" s="410">
        <v>9</v>
      </c>
      <c r="Q1553" s="358">
        <f t="shared" si="291"/>
        <v>1.252054794520548</v>
      </c>
      <c r="R1553" s="359">
        <f t="shared" si="292"/>
        <v>7.7479452054794518</v>
      </c>
      <c r="S1553" s="360">
        <f t="shared" si="293"/>
        <v>7.7479452054794518</v>
      </c>
      <c r="T1553" s="361">
        <f t="shared" si="294"/>
        <v>0.10555555555555554</v>
      </c>
      <c r="U1553" s="362">
        <f t="shared" si="295"/>
        <v>92361.111111111095</v>
      </c>
      <c r="V1553" s="362">
        <f t="shared" si="296"/>
        <v>758665.88888888888</v>
      </c>
      <c r="W1553" s="362">
        <f t="shared" si="297"/>
        <v>43750</v>
      </c>
      <c r="X1553" s="742">
        <f t="shared" si="288"/>
        <v>714915.88888888888</v>
      </c>
    </row>
    <row r="1554" spans="1:24" ht="13.9">
      <c r="A1554" s="349">
        <f t="shared" si="290"/>
        <v>1546</v>
      </c>
      <c r="B1554" s="654" t="s">
        <v>575</v>
      </c>
      <c r="C1554" s="696" t="s">
        <v>27</v>
      </c>
      <c r="D1554" s="743" t="s">
        <v>3663</v>
      </c>
      <c r="E1554" s="654" t="s">
        <v>759</v>
      </c>
      <c r="F1554" s="334"/>
      <c r="G1554" s="657">
        <v>44926</v>
      </c>
      <c r="H1554" s="426">
        <v>875000</v>
      </c>
      <c r="I1554" s="744"/>
      <c r="J1554" s="744"/>
      <c r="K1554" s="354">
        <f t="shared" si="287"/>
        <v>875000</v>
      </c>
      <c r="L1554" s="657">
        <v>44926</v>
      </c>
      <c r="M1554" s="742">
        <v>23973</v>
      </c>
      <c r="N1554" s="352">
        <f t="shared" si="289"/>
        <v>851027</v>
      </c>
      <c r="O1554" s="357">
        <f t="shared" si="286"/>
        <v>457</v>
      </c>
      <c r="P1554" s="410">
        <v>9</v>
      </c>
      <c r="Q1554" s="358">
        <f t="shared" si="291"/>
        <v>1.252054794520548</v>
      </c>
      <c r="R1554" s="359">
        <f t="shared" si="292"/>
        <v>7.7479452054794518</v>
      </c>
      <c r="S1554" s="360">
        <f t="shared" si="293"/>
        <v>7.7479452054794518</v>
      </c>
      <c r="T1554" s="361">
        <f t="shared" si="294"/>
        <v>0.10555555555555554</v>
      </c>
      <c r="U1554" s="362">
        <f t="shared" si="295"/>
        <v>92361.111111111095</v>
      </c>
      <c r="V1554" s="362">
        <f t="shared" si="296"/>
        <v>758665.88888888888</v>
      </c>
      <c r="W1554" s="362">
        <f t="shared" si="297"/>
        <v>43750</v>
      </c>
      <c r="X1554" s="742">
        <f t="shared" si="288"/>
        <v>714915.88888888888</v>
      </c>
    </row>
    <row r="1555" spans="1:24" ht="13.9">
      <c r="A1555" s="349">
        <f t="shared" si="290"/>
        <v>1547</v>
      </c>
      <c r="B1555" s="654" t="s">
        <v>575</v>
      </c>
      <c r="C1555" s="696" t="s">
        <v>27</v>
      </c>
      <c r="D1555" s="743" t="s">
        <v>3663</v>
      </c>
      <c r="E1555" s="654" t="s">
        <v>759</v>
      </c>
      <c r="F1555" s="334"/>
      <c r="G1555" s="657">
        <v>44926</v>
      </c>
      <c r="H1555" s="426">
        <v>875000</v>
      </c>
      <c r="I1555" s="744"/>
      <c r="J1555" s="744"/>
      <c r="K1555" s="354">
        <f t="shared" si="287"/>
        <v>875000</v>
      </c>
      <c r="L1555" s="657">
        <v>44926</v>
      </c>
      <c r="M1555" s="742">
        <v>23973</v>
      </c>
      <c r="N1555" s="352">
        <f t="shared" si="289"/>
        <v>851027</v>
      </c>
      <c r="O1555" s="357">
        <f t="shared" si="286"/>
        <v>457</v>
      </c>
      <c r="P1555" s="410">
        <v>9</v>
      </c>
      <c r="Q1555" s="358">
        <f t="shared" si="291"/>
        <v>1.252054794520548</v>
      </c>
      <c r="R1555" s="359">
        <f t="shared" si="292"/>
        <v>7.7479452054794518</v>
      </c>
      <c r="S1555" s="360">
        <f t="shared" si="293"/>
        <v>7.7479452054794518</v>
      </c>
      <c r="T1555" s="361">
        <f t="shared" si="294"/>
        <v>0.10555555555555554</v>
      </c>
      <c r="U1555" s="362">
        <f t="shared" si="295"/>
        <v>92361.111111111095</v>
      </c>
      <c r="V1555" s="362">
        <f t="shared" si="296"/>
        <v>758665.88888888888</v>
      </c>
      <c r="W1555" s="362">
        <f t="shared" si="297"/>
        <v>43750</v>
      </c>
      <c r="X1555" s="742">
        <f t="shared" si="288"/>
        <v>714915.88888888888</v>
      </c>
    </row>
    <row r="1556" spans="1:24" ht="13.9">
      <c r="A1556" s="349">
        <f t="shared" si="290"/>
        <v>1548</v>
      </c>
      <c r="B1556" s="669" t="s">
        <v>575</v>
      </c>
      <c r="C1556" s="681" t="s">
        <v>27</v>
      </c>
      <c r="D1556" s="743" t="s">
        <v>3663</v>
      </c>
      <c r="E1556" s="669" t="s">
        <v>3347</v>
      </c>
      <c r="F1556" s="334"/>
      <c r="G1556" s="672">
        <v>44958</v>
      </c>
      <c r="H1556" s="426">
        <v>875000</v>
      </c>
      <c r="I1556" s="744"/>
      <c r="J1556" s="744"/>
      <c r="K1556" s="354">
        <f t="shared" si="287"/>
        <v>875000</v>
      </c>
      <c r="L1556" s="672">
        <v>44958</v>
      </c>
      <c r="M1556" s="742">
        <v>15449</v>
      </c>
      <c r="N1556" s="352">
        <f t="shared" si="289"/>
        <v>859551</v>
      </c>
      <c r="O1556" s="357">
        <f t="shared" si="286"/>
        <v>425</v>
      </c>
      <c r="P1556" s="410">
        <v>9</v>
      </c>
      <c r="Q1556" s="358">
        <f t="shared" si="291"/>
        <v>1.1643835616438356</v>
      </c>
      <c r="R1556" s="359">
        <f t="shared" si="292"/>
        <v>7.8356164383561646</v>
      </c>
      <c r="S1556" s="360">
        <f t="shared" si="293"/>
        <v>7.8356164383561646</v>
      </c>
      <c r="T1556" s="361">
        <f t="shared" si="294"/>
        <v>0.10555555555555554</v>
      </c>
      <c r="U1556" s="362">
        <f t="shared" si="295"/>
        <v>92361.111111111095</v>
      </c>
      <c r="V1556" s="362">
        <f t="shared" si="296"/>
        <v>767189.88888888888</v>
      </c>
      <c r="W1556" s="362">
        <f t="shared" si="297"/>
        <v>43750</v>
      </c>
      <c r="X1556" s="742">
        <f t="shared" si="288"/>
        <v>723439.88888888888</v>
      </c>
    </row>
    <row r="1557" spans="1:24" ht="13.9">
      <c r="A1557" s="349">
        <f t="shared" si="290"/>
        <v>1549</v>
      </c>
      <c r="B1557" s="669" t="s">
        <v>575</v>
      </c>
      <c r="C1557" s="681" t="s">
        <v>27</v>
      </c>
      <c r="D1557" s="743" t="s">
        <v>3663</v>
      </c>
      <c r="E1557" s="669" t="s">
        <v>3347</v>
      </c>
      <c r="F1557" s="334"/>
      <c r="G1557" s="672">
        <v>44958</v>
      </c>
      <c r="H1557" s="426">
        <v>875000</v>
      </c>
      <c r="I1557" s="744"/>
      <c r="J1557" s="744"/>
      <c r="K1557" s="354">
        <f t="shared" si="287"/>
        <v>875000</v>
      </c>
      <c r="L1557" s="672">
        <v>44958</v>
      </c>
      <c r="M1557" s="742">
        <v>15449</v>
      </c>
      <c r="N1557" s="352">
        <f t="shared" si="289"/>
        <v>859551</v>
      </c>
      <c r="O1557" s="357">
        <f t="shared" si="286"/>
        <v>425</v>
      </c>
      <c r="P1557" s="410">
        <v>9</v>
      </c>
      <c r="Q1557" s="358">
        <f t="shared" si="291"/>
        <v>1.1643835616438356</v>
      </c>
      <c r="R1557" s="359">
        <f t="shared" si="292"/>
        <v>7.8356164383561646</v>
      </c>
      <c r="S1557" s="360">
        <f t="shared" si="293"/>
        <v>7.8356164383561646</v>
      </c>
      <c r="T1557" s="361">
        <f t="shared" si="294"/>
        <v>0.10555555555555554</v>
      </c>
      <c r="U1557" s="362">
        <f t="shared" si="295"/>
        <v>92361.111111111095</v>
      </c>
      <c r="V1557" s="362">
        <f t="shared" si="296"/>
        <v>767189.88888888888</v>
      </c>
      <c r="W1557" s="362">
        <f t="shared" si="297"/>
        <v>43750</v>
      </c>
      <c r="X1557" s="742">
        <f t="shared" si="288"/>
        <v>723439.88888888888</v>
      </c>
    </row>
    <row r="1558" spans="1:24" ht="13.9">
      <c r="A1558" s="349">
        <f t="shared" si="290"/>
        <v>1550</v>
      </c>
      <c r="B1558" s="669" t="s">
        <v>575</v>
      </c>
      <c r="C1558" s="681" t="s">
        <v>27</v>
      </c>
      <c r="D1558" s="743" t="s">
        <v>3663</v>
      </c>
      <c r="E1558" s="669" t="s">
        <v>3347</v>
      </c>
      <c r="F1558" s="334"/>
      <c r="G1558" s="672">
        <v>44968</v>
      </c>
      <c r="H1558" s="426">
        <v>875000</v>
      </c>
      <c r="I1558" s="744"/>
      <c r="J1558" s="744"/>
      <c r="K1558" s="354">
        <f t="shared" si="287"/>
        <v>875000</v>
      </c>
      <c r="L1558" s="672">
        <v>44968</v>
      </c>
      <c r="M1558" s="742">
        <v>12785</v>
      </c>
      <c r="N1558" s="352">
        <f t="shared" si="289"/>
        <v>862215</v>
      </c>
      <c r="O1558" s="357">
        <f t="shared" si="286"/>
        <v>415</v>
      </c>
      <c r="P1558" s="410">
        <v>9</v>
      </c>
      <c r="Q1558" s="358">
        <f t="shared" si="291"/>
        <v>1.1369863013698631</v>
      </c>
      <c r="R1558" s="359">
        <f t="shared" si="292"/>
        <v>7.8630136986301373</v>
      </c>
      <c r="S1558" s="360">
        <f t="shared" si="293"/>
        <v>7.8630136986301373</v>
      </c>
      <c r="T1558" s="361">
        <f t="shared" si="294"/>
        <v>0.10555555555555554</v>
      </c>
      <c r="U1558" s="362">
        <f t="shared" si="295"/>
        <v>92361.111111111095</v>
      </c>
      <c r="V1558" s="362">
        <f t="shared" si="296"/>
        <v>769853.88888888888</v>
      </c>
      <c r="W1558" s="362">
        <f t="shared" si="297"/>
        <v>43750</v>
      </c>
      <c r="X1558" s="742">
        <f t="shared" si="288"/>
        <v>726103.88888888888</v>
      </c>
    </row>
    <row r="1559" spans="1:24" ht="13.9">
      <c r="A1559" s="349">
        <f t="shared" si="290"/>
        <v>1551</v>
      </c>
      <c r="B1559" s="669" t="s">
        <v>575</v>
      </c>
      <c r="C1559" s="681" t="s">
        <v>27</v>
      </c>
      <c r="D1559" s="743" t="s">
        <v>3663</v>
      </c>
      <c r="E1559" s="669" t="s">
        <v>3347</v>
      </c>
      <c r="F1559" s="334"/>
      <c r="G1559" s="672">
        <v>44968</v>
      </c>
      <c r="H1559" s="426">
        <v>875000</v>
      </c>
      <c r="I1559" s="744"/>
      <c r="J1559" s="744"/>
      <c r="K1559" s="354">
        <f t="shared" si="287"/>
        <v>875000</v>
      </c>
      <c r="L1559" s="672">
        <v>44968</v>
      </c>
      <c r="M1559" s="742">
        <v>12785</v>
      </c>
      <c r="N1559" s="352">
        <f t="shared" si="289"/>
        <v>862215</v>
      </c>
      <c r="O1559" s="357">
        <f t="shared" si="286"/>
        <v>415</v>
      </c>
      <c r="P1559" s="410">
        <v>9</v>
      </c>
      <c r="Q1559" s="358">
        <f t="shared" si="291"/>
        <v>1.1369863013698631</v>
      </c>
      <c r="R1559" s="359">
        <f t="shared" si="292"/>
        <v>7.8630136986301373</v>
      </c>
      <c r="S1559" s="360">
        <f t="shared" si="293"/>
        <v>7.8630136986301373</v>
      </c>
      <c r="T1559" s="361">
        <f t="shared" si="294"/>
        <v>0.10555555555555554</v>
      </c>
      <c r="U1559" s="362">
        <f t="shared" si="295"/>
        <v>92361.111111111095</v>
      </c>
      <c r="V1559" s="362">
        <f t="shared" si="296"/>
        <v>769853.88888888888</v>
      </c>
      <c r="W1559" s="362">
        <f t="shared" si="297"/>
        <v>43750</v>
      </c>
      <c r="X1559" s="742">
        <f t="shared" si="288"/>
        <v>726103.88888888888</v>
      </c>
    </row>
    <row r="1560" spans="1:24" ht="13.9">
      <c r="A1560" s="349">
        <f t="shared" si="290"/>
        <v>1552</v>
      </c>
      <c r="B1560" s="665" t="s">
        <v>67</v>
      </c>
      <c r="C1560" s="666" t="s">
        <v>29</v>
      </c>
      <c r="D1560" s="743" t="s">
        <v>3663</v>
      </c>
      <c r="E1560" s="665" t="s">
        <v>172</v>
      </c>
      <c r="F1560" s="334"/>
      <c r="G1560" s="668">
        <v>44742</v>
      </c>
      <c r="H1560" s="426">
        <v>1400832</v>
      </c>
      <c r="I1560" s="744"/>
      <c r="J1560" s="744"/>
      <c r="K1560" s="354">
        <f t="shared" si="287"/>
        <v>1400832</v>
      </c>
      <c r="L1560" s="668">
        <v>44742</v>
      </c>
      <c r="M1560" s="742">
        <v>116843</v>
      </c>
      <c r="N1560" s="352">
        <f t="shared" si="289"/>
        <v>1283989</v>
      </c>
      <c r="O1560" s="357">
        <f t="shared" si="286"/>
        <v>641</v>
      </c>
      <c r="P1560" s="410">
        <v>9</v>
      </c>
      <c r="Q1560" s="358">
        <f t="shared" si="291"/>
        <v>1.7561643835616438</v>
      </c>
      <c r="R1560" s="359">
        <f t="shared" si="292"/>
        <v>7.2438356164383562</v>
      </c>
      <c r="S1560" s="360">
        <f t="shared" si="293"/>
        <v>7.2438356164383562</v>
      </c>
      <c r="T1560" s="361">
        <f t="shared" si="294"/>
        <v>0.10555555555555554</v>
      </c>
      <c r="U1560" s="362">
        <f t="shared" si="295"/>
        <v>147865.59999999998</v>
      </c>
      <c r="V1560" s="362">
        <f t="shared" si="296"/>
        <v>1136123.3999999999</v>
      </c>
      <c r="W1560" s="362">
        <f t="shared" si="297"/>
        <v>70042</v>
      </c>
      <c r="X1560" s="742">
        <f t="shared" si="288"/>
        <v>1066081.3999999999</v>
      </c>
    </row>
    <row r="1561" spans="1:24" ht="13.9">
      <c r="A1561" s="349">
        <f t="shared" si="290"/>
        <v>1553</v>
      </c>
      <c r="B1561" s="665" t="s">
        <v>67</v>
      </c>
      <c r="C1561" s="666" t="s">
        <v>29</v>
      </c>
      <c r="D1561" s="743" t="s">
        <v>3663</v>
      </c>
      <c r="E1561" s="665" t="s">
        <v>172</v>
      </c>
      <c r="F1561" s="334"/>
      <c r="G1561" s="687">
        <v>44742</v>
      </c>
      <c r="H1561" s="426">
        <v>1400832</v>
      </c>
      <c r="I1561" s="744"/>
      <c r="J1561" s="744"/>
      <c r="K1561" s="354">
        <f t="shared" si="287"/>
        <v>1400832</v>
      </c>
      <c r="L1561" s="687">
        <v>44742</v>
      </c>
      <c r="M1561" s="742">
        <v>116843</v>
      </c>
      <c r="N1561" s="352">
        <f t="shared" si="289"/>
        <v>1283989</v>
      </c>
      <c r="O1561" s="357">
        <f t="shared" si="286"/>
        <v>641</v>
      </c>
      <c r="P1561" s="410">
        <v>9</v>
      </c>
      <c r="Q1561" s="358">
        <f t="shared" si="291"/>
        <v>1.7561643835616438</v>
      </c>
      <c r="R1561" s="359">
        <f t="shared" si="292"/>
        <v>7.2438356164383562</v>
      </c>
      <c r="S1561" s="360">
        <f t="shared" si="293"/>
        <v>7.2438356164383562</v>
      </c>
      <c r="T1561" s="361">
        <f t="shared" si="294"/>
        <v>0.10555555555555554</v>
      </c>
      <c r="U1561" s="362">
        <f t="shared" si="295"/>
        <v>147865.59999999998</v>
      </c>
      <c r="V1561" s="362">
        <f t="shared" si="296"/>
        <v>1136123.3999999999</v>
      </c>
      <c r="W1561" s="362">
        <f t="shared" si="297"/>
        <v>70042</v>
      </c>
      <c r="X1561" s="742">
        <f t="shared" si="288"/>
        <v>1066081.3999999999</v>
      </c>
    </row>
    <row r="1562" spans="1:24" ht="13.9">
      <c r="A1562" s="349">
        <f t="shared" si="290"/>
        <v>1554</v>
      </c>
      <c r="B1562" s="665" t="s">
        <v>67</v>
      </c>
      <c r="C1562" s="666" t="s">
        <v>29</v>
      </c>
      <c r="D1562" s="743" t="s">
        <v>3663</v>
      </c>
      <c r="E1562" s="665" t="s">
        <v>172</v>
      </c>
      <c r="F1562" s="334"/>
      <c r="G1562" s="687">
        <v>44742</v>
      </c>
      <c r="H1562" s="426">
        <v>1400832</v>
      </c>
      <c r="I1562" s="744"/>
      <c r="J1562" s="744"/>
      <c r="K1562" s="354">
        <f t="shared" si="287"/>
        <v>1400832</v>
      </c>
      <c r="L1562" s="687">
        <v>44742</v>
      </c>
      <c r="M1562" s="742">
        <v>116843</v>
      </c>
      <c r="N1562" s="352">
        <f t="shared" si="289"/>
        <v>1283989</v>
      </c>
      <c r="O1562" s="357">
        <f t="shared" si="286"/>
        <v>641</v>
      </c>
      <c r="P1562" s="410">
        <v>9</v>
      </c>
      <c r="Q1562" s="358">
        <f t="shared" si="291"/>
        <v>1.7561643835616438</v>
      </c>
      <c r="R1562" s="359">
        <f t="shared" si="292"/>
        <v>7.2438356164383562</v>
      </c>
      <c r="S1562" s="360">
        <f t="shared" si="293"/>
        <v>7.2438356164383562</v>
      </c>
      <c r="T1562" s="361">
        <f t="shared" si="294"/>
        <v>0.10555555555555554</v>
      </c>
      <c r="U1562" s="362">
        <f t="shared" si="295"/>
        <v>147865.59999999998</v>
      </c>
      <c r="V1562" s="362">
        <f t="shared" si="296"/>
        <v>1136123.3999999999</v>
      </c>
      <c r="W1562" s="362">
        <f t="shared" si="297"/>
        <v>70042</v>
      </c>
      <c r="X1562" s="742">
        <f t="shared" si="288"/>
        <v>1066081.3999999999</v>
      </c>
    </row>
    <row r="1563" spans="1:24" ht="13.9">
      <c r="A1563" s="349">
        <f t="shared" si="290"/>
        <v>1555</v>
      </c>
      <c r="B1563" s="665" t="s">
        <v>67</v>
      </c>
      <c r="C1563" s="666" t="s">
        <v>29</v>
      </c>
      <c r="D1563" s="743" t="s">
        <v>3663</v>
      </c>
      <c r="E1563" s="665" t="s">
        <v>172</v>
      </c>
      <c r="F1563" s="334"/>
      <c r="G1563" s="657">
        <v>44742</v>
      </c>
      <c r="H1563" s="426">
        <v>1400832</v>
      </c>
      <c r="I1563" s="744"/>
      <c r="J1563" s="744"/>
      <c r="K1563" s="354">
        <f t="shared" si="287"/>
        <v>1400832</v>
      </c>
      <c r="L1563" s="657">
        <v>44742</v>
      </c>
      <c r="M1563" s="742">
        <v>116843</v>
      </c>
      <c r="N1563" s="352">
        <f t="shared" si="289"/>
        <v>1283989</v>
      </c>
      <c r="O1563" s="357">
        <f t="shared" si="286"/>
        <v>641</v>
      </c>
      <c r="P1563" s="410">
        <v>9</v>
      </c>
      <c r="Q1563" s="358">
        <f t="shared" si="291"/>
        <v>1.7561643835616438</v>
      </c>
      <c r="R1563" s="359">
        <f t="shared" si="292"/>
        <v>7.2438356164383562</v>
      </c>
      <c r="S1563" s="360">
        <f t="shared" si="293"/>
        <v>7.2438356164383562</v>
      </c>
      <c r="T1563" s="361">
        <f t="shared" si="294"/>
        <v>0.10555555555555554</v>
      </c>
      <c r="U1563" s="362">
        <f t="shared" si="295"/>
        <v>147865.59999999998</v>
      </c>
      <c r="V1563" s="362">
        <f t="shared" si="296"/>
        <v>1136123.3999999999</v>
      </c>
      <c r="W1563" s="362">
        <f t="shared" si="297"/>
        <v>70042</v>
      </c>
      <c r="X1563" s="742">
        <f t="shared" si="288"/>
        <v>1066081.3999999999</v>
      </c>
    </row>
    <row r="1564" spans="1:24" ht="13.9">
      <c r="A1564" s="349">
        <f t="shared" si="290"/>
        <v>1556</v>
      </c>
      <c r="B1564" s="665" t="s">
        <v>67</v>
      </c>
      <c r="C1564" s="666" t="s">
        <v>29</v>
      </c>
      <c r="D1564" s="743" t="s">
        <v>3663</v>
      </c>
      <c r="E1564" s="665" t="s">
        <v>172</v>
      </c>
      <c r="F1564" s="334"/>
      <c r="G1564" s="687">
        <v>44742</v>
      </c>
      <c r="H1564" s="426">
        <v>1400832</v>
      </c>
      <c r="I1564" s="744"/>
      <c r="J1564" s="744"/>
      <c r="K1564" s="354">
        <f t="shared" si="287"/>
        <v>1400832</v>
      </c>
      <c r="L1564" s="687">
        <v>44742</v>
      </c>
      <c r="M1564" s="742">
        <v>116843</v>
      </c>
      <c r="N1564" s="352">
        <f t="shared" si="289"/>
        <v>1283989</v>
      </c>
      <c r="O1564" s="357">
        <f t="shared" si="286"/>
        <v>641</v>
      </c>
      <c r="P1564" s="410">
        <v>9</v>
      </c>
      <c r="Q1564" s="358">
        <f t="shared" si="291"/>
        <v>1.7561643835616438</v>
      </c>
      <c r="R1564" s="359">
        <f t="shared" si="292"/>
        <v>7.2438356164383562</v>
      </c>
      <c r="S1564" s="360">
        <f t="shared" si="293"/>
        <v>7.2438356164383562</v>
      </c>
      <c r="T1564" s="361">
        <f t="shared" si="294"/>
        <v>0.10555555555555554</v>
      </c>
      <c r="U1564" s="362">
        <f t="shared" si="295"/>
        <v>147865.59999999998</v>
      </c>
      <c r="V1564" s="362">
        <f t="shared" si="296"/>
        <v>1136123.3999999999</v>
      </c>
      <c r="W1564" s="362">
        <f t="shared" si="297"/>
        <v>70042</v>
      </c>
      <c r="X1564" s="742">
        <f t="shared" si="288"/>
        <v>1066081.3999999999</v>
      </c>
    </row>
    <row r="1565" spans="1:24" ht="13.9">
      <c r="A1565" s="349">
        <f t="shared" si="290"/>
        <v>1557</v>
      </c>
      <c r="B1565" s="665" t="s">
        <v>67</v>
      </c>
      <c r="C1565" s="666" t="s">
        <v>29</v>
      </c>
      <c r="D1565" s="743" t="s">
        <v>3663</v>
      </c>
      <c r="E1565" s="665" t="s">
        <v>172</v>
      </c>
      <c r="F1565" s="334"/>
      <c r="G1565" s="687">
        <v>44742</v>
      </c>
      <c r="H1565" s="426">
        <v>1400832</v>
      </c>
      <c r="I1565" s="744"/>
      <c r="J1565" s="744"/>
      <c r="K1565" s="354">
        <f t="shared" si="287"/>
        <v>1400832</v>
      </c>
      <c r="L1565" s="687">
        <v>44742</v>
      </c>
      <c r="M1565" s="742">
        <v>116843</v>
      </c>
      <c r="N1565" s="352">
        <f t="shared" si="289"/>
        <v>1283989</v>
      </c>
      <c r="O1565" s="357">
        <f t="shared" si="286"/>
        <v>641</v>
      </c>
      <c r="P1565" s="410">
        <v>9</v>
      </c>
      <c r="Q1565" s="358">
        <f t="shared" si="291"/>
        <v>1.7561643835616438</v>
      </c>
      <c r="R1565" s="359">
        <f t="shared" si="292"/>
        <v>7.2438356164383562</v>
      </c>
      <c r="S1565" s="360">
        <f t="shared" si="293"/>
        <v>7.2438356164383562</v>
      </c>
      <c r="T1565" s="361">
        <f t="shared" si="294"/>
        <v>0.10555555555555554</v>
      </c>
      <c r="U1565" s="362">
        <f t="shared" si="295"/>
        <v>147865.59999999998</v>
      </c>
      <c r="V1565" s="362">
        <f t="shared" si="296"/>
        <v>1136123.3999999999</v>
      </c>
      <c r="W1565" s="362">
        <f t="shared" si="297"/>
        <v>70042</v>
      </c>
      <c r="X1565" s="742">
        <f t="shared" si="288"/>
        <v>1066081.3999999999</v>
      </c>
    </row>
    <row r="1566" spans="1:24" ht="13.9">
      <c r="A1566" s="349">
        <f t="shared" si="290"/>
        <v>1558</v>
      </c>
      <c r="B1566" s="665" t="s">
        <v>67</v>
      </c>
      <c r="C1566" s="666" t="s">
        <v>29</v>
      </c>
      <c r="D1566" s="743" t="s">
        <v>3663</v>
      </c>
      <c r="E1566" s="665" t="s">
        <v>172</v>
      </c>
      <c r="F1566" s="334"/>
      <c r="G1566" s="687">
        <v>44742</v>
      </c>
      <c r="H1566" s="426">
        <v>1170450</v>
      </c>
      <c r="I1566" s="744"/>
      <c r="J1566" s="744"/>
      <c r="K1566" s="354">
        <f t="shared" si="287"/>
        <v>1170450</v>
      </c>
      <c r="L1566" s="687">
        <v>44742</v>
      </c>
      <c r="M1566" s="742">
        <v>97627</v>
      </c>
      <c r="N1566" s="352">
        <f t="shared" si="289"/>
        <v>1072823</v>
      </c>
      <c r="O1566" s="357">
        <f t="shared" si="286"/>
        <v>641</v>
      </c>
      <c r="P1566" s="410">
        <v>9</v>
      </c>
      <c r="Q1566" s="358">
        <f t="shared" si="291"/>
        <v>1.7561643835616438</v>
      </c>
      <c r="R1566" s="359">
        <f t="shared" si="292"/>
        <v>7.2438356164383562</v>
      </c>
      <c r="S1566" s="360">
        <f t="shared" si="293"/>
        <v>7.2438356164383562</v>
      </c>
      <c r="T1566" s="361">
        <f t="shared" si="294"/>
        <v>0.10555555555555554</v>
      </c>
      <c r="U1566" s="362">
        <f t="shared" si="295"/>
        <v>123547.49999999999</v>
      </c>
      <c r="V1566" s="362">
        <f t="shared" si="296"/>
        <v>949275.5</v>
      </c>
      <c r="W1566" s="362">
        <f t="shared" si="297"/>
        <v>58523</v>
      </c>
      <c r="X1566" s="742">
        <f t="shared" si="288"/>
        <v>890752.5</v>
      </c>
    </row>
    <row r="1567" spans="1:24" ht="13.9">
      <c r="A1567" s="349">
        <f t="shared" si="290"/>
        <v>1559</v>
      </c>
      <c r="B1567" s="665" t="s">
        <v>67</v>
      </c>
      <c r="C1567" s="666" t="s">
        <v>29</v>
      </c>
      <c r="D1567" s="743" t="s">
        <v>3663</v>
      </c>
      <c r="E1567" s="665" t="s">
        <v>172</v>
      </c>
      <c r="F1567" s="334"/>
      <c r="G1567" s="657">
        <v>44742</v>
      </c>
      <c r="H1567" s="426">
        <v>1170450</v>
      </c>
      <c r="I1567" s="744"/>
      <c r="J1567" s="744"/>
      <c r="K1567" s="354">
        <f t="shared" si="287"/>
        <v>1170450</v>
      </c>
      <c r="L1567" s="657">
        <v>44742</v>
      </c>
      <c r="M1567" s="742">
        <v>97627</v>
      </c>
      <c r="N1567" s="352">
        <f t="shared" si="289"/>
        <v>1072823</v>
      </c>
      <c r="O1567" s="357">
        <f t="shared" si="286"/>
        <v>641</v>
      </c>
      <c r="P1567" s="410">
        <v>9</v>
      </c>
      <c r="Q1567" s="358">
        <f t="shared" si="291"/>
        <v>1.7561643835616438</v>
      </c>
      <c r="R1567" s="359">
        <f t="shared" si="292"/>
        <v>7.2438356164383562</v>
      </c>
      <c r="S1567" s="360">
        <f t="shared" si="293"/>
        <v>7.2438356164383562</v>
      </c>
      <c r="T1567" s="361">
        <f t="shared" si="294"/>
        <v>0.10555555555555554</v>
      </c>
      <c r="U1567" s="362">
        <f t="shared" si="295"/>
        <v>123547.49999999999</v>
      </c>
      <c r="V1567" s="362">
        <f t="shared" si="296"/>
        <v>949275.5</v>
      </c>
      <c r="W1567" s="362">
        <f t="shared" si="297"/>
        <v>58523</v>
      </c>
      <c r="X1567" s="742">
        <f t="shared" si="288"/>
        <v>890752.5</v>
      </c>
    </row>
    <row r="1568" spans="1:24" ht="13.9">
      <c r="A1568" s="349">
        <f t="shared" si="290"/>
        <v>1560</v>
      </c>
      <c r="B1568" s="665" t="s">
        <v>69</v>
      </c>
      <c r="C1568" s="666" t="s">
        <v>29</v>
      </c>
      <c r="D1568" s="743" t="s">
        <v>3663</v>
      </c>
      <c r="E1568" s="665" t="s">
        <v>170</v>
      </c>
      <c r="F1568" s="334"/>
      <c r="G1568" s="668">
        <v>44735</v>
      </c>
      <c r="H1568" s="426">
        <v>1075000</v>
      </c>
      <c r="I1568" s="744"/>
      <c r="J1568" s="744"/>
      <c r="K1568" s="354">
        <f t="shared" si="287"/>
        <v>1075000</v>
      </c>
      <c r="L1568" s="668">
        <v>44735</v>
      </c>
      <c r="M1568" s="742">
        <v>91956</v>
      </c>
      <c r="N1568" s="352">
        <f t="shared" si="289"/>
        <v>983044</v>
      </c>
      <c r="O1568" s="357">
        <f t="shared" si="286"/>
        <v>648</v>
      </c>
      <c r="P1568" s="410">
        <v>9</v>
      </c>
      <c r="Q1568" s="358">
        <f t="shared" si="291"/>
        <v>1.7753424657534247</v>
      </c>
      <c r="R1568" s="359">
        <f t="shared" si="292"/>
        <v>7.2246575342465755</v>
      </c>
      <c r="S1568" s="360">
        <f t="shared" si="293"/>
        <v>7.2246575342465755</v>
      </c>
      <c r="T1568" s="361">
        <f t="shared" si="294"/>
        <v>0.10555555555555554</v>
      </c>
      <c r="U1568" s="362">
        <f t="shared" si="295"/>
        <v>113472.2222222222</v>
      </c>
      <c r="V1568" s="362">
        <f t="shared" si="296"/>
        <v>869571.77777777775</v>
      </c>
      <c r="W1568" s="362">
        <f t="shared" si="297"/>
        <v>53750</v>
      </c>
      <c r="X1568" s="742">
        <f t="shared" si="288"/>
        <v>815821.77777777775</v>
      </c>
    </row>
    <row r="1569" spans="1:24" ht="13.9">
      <c r="A1569" s="349">
        <f t="shared" si="290"/>
        <v>1561</v>
      </c>
      <c r="B1569" s="665" t="s">
        <v>72</v>
      </c>
      <c r="C1569" s="666" t="s">
        <v>29</v>
      </c>
      <c r="D1569" s="743" t="s">
        <v>3663</v>
      </c>
      <c r="E1569" s="665" t="s">
        <v>180</v>
      </c>
      <c r="F1569" s="334"/>
      <c r="G1569" s="657">
        <v>44688</v>
      </c>
      <c r="H1569" s="426">
        <v>474575.99999999994</v>
      </c>
      <c r="I1569" s="744"/>
      <c r="J1569" s="744"/>
      <c r="K1569" s="354">
        <f t="shared" si="287"/>
        <v>474575.99999999994</v>
      </c>
      <c r="L1569" s="657">
        <v>44688</v>
      </c>
      <c r="M1569" s="742">
        <v>47385</v>
      </c>
      <c r="N1569" s="352">
        <f t="shared" si="289"/>
        <v>427190.99999999994</v>
      </c>
      <c r="O1569" s="357">
        <f t="shared" si="286"/>
        <v>695</v>
      </c>
      <c r="P1569" s="410">
        <v>9</v>
      </c>
      <c r="Q1569" s="358">
        <f t="shared" si="291"/>
        <v>1.904109589041096</v>
      </c>
      <c r="R1569" s="359">
        <f t="shared" si="292"/>
        <v>7.095890410958904</v>
      </c>
      <c r="S1569" s="360">
        <f t="shared" si="293"/>
        <v>7.095890410958904</v>
      </c>
      <c r="T1569" s="361">
        <f t="shared" si="294"/>
        <v>0.10555555555555554</v>
      </c>
      <c r="U1569" s="362">
        <f t="shared" si="295"/>
        <v>50094.133333333317</v>
      </c>
      <c r="V1569" s="362">
        <f t="shared" si="296"/>
        <v>377096.86666666664</v>
      </c>
      <c r="W1569" s="362">
        <f t="shared" si="297"/>
        <v>23729</v>
      </c>
      <c r="X1569" s="742">
        <f t="shared" si="288"/>
        <v>353367.86666666664</v>
      </c>
    </row>
    <row r="1570" spans="1:24" ht="13.9">
      <c r="A1570" s="349">
        <f t="shared" si="290"/>
        <v>1562</v>
      </c>
      <c r="B1570" s="684" t="s">
        <v>320</v>
      </c>
      <c r="C1570" s="695" t="s">
        <v>29</v>
      </c>
      <c r="D1570" s="743" t="s">
        <v>3663</v>
      </c>
      <c r="E1570" s="684" t="s">
        <v>415</v>
      </c>
      <c r="F1570" s="334"/>
      <c r="G1570" s="657">
        <v>44754</v>
      </c>
      <c r="H1570" s="426">
        <v>13983.06</v>
      </c>
      <c r="I1570" s="744"/>
      <c r="J1570" s="744"/>
      <c r="K1570" s="354">
        <f t="shared" si="287"/>
        <v>13983.06</v>
      </c>
      <c r="L1570" s="657">
        <v>44754</v>
      </c>
      <c r="M1570" s="742">
        <v>1115</v>
      </c>
      <c r="N1570" s="352">
        <f t="shared" si="289"/>
        <v>12868.06</v>
      </c>
      <c r="O1570" s="357">
        <f t="shared" si="286"/>
        <v>629</v>
      </c>
      <c r="P1570" s="410">
        <v>9</v>
      </c>
      <c r="Q1570" s="358">
        <f t="shared" si="291"/>
        <v>1.7232876712328766</v>
      </c>
      <c r="R1570" s="359">
        <f t="shared" si="292"/>
        <v>7.2767123287671236</v>
      </c>
      <c r="S1570" s="360">
        <f t="shared" si="293"/>
        <v>7.2767123287671236</v>
      </c>
      <c r="T1570" s="361">
        <f t="shared" si="294"/>
        <v>0.10555555555555554</v>
      </c>
      <c r="U1570" s="362">
        <f t="shared" si="295"/>
        <v>1475.9896666666664</v>
      </c>
      <c r="V1570" s="362">
        <f t="shared" si="296"/>
        <v>11392.070333333333</v>
      </c>
      <c r="W1570" s="362">
        <f t="shared" si="297"/>
        <v>699</v>
      </c>
      <c r="X1570" s="742">
        <f t="shared" si="288"/>
        <v>10693.070333333333</v>
      </c>
    </row>
    <row r="1571" spans="1:24" ht="13.9">
      <c r="A1571" s="349">
        <f t="shared" si="290"/>
        <v>1563</v>
      </c>
      <c r="B1571" s="684" t="s">
        <v>321</v>
      </c>
      <c r="C1571" s="695" t="s">
        <v>29</v>
      </c>
      <c r="D1571" s="743" t="s">
        <v>3663</v>
      </c>
      <c r="E1571" s="684" t="s">
        <v>180</v>
      </c>
      <c r="F1571" s="334"/>
      <c r="G1571" s="657">
        <v>44765</v>
      </c>
      <c r="H1571" s="426">
        <v>474576.27</v>
      </c>
      <c r="I1571" s="744"/>
      <c r="J1571" s="744"/>
      <c r="K1571" s="354">
        <f t="shared" si="287"/>
        <v>474576.27</v>
      </c>
      <c r="L1571" s="657">
        <v>44765</v>
      </c>
      <c r="M1571" s="742">
        <v>36261</v>
      </c>
      <c r="N1571" s="352">
        <f t="shared" si="289"/>
        <v>438315.27</v>
      </c>
      <c r="O1571" s="357">
        <f t="shared" si="286"/>
        <v>618</v>
      </c>
      <c r="P1571" s="410">
        <v>9</v>
      </c>
      <c r="Q1571" s="358">
        <f t="shared" si="291"/>
        <v>1.6931506849315068</v>
      </c>
      <c r="R1571" s="359">
        <f t="shared" si="292"/>
        <v>7.3068493150684937</v>
      </c>
      <c r="S1571" s="360">
        <f t="shared" si="293"/>
        <v>7.3068493150684937</v>
      </c>
      <c r="T1571" s="361">
        <f t="shared" si="294"/>
        <v>0.10555555555555554</v>
      </c>
      <c r="U1571" s="362">
        <f t="shared" si="295"/>
        <v>50094.161833333332</v>
      </c>
      <c r="V1571" s="362">
        <f t="shared" si="296"/>
        <v>388221.1081666667</v>
      </c>
      <c r="W1571" s="362">
        <f t="shared" si="297"/>
        <v>23729</v>
      </c>
      <c r="X1571" s="742">
        <f t="shared" si="288"/>
        <v>364492.1081666667</v>
      </c>
    </row>
    <row r="1572" spans="1:24" ht="13.9">
      <c r="A1572" s="349">
        <f t="shared" si="290"/>
        <v>1564</v>
      </c>
      <c r="B1572" s="684" t="s">
        <v>308</v>
      </c>
      <c r="C1572" s="695" t="s">
        <v>29</v>
      </c>
      <c r="D1572" s="743" t="s">
        <v>3663</v>
      </c>
      <c r="E1572" s="684" t="s">
        <v>416</v>
      </c>
      <c r="F1572" s="334"/>
      <c r="G1572" s="657">
        <v>44793</v>
      </c>
      <c r="H1572" s="426">
        <v>5800000</v>
      </c>
      <c r="I1572" s="744"/>
      <c r="J1572" s="744"/>
      <c r="K1572" s="354">
        <f t="shared" si="287"/>
        <v>5800000</v>
      </c>
      <c r="L1572" s="657">
        <v>44793</v>
      </c>
      <c r="M1572" s="742">
        <v>393729</v>
      </c>
      <c r="N1572" s="352">
        <f t="shared" si="289"/>
        <v>5406271</v>
      </c>
      <c r="O1572" s="357">
        <f t="shared" si="286"/>
        <v>590</v>
      </c>
      <c r="P1572" s="410">
        <v>9</v>
      </c>
      <c r="Q1572" s="358">
        <f t="shared" si="291"/>
        <v>1.6164383561643836</v>
      </c>
      <c r="R1572" s="359">
        <f t="shared" si="292"/>
        <v>7.3835616438356162</v>
      </c>
      <c r="S1572" s="360">
        <f t="shared" si="293"/>
        <v>7.3835616438356162</v>
      </c>
      <c r="T1572" s="361">
        <f t="shared" si="294"/>
        <v>0.10555555555555554</v>
      </c>
      <c r="U1572" s="362">
        <f t="shared" si="295"/>
        <v>612222.22222222213</v>
      </c>
      <c r="V1572" s="362">
        <f t="shared" si="296"/>
        <v>4794048.777777778</v>
      </c>
      <c r="W1572" s="362">
        <f t="shared" si="297"/>
        <v>290000</v>
      </c>
      <c r="X1572" s="742">
        <f t="shared" si="288"/>
        <v>4504048.777777778</v>
      </c>
    </row>
    <row r="1573" spans="1:24" ht="13.9">
      <c r="A1573" s="349">
        <f t="shared" si="290"/>
        <v>1565</v>
      </c>
      <c r="B1573" s="684" t="s">
        <v>308</v>
      </c>
      <c r="C1573" s="695" t="s">
        <v>29</v>
      </c>
      <c r="D1573" s="743" t="s">
        <v>3663</v>
      </c>
      <c r="E1573" s="684" t="s">
        <v>416</v>
      </c>
      <c r="F1573" s="334"/>
      <c r="G1573" s="657">
        <v>44793</v>
      </c>
      <c r="H1573" s="426">
        <v>5800000</v>
      </c>
      <c r="I1573" s="744"/>
      <c r="J1573" s="744"/>
      <c r="K1573" s="354">
        <f t="shared" si="287"/>
        <v>5800000</v>
      </c>
      <c r="L1573" s="657">
        <v>44793</v>
      </c>
      <c r="M1573" s="742">
        <v>393729</v>
      </c>
      <c r="N1573" s="352">
        <f t="shared" si="289"/>
        <v>5406271</v>
      </c>
      <c r="O1573" s="357">
        <f t="shared" si="286"/>
        <v>590</v>
      </c>
      <c r="P1573" s="410">
        <v>9</v>
      </c>
      <c r="Q1573" s="358">
        <f t="shared" si="291"/>
        <v>1.6164383561643836</v>
      </c>
      <c r="R1573" s="359">
        <f t="shared" si="292"/>
        <v>7.3835616438356162</v>
      </c>
      <c r="S1573" s="360">
        <f t="shared" si="293"/>
        <v>7.3835616438356162</v>
      </c>
      <c r="T1573" s="361">
        <f t="shared" si="294"/>
        <v>0.10555555555555554</v>
      </c>
      <c r="U1573" s="362">
        <f t="shared" si="295"/>
        <v>612222.22222222213</v>
      </c>
      <c r="V1573" s="362">
        <f t="shared" si="296"/>
        <v>4794048.777777778</v>
      </c>
      <c r="W1573" s="362">
        <f t="shared" si="297"/>
        <v>290000</v>
      </c>
      <c r="X1573" s="742">
        <f t="shared" si="288"/>
        <v>4504048.777777778</v>
      </c>
    </row>
    <row r="1574" spans="1:24" ht="13.9">
      <c r="A1574" s="349">
        <f t="shared" si="290"/>
        <v>1566</v>
      </c>
      <c r="B1574" s="684" t="s">
        <v>308</v>
      </c>
      <c r="C1574" s="695" t="s">
        <v>29</v>
      </c>
      <c r="D1574" s="743" t="s">
        <v>3663</v>
      </c>
      <c r="E1574" s="684" t="s">
        <v>416</v>
      </c>
      <c r="F1574" s="334"/>
      <c r="G1574" s="657">
        <v>44793</v>
      </c>
      <c r="H1574" s="426">
        <v>5800000</v>
      </c>
      <c r="I1574" s="744"/>
      <c r="J1574" s="744"/>
      <c r="K1574" s="354">
        <f t="shared" si="287"/>
        <v>5800000</v>
      </c>
      <c r="L1574" s="657">
        <v>44793</v>
      </c>
      <c r="M1574" s="742">
        <v>393729</v>
      </c>
      <c r="N1574" s="352">
        <f t="shared" si="289"/>
        <v>5406271</v>
      </c>
      <c r="O1574" s="357">
        <f t="shared" si="286"/>
        <v>590</v>
      </c>
      <c r="P1574" s="410">
        <v>9</v>
      </c>
      <c r="Q1574" s="358">
        <f t="shared" si="291"/>
        <v>1.6164383561643836</v>
      </c>
      <c r="R1574" s="359">
        <f t="shared" si="292"/>
        <v>7.3835616438356162</v>
      </c>
      <c r="S1574" s="360">
        <f t="shared" si="293"/>
        <v>7.3835616438356162</v>
      </c>
      <c r="T1574" s="361">
        <f t="shared" si="294"/>
        <v>0.10555555555555554</v>
      </c>
      <c r="U1574" s="362">
        <f t="shared" si="295"/>
        <v>612222.22222222213</v>
      </c>
      <c r="V1574" s="362">
        <f t="shared" si="296"/>
        <v>4794048.777777778</v>
      </c>
      <c r="W1574" s="362">
        <f t="shared" si="297"/>
        <v>290000</v>
      </c>
      <c r="X1574" s="742">
        <f t="shared" si="288"/>
        <v>4504048.777777778</v>
      </c>
    </row>
    <row r="1575" spans="1:24" ht="13.9">
      <c r="A1575" s="349">
        <f t="shared" si="290"/>
        <v>1567</v>
      </c>
      <c r="B1575" s="684" t="s">
        <v>308</v>
      </c>
      <c r="C1575" s="695" t="s">
        <v>29</v>
      </c>
      <c r="D1575" s="743" t="s">
        <v>3663</v>
      </c>
      <c r="E1575" s="684" t="s">
        <v>416</v>
      </c>
      <c r="F1575" s="334"/>
      <c r="G1575" s="657">
        <v>44793</v>
      </c>
      <c r="H1575" s="426">
        <v>5800000</v>
      </c>
      <c r="I1575" s="744"/>
      <c r="J1575" s="744"/>
      <c r="K1575" s="354">
        <f t="shared" si="287"/>
        <v>5800000</v>
      </c>
      <c r="L1575" s="657">
        <v>44793</v>
      </c>
      <c r="M1575" s="742">
        <v>393729</v>
      </c>
      <c r="N1575" s="352">
        <f t="shared" si="289"/>
        <v>5406271</v>
      </c>
      <c r="O1575" s="357">
        <f t="shared" si="286"/>
        <v>590</v>
      </c>
      <c r="P1575" s="410">
        <v>9</v>
      </c>
      <c r="Q1575" s="358">
        <f t="shared" si="291"/>
        <v>1.6164383561643836</v>
      </c>
      <c r="R1575" s="359">
        <f t="shared" si="292"/>
        <v>7.3835616438356162</v>
      </c>
      <c r="S1575" s="360">
        <f t="shared" si="293"/>
        <v>7.3835616438356162</v>
      </c>
      <c r="T1575" s="361">
        <f t="shared" si="294"/>
        <v>0.10555555555555554</v>
      </c>
      <c r="U1575" s="362">
        <f t="shared" si="295"/>
        <v>612222.22222222213</v>
      </c>
      <c r="V1575" s="362">
        <f t="shared" si="296"/>
        <v>4794048.777777778</v>
      </c>
      <c r="W1575" s="362">
        <f t="shared" si="297"/>
        <v>290000</v>
      </c>
      <c r="X1575" s="742">
        <f t="shared" si="288"/>
        <v>4504048.777777778</v>
      </c>
    </row>
    <row r="1576" spans="1:24" ht="13.9">
      <c r="A1576" s="349">
        <f t="shared" si="290"/>
        <v>1568</v>
      </c>
      <c r="B1576" s="684" t="s">
        <v>322</v>
      </c>
      <c r="C1576" s="695" t="s">
        <v>29</v>
      </c>
      <c r="D1576" s="743" t="s">
        <v>3663</v>
      </c>
      <c r="E1576" s="684" t="s">
        <v>417</v>
      </c>
      <c r="F1576" s="334"/>
      <c r="G1576" s="657">
        <v>44798</v>
      </c>
      <c r="H1576" s="426">
        <v>2574499</v>
      </c>
      <c r="I1576" s="744"/>
      <c r="J1576" s="744"/>
      <c r="K1576" s="354">
        <f t="shared" si="287"/>
        <v>2574499</v>
      </c>
      <c r="L1576" s="657">
        <v>44798</v>
      </c>
      <c r="M1576" s="742">
        <v>170850</v>
      </c>
      <c r="N1576" s="352">
        <f t="shared" si="289"/>
        <v>2403649</v>
      </c>
      <c r="O1576" s="357">
        <f t="shared" si="286"/>
        <v>585</v>
      </c>
      <c r="P1576" s="410">
        <v>9</v>
      </c>
      <c r="Q1576" s="358">
        <f t="shared" si="291"/>
        <v>1.6027397260273972</v>
      </c>
      <c r="R1576" s="359">
        <f t="shared" si="292"/>
        <v>7.397260273972603</v>
      </c>
      <c r="S1576" s="360">
        <f t="shared" si="293"/>
        <v>7.397260273972603</v>
      </c>
      <c r="T1576" s="361">
        <f t="shared" si="294"/>
        <v>0.10555555555555554</v>
      </c>
      <c r="U1576" s="362">
        <f t="shared" si="295"/>
        <v>271752.6722222222</v>
      </c>
      <c r="V1576" s="362">
        <f t="shared" si="296"/>
        <v>2131896.3277777778</v>
      </c>
      <c r="W1576" s="362">
        <f t="shared" si="297"/>
        <v>128725</v>
      </c>
      <c r="X1576" s="742">
        <f t="shared" si="288"/>
        <v>2003171.3277777778</v>
      </c>
    </row>
    <row r="1577" spans="1:24" ht="13.9">
      <c r="A1577" s="349">
        <f t="shared" si="290"/>
        <v>1569</v>
      </c>
      <c r="B1577" s="684" t="s">
        <v>323</v>
      </c>
      <c r="C1577" s="695" t="s">
        <v>29</v>
      </c>
      <c r="D1577" s="743" t="s">
        <v>3663</v>
      </c>
      <c r="E1577" s="684" t="s">
        <v>416</v>
      </c>
      <c r="F1577" s="334"/>
      <c r="G1577" s="657">
        <v>44799</v>
      </c>
      <c r="H1577" s="426">
        <v>5800000</v>
      </c>
      <c r="I1577" s="744"/>
      <c r="J1577" s="744"/>
      <c r="K1577" s="354">
        <f t="shared" si="287"/>
        <v>5800000</v>
      </c>
      <c r="L1577" s="657">
        <v>44799</v>
      </c>
      <c r="M1577" s="742">
        <v>383135</v>
      </c>
      <c r="N1577" s="352">
        <f t="shared" si="289"/>
        <v>5416865</v>
      </c>
      <c r="O1577" s="357">
        <f t="shared" si="286"/>
        <v>584</v>
      </c>
      <c r="P1577" s="410">
        <v>9</v>
      </c>
      <c r="Q1577" s="358">
        <f t="shared" si="291"/>
        <v>1.6</v>
      </c>
      <c r="R1577" s="359">
        <f t="shared" si="292"/>
        <v>7.4</v>
      </c>
      <c r="S1577" s="360">
        <f t="shared" si="293"/>
        <v>7.4</v>
      </c>
      <c r="T1577" s="361">
        <f t="shared" si="294"/>
        <v>0.10555555555555554</v>
      </c>
      <c r="U1577" s="362">
        <f t="shared" si="295"/>
        <v>612222.22222222213</v>
      </c>
      <c r="V1577" s="362">
        <f t="shared" si="296"/>
        <v>4804642.777777778</v>
      </c>
      <c r="W1577" s="362">
        <f t="shared" si="297"/>
        <v>290000</v>
      </c>
      <c r="X1577" s="742">
        <f t="shared" si="288"/>
        <v>4514642.777777778</v>
      </c>
    </row>
    <row r="1578" spans="1:24" ht="13.9">
      <c r="A1578" s="349">
        <f t="shared" si="290"/>
        <v>1570</v>
      </c>
      <c r="B1578" s="684" t="s">
        <v>324</v>
      </c>
      <c r="C1578" s="695" t="s">
        <v>29</v>
      </c>
      <c r="D1578" s="743" t="s">
        <v>3663</v>
      </c>
      <c r="E1578" s="684" t="s">
        <v>416</v>
      </c>
      <c r="F1578" s="334"/>
      <c r="G1578" s="657">
        <v>44799</v>
      </c>
      <c r="H1578" s="426">
        <v>6000000</v>
      </c>
      <c r="I1578" s="744"/>
      <c r="J1578" s="744"/>
      <c r="K1578" s="354">
        <f t="shared" si="287"/>
        <v>6000000</v>
      </c>
      <c r="L1578" s="657">
        <v>44799</v>
      </c>
      <c r="M1578" s="742">
        <v>396347</v>
      </c>
      <c r="N1578" s="352">
        <f t="shared" si="289"/>
        <v>5603653</v>
      </c>
      <c r="O1578" s="357">
        <f t="shared" si="286"/>
        <v>584</v>
      </c>
      <c r="P1578" s="410">
        <v>9</v>
      </c>
      <c r="Q1578" s="358">
        <f t="shared" si="291"/>
        <v>1.6</v>
      </c>
      <c r="R1578" s="359">
        <f t="shared" si="292"/>
        <v>7.4</v>
      </c>
      <c r="S1578" s="360">
        <f t="shared" si="293"/>
        <v>7.4</v>
      </c>
      <c r="T1578" s="361">
        <f t="shared" si="294"/>
        <v>0.10555555555555554</v>
      </c>
      <c r="U1578" s="362">
        <f t="shared" si="295"/>
        <v>633333.33333333326</v>
      </c>
      <c r="V1578" s="362">
        <f t="shared" si="296"/>
        <v>4970319.666666667</v>
      </c>
      <c r="W1578" s="362">
        <f t="shared" si="297"/>
        <v>300000</v>
      </c>
      <c r="X1578" s="742">
        <f t="shared" si="288"/>
        <v>4670319.666666667</v>
      </c>
    </row>
    <row r="1579" spans="1:24" ht="13.9">
      <c r="A1579" s="349">
        <f t="shared" si="290"/>
        <v>1571</v>
      </c>
      <c r="B1579" s="684" t="s">
        <v>324</v>
      </c>
      <c r="C1579" s="695" t="s">
        <v>29</v>
      </c>
      <c r="D1579" s="743" t="s">
        <v>3663</v>
      </c>
      <c r="E1579" s="684" t="s">
        <v>416</v>
      </c>
      <c r="F1579" s="334"/>
      <c r="G1579" s="657">
        <v>44799</v>
      </c>
      <c r="H1579" s="426">
        <v>6000000</v>
      </c>
      <c r="I1579" s="744"/>
      <c r="J1579" s="744"/>
      <c r="K1579" s="354">
        <f t="shared" si="287"/>
        <v>6000000</v>
      </c>
      <c r="L1579" s="657">
        <v>44799</v>
      </c>
      <c r="M1579" s="742">
        <v>396347</v>
      </c>
      <c r="N1579" s="352">
        <f t="shared" si="289"/>
        <v>5603653</v>
      </c>
      <c r="O1579" s="357">
        <f t="shared" si="286"/>
        <v>584</v>
      </c>
      <c r="P1579" s="410">
        <v>9</v>
      </c>
      <c r="Q1579" s="358">
        <f t="shared" si="291"/>
        <v>1.6</v>
      </c>
      <c r="R1579" s="359">
        <f t="shared" si="292"/>
        <v>7.4</v>
      </c>
      <c r="S1579" s="360">
        <f t="shared" si="293"/>
        <v>7.4</v>
      </c>
      <c r="T1579" s="361">
        <f t="shared" si="294"/>
        <v>0.10555555555555554</v>
      </c>
      <c r="U1579" s="362">
        <f t="shared" si="295"/>
        <v>633333.33333333326</v>
      </c>
      <c r="V1579" s="362">
        <f t="shared" si="296"/>
        <v>4970319.666666667</v>
      </c>
      <c r="W1579" s="362">
        <f t="shared" si="297"/>
        <v>300000</v>
      </c>
      <c r="X1579" s="742">
        <f t="shared" si="288"/>
        <v>4670319.666666667</v>
      </c>
    </row>
    <row r="1580" spans="1:24" ht="13.9">
      <c r="A1580" s="349">
        <f t="shared" si="290"/>
        <v>1572</v>
      </c>
      <c r="B1580" s="684" t="s">
        <v>324</v>
      </c>
      <c r="C1580" s="695" t="s">
        <v>29</v>
      </c>
      <c r="D1580" s="743" t="s">
        <v>3663</v>
      </c>
      <c r="E1580" s="684" t="s">
        <v>416</v>
      </c>
      <c r="F1580" s="334"/>
      <c r="G1580" s="657">
        <v>44799</v>
      </c>
      <c r="H1580" s="426">
        <v>6000000</v>
      </c>
      <c r="I1580" s="744"/>
      <c r="J1580" s="744"/>
      <c r="K1580" s="354">
        <f t="shared" si="287"/>
        <v>6000000</v>
      </c>
      <c r="L1580" s="657">
        <v>44799</v>
      </c>
      <c r="M1580" s="742">
        <v>396347</v>
      </c>
      <c r="N1580" s="352">
        <f t="shared" si="289"/>
        <v>5603653</v>
      </c>
      <c r="O1580" s="357">
        <f t="shared" si="286"/>
        <v>584</v>
      </c>
      <c r="P1580" s="410">
        <v>9</v>
      </c>
      <c r="Q1580" s="358">
        <f t="shared" si="291"/>
        <v>1.6</v>
      </c>
      <c r="R1580" s="359">
        <f t="shared" si="292"/>
        <v>7.4</v>
      </c>
      <c r="S1580" s="360">
        <f t="shared" si="293"/>
        <v>7.4</v>
      </c>
      <c r="T1580" s="361">
        <f t="shared" si="294"/>
        <v>0.10555555555555554</v>
      </c>
      <c r="U1580" s="362">
        <f t="shared" si="295"/>
        <v>633333.33333333326</v>
      </c>
      <c r="V1580" s="362">
        <f t="shared" si="296"/>
        <v>4970319.666666667</v>
      </c>
      <c r="W1580" s="362">
        <f t="shared" si="297"/>
        <v>300000</v>
      </c>
      <c r="X1580" s="742">
        <f t="shared" si="288"/>
        <v>4670319.666666667</v>
      </c>
    </row>
    <row r="1581" spans="1:24" ht="13.9">
      <c r="A1581" s="349">
        <f t="shared" si="290"/>
        <v>1573</v>
      </c>
      <c r="B1581" s="684" t="s">
        <v>323</v>
      </c>
      <c r="C1581" s="695" t="s">
        <v>29</v>
      </c>
      <c r="D1581" s="743" t="s">
        <v>3663</v>
      </c>
      <c r="E1581" s="684" t="s">
        <v>416</v>
      </c>
      <c r="F1581" s="334"/>
      <c r="G1581" s="657">
        <v>44799</v>
      </c>
      <c r="H1581" s="426">
        <v>5800000</v>
      </c>
      <c r="I1581" s="744"/>
      <c r="J1581" s="744"/>
      <c r="K1581" s="354">
        <f t="shared" si="287"/>
        <v>5800000</v>
      </c>
      <c r="L1581" s="657">
        <v>44799</v>
      </c>
      <c r="M1581" s="742">
        <v>383135</v>
      </c>
      <c r="N1581" s="352">
        <f t="shared" si="289"/>
        <v>5416865</v>
      </c>
      <c r="O1581" s="357">
        <f t="shared" si="286"/>
        <v>584</v>
      </c>
      <c r="P1581" s="410">
        <v>9</v>
      </c>
      <c r="Q1581" s="358">
        <f t="shared" si="291"/>
        <v>1.6</v>
      </c>
      <c r="R1581" s="359">
        <f t="shared" si="292"/>
        <v>7.4</v>
      </c>
      <c r="S1581" s="360">
        <f t="shared" si="293"/>
        <v>7.4</v>
      </c>
      <c r="T1581" s="361">
        <f t="shared" si="294"/>
        <v>0.10555555555555554</v>
      </c>
      <c r="U1581" s="362">
        <f t="shared" si="295"/>
        <v>612222.22222222213</v>
      </c>
      <c r="V1581" s="362">
        <f t="shared" si="296"/>
        <v>4804642.777777778</v>
      </c>
      <c r="W1581" s="362">
        <f t="shared" si="297"/>
        <v>290000</v>
      </c>
      <c r="X1581" s="742">
        <f t="shared" si="288"/>
        <v>4514642.777777778</v>
      </c>
    </row>
    <row r="1582" spans="1:24" ht="13.9">
      <c r="A1582" s="349">
        <f t="shared" si="290"/>
        <v>1574</v>
      </c>
      <c r="B1582" s="684" t="s">
        <v>323</v>
      </c>
      <c r="C1582" s="695" t="s">
        <v>29</v>
      </c>
      <c r="D1582" s="743" t="s">
        <v>3663</v>
      </c>
      <c r="E1582" s="684" t="s">
        <v>416</v>
      </c>
      <c r="F1582" s="334"/>
      <c r="G1582" s="657">
        <v>44799</v>
      </c>
      <c r="H1582" s="426">
        <v>5800000</v>
      </c>
      <c r="I1582" s="744"/>
      <c r="J1582" s="744"/>
      <c r="K1582" s="354">
        <f t="shared" si="287"/>
        <v>5800000</v>
      </c>
      <c r="L1582" s="657">
        <v>44799</v>
      </c>
      <c r="M1582" s="742">
        <v>383135</v>
      </c>
      <c r="N1582" s="352">
        <f t="shared" si="289"/>
        <v>5416865</v>
      </c>
      <c r="O1582" s="357">
        <f t="shared" si="286"/>
        <v>584</v>
      </c>
      <c r="P1582" s="410">
        <v>9</v>
      </c>
      <c r="Q1582" s="358">
        <f t="shared" si="291"/>
        <v>1.6</v>
      </c>
      <c r="R1582" s="359">
        <f t="shared" si="292"/>
        <v>7.4</v>
      </c>
      <c r="S1582" s="360">
        <f t="shared" si="293"/>
        <v>7.4</v>
      </c>
      <c r="T1582" s="361">
        <f t="shared" si="294"/>
        <v>0.10555555555555554</v>
      </c>
      <c r="U1582" s="362">
        <f t="shared" si="295"/>
        <v>612222.22222222213</v>
      </c>
      <c r="V1582" s="362">
        <f t="shared" si="296"/>
        <v>4804642.777777778</v>
      </c>
      <c r="W1582" s="362">
        <f t="shared" si="297"/>
        <v>290000</v>
      </c>
      <c r="X1582" s="742">
        <f t="shared" si="288"/>
        <v>4514642.777777778</v>
      </c>
    </row>
    <row r="1583" spans="1:24" ht="13.9">
      <c r="A1583" s="349">
        <f t="shared" si="290"/>
        <v>1575</v>
      </c>
      <c r="B1583" s="684" t="s">
        <v>323</v>
      </c>
      <c r="C1583" s="695" t="s">
        <v>29</v>
      </c>
      <c r="D1583" s="743" t="s">
        <v>3663</v>
      </c>
      <c r="E1583" s="684" t="s">
        <v>416</v>
      </c>
      <c r="F1583" s="334"/>
      <c r="G1583" s="657">
        <v>44799</v>
      </c>
      <c r="H1583" s="426">
        <v>5800000</v>
      </c>
      <c r="I1583" s="744"/>
      <c r="J1583" s="744"/>
      <c r="K1583" s="354">
        <f t="shared" si="287"/>
        <v>5800000</v>
      </c>
      <c r="L1583" s="657">
        <v>44799</v>
      </c>
      <c r="M1583" s="742">
        <v>383135</v>
      </c>
      <c r="N1583" s="352">
        <f t="shared" si="289"/>
        <v>5416865</v>
      </c>
      <c r="O1583" s="357">
        <f t="shared" si="286"/>
        <v>584</v>
      </c>
      <c r="P1583" s="410">
        <v>9</v>
      </c>
      <c r="Q1583" s="358">
        <f t="shared" si="291"/>
        <v>1.6</v>
      </c>
      <c r="R1583" s="359">
        <f t="shared" si="292"/>
        <v>7.4</v>
      </c>
      <c r="S1583" s="360">
        <f t="shared" si="293"/>
        <v>7.4</v>
      </c>
      <c r="T1583" s="361">
        <f t="shared" si="294"/>
        <v>0.10555555555555554</v>
      </c>
      <c r="U1583" s="362">
        <f t="shared" si="295"/>
        <v>612222.22222222213</v>
      </c>
      <c r="V1583" s="362">
        <f t="shared" si="296"/>
        <v>4804642.777777778</v>
      </c>
      <c r="W1583" s="362">
        <f t="shared" si="297"/>
        <v>290000</v>
      </c>
      <c r="X1583" s="742">
        <f t="shared" si="288"/>
        <v>4514642.777777778</v>
      </c>
    </row>
    <row r="1584" spans="1:24" ht="13.9">
      <c r="A1584" s="349">
        <f t="shared" si="290"/>
        <v>1576</v>
      </c>
      <c r="B1584" s="684" t="s">
        <v>323</v>
      </c>
      <c r="C1584" s="695" t="s">
        <v>29</v>
      </c>
      <c r="D1584" s="743" t="s">
        <v>3663</v>
      </c>
      <c r="E1584" s="684" t="s">
        <v>416</v>
      </c>
      <c r="F1584" s="334"/>
      <c r="G1584" s="657">
        <v>44799</v>
      </c>
      <c r="H1584" s="426">
        <v>5800000</v>
      </c>
      <c r="I1584" s="744"/>
      <c r="J1584" s="744"/>
      <c r="K1584" s="354">
        <f t="shared" si="287"/>
        <v>5800000</v>
      </c>
      <c r="L1584" s="657">
        <v>44799</v>
      </c>
      <c r="M1584" s="742">
        <v>383135</v>
      </c>
      <c r="N1584" s="352">
        <f t="shared" si="289"/>
        <v>5416865</v>
      </c>
      <c r="O1584" s="357">
        <f t="shared" si="286"/>
        <v>584</v>
      </c>
      <c r="P1584" s="410">
        <v>9</v>
      </c>
      <c r="Q1584" s="358">
        <f t="shared" si="291"/>
        <v>1.6</v>
      </c>
      <c r="R1584" s="359">
        <f t="shared" si="292"/>
        <v>7.4</v>
      </c>
      <c r="S1584" s="360">
        <f t="shared" si="293"/>
        <v>7.4</v>
      </c>
      <c r="T1584" s="361">
        <f t="shared" si="294"/>
        <v>0.10555555555555554</v>
      </c>
      <c r="U1584" s="362">
        <f t="shared" si="295"/>
        <v>612222.22222222213</v>
      </c>
      <c r="V1584" s="362">
        <f t="shared" si="296"/>
        <v>4804642.777777778</v>
      </c>
      <c r="W1584" s="362">
        <f t="shared" si="297"/>
        <v>290000</v>
      </c>
      <c r="X1584" s="742">
        <f t="shared" si="288"/>
        <v>4514642.777777778</v>
      </c>
    </row>
    <row r="1585" spans="1:24" ht="13.9">
      <c r="A1585" s="349">
        <f t="shared" si="290"/>
        <v>1577</v>
      </c>
      <c r="B1585" s="684" t="s">
        <v>321</v>
      </c>
      <c r="C1585" s="695" t="s">
        <v>29</v>
      </c>
      <c r="D1585" s="743" t="s">
        <v>3663</v>
      </c>
      <c r="E1585" s="684" t="s">
        <v>180</v>
      </c>
      <c r="F1585" s="334"/>
      <c r="G1585" s="657">
        <v>44800</v>
      </c>
      <c r="H1585" s="426">
        <v>474576.27</v>
      </c>
      <c r="I1585" s="744"/>
      <c r="J1585" s="744"/>
      <c r="K1585" s="354">
        <f t="shared" si="287"/>
        <v>474576.27</v>
      </c>
      <c r="L1585" s="657">
        <v>44800</v>
      </c>
      <c r="M1585" s="742">
        <v>31205</v>
      </c>
      <c r="N1585" s="352">
        <f t="shared" si="289"/>
        <v>443371.27</v>
      </c>
      <c r="O1585" s="357">
        <f t="shared" si="286"/>
        <v>583</v>
      </c>
      <c r="P1585" s="410">
        <v>9</v>
      </c>
      <c r="Q1585" s="358">
        <f t="shared" si="291"/>
        <v>1.5972602739726027</v>
      </c>
      <c r="R1585" s="359">
        <f t="shared" si="292"/>
        <v>7.4027397260273968</v>
      </c>
      <c r="S1585" s="360">
        <f t="shared" si="293"/>
        <v>7.4027397260273968</v>
      </c>
      <c r="T1585" s="361">
        <f t="shared" si="294"/>
        <v>0.10555555555555554</v>
      </c>
      <c r="U1585" s="362">
        <f t="shared" si="295"/>
        <v>50094.161833333332</v>
      </c>
      <c r="V1585" s="362">
        <f t="shared" si="296"/>
        <v>393277.1081666667</v>
      </c>
      <c r="W1585" s="362">
        <f t="shared" si="297"/>
        <v>23729</v>
      </c>
      <c r="X1585" s="742">
        <f t="shared" si="288"/>
        <v>369548.1081666667</v>
      </c>
    </row>
    <row r="1586" spans="1:24" ht="13.9">
      <c r="A1586" s="349">
        <f t="shared" si="290"/>
        <v>1578</v>
      </c>
      <c r="B1586" s="684" t="s">
        <v>325</v>
      </c>
      <c r="C1586" s="695" t="s">
        <v>29</v>
      </c>
      <c r="D1586" s="743" t="s">
        <v>3663</v>
      </c>
      <c r="E1586" s="684" t="s">
        <v>418</v>
      </c>
      <c r="F1586" s="334"/>
      <c r="G1586" s="657">
        <v>44803</v>
      </c>
      <c r="H1586" s="426">
        <v>207000</v>
      </c>
      <c r="I1586" s="744"/>
      <c r="J1586" s="744"/>
      <c r="K1586" s="354">
        <f t="shared" si="287"/>
        <v>207000</v>
      </c>
      <c r="L1586" s="657">
        <v>44803</v>
      </c>
      <c r="M1586" s="742">
        <v>13422</v>
      </c>
      <c r="N1586" s="352">
        <f t="shared" si="289"/>
        <v>193578</v>
      </c>
      <c r="O1586" s="357">
        <f t="shared" si="286"/>
        <v>580</v>
      </c>
      <c r="P1586" s="410">
        <v>9</v>
      </c>
      <c r="Q1586" s="358">
        <f t="shared" si="291"/>
        <v>1.5890410958904109</v>
      </c>
      <c r="R1586" s="359">
        <f t="shared" si="292"/>
        <v>7.4109589041095889</v>
      </c>
      <c r="S1586" s="360">
        <f t="shared" si="293"/>
        <v>7.4109589041095889</v>
      </c>
      <c r="T1586" s="361">
        <f t="shared" si="294"/>
        <v>0.10555555555555554</v>
      </c>
      <c r="U1586" s="362">
        <f t="shared" si="295"/>
        <v>21849.999999999996</v>
      </c>
      <c r="V1586" s="362">
        <f t="shared" si="296"/>
        <v>171728</v>
      </c>
      <c r="W1586" s="362">
        <f t="shared" si="297"/>
        <v>10350</v>
      </c>
      <c r="X1586" s="742">
        <f t="shared" si="288"/>
        <v>161378</v>
      </c>
    </row>
    <row r="1587" spans="1:24" ht="13.9">
      <c r="A1587" s="349">
        <f t="shared" si="290"/>
        <v>1579</v>
      </c>
      <c r="B1587" s="684" t="s">
        <v>323</v>
      </c>
      <c r="C1587" s="695" t="s">
        <v>29</v>
      </c>
      <c r="D1587" s="743" t="s">
        <v>3663</v>
      </c>
      <c r="E1587" s="684" t="s">
        <v>416</v>
      </c>
      <c r="F1587" s="334"/>
      <c r="G1587" s="657">
        <v>44803</v>
      </c>
      <c r="H1587" s="426">
        <v>5800000</v>
      </c>
      <c r="I1587" s="744"/>
      <c r="J1587" s="744"/>
      <c r="K1587" s="354">
        <f t="shared" si="287"/>
        <v>5800000</v>
      </c>
      <c r="L1587" s="657">
        <v>44803</v>
      </c>
      <c r="M1587" s="742">
        <v>376073</v>
      </c>
      <c r="N1587" s="352">
        <f t="shared" si="289"/>
        <v>5423927</v>
      </c>
      <c r="O1587" s="357">
        <f t="shared" si="286"/>
        <v>580</v>
      </c>
      <c r="P1587" s="410">
        <v>9</v>
      </c>
      <c r="Q1587" s="358">
        <f t="shared" si="291"/>
        <v>1.5890410958904109</v>
      </c>
      <c r="R1587" s="359">
        <f t="shared" si="292"/>
        <v>7.4109589041095889</v>
      </c>
      <c r="S1587" s="360">
        <f t="shared" si="293"/>
        <v>7.4109589041095889</v>
      </c>
      <c r="T1587" s="361">
        <f t="shared" si="294"/>
        <v>0.10555555555555554</v>
      </c>
      <c r="U1587" s="362">
        <f t="shared" si="295"/>
        <v>612222.22222222213</v>
      </c>
      <c r="V1587" s="362">
        <f t="shared" si="296"/>
        <v>4811704.777777778</v>
      </c>
      <c r="W1587" s="362">
        <f t="shared" si="297"/>
        <v>290000</v>
      </c>
      <c r="X1587" s="742">
        <f t="shared" si="288"/>
        <v>4521704.777777778</v>
      </c>
    </row>
    <row r="1588" spans="1:24" ht="13.9">
      <c r="A1588" s="349">
        <f t="shared" si="290"/>
        <v>1580</v>
      </c>
      <c r="B1588" s="684" t="s">
        <v>326</v>
      </c>
      <c r="C1588" s="695" t="s">
        <v>29</v>
      </c>
      <c r="D1588" s="743" t="s">
        <v>3663</v>
      </c>
      <c r="E1588" s="684" t="s">
        <v>419</v>
      </c>
      <c r="F1588" s="334"/>
      <c r="G1588" s="657">
        <v>44805</v>
      </c>
      <c r="H1588" s="426">
        <v>1150000</v>
      </c>
      <c r="I1588" s="744"/>
      <c r="J1588" s="744"/>
      <c r="K1588" s="354">
        <f t="shared" si="287"/>
        <v>1150000</v>
      </c>
      <c r="L1588" s="657">
        <v>44805</v>
      </c>
      <c r="M1588" s="742">
        <v>73866</v>
      </c>
      <c r="N1588" s="352">
        <f t="shared" si="289"/>
        <v>1076134</v>
      </c>
      <c r="O1588" s="357">
        <f t="shared" si="286"/>
        <v>578</v>
      </c>
      <c r="P1588" s="410">
        <v>9</v>
      </c>
      <c r="Q1588" s="358">
        <f t="shared" si="291"/>
        <v>1.5835616438356164</v>
      </c>
      <c r="R1588" s="359">
        <f t="shared" si="292"/>
        <v>7.4164383561643836</v>
      </c>
      <c r="S1588" s="360">
        <f t="shared" si="293"/>
        <v>7.4164383561643836</v>
      </c>
      <c r="T1588" s="361">
        <f t="shared" si="294"/>
        <v>0.10555555555555554</v>
      </c>
      <c r="U1588" s="362">
        <f t="shared" si="295"/>
        <v>121388.88888888888</v>
      </c>
      <c r="V1588" s="362">
        <f t="shared" si="296"/>
        <v>954745.11111111112</v>
      </c>
      <c r="W1588" s="362">
        <f t="shared" si="297"/>
        <v>57500</v>
      </c>
      <c r="X1588" s="742">
        <f t="shared" si="288"/>
        <v>897245.11111111112</v>
      </c>
    </row>
    <row r="1589" spans="1:24" ht="13.9">
      <c r="A1589" s="349">
        <f t="shared" si="290"/>
        <v>1581</v>
      </c>
      <c r="B1589" s="684" t="s">
        <v>326</v>
      </c>
      <c r="C1589" s="695" t="s">
        <v>29</v>
      </c>
      <c r="D1589" s="743" t="s">
        <v>3663</v>
      </c>
      <c r="E1589" s="684" t="s">
        <v>419</v>
      </c>
      <c r="F1589" s="334"/>
      <c r="G1589" s="657">
        <v>44805</v>
      </c>
      <c r="H1589" s="426">
        <v>1150000</v>
      </c>
      <c r="I1589" s="744"/>
      <c r="J1589" s="744"/>
      <c r="K1589" s="354">
        <f t="shared" si="287"/>
        <v>1150000</v>
      </c>
      <c r="L1589" s="657">
        <v>44805</v>
      </c>
      <c r="M1589" s="742">
        <v>73866</v>
      </c>
      <c r="N1589" s="352">
        <f t="shared" si="289"/>
        <v>1076134</v>
      </c>
      <c r="O1589" s="357">
        <f t="shared" si="286"/>
        <v>578</v>
      </c>
      <c r="P1589" s="410">
        <v>9</v>
      </c>
      <c r="Q1589" s="358">
        <f t="shared" si="291"/>
        <v>1.5835616438356164</v>
      </c>
      <c r="R1589" s="359">
        <f t="shared" si="292"/>
        <v>7.4164383561643836</v>
      </c>
      <c r="S1589" s="360">
        <f t="shared" si="293"/>
        <v>7.4164383561643836</v>
      </c>
      <c r="T1589" s="361">
        <f t="shared" si="294"/>
        <v>0.10555555555555554</v>
      </c>
      <c r="U1589" s="362">
        <f t="shared" si="295"/>
        <v>121388.88888888888</v>
      </c>
      <c r="V1589" s="362">
        <f t="shared" si="296"/>
        <v>954745.11111111112</v>
      </c>
      <c r="W1589" s="362">
        <f t="shared" si="297"/>
        <v>57500</v>
      </c>
      <c r="X1589" s="742">
        <f t="shared" si="288"/>
        <v>897245.11111111112</v>
      </c>
    </row>
    <row r="1590" spans="1:24" ht="13.9">
      <c r="A1590" s="349">
        <f t="shared" si="290"/>
        <v>1582</v>
      </c>
      <c r="B1590" s="684" t="s">
        <v>323</v>
      </c>
      <c r="C1590" s="695" t="s">
        <v>29</v>
      </c>
      <c r="D1590" s="743" t="s">
        <v>3663</v>
      </c>
      <c r="E1590" s="684" t="s">
        <v>416</v>
      </c>
      <c r="F1590" s="334"/>
      <c r="G1590" s="657">
        <v>44811</v>
      </c>
      <c r="H1590" s="426">
        <v>9000000</v>
      </c>
      <c r="I1590" s="744"/>
      <c r="J1590" s="744"/>
      <c r="K1590" s="354">
        <f t="shared" si="287"/>
        <v>9000000</v>
      </c>
      <c r="L1590" s="657">
        <v>44811</v>
      </c>
      <c r="M1590" s="742">
        <v>561644</v>
      </c>
      <c r="N1590" s="352">
        <f t="shared" si="289"/>
        <v>8438356</v>
      </c>
      <c r="O1590" s="357">
        <f t="shared" si="286"/>
        <v>572</v>
      </c>
      <c r="P1590" s="410">
        <v>9</v>
      </c>
      <c r="Q1590" s="358">
        <f t="shared" si="291"/>
        <v>1.5671232876712329</v>
      </c>
      <c r="R1590" s="359">
        <f t="shared" si="292"/>
        <v>7.4328767123287669</v>
      </c>
      <c r="S1590" s="360">
        <f t="shared" si="293"/>
        <v>7.4328767123287669</v>
      </c>
      <c r="T1590" s="361">
        <f t="shared" si="294"/>
        <v>0.10555555555555554</v>
      </c>
      <c r="U1590" s="362">
        <f t="shared" si="295"/>
        <v>949999.99999999988</v>
      </c>
      <c r="V1590" s="362">
        <f t="shared" si="296"/>
        <v>7488356</v>
      </c>
      <c r="W1590" s="362">
        <f t="shared" si="297"/>
        <v>450000</v>
      </c>
      <c r="X1590" s="742">
        <f t="shared" si="288"/>
        <v>7038356</v>
      </c>
    </row>
    <row r="1591" spans="1:24" ht="13.9">
      <c r="A1591" s="349">
        <f t="shared" si="290"/>
        <v>1583</v>
      </c>
      <c r="B1591" s="684" t="s">
        <v>323</v>
      </c>
      <c r="C1591" s="695" t="s">
        <v>29</v>
      </c>
      <c r="D1591" s="743" t="s">
        <v>3663</v>
      </c>
      <c r="E1591" s="684" t="s">
        <v>416</v>
      </c>
      <c r="F1591" s="334"/>
      <c r="G1591" s="657">
        <v>44811</v>
      </c>
      <c r="H1591" s="426">
        <v>9000000</v>
      </c>
      <c r="I1591" s="744"/>
      <c r="J1591" s="744"/>
      <c r="K1591" s="354">
        <f t="shared" si="287"/>
        <v>9000000</v>
      </c>
      <c r="L1591" s="657">
        <v>44811</v>
      </c>
      <c r="M1591" s="742">
        <v>561644</v>
      </c>
      <c r="N1591" s="352">
        <f t="shared" si="289"/>
        <v>8438356</v>
      </c>
      <c r="O1591" s="357">
        <f t="shared" si="286"/>
        <v>572</v>
      </c>
      <c r="P1591" s="410">
        <v>9</v>
      </c>
      <c r="Q1591" s="358">
        <f t="shared" si="291"/>
        <v>1.5671232876712329</v>
      </c>
      <c r="R1591" s="359">
        <f t="shared" si="292"/>
        <v>7.4328767123287669</v>
      </c>
      <c r="S1591" s="360">
        <f t="shared" si="293"/>
        <v>7.4328767123287669</v>
      </c>
      <c r="T1591" s="361">
        <f t="shared" si="294"/>
        <v>0.10555555555555554</v>
      </c>
      <c r="U1591" s="362">
        <f t="shared" si="295"/>
        <v>949999.99999999988</v>
      </c>
      <c r="V1591" s="362">
        <f t="shared" si="296"/>
        <v>7488356</v>
      </c>
      <c r="W1591" s="362">
        <f t="shared" si="297"/>
        <v>450000</v>
      </c>
      <c r="X1591" s="742">
        <f t="shared" si="288"/>
        <v>7038356</v>
      </c>
    </row>
    <row r="1592" spans="1:24" ht="13.9">
      <c r="A1592" s="349">
        <f t="shared" si="290"/>
        <v>1584</v>
      </c>
      <c r="B1592" s="684" t="s">
        <v>323</v>
      </c>
      <c r="C1592" s="695" t="s">
        <v>29</v>
      </c>
      <c r="D1592" s="743" t="s">
        <v>3663</v>
      </c>
      <c r="E1592" s="684" t="s">
        <v>416</v>
      </c>
      <c r="F1592" s="334"/>
      <c r="G1592" s="657">
        <v>44811</v>
      </c>
      <c r="H1592" s="426">
        <v>9000000</v>
      </c>
      <c r="I1592" s="744"/>
      <c r="J1592" s="744"/>
      <c r="K1592" s="354">
        <f t="shared" si="287"/>
        <v>9000000</v>
      </c>
      <c r="L1592" s="657">
        <v>44811</v>
      </c>
      <c r="M1592" s="742">
        <v>561644</v>
      </c>
      <c r="N1592" s="352">
        <f t="shared" si="289"/>
        <v>8438356</v>
      </c>
      <c r="O1592" s="357">
        <f t="shared" si="286"/>
        <v>572</v>
      </c>
      <c r="P1592" s="410">
        <v>9</v>
      </c>
      <c r="Q1592" s="358">
        <f t="shared" si="291"/>
        <v>1.5671232876712329</v>
      </c>
      <c r="R1592" s="359">
        <f t="shared" si="292"/>
        <v>7.4328767123287669</v>
      </c>
      <c r="S1592" s="360">
        <f t="shared" si="293"/>
        <v>7.4328767123287669</v>
      </c>
      <c r="T1592" s="361">
        <f t="shared" si="294"/>
        <v>0.10555555555555554</v>
      </c>
      <c r="U1592" s="362">
        <f t="shared" si="295"/>
        <v>949999.99999999988</v>
      </c>
      <c r="V1592" s="362">
        <f t="shared" si="296"/>
        <v>7488356</v>
      </c>
      <c r="W1592" s="362">
        <f t="shared" si="297"/>
        <v>450000</v>
      </c>
      <c r="X1592" s="742">
        <f t="shared" si="288"/>
        <v>7038356</v>
      </c>
    </row>
    <row r="1593" spans="1:24" ht="13.9">
      <c r="A1593" s="349">
        <f t="shared" si="290"/>
        <v>1585</v>
      </c>
      <c r="B1593" s="684" t="s">
        <v>327</v>
      </c>
      <c r="C1593" s="695" t="s">
        <v>29</v>
      </c>
      <c r="D1593" s="743" t="s">
        <v>3663</v>
      </c>
      <c r="E1593" s="684" t="s">
        <v>420</v>
      </c>
      <c r="F1593" s="334"/>
      <c r="G1593" s="657">
        <v>44818</v>
      </c>
      <c r="H1593" s="426">
        <v>2700000</v>
      </c>
      <c r="I1593" s="744"/>
      <c r="J1593" s="744"/>
      <c r="K1593" s="354">
        <f t="shared" si="287"/>
        <v>2700000</v>
      </c>
      <c r="L1593" s="657">
        <v>44818</v>
      </c>
      <c r="M1593" s="742">
        <v>162740</v>
      </c>
      <c r="N1593" s="352">
        <f t="shared" si="289"/>
        <v>2537260</v>
      </c>
      <c r="O1593" s="357">
        <f t="shared" si="286"/>
        <v>565</v>
      </c>
      <c r="P1593" s="410">
        <v>9</v>
      </c>
      <c r="Q1593" s="358">
        <f t="shared" si="291"/>
        <v>1.547945205479452</v>
      </c>
      <c r="R1593" s="359">
        <f t="shared" si="292"/>
        <v>7.4520547945205475</v>
      </c>
      <c r="S1593" s="360">
        <f t="shared" si="293"/>
        <v>7.4520547945205475</v>
      </c>
      <c r="T1593" s="361">
        <f t="shared" si="294"/>
        <v>0.10555555555555554</v>
      </c>
      <c r="U1593" s="362">
        <f t="shared" si="295"/>
        <v>284999.99999999994</v>
      </c>
      <c r="V1593" s="362">
        <f t="shared" si="296"/>
        <v>2252260</v>
      </c>
      <c r="W1593" s="362">
        <f t="shared" si="297"/>
        <v>135000</v>
      </c>
      <c r="X1593" s="742">
        <f t="shared" si="288"/>
        <v>2117260</v>
      </c>
    </row>
    <row r="1594" spans="1:24" ht="13.9">
      <c r="A1594" s="349">
        <f t="shared" si="290"/>
        <v>1586</v>
      </c>
      <c r="B1594" s="684" t="s">
        <v>327</v>
      </c>
      <c r="C1594" s="695" t="s">
        <v>29</v>
      </c>
      <c r="D1594" s="743" t="s">
        <v>3663</v>
      </c>
      <c r="E1594" s="684" t="s">
        <v>420</v>
      </c>
      <c r="F1594" s="334"/>
      <c r="G1594" s="657">
        <v>44818</v>
      </c>
      <c r="H1594" s="426">
        <v>2700000</v>
      </c>
      <c r="I1594" s="744"/>
      <c r="J1594" s="744"/>
      <c r="K1594" s="354">
        <f t="shared" si="287"/>
        <v>2700000</v>
      </c>
      <c r="L1594" s="657">
        <v>44818</v>
      </c>
      <c r="M1594" s="742">
        <v>162740</v>
      </c>
      <c r="N1594" s="352">
        <f t="shared" si="289"/>
        <v>2537260</v>
      </c>
      <c r="O1594" s="357">
        <f t="shared" si="286"/>
        <v>565</v>
      </c>
      <c r="P1594" s="410">
        <v>9</v>
      </c>
      <c r="Q1594" s="358">
        <f t="shared" si="291"/>
        <v>1.547945205479452</v>
      </c>
      <c r="R1594" s="359">
        <f t="shared" si="292"/>
        <v>7.4520547945205475</v>
      </c>
      <c r="S1594" s="360">
        <f t="shared" si="293"/>
        <v>7.4520547945205475</v>
      </c>
      <c r="T1594" s="361">
        <f t="shared" si="294"/>
        <v>0.10555555555555554</v>
      </c>
      <c r="U1594" s="362">
        <f t="shared" si="295"/>
        <v>284999.99999999994</v>
      </c>
      <c r="V1594" s="362">
        <f t="shared" si="296"/>
        <v>2252260</v>
      </c>
      <c r="W1594" s="362">
        <f t="shared" si="297"/>
        <v>135000</v>
      </c>
      <c r="X1594" s="742">
        <f t="shared" si="288"/>
        <v>2117260</v>
      </c>
    </row>
    <row r="1595" spans="1:24" ht="13.9">
      <c r="A1595" s="349">
        <f t="shared" si="290"/>
        <v>1587</v>
      </c>
      <c r="B1595" s="684" t="s">
        <v>327</v>
      </c>
      <c r="C1595" s="695" t="s">
        <v>29</v>
      </c>
      <c r="D1595" s="743" t="s">
        <v>3663</v>
      </c>
      <c r="E1595" s="684" t="s">
        <v>420</v>
      </c>
      <c r="F1595" s="334"/>
      <c r="G1595" s="657">
        <v>44818</v>
      </c>
      <c r="H1595" s="426">
        <v>2700000</v>
      </c>
      <c r="I1595" s="744"/>
      <c r="J1595" s="744"/>
      <c r="K1595" s="354">
        <f t="shared" si="287"/>
        <v>2700000</v>
      </c>
      <c r="L1595" s="657">
        <v>44818</v>
      </c>
      <c r="M1595" s="742">
        <v>162740</v>
      </c>
      <c r="N1595" s="352">
        <f t="shared" si="289"/>
        <v>2537260</v>
      </c>
      <c r="O1595" s="357">
        <f t="shared" si="286"/>
        <v>565</v>
      </c>
      <c r="P1595" s="410">
        <v>9</v>
      </c>
      <c r="Q1595" s="358">
        <f t="shared" si="291"/>
        <v>1.547945205479452</v>
      </c>
      <c r="R1595" s="359">
        <f t="shared" si="292"/>
        <v>7.4520547945205475</v>
      </c>
      <c r="S1595" s="360">
        <f t="shared" si="293"/>
        <v>7.4520547945205475</v>
      </c>
      <c r="T1595" s="361">
        <f t="shared" si="294"/>
        <v>0.10555555555555554</v>
      </c>
      <c r="U1595" s="362">
        <f t="shared" si="295"/>
        <v>284999.99999999994</v>
      </c>
      <c r="V1595" s="362">
        <f t="shared" si="296"/>
        <v>2252260</v>
      </c>
      <c r="W1595" s="362">
        <f t="shared" si="297"/>
        <v>135000</v>
      </c>
      <c r="X1595" s="742">
        <f t="shared" si="288"/>
        <v>2117260</v>
      </c>
    </row>
    <row r="1596" spans="1:24" ht="13.9">
      <c r="A1596" s="349">
        <f t="shared" si="290"/>
        <v>1588</v>
      </c>
      <c r="B1596" s="684" t="s">
        <v>327</v>
      </c>
      <c r="C1596" s="695" t="s">
        <v>29</v>
      </c>
      <c r="D1596" s="743" t="s">
        <v>3663</v>
      </c>
      <c r="E1596" s="684" t="s">
        <v>420</v>
      </c>
      <c r="F1596" s="334"/>
      <c r="G1596" s="657">
        <v>44818</v>
      </c>
      <c r="H1596" s="426">
        <v>2700000</v>
      </c>
      <c r="I1596" s="744"/>
      <c r="J1596" s="744"/>
      <c r="K1596" s="354">
        <f t="shared" si="287"/>
        <v>2700000</v>
      </c>
      <c r="L1596" s="657">
        <v>44818</v>
      </c>
      <c r="M1596" s="742">
        <v>162740</v>
      </c>
      <c r="N1596" s="352">
        <f t="shared" si="289"/>
        <v>2537260</v>
      </c>
      <c r="O1596" s="357">
        <f t="shared" si="286"/>
        <v>565</v>
      </c>
      <c r="P1596" s="410">
        <v>9</v>
      </c>
      <c r="Q1596" s="358">
        <f t="shared" si="291"/>
        <v>1.547945205479452</v>
      </c>
      <c r="R1596" s="359">
        <f t="shared" si="292"/>
        <v>7.4520547945205475</v>
      </c>
      <c r="S1596" s="360">
        <f t="shared" si="293"/>
        <v>7.4520547945205475</v>
      </c>
      <c r="T1596" s="361">
        <f t="shared" si="294"/>
        <v>0.10555555555555554</v>
      </c>
      <c r="U1596" s="362">
        <f t="shared" si="295"/>
        <v>284999.99999999994</v>
      </c>
      <c r="V1596" s="362">
        <f t="shared" si="296"/>
        <v>2252260</v>
      </c>
      <c r="W1596" s="362">
        <f t="shared" si="297"/>
        <v>135000</v>
      </c>
      <c r="X1596" s="742">
        <f t="shared" si="288"/>
        <v>2117260</v>
      </c>
    </row>
    <row r="1597" spans="1:24" ht="13.9">
      <c r="A1597" s="349">
        <f t="shared" si="290"/>
        <v>1589</v>
      </c>
      <c r="B1597" s="684" t="s">
        <v>327</v>
      </c>
      <c r="C1597" s="695" t="s">
        <v>29</v>
      </c>
      <c r="D1597" s="743" t="s">
        <v>3663</v>
      </c>
      <c r="E1597" s="684" t="s">
        <v>420</v>
      </c>
      <c r="F1597" s="334"/>
      <c r="G1597" s="657">
        <v>44818</v>
      </c>
      <c r="H1597" s="426">
        <v>2733967</v>
      </c>
      <c r="I1597" s="744"/>
      <c r="J1597" s="744"/>
      <c r="K1597" s="354">
        <f t="shared" si="287"/>
        <v>2733967</v>
      </c>
      <c r="L1597" s="657">
        <v>44818</v>
      </c>
      <c r="M1597" s="742">
        <v>164787</v>
      </c>
      <c r="N1597" s="352">
        <f t="shared" si="289"/>
        <v>2569180</v>
      </c>
      <c r="O1597" s="357">
        <f t="shared" si="286"/>
        <v>565</v>
      </c>
      <c r="P1597" s="410">
        <v>9</v>
      </c>
      <c r="Q1597" s="358">
        <f t="shared" si="291"/>
        <v>1.547945205479452</v>
      </c>
      <c r="R1597" s="359">
        <f t="shared" si="292"/>
        <v>7.4520547945205475</v>
      </c>
      <c r="S1597" s="360">
        <f t="shared" si="293"/>
        <v>7.4520547945205475</v>
      </c>
      <c r="T1597" s="361">
        <f t="shared" si="294"/>
        <v>0.10555555555555554</v>
      </c>
      <c r="U1597" s="362">
        <f t="shared" si="295"/>
        <v>288585.40555555554</v>
      </c>
      <c r="V1597" s="362">
        <f t="shared" si="296"/>
        <v>2280594.5944444444</v>
      </c>
      <c r="W1597" s="362">
        <f t="shared" si="297"/>
        <v>136698</v>
      </c>
      <c r="X1597" s="742">
        <f t="shared" si="288"/>
        <v>2143896.5944444444</v>
      </c>
    </row>
    <row r="1598" spans="1:24" ht="13.9">
      <c r="A1598" s="349">
        <f t="shared" si="290"/>
        <v>1590</v>
      </c>
      <c r="B1598" s="684" t="s">
        <v>327</v>
      </c>
      <c r="C1598" s="695" t="s">
        <v>29</v>
      </c>
      <c r="D1598" s="743" t="s">
        <v>3663</v>
      </c>
      <c r="E1598" s="684" t="s">
        <v>420</v>
      </c>
      <c r="F1598" s="334"/>
      <c r="G1598" s="657">
        <v>44818</v>
      </c>
      <c r="H1598" s="426">
        <v>2733967</v>
      </c>
      <c r="I1598" s="744"/>
      <c r="J1598" s="744"/>
      <c r="K1598" s="354">
        <f t="shared" si="287"/>
        <v>2733967</v>
      </c>
      <c r="L1598" s="657">
        <v>44818</v>
      </c>
      <c r="M1598" s="742">
        <v>164787</v>
      </c>
      <c r="N1598" s="352">
        <f t="shared" si="289"/>
        <v>2569180</v>
      </c>
      <c r="O1598" s="357">
        <f t="shared" si="286"/>
        <v>565</v>
      </c>
      <c r="P1598" s="410">
        <v>9</v>
      </c>
      <c r="Q1598" s="358">
        <f t="shared" si="291"/>
        <v>1.547945205479452</v>
      </c>
      <c r="R1598" s="359">
        <f t="shared" si="292"/>
        <v>7.4520547945205475</v>
      </c>
      <c r="S1598" s="360">
        <f t="shared" si="293"/>
        <v>7.4520547945205475</v>
      </c>
      <c r="T1598" s="361">
        <f t="shared" si="294"/>
        <v>0.10555555555555554</v>
      </c>
      <c r="U1598" s="362">
        <f t="shared" si="295"/>
        <v>288585.40555555554</v>
      </c>
      <c r="V1598" s="362">
        <f t="shared" si="296"/>
        <v>2280594.5944444444</v>
      </c>
      <c r="W1598" s="362">
        <f t="shared" si="297"/>
        <v>136698</v>
      </c>
      <c r="X1598" s="742">
        <f t="shared" si="288"/>
        <v>2143896.5944444444</v>
      </c>
    </row>
    <row r="1599" spans="1:24" ht="13.9">
      <c r="A1599" s="349">
        <f t="shared" si="290"/>
        <v>1591</v>
      </c>
      <c r="B1599" s="684" t="s">
        <v>328</v>
      </c>
      <c r="C1599" s="695" t="s">
        <v>29</v>
      </c>
      <c r="D1599" s="743" t="s">
        <v>3663</v>
      </c>
      <c r="E1599" s="684" t="s">
        <v>421</v>
      </c>
      <c r="F1599" s="334"/>
      <c r="G1599" s="657">
        <v>44834</v>
      </c>
      <c r="H1599" s="426">
        <v>410880</v>
      </c>
      <c r="I1599" s="744"/>
      <c r="J1599" s="744"/>
      <c r="K1599" s="354">
        <f t="shared" si="287"/>
        <v>410880</v>
      </c>
      <c r="L1599" s="657">
        <v>44834</v>
      </c>
      <c r="M1599" s="742">
        <v>22764</v>
      </c>
      <c r="N1599" s="352">
        <f t="shared" si="289"/>
        <v>388116</v>
      </c>
      <c r="O1599" s="357">
        <f t="shared" si="286"/>
        <v>549</v>
      </c>
      <c r="P1599" s="410">
        <v>9</v>
      </c>
      <c r="Q1599" s="358">
        <f t="shared" si="291"/>
        <v>1.5041095890410958</v>
      </c>
      <c r="R1599" s="359">
        <f t="shared" si="292"/>
        <v>7.4958904109589044</v>
      </c>
      <c r="S1599" s="360">
        <f t="shared" si="293"/>
        <v>7.4958904109589044</v>
      </c>
      <c r="T1599" s="361">
        <f t="shared" si="294"/>
        <v>0.10555555555555554</v>
      </c>
      <c r="U1599" s="362">
        <f t="shared" si="295"/>
        <v>43370.666666666664</v>
      </c>
      <c r="V1599" s="362">
        <f t="shared" si="296"/>
        <v>344745.33333333331</v>
      </c>
      <c r="W1599" s="362">
        <f t="shared" si="297"/>
        <v>20544</v>
      </c>
      <c r="X1599" s="742">
        <f t="shared" si="288"/>
        <v>324201.33333333331</v>
      </c>
    </row>
    <row r="1600" spans="1:24" ht="13.9">
      <c r="A1600" s="349">
        <f t="shared" si="290"/>
        <v>1592</v>
      </c>
      <c r="B1600" s="684" t="s">
        <v>329</v>
      </c>
      <c r="C1600" s="695" t="s">
        <v>29</v>
      </c>
      <c r="D1600" s="743" t="s">
        <v>3663</v>
      </c>
      <c r="E1600" s="684" t="s">
        <v>163</v>
      </c>
      <c r="F1600" s="334"/>
      <c r="G1600" s="657">
        <v>44834</v>
      </c>
      <c r="H1600" s="426">
        <v>620000</v>
      </c>
      <c r="I1600" s="744"/>
      <c r="J1600" s="744"/>
      <c r="K1600" s="354">
        <f t="shared" si="287"/>
        <v>620000</v>
      </c>
      <c r="L1600" s="657">
        <v>44834</v>
      </c>
      <c r="M1600" s="742">
        <v>34350</v>
      </c>
      <c r="N1600" s="352">
        <f t="shared" si="289"/>
        <v>585650</v>
      </c>
      <c r="O1600" s="357">
        <f t="shared" si="286"/>
        <v>549</v>
      </c>
      <c r="P1600" s="410">
        <v>9</v>
      </c>
      <c r="Q1600" s="358">
        <f t="shared" si="291"/>
        <v>1.5041095890410958</v>
      </c>
      <c r="R1600" s="359">
        <f t="shared" si="292"/>
        <v>7.4958904109589044</v>
      </c>
      <c r="S1600" s="360">
        <f t="shared" si="293"/>
        <v>7.4958904109589044</v>
      </c>
      <c r="T1600" s="361">
        <f t="shared" si="294"/>
        <v>0.10555555555555554</v>
      </c>
      <c r="U1600" s="362">
        <f t="shared" si="295"/>
        <v>65444.444444444438</v>
      </c>
      <c r="V1600" s="362">
        <f t="shared" si="296"/>
        <v>520205.55555555556</v>
      </c>
      <c r="W1600" s="362">
        <f t="shared" si="297"/>
        <v>31000</v>
      </c>
      <c r="X1600" s="742">
        <f t="shared" si="288"/>
        <v>489205.55555555556</v>
      </c>
    </row>
    <row r="1601" spans="1:24" ht="13.9">
      <c r="A1601" s="349">
        <f t="shared" si="290"/>
        <v>1593</v>
      </c>
      <c r="B1601" s="684" t="s">
        <v>330</v>
      </c>
      <c r="C1601" s="695" t="s">
        <v>29</v>
      </c>
      <c r="D1601" s="743" t="s">
        <v>3663</v>
      </c>
      <c r="E1601" s="684" t="s">
        <v>422</v>
      </c>
      <c r="F1601" s="334"/>
      <c r="G1601" s="657">
        <v>44834</v>
      </c>
      <c r="H1601" s="426">
        <v>973214</v>
      </c>
      <c r="I1601" s="744"/>
      <c r="J1601" s="744"/>
      <c r="K1601" s="354">
        <f t="shared" si="287"/>
        <v>973214</v>
      </c>
      <c r="L1601" s="657">
        <v>44834</v>
      </c>
      <c r="M1601" s="742">
        <v>53919</v>
      </c>
      <c r="N1601" s="352">
        <f t="shared" si="289"/>
        <v>919295</v>
      </c>
      <c r="O1601" s="357">
        <f t="shared" si="286"/>
        <v>549</v>
      </c>
      <c r="P1601" s="410">
        <v>9</v>
      </c>
      <c r="Q1601" s="358">
        <f t="shared" si="291"/>
        <v>1.5041095890410958</v>
      </c>
      <c r="R1601" s="359">
        <f t="shared" si="292"/>
        <v>7.4958904109589044</v>
      </c>
      <c r="S1601" s="360">
        <f t="shared" si="293"/>
        <v>7.4958904109589044</v>
      </c>
      <c r="T1601" s="361">
        <f t="shared" si="294"/>
        <v>0.10555555555555554</v>
      </c>
      <c r="U1601" s="362">
        <f t="shared" si="295"/>
        <v>102728.14444444444</v>
      </c>
      <c r="V1601" s="362">
        <f t="shared" si="296"/>
        <v>816566.85555555555</v>
      </c>
      <c r="W1601" s="362">
        <f t="shared" si="297"/>
        <v>48661</v>
      </c>
      <c r="X1601" s="742">
        <f t="shared" si="288"/>
        <v>767905.85555555555</v>
      </c>
    </row>
    <row r="1602" spans="1:24" ht="13.9">
      <c r="A1602" s="349">
        <f t="shared" si="290"/>
        <v>1594</v>
      </c>
      <c r="B1602" s="684" t="s">
        <v>330</v>
      </c>
      <c r="C1602" s="695" t="s">
        <v>29</v>
      </c>
      <c r="D1602" s="743" t="s">
        <v>3663</v>
      </c>
      <c r="E1602" s="684" t="s">
        <v>422</v>
      </c>
      <c r="F1602" s="334"/>
      <c r="G1602" s="657">
        <v>44834</v>
      </c>
      <c r="H1602" s="426">
        <v>973214</v>
      </c>
      <c r="I1602" s="744"/>
      <c r="J1602" s="744"/>
      <c r="K1602" s="354">
        <f t="shared" si="287"/>
        <v>973214</v>
      </c>
      <c r="L1602" s="657">
        <v>44834</v>
      </c>
      <c r="M1602" s="742">
        <v>53919</v>
      </c>
      <c r="N1602" s="352">
        <f t="shared" si="289"/>
        <v>919295</v>
      </c>
      <c r="O1602" s="357">
        <f t="shared" si="286"/>
        <v>549</v>
      </c>
      <c r="P1602" s="410">
        <v>9</v>
      </c>
      <c r="Q1602" s="358">
        <f t="shared" si="291"/>
        <v>1.5041095890410958</v>
      </c>
      <c r="R1602" s="359">
        <f t="shared" si="292"/>
        <v>7.4958904109589044</v>
      </c>
      <c r="S1602" s="360">
        <f t="shared" si="293"/>
        <v>7.4958904109589044</v>
      </c>
      <c r="T1602" s="361">
        <f t="shared" si="294"/>
        <v>0.10555555555555554</v>
      </c>
      <c r="U1602" s="362">
        <f t="shared" si="295"/>
        <v>102728.14444444444</v>
      </c>
      <c r="V1602" s="362">
        <f t="shared" si="296"/>
        <v>816566.85555555555</v>
      </c>
      <c r="W1602" s="362">
        <f t="shared" si="297"/>
        <v>48661</v>
      </c>
      <c r="X1602" s="742">
        <f t="shared" si="288"/>
        <v>767905.85555555555</v>
      </c>
    </row>
    <row r="1603" spans="1:24" ht="13.9">
      <c r="A1603" s="349">
        <f t="shared" si="290"/>
        <v>1595</v>
      </c>
      <c r="B1603" s="654" t="s">
        <v>576</v>
      </c>
      <c r="C1603" s="684" t="s">
        <v>29</v>
      </c>
      <c r="D1603" s="743" t="s">
        <v>3663</v>
      </c>
      <c r="E1603" s="654" t="s">
        <v>774</v>
      </c>
      <c r="F1603" s="334"/>
      <c r="G1603" s="657">
        <v>44917</v>
      </c>
      <c r="H1603" s="426">
        <v>450000</v>
      </c>
      <c r="I1603" s="744"/>
      <c r="J1603" s="744"/>
      <c r="K1603" s="354">
        <f t="shared" si="287"/>
        <v>450000</v>
      </c>
      <c r="L1603" s="657">
        <v>44917</v>
      </c>
      <c r="M1603" s="742">
        <v>13562</v>
      </c>
      <c r="N1603" s="352">
        <f t="shared" si="289"/>
        <v>436438</v>
      </c>
      <c r="O1603" s="357">
        <f t="shared" ref="O1603:O1666" si="298">+$O$3-L1603+1</f>
        <v>466</v>
      </c>
      <c r="P1603" s="410">
        <v>9</v>
      </c>
      <c r="Q1603" s="358">
        <f t="shared" si="291"/>
        <v>1.2767123287671234</v>
      </c>
      <c r="R1603" s="359">
        <f t="shared" si="292"/>
        <v>7.7232876712328764</v>
      </c>
      <c r="S1603" s="360">
        <f t="shared" si="293"/>
        <v>7.7232876712328764</v>
      </c>
      <c r="T1603" s="361">
        <f t="shared" si="294"/>
        <v>0.10555555555555554</v>
      </c>
      <c r="U1603" s="362">
        <f t="shared" si="295"/>
        <v>47499.999999999993</v>
      </c>
      <c r="V1603" s="362">
        <f t="shared" si="296"/>
        <v>388938</v>
      </c>
      <c r="W1603" s="362">
        <f t="shared" si="297"/>
        <v>22500</v>
      </c>
      <c r="X1603" s="742">
        <f t="shared" si="288"/>
        <v>366438</v>
      </c>
    </row>
    <row r="1604" spans="1:24" ht="13.9">
      <c r="A1604" s="349">
        <f t="shared" si="290"/>
        <v>1596</v>
      </c>
      <c r="B1604" s="654" t="s">
        <v>577</v>
      </c>
      <c r="C1604" s="684" t="s">
        <v>29</v>
      </c>
      <c r="D1604" s="743" t="s">
        <v>3663</v>
      </c>
      <c r="E1604" s="654" t="s">
        <v>774</v>
      </c>
      <c r="F1604" s="334"/>
      <c r="G1604" s="657">
        <v>44917</v>
      </c>
      <c r="H1604" s="426">
        <v>420000</v>
      </c>
      <c r="I1604" s="744"/>
      <c r="J1604" s="744"/>
      <c r="K1604" s="354">
        <f t="shared" ref="K1604:K1667" si="299">+H1604+I1604-J1604</f>
        <v>420000</v>
      </c>
      <c r="L1604" s="657">
        <v>44917</v>
      </c>
      <c r="M1604" s="742">
        <v>12658</v>
      </c>
      <c r="N1604" s="352">
        <f t="shared" si="289"/>
        <v>407342</v>
      </c>
      <c r="O1604" s="357">
        <f t="shared" si="298"/>
        <v>466</v>
      </c>
      <c r="P1604" s="410">
        <v>9</v>
      </c>
      <c r="Q1604" s="358">
        <f t="shared" si="291"/>
        <v>1.2767123287671234</v>
      </c>
      <c r="R1604" s="359">
        <f t="shared" si="292"/>
        <v>7.7232876712328764</v>
      </c>
      <c r="S1604" s="360">
        <f t="shared" si="293"/>
        <v>7.7232876712328764</v>
      </c>
      <c r="T1604" s="361">
        <f t="shared" si="294"/>
        <v>0.10555555555555554</v>
      </c>
      <c r="U1604" s="362">
        <f t="shared" si="295"/>
        <v>44333.333333333328</v>
      </c>
      <c r="V1604" s="362">
        <f t="shared" si="296"/>
        <v>363008.66666666669</v>
      </c>
      <c r="W1604" s="362">
        <f t="shared" si="297"/>
        <v>21000</v>
      </c>
      <c r="X1604" s="742">
        <f t="shared" ref="X1604:X1667" si="300">+V1604-W1604</f>
        <v>342008.66666666669</v>
      </c>
    </row>
    <row r="1605" spans="1:24" ht="13.9">
      <c r="A1605" s="349">
        <f t="shared" si="290"/>
        <v>1597</v>
      </c>
      <c r="B1605" s="654" t="s">
        <v>304</v>
      </c>
      <c r="C1605" s="684" t="s">
        <v>29</v>
      </c>
      <c r="D1605" s="743" t="s">
        <v>3663</v>
      </c>
      <c r="E1605" s="654" t="s">
        <v>403</v>
      </c>
      <c r="F1605" s="334"/>
      <c r="G1605" s="657">
        <v>44846</v>
      </c>
      <c r="H1605" s="426">
        <v>1108000</v>
      </c>
      <c r="I1605" s="744"/>
      <c r="J1605" s="744"/>
      <c r="K1605" s="354">
        <f t="shared" si="299"/>
        <v>1108000</v>
      </c>
      <c r="L1605" s="657">
        <v>44846</v>
      </c>
      <c r="M1605" s="742">
        <v>57339</v>
      </c>
      <c r="N1605" s="352">
        <f t="shared" si="289"/>
        <v>1050661</v>
      </c>
      <c r="O1605" s="357">
        <f t="shared" si="298"/>
        <v>537</v>
      </c>
      <c r="P1605" s="410">
        <v>9</v>
      </c>
      <c r="Q1605" s="358">
        <f t="shared" si="291"/>
        <v>1.4712328767123288</v>
      </c>
      <c r="R1605" s="359">
        <f t="shared" si="292"/>
        <v>7.5287671232876709</v>
      </c>
      <c r="S1605" s="360">
        <f t="shared" si="293"/>
        <v>7.5287671232876709</v>
      </c>
      <c r="T1605" s="361">
        <f t="shared" si="294"/>
        <v>0.10555555555555554</v>
      </c>
      <c r="U1605" s="362">
        <f t="shared" si="295"/>
        <v>116955.55555555553</v>
      </c>
      <c r="V1605" s="362">
        <f t="shared" si="296"/>
        <v>933705.4444444445</v>
      </c>
      <c r="W1605" s="362">
        <f t="shared" si="297"/>
        <v>55400</v>
      </c>
      <c r="X1605" s="742">
        <f t="shared" si="300"/>
        <v>878305.4444444445</v>
      </c>
    </row>
    <row r="1606" spans="1:24" ht="13.9">
      <c r="A1606" s="349">
        <f t="shared" si="290"/>
        <v>1598</v>
      </c>
      <c r="B1606" s="654" t="s">
        <v>304</v>
      </c>
      <c r="C1606" s="684" t="s">
        <v>29</v>
      </c>
      <c r="D1606" s="743" t="s">
        <v>3663</v>
      </c>
      <c r="E1606" s="654" t="s">
        <v>403</v>
      </c>
      <c r="F1606" s="334"/>
      <c r="G1606" s="657">
        <v>44856</v>
      </c>
      <c r="H1606" s="426">
        <v>1069500</v>
      </c>
      <c r="I1606" s="744"/>
      <c r="J1606" s="744"/>
      <c r="K1606" s="354">
        <f t="shared" si="299"/>
        <v>1069500</v>
      </c>
      <c r="L1606" s="657">
        <v>44856</v>
      </c>
      <c r="M1606" s="742">
        <v>52091</v>
      </c>
      <c r="N1606" s="352">
        <f t="shared" ref="N1606:N1669" si="301">+K1606-M1606</f>
        <v>1017409</v>
      </c>
      <c r="O1606" s="357">
        <f t="shared" si="298"/>
        <v>527</v>
      </c>
      <c r="P1606" s="410">
        <v>9</v>
      </c>
      <c r="Q1606" s="358">
        <f t="shared" si="291"/>
        <v>1.4438356164383561</v>
      </c>
      <c r="R1606" s="359">
        <f t="shared" si="292"/>
        <v>7.5561643835616437</v>
      </c>
      <c r="S1606" s="360">
        <f t="shared" si="293"/>
        <v>7.5561643835616437</v>
      </c>
      <c r="T1606" s="361">
        <f t="shared" si="294"/>
        <v>0.10555555555555554</v>
      </c>
      <c r="U1606" s="362">
        <f t="shared" si="295"/>
        <v>112891.66666666666</v>
      </c>
      <c r="V1606" s="362">
        <f t="shared" si="296"/>
        <v>904517.33333333337</v>
      </c>
      <c r="W1606" s="362">
        <f t="shared" si="297"/>
        <v>53475</v>
      </c>
      <c r="X1606" s="742">
        <f t="shared" si="300"/>
        <v>851042.33333333337</v>
      </c>
    </row>
    <row r="1607" spans="1:24" ht="13.9">
      <c r="A1607" s="349">
        <f t="shared" si="290"/>
        <v>1599</v>
      </c>
      <c r="B1607" s="654" t="s">
        <v>304</v>
      </c>
      <c r="C1607" s="684" t="s">
        <v>29</v>
      </c>
      <c r="D1607" s="743" t="s">
        <v>3663</v>
      </c>
      <c r="E1607" s="654" t="s">
        <v>403</v>
      </c>
      <c r="F1607" s="334"/>
      <c r="G1607" s="657">
        <v>44865</v>
      </c>
      <c r="H1607" s="426">
        <v>1102500</v>
      </c>
      <c r="I1607" s="744"/>
      <c r="J1607" s="744"/>
      <c r="K1607" s="354">
        <f t="shared" si="299"/>
        <v>1102500</v>
      </c>
      <c r="L1607" s="657">
        <v>44865</v>
      </c>
      <c r="M1607" s="742">
        <v>50678</v>
      </c>
      <c r="N1607" s="352">
        <f t="shared" si="301"/>
        <v>1051822</v>
      </c>
      <c r="O1607" s="357">
        <f t="shared" si="298"/>
        <v>518</v>
      </c>
      <c r="P1607" s="410">
        <v>9</v>
      </c>
      <c r="Q1607" s="358">
        <f t="shared" si="291"/>
        <v>1.4191780821917808</v>
      </c>
      <c r="R1607" s="359">
        <f t="shared" si="292"/>
        <v>7.580821917808219</v>
      </c>
      <c r="S1607" s="360">
        <f t="shared" si="293"/>
        <v>7.580821917808219</v>
      </c>
      <c r="T1607" s="361">
        <f t="shared" si="294"/>
        <v>0.10555555555555554</v>
      </c>
      <c r="U1607" s="362">
        <f t="shared" si="295"/>
        <v>116374.99999999999</v>
      </c>
      <c r="V1607" s="362">
        <f t="shared" si="296"/>
        <v>935447</v>
      </c>
      <c r="W1607" s="362">
        <f t="shared" si="297"/>
        <v>55125</v>
      </c>
      <c r="X1607" s="742">
        <f t="shared" si="300"/>
        <v>880322</v>
      </c>
    </row>
    <row r="1608" spans="1:24" ht="13.9">
      <c r="A1608" s="349">
        <f t="shared" si="290"/>
        <v>1600</v>
      </c>
      <c r="B1608" s="654" t="s">
        <v>578</v>
      </c>
      <c r="C1608" s="684" t="s">
        <v>29</v>
      </c>
      <c r="D1608" s="743" t="s">
        <v>3663</v>
      </c>
      <c r="E1608" s="654" t="s">
        <v>407</v>
      </c>
      <c r="F1608" s="334"/>
      <c r="G1608" s="657">
        <v>44868</v>
      </c>
      <c r="H1608" s="426">
        <v>4250000</v>
      </c>
      <c r="I1608" s="744"/>
      <c r="J1608" s="744"/>
      <c r="K1608" s="354">
        <f t="shared" si="299"/>
        <v>4250000</v>
      </c>
      <c r="L1608" s="657">
        <v>44868</v>
      </c>
      <c r="M1608" s="742">
        <v>191476</v>
      </c>
      <c r="N1608" s="352">
        <f t="shared" si="301"/>
        <v>4058524</v>
      </c>
      <c r="O1608" s="357">
        <f t="shared" si="298"/>
        <v>515</v>
      </c>
      <c r="P1608" s="410">
        <v>9</v>
      </c>
      <c r="Q1608" s="358">
        <f t="shared" si="291"/>
        <v>1.4109589041095891</v>
      </c>
      <c r="R1608" s="359">
        <f t="shared" si="292"/>
        <v>7.5890410958904111</v>
      </c>
      <c r="S1608" s="360">
        <f t="shared" si="293"/>
        <v>7.5890410958904111</v>
      </c>
      <c r="T1608" s="361">
        <f t="shared" si="294"/>
        <v>0.10555555555555554</v>
      </c>
      <c r="U1608" s="362">
        <f t="shared" si="295"/>
        <v>448611.11111111107</v>
      </c>
      <c r="V1608" s="362">
        <f t="shared" si="296"/>
        <v>3609912.888888889</v>
      </c>
      <c r="W1608" s="362">
        <f t="shared" si="297"/>
        <v>212500</v>
      </c>
      <c r="X1608" s="742">
        <f t="shared" si="300"/>
        <v>3397412.888888889</v>
      </c>
    </row>
    <row r="1609" spans="1:24" ht="13.9">
      <c r="A1609" s="349">
        <f t="shared" ref="A1609:A1672" si="302">+A1608+1</f>
        <v>1601</v>
      </c>
      <c r="B1609" s="654" t="s">
        <v>304</v>
      </c>
      <c r="C1609" s="684" t="s">
        <v>29</v>
      </c>
      <c r="D1609" s="743" t="s">
        <v>3663</v>
      </c>
      <c r="E1609" s="654" t="s">
        <v>403</v>
      </c>
      <c r="F1609" s="334"/>
      <c r="G1609" s="657">
        <v>44894</v>
      </c>
      <c r="H1609" s="426">
        <v>933000</v>
      </c>
      <c r="I1609" s="744"/>
      <c r="J1609" s="744"/>
      <c r="K1609" s="354">
        <f t="shared" si="299"/>
        <v>933000</v>
      </c>
      <c r="L1609" s="657">
        <v>44894</v>
      </c>
      <c r="M1609" s="742">
        <v>34650</v>
      </c>
      <c r="N1609" s="352">
        <f t="shared" si="301"/>
        <v>898350</v>
      </c>
      <c r="O1609" s="357">
        <f t="shared" si="298"/>
        <v>489</v>
      </c>
      <c r="P1609" s="410">
        <v>9</v>
      </c>
      <c r="Q1609" s="358">
        <f t="shared" si="291"/>
        <v>1.3397260273972602</v>
      </c>
      <c r="R1609" s="359">
        <f t="shared" si="292"/>
        <v>7.6602739726027398</v>
      </c>
      <c r="S1609" s="360">
        <f t="shared" si="293"/>
        <v>7.6602739726027398</v>
      </c>
      <c r="T1609" s="361">
        <f t="shared" si="294"/>
        <v>0.10555555555555554</v>
      </c>
      <c r="U1609" s="362">
        <f t="shared" si="295"/>
        <v>98483.333333333314</v>
      </c>
      <c r="V1609" s="362">
        <f t="shared" si="296"/>
        <v>799866.66666666674</v>
      </c>
      <c r="W1609" s="362">
        <f t="shared" si="297"/>
        <v>46650</v>
      </c>
      <c r="X1609" s="742">
        <f t="shared" si="300"/>
        <v>753216.66666666674</v>
      </c>
    </row>
    <row r="1610" spans="1:24" ht="13.9">
      <c r="A1610" s="349">
        <f t="shared" si="302"/>
        <v>1602</v>
      </c>
      <c r="B1610" s="654" t="s">
        <v>304</v>
      </c>
      <c r="C1610" s="684" t="s">
        <v>29</v>
      </c>
      <c r="D1610" s="743" t="s">
        <v>3663</v>
      </c>
      <c r="E1610" s="654" t="s">
        <v>403</v>
      </c>
      <c r="F1610" s="334"/>
      <c r="G1610" s="657">
        <v>44894</v>
      </c>
      <c r="H1610" s="426">
        <v>1341000</v>
      </c>
      <c r="I1610" s="744"/>
      <c r="J1610" s="744"/>
      <c r="K1610" s="354">
        <f t="shared" si="299"/>
        <v>1341000</v>
      </c>
      <c r="L1610" s="657">
        <v>44894</v>
      </c>
      <c r="M1610" s="742">
        <v>49803</v>
      </c>
      <c r="N1610" s="352">
        <f t="shared" si="301"/>
        <v>1291197</v>
      </c>
      <c r="O1610" s="357">
        <f t="shared" si="298"/>
        <v>489</v>
      </c>
      <c r="P1610" s="410">
        <v>9</v>
      </c>
      <c r="Q1610" s="358">
        <f t="shared" si="291"/>
        <v>1.3397260273972602</v>
      </c>
      <c r="R1610" s="359">
        <f t="shared" si="292"/>
        <v>7.6602739726027398</v>
      </c>
      <c r="S1610" s="360">
        <f t="shared" si="293"/>
        <v>7.6602739726027398</v>
      </c>
      <c r="T1610" s="361">
        <f t="shared" si="294"/>
        <v>0.10555555555555554</v>
      </c>
      <c r="U1610" s="362">
        <f t="shared" si="295"/>
        <v>141549.99999999997</v>
      </c>
      <c r="V1610" s="362">
        <f t="shared" si="296"/>
        <v>1149647</v>
      </c>
      <c r="W1610" s="362">
        <f t="shared" si="297"/>
        <v>67050</v>
      </c>
      <c r="X1610" s="742">
        <f t="shared" si="300"/>
        <v>1082597</v>
      </c>
    </row>
    <row r="1611" spans="1:24" ht="13.9">
      <c r="A1611" s="349">
        <f t="shared" si="302"/>
        <v>1603</v>
      </c>
      <c r="B1611" s="654" t="s">
        <v>304</v>
      </c>
      <c r="C1611" s="684" t="s">
        <v>29</v>
      </c>
      <c r="D1611" s="743" t="s">
        <v>3663</v>
      </c>
      <c r="E1611" s="654" t="s">
        <v>403</v>
      </c>
      <c r="F1611" s="334"/>
      <c r="G1611" s="657">
        <v>44899</v>
      </c>
      <c r="H1611" s="426">
        <v>1261000</v>
      </c>
      <c r="I1611" s="744"/>
      <c r="J1611" s="744"/>
      <c r="K1611" s="354">
        <f t="shared" si="299"/>
        <v>1261000</v>
      </c>
      <c r="L1611" s="657">
        <v>44899</v>
      </c>
      <c r="M1611" s="742">
        <v>44912</v>
      </c>
      <c r="N1611" s="352">
        <f t="shared" si="301"/>
        <v>1216088</v>
      </c>
      <c r="O1611" s="357">
        <f t="shared" si="298"/>
        <v>484</v>
      </c>
      <c r="P1611" s="410">
        <v>9</v>
      </c>
      <c r="Q1611" s="358">
        <f t="shared" si="291"/>
        <v>1.3260273972602741</v>
      </c>
      <c r="R1611" s="359">
        <f t="shared" si="292"/>
        <v>7.6739726027397257</v>
      </c>
      <c r="S1611" s="360">
        <f t="shared" si="293"/>
        <v>7.6739726027397257</v>
      </c>
      <c r="T1611" s="361">
        <f t="shared" si="294"/>
        <v>0.10555555555555554</v>
      </c>
      <c r="U1611" s="362">
        <f t="shared" si="295"/>
        <v>133105.55555555553</v>
      </c>
      <c r="V1611" s="362">
        <f t="shared" si="296"/>
        <v>1082982.4444444445</v>
      </c>
      <c r="W1611" s="362">
        <f t="shared" si="297"/>
        <v>63050</v>
      </c>
      <c r="X1611" s="742">
        <f t="shared" si="300"/>
        <v>1019932.4444444445</v>
      </c>
    </row>
    <row r="1612" spans="1:24" ht="13.9">
      <c r="A1612" s="349">
        <f t="shared" si="302"/>
        <v>1604</v>
      </c>
      <c r="B1612" s="654" t="s">
        <v>562</v>
      </c>
      <c r="C1612" s="684" t="s">
        <v>29</v>
      </c>
      <c r="D1612" s="743" t="s">
        <v>3663</v>
      </c>
      <c r="E1612" s="654" t="s">
        <v>759</v>
      </c>
      <c r="F1612" s="334"/>
      <c r="G1612" s="657">
        <v>44863</v>
      </c>
      <c r="H1612" s="426">
        <v>8727975</v>
      </c>
      <c r="I1612" s="744"/>
      <c r="J1612" s="744"/>
      <c r="K1612" s="354">
        <f t="shared" si="299"/>
        <v>8727975</v>
      </c>
      <c r="L1612" s="657">
        <v>44863</v>
      </c>
      <c r="M1612" s="742">
        <v>406508</v>
      </c>
      <c r="N1612" s="352">
        <f t="shared" si="301"/>
        <v>8321467</v>
      </c>
      <c r="O1612" s="357">
        <f t="shared" si="298"/>
        <v>520</v>
      </c>
      <c r="P1612" s="410">
        <v>9</v>
      </c>
      <c r="Q1612" s="358">
        <f t="shared" si="291"/>
        <v>1.4246575342465753</v>
      </c>
      <c r="R1612" s="359">
        <f t="shared" si="292"/>
        <v>7.5753424657534243</v>
      </c>
      <c r="S1612" s="360">
        <f t="shared" si="293"/>
        <v>7.5753424657534243</v>
      </c>
      <c r="T1612" s="361">
        <f t="shared" si="294"/>
        <v>0.10555555555555554</v>
      </c>
      <c r="U1612" s="362">
        <f t="shared" si="295"/>
        <v>921286.24999999988</v>
      </c>
      <c r="V1612" s="362">
        <f t="shared" si="296"/>
        <v>7400180.75</v>
      </c>
      <c r="W1612" s="362">
        <f t="shared" si="297"/>
        <v>436399</v>
      </c>
      <c r="X1612" s="742">
        <f t="shared" si="300"/>
        <v>6963781.75</v>
      </c>
    </row>
    <row r="1613" spans="1:24" ht="13.9">
      <c r="A1613" s="349">
        <f t="shared" si="302"/>
        <v>1605</v>
      </c>
      <c r="B1613" s="654" t="s">
        <v>562</v>
      </c>
      <c r="C1613" s="684" t="s">
        <v>29</v>
      </c>
      <c r="D1613" s="743" t="s">
        <v>3663</v>
      </c>
      <c r="E1613" s="654" t="s">
        <v>759</v>
      </c>
      <c r="F1613" s="334"/>
      <c r="G1613" s="657">
        <v>44863</v>
      </c>
      <c r="H1613" s="426">
        <v>8727975</v>
      </c>
      <c r="I1613" s="744"/>
      <c r="J1613" s="744"/>
      <c r="K1613" s="354">
        <f t="shared" si="299"/>
        <v>8727975</v>
      </c>
      <c r="L1613" s="657">
        <v>44863</v>
      </c>
      <c r="M1613" s="742">
        <v>406508</v>
      </c>
      <c r="N1613" s="352">
        <f t="shared" si="301"/>
        <v>8321467</v>
      </c>
      <c r="O1613" s="357">
        <f t="shared" si="298"/>
        <v>520</v>
      </c>
      <c r="P1613" s="410">
        <v>9</v>
      </c>
      <c r="Q1613" s="358">
        <f t="shared" si="291"/>
        <v>1.4246575342465753</v>
      </c>
      <c r="R1613" s="359">
        <f t="shared" si="292"/>
        <v>7.5753424657534243</v>
      </c>
      <c r="S1613" s="360">
        <f t="shared" si="293"/>
        <v>7.5753424657534243</v>
      </c>
      <c r="T1613" s="361">
        <f t="shared" si="294"/>
        <v>0.10555555555555554</v>
      </c>
      <c r="U1613" s="362">
        <f t="shared" si="295"/>
        <v>921286.24999999988</v>
      </c>
      <c r="V1613" s="362">
        <f t="shared" si="296"/>
        <v>7400180.75</v>
      </c>
      <c r="W1613" s="362">
        <f t="shared" si="297"/>
        <v>436399</v>
      </c>
      <c r="X1613" s="742">
        <f t="shared" si="300"/>
        <v>6963781.75</v>
      </c>
    </row>
    <row r="1614" spans="1:24" ht="13.9">
      <c r="A1614" s="349">
        <f t="shared" si="302"/>
        <v>1606</v>
      </c>
      <c r="B1614" s="654" t="s">
        <v>562</v>
      </c>
      <c r="C1614" s="684" t="s">
        <v>29</v>
      </c>
      <c r="D1614" s="743" t="s">
        <v>3663</v>
      </c>
      <c r="E1614" s="654" t="s">
        <v>759</v>
      </c>
      <c r="F1614" s="334"/>
      <c r="G1614" s="657">
        <v>44863</v>
      </c>
      <c r="H1614" s="426">
        <v>8727975</v>
      </c>
      <c r="I1614" s="744"/>
      <c r="J1614" s="744"/>
      <c r="K1614" s="354">
        <f t="shared" si="299"/>
        <v>8727975</v>
      </c>
      <c r="L1614" s="657">
        <v>44863</v>
      </c>
      <c r="M1614" s="742">
        <v>406508</v>
      </c>
      <c r="N1614" s="352">
        <f t="shared" si="301"/>
        <v>8321467</v>
      </c>
      <c r="O1614" s="357">
        <f t="shared" si="298"/>
        <v>520</v>
      </c>
      <c r="P1614" s="410">
        <v>9</v>
      </c>
      <c r="Q1614" s="358">
        <f t="shared" ref="Q1614:Q1677" si="303">+O1614/365</f>
        <v>1.4246575342465753</v>
      </c>
      <c r="R1614" s="359">
        <f t="shared" ref="R1614:R1677" si="304">+P1614-Q1614</f>
        <v>7.5753424657534243</v>
      </c>
      <c r="S1614" s="360">
        <f t="shared" ref="S1614:S1677" si="305">IF(R1614&lt;0,0,IF(R1614&gt;365,365,R1614))</f>
        <v>7.5753424657534243</v>
      </c>
      <c r="T1614" s="361">
        <f t="shared" ref="T1614:T1677" si="306">1/P1614*0.95</f>
        <v>0.10555555555555554</v>
      </c>
      <c r="U1614" s="362">
        <f t="shared" ref="U1614:U1677" si="307">+K1614*T1614</f>
        <v>921286.24999999988</v>
      </c>
      <c r="V1614" s="362">
        <f t="shared" ref="V1614:V1677" si="308">+N1614-U1614</f>
        <v>7400180.75</v>
      </c>
      <c r="W1614" s="362">
        <f t="shared" ref="W1614:W1677" si="309">ROUND(+H1614*5%,0)</f>
        <v>436399</v>
      </c>
      <c r="X1614" s="742">
        <f t="shared" si="300"/>
        <v>6963781.75</v>
      </c>
    </row>
    <row r="1615" spans="1:24" ht="13.9">
      <c r="A1615" s="349">
        <f t="shared" si="302"/>
        <v>1607</v>
      </c>
      <c r="B1615" s="654" t="s">
        <v>579</v>
      </c>
      <c r="C1615" s="684" t="s">
        <v>29</v>
      </c>
      <c r="D1615" s="743" t="s">
        <v>3663</v>
      </c>
      <c r="E1615" s="654" t="s">
        <v>407</v>
      </c>
      <c r="F1615" s="334"/>
      <c r="G1615" s="657">
        <v>44873</v>
      </c>
      <c r="H1615" s="426">
        <v>150000</v>
      </c>
      <c r="I1615" s="744"/>
      <c r="J1615" s="744"/>
      <c r="K1615" s="354">
        <f t="shared" si="299"/>
        <v>150000</v>
      </c>
      <c r="L1615" s="657">
        <v>44873</v>
      </c>
      <c r="M1615" s="742">
        <v>6530</v>
      </c>
      <c r="N1615" s="352">
        <f t="shared" si="301"/>
        <v>143470</v>
      </c>
      <c r="O1615" s="357">
        <f t="shared" si="298"/>
        <v>510</v>
      </c>
      <c r="P1615" s="410">
        <v>9</v>
      </c>
      <c r="Q1615" s="358">
        <f t="shared" si="303"/>
        <v>1.3972602739726028</v>
      </c>
      <c r="R1615" s="359">
        <f t="shared" si="304"/>
        <v>7.602739726027397</v>
      </c>
      <c r="S1615" s="360">
        <f t="shared" si="305"/>
        <v>7.602739726027397</v>
      </c>
      <c r="T1615" s="361">
        <f t="shared" si="306"/>
        <v>0.10555555555555554</v>
      </c>
      <c r="U1615" s="362">
        <f t="shared" si="307"/>
        <v>15833.33333333333</v>
      </c>
      <c r="V1615" s="362">
        <f t="shared" si="308"/>
        <v>127636.66666666667</v>
      </c>
      <c r="W1615" s="362">
        <f t="shared" si="309"/>
        <v>7500</v>
      </c>
      <c r="X1615" s="742">
        <f t="shared" si="300"/>
        <v>120136.66666666667</v>
      </c>
    </row>
    <row r="1616" spans="1:24" ht="13.9">
      <c r="A1616" s="349">
        <f t="shared" si="302"/>
        <v>1608</v>
      </c>
      <c r="B1616" s="654" t="s">
        <v>579</v>
      </c>
      <c r="C1616" s="684" t="s">
        <v>29</v>
      </c>
      <c r="D1616" s="743" t="s">
        <v>3663</v>
      </c>
      <c r="E1616" s="654" t="s">
        <v>407</v>
      </c>
      <c r="F1616" s="334"/>
      <c r="G1616" s="657">
        <v>44873</v>
      </c>
      <c r="H1616" s="426">
        <v>150000</v>
      </c>
      <c r="I1616" s="744"/>
      <c r="J1616" s="744"/>
      <c r="K1616" s="354">
        <f t="shared" si="299"/>
        <v>150000</v>
      </c>
      <c r="L1616" s="657">
        <v>44873</v>
      </c>
      <c r="M1616" s="742">
        <v>6530</v>
      </c>
      <c r="N1616" s="352">
        <f t="shared" si="301"/>
        <v>143470</v>
      </c>
      <c r="O1616" s="357">
        <f t="shared" si="298"/>
        <v>510</v>
      </c>
      <c r="P1616" s="410">
        <v>9</v>
      </c>
      <c r="Q1616" s="358">
        <f t="shared" si="303"/>
        <v>1.3972602739726028</v>
      </c>
      <c r="R1616" s="359">
        <f t="shared" si="304"/>
        <v>7.602739726027397</v>
      </c>
      <c r="S1616" s="360">
        <f t="shared" si="305"/>
        <v>7.602739726027397</v>
      </c>
      <c r="T1616" s="361">
        <f t="shared" si="306"/>
        <v>0.10555555555555554</v>
      </c>
      <c r="U1616" s="362">
        <f t="shared" si="307"/>
        <v>15833.33333333333</v>
      </c>
      <c r="V1616" s="362">
        <f t="shared" si="308"/>
        <v>127636.66666666667</v>
      </c>
      <c r="W1616" s="362">
        <f t="shared" si="309"/>
        <v>7500</v>
      </c>
      <c r="X1616" s="742">
        <f t="shared" si="300"/>
        <v>120136.66666666667</v>
      </c>
    </row>
    <row r="1617" spans="1:24" ht="13.9">
      <c r="A1617" s="349">
        <f t="shared" si="302"/>
        <v>1609</v>
      </c>
      <c r="B1617" s="654" t="s">
        <v>563</v>
      </c>
      <c r="C1617" s="684" t="s">
        <v>29</v>
      </c>
      <c r="D1617" s="743" t="s">
        <v>3663</v>
      </c>
      <c r="E1617" s="654" t="s">
        <v>407</v>
      </c>
      <c r="F1617" s="334"/>
      <c r="G1617" s="657">
        <v>44873</v>
      </c>
      <c r="H1617" s="426">
        <v>1765000</v>
      </c>
      <c r="I1617" s="744"/>
      <c r="J1617" s="744"/>
      <c r="K1617" s="354">
        <f t="shared" si="299"/>
        <v>1765000</v>
      </c>
      <c r="L1617" s="657">
        <v>44873</v>
      </c>
      <c r="M1617" s="742">
        <v>76833</v>
      </c>
      <c r="N1617" s="352">
        <f t="shared" si="301"/>
        <v>1688167</v>
      </c>
      <c r="O1617" s="357">
        <f t="shared" si="298"/>
        <v>510</v>
      </c>
      <c r="P1617" s="410">
        <v>9</v>
      </c>
      <c r="Q1617" s="358">
        <f t="shared" si="303"/>
        <v>1.3972602739726028</v>
      </c>
      <c r="R1617" s="359">
        <f t="shared" si="304"/>
        <v>7.602739726027397</v>
      </c>
      <c r="S1617" s="360">
        <f t="shared" si="305"/>
        <v>7.602739726027397</v>
      </c>
      <c r="T1617" s="361">
        <f t="shared" si="306"/>
        <v>0.10555555555555554</v>
      </c>
      <c r="U1617" s="362">
        <f t="shared" si="307"/>
        <v>186305.55555555553</v>
      </c>
      <c r="V1617" s="362">
        <f t="shared" si="308"/>
        <v>1501861.4444444445</v>
      </c>
      <c r="W1617" s="362">
        <f t="shared" si="309"/>
        <v>88250</v>
      </c>
      <c r="X1617" s="742">
        <f t="shared" si="300"/>
        <v>1413611.4444444445</v>
      </c>
    </row>
    <row r="1618" spans="1:24" ht="13.9">
      <c r="A1618" s="349">
        <f t="shared" si="302"/>
        <v>1610</v>
      </c>
      <c r="B1618" s="654" t="s">
        <v>563</v>
      </c>
      <c r="C1618" s="684" t="s">
        <v>29</v>
      </c>
      <c r="D1618" s="743" t="s">
        <v>3663</v>
      </c>
      <c r="E1618" s="654" t="s">
        <v>407</v>
      </c>
      <c r="F1618" s="334"/>
      <c r="G1618" s="657">
        <v>44873</v>
      </c>
      <c r="H1618" s="426">
        <v>1765000</v>
      </c>
      <c r="I1618" s="744"/>
      <c r="J1618" s="744"/>
      <c r="K1618" s="354">
        <f t="shared" si="299"/>
        <v>1765000</v>
      </c>
      <c r="L1618" s="657">
        <v>44873</v>
      </c>
      <c r="M1618" s="742">
        <v>76833</v>
      </c>
      <c r="N1618" s="352">
        <f t="shared" si="301"/>
        <v>1688167</v>
      </c>
      <c r="O1618" s="357">
        <f t="shared" si="298"/>
        <v>510</v>
      </c>
      <c r="P1618" s="410">
        <v>9</v>
      </c>
      <c r="Q1618" s="358">
        <f t="shared" si="303"/>
        <v>1.3972602739726028</v>
      </c>
      <c r="R1618" s="359">
        <f t="shared" si="304"/>
        <v>7.602739726027397</v>
      </c>
      <c r="S1618" s="360">
        <f t="shared" si="305"/>
        <v>7.602739726027397</v>
      </c>
      <c r="T1618" s="361">
        <f t="shared" si="306"/>
        <v>0.10555555555555554</v>
      </c>
      <c r="U1618" s="362">
        <f t="shared" si="307"/>
        <v>186305.55555555553</v>
      </c>
      <c r="V1618" s="362">
        <f t="shared" si="308"/>
        <v>1501861.4444444445</v>
      </c>
      <c r="W1618" s="362">
        <f t="shared" si="309"/>
        <v>88250</v>
      </c>
      <c r="X1618" s="742">
        <f t="shared" si="300"/>
        <v>1413611.4444444445</v>
      </c>
    </row>
    <row r="1619" spans="1:24" ht="13.9">
      <c r="A1619" s="349">
        <f t="shared" si="302"/>
        <v>1611</v>
      </c>
      <c r="B1619" s="654" t="s">
        <v>580</v>
      </c>
      <c r="C1619" s="684" t="s">
        <v>29</v>
      </c>
      <c r="D1619" s="743" t="s">
        <v>3663</v>
      </c>
      <c r="E1619" s="654" t="s">
        <v>775</v>
      </c>
      <c r="F1619" s="334"/>
      <c r="G1619" s="657">
        <v>44893</v>
      </c>
      <c r="H1619" s="426">
        <v>23097090</v>
      </c>
      <c r="I1619" s="744"/>
      <c r="J1619" s="744"/>
      <c r="K1619" s="354">
        <f t="shared" si="299"/>
        <v>23097090</v>
      </c>
      <c r="L1619" s="657">
        <v>44893</v>
      </c>
      <c r="M1619" s="742">
        <v>864823</v>
      </c>
      <c r="N1619" s="352">
        <f t="shared" si="301"/>
        <v>22232267</v>
      </c>
      <c r="O1619" s="357">
        <f t="shared" si="298"/>
        <v>490</v>
      </c>
      <c r="P1619" s="410">
        <v>9</v>
      </c>
      <c r="Q1619" s="358">
        <f t="shared" si="303"/>
        <v>1.3424657534246576</v>
      </c>
      <c r="R1619" s="359">
        <f t="shared" si="304"/>
        <v>7.6575342465753424</v>
      </c>
      <c r="S1619" s="360">
        <f t="shared" si="305"/>
        <v>7.6575342465753424</v>
      </c>
      <c r="T1619" s="361">
        <f t="shared" si="306"/>
        <v>0.10555555555555554</v>
      </c>
      <c r="U1619" s="362">
        <f t="shared" si="307"/>
        <v>2438026.1666666665</v>
      </c>
      <c r="V1619" s="362">
        <f t="shared" si="308"/>
        <v>19794240.833333332</v>
      </c>
      <c r="W1619" s="362">
        <f t="shared" si="309"/>
        <v>1154855</v>
      </c>
      <c r="X1619" s="742">
        <f t="shared" si="300"/>
        <v>18639385.833333332</v>
      </c>
    </row>
    <row r="1620" spans="1:24" ht="13.9">
      <c r="A1620" s="349">
        <f t="shared" si="302"/>
        <v>1612</v>
      </c>
      <c r="B1620" s="654" t="s">
        <v>563</v>
      </c>
      <c r="C1620" s="684" t="s">
        <v>29</v>
      </c>
      <c r="D1620" s="743" t="s">
        <v>3663</v>
      </c>
      <c r="E1620" s="654" t="s">
        <v>407</v>
      </c>
      <c r="F1620" s="334"/>
      <c r="G1620" s="657">
        <v>44914</v>
      </c>
      <c r="H1620" s="426">
        <v>1941215</v>
      </c>
      <c r="I1620" s="744"/>
      <c r="J1620" s="744"/>
      <c r="K1620" s="354">
        <f t="shared" si="299"/>
        <v>1941215</v>
      </c>
      <c r="L1620" s="657">
        <v>44914</v>
      </c>
      <c r="M1620" s="742">
        <v>60275</v>
      </c>
      <c r="N1620" s="352">
        <f t="shared" si="301"/>
        <v>1880940</v>
      </c>
      <c r="O1620" s="357">
        <f t="shared" si="298"/>
        <v>469</v>
      </c>
      <c r="P1620" s="410">
        <v>9</v>
      </c>
      <c r="Q1620" s="358">
        <f t="shared" si="303"/>
        <v>1.284931506849315</v>
      </c>
      <c r="R1620" s="359">
        <f t="shared" si="304"/>
        <v>7.7150684931506852</v>
      </c>
      <c r="S1620" s="360">
        <f t="shared" si="305"/>
        <v>7.7150684931506852</v>
      </c>
      <c r="T1620" s="361">
        <f t="shared" si="306"/>
        <v>0.10555555555555554</v>
      </c>
      <c r="U1620" s="362">
        <f t="shared" si="307"/>
        <v>204906.02777777775</v>
      </c>
      <c r="V1620" s="362">
        <f t="shared" si="308"/>
        <v>1676033.9722222222</v>
      </c>
      <c r="W1620" s="362">
        <f t="shared" si="309"/>
        <v>97061</v>
      </c>
      <c r="X1620" s="742">
        <f t="shared" si="300"/>
        <v>1578972.9722222222</v>
      </c>
    </row>
    <row r="1621" spans="1:24" ht="13.9">
      <c r="A1621" s="349">
        <f t="shared" si="302"/>
        <v>1613</v>
      </c>
      <c r="B1621" s="654" t="s">
        <v>563</v>
      </c>
      <c r="C1621" s="684" t="s">
        <v>29</v>
      </c>
      <c r="D1621" s="743" t="s">
        <v>3663</v>
      </c>
      <c r="E1621" s="654" t="s">
        <v>407</v>
      </c>
      <c r="F1621" s="334"/>
      <c r="G1621" s="657">
        <v>44914</v>
      </c>
      <c r="H1621" s="426">
        <v>1941215</v>
      </c>
      <c r="I1621" s="744"/>
      <c r="J1621" s="744"/>
      <c r="K1621" s="354">
        <f t="shared" si="299"/>
        <v>1941215</v>
      </c>
      <c r="L1621" s="657">
        <v>44914</v>
      </c>
      <c r="M1621" s="742">
        <v>60275</v>
      </c>
      <c r="N1621" s="352">
        <f t="shared" si="301"/>
        <v>1880940</v>
      </c>
      <c r="O1621" s="357">
        <f t="shared" si="298"/>
        <v>469</v>
      </c>
      <c r="P1621" s="410">
        <v>9</v>
      </c>
      <c r="Q1621" s="358">
        <f t="shared" si="303"/>
        <v>1.284931506849315</v>
      </c>
      <c r="R1621" s="359">
        <f t="shared" si="304"/>
        <v>7.7150684931506852</v>
      </c>
      <c r="S1621" s="360">
        <f t="shared" si="305"/>
        <v>7.7150684931506852</v>
      </c>
      <c r="T1621" s="361">
        <f t="shared" si="306"/>
        <v>0.10555555555555554</v>
      </c>
      <c r="U1621" s="362">
        <f t="shared" si="307"/>
        <v>204906.02777777775</v>
      </c>
      <c r="V1621" s="362">
        <f t="shared" si="308"/>
        <v>1676033.9722222222</v>
      </c>
      <c r="W1621" s="362">
        <f t="shared" si="309"/>
        <v>97061</v>
      </c>
      <c r="X1621" s="742">
        <f t="shared" si="300"/>
        <v>1578972.9722222222</v>
      </c>
    </row>
    <row r="1622" spans="1:24" ht="13.9">
      <c r="A1622" s="349">
        <f t="shared" si="302"/>
        <v>1614</v>
      </c>
      <c r="B1622" s="654" t="s">
        <v>563</v>
      </c>
      <c r="C1622" s="684" t="s">
        <v>29</v>
      </c>
      <c r="D1622" s="743" t="s">
        <v>3663</v>
      </c>
      <c r="E1622" s="654" t="s">
        <v>407</v>
      </c>
      <c r="F1622" s="334"/>
      <c r="G1622" s="657">
        <v>44914</v>
      </c>
      <c r="H1622" s="426">
        <v>1941215</v>
      </c>
      <c r="I1622" s="744"/>
      <c r="J1622" s="744"/>
      <c r="K1622" s="354">
        <f t="shared" si="299"/>
        <v>1941215</v>
      </c>
      <c r="L1622" s="657">
        <v>44914</v>
      </c>
      <c r="M1622" s="742">
        <v>60275</v>
      </c>
      <c r="N1622" s="352">
        <f t="shared" si="301"/>
        <v>1880940</v>
      </c>
      <c r="O1622" s="357">
        <f t="shared" si="298"/>
        <v>469</v>
      </c>
      <c r="P1622" s="410">
        <v>9</v>
      </c>
      <c r="Q1622" s="358">
        <f t="shared" si="303"/>
        <v>1.284931506849315</v>
      </c>
      <c r="R1622" s="359">
        <f t="shared" si="304"/>
        <v>7.7150684931506852</v>
      </c>
      <c r="S1622" s="360">
        <f t="shared" si="305"/>
        <v>7.7150684931506852</v>
      </c>
      <c r="T1622" s="361">
        <f t="shared" si="306"/>
        <v>0.10555555555555554</v>
      </c>
      <c r="U1622" s="362">
        <f t="shared" si="307"/>
        <v>204906.02777777775</v>
      </c>
      <c r="V1622" s="362">
        <f t="shared" si="308"/>
        <v>1676033.9722222222</v>
      </c>
      <c r="W1622" s="362">
        <f t="shared" si="309"/>
        <v>97061</v>
      </c>
      <c r="X1622" s="742">
        <f t="shared" si="300"/>
        <v>1578972.9722222222</v>
      </c>
    </row>
    <row r="1623" spans="1:24" ht="13.9">
      <c r="A1623" s="349">
        <f t="shared" si="302"/>
        <v>1615</v>
      </c>
      <c r="B1623" s="654" t="s">
        <v>563</v>
      </c>
      <c r="C1623" s="684" t="s">
        <v>29</v>
      </c>
      <c r="D1623" s="743" t="s">
        <v>3663</v>
      </c>
      <c r="E1623" s="654" t="s">
        <v>407</v>
      </c>
      <c r="F1623" s="334"/>
      <c r="G1623" s="657">
        <v>44914</v>
      </c>
      <c r="H1623" s="426">
        <v>1941215</v>
      </c>
      <c r="I1623" s="744"/>
      <c r="J1623" s="744"/>
      <c r="K1623" s="354">
        <f t="shared" si="299"/>
        <v>1941215</v>
      </c>
      <c r="L1623" s="657">
        <v>44914</v>
      </c>
      <c r="M1623" s="742">
        <v>60275</v>
      </c>
      <c r="N1623" s="352">
        <f t="shared" si="301"/>
        <v>1880940</v>
      </c>
      <c r="O1623" s="357">
        <f t="shared" si="298"/>
        <v>469</v>
      </c>
      <c r="P1623" s="410">
        <v>9</v>
      </c>
      <c r="Q1623" s="358">
        <f t="shared" si="303"/>
        <v>1.284931506849315</v>
      </c>
      <c r="R1623" s="359">
        <f t="shared" si="304"/>
        <v>7.7150684931506852</v>
      </c>
      <c r="S1623" s="360">
        <f t="shared" si="305"/>
        <v>7.7150684931506852</v>
      </c>
      <c r="T1623" s="361">
        <f t="shared" si="306"/>
        <v>0.10555555555555554</v>
      </c>
      <c r="U1623" s="362">
        <f t="shared" si="307"/>
        <v>204906.02777777775</v>
      </c>
      <c r="V1623" s="362">
        <f t="shared" si="308"/>
        <v>1676033.9722222222</v>
      </c>
      <c r="W1623" s="362">
        <f t="shared" si="309"/>
        <v>97061</v>
      </c>
      <c r="X1623" s="742">
        <f t="shared" si="300"/>
        <v>1578972.9722222222</v>
      </c>
    </row>
    <row r="1624" spans="1:24" ht="13.9">
      <c r="A1624" s="349">
        <f t="shared" si="302"/>
        <v>1616</v>
      </c>
      <c r="B1624" s="654" t="s">
        <v>581</v>
      </c>
      <c r="C1624" s="684" t="s">
        <v>29</v>
      </c>
      <c r="D1624" s="743" t="s">
        <v>3663</v>
      </c>
      <c r="E1624" s="654" t="s">
        <v>766</v>
      </c>
      <c r="F1624" s="334"/>
      <c r="G1624" s="657">
        <v>44859</v>
      </c>
      <c r="H1624" s="426">
        <v>1371442</v>
      </c>
      <c r="I1624" s="744"/>
      <c r="J1624" s="744"/>
      <c r="K1624" s="354">
        <f t="shared" si="299"/>
        <v>1371442</v>
      </c>
      <c r="L1624" s="657">
        <v>44859</v>
      </c>
      <c r="M1624" s="742">
        <v>65545</v>
      </c>
      <c r="N1624" s="352">
        <f t="shared" si="301"/>
        <v>1305897</v>
      </c>
      <c r="O1624" s="357">
        <f t="shared" si="298"/>
        <v>524</v>
      </c>
      <c r="P1624" s="410">
        <v>9</v>
      </c>
      <c r="Q1624" s="358">
        <f t="shared" si="303"/>
        <v>1.4356164383561645</v>
      </c>
      <c r="R1624" s="359">
        <f t="shared" si="304"/>
        <v>7.5643835616438357</v>
      </c>
      <c r="S1624" s="360">
        <f t="shared" si="305"/>
        <v>7.5643835616438357</v>
      </c>
      <c r="T1624" s="361">
        <f t="shared" si="306"/>
        <v>0.10555555555555554</v>
      </c>
      <c r="U1624" s="362">
        <f t="shared" si="307"/>
        <v>144763.3222222222</v>
      </c>
      <c r="V1624" s="362">
        <f t="shared" si="308"/>
        <v>1161133.6777777779</v>
      </c>
      <c r="W1624" s="362">
        <f t="shared" si="309"/>
        <v>68572</v>
      </c>
      <c r="X1624" s="742">
        <f t="shared" si="300"/>
        <v>1092561.6777777779</v>
      </c>
    </row>
    <row r="1625" spans="1:24" ht="13.9">
      <c r="A1625" s="349">
        <f t="shared" si="302"/>
        <v>1617</v>
      </c>
      <c r="B1625" s="654" t="s">
        <v>581</v>
      </c>
      <c r="C1625" s="684" t="s">
        <v>29</v>
      </c>
      <c r="D1625" s="743" t="s">
        <v>3663</v>
      </c>
      <c r="E1625" s="654" t="s">
        <v>766</v>
      </c>
      <c r="F1625" s="334"/>
      <c r="G1625" s="657">
        <v>44859</v>
      </c>
      <c r="H1625" s="426">
        <v>1313428</v>
      </c>
      <c r="I1625" s="744"/>
      <c r="J1625" s="744"/>
      <c r="K1625" s="354">
        <f t="shared" si="299"/>
        <v>1313428</v>
      </c>
      <c r="L1625" s="657">
        <v>44859</v>
      </c>
      <c r="M1625" s="742">
        <v>62773</v>
      </c>
      <c r="N1625" s="352">
        <f t="shared" si="301"/>
        <v>1250655</v>
      </c>
      <c r="O1625" s="357">
        <f t="shared" si="298"/>
        <v>524</v>
      </c>
      <c r="P1625" s="410">
        <v>9</v>
      </c>
      <c r="Q1625" s="358">
        <f t="shared" si="303"/>
        <v>1.4356164383561645</v>
      </c>
      <c r="R1625" s="359">
        <f t="shared" si="304"/>
        <v>7.5643835616438357</v>
      </c>
      <c r="S1625" s="360">
        <f t="shared" si="305"/>
        <v>7.5643835616438357</v>
      </c>
      <c r="T1625" s="361">
        <f t="shared" si="306"/>
        <v>0.10555555555555554</v>
      </c>
      <c r="U1625" s="362">
        <f t="shared" si="307"/>
        <v>138639.62222222221</v>
      </c>
      <c r="V1625" s="362">
        <f t="shared" si="308"/>
        <v>1112015.3777777778</v>
      </c>
      <c r="W1625" s="362">
        <f t="shared" si="309"/>
        <v>65671</v>
      </c>
      <c r="X1625" s="742">
        <f t="shared" si="300"/>
        <v>1046344.3777777778</v>
      </c>
    </row>
    <row r="1626" spans="1:24" ht="13.9">
      <c r="A1626" s="349">
        <f t="shared" si="302"/>
        <v>1618</v>
      </c>
      <c r="B1626" s="654" t="s">
        <v>581</v>
      </c>
      <c r="C1626" s="684" t="s">
        <v>29</v>
      </c>
      <c r="D1626" s="743" t="s">
        <v>3663</v>
      </c>
      <c r="E1626" s="654" t="s">
        <v>766</v>
      </c>
      <c r="F1626" s="334"/>
      <c r="G1626" s="657">
        <v>44859</v>
      </c>
      <c r="H1626" s="426">
        <v>1313428</v>
      </c>
      <c r="I1626" s="744"/>
      <c r="J1626" s="744"/>
      <c r="K1626" s="354">
        <f t="shared" si="299"/>
        <v>1313428</v>
      </c>
      <c r="L1626" s="657">
        <v>44859</v>
      </c>
      <c r="M1626" s="742">
        <v>62773</v>
      </c>
      <c r="N1626" s="352">
        <f t="shared" si="301"/>
        <v>1250655</v>
      </c>
      <c r="O1626" s="357">
        <f t="shared" si="298"/>
        <v>524</v>
      </c>
      <c r="P1626" s="410">
        <v>9</v>
      </c>
      <c r="Q1626" s="358">
        <f t="shared" si="303"/>
        <v>1.4356164383561645</v>
      </c>
      <c r="R1626" s="359">
        <f t="shared" si="304"/>
        <v>7.5643835616438357</v>
      </c>
      <c r="S1626" s="360">
        <f t="shared" si="305"/>
        <v>7.5643835616438357</v>
      </c>
      <c r="T1626" s="361">
        <f t="shared" si="306"/>
        <v>0.10555555555555554</v>
      </c>
      <c r="U1626" s="362">
        <f t="shared" si="307"/>
        <v>138639.62222222221</v>
      </c>
      <c r="V1626" s="362">
        <f t="shared" si="308"/>
        <v>1112015.3777777778</v>
      </c>
      <c r="W1626" s="362">
        <f t="shared" si="309"/>
        <v>65671</v>
      </c>
      <c r="X1626" s="742">
        <f t="shared" si="300"/>
        <v>1046344.3777777778</v>
      </c>
    </row>
    <row r="1627" spans="1:24" ht="13.9">
      <c r="A1627" s="349">
        <f t="shared" si="302"/>
        <v>1619</v>
      </c>
      <c r="B1627" s="654" t="s">
        <v>581</v>
      </c>
      <c r="C1627" s="684" t="s">
        <v>29</v>
      </c>
      <c r="D1627" s="743" t="s">
        <v>3663</v>
      </c>
      <c r="E1627" s="654" t="s">
        <v>766</v>
      </c>
      <c r="F1627" s="334"/>
      <c r="G1627" s="657">
        <v>44859</v>
      </c>
      <c r="H1627" s="426">
        <v>1371442</v>
      </c>
      <c r="I1627" s="744"/>
      <c r="J1627" s="744"/>
      <c r="K1627" s="354">
        <f t="shared" si="299"/>
        <v>1371442</v>
      </c>
      <c r="L1627" s="657">
        <v>44859</v>
      </c>
      <c r="M1627" s="742">
        <v>65545</v>
      </c>
      <c r="N1627" s="352">
        <f t="shared" si="301"/>
        <v>1305897</v>
      </c>
      <c r="O1627" s="357">
        <f t="shared" si="298"/>
        <v>524</v>
      </c>
      <c r="P1627" s="410">
        <v>9</v>
      </c>
      <c r="Q1627" s="358">
        <f t="shared" si="303"/>
        <v>1.4356164383561645</v>
      </c>
      <c r="R1627" s="359">
        <f t="shared" si="304"/>
        <v>7.5643835616438357</v>
      </c>
      <c r="S1627" s="360">
        <f t="shared" si="305"/>
        <v>7.5643835616438357</v>
      </c>
      <c r="T1627" s="361">
        <f t="shared" si="306"/>
        <v>0.10555555555555554</v>
      </c>
      <c r="U1627" s="362">
        <f t="shared" si="307"/>
        <v>144763.3222222222</v>
      </c>
      <c r="V1627" s="362">
        <f t="shared" si="308"/>
        <v>1161133.6777777779</v>
      </c>
      <c r="W1627" s="362">
        <f t="shared" si="309"/>
        <v>68572</v>
      </c>
      <c r="X1627" s="742">
        <f t="shared" si="300"/>
        <v>1092561.6777777779</v>
      </c>
    </row>
    <row r="1628" spans="1:24" ht="13.9">
      <c r="A1628" s="349">
        <f t="shared" si="302"/>
        <v>1620</v>
      </c>
      <c r="B1628" s="654" t="s">
        <v>301</v>
      </c>
      <c r="C1628" s="684" t="s">
        <v>29</v>
      </c>
      <c r="D1628" s="743" t="s">
        <v>3663</v>
      </c>
      <c r="E1628" s="654" t="s">
        <v>163</v>
      </c>
      <c r="F1628" s="334"/>
      <c r="G1628" s="657">
        <v>44865</v>
      </c>
      <c r="H1628" s="426">
        <v>620000</v>
      </c>
      <c r="I1628" s="744"/>
      <c r="J1628" s="744"/>
      <c r="K1628" s="354">
        <f t="shared" si="299"/>
        <v>620000</v>
      </c>
      <c r="L1628" s="657">
        <v>44865</v>
      </c>
      <c r="M1628" s="742">
        <v>28499</v>
      </c>
      <c r="N1628" s="352">
        <f t="shared" si="301"/>
        <v>591501</v>
      </c>
      <c r="O1628" s="357">
        <f t="shared" si="298"/>
        <v>518</v>
      </c>
      <c r="P1628" s="410">
        <v>9</v>
      </c>
      <c r="Q1628" s="358">
        <f t="shared" si="303"/>
        <v>1.4191780821917808</v>
      </c>
      <c r="R1628" s="359">
        <f t="shared" si="304"/>
        <v>7.580821917808219</v>
      </c>
      <c r="S1628" s="360">
        <f t="shared" si="305"/>
        <v>7.580821917808219</v>
      </c>
      <c r="T1628" s="361">
        <f t="shared" si="306"/>
        <v>0.10555555555555554</v>
      </c>
      <c r="U1628" s="362">
        <f t="shared" si="307"/>
        <v>65444.444444444438</v>
      </c>
      <c r="V1628" s="362">
        <f t="shared" si="308"/>
        <v>526056.5555555555</v>
      </c>
      <c r="W1628" s="362">
        <f t="shared" si="309"/>
        <v>31000</v>
      </c>
      <c r="X1628" s="742">
        <f t="shared" si="300"/>
        <v>495056.5555555555</v>
      </c>
    </row>
    <row r="1629" spans="1:24" ht="13.9">
      <c r="A1629" s="349">
        <f t="shared" si="302"/>
        <v>1621</v>
      </c>
      <c r="B1629" s="654" t="s">
        <v>323</v>
      </c>
      <c r="C1629" s="684" t="s">
        <v>29</v>
      </c>
      <c r="D1629" s="743" t="s">
        <v>3663</v>
      </c>
      <c r="E1629" s="654" t="s">
        <v>170</v>
      </c>
      <c r="F1629" s="334"/>
      <c r="G1629" s="657">
        <v>44871</v>
      </c>
      <c r="H1629" s="426">
        <v>9000000</v>
      </c>
      <c r="I1629" s="744"/>
      <c r="J1629" s="744"/>
      <c r="K1629" s="354">
        <f t="shared" si="299"/>
        <v>9000000</v>
      </c>
      <c r="L1629" s="657">
        <v>44871</v>
      </c>
      <c r="M1629" s="742">
        <v>397260</v>
      </c>
      <c r="N1629" s="352">
        <f t="shared" si="301"/>
        <v>8602740</v>
      </c>
      <c r="O1629" s="357">
        <f t="shared" si="298"/>
        <v>512</v>
      </c>
      <c r="P1629" s="410">
        <v>9</v>
      </c>
      <c r="Q1629" s="358">
        <f t="shared" si="303"/>
        <v>1.4027397260273973</v>
      </c>
      <c r="R1629" s="359">
        <f t="shared" si="304"/>
        <v>7.5972602739726032</v>
      </c>
      <c r="S1629" s="360">
        <f t="shared" si="305"/>
        <v>7.5972602739726032</v>
      </c>
      <c r="T1629" s="361">
        <f t="shared" si="306"/>
        <v>0.10555555555555554</v>
      </c>
      <c r="U1629" s="362">
        <f t="shared" si="307"/>
        <v>949999.99999999988</v>
      </c>
      <c r="V1629" s="362">
        <f t="shared" si="308"/>
        <v>7652740</v>
      </c>
      <c r="W1629" s="362">
        <f t="shared" si="309"/>
        <v>450000</v>
      </c>
      <c r="X1629" s="742">
        <f t="shared" si="300"/>
        <v>7202740</v>
      </c>
    </row>
    <row r="1630" spans="1:24" ht="13.9">
      <c r="A1630" s="349">
        <f t="shared" si="302"/>
        <v>1622</v>
      </c>
      <c r="B1630" s="654" t="s">
        <v>564</v>
      </c>
      <c r="C1630" s="684" t="s">
        <v>29</v>
      </c>
      <c r="D1630" s="743" t="s">
        <v>3663</v>
      </c>
      <c r="E1630" s="654" t="s">
        <v>180</v>
      </c>
      <c r="F1630" s="334"/>
      <c r="G1630" s="657">
        <v>44883</v>
      </c>
      <c r="H1630" s="426">
        <v>419491</v>
      </c>
      <c r="I1630" s="744"/>
      <c r="J1630" s="744"/>
      <c r="K1630" s="354">
        <f t="shared" si="299"/>
        <v>419491</v>
      </c>
      <c r="L1630" s="657">
        <v>44883</v>
      </c>
      <c r="M1630" s="742">
        <v>16984</v>
      </c>
      <c r="N1630" s="352">
        <f t="shared" si="301"/>
        <v>402507</v>
      </c>
      <c r="O1630" s="357">
        <f t="shared" si="298"/>
        <v>500</v>
      </c>
      <c r="P1630" s="410">
        <v>9</v>
      </c>
      <c r="Q1630" s="358">
        <f t="shared" si="303"/>
        <v>1.3698630136986301</v>
      </c>
      <c r="R1630" s="359">
        <f t="shared" si="304"/>
        <v>7.6301369863013697</v>
      </c>
      <c r="S1630" s="360">
        <f t="shared" si="305"/>
        <v>7.6301369863013697</v>
      </c>
      <c r="T1630" s="361">
        <f t="shared" si="306"/>
        <v>0.10555555555555554</v>
      </c>
      <c r="U1630" s="362">
        <f t="shared" si="307"/>
        <v>44279.60555555555</v>
      </c>
      <c r="V1630" s="362">
        <f t="shared" si="308"/>
        <v>358227.39444444445</v>
      </c>
      <c r="W1630" s="362">
        <f t="shared" si="309"/>
        <v>20975</v>
      </c>
      <c r="X1630" s="742">
        <f t="shared" si="300"/>
        <v>337252.39444444445</v>
      </c>
    </row>
    <row r="1631" spans="1:24" ht="13.9">
      <c r="A1631" s="349">
        <f t="shared" si="302"/>
        <v>1623</v>
      </c>
      <c r="B1631" s="654" t="s">
        <v>564</v>
      </c>
      <c r="C1631" s="684" t="s">
        <v>29</v>
      </c>
      <c r="D1631" s="743" t="s">
        <v>3663</v>
      </c>
      <c r="E1631" s="654" t="s">
        <v>180</v>
      </c>
      <c r="F1631" s="334"/>
      <c r="G1631" s="657">
        <v>44883</v>
      </c>
      <c r="H1631" s="426">
        <v>474576</v>
      </c>
      <c r="I1631" s="744"/>
      <c r="J1631" s="744"/>
      <c r="K1631" s="354">
        <f t="shared" si="299"/>
        <v>474576</v>
      </c>
      <c r="L1631" s="657">
        <v>44883</v>
      </c>
      <c r="M1631" s="742">
        <v>19214</v>
      </c>
      <c r="N1631" s="352">
        <f t="shared" si="301"/>
        <v>455362</v>
      </c>
      <c r="O1631" s="357">
        <f t="shared" si="298"/>
        <v>500</v>
      </c>
      <c r="P1631" s="410">
        <v>9</v>
      </c>
      <c r="Q1631" s="358">
        <f t="shared" si="303"/>
        <v>1.3698630136986301</v>
      </c>
      <c r="R1631" s="359">
        <f t="shared" si="304"/>
        <v>7.6301369863013697</v>
      </c>
      <c r="S1631" s="360">
        <f t="shared" si="305"/>
        <v>7.6301369863013697</v>
      </c>
      <c r="T1631" s="361">
        <f t="shared" si="306"/>
        <v>0.10555555555555554</v>
      </c>
      <c r="U1631" s="362">
        <f t="shared" si="307"/>
        <v>50094.133333333324</v>
      </c>
      <c r="V1631" s="362">
        <f t="shared" si="308"/>
        <v>405267.8666666667</v>
      </c>
      <c r="W1631" s="362">
        <f t="shared" si="309"/>
        <v>23729</v>
      </c>
      <c r="X1631" s="742">
        <f t="shared" si="300"/>
        <v>381538.8666666667</v>
      </c>
    </row>
    <row r="1632" spans="1:24" ht="13.9">
      <c r="A1632" s="349">
        <f t="shared" si="302"/>
        <v>1624</v>
      </c>
      <c r="B1632" s="654" t="s">
        <v>564</v>
      </c>
      <c r="C1632" s="684" t="s">
        <v>29</v>
      </c>
      <c r="D1632" s="743" t="s">
        <v>3663</v>
      </c>
      <c r="E1632" s="654" t="s">
        <v>180</v>
      </c>
      <c r="F1632" s="334"/>
      <c r="G1632" s="657">
        <v>44883</v>
      </c>
      <c r="H1632" s="426">
        <v>474576</v>
      </c>
      <c r="I1632" s="744"/>
      <c r="J1632" s="744"/>
      <c r="K1632" s="354">
        <f t="shared" si="299"/>
        <v>474576</v>
      </c>
      <c r="L1632" s="657">
        <v>44883</v>
      </c>
      <c r="M1632" s="742">
        <v>19214</v>
      </c>
      <c r="N1632" s="352">
        <f t="shared" si="301"/>
        <v>455362</v>
      </c>
      <c r="O1632" s="357">
        <f t="shared" si="298"/>
        <v>500</v>
      </c>
      <c r="P1632" s="410">
        <v>9</v>
      </c>
      <c r="Q1632" s="358">
        <f t="shared" si="303"/>
        <v>1.3698630136986301</v>
      </c>
      <c r="R1632" s="359">
        <f t="shared" si="304"/>
        <v>7.6301369863013697</v>
      </c>
      <c r="S1632" s="360">
        <f t="shared" si="305"/>
        <v>7.6301369863013697</v>
      </c>
      <c r="T1632" s="361">
        <f t="shared" si="306"/>
        <v>0.10555555555555554</v>
      </c>
      <c r="U1632" s="362">
        <f t="shared" si="307"/>
        <v>50094.133333333324</v>
      </c>
      <c r="V1632" s="362">
        <f t="shared" si="308"/>
        <v>405267.8666666667</v>
      </c>
      <c r="W1632" s="362">
        <f t="shared" si="309"/>
        <v>23729</v>
      </c>
      <c r="X1632" s="742">
        <f t="shared" si="300"/>
        <v>381538.8666666667</v>
      </c>
    </row>
    <row r="1633" spans="1:24" ht="13.9">
      <c r="A1633" s="349">
        <f t="shared" si="302"/>
        <v>1625</v>
      </c>
      <c r="B1633" s="654" t="s">
        <v>564</v>
      </c>
      <c r="C1633" s="684" t="s">
        <v>29</v>
      </c>
      <c r="D1633" s="743" t="s">
        <v>3663</v>
      </c>
      <c r="E1633" s="654" t="s">
        <v>180</v>
      </c>
      <c r="F1633" s="334"/>
      <c r="G1633" s="657">
        <v>44883</v>
      </c>
      <c r="H1633" s="426">
        <v>419491</v>
      </c>
      <c r="I1633" s="744"/>
      <c r="J1633" s="744"/>
      <c r="K1633" s="354">
        <f t="shared" si="299"/>
        <v>419491</v>
      </c>
      <c r="L1633" s="657">
        <v>44883</v>
      </c>
      <c r="M1633" s="742">
        <v>16984</v>
      </c>
      <c r="N1633" s="352">
        <f t="shared" si="301"/>
        <v>402507</v>
      </c>
      <c r="O1633" s="357">
        <f t="shared" si="298"/>
        <v>500</v>
      </c>
      <c r="P1633" s="410">
        <v>9</v>
      </c>
      <c r="Q1633" s="358">
        <f t="shared" si="303"/>
        <v>1.3698630136986301</v>
      </c>
      <c r="R1633" s="359">
        <f t="shared" si="304"/>
        <v>7.6301369863013697</v>
      </c>
      <c r="S1633" s="360">
        <f t="shared" si="305"/>
        <v>7.6301369863013697</v>
      </c>
      <c r="T1633" s="361">
        <f t="shared" si="306"/>
        <v>0.10555555555555554</v>
      </c>
      <c r="U1633" s="362">
        <f t="shared" si="307"/>
        <v>44279.60555555555</v>
      </c>
      <c r="V1633" s="362">
        <f t="shared" si="308"/>
        <v>358227.39444444445</v>
      </c>
      <c r="W1633" s="362">
        <f t="shared" si="309"/>
        <v>20975</v>
      </c>
      <c r="X1633" s="742">
        <f t="shared" si="300"/>
        <v>337252.39444444445</v>
      </c>
    </row>
    <row r="1634" spans="1:24" ht="13.9">
      <c r="A1634" s="349">
        <f t="shared" si="302"/>
        <v>1626</v>
      </c>
      <c r="B1634" s="654" t="s">
        <v>565</v>
      </c>
      <c r="C1634" s="684" t="s">
        <v>29</v>
      </c>
      <c r="D1634" s="743" t="s">
        <v>3663</v>
      </c>
      <c r="E1634" s="654" t="s">
        <v>420</v>
      </c>
      <c r="F1634" s="334"/>
      <c r="G1634" s="657">
        <v>44895</v>
      </c>
      <c r="H1634" s="426">
        <v>11650000</v>
      </c>
      <c r="I1634" s="744"/>
      <c r="J1634" s="744"/>
      <c r="K1634" s="354">
        <f t="shared" si="299"/>
        <v>11650000</v>
      </c>
      <c r="L1634" s="657">
        <v>44895</v>
      </c>
      <c r="M1634" s="742">
        <v>429117</v>
      </c>
      <c r="N1634" s="352">
        <f t="shared" si="301"/>
        <v>11220883</v>
      </c>
      <c r="O1634" s="357">
        <f t="shared" si="298"/>
        <v>488</v>
      </c>
      <c r="P1634" s="410">
        <v>9</v>
      </c>
      <c r="Q1634" s="358">
        <f t="shared" si="303"/>
        <v>1.3369863013698631</v>
      </c>
      <c r="R1634" s="359">
        <f t="shared" si="304"/>
        <v>7.6630136986301371</v>
      </c>
      <c r="S1634" s="360">
        <f t="shared" si="305"/>
        <v>7.6630136986301371</v>
      </c>
      <c r="T1634" s="361">
        <f t="shared" si="306"/>
        <v>0.10555555555555554</v>
      </c>
      <c r="U1634" s="362">
        <f t="shared" si="307"/>
        <v>1229722.222222222</v>
      </c>
      <c r="V1634" s="362">
        <f t="shared" si="308"/>
        <v>9991160.777777778</v>
      </c>
      <c r="W1634" s="362">
        <f t="shared" si="309"/>
        <v>582500</v>
      </c>
      <c r="X1634" s="742">
        <f t="shared" si="300"/>
        <v>9408660.777777778</v>
      </c>
    </row>
    <row r="1635" spans="1:24" ht="13.9">
      <c r="A1635" s="349">
        <f t="shared" si="302"/>
        <v>1627</v>
      </c>
      <c r="B1635" s="654" t="s">
        <v>565</v>
      </c>
      <c r="C1635" s="684" t="s">
        <v>29</v>
      </c>
      <c r="D1635" s="743" t="s">
        <v>3663</v>
      </c>
      <c r="E1635" s="654" t="s">
        <v>420</v>
      </c>
      <c r="F1635" s="334"/>
      <c r="G1635" s="657">
        <v>44915</v>
      </c>
      <c r="H1635" s="426">
        <v>29500000</v>
      </c>
      <c r="I1635" s="744"/>
      <c r="J1635" s="744"/>
      <c r="K1635" s="354">
        <f t="shared" si="299"/>
        <v>29500000</v>
      </c>
      <c r="L1635" s="657">
        <v>44915</v>
      </c>
      <c r="M1635" s="742">
        <v>907002</v>
      </c>
      <c r="N1635" s="352">
        <f t="shared" si="301"/>
        <v>28592998</v>
      </c>
      <c r="O1635" s="357">
        <f t="shared" si="298"/>
        <v>468</v>
      </c>
      <c r="P1635" s="410">
        <v>9</v>
      </c>
      <c r="Q1635" s="358">
        <f t="shared" si="303"/>
        <v>1.2821917808219179</v>
      </c>
      <c r="R1635" s="359">
        <f t="shared" si="304"/>
        <v>7.7178082191780817</v>
      </c>
      <c r="S1635" s="360">
        <f t="shared" si="305"/>
        <v>7.7178082191780817</v>
      </c>
      <c r="T1635" s="361">
        <f t="shared" si="306"/>
        <v>0.10555555555555554</v>
      </c>
      <c r="U1635" s="362">
        <f t="shared" si="307"/>
        <v>3113888.8888888885</v>
      </c>
      <c r="V1635" s="362">
        <f t="shared" si="308"/>
        <v>25479109.111111112</v>
      </c>
      <c r="W1635" s="362">
        <f t="shared" si="309"/>
        <v>1475000</v>
      </c>
      <c r="X1635" s="742">
        <f t="shared" si="300"/>
        <v>24004109.111111112</v>
      </c>
    </row>
    <row r="1636" spans="1:24" ht="13.9">
      <c r="A1636" s="349">
        <f t="shared" si="302"/>
        <v>1628</v>
      </c>
      <c r="B1636" s="654" t="s">
        <v>302</v>
      </c>
      <c r="C1636" s="684" t="s">
        <v>29</v>
      </c>
      <c r="D1636" s="743" t="s">
        <v>3663</v>
      </c>
      <c r="E1636" s="654" t="s">
        <v>170</v>
      </c>
      <c r="F1636" s="334"/>
      <c r="G1636" s="657">
        <v>44871</v>
      </c>
      <c r="H1636" s="426">
        <v>1075000</v>
      </c>
      <c r="I1636" s="744"/>
      <c r="J1636" s="744"/>
      <c r="K1636" s="354">
        <f t="shared" si="299"/>
        <v>1075000</v>
      </c>
      <c r="L1636" s="657">
        <v>44871</v>
      </c>
      <c r="M1636" s="742">
        <v>47451</v>
      </c>
      <c r="N1636" s="352">
        <f t="shared" si="301"/>
        <v>1027549</v>
      </c>
      <c r="O1636" s="357">
        <f t="shared" si="298"/>
        <v>512</v>
      </c>
      <c r="P1636" s="410">
        <v>9</v>
      </c>
      <c r="Q1636" s="358">
        <f t="shared" si="303"/>
        <v>1.4027397260273973</v>
      </c>
      <c r="R1636" s="359">
        <f t="shared" si="304"/>
        <v>7.5972602739726032</v>
      </c>
      <c r="S1636" s="360">
        <f t="shared" si="305"/>
        <v>7.5972602739726032</v>
      </c>
      <c r="T1636" s="361">
        <f t="shared" si="306"/>
        <v>0.10555555555555554</v>
      </c>
      <c r="U1636" s="362">
        <f t="shared" si="307"/>
        <v>113472.2222222222</v>
      </c>
      <c r="V1636" s="362">
        <f t="shared" si="308"/>
        <v>914076.77777777775</v>
      </c>
      <c r="W1636" s="362">
        <f t="shared" si="309"/>
        <v>53750</v>
      </c>
      <c r="X1636" s="742">
        <f t="shared" si="300"/>
        <v>860326.77777777775</v>
      </c>
    </row>
    <row r="1637" spans="1:24" ht="13.9">
      <c r="A1637" s="349">
        <f t="shared" si="302"/>
        <v>1629</v>
      </c>
      <c r="B1637" s="654" t="s">
        <v>582</v>
      </c>
      <c r="C1637" s="684" t="s">
        <v>29</v>
      </c>
      <c r="D1637" s="743" t="s">
        <v>3663</v>
      </c>
      <c r="E1637" s="654" t="s">
        <v>762</v>
      </c>
      <c r="F1637" s="334"/>
      <c r="G1637" s="657">
        <v>44891</v>
      </c>
      <c r="H1637" s="426">
        <v>5450000</v>
      </c>
      <c r="I1637" s="744"/>
      <c r="J1637" s="744"/>
      <c r="K1637" s="354">
        <f t="shared" si="299"/>
        <v>5450000</v>
      </c>
      <c r="L1637" s="657">
        <v>44891</v>
      </c>
      <c r="M1637" s="742">
        <v>207382</v>
      </c>
      <c r="N1637" s="352">
        <f t="shared" si="301"/>
        <v>5242618</v>
      </c>
      <c r="O1637" s="357">
        <f t="shared" si="298"/>
        <v>492</v>
      </c>
      <c r="P1637" s="410">
        <v>9</v>
      </c>
      <c r="Q1637" s="358">
        <f t="shared" si="303"/>
        <v>1.3479452054794521</v>
      </c>
      <c r="R1637" s="359">
        <f t="shared" si="304"/>
        <v>7.6520547945205477</v>
      </c>
      <c r="S1637" s="360">
        <f t="shared" si="305"/>
        <v>7.6520547945205477</v>
      </c>
      <c r="T1637" s="361">
        <f t="shared" si="306"/>
        <v>0.10555555555555554</v>
      </c>
      <c r="U1637" s="362">
        <f t="shared" si="307"/>
        <v>575277.77777777775</v>
      </c>
      <c r="V1637" s="362">
        <f t="shared" si="308"/>
        <v>4667340.222222222</v>
      </c>
      <c r="W1637" s="362">
        <f t="shared" si="309"/>
        <v>272500</v>
      </c>
      <c r="X1637" s="742">
        <f t="shared" si="300"/>
        <v>4394840.222222222</v>
      </c>
    </row>
    <row r="1638" spans="1:24" ht="13.9">
      <c r="A1638" s="349">
        <f t="shared" si="302"/>
        <v>1630</v>
      </c>
      <c r="B1638" s="654" t="s">
        <v>582</v>
      </c>
      <c r="C1638" s="684" t="s">
        <v>29</v>
      </c>
      <c r="D1638" s="743" t="s">
        <v>3663</v>
      </c>
      <c r="E1638" s="654" t="s">
        <v>776</v>
      </c>
      <c r="F1638" s="334"/>
      <c r="G1638" s="657">
        <v>44907</v>
      </c>
      <c r="H1638" s="426">
        <v>1100000</v>
      </c>
      <c r="I1638" s="744"/>
      <c r="J1638" s="744"/>
      <c r="K1638" s="354">
        <f t="shared" si="299"/>
        <v>1100000</v>
      </c>
      <c r="L1638" s="657">
        <v>44907</v>
      </c>
      <c r="M1638" s="742">
        <v>36499</v>
      </c>
      <c r="N1638" s="352">
        <f t="shared" si="301"/>
        <v>1063501</v>
      </c>
      <c r="O1638" s="357">
        <f t="shared" si="298"/>
        <v>476</v>
      </c>
      <c r="P1638" s="410">
        <v>9</v>
      </c>
      <c r="Q1638" s="358">
        <f t="shared" si="303"/>
        <v>1.3041095890410959</v>
      </c>
      <c r="R1638" s="359">
        <f t="shared" si="304"/>
        <v>7.6958904109589046</v>
      </c>
      <c r="S1638" s="360">
        <f t="shared" si="305"/>
        <v>7.6958904109589046</v>
      </c>
      <c r="T1638" s="361">
        <f t="shared" si="306"/>
        <v>0.10555555555555554</v>
      </c>
      <c r="U1638" s="362">
        <f t="shared" si="307"/>
        <v>116111.11111111109</v>
      </c>
      <c r="V1638" s="362">
        <f t="shared" si="308"/>
        <v>947389.88888888888</v>
      </c>
      <c r="W1638" s="362">
        <f t="shared" si="309"/>
        <v>55000</v>
      </c>
      <c r="X1638" s="742">
        <f t="shared" si="300"/>
        <v>892389.88888888888</v>
      </c>
    </row>
    <row r="1639" spans="1:24" ht="13.9">
      <c r="A1639" s="349">
        <f t="shared" si="302"/>
        <v>1631</v>
      </c>
      <c r="B1639" s="654" t="s">
        <v>582</v>
      </c>
      <c r="C1639" s="684" t="s">
        <v>29</v>
      </c>
      <c r="D1639" s="743" t="s">
        <v>3663</v>
      </c>
      <c r="E1639" s="654" t="s">
        <v>764</v>
      </c>
      <c r="F1639" s="334"/>
      <c r="G1639" s="657">
        <v>44915</v>
      </c>
      <c r="H1639" s="426">
        <v>530000</v>
      </c>
      <c r="I1639" s="744"/>
      <c r="J1639" s="744"/>
      <c r="K1639" s="354">
        <f t="shared" si="299"/>
        <v>530000</v>
      </c>
      <c r="L1639" s="657">
        <v>44915</v>
      </c>
      <c r="M1639" s="742">
        <v>16295</v>
      </c>
      <c r="N1639" s="352">
        <f t="shared" si="301"/>
        <v>513705</v>
      </c>
      <c r="O1639" s="357">
        <f t="shared" si="298"/>
        <v>468</v>
      </c>
      <c r="P1639" s="410">
        <v>9</v>
      </c>
      <c r="Q1639" s="358">
        <f t="shared" si="303"/>
        <v>1.2821917808219179</v>
      </c>
      <c r="R1639" s="359">
        <f t="shared" si="304"/>
        <v>7.7178082191780817</v>
      </c>
      <c r="S1639" s="360">
        <f t="shared" si="305"/>
        <v>7.7178082191780817</v>
      </c>
      <c r="T1639" s="361">
        <f t="shared" si="306"/>
        <v>0.10555555555555554</v>
      </c>
      <c r="U1639" s="362">
        <f t="shared" si="307"/>
        <v>55944.444444444438</v>
      </c>
      <c r="V1639" s="362">
        <f t="shared" si="308"/>
        <v>457760.55555555556</v>
      </c>
      <c r="W1639" s="362">
        <f t="shared" si="309"/>
        <v>26500</v>
      </c>
      <c r="X1639" s="742">
        <f t="shared" si="300"/>
        <v>431260.55555555556</v>
      </c>
    </row>
    <row r="1640" spans="1:24" ht="13.9">
      <c r="A1640" s="349">
        <f t="shared" si="302"/>
        <v>1632</v>
      </c>
      <c r="B1640" s="654" t="s">
        <v>568</v>
      </c>
      <c r="C1640" s="684" t="s">
        <v>29</v>
      </c>
      <c r="D1640" s="743" t="s">
        <v>3663</v>
      </c>
      <c r="E1640" s="654" t="s">
        <v>763</v>
      </c>
      <c r="F1640" s="334"/>
      <c r="G1640" s="657">
        <v>44901</v>
      </c>
      <c r="H1640" s="426">
        <v>1346101</v>
      </c>
      <c r="I1640" s="744"/>
      <c r="J1640" s="744"/>
      <c r="K1640" s="354">
        <f t="shared" si="299"/>
        <v>1346101</v>
      </c>
      <c r="L1640" s="657">
        <v>44901</v>
      </c>
      <c r="M1640" s="742">
        <v>141371</v>
      </c>
      <c r="N1640" s="352">
        <f t="shared" si="301"/>
        <v>1204730</v>
      </c>
      <c r="O1640" s="357">
        <f t="shared" si="298"/>
        <v>482</v>
      </c>
      <c r="P1640" s="410">
        <v>9</v>
      </c>
      <c r="Q1640" s="358">
        <f t="shared" si="303"/>
        <v>1.3205479452054794</v>
      </c>
      <c r="R1640" s="359">
        <f t="shared" si="304"/>
        <v>7.6794520547945204</v>
      </c>
      <c r="S1640" s="360">
        <f t="shared" si="305"/>
        <v>7.6794520547945204</v>
      </c>
      <c r="T1640" s="361">
        <f t="shared" si="306"/>
        <v>0.10555555555555554</v>
      </c>
      <c r="U1640" s="362">
        <f t="shared" si="307"/>
        <v>142088.43888888886</v>
      </c>
      <c r="V1640" s="362">
        <f t="shared" si="308"/>
        <v>1062641.5611111112</v>
      </c>
      <c r="W1640" s="362">
        <f t="shared" si="309"/>
        <v>67305</v>
      </c>
      <c r="X1640" s="742">
        <f t="shared" si="300"/>
        <v>995336.56111111119</v>
      </c>
    </row>
    <row r="1641" spans="1:24" ht="13.9">
      <c r="A1641" s="349">
        <f t="shared" si="302"/>
        <v>1633</v>
      </c>
      <c r="B1641" s="654" t="s">
        <v>568</v>
      </c>
      <c r="C1641" s="684" t="s">
        <v>29</v>
      </c>
      <c r="D1641" s="743" t="s">
        <v>3663</v>
      </c>
      <c r="E1641" s="654" t="s">
        <v>763</v>
      </c>
      <c r="F1641" s="334"/>
      <c r="G1641" s="657">
        <v>44905</v>
      </c>
      <c r="H1641" s="426">
        <v>1710100</v>
      </c>
      <c r="I1641" s="744"/>
      <c r="J1641" s="744"/>
      <c r="K1641" s="354">
        <f t="shared" si="299"/>
        <v>1710100</v>
      </c>
      <c r="L1641" s="657">
        <v>44905</v>
      </c>
      <c r="M1641" s="742">
        <v>173353</v>
      </c>
      <c r="N1641" s="352">
        <f t="shared" si="301"/>
        <v>1536747</v>
      </c>
      <c r="O1641" s="357">
        <f t="shared" si="298"/>
        <v>478</v>
      </c>
      <c r="P1641" s="410">
        <v>9</v>
      </c>
      <c r="Q1641" s="358">
        <f t="shared" si="303"/>
        <v>1.3095890410958904</v>
      </c>
      <c r="R1641" s="359">
        <f t="shared" si="304"/>
        <v>7.6904109589041099</v>
      </c>
      <c r="S1641" s="360">
        <f t="shared" si="305"/>
        <v>7.6904109589041099</v>
      </c>
      <c r="T1641" s="361">
        <f t="shared" si="306"/>
        <v>0.10555555555555554</v>
      </c>
      <c r="U1641" s="362">
        <f t="shared" si="307"/>
        <v>180510.55555555553</v>
      </c>
      <c r="V1641" s="362">
        <f t="shared" si="308"/>
        <v>1356236.4444444445</v>
      </c>
      <c r="W1641" s="362">
        <f t="shared" si="309"/>
        <v>85505</v>
      </c>
      <c r="X1641" s="742">
        <f t="shared" si="300"/>
        <v>1270731.4444444445</v>
      </c>
    </row>
    <row r="1642" spans="1:24" ht="13.9">
      <c r="A1642" s="349">
        <f t="shared" si="302"/>
        <v>1634</v>
      </c>
      <c r="B1642" s="654" t="s">
        <v>568</v>
      </c>
      <c r="C1642" s="684" t="s">
        <v>29</v>
      </c>
      <c r="D1642" s="743" t="s">
        <v>3663</v>
      </c>
      <c r="E1642" s="654" t="s">
        <v>763</v>
      </c>
      <c r="F1642" s="334"/>
      <c r="G1642" s="657">
        <v>44912</v>
      </c>
      <c r="H1642" s="426">
        <v>938840</v>
      </c>
      <c r="I1642" s="744"/>
      <c r="J1642" s="744"/>
      <c r="K1642" s="354">
        <f t="shared" si="299"/>
        <v>938840</v>
      </c>
      <c r="L1642" s="657">
        <v>44912</v>
      </c>
      <c r="M1642" s="742">
        <v>89168</v>
      </c>
      <c r="N1642" s="352">
        <f t="shared" si="301"/>
        <v>849672</v>
      </c>
      <c r="O1642" s="357">
        <f t="shared" si="298"/>
        <v>471</v>
      </c>
      <c r="P1642" s="410">
        <v>9</v>
      </c>
      <c r="Q1642" s="358">
        <f t="shared" si="303"/>
        <v>1.2904109589041095</v>
      </c>
      <c r="R1642" s="359">
        <f t="shared" si="304"/>
        <v>7.7095890410958905</v>
      </c>
      <c r="S1642" s="360">
        <f t="shared" si="305"/>
        <v>7.7095890410958905</v>
      </c>
      <c r="T1642" s="361">
        <f t="shared" si="306"/>
        <v>0.10555555555555554</v>
      </c>
      <c r="U1642" s="362">
        <f t="shared" si="307"/>
        <v>99099.777777777766</v>
      </c>
      <c r="V1642" s="362">
        <f t="shared" si="308"/>
        <v>750572.22222222225</v>
      </c>
      <c r="W1642" s="362">
        <f t="shared" si="309"/>
        <v>46942</v>
      </c>
      <c r="X1642" s="742">
        <f t="shared" si="300"/>
        <v>703630.22222222225</v>
      </c>
    </row>
    <row r="1643" spans="1:24" ht="13.9">
      <c r="A1643" s="349">
        <f t="shared" si="302"/>
        <v>1635</v>
      </c>
      <c r="B1643" s="654" t="s">
        <v>568</v>
      </c>
      <c r="C1643" s="684" t="s">
        <v>29</v>
      </c>
      <c r="D1643" s="743" t="s">
        <v>3663</v>
      </c>
      <c r="E1643" s="654" t="s">
        <v>763</v>
      </c>
      <c r="F1643" s="334"/>
      <c r="G1643" s="657">
        <v>44912</v>
      </c>
      <c r="H1643" s="426">
        <v>787891</v>
      </c>
      <c r="I1643" s="744"/>
      <c r="J1643" s="744"/>
      <c r="K1643" s="354">
        <f t="shared" si="299"/>
        <v>787891</v>
      </c>
      <c r="L1643" s="657">
        <v>44912</v>
      </c>
      <c r="M1643" s="742">
        <v>74832</v>
      </c>
      <c r="N1643" s="352">
        <f t="shared" si="301"/>
        <v>713059</v>
      </c>
      <c r="O1643" s="357">
        <f t="shared" si="298"/>
        <v>471</v>
      </c>
      <c r="P1643" s="410">
        <v>9</v>
      </c>
      <c r="Q1643" s="358">
        <f t="shared" si="303"/>
        <v>1.2904109589041095</v>
      </c>
      <c r="R1643" s="359">
        <f t="shared" si="304"/>
        <v>7.7095890410958905</v>
      </c>
      <c r="S1643" s="360">
        <f t="shared" si="305"/>
        <v>7.7095890410958905</v>
      </c>
      <c r="T1643" s="361">
        <f t="shared" si="306"/>
        <v>0.10555555555555554</v>
      </c>
      <c r="U1643" s="362">
        <f t="shared" si="307"/>
        <v>83166.272222222207</v>
      </c>
      <c r="V1643" s="362">
        <f t="shared" si="308"/>
        <v>629892.72777777782</v>
      </c>
      <c r="W1643" s="362">
        <f t="shared" si="309"/>
        <v>39395</v>
      </c>
      <c r="X1643" s="742">
        <f t="shared" si="300"/>
        <v>590497.72777777782</v>
      </c>
    </row>
    <row r="1644" spans="1:24" ht="13.9">
      <c r="A1644" s="349">
        <f t="shared" si="302"/>
        <v>1636</v>
      </c>
      <c r="B1644" s="654" t="s">
        <v>568</v>
      </c>
      <c r="C1644" s="684" t="s">
        <v>29</v>
      </c>
      <c r="D1644" s="743" t="s">
        <v>3663</v>
      </c>
      <c r="E1644" s="654" t="s">
        <v>763</v>
      </c>
      <c r="F1644" s="334"/>
      <c r="G1644" s="657">
        <v>44923</v>
      </c>
      <c r="H1644" s="426">
        <v>738079</v>
      </c>
      <c r="I1644" s="744"/>
      <c r="J1644" s="744"/>
      <c r="K1644" s="354">
        <f t="shared" si="299"/>
        <v>738079</v>
      </c>
      <c r="L1644" s="657">
        <v>44923</v>
      </c>
      <c r="M1644" s="742">
        <v>62686</v>
      </c>
      <c r="N1644" s="352">
        <f t="shared" si="301"/>
        <v>675393</v>
      </c>
      <c r="O1644" s="357">
        <f t="shared" si="298"/>
        <v>460</v>
      </c>
      <c r="P1644" s="410">
        <v>9</v>
      </c>
      <c r="Q1644" s="358">
        <f t="shared" si="303"/>
        <v>1.2602739726027397</v>
      </c>
      <c r="R1644" s="359">
        <f t="shared" si="304"/>
        <v>7.7397260273972606</v>
      </c>
      <c r="S1644" s="360">
        <f t="shared" si="305"/>
        <v>7.7397260273972606</v>
      </c>
      <c r="T1644" s="361">
        <f t="shared" si="306"/>
        <v>0.10555555555555554</v>
      </c>
      <c r="U1644" s="362">
        <f t="shared" si="307"/>
        <v>77908.338888888873</v>
      </c>
      <c r="V1644" s="362">
        <f t="shared" si="308"/>
        <v>597484.66111111117</v>
      </c>
      <c r="W1644" s="362">
        <f t="shared" si="309"/>
        <v>36904</v>
      </c>
      <c r="X1644" s="742">
        <f t="shared" si="300"/>
        <v>560580.66111111117</v>
      </c>
    </row>
    <row r="1645" spans="1:24" ht="13.9">
      <c r="A1645" s="349">
        <f t="shared" si="302"/>
        <v>1637</v>
      </c>
      <c r="B1645" s="654" t="s">
        <v>568</v>
      </c>
      <c r="C1645" s="684" t="s">
        <v>29</v>
      </c>
      <c r="D1645" s="743" t="s">
        <v>3663</v>
      </c>
      <c r="E1645" s="654" t="s">
        <v>763</v>
      </c>
      <c r="F1645" s="334"/>
      <c r="G1645" s="657">
        <v>44923</v>
      </c>
      <c r="H1645" s="426">
        <v>992991</v>
      </c>
      <c r="I1645" s="744"/>
      <c r="J1645" s="744"/>
      <c r="K1645" s="354">
        <f t="shared" si="299"/>
        <v>992991</v>
      </c>
      <c r="L1645" s="657">
        <v>44923</v>
      </c>
      <c r="M1645" s="742">
        <v>84336</v>
      </c>
      <c r="N1645" s="352">
        <f t="shared" si="301"/>
        <v>908655</v>
      </c>
      <c r="O1645" s="357">
        <f t="shared" si="298"/>
        <v>460</v>
      </c>
      <c r="P1645" s="410">
        <v>9</v>
      </c>
      <c r="Q1645" s="358">
        <f t="shared" si="303"/>
        <v>1.2602739726027397</v>
      </c>
      <c r="R1645" s="359">
        <f t="shared" si="304"/>
        <v>7.7397260273972606</v>
      </c>
      <c r="S1645" s="360">
        <f t="shared" si="305"/>
        <v>7.7397260273972606</v>
      </c>
      <c r="T1645" s="361">
        <f t="shared" si="306"/>
        <v>0.10555555555555554</v>
      </c>
      <c r="U1645" s="362">
        <f t="shared" si="307"/>
        <v>104815.71666666665</v>
      </c>
      <c r="V1645" s="362">
        <f t="shared" si="308"/>
        <v>803839.28333333333</v>
      </c>
      <c r="W1645" s="362">
        <f t="shared" si="309"/>
        <v>49650</v>
      </c>
      <c r="X1645" s="742">
        <f t="shared" si="300"/>
        <v>754189.28333333333</v>
      </c>
    </row>
    <row r="1646" spans="1:24" ht="13.9">
      <c r="A1646" s="349">
        <f t="shared" si="302"/>
        <v>1638</v>
      </c>
      <c r="B1646" s="654" t="s">
        <v>569</v>
      </c>
      <c r="C1646" s="684" t="s">
        <v>29</v>
      </c>
      <c r="D1646" s="743" t="s">
        <v>3663</v>
      </c>
      <c r="E1646" s="654" t="s">
        <v>406</v>
      </c>
      <c r="F1646" s="334"/>
      <c r="G1646" s="657">
        <v>44856</v>
      </c>
      <c r="H1646" s="426">
        <v>1791067.76</v>
      </c>
      <c r="I1646" s="744"/>
      <c r="J1646" s="744"/>
      <c r="K1646" s="354">
        <f t="shared" si="299"/>
        <v>1791067.76</v>
      </c>
      <c r="L1646" s="657">
        <v>44856</v>
      </c>
      <c r="M1646" s="742">
        <v>261709</v>
      </c>
      <c r="N1646" s="352">
        <f t="shared" si="301"/>
        <v>1529358.76</v>
      </c>
      <c r="O1646" s="357">
        <f t="shared" si="298"/>
        <v>527</v>
      </c>
      <c r="P1646" s="410">
        <v>9</v>
      </c>
      <c r="Q1646" s="358">
        <f t="shared" si="303"/>
        <v>1.4438356164383561</v>
      </c>
      <c r="R1646" s="359">
        <f t="shared" si="304"/>
        <v>7.5561643835616437</v>
      </c>
      <c r="S1646" s="360">
        <f t="shared" si="305"/>
        <v>7.5561643835616437</v>
      </c>
      <c r="T1646" s="361">
        <f t="shared" si="306"/>
        <v>0.10555555555555554</v>
      </c>
      <c r="U1646" s="362">
        <f t="shared" si="307"/>
        <v>189057.15244444442</v>
      </c>
      <c r="V1646" s="362">
        <f t="shared" si="308"/>
        <v>1340301.6075555556</v>
      </c>
      <c r="W1646" s="362">
        <f t="shared" si="309"/>
        <v>89553</v>
      </c>
      <c r="X1646" s="742">
        <f t="shared" si="300"/>
        <v>1250748.6075555556</v>
      </c>
    </row>
    <row r="1647" spans="1:24" ht="13.9">
      <c r="A1647" s="349">
        <f t="shared" si="302"/>
        <v>1639</v>
      </c>
      <c r="B1647" s="654" t="s">
        <v>573</v>
      </c>
      <c r="C1647" s="684" t="s">
        <v>29</v>
      </c>
      <c r="D1647" s="743" t="s">
        <v>3663</v>
      </c>
      <c r="E1647" s="654" t="s">
        <v>420</v>
      </c>
      <c r="F1647" s="334"/>
      <c r="G1647" s="657">
        <v>44893</v>
      </c>
      <c r="H1647" s="426">
        <v>2675000</v>
      </c>
      <c r="I1647" s="744"/>
      <c r="J1647" s="744"/>
      <c r="K1647" s="354">
        <f t="shared" si="299"/>
        <v>2675000</v>
      </c>
      <c r="L1647" s="657">
        <v>44893</v>
      </c>
      <c r="M1647" s="742">
        <v>100160</v>
      </c>
      <c r="N1647" s="352">
        <f t="shared" si="301"/>
        <v>2574840</v>
      </c>
      <c r="O1647" s="357">
        <f t="shared" si="298"/>
        <v>490</v>
      </c>
      <c r="P1647" s="410">
        <v>9</v>
      </c>
      <c r="Q1647" s="358">
        <f t="shared" si="303"/>
        <v>1.3424657534246576</v>
      </c>
      <c r="R1647" s="359">
        <f t="shared" si="304"/>
        <v>7.6575342465753424</v>
      </c>
      <c r="S1647" s="360">
        <f t="shared" si="305"/>
        <v>7.6575342465753424</v>
      </c>
      <c r="T1647" s="361">
        <f t="shared" si="306"/>
        <v>0.10555555555555554</v>
      </c>
      <c r="U1647" s="362">
        <f t="shared" si="307"/>
        <v>282361.11111111107</v>
      </c>
      <c r="V1647" s="362">
        <f t="shared" si="308"/>
        <v>2292478.888888889</v>
      </c>
      <c r="W1647" s="362">
        <f t="shared" si="309"/>
        <v>133750</v>
      </c>
      <c r="X1647" s="742">
        <f t="shared" si="300"/>
        <v>2158728.888888889</v>
      </c>
    </row>
    <row r="1648" spans="1:24" ht="13.9">
      <c r="A1648" s="349">
        <f t="shared" si="302"/>
        <v>1640</v>
      </c>
      <c r="B1648" s="654" t="s">
        <v>573</v>
      </c>
      <c r="C1648" s="684" t="s">
        <v>29</v>
      </c>
      <c r="D1648" s="743" t="s">
        <v>3663</v>
      </c>
      <c r="E1648" s="654" t="s">
        <v>420</v>
      </c>
      <c r="F1648" s="334"/>
      <c r="G1648" s="657">
        <v>44893</v>
      </c>
      <c r="H1648" s="426">
        <v>2675000</v>
      </c>
      <c r="I1648" s="744"/>
      <c r="J1648" s="744"/>
      <c r="K1648" s="354">
        <f t="shared" si="299"/>
        <v>2675000</v>
      </c>
      <c r="L1648" s="657">
        <v>44893</v>
      </c>
      <c r="M1648" s="742">
        <v>100160</v>
      </c>
      <c r="N1648" s="352">
        <f t="shared" si="301"/>
        <v>2574840</v>
      </c>
      <c r="O1648" s="357">
        <f t="shared" si="298"/>
        <v>490</v>
      </c>
      <c r="P1648" s="410">
        <v>9</v>
      </c>
      <c r="Q1648" s="358">
        <f t="shared" si="303"/>
        <v>1.3424657534246576</v>
      </c>
      <c r="R1648" s="359">
        <f t="shared" si="304"/>
        <v>7.6575342465753424</v>
      </c>
      <c r="S1648" s="360">
        <f t="shared" si="305"/>
        <v>7.6575342465753424</v>
      </c>
      <c r="T1648" s="361">
        <f t="shared" si="306"/>
        <v>0.10555555555555554</v>
      </c>
      <c r="U1648" s="362">
        <f t="shared" si="307"/>
        <v>282361.11111111107</v>
      </c>
      <c r="V1648" s="362">
        <f t="shared" si="308"/>
        <v>2292478.888888889</v>
      </c>
      <c r="W1648" s="362">
        <f t="shared" si="309"/>
        <v>133750</v>
      </c>
      <c r="X1648" s="742">
        <f t="shared" si="300"/>
        <v>2158728.888888889</v>
      </c>
    </row>
    <row r="1649" spans="1:24" ht="13.9">
      <c r="A1649" s="349">
        <f t="shared" si="302"/>
        <v>1641</v>
      </c>
      <c r="B1649" s="654" t="s">
        <v>570</v>
      </c>
      <c r="C1649" s="684" t="s">
        <v>29</v>
      </c>
      <c r="D1649" s="743" t="s">
        <v>3663</v>
      </c>
      <c r="E1649" s="654" t="s">
        <v>765</v>
      </c>
      <c r="F1649" s="334"/>
      <c r="G1649" s="657">
        <v>44919</v>
      </c>
      <c r="H1649" s="426">
        <v>16927</v>
      </c>
      <c r="I1649" s="744"/>
      <c r="J1649" s="744"/>
      <c r="K1649" s="354">
        <f t="shared" si="299"/>
        <v>16927</v>
      </c>
      <c r="L1649" s="657">
        <v>44919</v>
      </c>
      <c r="M1649" s="742">
        <v>500</v>
      </c>
      <c r="N1649" s="352">
        <f t="shared" si="301"/>
        <v>16427</v>
      </c>
      <c r="O1649" s="357">
        <f t="shared" si="298"/>
        <v>464</v>
      </c>
      <c r="P1649" s="410">
        <v>9</v>
      </c>
      <c r="Q1649" s="358">
        <f t="shared" si="303"/>
        <v>1.2712328767123289</v>
      </c>
      <c r="R1649" s="359">
        <f t="shared" si="304"/>
        <v>7.7287671232876711</v>
      </c>
      <c r="S1649" s="360">
        <f t="shared" si="305"/>
        <v>7.7287671232876711</v>
      </c>
      <c r="T1649" s="361">
        <f t="shared" si="306"/>
        <v>0.10555555555555554</v>
      </c>
      <c r="U1649" s="362">
        <f t="shared" si="307"/>
        <v>1786.7388888888886</v>
      </c>
      <c r="V1649" s="362">
        <f t="shared" si="308"/>
        <v>14640.261111111111</v>
      </c>
      <c r="W1649" s="362">
        <f t="shared" si="309"/>
        <v>846</v>
      </c>
      <c r="X1649" s="742">
        <f t="shared" si="300"/>
        <v>13794.261111111111</v>
      </c>
    </row>
    <row r="1650" spans="1:24" ht="13.9">
      <c r="A1650" s="349">
        <f t="shared" si="302"/>
        <v>1642</v>
      </c>
      <c r="B1650" s="654" t="s">
        <v>71</v>
      </c>
      <c r="C1650" s="684" t="s">
        <v>29</v>
      </c>
      <c r="D1650" s="743" t="s">
        <v>3663</v>
      </c>
      <c r="E1650" s="654" t="s">
        <v>766</v>
      </c>
      <c r="F1650" s="334"/>
      <c r="G1650" s="657">
        <v>44859</v>
      </c>
      <c r="H1650" s="426">
        <v>2860502</v>
      </c>
      <c r="I1650" s="744"/>
      <c r="J1650" s="744"/>
      <c r="K1650" s="354">
        <f t="shared" si="299"/>
        <v>2860502</v>
      </c>
      <c r="L1650" s="657">
        <v>44859</v>
      </c>
      <c r="M1650" s="742">
        <v>136712</v>
      </c>
      <c r="N1650" s="352">
        <f t="shared" si="301"/>
        <v>2723790</v>
      </c>
      <c r="O1650" s="357">
        <f t="shared" si="298"/>
        <v>524</v>
      </c>
      <c r="P1650" s="410">
        <v>9</v>
      </c>
      <c r="Q1650" s="358">
        <f t="shared" si="303"/>
        <v>1.4356164383561645</v>
      </c>
      <c r="R1650" s="359">
        <f t="shared" si="304"/>
        <v>7.5643835616438357</v>
      </c>
      <c r="S1650" s="360">
        <f t="shared" si="305"/>
        <v>7.5643835616438357</v>
      </c>
      <c r="T1650" s="361">
        <f t="shared" si="306"/>
        <v>0.10555555555555554</v>
      </c>
      <c r="U1650" s="362">
        <f t="shared" si="307"/>
        <v>301941.87777777773</v>
      </c>
      <c r="V1650" s="362">
        <f t="shared" si="308"/>
        <v>2421848.1222222224</v>
      </c>
      <c r="W1650" s="362">
        <f t="shared" si="309"/>
        <v>143025</v>
      </c>
      <c r="X1650" s="742">
        <f t="shared" si="300"/>
        <v>2278823.1222222224</v>
      </c>
    </row>
    <row r="1651" spans="1:24" ht="13.9">
      <c r="A1651" s="349">
        <f t="shared" si="302"/>
        <v>1643</v>
      </c>
      <c r="B1651" s="654" t="s">
        <v>71</v>
      </c>
      <c r="C1651" s="684" t="s">
        <v>29</v>
      </c>
      <c r="D1651" s="743" t="s">
        <v>3663</v>
      </c>
      <c r="E1651" s="654" t="s">
        <v>766</v>
      </c>
      <c r="F1651" s="334"/>
      <c r="G1651" s="657">
        <v>44859</v>
      </c>
      <c r="H1651" s="426">
        <v>2860457</v>
      </c>
      <c r="I1651" s="744"/>
      <c r="J1651" s="744"/>
      <c r="K1651" s="354">
        <f t="shared" si="299"/>
        <v>2860457</v>
      </c>
      <c r="L1651" s="657">
        <v>44859</v>
      </c>
      <c r="M1651" s="742">
        <v>136710</v>
      </c>
      <c r="N1651" s="352">
        <f t="shared" si="301"/>
        <v>2723747</v>
      </c>
      <c r="O1651" s="357">
        <f t="shared" si="298"/>
        <v>524</v>
      </c>
      <c r="P1651" s="410">
        <v>9</v>
      </c>
      <c r="Q1651" s="358">
        <f t="shared" si="303"/>
        <v>1.4356164383561645</v>
      </c>
      <c r="R1651" s="359">
        <f t="shared" si="304"/>
        <v>7.5643835616438357</v>
      </c>
      <c r="S1651" s="360">
        <f t="shared" si="305"/>
        <v>7.5643835616438357</v>
      </c>
      <c r="T1651" s="361">
        <f t="shared" si="306"/>
        <v>0.10555555555555554</v>
      </c>
      <c r="U1651" s="362">
        <f t="shared" si="307"/>
        <v>301937.12777777773</v>
      </c>
      <c r="V1651" s="362">
        <f t="shared" si="308"/>
        <v>2421809.8722222224</v>
      </c>
      <c r="W1651" s="362">
        <f t="shared" si="309"/>
        <v>143023</v>
      </c>
      <c r="X1651" s="742">
        <f t="shared" si="300"/>
        <v>2278786.8722222224</v>
      </c>
    </row>
    <row r="1652" spans="1:24" ht="13.9">
      <c r="A1652" s="349">
        <f t="shared" si="302"/>
        <v>1644</v>
      </c>
      <c r="B1652" s="654" t="s">
        <v>71</v>
      </c>
      <c r="C1652" s="684" t="s">
        <v>29</v>
      </c>
      <c r="D1652" s="743" t="s">
        <v>3663</v>
      </c>
      <c r="E1652" s="654" t="s">
        <v>766</v>
      </c>
      <c r="F1652" s="334"/>
      <c r="G1652" s="657">
        <v>44859</v>
      </c>
      <c r="H1652" s="426">
        <v>2860457</v>
      </c>
      <c r="I1652" s="744"/>
      <c r="J1652" s="744"/>
      <c r="K1652" s="354">
        <f t="shared" si="299"/>
        <v>2860457</v>
      </c>
      <c r="L1652" s="657">
        <v>44859</v>
      </c>
      <c r="M1652" s="742">
        <v>136710</v>
      </c>
      <c r="N1652" s="352">
        <f t="shared" si="301"/>
        <v>2723747</v>
      </c>
      <c r="O1652" s="357">
        <f t="shared" si="298"/>
        <v>524</v>
      </c>
      <c r="P1652" s="410">
        <v>9</v>
      </c>
      <c r="Q1652" s="358">
        <f t="shared" si="303"/>
        <v>1.4356164383561645</v>
      </c>
      <c r="R1652" s="359">
        <f t="shared" si="304"/>
        <v>7.5643835616438357</v>
      </c>
      <c r="S1652" s="360">
        <f t="shared" si="305"/>
        <v>7.5643835616438357</v>
      </c>
      <c r="T1652" s="361">
        <f t="shared" si="306"/>
        <v>0.10555555555555554</v>
      </c>
      <c r="U1652" s="362">
        <f t="shared" si="307"/>
        <v>301937.12777777773</v>
      </c>
      <c r="V1652" s="362">
        <f t="shared" si="308"/>
        <v>2421809.8722222224</v>
      </c>
      <c r="W1652" s="362">
        <f t="shared" si="309"/>
        <v>143023</v>
      </c>
      <c r="X1652" s="742">
        <f t="shared" si="300"/>
        <v>2278786.8722222224</v>
      </c>
    </row>
    <row r="1653" spans="1:24" ht="13.9">
      <c r="A1653" s="349">
        <f t="shared" si="302"/>
        <v>1645</v>
      </c>
      <c r="B1653" s="654" t="s">
        <v>71</v>
      </c>
      <c r="C1653" s="684" t="s">
        <v>29</v>
      </c>
      <c r="D1653" s="743" t="s">
        <v>3663</v>
      </c>
      <c r="E1653" s="654" t="s">
        <v>766</v>
      </c>
      <c r="F1653" s="334"/>
      <c r="G1653" s="657">
        <v>44902</v>
      </c>
      <c r="H1653" s="426">
        <v>1429455</v>
      </c>
      <c r="I1653" s="744"/>
      <c r="J1653" s="744"/>
      <c r="K1653" s="354">
        <f t="shared" si="299"/>
        <v>1429455</v>
      </c>
      <c r="L1653" s="657">
        <v>44902</v>
      </c>
      <c r="M1653" s="742">
        <v>49607</v>
      </c>
      <c r="N1653" s="352">
        <f t="shared" si="301"/>
        <v>1379848</v>
      </c>
      <c r="O1653" s="357">
        <f t="shared" si="298"/>
        <v>481</v>
      </c>
      <c r="P1653" s="410">
        <v>9</v>
      </c>
      <c r="Q1653" s="358">
        <f t="shared" si="303"/>
        <v>1.3178082191780822</v>
      </c>
      <c r="R1653" s="359">
        <f t="shared" si="304"/>
        <v>7.6821917808219178</v>
      </c>
      <c r="S1653" s="360">
        <f t="shared" si="305"/>
        <v>7.6821917808219178</v>
      </c>
      <c r="T1653" s="361">
        <f t="shared" si="306"/>
        <v>0.10555555555555554</v>
      </c>
      <c r="U1653" s="362">
        <f t="shared" si="307"/>
        <v>150886.91666666666</v>
      </c>
      <c r="V1653" s="362">
        <f t="shared" si="308"/>
        <v>1228961.0833333333</v>
      </c>
      <c r="W1653" s="362">
        <f t="shared" si="309"/>
        <v>71473</v>
      </c>
      <c r="X1653" s="742">
        <f t="shared" si="300"/>
        <v>1157488.0833333333</v>
      </c>
    </row>
    <row r="1654" spans="1:24" ht="13.9">
      <c r="A1654" s="349">
        <f t="shared" si="302"/>
        <v>1646</v>
      </c>
      <c r="B1654" s="654" t="s">
        <v>71</v>
      </c>
      <c r="C1654" s="684" t="s">
        <v>29</v>
      </c>
      <c r="D1654" s="743" t="s">
        <v>3663</v>
      </c>
      <c r="E1654" s="654" t="s">
        <v>766</v>
      </c>
      <c r="F1654" s="334"/>
      <c r="G1654" s="657">
        <v>44902</v>
      </c>
      <c r="H1654" s="426">
        <v>1429455</v>
      </c>
      <c r="I1654" s="744"/>
      <c r="J1654" s="744"/>
      <c r="K1654" s="354">
        <f t="shared" si="299"/>
        <v>1429455</v>
      </c>
      <c r="L1654" s="657">
        <v>44902</v>
      </c>
      <c r="M1654" s="742">
        <v>49607</v>
      </c>
      <c r="N1654" s="352">
        <f t="shared" si="301"/>
        <v>1379848</v>
      </c>
      <c r="O1654" s="357">
        <f t="shared" si="298"/>
        <v>481</v>
      </c>
      <c r="P1654" s="410">
        <v>9</v>
      </c>
      <c r="Q1654" s="358">
        <f t="shared" si="303"/>
        <v>1.3178082191780822</v>
      </c>
      <c r="R1654" s="359">
        <f t="shared" si="304"/>
        <v>7.6821917808219178</v>
      </c>
      <c r="S1654" s="360">
        <f t="shared" si="305"/>
        <v>7.6821917808219178</v>
      </c>
      <c r="T1654" s="361">
        <f t="shared" si="306"/>
        <v>0.10555555555555554</v>
      </c>
      <c r="U1654" s="362">
        <f t="shared" si="307"/>
        <v>150886.91666666666</v>
      </c>
      <c r="V1654" s="362">
        <f t="shared" si="308"/>
        <v>1228961.0833333333</v>
      </c>
      <c r="W1654" s="362">
        <f t="shared" si="309"/>
        <v>71473</v>
      </c>
      <c r="X1654" s="742">
        <f t="shared" si="300"/>
        <v>1157488.0833333333</v>
      </c>
    </row>
    <row r="1655" spans="1:24" ht="13.9">
      <c r="A1655" s="349">
        <f t="shared" si="302"/>
        <v>1647</v>
      </c>
      <c r="B1655" s="654" t="s">
        <v>71</v>
      </c>
      <c r="C1655" s="684" t="s">
        <v>29</v>
      </c>
      <c r="D1655" s="743" t="s">
        <v>3663</v>
      </c>
      <c r="E1655" s="654" t="s">
        <v>766</v>
      </c>
      <c r="F1655" s="334"/>
      <c r="G1655" s="657">
        <v>44908</v>
      </c>
      <c r="H1655" s="426">
        <v>3270421</v>
      </c>
      <c r="I1655" s="744"/>
      <c r="J1655" s="744"/>
      <c r="K1655" s="354">
        <f t="shared" si="299"/>
        <v>3270421</v>
      </c>
      <c r="L1655" s="657">
        <v>44908</v>
      </c>
      <c r="M1655" s="742">
        <v>107521</v>
      </c>
      <c r="N1655" s="352">
        <f t="shared" si="301"/>
        <v>3162900</v>
      </c>
      <c r="O1655" s="357">
        <f t="shared" si="298"/>
        <v>475</v>
      </c>
      <c r="P1655" s="410">
        <v>9</v>
      </c>
      <c r="Q1655" s="358">
        <f t="shared" si="303"/>
        <v>1.3013698630136987</v>
      </c>
      <c r="R1655" s="359">
        <f t="shared" si="304"/>
        <v>7.6986301369863011</v>
      </c>
      <c r="S1655" s="360">
        <f t="shared" si="305"/>
        <v>7.6986301369863011</v>
      </c>
      <c r="T1655" s="361">
        <f t="shared" si="306"/>
        <v>0.10555555555555554</v>
      </c>
      <c r="U1655" s="362">
        <f t="shared" si="307"/>
        <v>345211.10555555549</v>
      </c>
      <c r="V1655" s="362">
        <f t="shared" si="308"/>
        <v>2817688.8944444447</v>
      </c>
      <c r="W1655" s="362">
        <f t="shared" si="309"/>
        <v>163521</v>
      </c>
      <c r="X1655" s="742">
        <f t="shared" si="300"/>
        <v>2654167.8944444447</v>
      </c>
    </row>
    <row r="1656" spans="1:24" ht="13.9">
      <c r="A1656" s="349">
        <f t="shared" si="302"/>
        <v>1648</v>
      </c>
      <c r="B1656" s="654" t="s">
        <v>71</v>
      </c>
      <c r="C1656" s="684" t="s">
        <v>29</v>
      </c>
      <c r="D1656" s="743" t="s">
        <v>3663</v>
      </c>
      <c r="E1656" s="654" t="s">
        <v>766</v>
      </c>
      <c r="F1656" s="334"/>
      <c r="G1656" s="657">
        <v>44908</v>
      </c>
      <c r="H1656" s="426">
        <v>3270421</v>
      </c>
      <c r="I1656" s="744"/>
      <c r="J1656" s="744"/>
      <c r="K1656" s="354">
        <f t="shared" si="299"/>
        <v>3270421</v>
      </c>
      <c r="L1656" s="657">
        <v>44908</v>
      </c>
      <c r="M1656" s="742">
        <v>107521</v>
      </c>
      <c r="N1656" s="352">
        <f t="shared" si="301"/>
        <v>3162900</v>
      </c>
      <c r="O1656" s="357">
        <f t="shared" si="298"/>
        <v>475</v>
      </c>
      <c r="P1656" s="410">
        <v>9</v>
      </c>
      <c r="Q1656" s="358">
        <f t="shared" si="303"/>
        <v>1.3013698630136987</v>
      </c>
      <c r="R1656" s="359">
        <f t="shared" si="304"/>
        <v>7.6986301369863011</v>
      </c>
      <c r="S1656" s="360">
        <f t="shared" si="305"/>
        <v>7.6986301369863011</v>
      </c>
      <c r="T1656" s="361">
        <f t="shared" si="306"/>
        <v>0.10555555555555554</v>
      </c>
      <c r="U1656" s="362">
        <f t="shared" si="307"/>
        <v>345211.10555555549</v>
      </c>
      <c r="V1656" s="362">
        <f t="shared" si="308"/>
        <v>2817688.8944444447</v>
      </c>
      <c r="W1656" s="362">
        <f t="shared" si="309"/>
        <v>163521</v>
      </c>
      <c r="X1656" s="742">
        <f t="shared" si="300"/>
        <v>2654167.8944444447</v>
      </c>
    </row>
    <row r="1657" spans="1:24" ht="13.9">
      <c r="A1657" s="349">
        <f t="shared" si="302"/>
        <v>1649</v>
      </c>
      <c r="B1657" s="654" t="s">
        <v>71</v>
      </c>
      <c r="C1657" s="684" t="s">
        <v>29</v>
      </c>
      <c r="D1657" s="743" t="s">
        <v>3663</v>
      </c>
      <c r="E1657" s="654" t="s">
        <v>766</v>
      </c>
      <c r="F1657" s="334"/>
      <c r="G1657" s="657">
        <v>44908</v>
      </c>
      <c r="H1657" s="426">
        <v>3270421</v>
      </c>
      <c r="I1657" s="744"/>
      <c r="J1657" s="744"/>
      <c r="K1657" s="354">
        <f t="shared" si="299"/>
        <v>3270421</v>
      </c>
      <c r="L1657" s="657">
        <v>44908</v>
      </c>
      <c r="M1657" s="742">
        <v>107521</v>
      </c>
      <c r="N1657" s="352">
        <f t="shared" si="301"/>
        <v>3162900</v>
      </c>
      <c r="O1657" s="357">
        <f t="shared" si="298"/>
        <v>475</v>
      </c>
      <c r="P1657" s="410">
        <v>9</v>
      </c>
      <c r="Q1657" s="358">
        <f t="shared" si="303"/>
        <v>1.3013698630136987</v>
      </c>
      <c r="R1657" s="359">
        <f t="shared" si="304"/>
        <v>7.6986301369863011</v>
      </c>
      <c r="S1657" s="360">
        <f t="shared" si="305"/>
        <v>7.6986301369863011</v>
      </c>
      <c r="T1657" s="361">
        <f t="shared" si="306"/>
        <v>0.10555555555555554</v>
      </c>
      <c r="U1657" s="362">
        <f t="shared" si="307"/>
        <v>345211.10555555549</v>
      </c>
      <c r="V1657" s="362">
        <f t="shared" si="308"/>
        <v>2817688.8944444447</v>
      </c>
      <c r="W1657" s="362">
        <f t="shared" si="309"/>
        <v>163521</v>
      </c>
      <c r="X1657" s="742">
        <f t="shared" si="300"/>
        <v>2654167.8944444447</v>
      </c>
    </row>
    <row r="1658" spans="1:24" ht="13.9">
      <c r="A1658" s="349">
        <f t="shared" si="302"/>
        <v>1650</v>
      </c>
      <c r="B1658" s="654" t="s">
        <v>71</v>
      </c>
      <c r="C1658" s="684" t="s">
        <v>29</v>
      </c>
      <c r="D1658" s="743" t="s">
        <v>3663</v>
      </c>
      <c r="E1658" s="654" t="s">
        <v>766</v>
      </c>
      <c r="F1658" s="334"/>
      <c r="G1658" s="657">
        <v>44908</v>
      </c>
      <c r="H1658" s="426">
        <v>3270421</v>
      </c>
      <c r="I1658" s="744"/>
      <c r="J1658" s="744"/>
      <c r="K1658" s="354">
        <f t="shared" si="299"/>
        <v>3270421</v>
      </c>
      <c r="L1658" s="657">
        <v>44908</v>
      </c>
      <c r="M1658" s="742">
        <v>107521</v>
      </c>
      <c r="N1658" s="352">
        <f t="shared" si="301"/>
        <v>3162900</v>
      </c>
      <c r="O1658" s="357">
        <f t="shared" si="298"/>
        <v>475</v>
      </c>
      <c r="P1658" s="410">
        <v>9</v>
      </c>
      <c r="Q1658" s="358">
        <f t="shared" si="303"/>
        <v>1.3013698630136987</v>
      </c>
      <c r="R1658" s="359">
        <f t="shared" si="304"/>
        <v>7.6986301369863011</v>
      </c>
      <c r="S1658" s="360">
        <f t="shared" si="305"/>
        <v>7.6986301369863011</v>
      </c>
      <c r="T1658" s="361">
        <f t="shared" si="306"/>
        <v>0.10555555555555554</v>
      </c>
      <c r="U1658" s="362">
        <f t="shared" si="307"/>
        <v>345211.10555555549</v>
      </c>
      <c r="V1658" s="362">
        <f t="shared" si="308"/>
        <v>2817688.8944444447</v>
      </c>
      <c r="W1658" s="362">
        <f t="shared" si="309"/>
        <v>163521</v>
      </c>
      <c r="X1658" s="742">
        <f t="shared" si="300"/>
        <v>2654167.8944444447</v>
      </c>
    </row>
    <row r="1659" spans="1:24" ht="13.9">
      <c r="A1659" s="349">
        <f t="shared" si="302"/>
        <v>1651</v>
      </c>
      <c r="B1659" s="654" t="s">
        <v>71</v>
      </c>
      <c r="C1659" s="684" t="s">
        <v>29</v>
      </c>
      <c r="D1659" s="743" t="s">
        <v>3663</v>
      </c>
      <c r="E1659" s="654" t="s">
        <v>766</v>
      </c>
      <c r="F1659" s="334"/>
      <c r="G1659" s="657">
        <v>44908</v>
      </c>
      <c r="H1659" s="426">
        <v>3270421</v>
      </c>
      <c r="I1659" s="744"/>
      <c r="J1659" s="744"/>
      <c r="K1659" s="354">
        <f t="shared" si="299"/>
        <v>3270421</v>
      </c>
      <c r="L1659" s="657">
        <v>44908</v>
      </c>
      <c r="M1659" s="742">
        <v>107521</v>
      </c>
      <c r="N1659" s="352">
        <f t="shared" si="301"/>
        <v>3162900</v>
      </c>
      <c r="O1659" s="357">
        <f t="shared" si="298"/>
        <v>475</v>
      </c>
      <c r="P1659" s="410">
        <v>9</v>
      </c>
      <c r="Q1659" s="358">
        <f t="shared" si="303"/>
        <v>1.3013698630136987</v>
      </c>
      <c r="R1659" s="359">
        <f t="shared" si="304"/>
        <v>7.6986301369863011</v>
      </c>
      <c r="S1659" s="360">
        <f t="shared" si="305"/>
        <v>7.6986301369863011</v>
      </c>
      <c r="T1659" s="361">
        <f t="shared" si="306"/>
        <v>0.10555555555555554</v>
      </c>
      <c r="U1659" s="362">
        <f t="shared" si="307"/>
        <v>345211.10555555549</v>
      </c>
      <c r="V1659" s="362">
        <f t="shared" si="308"/>
        <v>2817688.8944444447</v>
      </c>
      <c r="W1659" s="362">
        <f t="shared" si="309"/>
        <v>163521</v>
      </c>
      <c r="X1659" s="742">
        <f t="shared" si="300"/>
        <v>2654167.8944444447</v>
      </c>
    </row>
    <row r="1660" spans="1:24" ht="13.9">
      <c r="A1660" s="349">
        <f t="shared" si="302"/>
        <v>1652</v>
      </c>
      <c r="B1660" s="654" t="s">
        <v>71</v>
      </c>
      <c r="C1660" s="684" t="s">
        <v>29</v>
      </c>
      <c r="D1660" s="743" t="s">
        <v>3663</v>
      </c>
      <c r="E1660" s="654" t="s">
        <v>766</v>
      </c>
      <c r="F1660" s="334"/>
      <c r="G1660" s="657">
        <v>44908</v>
      </c>
      <c r="H1660" s="426">
        <v>3270421</v>
      </c>
      <c r="I1660" s="744"/>
      <c r="J1660" s="744"/>
      <c r="K1660" s="354">
        <f t="shared" si="299"/>
        <v>3270421</v>
      </c>
      <c r="L1660" s="657">
        <v>44908</v>
      </c>
      <c r="M1660" s="742">
        <v>107521</v>
      </c>
      <c r="N1660" s="352">
        <f t="shared" si="301"/>
        <v>3162900</v>
      </c>
      <c r="O1660" s="357">
        <f t="shared" si="298"/>
        <v>475</v>
      </c>
      <c r="P1660" s="410">
        <v>9</v>
      </c>
      <c r="Q1660" s="358">
        <f t="shared" si="303"/>
        <v>1.3013698630136987</v>
      </c>
      <c r="R1660" s="359">
        <f t="shared" si="304"/>
        <v>7.6986301369863011</v>
      </c>
      <c r="S1660" s="360">
        <f t="shared" si="305"/>
        <v>7.6986301369863011</v>
      </c>
      <c r="T1660" s="361">
        <f t="shared" si="306"/>
        <v>0.10555555555555554</v>
      </c>
      <c r="U1660" s="362">
        <f t="shared" si="307"/>
        <v>345211.10555555549</v>
      </c>
      <c r="V1660" s="362">
        <f t="shared" si="308"/>
        <v>2817688.8944444447</v>
      </c>
      <c r="W1660" s="362">
        <f t="shared" si="309"/>
        <v>163521</v>
      </c>
      <c r="X1660" s="742">
        <f t="shared" si="300"/>
        <v>2654167.8944444447</v>
      </c>
    </row>
    <row r="1661" spans="1:24" ht="13.9">
      <c r="A1661" s="349">
        <f t="shared" si="302"/>
        <v>1653</v>
      </c>
      <c r="B1661" s="654" t="s">
        <v>71</v>
      </c>
      <c r="C1661" s="684" t="s">
        <v>29</v>
      </c>
      <c r="D1661" s="743" t="s">
        <v>3663</v>
      </c>
      <c r="E1661" s="654" t="s">
        <v>766</v>
      </c>
      <c r="F1661" s="334"/>
      <c r="G1661" s="657">
        <v>44908</v>
      </c>
      <c r="H1661" s="426">
        <v>3270421</v>
      </c>
      <c r="I1661" s="744"/>
      <c r="J1661" s="744"/>
      <c r="K1661" s="354">
        <f t="shared" si="299"/>
        <v>3270421</v>
      </c>
      <c r="L1661" s="657">
        <v>44908</v>
      </c>
      <c r="M1661" s="742">
        <v>107521</v>
      </c>
      <c r="N1661" s="352">
        <f t="shared" si="301"/>
        <v>3162900</v>
      </c>
      <c r="O1661" s="357">
        <f t="shared" si="298"/>
        <v>475</v>
      </c>
      <c r="P1661" s="410">
        <v>9</v>
      </c>
      <c r="Q1661" s="358">
        <f t="shared" si="303"/>
        <v>1.3013698630136987</v>
      </c>
      <c r="R1661" s="359">
        <f t="shared" si="304"/>
        <v>7.6986301369863011</v>
      </c>
      <c r="S1661" s="360">
        <f t="shared" si="305"/>
        <v>7.6986301369863011</v>
      </c>
      <c r="T1661" s="361">
        <f t="shared" si="306"/>
        <v>0.10555555555555554</v>
      </c>
      <c r="U1661" s="362">
        <f t="shared" si="307"/>
        <v>345211.10555555549</v>
      </c>
      <c r="V1661" s="362">
        <f t="shared" si="308"/>
        <v>2817688.8944444447</v>
      </c>
      <c r="W1661" s="362">
        <f t="shared" si="309"/>
        <v>163521</v>
      </c>
      <c r="X1661" s="742">
        <f t="shared" si="300"/>
        <v>2654167.8944444447</v>
      </c>
    </row>
    <row r="1662" spans="1:24" ht="13.9">
      <c r="A1662" s="349">
        <f t="shared" si="302"/>
        <v>1654</v>
      </c>
      <c r="B1662" s="654" t="s">
        <v>71</v>
      </c>
      <c r="C1662" s="684" t="s">
        <v>29</v>
      </c>
      <c r="D1662" s="743" t="s">
        <v>3663</v>
      </c>
      <c r="E1662" s="654" t="s">
        <v>766</v>
      </c>
      <c r="F1662" s="334"/>
      <c r="G1662" s="657">
        <v>44908</v>
      </c>
      <c r="H1662" s="426">
        <v>3270421</v>
      </c>
      <c r="I1662" s="744"/>
      <c r="J1662" s="744"/>
      <c r="K1662" s="354">
        <f t="shared" si="299"/>
        <v>3270421</v>
      </c>
      <c r="L1662" s="657">
        <v>44908</v>
      </c>
      <c r="M1662" s="742">
        <v>107521</v>
      </c>
      <c r="N1662" s="352">
        <f t="shared" si="301"/>
        <v>3162900</v>
      </c>
      <c r="O1662" s="357">
        <f t="shared" si="298"/>
        <v>475</v>
      </c>
      <c r="P1662" s="410">
        <v>9</v>
      </c>
      <c r="Q1662" s="358">
        <f t="shared" si="303"/>
        <v>1.3013698630136987</v>
      </c>
      <c r="R1662" s="359">
        <f t="shared" si="304"/>
        <v>7.6986301369863011</v>
      </c>
      <c r="S1662" s="360">
        <f t="shared" si="305"/>
        <v>7.6986301369863011</v>
      </c>
      <c r="T1662" s="361">
        <f t="shared" si="306"/>
        <v>0.10555555555555554</v>
      </c>
      <c r="U1662" s="362">
        <f t="shared" si="307"/>
        <v>345211.10555555549</v>
      </c>
      <c r="V1662" s="362">
        <f t="shared" si="308"/>
        <v>2817688.8944444447</v>
      </c>
      <c r="W1662" s="362">
        <f t="shared" si="309"/>
        <v>163521</v>
      </c>
      <c r="X1662" s="742">
        <f t="shared" si="300"/>
        <v>2654167.8944444447</v>
      </c>
    </row>
    <row r="1663" spans="1:24" ht="13.9">
      <c r="A1663" s="349">
        <f t="shared" si="302"/>
        <v>1655</v>
      </c>
      <c r="B1663" s="654" t="s">
        <v>71</v>
      </c>
      <c r="C1663" s="684" t="s">
        <v>29</v>
      </c>
      <c r="D1663" s="743" t="s">
        <v>3663</v>
      </c>
      <c r="E1663" s="654" t="s">
        <v>766</v>
      </c>
      <c r="F1663" s="334"/>
      <c r="G1663" s="657">
        <v>44908</v>
      </c>
      <c r="H1663" s="426">
        <v>3270421</v>
      </c>
      <c r="I1663" s="744"/>
      <c r="J1663" s="744"/>
      <c r="K1663" s="354">
        <f t="shared" si="299"/>
        <v>3270421</v>
      </c>
      <c r="L1663" s="657">
        <v>44908</v>
      </c>
      <c r="M1663" s="742">
        <v>107521</v>
      </c>
      <c r="N1663" s="352">
        <f t="shared" si="301"/>
        <v>3162900</v>
      </c>
      <c r="O1663" s="357">
        <f t="shared" si="298"/>
        <v>475</v>
      </c>
      <c r="P1663" s="410">
        <v>9</v>
      </c>
      <c r="Q1663" s="358">
        <f t="shared" si="303"/>
        <v>1.3013698630136987</v>
      </c>
      <c r="R1663" s="359">
        <f t="shared" si="304"/>
        <v>7.6986301369863011</v>
      </c>
      <c r="S1663" s="360">
        <f t="shared" si="305"/>
        <v>7.6986301369863011</v>
      </c>
      <c r="T1663" s="361">
        <f t="shared" si="306"/>
        <v>0.10555555555555554</v>
      </c>
      <c r="U1663" s="362">
        <f t="shared" si="307"/>
        <v>345211.10555555549</v>
      </c>
      <c r="V1663" s="362">
        <f t="shared" si="308"/>
        <v>2817688.8944444447</v>
      </c>
      <c r="W1663" s="362">
        <f t="shared" si="309"/>
        <v>163521</v>
      </c>
      <c r="X1663" s="742">
        <f t="shared" si="300"/>
        <v>2654167.8944444447</v>
      </c>
    </row>
    <row r="1664" spans="1:24" ht="13.9">
      <c r="A1664" s="349">
        <f t="shared" si="302"/>
        <v>1656</v>
      </c>
      <c r="B1664" s="654" t="s">
        <v>71</v>
      </c>
      <c r="C1664" s="684" t="s">
        <v>29</v>
      </c>
      <c r="D1664" s="743" t="s">
        <v>3663</v>
      </c>
      <c r="E1664" s="654" t="s">
        <v>766</v>
      </c>
      <c r="F1664" s="334"/>
      <c r="G1664" s="657">
        <v>44910</v>
      </c>
      <c r="H1664" s="426">
        <v>3270421</v>
      </c>
      <c r="I1664" s="744"/>
      <c r="J1664" s="744"/>
      <c r="K1664" s="354">
        <f t="shared" si="299"/>
        <v>3270421</v>
      </c>
      <c r="L1664" s="657">
        <v>44910</v>
      </c>
      <c r="M1664" s="742">
        <v>105530</v>
      </c>
      <c r="N1664" s="352">
        <f t="shared" si="301"/>
        <v>3164891</v>
      </c>
      <c r="O1664" s="357">
        <f t="shared" si="298"/>
        <v>473</v>
      </c>
      <c r="P1664" s="410">
        <v>9</v>
      </c>
      <c r="Q1664" s="358">
        <f t="shared" si="303"/>
        <v>1.295890410958904</v>
      </c>
      <c r="R1664" s="359">
        <f t="shared" si="304"/>
        <v>7.7041095890410958</v>
      </c>
      <c r="S1664" s="360">
        <f t="shared" si="305"/>
        <v>7.7041095890410958</v>
      </c>
      <c r="T1664" s="361">
        <f t="shared" si="306"/>
        <v>0.10555555555555554</v>
      </c>
      <c r="U1664" s="362">
        <f t="shared" si="307"/>
        <v>345211.10555555549</v>
      </c>
      <c r="V1664" s="362">
        <f t="shared" si="308"/>
        <v>2819679.8944444447</v>
      </c>
      <c r="W1664" s="362">
        <f t="shared" si="309"/>
        <v>163521</v>
      </c>
      <c r="X1664" s="742">
        <f t="shared" si="300"/>
        <v>2656158.8944444447</v>
      </c>
    </row>
    <row r="1665" spans="1:24" ht="13.9">
      <c r="A1665" s="349">
        <f t="shared" si="302"/>
        <v>1657</v>
      </c>
      <c r="B1665" s="654" t="s">
        <v>71</v>
      </c>
      <c r="C1665" s="684" t="s">
        <v>29</v>
      </c>
      <c r="D1665" s="743" t="s">
        <v>3663</v>
      </c>
      <c r="E1665" s="654" t="s">
        <v>766</v>
      </c>
      <c r="F1665" s="334"/>
      <c r="G1665" s="657">
        <v>44922</v>
      </c>
      <c r="H1665" s="426">
        <v>3270421</v>
      </c>
      <c r="I1665" s="744"/>
      <c r="J1665" s="744"/>
      <c r="K1665" s="354">
        <f t="shared" si="299"/>
        <v>3270421</v>
      </c>
      <c r="L1665" s="657">
        <v>44922</v>
      </c>
      <c r="M1665" s="742">
        <v>93583</v>
      </c>
      <c r="N1665" s="352">
        <f t="shared" si="301"/>
        <v>3176838</v>
      </c>
      <c r="O1665" s="357">
        <f t="shared" si="298"/>
        <v>461</v>
      </c>
      <c r="P1665" s="410">
        <v>9</v>
      </c>
      <c r="Q1665" s="358">
        <f t="shared" si="303"/>
        <v>1.263013698630137</v>
      </c>
      <c r="R1665" s="359">
        <f t="shared" si="304"/>
        <v>7.7369863013698632</v>
      </c>
      <c r="S1665" s="360">
        <f t="shared" si="305"/>
        <v>7.7369863013698632</v>
      </c>
      <c r="T1665" s="361">
        <f t="shared" si="306"/>
        <v>0.10555555555555554</v>
      </c>
      <c r="U1665" s="362">
        <f t="shared" si="307"/>
        <v>345211.10555555549</v>
      </c>
      <c r="V1665" s="362">
        <f t="shared" si="308"/>
        <v>2831626.8944444447</v>
      </c>
      <c r="W1665" s="362">
        <f t="shared" si="309"/>
        <v>163521</v>
      </c>
      <c r="X1665" s="742">
        <f t="shared" si="300"/>
        <v>2668105.8944444447</v>
      </c>
    </row>
    <row r="1666" spans="1:24" ht="13.9">
      <c r="A1666" s="349">
        <f t="shared" si="302"/>
        <v>1658</v>
      </c>
      <c r="B1666" s="654" t="s">
        <v>71</v>
      </c>
      <c r="C1666" s="684" t="s">
        <v>29</v>
      </c>
      <c r="D1666" s="743" t="s">
        <v>3663</v>
      </c>
      <c r="E1666" s="654" t="s">
        <v>766</v>
      </c>
      <c r="F1666" s="334"/>
      <c r="G1666" s="657">
        <v>44922</v>
      </c>
      <c r="H1666" s="426">
        <v>3270421</v>
      </c>
      <c r="I1666" s="744"/>
      <c r="J1666" s="744"/>
      <c r="K1666" s="354">
        <f t="shared" si="299"/>
        <v>3270421</v>
      </c>
      <c r="L1666" s="657">
        <v>44922</v>
      </c>
      <c r="M1666" s="742">
        <v>93583</v>
      </c>
      <c r="N1666" s="352">
        <f t="shared" si="301"/>
        <v>3176838</v>
      </c>
      <c r="O1666" s="357">
        <f t="shared" si="298"/>
        <v>461</v>
      </c>
      <c r="P1666" s="410">
        <v>9</v>
      </c>
      <c r="Q1666" s="358">
        <f t="shared" si="303"/>
        <v>1.263013698630137</v>
      </c>
      <c r="R1666" s="359">
        <f t="shared" si="304"/>
        <v>7.7369863013698632</v>
      </c>
      <c r="S1666" s="360">
        <f t="shared" si="305"/>
        <v>7.7369863013698632</v>
      </c>
      <c r="T1666" s="361">
        <f t="shared" si="306"/>
        <v>0.10555555555555554</v>
      </c>
      <c r="U1666" s="362">
        <f t="shared" si="307"/>
        <v>345211.10555555549</v>
      </c>
      <c r="V1666" s="362">
        <f t="shared" si="308"/>
        <v>2831626.8944444447</v>
      </c>
      <c r="W1666" s="362">
        <f t="shared" si="309"/>
        <v>163521</v>
      </c>
      <c r="X1666" s="742">
        <f t="shared" si="300"/>
        <v>2668105.8944444447</v>
      </c>
    </row>
    <row r="1667" spans="1:24" ht="13.9">
      <c r="A1667" s="349">
        <f t="shared" si="302"/>
        <v>1659</v>
      </c>
      <c r="B1667" s="654" t="s">
        <v>71</v>
      </c>
      <c r="C1667" s="684" t="s">
        <v>29</v>
      </c>
      <c r="D1667" s="743" t="s">
        <v>3663</v>
      </c>
      <c r="E1667" s="654" t="s">
        <v>766</v>
      </c>
      <c r="F1667" s="334"/>
      <c r="G1667" s="657">
        <v>44922</v>
      </c>
      <c r="H1667" s="426">
        <v>3270421</v>
      </c>
      <c r="I1667" s="744"/>
      <c r="J1667" s="744"/>
      <c r="K1667" s="354">
        <f t="shared" si="299"/>
        <v>3270421</v>
      </c>
      <c r="L1667" s="657">
        <v>44922</v>
      </c>
      <c r="M1667" s="742">
        <v>93583</v>
      </c>
      <c r="N1667" s="352">
        <f t="shared" si="301"/>
        <v>3176838</v>
      </c>
      <c r="O1667" s="357">
        <f t="shared" ref="O1667:O1730" si="310">+$O$3-L1667+1</f>
        <v>461</v>
      </c>
      <c r="P1667" s="410">
        <v>9</v>
      </c>
      <c r="Q1667" s="358">
        <f t="shared" si="303"/>
        <v>1.263013698630137</v>
      </c>
      <c r="R1667" s="359">
        <f t="shared" si="304"/>
        <v>7.7369863013698632</v>
      </c>
      <c r="S1667" s="360">
        <f t="shared" si="305"/>
        <v>7.7369863013698632</v>
      </c>
      <c r="T1667" s="361">
        <f t="shared" si="306"/>
        <v>0.10555555555555554</v>
      </c>
      <c r="U1667" s="362">
        <f t="shared" si="307"/>
        <v>345211.10555555549</v>
      </c>
      <c r="V1667" s="362">
        <f t="shared" si="308"/>
        <v>2831626.8944444447</v>
      </c>
      <c r="W1667" s="362">
        <f t="shared" si="309"/>
        <v>163521</v>
      </c>
      <c r="X1667" s="742">
        <f t="shared" si="300"/>
        <v>2668105.8944444447</v>
      </c>
    </row>
    <row r="1668" spans="1:24" ht="13.9">
      <c r="A1668" s="349">
        <f t="shared" si="302"/>
        <v>1660</v>
      </c>
      <c r="B1668" s="654" t="s">
        <v>584</v>
      </c>
      <c r="C1668" s="684" t="s">
        <v>29</v>
      </c>
      <c r="D1668" s="743" t="s">
        <v>3663</v>
      </c>
      <c r="E1668" s="654" t="s">
        <v>766</v>
      </c>
      <c r="F1668" s="334"/>
      <c r="G1668" s="657">
        <v>44859</v>
      </c>
      <c r="H1668" s="426">
        <v>3039939.47</v>
      </c>
      <c r="I1668" s="744"/>
      <c r="J1668" s="744"/>
      <c r="K1668" s="354">
        <f t="shared" ref="K1668:K1731" si="311">+H1668+I1668-J1668</f>
        <v>3039939.47</v>
      </c>
      <c r="L1668" s="657">
        <v>44859</v>
      </c>
      <c r="M1668" s="742">
        <v>145288</v>
      </c>
      <c r="N1668" s="352">
        <f t="shared" si="301"/>
        <v>2894651.47</v>
      </c>
      <c r="O1668" s="357">
        <f t="shared" si="310"/>
        <v>524</v>
      </c>
      <c r="P1668" s="410">
        <v>9</v>
      </c>
      <c r="Q1668" s="358">
        <f t="shared" si="303"/>
        <v>1.4356164383561645</v>
      </c>
      <c r="R1668" s="359">
        <f t="shared" si="304"/>
        <v>7.5643835616438357</v>
      </c>
      <c r="S1668" s="360">
        <f t="shared" si="305"/>
        <v>7.5643835616438357</v>
      </c>
      <c r="T1668" s="361">
        <f t="shared" si="306"/>
        <v>0.10555555555555554</v>
      </c>
      <c r="U1668" s="362">
        <f t="shared" si="307"/>
        <v>320882.49961111107</v>
      </c>
      <c r="V1668" s="362">
        <f t="shared" si="308"/>
        <v>2573768.9703888893</v>
      </c>
      <c r="W1668" s="362">
        <f t="shared" si="309"/>
        <v>151997</v>
      </c>
      <c r="X1668" s="742">
        <f t="shared" ref="X1668:X1731" si="312">+V1668-W1668</f>
        <v>2421771.9703888893</v>
      </c>
    </row>
    <row r="1669" spans="1:24" ht="13.9">
      <c r="A1669" s="349">
        <f t="shared" si="302"/>
        <v>1661</v>
      </c>
      <c r="B1669" s="654" t="s">
        <v>584</v>
      </c>
      <c r="C1669" s="684" t="s">
        <v>29</v>
      </c>
      <c r="D1669" s="743" t="s">
        <v>3663</v>
      </c>
      <c r="E1669" s="654" t="s">
        <v>766</v>
      </c>
      <c r="F1669" s="334"/>
      <c r="G1669" s="657">
        <v>44859</v>
      </c>
      <c r="H1669" s="426">
        <v>3039939.47</v>
      </c>
      <c r="I1669" s="744"/>
      <c r="J1669" s="744"/>
      <c r="K1669" s="354">
        <f t="shared" si="311"/>
        <v>3039939.47</v>
      </c>
      <c r="L1669" s="657">
        <v>44859</v>
      </c>
      <c r="M1669" s="742">
        <v>145288</v>
      </c>
      <c r="N1669" s="352">
        <f t="shared" si="301"/>
        <v>2894651.47</v>
      </c>
      <c r="O1669" s="357">
        <f t="shared" si="310"/>
        <v>524</v>
      </c>
      <c r="P1669" s="410">
        <v>9</v>
      </c>
      <c r="Q1669" s="358">
        <f t="shared" si="303"/>
        <v>1.4356164383561645</v>
      </c>
      <c r="R1669" s="359">
        <f t="shared" si="304"/>
        <v>7.5643835616438357</v>
      </c>
      <c r="S1669" s="360">
        <f t="shared" si="305"/>
        <v>7.5643835616438357</v>
      </c>
      <c r="T1669" s="361">
        <f t="shared" si="306"/>
        <v>0.10555555555555554</v>
      </c>
      <c r="U1669" s="362">
        <f t="shared" si="307"/>
        <v>320882.49961111107</v>
      </c>
      <c r="V1669" s="362">
        <f t="shared" si="308"/>
        <v>2573768.9703888893</v>
      </c>
      <c r="W1669" s="362">
        <f t="shared" si="309"/>
        <v>151997</v>
      </c>
      <c r="X1669" s="742">
        <f t="shared" si="312"/>
        <v>2421771.9703888893</v>
      </c>
    </row>
    <row r="1670" spans="1:24" ht="13.9">
      <c r="A1670" s="349">
        <f t="shared" si="302"/>
        <v>1662</v>
      </c>
      <c r="B1670" s="654" t="s">
        <v>584</v>
      </c>
      <c r="C1670" s="684" t="s">
        <v>29</v>
      </c>
      <c r="D1670" s="743" t="s">
        <v>3663</v>
      </c>
      <c r="E1670" s="654" t="s">
        <v>766</v>
      </c>
      <c r="F1670" s="334"/>
      <c r="G1670" s="657">
        <v>44859</v>
      </c>
      <c r="H1670" s="426">
        <v>3039939.47</v>
      </c>
      <c r="I1670" s="744"/>
      <c r="J1670" s="744"/>
      <c r="K1670" s="354">
        <f t="shared" si="311"/>
        <v>3039939.47</v>
      </c>
      <c r="L1670" s="657">
        <v>44859</v>
      </c>
      <c r="M1670" s="742">
        <v>145288</v>
      </c>
      <c r="N1670" s="352">
        <f t="shared" ref="N1670:N1733" si="313">+K1670-M1670</f>
        <v>2894651.47</v>
      </c>
      <c r="O1670" s="357">
        <f t="shared" si="310"/>
        <v>524</v>
      </c>
      <c r="P1670" s="410">
        <v>9</v>
      </c>
      <c r="Q1670" s="358">
        <f t="shared" si="303"/>
        <v>1.4356164383561645</v>
      </c>
      <c r="R1670" s="359">
        <f t="shared" si="304"/>
        <v>7.5643835616438357</v>
      </c>
      <c r="S1670" s="360">
        <f t="shared" si="305"/>
        <v>7.5643835616438357</v>
      </c>
      <c r="T1670" s="361">
        <f t="shared" si="306"/>
        <v>0.10555555555555554</v>
      </c>
      <c r="U1670" s="362">
        <f t="shared" si="307"/>
        <v>320882.49961111107</v>
      </c>
      <c r="V1670" s="362">
        <f t="shared" si="308"/>
        <v>2573768.9703888893</v>
      </c>
      <c r="W1670" s="362">
        <f t="shared" si="309"/>
        <v>151997</v>
      </c>
      <c r="X1670" s="742">
        <f t="shared" si="312"/>
        <v>2421771.9703888893</v>
      </c>
    </row>
    <row r="1671" spans="1:24" ht="13.9">
      <c r="A1671" s="349">
        <f t="shared" si="302"/>
        <v>1663</v>
      </c>
      <c r="B1671" s="654" t="s">
        <v>584</v>
      </c>
      <c r="C1671" s="684" t="s">
        <v>29</v>
      </c>
      <c r="D1671" s="743" t="s">
        <v>3663</v>
      </c>
      <c r="E1671" s="654" t="s">
        <v>766</v>
      </c>
      <c r="F1671" s="334"/>
      <c r="G1671" s="657">
        <v>44859</v>
      </c>
      <c r="H1671" s="426">
        <v>3039939.47</v>
      </c>
      <c r="I1671" s="744"/>
      <c r="J1671" s="744"/>
      <c r="K1671" s="354">
        <f t="shared" si="311"/>
        <v>3039939.47</v>
      </c>
      <c r="L1671" s="657">
        <v>44859</v>
      </c>
      <c r="M1671" s="742">
        <v>145288</v>
      </c>
      <c r="N1671" s="352">
        <f t="shared" si="313"/>
        <v>2894651.47</v>
      </c>
      <c r="O1671" s="357">
        <f t="shared" si="310"/>
        <v>524</v>
      </c>
      <c r="P1671" s="410">
        <v>9</v>
      </c>
      <c r="Q1671" s="358">
        <f t="shared" si="303"/>
        <v>1.4356164383561645</v>
      </c>
      <c r="R1671" s="359">
        <f t="shared" si="304"/>
        <v>7.5643835616438357</v>
      </c>
      <c r="S1671" s="360">
        <f t="shared" si="305"/>
        <v>7.5643835616438357</v>
      </c>
      <c r="T1671" s="361">
        <f t="shared" si="306"/>
        <v>0.10555555555555554</v>
      </c>
      <c r="U1671" s="362">
        <f t="shared" si="307"/>
        <v>320882.49961111107</v>
      </c>
      <c r="V1671" s="362">
        <f t="shared" si="308"/>
        <v>2573768.9703888893</v>
      </c>
      <c r="W1671" s="362">
        <f t="shared" si="309"/>
        <v>151997</v>
      </c>
      <c r="X1671" s="742">
        <f t="shared" si="312"/>
        <v>2421771.9703888893</v>
      </c>
    </row>
    <row r="1672" spans="1:24" ht="13.9">
      <c r="A1672" s="349">
        <f t="shared" si="302"/>
        <v>1664</v>
      </c>
      <c r="B1672" s="654" t="s">
        <v>584</v>
      </c>
      <c r="C1672" s="684" t="s">
        <v>29</v>
      </c>
      <c r="D1672" s="743" t="s">
        <v>3663</v>
      </c>
      <c r="E1672" s="654" t="s">
        <v>766</v>
      </c>
      <c r="F1672" s="334"/>
      <c r="G1672" s="657">
        <v>44859</v>
      </c>
      <c r="H1672" s="426">
        <v>3039939.47</v>
      </c>
      <c r="I1672" s="744"/>
      <c r="J1672" s="744"/>
      <c r="K1672" s="354">
        <f t="shared" si="311"/>
        <v>3039939.47</v>
      </c>
      <c r="L1672" s="657">
        <v>44859</v>
      </c>
      <c r="M1672" s="742">
        <v>145288</v>
      </c>
      <c r="N1672" s="352">
        <f t="shared" si="313"/>
        <v>2894651.47</v>
      </c>
      <c r="O1672" s="357">
        <f t="shared" si="310"/>
        <v>524</v>
      </c>
      <c r="P1672" s="410">
        <v>9</v>
      </c>
      <c r="Q1672" s="358">
        <f t="shared" si="303"/>
        <v>1.4356164383561645</v>
      </c>
      <c r="R1672" s="359">
        <f t="shared" si="304"/>
        <v>7.5643835616438357</v>
      </c>
      <c r="S1672" s="360">
        <f t="shared" si="305"/>
        <v>7.5643835616438357</v>
      </c>
      <c r="T1672" s="361">
        <f t="shared" si="306"/>
        <v>0.10555555555555554</v>
      </c>
      <c r="U1672" s="362">
        <f t="shared" si="307"/>
        <v>320882.49961111107</v>
      </c>
      <c r="V1672" s="362">
        <f t="shared" si="308"/>
        <v>2573768.9703888893</v>
      </c>
      <c r="W1672" s="362">
        <f t="shared" si="309"/>
        <v>151997</v>
      </c>
      <c r="X1672" s="742">
        <f t="shared" si="312"/>
        <v>2421771.9703888893</v>
      </c>
    </row>
    <row r="1673" spans="1:24" ht="13.9">
      <c r="A1673" s="349">
        <f t="shared" ref="A1673:A1736" si="314">+A1672+1</f>
        <v>1665</v>
      </c>
      <c r="B1673" s="654" t="s">
        <v>584</v>
      </c>
      <c r="C1673" s="684" t="s">
        <v>29</v>
      </c>
      <c r="D1673" s="743" t="s">
        <v>3663</v>
      </c>
      <c r="E1673" s="654" t="s">
        <v>766</v>
      </c>
      <c r="F1673" s="334"/>
      <c r="G1673" s="657">
        <v>44859</v>
      </c>
      <c r="H1673" s="426">
        <v>3039939.47</v>
      </c>
      <c r="I1673" s="744"/>
      <c r="J1673" s="744"/>
      <c r="K1673" s="354">
        <f t="shared" si="311"/>
        <v>3039939.47</v>
      </c>
      <c r="L1673" s="657">
        <v>44859</v>
      </c>
      <c r="M1673" s="742">
        <v>145288</v>
      </c>
      <c r="N1673" s="352">
        <f t="shared" si="313"/>
        <v>2894651.47</v>
      </c>
      <c r="O1673" s="357">
        <f t="shared" si="310"/>
        <v>524</v>
      </c>
      <c r="P1673" s="410">
        <v>9</v>
      </c>
      <c r="Q1673" s="358">
        <f t="shared" si="303"/>
        <v>1.4356164383561645</v>
      </c>
      <c r="R1673" s="359">
        <f t="shared" si="304"/>
        <v>7.5643835616438357</v>
      </c>
      <c r="S1673" s="360">
        <f t="shared" si="305"/>
        <v>7.5643835616438357</v>
      </c>
      <c r="T1673" s="361">
        <f t="shared" si="306"/>
        <v>0.10555555555555554</v>
      </c>
      <c r="U1673" s="362">
        <f t="shared" si="307"/>
        <v>320882.49961111107</v>
      </c>
      <c r="V1673" s="362">
        <f t="shared" si="308"/>
        <v>2573768.9703888893</v>
      </c>
      <c r="W1673" s="362">
        <f t="shared" si="309"/>
        <v>151997</v>
      </c>
      <c r="X1673" s="742">
        <f t="shared" si="312"/>
        <v>2421771.9703888893</v>
      </c>
    </row>
    <row r="1674" spans="1:24" ht="13.9">
      <c r="A1674" s="349">
        <f t="shared" si="314"/>
        <v>1666</v>
      </c>
      <c r="B1674" s="654" t="s">
        <v>584</v>
      </c>
      <c r="C1674" s="684" t="s">
        <v>29</v>
      </c>
      <c r="D1674" s="743" t="s">
        <v>3663</v>
      </c>
      <c r="E1674" s="654" t="s">
        <v>766</v>
      </c>
      <c r="F1674" s="334"/>
      <c r="G1674" s="657">
        <v>44859</v>
      </c>
      <c r="H1674" s="426">
        <v>3039939.47</v>
      </c>
      <c r="I1674" s="744"/>
      <c r="J1674" s="744"/>
      <c r="K1674" s="354">
        <f t="shared" si="311"/>
        <v>3039939.47</v>
      </c>
      <c r="L1674" s="657">
        <v>44859</v>
      </c>
      <c r="M1674" s="742">
        <v>145288</v>
      </c>
      <c r="N1674" s="352">
        <f t="shared" si="313"/>
        <v>2894651.47</v>
      </c>
      <c r="O1674" s="357">
        <f t="shared" si="310"/>
        <v>524</v>
      </c>
      <c r="P1674" s="410">
        <v>9</v>
      </c>
      <c r="Q1674" s="358">
        <f t="shared" si="303"/>
        <v>1.4356164383561645</v>
      </c>
      <c r="R1674" s="359">
        <f t="shared" si="304"/>
        <v>7.5643835616438357</v>
      </c>
      <c r="S1674" s="360">
        <f t="shared" si="305"/>
        <v>7.5643835616438357</v>
      </c>
      <c r="T1674" s="361">
        <f t="shared" si="306"/>
        <v>0.10555555555555554</v>
      </c>
      <c r="U1674" s="362">
        <f t="shared" si="307"/>
        <v>320882.49961111107</v>
      </c>
      <c r="V1674" s="362">
        <f t="shared" si="308"/>
        <v>2573768.9703888893</v>
      </c>
      <c r="W1674" s="362">
        <f t="shared" si="309"/>
        <v>151997</v>
      </c>
      <c r="X1674" s="742">
        <f t="shared" si="312"/>
        <v>2421771.9703888893</v>
      </c>
    </row>
    <row r="1675" spans="1:24" ht="13.9">
      <c r="A1675" s="349">
        <f t="shared" si="314"/>
        <v>1667</v>
      </c>
      <c r="B1675" s="654" t="s">
        <v>584</v>
      </c>
      <c r="C1675" s="684" t="s">
        <v>29</v>
      </c>
      <c r="D1675" s="743" t="s">
        <v>3663</v>
      </c>
      <c r="E1675" s="654" t="s">
        <v>766</v>
      </c>
      <c r="F1675" s="334"/>
      <c r="G1675" s="657">
        <v>44859</v>
      </c>
      <c r="H1675" s="426">
        <v>3039939.47</v>
      </c>
      <c r="I1675" s="744"/>
      <c r="J1675" s="744"/>
      <c r="K1675" s="354">
        <f t="shared" si="311"/>
        <v>3039939.47</v>
      </c>
      <c r="L1675" s="657">
        <v>44859</v>
      </c>
      <c r="M1675" s="742">
        <v>145288</v>
      </c>
      <c r="N1675" s="352">
        <f t="shared" si="313"/>
        <v>2894651.47</v>
      </c>
      <c r="O1675" s="357">
        <f t="shared" si="310"/>
        <v>524</v>
      </c>
      <c r="P1675" s="410">
        <v>9</v>
      </c>
      <c r="Q1675" s="358">
        <f t="shared" si="303"/>
        <v>1.4356164383561645</v>
      </c>
      <c r="R1675" s="359">
        <f t="shared" si="304"/>
        <v>7.5643835616438357</v>
      </c>
      <c r="S1675" s="360">
        <f t="shared" si="305"/>
        <v>7.5643835616438357</v>
      </c>
      <c r="T1675" s="361">
        <f t="shared" si="306"/>
        <v>0.10555555555555554</v>
      </c>
      <c r="U1675" s="362">
        <f t="shared" si="307"/>
        <v>320882.49961111107</v>
      </c>
      <c r="V1675" s="362">
        <f t="shared" si="308"/>
        <v>2573768.9703888893</v>
      </c>
      <c r="W1675" s="362">
        <f t="shared" si="309"/>
        <v>151997</v>
      </c>
      <c r="X1675" s="742">
        <f t="shared" si="312"/>
        <v>2421771.9703888893</v>
      </c>
    </row>
    <row r="1676" spans="1:24" ht="13.9">
      <c r="A1676" s="349">
        <f t="shared" si="314"/>
        <v>1668</v>
      </c>
      <c r="B1676" s="654" t="s">
        <v>584</v>
      </c>
      <c r="C1676" s="684" t="s">
        <v>29</v>
      </c>
      <c r="D1676" s="743" t="s">
        <v>3663</v>
      </c>
      <c r="E1676" s="654" t="s">
        <v>766</v>
      </c>
      <c r="F1676" s="334"/>
      <c r="G1676" s="657">
        <v>44910</v>
      </c>
      <c r="H1676" s="426">
        <v>3072033.47</v>
      </c>
      <c r="I1676" s="744"/>
      <c r="J1676" s="744"/>
      <c r="K1676" s="354">
        <f t="shared" si="311"/>
        <v>3072033.47</v>
      </c>
      <c r="L1676" s="657">
        <v>44910</v>
      </c>
      <c r="M1676" s="742">
        <v>99128</v>
      </c>
      <c r="N1676" s="352">
        <f t="shared" si="313"/>
        <v>2972905.47</v>
      </c>
      <c r="O1676" s="357">
        <f t="shared" si="310"/>
        <v>473</v>
      </c>
      <c r="P1676" s="410">
        <v>9</v>
      </c>
      <c r="Q1676" s="358">
        <f t="shared" si="303"/>
        <v>1.295890410958904</v>
      </c>
      <c r="R1676" s="359">
        <f t="shared" si="304"/>
        <v>7.7041095890410958</v>
      </c>
      <c r="S1676" s="360">
        <f t="shared" si="305"/>
        <v>7.7041095890410958</v>
      </c>
      <c r="T1676" s="361">
        <f t="shared" si="306"/>
        <v>0.10555555555555554</v>
      </c>
      <c r="U1676" s="362">
        <f t="shared" si="307"/>
        <v>324270.19961111108</v>
      </c>
      <c r="V1676" s="362">
        <f t="shared" si="308"/>
        <v>2648635.2703888891</v>
      </c>
      <c r="W1676" s="362">
        <f t="shared" si="309"/>
        <v>153602</v>
      </c>
      <c r="X1676" s="742">
        <f t="shared" si="312"/>
        <v>2495033.2703888891</v>
      </c>
    </row>
    <row r="1677" spans="1:24" ht="13.9">
      <c r="A1677" s="349">
        <f t="shared" si="314"/>
        <v>1669</v>
      </c>
      <c r="B1677" s="654" t="s">
        <v>584</v>
      </c>
      <c r="C1677" s="684" t="s">
        <v>29</v>
      </c>
      <c r="D1677" s="743" t="s">
        <v>3663</v>
      </c>
      <c r="E1677" s="654" t="s">
        <v>766</v>
      </c>
      <c r="F1677" s="334"/>
      <c r="G1677" s="657">
        <v>44910</v>
      </c>
      <c r="H1677" s="426">
        <v>3072033.47</v>
      </c>
      <c r="I1677" s="744"/>
      <c r="J1677" s="744"/>
      <c r="K1677" s="354">
        <f t="shared" si="311"/>
        <v>3072033.47</v>
      </c>
      <c r="L1677" s="657">
        <v>44910</v>
      </c>
      <c r="M1677" s="742">
        <v>99128</v>
      </c>
      <c r="N1677" s="352">
        <f t="shared" si="313"/>
        <v>2972905.47</v>
      </c>
      <c r="O1677" s="357">
        <f t="shared" si="310"/>
        <v>473</v>
      </c>
      <c r="P1677" s="410">
        <v>9</v>
      </c>
      <c r="Q1677" s="358">
        <f t="shared" si="303"/>
        <v>1.295890410958904</v>
      </c>
      <c r="R1677" s="359">
        <f t="shared" si="304"/>
        <v>7.7041095890410958</v>
      </c>
      <c r="S1677" s="360">
        <f t="shared" si="305"/>
        <v>7.7041095890410958</v>
      </c>
      <c r="T1677" s="361">
        <f t="shared" si="306"/>
        <v>0.10555555555555554</v>
      </c>
      <c r="U1677" s="362">
        <f t="shared" si="307"/>
        <v>324270.19961111108</v>
      </c>
      <c r="V1677" s="362">
        <f t="shared" si="308"/>
        <v>2648635.2703888891</v>
      </c>
      <c r="W1677" s="362">
        <f t="shared" si="309"/>
        <v>153602</v>
      </c>
      <c r="X1677" s="742">
        <f t="shared" si="312"/>
        <v>2495033.2703888891</v>
      </c>
    </row>
    <row r="1678" spans="1:24" ht="13.9">
      <c r="A1678" s="349">
        <f t="shared" si="314"/>
        <v>1670</v>
      </c>
      <c r="B1678" s="654" t="s">
        <v>584</v>
      </c>
      <c r="C1678" s="684" t="s">
        <v>29</v>
      </c>
      <c r="D1678" s="743" t="s">
        <v>3663</v>
      </c>
      <c r="E1678" s="654" t="s">
        <v>766</v>
      </c>
      <c r="F1678" s="334"/>
      <c r="G1678" s="657">
        <v>44910</v>
      </c>
      <c r="H1678" s="426">
        <v>3072033.47</v>
      </c>
      <c r="I1678" s="744"/>
      <c r="J1678" s="744"/>
      <c r="K1678" s="354">
        <f t="shared" si="311"/>
        <v>3072033.47</v>
      </c>
      <c r="L1678" s="657">
        <v>44910</v>
      </c>
      <c r="M1678" s="742">
        <v>99128</v>
      </c>
      <c r="N1678" s="352">
        <f t="shared" si="313"/>
        <v>2972905.47</v>
      </c>
      <c r="O1678" s="357">
        <f t="shared" si="310"/>
        <v>473</v>
      </c>
      <c r="P1678" s="410">
        <v>9</v>
      </c>
      <c r="Q1678" s="358">
        <f t="shared" ref="Q1678:Q1741" si="315">+O1678/365</f>
        <v>1.295890410958904</v>
      </c>
      <c r="R1678" s="359">
        <f t="shared" ref="R1678:R1741" si="316">+P1678-Q1678</f>
        <v>7.7041095890410958</v>
      </c>
      <c r="S1678" s="360">
        <f t="shared" ref="S1678:S1741" si="317">IF(R1678&lt;0,0,IF(R1678&gt;365,365,R1678))</f>
        <v>7.7041095890410958</v>
      </c>
      <c r="T1678" s="361">
        <f t="shared" ref="T1678:T1741" si="318">1/P1678*0.95</f>
        <v>0.10555555555555554</v>
      </c>
      <c r="U1678" s="362">
        <f t="shared" ref="U1678:U1741" si="319">+K1678*T1678</f>
        <v>324270.19961111108</v>
      </c>
      <c r="V1678" s="362">
        <f t="shared" ref="V1678:V1741" si="320">+N1678-U1678</f>
        <v>2648635.2703888891</v>
      </c>
      <c r="W1678" s="362">
        <f t="shared" ref="W1678:W1741" si="321">ROUND(+H1678*5%,0)</f>
        <v>153602</v>
      </c>
      <c r="X1678" s="742">
        <f t="shared" si="312"/>
        <v>2495033.2703888891</v>
      </c>
    </row>
    <row r="1679" spans="1:24" ht="13.9">
      <c r="A1679" s="349">
        <f t="shared" si="314"/>
        <v>1671</v>
      </c>
      <c r="B1679" s="654" t="s">
        <v>584</v>
      </c>
      <c r="C1679" s="684" t="s">
        <v>29</v>
      </c>
      <c r="D1679" s="743" t="s">
        <v>3663</v>
      </c>
      <c r="E1679" s="654" t="s">
        <v>766</v>
      </c>
      <c r="F1679" s="334"/>
      <c r="G1679" s="657">
        <v>44910</v>
      </c>
      <c r="H1679" s="426">
        <v>3072033.47</v>
      </c>
      <c r="I1679" s="744"/>
      <c r="J1679" s="744"/>
      <c r="K1679" s="354">
        <f t="shared" si="311"/>
        <v>3072033.47</v>
      </c>
      <c r="L1679" s="657">
        <v>44910</v>
      </c>
      <c r="M1679" s="742">
        <v>99128</v>
      </c>
      <c r="N1679" s="352">
        <f t="shared" si="313"/>
        <v>2972905.47</v>
      </c>
      <c r="O1679" s="357">
        <f t="shared" si="310"/>
        <v>473</v>
      </c>
      <c r="P1679" s="410">
        <v>9</v>
      </c>
      <c r="Q1679" s="358">
        <f t="shared" si="315"/>
        <v>1.295890410958904</v>
      </c>
      <c r="R1679" s="359">
        <f t="shared" si="316"/>
        <v>7.7041095890410958</v>
      </c>
      <c r="S1679" s="360">
        <f t="shared" si="317"/>
        <v>7.7041095890410958</v>
      </c>
      <c r="T1679" s="361">
        <f t="shared" si="318"/>
        <v>0.10555555555555554</v>
      </c>
      <c r="U1679" s="362">
        <f t="shared" si="319"/>
        <v>324270.19961111108</v>
      </c>
      <c r="V1679" s="362">
        <f t="shared" si="320"/>
        <v>2648635.2703888891</v>
      </c>
      <c r="W1679" s="362">
        <f t="shared" si="321"/>
        <v>153602</v>
      </c>
      <c r="X1679" s="742">
        <f t="shared" si="312"/>
        <v>2495033.2703888891</v>
      </c>
    </row>
    <row r="1680" spans="1:24" ht="13.9">
      <c r="A1680" s="349">
        <f t="shared" si="314"/>
        <v>1672</v>
      </c>
      <c r="B1680" s="654" t="s">
        <v>303</v>
      </c>
      <c r="C1680" s="684" t="s">
        <v>29</v>
      </c>
      <c r="D1680" s="743" t="s">
        <v>3663</v>
      </c>
      <c r="E1680" s="699" t="s">
        <v>422</v>
      </c>
      <c r="F1680" s="334"/>
      <c r="G1680" s="657">
        <v>44874</v>
      </c>
      <c r="H1680" s="426">
        <v>140000</v>
      </c>
      <c r="I1680" s="744"/>
      <c r="J1680" s="744"/>
      <c r="K1680" s="354">
        <f t="shared" si="311"/>
        <v>140000</v>
      </c>
      <c r="L1680" s="657">
        <v>44874</v>
      </c>
      <c r="M1680" s="742">
        <v>6052</v>
      </c>
      <c r="N1680" s="352">
        <f t="shared" si="313"/>
        <v>133948</v>
      </c>
      <c r="O1680" s="357">
        <f t="shared" si="310"/>
        <v>509</v>
      </c>
      <c r="P1680" s="410">
        <v>9</v>
      </c>
      <c r="Q1680" s="358">
        <f t="shared" si="315"/>
        <v>1.3945205479452054</v>
      </c>
      <c r="R1680" s="359">
        <f t="shared" si="316"/>
        <v>7.6054794520547944</v>
      </c>
      <c r="S1680" s="360">
        <f t="shared" si="317"/>
        <v>7.6054794520547944</v>
      </c>
      <c r="T1680" s="361">
        <f t="shared" si="318"/>
        <v>0.10555555555555554</v>
      </c>
      <c r="U1680" s="362">
        <f t="shared" si="319"/>
        <v>14777.777777777776</v>
      </c>
      <c r="V1680" s="362">
        <f t="shared" si="320"/>
        <v>119170.22222222222</v>
      </c>
      <c r="W1680" s="362">
        <f t="shared" si="321"/>
        <v>7000</v>
      </c>
      <c r="X1680" s="742">
        <f t="shared" si="312"/>
        <v>112170.22222222222</v>
      </c>
    </row>
    <row r="1681" spans="1:24" ht="13.9">
      <c r="A1681" s="349">
        <f t="shared" si="314"/>
        <v>1673</v>
      </c>
      <c r="B1681" s="654" t="s">
        <v>303</v>
      </c>
      <c r="C1681" s="684" t="s">
        <v>29</v>
      </c>
      <c r="D1681" s="743" t="s">
        <v>3663</v>
      </c>
      <c r="E1681" s="699" t="s">
        <v>422</v>
      </c>
      <c r="F1681" s="334"/>
      <c r="G1681" s="657">
        <v>44874</v>
      </c>
      <c r="H1681" s="426">
        <v>140000</v>
      </c>
      <c r="I1681" s="744"/>
      <c r="J1681" s="744"/>
      <c r="K1681" s="354">
        <f t="shared" si="311"/>
        <v>140000</v>
      </c>
      <c r="L1681" s="657">
        <v>44874</v>
      </c>
      <c r="M1681" s="742">
        <v>6052</v>
      </c>
      <c r="N1681" s="352">
        <f t="shared" si="313"/>
        <v>133948</v>
      </c>
      <c r="O1681" s="357">
        <f t="shared" si="310"/>
        <v>509</v>
      </c>
      <c r="P1681" s="410">
        <v>9</v>
      </c>
      <c r="Q1681" s="358">
        <f t="shared" si="315"/>
        <v>1.3945205479452054</v>
      </c>
      <c r="R1681" s="359">
        <f t="shared" si="316"/>
        <v>7.6054794520547944</v>
      </c>
      <c r="S1681" s="360">
        <f t="shared" si="317"/>
        <v>7.6054794520547944</v>
      </c>
      <c r="T1681" s="361">
        <f t="shared" si="318"/>
        <v>0.10555555555555554</v>
      </c>
      <c r="U1681" s="362">
        <f t="shared" si="319"/>
        <v>14777.777777777776</v>
      </c>
      <c r="V1681" s="362">
        <f t="shared" si="320"/>
        <v>119170.22222222222</v>
      </c>
      <c r="W1681" s="362">
        <f t="shared" si="321"/>
        <v>7000</v>
      </c>
      <c r="X1681" s="742">
        <f t="shared" si="312"/>
        <v>112170.22222222222</v>
      </c>
    </row>
    <row r="1682" spans="1:24" ht="13.9">
      <c r="A1682" s="349">
        <f t="shared" si="314"/>
        <v>1674</v>
      </c>
      <c r="B1682" s="654" t="s">
        <v>585</v>
      </c>
      <c r="C1682" s="684" t="s">
        <v>29</v>
      </c>
      <c r="D1682" s="743" t="s">
        <v>3663</v>
      </c>
      <c r="E1682" s="699" t="s">
        <v>777</v>
      </c>
      <c r="F1682" s="334"/>
      <c r="G1682" s="657">
        <v>44865</v>
      </c>
      <c r="H1682" s="426">
        <v>4187312</v>
      </c>
      <c r="I1682" s="744"/>
      <c r="J1682" s="744"/>
      <c r="K1682" s="354">
        <f t="shared" si="311"/>
        <v>4187312</v>
      </c>
      <c r="L1682" s="657">
        <v>44865</v>
      </c>
      <c r="M1682" s="742">
        <v>192476</v>
      </c>
      <c r="N1682" s="352">
        <f t="shared" si="313"/>
        <v>3994836</v>
      </c>
      <c r="O1682" s="357">
        <f t="shared" si="310"/>
        <v>518</v>
      </c>
      <c r="P1682" s="410">
        <v>9</v>
      </c>
      <c r="Q1682" s="358">
        <f t="shared" si="315"/>
        <v>1.4191780821917808</v>
      </c>
      <c r="R1682" s="359">
        <f t="shared" si="316"/>
        <v>7.580821917808219</v>
      </c>
      <c r="S1682" s="360">
        <f t="shared" si="317"/>
        <v>7.580821917808219</v>
      </c>
      <c r="T1682" s="361">
        <f t="shared" si="318"/>
        <v>0.10555555555555554</v>
      </c>
      <c r="U1682" s="362">
        <f t="shared" si="319"/>
        <v>441994.04444444436</v>
      </c>
      <c r="V1682" s="362">
        <f t="shared" si="320"/>
        <v>3552841.9555555554</v>
      </c>
      <c r="W1682" s="362">
        <f t="shared" si="321"/>
        <v>209366</v>
      </c>
      <c r="X1682" s="742">
        <f t="shared" si="312"/>
        <v>3343475.9555555554</v>
      </c>
    </row>
    <row r="1683" spans="1:24" ht="13.9">
      <c r="A1683" s="349">
        <f t="shared" si="314"/>
        <v>1675</v>
      </c>
      <c r="B1683" s="654" t="s">
        <v>585</v>
      </c>
      <c r="C1683" s="684" t="s">
        <v>29</v>
      </c>
      <c r="D1683" s="743" t="s">
        <v>3663</v>
      </c>
      <c r="E1683" s="699" t="s">
        <v>777</v>
      </c>
      <c r="F1683" s="334"/>
      <c r="G1683" s="657">
        <v>44865</v>
      </c>
      <c r="H1683" s="426">
        <v>4187312</v>
      </c>
      <c r="I1683" s="744"/>
      <c r="J1683" s="744"/>
      <c r="K1683" s="354">
        <f t="shared" si="311"/>
        <v>4187312</v>
      </c>
      <c r="L1683" s="657">
        <v>44865</v>
      </c>
      <c r="M1683" s="742">
        <v>192476</v>
      </c>
      <c r="N1683" s="352">
        <f t="shared" si="313"/>
        <v>3994836</v>
      </c>
      <c r="O1683" s="357">
        <f t="shared" si="310"/>
        <v>518</v>
      </c>
      <c r="P1683" s="410">
        <v>9</v>
      </c>
      <c r="Q1683" s="358">
        <f t="shared" si="315"/>
        <v>1.4191780821917808</v>
      </c>
      <c r="R1683" s="359">
        <f t="shared" si="316"/>
        <v>7.580821917808219</v>
      </c>
      <c r="S1683" s="360">
        <f t="shared" si="317"/>
        <v>7.580821917808219</v>
      </c>
      <c r="T1683" s="361">
        <f t="shared" si="318"/>
        <v>0.10555555555555554</v>
      </c>
      <c r="U1683" s="362">
        <f t="shared" si="319"/>
        <v>441994.04444444436</v>
      </c>
      <c r="V1683" s="362">
        <f t="shared" si="320"/>
        <v>3552841.9555555554</v>
      </c>
      <c r="W1683" s="362">
        <f t="shared" si="321"/>
        <v>209366</v>
      </c>
      <c r="X1683" s="742">
        <f t="shared" si="312"/>
        <v>3343475.9555555554</v>
      </c>
    </row>
    <row r="1684" spans="1:24" ht="13.9">
      <c r="A1684" s="349">
        <f t="shared" si="314"/>
        <v>1676</v>
      </c>
      <c r="B1684" s="670" t="s">
        <v>311</v>
      </c>
      <c r="C1684" s="669" t="s">
        <v>29</v>
      </c>
      <c r="D1684" s="743" t="s">
        <v>3663</v>
      </c>
      <c r="E1684" s="670" t="s">
        <v>403</v>
      </c>
      <c r="F1684" s="334"/>
      <c r="G1684" s="672">
        <v>44932</v>
      </c>
      <c r="H1684" s="426">
        <v>172100</v>
      </c>
      <c r="I1684" s="744"/>
      <c r="J1684" s="744"/>
      <c r="K1684" s="354">
        <f t="shared" si="311"/>
        <v>172100</v>
      </c>
      <c r="L1684" s="672">
        <v>44932</v>
      </c>
      <c r="M1684" s="742">
        <v>4401</v>
      </c>
      <c r="N1684" s="352">
        <f t="shared" si="313"/>
        <v>167699</v>
      </c>
      <c r="O1684" s="357">
        <f t="shared" si="310"/>
        <v>451</v>
      </c>
      <c r="P1684" s="410">
        <v>9</v>
      </c>
      <c r="Q1684" s="358">
        <f t="shared" si="315"/>
        <v>1.2356164383561643</v>
      </c>
      <c r="R1684" s="359">
        <f t="shared" si="316"/>
        <v>7.7643835616438359</v>
      </c>
      <c r="S1684" s="360">
        <f t="shared" si="317"/>
        <v>7.7643835616438359</v>
      </c>
      <c r="T1684" s="361">
        <f t="shared" si="318"/>
        <v>0.10555555555555554</v>
      </c>
      <c r="U1684" s="362">
        <f t="shared" si="319"/>
        <v>18166.111111111109</v>
      </c>
      <c r="V1684" s="362">
        <f t="shared" si="320"/>
        <v>149532.88888888888</v>
      </c>
      <c r="W1684" s="362">
        <f t="shared" si="321"/>
        <v>8605</v>
      </c>
      <c r="X1684" s="742">
        <f t="shared" si="312"/>
        <v>140927.88888888888</v>
      </c>
    </row>
    <row r="1685" spans="1:24" ht="13.9">
      <c r="A1685" s="349">
        <f t="shared" si="314"/>
        <v>1677</v>
      </c>
      <c r="B1685" s="669" t="s">
        <v>311</v>
      </c>
      <c r="C1685" s="669" t="s">
        <v>29</v>
      </c>
      <c r="D1685" s="743" t="s">
        <v>3663</v>
      </c>
      <c r="E1685" s="669" t="s">
        <v>403</v>
      </c>
      <c r="F1685" s="334"/>
      <c r="G1685" s="692">
        <v>44932</v>
      </c>
      <c r="H1685" s="426">
        <v>938000</v>
      </c>
      <c r="I1685" s="744"/>
      <c r="J1685" s="744"/>
      <c r="K1685" s="354">
        <f t="shared" si="311"/>
        <v>938000</v>
      </c>
      <c r="L1685" s="692">
        <v>44932</v>
      </c>
      <c r="M1685" s="742">
        <v>23985</v>
      </c>
      <c r="N1685" s="352">
        <f t="shared" si="313"/>
        <v>914015</v>
      </c>
      <c r="O1685" s="357">
        <f t="shared" si="310"/>
        <v>451</v>
      </c>
      <c r="P1685" s="410">
        <v>9</v>
      </c>
      <c r="Q1685" s="358">
        <f t="shared" si="315"/>
        <v>1.2356164383561643</v>
      </c>
      <c r="R1685" s="359">
        <f t="shared" si="316"/>
        <v>7.7643835616438359</v>
      </c>
      <c r="S1685" s="360">
        <f t="shared" si="317"/>
        <v>7.7643835616438359</v>
      </c>
      <c r="T1685" s="361">
        <f t="shared" si="318"/>
        <v>0.10555555555555554</v>
      </c>
      <c r="U1685" s="362">
        <f t="shared" si="319"/>
        <v>99011.111111111095</v>
      </c>
      <c r="V1685" s="362">
        <f t="shared" si="320"/>
        <v>815003.88888888888</v>
      </c>
      <c r="W1685" s="362">
        <f t="shared" si="321"/>
        <v>46900</v>
      </c>
      <c r="X1685" s="742">
        <f t="shared" si="312"/>
        <v>768103.88888888888</v>
      </c>
    </row>
    <row r="1686" spans="1:24" ht="13.9">
      <c r="A1686" s="349">
        <f t="shared" si="314"/>
        <v>1678</v>
      </c>
      <c r="B1686" s="669" t="s">
        <v>311</v>
      </c>
      <c r="C1686" s="669" t="s">
        <v>29</v>
      </c>
      <c r="D1686" s="743" t="s">
        <v>3663</v>
      </c>
      <c r="E1686" s="669" t="s">
        <v>403</v>
      </c>
      <c r="F1686" s="334"/>
      <c r="G1686" s="692">
        <v>44932</v>
      </c>
      <c r="H1686" s="426">
        <v>394800</v>
      </c>
      <c r="I1686" s="744"/>
      <c r="J1686" s="744"/>
      <c r="K1686" s="354">
        <f t="shared" si="311"/>
        <v>394800</v>
      </c>
      <c r="L1686" s="692">
        <v>44932</v>
      </c>
      <c r="M1686" s="742">
        <v>10095</v>
      </c>
      <c r="N1686" s="352">
        <f t="shared" si="313"/>
        <v>384705</v>
      </c>
      <c r="O1686" s="357">
        <f t="shared" si="310"/>
        <v>451</v>
      </c>
      <c r="P1686" s="410">
        <v>9</v>
      </c>
      <c r="Q1686" s="358">
        <f t="shared" si="315"/>
        <v>1.2356164383561643</v>
      </c>
      <c r="R1686" s="359">
        <f t="shared" si="316"/>
        <v>7.7643835616438359</v>
      </c>
      <c r="S1686" s="360">
        <f t="shared" si="317"/>
        <v>7.7643835616438359</v>
      </c>
      <c r="T1686" s="361">
        <f t="shared" si="318"/>
        <v>0.10555555555555554</v>
      </c>
      <c r="U1686" s="362">
        <f t="shared" si="319"/>
        <v>41673.333333333328</v>
      </c>
      <c r="V1686" s="362">
        <f t="shared" si="320"/>
        <v>343031.66666666669</v>
      </c>
      <c r="W1686" s="362">
        <f t="shared" si="321"/>
        <v>19740</v>
      </c>
      <c r="X1686" s="742">
        <f t="shared" si="312"/>
        <v>323291.66666666669</v>
      </c>
    </row>
    <row r="1687" spans="1:24" ht="13.9">
      <c r="A1687" s="349">
        <f t="shared" si="314"/>
        <v>1679</v>
      </c>
      <c r="B1687" s="669" t="s">
        <v>578</v>
      </c>
      <c r="C1687" s="669" t="s">
        <v>29</v>
      </c>
      <c r="D1687" s="743" t="s">
        <v>3663</v>
      </c>
      <c r="E1687" s="669" t="s">
        <v>407</v>
      </c>
      <c r="F1687" s="334"/>
      <c r="G1687" s="692">
        <v>44950</v>
      </c>
      <c r="H1687" s="426">
        <v>4250000</v>
      </c>
      <c r="I1687" s="744"/>
      <c r="J1687" s="744"/>
      <c r="K1687" s="354">
        <f t="shared" si="311"/>
        <v>4250000</v>
      </c>
      <c r="L1687" s="692">
        <v>44950</v>
      </c>
      <c r="M1687" s="742">
        <v>85388</v>
      </c>
      <c r="N1687" s="352">
        <f t="shared" si="313"/>
        <v>4164612</v>
      </c>
      <c r="O1687" s="357">
        <f t="shared" si="310"/>
        <v>433</v>
      </c>
      <c r="P1687" s="410">
        <v>9</v>
      </c>
      <c r="Q1687" s="358">
        <f t="shared" si="315"/>
        <v>1.1863013698630136</v>
      </c>
      <c r="R1687" s="359">
        <f t="shared" si="316"/>
        <v>7.8136986301369866</v>
      </c>
      <c r="S1687" s="360">
        <f t="shared" si="317"/>
        <v>7.8136986301369866</v>
      </c>
      <c r="T1687" s="361">
        <f t="shared" si="318"/>
        <v>0.10555555555555554</v>
      </c>
      <c r="U1687" s="362">
        <f t="shared" si="319"/>
        <v>448611.11111111107</v>
      </c>
      <c r="V1687" s="362">
        <f t="shared" si="320"/>
        <v>3716000.888888889</v>
      </c>
      <c r="W1687" s="362">
        <f t="shared" si="321"/>
        <v>212500</v>
      </c>
      <c r="X1687" s="742">
        <f t="shared" si="312"/>
        <v>3503500.888888889</v>
      </c>
    </row>
    <row r="1688" spans="1:24" ht="13.9">
      <c r="A1688" s="349">
        <f t="shared" si="314"/>
        <v>1680</v>
      </c>
      <c r="B1688" s="669" t="s">
        <v>564</v>
      </c>
      <c r="C1688" s="669" t="s">
        <v>29</v>
      </c>
      <c r="D1688" s="743" t="s">
        <v>3663</v>
      </c>
      <c r="E1688" s="669" t="s">
        <v>3371</v>
      </c>
      <c r="F1688" s="334"/>
      <c r="G1688" s="692">
        <v>44944</v>
      </c>
      <c r="H1688" s="426">
        <v>25847.333333333332</v>
      </c>
      <c r="I1688" s="744"/>
      <c r="J1688" s="744"/>
      <c r="K1688" s="354">
        <f t="shared" si="311"/>
        <v>25847.333333333332</v>
      </c>
      <c r="L1688" s="692">
        <v>44944</v>
      </c>
      <c r="M1688" s="742">
        <v>567</v>
      </c>
      <c r="N1688" s="352">
        <f t="shared" si="313"/>
        <v>25280.333333333332</v>
      </c>
      <c r="O1688" s="357">
        <f t="shared" si="310"/>
        <v>439</v>
      </c>
      <c r="P1688" s="410">
        <v>9</v>
      </c>
      <c r="Q1688" s="358">
        <f t="shared" si="315"/>
        <v>1.2027397260273973</v>
      </c>
      <c r="R1688" s="359">
        <f t="shared" si="316"/>
        <v>7.7972602739726025</v>
      </c>
      <c r="S1688" s="360">
        <f t="shared" si="317"/>
        <v>7.7972602739726025</v>
      </c>
      <c r="T1688" s="361">
        <f t="shared" si="318"/>
        <v>0.10555555555555554</v>
      </c>
      <c r="U1688" s="362">
        <f t="shared" si="319"/>
        <v>2728.3296296296289</v>
      </c>
      <c r="V1688" s="362">
        <f t="shared" si="320"/>
        <v>22552.003703703704</v>
      </c>
      <c r="W1688" s="362">
        <f t="shared" si="321"/>
        <v>1292</v>
      </c>
      <c r="X1688" s="742">
        <f t="shared" si="312"/>
        <v>21260.003703703704</v>
      </c>
    </row>
    <row r="1689" spans="1:24" ht="13.9">
      <c r="A1689" s="349">
        <f t="shared" si="314"/>
        <v>1681</v>
      </c>
      <c r="B1689" s="669" t="s">
        <v>564</v>
      </c>
      <c r="C1689" s="669" t="s">
        <v>29</v>
      </c>
      <c r="D1689" s="743" t="s">
        <v>3663</v>
      </c>
      <c r="E1689" s="669" t="s">
        <v>3371</v>
      </c>
      <c r="F1689" s="334"/>
      <c r="G1689" s="672">
        <v>44944</v>
      </c>
      <c r="H1689" s="426">
        <v>25847.333333333332</v>
      </c>
      <c r="I1689" s="744"/>
      <c r="J1689" s="744"/>
      <c r="K1689" s="354">
        <f t="shared" si="311"/>
        <v>25847.333333333332</v>
      </c>
      <c r="L1689" s="672">
        <v>44944</v>
      </c>
      <c r="M1689" s="742">
        <v>567</v>
      </c>
      <c r="N1689" s="352">
        <f t="shared" si="313"/>
        <v>25280.333333333332</v>
      </c>
      <c r="O1689" s="357">
        <f t="shared" si="310"/>
        <v>439</v>
      </c>
      <c r="P1689" s="410">
        <v>9</v>
      </c>
      <c r="Q1689" s="358">
        <f t="shared" si="315"/>
        <v>1.2027397260273973</v>
      </c>
      <c r="R1689" s="359">
        <f t="shared" si="316"/>
        <v>7.7972602739726025</v>
      </c>
      <c r="S1689" s="360">
        <f t="shared" si="317"/>
        <v>7.7972602739726025</v>
      </c>
      <c r="T1689" s="361">
        <f t="shared" si="318"/>
        <v>0.10555555555555554</v>
      </c>
      <c r="U1689" s="362">
        <f t="shared" si="319"/>
        <v>2728.3296296296289</v>
      </c>
      <c r="V1689" s="362">
        <f t="shared" si="320"/>
        <v>22552.003703703704</v>
      </c>
      <c r="W1689" s="362">
        <f t="shared" si="321"/>
        <v>1292</v>
      </c>
      <c r="X1689" s="742">
        <f t="shared" si="312"/>
        <v>21260.003703703704</v>
      </c>
    </row>
    <row r="1690" spans="1:24" ht="13.9">
      <c r="A1690" s="349">
        <f t="shared" si="314"/>
        <v>1682</v>
      </c>
      <c r="B1690" s="669" t="s">
        <v>564</v>
      </c>
      <c r="C1690" s="669" t="s">
        <v>29</v>
      </c>
      <c r="D1690" s="743" t="s">
        <v>3663</v>
      </c>
      <c r="E1690" s="669" t="s">
        <v>3371</v>
      </c>
      <c r="F1690" s="334"/>
      <c r="G1690" s="672">
        <v>44944</v>
      </c>
      <c r="H1690" s="426">
        <v>25847.333333333332</v>
      </c>
      <c r="I1690" s="744"/>
      <c r="J1690" s="744"/>
      <c r="K1690" s="354">
        <f t="shared" si="311"/>
        <v>25847.333333333332</v>
      </c>
      <c r="L1690" s="672">
        <v>44944</v>
      </c>
      <c r="M1690" s="742">
        <v>567</v>
      </c>
      <c r="N1690" s="352">
        <f t="shared" si="313"/>
        <v>25280.333333333332</v>
      </c>
      <c r="O1690" s="357">
        <f t="shared" si="310"/>
        <v>439</v>
      </c>
      <c r="P1690" s="410">
        <v>9</v>
      </c>
      <c r="Q1690" s="358">
        <f t="shared" si="315"/>
        <v>1.2027397260273973</v>
      </c>
      <c r="R1690" s="359">
        <f t="shared" si="316"/>
        <v>7.7972602739726025</v>
      </c>
      <c r="S1690" s="360">
        <f t="shared" si="317"/>
        <v>7.7972602739726025</v>
      </c>
      <c r="T1690" s="361">
        <f t="shared" si="318"/>
        <v>0.10555555555555554</v>
      </c>
      <c r="U1690" s="362">
        <f t="shared" si="319"/>
        <v>2728.3296296296289</v>
      </c>
      <c r="V1690" s="362">
        <f t="shared" si="320"/>
        <v>22552.003703703704</v>
      </c>
      <c r="W1690" s="362">
        <f t="shared" si="321"/>
        <v>1292</v>
      </c>
      <c r="X1690" s="742">
        <f t="shared" si="312"/>
        <v>21260.003703703704</v>
      </c>
    </row>
    <row r="1691" spans="1:24" ht="13.9">
      <c r="A1691" s="349">
        <f t="shared" si="314"/>
        <v>1683</v>
      </c>
      <c r="B1691" s="669" t="s">
        <v>564</v>
      </c>
      <c r="C1691" s="669" t="s">
        <v>29</v>
      </c>
      <c r="D1691" s="743" t="s">
        <v>3663</v>
      </c>
      <c r="E1691" s="669" t="s">
        <v>3371</v>
      </c>
      <c r="F1691" s="334"/>
      <c r="G1691" s="672">
        <v>44944</v>
      </c>
      <c r="H1691" s="426">
        <v>25847.333333333332</v>
      </c>
      <c r="I1691" s="744"/>
      <c r="J1691" s="744"/>
      <c r="K1691" s="354">
        <f t="shared" si="311"/>
        <v>25847.333333333332</v>
      </c>
      <c r="L1691" s="672">
        <v>44944</v>
      </c>
      <c r="M1691" s="742">
        <v>567</v>
      </c>
      <c r="N1691" s="352">
        <f t="shared" si="313"/>
        <v>25280.333333333332</v>
      </c>
      <c r="O1691" s="357">
        <f t="shared" si="310"/>
        <v>439</v>
      </c>
      <c r="P1691" s="410">
        <v>9</v>
      </c>
      <c r="Q1691" s="358">
        <f t="shared" si="315"/>
        <v>1.2027397260273973</v>
      </c>
      <c r="R1691" s="359">
        <f t="shared" si="316"/>
        <v>7.7972602739726025</v>
      </c>
      <c r="S1691" s="360">
        <f t="shared" si="317"/>
        <v>7.7972602739726025</v>
      </c>
      <c r="T1691" s="361">
        <f t="shared" si="318"/>
        <v>0.10555555555555554</v>
      </c>
      <c r="U1691" s="362">
        <f t="shared" si="319"/>
        <v>2728.3296296296289</v>
      </c>
      <c r="V1691" s="362">
        <f t="shared" si="320"/>
        <v>22552.003703703704</v>
      </c>
      <c r="W1691" s="362">
        <f t="shared" si="321"/>
        <v>1292</v>
      </c>
      <c r="X1691" s="742">
        <f t="shared" si="312"/>
        <v>21260.003703703704</v>
      </c>
    </row>
    <row r="1692" spans="1:24" ht="13.9">
      <c r="A1692" s="349">
        <f t="shared" si="314"/>
        <v>1684</v>
      </c>
      <c r="B1692" s="669" t="s">
        <v>564</v>
      </c>
      <c r="C1692" s="669" t="s">
        <v>29</v>
      </c>
      <c r="D1692" s="743" t="s">
        <v>3663</v>
      </c>
      <c r="E1692" s="669" t="s">
        <v>3371</v>
      </c>
      <c r="F1692" s="334"/>
      <c r="G1692" s="693">
        <v>44944</v>
      </c>
      <c r="H1692" s="426">
        <v>25847.333333333332</v>
      </c>
      <c r="I1692" s="744"/>
      <c r="J1692" s="744"/>
      <c r="K1692" s="354">
        <f t="shared" si="311"/>
        <v>25847.333333333332</v>
      </c>
      <c r="L1692" s="693">
        <v>44944</v>
      </c>
      <c r="M1692" s="742">
        <v>567</v>
      </c>
      <c r="N1692" s="352">
        <f t="shared" si="313"/>
        <v>25280.333333333332</v>
      </c>
      <c r="O1692" s="357">
        <f t="shared" si="310"/>
        <v>439</v>
      </c>
      <c r="P1692" s="410">
        <v>9</v>
      </c>
      <c r="Q1692" s="358">
        <f t="shared" si="315"/>
        <v>1.2027397260273973</v>
      </c>
      <c r="R1692" s="359">
        <f t="shared" si="316"/>
        <v>7.7972602739726025</v>
      </c>
      <c r="S1692" s="360">
        <f t="shared" si="317"/>
        <v>7.7972602739726025</v>
      </c>
      <c r="T1692" s="361">
        <f t="shared" si="318"/>
        <v>0.10555555555555554</v>
      </c>
      <c r="U1692" s="362">
        <f t="shared" si="319"/>
        <v>2728.3296296296289</v>
      </c>
      <c r="V1692" s="362">
        <f t="shared" si="320"/>
        <v>22552.003703703704</v>
      </c>
      <c r="W1692" s="362">
        <f t="shared" si="321"/>
        <v>1292</v>
      </c>
      <c r="X1692" s="742">
        <f t="shared" si="312"/>
        <v>21260.003703703704</v>
      </c>
    </row>
    <row r="1693" spans="1:24" ht="13.9">
      <c r="A1693" s="349">
        <f t="shared" si="314"/>
        <v>1685</v>
      </c>
      <c r="B1693" s="669" t="s">
        <v>564</v>
      </c>
      <c r="C1693" s="669" t="s">
        <v>29</v>
      </c>
      <c r="D1693" s="743" t="s">
        <v>3663</v>
      </c>
      <c r="E1693" s="669" t="s">
        <v>3371</v>
      </c>
      <c r="F1693" s="334"/>
      <c r="G1693" s="693">
        <v>44944</v>
      </c>
      <c r="H1693" s="426">
        <v>25847.333333333332</v>
      </c>
      <c r="I1693" s="744"/>
      <c r="J1693" s="744"/>
      <c r="K1693" s="354">
        <f t="shared" si="311"/>
        <v>25847.333333333332</v>
      </c>
      <c r="L1693" s="693">
        <v>44944</v>
      </c>
      <c r="M1693" s="742">
        <v>567</v>
      </c>
      <c r="N1693" s="352">
        <f t="shared" si="313"/>
        <v>25280.333333333332</v>
      </c>
      <c r="O1693" s="357">
        <f t="shared" si="310"/>
        <v>439</v>
      </c>
      <c r="P1693" s="410">
        <v>9</v>
      </c>
      <c r="Q1693" s="358">
        <f t="shared" si="315"/>
        <v>1.2027397260273973</v>
      </c>
      <c r="R1693" s="359">
        <f t="shared" si="316"/>
        <v>7.7972602739726025</v>
      </c>
      <c r="S1693" s="360">
        <f t="shared" si="317"/>
        <v>7.7972602739726025</v>
      </c>
      <c r="T1693" s="361">
        <f t="shared" si="318"/>
        <v>0.10555555555555554</v>
      </c>
      <c r="U1693" s="362">
        <f t="shared" si="319"/>
        <v>2728.3296296296289</v>
      </c>
      <c r="V1693" s="362">
        <f t="shared" si="320"/>
        <v>22552.003703703704</v>
      </c>
      <c r="W1693" s="362">
        <f t="shared" si="321"/>
        <v>1292</v>
      </c>
      <c r="X1693" s="742">
        <f t="shared" si="312"/>
        <v>21260.003703703704</v>
      </c>
    </row>
    <row r="1694" spans="1:24" ht="13.9">
      <c r="A1694" s="349">
        <f t="shared" si="314"/>
        <v>1686</v>
      </c>
      <c r="B1694" s="669" t="s">
        <v>315</v>
      </c>
      <c r="C1694" s="669" t="s">
        <v>29</v>
      </c>
      <c r="D1694" s="743" t="s">
        <v>3663</v>
      </c>
      <c r="E1694" s="669" t="s">
        <v>410</v>
      </c>
      <c r="F1694" s="334"/>
      <c r="G1694" s="692">
        <v>44945</v>
      </c>
      <c r="H1694" s="426">
        <v>25800000</v>
      </c>
      <c r="I1694" s="744"/>
      <c r="J1694" s="744"/>
      <c r="K1694" s="354">
        <f t="shared" si="311"/>
        <v>25800000</v>
      </c>
      <c r="L1694" s="692">
        <v>44945</v>
      </c>
      <c r="M1694" s="742">
        <v>557626</v>
      </c>
      <c r="N1694" s="352">
        <f t="shared" si="313"/>
        <v>25242374</v>
      </c>
      <c r="O1694" s="357">
        <f t="shared" si="310"/>
        <v>438</v>
      </c>
      <c r="P1694" s="410">
        <v>9</v>
      </c>
      <c r="Q1694" s="358">
        <f t="shared" si="315"/>
        <v>1.2</v>
      </c>
      <c r="R1694" s="359">
        <f t="shared" si="316"/>
        <v>7.8</v>
      </c>
      <c r="S1694" s="360">
        <f t="shared" si="317"/>
        <v>7.8</v>
      </c>
      <c r="T1694" s="361">
        <f t="shared" si="318"/>
        <v>0.10555555555555554</v>
      </c>
      <c r="U1694" s="362">
        <f t="shared" si="319"/>
        <v>2723333.333333333</v>
      </c>
      <c r="V1694" s="362">
        <f t="shared" si="320"/>
        <v>22519040.666666668</v>
      </c>
      <c r="W1694" s="362">
        <f t="shared" si="321"/>
        <v>1290000</v>
      </c>
      <c r="X1694" s="742">
        <f t="shared" si="312"/>
        <v>21229040.666666668</v>
      </c>
    </row>
    <row r="1695" spans="1:24" ht="13.9">
      <c r="A1695" s="349">
        <f t="shared" si="314"/>
        <v>1687</v>
      </c>
      <c r="B1695" s="669" t="s">
        <v>3340</v>
      </c>
      <c r="C1695" s="669" t="s">
        <v>29</v>
      </c>
      <c r="D1695" s="743" t="s">
        <v>3663</v>
      </c>
      <c r="E1695" s="669" t="s">
        <v>763</v>
      </c>
      <c r="F1695" s="334"/>
      <c r="G1695" s="692">
        <v>44936</v>
      </c>
      <c r="H1695" s="426">
        <v>210000</v>
      </c>
      <c r="I1695" s="744"/>
      <c r="J1695" s="744"/>
      <c r="K1695" s="354">
        <f t="shared" si="311"/>
        <v>210000</v>
      </c>
      <c r="L1695" s="692">
        <v>44936</v>
      </c>
      <c r="M1695" s="742">
        <v>15342</v>
      </c>
      <c r="N1695" s="352">
        <f t="shared" si="313"/>
        <v>194658</v>
      </c>
      <c r="O1695" s="357">
        <f t="shared" si="310"/>
        <v>447</v>
      </c>
      <c r="P1695" s="410">
        <v>9</v>
      </c>
      <c r="Q1695" s="358">
        <f t="shared" si="315"/>
        <v>1.2246575342465753</v>
      </c>
      <c r="R1695" s="359">
        <f t="shared" si="316"/>
        <v>7.7753424657534245</v>
      </c>
      <c r="S1695" s="360">
        <f t="shared" si="317"/>
        <v>7.7753424657534245</v>
      </c>
      <c r="T1695" s="361">
        <f t="shared" si="318"/>
        <v>0.10555555555555554</v>
      </c>
      <c r="U1695" s="362">
        <f t="shared" si="319"/>
        <v>22166.666666666664</v>
      </c>
      <c r="V1695" s="362">
        <f t="shared" si="320"/>
        <v>172491.33333333334</v>
      </c>
      <c r="W1695" s="362">
        <f t="shared" si="321"/>
        <v>10500</v>
      </c>
      <c r="X1695" s="742">
        <f t="shared" si="312"/>
        <v>161991.33333333334</v>
      </c>
    </row>
    <row r="1696" spans="1:24" ht="13.9">
      <c r="A1696" s="349">
        <f t="shared" si="314"/>
        <v>1688</v>
      </c>
      <c r="B1696" s="669" t="s">
        <v>3340</v>
      </c>
      <c r="C1696" s="669" t="s">
        <v>29</v>
      </c>
      <c r="D1696" s="743" t="s">
        <v>3663</v>
      </c>
      <c r="E1696" s="669" t="s">
        <v>763</v>
      </c>
      <c r="F1696" s="334"/>
      <c r="G1696" s="692">
        <v>44936</v>
      </c>
      <c r="H1696" s="426">
        <v>1463700</v>
      </c>
      <c r="I1696" s="744"/>
      <c r="J1696" s="744"/>
      <c r="K1696" s="354">
        <f t="shared" si="311"/>
        <v>1463700</v>
      </c>
      <c r="L1696" s="692">
        <v>44936</v>
      </c>
      <c r="M1696" s="742">
        <v>106937</v>
      </c>
      <c r="N1696" s="352">
        <f t="shared" si="313"/>
        <v>1356763</v>
      </c>
      <c r="O1696" s="357">
        <f t="shared" si="310"/>
        <v>447</v>
      </c>
      <c r="P1696" s="410">
        <v>9</v>
      </c>
      <c r="Q1696" s="358">
        <f t="shared" si="315"/>
        <v>1.2246575342465753</v>
      </c>
      <c r="R1696" s="359">
        <f t="shared" si="316"/>
        <v>7.7753424657534245</v>
      </c>
      <c r="S1696" s="360">
        <f t="shared" si="317"/>
        <v>7.7753424657534245</v>
      </c>
      <c r="T1696" s="361">
        <f t="shared" si="318"/>
        <v>0.10555555555555554</v>
      </c>
      <c r="U1696" s="362">
        <f t="shared" si="319"/>
        <v>154501.66666666666</v>
      </c>
      <c r="V1696" s="362">
        <f t="shared" si="320"/>
        <v>1202261.3333333333</v>
      </c>
      <c r="W1696" s="362">
        <f t="shared" si="321"/>
        <v>73185</v>
      </c>
      <c r="X1696" s="742">
        <f t="shared" si="312"/>
        <v>1129076.3333333333</v>
      </c>
    </row>
    <row r="1697" spans="1:24" ht="13.9">
      <c r="A1697" s="349">
        <f t="shared" si="314"/>
        <v>1689</v>
      </c>
      <c r="B1697" s="669" t="s">
        <v>3340</v>
      </c>
      <c r="C1697" s="669" t="s">
        <v>29</v>
      </c>
      <c r="D1697" s="743" t="s">
        <v>3663</v>
      </c>
      <c r="E1697" s="669" t="s">
        <v>763</v>
      </c>
      <c r="F1697" s="334"/>
      <c r="G1697" s="692">
        <v>44937</v>
      </c>
      <c r="H1697" s="426">
        <v>1410150</v>
      </c>
      <c r="I1697" s="744"/>
      <c r="J1697" s="744"/>
      <c r="K1697" s="354">
        <f t="shared" si="311"/>
        <v>1410150</v>
      </c>
      <c r="L1697" s="692">
        <v>44937</v>
      </c>
      <c r="M1697" s="742">
        <v>101737</v>
      </c>
      <c r="N1697" s="352">
        <f t="shared" si="313"/>
        <v>1308413</v>
      </c>
      <c r="O1697" s="357">
        <f t="shared" si="310"/>
        <v>446</v>
      </c>
      <c r="P1697" s="410">
        <v>9</v>
      </c>
      <c r="Q1697" s="358">
        <f t="shared" si="315"/>
        <v>1.2219178082191782</v>
      </c>
      <c r="R1697" s="359">
        <f t="shared" si="316"/>
        <v>7.7780821917808218</v>
      </c>
      <c r="S1697" s="360">
        <f t="shared" si="317"/>
        <v>7.7780821917808218</v>
      </c>
      <c r="T1697" s="361">
        <f t="shared" si="318"/>
        <v>0.10555555555555554</v>
      </c>
      <c r="U1697" s="362">
        <f t="shared" si="319"/>
        <v>148849.16666666666</v>
      </c>
      <c r="V1697" s="362">
        <f t="shared" si="320"/>
        <v>1159563.8333333333</v>
      </c>
      <c r="W1697" s="362">
        <f t="shared" si="321"/>
        <v>70508</v>
      </c>
      <c r="X1697" s="742">
        <f t="shared" si="312"/>
        <v>1089055.8333333333</v>
      </c>
    </row>
    <row r="1698" spans="1:24" ht="13.9">
      <c r="A1698" s="349">
        <f t="shared" si="314"/>
        <v>1690</v>
      </c>
      <c r="B1698" s="669" t="s">
        <v>3340</v>
      </c>
      <c r="C1698" s="669" t="s">
        <v>29</v>
      </c>
      <c r="D1698" s="743" t="s">
        <v>3663</v>
      </c>
      <c r="E1698" s="669" t="s">
        <v>763</v>
      </c>
      <c r="F1698" s="334"/>
      <c r="G1698" s="672">
        <v>44938</v>
      </c>
      <c r="H1698" s="426">
        <v>1403289</v>
      </c>
      <c r="I1698" s="744"/>
      <c r="J1698" s="744"/>
      <c r="K1698" s="354">
        <f t="shared" si="311"/>
        <v>1403289</v>
      </c>
      <c r="L1698" s="672">
        <v>44938</v>
      </c>
      <c r="M1698" s="742">
        <v>99960</v>
      </c>
      <c r="N1698" s="352">
        <f t="shared" si="313"/>
        <v>1303329</v>
      </c>
      <c r="O1698" s="357">
        <f t="shared" si="310"/>
        <v>445</v>
      </c>
      <c r="P1698" s="410">
        <v>9</v>
      </c>
      <c r="Q1698" s="358">
        <f t="shared" si="315"/>
        <v>1.2191780821917808</v>
      </c>
      <c r="R1698" s="359">
        <f t="shared" si="316"/>
        <v>7.7808219178082192</v>
      </c>
      <c r="S1698" s="360">
        <f t="shared" si="317"/>
        <v>7.7808219178082192</v>
      </c>
      <c r="T1698" s="361">
        <f t="shared" si="318"/>
        <v>0.10555555555555554</v>
      </c>
      <c r="U1698" s="362">
        <f t="shared" si="319"/>
        <v>148124.94999999998</v>
      </c>
      <c r="V1698" s="362">
        <f t="shared" si="320"/>
        <v>1155204.05</v>
      </c>
      <c r="W1698" s="362">
        <f t="shared" si="321"/>
        <v>70164</v>
      </c>
      <c r="X1698" s="742">
        <f t="shared" si="312"/>
        <v>1085040.05</v>
      </c>
    </row>
    <row r="1699" spans="1:24" ht="13.9">
      <c r="A1699" s="349">
        <f t="shared" si="314"/>
        <v>1691</v>
      </c>
      <c r="B1699" s="669" t="s">
        <v>570</v>
      </c>
      <c r="C1699" s="669" t="s">
        <v>29</v>
      </c>
      <c r="D1699" s="743" t="s">
        <v>3663</v>
      </c>
      <c r="E1699" s="669" t="s">
        <v>765</v>
      </c>
      <c r="F1699" s="334"/>
      <c r="G1699" s="672">
        <v>44926</v>
      </c>
      <c r="H1699" s="426">
        <v>445050</v>
      </c>
      <c r="I1699" s="744"/>
      <c r="J1699" s="744"/>
      <c r="K1699" s="354">
        <f t="shared" si="311"/>
        <v>445050</v>
      </c>
      <c r="L1699" s="672">
        <v>44926</v>
      </c>
      <c r="M1699" s="742">
        <v>36579</v>
      </c>
      <c r="N1699" s="352">
        <f t="shared" si="313"/>
        <v>408471</v>
      </c>
      <c r="O1699" s="357">
        <f t="shared" si="310"/>
        <v>457</v>
      </c>
      <c r="P1699" s="410">
        <v>9</v>
      </c>
      <c r="Q1699" s="358">
        <f t="shared" si="315"/>
        <v>1.252054794520548</v>
      </c>
      <c r="R1699" s="359">
        <f t="shared" si="316"/>
        <v>7.7479452054794518</v>
      </c>
      <c r="S1699" s="360">
        <f t="shared" si="317"/>
        <v>7.7479452054794518</v>
      </c>
      <c r="T1699" s="361">
        <f t="shared" si="318"/>
        <v>0.10555555555555554</v>
      </c>
      <c r="U1699" s="362">
        <f t="shared" si="319"/>
        <v>46977.499999999993</v>
      </c>
      <c r="V1699" s="362">
        <f t="shared" si="320"/>
        <v>361493.5</v>
      </c>
      <c r="W1699" s="362">
        <f t="shared" si="321"/>
        <v>22253</v>
      </c>
      <c r="X1699" s="742">
        <f t="shared" si="312"/>
        <v>339240.5</v>
      </c>
    </row>
    <row r="1700" spans="1:24" ht="13.9">
      <c r="A1700" s="349">
        <f t="shared" si="314"/>
        <v>1692</v>
      </c>
      <c r="B1700" s="669" t="s">
        <v>570</v>
      </c>
      <c r="C1700" s="669" t="s">
        <v>29</v>
      </c>
      <c r="D1700" s="743" t="s">
        <v>3663</v>
      </c>
      <c r="E1700" s="669" t="s">
        <v>765</v>
      </c>
      <c r="F1700" s="334"/>
      <c r="G1700" s="672">
        <v>44848</v>
      </c>
      <c r="H1700" s="426">
        <v>94989</v>
      </c>
      <c r="I1700" s="744"/>
      <c r="J1700" s="744"/>
      <c r="K1700" s="354">
        <f t="shared" si="311"/>
        <v>94989</v>
      </c>
      <c r="L1700" s="672">
        <v>44848</v>
      </c>
      <c r="M1700" s="742">
        <v>14574</v>
      </c>
      <c r="N1700" s="352">
        <f t="shared" si="313"/>
        <v>80415</v>
      </c>
      <c r="O1700" s="357">
        <f t="shared" si="310"/>
        <v>535</v>
      </c>
      <c r="P1700" s="410">
        <v>9</v>
      </c>
      <c r="Q1700" s="358">
        <f t="shared" si="315"/>
        <v>1.4657534246575343</v>
      </c>
      <c r="R1700" s="359">
        <f t="shared" si="316"/>
        <v>7.5342465753424657</v>
      </c>
      <c r="S1700" s="360">
        <f t="shared" si="317"/>
        <v>7.5342465753424657</v>
      </c>
      <c r="T1700" s="361">
        <f t="shared" si="318"/>
        <v>0.10555555555555554</v>
      </c>
      <c r="U1700" s="362">
        <f t="shared" si="319"/>
        <v>10026.616666666665</v>
      </c>
      <c r="V1700" s="362">
        <f t="shared" si="320"/>
        <v>70388.383333333331</v>
      </c>
      <c r="W1700" s="362">
        <f t="shared" si="321"/>
        <v>4749</v>
      </c>
      <c r="X1700" s="742">
        <f t="shared" si="312"/>
        <v>65639.383333333331</v>
      </c>
    </row>
    <row r="1701" spans="1:24" ht="13.9">
      <c r="A1701" s="349">
        <f t="shared" si="314"/>
        <v>1693</v>
      </c>
      <c r="B1701" s="669" t="s">
        <v>570</v>
      </c>
      <c r="C1701" s="669" t="s">
        <v>29</v>
      </c>
      <c r="D1701" s="743" t="s">
        <v>3663</v>
      </c>
      <c r="E1701" s="669" t="s">
        <v>765</v>
      </c>
      <c r="F1701" s="334"/>
      <c r="G1701" s="672">
        <v>44932</v>
      </c>
      <c r="H1701" s="426">
        <v>66700</v>
      </c>
      <c r="I1701" s="744"/>
      <c r="J1701" s="744"/>
      <c r="K1701" s="354">
        <f t="shared" si="311"/>
        <v>66700</v>
      </c>
      <c r="L1701" s="672">
        <v>44932</v>
      </c>
      <c r="M1701" s="742">
        <v>5117</v>
      </c>
      <c r="N1701" s="352">
        <f t="shared" si="313"/>
        <v>61583</v>
      </c>
      <c r="O1701" s="357">
        <f t="shared" si="310"/>
        <v>451</v>
      </c>
      <c r="P1701" s="410">
        <v>9</v>
      </c>
      <c r="Q1701" s="358">
        <f t="shared" si="315"/>
        <v>1.2356164383561643</v>
      </c>
      <c r="R1701" s="359">
        <f t="shared" si="316"/>
        <v>7.7643835616438359</v>
      </c>
      <c r="S1701" s="360">
        <f t="shared" si="317"/>
        <v>7.7643835616438359</v>
      </c>
      <c r="T1701" s="361">
        <f t="shared" si="318"/>
        <v>0.10555555555555554</v>
      </c>
      <c r="U1701" s="362">
        <f t="shared" si="319"/>
        <v>7040.5555555555547</v>
      </c>
      <c r="V1701" s="362">
        <f t="shared" si="320"/>
        <v>54542.444444444445</v>
      </c>
      <c r="W1701" s="362">
        <f t="shared" si="321"/>
        <v>3335</v>
      </c>
      <c r="X1701" s="742">
        <f t="shared" si="312"/>
        <v>51207.444444444445</v>
      </c>
    </row>
    <row r="1702" spans="1:24" ht="13.9">
      <c r="A1702" s="349">
        <f t="shared" si="314"/>
        <v>1694</v>
      </c>
      <c r="B1702" s="669" t="s">
        <v>570</v>
      </c>
      <c r="C1702" s="669" t="s">
        <v>29</v>
      </c>
      <c r="D1702" s="743" t="s">
        <v>3663</v>
      </c>
      <c r="E1702" s="669" t="s">
        <v>765</v>
      </c>
      <c r="F1702" s="334"/>
      <c r="G1702" s="692">
        <v>44939</v>
      </c>
      <c r="H1702" s="426">
        <v>40000</v>
      </c>
      <c r="I1702" s="744"/>
      <c r="J1702" s="744"/>
      <c r="K1702" s="354">
        <f t="shared" si="311"/>
        <v>40000</v>
      </c>
      <c r="L1702" s="692">
        <v>44939</v>
      </c>
      <c r="M1702" s="742">
        <v>2813</v>
      </c>
      <c r="N1702" s="352">
        <f t="shared" si="313"/>
        <v>37187</v>
      </c>
      <c r="O1702" s="357">
        <f t="shared" si="310"/>
        <v>444</v>
      </c>
      <c r="P1702" s="410">
        <v>9</v>
      </c>
      <c r="Q1702" s="358">
        <f t="shared" si="315"/>
        <v>1.2164383561643837</v>
      </c>
      <c r="R1702" s="359">
        <f t="shared" si="316"/>
        <v>7.7835616438356166</v>
      </c>
      <c r="S1702" s="360">
        <f t="shared" si="317"/>
        <v>7.7835616438356166</v>
      </c>
      <c r="T1702" s="361">
        <f t="shared" si="318"/>
        <v>0.10555555555555554</v>
      </c>
      <c r="U1702" s="362">
        <f t="shared" si="319"/>
        <v>4222.2222222222217</v>
      </c>
      <c r="V1702" s="362">
        <f t="shared" si="320"/>
        <v>32964.777777777781</v>
      </c>
      <c r="W1702" s="362">
        <f t="shared" si="321"/>
        <v>2000</v>
      </c>
      <c r="X1702" s="742">
        <f t="shared" si="312"/>
        <v>30964.777777777781</v>
      </c>
    </row>
    <row r="1703" spans="1:24" ht="13.9">
      <c r="A1703" s="349">
        <f t="shared" si="314"/>
        <v>1695</v>
      </c>
      <c r="B1703" s="669" t="s">
        <v>71</v>
      </c>
      <c r="C1703" s="669" t="s">
        <v>29</v>
      </c>
      <c r="D1703" s="743" t="s">
        <v>3663</v>
      </c>
      <c r="E1703" s="669" t="s">
        <v>766</v>
      </c>
      <c r="F1703" s="334"/>
      <c r="G1703" s="692">
        <v>44942</v>
      </c>
      <c r="H1703" s="426">
        <v>3270421</v>
      </c>
      <c r="I1703" s="744"/>
      <c r="J1703" s="744"/>
      <c r="K1703" s="354">
        <f t="shared" si="311"/>
        <v>3270421</v>
      </c>
      <c r="L1703" s="692">
        <v>44942</v>
      </c>
      <c r="M1703" s="742">
        <v>73672</v>
      </c>
      <c r="N1703" s="352">
        <f t="shared" si="313"/>
        <v>3196749</v>
      </c>
      <c r="O1703" s="357">
        <f t="shared" si="310"/>
        <v>441</v>
      </c>
      <c r="P1703" s="410">
        <v>9</v>
      </c>
      <c r="Q1703" s="358">
        <f t="shared" si="315"/>
        <v>1.2082191780821918</v>
      </c>
      <c r="R1703" s="359">
        <f t="shared" si="316"/>
        <v>7.7917808219178077</v>
      </c>
      <c r="S1703" s="360">
        <f t="shared" si="317"/>
        <v>7.7917808219178077</v>
      </c>
      <c r="T1703" s="361">
        <f t="shared" si="318"/>
        <v>0.10555555555555554</v>
      </c>
      <c r="U1703" s="362">
        <f t="shared" si="319"/>
        <v>345211.10555555549</v>
      </c>
      <c r="V1703" s="362">
        <f t="shared" si="320"/>
        <v>2851537.8944444447</v>
      </c>
      <c r="W1703" s="362">
        <f t="shared" si="321"/>
        <v>163521</v>
      </c>
      <c r="X1703" s="742">
        <f t="shared" si="312"/>
        <v>2688016.8944444447</v>
      </c>
    </row>
    <row r="1704" spans="1:24" ht="13.9">
      <c r="A1704" s="349">
        <f t="shared" si="314"/>
        <v>1696</v>
      </c>
      <c r="B1704" s="669" t="s">
        <v>71</v>
      </c>
      <c r="C1704" s="669" t="s">
        <v>29</v>
      </c>
      <c r="D1704" s="743" t="s">
        <v>3663</v>
      </c>
      <c r="E1704" s="669" t="s">
        <v>766</v>
      </c>
      <c r="F1704" s="334"/>
      <c r="G1704" s="692">
        <v>44942</v>
      </c>
      <c r="H1704" s="426">
        <v>3270421</v>
      </c>
      <c r="I1704" s="744"/>
      <c r="J1704" s="744"/>
      <c r="K1704" s="354">
        <f t="shared" si="311"/>
        <v>3270421</v>
      </c>
      <c r="L1704" s="692">
        <v>44942</v>
      </c>
      <c r="M1704" s="742">
        <v>73672</v>
      </c>
      <c r="N1704" s="352">
        <f t="shared" si="313"/>
        <v>3196749</v>
      </c>
      <c r="O1704" s="357">
        <f t="shared" si="310"/>
        <v>441</v>
      </c>
      <c r="P1704" s="410">
        <v>9</v>
      </c>
      <c r="Q1704" s="358">
        <f t="shared" si="315"/>
        <v>1.2082191780821918</v>
      </c>
      <c r="R1704" s="359">
        <f t="shared" si="316"/>
        <v>7.7917808219178077</v>
      </c>
      <c r="S1704" s="360">
        <f t="shared" si="317"/>
        <v>7.7917808219178077</v>
      </c>
      <c r="T1704" s="361">
        <f t="shared" si="318"/>
        <v>0.10555555555555554</v>
      </c>
      <c r="U1704" s="362">
        <f t="shared" si="319"/>
        <v>345211.10555555549</v>
      </c>
      <c r="V1704" s="362">
        <f t="shared" si="320"/>
        <v>2851537.8944444447</v>
      </c>
      <c r="W1704" s="362">
        <f t="shared" si="321"/>
        <v>163521</v>
      </c>
      <c r="X1704" s="742">
        <f t="shared" si="312"/>
        <v>2688016.8944444447</v>
      </c>
    </row>
    <row r="1705" spans="1:24" ht="13.9">
      <c r="A1705" s="349">
        <f t="shared" si="314"/>
        <v>1697</v>
      </c>
      <c r="B1705" s="669" t="s">
        <v>71</v>
      </c>
      <c r="C1705" s="669" t="s">
        <v>29</v>
      </c>
      <c r="D1705" s="743" t="s">
        <v>3663</v>
      </c>
      <c r="E1705" s="669" t="s">
        <v>766</v>
      </c>
      <c r="F1705" s="334"/>
      <c r="G1705" s="692">
        <v>44942</v>
      </c>
      <c r="H1705" s="426">
        <v>3270421</v>
      </c>
      <c r="I1705" s="744"/>
      <c r="J1705" s="744"/>
      <c r="K1705" s="354">
        <f t="shared" si="311"/>
        <v>3270421</v>
      </c>
      <c r="L1705" s="692">
        <v>44942</v>
      </c>
      <c r="M1705" s="742">
        <v>73672</v>
      </c>
      <c r="N1705" s="352">
        <f t="shared" si="313"/>
        <v>3196749</v>
      </c>
      <c r="O1705" s="357">
        <f t="shared" si="310"/>
        <v>441</v>
      </c>
      <c r="P1705" s="410">
        <v>9</v>
      </c>
      <c r="Q1705" s="358">
        <f t="shared" si="315"/>
        <v>1.2082191780821918</v>
      </c>
      <c r="R1705" s="359">
        <f t="shared" si="316"/>
        <v>7.7917808219178077</v>
      </c>
      <c r="S1705" s="360">
        <f t="shared" si="317"/>
        <v>7.7917808219178077</v>
      </c>
      <c r="T1705" s="361">
        <f t="shared" si="318"/>
        <v>0.10555555555555554</v>
      </c>
      <c r="U1705" s="362">
        <f t="shared" si="319"/>
        <v>345211.10555555549</v>
      </c>
      <c r="V1705" s="362">
        <f t="shared" si="320"/>
        <v>2851537.8944444447</v>
      </c>
      <c r="W1705" s="362">
        <f t="shared" si="321"/>
        <v>163521</v>
      </c>
      <c r="X1705" s="742">
        <f t="shared" si="312"/>
        <v>2688016.8944444447</v>
      </c>
    </row>
    <row r="1706" spans="1:24" ht="13.9">
      <c r="A1706" s="349">
        <f t="shared" si="314"/>
        <v>1698</v>
      </c>
      <c r="B1706" s="669" t="s">
        <v>71</v>
      </c>
      <c r="C1706" s="669" t="s">
        <v>29</v>
      </c>
      <c r="D1706" s="743" t="s">
        <v>3663</v>
      </c>
      <c r="E1706" s="669" t="s">
        <v>766</v>
      </c>
      <c r="F1706" s="334"/>
      <c r="G1706" s="692">
        <v>44942</v>
      </c>
      <c r="H1706" s="426">
        <v>3270421</v>
      </c>
      <c r="I1706" s="744"/>
      <c r="J1706" s="744"/>
      <c r="K1706" s="354">
        <f t="shared" si="311"/>
        <v>3270421</v>
      </c>
      <c r="L1706" s="692">
        <v>44942</v>
      </c>
      <c r="M1706" s="742">
        <v>73672</v>
      </c>
      <c r="N1706" s="352">
        <f t="shared" si="313"/>
        <v>3196749</v>
      </c>
      <c r="O1706" s="357">
        <f t="shared" si="310"/>
        <v>441</v>
      </c>
      <c r="P1706" s="410">
        <v>9</v>
      </c>
      <c r="Q1706" s="358">
        <f t="shared" si="315"/>
        <v>1.2082191780821918</v>
      </c>
      <c r="R1706" s="359">
        <f t="shared" si="316"/>
        <v>7.7917808219178077</v>
      </c>
      <c r="S1706" s="360">
        <f t="shared" si="317"/>
        <v>7.7917808219178077</v>
      </c>
      <c r="T1706" s="361">
        <f t="shared" si="318"/>
        <v>0.10555555555555554</v>
      </c>
      <c r="U1706" s="362">
        <f t="shared" si="319"/>
        <v>345211.10555555549</v>
      </c>
      <c r="V1706" s="362">
        <f t="shared" si="320"/>
        <v>2851537.8944444447</v>
      </c>
      <c r="W1706" s="362">
        <f t="shared" si="321"/>
        <v>163521</v>
      </c>
      <c r="X1706" s="742">
        <f t="shared" si="312"/>
        <v>2688016.8944444447</v>
      </c>
    </row>
    <row r="1707" spans="1:24" ht="13.9">
      <c r="A1707" s="349">
        <f t="shared" si="314"/>
        <v>1699</v>
      </c>
      <c r="B1707" s="669" t="s">
        <v>71</v>
      </c>
      <c r="C1707" s="669" t="s">
        <v>29</v>
      </c>
      <c r="D1707" s="743" t="s">
        <v>3663</v>
      </c>
      <c r="E1707" s="669" t="s">
        <v>766</v>
      </c>
      <c r="F1707" s="334"/>
      <c r="G1707" s="692">
        <v>44942</v>
      </c>
      <c r="H1707" s="426">
        <v>3270421</v>
      </c>
      <c r="I1707" s="744"/>
      <c r="J1707" s="744"/>
      <c r="K1707" s="354">
        <f t="shared" si="311"/>
        <v>3270421</v>
      </c>
      <c r="L1707" s="692">
        <v>44942</v>
      </c>
      <c r="M1707" s="742">
        <v>73672</v>
      </c>
      <c r="N1707" s="352">
        <f t="shared" si="313"/>
        <v>3196749</v>
      </c>
      <c r="O1707" s="357">
        <f t="shared" si="310"/>
        <v>441</v>
      </c>
      <c r="P1707" s="410">
        <v>9</v>
      </c>
      <c r="Q1707" s="358">
        <f t="shared" si="315"/>
        <v>1.2082191780821918</v>
      </c>
      <c r="R1707" s="359">
        <f t="shared" si="316"/>
        <v>7.7917808219178077</v>
      </c>
      <c r="S1707" s="360">
        <f t="shared" si="317"/>
        <v>7.7917808219178077</v>
      </c>
      <c r="T1707" s="361">
        <f t="shared" si="318"/>
        <v>0.10555555555555554</v>
      </c>
      <c r="U1707" s="362">
        <f t="shared" si="319"/>
        <v>345211.10555555549</v>
      </c>
      <c r="V1707" s="362">
        <f t="shared" si="320"/>
        <v>2851537.8944444447</v>
      </c>
      <c r="W1707" s="362">
        <f t="shared" si="321"/>
        <v>163521</v>
      </c>
      <c r="X1707" s="742">
        <f t="shared" si="312"/>
        <v>2688016.8944444447</v>
      </c>
    </row>
    <row r="1708" spans="1:24" ht="13.9">
      <c r="A1708" s="349">
        <f t="shared" si="314"/>
        <v>1700</v>
      </c>
      <c r="B1708" s="669" t="s">
        <v>71</v>
      </c>
      <c r="C1708" s="669" t="s">
        <v>29</v>
      </c>
      <c r="D1708" s="743" t="s">
        <v>3663</v>
      </c>
      <c r="E1708" s="669" t="s">
        <v>766</v>
      </c>
      <c r="F1708" s="334"/>
      <c r="G1708" s="692">
        <v>44942</v>
      </c>
      <c r="H1708" s="426">
        <v>3270421</v>
      </c>
      <c r="I1708" s="744"/>
      <c r="J1708" s="744"/>
      <c r="K1708" s="354">
        <f t="shared" si="311"/>
        <v>3270421</v>
      </c>
      <c r="L1708" s="692">
        <v>44942</v>
      </c>
      <c r="M1708" s="742">
        <v>73672</v>
      </c>
      <c r="N1708" s="352">
        <f t="shared" si="313"/>
        <v>3196749</v>
      </c>
      <c r="O1708" s="357">
        <f t="shared" si="310"/>
        <v>441</v>
      </c>
      <c r="P1708" s="410">
        <v>9</v>
      </c>
      <c r="Q1708" s="358">
        <f t="shared" si="315"/>
        <v>1.2082191780821918</v>
      </c>
      <c r="R1708" s="359">
        <f t="shared" si="316"/>
        <v>7.7917808219178077</v>
      </c>
      <c r="S1708" s="360">
        <f t="shared" si="317"/>
        <v>7.7917808219178077</v>
      </c>
      <c r="T1708" s="361">
        <f t="shared" si="318"/>
        <v>0.10555555555555554</v>
      </c>
      <c r="U1708" s="362">
        <f t="shared" si="319"/>
        <v>345211.10555555549</v>
      </c>
      <c r="V1708" s="362">
        <f t="shared" si="320"/>
        <v>2851537.8944444447</v>
      </c>
      <c r="W1708" s="362">
        <f t="shared" si="321"/>
        <v>163521</v>
      </c>
      <c r="X1708" s="742">
        <f t="shared" si="312"/>
        <v>2688016.8944444447</v>
      </c>
    </row>
    <row r="1709" spans="1:24" ht="13.9">
      <c r="A1709" s="349">
        <f t="shared" si="314"/>
        <v>1701</v>
      </c>
      <c r="B1709" s="669" t="s">
        <v>71</v>
      </c>
      <c r="C1709" s="669" t="s">
        <v>29</v>
      </c>
      <c r="D1709" s="743" t="s">
        <v>3663</v>
      </c>
      <c r="E1709" s="669" t="s">
        <v>766</v>
      </c>
      <c r="F1709" s="334"/>
      <c r="G1709" s="692">
        <v>44942</v>
      </c>
      <c r="H1709" s="426">
        <v>3270421</v>
      </c>
      <c r="I1709" s="744"/>
      <c r="J1709" s="744"/>
      <c r="K1709" s="354">
        <f t="shared" si="311"/>
        <v>3270421</v>
      </c>
      <c r="L1709" s="692">
        <v>44942</v>
      </c>
      <c r="M1709" s="742">
        <v>73672</v>
      </c>
      <c r="N1709" s="352">
        <f t="shared" si="313"/>
        <v>3196749</v>
      </c>
      <c r="O1709" s="357">
        <f t="shared" si="310"/>
        <v>441</v>
      </c>
      <c r="P1709" s="410">
        <v>9</v>
      </c>
      <c r="Q1709" s="358">
        <f t="shared" si="315"/>
        <v>1.2082191780821918</v>
      </c>
      <c r="R1709" s="359">
        <f t="shared" si="316"/>
        <v>7.7917808219178077</v>
      </c>
      <c r="S1709" s="360">
        <f t="shared" si="317"/>
        <v>7.7917808219178077</v>
      </c>
      <c r="T1709" s="361">
        <f t="shared" si="318"/>
        <v>0.10555555555555554</v>
      </c>
      <c r="U1709" s="362">
        <f t="shared" si="319"/>
        <v>345211.10555555549</v>
      </c>
      <c r="V1709" s="362">
        <f t="shared" si="320"/>
        <v>2851537.8944444447</v>
      </c>
      <c r="W1709" s="362">
        <f t="shared" si="321"/>
        <v>163521</v>
      </c>
      <c r="X1709" s="742">
        <f t="shared" si="312"/>
        <v>2688016.8944444447</v>
      </c>
    </row>
    <row r="1710" spans="1:24" ht="13.9">
      <c r="A1710" s="349">
        <f t="shared" si="314"/>
        <v>1702</v>
      </c>
      <c r="B1710" s="669" t="s">
        <v>3358</v>
      </c>
      <c r="C1710" s="669" t="s">
        <v>29</v>
      </c>
      <c r="D1710" s="743" t="s">
        <v>3663</v>
      </c>
      <c r="E1710" s="669" t="s">
        <v>3356</v>
      </c>
      <c r="F1710" s="334"/>
      <c r="G1710" s="692">
        <v>44926</v>
      </c>
      <c r="H1710" s="426">
        <v>2680000</v>
      </c>
      <c r="I1710" s="744"/>
      <c r="J1710" s="744"/>
      <c r="K1710" s="354">
        <f t="shared" si="311"/>
        <v>2680000</v>
      </c>
      <c r="L1710" s="692">
        <v>44926</v>
      </c>
      <c r="M1710" s="742">
        <v>73425</v>
      </c>
      <c r="N1710" s="352">
        <f t="shared" si="313"/>
        <v>2606575</v>
      </c>
      <c r="O1710" s="357">
        <f t="shared" si="310"/>
        <v>457</v>
      </c>
      <c r="P1710" s="410">
        <v>9</v>
      </c>
      <c r="Q1710" s="358">
        <f t="shared" si="315"/>
        <v>1.252054794520548</v>
      </c>
      <c r="R1710" s="359">
        <f t="shared" si="316"/>
        <v>7.7479452054794518</v>
      </c>
      <c r="S1710" s="360">
        <f t="shared" si="317"/>
        <v>7.7479452054794518</v>
      </c>
      <c r="T1710" s="361">
        <f t="shared" si="318"/>
        <v>0.10555555555555554</v>
      </c>
      <c r="U1710" s="362">
        <f t="shared" si="319"/>
        <v>282888.88888888888</v>
      </c>
      <c r="V1710" s="362">
        <f t="shared" si="320"/>
        <v>2323686.111111111</v>
      </c>
      <c r="W1710" s="362">
        <f t="shared" si="321"/>
        <v>134000</v>
      </c>
      <c r="X1710" s="742">
        <f t="shared" si="312"/>
        <v>2189686.111111111</v>
      </c>
    </row>
    <row r="1711" spans="1:24" ht="13.9">
      <c r="A1711" s="349">
        <f t="shared" si="314"/>
        <v>1703</v>
      </c>
      <c r="B1711" s="669" t="s">
        <v>585</v>
      </c>
      <c r="C1711" s="669" t="s">
        <v>29</v>
      </c>
      <c r="D1711" s="743" t="s">
        <v>3663</v>
      </c>
      <c r="E1711" s="669" t="s">
        <v>3349</v>
      </c>
      <c r="F1711" s="334"/>
      <c r="G1711" s="672">
        <v>44936</v>
      </c>
      <c r="H1711" s="426">
        <v>4150000</v>
      </c>
      <c r="I1711" s="744"/>
      <c r="J1711" s="744"/>
      <c r="K1711" s="354">
        <f t="shared" si="311"/>
        <v>4150000</v>
      </c>
      <c r="L1711" s="672">
        <v>44936</v>
      </c>
      <c r="M1711" s="742">
        <v>101065</v>
      </c>
      <c r="N1711" s="352">
        <f t="shared" si="313"/>
        <v>4048935</v>
      </c>
      <c r="O1711" s="357">
        <f t="shared" si="310"/>
        <v>447</v>
      </c>
      <c r="P1711" s="410">
        <v>9</v>
      </c>
      <c r="Q1711" s="358">
        <f t="shared" si="315"/>
        <v>1.2246575342465753</v>
      </c>
      <c r="R1711" s="359">
        <f t="shared" si="316"/>
        <v>7.7753424657534245</v>
      </c>
      <c r="S1711" s="360">
        <f t="shared" si="317"/>
        <v>7.7753424657534245</v>
      </c>
      <c r="T1711" s="361">
        <f t="shared" si="318"/>
        <v>0.10555555555555554</v>
      </c>
      <c r="U1711" s="362">
        <f t="shared" si="319"/>
        <v>438055.5555555555</v>
      </c>
      <c r="V1711" s="362">
        <f t="shared" si="320"/>
        <v>3610879.4444444445</v>
      </c>
      <c r="W1711" s="362">
        <f t="shared" si="321"/>
        <v>207500</v>
      </c>
      <c r="X1711" s="742">
        <f t="shared" si="312"/>
        <v>3403379.4444444445</v>
      </c>
    </row>
    <row r="1712" spans="1:24" ht="13.9">
      <c r="A1712" s="349">
        <f t="shared" si="314"/>
        <v>1704</v>
      </c>
      <c r="B1712" s="669" t="s">
        <v>585</v>
      </c>
      <c r="C1712" s="669" t="s">
        <v>29</v>
      </c>
      <c r="D1712" s="743" t="s">
        <v>3663</v>
      </c>
      <c r="E1712" s="669" t="s">
        <v>3349</v>
      </c>
      <c r="F1712" s="334"/>
      <c r="G1712" s="672">
        <v>44936</v>
      </c>
      <c r="H1712" s="426">
        <v>4150000</v>
      </c>
      <c r="I1712" s="744"/>
      <c r="J1712" s="744"/>
      <c r="K1712" s="354">
        <f t="shared" si="311"/>
        <v>4150000</v>
      </c>
      <c r="L1712" s="672">
        <v>44936</v>
      </c>
      <c r="M1712" s="742">
        <v>101065</v>
      </c>
      <c r="N1712" s="352">
        <f t="shared" si="313"/>
        <v>4048935</v>
      </c>
      <c r="O1712" s="357">
        <f t="shared" si="310"/>
        <v>447</v>
      </c>
      <c r="P1712" s="410">
        <v>9</v>
      </c>
      <c r="Q1712" s="358">
        <f t="shared" si="315"/>
        <v>1.2246575342465753</v>
      </c>
      <c r="R1712" s="359">
        <f t="shared" si="316"/>
        <v>7.7753424657534245</v>
      </c>
      <c r="S1712" s="360">
        <f t="shared" si="317"/>
        <v>7.7753424657534245</v>
      </c>
      <c r="T1712" s="361">
        <f t="shared" si="318"/>
        <v>0.10555555555555554</v>
      </c>
      <c r="U1712" s="362">
        <f t="shared" si="319"/>
        <v>438055.5555555555</v>
      </c>
      <c r="V1712" s="362">
        <f t="shared" si="320"/>
        <v>3610879.4444444445</v>
      </c>
      <c r="W1712" s="362">
        <f t="shared" si="321"/>
        <v>207500</v>
      </c>
      <c r="X1712" s="742">
        <f t="shared" si="312"/>
        <v>3403379.4444444445</v>
      </c>
    </row>
    <row r="1713" spans="1:24" ht="13.9">
      <c r="A1713" s="349">
        <f t="shared" si="314"/>
        <v>1705</v>
      </c>
      <c r="B1713" s="669" t="s">
        <v>571</v>
      </c>
      <c r="C1713" s="669" t="s">
        <v>29</v>
      </c>
      <c r="D1713" s="743" t="s">
        <v>3663</v>
      </c>
      <c r="E1713" s="669" t="s">
        <v>410</v>
      </c>
      <c r="F1713" s="334"/>
      <c r="G1713" s="672">
        <v>44953</v>
      </c>
      <c r="H1713" s="426">
        <v>806102</v>
      </c>
      <c r="I1713" s="744"/>
      <c r="J1713" s="744"/>
      <c r="K1713" s="354">
        <f t="shared" si="311"/>
        <v>806102</v>
      </c>
      <c r="L1713" s="672">
        <v>44953</v>
      </c>
      <c r="M1713" s="742">
        <v>15459</v>
      </c>
      <c r="N1713" s="352">
        <f t="shared" si="313"/>
        <v>790643</v>
      </c>
      <c r="O1713" s="357">
        <f t="shared" si="310"/>
        <v>430</v>
      </c>
      <c r="P1713" s="410">
        <v>9</v>
      </c>
      <c r="Q1713" s="358">
        <f t="shared" si="315"/>
        <v>1.178082191780822</v>
      </c>
      <c r="R1713" s="359">
        <f t="shared" si="316"/>
        <v>7.8219178082191778</v>
      </c>
      <c r="S1713" s="360">
        <f t="shared" si="317"/>
        <v>7.8219178082191778</v>
      </c>
      <c r="T1713" s="361">
        <f t="shared" si="318"/>
        <v>0.10555555555555554</v>
      </c>
      <c r="U1713" s="362">
        <f t="shared" si="319"/>
        <v>85088.544444444429</v>
      </c>
      <c r="V1713" s="362">
        <f t="shared" si="320"/>
        <v>705554.45555555553</v>
      </c>
      <c r="W1713" s="362">
        <f t="shared" si="321"/>
        <v>40305</v>
      </c>
      <c r="X1713" s="742">
        <f t="shared" si="312"/>
        <v>665249.45555555553</v>
      </c>
    </row>
    <row r="1714" spans="1:24" ht="13.9">
      <c r="A1714" s="349">
        <f t="shared" si="314"/>
        <v>1706</v>
      </c>
      <c r="B1714" s="669" t="s">
        <v>571</v>
      </c>
      <c r="C1714" s="669" t="s">
        <v>29</v>
      </c>
      <c r="D1714" s="743" t="s">
        <v>3663</v>
      </c>
      <c r="E1714" s="669" t="s">
        <v>410</v>
      </c>
      <c r="F1714" s="334"/>
      <c r="G1714" s="672">
        <v>44953</v>
      </c>
      <c r="H1714" s="426">
        <v>806102</v>
      </c>
      <c r="I1714" s="744"/>
      <c r="J1714" s="744"/>
      <c r="K1714" s="354">
        <f t="shared" si="311"/>
        <v>806102</v>
      </c>
      <c r="L1714" s="672">
        <v>44953</v>
      </c>
      <c r="M1714" s="742">
        <v>15459</v>
      </c>
      <c r="N1714" s="352">
        <f t="shared" si="313"/>
        <v>790643</v>
      </c>
      <c r="O1714" s="357">
        <f t="shared" si="310"/>
        <v>430</v>
      </c>
      <c r="P1714" s="410">
        <v>9</v>
      </c>
      <c r="Q1714" s="358">
        <f t="shared" si="315"/>
        <v>1.178082191780822</v>
      </c>
      <c r="R1714" s="359">
        <f t="shared" si="316"/>
        <v>7.8219178082191778</v>
      </c>
      <c r="S1714" s="360">
        <f t="shared" si="317"/>
        <v>7.8219178082191778</v>
      </c>
      <c r="T1714" s="361">
        <f t="shared" si="318"/>
        <v>0.10555555555555554</v>
      </c>
      <c r="U1714" s="362">
        <f t="shared" si="319"/>
        <v>85088.544444444429</v>
      </c>
      <c r="V1714" s="362">
        <f t="shared" si="320"/>
        <v>705554.45555555553</v>
      </c>
      <c r="W1714" s="362">
        <f t="shared" si="321"/>
        <v>40305</v>
      </c>
      <c r="X1714" s="742">
        <f t="shared" si="312"/>
        <v>665249.45555555553</v>
      </c>
    </row>
    <row r="1715" spans="1:24" ht="13.9">
      <c r="A1715" s="349">
        <f t="shared" si="314"/>
        <v>1707</v>
      </c>
      <c r="B1715" s="669" t="s">
        <v>568</v>
      </c>
      <c r="C1715" s="669" t="s">
        <v>29</v>
      </c>
      <c r="D1715" s="743" t="s">
        <v>3663</v>
      </c>
      <c r="E1715" s="669" t="s">
        <v>763</v>
      </c>
      <c r="F1715" s="334"/>
      <c r="G1715" s="672">
        <v>44943</v>
      </c>
      <c r="H1715" s="426">
        <v>1742929</v>
      </c>
      <c r="I1715" s="744"/>
      <c r="J1715" s="744"/>
      <c r="K1715" s="354">
        <f t="shared" si="311"/>
        <v>1742929</v>
      </c>
      <c r="L1715" s="672">
        <v>44943</v>
      </c>
      <c r="M1715" s="742">
        <v>116195</v>
      </c>
      <c r="N1715" s="352">
        <f t="shared" si="313"/>
        <v>1626734</v>
      </c>
      <c r="O1715" s="357">
        <f t="shared" si="310"/>
        <v>440</v>
      </c>
      <c r="P1715" s="410">
        <v>9</v>
      </c>
      <c r="Q1715" s="358">
        <f t="shared" si="315"/>
        <v>1.2054794520547945</v>
      </c>
      <c r="R1715" s="359">
        <f t="shared" si="316"/>
        <v>7.794520547945206</v>
      </c>
      <c r="S1715" s="360">
        <f t="shared" si="317"/>
        <v>7.794520547945206</v>
      </c>
      <c r="T1715" s="361">
        <f t="shared" si="318"/>
        <v>0.10555555555555554</v>
      </c>
      <c r="U1715" s="362">
        <f t="shared" si="319"/>
        <v>183975.83888888886</v>
      </c>
      <c r="V1715" s="362">
        <f t="shared" si="320"/>
        <v>1442758.1611111111</v>
      </c>
      <c r="W1715" s="362">
        <f t="shared" si="321"/>
        <v>87146</v>
      </c>
      <c r="X1715" s="742">
        <f t="shared" si="312"/>
        <v>1355612.1611111111</v>
      </c>
    </row>
    <row r="1716" spans="1:24" ht="13.9">
      <c r="A1716" s="349">
        <f t="shared" si="314"/>
        <v>1708</v>
      </c>
      <c r="B1716" s="669" t="s">
        <v>568</v>
      </c>
      <c r="C1716" s="669" t="s">
        <v>29</v>
      </c>
      <c r="D1716" s="743" t="s">
        <v>3663</v>
      </c>
      <c r="E1716" s="669" t="s">
        <v>763</v>
      </c>
      <c r="F1716" s="334"/>
      <c r="G1716" s="672">
        <v>44945</v>
      </c>
      <c r="H1716" s="426">
        <v>1748151</v>
      </c>
      <c r="I1716" s="744"/>
      <c r="J1716" s="744"/>
      <c r="K1716" s="354">
        <f t="shared" si="311"/>
        <v>1748151</v>
      </c>
      <c r="L1716" s="672">
        <v>44945</v>
      </c>
      <c r="M1716" s="742">
        <v>113350</v>
      </c>
      <c r="N1716" s="352">
        <f t="shared" si="313"/>
        <v>1634801</v>
      </c>
      <c r="O1716" s="357">
        <f t="shared" si="310"/>
        <v>438</v>
      </c>
      <c r="P1716" s="410">
        <v>9</v>
      </c>
      <c r="Q1716" s="358">
        <f t="shared" si="315"/>
        <v>1.2</v>
      </c>
      <c r="R1716" s="359">
        <f t="shared" si="316"/>
        <v>7.8</v>
      </c>
      <c r="S1716" s="360">
        <f t="shared" si="317"/>
        <v>7.8</v>
      </c>
      <c r="T1716" s="361">
        <f t="shared" si="318"/>
        <v>0.10555555555555554</v>
      </c>
      <c r="U1716" s="362">
        <f t="shared" si="319"/>
        <v>184527.05</v>
      </c>
      <c r="V1716" s="362">
        <f t="shared" si="320"/>
        <v>1450273.95</v>
      </c>
      <c r="W1716" s="362">
        <f t="shared" si="321"/>
        <v>87408</v>
      </c>
      <c r="X1716" s="742">
        <f t="shared" si="312"/>
        <v>1362865.95</v>
      </c>
    </row>
    <row r="1717" spans="1:24" ht="13.9">
      <c r="A1717" s="349">
        <f t="shared" si="314"/>
        <v>1709</v>
      </c>
      <c r="B1717" s="669" t="s">
        <v>568</v>
      </c>
      <c r="C1717" s="669" t="s">
        <v>29</v>
      </c>
      <c r="D1717" s="743" t="s">
        <v>3663</v>
      </c>
      <c r="E1717" s="669" t="s">
        <v>763</v>
      </c>
      <c r="F1717" s="334"/>
      <c r="G1717" s="672">
        <v>44949</v>
      </c>
      <c r="H1717" s="426">
        <v>1750000</v>
      </c>
      <c r="I1717" s="744"/>
      <c r="J1717" s="744"/>
      <c r="K1717" s="354">
        <f t="shared" si="311"/>
        <v>1750000</v>
      </c>
      <c r="L1717" s="672">
        <v>44949</v>
      </c>
      <c r="M1717" s="742">
        <v>107078</v>
      </c>
      <c r="N1717" s="352">
        <f t="shared" si="313"/>
        <v>1642922</v>
      </c>
      <c r="O1717" s="357">
        <f t="shared" si="310"/>
        <v>434</v>
      </c>
      <c r="P1717" s="410">
        <v>9</v>
      </c>
      <c r="Q1717" s="358">
        <f t="shared" si="315"/>
        <v>1.189041095890411</v>
      </c>
      <c r="R1717" s="359">
        <f t="shared" si="316"/>
        <v>7.8109589041095893</v>
      </c>
      <c r="S1717" s="360">
        <f t="shared" si="317"/>
        <v>7.8109589041095893</v>
      </c>
      <c r="T1717" s="361">
        <f t="shared" si="318"/>
        <v>0.10555555555555554</v>
      </c>
      <c r="U1717" s="362">
        <f t="shared" si="319"/>
        <v>184722.22222222219</v>
      </c>
      <c r="V1717" s="362">
        <f t="shared" si="320"/>
        <v>1458199.7777777778</v>
      </c>
      <c r="W1717" s="362">
        <f t="shared" si="321"/>
        <v>87500</v>
      </c>
      <c r="X1717" s="742">
        <f t="shared" si="312"/>
        <v>1370699.7777777778</v>
      </c>
    </row>
    <row r="1718" spans="1:24" ht="13.9">
      <c r="A1718" s="349">
        <f t="shared" si="314"/>
        <v>1710</v>
      </c>
      <c r="B1718" s="670" t="s">
        <v>323</v>
      </c>
      <c r="C1718" s="669" t="s">
        <v>29</v>
      </c>
      <c r="D1718" s="743" t="s">
        <v>3663</v>
      </c>
      <c r="E1718" s="670" t="s">
        <v>170</v>
      </c>
      <c r="F1718" s="334"/>
      <c r="G1718" s="672">
        <v>44939</v>
      </c>
      <c r="H1718" s="426">
        <v>5800000</v>
      </c>
      <c r="I1718" s="744"/>
      <c r="J1718" s="744"/>
      <c r="K1718" s="354">
        <f t="shared" si="311"/>
        <v>5800000</v>
      </c>
      <c r="L1718" s="672">
        <v>44939</v>
      </c>
      <c r="M1718" s="742">
        <v>135951</v>
      </c>
      <c r="N1718" s="352">
        <f t="shared" si="313"/>
        <v>5664049</v>
      </c>
      <c r="O1718" s="357">
        <f t="shared" si="310"/>
        <v>444</v>
      </c>
      <c r="P1718" s="410">
        <v>9</v>
      </c>
      <c r="Q1718" s="358">
        <f t="shared" si="315"/>
        <v>1.2164383561643837</v>
      </c>
      <c r="R1718" s="359">
        <f t="shared" si="316"/>
        <v>7.7835616438356166</v>
      </c>
      <c r="S1718" s="360">
        <f t="shared" si="317"/>
        <v>7.7835616438356166</v>
      </c>
      <c r="T1718" s="361">
        <f t="shared" si="318"/>
        <v>0.10555555555555554</v>
      </c>
      <c r="U1718" s="362">
        <f t="shared" si="319"/>
        <v>612222.22222222213</v>
      </c>
      <c r="V1718" s="362">
        <f t="shared" si="320"/>
        <v>5051826.777777778</v>
      </c>
      <c r="W1718" s="362">
        <f t="shared" si="321"/>
        <v>290000</v>
      </c>
      <c r="X1718" s="742">
        <f t="shared" si="312"/>
        <v>4761826.777777778</v>
      </c>
    </row>
    <row r="1719" spans="1:24" ht="13.9">
      <c r="A1719" s="349">
        <f t="shared" si="314"/>
        <v>1711</v>
      </c>
      <c r="B1719" s="670" t="s">
        <v>564</v>
      </c>
      <c r="C1719" s="669" t="s">
        <v>29</v>
      </c>
      <c r="D1719" s="743" t="s">
        <v>3663</v>
      </c>
      <c r="E1719" s="670" t="s">
        <v>3347</v>
      </c>
      <c r="F1719" s="334"/>
      <c r="G1719" s="672">
        <v>44951</v>
      </c>
      <c r="H1719" s="426">
        <v>1150000</v>
      </c>
      <c r="I1719" s="744"/>
      <c r="J1719" s="744"/>
      <c r="K1719" s="354">
        <f t="shared" si="311"/>
        <v>1150000</v>
      </c>
      <c r="L1719" s="672">
        <v>44951</v>
      </c>
      <c r="M1719" s="742">
        <v>22755</v>
      </c>
      <c r="N1719" s="352">
        <f t="shared" si="313"/>
        <v>1127245</v>
      </c>
      <c r="O1719" s="357">
        <f t="shared" si="310"/>
        <v>432</v>
      </c>
      <c r="P1719" s="410">
        <v>9</v>
      </c>
      <c r="Q1719" s="358">
        <f t="shared" si="315"/>
        <v>1.1835616438356165</v>
      </c>
      <c r="R1719" s="359">
        <f t="shared" si="316"/>
        <v>7.8164383561643831</v>
      </c>
      <c r="S1719" s="360">
        <f t="shared" si="317"/>
        <v>7.8164383561643831</v>
      </c>
      <c r="T1719" s="361">
        <f t="shared" si="318"/>
        <v>0.10555555555555554</v>
      </c>
      <c r="U1719" s="362">
        <f t="shared" si="319"/>
        <v>121388.88888888888</v>
      </c>
      <c r="V1719" s="362">
        <f t="shared" si="320"/>
        <v>1005856.1111111111</v>
      </c>
      <c r="W1719" s="362">
        <f t="shared" si="321"/>
        <v>57500</v>
      </c>
      <c r="X1719" s="742">
        <f t="shared" si="312"/>
        <v>948356.11111111112</v>
      </c>
    </row>
    <row r="1720" spans="1:24" ht="13.9">
      <c r="A1720" s="349">
        <f t="shared" si="314"/>
        <v>1712</v>
      </c>
      <c r="B1720" s="670" t="s">
        <v>3340</v>
      </c>
      <c r="C1720" s="669" t="s">
        <v>29</v>
      </c>
      <c r="D1720" s="743" t="s">
        <v>3663</v>
      </c>
      <c r="E1720" s="670" t="s">
        <v>763</v>
      </c>
      <c r="F1720" s="334"/>
      <c r="G1720" s="672">
        <v>44949</v>
      </c>
      <c r="H1720" s="426">
        <v>1454600</v>
      </c>
      <c r="I1720" s="744"/>
      <c r="J1720" s="744"/>
      <c r="K1720" s="354">
        <f t="shared" si="311"/>
        <v>1454600</v>
      </c>
      <c r="L1720" s="672">
        <v>44949</v>
      </c>
      <c r="M1720" s="742">
        <v>89003</v>
      </c>
      <c r="N1720" s="352">
        <f t="shared" si="313"/>
        <v>1365597</v>
      </c>
      <c r="O1720" s="357">
        <f t="shared" si="310"/>
        <v>434</v>
      </c>
      <c r="P1720" s="410">
        <v>9</v>
      </c>
      <c r="Q1720" s="358">
        <f t="shared" si="315"/>
        <v>1.189041095890411</v>
      </c>
      <c r="R1720" s="359">
        <f t="shared" si="316"/>
        <v>7.8109589041095893</v>
      </c>
      <c r="S1720" s="360">
        <f t="shared" si="317"/>
        <v>7.8109589041095893</v>
      </c>
      <c r="T1720" s="361">
        <f t="shared" si="318"/>
        <v>0.10555555555555554</v>
      </c>
      <c r="U1720" s="362">
        <f t="shared" si="319"/>
        <v>153541.11111111109</v>
      </c>
      <c r="V1720" s="362">
        <f t="shared" si="320"/>
        <v>1212055.888888889</v>
      </c>
      <c r="W1720" s="362">
        <f t="shared" si="321"/>
        <v>72730</v>
      </c>
      <c r="X1720" s="742">
        <f t="shared" si="312"/>
        <v>1139325.888888889</v>
      </c>
    </row>
    <row r="1721" spans="1:24" ht="13.9">
      <c r="A1721" s="349">
        <f t="shared" si="314"/>
        <v>1713</v>
      </c>
      <c r="B1721" s="670" t="s">
        <v>3340</v>
      </c>
      <c r="C1721" s="669" t="s">
        <v>29</v>
      </c>
      <c r="D1721" s="743" t="s">
        <v>3663</v>
      </c>
      <c r="E1721" s="670" t="s">
        <v>763</v>
      </c>
      <c r="F1721" s="334"/>
      <c r="G1721" s="672">
        <v>44949</v>
      </c>
      <c r="H1721" s="426">
        <v>289145</v>
      </c>
      <c r="I1721" s="744"/>
      <c r="J1721" s="744"/>
      <c r="K1721" s="354">
        <f t="shared" si="311"/>
        <v>289145</v>
      </c>
      <c r="L1721" s="672">
        <v>44949</v>
      </c>
      <c r="M1721" s="742">
        <v>17692</v>
      </c>
      <c r="N1721" s="352">
        <f t="shared" si="313"/>
        <v>271453</v>
      </c>
      <c r="O1721" s="357">
        <f t="shared" si="310"/>
        <v>434</v>
      </c>
      <c r="P1721" s="410">
        <v>9</v>
      </c>
      <c r="Q1721" s="358">
        <f t="shared" si="315"/>
        <v>1.189041095890411</v>
      </c>
      <c r="R1721" s="359">
        <f t="shared" si="316"/>
        <v>7.8109589041095893</v>
      </c>
      <c r="S1721" s="360">
        <f t="shared" si="317"/>
        <v>7.8109589041095893</v>
      </c>
      <c r="T1721" s="361">
        <f t="shared" si="318"/>
        <v>0.10555555555555554</v>
      </c>
      <c r="U1721" s="362">
        <f t="shared" si="319"/>
        <v>30520.861111111106</v>
      </c>
      <c r="V1721" s="362">
        <f t="shared" si="320"/>
        <v>240932.13888888891</v>
      </c>
      <c r="W1721" s="362">
        <f t="shared" si="321"/>
        <v>14457</v>
      </c>
      <c r="X1721" s="742">
        <f t="shared" si="312"/>
        <v>226475.13888888891</v>
      </c>
    </row>
    <row r="1722" spans="1:24" ht="13.9">
      <c r="A1722" s="349">
        <f t="shared" si="314"/>
        <v>1714</v>
      </c>
      <c r="B1722" s="670" t="s">
        <v>3340</v>
      </c>
      <c r="C1722" s="669" t="s">
        <v>29</v>
      </c>
      <c r="D1722" s="743" t="s">
        <v>3663</v>
      </c>
      <c r="E1722" s="670" t="s">
        <v>763</v>
      </c>
      <c r="F1722" s="334"/>
      <c r="G1722" s="672">
        <v>44950</v>
      </c>
      <c r="H1722" s="426">
        <v>1397900</v>
      </c>
      <c r="I1722" s="744"/>
      <c r="J1722" s="744"/>
      <c r="K1722" s="354">
        <f t="shared" si="311"/>
        <v>1397900</v>
      </c>
      <c r="L1722" s="672">
        <v>44950</v>
      </c>
      <c r="M1722" s="742">
        <v>84257</v>
      </c>
      <c r="N1722" s="352">
        <f t="shared" si="313"/>
        <v>1313643</v>
      </c>
      <c r="O1722" s="357">
        <f t="shared" si="310"/>
        <v>433</v>
      </c>
      <c r="P1722" s="410">
        <v>9</v>
      </c>
      <c r="Q1722" s="358">
        <f t="shared" si="315"/>
        <v>1.1863013698630136</v>
      </c>
      <c r="R1722" s="359">
        <f t="shared" si="316"/>
        <v>7.8136986301369866</v>
      </c>
      <c r="S1722" s="360">
        <f t="shared" si="317"/>
        <v>7.8136986301369866</v>
      </c>
      <c r="T1722" s="361">
        <f t="shared" si="318"/>
        <v>0.10555555555555554</v>
      </c>
      <c r="U1722" s="362">
        <f t="shared" si="319"/>
        <v>147556.11111111109</v>
      </c>
      <c r="V1722" s="362">
        <f t="shared" si="320"/>
        <v>1166086.888888889</v>
      </c>
      <c r="W1722" s="362">
        <f t="shared" si="321"/>
        <v>69895</v>
      </c>
      <c r="X1722" s="742">
        <f t="shared" si="312"/>
        <v>1096191.888888889</v>
      </c>
    </row>
    <row r="1723" spans="1:24" ht="13.9">
      <c r="A1723" s="349">
        <f t="shared" si="314"/>
        <v>1715</v>
      </c>
      <c r="B1723" s="670" t="s">
        <v>3340</v>
      </c>
      <c r="C1723" s="669" t="s">
        <v>29</v>
      </c>
      <c r="D1723" s="743" t="s">
        <v>3663</v>
      </c>
      <c r="E1723" s="670" t="s">
        <v>763</v>
      </c>
      <c r="F1723" s="334"/>
      <c r="G1723" s="672">
        <v>44950</v>
      </c>
      <c r="H1723" s="426">
        <v>119700</v>
      </c>
      <c r="I1723" s="744"/>
      <c r="J1723" s="744"/>
      <c r="K1723" s="354">
        <f t="shared" si="311"/>
        <v>119700</v>
      </c>
      <c r="L1723" s="672">
        <v>44950</v>
      </c>
      <c r="M1723" s="742">
        <v>7215</v>
      </c>
      <c r="N1723" s="352">
        <f t="shared" si="313"/>
        <v>112485</v>
      </c>
      <c r="O1723" s="357">
        <f t="shared" si="310"/>
        <v>433</v>
      </c>
      <c r="P1723" s="410">
        <v>9</v>
      </c>
      <c r="Q1723" s="358">
        <f t="shared" si="315"/>
        <v>1.1863013698630136</v>
      </c>
      <c r="R1723" s="359">
        <f t="shared" si="316"/>
        <v>7.8136986301369866</v>
      </c>
      <c r="S1723" s="360">
        <f t="shared" si="317"/>
        <v>7.8136986301369866</v>
      </c>
      <c r="T1723" s="361">
        <f t="shared" si="318"/>
        <v>0.10555555555555554</v>
      </c>
      <c r="U1723" s="362">
        <f t="shared" si="319"/>
        <v>12634.999999999998</v>
      </c>
      <c r="V1723" s="362">
        <f t="shared" si="320"/>
        <v>99850</v>
      </c>
      <c r="W1723" s="362">
        <f t="shared" si="321"/>
        <v>5985</v>
      </c>
      <c r="X1723" s="742">
        <f t="shared" si="312"/>
        <v>93865</v>
      </c>
    </row>
    <row r="1724" spans="1:24" ht="13.9">
      <c r="A1724" s="349">
        <f t="shared" si="314"/>
        <v>1716</v>
      </c>
      <c r="B1724" s="670" t="s">
        <v>3340</v>
      </c>
      <c r="C1724" s="669" t="s">
        <v>29</v>
      </c>
      <c r="D1724" s="743" t="s">
        <v>3663</v>
      </c>
      <c r="E1724" s="670" t="s">
        <v>763</v>
      </c>
      <c r="F1724" s="334"/>
      <c r="G1724" s="672">
        <v>44950</v>
      </c>
      <c r="H1724" s="426">
        <v>340000</v>
      </c>
      <c r="I1724" s="744"/>
      <c r="J1724" s="744"/>
      <c r="K1724" s="354">
        <f t="shared" si="311"/>
        <v>340000</v>
      </c>
      <c r="L1724" s="672">
        <v>44950</v>
      </c>
      <c r="M1724" s="742">
        <v>20493</v>
      </c>
      <c r="N1724" s="352">
        <f t="shared" si="313"/>
        <v>319507</v>
      </c>
      <c r="O1724" s="357">
        <f t="shared" si="310"/>
        <v>433</v>
      </c>
      <c r="P1724" s="410">
        <v>9</v>
      </c>
      <c r="Q1724" s="358">
        <f t="shared" si="315"/>
        <v>1.1863013698630136</v>
      </c>
      <c r="R1724" s="359">
        <f t="shared" si="316"/>
        <v>7.8136986301369866</v>
      </c>
      <c r="S1724" s="360">
        <f t="shared" si="317"/>
        <v>7.8136986301369866</v>
      </c>
      <c r="T1724" s="361">
        <f t="shared" si="318"/>
        <v>0.10555555555555554</v>
      </c>
      <c r="U1724" s="362">
        <f t="shared" si="319"/>
        <v>35888.888888888883</v>
      </c>
      <c r="V1724" s="362">
        <f t="shared" si="320"/>
        <v>283618.11111111112</v>
      </c>
      <c r="W1724" s="362">
        <f t="shared" si="321"/>
        <v>17000</v>
      </c>
      <c r="X1724" s="742">
        <f t="shared" si="312"/>
        <v>266618.11111111112</v>
      </c>
    </row>
    <row r="1725" spans="1:24" ht="13.9">
      <c r="A1725" s="349">
        <f t="shared" si="314"/>
        <v>1717</v>
      </c>
      <c r="B1725" s="670" t="s">
        <v>3340</v>
      </c>
      <c r="C1725" s="669" t="s">
        <v>29</v>
      </c>
      <c r="D1725" s="743" t="s">
        <v>3663</v>
      </c>
      <c r="E1725" s="670" t="s">
        <v>763</v>
      </c>
      <c r="F1725" s="334"/>
      <c r="G1725" s="672">
        <v>44952</v>
      </c>
      <c r="H1725" s="426">
        <v>1579900</v>
      </c>
      <c r="I1725" s="744"/>
      <c r="J1725" s="744"/>
      <c r="K1725" s="354">
        <f t="shared" si="311"/>
        <v>1579900</v>
      </c>
      <c r="L1725" s="672">
        <v>44952</v>
      </c>
      <c r="M1725" s="742">
        <v>92341</v>
      </c>
      <c r="N1725" s="352">
        <f t="shared" si="313"/>
        <v>1487559</v>
      </c>
      <c r="O1725" s="357">
        <f t="shared" si="310"/>
        <v>431</v>
      </c>
      <c r="P1725" s="410">
        <v>9</v>
      </c>
      <c r="Q1725" s="358">
        <f t="shared" si="315"/>
        <v>1.1808219178082191</v>
      </c>
      <c r="R1725" s="359">
        <f t="shared" si="316"/>
        <v>7.8191780821917813</v>
      </c>
      <c r="S1725" s="360">
        <f t="shared" si="317"/>
        <v>7.8191780821917813</v>
      </c>
      <c r="T1725" s="361">
        <f t="shared" si="318"/>
        <v>0.10555555555555554</v>
      </c>
      <c r="U1725" s="362">
        <f t="shared" si="319"/>
        <v>166767.22222222219</v>
      </c>
      <c r="V1725" s="362">
        <f t="shared" si="320"/>
        <v>1320791.7777777778</v>
      </c>
      <c r="W1725" s="362">
        <f t="shared" si="321"/>
        <v>78995</v>
      </c>
      <c r="X1725" s="742">
        <f t="shared" si="312"/>
        <v>1241796.7777777778</v>
      </c>
    </row>
    <row r="1726" spans="1:24" ht="13.9">
      <c r="A1726" s="349">
        <f t="shared" si="314"/>
        <v>1718</v>
      </c>
      <c r="B1726" s="670" t="s">
        <v>3340</v>
      </c>
      <c r="C1726" s="669" t="s">
        <v>29</v>
      </c>
      <c r="D1726" s="743" t="s">
        <v>3663</v>
      </c>
      <c r="E1726" s="670" t="s">
        <v>763</v>
      </c>
      <c r="F1726" s="334"/>
      <c r="G1726" s="672">
        <v>44952</v>
      </c>
      <c r="H1726" s="426">
        <v>49875</v>
      </c>
      <c r="I1726" s="744"/>
      <c r="J1726" s="744"/>
      <c r="K1726" s="354">
        <f t="shared" si="311"/>
        <v>49875</v>
      </c>
      <c r="L1726" s="672">
        <v>44952</v>
      </c>
      <c r="M1726" s="742">
        <v>2915</v>
      </c>
      <c r="N1726" s="352">
        <f t="shared" si="313"/>
        <v>46960</v>
      </c>
      <c r="O1726" s="357">
        <f t="shared" si="310"/>
        <v>431</v>
      </c>
      <c r="P1726" s="410">
        <v>9</v>
      </c>
      <c r="Q1726" s="358">
        <f t="shared" si="315"/>
        <v>1.1808219178082191</v>
      </c>
      <c r="R1726" s="359">
        <f t="shared" si="316"/>
        <v>7.8191780821917813</v>
      </c>
      <c r="S1726" s="360">
        <f t="shared" si="317"/>
        <v>7.8191780821917813</v>
      </c>
      <c r="T1726" s="361">
        <f t="shared" si="318"/>
        <v>0.10555555555555554</v>
      </c>
      <c r="U1726" s="362">
        <f t="shared" si="319"/>
        <v>5264.583333333333</v>
      </c>
      <c r="V1726" s="362">
        <f t="shared" si="320"/>
        <v>41695.416666666664</v>
      </c>
      <c r="W1726" s="362">
        <f t="shared" si="321"/>
        <v>2494</v>
      </c>
      <c r="X1726" s="742">
        <f t="shared" si="312"/>
        <v>39201.416666666664</v>
      </c>
    </row>
    <row r="1727" spans="1:24" ht="13.9">
      <c r="A1727" s="349">
        <f t="shared" si="314"/>
        <v>1719</v>
      </c>
      <c r="B1727" s="665" t="s">
        <v>287</v>
      </c>
      <c r="C1727" s="666" t="s">
        <v>29</v>
      </c>
      <c r="D1727" s="743" t="s">
        <v>3663</v>
      </c>
      <c r="E1727" s="665" t="s">
        <v>295</v>
      </c>
      <c r="F1727" s="334"/>
      <c r="G1727" s="657">
        <v>44841</v>
      </c>
      <c r="H1727" s="426">
        <v>825946</v>
      </c>
      <c r="I1727" s="744"/>
      <c r="J1727" s="744"/>
      <c r="K1727" s="354">
        <f t="shared" si="311"/>
        <v>825946</v>
      </c>
      <c r="L1727" s="657">
        <v>44841</v>
      </c>
      <c r="M1727" s="742">
        <v>47025.178938356163</v>
      </c>
      <c r="N1727" s="352">
        <f t="shared" si="313"/>
        <v>778920.82106164389</v>
      </c>
      <c r="O1727" s="357">
        <f t="shared" si="310"/>
        <v>542</v>
      </c>
      <c r="P1727" s="410">
        <v>9</v>
      </c>
      <c r="Q1727" s="358">
        <f t="shared" si="315"/>
        <v>1.484931506849315</v>
      </c>
      <c r="R1727" s="359">
        <f t="shared" si="316"/>
        <v>7.515068493150685</v>
      </c>
      <c r="S1727" s="360">
        <f t="shared" si="317"/>
        <v>7.515068493150685</v>
      </c>
      <c r="T1727" s="361">
        <f t="shared" si="318"/>
        <v>0.10555555555555554</v>
      </c>
      <c r="U1727" s="362">
        <f t="shared" si="319"/>
        <v>87183.188888888879</v>
      </c>
      <c r="V1727" s="362">
        <f t="shared" si="320"/>
        <v>691737.63217275497</v>
      </c>
      <c r="W1727" s="362">
        <f t="shared" si="321"/>
        <v>41297</v>
      </c>
      <c r="X1727" s="742">
        <f t="shared" si="312"/>
        <v>650440.63217275497</v>
      </c>
    </row>
    <row r="1728" spans="1:24" ht="13.9">
      <c r="A1728" s="349">
        <f t="shared" si="314"/>
        <v>1720</v>
      </c>
      <c r="B1728" s="665" t="s">
        <v>287</v>
      </c>
      <c r="C1728" s="703" t="s">
        <v>29</v>
      </c>
      <c r="D1728" s="743" t="s">
        <v>3663</v>
      </c>
      <c r="E1728" s="665" t="s">
        <v>295</v>
      </c>
      <c r="F1728" s="334"/>
      <c r="G1728" s="657">
        <v>44782</v>
      </c>
      <c r="H1728" s="426">
        <v>982136</v>
      </c>
      <c r="I1728" s="744"/>
      <c r="J1728" s="744"/>
      <c r="K1728" s="354">
        <f t="shared" si="311"/>
        <v>982136</v>
      </c>
      <c r="L1728" s="657">
        <v>44782</v>
      </c>
      <c r="M1728" s="742">
        <v>74770.148219178081</v>
      </c>
      <c r="N1728" s="352">
        <f t="shared" si="313"/>
        <v>907365.85178082192</v>
      </c>
      <c r="O1728" s="357">
        <f t="shared" si="310"/>
        <v>601</v>
      </c>
      <c r="P1728" s="410">
        <v>9</v>
      </c>
      <c r="Q1728" s="358">
        <f t="shared" si="315"/>
        <v>1.6465753424657534</v>
      </c>
      <c r="R1728" s="359">
        <f t="shared" si="316"/>
        <v>7.3534246575342461</v>
      </c>
      <c r="S1728" s="360">
        <f t="shared" si="317"/>
        <v>7.3534246575342461</v>
      </c>
      <c r="T1728" s="361">
        <f t="shared" si="318"/>
        <v>0.10555555555555554</v>
      </c>
      <c r="U1728" s="362">
        <f t="shared" si="319"/>
        <v>103669.9111111111</v>
      </c>
      <c r="V1728" s="362">
        <f t="shared" si="320"/>
        <v>803695.94066971086</v>
      </c>
      <c r="W1728" s="362">
        <f t="shared" si="321"/>
        <v>49107</v>
      </c>
      <c r="X1728" s="742">
        <f t="shared" si="312"/>
        <v>754588.94066971086</v>
      </c>
    </row>
    <row r="1729" spans="1:24" ht="13.9">
      <c r="A1729" s="349">
        <f t="shared" si="314"/>
        <v>1721</v>
      </c>
      <c r="B1729" s="665" t="s">
        <v>287</v>
      </c>
      <c r="C1729" s="703" t="s">
        <v>29</v>
      </c>
      <c r="D1729" s="743" t="s">
        <v>3663</v>
      </c>
      <c r="E1729" s="665" t="s">
        <v>295</v>
      </c>
      <c r="F1729" s="334"/>
      <c r="G1729" s="668">
        <v>44690</v>
      </c>
      <c r="H1729" s="426">
        <v>805264</v>
      </c>
      <c r="I1729" s="744"/>
      <c r="J1729" s="744"/>
      <c r="K1729" s="354">
        <f t="shared" si="311"/>
        <v>805264</v>
      </c>
      <c r="L1729" s="668">
        <v>44690</v>
      </c>
      <c r="M1729" s="742">
        <v>85407.623561643835</v>
      </c>
      <c r="N1729" s="352">
        <f t="shared" si="313"/>
        <v>719856.37643835612</v>
      </c>
      <c r="O1729" s="357">
        <f t="shared" si="310"/>
        <v>693</v>
      </c>
      <c r="P1729" s="410">
        <v>9</v>
      </c>
      <c r="Q1729" s="358">
        <f t="shared" si="315"/>
        <v>1.8986301369863015</v>
      </c>
      <c r="R1729" s="359">
        <f t="shared" si="316"/>
        <v>7.1013698630136988</v>
      </c>
      <c r="S1729" s="360">
        <f t="shared" si="317"/>
        <v>7.1013698630136988</v>
      </c>
      <c r="T1729" s="361">
        <f t="shared" si="318"/>
        <v>0.10555555555555554</v>
      </c>
      <c r="U1729" s="362">
        <f t="shared" si="319"/>
        <v>85000.088888888873</v>
      </c>
      <c r="V1729" s="362">
        <f t="shared" si="320"/>
        <v>634856.28754946729</v>
      </c>
      <c r="W1729" s="362">
        <f t="shared" si="321"/>
        <v>40263</v>
      </c>
      <c r="X1729" s="742">
        <f t="shared" si="312"/>
        <v>594593.28754946729</v>
      </c>
    </row>
    <row r="1730" spans="1:24" ht="13.9">
      <c r="A1730" s="349">
        <f t="shared" si="314"/>
        <v>1722</v>
      </c>
      <c r="B1730" s="665" t="s">
        <v>287</v>
      </c>
      <c r="C1730" s="703" t="s">
        <v>29</v>
      </c>
      <c r="D1730" s="743" t="s">
        <v>3663</v>
      </c>
      <c r="E1730" s="665" t="s">
        <v>295</v>
      </c>
      <c r="F1730" s="334"/>
      <c r="G1730" s="668">
        <v>44721</v>
      </c>
      <c r="H1730" s="426">
        <v>752344</v>
      </c>
      <c r="I1730" s="744"/>
      <c r="J1730" s="744"/>
      <c r="K1730" s="354">
        <f t="shared" si="311"/>
        <v>752344</v>
      </c>
      <c r="L1730" s="668">
        <v>44721</v>
      </c>
      <c r="M1730" s="742">
        <v>72206.98835616438</v>
      </c>
      <c r="N1730" s="352">
        <f t="shared" si="313"/>
        <v>680137.01164383558</v>
      </c>
      <c r="O1730" s="357">
        <f t="shared" si="310"/>
        <v>662</v>
      </c>
      <c r="P1730" s="410">
        <v>9</v>
      </c>
      <c r="Q1730" s="358">
        <f t="shared" si="315"/>
        <v>1.8136986301369864</v>
      </c>
      <c r="R1730" s="359">
        <f t="shared" si="316"/>
        <v>7.1863013698630134</v>
      </c>
      <c r="S1730" s="360">
        <f t="shared" si="317"/>
        <v>7.1863013698630134</v>
      </c>
      <c r="T1730" s="361">
        <f t="shared" si="318"/>
        <v>0.10555555555555554</v>
      </c>
      <c r="U1730" s="362">
        <f t="shared" si="319"/>
        <v>79414.088888888873</v>
      </c>
      <c r="V1730" s="362">
        <f t="shared" si="320"/>
        <v>600722.92275494675</v>
      </c>
      <c r="W1730" s="362">
        <f t="shared" si="321"/>
        <v>37617</v>
      </c>
      <c r="X1730" s="742">
        <f t="shared" si="312"/>
        <v>563105.92275494675</v>
      </c>
    </row>
    <row r="1731" spans="1:24" ht="13.9">
      <c r="A1731" s="349">
        <f t="shared" si="314"/>
        <v>1723</v>
      </c>
      <c r="B1731" s="669" t="s">
        <v>568</v>
      </c>
      <c r="C1731" s="681" t="s">
        <v>29</v>
      </c>
      <c r="D1731" s="743" t="s">
        <v>3663</v>
      </c>
      <c r="E1731" s="669" t="s">
        <v>763</v>
      </c>
      <c r="F1731" s="334"/>
      <c r="G1731" s="672">
        <v>44958</v>
      </c>
      <c r="H1731" s="426">
        <v>472879</v>
      </c>
      <c r="I1731" s="744"/>
      <c r="J1731" s="744"/>
      <c r="K1731" s="354">
        <f t="shared" si="311"/>
        <v>472879</v>
      </c>
      <c r="L1731" s="672">
        <v>44958</v>
      </c>
      <c r="M1731" s="742">
        <v>25047</v>
      </c>
      <c r="N1731" s="352">
        <f t="shared" si="313"/>
        <v>447832</v>
      </c>
      <c r="O1731" s="357">
        <f t="shared" ref="O1731:O1794" si="322">+$O$3-L1731+1</f>
        <v>425</v>
      </c>
      <c r="P1731" s="410">
        <v>9</v>
      </c>
      <c r="Q1731" s="358">
        <f t="shared" si="315"/>
        <v>1.1643835616438356</v>
      </c>
      <c r="R1731" s="359">
        <f t="shared" si="316"/>
        <v>7.8356164383561646</v>
      </c>
      <c r="S1731" s="360">
        <f t="shared" si="317"/>
        <v>7.8356164383561646</v>
      </c>
      <c r="T1731" s="361">
        <f t="shared" si="318"/>
        <v>0.10555555555555554</v>
      </c>
      <c r="U1731" s="362">
        <f t="shared" si="319"/>
        <v>49915.005555555552</v>
      </c>
      <c r="V1731" s="362">
        <f t="shared" si="320"/>
        <v>397916.99444444443</v>
      </c>
      <c r="W1731" s="362">
        <f t="shared" si="321"/>
        <v>23644</v>
      </c>
      <c r="X1731" s="742">
        <f t="shared" si="312"/>
        <v>374272.99444444443</v>
      </c>
    </row>
    <row r="1732" spans="1:24" ht="13.9">
      <c r="A1732" s="349">
        <f t="shared" si="314"/>
        <v>1724</v>
      </c>
      <c r="B1732" s="669" t="s">
        <v>568</v>
      </c>
      <c r="C1732" s="681" t="s">
        <v>29</v>
      </c>
      <c r="D1732" s="743" t="s">
        <v>3663</v>
      </c>
      <c r="E1732" s="669" t="s">
        <v>763</v>
      </c>
      <c r="F1732" s="334"/>
      <c r="G1732" s="672">
        <v>44958</v>
      </c>
      <c r="H1732" s="426">
        <v>112916</v>
      </c>
      <c r="I1732" s="744"/>
      <c r="J1732" s="744"/>
      <c r="K1732" s="354">
        <f t="shared" ref="K1732:K1795" si="323">+H1732+I1732-J1732</f>
        <v>112916</v>
      </c>
      <c r="L1732" s="672">
        <v>44958</v>
      </c>
      <c r="M1732" s="742">
        <v>5981</v>
      </c>
      <c r="N1732" s="352">
        <f t="shared" si="313"/>
        <v>106935</v>
      </c>
      <c r="O1732" s="357">
        <f t="shared" si="322"/>
        <v>425</v>
      </c>
      <c r="P1732" s="410">
        <v>9</v>
      </c>
      <c r="Q1732" s="358">
        <f t="shared" si="315"/>
        <v>1.1643835616438356</v>
      </c>
      <c r="R1732" s="359">
        <f t="shared" si="316"/>
        <v>7.8356164383561646</v>
      </c>
      <c r="S1732" s="360">
        <f t="shared" si="317"/>
        <v>7.8356164383561646</v>
      </c>
      <c r="T1732" s="361">
        <f t="shared" si="318"/>
        <v>0.10555555555555554</v>
      </c>
      <c r="U1732" s="362">
        <f t="shared" si="319"/>
        <v>11918.911111111109</v>
      </c>
      <c r="V1732" s="362">
        <f t="shared" si="320"/>
        <v>95016.088888888888</v>
      </c>
      <c r="W1732" s="362">
        <f t="shared" si="321"/>
        <v>5646</v>
      </c>
      <c r="X1732" s="742">
        <f t="shared" ref="X1732:X1795" si="324">+V1732-W1732</f>
        <v>89370.088888888888</v>
      </c>
    </row>
    <row r="1733" spans="1:24" ht="13.9">
      <c r="A1733" s="349">
        <f t="shared" si="314"/>
        <v>1725</v>
      </c>
      <c r="B1733" s="669" t="s">
        <v>568</v>
      </c>
      <c r="C1733" s="681" t="s">
        <v>29</v>
      </c>
      <c r="D1733" s="743" t="s">
        <v>3663</v>
      </c>
      <c r="E1733" s="669" t="s">
        <v>763</v>
      </c>
      <c r="F1733" s="334"/>
      <c r="G1733" s="672">
        <v>44958</v>
      </c>
      <c r="H1733" s="426">
        <v>1743000</v>
      </c>
      <c r="I1733" s="744"/>
      <c r="J1733" s="744"/>
      <c r="K1733" s="354">
        <f t="shared" si="323"/>
        <v>1743000</v>
      </c>
      <c r="L1733" s="672">
        <v>44958</v>
      </c>
      <c r="M1733" s="742">
        <v>92323</v>
      </c>
      <c r="N1733" s="352">
        <f t="shared" si="313"/>
        <v>1650677</v>
      </c>
      <c r="O1733" s="357">
        <f t="shared" si="322"/>
        <v>425</v>
      </c>
      <c r="P1733" s="410">
        <v>9</v>
      </c>
      <c r="Q1733" s="358">
        <f t="shared" si="315"/>
        <v>1.1643835616438356</v>
      </c>
      <c r="R1733" s="359">
        <f t="shared" si="316"/>
        <v>7.8356164383561646</v>
      </c>
      <c r="S1733" s="360">
        <f t="shared" si="317"/>
        <v>7.8356164383561646</v>
      </c>
      <c r="T1733" s="361">
        <f t="shared" si="318"/>
        <v>0.10555555555555554</v>
      </c>
      <c r="U1733" s="362">
        <f t="shared" si="319"/>
        <v>183983.33333333331</v>
      </c>
      <c r="V1733" s="362">
        <f t="shared" si="320"/>
        <v>1466693.6666666667</v>
      </c>
      <c r="W1733" s="362">
        <f t="shared" si="321"/>
        <v>87150</v>
      </c>
      <c r="X1733" s="742">
        <f t="shared" si="324"/>
        <v>1379543.6666666667</v>
      </c>
    </row>
    <row r="1734" spans="1:24" ht="13.9">
      <c r="A1734" s="349">
        <f t="shared" si="314"/>
        <v>1726</v>
      </c>
      <c r="B1734" s="669" t="s">
        <v>568</v>
      </c>
      <c r="C1734" s="681" t="s">
        <v>29</v>
      </c>
      <c r="D1734" s="743" t="s">
        <v>3663</v>
      </c>
      <c r="E1734" s="669" t="s">
        <v>763</v>
      </c>
      <c r="F1734" s="334"/>
      <c r="G1734" s="672">
        <v>44959</v>
      </c>
      <c r="H1734" s="426">
        <v>954029</v>
      </c>
      <c r="I1734" s="744"/>
      <c r="J1734" s="744"/>
      <c r="K1734" s="354">
        <f t="shared" si="323"/>
        <v>954029</v>
      </c>
      <c r="L1734" s="672">
        <v>44959</v>
      </c>
      <c r="M1734" s="742">
        <v>49662</v>
      </c>
      <c r="N1734" s="352">
        <f t="shared" ref="N1734:N1797" si="325">+K1734-M1734</f>
        <v>904367</v>
      </c>
      <c r="O1734" s="357">
        <f t="shared" si="322"/>
        <v>424</v>
      </c>
      <c r="P1734" s="410">
        <v>9</v>
      </c>
      <c r="Q1734" s="358">
        <f t="shared" si="315"/>
        <v>1.1616438356164382</v>
      </c>
      <c r="R1734" s="359">
        <f t="shared" si="316"/>
        <v>7.838356164383562</v>
      </c>
      <c r="S1734" s="360">
        <f t="shared" si="317"/>
        <v>7.838356164383562</v>
      </c>
      <c r="T1734" s="361">
        <f t="shared" si="318"/>
        <v>0.10555555555555554</v>
      </c>
      <c r="U1734" s="362">
        <f t="shared" si="319"/>
        <v>100703.06111111109</v>
      </c>
      <c r="V1734" s="362">
        <f t="shared" si="320"/>
        <v>803663.93888888892</v>
      </c>
      <c r="W1734" s="362">
        <f t="shared" si="321"/>
        <v>47701</v>
      </c>
      <c r="X1734" s="742">
        <f t="shared" si="324"/>
        <v>755962.93888888892</v>
      </c>
    </row>
    <row r="1735" spans="1:24" ht="13.9">
      <c r="A1735" s="349">
        <f t="shared" si="314"/>
        <v>1727</v>
      </c>
      <c r="B1735" s="669" t="s">
        <v>568</v>
      </c>
      <c r="C1735" s="681" t="s">
        <v>29</v>
      </c>
      <c r="D1735" s="743" t="s">
        <v>3663</v>
      </c>
      <c r="E1735" s="669" t="s">
        <v>763</v>
      </c>
      <c r="F1735" s="334"/>
      <c r="G1735" s="672">
        <v>44959</v>
      </c>
      <c r="H1735" s="426">
        <v>306105</v>
      </c>
      <c r="I1735" s="744"/>
      <c r="J1735" s="744"/>
      <c r="K1735" s="354">
        <f t="shared" si="323"/>
        <v>306105</v>
      </c>
      <c r="L1735" s="672">
        <v>44959</v>
      </c>
      <c r="M1735" s="742">
        <v>15934</v>
      </c>
      <c r="N1735" s="352">
        <f t="shared" si="325"/>
        <v>290171</v>
      </c>
      <c r="O1735" s="357">
        <f t="shared" si="322"/>
        <v>424</v>
      </c>
      <c r="P1735" s="410">
        <v>9</v>
      </c>
      <c r="Q1735" s="358">
        <f t="shared" si="315"/>
        <v>1.1616438356164382</v>
      </c>
      <c r="R1735" s="359">
        <f t="shared" si="316"/>
        <v>7.838356164383562</v>
      </c>
      <c r="S1735" s="360">
        <f t="shared" si="317"/>
        <v>7.838356164383562</v>
      </c>
      <c r="T1735" s="361">
        <f t="shared" si="318"/>
        <v>0.10555555555555554</v>
      </c>
      <c r="U1735" s="362">
        <f t="shared" si="319"/>
        <v>32311.083333333328</v>
      </c>
      <c r="V1735" s="362">
        <f t="shared" si="320"/>
        <v>257859.91666666669</v>
      </c>
      <c r="W1735" s="362">
        <f t="shared" si="321"/>
        <v>15305</v>
      </c>
      <c r="X1735" s="742">
        <f t="shared" si="324"/>
        <v>242554.91666666669</v>
      </c>
    </row>
    <row r="1736" spans="1:24" ht="13.9">
      <c r="A1736" s="349">
        <f t="shared" si="314"/>
        <v>1728</v>
      </c>
      <c r="B1736" s="669" t="s">
        <v>568</v>
      </c>
      <c r="C1736" s="681" t="s">
        <v>29</v>
      </c>
      <c r="D1736" s="743" t="s">
        <v>3663</v>
      </c>
      <c r="E1736" s="669" t="s">
        <v>763</v>
      </c>
      <c r="F1736" s="334"/>
      <c r="G1736" s="672">
        <v>44959</v>
      </c>
      <c r="H1736" s="426">
        <v>1255729</v>
      </c>
      <c r="I1736" s="744"/>
      <c r="J1736" s="744"/>
      <c r="K1736" s="354">
        <f t="shared" si="323"/>
        <v>1255729</v>
      </c>
      <c r="L1736" s="672">
        <v>44959</v>
      </c>
      <c r="M1736" s="742">
        <v>65367</v>
      </c>
      <c r="N1736" s="352">
        <f t="shared" si="325"/>
        <v>1190362</v>
      </c>
      <c r="O1736" s="357">
        <f t="shared" si="322"/>
        <v>424</v>
      </c>
      <c r="P1736" s="410">
        <v>9</v>
      </c>
      <c r="Q1736" s="358">
        <f t="shared" si="315"/>
        <v>1.1616438356164382</v>
      </c>
      <c r="R1736" s="359">
        <f t="shared" si="316"/>
        <v>7.838356164383562</v>
      </c>
      <c r="S1736" s="360">
        <f t="shared" si="317"/>
        <v>7.838356164383562</v>
      </c>
      <c r="T1736" s="361">
        <f t="shared" si="318"/>
        <v>0.10555555555555554</v>
      </c>
      <c r="U1736" s="362">
        <f t="shared" si="319"/>
        <v>132549.1722222222</v>
      </c>
      <c r="V1736" s="362">
        <f t="shared" si="320"/>
        <v>1057812.8277777778</v>
      </c>
      <c r="W1736" s="362">
        <f t="shared" si="321"/>
        <v>62786</v>
      </c>
      <c r="X1736" s="742">
        <f t="shared" si="324"/>
        <v>995026.8277777778</v>
      </c>
    </row>
    <row r="1737" spans="1:24" ht="13.9">
      <c r="A1737" s="349">
        <f t="shared" ref="A1737:A1800" si="326">+A1736+1</f>
        <v>1729</v>
      </c>
      <c r="B1737" s="669" t="s">
        <v>568</v>
      </c>
      <c r="C1737" s="681" t="s">
        <v>29</v>
      </c>
      <c r="D1737" s="743" t="s">
        <v>3663</v>
      </c>
      <c r="E1737" s="669" t="s">
        <v>763</v>
      </c>
      <c r="F1737" s="334"/>
      <c r="G1737" s="672">
        <v>44959</v>
      </c>
      <c r="H1737" s="426">
        <v>451616</v>
      </c>
      <c r="I1737" s="744"/>
      <c r="J1737" s="744"/>
      <c r="K1737" s="354">
        <f t="shared" si="323"/>
        <v>451616</v>
      </c>
      <c r="L1737" s="672">
        <v>44959</v>
      </c>
      <c r="M1737" s="742">
        <v>23509</v>
      </c>
      <c r="N1737" s="352">
        <f t="shared" si="325"/>
        <v>428107</v>
      </c>
      <c r="O1737" s="357">
        <f t="shared" si="322"/>
        <v>424</v>
      </c>
      <c r="P1737" s="410">
        <v>9</v>
      </c>
      <c r="Q1737" s="358">
        <f t="shared" si="315"/>
        <v>1.1616438356164382</v>
      </c>
      <c r="R1737" s="359">
        <f t="shared" si="316"/>
        <v>7.838356164383562</v>
      </c>
      <c r="S1737" s="360">
        <f t="shared" si="317"/>
        <v>7.838356164383562</v>
      </c>
      <c r="T1737" s="361">
        <f t="shared" si="318"/>
        <v>0.10555555555555554</v>
      </c>
      <c r="U1737" s="362">
        <f t="shared" si="319"/>
        <v>47670.577777777769</v>
      </c>
      <c r="V1737" s="362">
        <f t="shared" si="320"/>
        <v>380436.4222222222</v>
      </c>
      <c r="W1737" s="362">
        <f t="shared" si="321"/>
        <v>22581</v>
      </c>
      <c r="X1737" s="742">
        <f t="shared" si="324"/>
        <v>357855.4222222222</v>
      </c>
    </row>
    <row r="1738" spans="1:24" ht="13.9">
      <c r="A1738" s="349">
        <f t="shared" si="326"/>
        <v>1730</v>
      </c>
      <c r="B1738" s="669" t="s">
        <v>568</v>
      </c>
      <c r="C1738" s="681" t="s">
        <v>29</v>
      </c>
      <c r="D1738" s="743" t="s">
        <v>3663</v>
      </c>
      <c r="E1738" s="669" t="s">
        <v>763</v>
      </c>
      <c r="F1738" s="334"/>
      <c r="G1738" s="672">
        <v>44963</v>
      </c>
      <c r="H1738" s="426">
        <v>1740900</v>
      </c>
      <c r="I1738" s="744"/>
      <c r="J1738" s="744"/>
      <c r="K1738" s="354">
        <f t="shared" si="323"/>
        <v>1740900</v>
      </c>
      <c r="L1738" s="672">
        <v>44963</v>
      </c>
      <c r="M1738" s="742">
        <v>84263</v>
      </c>
      <c r="N1738" s="352">
        <f t="shared" si="325"/>
        <v>1656637</v>
      </c>
      <c r="O1738" s="357">
        <f t="shared" si="322"/>
        <v>420</v>
      </c>
      <c r="P1738" s="410">
        <v>9</v>
      </c>
      <c r="Q1738" s="358">
        <f t="shared" si="315"/>
        <v>1.1506849315068493</v>
      </c>
      <c r="R1738" s="359">
        <f t="shared" si="316"/>
        <v>7.8493150684931505</v>
      </c>
      <c r="S1738" s="360">
        <f t="shared" si="317"/>
        <v>7.8493150684931505</v>
      </c>
      <c r="T1738" s="361">
        <f t="shared" si="318"/>
        <v>0.10555555555555554</v>
      </c>
      <c r="U1738" s="362">
        <f t="shared" si="319"/>
        <v>183761.66666666663</v>
      </c>
      <c r="V1738" s="362">
        <f t="shared" si="320"/>
        <v>1472875.3333333335</v>
      </c>
      <c r="W1738" s="362">
        <f t="shared" si="321"/>
        <v>87045</v>
      </c>
      <c r="X1738" s="742">
        <f t="shared" si="324"/>
        <v>1385830.3333333335</v>
      </c>
    </row>
    <row r="1739" spans="1:24" ht="13.9">
      <c r="A1739" s="349">
        <f t="shared" si="326"/>
        <v>1731</v>
      </c>
      <c r="B1739" s="669" t="s">
        <v>568</v>
      </c>
      <c r="C1739" s="681" t="s">
        <v>29</v>
      </c>
      <c r="D1739" s="743" t="s">
        <v>3663</v>
      </c>
      <c r="E1739" s="669" t="s">
        <v>763</v>
      </c>
      <c r="F1739" s="334"/>
      <c r="G1739" s="672">
        <v>44964</v>
      </c>
      <c r="H1739" s="426">
        <v>109339</v>
      </c>
      <c r="I1739" s="744"/>
      <c r="J1739" s="744"/>
      <c r="K1739" s="354">
        <f t="shared" si="323"/>
        <v>109339</v>
      </c>
      <c r="L1739" s="672">
        <v>44964</v>
      </c>
      <c r="M1739" s="742">
        <v>5192</v>
      </c>
      <c r="N1739" s="352">
        <f t="shared" si="325"/>
        <v>104147</v>
      </c>
      <c r="O1739" s="357">
        <f t="shared" si="322"/>
        <v>419</v>
      </c>
      <c r="P1739" s="410">
        <v>9</v>
      </c>
      <c r="Q1739" s="358">
        <f t="shared" si="315"/>
        <v>1.1479452054794521</v>
      </c>
      <c r="R1739" s="359">
        <f t="shared" si="316"/>
        <v>7.8520547945205479</v>
      </c>
      <c r="S1739" s="360">
        <f t="shared" si="317"/>
        <v>7.8520547945205479</v>
      </c>
      <c r="T1739" s="361">
        <f t="shared" si="318"/>
        <v>0.10555555555555554</v>
      </c>
      <c r="U1739" s="362">
        <f t="shared" si="319"/>
        <v>11541.338888888888</v>
      </c>
      <c r="V1739" s="362">
        <f t="shared" si="320"/>
        <v>92605.661111111112</v>
      </c>
      <c r="W1739" s="362">
        <f t="shared" si="321"/>
        <v>5467</v>
      </c>
      <c r="X1739" s="742">
        <f t="shared" si="324"/>
        <v>87138.661111111112</v>
      </c>
    </row>
    <row r="1740" spans="1:24" ht="13.9">
      <c r="A1740" s="349">
        <f t="shared" si="326"/>
        <v>1732</v>
      </c>
      <c r="B1740" s="669" t="s">
        <v>568</v>
      </c>
      <c r="C1740" s="681" t="s">
        <v>29</v>
      </c>
      <c r="D1740" s="743" t="s">
        <v>3663</v>
      </c>
      <c r="E1740" s="669" t="s">
        <v>763</v>
      </c>
      <c r="F1740" s="334"/>
      <c r="G1740" s="672">
        <v>44964</v>
      </c>
      <c r="H1740" s="426">
        <v>1632960</v>
      </c>
      <c r="I1740" s="744"/>
      <c r="J1740" s="744"/>
      <c r="K1740" s="354">
        <f t="shared" si="323"/>
        <v>1632960</v>
      </c>
      <c r="L1740" s="672">
        <v>44964</v>
      </c>
      <c r="M1740" s="742">
        <v>77547</v>
      </c>
      <c r="N1740" s="352">
        <f t="shared" si="325"/>
        <v>1555413</v>
      </c>
      <c r="O1740" s="357">
        <f t="shared" si="322"/>
        <v>419</v>
      </c>
      <c r="P1740" s="410">
        <v>9</v>
      </c>
      <c r="Q1740" s="358">
        <f t="shared" si="315"/>
        <v>1.1479452054794521</v>
      </c>
      <c r="R1740" s="359">
        <f t="shared" si="316"/>
        <v>7.8520547945205479</v>
      </c>
      <c r="S1740" s="360">
        <f t="shared" si="317"/>
        <v>7.8520547945205479</v>
      </c>
      <c r="T1740" s="361">
        <f t="shared" si="318"/>
        <v>0.10555555555555554</v>
      </c>
      <c r="U1740" s="362">
        <f t="shared" si="319"/>
        <v>172367.99999999997</v>
      </c>
      <c r="V1740" s="362">
        <f t="shared" si="320"/>
        <v>1383045</v>
      </c>
      <c r="W1740" s="362">
        <f t="shared" si="321"/>
        <v>81648</v>
      </c>
      <c r="X1740" s="742">
        <f t="shared" si="324"/>
        <v>1301397</v>
      </c>
    </row>
    <row r="1741" spans="1:24" ht="13.9">
      <c r="A1741" s="349">
        <f t="shared" si="326"/>
        <v>1733</v>
      </c>
      <c r="B1741" s="669" t="s">
        <v>302</v>
      </c>
      <c r="C1741" s="681" t="s">
        <v>29</v>
      </c>
      <c r="D1741" s="743" t="s">
        <v>3663</v>
      </c>
      <c r="E1741" s="669" t="s">
        <v>3481</v>
      </c>
      <c r="F1741" s="334"/>
      <c r="G1741" s="672">
        <v>44966</v>
      </c>
      <c r="H1741" s="426">
        <v>1530000</v>
      </c>
      <c r="I1741" s="744"/>
      <c r="J1741" s="744"/>
      <c r="K1741" s="354">
        <f t="shared" si="323"/>
        <v>1530000</v>
      </c>
      <c r="L1741" s="672">
        <v>44966</v>
      </c>
      <c r="M1741" s="742">
        <v>69863</v>
      </c>
      <c r="N1741" s="352">
        <f t="shared" si="325"/>
        <v>1460137</v>
      </c>
      <c r="O1741" s="357">
        <f t="shared" si="322"/>
        <v>417</v>
      </c>
      <c r="P1741" s="410">
        <v>9</v>
      </c>
      <c r="Q1741" s="358">
        <f t="shared" si="315"/>
        <v>1.1424657534246576</v>
      </c>
      <c r="R1741" s="359">
        <f t="shared" si="316"/>
        <v>7.8575342465753426</v>
      </c>
      <c r="S1741" s="360">
        <f t="shared" si="317"/>
        <v>7.8575342465753426</v>
      </c>
      <c r="T1741" s="361">
        <f t="shared" si="318"/>
        <v>0.10555555555555554</v>
      </c>
      <c r="U1741" s="362">
        <f t="shared" si="319"/>
        <v>161499.99999999997</v>
      </c>
      <c r="V1741" s="362">
        <f t="shared" si="320"/>
        <v>1298637</v>
      </c>
      <c r="W1741" s="362">
        <f t="shared" si="321"/>
        <v>76500</v>
      </c>
      <c r="X1741" s="742">
        <f t="shared" si="324"/>
        <v>1222137</v>
      </c>
    </row>
    <row r="1742" spans="1:24" ht="13.9">
      <c r="A1742" s="349">
        <f t="shared" si="326"/>
        <v>1734</v>
      </c>
      <c r="B1742" s="669" t="s">
        <v>568</v>
      </c>
      <c r="C1742" s="681" t="s">
        <v>29</v>
      </c>
      <c r="D1742" s="743" t="s">
        <v>3663</v>
      </c>
      <c r="E1742" s="669" t="s">
        <v>763</v>
      </c>
      <c r="F1742" s="334"/>
      <c r="G1742" s="672">
        <v>44967</v>
      </c>
      <c r="H1742" s="426">
        <v>1666700</v>
      </c>
      <c r="I1742" s="744"/>
      <c r="J1742" s="744"/>
      <c r="K1742" s="354">
        <f t="shared" si="323"/>
        <v>1666700</v>
      </c>
      <c r="L1742" s="672">
        <v>44967</v>
      </c>
      <c r="M1742" s="742">
        <v>74583</v>
      </c>
      <c r="N1742" s="352">
        <f t="shared" si="325"/>
        <v>1592117</v>
      </c>
      <c r="O1742" s="357">
        <f t="shared" si="322"/>
        <v>416</v>
      </c>
      <c r="P1742" s="410">
        <v>9</v>
      </c>
      <c r="Q1742" s="358">
        <f t="shared" ref="Q1742:Q1805" si="327">+O1742/365</f>
        <v>1.1397260273972603</v>
      </c>
      <c r="R1742" s="359">
        <f t="shared" ref="R1742:R1805" si="328">+P1742-Q1742</f>
        <v>7.86027397260274</v>
      </c>
      <c r="S1742" s="360">
        <f t="shared" ref="S1742:S1805" si="329">IF(R1742&lt;0,0,IF(R1742&gt;365,365,R1742))</f>
        <v>7.86027397260274</v>
      </c>
      <c r="T1742" s="361">
        <f t="shared" ref="T1742:T1805" si="330">1/P1742*0.95</f>
        <v>0.10555555555555554</v>
      </c>
      <c r="U1742" s="362">
        <f t="shared" ref="U1742:U1805" si="331">+K1742*T1742</f>
        <v>175929.44444444441</v>
      </c>
      <c r="V1742" s="362">
        <f t="shared" ref="V1742:V1805" si="332">+N1742-U1742</f>
        <v>1416187.5555555555</v>
      </c>
      <c r="W1742" s="362">
        <f t="shared" ref="W1742:W1805" si="333">ROUND(+H1742*5%,0)</f>
        <v>83335</v>
      </c>
      <c r="X1742" s="742">
        <f t="shared" si="324"/>
        <v>1332852.5555555555</v>
      </c>
    </row>
    <row r="1743" spans="1:24" ht="13.9">
      <c r="A1743" s="349">
        <f t="shared" si="326"/>
        <v>1735</v>
      </c>
      <c r="B1743" s="669" t="s">
        <v>568</v>
      </c>
      <c r="C1743" s="681" t="s">
        <v>29</v>
      </c>
      <c r="D1743" s="743" t="s">
        <v>3663</v>
      </c>
      <c r="E1743" s="669" t="s">
        <v>763</v>
      </c>
      <c r="F1743" s="334"/>
      <c r="G1743" s="672">
        <v>44970</v>
      </c>
      <c r="H1743" s="426">
        <v>70000</v>
      </c>
      <c r="I1743" s="744"/>
      <c r="J1743" s="744"/>
      <c r="K1743" s="354">
        <f t="shared" si="323"/>
        <v>70000</v>
      </c>
      <c r="L1743" s="672">
        <v>44970</v>
      </c>
      <c r="M1743" s="742">
        <v>2941</v>
      </c>
      <c r="N1743" s="352">
        <f t="shared" si="325"/>
        <v>67059</v>
      </c>
      <c r="O1743" s="357">
        <f t="shared" si="322"/>
        <v>413</v>
      </c>
      <c r="P1743" s="410">
        <v>9</v>
      </c>
      <c r="Q1743" s="358">
        <f t="shared" si="327"/>
        <v>1.1315068493150684</v>
      </c>
      <c r="R1743" s="359">
        <f t="shared" si="328"/>
        <v>7.868493150684932</v>
      </c>
      <c r="S1743" s="360">
        <f t="shared" si="329"/>
        <v>7.868493150684932</v>
      </c>
      <c r="T1743" s="361">
        <f t="shared" si="330"/>
        <v>0.10555555555555554</v>
      </c>
      <c r="U1743" s="362">
        <f t="shared" si="331"/>
        <v>7388.8888888888878</v>
      </c>
      <c r="V1743" s="362">
        <f t="shared" si="332"/>
        <v>59670.111111111109</v>
      </c>
      <c r="W1743" s="362">
        <f t="shared" si="333"/>
        <v>3500</v>
      </c>
      <c r="X1743" s="742">
        <f t="shared" si="324"/>
        <v>56170.111111111109</v>
      </c>
    </row>
    <row r="1744" spans="1:24" ht="13.9">
      <c r="A1744" s="349">
        <f t="shared" si="326"/>
        <v>1736</v>
      </c>
      <c r="B1744" s="669" t="s">
        <v>568</v>
      </c>
      <c r="C1744" s="681" t="s">
        <v>29</v>
      </c>
      <c r="D1744" s="743" t="s">
        <v>3663</v>
      </c>
      <c r="E1744" s="669" t="s">
        <v>763</v>
      </c>
      <c r="F1744" s="334"/>
      <c r="G1744" s="672">
        <v>44972</v>
      </c>
      <c r="H1744" s="426">
        <v>1692803</v>
      </c>
      <c r="I1744" s="744"/>
      <c r="J1744" s="744"/>
      <c r="K1744" s="354">
        <f t="shared" si="323"/>
        <v>1692803</v>
      </c>
      <c r="L1744" s="672">
        <v>44972</v>
      </c>
      <c r="M1744" s="742">
        <v>68021</v>
      </c>
      <c r="N1744" s="352">
        <f t="shared" si="325"/>
        <v>1624782</v>
      </c>
      <c r="O1744" s="357">
        <f t="shared" si="322"/>
        <v>411</v>
      </c>
      <c r="P1744" s="410">
        <v>9</v>
      </c>
      <c r="Q1744" s="358">
        <f t="shared" si="327"/>
        <v>1.1260273972602739</v>
      </c>
      <c r="R1744" s="359">
        <f t="shared" si="328"/>
        <v>7.8739726027397259</v>
      </c>
      <c r="S1744" s="360">
        <f t="shared" si="329"/>
        <v>7.8739726027397259</v>
      </c>
      <c r="T1744" s="361">
        <f t="shared" si="330"/>
        <v>0.10555555555555554</v>
      </c>
      <c r="U1744" s="362">
        <f t="shared" si="331"/>
        <v>178684.76111111109</v>
      </c>
      <c r="V1744" s="362">
        <f t="shared" si="332"/>
        <v>1446097.2388888889</v>
      </c>
      <c r="W1744" s="362">
        <f t="shared" si="333"/>
        <v>84640</v>
      </c>
      <c r="X1744" s="742">
        <f t="shared" si="324"/>
        <v>1361457.2388888889</v>
      </c>
    </row>
    <row r="1745" spans="1:24" ht="13.9">
      <c r="A1745" s="349">
        <f t="shared" si="326"/>
        <v>1737</v>
      </c>
      <c r="B1745" s="669" t="s">
        <v>568</v>
      </c>
      <c r="C1745" s="681" t="s">
        <v>29</v>
      </c>
      <c r="D1745" s="743" t="s">
        <v>3663</v>
      </c>
      <c r="E1745" s="669" t="s">
        <v>763</v>
      </c>
      <c r="F1745" s="334"/>
      <c r="G1745" s="672">
        <v>44974</v>
      </c>
      <c r="H1745" s="426">
        <v>1735201</v>
      </c>
      <c r="I1745" s="744"/>
      <c r="J1745" s="744"/>
      <c r="K1745" s="354">
        <f t="shared" si="323"/>
        <v>1735201</v>
      </c>
      <c r="L1745" s="672">
        <v>44974</v>
      </c>
      <c r="M1745" s="742">
        <v>66556</v>
      </c>
      <c r="N1745" s="352">
        <f t="shared" si="325"/>
        <v>1668645</v>
      </c>
      <c r="O1745" s="357">
        <f t="shared" si="322"/>
        <v>409</v>
      </c>
      <c r="P1745" s="410">
        <v>9</v>
      </c>
      <c r="Q1745" s="358">
        <f t="shared" si="327"/>
        <v>1.1205479452054794</v>
      </c>
      <c r="R1745" s="359">
        <f t="shared" si="328"/>
        <v>7.8794520547945206</v>
      </c>
      <c r="S1745" s="360">
        <f t="shared" si="329"/>
        <v>7.8794520547945206</v>
      </c>
      <c r="T1745" s="361">
        <f t="shared" si="330"/>
        <v>0.10555555555555554</v>
      </c>
      <c r="U1745" s="362">
        <f t="shared" si="331"/>
        <v>183160.10555555552</v>
      </c>
      <c r="V1745" s="362">
        <f t="shared" si="332"/>
        <v>1485484.8944444444</v>
      </c>
      <c r="W1745" s="362">
        <f t="shared" si="333"/>
        <v>86760</v>
      </c>
      <c r="X1745" s="742">
        <f t="shared" si="324"/>
        <v>1398724.8944444444</v>
      </c>
    </row>
    <row r="1746" spans="1:24" ht="13.9">
      <c r="A1746" s="349">
        <f t="shared" si="326"/>
        <v>1738</v>
      </c>
      <c r="B1746" s="669" t="s">
        <v>578</v>
      </c>
      <c r="C1746" s="681" t="s">
        <v>29</v>
      </c>
      <c r="D1746" s="743" t="s">
        <v>3663</v>
      </c>
      <c r="E1746" s="669" t="s">
        <v>403</v>
      </c>
      <c r="F1746" s="334"/>
      <c r="G1746" s="672">
        <v>44974</v>
      </c>
      <c r="H1746" s="426">
        <v>979500</v>
      </c>
      <c r="I1746" s="744"/>
      <c r="J1746" s="744"/>
      <c r="K1746" s="354">
        <f t="shared" si="323"/>
        <v>979500</v>
      </c>
      <c r="L1746" s="672">
        <v>44974</v>
      </c>
      <c r="M1746" s="742">
        <v>12523</v>
      </c>
      <c r="N1746" s="352">
        <f t="shared" si="325"/>
        <v>966977</v>
      </c>
      <c r="O1746" s="357">
        <f t="shared" si="322"/>
        <v>409</v>
      </c>
      <c r="P1746" s="410">
        <v>9</v>
      </c>
      <c r="Q1746" s="358">
        <f t="shared" si="327"/>
        <v>1.1205479452054794</v>
      </c>
      <c r="R1746" s="359">
        <f t="shared" si="328"/>
        <v>7.8794520547945206</v>
      </c>
      <c r="S1746" s="360">
        <f t="shared" si="329"/>
        <v>7.8794520547945206</v>
      </c>
      <c r="T1746" s="361">
        <f t="shared" si="330"/>
        <v>0.10555555555555554</v>
      </c>
      <c r="U1746" s="362">
        <f t="shared" si="331"/>
        <v>103391.66666666666</v>
      </c>
      <c r="V1746" s="362">
        <f t="shared" si="332"/>
        <v>863585.33333333337</v>
      </c>
      <c r="W1746" s="362">
        <f t="shared" si="333"/>
        <v>48975</v>
      </c>
      <c r="X1746" s="742">
        <f t="shared" si="324"/>
        <v>814610.33333333337</v>
      </c>
    </row>
    <row r="1747" spans="1:24" ht="13.9">
      <c r="A1747" s="349">
        <f t="shared" si="326"/>
        <v>1739</v>
      </c>
      <c r="B1747" s="669" t="s">
        <v>562</v>
      </c>
      <c r="C1747" s="681" t="s">
        <v>29</v>
      </c>
      <c r="D1747" s="743" t="s">
        <v>3663</v>
      </c>
      <c r="E1747" s="669" t="s">
        <v>3347</v>
      </c>
      <c r="F1747" s="334"/>
      <c r="G1747" s="672">
        <v>44977</v>
      </c>
      <c r="H1747" s="426">
        <v>36000000</v>
      </c>
      <c r="I1747" s="744"/>
      <c r="J1747" s="744"/>
      <c r="K1747" s="354">
        <f t="shared" si="323"/>
        <v>36000000</v>
      </c>
      <c r="L1747" s="672">
        <v>44977</v>
      </c>
      <c r="M1747" s="742">
        <v>427397</v>
      </c>
      <c r="N1747" s="352">
        <f t="shared" si="325"/>
        <v>35572603</v>
      </c>
      <c r="O1747" s="357">
        <f t="shared" si="322"/>
        <v>406</v>
      </c>
      <c r="P1747" s="410">
        <v>9</v>
      </c>
      <c r="Q1747" s="358">
        <f t="shared" si="327"/>
        <v>1.1123287671232878</v>
      </c>
      <c r="R1747" s="359">
        <f t="shared" si="328"/>
        <v>7.8876712328767127</v>
      </c>
      <c r="S1747" s="360">
        <f t="shared" si="329"/>
        <v>7.8876712328767127</v>
      </c>
      <c r="T1747" s="361">
        <f t="shared" si="330"/>
        <v>0.10555555555555554</v>
      </c>
      <c r="U1747" s="362">
        <f t="shared" si="331"/>
        <v>3799999.9999999995</v>
      </c>
      <c r="V1747" s="362">
        <f t="shared" si="332"/>
        <v>31772603</v>
      </c>
      <c r="W1747" s="362">
        <f t="shared" si="333"/>
        <v>1800000</v>
      </c>
      <c r="X1747" s="742">
        <f t="shared" si="324"/>
        <v>29972603</v>
      </c>
    </row>
    <row r="1748" spans="1:24" ht="13.9">
      <c r="A1748" s="349">
        <f t="shared" si="326"/>
        <v>1740</v>
      </c>
      <c r="B1748" s="669" t="s">
        <v>568</v>
      </c>
      <c r="C1748" s="681" t="s">
        <v>29</v>
      </c>
      <c r="D1748" s="743" t="s">
        <v>3663</v>
      </c>
      <c r="E1748" s="669" t="s">
        <v>763</v>
      </c>
      <c r="F1748" s="334"/>
      <c r="G1748" s="672">
        <v>44978</v>
      </c>
      <c r="H1748" s="426">
        <v>1649200</v>
      </c>
      <c r="I1748" s="744"/>
      <c r="J1748" s="744"/>
      <c r="K1748" s="354">
        <f t="shared" si="323"/>
        <v>1649200</v>
      </c>
      <c r="L1748" s="672">
        <v>44978</v>
      </c>
      <c r="M1748" s="742">
        <v>57233</v>
      </c>
      <c r="N1748" s="352">
        <f t="shared" si="325"/>
        <v>1591967</v>
      </c>
      <c r="O1748" s="357">
        <f t="shared" si="322"/>
        <v>405</v>
      </c>
      <c r="P1748" s="410">
        <v>9</v>
      </c>
      <c r="Q1748" s="358">
        <f t="shared" si="327"/>
        <v>1.1095890410958904</v>
      </c>
      <c r="R1748" s="359">
        <f t="shared" si="328"/>
        <v>7.8904109589041092</v>
      </c>
      <c r="S1748" s="360">
        <f t="shared" si="329"/>
        <v>7.8904109589041092</v>
      </c>
      <c r="T1748" s="361">
        <f t="shared" si="330"/>
        <v>0.10555555555555554</v>
      </c>
      <c r="U1748" s="362">
        <f t="shared" si="331"/>
        <v>174082.22222222219</v>
      </c>
      <c r="V1748" s="362">
        <f t="shared" si="332"/>
        <v>1417884.7777777778</v>
      </c>
      <c r="W1748" s="362">
        <f t="shared" si="333"/>
        <v>82460</v>
      </c>
      <c r="X1748" s="742">
        <f t="shared" si="324"/>
        <v>1335424.7777777778</v>
      </c>
    </row>
    <row r="1749" spans="1:24" ht="13.9">
      <c r="A1749" s="349">
        <f t="shared" si="326"/>
        <v>1741</v>
      </c>
      <c r="B1749" s="669" t="s">
        <v>2030</v>
      </c>
      <c r="C1749" s="681" t="s">
        <v>29</v>
      </c>
      <c r="D1749" s="743" t="s">
        <v>3663</v>
      </c>
      <c r="E1749" s="669" t="s">
        <v>3473</v>
      </c>
      <c r="F1749" s="334"/>
      <c r="G1749" s="672">
        <v>44978</v>
      </c>
      <c r="H1749" s="426">
        <v>770000</v>
      </c>
      <c r="I1749" s="744"/>
      <c r="J1749" s="744"/>
      <c r="K1749" s="354">
        <f t="shared" si="323"/>
        <v>770000</v>
      </c>
      <c r="L1749" s="672">
        <v>44978</v>
      </c>
      <c r="M1749" s="742">
        <v>8907</v>
      </c>
      <c r="N1749" s="352">
        <f t="shared" si="325"/>
        <v>761093</v>
      </c>
      <c r="O1749" s="357">
        <f t="shared" si="322"/>
        <v>405</v>
      </c>
      <c r="P1749" s="410">
        <v>9</v>
      </c>
      <c r="Q1749" s="358">
        <f t="shared" si="327"/>
        <v>1.1095890410958904</v>
      </c>
      <c r="R1749" s="359">
        <f t="shared" si="328"/>
        <v>7.8904109589041092</v>
      </c>
      <c r="S1749" s="360">
        <f t="shared" si="329"/>
        <v>7.8904109589041092</v>
      </c>
      <c r="T1749" s="361">
        <f t="shared" si="330"/>
        <v>0.10555555555555554</v>
      </c>
      <c r="U1749" s="362">
        <f t="shared" si="331"/>
        <v>81277.777777777766</v>
      </c>
      <c r="V1749" s="362">
        <f t="shared" si="332"/>
        <v>679815.22222222225</v>
      </c>
      <c r="W1749" s="362">
        <f t="shared" si="333"/>
        <v>38500</v>
      </c>
      <c r="X1749" s="742">
        <f t="shared" si="324"/>
        <v>641315.22222222225</v>
      </c>
    </row>
    <row r="1750" spans="1:24" ht="13.9">
      <c r="A1750" s="349">
        <f t="shared" si="326"/>
        <v>1742</v>
      </c>
      <c r="B1750" s="669" t="s">
        <v>578</v>
      </c>
      <c r="C1750" s="681" t="s">
        <v>29</v>
      </c>
      <c r="D1750" s="743" t="s">
        <v>3663</v>
      </c>
      <c r="E1750" s="669" t="s">
        <v>403</v>
      </c>
      <c r="F1750" s="334"/>
      <c r="G1750" s="672">
        <v>44979</v>
      </c>
      <c r="H1750" s="426">
        <v>979500</v>
      </c>
      <c r="I1750" s="744"/>
      <c r="J1750" s="744"/>
      <c r="K1750" s="354">
        <f t="shared" si="323"/>
        <v>979500</v>
      </c>
      <c r="L1750" s="672">
        <v>44979</v>
      </c>
      <c r="M1750" s="742">
        <v>11032</v>
      </c>
      <c r="N1750" s="352">
        <f t="shared" si="325"/>
        <v>968468</v>
      </c>
      <c r="O1750" s="357">
        <f t="shared" si="322"/>
        <v>404</v>
      </c>
      <c r="P1750" s="410">
        <v>9</v>
      </c>
      <c r="Q1750" s="358">
        <f t="shared" si="327"/>
        <v>1.106849315068493</v>
      </c>
      <c r="R1750" s="359">
        <f t="shared" si="328"/>
        <v>7.8931506849315074</v>
      </c>
      <c r="S1750" s="360">
        <f t="shared" si="329"/>
        <v>7.8931506849315074</v>
      </c>
      <c r="T1750" s="361">
        <f t="shared" si="330"/>
        <v>0.10555555555555554</v>
      </c>
      <c r="U1750" s="362">
        <f t="shared" si="331"/>
        <v>103391.66666666666</v>
      </c>
      <c r="V1750" s="362">
        <f t="shared" si="332"/>
        <v>865076.33333333337</v>
      </c>
      <c r="W1750" s="362">
        <f t="shared" si="333"/>
        <v>48975</v>
      </c>
      <c r="X1750" s="742">
        <f t="shared" si="324"/>
        <v>816101.33333333337</v>
      </c>
    </row>
    <row r="1751" spans="1:24" ht="13.9">
      <c r="A1751" s="349">
        <f t="shared" si="326"/>
        <v>1743</v>
      </c>
      <c r="B1751" s="669" t="s">
        <v>3380</v>
      </c>
      <c r="C1751" s="681" t="s">
        <v>29</v>
      </c>
      <c r="D1751" s="743" t="s">
        <v>3663</v>
      </c>
      <c r="E1751" s="669" t="s">
        <v>406</v>
      </c>
      <c r="F1751" s="334"/>
      <c r="G1751" s="672">
        <v>44980</v>
      </c>
      <c r="H1751" s="426">
        <v>421544</v>
      </c>
      <c r="I1751" s="744"/>
      <c r="J1751" s="744"/>
      <c r="K1751" s="354">
        <f t="shared" si="323"/>
        <v>421544</v>
      </c>
      <c r="L1751" s="672">
        <v>44980</v>
      </c>
      <c r="M1751" s="742">
        <v>4620</v>
      </c>
      <c r="N1751" s="352">
        <f t="shared" si="325"/>
        <v>416924</v>
      </c>
      <c r="O1751" s="357">
        <f t="shared" si="322"/>
        <v>403</v>
      </c>
      <c r="P1751" s="410">
        <v>9</v>
      </c>
      <c r="Q1751" s="358">
        <f t="shared" si="327"/>
        <v>1.1041095890410959</v>
      </c>
      <c r="R1751" s="359">
        <f t="shared" si="328"/>
        <v>7.8958904109589039</v>
      </c>
      <c r="S1751" s="360">
        <f t="shared" si="329"/>
        <v>7.8958904109589039</v>
      </c>
      <c r="T1751" s="361">
        <f t="shared" si="330"/>
        <v>0.10555555555555554</v>
      </c>
      <c r="U1751" s="362">
        <f t="shared" si="331"/>
        <v>44496.311111111107</v>
      </c>
      <c r="V1751" s="362">
        <f t="shared" si="332"/>
        <v>372427.68888888892</v>
      </c>
      <c r="W1751" s="362">
        <f t="shared" si="333"/>
        <v>21077</v>
      </c>
      <c r="X1751" s="742">
        <f t="shared" si="324"/>
        <v>351350.68888888892</v>
      </c>
    </row>
    <row r="1752" spans="1:24" ht="13.9">
      <c r="A1752" s="349">
        <f t="shared" si="326"/>
        <v>1744</v>
      </c>
      <c r="B1752" s="669" t="s">
        <v>583</v>
      </c>
      <c r="C1752" s="681" t="s">
        <v>29</v>
      </c>
      <c r="D1752" s="743" t="s">
        <v>3663</v>
      </c>
      <c r="E1752" s="669" t="s">
        <v>410</v>
      </c>
      <c r="F1752" s="334"/>
      <c r="G1752" s="672">
        <v>44985</v>
      </c>
      <c r="H1752" s="426">
        <v>305300</v>
      </c>
      <c r="I1752" s="744"/>
      <c r="J1752" s="744"/>
      <c r="K1752" s="354">
        <f t="shared" si="323"/>
        <v>305300</v>
      </c>
      <c r="L1752" s="672">
        <v>44985</v>
      </c>
      <c r="M1752" s="742">
        <v>2881</v>
      </c>
      <c r="N1752" s="352">
        <f t="shared" si="325"/>
        <v>302419</v>
      </c>
      <c r="O1752" s="357">
        <f t="shared" si="322"/>
        <v>398</v>
      </c>
      <c r="P1752" s="410">
        <v>9</v>
      </c>
      <c r="Q1752" s="358">
        <f t="shared" si="327"/>
        <v>1.0904109589041096</v>
      </c>
      <c r="R1752" s="359">
        <f t="shared" si="328"/>
        <v>7.9095890410958907</v>
      </c>
      <c r="S1752" s="360">
        <f t="shared" si="329"/>
        <v>7.9095890410958907</v>
      </c>
      <c r="T1752" s="361">
        <f t="shared" si="330"/>
        <v>0.10555555555555554</v>
      </c>
      <c r="U1752" s="362">
        <f t="shared" si="331"/>
        <v>32226.111111111106</v>
      </c>
      <c r="V1752" s="362">
        <f t="shared" si="332"/>
        <v>270192.88888888888</v>
      </c>
      <c r="W1752" s="362">
        <f t="shared" si="333"/>
        <v>15265</v>
      </c>
      <c r="X1752" s="742">
        <f t="shared" si="324"/>
        <v>254927.88888888888</v>
      </c>
    </row>
    <row r="1753" spans="1:24" ht="13.9">
      <c r="A1753" s="349">
        <f t="shared" si="326"/>
        <v>1745</v>
      </c>
      <c r="B1753" s="669" t="s">
        <v>570</v>
      </c>
      <c r="C1753" s="681" t="s">
        <v>29</v>
      </c>
      <c r="D1753" s="743" t="s">
        <v>3663</v>
      </c>
      <c r="E1753" s="669" t="s">
        <v>757</v>
      </c>
      <c r="F1753" s="334"/>
      <c r="G1753" s="672">
        <v>44979</v>
      </c>
      <c r="H1753" s="426">
        <v>410879</v>
      </c>
      <c r="I1753" s="744"/>
      <c r="J1753" s="744"/>
      <c r="K1753" s="354">
        <f t="shared" si="323"/>
        <v>410879</v>
      </c>
      <c r="L1753" s="672">
        <v>44979</v>
      </c>
      <c r="M1753" s="742">
        <v>4628</v>
      </c>
      <c r="N1753" s="352">
        <f t="shared" si="325"/>
        <v>406251</v>
      </c>
      <c r="O1753" s="357">
        <f t="shared" si="322"/>
        <v>404</v>
      </c>
      <c r="P1753" s="410">
        <v>9</v>
      </c>
      <c r="Q1753" s="358">
        <f t="shared" si="327"/>
        <v>1.106849315068493</v>
      </c>
      <c r="R1753" s="359">
        <f t="shared" si="328"/>
        <v>7.8931506849315074</v>
      </c>
      <c r="S1753" s="360">
        <f t="shared" si="329"/>
        <v>7.8931506849315074</v>
      </c>
      <c r="T1753" s="361">
        <f t="shared" si="330"/>
        <v>0.10555555555555554</v>
      </c>
      <c r="U1753" s="362">
        <f t="shared" si="331"/>
        <v>43370.561111111107</v>
      </c>
      <c r="V1753" s="362">
        <f t="shared" si="332"/>
        <v>362880.43888888892</v>
      </c>
      <c r="W1753" s="362">
        <f t="shared" si="333"/>
        <v>20544</v>
      </c>
      <c r="X1753" s="742">
        <f t="shared" si="324"/>
        <v>342336.43888888892</v>
      </c>
    </row>
    <row r="1754" spans="1:24" ht="13.9">
      <c r="A1754" s="349">
        <f t="shared" si="326"/>
        <v>1746</v>
      </c>
      <c r="B1754" s="669" t="s">
        <v>568</v>
      </c>
      <c r="C1754" s="681" t="s">
        <v>29</v>
      </c>
      <c r="D1754" s="743" t="s">
        <v>3663</v>
      </c>
      <c r="E1754" s="669" t="s">
        <v>568</v>
      </c>
      <c r="F1754" s="334"/>
      <c r="G1754" s="672">
        <v>44988</v>
      </c>
      <c r="H1754" s="426">
        <v>1705900</v>
      </c>
      <c r="I1754" s="744"/>
      <c r="J1754" s="744"/>
      <c r="K1754" s="354">
        <f t="shared" si="323"/>
        <v>1705900</v>
      </c>
      <c r="L1754" s="672">
        <v>44988</v>
      </c>
      <c r="M1754" s="742">
        <v>43621</v>
      </c>
      <c r="N1754" s="352">
        <f t="shared" si="325"/>
        <v>1662279</v>
      </c>
      <c r="O1754" s="357">
        <f t="shared" si="322"/>
        <v>395</v>
      </c>
      <c r="P1754" s="410">
        <v>9</v>
      </c>
      <c r="Q1754" s="358">
        <f t="shared" si="327"/>
        <v>1.0821917808219179</v>
      </c>
      <c r="R1754" s="359">
        <f t="shared" si="328"/>
        <v>7.9178082191780819</v>
      </c>
      <c r="S1754" s="360">
        <f t="shared" si="329"/>
        <v>7.9178082191780819</v>
      </c>
      <c r="T1754" s="361">
        <f t="shared" si="330"/>
        <v>0.10555555555555554</v>
      </c>
      <c r="U1754" s="362">
        <f t="shared" si="331"/>
        <v>180067.22222222219</v>
      </c>
      <c r="V1754" s="362">
        <f t="shared" si="332"/>
        <v>1482211.7777777778</v>
      </c>
      <c r="W1754" s="362">
        <f t="shared" si="333"/>
        <v>85295</v>
      </c>
      <c r="X1754" s="742">
        <f t="shared" si="324"/>
        <v>1396916.7777777778</v>
      </c>
    </row>
    <row r="1755" spans="1:24" ht="13.9">
      <c r="A1755" s="349">
        <f t="shared" si="326"/>
        <v>1747</v>
      </c>
      <c r="B1755" s="669" t="s">
        <v>568</v>
      </c>
      <c r="C1755" s="681" t="s">
        <v>29</v>
      </c>
      <c r="D1755" s="743" t="s">
        <v>3663</v>
      </c>
      <c r="E1755" s="669" t="s">
        <v>763</v>
      </c>
      <c r="F1755" s="334"/>
      <c r="G1755" s="672">
        <v>44988</v>
      </c>
      <c r="H1755" s="426">
        <v>1833650</v>
      </c>
      <c r="I1755" s="744"/>
      <c r="J1755" s="744"/>
      <c r="K1755" s="354">
        <f t="shared" si="323"/>
        <v>1833650</v>
      </c>
      <c r="L1755" s="672">
        <v>44988</v>
      </c>
      <c r="M1755" s="742">
        <v>46888</v>
      </c>
      <c r="N1755" s="352">
        <f t="shared" si="325"/>
        <v>1786762</v>
      </c>
      <c r="O1755" s="357">
        <f t="shared" si="322"/>
        <v>395</v>
      </c>
      <c r="P1755" s="410">
        <v>9</v>
      </c>
      <c r="Q1755" s="358">
        <f t="shared" si="327"/>
        <v>1.0821917808219179</v>
      </c>
      <c r="R1755" s="359">
        <f t="shared" si="328"/>
        <v>7.9178082191780819</v>
      </c>
      <c r="S1755" s="360">
        <f t="shared" si="329"/>
        <v>7.9178082191780819</v>
      </c>
      <c r="T1755" s="361">
        <f t="shared" si="330"/>
        <v>0.10555555555555554</v>
      </c>
      <c r="U1755" s="362">
        <f t="shared" si="331"/>
        <v>193551.94444444441</v>
      </c>
      <c r="V1755" s="362">
        <f t="shared" si="332"/>
        <v>1593210.0555555555</v>
      </c>
      <c r="W1755" s="362">
        <f t="shared" si="333"/>
        <v>91683</v>
      </c>
      <c r="X1755" s="742">
        <f t="shared" si="324"/>
        <v>1501527.0555555555</v>
      </c>
    </row>
    <row r="1756" spans="1:24" ht="13.9">
      <c r="A1756" s="349">
        <f t="shared" si="326"/>
        <v>1748</v>
      </c>
      <c r="B1756" s="669" t="s">
        <v>568</v>
      </c>
      <c r="C1756" s="681" t="s">
        <v>29</v>
      </c>
      <c r="D1756" s="743" t="s">
        <v>3663</v>
      </c>
      <c r="E1756" s="669" t="s">
        <v>3548</v>
      </c>
      <c r="F1756" s="334"/>
      <c r="G1756" s="672">
        <v>44988</v>
      </c>
      <c r="H1756" s="426">
        <v>810000</v>
      </c>
      <c r="I1756" s="744"/>
      <c r="J1756" s="744"/>
      <c r="K1756" s="354">
        <f t="shared" si="323"/>
        <v>810000</v>
      </c>
      <c r="L1756" s="672">
        <v>44988</v>
      </c>
      <c r="M1756" s="742">
        <v>20712</v>
      </c>
      <c r="N1756" s="352">
        <f t="shared" si="325"/>
        <v>789288</v>
      </c>
      <c r="O1756" s="357">
        <f t="shared" si="322"/>
        <v>395</v>
      </c>
      <c r="P1756" s="410">
        <v>9</v>
      </c>
      <c r="Q1756" s="358">
        <f t="shared" si="327"/>
        <v>1.0821917808219179</v>
      </c>
      <c r="R1756" s="359">
        <f t="shared" si="328"/>
        <v>7.9178082191780819</v>
      </c>
      <c r="S1756" s="360">
        <f t="shared" si="329"/>
        <v>7.9178082191780819</v>
      </c>
      <c r="T1756" s="361">
        <f t="shared" si="330"/>
        <v>0.10555555555555554</v>
      </c>
      <c r="U1756" s="362">
        <f t="shared" si="331"/>
        <v>85499.999999999985</v>
      </c>
      <c r="V1756" s="362">
        <f t="shared" si="332"/>
        <v>703788</v>
      </c>
      <c r="W1756" s="362">
        <f t="shared" si="333"/>
        <v>40500</v>
      </c>
      <c r="X1756" s="742">
        <f t="shared" si="324"/>
        <v>663288</v>
      </c>
    </row>
    <row r="1757" spans="1:24" ht="13.9">
      <c r="A1757" s="349">
        <f t="shared" si="326"/>
        <v>1749</v>
      </c>
      <c r="B1757" s="669" t="s">
        <v>3590</v>
      </c>
      <c r="C1757" s="681" t="s">
        <v>29</v>
      </c>
      <c r="D1757" s="743" t="s">
        <v>3663</v>
      </c>
      <c r="E1757" s="669" t="s">
        <v>3347</v>
      </c>
      <c r="F1757" s="334"/>
      <c r="G1757" s="672">
        <v>45003</v>
      </c>
      <c r="H1757" s="426">
        <v>36000000</v>
      </c>
      <c r="I1757" s="744"/>
      <c r="J1757" s="744"/>
      <c r="K1757" s="354">
        <f t="shared" si="323"/>
        <v>36000000</v>
      </c>
      <c r="L1757" s="672">
        <v>45003</v>
      </c>
      <c r="M1757" s="742">
        <v>142466</v>
      </c>
      <c r="N1757" s="352">
        <f t="shared" si="325"/>
        <v>35857534</v>
      </c>
      <c r="O1757" s="357">
        <f t="shared" si="322"/>
        <v>380</v>
      </c>
      <c r="P1757" s="410">
        <v>9</v>
      </c>
      <c r="Q1757" s="358">
        <f t="shared" si="327"/>
        <v>1.0410958904109588</v>
      </c>
      <c r="R1757" s="359">
        <f t="shared" si="328"/>
        <v>7.9589041095890414</v>
      </c>
      <c r="S1757" s="360">
        <f t="shared" si="329"/>
        <v>7.9589041095890414</v>
      </c>
      <c r="T1757" s="361">
        <f t="shared" si="330"/>
        <v>0.10555555555555554</v>
      </c>
      <c r="U1757" s="362">
        <f t="shared" si="331"/>
        <v>3799999.9999999995</v>
      </c>
      <c r="V1757" s="362">
        <f t="shared" si="332"/>
        <v>32057534</v>
      </c>
      <c r="W1757" s="362">
        <f t="shared" si="333"/>
        <v>1800000</v>
      </c>
      <c r="X1757" s="742">
        <f t="shared" si="324"/>
        <v>30257534</v>
      </c>
    </row>
    <row r="1758" spans="1:24" ht="13.9">
      <c r="A1758" s="349">
        <f t="shared" si="326"/>
        <v>1750</v>
      </c>
      <c r="B1758" s="669" t="s">
        <v>3590</v>
      </c>
      <c r="C1758" s="681" t="s">
        <v>29</v>
      </c>
      <c r="D1758" s="743" t="s">
        <v>3663</v>
      </c>
      <c r="E1758" s="669" t="s">
        <v>3589</v>
      </c>
      <c r="F1758" s="334"/>
      <c r="G1758" s="672">
        <v>45003</v>
      </c>
      <c r="H1758" s="426">
        <v>31450000</v>
      </c>
      <c r="I1758" s="744"/>
      <c r="J1758" s="744"/>
      <c r="K1758" s="354">
        <f t="shared" si="323"/>
        <v>31450000</v>
      </c>
      <c r="L1758" s="672">
        <v>45003</v>
      </c>
      <c r="M1758" s="742">
        <v>124460</v>
      </c>
      <c r="N1758" s="352">
        <f t="shared" si="325"/>
        <v>31325540</v>
      </c>
      <c r="O1758" s="357">
        <f t="shared" si="322"/>
        <v>380</v>
      </c>
      <c r="P1758" s="410">
        <v>9</v>
      </c>
      <c r="Q1758" s="358">
        <f t="shared" si="327"/>
        <v>1.0410958904109588</v>
      </c>
      <c r="R1758" s="359">
        <f t="shared" si="328"/>
        <v>7.9589041095890414</v>
      </c>
      <c r="S1758" s="360">
        <f t="shared" si="329"/>
        <v>7.9589041095890414</v>
      </c>
      <c r="T1758" s="361">
        <f t="shared" si="330"/>
        <v>0.10555555555555554</v>
      </c>
      <c r="U1758" s="362">
        <f t="shared" si="331"/>
        <v>3319722.2222222215</v>
      </c>
      <c r="V1758" s="362">
        <f t="shared" si="332"/>
        <v>28005817.77777778</v>
      </c>
      <c r="W1758" s="362">
        <f t="shared" si="333"/>
        <v>1572500</v>
      </c>
      <c r="X1758" s="742">
        <f t="shared" si="324"/>
        <v>26433317.77777778</v>
      </c>
    </row>
    <row r="1759" spans="1:24" ht="13.9">
      <c r="A1759" s="349">
        <f t="shared" si="326"/>
        <v>1751</v>
      </c>
      <c r="B1759" s="669" t="s">
        <v>3590</v>
      </c>
      <c r="C1759" s="681" t="s">
        <v>29</v>
      </c>
      <c r="D1759" s="743" t="s">
        <v>3663</v>
      </c>
      <c r="E1759" s="669" t="s">
        <v>3589</v>
      </c>
      <c r="F1759" s="334"/>
      <c r="G1759" s="672">
        <v>45003</v>
      </c>
      <c r="H1759" s="426">
        <v>31450000</v>
      </c>
      <c r="I1759" s="744"/>
      <c r="J1759" s="744"/>
      <c r="K1759" s="354">
        <f t="shared" si="323"/>
        <v>31450000</v>
      </c>
      <c r="L1759" s="672">
        <v>45003</v>
      </c>
      <c r="M1759" s="742">
        <v>124460</v>
      </c>
      <c r="N1759" s="352">
        <f t="shared" si="325"/>
        <v>31325540</v>
      </c>
      <c r="O1759" s="357">
        <f t="shared" si="322"/>
        <v>380</v>
      </c>
      <c r="P1759" s="410">
        <v>9</v>
      </c>
      <c r="Q1759" s="358">
        <f t="shared" si="327"/>
        <v>1.0410958904109588</v>
      </c>
      <c r="R1759" s="359">
        <f t="shared" si="328"/>
        <v>7.9589041095890414</v>
      </c>
      <c r="S1759" s="360">
        <f t="shared" si="329"/>
        <v>7.9589041095890414</v>
      </c>
      <c r="T1759" s="361">
        <f t="shared" si="330"/>
        <v>0.10555555555555554</v>
      </c>
      <c r="U1759" s="362">
        <f t="shared" si="331"/>
        <v>3319722.2222222215</v>
      </c>
      <c r="V1759" s="362">
        <f t="shared" si="332"/>
        <v>28005817.77777778</v>
      </c>
      <c r="W1759" s="362">
        <f t="shared" si="333"/>
        <v>1572500</v>
      </c>
      <c r="X1759" s="742">
        <f t="shared" si="324"/>
        <v>26433317.77777778</v>
      </c>
    </row>
    <row r="1760" spans="1:24" ht="13.9">
      <c r="A1760" s="349">
        <f t="shared" si="326"/>
        <v>1752</v>
      </c>
      <c r="B1760" s="669" t="s">
        <v>585</v>
      </c>
      <c r="C1760" s="681" t="s">
        <v>29</v>
      </c>
      <c r="D1760" s="743" t="s">
        <v>3663</v>
      </c>
      <c r="E1760" s="669" t="s">
        <v>3573</v>
      </c>
      <c r="F1760" s="334"/>
      <c r="G1760" s="672">
        <v>45008</v>
      </c>
      <c r="H1760" s="426">
        <v>5200000</v>
      </c>
      <c r="I1760" s="744"/>
      <c r="J1760" s="744"/>
      <c r="K1760" s="354">
        <f t="shared" si="323"/>
        <v>5200000</v>
      </c>
      <c r="L1760" s="672">
        <v>45008</v>
      </c>
      <c r="M1760" s="742">
        <v>12664</v>
      </c>
      <c r="N1760" s="352">
        <f t="shared" si="325"/>
        <v>5187336</v>
      </c>
      <c r="O1760" s="357">
        <f t="shared" si="322"/>
        <v>375</v>
      </c>
      <c r="P1760" s="410">
        <v>9</v>
      </c>
      <c r="Q1760" s="358">
        <f t="shared" si="327"/>
        <v>1.0273972602739727</v>
      </c>
      <c r="R1760" s="359">
        <f t="shared" si="328"/>
        <v>7.9726027397260273</v>
      </c>
      <c r="S1760" s="360">
        <f t="shared" si="329"/>
        <v>7.9726027397260273</v>
      </c>
      <c r="T1760" s="361">
        <f t="shared" si="330"/>
        <v>0.10555555555555554</v>
      </c>
      <c r="U1760" s="362">
        <f t="shared" si="331"/>
        <v>548888.88888888876</v>
      </c>
      <c r="V1760" s="362">
        <f t="shared" si="332"/>
        <v>4638447.111111111</v>
      </c>
      <c r="W1760" s="362">
        <f t="shared" si="333"/>
        <v>260000</v>
      </c>
      <c r="X1760" s="742">
        <f t="shared" si="324"/>
        <v>4378447.111111111</v>
      </c>
    </row>
    <row r="1761" spans="1:24" ht="13.9">
      <c r="A1761" s="349">
        <f t="shared" si="326"/>
        <v>1753</v>
      </c>
      <c r="B1761" s="669" t="s">
        <v>60</v>
      </c>
      <c r="C1761" s="681" t="s">
        <v>29</v>
      </c>
      <c r="D1761" s="743" t="s">
        <v>3663</v>
      </c>
      <c r="E1761" s="669" t="s">
        <v>3587</v>
      </c>
      <c r="F1761" s="334"/>
      <c r="G1761" s="672">
        <v>44995</v>
      </c>
      <c r="H1761" s="426">
        <v>233200</v>
      </c>
      <c r="I1761" s="744"/>
      <c r="J1761" s="744"/>
      <c r="K1761" s="354">
        <f t="shared" si="323"/>
        <v>233200</v>
      </c>
      <c r="L1761" s="672">
        <v>44995</v>
      </c>
      <c r="M1761" s="742">
        <v>1491</v>
      </c>
      <c r="N1761" s="352">
        <f t="shared" si="325"/>
        <v>231709</v>
      </c>
      <c r="O1761" s="357">
        <f t="shared" si="322"/>
        <v>388</v>
      </c>
      <c r="P1761" s="410">
        <v>9</v>
      </c>
      <c r="Q1761" s="358">
        <f t="shared" si="327"/>
        <v>1.0630136986301371</v>
      </c>
      <c r="R1761" s="359">
        <f t="shared" si="328"/>
        <v>7.9369863013698634</v>
      </c>
      <c r="S1761" s="360">
        <f t="shared" si="329"/>
        <v>7.9369863013698634</v>
      </c>
      <c r="T1761" s="361">
        <f t="shared" si="330"/>
        <v>0.10555555555555554</v>
      </c>
      <c r="U1761" s="362">
        <f t="shared" si="331"/>
        <v>24615.555555555551</v>
      </c>
      <c r="V1761" s="362">
        <f t="shared" si="332"/>
        <v>207093.44444444444</v>
      </c>
      <c r="W1761" s="362">
        <f t="shared" si="333"/>
        <v>11660</v>
      </c>
      <c r="X1761" s="742">
        <f t="shared" si="324"/>
        <v>195433.44444444444</v>
      </c>
    </row>
    <row r="1762" spans="1:24" ht="13.9">
      <c r="A1762" s="349">
        <f t="shared" si="326"/>
        <v>1754</v>
      </c>
      <c r="B1762" s="669" t="s">
        <v>568</v>
      </c>
      <c r="C1762" s="681" t="s">
        <v>29</v>
      </c>
      <c r="D1762" s="743" t="s">
        <v>3663</v>
      </c>
      <c r="E1762" s="669" t="s">
        <v>763</v>
      </c>
      <c r="F1762" s="334"/>
      <c r="G1762" s="672">
        <v>45000</v>
      </c>
      <c r="H1762" s="426">
        <v>1590330</v>
      </c>
      <c r="I1762" s="744"/>
      <c r="J1762" s="744"/>
      <c r="K1762" s="354">
        <f t="shared" si="323"/>
        <v>1590330</v>
      </c>
      <c r="L1762" s="672">
        <v>45000</v>
      </c>
      <c r="M1762" s="742">
        <v>7746</v>
      </c>
      <c r="N1762" s="352">
        <f t="shared" si="325"/>
        <v>1582584</v>
      </c>
      <c r="O1762" s="357">
        <f t="shared" si="322"/>
        <v>383</v>
      </c>
      <c r="P1762" s="410">
        <v>9</v>
      </c>
      <c r="Q1762" s="358">
        <f t="shared" si="327"/>
        <v>1.0493150684931507</v>
      </c>
      <c r="R1762" s="359">
        <f t="shared" si="328"/>
        <v>7.9506849315068493</v>
      </c>
      <c r="S1762" s="360">
        <f t="shared" si="329"/>
        <v>7.9506849315068493</v>
      </c>
      <c r="T1762" s="361">
        <f t="shared" si="330"/>
        <v>0.10555555555555554</v>
      </c>
      <c r="U1762" s="362">
        <f t="shared" si="331"/>
        <v>167868.16666666666</v>
      </c>
      <c r="V1762" s="362">
        <f t="shared" si="332"/>
        <v>1414715.8333333333</v>
      </c>
      <c r="W1762" s="362">
        <f t="shared" si="333"/>
        <v>79517</v>
      </c>
      <c r="X1762" s="742">
        <f t="shared" si="324"/>
        <v>1335198.8333333333</v>
      </c>
    </row>
    <row r="1763" spans="1:24" ht="13.9">
      <c r="A1763" s="349">
        <f t="shared" si="326"/>
        <v>1755</v>
      </c>
      <c r="B1763" s="669" t="s">
        <v>568</v>
      </c>
      <c r="C1763" s="681" t="s">
        <v>29</v>
      </c>
      <c r="D1763" s="743" t="s">
        <v>3663</v>
      </c>
      <c r="E1763" s="669" t="s">
        <v>763</v>
      </c>
      <c r="F1763" s="334"/>
      <c r="G1763" s="672">
        <v>45013</v>
      </c>
      <c r="H1763" s="426">
        <v>1819979.87</v>
      </c>
      <c r="I1763" s="744"/>
      <c r="J1763" s="744"/>
      <c r="K1763" s="354">
        <f t="shared" si="323"/>
        <v>1819979.87</v>
      </c>
      <c r="L1763" s="672">
        <v>45013</v>
      </c>
      <c r="M1763" s="742">
        <v>1662</v>
      </c>
      <c r="N1763" s="352">
        <f t="shared" si="325"/>
        <v>1818317.87</v>
      </c>
      <c r="O1763" s="357">
        <f t="shared" si="322"/>
        <v>370</v>
      </c>
      <c r="P1763" s="410">
        <v>9</v>
      </c>
      <c r="Q1763" s="358">
        <f t="shared" si="327"/>
        <v>1.0136986301369864</v>
      </c>
      <c r="R1763" s="359">
        <f t="shared" si="328"/>
        <v>7.9863013698630141</v>
      </c>
      <c r="S1763" s="360">
        <f t="shared" si="329"/>
        <v>7.9863013698630141</v>
      </c>
      <c r="T1763" s="361">
        <f t="shared" si="330"/>
        <v>0.10555555555555554</v>
      </c>
      <c r="U1763" s="362">
        <f t="shared" si="331"/>
        <v>192108.98627777776</v>
      </c>
      <c r="V1763" s="362">
        <f t="shared" si="332"/>
        <v>1626208.8837222224</v>
      </c>
      <c r="W1763" s="362">
        <f t="shared" si="333"/>
        <v>90999</v>
      </c>
      <c r="X1763" s="742">
        <f t="shared" si="324"/>
        <v>1535209.8837222224</v>
      </c>
    </row>
    <row r="1764" spans="1:24" ht="13.9">
      <c r="A1764" s="349">
        <f t="shared" si="326"/>
        <v>1756</v>
      </c>
      <c r="B1764" s="669" t="s">
        <v>302</v>
      </c>
      <c r="C1764" s="681" t="s">
        <v>29</v>
      </c>
      <c r="D1764" s="743" t="s">
        <v>3663</v>
      </c>
      <c r="E1764" s="669" t="s">
        <v>3481</v>
      </c>
      <c r="F1764" s="334"/>
      <c r="G1764" s="672">
        <v>45012</v>
      </c>
      <c r="H1764" s="426">
        <v>1530000</v>
      </c>
      <c r="I1764" s="744"/>
      <c r="J1764" s="744"/>
      <c r="K1764" s="354">
        <f t="shared" si="323"/>
        <v>1530000</v>
      </c>
      <c r="L1764" s="672">
        <v>45012</v>
      </c>
      <c r="M1764" s="742">
        <v>1863</v>
      </c>
      <c r="N1764" s="352">
        <f t="shared" si="325"/>
        <v>1528137</v>
      </c>
      <c r="O1764" s="357">
        <f t="shared" si="322"/>
        <v>371</v>
      </c>
      <c r="P1764" s="410">
        <v>9</v>
      </c>
      <c r="Q1764" s="358">
        <f t="shared" si="327"/>
        <v>1.0164383561643835</v>
      </c>
      <c r="R1764" s="359">
        <f t="shared" si="328"/>
        <v>7.9835616438356167</v>
      </c>
      <c r="S1764" s="360">
        <f t="shared" si="329"/>
        <v>7.9835616438356167</v>
      </c>
      <c r="T1764" s="361">
        <f t="shared" si="330"/>
        <v>0.10555555555555554</v>
      </c>
      <c r="U1764" s="362">
        <f t="shared" si="331"/>
        <v>161499.99999999997</v>
      </c>
      <c r="V1764" s="362">
        <f t="shared" si="332"/>
        <v>1366637</v>
      </c>
      <c r="W1764" s="362">
        <f t="shared" si="333"/>
        <v>76500</v>
      </c>
      <c r="X1764" s="742">
        <f t="shared" si="324"/>
        <v>1290137</v>
      </c>
    </row>
    <row r="1765" spans="1:24" ht="13.9">
      <c r="A1765" s="349">
        <f t="shared" si="326"/>
        <v>1757</v>
      </c>
      <c r="B1765" s="669" t="s">
        <v>323</v>
      </c>
      <c r="C1765" s="681" t="s">
        <v>29</v>
      </c>
      <c r="D1765" s="743" t="s">
        <v>3663</v>
      </c>
      <c r="E1765" s="669" t="s">
        <v>170</v>
      </c>
      <c r="F1765" s="334"/>
      <c r="G1765" s="672">
        <v>44987</v>
      </c>
      <c r="H1765" s="426">
        <v>5800000</v>
      </c>
      <c r="I1765" s="744"/>
      <c r="J1765" s="744"/>
      <c r="K1765" s="354">
        <f t="shared" si="323"/>
        <v>5800000</v>
      </c>
      <c r="L1765" s="672">
        <v>44987</v>
      </c>
      <c r="M1765" s="742">
        <v>51202</v>
      </c>
      <c r="N1765" s="352">
        <f t="shared" si="325"/>
        <v>5748798</v>
      </c>
      <c r="O1765" s="357">
        <f t="shared" si="322"/>
        <v>396</v>
      </c>
      <c r="P1765" s="410">
        <v>9</v>
      </c>
      <c r="Q1765" s="358">
        <f t="shared" si="327"/>
        <v>1.0849315068493151</v>
      </c>
      <c r="R1765" s="359">
        <f t="shared" si="328"/>
        <v>7.9150684931506845</v>
      </c>
      <c r="S1765" s="360">
        <f t="shared" si="329"/>
        <v>7.9150684931506845</v>
      </c>
      <c r="T1765" s="361">
        <f t="shared" si="330"/>
        <v>0.10555555555555554</v>
      </c>
      <c r="U1765" s="362">
        <f t="shared" si="331"/>
        <v>612222.22222222213</v>
      </c>
      <c r="V1765" s="362">
        <f t="shared" si="332"/>
        <v>5136575.777777778</v>
      </c>
      <c r="W1765" s="362">
        <f t="shared" si="333"/>
        <v>290000</v>
      </c>
      <c r="X1765" s="742">
        <f t="shared" si="324"/>
        <v>4846575.777777778</v>
      </c>
    </row>
    <row r="1766" spans="1:24" ht="13.9">
      <c r="A1766" s="349">
        <f t="shared" si="326"/>
        <v>1758</v>
      </c>
      <c r="B1766" s="669" t="s">
        <v>1884</v>
      </c>
      <c r="C1766" s="681" t="s">
        <v>29</v>
      </c>
      <c r="D1766" s="743" t="s">
        <v>3663</v>
      </c>
      <c r="E1766" s="669" t="s">
        <v>3347</v>
      </c>
      <c r="F1766" s="334"/>
      <c r="G1766" s="672">
        <v>45016</v>
      </c>
      <c r="H1766" s="426">
        <v>69026250</v>
      </c>
      <c r="I1766" s="744"/>
      <c r="J1766" s="744">
        <v>0</v>
      </c>
      <c r="K1766" s="354">
        <f t="shared" si="323"/>
        <v>69026250</v>
      </c>
      <c r="L1766" s="672">
        <v>45016</v>
      </c>
      <c r="M1766" s="742">
        <v>0</v>
      </c>
      <c r="N1766" s="352">
        <f t="shared" si="325"/>
        <v>69026250</v>
      </c>
      <c r="O1766" s="357">
        <f t="shared" si="322"/>
        <v>367</v>
      </c>
      <c r="P1766" s="410">
        <v>9</v>
      </c>
      <c r="Q1766" s="358">
        <f t="shared" si="327"/>
        <v>1.0054794520547945</v>
      </c>
      <c r="R1766" s="359">
        <f t="shared" si="328"/>
        <v>7.9945205479452053</v>
      </c>
      <c r="S1766" s="360">
        <f t="shared" si="329"/>
        <v>7.9945205479452053</v>
      </c>
      <c r="T1766" s="361">
        <f t="shared" si="330"/>
        <v>0.10555555555555554</v>
      </c>
      <c r="U1766" s="362">
        <f t="shared" si="331"/>
        <v>7286104.166666666</v>
      </c>
      <c r="V1766" s="362">
        <f t="shared" si="332"/>
        <v>61740145.833333336</v>
      </c>
      <c r="W1766" s="362">
        <f t="shared" si="333"/>
        <v>3451313</v>
      </c>
      <c r="X1766" s="742">
        <f t="shared" si="324"/>
        <v>58288832.833333336</v>
      </c>
    </row>
    <row r="1767" spans="1:24" ht="13.9">
      <c r="A1767" s="349">
        <f t="shared" si="326"/>
        <v>1759</v>
      </c>
      <c r="B1767" s="669" t="s">
        <v>1884</v>
      </c>
      <c r="C1767" s="681" t="s">
        <v>29</v>
      </c>
      <c r="D1767" s="743" t="s">
        <v>3663</v>
      </c>
      <c r="E1767" s="669" t="s">
        <v>3347</v>
      </c>
      <c r="F1767" s="334"/>
      <c r="G1767" s="672">
        <v>45016</v>
      </c>
      <c r="H1767" s="426">
        <v>69026250</v>
      </c>
      <c r="I1767" s="744"/>
      <c r="J1767" s="744">
        <v>0</v>
      </c>
      <c r="K1767" s="354">
        <f t="shared" si="323"/>
        <v>69026250</v>
      </c>
      <c r="L1767" s="672">
        <v>45016</v>
      </c>
      <c r="M1767" s="742">
        <v>0</v>
      </c>
      <c r="N1767" s="352">
        <f t="shared" si="325"/>
        <v>69026250</v>
      </c>
      <c r="O1767" s="357">
        <f t="shared" si="322"/>
        <v>367</v>
      </c>
      <c r="P1767" s="410">
        <v>9</v>
      </c>
      <c r="Q1767" s="358">
        <f t="shared" si="327"/>
        <v>1.0054794520547945</v>
      </c>
      <c r="R1767" s="359">
        <f t="shared" si="328"/>
        <v>7.9945205479452053</v>
      </c>
      <c r="S1767" s="360">
        <f t="shared" si="329"/>
        <v>7.9945205479452053</v>
      </c>
      <c r="T1767" s="361">
        <f t="shared" si="330"/>
        <v>0.10555555555555554</v>
      </c>
      <c r="U1767" s="362">
        <f t="shared" si="331"/>
        <v>7286104.166666666</v>
      </c>
      <c r="V1767" s="362">
        <f t="shared" si="332"/>
        <v>61740145.833333336</v>
      </c>
      <c r="W1767" s="362">
        <f t="shared" si="333"/>
        <v>3451313</v>
      </c>
      <c r="X1767" s="742">
        <f t="shared" si="324"/>
        <v>58288832.833333336</v>
      </c>
    </row>
    <row r="1768" spans="1:24" ht="13.9">
      <c r="A1768" s="349">
        <f t="shared" si="326"/>
        <v>1760</v>
      </c>
      <c r="B1768" s="669" t="s">
        <v>71</v>
      </c>
      <c r="C1768" s="681" t="s">
        <v>29</v>
      </c>
      <c r="D1768" s="743" t="s">
        <v>3663</v>
      </c>
      <c r="E1768" s="669" t="s">
        <v>3377</v>
      </c>
      <c r="F1768" s="334"/>
      <c r="G1768" s="672">
        <v>45005</v>
      </c>
      <c r="H1768" s="426">
        <v>3984375</v>
      </c>
      <c r="I1768" s="744"/>
      <c r="J1768" s="744"/>
      <c r="K1768" s="354">
        <f t="shared" si="323"/>
        <v>3984375</v>
      </c>
      <c r="L1768" s="672">
        <v>45005</v>
      </c>
      <c r="M1768" s="742">
        <v>13342</v>
      </c>
      <c r="N1768" s="352">
        <f t="shared" si="325"/>
        <v>3971033</v>
      </c>
      <c r="O1768" s="357">
        <f t="shared" si="322"/>
        <v>378</v>
      </c>
      <c r="P1768" s="410">
        <v>9</v>
      </c>
      <c r="Q1768" s="358">
        <f t="shared" si="327"/>
        <v>1.0356164383561643</v>
      </c>
      <c r="R1768" s="359">
        <f t="shared" si="328"/>
        <v>7.9643835616438352</v>
      </c>
      <c r="S1768" s="360">
        <f t="shared" si="329"/>
        <v>7.9643835616438352</v>
      </c>
      <c r="T1768" s="361">
        <f t="shared" si="330"/>
        <v>0.10555555555555554</v>
      </c>
      <c r="U1768" s="362">
        <f t="shared" si="331"/>
        <v>420572.91666666663</v>
      </c>
      <c r="V1768" s="362">
        <f t="shared" si="332"/>
        <v>3550460.0833333335</v>
      </c>
      <c r="W1768" s="362">
        <f t="shared" si="333"/>
        <v>199219</v>
      </c>
      <c r="X1768" s="742">
        <f t="shared" si="324"/>
        <v>3351241.0833333335</v>
      </c>
    </row>
    <row r="1769" spans="1:24" ht="13.9">
      <c r="A1769" s="349">
        <f t="shared" si="326"/>
        <v>1761</v>
      </c>
      <c r="B1769" s="669" t="s">
        <v>71</v>
      </c>
      <c r="C1769" s="681" t="s">
        <v>29</v>
      </c>
      <c r="D1769" s="743" t="s">
        <v>3663</v>
      </c>
      <c r="E1769" s="669" t="s">
        <v>3377</v>
      </c>
      <c r="F1769" s="334"/>
      <c r="G1769" s="672">
        <v>45005</v>
      </c>
      <c r="H1769" s="426">
        <v>3984375</v>
      </c>
      <c r="I1769" s="744"/>
      <c r="J1769" s="744"/>
      <c r="K1769" s="354">
        <f t="shared" si="323"/>
        <v>3984375</v>
      </c>
      <c r="L1769" s="672">
        <v>45005</v>
      </c>
      <c r="M1769" s="742">
        <v>13342</v>
      </c>
      <c r="N1769" s="352">
        <f t="shared" si="325"/>
        <v>3971033</v>
      </c>
      <c r="O1769" s="357">
        <f t="shared" si="322"/>
        <v>378</v>
      </c>
      <c r="P1769" s="410">
        <v>9</v>
      </c>
      <c r="Q1769" s="358">
        <f t="shared" si="327"/>
        <v>1.0356164383561643</v>
      </c>
      <c r="R1769" s="359">
        <f t="shared" si="328"/>
        <v>7.9643835616438352</v>
      </c>
      <c r="S1769" s="360">
        <f t="shared" si="329"/>
        <v>7.9643835616438352</v>
      </c>
      <c r="T1769" s="361">
        <f t="shared" si="330"/>
        <v>0.10555555555555554</v>
      </c>
      <c r="U1769" s="362">
        <f t="shared" si="331"/>
        <v>420572.91666666663</v>
      </c>
      <c r="V1769" s="362">
        <f t="shared" si="332"/>
        <v>3550460.0833333335</v>
      </c>
      <c r="W1769" s="362">
        <f t="shared" si="333"/>
        <v>199219</v>
      </c>
      <c r="X1769" s="742">
        <f t="shared" si="324"/>
        <v>3351241.0833333335</v>
      </c>
    </row>
    <row r="1770" spans="1:24" ht="13.9">
      <c r="A1770" s="349">
        <f t="shared" si="326"/>
        <v>1762</v>
      </c>
      <c r="B1770" s="669" t="s">
        <v>71</v>
      </c>
      <c r="C1770" s="681" t="s">
        <v>29</v>
      </c>
      <c r="D1770" s="743" t="s">
        <v>3663</v>
      </c>
      <c r="E1770" s="669" t="s">
        <v>766</v>
      </c>
      <c r="F1770" s="334"/>
      <c r="G1770" s="672">
        <v>45009</v>
      </c>
      <c r="H1770" s="426">
        <v>3270421</v>
      </c>
      <c r="I1770" s="744"/>
      <c r="J1770" s="744"/>
      <c r="K1770" s="354">
        <f t="shared" si="323"/>
        <v>3270421</v>
      </c>
      <c r="L1770" s="672">
        <v>45009</v>
      </c>
      <c r="M1770" s="742">
        <v>6969</v>
      </c>
      <c r="N1770" s="352">
        <f t="shared" si="325"/>
        <v>3263452</v>
      </c>
      <c r="O1770" s="357">
        <f t="shared" si="322"/>
        <v>374</v>
      </c>
      <c r="P1770" s="410">
        <v>9</v>
      </c>
      <c r="Q1770" s="358">
        <f t="shared" si="327"/>
        <v>1.0246575342465754</v>
      </c>
      <c r="R1770" s="359">
        <f t="shared" si="328"/>
        <v>7.9753424657534246</v>
      </c>
      <c r="S1770" s="360">
        <f t="shared" si="329"/>
        <v>7.9753424657534246</v>
      </c>
      <c r="T1770" s="361">
        <f t="shared" si="330"/>
        <v>0.10555555555555554</v>
      </c>
      <c r="U1770" s="362">
        <f t="shared" si="331"/>
        <v>345211.10555555549</v>
      </c>
      <c r="V1770" s="362">
        <f t="shared" si="332"/>
        <v>2918240.8944444447</v>
      </c>
      <c r="W1770" s="362">
        <f t="shared" si="333"/>
        <v>163521</v>
      </c>
      <c r="X1770" s="742">
        <f t="shared" si="324"/>
        <v>2754719.8944444447</v>
      </c>
    </row>
    <row r="1771" spans="1:24" ht="13.9">
      <c r="A1771" s="349">
        <f t="shared" si="326"/>
        <v>1763</v>
      </c>
      <c r="B1771" s="669" t="s">
        <v>71</v>
      </c>
      <c r="C1771" s="681" t="s">
        <v>29</v>
      </c>
      <c r="D1771" s="743" t="s">
        <v>3663</v>
      </c>
      <c r="E1771" s="669" t="s">
        <v>766</v>
      </c>
      <c r="F1771" s="334"/>
      <c r="G1771" s="672">
        <v>45009</v>
      </c>
      <c r="H1771" s="426">
        <v>3270421</v>
      </c>
      <c r="I1771" s="744"/>
      <c r="J1771" s="744"/>
      <c r="K1771" s="354">
        <f t="shared" si="323"/>
        <v>3270421</v>
      </c>
      <c r="L1771" s="672">
        <v>45009</v>
      </c>
      <c r="M1771" s="742">
        <v>6969</v>
      </c>
      <c r="N1771" s="352">
        <f t="shared" si="325"/>
        <v>3263452</v>
      </c>
      <c r="O1771" s="357">
        <f t="shared" si="322"/>
        <v>374</v>
      </c>
      <c r="P1771" s="410">
        <v>9</v>
      </c>
      <c r="Q1771" s="358">
        <f t="shared" si="327"/>
        <v>1.0246575342465754</v>
      </c>
      <c r="R1771" s="359">
        <f t="shared" si="328"/>
        <v>7.9753424657534246</v>
      </c>
      <c r="S1771" s="360">
        <f t="shared" si="329"/>
        <v>7.9753424657534246</v>
      </c>
      <c r="T1771" s="361">
        <f t="shared" si="330"/>
        <v>0.10555555555555554</v>
      </c>
      <c r="U1771" s="362">
        <f t="shared" si="331"/>
        <v>345211.10555555549</v>
      </c>
      <c r="V1771" s="362">
        <f t="shared" si="332"/>
        <v>2918240.8944444447</v>
      </c>
      <c r="W1771" s="362">
        <f t="shared" si="333"/>
        <v>163521</v>
      </c>
      <c r="X1771" s="742">
        <f t="shared" si="324"/>
        <v>2754719.8944444447</v>
      </c>
    </row>
    <row r="1772" spans="1:24" ht="13.9">
      <c r="A1772" s="349">
        <f t="shared" si="326"/>
        <v>1764</v>
      </c>
      <c r="B1772" s="669" t="s">
        <v>71</v>
      </c>
      <c r="C1772" s="681" t="s">
        <v>29</v>
      </c>
      <c r="D1772" s="743" t="s">
        <v>3663</v>
      </c>
      <c r="E1772" s="669" t="s">
        <v>766</v>
      </c>
      <c r="F1772" s="334"/>
      <c r="G1772" s="672">
        <v>45009</v>
      </c>
      <c r="H1772" s="426">
        <v>3270421</v>
      </c>
      <c r="I1772" s="744"/>
      <c r="J1772" s="744"/>
      <c r="K1772" s="354">
        <f t="shared" si="323"/>
        <v>3270421</v>
      </c>
      <c r="L1772" s="672">
        <v>45009</v>
      </c>
      <c r="M1772" s="742">
        <v>6969</v>
      </c>
      <c r="N1772" s="352">
        <f t="shared" si="325"/>
        <v>3263452</v>
      </c>
      <c r="O1772" s="357">
        <f t="shared" si="322"/>
        <v>374</v>
      </c>
      <c r="P1772" s="410">
        <v>9</v>
      </c>
      <c r="Q1772" s="358">
        <f t="shared" si="327"/>
        <v>1.0246575342465754</v>
      </c>
      <c r="R1772" s="359">
        <f t="shared" si="328"/>
        <v>7.9753424657534246</v>
      </c>
      <c r="S1772" s="360">
        <f t="shared" si="329"/>
        <v>7.9753424657534246</v>
      </c>
      <c r="T1772" s="361">
        <f t="shared" si="330"/>
        <v>0.10555555555555554</v>
      </c>
      <c r="U1772" s="362">
        <f t="shared" si="331"/>
        <v>345211.10555555549</v>
      </c>
      <c r="V1772" s="362">
        <f t="shared" si="332"/>
        <v>2918240.8944444447</v>
      </c>
      <c r="W1772" s="362">
        <f t="shared" si="333"/>
        <v>163521</v>
      </c>
      <c r="X1772" s="742">
        <f t="shared" si="324"/>
        <v>2754719.8944444447</v>
      </c>
    </row>
    <row r="1773" spans="1:24" ht="13.9">
      <c r="A1773" s="349">
        <f t="shared" si="326"/>
        <v>1765</v>
      </c>
      <c r="B1773" s="669" t="s">
        <v>71</v>
      </c>
      <c r="C1773" s="681" t="s">
        <v>29</v>
      </c>
      <c r="D1773" s="743" t="s">
        <v>3663</v>
      </c>
      <c r="E1773" s="669" t="s">
        <v>766</v>
      </c>
      <c r="F1773" s="334"/>
      <c r="G1773" s="672">
        <v>45009</v>
      </c>
      <c r="H1773" s="426">
        <v>3270421</v>
      </c>
      <c r="I1773" s="744"/>
      <c r="J1773" s="744"/>
      <c r="K1773" s="354">
        <f t="shared" si="323"/>
        <v>3270421</v>
      </c>
      <c r="L1773" s="672">
        <v>45009</v>
      </c>
      <c r="M1773" s="742">
        <v>6969</v>
      </c>
      <c r="N1773" s="352">
        <f t="shared" si="325"/>
        <v>3263452</v>
      </c>
      <c r="O1773" s="357">
        <f t="shared" si="322"/>
        <v>374</v>
      </c>
      <c r="P1773" s="410">
        <v>9</v>
      </c>
      <c r="Q1773" s="358">
        <f t="shared" si="327"/>
        <v>1.0246575342465754</v>
      </c>
      <c r="R1773" s="359">
        <f t="shared" si="328"/>
        <v>7.9753424657534246</v>
      </c>
      <c r="S1773" s="360">
        <f t="shared" si="329"/>
        <v>7.9753424657534246</v>
      </c>
      <c r="T1773" s="361">
        <f t="shared" si="330"/>
        <v>0.10555555555555554</v>
      </c>
      <c r="U1773" s="362">
        <f t="shared" si="331"/>
        <v>345211.10555555549</v>
      </c>
      <c r="V1773" s="362">
        <f t="shared" si="332"/>
        <v>2918240.8944444447</v>
      </c>
      <c r="W1773" s="362">
        <f t="shared" si="333"/>
        <v>163521</v>
      </c>
      <c r="X1773" s="742">
        <f t="shared" si="324"/>
        <v>2754719.8944444447</v>
      </c>
    </row>
    <row r="1774" spans="1:24" ht="13.9">
      <c r="A1774" s="349">
        <f t="shared" si="326"/>
        <v>1766</v>
      </c>
      <c r="B1774" s="669" t="s">
        <v>71</v>
      </c>
      <c r="C1774" s="681" t="s">
        <v>29</v>
      </c>
      <c r="D1774" s="743" t="s">
        <v>3663</v>
      </c>
      <c r="E1774" s="669" t="s">
        <v>766</v>
      </c>
      <c r="F1774" s="334"/>
      <c r="G1774" s="672">
        <v>45009</v>
      </c>
      <c r="H1774" s="426">
        <v>3270421</v>
      </c>
      <c r="I1774" s="744"/>
      <c r="J1774" s="744"/>
      <c r="K1774" s="354">
        <f t="shared" si="323"/>
        <v>3270421</v>
      </c>
      <c r="L1774" s="672">
        <v>45009</v>
      </c>
      <c r="M1774" s="742">
        <v>6969</v>
      </c>
      <c r="N1774" s="352">
        <f t="shared" si="325"/>
        <v>3263452</v>
      </c>
      <c r="O1774" s="357">
        <f t="shared" si="322"/>
        <v>374</v>
      </c>
      <c r="P1774" s="410">
        <v>9</v>
      </c>
      <c r="Q1774" s="358">
        <f t="shared" si="327"/>
        <v>1.0246575342465754</v>
      </c>
      <c r="R1774" s="359">
        <f t="shared" si="328"/>
        <v>7.9753424657534246</v>
      </c>
      <c r="S1774" s="360">
        <f t="shared" si="329"/>
        <v>7.9753424657534246</v>
      </c>
      <c r="T1774" s="361">
        <f t="shared" si="330"/>
        <v>0.10555555555555554</v>
      </c>
      <c r="U1774" s="362">
        <f t="shared" si="331"/>
        <v>345211.10555555549</v>
      </c>
      <c r="V1774" s="362">
        <f t="shared" si="332"/>
        <v>2918240.8944444447</v>
      </c>
      <c r="W1774" s="362">
        <f t="shared" si="333"/>
        <v>163521</v>
      </c>
      <c r="X1774" s="742">
        <f t="shared" si="324"/>
        <v>2754719.8944444447</v>
      </c>
    </row>
    <row r="1775" spans="1:24" ht="13.9">
      <c r="A1775" s="349">
        <f t="shared" si="326"/>
        <v>1767</v>
      </c>
      <c r="B1775" s="669" t="s">
        <v>564</v>
      </c>
      <c r="C1775" s="681" t="s">
        <v>29</v>
      </c>
      <c r="D1775" s="743" t="s">
        <v>3663</v>
      </c>
      <c r="E1775" s="669" t="s">
        <v>180</v>
      </c>
      <c r="F1775" s="334"/>
      <c r="G1775" s="672">
        <v>45001</v>
      </c>
      <c r="H1775" s="426">
        <v>680000</v>
      </c>
      <c r="I1775" s="744"/>
      <c r="J1775" s="744"/>
      <c r="K1775" s="354">
        <f t="shared" si="323"/>
        <v>680000</v>
      </c>
      <c r="L1775" s="672">
        <v>45001</v>
      </c>
      <c r="M1775" s="742">
        <v>3105</v>
      </c>
      <c r="N1775" s="352">
        <f t="shared" si="325"/>
        <v>676895</v>
      </c>
      <c r="O1775" s="357">
        <f t="shared" si="322"/>
        <v>382</v>
      </c>
      <c r="P1775" s="410">
        <v>9</v>
      </c>
      <c r="Q1775" s="358">
        <f t="shared" si="327"/>
        <v>1.0465753424657533</v>
      </c>
      <c r="R1775" s="359">
        <f t="shared" si="328"/>
        <v>7.9534246575342467</v>
      </c>
      <c r="S1775" s="360">
        <f t="shared" si="329"/>
        <v>7.9534246575342467</v>
      </c>
      <c r="T1775" s="361">
        <f t="shared" si="330"/>
        <v>0.10555555555555554</v>
      </c>
      <c r="U1775" s="362">
        <f t="shared" si="331"/>
        <v>71777.777777777766</v>
      </c>
      <c r="V1775" s="362">
        <f t="shared" si="332"/>
        <v>605117.22222222225</v>
      </c>
      <c r="W1775" s="362">
        <f t="shared" si="333"/>
        <v>34000</v>
      </c>
      <c r="X1775" s="742">
        <f t="shared" si="324"/>
        <v>571117.22222222225</v>
      </c>
    </row>
    <row r="1776" spans="1:24" ht="13.9">
      <c r="A1776" s="349">
        <f t="shared" si="326"/>
        <v>1768</v>
      </c>
      <c r="B1776" s="669" t="s">
        <v>564</v>
      </c>
      <c r="C1776" s="681" t="s">
        <v>29</v>
      </c>
      <c r="D1776" s="743" t="s">
        <v>3663</v>
      </c>
      <c r="E1776" s="669" t="s">
        <v>180</v>
      </c>
      <c r="F1776" s="334"/>
      <c r="G1776" s="672">
        <v>45003</v>
      </c>
      <c r="H1776" s="426">
        <v>680000</v>
      </c>
      <c r="I1776" s="744"/>
      <c r="J1776" s="744"/>
      <c r="K1776" s="354">
        <f t="shared" si="323"/>
        <v>680000</v>
      </c>
      <c r="L1776" s="672">
        <v>45003</v>
      </c>
      <c r="M1776" s="742">
        <v>2691</v>
      </c>
      <c r="N1776" s="352">
        <f t="shared" si="325"/>
        <v>677309</v>
      </c>
      <c r="O1776" s="357">
        <f t="shared" si="322"/>
        <v>380</v>
      </c>
      <c r="P1776" s="410">
        <v>9</v>
      </c>
      <c r="Q1776" s="358">
        <f t="shared" si="327"/>
        <v>1.0410958904109588</v>
      </c>
      <c r="R1776" s="359">
        <f t="shared" si="328"/>
        <v>7.9589041095890414</v>
      </c>
      <c r="S1776" s="360">
        <f t="shared" si="329"/>
        <v>7.9589041095890414</v>
      </c>
      <c r="T1776" s="361">
        <f t="shared" si="330"/>
        <v>0.10555555555555554</v>
      </c>
      <c r="U1776" s="362">
        <f t="shared" si="331"/>
        <v>71777.777777777766</v>
      </c>
      <c r="V1776" s="362">
        <f t="shared" si="332"/>
        <v>605531.22222222225</v>
      </c>
      <c r="W1776" s="362">
        <f t="shared" si="333"/>
        <v>34000</v>
      </c>
      <c r="X1776" s="742">
        <f t="shared" si="324"/>
        <v>571531.22222222225</v>
      </c>
    </row>
    <row r="1777" spans="1:24" ht="13.9">
      <c r="A1777" s="349">
        <f t="shared" si="326"/>
        <v>1769</v>
      </c>
      <c r="B1777" s="669" t="s">
        <v>568</v>
      </c>
      <c r="C1777" s="681" t="s">
        <v>29</v>
      </c>
      <c r="D1777" s="743" t="s">
        <v>3663</v>
      </c>
      <c r="E1777" s="669" t="s">
        <v>763</v>
      </c>
      <c r="F1777" s="334"/>
      <c r="G1777" s="672">
        <v>45016</v>
      </c>
      <c r="H1777" s="426">
        <v>936466</v>
      </c>
      <c r="I1777" s="744"/>
      <c r="J1777" s="744"/>
      <c r="K1777" s="354">
        <f t="shared" si="323"/>
        <v>936466</v>
      </c>
      <c r="L1777" s="672">
        <v>45016</v>
      </c>
      <c r="M1777" s="742">
        <v>0</v>
      </c>
      <c r="N1777" s="352">
        <f t="shared" si="325"/>
        <v>936466</v>
      </c>
      <c r="O1777" s="357">
        <f t="shared" si="322"/>
        <v>367</v>
      </c>
      <c r="P1777" s="410">
        <v>9</v>
      </c>
      <c r="Q1777" s="358">
        <f t="shared" si="327"/>
        <v>1.0054794520547945</v>
      </c>
      <c r="R1777" s="359">
        <f t="shared" si="328"/>
        <v>7.9945205479452053</v>
      </c>
      <c r="S1777" s="360">
        <f t="shared" si="329"/>
        <v>7.9945205479452053</v>
      </c>
      <c r="T1777" s="361">
        <f t="shared" si="330"/>
        <v>0.10555555555555554</v>
      </c>
      <c r="U1777" s="362">
        <f t="shared" si="331"/>
        <v>98849.188888888879</v>
      </c>
      <c r="V1777" s="362">
        <f t="shared" si="332"/>
        <v>837616.81111111108</v>
      </c>
      <c r="W1777" s="362">
        <f t="shared" si="333"/>
        <v>46823</v>
      </c>
      <c r="X1777" s="742">
        <f t="shared" si="324"/>
        <v>790793.81111111108</v>
      </c>
    </row>
    <row r="1778" spans="1:24" ht="13.9">
      <c r="A1778" s="349">
        <f t="shared" si="326"/>
        <v>1770</v>
      </c>
      <c r="B1778" s="669" t="s">
        <v>568</v>
      </c>
      <c r="C1778" s="681" t="s">
        <v>29</v>
      </c>
      <c r="D1778" s="743" t="s">
        <v>3663</v>
      </c>
      <c r="E1778" s="669" t="s">
        <v>3548</v>
      </c>
      <c r="F1778" s="334"/>
      <c r="G1778" s="672">
        <v>45016</v>
      </c>
      <c r="H1778" s="426">
        <v>577300</v>
      </c>
      <c r="I1778" s="744"/>
      <c r="J1778" s="744"/>
      <c r="K1778" s="354">
        <f t="shared" si="323"/>
        <v>577300</v>
      </c>
      <c r="L1778" s="672">
        <v>45016</v>
      </c>
      <c r="M1778" s="742">
        <v>0</v>
      </c>
      <c r="N1778" s="352">
        <f t="shared" si="325"/>
        <v>577300</v>
      </c>
      <c r="O1778" s="357">
        <f t="shared" si="322"/>
        <v>367</v>
      </c>
      <c r="P1778" s="410">
        <v>9</v>
      </c>
      <c r="Q1778" s="358">
        <f t="shared" si="327"/>
        <v>1.0054794520547945</v>
      </c>
      <c r="R1778" s="359">
        <f t="shared" si="328"/>
        <v>7.9945205479452053</v>
      </c>
      <c r="S1778" s="360">
        <f t="shared" si="329"/>
        <v>7.9945205479452053</v>
      </c>
      <c r="T1778" s="361">
        <f t="shared" si="330"/>
        <v>0.10555555555555554</v>
      </c>
      <c r="U1778" s="362">
        <f t="shared" si="331"/>
        <v>60937.222222222212</v>
      </c>
      <c r="V1778" s="362">
        <f t="shared" si="332"/>
        <v>516362.77777777781</v>
      </c>
      <c r="W1778" s="362">
        <f t="shared" si="333"/>
        <v>28865</v>
      </c>
      <c r="X1778" s="742">
        <f t="shared" si="324"/>
        <v>487497.77777777781</v>
      </c>
    </row>
    <row r="1779" spans="1:24" ht="13.9">
      <c r="A1779" s="349">
        <f t="shared" si="326"/>
        <v>1771</v>
      </c>
      <c r="B1779" s="665" t="s">
        <v>57</v>
      </c>
      <c r="C1779" s="666" t="s">
        <v>74</v>
      </c>
      <c r="D1779" s="743" t="s">
        <v>3663</v>
      </c>
      <c r="E1779" s="665" t="s">
        <v>164</v>
      </c>
      <c r="F1779" s="334"/>
      <c r="G1779" s="668">
        <v>44664</v>
      </c>
      <c r="H1779" s="426">
        <v>3850000</v>
      </c>
      <c r="I1779" s="744"/>
      <c r="J1779" s="744"/>
      <c r="K1779" s="354">
        <f t="shared" si="323"/>
        <v>3850000</v>
      </c>
      <c r="L1779" s="668">
        <v>44664</v>
      </c>
      <c r="M1779" s="742">
        <v>412542</v>
      </c>
      <c r="N1779" s="352">
        <f t="shared" si="325"/>
        <v>3437458</v>
      </c>
      <c r="O1779" s="357">
        <f t="shared" si="322"/>
        <v>719</v>
      </c>
      <c r="P1779" s="410">
        <v>9</v>
      </c>
      <c r="Q1779" s="358">
        <f t="shared" si="327"/>
        <v>1.9698630136986301</v>
      </c>
      <c r="R1779" s="359">
        <f t="shared" si="328"/>
        <v>7.0301369863013701</v>
      </c>
      <c r="S1779" s="360">
        <f t="shared" si="329"/>
        <v>7.0301369863013701</v>
      </c>
      <c r="T1779" s="361">
        <f t="shared" si="330"/>
        <v>0.10555555555555554</v>
      </c>
      <c r="U1779" s="362">
        <f t="shared" si="331"/>
        <v>406388.88888888882</v>
      </c>
      <c r="V1779" s="362">
        <f t="shared" si="332"/>
        <v>3031069.111111111</v>
      </c>
      <c r="W1779" s="362">
        <f t="shared" si="333"/>
        <v>192500</v>
      </c>
      <c r="X1779" s="742">
        <f t="shared" si="324"/>
        <v>2838569.111111111</v>
      </c>
    </row>
    <row r="1780" spans="1:24" ht="13.9">
      <c r="A1780" s="349">
        <f t="shared" si="326"/>
        <v>1772</v>
      </c>
      <c r="B1780" s="669" t="s">
        <v>326</v>
      </c>
      <c r="C1780" s="666" t="s">
        <v>74</v>
      </c>
      <c r="D1780" s="743" t="s">
        <v>3663</v>
      </c>
      <c r="E1780" s="669" t="s">
        <v>3468</v>
      </c>
      <c r="F1780" s="334"/>
      <c r="G1780" s="672">
        <v>44958</v>
      </c>
      <c r="H1780" s="426">
        <v>1146000</v>
      </c>
      <c r="I1780" s="744"/>
      <c r="J1780" s="744"/>
      <c r="K1780" s="354">
        <f t="shared" si="323"/>
        <v>1146000</v>
      </c>
      <c r="L1780" s="672">
        <v>44958</v>
      </c>
      <c r="M1780" s="742">
        <v>20234</v>
      </c>
      <c r="N1780" s="352">
        <f t="shared" si="325"/>
        <v>1125766</v>
      </c>
      <c r="O1780" s="357">
        <f t="shared" si="322"/>
        <v>425</v>
      </c>
      <c r="P1780" s="410">
        <v>9</v>
      </c>
      <c r="Q1780" s="358">
        <f t="shared" si="327"/>
        <v>1.1643835616438356</v>
      </c>
      <c r="R1780" s="359">
        <f t="shared" si="328"/>
        <v>7.8356164383561646</v>
      </c>
      <c r="S1780" s="360">
        <f t="shared" si="329"/>
        <v>7.8356164383561646</v>
      </c>
      <c r="T1780" s="361">
        <f t="shared" si="330"/>
        <v>0.10555555555555554</v>
      </c>
      <c r="U1780" s="362">
        <f t="shared" si="331"/>
        <v>120966.66666666666</v>
      </c>
      <c r="V1780" s="362">
        <f t="shared" si="332"/>
        <v>1004799.3333333334</v>
      </c>
      <c r="W1780" s="362">
        <f t="shared" si="333"/>
        <v>57300</v>
      </c>
      <c r="X1780" s="742">
        <f t="shared" si="324"/>
        <v>947499.33333333337</v>
      </c>
    </row>
    <row r="1781" spans="1:24" ht="13.9">
      <c r="A1781" s="349">
        <f t="shared" si="326"/>
        <v>1773</v>
      </c>
      <c r="B1781" s="669" t="s">
        <v>3467</v>
      </c>
      <c r="C1781" s="666" t="s">
        <v>74</v>
      </c>
      <c r="D1781" s="743" t="s">
        <v>3663</v>
      </c>
      <c r="E1781" s="669" t="s">
        <v>403</v>
      </c>
      <c r="F1781" s="334"/>
      <c r="G1781" s="672">
        <v>44958</v>
      </c>
      <c r="H1781" s="426">
        <v>1344500</v>
      </c>
      <c r="I1781" s="744"/>
      <c r="J1781" s="744"/>
      <c r="K1781" s="354">
        <f t="shared" si="323"/>
        <v>1344500</v>
      </c>
      <c r="L1781" s="672">
        <v>44958</v>
      </c>
      <c r="M1781" s="742">
        <v>23739</v>
      </c>
      <c r="N1781" s="352">
        <f t="shared" si="325"/>
        <v>1320761</v>
      </c>
      <c r="O1781" s="357">
        <f t="shared" si="322"/>
        <v>425</v>
      </c>
      <c r="P1781" s="410">
        <v>9</v>
      </c>
      <c r="Q1781" s="358">
        <f t="shared" si="327"/>
        <v>1.1643835616438356</v>
      </c>
      <c r="R1781" s="359">
        <f t="shared" si="328"/>
        <v>7.8356164383561646</v>
      </c>
      <c r="S1781" s="360">
        <f t="shared" si="329"/>
        <v>7.8356164383561646</v>
      </c>
      <c r="T1781" s="361">
        <f t="shared" si="330"/>
        <v>0.10555555555555554</v>
      </c>
      <c r="U1781" s="362">
        <f t="shared" si="331"/>
        <v>141919.44444444444</v>
      </c>
      <c r="V1781" s="362">
        <f t="shared" si="332"/>
        <v>1178841.5555555555</v>
      </c>
      <c r="W1781" s="362">
        <f t="shared" si="333"/>
        <v>67225</v>
      </c>
      <c r="X1781" s="742">
        <f t="shared" si="324"/>
        <v>1111616.5555555555</v>
      </c>
    </row>
    <row r="1782" spans="1:24" ht="13.9">
      <c r="A1782" s="349">
        <f t="shared" si="326"/>
        <v>1774</v>
      </c>
      <c r="B1782" s="669" t="s">
        <v>3465</v>
      </c>
      <c r="C1782" s="666" t="s">
        <v>74</v>
      </c>
      <c r="D1782" s="743" t="s">
        <v>3663</v>
      </c>
      <c r="E1782" s="669" t="s">
        <v>765</v>
      </c>
      <c r="F1782" s="334"/>
      <c r="G1782" s="672">
        <v>44972</v>
      </c>
      <c r="H1782" s="426">
        <v>145200</v>
      </c>
      <c r="I1782" s="744"/>
      <c r="J1782" s="744"/>
      <c r="K1782" s="354">
        <f t="shared" si="323"/>
        <v>145200</v>
      </c>
      <c r="L1782" s="672">
        <v>44972</v>
      </c>
      <c r="M1782" s="742">
        <v>1945</v>
      </c>
      <c r="N1782" s="352">
        <f t="shared" si="325"/>
        <v>143255</v>
      </c>
      <c r="O1782" s="357">
        <f t="shared" si="322"/>
        <v>411</v>
      </c>
      <c r="P1782" s="410">
        <v>9</v>
      </c>
      <c r="Q1782" s="358">
        <f t="shared" si="327"/>
        <v>1.1260273972602739</v>
      </c>
      <c r="R1782" s="359">
        <f t="shared" si="328"/>
        <v>7.8739726027397259</v>
      </c>
      <c r="S1782" s="360">
        <f t="shared" si="329"/>
        <v>7.8739726027397259</v>
      </c>
      <c r="T1782" s="361">
        <f t="shared" si="330"/>
        <v>0.10555555555555554</v>
      </c>
      <c r="U1782" s="362">
        <f t="shared" si="331"/>
        <v>15326.666666666664</v>
      </c>
      <c r="V1782" s="362">
        <f t="shared" si="332"/>
        <v>127928.33333333334</v>
      </c>
      <c r="W1782" s="362">
        <f t="shared" si="333"/>
        <v>7260</v>
      </c>
      <c r="X1782" s="742">
        <f t="shared" si="324"/>
        <v>120668.33333333334</v>
      </c>
    </row>
    <row r="1783" spans="1:24" ht="13.9">
      <c r="A1783" s="349">
        <f t="shared" si="326"/>
        <v>1775</v>
      </c>
      <c r="B1783" s="669" t="s">
        <v>328</v>
      </c>
      <c r="C1783" s="666" t="s">
        <v>74</v>
      </c>
      <c r="D1783" s="743" t="s">
        <v>3663</v>
      </c>
      <c r="E1783" s="669" t="s">
        <v>758</v>
      </c>
      <c r="F1783" s="334"/>
      <c r="G1783" s="672">
        <v>45009</v>
      </c>
      <c r="H1783" s="426">
        <v>35810.199999999997</v>
      </c>
      <c r="I1783" s="744"/>
      <c r="J1783" s="744"/>
      <c r="K1783" s="354">
        <f t="shared" si="323"/>
        <v>35810.199999999997</v>
      </c>
      <c r="L1783" s="672">
        <v>45009</v>
      </c>
      <c r="M1783" s="742">
        <v>76</v>
      </c>
      <c r="N1783" s="352">
        <f t="shared" si="325"/>
        <v>35734.199999999997</v>
      </c>
      <c r="O1783" s="357">
        <f t="shared" si="322"/>
        <v>374</v>
      </c>
      <c r="P1783" s="410">
        <v>9</v>
      </c>
      <c r="Q1783" s="358">
        <f t="shared" si="327"/>
        <v>1.0246575342465754</v>
      </c>
      <c r="R1783" s="359">
        <f t="shared" si="328"/>
        <v>7.9753424657534246</v>
      </c>
      <c r="S1783" s="360">
        <f t="shared" si="329"/>
        <v>7.9753424657534246</v>
      </c>
      <c r="T1783" s="361">
        <f t="shared" si="330"/>
        <v>0.10555555555555554</v>
      </c>
      <c r="U1783" s="362">
        <f t="shared" si="331"/>
        <v>3779.9655555555546</v>
      </c>
      <c r="V1783" s="362">
        <f t="shared" si="332"/>
        <v>31954.234444444442</v>
      </c>
      <c r="W1783" s="362">
        <f t="shared" si="333"/>
        <v>1791</v>
      </c>
      <c r="X1783" s="742">
        <f t="shared" si="324"/>
        <v>30163.234444444442</v>
      </c>
    </row>
    <row r="1784" spans="1:24" ht="13.9">
      <c r="A1784" s="349">
        <f t="shared" si="326"/>
        <v>1776</v>
      </c>
      <c r="B1784" s="669" t="s">
        <v>328</v>
      </c>
      <c r="C1784" s="666" t="s">
        <v>74</v>
      </c>
      <c r="D1784" s="743" t="s">
        <v>3663</v>
      </c>
      <c r="E1784" s="669" t="s">
        <v>758</v>
      </c>
      <c r="F1784" s="334"/>
      <c r="G1784" s="672">
        <v>45009</v>
      </c>
      <c r="H1784" s="426">
        <v>125950</v>
      </c>
      <c r="I1784" s="744"/>
      <c r="J1784" s="744"/>
      <c r="K1784" s="354">
        <f t="shared" si="323"/>
        <v>125950</v>
      </c>
      <c r="L1784" s="672">
        <v>45009</v>
      </c>
      <c r="M1784" s="742">
        <v>268</v>
      </c>
      <c r="N1784" s="352">
        <f t="shared" si="325"/>
        <v>125682</v>
      </c>
      <c r="O1784" s="357">
        <f t="shared" si="322"/>
        <v>374</v>
      </c>
      <c r="P1784" s="410">
        <v>9</v>
      </c>
      <c r="Q1784" s="358">
        <f t="shared" si="327"/>
        <v>1.0246575342465754</v>
      </c>
      <c r="R1784" s="359">
        <f t="shared" si="328"/>
        <v>7.9753424657534246</v>
      </c>
      <c r="S1784" s="360">
        <f t="shared" si="329"/>
        <v>7.9753424657534246</v>
      </c>
      <c r="T1784" s="361">
        <f t="shared" si="330"/>
        <v>0.10555555555555554</v>
      </c>
      <c r="U1784" s="362">
        <f t="shared" si="331"/>
        <v>13294.722222222221</v>
      </c>
      <c r="V1784" s="362">
        <f t="shared" si="332"/>
        <v>112387.27777777778</v>
      </c>
      <c r="W1784" s="362">
        <f t="shared" si="333"/>
        <v>6298</v>
      </c>
      <c r="X1784" s="742">
        <f t="shared" si="324"/>
        <v>106089.27777777778</v>
      </c>
    </row>
    <row r="1785" spans="1:24" ht="13.9">
      <c r="A1785" s="349">
        <f t="shared" si="326"/>
        <v>1777</v>
      </c>
      <c r="B1785" s="669" t="s">
        <v>564</v>
      </c>
      <c r="C1785" s="666" t="s">
        <v>74</v>
      </c>
      <c r="D1785" s="743" t="s">
        <v>3663</v>
      </c>
      <c r="E1785" s="669" t="s">
        <v>180</v>
      </c>
      <c r="F1785" s="334"/>
      <c r="G1785" s="672">
        <v>44985</v>
      </c>
      <c r="H1785" s="426">
        <v>750000</v>
      </c>
      <c r="I1785" s="744"/>
      <c r="J1785" s="744"/>
      <c r="K1785" s="354">
        <f t="shared" si="323"/>
        <v>750000</v>
      </c>
      <c r="L1785" s="672">
        <v>44985</v>
      </c>
      <c r="M1785" s="742">
        <v>7078</v>
      </c>
      <c r="N1785" s="352">
        <f t="shared" si="325"/>
        <v>742922</v>
      </c>
      <c r="O1785" s="357">
        <f t="shared" si="322"/>
        <v>398</v>
      </c>
      <c r="P1785" s="410">
        <v>9</v>
      </c>
      <c r="Q1785" s="358">
        <f t="shared" si="327"/>
        <v>1.0904109589041096</v>
      </c>
      <c r="R1785" s="359">
        <f t="shared" si="328"/>
        <v>7.9095890410958907</v>
      </c>
      <c r="S1785" s="360">
        <f t="shared" si="329"/>
        <v>7.9095890410958907</v>
      </c>
      <c r="T1785" s="361">
        <f t="shared" si="330"/>
        <v>0.10555555555555554</v>
      </c>
      <c r="U1785" s="362">
        <f t="shared" si="331"/>
        <v>79166.666666666657</v>
      </c>
      <c r="V1785" s="362">
        <f t="shared" si="332"/>
        <v>663755.33333333337</v>
      </c>
      <c r="W1785" s="362">
        <f t="shared" si="333"/>
        <v>37500</v>
      </c>
      <c r="X1785" s="742">
        <f t="shared" si="324"/>
        <v>626255.33333333337</v>
      </c>
    </row>
    <row r="1786" spans="1:24" ht="13.9">
      <c r="A1786" s="349">
        <f t="shared" si="326"/>
        <v>1778</v>
      </c>
      <c r="B1786" s="684" t="s">
        <v>331</v>
      </c>
      <c r="C1786" s="695" t="s">
        <v>20</v>
      </c>
      <c r="D1786" s="743" t="s">
        <v>3663</v>
      </c>
      <c r="E1786" s="684" t="s">
        <v>180</v>
      </c>
      <c r="F1786" s="334"/>
      <c r="G1786" s="657">
        <v>44777</v>
      </c>
      <c r="H1786" s="426">
        <v>1440000</v>
      </c>
      <c r="I1786" s="744"/>
      <c r="J1786" s="744"/>
      <c r="K1786" s="354">
        <f t="shared" si="323"/>
        <v>1440000</v>
      </c>
      <c r="L1786" s="657">
        <v>44777</v>
      </c>
      <c r="M1786" s="742">
        <v>104767</v>
      </c>
      <c r="N1786" s="352">
        <f t="shared" si="325"/>
        <v>1335233</v>
      </c>
      <c r="O1786" s="357">
        <f t="shared" si="322"/>
        <v>606</v>
      </c>
      <c r="P1786" s="410">
        <v>9</v>
      </c>
      <c r="Q1786" s="358">
        <f t="shared" si="327"/>
        <v>1.6602739726027398</v>
      </c>
      <c r="R1786" s="359">
        <f t="shared" si="328"/>
        <v>7.3397260273972602</v>
      </c>
      <c r="S1786" s="360">
        <f t="shared" si="329"/>
        <v>7.3397260273972602</v>
      </c>
      <c r="T1786" s="361">
        <f t="shared" si="330"/>
        <v>0.10555555555555554</v>
      </c>
      <c r="U1786" s="362">
        <f t="shared" si="331"/>
        <v>151999.99999999997</v>
      </c>
      <c r="V1786" s="362">
        <f t="shared" si="332"/>
        <v>1183233</v>
      </c>
      <c r="W1786" s="362">
        <f t="shared" si="333"/>
        <v>72000</v>
      </c>
      <c r="X1786" s="742">
        <f t="shared" si="324"/>
        <v>1111233</v>
      </c>
    </row>
    <row r="1787" spans="1:24" ht="13.9">
      <c r="A1787" s="349">
        <f t="shared" si="326"/>
        <v>1779</v>
      </c>
      <c r="B1787" s="665" t="s">
        <v>60</v>
      </c>
      <c r="C1787" s="666" t="s">
        <v>28</v>
      </c>
      <c r="D1787" s="743" t="s">
        <v>3663</v>
      </c>
      <c r="E1787" s="665" t="s">
        <v>169</v>
      </c>
      <c r="F1787" s="334"/>
      <c r="G1787" s="668">
        <v>44659</v>
      </c>
      <c r="H1787" s="426">
        <v>24600</v>
      </c>
      <c r="I1787" s="744"/>
      <c r="J1787" s="744"/>
      <c r="K1787" s="354">
        <f t="shared" si="323"/>
        <v>24600</v>
      </c>
      <c r="L1787" s="668">
        <v>44659</v>
      </c>
      <c r="M1787" s="742">
        <v>2673</v>
      </c>
      <c r="N1787" s="352">
        <f t="shared" si="325"/>
        <v>21927</v>
      </c>
      <c r="O1787" s="357">
        <f t="shared" si="322"/>
        <v>724</v>
      </c>
      <c r="P1787" s="410">
        <v>9</v>
      </c>
      <c r="Q1787" s="358">
        <f t="shared" si="327"/>
        <v>1.9835616438356165</v>
      </c>
      <c r="R1787" s="359">
        <f t="shared" si="328"/>
        <v>7.0164383561643833</v>
      </c>
      <c r="S1787" s="360">
        <f t="shared" si="329"/>
        <v>7.0164383561643833</v>
      </c>
      <c r="T1787" s="361">
        <f t="shared" si="330"/>
        <v>0.10555555555555554</v>
      </c>
      <c r="U1787" s="362">
        <f t="shared" si="331"/>
        <v>2596.6666666666665</v>
      </c>
      <c r="V1787" s="362">
        <f t="shared" si="332"/>
        <v>19330.333333333332</v>
      </c>
      <c r="W1787" s="362">
        <f t="shared" si="333"/>
        <v>1230</v>
      </c>
      <c r="X1787" s="742">
        <f t="shared" si="324"/>
        <v>18100.333333333332</v>
      </c>
    </row>
    <row r="1788" spans="1:24" ht="13.9">
      <c r="A1788" s="349">
        <f t="shared" si="326"/>
        <v>1780</v>
      </c>
      <c r="B1788" s="665" t="s">
        <v>60</v>
      </c>
      <c r="C1788" s="666" t="s">
        <v>28</v>
      </c>
      <c r="D1788" s="743" t="s">
        <v>3663</v>
      </c>
      <c r="E1788" s="665" t="s">
        <v>169</v>
      </c>
      <c r="F1788" s="334"/>
      <c r="G1788" s="668">
        <v>44697</v>
      </c>
      <c r="H1788" s="426">
        <v>53800</v>
      </c>
      <c r="I1788" s="744"/>
      <c r="J1788" s="744"/>
      <c r="K1788" s="354">
        <f t="shared" si="323"/>
        <v>53800</v>
      </c>
      <c r="L1788" s="668">
        <v>44697</v>
      </c>
      <c r="M1788" s="742">
        <v>5224</v>
      </c>
      <c r="N1788" s="352">
        <f t="shared" si="325"/>
        <v>48576</v>
      </c>
      <c r="O1788" s="357">
        <f t="shared" si="322"/>
        <v>686</v>
      </c>
      <c r="P1788" s="410">
        <v>9</v>
      </c>
      <c r="Q1788" s="358">
        <f t="shared" si="327"/>
        <v>1.8794520547945206</v>
      </c>
      <c r="R1788" s="359">
        <f t="shared" si="328"/>
        <v>7.1205479452054794</v>
      </c>
      <c r="S1788" s="360">
        <f t="shared" si="329"/>
        <v>7.1205479452054794</v>
      </c>
      <c r="T1788" s="361">
        <f t="shared" si="330"/>
        <v>0.10555555555555554</v>
      </c>
      <c r="U1788" s="362">
        <f t="shared" si="331"/>
        <v>5678.8888888888878</v>
      </c>
      <c r="V1788" s="362">
        <f t="shared" si="332"/>
        <v>42897.111111111109</v>
      </c>
      <c r="W1788" s="362">
        <f t="shared" si="333"/>
        <v>2690</v>
      </c>
      <c r="X1788" s="742">
        <f t="shared" si="324"/>
        <v>40207.111111111109</v>
      </c>
    </row>
    <row r="1789" spans="1:24" ht="13.9">
      <c r="A1789" s="349">
        <f t="shared" si="326"/>
        <v>1781</v>
      </c>
      <c r="B1789" s="684" t="s">
        <v>60</v>
      </c>
      <c r="C1789" s="695" t="s">
        <v>28</v>
      </c>
      <c r="D1789" s="743" t="s">
        <v>3663</v>
      </c>
      <c r="E1789" s="684" t="s">
        <v>169</v>
      </c>
      <c r="F1789" s="334"/>
      <c r="G1789" s="657">
        <v>44782</v>
      </c>
      <c r="H1789" s="426">
        <v>66000</v>
      </c>
      <c r="I1789" s="744"/>
      <c r="J1789" s="744"/>
      <c r="K1789" s="354">
        <f t="shared" si="323"/>
        <v>66000</v>
      </c>
      <c r="L1789" s="657">
        <v>44782</v>
      </c>
      <c r="M1789" s="742">
        <v>4701</v>
      </c>
      <c r="N1789" s="352">
        <f t="shared" si="325"/>
        <v>61299</v>
      </c>
      <c r="O1789" s="357">
        <f t="shared" si="322"/>
        <v>601</v>
      </c>
      <c r="P1789" s="410">
        <v>9</v>
      </c>
      <c r="Q1789" s="358">
        <f t="shared" si="327"/>
        <v>1.6465753424657534</v>
      </c>
      <c r="R1789" s="359">
        <f t="shared" si="328"/>
        <v>7.3534246575342461</v>
      </c>
      <c r="S1789" s="360">
        <f t="shared" si="329"/>
        <v>7.3534246575342461</v>
      </c>
      <c r="T1789" s="361">
        <f t="shared" si="330"/>
        <v>0.10555555555555554</v>
      </c>
      <c r="U1789" s="362">
        <f t="shared" si="331"/>
        <v>6966.6666666666661</v>
      </c>
      <c r="V1789" s="362">
        <f t="shared" si="332"/>
        <v>54332.333333333336</v>
      </c>
      <c r="W1789" s="362">
        <f t="shared" si="333"/>
        <v>3300</v>
      </c>
      <c r="X1789" s="742">
        <f t="shared" si="324"/>
        <v>51032.333333333336</v>
      </c>
    </row>
    <row r="1790" spans="1:24" ht="13.9">
      <c r="A1790" s="349">
        <f t="shared" si="326"/>
        <v>1782</v>
      </c>
      <c r="B1790" s="684" t="s">
        <v>60</v>
      </c>
      <c r="C1790" s="695" t="s">
        <v>28</v>
      </c>
      <c r="D1790" s="743" t="s">
        <v>3663</v>
      </c>
      <c r="E1790" s="684" t="s">
        <v>423</v>
      </c>
      <c r="F1790" s="334"/>
      <c r="G1790" s="657">
        <v>44782</v>
      </c>
      <c r="H1790" s="426">
        <v>15390</v>
      </c>
      <c r="I1790" s="744"/>
      <c r="J1790" s="744"/>
      <c r="K1790" s="354">
        <f t="shared" si="323"/>
        <v>15390</v>
      </c>
      <c r="L1790" s="657">
        <v>44782</v>
      </c>
      <c r="M1790" s="742">
        <v>1096</v>
      </c>
      <c r="N1790" s="352">
        <f t="shared" si="325"/>
        <v>14294</v>
      </c>
      <c r="O1790" s="357">
        <f t="shared" si="322"/>
        <v>601</v>
      </c>
      <c r="P1790" s="410">
        <v>9</v>
      </c>
      <c r="Q1790" s="358">
        <f t="shared" si="327"/>
        <v>1.6465753424657534</v>
      </c>
      <c r="R1790" s="359">
        <f t="shared" si="328"/>
        <v>7.3534246575342461</v>
      </c>
      <c r="S1790" s="360">
        <f t="shared" si="329"/>
        <v>7.3534246575342461</v>
      </c>
      <c r="T1790" s="361">
        <f t="shared" si="330"/>
        <v>0.10555555555555554</v>
      </c>
      <c r="U1790" s="362">
        <f t="shared" si="331"/>
        <v>1624.4999999999998</v>
      </c>
      <c r="V1790" s="362">
        <f t="shared" si="332"/>
        <v>12669.5</v>
      </c>
      <c r="W1790" s="362">
        <f t="shared" si="333"/>
        <v>770</v>
      </c>
      <c r="X1790" s="742">
        <f t="shared" si="324"/>
        <v>11899.5</v>
      </c>
    </row>
    <row r="1791" spans="1:24" ht="13.9">
      <c r="A1791" s="349">
        <f t="shared" si="326"/>
        <v>1783</v>
      </c>
      <c r="B1791" s="699" t="s">
        <v>60</v>
      </c>
      <c r="C1791" s="704" t="s">
        <v>28</v>
      </c>
      <c r="D1791" s="743" t="s">
        <v>3663</v>
      </c>
      <c r="E1791" s="699" t="s">
        <v>169</v>
      </c>
      <c r="F1791" s="334"/>
      <c r="G1791" s="657">
        <v>44889</v>
      </c>
      <c r="H1791" s="426">
        <v>49200</v>
      </c>
      <c r="I1791" s="744"/>
      <c r="J1791" s="744"/>
      <c r="K1791" s="354">
        <f t="shared" si="323"/>
        <v>49200</v>
      </c>
      <c r="L1791" s="657">
        <v>44889</v>
      </c>
      <c r="M1791" s="742">
        <v>1902</v>
      </c>
      <c r="N1791" s="352">
        <f t="shared" si="325"/>
        <v>47298</v>
      </c>
      <c r="O1791" s="357">
        <f t="shared" si="322"/>
        <v>494</v>
      </c>
      <c r="P1791" s="410">
        <v>9</v>
      </c>
      <c r="Q1791" s="358">
        <f t="shared" si="327"/>
        <v>1.3534246575342466</v>
      </c>
      <c r="R1791" s="359">
        <f t="shared" si="328"/>
        <v>7.6465753424657539</v>
      </c>
      <c r="S1791" s="360">
        <f t="shared" si="329"/>
        <v>7.6465753424657539</v>
      </c>
      <c r="T1791" s="361">
        <f t="shared" si="330"/>
        <v>0.10555555555555554</v>
      </c>
      <c r="U1791" s="362">
        <f t="shared" si="331"/>
        <v>5193.333333333333</v>
      </c>
      <c r="V1791" s="362">
        <f t="shared" si="332"/>
        <v>42104.666666666664</v>
      </c>
      <c r="W1791" s="362">
        <f t="shared" si="333"/>
        <v>2460</v>
      </c>
      <c r="X1791" s="742">
        <f t="shared" si="324"/>
        <v>39644.666666666664</v>
      </c>
    </row>
    <row r="1792" spans="1:24" ht="13.9">
      <c r="A1792" s="349">
        <f t="shared" si="326"/>
        <v>1784</v>
      </c>
      <c r="B1792" s="699" t="s">
        <v>60</v>
      </c>
      <c r="C1792" s="704" t="s">
        <v>28</v>
      </c>
      <c r="D1792" s="743" t="s">
        <v>3663</v>
      </c>
      <c r="E1792" s="699" t="s">
        <v>169</v>
      </c>
      <c r="F1792" s="334"/>
      <c r="G1792" s="657">
        <v>44919</v>
      </c>
      <c r="H1792" s="426">
        <v>8880</v>
      </c>
      <c r="I1792" s="744"/>
      <c r="J1792" s="744"/>
      <c r="K1792" s="354">
        <f t="shared" si="323"/>
        <v>8880</v>
      </c>
      <c r="L1792" s="657">
        <v>44919</v>
      </c>
      <c r="M1792" s="742">
        <v>262</v>
      </c>
      <c r="N1792" s="352">
        <f t="shared" si="325"/>
        <v>8618</v>
      </c>
      <c r="O1792" s="357">
        <f t="shared" si="322"/>
        <v>464</v>
      </c>
      <c r="P1792" s="410">
        <v>9</v>
      </c>
      <c r="Q1792" s="358">
        <f t="shared" si="327"/>
        <v>1.2712328767123289</v>
      </c>
      <c r="R1792" s="359">
        <f t="shared" si="328"/>
        <v>7.7287671232876711</v>
      </c>
      <c r="S1792" s="360">
        <f t="shared" si="329"/>
        <v>7.7287671232876711</v>
      </c>
      <c r="T1792" s="361">
        <f t="shared" si="330"/>
        <v>0.10555555555555554</v>
      </c>
      <c r="U1792" s="362">
        <f t="shared" si="331"/>
        <v>937.33333333333326</v>
      </c>
      <c r="V1792" s="362">
        <f t="shared" si="332"/>
        <v>7680.666666666667</v>
      </c>
      <c r="W1792" s="362">
        <f t="shared" si="333"/>
        <v>444</v>
      </c>
      <c r="X1792" s="742">
        <f t="shared" si="324"/>
        <v>7236.666666666667</v>
      </c>
    </row>
    <row r="1793" spans="1:24" ht="13.9">
      <c r="A1793" s="349">
        <f t="shared" si="326"/>
        <v>1785</v>
      </c>
      <c r="B1793" s="669" t="s">
        <v>60</v>
      </c>
      <c r="C1793" s="681" t="s">
        <v>28</v>
      </c>
      <c r="D1793" s="743" t="s">
        <v>3663</v>
      </c>
      <c r="E1793" s="669" t="s">
        <v>169</v>
      </c>
      <c r="F1793" s="334"/>
      <c r="G1793" s="672">
        <v>45009</v>
      </c>
      <c r="H1793" s="426">
        <v>29175</v>
      </c>
      <c r="I1793" s="744"/>
      <c r="J1793" s="744"/>
      <c r="K1793" s="354">
        <f t="shared" si="323"/>
        <v>29175</v>
      </c>
      <c r="L1793" s="672">
        <v>45009</v>
      </c>
      <c r="M1793" s="742">
        <v>62</v>
      </c>
      <c r="N1793" s="352">
        <f t="shared" si="325"/>
        <v>29113</v>
      </c>
      <c r="O1793" s="357">
        <f t="shared" si="322"/>
        <v>374</v>
      </c>
      <c r="P1793" s="410">
        <v>9</v>
      </c>
      <c r="Q1793" s="358">
        <f t="shared" si="327"/>
        <v>1.0246575342465754</v>
      </c>
      <c r="R1793" s="359">
        <f t="shared" si="328"/>
        <v>7.9753424657534246</v>
      </c>
      <c r="S1793" s="360">
        <f t="shared" si="329"/>
        <v>7.9753424657534246</v>
      </c>
      <c r="T1793" s="361">
        <f t="shared" si="330"/>
        <v>0.10555555555555554</v>
      </c>
      <c r="U1793" s="362">
        <f t="shared" si="331"/>
        <v>3079.583333333333</v>
      </c>
      <c r="V1793" s="362">
        <f t="shared" si="332"/>
        <v>26033.416666666668</v>
      </c>
      <c r="W1793" s="362">
        <f t="shared" si="333"/>
        <v>1459</v>
      </c>
      <c r="X1793" s="742">
        <f t="shared" si="324"/>
        <v>24574.416666666668</v>
      </c>
    </row>
    <row r="1794" spans="1:24" ht="13.9">
      <c r="A1794" s="910">
        <f t="shared" si="326"/>
        <v>1786</v>
      </c>
      <c r="B1794" s="928" t="s">
        <v>3636</v>
      </c>
      <c r="C1794" s="929" t="s">
        <v>28</v>
      </c>
      <c r="D1794" s="930" t="s">
        <v>3663</v>
      </c>
      <c r="E1794" s="928" t="s">
        <v>3637</v>
      </c>
      <c r="F1794" s="931"/>
      <c r="G1794" s="932">
        <v>45016</v>
      </c>
      <c r="H1794" s="933">
        <v>1000000</v>
      </c>
      <c r="I1794" s="934"/>
      <c r="J1794" s="934">
        <v>1000000</v>
      </c>
      <c r="K1794" s="917">
        <f t="shared" si="323"/>
        <v>0</v>
      </c>
      <c r="L1794" s="932">
        <v>45016</v>
      </c>
      <c r="M1794" s="919">
        <v>0</v>
      </c>
      <c r="N1794" s="388">
        <f t="shared" si="325"/>
        <v>0</v>
      </c>
      <c r="O1794" s="920">
        <f t="shared" si="322"/>
        <v>367</v>
      </c>
      <c r="P1794" s="921">
        <v>9</v>
      </c>
      <c r="Q1794" s="922">
        <f t="shared" si="327"/>
        <v>1.0054794520547945</v>
      </c>
      <c r="R1794" s="923">
        <f t="shared" si="328"/>
        <v>7.9945205479452053</v>
      </c>
      <c r="S1794" s="924">
        <f t="shared" si="329"/>
        <v>7.9945205479452053</v>
      </c>
      <c r="T1794" s="925">
        <f t="shared" si="330"/>
        <v>0.10555555555555554</v>
      </c>
      <c r="U1794" s="926">
        <f t="shared" si="331"/>
        <v>0</v>
      </c>
      <c r="V1794" s="926">
        <f t="shared" si="332"/>
        <v>0</v>
      </c>
      <c r="W1794" s="926">
        <v>0</v>
      </c>
      <c r="X1794" s="919">
        <f t="shared" si="324"/>
        <v>0</v>
      </c>
    </row>
    <row r="1795" spans="1:24" ht="13.9">
      <c r="A1795" s="910">
        <f t="shared" si="326"/>
        <v>1787</v>
      </c>
      <c r="B1795" s="928" t="s">
        <v>3636</v>
      </c>
      <c r="C1795" s="929" t="s">
        <v>28</v>
      </c>
      <c r="D1795" s="930" t="s">
        <v>3663</v>
      </c>
      <c r="E1795" s="928" t="s">
        <v>3637</v>
      </c>
      <c r="F1795" s="931"/>
      <c r="G1795" s="932">
        <v>45016</v>
      </c>
      <c r="H1795" s="933">
        <v>1000000</v>
      </c>
      <c r="I1795" s="934"/>
      <c r="J1795" s="934">
        <v>1000000</v>
      </c>
      <c r="K1795" s="917">
        <f t="shared" si="323"/>
        <v>0</v>
      </c>
      <c r="L1795" s="932">
        <v>45016</v>
      </c>
      <c r="M1795" s="919">
        <v>0</v>
      </c>
      <c r="N1795" s="388">
        <f t="shared" si="325"/>
        <v>0</v>
      </c>
      <c r="O1795" s="920">
        <f t="shared" ref="O1795:O1839" si="334">+$O$3-L1795+1</f>
        <v>367</v>
      </c>
      <c r="P1795" s="921">
        <v>9</v>
      </c>
      <c r="Q1795" s="922">
        <f t="shared" si="327"/>
        <v>1.0054794520547945</v>
      </c>
      <c r="R1795" s="923">
        <f t="shared" si="328"/>
        <v>7.9945205479452053</v>
      </c>
      <c r="S1795" s="924">
        <f t="shared" si="329"/>
        <v>7.9945205479452053</v>
      </c>
      <c r="T1795" s="925">
        <f t="shared" si="330"/>
        <v>0.10555555555555554</v>
      </c>
      <c r="U1795" s="926">
        <f t="shared" si="331"/>
        <v>0</v>
      </c>
      <c r="V1795" s="926">
        <f t="shared" si="332"/>
        <v>0</v>
      </c>
      <c r="W1795" s="926">
        <v>0</v>
      </c>
      <c r="X1795" s="919">
        <f t="shared" si="324"/>
        <v>0</v>
      </c>
    </row>
    <row r="1796" spans="1:24" ht="13.9">
      <c r="A1796" s="910">
        <f t="shared" si="326"/>
        <v>1788</v>
      </c>
      <c r="B1796" s="928" t="s">
        <v>3638</v>
      </c>
      <c r="C1796" s="929" t="s">
        <v>28</v>
      </c>
      <c r="D1796" s="930" t="s">
        <v>3663</v>
      </c>
      <c r="E1796" s="928" t="s">
        <v>3637</v>
      </c>
      <c r="F1796" s="931"/>
      <c r="G1796" s="932">
        <v>45016</v>
      </c>
      <c r="H1796" s="933">
        <v>100000</v>
      </c>
      <c r="I1796" s="934"/>
      <c r="J1796" s="934">
        <v>100000</v>
      </c>
      <c r="K1796" s="917">
        <f t="shared" ref="K1796:K1839" si="335">+H1796+I1796-J1796</f>
        <v>0</v>
      </c>
      <c r="L1796" s="932">
        <v>45016</v>
      </c>
      <c r="M1796" s="919">
        <v>0</v>
      </c>
      <c r="N1796" s="388">
        <f t="shared" si="325"/>
        <v>0</v>
      </c>
      <c r="O1796" s="920">
        <f t="shared" si="334"/>
        <v>367</v>
      </c>
      <c r="P1796" s="921">
        <v>9</v>
      </c>
      <c r="Q1796" s="922">
        <f t="shared" si="327"/>
        <v>1.0054794520547945</v>
      </c>
      <c r="R1796" s="923">
        <f t="shared" si="328"/>
        <v>7.9945205479452053</v>
      </c>
      <c r="S1796" s="924">
        <f t="shared" si="329"/>
        <v>7.9945205479452053</v>
      </c>
      <c r="T1796" s="925">
        <f t="shared" si="330"/>
        <v>0.10555555555555554</v>
      </c>
      <c r="U1796" s="926">
        <f t="shared" si="331"/>
        <v>0</v>
      </c>
      <c r="V1796" s="926">
        <f t="shared" si="332"/>
        <v>0</v>
      </c>
      <c r="W1796" s="926">
        <v>0</v>
      </c>
      <c r="X1796" s="919">
        <f t="shared" ref="X1796:X1840" si="336">+V1796-W1796</f>
        <v>0</v>
      </c>
    </row>
    <row r="1797" spans="1:24" ht="13.9">
      <c r="A1797" s="910">
        <f t="shared" si="326"/>
        <v>1789</v>
      </c>
      <c r="B1797" s="928" t="s">
        <v>3638</v>
      </c>
      <c r="C1797" s="929" t="s">
        <v>28</v>
      </c>
      <c r="D1797" s="930" t="s">
        <v>3663</v>
      </c>
      <c r="E1797" s="928" t="s">
        <v>3637</v>
      </c>
      <c r="F1797" s="931"/>
      <c r="G1797" s="932">
        <v>45016</v>
      </c>
      <c r="H1797" s="933">
        <v>500000</v>
      </c>
      <c r="I1797" s="934"/>
      <c r="J1797" s="934">
        <v>500000</v>
      </c>
      <c r="K1797" s="917">
        <f t="shared" si="335"/>
        <v>0</v>
      </c>
      <c r="L1797" s="932">
        <v>45016</v>
      </c>
      <c r="M1797" s="919">
        <v>0</v>
      </c>
      <c r="N1797" s="388">
        <f t="shared" si="325"/>
        <v>0</v>
      </c>
      <c r="O1797" s="920">
        <f t="shared" si="334"/>
        <v>367</v>
      </c>
      <c r="P1797" s="921">
        <v>9</v>
      </c>
      <c r="Q1797" s="922">
        <f t="shared" si="327"/>
        <v>1.0054794520547945</v>
      </c>
      <c r="R1797" s="923">
        <f t="shared" si="328"/>
        <v>7.9945205479452053</v>
      </c>
      <c r="S1797" s="924">
        <f t="shared" si="329"/>
        <v>7.9945205479452053</v>
      </c>
      <c r="T1797" s="925">
        <f t="shared" si="330"/>
        <v>0.10555555555555554</v>
      </c>
      <c r="U1797" s="926">
        <f t="shared" si="331"/>
        <v>0</v>
      </c>
      <c r="V1797" s="926">
        <f t="shared" si="332"/>
        <v>0</v>
      </c>
      <c r="W1797" s="926">
        <v>0</v>
      </c>
      <c r="X1797" s="919">
        <f t="shared" si="336"/>
        <v>0</v>
      </c>
    </row>
    <row r="1798" spans="1:24" ht="13.9">
      <c r="A1798" s="349">
        <f t="shared" si="326"/>
        <v>1790</v>
      </c>
      <c r="B1798" s="665" t="s">
        <v>70</v>
      </c>
      <c r="C1798" s="666" t="s">
        <v>21</v>
      </c>
      <c r="D1798" s="743" t="s">
        <v>3663</v>
      </c>
      <c r="E1798" s="665" t="s">
        <v>177</v>
      </c>
      <c r="F1798" s="334"/>
      <c r="G1798" s="687">
        <v>44656</v>
      </c>
      <c r="H1798" s="426">
        <v>13020</v>
      </c>
      <c r="I1798" s="744"/>
      <c r="J1798" s="744"/>
      <c r="K1798" s="354">
        <f t="shared" si="335"/>
        <v>13020</v>
      </c>
      <c r="L1798" s="687">
        <v>44656</v>
      </c>
      <c r="M1798" s="742">
        <v>1427</v>
      </c>
      <c r="N1798" s="352">
        <f t="shared" ref="N1798:N1839" si="337">+K1798-M1798</f>
        <v>11593</v>
      </c>
      <c r="O1798" s="357">
        <f t="shared" si="334"/>
        <v>727</v>
      </c>
      <c r="P1798" s="410">
        <v>9</v>
      </c>
      <c r="Q1798" s="358">
        <f t="shared" si="327"/>
        <v>1.9917808219178081</v>
      </c>
      <c r="R1798" s="359">
        <f t="shared" si="328"/>
        <v>7.0082191780821921</v>
      </c>
      <c r="S1798" s="360">
        <f t="shared" si="329"/>
        <v>7.0082191780821921</v>
      </c>
      <c r="T1798" s="361">
        <f t="shared" si="330"/>
        <v>0.10555555555555554</v>
      </c>
      <c r="U1798" s="362">
        <f t="shared" si="331"/>
        <v>1374.3333333333333</v>
      </c>
      <c r="V1798" s="362">
        <f t="shared" si="332"/>
        <v>10218.666666666666</v>
      </c>
      <c r="W1798" s="362">
        <f t="shared" si="333"/>
        <v>651</v>
      </c>
      <c r="X1798" s="742">
        <f t="shared" si="336"/>
        <v>9567.6666666666661</v>
      </c>
    </row>
    <row r="1799" spans="1:24" ht="13.9">
      <c r="A1799" s="349">
        <f t="shared" si="326"/>
        <v>1791</v>
      </c>
      <c r="B1799" s="665" t="s">
        <v>70</v>
      </c>
      <c r="C1799" s="666" t="s">
        <v>21</v>
      </c>
      <c r="D1799" s="743" t="s">
        <v>3663</v>
      </c>
      <c r="E1799" s="665" t="s">
        <v>177</v>
      </c>
      <c r="F1799" s="334"/>
      <c r="G1799" s="687">
        <v>44663</v>
      </c>
      <c r="H1799" s="426">
        <v>40880</v>
      </c>
      <c r="I1799" s="744"/>
      <c r="J1799" s="744"/>
      <c r="K1799" s="354">
        <f t="shared" si="335"/>
        <v>40880</v>
      </c>
      <c r="L1799" s="687">
        <v>44663</v>
      </c>
      <c r="M1799" s="742">
        <v>4393</v>
      </c>
      <c r="N1799" s="352">
        <f t="shared" si="337"/>
        <v>36487</v>
      </c>
      <c r="O1799" s="357">
        <f t="shared" si="334"/>
        <v>720</v>
      </c>
      <c r="P1799" s="410">
        <v>9</v>
      </c>
      <c r="Q1799" s="358">
        <f t="shared" si="327"/>
        <v>1.9726027397260273</v>
      </c>
      <c r="R1799" s="359">
        <f t="shared" si="328"/>
        <v>7.0273972602739727</v>
      </c>
      <c r="S1799" s="360">
        <f t="shared" si="329"/>
        <v>7.0273972602739727</v>
      </c>
      <c r="T1799" s="361">
        <f t="shared" si="330"/>
        <v>0.10555555555555554</v>
      </c>
      <c r="U1799" s="362">
        <f t="shared" si="331"/>
        <v>4315.1111111111104</v>
      </c>
      <c r="V1799" s="362">
        <f t="shared" si="332"/>
        <v>32171.888888888891</v>
      </c>
      <c r="W1799" s="362">
        <f t="shared" si="333"/>
        <v>2044</v>
      </c>
      <c r="X1799" s="742">
        <f t="shared" si="336"/>
        <v>30127.888888888891</v>
      </c>
    </row>
    <row r="1800" spans="1:24" ht="13.9">
      <c r="A1800" s="349">
        <f t="shared" si="326"/>
        <v>1792</v>
      </c>
      <c r="B1800" s="665" t="s">
        <v>71</v>
      </c>
      <c r="C1800" s="666" t="s">
        <v>21</v>
      </c>
      <c r="D1800" s="743" t="s">
        <v>3663</v>
      </c>
      <c r="E1800" s="665" t="s">
        <v>179</v>
      </c>
      <c r="F1800" s="334"/>
      <c r="G1800" s="668">
        <v>44656</v>
      </c>
      <c r="H1800" s="426">
        <v>2914062.5</v>
      </c>
      <c r="I1800" s="744"/>
      <c r="J1800" s="744"/>
      <c r="K1800" s="354">
        <f t="shared" si="335"/>
        <v>2914062.5</v>
      </c>
      <c r="L1800" s="668">
        <v>44656</v>
      </c>
      <c r="M1800" s="742">
        <v>319349</v>
      </c>
      <c r="N1800" s="352">
        <f t="shared" si="337"/>
        <v>2594713.5</v>
      </c>
      <c r="O1800" s="357">
        <f t="shared" si="334"/>
        <v>727</v>
      </c>
      <c r="P1800" s="410">
        <v>9</v>
      </c>
      <c r="Q1800" s="358">
        <f t="shared" si="327"/>
        <v>1.9917808219178081</v>
      </c>
      <c r="R1800" s="359">
        <f t="shared" si="328"/>
        <v>7.0082191780821921</v>
      </c>
      <c r="S1800" s="360">
        <f t="shared" si="329"/>
        <v>7.0082191780821921</v>
      </c>
      <c r="T1800" s="361">
        <f t="shared" si="330"/>
        <v>0.10555555555555554</v>
      </c>
      <c r="U1800" s="362">
        <f t="shared" si="331"/>
        <v>307595.48611111107</v>
      </c>
      <c r="V1800" s="362">
        <f t="shared" si="332"/>
        <v>2287118.013888889</v>
      </c>
      <c r="W1800" s="362">
        <f t="shared" si="333"/>
        <v>145703</v>
      </c>
      <c r="X1800" s="742">
        <f t="shared" si="336"/>
        <v>2141415.013888889</v>
      </c>
    </row>
    <row r="1801" spans="1:24" ht="13.9">
      <c r="A1801" s="349">
        <f t="shared" ref="A1801:A1839" si="338">+A1800+1</f>
        <v>1793</v>
      </c>
      <c r="B1801" s="665" t="s">
        <v>71</v>
      </c>
      <c r="C1801" s="666" t="s">
        <v>21</v>
      </c>
      <c r="D1801" s="743" t="s">
        <v>3663</v>
      </c>
      <c r="E1801" s="665" t="s">
        <v>179</v>
      </c>
      <c r="F1801" s="334"/>
      <c r="G1801" s="657">
        <v>44656</v>
      </c>
      <c r="H1801" s="426">
        <v>2914062.5</v>
      </c>
      <c r="I1801" s="744"/>
      <c r="J1801" s="744"/>
      <c r="K1801" s="354">
        <f t="shared" si="335"/>
        <v>2914062.5</v>
      </c>
      <c r="L1801" s="657">
        <v>44656</v>
      </c>
      <c r="M1801" s="742">
        <v>319349</v>
      </c>
      <c r="N1801" s="352">
        <f t="shared" si="337"/>
        <v>2594713.5</v>
      </c>
      <c r="O1801" s="357">
        <f t="shared" si="334"/>
        <v>727</v>
      </c>
      <c r="P1801" s="410">
        <v>9</v>
      </c>
      <c r="Q1801" s="358">
        <f t="shared" si="327"/>
        <v>1.9917808219178081</v>
      </c>
      <c r="R1801" s="359">
        <f t="shared" si="328"/>
        <v>7.0082191780821921</v>
      </c>
      <c r="S1801" s="360">
        <f t="shared" si="329"/>
        <v>7.0082191780821921</v>
      </c>
      <c r="T1801" s="361">
        <f t="shared" si="330"/>
        <v>0.10555555555555554</v>
      </c>
      <c r="U1801" s="362">
        <f t="shared" si="331"/>
        <v>307595.48611111107</v>
      </c>
      <c r="V1801" s="362">
        <f t="shared" si="332"/>
        <v>2287118.013888889</v>
      </c>
      <c r="W1801" s="362">
        <f t="shared" si="333"/>
        <v>145703</v>
      </c>
      <c r="X1801" s="742">
        <f t="shared" si="336"/>
        <v>2141415.013888889</v>
      </c>
    </row>
    <row r="1802" spans="1:24" ht="13.9">
      <c r="A1802" s="349">
        <f t="shared" si="338"/>
        <v>1794</v>
      </c>
      <c r="B1802" s="665" t="s">
        <v>71</v>
      </c>
      <c r="C1802" s="666" t="s">
        <v>21</v>
      </c>
      <c r="D1802" s="743" t="s">
        <v>3663</v>
      </c>
      <c r="E1802" s="665" t="s">
        <v>179</v>
      </c>
      <c r="F1802" s="334"/>
      <c r="G1802" s="657">
        <v>44656</v>
      </c>
      <c r="H1802" s="426">
        <v>2914062.5</v>
      </c>
      <c r="I1802" s="744"/>
      <c r="J1802" s="744"/>
      <c r="K1802" s="354">
        <f t="shared" si="335"/>
        <v>2914062.5</v>
      </c>
      <c r="L1802" s="657">
        <v>44656</v>
      </c>
      <c r="M1802" s="742">
        <v>319349</v>
      </c>
      <c r="N1802" s="352">
        <f t="shared" si="337"/>
        <v>2594713.5</v>
      </c>
      <c r="O1802" s="357">
        <f t="shared" si="334"/>
        <v>727</v>
      </c>
      <c r="P1802" s="410">
        <v>9</v>
      </c>
      <c r="Q1802" s="358">
        <f t="shared" si="327"/>
        <v>1.9917808219178081</v>
      </c>
      <c r="R1802" s="359">
        <f t="shared" si="328"/>
        <v>7.0082191780821921</v>
      </c>
      <c r="S1802" s="360">
        <f t="shared" si="329"/>
        <v>7.0082191780821921</v>
      </c>
      <c r="T1802" s="361">
        <f t="shared" si="330"/>
        <v>0.10555555555555554</v>
      </c>
      <c r="U1802" s="362">
        <f t="shared" si="331"/>
        <v>307595.48611111107</v>
      </c>
      <c r="V1802" s="362">
        <f t="shared" si="332"/>
        <v>2287118.013888889</v>
      </c>
      <c r="W1802" s="362">
        <f t="shared" si="333"/>
        <v>145703</v>
      </c>
      <c r="X1802" s="742">
        <f t="shared" si="336"/>
        <v>2141415.013888889</v>
      </c>
    </row>
    <row r="1803" spans="1:24" ht="13.9">
      <c r="A1803" s="349">
        <f t="shared" si="338"/>
        <v>1795</v>
      </c>
      <c r="B1803" s="665" t="s">
        <v>71</v>
      </c>
      <c r="C1803" s="666" t="s">
        <v>21</v>
      </c>
      <c r="D1803" s="743" t="s">
        <v>3663</v>
      </c>
      <c r="E1803" s="665" t="s">
        <v>179</v>
      </c>
      <c r="F1803" s="334"/>
      <c r="G1803" s="657">
        <v>44656</v>
      </c>
      <c r="H1803" s="426">
        <v>2914062.5</v>
      </c>
      <c r="I1803" s="744"/>
      <c r="J1803" s="744"/>
      <c r="K1803" s="354">
        <f t="shared" si="335"/>
        <v>2914062.5</v>
      </c>
      <c r="L1803" s="657">
        <v>44656</v>
      </c>
      <c r="M1803" s="742">
        <v>319349</v>
      </c>
      <c r="N1803" s="352">
        <f t="shared" si="337"/>
        <v>2594713.5</v>
      </c>
      <c r="O1803" s="357">
        <f t="shared" si="334"/>
        <v>727</v>
      </c>
      <c r="P1803" s="410">
        <v>9</v>
      </c>
      <c r="Q1803" s="358">
        <f t="shared" si="327"/>
        <v>1.9917808219178081</v>
      </c>
      <c r="R1803" s="359">
        <f t="shared" si="328"/>
        <v>7.0082191780821921</v>
      </c>
      <c r="S1803" s="360">
        <f t="shared" si="329"/>
        <v>7.0082191780821921</v>
      </c>
      <c r="T1803" s="361">
        <f t="shared" si="330"/>
        <v>0.10555555555555554</v>
      </c>
      <c r="U1803" s="362">
        <f t="shared" si="331"/>
        <v>307595.48611111107</v>
      </c>
      <c r="V1803" s="362">
        <f t="shared" si="332"/>
        <v>2287118.013888889</v>
      </c>
      <c r="W1803" s="362">
        <f t="shared" si="333"/>
        <v>145703</v>
      </c>
      <c r="X1803" s="742">
        <f t="shared" si="336"/>
        <v>2141415.013888889</v>
      </c>
    </row>
    <row r="1804" spans="1:24" ht="13.9">
      <c r="A1804" s="349">
        <f t="shared" si="338"/>
        <v>1796</v>
      </c>
      <c r="B1804" s="665" t="s">
        <v>71</v>
      </c>
      <c r="C1804" s="666" t="s">
        <v>21</v>
      </c>
      <c r="D1804" s="743" t="s">
        <v>3663</v>
      </c>
      <c r="E1804" s="665" t="s">
        <v>179</v>
      </c>
      <c r="F1804" s="334"/>
      <c r="G1804" s="657">
        <v>44656</v>
      </c>
      <c r="H1804" s="426">
        <v>2914062.5</v>
      </c>
      <c r="I1804" s="744"/>
      <c r="J1804" s="744"/>
      <c r="K1804" s="354">
        <f t="shared" si="335"/>
        <v>2914062.5</v>
      </c>
      <c r="L1804" s="657">
        <v>44656</v>
      </c>
      <c r="M1804" s="742">
        <v>319349</v>
      </c>
      <c r="N1804" s="352">
        <f t="shared" si="337"/>
        <v>2594713.5</v>
      </c>
      <c r="O1804" s="357">
        <f t="shared" si="334"/>
        <v>727</v>
      </c>
      <c r="P1804" s="410">
        <v>9</v>
      </c>
      <c r="Q1804" s="358">
        <f t="shared" si="327"/>
        <v>1.9917808219178081</v>
      </c>
      <c r="R1804" s="359">
        <f t="shared" si="328"/>
        <v>7.0082191780821921</v>
      </c>
      <c r="S1804" s="360">
        <f t="shared" si="329"/>
        <v>7.0082191780821921</v>
      </c>
      <c r="T1804" s="361">
        <f t="shared" si="330"/>
        <v>0.10555555555555554</v>
      </c>
      <c r="U1804" s="362">
        <f t="shared" si="331"/>
        <v>307595.48611111107</v>
      </c>
      <c r="V1804" s="362">
        <f t="shared" si="332"/>
        <v>2287118.013888889</v>
      </c>
      <c r="W1804" s="362">
        <f t="shared" si="333"/>
        <v>145703</v>
      </c>
      <c r="X1804" s="742">
        <f t="shared" si="336"/>
        <v>2141415.013888889</v>
      </c>
    </row>
    <row r="1805" spans="1:24" ht="13.9">
      <c r="A1805" s="349">
        <f t="shared" si="338"/>
        <v>1797</v>
      </c>
      <c r="B1805" s="665" t="s">
        <v>71</v>
      </c>
      <c r="C1805" s="666" t="s">
        <v>21</v>
      </c>
      <c r="D1805" s="743" t="s">
        <v>3663</v>
      </c>
      <c r="E1805" s="665" t="s">
        <v>179</v>
      </c>
      <c r="F1805" s="334"/>
      <c r="G1805" s="657">
        <v>44656</v>
      </c>
      <c r="H1805" s="426">
        <v>2914062.5</v>
      </c>
      <c r="I1805" s="744"/>
      <c r="J1805" s="744"/>
      <c r="K1805" s="354">
        <f t="shared" si="335"/>
        <v>2914062.5</v>
      </c>
      <c r="L1805" s="657">
        <v>44656</v>
      </c>
      <c r="M1805" s="742">
        <v>319349</v>
      </c>
      <c r="N1805" s="352">
        <f t="shared" si="337"/>
        <v>2594713.5</v>
      </c>
      <c r="O1805" s="357">
        <f t="shared" si="334"/>
        <v>727</v>
      </c>
      <c r="P1805" s="410">
        <v>9</v>
      </c>
      <c r="Q1805" s="358">
        <f t="shared" si="327"/>
        <v>1.9917808219178081</v>
      </c>
      <c r="R1805" s="359">
        <f t="shared" si="328"/>
        <v>7.0082191780821921</v>
      </c>
      <c r="S1805" s="360">
        <f t="shared" si="329"/>
        <v>7.0082191780821921</v>
      </c>
      <c r="T1805" s="361">
        <f t="shared" si="330"/>
        <v>0.10555555555555554</v>
      </c>
      <c r="U1805" s="362">
        <f t="shared" si="331"/>
        <v>307595.48611111107</v>
      </c>
      <c r="V1805" s="362">
        <f t="shared" si="332"/>
        <v>2287118.013888889</v>
      </c>
      <c r="W1805" s="362">
        <f t="shared" si="333"/>
        <v>145703</v>
      </c>
      <c r="X1805" s="742">
        <f t="shared" si="336"/>
        <v>2141415.013888889</v>
      </c>
    </row>
    <row r="1806" spans="1:24" ht="13.9">
      <c r="A1806" s="349">
        <f t="shared" si="338"/>
        <v>1798</v>
      </c>
      <c r="B1806" s="665" t="s">
        <v>71</v>
      </c>
      <c r="C1806" s="666" t="s">
        <v>21</v>
      </c>
      <c r="D1806" s="743" t="s">
        <v>3663</v>
      </c>
      <c r="E1806" s="665" t="s">
        <v>179</v>
      </c>
      <c r="F1806" s="334"/>
      <c r="G1806" s="657">
        <v>44656</v>
      </c>
      <c r="H1806" s="426">
        <v>2914062.5</v>
      </c>
      <c r="I1806" s="744"/>
      <c r="J1806" s="744"/>
      <c r="K1806" s="354">
        <f t="shared" si="335"/>
        <v>2914062.5</v>
      </c>
      <c r="L1806" s="657">
        <v>44656</v>
      </c>
      <c r="M1806" s="742">
        <v>319349</v>
      </c>
      <c r="N1806" s="352">
        <f t="shared" si="337"/>
        <v>2594713.5</v>
      </c>
      <c r="O1806" s="357">
        <f t="shared" si="334"/>
        <v>727</v>
      </c>
      <c r="P1806" s="410">
        <v>9</v>
      </c>
      <c r="Q1806" s="358">
        <f t="shared" ref="Q1806:Q1839" si="339">+O1806/365</f>
        <v>1.9917808219178081</v>
      </c>
      <c r="R1806" s="359">
        <f t="shared" ref="R1806:R1839" si="340">+P1806-Q1806</f>
        <v>7.0082191780821921</v>
      </c>
      <c r="S1806" s="360">
        <f t="shared" ref="S1806:S1839" si="341">IF(R1806&lt;0,0,IF(R1806&gt;365,365,R1806))</f>
        <v>7.0082191780821921</v>
      </c>
      <c r="T1806" s="361">
        <f t="shared" ref="T1806:T1839" si="342">1/P1806*0.95</f>
        <v>0.10555555555555554</v>
      </c>
      <c r="U1806" s="362">
        <f t="shared" ref="U1806:U1839" si="343">+K1806*T1806</f>
        <v>307595.48611111107</v>
      </c>
      <c r="V1806" s="362">
        <f t="shared" ref="V1806:V1839" si="344">+N1806-U1806</f>
        <v>2287118.013888889</v>
      </c>
      <c r="W1806" s="362">
        <f t="shared" ref="W1806:W1839" si="345">ROUND(+H1806*5%,0)</f>
        <v>145703</v>
      </c>
      <c r="X1806" s="742">
        <f t="shared" si="336"/>
        <v>2141415.013888889</v>
      </c>
    </row>
    <row r="1807" spans="1:24" ht="13.9">
      <c r="A1807" s="349">
        <f t="shared" si="338"/>
        <v>1799</v>
      </c>
      <c r="B1807" s="665" t="s">
        <v>71</v>
      </c>
      <c r="C1807" s="666" t="s">
        <v>21</v>
      </c>
      <c r="D1807" s="743" t="s">
        <v>3663</v>
      </c>
      <c r="E1807" s="665" t="s">
        <v>179</v>
      </c>
      <c r="F1807" s="334"/>
      <c r="G1807" s="657">
        <v>44656</v>
      </c>
      <c r="H1807" s="426">
        <v>2914062.5</v>
      </c>
      <c r="I1807" s="744"/>
      <c r="J1807" s="744"/>
      <c r="K1807" s="354">
        <f t="shared" si="335"/>
        <v>2914062.5</v>
      </c>
      <c r="L1807" s="657">
        <v>44656</v>
      </c>
      <c r="M1807" s="742">
        <v>319349</v>
      </c>
      <c r="N1807" s="352">
        <f t="shared" si="337"/>
        <v>2594713.5</v>
      </c>
      <c r="O1807" s="357">
        <f t="shared" si="334"/>
        <v>727</v>
      </c>
      <c r="P1807" s="410">
        <v>9</v>
      </c>
      <c r="Q1807" s="358">
        <f t="shared" si="339"/>
        <v>1.9917808219178081</v>
      </c>
      <c r="R1807" s="359">
        <f t="shared" si="340"/>
        <v>7.0082191780821921</v>
      </c>
      <c r="S1807" s="360">
        <f t="shared" si="341"/>
        <v>7.0082191780821921</v>
      </c>
      <c r="T1807" s="361">
        <f t="shared" si="342"/>
        <v>0.10555555555555554</v>
      </c>
      <c r="U1807" s="362">
        <f t="shared" si="343"/>
        <v>307595.48611111107</v>
      </c>
      <c r="V1807" s="362">
        <f t="shared" si="344"/>
        <v>2287118.013888889</v>
      </c>
      <c r="W1807" s="362">
        <f t="shared" si="345"/>
        <v>145703</v>
      </c>
      <c r="X1807" s="742">
        <f t="shared" si="336"/>
        <v>2141415.013888889</v>
      </c>
    </row>
    <row r="1808" spans="1:24" ht="13.9">
      <c r="A1808" s="349">
        <f t="shared" si="338"/>
        <v>1800</v>
      </c>
      <c r="B1808" s="665" t="s">
        <v>71</v>
      </c>
      <c r="C1808" s="666" t="s">
        <v>21</v>
      </c>
      <c r="D1808" s="743" t="s">
        <v>3663</v>
      </c>
      <c r="E1808" s="665" t="s">
        <v>179</v>
      </c>
      <c r="F1808" s="334"/>
      <c r="G1808" s="657">
        <v>44656</v>
      </c>
      <c r="H1808" s="426">
        <v>2914062.5</v>
      </c>
      <c r="I1808" s="744"/>
      <c r="J1808" s="744"/>
      <c r="K1808" s="354">
        <f t="shared" si="335"/>
        <v>2914062.5</v>
      </c>
      <c r="L1808" s="657">
        <v>44656</v>
      </c>
      <c r="M1808" s="742">
        <v>319349</v>
      </c>
      <c r="N1808" s="352">
        <f t="shared" si="337"/>
        <v>2594713.5</v>
      </c>
      <c r="O1808" s="357">
        <f t="shared" si="334"/>
        <v>727</v>
      </c>
      <c r="P1808" s="410">
        <v>9</v>
      </c>
      <c r="Q1808" s="358">
        <f t="shared" si="339"/>
        <v>1.9917808219178081</v>
      </c>
      <c r="R1808" s="359">
        <f t="shared" si="340"/>
        <v>7.0082191780821921</v>
      </c>
      <c r="S1808" s="360">
        <f t="shared" si="341"/>
        <v>7.0082191780821921</v>
      </c>
      <c r="T1808" s="361">
        <f t="shared" si="342"/>
        <v>0.10555555555555554</v>
      </c>
      <c r="U1808" s="362">
        <f t="shared" si="343"/>
        <v>307595.48611111107</v>
      </c>
      <c r="V1808" s="362">
        <f t="shared" si="344"/>
        <v>2287118.013888889</v>
      </c>
      <c r="W1808" s="362">
        <f t="shared" si="345"/>
        <v>145703</v>
      </c>
      <c r="X1808" s="742">
        <f t="shared" si="336"/>
        <v>2141415.013888889</v>
      </c>
    </row>
    <row r="1809" spans="1:24" ht="13.9">
      <c r="A1809" s="349">
        <f t="shared" si="338"/>
        <v>1801</v>
      </c>
      <c r="B1809" s="665" t="s">
        <v>71</v>
      </c>
      <c r="C1809" s="666" t="s">
        <v>21</v>
      </c>
      <c r="D1809" s="743" t="s">
        <v>3663</v>
      </c>
      <c r="E1809" s="665" t="s">
        <v>179</v>
      </c>
      <c r="F1809" s="334"/>
      <c r="G1809" s="657">
        <v>44656</v>
      </c>
      <c r="H1809" s="426">
        <v>2914062.5</v>
      </c>
      <c r="I1809" s="744"/>
      <c r="J1809" s="744"/>
      <c r="K1809" s="354">
        <f t="shared" si="335"/>
        <v>2914062.5</v>
      </c>
      <c r="L1809" s="657">
        <v>44656</v>
      </c>
      <c r="M1809" s="742">
        <v>319349</v>
      </c>
      <c r="N1809" s="352">
        <f t="shared" si="337"/>
        <v>2594713.5</v>
      </c>
      <c r="O1809" s="357">
        <f t="shared" si="334"/>
        <v>727</v>
      </c>
      <c r="P1809" s="410">
        <v>9</v>
      </c>
      <c r="Q1809" s="358">
        <f t="shared" si="339"/>
        <v>1.9917808219178081</v>
      </c>
      <c r="R1809" s="359">
        <f t="shared" si="340"/>
        <v>7.0082191780821921</v>
      </c>
      <c r="S1809" s="360">
        <f t="shared" si="341"/>
        <v>7.0082191780821921</v>
      </c>
      <c r="T1809" s="361">
        <f t="shared" si="342"/>
        <v>0.10555555555555554</v>
      </c>
      <c r="U1809" s="362">
        <f t="shared" si="343"/>
        <v>307595.48611111107</v>
      </c>
      <c r="V1809" s="362">
        <f t="shared" si="344"/>
        <v>2287118.013888889</v>
      </c>
      <c r="W1809" s="362">
        <f t="shared" si="345"/>
        <v>145703</v>
      </c>
      <c r="X1809" s="742">
        <f t="shared" si="336"/>
        <v>2141415.013888889</v>
      </c>
    </row>
    <row r="1810" spans="1:24" ht="13.9">
      <c r="A1810" s="349">
        <f t="shared" si="338"/>
        <v>1802</v>
      </c>
      <c r="B1810" s="665" t="s">
        <v>71</v>
      </c>
      <c r="C1810" s="666" t="s">
        <v>21</v>
      </c>
      <c r="D1810" s="743" t="s">
        <v>3663</v>
      </c>
      <c r="E1810" s="665" t="s">
        <v>179</v>
      </c>
      <c r="F1810" s="334"/>
      <c r="G1810" s="657">
        <v>44656</v>
      </c>
      <c r="H1810" s="426">
        <v>2914062.5</v>
      </c>
      <c r="I1810" s="744"/>
      <c r="J1810" s="744"/>
      <c r="K1810" s="354">
        <f t="shared" si="335"/>
        <v>2914062.5</v>
      </c>
      <c r="L1810" s="657">
        <v>44656</v>
      </c>
      <c r="M1810" s="742">
        <v>319349</v>
      </c>
      <c r="N1810" s="352">
        <f t="shared" si="337"/>
        <v>2594713.5</v>
      </c>
      <c r="O1810" s="357">
        <f t="shared" si="334"/>
        <v>727</v>
      </c>
      <c r="P1810" s="410">
        <v>9</v>
      </c>
      <c r="Q1810" s="358">
        <f t="shared" si="339"/>
        <v>1.9917808219178081</v>
      </c>
      <c r="R1810" s="359">
        <f t="shared" si="340"/>
        <v>7.0082191780821921</v>
      </c>
      <c r="S1810" s="360">
        <f t="shared" si="341"/>
        <v>7.0082191780821921</v>
      </c>
      <c r="T1810" s="361">
        <f t="shared" si="342"/>
        <v>0.10555555555555554</v>
      </c>
      <c r="U1810" s="362">
        <f t="shared" si="343"/>
        <v>307595.48611111107</v>
      </c>
      <c r="V1810" s="362">
        <f t="shared" si="344"/>
        <v>2287118.013888889</v>
      </c>
      <c r="W1810" s="362">
        <f t="shared" si="345"/>
        <v>145703</v>
      </c>
      <c r="X1810" s="742">
        <f t="shared" si="336"/>
        <v>2141415.013888889</v>
      </c>
    </row>
    <row r="1811" spans="1:24" ht="13.9">
      <c r="A1811" s="349">
        <f t="shared" si="338"/>
        <v>1803</v>
      </c>
      <c r="B1811" s="665" t="s">
        <v>71</v>
      </c>
      <c r="C1811" s="666" t="s">
        <v>21</v>
      </c>
      <c r="D1811" s="743" t="s">
        <v>3663</v>
      </c>
      <c r="E1811" s="665" t="s">
        <v>179</v>
      </c>
      <c r="F1811" s="334"/>
      <c r="G1811" s="657">
        <v>44656</v>
      </c>
      <c r="H1811" s="426">
        <v>2914062.5</v>
      </c>
      <c r="I1811" s="744"/>
      <c r="J1811" s="744"/>
      <c r="K1811" s="354">
        <f t="shared" si="335"/>
        <v>2914062.5</v>
      </c>
      <c r="L1811" s="657">
        <v>44656</v>
      </c>
      <c r="M1811" s="742">
        <v>319349</v>
      </c>
      <c r="N1811" s="352">
        <f t="shared" si="337"/>
        <v>2594713.5</v>
      </c>
      <c r="O1811" s="357">
        <f t="shared" si="334"/>
        <v>727</v>
      </c>
      <c r="P1811" s="410">
        <v>9</v>
      </c>
      <c r="Q1811" s="358">
        <f t="shared" si="339"/>
        <v>1.9917808219178081</v>
      </c>
      <c r="R1811" s="359">
        <f t="shared" si="340"/>
        <v>7.0082191780821921</v>
      </c>
      <c r="S1811" s="360">
        <f t="shared" si="341"/>
        <v>7.0082191780821921</v>
      </c>
      <c r="T1811" s="361">
        <f t="shared" si="342"/>
        <v>0.10555555555555554</v>
      </c>
      <c r="U1811" s="362">
        <f t="shared" si="343"/>
        <v>307595.48611111107</v>
      </c>
      <c r="V1811" s="362">
        <f t="shared" si="344"/>
        <v>2287118.013888889</v>
      </c>
      <c r="W1811" s="362">
        <f t="shared" si="345"/>
        <v>145703</v>
      </c>
      <c r="X1811" s="742">
        <f t="shared" si="336"/>
        <v>2141415.013888889</v>
      </c>
    </row>
    <row r="1812" spans="1:24" ht="13.9">
      <c r="A1812" s="349">
        <f t="shared" si="338"/>
        <v>1804</v>
      </c>
      <c r="B1812" s="665" t="s">
        <v>71</v>
      </c>
      <c r="C1812" s="666" t="s">
        <v>21</v>
      </c>
      <c r="D1812" s="743" t="s">
        <v>3663</v>
      </c>
      <c r="E1812" s="665" t="s">
        <v>179</v>
      </c>
      <c r="F1812" s="334"/>
      <c r="G1812" s="657">
        <v>44656</v>
      </c>
      <c r="H1812" s="426">
        <v>2914062.5</v>
      </c>
      <c r="I1812" s="744"/>
      <c r="J1812" s="744"/>
      <c r="K1812" s="354">
        <f t="shared" si="335"/>
        <v>2914062.5</v>
      </c>
      <c r="L1812" s="657">
        <v>44656</v>
      </c>
      <c r="M1812" s="742">
        <v>319349</v>
      </c>
      <c r="N1812" s="352">
        <f t="shared" si="337"/>
        <v>2594713.5</v>
      </c>
      <c r="O1812" s="357">
        <f t="shared" si="334"/>
        <v>727</v>
      </c>
      <c r="P1812" s="410">
        <v>9</v>
      </c>
      <c r="Q1812" s="358">
        <f t="shared" si="339"/>
        <v>1.9917808219178081</v>
      </c>
      <c r="R1812" s="359">
        <f t="shared" si="340"/>
        <v>7.0082191780821921</v>
      </c>
      <c r="S1812" s="360">
        <f t="shared" si="341"/>
        <v>7.0082191780821921</v>
      </c>
      <c r="T1812" s="361">
        <f t="shared" si="342"/>
        <v>0.10555555555555554</v>
      </c>
      <c r="U1812" s="362">
        <f t="shared" si="343"/>
        <v>307595.48611111107</v>
      </c>
      <c r="V1812" s="362">
        <f t="shared" si="344"/>
        <v>2287118.013888889</v>
      </c>
      <c r="W1812" s="362">
        <f t="shared" si="345"/>
        <v>145703</v>
      </c>
      <c r="X1812" s="742">
        <f t="shared" si="336"/>
        <v>2141415.013888889</v>
      </c>
    </row>
    <row r="1813" spans="1:24" ht="13.9">
      <c r="A1813" s="349">
        <f t="shared" si="338"/>
        <v>1805</v>
      </c>
      <c r="B1813" s="665" t="s">
        <v>71</v>
      </c>
      <c r="C1813" s="666" t="s">
        <v>21</v>
      </c>
      <c r="D1813" s="743" t="s">
        <v>3663</v>
      </c>
      <c r="E1813" s="665" t="s">
        <v>179</v>
      </c>
      <c r="F1813" s="334"/>
      <c r="G1813" s="657">
        <v>44656</v>
      </c>
      <c r="H1813" s="426">
        <v>2914062.5</v>
      </c>
      <c r="I1813" s="744"/>
      <c r="J1813" s="744"/>
      <c r="K1813" s="354">
        <f t="shared" si="335"/>
        <v>2914062.5</v>
      </c>
      <c r="L1813" s="657">
        <v>44656</v>
      </c>
      <c r="M1813" s="742">
        <v>319349</v>
      </c>
      <c r="N1813" s="352">
        <f t="shared" si="337"/>
        <v>2594713.5</v>
      </c>
      <c r="O1813" s="357">
        <f t="shared" si="334"/>
        <v>727</v>
      </c>
      <c r="P1813" s="410">
        <v>9</v>
      </c>
      <c r="Q1813" s="358">
        <f t="shared" si="339"/>
        <v>1.9917808219178081</v>
      </c>
      <c r="R1813" s="359">
        <f t="shared" si="340"/>
        <v>7.0082191780821921</v>
      </c>
      <c r="S1813" s="360">
        <f t="shared" si="341"/>
        <v>7.0082191780821921</v>
      </c>
      <c r="T1813" s="361">
        <f t="shared" si="342"/>
        <v>0.10555555555555554</v>
      </c>
      <c r="U1813" s="362">
        <f t="shared" si="343"/>
        <v>307595.48611111107</v>
      </c>
      <c r="V1813" s="362">
        <f t="shared" si="344"/>
        <v>2287118.013888889</v>
      </c>
      <c r="W1813" s="362">
        <f t="shared" si="345"/>
        <v>145703</v>
      </c>
      <c r="X1813" s="742">
        <f t="shared" si="336"/>
        <v>2141415.013888889</v>
      </c>
    </row>
    <row r="1814" spans="1:24" ht="13.9">
      <c r="A1814" s="349">
        <f t="shared" si="338"/>
        <v>1806</v>
      </c>
      <c r="B1814" s="665" t="s">
        <v>71</v>
      </c>
      <c r="C1814" s="666" t="s">
        <v>21</v>
      </c>
      <c r="D1814" s="743" t="s">
        <v>3663</v>
      </c>
      <c r="E1814" s="665" t="s">
        <v>179</v>
      </c>
      <c r="F1814" s="334"/>
      <c r="G1814" s="657">
        <v>44656</v>
      </c>
      <c r="H1814" s="426">
        <v>2914062.5</v>
      </c>
      <c r="I1814" s="744"/>
      <c r="J1814" s="744"/>
      <c r="K1814" s="354">
        <f t="shared" si="335"/>
        <v>2914062.5</v>
      </c>
      <c r="L1814" s="657">
        <v>44656</v>
      </c>
      <c r="M1814" s="742">
        <v>319349</v>
      </c>
      <c r="N1814" s="352">
        <f t="shared" si="337"/>
        <v>2594713.5</v>
      </c>
      <c r="O1814" s="357">
        <f t="shared" si="334"/>
        <v>727</v>
      </c>
      <c r="P1814" s="410">
        <v>9</v>
      </c>
      <c r="Q1814" s="358">
        <f t="shared" si="339"/>
        <v>1.9917808219178081</v>
      </c>
      <c r="R1814" s="359">
        <f t="shared" si="340"/>
        <v>7.0082191780821921</v>
      </c>
      <c r="S1814" s="360">
        <f t="shared" si="341"/>
        <v>7.0082191780821921</v>
      </c>
      <c r="T1814" s="361">
        <f t="shared" si="342"/>
        <v>0.10555555555555554</v>
      </c>
      <c r="U1814" s="362">
        <f t="shared" si="343"/>
        <v>307595.48611111107</v>
      </c>
      <c r="V1814" s="362">
        <f t="shared" si="344"/>
        <v>2287118.013888889</v>
      </c>
      <c r="W1814" s="362">
        <f t="shared" si="345"/>
        <v>145703</v>
      </c>
      <c r="X1814" s="742">
        <f t="shared" si="336"/>
        <v>2141415.013888889</v>
      </c>
    </row>
    <row r="1815" spans="1:24" ht="13.9">
      <c r="A1815" s="349">
        <f t="shared" si="338"/>
        <v>1807</v>
      </c>
      <c r="B1815" s="665" t="s">
        <v>71</v>
      </c>
      <c r="C1815" s="666" t="s">
        <v>21</v>
      </c>
      <c r="D1815" s="743" t="s">
        <v>3663</v>
      </c>
      <c r="E1815" s="665" t="s">
        <v>179</v>
      </c>
      <c r="F1815" s="334"/>
      <c r="G1815" s="657">
        <v>44656</v>
      </c>
      <c r="H1815" s="426">
        <v>2914062.5</v>
      </c>
      <c r="I1815" s="744"/>
      <c r="J1815" s="744"/>
      <c r="K1815" s="354">
        <f t="shared" si="335"/>
        <v>2914062.5</v>
      </c>
      <c r="L1815" s="657">
        <v>44656</v>
      </c>
      <c r="M1815" s="742">
        <v>319349</v>
      </c>
      <c r="N1815" s="352">
        <f t="shared" si="337"/>
        <v>2594713.5</v>
      </c>
      <c r="O1815" s="357">
        <f t="shared" si="334"/>
        <v>727</v>
      </c>
      <c r="P1815" s="410">
        <v>9</v>
      </c>
      <c r="Q1815" s="358">
        <f t="shared" si="339"/>
        <v>1.9917808219178081</v>
      </c>
      <c r="R1815" s="359">
        <f t="shared" si="340"/>
        <v>7.0082191780821921</v>
      </c>
      <c r="S1815" s="360">
        <f t="shared" si="341"/>
        <v>7.0082191780821921</v>
      </c>
      <c r="T1815" s="361">
        <f t="shared" si="342"/>
        <v>0.10555555555555554</v>
      </c>
      <c r="U1815" s="362">
        <f t="shared" si="343"/>
        <v>307595.48611111107</v>
      </c>
      <c r="V1815" s="362">
        <f t="shared" si="344"/>
        <v>2287118.013888889</v>
      </c>
      <c r="W1815" s="362">
        <f t="shared" si="345"/>
        <v>145703</v>
      </c>
      <c r="X1815" s="742">
        <f t="shared" si="336"/>
        <v>2141415.013888889</v>
      </c>
    </row>
    <row r="1816" spans="1:24" ht="13.9">
      <c r="A1816" s="349">
        <f t="shared" si="338"/>
        <v>1808</v>
      </c>
      <c r="B1816" s="665" t="s">
        <v>71</v>
      </c>
      <c r="C1816" s="666" t="s">
        <v>21</v>
      </c>
      <c r="D1816" s="743" t="s">
        <v>3663</v>
      </c>
      <c r="E1816" s="665" t="s">
        <v>179</v>
      </c>
      <c r="F1816" s="334"/>
      <c r="G1816" s="657">
        <v>44656</v>
      </c>
      <c r="H1816" s="426">
        <v>2914062.5</v>
      </c>
      <c r="I1816" s="744"/>
      <c r="J1816" s="744"/>
      <c r="K1816" s="354">
        <f t="shared" si="335"/>
        <v>2914062.5</v>
      </c>
      <c r="L1816" s="657">
        <v>44656</v>
      </c>
      <c r="M1816" s="742">
        <v>319349</v>
      </c>
      <c r="N1816" s="352">
        <f t="shared" si="337"/>
        <v>2594713.5</v>
      </c>
      <c r="O1816" s="357">
        <f t="shared" si="334"/>
        <v>727</v>
      </c>
      <c r="P1816" s="410">
        <v>9</v>
      </c>
      <c r="Q1816" s="358">
        <f t="shared" si="339"/>
        <v>1.9917808219178081</v>
      </c>
      <c r="R1816" s="359">
        <f t="shared" si="340"/>
        <v>7.0082191780821921</v>
      </c>
      <c r="S1816" s="360">
        <f t="shared" si="341"/>
        <v>7.0082191780821921</v>
      </c>
      <c r="T1816" s="361">
        <f t="shared" si="342"/>
        <v>0.10555555555555554</v>
      </c>
      <c r="U1816" s="362">
        <f t="shared" si="343"/>
        <v>307595.48611111107</v>
      </c>
      <c r="V1816" s="362">
        <f t="shared" si="344"/>
        <v>2287118.013888889</v>
      </c>
      <c r="W1816" s="362">
        <f t="shared" si="345"/>
        <v>145703</v>
      </c>
      <c r="X1816" s="742">
        <f t="shared" si="336"/>
        <v>2141415.013888889</v>
      </c>
    </row>
    <row r="1817" spans="1:24" ht="13.9">
      <c r="A1817" s="349">
        <f t="shared" si="338"/>
        <v>1809</v>
      </c>
      <c r="B1817" s="665" t="s">
        <v>71</v>
      </c>
      <c r="C1817" s="666" t="s">
        <v>21</v>
      </c>
      <c r="D1817" s="743" t="s">
        <v>3663</v>
      </c>
      <c r="E1817" s="665" t="s">
        <v>179</v>
      </c>
      <c r="F1817" s="334"/>
      <c r="G1817" s="657">
        <v>44656</v>
      </c>
      <c r="H1817" s="426">
        <v>2914062.5</v>
      </c>
      <c r="I1817" s="744"/>
      <c r="J1817" s="744"/>
      <c r="K1817" s="354">
        <f t="shared" si="335"/>
        <v>2914062.5</v>
      </c>
      <c r="L1817" s="657">
        <v>44656</v>
      </c>
      <c r="M1817" s="742">
        <v>319349</v>
      </c>
      <c r="N1817" s="352">
        <f t="shared" si="337"/>
        <v>2594713.5</v>
      </c>
      <c r="O1817" s="357">
        <f t="shared" si="334"/>
        <v>727</v>
      </c>
      <c r="P1817" s="410">
        <v>9</v>
      </c>
      <c r="Q1817" s="358">
        <f t="shared" si="339"/>
        <v>1.9917808219178081</v>
      </c>
      <c r="R1817" s="359">
        <f t="shared" si="340"/>
        <v>7.0082191780821921</v>
      </c>
      <c r="S1817" s="360">
        <f t="shared" si="341"/>
        <v>7.0082191780821921</v>
      </c>
      <c r="T1817" s="361">
        <f t="shared" si="342"/>
        <v>0.10555555555555554</v>
      </c>
      <c r="U1817" s="362">
        <f t="shared" si="343"/>
        <v>307595.48611111107</v>
      </c>
      <c r="V1817" s="362">
        <f t="shared" si="344"/>
        <v>2287118.013888889</v>
      </c>
      <c r="W1817" s="362">
        <f t="shared" si="345"/>
        <v>145703</v>
      </c>
      <c r="X1817" s="742">
        <f t="shared" si="336"/>
        <v>2141415.013888889</v>
      </c>
    </row>
    <row r="1818" spans="1:24" ht="13.9">
      <c r="A1818" s="349">
        <f t="shared" si="338"/>
        <v>1810</v>
      </c>
      <c r="B1818" s="665" t="s">
        <v>71</v>
      </c>
      <c r="C1818" s="666" t="s">
        <v>21</v>
      </c>
      <c r="D1818" s="743" t="s">
        <v>3663</v>
      </c>
      <c r="E1818" s="665" t="s">
        <v>179</v>
      </c>
      <c r="F1818" s="334"/>
      <c r="G1818" s="657">
        <v>44656</v>
      </c>
      <c r="H1818" s="426">
        <v>2914062.5</v>
      </c>
      <c r="I1818" s="744"/>
      <c r="J1818" s="744"/>
      <c r="K1818" s="354">
        <f t="shared" si="335"/>
        <v>2914062.5</v>
      </c>
      <c r="L1818" s="657">
        <v>44656</v>
      </c>
      <c r="M1818" s="742">
        <v>319349</v>
      </c>
      <c r="N1818" s="352">
        <f t="shared" si="337"/>
        <v>2594713.5</v>
      </c>
      <c r="O1818" s="357">
        <f t="shared" si="334"/>
        <v>727</v>
      </c>
      <c r="P1818" s="410">
        <v>9</v>
      </c>
      <c r="Q1818" s="358">
        <f t="shared" si="339"/>
        <v>1.9917808219178081</v>
      </c>
      <c r="R1818" s="359">
        <f t="shared" si="340"/>
        <v>7.0082191780821921</v>
      </c>
      <c r="S1818" s="360">
        <f t="shared" si="341"/>
        <v>7.0082191780821921</v>
      </c>
      <c r="T1818" s="361">
        <f t="shared" si="342"/>
        <v>0.10555555555555554</v>
      </c>
      <c r="U1818" s="362">
        <f t="shared" si="343"/>
        <v>307595.48611111107</v>
      </c>
      <c r="V1818" s="362">
        <f t="shared" si="344"/>
        <v>2287118.013888889</v>
      </c>
      <c r="W1818" s="362">
        <f t="shared" si="345"/>
        <v>145703</v>
      </c>
      <c r="X1818" s="742">
        <f t="shared" si="336"/>
        <v>2141415.013888889</v>
      </c>
    </row>
    <row r="1819" spans="1:24" ht="13.9">
      <c r="A1819" s="349">
        <f t="shared" si="338"/>
        <v>1811</v>
      </c>
      <c r="B1819" s="665" t="s">
        <v>71</v>
      </c>
      <c r="C1819" s="666" t="s">
        <v>21</v>
      </c>
      <c r="D1819" s="743" t="s">
        <v>3663</v>
      </c>
      <c r="E1819" s="665" t="s">
        <v>179</v>
      </c>
      <c r="F1819" s="334"/>
      <c r="G1819" s="657">
        <v>44656</v>
      </c>
      <c r="H1819" s="426">
        <v>2914062.5</v>
      </c>
      <c r="I1819" s="744"/>
      <c r="J1819" s="744"/>
      <c r="K1819" s="354">
        <f t="shared" si="335"/>
        <v>2914062.5</v>
      </c>
      <c r="L1819" s="657">
        <v>44656</v>
      </c>
      <c r="M1819" s="742">
        <v>319349</v>
      </c>
      <c r="N1819" s="352">
        <f t="shared" si="337"/>
        <v>2594713.5</v>
      </c>
      <c r="O1819" s="357">
        <f t="shared" si="334"/>
        <v>727</v>
      </c>
      <c r="P1819" s="410">
        <v>9</v>
      </c>
      <c r="Q1819" s="358">
        <f t="shared" si="339"/>
        <v>1.9917808219178081</v>
      </c>
      <c r="R1819" s="359">
        <f t="shared" si="340"/>
        <v>7.0082191780821921</v>
      </c>
      <c r="S1819" s="360">
        <f t="shared" si="341"/>
        <v>7.0082191780821921</v>
      </c>
      <c r="T1819" s="361">
        <f t="shared" si="342"/>
        <v>0.10555555555555554</v>
      </c>
      <c r="U1819" s="362">
        <f t="shared" si="343"/>
        <v>307595.48611111107</v>
      </c>
      <c r="V1819" s="362">
        <f t="shared" si="344"/>
        <v>2287118.013888889</v>
      </c>
      <c r="W1819" s="362">
        <f t="shared" si="345"/>
        <v>145703</v>
      </c>
      <c r="X1819" s="742">
        <f t="shared" si="336"/>
        <v>2141415.013888889</v>
      </c>
    </row>
    <row r="1820" spans="1:24" ht="13.9">
      <c r="A1820" s="349">
        <f t="shared" si="338"/>
        <v>1812</v>
      </c>
      <c r="B1820" s="684" t="s">
        <v>332</v>
      </c>
      <c r="C1820" s="695" t="s">
        <v>21</v>
      </c>
      <c r="D1820" s="743" t="s">
        <v>3663</v>
      </c>
      <c r="E1820" s="684" t="s">
        <v>424</v>
      </c>
      <c r="F1820" s="334"/>
      <c r="G1820" s="657">
        <v>44828</v>
      </c>
      <c r="H1820" s="426">
        <v>2640000</v>
      </c>
      <c r="I1820" s="744"/>
      <c r="J1820" s="744"/>
      <c r="K1820" s="354">
        <f t="shared" si="335"/>
        <v>2640000</v>
      </c>
      <c r="L1820" s="657">
        <v>44828</v>
      </c>
      <c r="M1820" s="742">
        <v>151087</v>
      </c>
      <c r="N1820" s="352">
        <f t="shared" si="337"/>
        <v>2488913</v>
      </c>
      <c r="O1820" s="357">
        <f t="shared" si="334"/>
        <v>555</v>
      </c>
      <c r="P1820" s="410">
        <v>9</v>
      </c>
      <c r="Q1820" s="358">
        <f t="shared" si="339"/>
        <v>1.5205479452054795</v>
      </c>
      <c r="R1820" s="359">
        <f t="shared" si="340"/>
        <v>7.4794520547945202</v>
      </c>
      <c r="S1820" s="360">
        <f t="shared" si="341"/>
        <v>7.4794520547945202</v>
      </c>
      <c r="T1820" s="361">
        <f t="shared" si="342"/>
        <v>0.10555555555555554</v>
      </c>
      <c r="U1820" s="362">
        <f t="shared" si="343"/>
        <v>278666.66666666663</v>
      </c>
      <c r="V1820" s="362">
        <f t="shared" si="344"/>
        <v>2210246.3333333335</v>
      </c>
      <c r="W1820" s="362">
        <f t="shared" si="345"/>
        <v>132000</v>
      </c>
      <c r="X1820" s="742">
        <f t="shared" si="336"/>
        <v>2078246.3333333335</v>
      </c>
    </row>
    <row r="1821" spans="1:24" ht="13.9">
      <c r="A1821" s="349">
        <f t="shared" si="338"/>
        <v>1813</v>
      </c>
      <c r="B1821" s="699" t="s">
        <v>60</v>
      </c>
      <c r="C1821" s="699" t="s">
        <v>21</v>
      </c>
      <c r="D1821" s="743" t="s">
        <v>3663</v>
      </c>
      <c r="E1821" s="699" t="s">
        <v>169</v>
      </c>
      <c r="F1821" s="334"/>
      <c r="G1821" s="657">
        <v>44926</v>
      </c>
      <c r="H1821" s="426">
        <v>41000</v>
      </c>
      <c r="I1821" s="744"/>
      <c r="J1821" s="744"/>
      <c r="K1821" s="354">
        <f t="shared" si="335"/>
        <v>41000</v>
      </c>
      <c r="L1821" s="657">
        <v>44926</v>
      </c>
      <c r="M1821" s="742">
        <v>1123</v>
      </c>
      <c r="N1821" s="352">
        <f t="shared" si="337"/>
        <v>39877</v>
      </c>
      <c r="O1821" s="357">
        <f t="shared" si="334"/>
        <v>457</v>
      </c>
      <c r="P1821" s="410">
        <v>9</v>
      </c>
      <c r="Q1821" s="358">
        <f t="shared" si="339"/>
        <v>1.252054794520548</v>
      </c>
      <c r="R1821" s="359">
        <f t="shared" si="340"/>
        <v>7.7479452054794518</v>
      </c>
      <c r="S1821" s="360">
        <f t="shared" si="341"/>
        <v>7.7479452054794518</v>
      </c>
      <c r="T1821" s="361">
        <f t="shared" si="342"/>
        <v>0.10555555555555554</v>
      </c>
      <c r="U1821" s="362">
        <f t="shared" si="343"/>
        <v>4327.7777777777774</v>
      </c>
      <c r="V1821" s="362">
        <f t="shared" si="344"/>
        <v>35549.222222222219</v>
      </c>
      <c r="W1821" s="362">
        <f t="shared" si="345"/>
        <v>2050</v>
      </c>
      <c r="X1821" s="742">
        <f t="shared" si="336"/>
        <v>33499.222222222219</v>
      </c>
    </row>
    <row r="1822" spans="1:24" ht="13.9">
      <c r="A1822" s="349">
        <f t="shared" si="338"/>
        <v>1814</v>
      </c>
      <c r="B1822" s="669" t="s">
        <v>570</v>
      </c>
      <c r="C1822" s="681" t="s">
        <v>21</v>
      </c>
      <c r="D1822" s="743" t="s">
        <v>3663</v>
      </c>
      <c r="E1822" s="669" t="s">
        <v>765</v>
      </c>
      <c r="F1822" s="334"/>
      <c r="G1822" s="672">
        <v>44973</v>
      </c>
      <c r="H1822" s="426">
        <v>45080</v>
      </c>
      <c r="I1822" s="744"/>
      <c r="J1822" s="744"/>
      <c r="K1822" s="354">
        <f t="shared" si="335"/>
        <v>45080</v>
      </c>
      <c r="L1822" s="672">
        <v>44973</v>
      </c>
      <c r="M1822" s="742">
        <v>590</v>
      </c>
      <c r="N1822" s="352">
        <f t="shared" si="337"/>
        <v>44490</v>
      </c>
      <c r="O1822" s="357">
        <f t="shared" si="334"/>
        <v>410</v>
      </c>
      <c r="P1822" s="410">
        <v>9</v>
      </c>
      <c r="Q1822" s="358">
        <f t="shared" si="339"/>
        <v>1.1232876712328768</v>
      </c>
      <c r="R1822" s="359">
        <f t="shared" si="340"/>
        <v>7.8767123287671232</v>
      </c>
      <c r="S1822" s="360">
        <f t="shared" si="341"/>
        <v>7.8767123287671232</v>
      </c>
      <c r="T1822" s="361">
        <f t="shared" si="342"/>
        <v>0.10555555555555554</v>
      </c>
      <c r="U1822" s="362">
        <f t="shared" si="343"/>
        <v>4758.4444444444434</v>
      </c>
      <c r="V1822" s="362">
        <f t="shared" si="344"/>
        <v>39731.555555555555</v>
      </c>
      <c r="W1822" s="362">
        <f t="shared" si="345"/>
        <v>2254</v>
      </c>
      <c r="X1822" s="742">
        <f t="shared" si="336"/>
        <v>37477.555555555555</v>
      </c>
    </row>
    <row r="1823" spans="1:24" ht="13.9">
      <c r="A1823" s="910">
        <f t="shared" si="338"/>
        <v>1815</v>
      </c>
      <c r="B1823" s="928" t="s">
        <v>307</v>
      </c>
      <c r="C1823" s="929" t="s">
        <v>21</v>
      </c>
      <c r="D1823" s="930" t="s">
        <v>3663</v>
      </c>
      <c r="E1823" s="928" t="s">
        <v>3639</v>
      </c>
      <c r="F1823" s="931"/>
      <c r="G1823" s="932">
        <v>45016</v>
      </c>
      <c r="H1823" s="933">
        <v>250000</v>
      </c>
      <c r="I1823" s="934"/>
      <c r="J1823" s="934">
        <v>250000</v>
      </c>
      <c r="K1823" s="917">
        <f t="shared" si="335"/>
        <v>0</v>
      </c>
      <c r="L1823" s="932">
        <v>45016</v>
      </c>
      <c r="M1823" s="919">
        <v>0</v>
      </c>
      <c r="N1823" s="388">
        <f t="shared" si="337"/>
        <v>0</v>
      </c>
      <c r="O1823" s="920">
        <f t="shared" si="334"/>
        <v>367</v>
      </c>
      <c r="P1823" s="921">
        <v>9</v>
      </c>
      <c r="Q1823" s="922">
        <f t="shared" si="339"/>
        <v>1.0054794520547945</v>
      </c>
      <c r="R1823" s="923">
        <f t="shared" si="340"/>
        <v>7.9945205479452053</v>
      </c>
      <c r="S1823" s="924">
        <f t="shared" si="341"/>
        <v>7.9945205479452053</v>
      </c>
      <c r="T1823" s="925">
        <f t="shared" si="342"/>
        <v>0.10555555555555554</v>
      </c>
      <c r="U1823" s="926">
        <f t="shared" si="343"/>
        <v>0</v>
      </c>
      <c r="V1823" s="926">
        <f t="shared" si="344"/>
        <v>0</v>
      </c>
      <c r="W1823" s="926">
        <v>0</v>
      </c>
      <c r="X1823" s="919">
        <f t="shared" si="336"/>
        <v>0</v>
      </c>
    </row>
    <row r="1824" spans="1:24" ht="13.9">
      <c r="A1824" s="910">
        <f t="shared" si="338"/>
        <v>1816</v>
      </c>
      <c r="B1824" s="928" t="s">
        <v>307</v>
      </c>
      <c r="C1824" s="929" t="s">
        <v>21</v>
      </c>
      <c r="D1824" s="930" t="s">
        <v>3663</v>
      </c>
      <c r="E1824" s="928" t="s">
        <v>3639</v>
      </c>
      <c r="F1824" s="931"/>
      <c r="G1824" s="932">
        <v>45016</v>
      </c>
      <c r="H1824" s="933">
        <v>250000</v>
      </c>
      <c r="I1824" s="934"/>
      <c r="J1824" s="934">
        <v>250000</v>
      </c>
      <c r="K1824" s="917">
        <f t="shared" si="335"/>
        <v>0</v>
      </c>
      <c r="L1824" s="932">
        <v>45016</v>
      </c>
      <c r="M1824" s="919">
        <v>0</v>
      </c>
      <c r="N1824" s="388">
        <f t="shared" si="337"/>
        <v>0</v>
      </c>
      <c r="O1824" s="920">
        <f t="shared" si="334"/>
        <v>367</v>
      </c>
      <c r="P1824" s="921">
        <v>9</v>
      </c>
      <c r="Q1824" s="922">
        <f t="shared" si="339"/>
        <v>1.0054794520547945</v>
      </c>
      <c r="R1824" s="923">
        <f t="shared" si="340"/>
        <v>7.9945205479452053</v>
      </c>
      <c r="S1824" s="924">
        <f t="shared" si="341"/>
        <v>7.9945205479452053</v>
      </c>
      <c r="T1824" s="925">
        <f t="shared" si="342"/>
        <v>0.10555555555555554</v>
      </c>
      <c r="U1824" s="926">
        <f t="shared" si="343"/>
        <v>0</v>
      </c>
      <c r="V1824" s="926">
        <f t="shared" si="344"/>
        <v>0</v>
      </c>
      <c r="W1824" s="926">
        <v>0</v>
      </c>
      <c r="X1824" s="919">
        <f t="shared" si="336"/>
        <v>0</v>
      </c>
    </row>
    <row r="1825" spans="1:24" ht="13.9">
      <c r="A1825" s="349">
        <f t="shared" si="338"/>
        <v>1817</v>
      </c>
      <c r="B1825" s="669" t="s">
        <v>326</v>
      </c>
      <c r="C1825" s="681" t="s">
        <v>3549</v>
      </c>
      <c r="D1825" s="743" t="s">
        <v>3663</v>
      </c>
      <c r="E1825" s="669" t="s">
        <v>419</v>
      </c>
      <c r="F1825" s="334"/>
      <c r="G1825" s="672">
        <v>44978</v>
      </c>
      <c r="H1825" s="426">
        <v>1150000</v>
      </c>
      <c r="I1825" s="744"/>
      <c r="J1825" s="744"/>
      <c r="K1825" s="354">
        <f t="shared" si="335"/>
        <v>1150000</v>
      </c>
      <c r="L1825" s="672">
        <v>44978</v>
      </c>
      <c r="M1825" s="742">
        <v>13303</v>
      </c>
      <c r="N1825" s="352">
        <f t="shared" si="337"/>
        <v>1136697</v>
      </c>
      <c r="O1825" s="357">
        <f t="shared" si="334"/>
        <v>405</v>
      </c>
      <c r="P1825" s="410">
        <v>9</v>
      </c>
      <c r="Q1825" s="358">
        <f t="shared" si="339"/>
        <v>1.1095890410958904</v>
      </c>
      <c r="R1825" s="359">
        <f t="shared" si="340"/>
        <v>7.8904109589041092</v>
      </c>
      <c r="S1825" s="360">
        <f t="shared" si="341"/>
        <v>7.8904109589041092</v>
      </c>
      <c r="T1825" s="361">
        <f t="shared" si="342"/>
        <v>0.10555555555555554</v>
      </c>
      <c r="U1825" s="362">
        <f t="shared" si="343"/>
        <v>121388.88888888888</v>
      </c>
      <c r="V1825" s="362">
        <f t="shared" si="344"/>
        <v>1015308.1111111111</v>
      </c>
      <c r="W1825" s="362">
        <f t="shared" si="345"/>
        <v>57500</v>
      </c>
      <c r="X1825" s="742">
        <f t="shared" si="336"/>
        <v>957808.11111111112</v>
      </c>
    </row>
    <row r="1826" spans="1:24" ht="13.9">
      <c r="A1826" s="349">
        <f t="shared" si="338"/>
        <v>1818</v>
      </c>
      <c r="B1826" s="699" t="s">
        <v>578</v>
      </c>
      <c r="C1826" s="699" t="s">
        <v>879</v>
      </c>
      <c r="D1826" s="743" t="s">
        <v>3663</v>
      </c>
      <c r="E1826" s="699" t="s">
        <v>407</v>
      </c>
      <c r="F1826" s="334"/>
      <c r="G1826" s="657">
        <v>44889</v>
      </c>
      <c r="H1826" s="426">
        <v>4250000</v>
      </c>
      <c r="I1826" s="744"/>
      <c r="J1826" s="744"/>
      <c r="K1826" s="354">
        <f t="shared" si="335"/>
        <v>4250000</v>
      </c>
      <c r="L1826" s="657">
        <v>44889</v>
      </c>
      <c r="M1826" s="742">
        <v>164307</v>
      </c>
      <c r="N1826" s="352">
        <f t="shared" si="337"/>
        <v>4085693</v>
      </c>
      <c r="O1826" s="357">
        <f t="shared" si="334"/>
        <v>494</v>
      </c>
      <c r="P1826" s="410">
        <v>9</v>
      </c>
      <c r="Q1826" s="358">
        <f t="shared" si="339"/>
        <v>1.3534246575342466</v>
      </c>
      <c r="R1826" s="359">
        <f t="shared" si="340"/>
        <v>7.6465753424657539</v>
      </c>
      <c r="S1826" s="360">
        <f t="shared" si="341"/>
        <v>7.6465753424657539</v>
      </c>
      <c r="T1826" s="361">
        <f t="shared" si="342"/>
        <v>0.10555555555555554</v>
      </c>
      <c r="U1826" s="362">
        <f t="shared" si="343"/>
        <v>448611.11111111107</v>
      </c>
      <c r="V1826" s="362">
        <f t="shared" si="344"/>
        <v>3637081.888888889</v>
      </c>
      <c r="W1826" s="362">
        <f t="shared" si="345"/>
        <v>212500</v>
      </c>
      <c r="X1826" s="742">
        <f t="shared" si="336"/>
        <v>3424581.888888889</v>
      </c>
    </row>
    <row r="1827" spans="1:24" ht="13.9">
      <c r="A1827" s="349">
        <f t="shared" si="338"/>
        <v>1819</v>
      </c>
      <c r="B1827" s="699" t="s">
        <v>304</v>
      </c>
      <c r="C1827" s="699" t="s">
        <v>879</v>
      </c>
      <c r="D1827" s="743" t="s">
        <v>3663</v>
      </c>
      <c r="E1827" s="699" t="s">
        <v>403</v>
      </c>
      <c r="F1827" s="334"/>
      <c r="G1827" s="657">
        <v>44896</v>
      </c>
      <c r="H1827" s="426">
        <v>1219500</v>
      </c>
      <c r="I1827" s="744"/>
      <c r="J1827" s="744"/>
      <c r="K1827" s="354">
        <f t="shared" si="335"/>
        <v>1219500</v>
      </c>
      <c r="L1827" s="657">
        <v>44896</v>
      </c>
      <c r="M1827" s="742">
        <v>44548</v>
      </c>
      <c r="N1827" s="352">
        <f t="shared" si="337"/>
        <v>1174952</v>
      </c>
      <c r="O1827" s="357">
        <f t="shared" si="334"/>
        <v>487</v>
      </c>
      <c r="P1827" s="410">
        <v>9</v>
      </c>
      <c r="Q1827" s="358">
        <f t="shared" si="339"/>
        <v>1.3342465753424657</v>
      </c>
      <c r="R1827" s="359">
        <f t="shared" si="340"/>
        <v>7.6657534246575345</v>
      </c>
      <c r="S1827" s="360">
        <f t="shared" si="341"/>
        <v>7.6657534246575345</v>
      </c>
      <c r="T1827" s="361">
        <f t="shared" si="342"/>
        <v>0.10555555555555554</v>
      </c>
      <c r="U1827" s="362">
        <f t="shared" si="343"/>
        <v>128724.99999999999</v>
      </c>
      <c r="V1827" s="362">
        <f t="shared" si="344"/>
        <v>1046227</v>
      </c>
      <c r="W1827" s="362">
        <f t="shared" si="345"/>
        <v>60975</v>
      </c>
      <c r="X1827" s="742">
        <f t="shared" si="336"/>
        <v>985252</v>
      </c>
    </row>
    <row r="1828" spans="1:24" ht="13.9">
      <c r="A1828" s="349">
        <f t="shared" si="338"/>
        <v>1820</v>
      </c>
      <c r="B1828" s="670" t="s">
        <v>3338</v>
      </c>
      <c r="C1828" s="670" t="s">
        <v>879</v>
      </c>
      <c r="D1828" s="743" t="s">
        <v>3663</v>
      </c>
      <c r="E1828" s="670" t="s">
        <v>773</v>
      </c>
      <c r="F1828" s="334"/>
      <c r="G1828" s="672">
        <v>44942</v>
      </c>
      <c r="H1828" s="426">
        <v>80800</v>
      </c>
      <c r="I1828" s="744"/>
      <c r="J1828" s="744"/>
      <c r="K1828" s="354">
        <f t="shared" si="335"/>
        <v>80800</v>
      </c>
      <c r="L1828" s="672">
        <v>44942</v>
      </c>
      <c r="M1828" s="742">
        <v>1820</v>
      </c>
      <c r="N1828" s="352">
        <f t="shared" si="337"/>
        <v>78980</v>
      </c>
      <c r="O1828" s="357">
        <f t="shared" si="334"/>
        <v>441</v>
      </c>
      <c r="P1828" s="410">
        <v>9</v>
      </c>
      <c r="Q1828" s="358">
        <f t="shared" si="339"/>
        <v>1.2082191780821918</v>
      </c>
      <c r="R1828" s="359">
        <f t="shared" si="340"/>
        <v>7.7917808219178077</v>
      </c>
      <c r="S1828" s="360">
        <f t="shared" si="341"/>
        <v>7.7917808219178077</v>
      </c>
      <c r="T1828" s="361">
        <f t="shared" si="342"/>
        <v>0.10555555555555554</v>
      </c>
      <c r="U1828" s="362">
        <f t="shared" si="343"/>
        <v>8528.8888888888869</v>
      </c>
      <c r="V1828" s="362">
        <f t="shared" si="344"/>
        <v>70451.111111111109</v>
      </c>
      <c r="W1828" s="362">
        <f t="shared" si="345"/>
        <v>4040</v>
      </c>
      <c r="X1828" s="742">
        <f t="shared" si="336"/>
        <v>66411.111111111109</v>
      </c>
    </row>
    <row r="1829" spans="1:24" ht="13.9">
      <c r="A1829" s="349">
        <f t="shared" si="338"/>
        <v>1821</v>
      </c>
      <c r="B1829" s="669" t="s">
        <v>578</v>
      </c>
      <c r="C1829" s="670" t="s">
        <v>879</v>
      </c>
      <c r="D1829" s="743" t="s">
        <v>3663</v>
      </c>
      <c r="E1829" s="669" t="s">
        <v>403</v>
      </c>
      <c r="F1829" s="334"/>
      <c r="G1829" s="672">
        <v>44958</v>
      </c>
      <c r="H1829" s="426">
        <f>903700-488880</f>
        <v>414820</v>
      </c>
      <c r="I1829" s="744"/>
      <c r="J1829" s="744"/>
      <c r="K1829" s="354">
        <f t="shared" si="335"/>
        <v>414820</v>
      </c>
      <c r="L1829" s="672">
        <v>44958</v>
      </c>
      <c r="M1829" s="742">
        <v>15956</v>
      </c>
      <c r="N1829" s="352">
        <f t="shared" si="337"/>
        <v>398864</v>
      </c>
      <c r="O1829" s="357">
        <f t="shared" si="334"/>
        <v>425</v>
      </c>
      <c r="P1829" s="410">
        <v>9</v>
      </c>
      <c r="Q1829" s="358">
        <f t="shared" si="339"/>
        <v>1.1643835616438356</v>
      </c>
      <c r="R1829" s="359">
        <f t="shared" si="340"/>
        <v>7.8356164383561646</v>
      </c>
      <c r="S1829" s="360">
        <f t="shared" si="341"/>
        <v>7.8356164383561646</v>
      </c>
      <c r="T1829" s="361">
        <f t="shared" si="342"/>
        <v>0.10555555555555554</v>
      </c>
      <c r="U1829" s="362">
        <v>95391</v>
      </c>
      <c r="V1829" s="362">
        <f t="shared" si="344"/>
        <v>303473</v>
      </c>
      <c r="W1829" s="362">
        <f t="shared" si="345"/>
        <v>20741</v>
      </c>
      <c r="X1829" s="742">
        <f t="shared" si="336"/>
        <v>282732</v>
      </c>
    </row>
    <row r="1830" spans="1:24" ht="13.9">
      <c r="A1830" s="349">
        <f t="shared" si="338"/>
        <v>1822</v>
      </c>
      <c r="B1830" s="669" t="s">
        <v>578</v>
      </c>
      <c r="C1830" s="670" t="s">
        <v>879</v>
      </c>
      <c r="D1830" s="743" t="s">
        <v>3663</v>
      </c>
      <c r="E1830" s="669" t="s">
        <v>403</v>
      </c>
      <c r="F1830" s="334"/>
      <c r="G1830" s="672">
        <v>44958</v>
      </c>
      <c r="H1830" s="426">
        <v>145000</v>
      </c>
      <c r="I1830" s="744"/>
      <c r="J1830" s="744"/>
      <c r="K1830" s="354">
        <f t="shared" si="335"/>
        <v>145000</v>
      </c>
      <c r="L1830" s="672">
        <v>44958</v>
      </c>
      <c r="M1830" s="742">
        <v>2560</v>
      </c>
      <c r="N1830" s="352">
        <f t="shared" si="337"/>
        <v>142440</v>
      </c>
      <c r="O1830" s="357">
        <f t="shared" si="334"/>
        <v>425</v>
      </c>
      <c r="P1830" s="410">
        <v>9</v>
      </c>
      <c r="Q1830" s="358">
        <f t="shared" si="339"/>
        <v>1.1643835616438356</v>
      </c>
      <c r="R1830" s="359">
        <f t="shared" si="340"/>
        <v>7.8356164383561646</v>
      </c>
      <c r="S1830" s="360">
        <f t="shared" si="341"/>
        <v>7.8356164383561646</v>
      </c>
      <c r="T1830" s="361">
        <f t="shared" si="342"/>
        <v>0.10555555555555554</v>
      </c>
      <c r="U1830" s="362">
        <f t="shared" si="343"/>
        <v>15305.555555555553</v>
      </c>
      <c r="V1830" s="362">
        <f t="shared" si="344"/>
        <v>127134.44444444445</v>
      </c>
      <c r="W1830" s="362">
        <f t="shared" si="345"/>
        <v>7250</v>
      </c>
      <c r="X1830" s="742">
        <f t="shared" si="336"/>
        <v>119884.44444444445</v>
      </c>
    </row>
    <row r="1831" spans="1:24" ht="13.9">
      <c r="A1831" s="349">
        <f t="shared" si="338"/>
        <v>1823</v>
      </c>
      <c r="B1831" s="669" t="s">
        <v>578</v>
      </c>
      <c r="C1831" s="670" t="s">
        <v>879</v>
      </c>
      <c r="D1831" s="743" t="s">
        <v>3663</v>
      </c>
      <c r="E1831" s="669" t="s">
        <v>3462</v>
      </c>
      <c r="F1831" s="334"/>
      <c r="G1831" s="672">
        <v>44959</v>
      </c>
      <c r="H1831" s="426">
        <v>152000</v>
      </c>
      <c r="I1831" s="744"/>
      <c r="J1831" s="744"/>
      <c r="K1831" s="354">
        <f t="shared" si="335"/>
        <v>152000</v>
      </c>
      <c r="L1831" s="672">
        <v>44959</v>
      </c>
      <c r="M1831" s="742">
        <v>2637</v>
      </c>
      <c r="N1831" s="352">
        <f t="shared" si="337"/>
        <v>149363</v>
      </c>
      <c r="O1831" s="357">
        <f t="shared" si="334"/>
        <v>424</v>
      </c>
      <c r="P1831" s="410">
        <v>9</v>
      </c>
      <c r="Q1831" s="358">
        <f t="shared" si="339"/>
        <v>1.1616438356164382</v>
      </c>
      <c r="R1831" s="359">
        <f t="shared" si="340"/>
        <v>7.838356164383562</v>
      </c>
      <c r="S1831" s="360">
        <f t="shared" si="341"/>
        <v>7.838356164383562</v>
      </c>
      <c r="T1831" s="361">
        <f t="shared" si="342"/>
        <v>0.10555555555555554</v>
      </c>
      <c r="U1831" s="362">
        <f t="shared" si="343"/>
        <v>16044.444444444442</v>
      </c>
      <c r="V1831" s="362">
        <f t="shared" si="344"/>
        <v>133318.55555555556</v>
      </c>
      <c r="W1831" s="362">
        <f t="shared" si="345"/>
        <v>7600</v>
      </c>
      <c r="X1831" s="742">
        <f t="shared" si="336"/>
        <v>125718.55555555556</v>
      </c>
    </row>
    <row r="1832" spans="1:24" ht="13.9">
      <c r="A1832" s="349"/>
      <c r="B1832" s="669"/>
      <c r="C1832" s="942" t="s">
        <v>879</v>
      </c>
      <c r="D1832" s="930" t="s">
        <v>3663</v>
      </c>
      <c r="E1832" s="943" t="s">
        <v>4204</v>
      </c>
      <c r="F1832" s="931"/>
      <c r="G1832" s="944">
        <v>44896</v>
      </c>
      <c r="H1832" s="933">
        <v>488880</v>
      </c>
      <c r="I1832" s="934"/>
      <c r="J1832" s="934">
        <v>488880</v>
      </c>
      <c r="K1832" s="917">
        <f t="shared" ref="K1832" si="346">+H1832+I1832-J1832</f>
        <v>0</v>
      </c>
      <c r="L1832" s="944">
        <v>45016</v>
      </c>
      <c r="M1832" s="919">
        <v>0</v>
      </c>
      <c r="N1832" s="388">
        <v>0</v>
      </c>
      <c r="O1832" s="920">
        <f t="shared" ref="O1832" si="347">+$O$3-L1832+1</f>
        <v>367</v>
      </c>
      <c r="P1832" s="921">
        <v>9</v>
      </c>
      <c r="Q1832" s="922">
        <f t="shared" ref="Q1832" si="348">+O1832/365</f>
        <v>1.0054794520547945</v>
      </c>
      <c r="R1832" s="923">
        <f t="shared" ref="R1832" si="349">+P1832-Q1832</f>
        <v>7.9945205479452053</v>
      </c>
      <c r="S1832" s="924">
        <f t="shared" ref="S1832" si="350">IF(R1832&lt;0,0,IF(R1832&gt;365,365,R1832))</f>
        <v>7.9945205479452053</v>
      </c>
      <c r="T1832" s="925">
        <f t="shared" ref="T1832" si="351">1/P1832*0.95</f>
        <v>0.10555555555555554</v>
      </c>
      <c r="U1832" s="926">
        <f t="shared" ref="U1832" si="352">+K1832*T1832</f>
        <v>0</v>
      </c>
      <c r="V1832" s="926">
        <f t="shared" ref="V1832" si="353">+N1832-U1832</f>
        <v>0</v>
      </c>
      <c r="W1832" s="926">
        <v>0</v>
      </c>
      <c r="X1832" s="919">
        <f t="shared" ref="X1832" si="354">+V1832-W1832</f>
        <v>0</v>
      </c>
    </row>
    <row r="1833" spans="1:24" ht="13.9">
      <c r="A1833" s="349">
        <f>+A1831+1</f>
        <v>1824</v>
      </c>
      <c r="B1833" s="669" t="s">
        <v>332</v>
      </c>
      <c r="C1833" s="670" t="s">
        <v>3461</v>
      </c>
      <c r="D1833" s="743" t="s">
        <v>3663</v>
      </c>
      <c r="E1833" s="669" t="s">
        <v>3649</v>
      </c>
      <c r="F1833" s="334"/>
      <c r="G1833" s="672">
        <v>45010</v>
      </c>
      <c r="H1833" s="426">
        <v>980000</v>
      </c>
      <c r="I1833" s="744"/>
      <c r="J1833" s="744"/>
      <c r="K1833" s="354">
        <f t="shared" si="335"/>
        <v>980000</v>
      </c>
      <c r="L1833" s="672">
        <v>45010</v>
      </c>
      <c r="M1833" s="742">
        <v>1790</v>
      </c>
      <c r="N1833" s="352">
        <f t="shared" si="337"/>
        <v>978210</v>
      </c>
      <c r="O1833" s="357">
        <f t="shared" si="334"/>
        <v>373</v>
      </c>
      <c r="P1833" s="410">
        <v>9</v>
      </c>
      <c r="Q1833" s="358">
        <f t="shared" si="339"/>
        <v>1.021917808219178</v>
      </c>
      <c r="R1833" s="359">
        <f t="shared" si="340"/>
        <v>7.978082191780822</v>
      </c>
      <c r="S1833" s="360">
        <f t="shared" si="341"/>
        <v>7.978082191780822</v>
      </c>
      <c r="T1833" s="361">
        <f t="shared" si="342"/>
        <v>0.10555555555555554</v>
      </c>
      <c r="U1833" s="362">
        <f t="shared" si="343"/>
        <v>103444.44444444442</v>
      </c>
      <c r="V1833" s="362">
        <f t="shared" si="344"/>
        <v>874765.55555555562</v>
      </c>
      <c r="W1833" s="362">
        <f t="shared" si="345"/>
        <v>49000</v>
      </c>
      <c r="X1833" s="742">
        <f t="shared" si="336"/>
        <v>825765.55555555562</v>
      </c>
    </row>
    <row r="1834" spans="1:24" ht="13.9">
      <c r="A1834" s="349">
        <f t="shared" si="338"/>
        <v>1825</v>
      </c>
      <c r="B1834" s="669" t="s">
        <v>332</v>
      </c>
      <c r="C1834" s="670" t="s">
        <v>3461</v>
      </c>
      <c r="D1834" s="743" t="s">
        <v>3663</v>
      </c>
      <c r="E1834" s="669" t="s">
        <v>3649</v>
      </c>
      <c r="F1834" s="334"/>
      <c r="G1834" s="672">
        <v>45010</v>
      </c>
      <c r="H1834" s="426">
        <v>900000</v>
      </c>
      <c r="I1834" s="744"/>
      <c r="J1834" s="744"/>
      <c r="K1834" s="354">
        <f t="shared" si="335"/>
        <v>900000</v>
      </c>
      <c r="L1834" s="672">
        <v>45010</v>
      </c>
      <c r="M1834" s="742">
        <v>1644</v>
      </c>
      <c r="N1834" s="352">
        <f t="shared" si="337"/>
        <v>898356</v>
      </c>
      <c r="O1834" s="357">
        <f t="shared" si="334"/>
        <v>373</v>
      </c>
      <c r="P1834" s="410">
        <v>9</v>
      </c>
      <c r="Q1834" s="358">
        <f t="shared" si="339"/>
        <v>1.021917808219178</v>
      </c>
      <c r="R1834" s="359">
        <f t="shared" si="340"/>
        <v>7.978082191780822</v>
      </c>
      <c r="S1834" s="360">
        <f t="shared" si="341"/>
        <v>7.978082191780822</v>
      </c>
      <c r="T1834" s="361">
        <f t="shared" si="342"/>
        <v>0.10555555555555554</v>
      </c>
      <c r="U1834" s="362">
        <f t="shared" si="343"/>
        <v>94999.999999999985</v>
      </c>
      <c r="V1834" s="362">
        <f t="shared" si="344"/>
        <v>803356</v>
      </c>
      <c r="W1834" s="362">
        <f t="shared" si="345"/>
        <v>45000</v>
      </c>
      <c r="X1834" s="742">
        <f t="shared" si="336"/>
        <v>758356</v>
      </c>
    </row>
    <row r="1835" spans="1:24" ht="13.9">
      <c r="A1835" s="349">
        <f t="shared" si="338"/>
        <v>1826</v>
      </c>
      <c r="B1835" s="669" t="s">
        <v>3644</v>
      </c>
      <c r="C1835" s="670" t="s">
        <v>3461</v>
      </c>
      <c r="D1835" s="743" t="s">
        <v>3663</v>
      </c>
      <c r="E1835" s="669" t="s">
        <v>3650</v>
      </c>
      <c r="F1835" s="334"/>
      <c r="G1835" s="672">
        <v>45010</v>
      </c>
      <c r="H1835" s="426">
        <v>750000</v>
      </c>
      <c r="I1835" s="744"/>
      <c r="J1835" s="744"/>
      <c r="K1835" s="354">
        <f t="shared" si="335"/>
        <v>750000</v>
      </c>
      <c r="L1835" s="672">
        <v>45010</v>
      </c>
      <c r="M1835" s="742">
        <v>1370</v>
      </c>
      <c r="N1835" s="352">
        <f t="shared" si="337"/>
        <v>748630</v>
      </c>
      <c r="O1835" s="357">
        <f t="shared" si="334"/>
        <v>373</v>
      </c>
      <c r="P1835" s="410">
        <v>9</v>
      </c>
      <c r="Q1835" s="358">
        <f t="shared" si="339"/>
        <v>1.021917808219178</v>
      </c>
      <c r="R1835" s="359">
        <f t="shared" si="340"/>
        <v>7.978082191780822</v>
      </c>
      <c r="S1835" s="360">
        <f t="shared" si="341"/>
        <v>7.978082191780822</v>
      </c>
      <c r="T1835" s="361">
        <f t="shared" si="342"/>
        <v>0.10555555555555554</v>
      </c>
      <c r="U1835" s="362">
        <f t="shared" si="343"/>
        <v>79166.666666666657</v>
      </c>
      <c r="V1835" s="362">
        <f t="shared" si="344"/>
        <v>669463.33333333337</v>
      </c>
      <c r="W1835" s="362">
        <f t="shared" si="345"/>
        <v>37500</v>
      </c>
      <c r="X1835" s="742">
        <f t="shared" si="336"/>
        <v>631963.33333333337</v>
      </c>
    </row>
    <row r="1836" spans="1:24" ht="13.9">
      <c r="A1836" s="349">
        <f t="shared" si="338"/>
        <v>1827</v>
      </c>
      <c r="B1836" s="669" t="s">
        <v>583</v>
      </c>
      <c r="C1836" s="670" t="s">
        <v>3459</v>
      </c>
      <c r="D1836" s="743" t="s">
        <v>3663</v>
      </c>
      <c r="E1836" s="669" t="s">
        <v>173</v>
      </c>
      <c r="F1836" s="334"/>
      <c r="G1836" s="672">
        <v>45010</v>
      </c>
      <c r="H1836" s="426">
        <v>612000</v>
      </c>
      <c r="I1836" s="744"/>
      <c r="J1836" s="744"/>
      <c r="K1836" s="354">
        <f t="shared" si="335"/>
        <v>612000</v>
      </c>
      <c r="L1836" s="672">
        <v>45010</v>
      </c>
      <c r="M1836" s="742">
        <v>1118</v>
      </c>
      <c r="N1836" s="352">
        <f t="shared" si="337"/>
        <v>610882</v>
      </c>
      <c r="O1836" s="357">
        <f t="shared" si="334"/>
        <v>373</v>
      </c>
      <c r="P1836" s="410">
        <v>9</v>
      </c>
      <c r="Q1836" s="358">
        <f t="shared" si="339"/>
        <v>1.021917808219178</v>
      </c>
      <c r="R1836" s="359">
        <f t="shared" si="340"/>
        <v>7.978082191780822</v>
      </c>
      <c r="S1836" s="360">
        <f t="shared" si="341"/>
        <v>7.978082191780822</v>
      </c>
      <c r="T1836" s="361">
        <f t="shared" si="342"/>
        <v>0.10555555555555554</v>
      </c>
      <c r="U1836" s="362">
        <f t="shared" si="343"/>
        <v>64599.999999999993</v>
      </c>
      <c r="V1836" s="362">
        <f t="shared" si="344"/>
        <v>546282</v>
      </c>
      <c r="W1836" s="362">
        <f t="shared" si="345"/>
        <v>30600</v>
      </c>
      <c r="X1836" s="742">
        <f t="shared" si="336"/>
        <v>515682</v>
      </c>
    </row>
    <row r="1837" spans="1:24" ht="13.9">
      <c r="A1837" s="349">
        <f t="shared" si="338"/>
        <v>1828</v>
      </c>
      <c r="B1837" s="665" t="s">
        <v>63</v>
      </c>
      <c r="C1837" s="666" t="s">
        <v>880</v>
      </c>
      <c r="D1837" s="743" t="s">
        <v>3663</v>
      </c>
      <c r="E1837" s="665" t="s">
        <v>171</v>
      </c>
      <c r="F1837" s="334"/>
      <c r="G1837" s="668">
        <v>44662</v>
      </c>
      <c r="H1837" s="426">
        <v>33000</v>
      </c>
      <c r="I1837" s="744"/>
      <c r="J1837" s="744"/>
      <c r="K1837" s="354">
        <f t="shared" si="335"/>
        <v>33000</v>
      </c>
      <c r="L1837" s="668">
        <v>44662</v>
      </c>
      <c r="M1837" s="742">
        <v>3556</v>
      </c>
      <c r="N1837" s="352">
        <f t="shared" si="337"/>
        <v>29444</v>
      </c>
      <c r="O1837" s="357">
        <f t="shared" si="334"/>
        <v>721</v>
      </c>
      <c r="P1837" s="410">
        <v>9</v>
      </c>
      <c r="Q1837" s="358">
        <f t="shared" si="339"/>
        <v>1.9753424657534246</v>
      </c>
      <c r="R1837" s="359">
        <f t="shared" si="340"/>
        <v>7.0246575342465754</v>
      </c>
      <c r="S1837" s="360">
        <f t="shared" si="341"/>
        <v>7.0246575342465754</v>
      </c>
      <c r="T1837" s="361">
        <f t="shared" si="342"/>
        <v>0.10555555555555554</v>
      </c>
      <c r="U1837" s="362">
        <f t="shared" si="343"/>
        <v>3483.333333333333</v>
      </c>
      <c r="V1837" s="362">
        <f t="shared" si="344"/>
        <v>25960.666666666668</v>
      </c>
      <c r="W1837" s="362">
        <f t="shared" si="345"/>
        <v>1650</v>
      </c>
      <c r="X1837" s="742">
        <f t="shared" si="336"/>
        <v>24310.666666666668</v>
      </c>
    </row>
    <row r="1838" spans="1:24" ht="13.9">
      <c r="A1838" s="349">
        <f t="shared" si="338"/>
        <v>1829</v>
      </c>
      <c r="B1838" s="665" t="s">
        <v>73</v>
      </c>
      <c r="C1838" s="666" t="s">
        <v>880</v>
      </c>
      <c r="D1838" s="743" t="s">
        <v>3663</v>
      </c>
      <c r="E1838" s="665" t="s">
        <v>171</v>
      </c>
      <c r="F1838" s="334"/>
      <c r="G1838" s="657">
        <v>44680</v>
      </c>
      <c r="H1838" s="426">
        <v>28800</v>
      </c>
      <c r="I1838" s="744"/>
      <c r="J1838" s="744"/>
      <c r="K1838" s="354">
        <f t="shared" si="335"/>
        <v>28800</v>
      </c>
      <c r="L1838" s="657">
        <v>44680</v>
      </c>
      <c r="M1838" s="742">
        <v>2946</v>
      </c>
      <c r="N1838" s="352">
        <f t="shared" si="337"/>
        <v>25854</v>
      </c>
      <c r="O1838" s="357">
        <f t="shared" si="334"/>
        <v>703</v>
      </c>
      <c r="P1838" s="410">
        <v>9</v>
      </c>
      <c r="Q1838" s="358">
        <f t="shared" si="339"/>
        <v>1.9260273972602739</v>
      </c>
      <c r="R1838" s="359">
        <f t="shared" si="340"/>
        <v>7.0739726027397261</v>
      </c>
      <c r="S1838" s="360">
        <f t="shared" si="341"/>
        <v>7.0739726027397261</v>
      </c>
      <c r="T1838" s="361">
        <f t="shared" si="342"/>
        <v>0.10555555555555554</v>
      </c>
      <c r="U1838" s="362">
        <f t="shared" si="343"/>
        <v>3039.9999999999995</v>
      </c>
      <c r="V1838" s="362">
        <f t="shared" si="344"/>
        <v>22814</v>
      </c>
      <c r="W1838" s="362">
        <f t="shared" si="345"/>
        <v>1440</v>
      </c>
      <c r="X1838" s="742">
        <f t="shared" si="336"/>
        <v>21374</v>
      </c>
    </row>
    <row r="1839" spans="1:24" ht="13.9">
      <c r="A1839" s="349">
        <f t="shared" si="338"/>
        <v>1830</v>
      </c>
      <c r="B1839" s="745" t="s">
        <v>309</v>
      </c>
      <c r="C1839" s="681" t="s">
        <v>880</v>
      </c>
      <c r="D1839" s="743" t="s">
        <v>3663</v>
      </c>
      <c r="E1839" s="669" t="s">
        <v>413</v>
      </c>
      <c r="F1839" s="334"/>
      <c r="G1839" s="672">
        <v>45016</v>
      </c>
      <c r="H1839" s="426">
        <v>135400</v>
      </c>
      <c r="I1839" s="746"/>
      <c r="J1839" s="746"/>
      <c r="K1839" s="354">
        <f t="shared" si="335"/>
        <v>135400</v>
      </c>
      <c r="L1839" s="672">
        <v>45016</v>
      </c>
      <c r="M1839" s="742">
        <v>0</v>
      </c>
      <c r="N1839" s="352">
        <f t="shared" si="337"/>
        <v>135400</v>
      </c>
      <c r="O1839" s="357">
        <f t="shared" si="334"/>
        <v>367</v>
      </c>
      <c r="P1839" s="410">
        <v>9</v>
      </c>
      <c r="Q1839" s="358">
        <f t="shared" si="339"/>
        <v>1.0054794520547945</v>
      </c>
      <c r="R1839" s="359">
        <f t="shared" si="340"/>
        <v>7.9945205479452053</v>
      </c>
      <c r="S1839" s="360">
        <f t="shared" si="341"/>
        <v>7.9945205479452053</v>
      </c>
      <c r="T1839" s="361">
        <f t="shared" si="342"/>
        <v>0.10555555555555554</v>
      </c>
      <c r="U1839" s="362">
        <f t="shared" si="343"/>
        <v>14292.222222222221</v>
      </c>
      <c r="V1839" s="362">
        <f t="shared" si="344"/>
        <v>121107.77777777778</v>
      </c>
      <c r="W1839" s="362">
        <f t="shared" si="345"/>
        <v>6770</v>
      </c>
      <c r="X1839" s="742">
        <f t="shared" si="336"/>
        <v>114337.77777777778</v>
      </c>
    </row>
    <row r="1840" spans="1:24" ht="14.25" thickBot="1">
      <c r="A1840" s="349" t="s">
        <v>24</v>
      </c>
      <c r="B1840" s="747"/>
      <c r="C1840" s="26"/>
      <c r="D1840" s="747"/>
      <c r="E1840" s="747"/>
      <c r="F1840" s="748"/>
      <c r="G1840" s="747"/>
      <c r="H1840" s="749">
        <f>SUM(H9:H1839)</f>
        <v>3652931068.3697786</v>
      </c>
      <c r="I1840" s="749">
        <f>SUM(I9:I1165)</f>
        <v>0</v>
      </c>
      <c r="J1840" s="749">
        <f>SUM(J9:J1839)</f>
        <v>13138880</v>
      </c>
      <c r="K1840" s="749">
        <f>SUM(K9:K1839)</f>
        <v>3639792188.3697786</v>
      </c>
      <c r="L1840" s="750" t="s">
        <v>24</v>
      </c>
      <c r="M1840" s="749">
        <f>SUM(M9:M1839)</f>
        <v>972418562.14721179</v>
      </c>
      <c r="N1840" s="749">
        <f>SUM(N9:N1839)</f>
        <v>2668652046.333683</v>
      </c>
      <c r="O1840" s="751" t="s">
        <v>24</v>
      </c>
      <c r="P1840" s="751" t="e">
        <f>+'[84]Add21-22 (2)'!U156</f>
        <v>#REF!</v>
      </c>
      <c r="Q1840" s="752"/>
      <c r="R1840" s="752"/>
      <c r="S1840" s="752"/>
      <c r="T1840" s="752"/>
      <c r="U1840" s="749">
        <f>SUM(U9:U1839)</f>
        <v>339677872.00141329</v>
      </c>
      <c r="V1840" s="749">
        <f>SUM(V9:V1839)</f>
        <v>2328974174.3322649</v>
      </c>
      <c r="W1840" s="749">
        <f>SUM(W9:W1839)</f>
        <v>182467197</v>
      </c>
      <c r="X1840" s="742">
        <f t="shared" si="336"/>
        <v>2146506977.3322649</v>
      </c>
    </row>
    <row r="1841" spans="24:24" ht="13.15" thickTop="1">
      <c r="X1841" s="742">
        <f t="shared" ref="X1841:X1860" si="355">+V1841-W1841</f>
        <v>0</v>
      </c>
    </row>
    <row r="1842" spans="24:24">
      <c r="X1842" s="742">
        <f t="shared" si="355"/>
        <v>0</v>
      </c>
    </row>
    <row r="1843" spans="24:24">
      <c r="X1843" s="742">
        <f t="shared" si="355"/>
        <v>0</v>
      </c>
    </row>
    <row r="1844" spans="24:24">
      <c r="X1844" s="742">
        <f t="shared" si="355"/>
        <v>0</v>
      </c>
    </row>
    <row r="1845" spans="24:24">
      <c r="X1845" s="742">
        <f t="shared" si="355"/>
        <v>0</v>
      </c>
    </row>
    <row r="1846" spans="24:24">
      <c r="X1846" s="742">
        <f t="shared" si="355"/>
        <v>0</v>
      </c>
    </row>
    <row r="1847" spans="24:24">
      <c r="X1847" s="742">
        <f t="shared" si="355"/>
        <v>0</v>
      </c>
    </row>
    <row r="1848" spans="24:24">
      <c r="X1848" s="742">
        <f t="shared" si="355"/>
        <v>0</v>
      </c>
    </row>
    <row r="1849" spans="24:24">
      <c r="X1849" s="742">
        <f t="shared" si="355"/>
        <v>0</v>
      </c>
    </row>
    <row r="1850" spans="24:24">
      <c r="X1850" s="742">
        <f t="shared" si="355"/>
        <v>0</v>
      </c>
    </row>
    <row r="1851" spans="24:24">
      <c r="X1851" s="742">
        <f t="shared" si="355"/>
        <v>0</v>
      </c>
    </row>
    <row r="1852" spans="24:24">
      <c r="X1852" s="742">
        <f t="shared" si="355"/>
        <v>0</v>
      </c>
    </row>
    <row r="1853" spans="24:24">
      <c r="X1853" s="742">
        <f t="shared" si="355"/>
        <v>0</v>
      </c>
    </row>
    <row r="1854" spans="24:24">
      <c r="X1854" s="742">
        <f t="shared" si="355"/>
        <v>0</v>
      </c>
    </row>
    <row r="1855" spans="24:24">
      <c r="X1855" s="742">
        <f t="shared" si="355"/>
        <v>0</v>
      </c>
    </row>
    <row r="1856" spans="24:24">
      <c r="X1856" s="742">
        <f t="shared" si="355"/>
        <v>0</v>
      </c>
    </row>
    <row r="1857" spans="24:24">
      <c r="X1857" s="742">
        <f t="shared" si="355"/>
        <v>0</v>
      </c>
    </row>
    <row r="1858" spans="24:24">
      <c r="X1858" s="742">
        <f t="shared" si="355"/>
        <v>0</v>
      </c>
    </row>
    <row r="1859" spans="24:24">
      <c r="X1859" s="742">
        <f t="shared" si="355"/>
        <v>0</v>
      </c>
    </row>
    <row r="1860" spans="24:24">
      <c r="X1860" s="742">
        <f t="shared" si="355"/>
        <v>0</v>
      </c>
    </row>
    <row r="1861" spans="24:24">
      <c r="X1861" s="742">
        <f t="shared" ref="X1861:X1924" si="356">+V1861-W1861</f>
        <v>0</v>
      </c>
    </row>
    <row r="1862" spans="24:24">
      <c r="X1862" s="742">
        <f t="shared" si="356"/>
        <v>0</v>
      </c>
    </row>
    <row r="1863" spans="24:24">
      <c r="X1863" s="742">
        <f t="shared" si="356"/>
        <v>0</v>
      </c>
    </row>
    <row r="1864" spans="24:24">
      <c r="X1864" s="742">
        <f t="shared" si="356"/>
        <v>0</v>
      </c>
    </row>
    <row r="1865" spans="24:24">
      <c r="X1865" s="742">
        <f t="shared" si="356"/>
        <v>0</v>
      </c>
    </row>
    <row r="1866" spans="24:24">
      <c r="X1866" s="742">
        <f t="shared" si="356"/>
        <v>0</v>
      </c>
    </row>
    <row r="1867" spans="24:24">
      <c r="X1867" s="742">
        <f t="shared" si="356"/>
        <v>0</v>
      </c>
    </row>
    <row r="1868" spans="24:24">
      <c r="X1868" s="742">
        <f t="shared" si="356"/>
        <v>0</v>
      </c>
    </row>
    <row r="1869" spans="24:24">
      <c r="X1869" s="742">
        <f t="shared" si="356"/>
        <v>0</v>
      </c>
    </row>
    <row r="1870" spans="24:24">
      <c r="X1870" s="742">
        <f t="shared" si="356"/>
        <v>0</v>
      </c>
    </row>
    <row r="1871" spans="24:24">
      <c r="X1871" s="742">
        <f t="shared" si="356"/>
        <v>0</v>
      </c>
    </row>
    <row r="1872" spans="24:24">
      <c r="X1872" s="742">
        <f t="shared" si="356"/>
        <v>0</v>
      </c>
    </row>
    <row r="1873" spans="24:24">
      <c r="X1873" s="742">
        <f t="shared" si="356"/>
        <v>0</v>
      </c>
    </row>
    <row r="1874" spans="24:24">
      <c r="X1874" s="742">
        <f t="shared" si="356"/>
        <v>0</v>
      </c>
    </row>
    <row r="1875" spans="24:24">
      <c r="X1875" s="742">
        <f t="shared" si="356"/>
        <v>0</v>
      </c>
    </row>
    <row r="1876" spans="24:24">
      <c r="X1876" s="742">
        <f t="shared" si="356"/>
        <v>0</v>
      </c>
    </row>
    <row r="1877" spans="24:24">
      <c r="X1877" s="742">
        <f t="shared" si="356"/>
        <v>0</v>
      </c>
    </row>
    <row r="1878" spans="24:24">
      <c r="X1878" s="742">
        <f t="shared" si="356"/>
        <v>0</v>
      </c>
    </row>
    <row r="1879" spans="24:24">
      <c r="X1879" s="742">
        <f t="shared" si="356"/>
        <v>0</v>
      </c>
    </row>
    <row r="1880" spans="24:24">
      <c r="X1880" s="742">
        <f t="shared" si="356"/>
        <v>0</v>
      </c>
    </row>
    <row r="1881" spans="24:24">
      <c r="X1881" s="742">
        <f t="shared" si="356"/>
        <v>0</v>
      </c>
    </row>
    <row r="1882" spans="24:24">
      <c r="X1882" s="742">
        <f t="shared" si="356"/>
        <v>0</v>
      </c>
    </row>
    <row r="1883" spans="24:24">
      <c r="X1883" s="742">
        <f t="shared" si="356"/>
        <v>0</v>
      </c>
    </row>
    <row r="1884" spans="24:24">
      <c r="X1884" s="742">
        <f t="shared" si="356"/>
        <v>0</v>
      </c>
    </row>
    <row r="1885" spans="24:24">
      <c r="X1885" s="742">
        <f t="shared" si="356"/>
        <v>0</v>
      </c>
    </row>
    <row r="1886" spans="24:24">
      <c r="X1886" s="742">
        <f t="shared" si="356"/>
        <v>0</v>
      </c>
    </row>
    <row r="1887" spans="24:24">
      <c r="X1887" s="742">
        <f t="shared" si="356"/>
        <v>0</v>
      </c>
    </row>
    <row r="1888" spans="24:24">
      <c r="X1888" s="742">
        <f t="shared" si="356"/>
        <v>0</v>
      </c>
    </row>
    <row r="1889" spans="24:24">
      <c r="X1889" s="742">
        <f t="shared" si="356"/>
        <v>0</v>
      </c>
    </row>
    <row r="1890" spans="24:24">
      <c r="X1890" s="742">
        <f t="shared" si="356"/>
        <v>0</v>
      </c>
    </row>
    <row r="1891" spans="24:24">
      <c r="X1891" s="742">
        <f t="shared" si="356"/>
        <v>0</v>
      </c>
    </row>
    <row r="1892" spans="24:24">
      <c r="X1892" s="742">
        <f t="shared" si="356"/>
        <v>0</v>
      </c>
    </row>
    <row r="1893" spans="24:24">
      <c r="X1893" s="742">
        <f t="shared" si="356"/>
        <v>0</v>
      </c>
    </row>
    <row r="1894" spans="24:24">
      <c r="X1894" s="742">
        <f t="shared" si="356"/>
        <v>0</v>
      </c>
    </row>
    <row r="1895" spans="24:24">
      <c r="X1895" s="742">
        <f t="shared" si="356"/>
        <v>0</v>
      </c>
    </row>
    <row r="1896" spans="24:24">
      <c r="X1896" s="742">
        <f t="shared" si="356"/>
        <v>0</v>
      </c>
    </row>
    <row r="1897" spans="24:24">
      <c r="X1897" s="742">
        <f t="shared" si="356"/>
        <v>0</v>
      </c>
    </row>
    <row r="1898" spans="24:24">
      <c r="X1898" s="742">
        <f t="shared" si="356"/>
        <v>0</v>
      </c>
    </row>
    <row r="1899" spans="24:24">
      <c r="X1899" s="742">
        <f t="shared" si="356"/>
        <v>0</v>
      </c>
    </row>
    <row r="1900" spans="24:24">
      <c r="X1900" s="742">
        <f t="shared" si="356"/>
        <v>0</v>
      </c>
    </row>
    <row r="1901" spans="24:24">
      <c r="X1901" s="742">
        <f t="shared" si="356"/>
        <v>0</v>
      </c>
    </row>
    <row r="1902" spans="24:24">
      <c r="X1902" s="742">
        <f t="shared" si="356"/>
        <v>0</v>
      </c>
    </row>
    <row r="1903" spans="24:24">
      <c r="X1903" s="742">
        <f t="shared" si="356"/>
        <v>0</v>
      </c>
    </row>
    <row r="1904" spans="24:24">
      <c r="X1904" s="742">
        <f t="shared" si="356"/>
        <v>0</v>
      </c>
    </row>
    <row r="1905" spans="24:24">
      <c r="X1905" s="742">
        <f t="shared" si="356"/>
        <v>0</v>
      </c>
    </row>
    <row r="1906" spans="24:24">
      <c r="X1906" s="742">
        <f t="shared" si="356"/>
        <v>0</v>
      </c>
    </row>
    <row r="1907" spans="24:24">
      <c r="X1907" s="742">
        <f t="shared" si="356"/>
        <v>0</v>
      </c>
    </row>
    <row r="1908" spans="24:24">
      <c r="X1908" s="742">
        <f t="shared" si="356"/>
        <v>0</v>
      </c>
    </row>
    <row r="1909" spans="24:24">
      <c r="X1909" s="742">
        <f t="shared" si="356"/>
        <v>0</v>
      </c>
    </row>
    <row r="1910" spans="24:24">
      <c r="X1910" s="742">
        <f t="shared" si="356"/>
        <v>0</v>
      </c>
    </row>
    <row r="1911" spans="24:24">
      <c r="X1911" s="742">
        <f t="shared" si="356"/>
        <v>0</v>
      </c>
    </row>
    <row r="1912" spans="24:24">
      <c r="X1912" s="742">
        <f t="shared" si="356"/>
        <v>0</v>
      </c>
    </row>
    <row r="1913" spans="24:24">
      <c r="X1913" s="742">
        <f t="shared" si="356"/>
        <v>0</v>
      </c>
    </row>
    <row r="1914" spans="24:24">
      <c r="X1914" s="742">
        <f t="shared" si="356"/>
        <v>0</v>
      </c>
    </row>
    <row r="1915" spans="24:24">
      <c r="X1915" s="742">
        <f t="shared" si="356"/>
        <v>0</v>
      </c>
    </row>
    <row r="1916" spans="24:24">
      <c r="X1916" s="742">
        <f t="shared" si="356"/>
        <v>0</v>
      </c>
    </row>
    <row r="1917" spans="24:24">
      <c r="X1917" s="742">
        <f t="shared" si="356"/>
        <v>0</v>
      </c>
    </row>
    <row r="1918" spans="24:24">
      <c r="X1918" s="742">
        <f t="shared" si="356"/>
        <v>0</v>
      </c>
    </row>
    <row r="1919" spans="24:24">
      <c r="X1919" s="742">
        <f t="shared" si="356"/>
        <v>0</v>
      </c>
    </row>
    <row r="1920" spans="24:24">
      <c r="X1920" s="742">
        <f t="shared" si="356"/>
        <v>0</v>
      </c>
    </row>
    <row r="1921" spans="24:24">
      <c r="X1921" s="742">
        <f t="shared" si="356"/>
        <v>0</v>
      </c>
    </row>
    <row r="1922" spans="24:24">
      <c r="X1922" s="742">
        <f t="shared" si="356"/>
        <v>0</v>
      </c>
    </row>
    <row r="1923" spans="24:24">
      <c r="X1923" s="742">
        <f t="shared" si="356"/>
        <v>0</v>
      </c>
    </row>
    <row r="1924" spans="24:24">
      <c r="X1924" s="742">
        <f t="shared" si="356"/>
        <v>0</v>
      </c>
    </row>
    <row r="1925" spans="24:24">
      <c r="X1925" s="742">
        <f t="shared" ref="X1925:X1972" si="357">+V1925-W1925</f>
        <v>0</v>
      </c>
    </row>
    <row r="1926" spans="24:24">
      <c r="X1926" s="742">
        <f t="shared" si="357"/>
        <v>0</v>
      </c>
    </row>
    <row r="1927" spans="24:24">
      <c r="X1927" s="742">
        <f t="shared" si="357"/>
        <v>0</v>
      </c>
    </row>
    <row r="1928" spans="24:24">
      <c r="X1928" s="742">
        <f t="shared" si="357"/>
        <v>0</v>
      </c>
    </row>
    <row r="1929" spans="24:24">
      <c r="X1929" s="742">
        <f t="shared" si="357"/>
        <v>0</v>
      </c>
    </row>
    <row r="1930" spans="24:24">
      <c r="X1930" s="742">
        <f t="shared" si="357"/>
        <v>0</v>
      </c>
    </row>
    <row r="1931" spans="24:24">
      <c r="X1931" s="742">
        <f t="shared" si="357"/>
        <v>0</v>
      </c>
    </row>
    <row r="1932" spans="24:24">
      <c r="X1932" s="742">
        <f t="shared" si="357"/>
        <v>0</v>
      </c>
    </row>
    <row r="1933" spans="24:24">
      <c r="X1933" s="742">
        <f t="shared" si="357"/>
        <v>0</v>
      </c>
    </row>
    <row r="1934" spans="24:24">
      <c r="X1934" s="742">
        <f t="shared" si="357"/>
        <v>0</v>
      </c>
    </row>
    <row r="1935" spans="24:24">
      <c r="X1935" s="742">
        <f t="shared" si="357"/>
        <v>0</v>
      </c>
    </row>
    <row r="1936" spans="24:24">
      <c r="X1936" s="742">
        <f t="shared" si="357"/>
        <v>0</v>
      </c>
    </row>
    <row r="1937" spans="24:24">
      <c r="X1937" s="742">
        <f t="shared" si="357"/>
        <v>0</v>
      </c>
    </row>
    <row r="1938" spans="24:24">
      <c r="X1938" s="742">
        <f t="shared" si="357"/>
        <v>0</v>
      </c>
    </row>
    <row r="1939" spans="24:24">
      <c r="X1939" s="742">
        <f t="shared" si="357"/>
        <v>0</v>
      </c>
    </row>
    <row r="1940" spans="24:24">
      <c r="X1940" s="742">
        <f t="shared" si="357"/>
        <v>0</v>
      </c>
    </row>
    <row r="1941" spans="24:24">
      <c r="X1941" s="742">
        <f t="shared" si="357"/>
        <v>0</v>
      </c>
    </row>
    <row r="1942" spans="24:24">
      <c r="X1942" s="742">
        <f t="shared" si="357"/>
        <v>0</v>
      </c>
    </row>
    <row r="1943" spans="24:24">
      <c r="X1943" s="742">
        <f t="shared" si="357"/>
        <v>0</v>
      </c>
    </row>
    <row r="1944" spans="24:24">
      <c r="X1944" s="742">
        <f t="shared" si="357"/>
        <v>0</v>
      </c>
    </row>
    <row r="1945" spans="24:24">
      <c r="X1945" s="742">
        <f t="shared" si="357"/>
        <v>0</v>
      </c>
    </row>
    <row r="1946" spans="24:24">
      <c r="X1946" s="742">
        <f t="shared" si="357"/>
        <v>0</v>
      </c>
    </row>
    <row r="1947" spans="24:24">
      <c r="X1947" s="742">
        <f t="shared" si="357"/>
        <v>0</v>
      </c>
    </row>
    <row r="1948" spans="24:24">
      <c r="X1948" s="742">
        <f t="shared" si="357"/>
        <v>0</v>
      </c>
    </row>
    <row r="1949" spans="24:24">
      <c r="X1949" s="742">
        <f t="shared" si="357"/>
        <v>0</v>
      </c>
    </row>
    <row r="1950" spans="24:24">
      <c r="X1950" s="742">
        <f t="shared" si="357"/>
        <v>0</v>
      </c>
    </row>
    <row r="1951" spans="24:24">
      <c r="X1951" s="742">
        <f t="shared" si="357"/>
        <v>0</v>
      </c>
    </row>
    <row r="1952" spans="24:24">
      <c r="X1952" s="742">
        <f t="shared" si="357"/>
        <v>0</v>
      </c>
    </row>
    <row r="1953" spans="24:24">
      <c r="X1953" s="742">
        <f t="shared" si="357"/>
        <v>0</v>
      </c>
    </row>
    <row r="1954" spans="24:24">
      <c r="X1954" s="742">
        <f t="shared" si="357"/>
        <v>0</v>
      </c>
    </row>
    <row r="1955" spans="24:24">
      <c r="X1955" s="742">
        <f t="shared" si="357"/>
        <v>0</v>
      </c>
    </row>
    <row r="1956" spans="24:24">
      <c r="X1956" s="742">
        <f t="shared" si="357"/>
        <v>0</v>
      </c>
    </row>
    <row r="1957" spans="24:24">
      <c r="X1957" s="742">
        <f t="shared" si="357"/>
        <v>0</v>
      </c>
    </row>
    <row r="1958" spans="24:24">
      <c r="X1958" s="742">
        <f t="shared" si="357"/>
        <v>0</v>
      </c>
    </row>
    <row r="1959" spans="24:24">
      <c r="X1959" s="742">
        <f t="shared" si="357"/>
        <v>0</v>
      </c>
    </row>
    <row r="1960" spans="24:24">
      <c r="X1960" s="742">
        <f t="shared" si="357"/>
        <v>0</v>
      </c>
    </row>
    <row r="1961" spans="24:24">
      <c r="X1961" s="742">
        <f t="shared" si="357"/>
        <v>0</v>
      </c>
    </row>
    <row r="1962" spans="24:24">
      <c r="X1962" s="742">
        <f t="shared" si="357"/>
        <v>0</v>
      </c>
    </row>
    <row r="1963" spans="24:24">
      <c r="X1963" s="742">
        <f t="shared" si="357"/>
        <v>0</v>
      </c>
    </row>
    <row r="1964" spans="24:24">
      <c r="X1964" s="742">
        <f t="shared" si="357"/>
        <v>0</v>
      </c>
    </row>
    <row r="1965" spans="24:24">
      <c r="X1965" s="742">
        <f t="shared" si="357"/>
        <v>0</v>
      </c>
    </row>
    <row r="1966" spans="24:24">
      <c r="X1966" s="742">
        <f t="shared" si="357"/>
        <v>0</v>
      </c>
    </row>
    <row r="1967" spans="24:24">
      <c r="X1967" s="742">
        <f t="shared" si="357"/>
        <v>0</v>
      </c>
    </row>
    <row r="1968" spans="24:24">
      <c r="X1968" s="742">
        <f t="shared" si="357"/>
        <v>0</v>
      </c>
    </row>
    <row r="1969" spans="24:24">
      <c r="X1969" s="742">
        <f t="shared" si="357"/>
        <v>0</v>
      </c>
    </row>
    <row r="1970" spans="24:24">
      <c r="X1970" s="742">
        <f t="shared" si="357"/>
        <v>0</v>
      </c>
    </row>
    <row r="1971" spans="24:24">
      <c r="X1971" s="742">
        <f t="shared" si="357"/>
        <v>0</v>
      </c>
    </row>
    <row r="1972" spans="24:24">
      <c r="X1972" s="742">
        <f t="shared" si="357"/>
        <v>0</v>
      </c>
    </row>
  </sheetData>
  <sheetProtection insertColumns="0" insertRows="0" deleteColumns="0" deleteRows="0"/>
  <autoFilter ref="E1:E1972" xr:uid="{00000000-0001-0000-0300-000000000000}"/>
  <mergeCells count="24">
    <mergeCell ref="F4:F7"/>
    <mergeCell ref="A4:A7"/>
    <mergeCell ref="B4:B7"/>
    <mergeCell ref="C4:C7"/>
    <mergeCell ref="D4:D7"/>
    <mergeCell ref="E4:E7"/>
    <mergeCell ref="G4:G7"/>
    <mergeCell ref="H4:H7"/>
    <mergeCell ref="I4:J4"/>
    <mergeCell ref="K4:K7"/>
    <mergeCell ref="L4:L7"/>
    <mergeCell ref="T4:T7"/>
    <mergeCell ref="U4:U7"/>
    <mergeCell ref="V4:V7"/>
    <mergeCell ref="W4:W7"/>
    <mergeCell ref="I5:I7"/>
    <mergeCell ref="J5:J7"/>
    <mergeCell ref="N4:N7"/>
    <mergeCell ref="O4:O7"/>
    <mergeCell ref="P4:P7"/>
    <mergeCell ref="Q4:Q7"/>
    <mergeCell ref="R4:R7"/>
    <mergeCell ref="S4:S7"/>
    <mergeCell ref="M4:M7"/>
  </mergeCells>
  <conditionalFormatting sqref="H9">
    <cfRule type="duplicateValues" priority="1"/>
  </conditionalFormatting>
  <printOptions gridLines="1"/>
  <pageMargins left="0.70866141732283505" right="0.70866141732283505" top="0.74803149606299202" bottom="0.74803149606299202" header="0.31496062992126" footer="0.31496062992126"/>
  <pageSetup scale="38" orientation="landscape" r:id="rId1"/>
  <rowBreaks count="19" manualBreakCount="19">
    <brk id="41" max="16383" man="1"/>
    <brk id="80" max="16383" man="1"/>
    <brk id="121" max="16383" man="1"/>
    <brk id="161" max="16383" man="1"/>
    <brk id="201" max="16383" man="1"/>
    <brk id="243" max="16383" man="1"/>
    <brk id="282" max="16383" man="1"/>
    <brk id="325" max="16383" man="1"/>
    <brk id="367" max="16383" man="1"/>
    <brk id="409" max="16383" man="1"/>
    <brk id="454" max="16383" man="1"/>
    <brk id="521" max="16383" man="1"/>
    <brk id="589" max="16383" man="1"/>
    <brk id="662" max="16383" man="1"/>
    <brk id="732" max="16383" man="1"/>
    <brk id="803" max="16383" man="1"/>
    <brk id="876" max="16383" man="1"/>
    <brk id="949" max="16383" man="1"/>
    <brk id="983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56"/>
  <sheetViews>
    <sheetView topLeftCell="L3" zoomScaleNormal="100" workbookViewId="0">
      <selection activeCell="Y13" sqref="Y13"/>
    </sheetView>
  </sheetViews>
  <sheetFormatPr defaultColWidth="10" defaultRowHeight="12.75"/>
  <cols>
    <col min="1" max="1" width="5.33203125" style="313" customWidth="1"/>
    <col min="2" max="2" width="17.33203125" style="313" customWidth="1"/>
    <col min="3" max="3" width="10.46484375" style="313" customWidth="1"/>
    <col min="4" max="4" width="7.53125" style="313" bestFit="1" customWidth="1"/>
    <col min="5" max="5" width="15.33203125" style="333" bestFit="1" customWidth="1"/>
    <col min="6" max="6" width="6.6640625" style="313" hidden="1" customWidth="1"/>
    <col min="7" max="7" width="13.53125" style="334" hidden="1" customWidth="1"/>
    <col min="8" max="8" width="18.33203125" style="313" customWidth="1"/>
    <col min="9" max="9" width="13.53125" style="313" customWidth="1"/>
    <col min="10" max="11" width="15.1328125" style="313" bestFit="1" customWidth="1"/>
    <col min="12" max="12" width="13" style="313" customWidth="1"/>
    <col min="13" max="13" width="15.46484375" style="313" customWidth="1"/>
    <col min="14" max="14" width="14.1328125" style="313" customWidth="1"/>
    <col min="15" max="15" width="14.53125" style="313" hidden="1" customWidth="1"/>
    <col min="16" max="16" width="17.53125" style="313" hidden="1" customWidth="1"/>
    <col min="17" max="17" width="16.33203125" style="313" hidden="1" customWidth="1"/>
    <col min="18" max="18" width="20.33203125" style="313" hidden="1" customWidth="1"/>
    <col min="19" max="19" width="10.53125" style="313" customWidth="1"/>
    <col min="20" max="20" width="16.1328125" style="313" customWidth="1"/>
    <col min="21" max="22" width="10.46484375" style="313" bestFit="1" customWidth="1"/>
    <col min="23" max="23" width="10" style="313" hidden="1" customWidth="1"/>
    <col min="24" max="16384" width="10" style="313"/>
  </cols>
  <sheetData>
    <row r="1" spans="1:23" ht="15" thickBot="1">
      <c r="A1" s="338" t="s">
        <v>1338</v>
      </c>
      <c r="B1" s="427"/>
      <c r="C1" s="428"/>
      <c r="D1" s="428"/>
      <c r="E1" s="347"/>
      <c r="F1" s="429"/>
      <c r="G1" s="428"/>
      <c r="H1" s="430"/>
      <c r="I1" s="347"/>
      <c r="J1" s="347"/>
      <c r="K1" s="347"/>
      <c r="L1" s="431" t="s">
        <v>24</v>
      </c>
      <c r="M1" s="431" t="s">
        <v>24</v>
      </c>
      <c r="N1" s="432"/>
      <c r="O1" s="432"/>
      <c r="P1" s="431" t="s">
        <v>24</v>
      </c>
      <c r="Q1" s="431" t="s">
        <v>24</v>
      </c>
      <c r="R1" s="433"/>
      <c r="S1" s="433"/>
      <c r="T1" s="433"/>
      <c r="U1" s="433"/>
      <c r="V1" s="433"/>
    </row>
    <row r="2" spans="1:23" ht="14.65">
      <c r="A2" s="344" t="s">
        <v>2174</v>
      </c>
      <c r="B2" s="434"/>
      <c r="C2" s="428"/>
      <c r="D2" s="428"/>
      <c r="E2" s="347"/>
      <c r="F2" s="429"/>
      <c r="G2" s="428"/>
      <c r="H2" s="430"/>
      <c r="I2" s="347"/>
      <c r="J2" s="347"/>
      <c r="K2" s="347"/>
      <c r="L2" s="431"/>
      <c r="M2" s="431"/>
      <c r="N2" s="432"/>
      <c r="O2" s="432"/>
      <c r="P2" s="431"/>
      <c r="Q2" s="431"/>
      <c r="R2" s="433"/>
      <c r="S2" s="433"/>
      <c r="T2" s="433"/>
      <c r="U2" s="433"/>
      <c r="V2" s="433"/>
    </row>
    <row r="3" spans="1:23" ht="15" thickBot="1">
      <c r="A3" s="347" t="str">
        <f>+Buildings!B3</f>
        <v>CALCULATION OF DEPRECIATION FOR THE YEAR  ENDED  31-03-2024</v>
      </c>
      <c r="B3" s="434"/>
      <c r="C3" s="428"/>
      <c r="D3" s="428"/>
      <c r="E3" s="347"/>
      <c r="F3" s="429"/>
      <c r="G3" s="428"/>
      <c r="H3" s="430"/>
      <c r="I3" s="347"/>
      <c r="J3" s="347"/>
      <c r="K3" s="347"/>
      <c r="L3" s="431"/>
      <c r="M3" s="431"/>
      <c r="N3" s="432"/>
      <c r="O3" s="435">
        <v>45016</v>
      </c>
      <c r="P3" s="431"/>
      <c r="Q3" s="431"/>
      <c r="R3" s="433"/>
      <c r="S3" s="433"/>
      <c r="T3" s="433"/>
      <c r="U3" s="433"/>
      <c r="V3" s="433"/>
    </row>
    <row r="4" spans="1:23" ht="15" thickTop="1">
      <c r="A4" s="1133" t="s">
        <v>1289</v>
      </c>
      <c r="B4" s="1133" t="s">
        <v>1290</v>
      </c>
      <c r="C4" s="1133" t="s">
        <v>1367</v>
      </c>
      <c r="D4" s="1158" t="s">
        <v>1352</v>
      </c>
      <c r="E4" s="1133" t="s">
        <v>1368</v>
      </c>
      <c r="F4" s="1157" t="s">
        <v>1369</v>
      </c>
      <c r="G4" s="1133" t="s">
        <v>1370</v>
      </c>
      <c r="H4" s="1152" t="s">
        <v>3662</v>
      </c>
      <c r="I4" s="1155" t="s">
        <v>1353</v>
      </c>
      <c r="J4" s="1156"/>
      <c r="K4" s="1152" t="s">
        <v>3668</v>
      </c>
      <c r="L4" s="1152" t="s">
        <v>1371</v>
      </c>
      <c r="M4" s="1152" t="s">
        <v>3669</v>
      </c>
      <c r="N4" s="1145" t="s">
        <v>3670</v>
      </c>
      <c r="O4" s="1146" t="s">
        <v>1355</v>
      </c>
      <c r="P4" s="1138" t="s">
        <v>1356</v>
      </c>
      <c r="Q4" s="1138" t="s">
        <v>1357</v>
      </c>
      <c r="R4" s="1138" t="s">
        <v>1358</v>
      </c>
      <c r="S4" s="1149" t="s">
        <v>1373</v>
      </c>
      <c r="T4" s="1136" t="s">
        <v>3655</v>
      </c>
      <c r="U4" s="1138" t="s">
        <v>3671</v>
      </c>
      <c r="V4" s="1140" t="s">
        <v>1374</v>
      </c>
    </row>
    <row r="5" spans="1:23">
      <c r="A5" s="1133"/>
      <c r="B5" s="1133"/>
      <c r="C5" s="1133"/>
      <c r="D5" s="1158"/>
      <c r="E5" s="1133"/>
      <c r="F5" s="1157"/>
      <c r="G5" s="1133"/>
      <c r="H5" s="1153"/>
      <c r="I5" s="1142" t="s">
        <v>891</v>
      </c>
      <c r="J5" s="1142" t="s">
        <v>892</v>
      </c>
      <c r="K5" s="1153"/>
      <c r="L5" s="1153"/>
      <c r="M5" s="1153"/>
      <c r="N5" s="1133"/>
      <c r="O5" s="1147"/>
      <c r="P5" s="1139"/>
      <c r="Q5" s="1139"/>
      <c r="R5" s="1139"/>
      <c r="S5" s="1150"/>
      <c r="T5" s="1137"/>
      <c r="U5" s="1139"/>
      <c r="V5" s="1141"/>
    </row>
    <row r="6" spans="1:23">
      <c r="A6" s="1133"/>
      <c r="B6" s="1133"/>
      <c r="C6" s="1133"/>
      <c r="D6" s="1158"/>
      <c r="E6" s="1133"/>
      <c r="F6" s="1157"/>
      <c r="G6" s="1133"/>
      <c r="H6" s="1153"/>
      <c r="I6" s="1143"/>
      <c r="J6" s="1143"/>
      <c r="K6" s="1153"/>
      <c r="L6" s="1153"/>
      <c r="M6" s="1153"/>
      <c r="N6" s="1133"/>
      <c r="O6" s="1147"/>
      <c r="P6" s="1139"/>
      <c r="Q6" s="1139"/>
      <c r="R6" s="1139"/>
      <c r="S6" s="1150"/>
      <c r="T6" s="1137"/>
      <c r="U6" s="1139"/>
      <c r="V6" s="1141"/>
    </row>
    <row r="7" spans="1:23">
      <c r="A7" s="1133"/>
      <c r="B7" s="1133"/>
      <c r="C7" s="1133"/>
      <c r="D7" s="1158"/>
      <c r="E7" s="1133"/>
      <c r="F7" s="1157"/>
      <c r="G7" s="1133"/>
      <c r="H7" s="1154"/>
      <c r="I7" s="1144"/>
      <c r="J7" s="1144"/>
      <c r="K7" s="1154"/>
      <c r="L7" s="1154"/>
      <c r="M7" s="1154"/>
      <c r="N7" s="1133"/>
      <c r="O7" s="1148"/>
      <c r="P7" s="1139"/>
      <c r="Q7" s="1139"/>
      <c r="R7" s="1139"/>
      <c r="S7" s="1151"/>
      <c r="T7" s="1137"/>
      <c r="U7" s="1139"/>
      <c r="V7" s="1141"/>
    </row>
    <row r="8" spans="1:23" ht="15.75">
      <c r="A8" s="317">
        <v>1</v>
      </c>
      <c r="B8" s="317" t="s">
        <v>2177</v>
      </c>
      <c r="C8" s="318" t="s">
        <v>1945</v>
      </c>
      <c r="D8" s="318"/>
      <c r="E8" s="318"/>
      <c r="F8" s="317"/>
      <c r="G8" s="318"/>
      <c r="H8" s="436">
        <v>152996</v>
      </c>
      <c r="I8" s="317"/>
      <c r="J8" s="436">
        <v>0</v>
      </c>
      <c r="K8" s="436">
        <f t="shared" ref="K8:K23" si="0">+H8+I8-J8</f>
        <v>152996</v>
      </c>
      <c r="L8" s="437">
        <v>41744</v>
      </c>
      <c r="M8" s="335">
        <v>145346.490187913</v>
      </c>
      <c r="N8" s="438">
        <f t="shared" ref="N8:N23" si="1">+H8-M8</f>
        <v>7649.5098120869952</v>
      </c>
      <c r="O8" s="438">
        <f t="shared" ref="O8:O23" si="2">+$O$3-L8</f>
        <v>3272</v>
      </c>
      <c r="P8" s="438">
        <v>9</v>
      </c>
      <c r="Q8" s="439">
        <f>+O8/365</f>
        <v>8.9643835616438352</v>
      </c>
      <c r="R8" s="440">
        <f t="shared" ref="R8:R23" si="3">+P8-Q8</f>
        <v>3.5616438356164792E-2</v>
      </c>
      <c r="S8" s="441">
        <f t="shared" ref="S8:S23" si="4">1/P8*0.95</f>
        <v>0.10555555555555554</v>
      </c>
      <c r="T8" s="436">
        <v>7650</v>
      </c>
      <c r="U8" s="436">
        <f>+N8-T8</f>
        <v>-0.4901879130047746</v>
      </c>
      <c r="V8" s="442">
        <f>+H8*5%</f>
        <v>7649.8</v>
      </c>
      <c r="W8" s="335">
        <f t="shared" ref="W8:W23" si="5">+U8-V8</f>
        <v>-7650.290187913005</v>
      </c>
    </row>
    <row r="9" spans="1:23" ht="15.75">
      <c r="A9" s="317">
        <f>+A8+1</f>
        <v>2</v>
      </c>
      <c r="B9" s="317" t="s">
        <v>2177</v>
      </c>
      <c r="C9" s="318" t="s">
        <v>1945</v>
      </c>
      <c r="D9" s="318"/>
      <c r="E9" s="318"/>
      <c r="F9" s="317"/>
      <c r="G9" s="318"/>
      <c r="H9" s="436">
        <v>5200</v>
      </c>
      <c r="I9" s="317"/>
      <c r="J9" s="436">
        <v>0</v>
      </c>
      <c r="K9" s="436">
        <f t="shared" si="0"/>
        <v>5200</v>
      </c>
      <c r="L9" s="437">
        <v>41801</v>
      </c>
      <c r="M9" s="335">
        <v>5200.3551462866026</v>
      </c>
      <c r="N9" s="438">
        <f t="shared" si="1"/>
        <v>-0.35514628660257586</v>
      </c>
      <c r="O9" s="438">
        <f t="shared" si="2"/>
        <v>3215</v>
      </c>
      <c r="P9" s="438">
        <v>9</v>
      </c>
      <c r="Q9" s="439">
        <f t="shared" ref="Q9:Q23" si="6">+O9/365</f>
        <v>8.8082191780821919</v>
      </c>
      <c r="R9" s="440">
        <f t="shared" si="3"/>
        <v>0.1917808219178081</v>
      </c>
      <c r="S9" s="441">
        <f t="shared" si="4"/>
        <v>0.10555555555555554</v>
      </c>
      <c r="T9" s="436">
        <v>0</v>
      </c>
      <c r="U9" s="436">
        <f t="shared" ref="U9:U23" si="7">+N9-T9</f>
        <v>-0.35514628660257586</v>
      </c>
      <c r="V9" s="442">
        <f t="shared" ref="V9:V23" si="8">+H9*5%</f>
        <v>260</v>
      </c>
      <c r="W9" s="335">
        <f t="shared" si="5"/>
        <v>-260.35514628660258</v>
      </c>
    </row>
    <row r="10" spans="1:23" ht="15.75">
      <c r="A10" s="317">
        <f t="shared" ref="A10:A23" si="9">+A9+1</f>
        <v>3</v>
      </c>
      <c r="B10" s="317" t="s">
        <v>2177</v>
      </c>
      <c r="C10" s="318" t="s">
        <v>1945</v>
      </c>
      <c r="D10" s="318"/>
      <c r="E10" s="318"/>
      <c r="F10" s="317"/>
      <c r="G10" s="318"/>
      <c r="H10" s="436">
        <v>32076</v>
      </c>
      <c r="I10" s="317"/>
      <c r="J10" s="436">
        <v>0</v>
      </c>
      <c r="K10" s="436">
        <f t="shared" si="0"/>
        <v>32076</v>
      </c>
      <c r="L10" s="437">
        <v>42073</v>
      </c>
      <c r="M10" s="335">
        <v>32076.045017575649</v>
      </c>
      <c r="N10" s="438">
        <f t="shared" si="1"/>
        <v>-4.5017575648671482E-2</v>
      </c>
      <c r="O10" s="438">
        <f t="shared" si="2"/>
        <v>2943</v>
      </c>
      <c r="P10" s="438">
        <v>9</v>
      </c>
      <c r="Q10" s="439">
        <f t="shared" si="6"/>
        <v>8.0630136986301366</v>
      </c>
      <c r="R10" s="440">
        <f t="shared" si="3"/>
        <v>0.93698630136986338</v>
      </c>
      <c r="S10" s="441">
        <f t="shared" si="4"/>
        <v>0.10555555555555554</v>
      </c>
      <c r="T10" s="436">
        <v>0</v>
      </c>
      <c r="U10" s="436">
        <f t="shared" si="7"/>
        <v>-4.5017575648671482E-2</v>
      </c>
      <c r="V10" s="442">
        <f t="shared" si="8"/>
        <v>1603.8000000000002</v>
      </c>
      <c r="W10" s="335">
        <f t="shared" si="5"/>
        <v>-1603.8450175756489</v>
      </c>
    </row>
    <row r="11" spans="1:23" ht="15.75">
      <c r="A11" s="317">
        <f t="shared" si="9"/>
        <v>4</v>
      </c>
      <c r="B11" s="317" t="s">
        <v>2177</v>
      </c>
      <c r="C11" s="318" t="s">
        <v>1945</v>
      </c>
      <c r="D11" s="318"/>
      <c r="E11" s="318"/>
      <c r="F11" s="317"/>
      <c r="G11" s="318"/>
      <c r="H11" s="436">
        <v>6500</v>
      </c>
      <c r="I11" s="317"/>
      <c r="J11" s="436">
        <v>0</v>
      </c>
      <c r="K11" s="436">
        <f t="shared" si="0"/>
        <v>6500</v>
      </c>
      <c r="L11" s="437">
        <v>41995</v>
      </c>
      <c r="M11" s="335">
        <v>6499.9465455137897</v>
      </c>
      <c r="N11" s="438">
        <f t="shared" si="1"/>
        <v>5.3454486210284813E-2</v>
      </c>
      <c r="O11" s="438">
        <f t="shared" si="2"/>
        <v>3021</v>
      </c>
      <c r="P11" s="438">
        <v>9</v>
      </c>
      <c r="Q11" s="439">
        <f t="shared" si="6"/>
        <v>8.2767123287671236</v>
      </c>
      <c r="R11" s="440">
        <f t="shared" si="3"/>
        <v>0.72328767123287641</v>
      </c>
      <c r="S11" s="441">
        <f t="shared" si="4"/>
        <v>0.10555555555555554</v>
      </c>
      <c r="T11" s="436">
        <v>0</v>
      </c>
      <c r="U11" s="436">
        <f t="shared" si="7"/>
        <v>5.3454486210284813E-2</v>
      </c>
      <c r="V11" s="442">
        <f t="shared" si="8"/>
        <v>325</v>
      </c>
      <c r="W11" s="335">
        <f t="shared" si="5"/>
        <v>-324.94654551378972</v>
      </c>
    </row>
    <row r="12" spans="1:23" ht="15.75">
      <c r="A12" s="317">
        <f t="shared" si="9"/>
        <v>5</v>
      </c>
      <c r="B12" s="337" t="s">
        <v>2177</v>
      </c>
      <c r="C12" s="318" t="s">
        <v>1945</v>
      </c>
      <c r="D12" s="318"/>
      <c r="E12" s="318"/>
      <c r="F12" s="317"/>
      <c r="G12" s="318"/>
      <c r="H12" s="436">
        <v>8000</v>
      </c>
      <c r="I12" s="317"/>
      <c r="J12" s="436">
        <v>0</v>
      </c>
      <c r="K12" s="436">
        <f t="shared" si="0"/>
        <v>8000</v>
      </c>
      <c r="L12" s="443">
        <v>42266</v>
      </c>
      <c r="M12" s="335">
        <v>7999.8351890424465</v>
      </c>
      <c r="N12" s="438">
        <f t="shared" si="1"/>
        <v>0.16481095755352726</v>
      </c>
      <c r="O12" s="438">
        <f t="shared" si="2"/>
        <v>2750</v>
      </c>
      <c r="P12" s="438">
        <v>9</v>
      </c>
      <c r="Q12" s="439">
        <f t="shared" si="6"/>
        <v>7.5342465753424657</v>
      </c>
      <c r="R12" s="440">
        <f t="shared" si="3"/>
        <v>1.4657534246575343</v>
      </c>
      <c r="S12" s="441">
        <f t="shared" si="4"/>
        <v>0.10555555555555554</v>
      </c>
      <c r="T12" s="436">
        <v>0</v>
      </c>
      <c r="U12" s="436">
        <f t="shared" si="7"/>
        <v>0.16481095755352726</v>
      </c>
      <c r="V12" s="442">
        <f t="shared" si="8"/>
        <v>400</v>
      </c>
      <c r="W12" s="335">
        <f t="shared" si="5"/>
        <v>-399.83518904244647</v>
      </c>
    </row>
    <row r="13" spans="1:23" ht="15.75">
      <c r="A13" s="317">
        <f t="shared" si="9"/>
        <v>6</v>
      </c>
      <c r="B13" s="337" t="s">
        <v>2177</v>
      </c>
      <c r="C13" s="318" t="s">
        <v>1945</v>
      </c>
      <c r="D13" s="318"/>
      <c r="E13" s="318"/>
      <c r="F13" s="317"/>
      <c r="G13" s="318"/>
      <c r="H13" s="436">
        <v>5300</v>
      </c>
      <c r="I13" s="317"/>
      <c r="J13" s="436">
        <v>0</v>
      </c>
      <c r="K13" s="436">
        <f t="shared" si="0"/>
        <v>5300</v>
      </c>
      <c r="L13" s="443">
        <v>42360</v>
      </c>
      <c r="M13" s="335">
        <v>5299.9509801671975</v>
      </c>
      <c r="N13" s="438">
        <f t="shared" si="1"/>
        <v>4.9019832802514429E-2</v>
      </c>
      <c r="O13" s="438">
        <f t="shared" si="2"/>
        <v>2656</v>
      </c>
      <c r="P13" s="438">
        <v>9</v>
      </c>
      <c r="Q13" s="439">
        <f t="shared" si="6"/>
        <v>7.2767123287671236</v>
      </c>
      <c r="R13" s="440">
        <f t="shared" si="3"/>
        <v>1.7232876712328764</v>
      </c>
      <c r="S13" s="441">
        <f t="shared" si="4"/>
        <v>0.10555555555555554</v>
      </c>
      <c r="T13" s="436">
        <v>0</v>
      </c>
      <c r="U13" s="436">
        <f t="shared" si="7"/>
        <v>4.9019832802514429E-2</v>
      </c>
      <c r="V13" s="442">
        <f t="shared" si="8"/>
        <v>265</v>
      </c>
      <c r="W13" s="335">
        <f t="shared" si="5"/>
        <v>-264.95098016719749</v>
      </c>
    </row>
    <row r="14" spans="1:23" ht="15.75">
      <c r="A14" s="317">
        <f t="shared" si="9"/>
        <v>7</v>
      </c>
      <c r="B14" s="337" t="s">
        <v>2177</v>
      </c>
      <c r="C14" s="318" t="s">
        <v>1945</v>
      </c>
      <c r="D14" s="318"/>
      <c r="E14" s="318"/>
      <c r="F14" s="317"/>
      <c r="G14" s="318"/>
      <c r="H14" s="436">
        <v>25740</v>
      </c>
      <c r="I14" s="317"/>
      <c r="J14" s="436">
        <v>0</v>
      </c>
      <c r="K14" s="436">
        <f t="shared" si="0"/>
        <v>25740</v>
      </c>
      <c r="L14" s="443">
        <v>42227</v>
      </c>
      <c r="M14" s="335">
        <v>25740.116686266407</v>
      </c>
      <c r="N14" s="438">
        <f t="shared" si="1"/>
        <v>-0.11668626640675939</v>
      </c>
      <c r="O14" s="438">
        <f t="shared" si="2"/>
        <v>2789</v>
      </c>
      <c r="P14" s="438">
        <v>9</v>
      </c>
      <c r="Q14" s="439">
        <f t="shared" si="6"/>
        <v>7.6410958904109592</v>
      </c>
      <c r="R14" s="440">
        <f t="shared" si="3"/>
        <v>1.3589041095890408</v>
      </c>
      <c r="S14" s="441">
        <f t="shared" si="4"/>
        <v>0.10555555555555554</v>
      </c>
      <c r="T14" s="436">
        <v>0</v>
      </c>
      <c r="U14" s="436">
        <f t="shared" si="7"/>
        <v>-0.11668626640675939</v>
      </c>
      <c r="V14" s="442">
        <f t="shared" si="8"/>
        <v>1287</v>
      </c>
      <c r="W14" s="335">
        <f t="shared" si="5"/>
        <v>-1287.1166862664068</v>
      </c>
    </row>
    <row r="15" spans="1:23" ht="15.75">
      <c r="A15" s="317">
        <f t="shared" si="9"/>
        <v>8</v>
      </c>
      <c r="B15" s="337" t="s">
        <v>2177</v>
      </c>
      <c r="C15" s="318" t="s">
        <v>1945</v>
      </c>
      <c r="D15" s="318"/>
      <c r="E15" s="318"/>
      <c r="F15" s="317"/>
      <c r="G15" s="318"/>
      <c r="H15" s="436">
        <v>22930</v>
      </c>
      <c r="I15" s="317"/>
      <c r="J15" s="436">
        <v>0</v>
      </c>
      <c r="K15" s="436">
        <f t="shared" si="0"/>
        <v>22930</v>
      </c>
      <c r="L15" s="443">
        <v>42312</v>
      </c>
      <c r="M15" s="335">
        <v>22930.202164168193</v>
      </c>
      <c r="N15" s="438">
        <f t="shared" si="1"/>
        <v>-0.20216416819312144</v>
      </c>
      <c r="O15" s="438">
        <f t="shared" si="2"/>
        <v>2704</v>
      </c>
      <c r="P15" s="438">
        <v>9</v>
      </c>
      <c r="Q15" s="439">
        <f t="shared" si="6"/>
        <v>7.4082191780821915</v>
      </c>
      <c r="R15" s="440">
        <f t="shared" si="3"/>
        <v>1.5917808219178085</v>
      </c>
      <c r="S15" s="441">
        <f t="shared" si="4"/>
        <v>0.10555555555555554</v>
      </c>
      <c r="T15" s="436">
        <v>0</v>
      </c>
      <c r="U15" s="436">
        <f t="shared" si="7"/>
        <v>-0.20216416819312144</v>
      </c>
      <c r="V15" s="442">
        <f t="shared" si="8"/>
        <v>1146.5</v>
      </c>
      <c r="W15" s="335">
        <f t="shared" si="5"/>
        <v>-1146.7021641681931</v>
      </c>
    </row>
    <row r="16" spans="1:23" ht="15.75">
      <c r="A16" s="317">
        <f t="shared" si="9"/>
        <v>9</v>
      </c>
      <c r="B16" s="337" t="s">
        <v>2177</v>
      </c>
      <c r="C16" s="318" t="s">
        <v>1945</v>
      </c>
      <c r="D16" s="318"/>
      <c r="E16" s="318"/>
      <c r="F16" s="317"/>
      <c r="G16" s="318"/>
      <c r="H16" s="436">
        <v>5600</v>
      </c>
      <c r="I16" s="317"/>
      <c r="J16" s="436">
        <v>0</v>
      </c>
      <c r="K16" s="436">
        <f t="shared" si="0"/>
        <v>5600</v>
      </c>
      <c r="L16" s="443">
        <v>42388</v>
      </c>
      <c r="M16" s="335">
        <v>5599.7109807754969</v>
      </c>
      <c r="N16" s="438">
        <f t="shared" si="1"/>
        <v>0.28901922450313577</v>
      </c>
      <c r="O16" s="438">
        <f t="shared" si="2"/>
        <v>2628</v>
      </c>
      <c r="P16" s="438">
        <v>9</v>
      </c>
      <c r="Q16" s="439">
        <f t="shared" si="6"/>
        <v>7.2</v>
      </c>
      <c r="R16" s="440">
        <f t="shared" si="3"/>
        <v>1.7999999999999998</v>
      </c>
      <c r="S16" s="441">
        <f t="shared" si="4"/>
        <v>0.10555555555555554</v>
      </c>
      <c r="T16" s="436">
        <v>0</v>
      </c>
      <c r="U16" s="436">
        <f t="shared" si="7"/>
        <v>0.28901922450313577</v>
      </c>
      <c r="V16" s="442">
        <f t="shared" si="8"/>
        <v>280</v>
      </c>
      <c r="W16" s="335">
        <f t="shared" si="5"/>
        <v>-279.71098077549686</v>
      </c>
    </row>
    <row r="17" spans="1:23" ht="15.75">
      <c r="A17" s="317">
        <f t="shared" si="9"/>
        <v>10</v>
      </c>
      <c r="B17" s="337" t="s">
        <v>2177</v>
      </c>
      <c r="C17" s="318" t="s">
        <v>1945</v>
      </c>
      <c r="D17" s="318"/>
      <c r="E17" s="318"/>
      <c r="F17" s="317"/>
      <c r="G17" s="318"/>
      <c r="H17" s="436">
        <v>10000</v>
      </c>
      <c r="I17" s="317"/>
      <c r="J17" s="436">
        <v>0</v>
      </c>
      <c r="K17" s="436">
        <f t="shared" si="0"/>
        <v>10000</v>
      </c>
      <c r="L17" s="443">
        <v>42434</v>
      </c>
      <c r="M17" s="335">
        <v>9999.7287497526104</v>
      </c>
      <c r="N17" s="438">
        <f t="shared" si="1"/>
        <v>0.27125024738961656</v>
      </c>
      <c r="O17" s="438">
        <f t="shared" si="2"/>
        <v>2582</v>
      </c>
      <c r="P17" s="438">
        <v>9</v>
      </c>
      <c r="Q17" s="439">
        <f t="shared" si="6"/>
        <v>7.0739726027397261</v>
      </c>
      <c r="R17" s="440">
        <f t="shared" si="3"/>
        <v>1.9260273972602739</v>
      </c>
      <c r="S17" s="441">
        <f t="shared" si="4"/>
        <v>0.10555555555555554</v>
      </c>
      <c r="T17" s="436">
        <v>0</v>
      </c>
      <c r="U17" s="436">
        <f t="shared" si="7"/>
        <v>0.27125024738961656</v>
      </c>
      <c r="V17" s="442">
        <f t="shared" si="8"/>
        <v>500</v>
      </c>
      <c r="W17" s="335">
        <f t="shared" si="5"/>
        <v>-499.72874975261038</v>
      </c>
    </row>
    <row r="18" spans="1:23" ht="15.75">
      <c r="A18" s="317">
        <f t="shared" si="9"/>
        <v>11</v>
      </c>
      <c r="B18" s="337" t="s">
        <v>2177</v>
      </c>
      <c r="C18" s="318" t="s">
        <v>1945</v>
      </c>
      <c r="D18" s="318"/>
      <c r="E18" s="318"/>
      <c r="F18" s="317"/>
      <c r="G18" s="318"/>
      <c r="H18" s="436">
        <v>13846</v>
      </c>
      <c r="I18" s="317"/>
      <c r="J18" s="436">
        <v>0</v>
      </c>
      <c r="K18" s="436">
        <f t="shared" si="0"/>
        <v>13846</v>
      </c>
      <c r="L18" s="443">
        <v>42429</v>
      </c>
      <c r="M18" s="335">
        <v>13846.457309741249</v>
      </c>
      <c r="N18" s="438">
        <f t="shared" si="1"/>
        <v>-0.45730974124853674</v>
      </c>
      <c r="O18" s="438">
        <f t="shared" si="2"/>
        <v>2587</v>
      </c>
      <c r="P18" s="438">
        <v>9</v>
      </c>
      <c r="Q18" s="439">
        <f t="shared" si="6"/>
        <v>7.087671232876712</v>
      </c>
      <c r="R18" s="440">
        <f t="shared" si="3"/>
        <v>1.912328767123288</v>
      </c>
      <c r="S18" s="441">
        <f t="shared" si="4"/>
        <v>0.10555555555555554</v>
      </c>
      <c r="T18" s="436">
        <v>0</v>
      </c>
      <c r="U18" s="436">
        <f t="shared" si="7"/>
        <v>-0.45730974124853674</v>
      </c>
      <c r="V18" s="442">
        <f t="shared" si="8"/>
        <v>692.30000000000007</v>
      </c>
      <c r="W18" s="335">
        <f t="shared" si="5"/>
        <v>-692.7573097412486</v>
      </c>
    </row>
    <row r="19" spans="1:23" ht="15.75">
      <c r="A19" s="317">
        <f t="shared" si="9"/>
        <v>12</v>
      </c>
      <c r="B19" s="337" t="s">
        <v>2177</v>
      </c>
      <c r="C19" s="318" t="s">
        <v>1945</v>
      </c>
      <c r="D19" s="318"/>
      <c r="E19" s="318"/>
      <c r="F19" s="317"/>
      <c r="G19" s="318"/>
      <c r="H19" s="436">
        <v>155907</v>
      </c>
      <c r="I19" s="317"/>
      <c r="J19" s="436">
        <v>0</v>
      </c>
      <c r="K19" s="436">
        <f t="shared" si="0"/>
        <v>155907</v>
      </c>
      <c r="L19" s="443">
        <v>42391</v>
      </c>
      <c r="M19" s="335">
        <v>155907.00521308999</v>
      </c>
      <c r="N19" s="438">
        <f t="shared" si="1"/>
        <v>-5.2130899857729673E-3</v>
      </c>
      <c r="O19" s="438">
        <f t="shared" si="2"/>
        <v>2625</v>
      </c>
      <c r="P19" s="438">
        <v>9</v>
      </c>
      <c r="Q19" s="439">
        <f t="shared" si="6"/>
        <v>7.1917808219178081</v>
      </c>
      <c r="R19" s="440">
        <f t="shared" si="3"/>
        <v>1.8082191780821919</v>
      </c>
      <c r="S19" s="441">
        <f t="shared" si="4"/>
        <v>0.10555555555555554</v>
      </c>
      <c r="T19" s="436">
        <v>0</v>
      </c>
      <c r="U19" s="436">
        <f t="shared" si="7"/>
        <v>-5.2130899857729673E-3</v>
      </c>
      <c r="V19" s="442">
        <f t="shared" si="8"/>
        <v>7795.35</v>
      </c>
      <c r="W19" s="335">
        <f t="shared" si="5"/>
        <v>-7795.3552130899861</v>
      </c>
    </row>
    <row r="20" spans="1:23" ht="15.75">
      <c r="A20" s="317">
        <f t="shared" si="9"/>
        <v>13</v>
      </c>
      <c r="B20" s="318" t="s">
        <v>2178</v>
      </c>
      <c r="C20" s="318" t="s">
        <v>1945</v>
      </c>
      <c r="D20" s="318"/>
      <c r="E20" s="318"/>
      <c r="F20" s="317"/>
      <c r="G20" s="318"/>
      <c r="H20" s="436">
        <v>25880</v>
      </c>
      <c r="I20" s="317"/>
      <c r="J20" s="436">
        <v>0</v>
      </c>
      <c r="K20" s="436">
        <f t="shared" si="0"/>
        <v>25880</v>
      </c>
      <c r="L20" s="443">
        <v>42187</v>
      </c>
      <c r="M20" s="335">
        <v>24585.587694563899</v>
      </c>
      <c r="N20" s="438">
        <f t="shared" si="1"/>
        <v>1294.4123054361007</v>
      </c>
      <c r="O20" s="438">
        <f t="shared" si="2"/>
        <v>2829</v>
      </c>
      <c r="P20" s="438">
        <v>9</v>
      </c>
      <c r="Q20" s="439">
        <f t="shared" si="6"/>
        <v>7.7506849315068491</v>
      </c>
      <c r="R20" s="440">
        <f t="shared" si="3"/>
        <v>1.2493150684931509</v>
      </c>
      <c r="S20" s="441">
        <f t="shared" si="4"/>
        <v>0.10555555555555554</v>
      </c>
      <c r="T20" s="436">
        <v>1294</v>
      </c>
      <c r="U20" s="436">
        <f t="shared" si="7"/>
        <v>0.41230543610072345</v>
      </c>
      <c r="V20" s="442">
        <f t="shared" si="8"/>
        <v>1294</v>
      </c>
      <c r="W20" s="335">
        <f t="shared" si="5"/>
        <v>-1293.5876945638993</v>
      </c>
    </row>
    <row r="21" spans="1:23" ht="15.75">
      <c r="A21" s="317">
        <f t="shared" si="9"/>
        <v>14</v>
      </c>
      <c r="B21" s="337" t="s">
        <v>2179</v>
      </c>
      <c r="C21" s="318" t="s">
        <v>1945</v>
      </c>
      <c r="D21" s="318"/>
      <c r="E21" s="318"/>
      <c r="F21" s="317"/>
      <c r="G21" s="318"/>
      <c r="H21" s="436">
        <v>75590</v>
      </c>
      <c r="I21" s="317"/>
      <c r="J21" s="436">
        <v>0</v>
      </c>
      <c r="K21" s="436">
        <f t="shared" si="0"/>
        <v>75590</v>
      </c>
      <c r="L21" s="443">
        <v>42184</v>
      </c>
      <c r="M21" s="335">
        <v>71810.145395598796</v>
      </c>
      <c r="N21" s="438">
        <f t="shared" si="1"/>
        <v>3779.8546044012037</v>
      </c>
      <c r="O21" s="438">
        <f t="shared" si="2"/>
        <v>2832</v>
      </c>
      <c r="P21" s="438">
        <v>9</v>
      </c>
      <c r="Q21" s="439">
        <f t="shared" si="6"/>
        <v>7.7589041095890412</v>
      </c>
      <c r="R21" s="440">
        <f t="shared" si="3"/>
        <v>1.2410958904109588</v>
      </c>
      <c r="S21" s="441">
        <f t="shared" si="4"/>
        <v>0.10555555555555554</v>
      </c>
      <c r="T21" s="436">
        <f>3780-1</f>
        <v>3779</v>
      </c>
      <c r="U21" s="436">
        <f t="shared" si="7"/>
        <v>0.8546044012036873</v>
      </c>
      <c r="V21" s="442">
        <f t="shared" si="8"/>
        <v>3779.5</v>
      </c>
      <c r="W21" s="335">
        <f t="shared" si="5"/>
        <v>-3778.6453955987963</v>
      </c>
    </row>
    <row r="22" spans="1:23" ht="15.75">
      <c r="A22" s="317">
        <f t="shared" si="9"/>
        <v>15</v>
      </c>
      <c r="B22" s="337" t="s">
        <v>2179</v>
      </c>
      <c r="C22" s="318" t="s">
        <v>1945</v>
      </c>
      <c r="D22" s="318"/>
      <c r="E22" s="318"/>
      <c r="F22" s="317"/>
      <c r="G22" s="318"/>
      <c r="H22" s="436">
        <v>17500</v>
      </c>
      <c r="I22" s="317"/>
      <c r="J22" s="436">
        <v>0</v>
      </c>
      <c r="K22" s="436">
        <f t="shared" si="0"/>
        <v>17500</v>
      </c>
      <c r="L22" s="443">
        <v>42290</v>
      </c>
      <c r="M22" s="335">
        <v>17499.797441276896</v>
      </c>
      <c r="N22" s="438">
        <f t="shared" si="1"/>
        <v>0.20255872310372069</v>
      </c>
      <c r="O22" s="438">
        <f t="shared" si="2"/>
        <v>2726</v>
      </c>
      <c r="P22" s="438">
        <v>9</v>
      </c>
      <c r="Q22" s="439">
        <f t="shared" si="6"/>
        <v>7.4684931506849317</v>
      </c>
      <c r="R22" s="440">
        <f t="shared" si="3"/>
        <v>1.5315068493150683</v>
      </c>
      <c r="S22" s="441">
        <f t="shared" si="4"/>
        <v>0.10555555555555554</v>
      </c>
      <c r="T22" s="436">
        <v>0</v>
      </c>
      <c r="U22" s="436">
        <f t="shared" si="7"/>
        <v>0.20255872310372069</v>
      </c>
      <c r="V22" s="442">
        <f t="shared" si="8"/>
        <v>875</v>
      </c>
      <c r="W22" s="335">
        <f t="shared" si="5"/>
        <v>-874.79744127689628</v>
      </c>
    </row>
    <row r="23" spans="1:23" ht="15.75">
      <c r="A23" s="317">
        <f t="shared" si="9"/>
        <v>16</v>
      </c>
      <c r="B23" s="337" t="s">
        <v>2179</v>
      </c>
      <c r="C23" s="318" t="s">
        <v>1945</v>
      </c>
      <c r="D23" s="318"/>
      <c r="E23" s="318"/>
      <c r="F23" s="317"/>
      <c r="G23" s="318"/>
      <c r="H23" s="436">
        <v>18000</v>
      </c>
      <c r="I23" s="317"/>
      <c r="J23" s="436">
        <v>0</v>
      </c>
      <c r="K23" s="436">
        <f t="shared" si="0"/>
        <v>18000</v>
      </c>
      <c r="L23" s="443">
        <v>42336</v>
      </c>
      <c r="M23" s="335">
        <v>18000.184557651341</v>
      </c>
      <c r="N23" s="438">
        <f t="shared" si="1"/>
        <v>-0.18455765134058311</v>
      </c>
      <c r="O23" s="438">
        <f t="shared" si="2"/>
        <v>2680</v>
      </c>
      <c r="P23" s="438">
        <v>9</v>
      </c>
      <c r="Q23" s="439">
        <f t="shared" si="6"/>
        <v>7.3424657534246576</v>
      </c>
      <c r="R23" s="440">
        <f t="shared" si="3"/>
        <v>1.6575342465753424</v>
      </c>
      <c r="S23" s="441">
        <f t="shared" si="4"/>
        <v>0.10555555555555554</v>
      </c>
      <c r="T23" s="436">
        <v>0</v>
      </c>
      <c r="U23" s="436">
        <f t="shared" si="7"/>
        <v>-0.18455765134058311</v>
      </c>
      <c r="V23" s="442">
        <f t="shared" si="8"/>
        <v>900</v>
      </c>
      <c r="W23" s="335">
        <f t="shared" si="5"/>
        <v>-900.18455765134058</v>
      </c>
    </row>
    <row r="24" spans="1:23" s="364" customFormat="1" ht="15.75">
      <c r="A24" s="314"/>
      <c r="B24" s="444" t="s">
        <v>2180</v>
      </c>
      <c r="C24" s="444"/>
      <c r="D24" s="444"/>
      <c r="E24" s="444"/>
      <c r="F24" s="314"/>
      <c r="G24" s="444"/>
      <c r="H24" s="445">
        <f>SUM(H8:H23)</f>
        <v>581065</v>
      </c>
      <c r="I24" s="445">
        <f>SUM(I8:I23)</f>
        <v>0</v>
      </c>
      <c r="J24" s="445">
        <f>SUM(J8:J23)</f>
        <v>0</v>
      </c>
      <c r="K24" s="445">
        <f>SUM(K8:K23)</f>
        <v>581065</v>
      </c>
      <c r="L24" s="445" t="s">
        <v>24</v>
      </c>
      <c r="M24" s="445">
        <f>SUM(M8:M23)</f>
        <v>568341.55925938359</v>
      </c>
      <c r="N24" s="445">
        <f>SUM(N8:N23)</f>
        <v>12723.440740616436</v>
      </c>
      <c r="O24" s="445" t="s">
        <v>24</v>
      </c>
      <c r="P24" s="445" t="s">
        <v>24</v>
      </c>
      <c r="Q24" s="445" t="s">
        <v>24</v>
      </c>
      <c r="R24" s="445" t="s">
        <v>24</v>
      </c>
      <c r="S24" s="445" t="s">
        <v>24</v>
      </c>
      <c r="T24" s="445">
        <f>SUM(T8:T23)</f>
        <v>12723</v>
      </c>
      <c r="U24" s="445">
        <f>SUM(U8:U23)</f>
        <v>0.44074061643641471</v>
      </c>
      <c r="V24" s="445">
        <f>SUM(V8:V23)</f>
        <v>29053.25</v>
      </c>
    </row>
    <row r="25" spans="1:23">
      <c r="E25" s="313"/>
    </row>
    <row r="26" spans="1:23">
      <c r="E26" s="313"/>
    </row>
    <row r="27" spans="1:23">
      <c r="E27" s="313"/>
    </row>
    <row r="28" spans="1:23">
      <c r="E28" s="313"/>
    </row>
    <row r="29" spans="1:23">
      <c r="E29" s="313"/>
    </row>
    <row r="30" spans="1:23">
      <c r="E30" s="313"/>
    </row>
    <row r="31" spans="1:23">
      <c r="E31" s="313"/>
    </row>
    <row r="32" spans="1:23">
      <c r="E32" s="313"/>
    </row>
    <row r="33" spans="5:5">
      <c r="E33" s="313"/>
    </row>
    <row r="34" spans="5:5">
      <c r="E34" s="313"/>
    </row>
    <row r="35" spans="5:5">
      <c r="E35" s="313"/>
    </row>
    <row r="36" spans="5:5">
      <c r="E36" s="313"/>
    </row>
    <row r="37" spans="5:5">
      <c r="E37" s="313"/>
    </row>
    <row r="38" spans="5:5">
      <c r="E38" s="313"/>
    </row>
    <row r="39" spans="5:5">
      <c r="E39" s="313"/>
    </row>
    <row r="40" spans="5:5">
      <c r="E40" s="313"/>
    </row>
    <row r="41" spans="5:5">
      <c r="E41" s="313"/>
    </row>
    <row r="42" spans="5:5">
      <c r="E42" s="313"/>
    </row>
    <row r="43" spans="5:5">
      <c r="E43" s="313"/>
    </row>
    <row r="44" spans="5:5">
      <c r="E44" s="313"/>
    </row>
    <row r="45" spans="5:5">
      <c r="E45" s="313"/>
    </row>
    <row r="46" spans="5:5">
      <c r="E46" s="313"/>
    </row>
    <row r="47" spans="5:5">
      <c r="E47" s="313"/>
    </row>
    <row r="48" spans="5:5">
      <c r="E48" s="313"/>
    </row>
    <row r="49" spans="5:5">
      <c r="E49" s="313"/>
    </row>
    <row r="50" spans="5:5">
      <c r="E50" s="313"/>
    </row>
    <row r="51" spans="5:5">
      <c r="E51" s="313"/>
    </row>
    <row r="52" spans="5:5">
      <c r="E52" s="313"/>
    </row>
    <row r="53" spans="5:5">
      <c r="E53" s="313"/>
    </row>
    <row r="54" spans="5:5">
      <c r="E54" s="313"/>
    </row>
    <row r="55" spans="5:5">
      <c r="E55" s="313"/>
    </row>
    <row r="56" spans="5:5">
      <c r="E56" s="313"/>
    </row>
    <row r="57" spans="5:5">
      <c r="E57" s="313"/>
    </row>
    <row r="58" spans="5:5">
      <c r="E58" s="313"/>
    </row>
    <row r="59" spans="5:5">
      <c r="E59" s="313"/>
    </row>
    <row r="60" spans="5:5">
      <c r="E60" s="313"/>
    </row>
    <row r="61" spans="5:5">
      <c r="E61" s="313"/>
    </row>
    <row r="62" spans="5:5">
      <c r="E62" s="313"/>
    </row>
    <row r="63" spans="5:5">
      <c r="E63" s="313"/>
    </row>
    <row r="64" spans="5:5">
      <c r="E64" s="313"/>
    </row>
    <row r="65" spans="5:5">
      <c r="E65" s="313"/>
    </row>
    <row r="66" spans="5:5">
      <c r="E66" s="313"/>
    </row>
    <row r="67" spans="5:5">
      <c r="E67" s="313"/>
    </row>
    <row r="68" spans="5:5">
      <c r="E68" s="313"/>
    </row>
    <row r="69" spans="5:5">
      <c r="E69" s="313"/>
    </row>
    <row r="70" spans="5:5">
      <c r="E70" s="313"/>
    </row>
    <row r="71" spans="5:5">
      <c r="E71" s="313"/>
    </row>
    <row r="72" spans="5:5">
      <c r="E72" s="313"/>
    </row>
    <row r="73" spans="5:5">
      <c r="E73" s="313"/>
    </row>
    <row r="74" spans="5:5">
      <c r="E74" s="313"/>
    </row>
    <row r="75" spans="5:5">
      <c r="E75" s="313"/>
    </row>
    <row r="76" spans="5:5">
      <c r="E76" s="313"/>
    </row>
    <row r="77" spans="5:5">
      <c r="E77" s="313"/>
    </row>
    <row r="78" spans="5:5">
      <c r="E78" s="313"/>
    </row>
    <row r="79" spans="5:5">
      <c r="E79" s="313"/>
    </row>
    <row r="80" spans="5:5">
      <c r="E80" s="313"/>
    </row>
    <row r="81" spans="5:5">
      <c r="E81" s="313"/>
    </row>
    <row r="82" spans="5:5">
      <c r="E82" s="313"/>
    </row>
    <row r="83" spans="5:5">
      <c r="E83" s="313"/>
    </row>
    <row r="84" spans="5:5">
      <c r="E84" s="313"/>
    </row>
    <row r="85" spans="5:5">
      <c r="E85" s="313"/>
    </row>
    <row r="86" spans="5:5">
      <c r="E86" s="313"/>
    </row>
    <row r="87" spans="5:5">
      <c r="E87" s="313"/>
    </row>
    <row r="88" spans="5:5">
      <c r="E88" s="313"/>
    </row>
    <row r="89" spans="5:5">
      <c r="E89" s="313"/>
    </row>
    <row r="90" spans="5:5">
      <c r="E90" s="313"/>
    </row>
    <row r="91" spans="5:5">
      <c r="E91" s="313"/>
    </row>
    <row r="92" spans="5:5">
      <c r="E92" s="313"/>
    </row>
    <row r="93" spans="5:5">
      <c r="E93" s="313"/>
    </row>
    <row r="94" spans="5:5">
      <c r="E94" s="313"/>
    </row>
    <row r="95" spans="5:5">
      <c r="E95" s="313"/>
    </row>
    <row r="96" spans="5:5">
      <c r="E96" s="313"/>
    </row>
    <row r="97" spans="5:5">
      <c r="E97" s="313"/>
    </row>
    <row r="98" spans="5:5">
      <c r="E98" s="313"/>
    </row>
    <row r="99" spans="5:5">
      <c r="E99" s="313"/>
    </row>
    <row r="100" spans="5:5">
      <c r="E100" s="313"/>
    </row>
    <row r="101" spans="5:5">
      <c r="E101" s="313"/>
    </row>
    <row r="102" spans="5:5">
      <c r="E102" s="313"/>
    </row>
    <row r="103" spans="5:5">
      <c r="E103" s="313"/>
    </row>
    <row r="104" spans="5:5">
      <c r="E104" s="313"/>
    </row>
    <row r="105" spans="5:5">
      <c r="E105" s="313"/>
    </row>
    <row r="106" spans="5:5">
      <c r="E106" s="313"/>
    </row>
    <row r="107" spans="5:5">
      <c r="E107" s="313"/>
    </row>
    <row r="108" spans="5:5">
      <c r="E108" s="313"/>
    </row>
    <row r="109" spans="5:5">
      <c r="E109" s="313"/>
    </row>
    <row r="110" spans="5:5">
      <c r="E110" s="313"/>
    </row>
    <row r="111" spans="5:5">
      <c r="E111" s="313"/>
    </row>
    <row r="112" spans="5:5">
      <c r="E112" s="313"/>
    </row>
    <row r="113" spans="5:5">
      <c r="E113" s="313"/>
    </row>
    <row r="114" spans="5:5">
      <c r="E114" s="313"/>
    </row>
    <row r="115" spans="5:5">
      <c r="E115" s="313"/>
    </row>
    <row r="116" spans="5:5">
      <c r="E116" s="313"/>
    </row>
    <row r="117" spans="5:5">
      <c r="E117" s="313"/>
    </row>
    <row r="118" spans="5:5">
      <c r="E118" s="313"/>
    </row>
    <row r="119" spans="5:5">
      <c r="E119" s="313"/>
    </row>
    <row r="120" spans="5:5">
      <c r="E120" s="313"/>
    </row>
    <row r="121" spans="5:5">
      <c r="E121" s="313"/>
    </row>
    <row r="122" spans="5:5">
      <c r="E122" s="313"/>
    </row>
    <row r="123" spans="5:5">
      <c r="E123" s="313"/>
    </row>
    <row r="124" spans="5:5">
      <c r="E124" s="313"/>
    </row>
    <row r="125" spans="5:5">
      <c r="E125" s="313"/>
    </row>
    <row r="126" spans="5:5">
      <c r="E126" s="313"/>
    </row>
    <row r="127" spans="5:5">
      <c r="E127" s="313"/>
    </row>
    <row r="128" spans="5:5">
      <c r="E128" s="313"/>
    </row>
    <row r="129" spans="5:5">
      <c r="E129" s="313"/>
    </row>
    <row r="130" spans="5:5">
      <c r="E130" s="313"/>
    </row>
    <row r="131" spans="5:5">
      <c r="E131" s="313"/>
    </row>
    <row r="132" spans="5:5">
      <c r="E132" s="313"/>
    </row>
    <row r="133" spans="5:5">
      <c r="E133" s="313"/>
    </row>
    <row r="134" spans="5:5">
      <c r="E134" s="313"/>
    </row>
    <row r="135" spans="5:5">
      <c r="E135" s="313"/>
    </row>
    <row r="136" spans="5:5">
      <c r="E136" s="313"/>
    </row>
    <row r="137" spans="5:5">
      <c r="E137" s="313"/>
    </row>
    <row r="138" spans="5:5">
      <c r="E138" s="313"/>
    </row>
    <row r="139" spans="5:5">
      <c r="E139" s="313"/>
    </row>
    <row r="140" spans="5:5">
      <c r="E140" s="313"/>
    </row>
    <row r="141" spans="5:5">
      <c r="E141" s="313"/>
    </row>
    <row r="142" spans="5:5">
      <c r="E142" s="313"/>
    </row>
    <row r="143" spans="5:5">
      <c r="E143" s="313"/>
    </row>
    <row r="144" spans="5:5">
      <c r="E144" s="313"/>
    </row>
    <row r="145" spans="5:5">
      <c r="E145" s="313"/>
    </row>
    <row r="146" spans="5:5">
      <c r="E146" s="313"/>
    </row>
    <row r="147" spans="5:5">
      <c r="E147" s="313"/>
    </row>
    <row r="148" spans="5:5">
      <c r="E148" s="313"/>
    </row>
    <row r="149" spans="5:5">
      <c r="E149" s="313"/>
    </row>
    <row r="150" spans="5:5">
      <c r="E150" s="313"/>
    </row>
    <row r="151" spans="5:5">
      <c r="E151" s="313"/>
    </row>
    <row r="152" spans="5:5">
      <c r="E152" s="313"/>
    </row>
    <row r="153" spans="5:5">
      <c r="E153" s="313"/>
    </row>
    <row r="154" spans="5:5">
      <c r="E154" s="313"/>
    </row>
    <row r="155" spans="5:5">
      <c r="E155" s="313"/>
    </row>
    <row r="156" spans="5:5">
      <c r="E156" s="313"/>
    </row>
    <row r="157" spans="5:5">
      <c r="E157" s="313"/>
    </row>
    <row r="158" spans="5:5">
      <c r="E158" s="313"/>
    </row>
    <row r="159" spans="5:5">
      <c r="E159" s="313"/>
    </row>
    <row r="160" spans="5:5">
      <c r="E160" s="313"/>
    </row>
    <row r="161" spans="5:5">
      <c r="E161" s="313"/>
    </row>
    <row r="162" spans="5:5">
      <c r="E162" s="313"/>
    </row>
    <row r="163" spans="5:5">
      <c r="E163" s="313"/>
    </row>
    <row r="164" spans="5:5">
      <c r="E164" s="313"/>
    </row>
    <row r="165" spans="5:5">
      <c r="E165" s="313"/>
    </row>
    <row r="166" spans="5:5">
      <c r="E166" s="313"/>
    </row>
    <row r="167" spans="5:5">
      <c r="E167" s="313"/>
    </row>
    <row r="168" spans="5:5">
      <c r="E168" s="313"/>
    </row>
    <row r="169" spans="5:5">
      <c r="E169" s="313"/>
    </row>
    <row r="170" spans="5:5">
      <c r="E170" s="313"/>
    </row>
    <row r="171" spans="5:5">
      <c r="E171" s="313"/>
    </row>
    <row r="172" spans="5:5">
      <c r="E172" s="313"/>
    </row>
    <row r="173" spans="5:5">
      <c r="E173" s="313"/>
    </row>
    <row r="174" spans="5:5">
      <c r="E174" s="313"/>
    </row>
    <row r="175" spans="5:5">
      <c r="E175" s="313"/>
    </row>
    <row r="176" spans="5:5">
      <c r="E176" s="313"/>
    </row>
    <row r="177" spans="5:5">
      <c r="E177" s="313"/>
    </row>
    <row r="178" spans="5:5">
      <c r="E178" s="313"/>
    </row>
    <row r="179" spans="5:5">
      <c r="E179" s="313"/>
    </row>
    <row r="180" spans="5:5">
      <c r="E180" s="313"/>
    </row>
    <row r="181" spans="5:5">
      <c r="E181" s="313"/>
    </row>
    <row r="182" spans="5:5">
      <c r="E182" s="313"/>
    </row>
    <row r="183" spans="5:5">
      <c r="E183" s="313"/>
    </row>
    <row r="184" spans="5:5">
      <c r="E184" s="313"/>
    </row>
    <row r="185" spans="5:5">
      <c r="E185" s="313"/>
    </row>
    <row r="186" spans="5:5">
      <c r="E186" s="313"/>
    </row>
    <row r="187" spans="5:5">
      <c r="E187" s="313"/>
    </row>
    <row r="188" spans="5:5">
      <c r="E188" s="313"/>
    </row>
    <row r="189" spans="5:5">
      <c r="E189" s="313"/>
    </row>
    <row r="190" spans="5:5">
      <c r="E190" s="313"/>
    </row>
    <row r="191" spans="5:5">
      <c r="E191" s="313"/>
    </row>
    <row r="192" spans="5:5">
      <c r="E192" s="313"/>
    </row>
    <row r="193" spans="5:5">
      <c r="E193" s="313"/>
    </row>
    <row r="194" spans="5:5">
      <c r="E194" s="313"/>
    </row>
    <row r="195" spans="5:5">
      <c r="E195" s="313"/>
    </row>
    <row r="196" spans="5:5">
      <c r="E196" s="313"/>
    </row>
    <row r="197" spans="5:5">
      <c r="E197" s="313"/>
    </row>
    <row r="198" spans="5:5">
      <c r="E198" s="313"/>
    </row>
    <row r="199" spans="5:5">
      <c r="E199" s="313"/>
    </row>
    <row r="200" spans="5:5">
      <c r="E200" s="313"/>
    </row>
    <row r="201" spans="5:5">
      <c r="E201" s="313"/>
    </row>
    <row r="202" spans="5:5">
      <c r="E202" s="313"/>
    </row>
    <row r="203" spans="5:5">
      <c r="E203" s="313"/>
    </row>
    <row r="204" spans="5:5">
      <c r="E204" s="313"/>
    </row>
    <row r="205" spans="5:5">
      <c r="E205" s="313"/>
    </row>
    <row r="206" spans="5:5">
      <c r="E206" s="313"/>
    </row>
    <row r="207" spans="5:5">
      <c r="E207" s="313"/>
    </row>
    <row r="208" spans="5:5">
      <c r="E208" s="313"/>
    </row>
    <row r="209" spans="5:5">
      <c r="E209" s="313"/>
    </row>
    <row r="210" spans="5:5">
      <c r="E210" s="313"/>
    </row>
    <row r="211" spans="5:5">
      <c r="E211" s="313"/>
    </row>
    <row r="212" spans="5:5">
      <c r="E212" s="313"/>
    </row>
    <row r="213" spans="5:5">
      <c r="E213" s="313"/>
    </row>
    <row r="214" spans="5:5">
      <c r="E214" s="313"/>
    </row>
    <row r="215" spans="5:5">
      <c r="E215" s="313"/>
    </row>
    <row r="216" spans="5:5">
      <c r="E216" s="313"/>
    </row>
    <row r="217" spans="5:5">
      <c r="E217" s="313"/>
    </row>
    <row r="218" spans="5:5">
      <c r="E218" s="313"/>
    </row>
    <row r="219" spans="5:5">
      <c r="E219" s="313"/>
    </row>
    <row r="220" spans="5:5">
      <c r="E220" s="313"/>
    </row>
    <row r="221" spans="5:5">
      <c r="E221" s="313"/>
    </row>
    <row r="222" spans="5:5">
      <c r="E222" s="313"/>
    </row>
    <row r="223" spans="5:5">
      <c r="E223" s="313"/>
    </row>
    <row r="224" spans="5:5">
      <c r="E224" s="313"/>
    </row>
    <row r="225" spans="5:5">
      <c r="E225" s="313"/>
    </row>
    <row r="226" spans="5:5">
      <c r="E226" s="313"/>
    </row>
    <row r="227" spans="5:5">
      <c r="E227" s="313"/>
    </row>
    <row r="228" spans="5:5">
      <c r="E228" s="313"/>
    </row>
    <row r="229" spans="5:5">
      <c r="E229" s="313"/>
    </row>
    <row r="230" spans="5:5">
      <c r="E230" s="313"/>
    </row>
    <row r="231" spans="5:5">
      <c r="E231" s="313"/>
    </row>
    <row r="232" spans="5:5">
      <c r="E232" s="313"/>
    </row>
    <row r="233" spans="5:5">
      <c r="E233" s="313"/>
    </row>
    <row r="234" spans="5:5">
      <c r="E234" s="313"/>
    </row>
    <row r="235" spans="5:5">
      <c r="E235" s="313"/>
    </row>
    <row r="236" spans="5:5">
      <c r="E236" s="313"/>
    </row>
    <row r="237" spans="5:5">
      <c r="E237" s="313"/>
    </row>
    <row r="238" spans="5:5">
      <c r="E238" s="313"/>
    </row>
    <row r="239" spans="5:5">
      <c r="E239" s="313"/>
    </row>
    <row r="240" spans="5:5">
      <c r="E240" s="313"/>
    </row>
    <row r="241" spans="5:5">
      <c r="E241" s="313"/>
    </row>
    <row r="242" spans="5:5">
      <c r="E242" s="313"/>
    </row>
    <row r="243" spans="5:5">
      <c r="E243" s="313"/>
    </row>
    <row r="244" spans="5:5">
      <c r="E244" s="313"/>
    </row>
    <row r="245" spans="5:5">
      <c r="E245" s="313"/>
    </row>
    <row r="246" spans="5:5">
      <c r="E246" s="313"/>
    </row>
    <row r="247" spans="5:5">
      <c r="E247" s="313"/>
    </row>
    <row r="248" spans="5:5">
      <c r="E248" s="313"/>
    </row>
    <row r="249" spans="5:5">
      <c r="E249" s="313"/>
    </row>
    <row r="250" spans="5:5">
      <c r="E250" s="313"/>
    </row>
    <row r="251" spans="5:5">
      <c r="E251" s="313"/>
    </row>
    <row r="252" spans="5:5">
      <c r="E252" s="313"/>
    </row>
    <row r="253" spans="5:5">
      <c r="E253" s="313"/>
    </row>
    <row r="254" spans="5:5">
      <c r="E254" s="313"/>
    </row>
    <row r="255" spans="5:5">
      <c r="E255" s="313"/>
    </row>
    <row r="256" spans="5:5">
      <c r="E256" s="313"/>
    </row>
  </sheetData>
  <mergeCells count="23">
    <mergeCell ref="F4:F7"/>
    <mergeCell ref="A4:A7"/>
    <mergeCell ref="B4:B7"/>
    <mergeCell ref="C4:C7"/>
    <mergeCell ref="D4:D7"/>
    <mergeCell ref="E4:E7"/>
    <mergeCell ref="G4:G7"/>
    <mergeCell ref="H4:H7"/>
    <mergeCell ref="I4:J4"/>
    <mergeCell ref="K4:K7"/>
    <mergeCell ref="L4:L7"/>
    <mergeCell ref="T4:T7"/>
    <mergeCell ref="U4:U7"/>
    <mergeCell ref="V4:V7"/>
    <mergeCell ref="I5:I7"/>
    <mergeCell ref="J5:J7"/>
    <mergeCell ref="N4:N7"/>
    <mergeCell ref="O4:O7"/>
    <mergeCell ref="P4:P7"/>
    <mergeCell ref="Q4:Q7"/>
    <mergeCell ref="R4:R7"/>
    <mergeCell ref="S4:S7"/>
    <mergeCell ref="M4:M7"/>
  </mergeCells>
  <printOptions gridLines="1"/>
  <pageMargins left="0.70866141732283472" right="0.70866141732283472" top="0.74803149606299213" bottom="0.74803149606299213" header="0.31496062992125984" footer="0.31496062992125984"/>
  <pageSetup scale="4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319"/>
  <sheetViews>
    <sheetView topLeftCell="L300" zoomScaleNormal="100" workbookViewId="0">
      <selection activeCell="X177" sqref="X177"/>
    </sheetView>
  </sheetViews>
  <sheetFormatPr defaultColWidth="10" defaultRowHeight="12.75"/>
  <cols>
    <col min="1" max="1" width="10.1328125" style="313" bestFit="1" customWidth="1"/>
    <col min="2" max="2" width="15.46484375" style="313" customWidth="1"/>
    <col min="3" max="3" width="10.46484375" style="313" customWidth="1"/>
    <col min="4" max="4" width="15.86328125" style="313" customWidth="1"/>
    <col min="5" max="5" width="38.86328125" style="313" customWidth="1"/>
    <col min="6" max="6" width="13.53125" style="334" customWidth="1"/>
    <col min="7" max="7" width="13" style="313" customWidth="1"/>
    <col min="8" max="8" width="13.53125" style="313" customWidth="1"/>
    <col min="9" max="9" width="7.46484375" style="313" customWidth="1"/>
    <col min="10" max="10" width="9.86328125" style="313" customWidth="1"/>
    <col min="11" max="11" width="15" style="313" customWidth="1"/>
    <col min="12" max="12" width="15.46484375" style="313" customWidth="1"/>
    <col min="13" max="13" width="17.46484375" style="313" customWidth="1"/>
    <col min="14" max="14" width="24.1328125" style="313" bestFit="1" customWidth="1"/>
    <col min="15" max="15" width="18.1328125" style="313" bestFit="1" customWidth="1"/>
    <col min="16" max="16" width="21.6640625" style="313" bestFit="1" customWidth="1"/>
    <col min="17" max="17" width="20.33203125" style="313" bestFit="1" customWidth="1"/>
    <col min="18" max="18" width="26.46484375" style="313" bestFit="1" customWidth="1"/>
    <col min="19" max="19" width="11.6640625" style="313" customWidth="1"/>
    <col min="20" max="20" width="11.86328125" style="313" bestFit="1" customWidth="1"/>
    <col min="21" max="21" width="14.33203125" style="313" customWidth="1"/>
    <col min="22" max="22" width="13" style="313" bestFit="1" customWidth="1"/>
    <col min="23" max="23" width="10" style="313" hidden="1" customWidth="1"/>
    <col min="24" max="16384" width="10" style="313"/>
  </cols>
  <sheetData>
    <row r="1" spans="1:23" ht="16.149999999999999" thickBot="1">
      <c r="A1" s="446" t="s">
        <v>1338</v>
      </c>
    </row>
    <row r="2" spans="1:23" ht="15.75">
      <c r="A2" s="447" t="s">
        <v>2181</v>
      </c>
    </row>
    <row r="3" spans="1:23" ht="17.25" thickBot="1">
      <c r="A3" s="448" t="str">
        <f>+Buildings!B3</f>
        <v>CALCULATION OF DEPRECIATION FOR THE YEAR  ENDED  31-03-2024</v>
      </c>
      <c r="O3" s="449">
        <v>45382</v>
      </c>
    </row>
    <row r="4" spans="1:23" ht="13.15" thickTop="1">
      <c r="A4" s="1171" t="s">
        <v>1289</v>
      </c>
      <c r="B4" s="1171" t="s">
        <v>1290</v>
      </c>
      <c r="C4" s="1179" t="s">
        <v>1367</v>
      </c>
      <c r="D4" s="1185" t="s">
        <v>1352</v>
      </c>
      <c r="E4" s="1179" t="s">
        <v>1368</v>
      </c>
      <c r="F4" s="1183" t="s">
        <v>1369</v>
      </c>
      <c r="G4" s="1179" t="s">
        <v>1370</v>
      </c>
      <c r="H4" s="1177" t="s">
        <v>3662</v>
      </c>
      <c r="I4" s="1181" t="s">
        <v>1353</v>
      </c>
      <c r="J4" s="1182"/>
      <c r="K4" s="1177" t="s">
        <v>3661</v>
      </c>
      <c r="L4" s="1177" t="s">
        <v>1371</v>
      </c>
      <c r="M4" s="1177" t="s">
        <v>3660</v>
      </c>
      <c r="N4" s="1170" t="s">
        <v>3654</v>
      </c>
      <c r="O4" s="1173" t="s">
        <v>1355</v>
      </c>
      <c r="P4" s="1162" t="s">
        <v>1356</v>
      </c>
      <c r="Q4" s="1162" t="s">
        <v>1357</v>
      </c>
      <c r="R4" s="1162" t="s">
        <v>1358</v>
      </c>
      <c r="S4" s="1175" t="s">
        <v>1373</v>
      </c>
      <c r="T4" s="1159" t="s">
        <v>3655</v>
      </c>
      <c r="U4" s="1162" t="s">
        <v>3656</v>
      </c>
      <c r="V4" s="1165" t="s">
        <v>1374</v>
      </c>
    </row>
    <row r="5" spans="1:23">
      <c r="A5" s="1171"/>
      <c r="B5" s="1171"/>
      <c r="C5" s="1179"/>
      <c r="D5" s="1185"/>
      <c r="E5" s="1179"/>
      <c r="F5" s="1183"/>
      <c r="G5" s="1179"/>
      <c r="H5" s="1178"/>
      <c r="I5" s="1168" t="s">
        <v>891</v>
      </c>
      <c r="J5" s="1168" t="s">
        <v>892</v>
      </c>
      <c r="K5" s="1178"/>
      <c r="L5" s="1178"/>
      <c r="M5" s="1178"/>
      <c r="N5" s="1171"/>
      <c r="O5" s="1174"/>
      <c r="P5" s="1163"/>
      <c r="Q5" s="1163"/>
      <c r="R5" s="1163"/>
      <c r="S5" s="1176"/>
      <c r="T5" s="1160"/>
      <c r="U5" s="1163"/>
      <c r="V5" s="1166"/>
    </row>
    <row r="6" spans="1:23">
      <c r="A6" s="1171"/>
      <c r="B6" s="1171"/>
      <c r="C6" s="1179"/>
      <c r="D6" s="1185"/>
      <c r="E6" s="1179"/>
      <c r="F6" s="1183"/>
      <c r="G6" s="1179"/>
      <c r="H6" s="1178"/>
      <c r="I6" s="1169"/>
      <c r="J6" s="1169"/>
      <c r="K6" s="1178"/>
      <c r="L6" s="1178"/>
      <c r="M6" s="1178"/>
      <c r="N6" s="1171"/>
      <c r="O6" s="1174"/>
      <c r="P6" s="1163"/>
      <c r="Q6" s="1163"/>
      <c r="R6" s="1163"/>
      <c r="S6" s="1176"/>
      <c r="T6" s="1160"/>
      <c r="U6" s="1163"/>
      <c r="V6" s="1166"/>
    </row>
    <row r="7" spans="1:23" ht="24" customHeight="1">
      <c r="A7" s="1172"/>
      <c r="B7" s="1172"/>
      <c r="C7" s="1180"/>
      <c r="D7" s="1168"/>
      <c r="E7" s="1180"/>
      <c r="F7" s="1184"/>
      <c r="G7" s="1180"/>
      <c r="H7" s="1178"/>
      <c r="I7" s="1169"/>
      <c r="J7" s="1169"/>
      <c r="K7" s="1178"/>
      <c r="L7" s="1178"/>
      <c r="M7" s="1178"/>
      <c r="N7" s="1172"/>
      <c r="O7" s="1174"/>
      <c r="P7" s="1164"/>
      <c r="Q7" s="1164"/>
      <c r="R7" s="1164"/>
      <c r="S7" s="1176"/>
      <c r="T7" s="1161"/>
      <c r="U7" s="1164"/>
      <c r="V7" s="1167"/>
    </row>
    <row r="8" spans="1:23" s="456" customFormat="1" ht="16.5">
      <c r="A8" s="450">
        <v>1</v>
      </c>
      <c r="B8" s="318" t="s">
        <v>2182</v>
      </c>
      <c r="C8" s="318" t="s">
        <v>1396</v>
      </c>
      <c r="D8" s="318"/>
      <c r="E8" s="318" t="s">
        <v>2183</v>
      </c>
      <c r="F8" s="318" t="s">
        <v>2184</v>
      </c>
      <c r="G8" s="318"/>
      <c r="H8" s="436">
        <v>897</v>
      </c>
      <c r="I8" s="450"/>
      <c r="J8" s="450"/>
      <c r="K8" s="436">
        <f>+H8+I8-J8</f>
        <v>897</v>
      </c>
      <c r="L8" s="451">
        <v>39129</v>
      </c>
      <c r="M8" s="456">
        <v>897.15</v>
      </c>
      <c r="N8" s="438">
        <f>+K8-M8</f>
        <v>-0.14999999999997726</v>
      </c>
      <c r="O8" s="438">
        <f>+$O$3-L8</f>
        <v>6253</v>
      </c>
      <c r="P8" s="452">
        <v>10</v>
      </c>
      <c r="Q8" s="453">
        <f>+O8/365</f>
        <v>17.13150684931507</v>
      </c>
      <c r="R8" s="454">
        <f>+P8-Q8</f>
        <v>-7.1315068493150697</v>
      </c>
      <c r="S8" s="455">
        <f>1/P8*0.95</f>
        <v>9.5000000000000001E-2</v>
      </c>
      <c r="T8" s="317">
        <v>0</v>
      </c>
      <c r="U8" s="436">
        <f>+N8-T8</f>
        <v>-0.14999999999997726</v>
      </c>
      <c r="V8" s="442"/>
      <c r="W8" s="456">
        <f>+U8-V8</f>
        <v>-0.14999999999997726</v>
      </c>
    </row>
    <row r="9" spans="1:23" s="456" customFormat="1" ht="16.5">
      <c r="A9" s="450">
        <f>+A8+1</f>
        <v>2</v>
      </c>
      <c r="B9" s="318" t="s">
        <v>2182</v>
      </c>
      <c r="C9" s="318" t="s">
        <v>1376</v>
      </c>
      <c r="D9" s="318"/>
      <c r="E9" s="318" t="s">
        <v>414</v>
      </c>
      <c r="F9" s="318"/>
      <c r="G9" s="318"/>
      <c r="H9" s="436">
        <v>1015</v>
      </c>
      <c r="I9" s="450"/>
      <c r="J9" s="450"/>
      <c r="K9" s="436">
        <f t="shared" ref="K9:K72" si="0">+H9+I9-J9</f>
        <v>1015</v>
      </c>
      <c r="L9" s="451">
        <v>39457</v>
      </c>
      <c r="M9" s="456">
        <v>1015.0282783935324</v>
      </c>
      <c r="N9" s="438">
        <f t="shared" ref="N9:N72" si="1">+K9-M9</f>
        <v>-2.8278393532445989E-2</v>
      </c>
      <c r="O9" s="438">
        <f t="shared" ref="O9:O72" si="2">+$O$3-L9</f>
        <v>5925</v>
      </c>
      <c r="P9" s="452">
        <v>10</v>
      </c>
      <c r="Q9" s="453">
        <f t="shared" ref="Q9:Q72" si="3">+O9/365</f>
        <v>16.232876712328768</v>
      </c>
      <c r="R9" s="454">
        <f t="shared" ref="R9:R72" si="4">+P9-Q9</f>
        <v>-6.2328767123287676</v>
      </c>
      <c r="S9" s="455">
        <f>1/P9*0.95</f>
        <v>9.5000000000000001E-2</v>
      </c>
      <c r="T9" s="317">
        <v>0</v>
      </c>
      <c r="U9" s="436">
        <f t="shared" ref="U9:U72" si="5">+N9-T9</f>
        <v>-2.8278393532445989E-2</v>
      </c>
      <c r="V9" s="442"/>
      <c r="W9" s="456">
        <f t="shared" ref="W9:W72" si="6">+U9-V9</f>
        <v>-2.8278393532445989E-2</v>
      </c>
    </row>
    <row r="10" spans="1:23" s="456" customFormat="1" ht="16.5">
      <c r="A10" s="450">
        <f t="shared" ref="A10:A73" si="7">+A9+1</f>
        <v>3</v>
      </c>
      <c r="B10" s="318" t="s">
        <v>2182</v>
      </c>
      <c r="C10" s="318" t="s">
        <v>1376</v>
      </c>
      <c r="D10" s="318"/>
      <c r="E10" s="318" t="s">
        <v>414</v>
      </c>
      <c r="F10" s="318"/>
      <c r="G10" s="318"/>
      <c r="H10" s="436">
        <v>1070</v>
      </c>
      <c r="I10" s="450"/>
      <c r="J10" s="450"/>
      <c r="K10" s="436">
        <f t="shared" si="0"/>
        <v>1070</v>
      </c>
      <c r="L10" s="451">
        <v>39415</v>
      </c>
      <c r="M10" s="456">
        <v>1069.7913903859439</v>
      </c>
      <c r="N10" s="438">
        <f t="shared" si="1"/>
        <v>0.20860961405605849</v>
      </c>
      <c r="O10" s="438">
        <f t="shared" si="2"/>
        <v>5967</v>
      </c>
      <c r="P10" s="452">
        <v>10</v>
      </c>
      <c r="Q10" s="453">
        <f t="shared" si="3"/>
        <v>16.347945205479451</v>
      </c>
      <c r="R10" s="454">
        <f t="shared" si="4"/>
        <v>-6.3479452054794514</v>
      </c>
      <c r="S10" s="455">
        <f t="shared" ref="S10:S73" si="8">1/P10*0.95</f>
        <v>9.5000000000000001E-2</v>
      </c>
      <c r="T10" s="317">
        <v>0</v>
      </c>
      <c r="U10" s="436">
        <f t="shared" si="5"/>
        <v>0.20860961405605849</v>
      </c>
      <c r="V10" s="442"/>
      <c r="W10" s="456">
        <f t="shared" si="6"/>
        <v>0.20860961405605849</v>
      </c>
    </row>
    <row r="11" spans="1:23" s="456" customFormat="1" ht="16.5">
      <c r="A11" s="450">
        <f t="shared" si="7"/>
        <v>4</v>
      </c>
      <c r="B11" s="318" t="s">
        <v>2182</v>
      </c>
      <c r="C11" s="318" t="s">
        <v>1409</v>
      </c>
      <c r="D11" s="318"/>
      <c r="E11" s="318" t="s">
        <v>2185</v>
      </c>
      <c r="F11" s="318" t="s">
        <v>2186</v>
      </c>
      <c r="G11" s="318"/>
      <c r="H11" s="436">
        <v>1143</v>
      </c>
      <c r="I11" s="450"/>
      <c r="J11" s="450"/>
      <c r="K11" s="436">
        <f t="shared" si="0"/>
        <v>1143</v>
      </c>
      <c r="L11" s="451">
        <v>39569</v>
      </c>
      <c r="M11" s="456">
        <v>1143.1039391232832</v>
      </c>
      <c r="N11" s="438">
        <f t="shared" si="1"/>
        <v>-0.10393912328322585</v>
      </c>
      <c r="O11" s="438">
        <f t="shared" si="2"/>
        <v>5813</v>
      </c>
      <c r="P11" s="452">
        <v>10</v>
      </c>
      <c r="Q11" s="453">
        <f t="shared" si="3"/>
        <v>15.926027397260274</v>
      </c>
      <c r="R11" s="454">
        <f t="shared" si="4"/>
        <v>-5.9260273972602739</v>
      </c>
      <c r="S11" s="455">
        <f t="shared" si="8"/>
        <v>9.5000000000000001E-2</v>
      </c>
      <c r="T11" s="317">
        <v>0</v>
      </c>
      <c r="U11" s="436">
        <f t="shared" si="5"/>
        <v>-0.10393912328322585</v>
      </c>
      <c r="V11" s="442"/>
      <c r="W11" s="456">
        <f t="shared" si="6"/>
        <v>-0.10393912328322585</v>
      </c>
    </row>
    <row r="12" spans="1:23" s="456" customFormat="1" ht="16.5">
      <c r="A12" s="450">
        <f t="shared" si="7"/>
        <v>5</v>
      </c>
      <c r="B12" s="318" t="s">
        <v>2182</v>
      </c>
      <c r="C12" s="318" t="s">
        <v>1376</v>
      </c>
      <c r="D12" s="318"/>
      <c r="E12" s="318" t="s">
        <v>414</v>
      </c>
      <c r="F12" s="318"/>
      <c r="G12" s="318"/>
      <c r="H12" s="436">
        <v>1093</v>
      </c>
      <c r="I12" s="450"/>
      <c r="J12" s="450"/>
      <c r="K12" s="436">
        <f t="shared" si="0"/>
        <v>1093</v>
      </c>
      <c r="L12" s="451">
        <v>39314</v>
      </c>
      <c r="M12" s="456">
        <v>1093.3311655631724</v>
      </c>
      <c r="N12" s="438">
        <f t="shared" si="1"/>
        <v>-0.33116556317236245</v>
      </c>
      <c r="O12" s="438">
        <f t="shared" si="2"/>
        <v>6068</v>
      </c>
      <c r="P12" s="452">
        <v>10</v>
      </c>
      <c r="Q12" s="453">
        <f t="shared" si="3"/>
        <v>16.624657534246577</v>
      </c>
      <c r="R12" s="454">
        <f t="shared" si="4"/>
        <v>-6.6246575342465768</v>
      </c>
      <c r="S12" s="455">
        <f t="shared" si="8"/>
        <v>9.5000000000000001E-2</v>
      </c>
      <c r="T12" s="317">
        <v>0</v>
      </c>
      <c r="U12" s="436">
        <f t="shared" si="5"/>
        <v>-0.33116556317236245</v>
      </c>
      <c r="V12" s="442"/>
      <c r="W12" s="456">
        <f t="shared" si="6"/>
        <v>-0.33116556317236245</v>
      </c>
    </row>
    <row r="13" spans="1:23" s="456" customFormat="1" ht="16.5">
      <c r="A13" s="450">
        <f t="shared" si="7"/>
        <v>6</v>
      </c>
      <c r="B13" s="318" t="s">
        <v>2182</v>
      </c>
      <c r="C13" s="318" t="s">
        <v>1376</v>
      </c>
      <c r="D13" s="318"/>
      <c r="E13" s="318" t="s">
        <v>414</v>
      </c>
      <c r="F13" s="318"/>
      <c r="G13" s="318"/>
      <c r="H13" s="436">
        <v>1230</v>
      </c>
      <c r="I13" s="450"/>
      <c r="J13" s="450"/>
      <c r="K13" s="436">
        <f t="shared" si="0"/>
        <v>1230</v>
      </c>
      <c r="L13" s="451">
        <v>39316</v>
      </c>
      <c r="M13" s="456">
        <v>1230.1802244327916</v>
      </c>
      <c r="N13" s="438">
        <f t="shared" si="1"/>
        <v>-0.1802244327916469</v>
      </c>
      <c r="O13" s="438">
        <f t="shared" si="2"/>
        <v>6066</v>
      </c>
      <c r="P13" s="452">
        <v>10</v>
      </c>
      <c r="Q13" s="453">
        <f t="shared" si="3"/>
        <v>16.61917808219178</v>
      </c>
      <c r="R13" s="454">
        <f t="shared" si="4"/>
        <v>-6.6191780821917803</v>
      </c>
      <c r="S13" s="455">
        <f t="shared" si="8"/>
        <v>9.5000000000000001E-2</v>
      </c>
      <c r="T13" s="317">
        <v>0</v>
      </c>
      <c r="U13" s="436">
        <f t="shared" si="5"/>
        <v>-0.1802244327916469</v>
      </c>
      <c r="V13" s="442"/>
      <c r="W13" s="456">
        <f t="shared" si="6"/>
        <v>-0.1802244327916469</v>
      </c>
    </row>
    <row r="14" spans="1:23" s="456" customFormat="1" ht="16.5">
      <c r="A14" s="450">
        <f t="shared" si="7"/>
        <v>7</v>
      </c>
      <c r="B14" s="318" t="s">
        <v>2182</v>
      </c>
      <c r="C14" s="318" t="s">
        <v>1376</v>
      </c>
      <c r="D14" s="318"/>
      <c r="E14" s="318" t="s">
        <v>414</v>
      </c>
      <c r="F14" s="318"/>
      <c r="G14" s="318"/>
      <c r="H14" s="436">
        <v>1237</v>
      </c>
      <c r="I14" s="450"/>
      <c r="J14" s="450"/>
      <c r="K14" s="436">
        <f t="shared" si="0"/>
        <v>1237</v>
      </c>
      <c r="L14" s="451">
        <v>39308</v>
      </c>
      <c r="M14" s="456">
        <v>1237.296685044518</v>
      </c>
      <c r="N14" s="438">
        <f t="shared" si="1"/>
        <v>-0.29668504451797162</v>
      </c>
      <c r="O14" s="438">
        <f t="shared" si="2"/>
        <v>6074</v>
      </c>
      <c r="P14" s="452">
        <v>10</v>
      </c>
      <c r="Q14" s="453">
        <f t="shared" si="3"/>
        <v>16.641095890410959</v>
      </c>
      <c r="R14" s="454">
        <f t="shared" si="4"/>
        <v>-6.6410958904109592</v>
      </c>
      <c r="S14" s="455">
        <f t="shared" si="8"/>
        <v>9.5000000000000001E-2</v>
      </c>
      <c r="T14" s="317">
        <v>0</v>
      </c>
      <c r="U14" s="436">
        <f t="shared" si="5"/>
        <v>-0.29668504451797162</v>
      </c>
      <c r="V14" s="442"/>
      <c r="W14" s="456">
        <f t="shared" si="6"/>
        <v>-0.29668504451797162</v>
      </c>
    </row>
    <row r="15" spans="1:23" s="456" customFormat="1" ht="16.5">
      <c r="A15" s="450">
        <f t="shared" si="7"/>
        <v>8</v>
      </c>
      <c r="B15" s="318" t="s">
        <v>2182</v>
      </c>
      <c r="C15" s="318" t="s">
        <v>1376</v>
      </c>
      <c r="D15" s="318"/>
      <c r="E15" s="318" t="s">
        <v>414</v>
      </c>
      <c r="F15" s="318"/>
      <c r="G15" s="318"/>
      <c r="H15" s="436">
        <v>1513</v>
      </c>
      <c r="I15" s="450"/>
      <c r="J15" s="450"/>
      <c r="K15" s="436">
        <f t="shared" si="0"/>
        <v>1513</v>
      </c>
      <c r="L15" s="451">
        <v>39437</v>
      </c>
      <c r="M15" s="456">
        <v>1512.9081331236362</v>
      </c>
      <c r="N15" s="438">
        <f t="shared" si="1"/>
        <v>9.1866876363837946E-2</v>
      </c>
      <c r="O15" s="438">
        <f t="shared" si="2"/>
        <v>5945</v>
      </c>
      <c r="P15" s="452">
        <v>10</v>
      </c>
      <c r="Q15" s="453">
        <f t="shared" si="3"/>
        <v>16.287671232876711</v>
      </c>
      <c r="R15" s="454">
        <f t="shared" si="4"/>
        <v>-6.2876712328767113</v>
      </c>
      <c r="S15" s="455">
        <f t="shared" si="8"/>
        <v>9.5000000000000001E-2</v>
      </c>
      <c r="T15" s="317">
        <v>0</v>
      </c>
      <c r="U15" s="436">
        <f t="shared" si="5"/>
        <v>9.1866876363837946E-2</v>
      </c>
      <c r="V15" s="442"/>
      <c r="W15" s="456">
        <f t="shared" si="6"/>
        <v>9.1866876363837946E-2</v>
      </c>
    </row>
    <row r="16" spans="1:23" s="456" customFormat="1" ht="16.5">
      <c r="A16" s="450">
        <f t="shared" si="7"/>
        <v>9</v>
      </c>
      <c r="B16" s="318" t="s">
        <v>2182</v>
      </c>
      <c r="C16" s="318" t="s">
        <v>1376</v>
      </c>
      <c r="D16" s="318"/>
      <c r="E16" s="318" t="s">
        <v>414</v>
      </c>
      <c r="F16" s="318" t="s">
        <v>2187</v>
      </c>
      <c r="G16" s="318"/>
      <c r="H16" s="436">
        <v>1575</v>
      </c>
      <c r="I16" s="450"/>
      <c r="J16" s="450"/>
      <c r="K16" s="436">
        <f t="shared" si="0"/>
        <v>1575</v>
      </c>
      <c r="L16" s="451">
        <v>39407</v>
      </c>
      <c r="M16" s="456">
        <v>1574.7390903680807</v>
      </c>
      <c r="N16" s="438">
        <f t="shared" si="1"/>
        <v>0.26090963191927585</v>
      </c>
      <c r="O16" s="438">
        <f t="shared" si="2"/>
        <v>5975</v>
      </c>
      <c r="P16" s="452">
        <v>10</v>
      </c>
      <c r="Q16" s="453">
        <f t="shared" si="3"/>
        <v>16.36986301369863</v>
      </c>
      <c r="R16" s="454">
        <f t="shared" si="4"/>
        <v>-6.3698630136986303</v>
      </c>
      <c r="S16" s="455">
        <f t="shared" si="8"/>
        <v>9.5000000000000001E-2</v>
      </c>
      <c r="T16" s="317">
        <v>0</v>
      </c>
      <c r="U16" s="436">
        <f t="shared" si="5"/>
        <v>0.26090963191927585</v>
      </c>
      <c r="V16" s="442"/>
      <c r="W16" s="456">
        <f t="shared" si="6"/>
        <v>0.26090963191927585</v>
      </c>
    </row>
    <row r="17" spans="1:23" s="456" customFormat="1" ht="16.5">
      <c r="A17" s="450">
        <f t="shared" si="7"/>
        <v>10</v>
      </c>
      <c r="B17" s="318" t="s">
        <v>2182</v>
      </c>
      <c r="C17" s="318" t="s">
        <v>1376</v>
      </c>
      <c r="D17" s="318"/>
      <c r="E17" s="318" t="s">
        <v>414</v>
      </c>
      <c r="F17" s="318"/>
      <c r="G17" s="318"/>
      <c r="H17" s="436">
        <v>1741</v>
      </c>
      <c r="I17" s="450"/>
      <c r="J17" s="450"/>
      <c r="K17" s="436">
        <f t="shared" si="0"/>
        <v>1741</v>
      </c>
      <c r="L17" s="451">
        <v>39419</v>
      </c>
      <c r="M17" s="456">
        <v>1741.0880441476268</v>
      </c>
      <c r="N17" s="438">
        <f t="shared" si="1"/>
        <v>-8.8044147626760605E-2</v>
      </c>
      <c r="O17" s="438">
        <f t="shared" si="2"/>
        <v>5963</v>
      </c>
      <c r="P17" s="452">
        <v>10</v>
      </c>
      <c r="Q17" s="453">
        <f t="shared" si="3"/>
        <v>16.336986301369862</v>
      </c>
      <c r="R17" s="454">
        <f t="shared" si="4"/>
        <v>-6.336986301369862</v>
      </c>
      <c r="S17" s="455">
        <f t="shared" si="8"/>
        <v>9.5000000000000001E-2</v>
      </c>
      <c r="T17" s="317">
        <v>0</v>
      </c>
      <c r="U17" s="436">
        <f t="shared" si="5"/>
        <v>-8.8044147626760605E-2</v>
      </c>
      <c r="V17" s="442"/>
      <c r="W17" s="456">
        <f t="shared" si="6"/>
        <v>-8.8044147626760605E-2</v>
      </c>
    </row>
    <row r="18" spans="1:23" s="456" customFormat="1" ht="16.5">
      <c r="A18" s="450">
        <f t="shared" si="7"/>
        <v>11</v>
      </c>
      <c r="B18" s="318" t="s">
        <v>2182</v>
      </c>
      <c r="C18" s="318" t="s">
        <v>1376</v>
      </c>
      <c r="D18" s="318"/>
      <c r="E18" s="318" t="s">
        <v>414</v>
      </c>
      <c r="F18" s="318" t="s">
        <v>1559</v>
      </c>
      <c r="G18" s="318"/>
      <c r="H18" s="436">
        <v>1759</v>
      </c>
      <c r="I18" s="450"/>
      <c r="J18" s="450"/>
      <c r="K18" s="436">
        <f t="shared" si="0"/>
        <v>1759</v>
      </c>
      <c r="L18" s="451">
        <v>39371</v>
      </c>
      <c r="M18" s="456">
        <v>1758.9865201730202</v>
      </c>
      <c r="N18" s="438">
        <f t="shared" si="1"/>
        <v>1.3479826979846621E-2</v>
      </c>
      <c r="O18" s="438">
        <f t="shared" si="2"/>
        <v>6011</v>
      </c>
      <c r="P18" s="452">
        <v>10</v>
      </c>
      <c r="Q18" s="453">
        <f t="shared" si="3"/>
        <v>16.468493150684932</v>
      </c>
      <c r="R18" s="454">
        <f t="shared" si="4"/>
        <v>-6.4684931506849317</v>
      </c>
      <c r="S18" s="455">
        <f t="shared" si="8"/>
        <v>9.5000000000000001E-2</v>
      </c>
      <c r="T18" s="317">
        <v>0</v>
      </c>
      <c r="U18" s="436">
        <f t="shared" si="5"/>
        <v>1.3479826979846621E-2</v>
      </c>
      <c r="V18" s="442"/>
      <c r="W18" s="456">
        <f t="shared" si="6"/>
        <v>1.3479826979846621E-2</v>
      </c>
    </row>
    <row r="19" spans="1:23" s="456" customFormat="1" ht="16.5">
      <c r="A19" s="450">
        <f t="shared" si="7"/>
        <v>12</v>
      </c>
      <c r="B19" s="318" t="s">
        <v>2182</v>
      </c>
      <c r="C19" s="318" t="s">
        <v>1376</v>
      </c>
      <c r="D19" s="318"/>
      <c r="E19" s="318" t="s">
        <v>2188</v>
      </c>
      <c r="F19" s="318" t="s">
        <v>2189</v>
      </c>
      <c r="G19" s="318"/>
      <c r="H19" s="436">
        <v>1667</v>
      </c>
      <c r="I19" s="450"/>
      <c r="J19" s="450"/>
      <c r="K19" s="436">
        <f t="shared" si="0"/>
        <v>1667</v>
      </c>
      <c r="L19" s="451">
        <v>39307</v>
      </c>
      <c r="M19" s="456">
        <v>1667.4357975032419</v>
      </c>
      <c r="N19" s="438">
        <f t="shared" si="1"/>
        <v>-0.43579750324192901</v>
      </c>
      <c r="O19" s="438">
        <f t="shared" si="2"/>
        <v>6075</v>
      </c>
      <c r="P19" s="452">
        <v>10</v>
      </c>
      <c r="Q19" s="453">
        <f t="shared" si="3"/>
        <v>16.643835616438356</v>
      </c>
      <c r="R19" s="454">
        <f t="shared" si="4"/>
        <v>-6.6438356164383556</v>
      </c>
      <c r="S19" s="455">
        <f t="shared" si="8"/>
        <v>9.5000000000000001E-2</v>
      </c>
      <c r="T19" s="317">
        <v>0</v>
      </c>
      <c r="U19" s="436">
        <f t="shared" si="5"/>
        <v>-0.43579750324192901</v>
      </c>
      <c r="V19" s="442"/>
      <c r="W19" s="456">
        <f t="shared" si="6"/>
        <v>-0.43579750324192901</v>
      </c>
    </row>
    <row r="20" spans="1:23" s="456" customFormat="1" ht="16.5">
      <c r="A20" s="450">
        <f t="shared" si="7"/>
        <v>13</v>
      </c>
      <c r="B20" s="318" t="s">
        <v>2182</v>
      </c>
      <c r="C20" s="318" t="s">
        <v>1376</v>
      </c>
      <c r="D20" s="318"/>
      <c r="E20" s="318" t="s">
        <v>414</v>
      </c>
      <c r="F20" s="318"/>
      <c r="G20" s="318"/>
      <c r="H20" s="436">
        <v>2074</v>
      </c>
      <c r="I20" s="450"/>
      <c r="J20" s="450"/>
      <c r="K20" s="436">
        <f t="shared" si="0"/>
        <v>2074</v>
      </c>
      <c r="L20" s="451">
        <v>39417</v>
      </c>
      <c r="M20" s="456">
        <v>2074.2032535162525</v>
      </c>
      <c r="N20" s="438">
        <f t="shared" si="1"/>
        <v>-0.20325351625251642</v>
      </c>
      <c r="O20" s="438">
        <f t="shared" si="2"/>
        <v>5965</v>
      </c>
      <c r="P20" s="452">
        <v>10</v>
      </c>
      <c r="Q20" s="453">
        <f t="shared" si="3"/>
        <v>16.342465753424658</v>
      </c>
      <c r="R20" s="454">
        <f t="shared" si="4"/>
        <v>-6.3424657534246585</v>
      </c>
      <c r="S20" s="455">
        <f t="shared" si="8"/>
        <v>9.5000000000000001E-2</v>
      </c>
      <c r="T20" s="317">
        <v>0</v>
      </c>
      <c r="U20" s="436">
        <f t="shared" si="5"/>
        <v>-0.20325351625251642</v>
      </c>
      <c r="V20" s="442"/>
      <c r="W20" s="456">
        <f t="shared" si="6"/>
        <v>-0.20325351625251642</v>
      </c>
    </row>
    <row r="21" spans="1:23" s="456" customFormat="1" ht="16.5">
      <c r="A21" s="450">
        <f t="shared" si="7"/>
        <v>14</v>
      </c>
      <c r="B21" s="318" t="s">
        <v>2182</v>
      </c>
      <c r="C21" s="318" t="s">
        <v>1376</v>
      </c>
      <c r="D21" s="318"/>
      <c r="E21" s="318" t="s">
        <v>2190</v>
      </c>
      <c r="F21" s="318" t="s">
        <v>2191</v>
      </c>
      <c r="G21" s="318"/>
      <c r="H21" s="436">
        <v>2075</v>
      </c>
      <c r="I21" s="450"/>
      <c r="J21" s="450"/>
      <c r="K21" s="436">
        <f t="shared" si="0"/>
        <v>2075</v>
      </c>
      <c r="L21" s="451">
        <v>39371</v>
      </c>
      <c r="M21" s="456">
        <v>2075.4326488681163</v>
      </c>
      <c r="N21" s="438">
        <f t="shared" si="1"/>
        <v>-0.43264886811630276</v>
      </c>
      <c r="O21" s="438">
        <f t="shared" si="2"/>
        <v>6011</v>
      </c>
      <c r="P21" s="452">
        <v>10</v>
      </c>
      <c r="Q21" s="453">
        <f t="shared" si="3"/>
        <v>16.468493150684932</v>
      </c>
      <c r="R21" s="454">
        <f t="shared" si="4"/>
        <v>-6.4684931506849317</v>
      </c>
      <c r="S21" s="455">
        <f t="shared" si="8"/>
        <v>9.5000000000000001E-2</v>
      </c>
      <c r="T21" s="317">
        <v>0</v>
      </c>
      <c r="U21" s="436">
        <f t="shared" si="5"/>
        <v>-0.43264886811630276</v>
      </c>
      <c r="V21" s="442"/>
      <c r="W21" s="456">
        <f t="shared" si="6"/>
        <v>-0.43264886811630276</v>
      </c>
    </row>
    <row r="22" spans="1:23" s="456" customFormat="1" ht="16.5">
      <c r="A22" s="450">
        <f t="shared" si="7"/>
        <v>15</v>
      </c>
      <c r="B22" s="318" t="s">
        <v>2182</v>
      </c>
      <c r="C22" s="318" t="s">
        <v>1376</v>
      </c>
      <c r="D22" s="318"/>
      <c r="E22" s="318" t="s">
        <v>414</v>
      </c>
      <c r="F22" s="318"/>
      <c r="G22" s="318"/>
      <c r="H22" s="436">
        <v>2281</v>
      </c>
      <c r="I22" s="450"/>
      <c r="J22" s="450"/>
      <c r="K22" s="436">
        <f t="shared" si="0"/>
        <v>2281</v>
      </c>
      <c r="L22" s="451">
        <v>39431</v>
      </c>
      <c r="M22" s="456">
        <v>2281.4470599500996</v>
      </c>
      <c r="N22" s="438">
        <f t="shared" si="1"/>
        <v>-0.44705995009962862</v>
      </c>
      <c r="O22" s="438">
        <f t="shared" si="2"/>
        <v>5951</v>
      </c>
      <c r="P22" s="452">
        <v>10</v>
      </c>
      <c r="Q22" s="453">
        <f t="shared" si="3"/>
        <v>16.304109589041097</v>
      </c>
      <c r="R22" s="454">
        <f t="shared" si="4"/>
        <v>-6.3041095890410972</v>
      </c>
      <c r="S22" s="455">
        <f t="shared" si="8"/>
        <v>9.5000000000000001E-2</v>
      </c>
      <c r="T22" s="317">
        <v>0</v>
      </c>
      <c r="U22" s="436">
        <f t="shared" si="5"/>
        <v>-0.44705995009962862</v>
      </c>
      <c r="V22" s="442"/>
      <c r="W22" s="456">
        <f t="shared" si="6"/>
        <v>-0.44705995009962862</v>
      </c>
    </row>
    <row r="23" spans="1:23" s="456" customFormat="1" ht="16.5">
      <c r="A23" s="450">
        <f t="shared" si="7"/>
        <v>16</v>
      </c>
      <c r="B23" s="318" t="s">
        <v>2182</v>
      </c>
      <c r="C23" s="318" t="s">
        <v>1376</v>
      </c>
      <c r="D23" s="318"/>
      <c r="E23" s="318" t="s">
        <v>414</v>
      </c>
      <c r="F23" s="318"/>
      <c r="G23" s="318"/>
      <c r="H23" s="436">
        <v>2192</v>
      </c>
      <c r="I23" s="450"/>
      <c r="J23" s="450"/>
      <c r="K23" s="436">
        <f t="shared" si="0"/>
        <v>2192</v>
      </c>
      <c r="L23" s="451">
        <v>39331</v>
      </c>
      <c r="M23" s="456">
        <v>2191.6800409421212</v>
      </c>
      <c r="N23" s="438">
        <f t="shared" si="1"/>
        <v>0.31995905787880474</v>
      </c>
      <c r="O23" s="438">
        <f t="shared" si="2"/>
        <v>6051</v>
      </c>
      <c r="P23" s="452">
        <v>10</v>
      </c>
      <c r="Q23" s="453">
        <f t="shared" si="3"/>
        <v>16.578082191780823</v>
      </c>
      <c r="R23" s="454">
        <f t="shared" si="4"/>
        <v>-6.5780821917808225</v>
      </c>
      <c r="S23" s="455">
        <f t="shared" si="8"/>
        <v>9.5000000000000001E-2</v>
      </c>
      <c r="T23" s="317">
        <v>0</v>
      </c>
      <c r="U23" s="436">
        <f t="shared" si="5"/>
        <v>0.31995905787880474</v>
      </c>
      <c r="V23" s="442"/>
      <c r="W23" s="456">
        <f t="shared" si="6"/>
        <v>0.31995905787880474</v>
      </c>
    </row>
    <row r="24" spans="1:23" s="456" customFormat="1" ht="16.5">
      <c r="A24" s="450">
        <f t="shared" si="7"/>
        <v>17</v>
      </c>
      <c r="B24" s="318" t="s">
        <v>2182</v>
      </c>
      <c r="C24" s="318" t="s">
        <v>1409</v>
      </c>
      <c r="D24" s="318"/>
      <c r="E24" s="318" t="s">
        <v>2185</v>
      </c>
      <c r="F24" s="318" t="s">
        <v>1627</v>
      </c>
      <c r="G24" s="318"/>
      <c r="H24" s="436">
        <v>2660</v>
      </c>
      <c r="I24" s="450"/>
      <c r="J24" s="450"/>
      <c r="K24" s="436">
        <f t="shared" si="0"/>
        <v>2660</v>
      </c>
      <c r="L24" s="451">
        <v>39652</v>
      </c>
      <c r="M24" s="456">
        <v>2659.8274577840903</v>
      </c>
      <c r="N24" s="438">
        <f t="shared" si="1"/>
        <v>0.17254221590974339</v>
      </c>
      <c r="O24" s="438">
        <f t="shared" si="2"/>
        <v>5730</v>
      </c>
      <c r="P24" s="452">
        <v>10</v>
      </c>
      <c r="Q24" s="453">
        <f t="shared" si="3"/>
        <v>15.698630136986301</v>
      </c>
      <c r="R24" s="454">
        <f t="shared" si="4"/>
        <v>-5.6986301369863011</v>
      </c>
      <c r="S24" s="455">
        <f t="shared" si="8"/>
        <v>9.5000000000000001E-2</v>
      </c>
      <c r="T24" s="317">
        <v>0</v>
      </c>
      <c r="U24" s="436">
        <f t="shared" si="5"/>
        <v>0.17254221590974339</v>
      </c>
      <c r="V24" s="442"/>
      <c r="W24" s="456">
        <f t="shared" si="6"/>
        <v>0.17254221590974339</v>
      </c>
    </row>
    <row r="25" spans="1:23" s="456" customFormat="1" ht="16.5">
      <c r="A25" s="450">
        <f t="shared" si="7"/>
        <v>18</v>
      </c>
      <c r="B25" s="318" t="s">
        <v>2182</v>
      </c>
      <c r="C25" s="318" t="s">
        <v>1396</v>
      </c>
      <c r="D25" s="318"/>
      <c r="E25" s="318" t="s">
        <v>2192</v>
      </c>
      <c r="F25" s="318" t="s">
        <v>2193</v>
      </c>
      <c r="G25" s="318"/>
      <c r="H25" s="436">
        <v>2529</v>
      </c>
      <c r="I25" s="450"/>
      <c r="J25" s="450"/>
      <c r="K25" s="436">
        <f t="shared" si="0"/>
        <v>2529</v>
      </c>
      <c r="L25" s="451">
        <v>39050</v>
      </c>
      <c r="M25" s="456">
        <v>2528.5500000000002</v>
      </c>
      <c r="N25" s="438">
        <f t="shared" si="1"/>
        <v>0.4499999999998181</v>
      </c>
      <c r="O25" s="438">
        <f t="shared" si="2"/>
        <v>6332</v>
      </c>
      <c r="P25" s="452">
        <v>10</v>
      </c>
      <c r="Q25" s="453">
        <f t="shared" si="3"/>
        <v>17.347945205479451</v>
      </c>
      <c r="R25" s="454">
        <f t="shared" si="4"/>
        <v>-7.3479452054794514</v>
      </c>
      <c r="S25" s="455">
        <f t="shared" si="8"/>
        <v>9.5000000000000001E-2</v>
      </c>
      <c r="T25" s="317">
        <v>0</v>
      </c>
      <c r="U25" s="436">
        <f t="shared" si="5"/>
        <v>0.4499999999998181</v>
      </c>
      <c r="V25" s="442"/>
      <c r="W25" s="456">
        <f t="shared" si="6"/>
        <v>0.4499999999998181</v>
      </c>
    </row>
    <row r="26" spans="1:23" s="456" customFormat="1" ht="16.5">
      <c r="A26" s="450">
        <f t="shared" si="7"/>
        <v>19</v>
      </c>
      <c r="B26" s="318" t="s">
        <v>2182</v>
      </c>
      <c r="C26" s="318" t="s">
        <v>1376</v>
      </c>
      <c r="D26" s="318"/>
      <c r="E26" s="318" t="s">
        <v>2194</v>
      </c>
      <c r="F26" s="318" t="s">
        <v>2195</v>
      </c>
      <c r="G26" s="318"/>
      <c r="H26" s="436">
        <v>2889</v>
      </c>
      <c r="I26" s="450"/>
      <c r="J26" s="450"/>
      <c r="K26" s="436">
        <f t="shared" si="0"/>
        <v>2889</v>
      </c>
      <c r="L26" s="451">
        <v>39381</v>
      </c>
      <c r="M26" s="456">
        <v>2888.6531451552032</v>
      </c>
      <c r="N26" s="438">
        <f t="shared" si="1"/>
        <v>0.34685484479678053</v>
      </c>
      <c r="O26" s="438">
        <f t="shared" si="2"/>
        <v>6001</v>
      </c>
      <c r="P26" s="452">
        <v>10</v>
      </c>
      <c r="Q26" s="453">
        <f t="shared" si="3"/>
        <v>16.44109589041096</v>
      </c>
      <c r="R26" s="454">
        <f t="shared" si="4"/>
        <v>-6.4410958904109599</v>
      </c>
      <c r="S26" s="455">
        <f t="shared" si="8"/>
        <v>9.5000000000000001E-2</v>
      </c>
      <c r="T26" s="317">
        <v>0</v>
      </c>
      <c r="U26" s="436">
        <f t="shared" si="5"/>
        <v>0.34685484479678053</v>
      </c>
      <c r="V26" s="442"/>
      <c r="W26" s="456">
        <f t="shared" si="6"/>
        <v>0.34685484479678053</v>
      </c>
    </row>
    <row r="27" spans="1:23" s="456" customFormat="1" ht="16.5">
      <c r="A27" s="450">
        <f t="shared" si="7"/>
        <v>20</v>
      </c>
      <c r="B27" s="318" t="s">
        <v>2182</v>
      </c>
      <c r="C27" s="318" t="s">
        <v>1376</v>
      </c>
      <c r="D27" s="318"/>
      <c r="E27" s="318" t="s">
        <v>414</v>
      </c>
      <c r="F27" s="318"/>
      <c r="G27" s="318"/>
      <c r="H27" s="436">
        <v>3018</v>
      </c>
      <c r="I27" s="450"/>
      <c r="J27" s="450"/>
      <c r="K27" s="436">
        <f t="shared" si="0"/>
        <v>3018</v>
      </c>
      <c r="L27" s="451">
        <v>39430</v>
      </c>
      <c r="M27" s="456">
        <v>3017.9500854534717</v>
      </c>
      <c r="N27" s="438">
        <f t="shared" si="1"/>
        <v>4.9914546528270876E-2</v>
      </c>
      <c r="O27" s="438">
        <f t="shared" si="2"/>
        <v>5952</v>
      </c>
      <c r="P27" s="452">
        <v>10</v>
      </c>
      <c r="Q27" s="453">
        <f t="shared" si="3"/>
        <v>16.306849315068494</v>
      </c>
      <c r="R27" s="454">
        <f t="shared" si="4"/>
        <v>-6.3068493150684937</v>
      </c>
      <c r="S27" s="455">
        <f t="shared" si="8"/>
        <v>9.5000000000000001E-2</v>
      </c>
      <c r="T27" s="317"/>
      <c r="U27" s="436">
        <f t="shared" si="5"/>
        <v>4.9914546528270876E-2</v>
      </c>
      <c r="V27" s="442"/>
      <c r="W27" s="456">
        <f t="shared" si="6"/>
        <v>4.9914546528270876E-2</v>
      </c>
    </row>
    <row r="28" spans="1:23" s="456" customFormat="1" ht="16.5">
      <c r="A28" s="450">
        <f t="shared" si="7"/>
        <v>21</v>
      </c>
      <c r="B28" s="318" t="s">
        <v>2182</v>
      </c>
      <c r="C28" s="318" t="s">
        <v>1396</v>
      </c>
      <c r="D28" s="318"/>
      <c r="E28" s="318" t="s">
        <v>2196</v>
      </c>
      <c r="F28" s="318" t="s">
        <v>2197</v>
      </c>
      <c r="G28" s="318"/>
      <c r="H28" s="436">
        <v>2864</v>
      </c>
      <c r="I28" s="450"/>
      <c r="J28" s="450"/>
      <c r="K28" s="436">
        <f t="shared" si="0"/>
        <v>2864</v>
      </c>
      <c r="L28" s="451">
        <v>39140</v>
      </c>
      <c r="M28" s="456">
        <v>2863.8</v>
      </c>
      <c r="N28" s="438">
        <f t="shared" si="1"/>
        <v>0.1999999999998181</v>
      </c>
      <c r="O28" s="438">
        <f t="shared" si="2"/>
        <v>6242</v>
      </c>
      <c r="P28" s="452">
        <v>10</v>
      </c>
      <c r="Q28" s="453">
        <f t="shared" si="3"/>
        <v>17.101369863013698</v>
      </c>
      <c r="R28" s="454">
        <f t="shared" si="4"/>
        <v>-7.1013698630136979</v>
      </c>
      <c r="S28" s="455">
        <f t="shared" si="8"/>
        <v>9.5000000000000001E-2</v>
      </c>
      <c r="T28" s="317"/>
      <c r="U28" s="436">
        <f t="shared" si="5"/>
        <v>0.1999999999998181</v>
      </c>
      <c r="V28" s="442"/>
      <c r="W28" s="456">
        <f t="shared" si="6"/>
        <v>0.1999999999998181</v>
      </c>
    </row>
    <row r="29" spans="1:23" s="456" customFormat="1" ht="16.5">
      <c r="A29" s="450">
        <f t="shared" si="7"/>
        <v>22</v>
      </c>
      <c r="B29" s="318" t="s">
        <v>2182</v>
      </c>
      <c r="C29" s="318" t="s">
        <v>1376</v>
      </c>
      <c r="D29" s="318"/>
      <c r="E29" s="318" t="s">
        <v>414</v>
      </c>
      <c r="F29" s="318"/>
      <c r="G29" s="318"/>
      <c r="H29" s="436">
        <v>3268</v>
      </c>
      <c r="I29" s="450"/>
      <c r="J29" s="450"/>
      <c r="K29" s="436">
        <f t="shared" si="0"/>
        <v>3268</v>
      </c>
      <c r="L29" s="451">
        <v>39361</v>
      </c>
      <c r="M29" s="456">
        <v>3268.4575410959346</v>
      </c>
      <c r="N29" s="438">
        <f t="shared" si="1"/>
        <v>-0.45754109593462999</v>
      </c>
      <c r="O29" s="438">
        <f t="shared" si="2"/>
        <v>6021</v>
      </c>
      <c r="P29" s="452">
        <v>10</v>
      </c>
      <c r="Q29" s="453">
        <f t="shared" si="3"/>
        <v>16.495890410958904</v>
      </c>
      <c r="R29" s="454">
        <f t="shared" si="4"/>
        <v>-6.4958904109589035</v>
      </c>
      <c r="S29" s="455">
        <f t="shared" si="8"/>
        <v>9.5000000000000001E-2</v>
      </c>
      <c r="T29" s="317"/>
      <c r="U29" s="436">
        <f t="shared" si="5"/>
        <v>-0.45754109593462999</v>
      </c>
      <c r="V29" s="442"/>
      <c r="W29" s="456">
        <f t="shared" si="6"/>
        <v>-0.45754109593462999</v>
      </c>
    </row>
    <row r="30" spans="1:23" s="456" customFormat="1" ht="16.5">
      <c r="A30" s="450">
        <f t="shared" si="7"/>
        <v>23</v>
      </c>
      <c r="B30" s="318" t="s">
        <v>2182</v>
      </c>
      <c r="C30" s="318" t="s">
        <v>1409</v>
      </c>
      <c r="D30" s="318"/>
      <c r="E30" s="318"/>
      <c r="F30" s="318"/>
      <c r="G30" s="318"/>
      <c r="H30" s="436">
        <v>3565</v>
      </c>
      <c r="I30" s="450"/>
      <c r="J30" s="450"/>
      <c r="K30" s="436">
        <f t="shared" si="0"/>
        <v>3565</v>
      </c>
      <c r="L30" s="451">
        <v>39624</v>
      </c>
      <c r="M30" s="456">
        <v>3564.9054450103908</v>
      </c>
      <c r="N30" s="438">
        <f t="shared" si="1"/>
        <v>9.4554989609150653E-2</v>
      </c>
      <c r="O30" s="438">
        <f t="shared" si="2"/>
        <v>5758</v>
      </c>
      <c r="P30" s="452">
        <v>10</v>
      </c>
      <c r="Q30" s="453">
        <f t="shared" si="3"/>
        <v>15.775342465753425</v>
      </c>
      <c r="R30" s="454">
        <f t="shared" si="4"/>
        <v>-5.7753424657534254</v>
      </c>
      <c r="S30" s="455">
        <f t="shared" si="8"/>
        <v>9.5000000000000001E-2</v>
      </c>
      <c r="T30" s="317"/>
      <c r="U30" s="436">
        <f t="shared" si="5"/>
        <v>9.4554989609150653E-2</v>
      </c>
      <c r="V30" s="442"/>
      <c r="W30" s="456">
        <f t="shared" si="6"/>
        <v>9.4554989609150653E-2</v>
      </c>
    </row>
    <row r="31" spans="1:23" s="456" customFormat="1" ht="16.5">
      <c r="A31" s="450">
        <f t="shared" si="7"/>
        <v>24</v>
      </c>
      <c r="B31" s="318" t="s">
        <v>2182</v>
      </c>
      <c r="C31" s="318" t="s">
        <v>1396</v>
      </c>
      <c r="D31" s="318"/>
      <c r="E31" s="457" t="s">
        <v>2198</v>
      </c>
      <c r="F31" s="318"/>
      <c r="G31" s="318"/>
      <c r="H31" s="436">
        <v>2898</v>
      </c>
      <c r="I31" s="450"/>
      <c r="J31" s="450"/>
      <c r="K31" s="436">
        <f t="shared" si="0"/>
        <v>2898</v>
      </c>
      <c r="L31" s="451">
        <v>38870</v>
      </c>
      <c r="M31" s="456">
        <v>2898.1</v>
      </c>
      <c r="N31" s="438">
        <f t="shared" si="1"/>
        <v>-9.9999999999909051E-2</v>
      </c>
      <c r="O31" s="438">
        <f t="shared" si="2"/>
        <v>6512</v>
      </c>
      <c r="P31" s="452">
        <v>10</v>
      </c>
      <c r="Q31" s="453">
        <f t="shared" si="3"/>
        <v>17.841095890410958</v>
      </c>
      <c r="R31" s="454">
        <f t="shared" si="4"/>
        <v>-7.8410958904109584</v>
      </c>
      <c r="S31" s="455">
        <f t="shared" si="8"/>
        <v>9.5000000000000001E-2</v>
      </c>
      <c r="T31" s="317"/>
      <c r="U31" s="436">
        <f t="shared" si="5"/>
        <v>-9.9999999999909051E-2</v>
      </c>
      <c r="V31" s="442"/>
      <c r="W31" s="456">
        <f t="shared" si="6"/>
        <v>-9.9999999999909051E-2</v>
      </c>
    </row>
    <row r="32" spans="1:23" s="456" customFormat="1" ht="16.5">
      <c r="A32" s="450">
        <f t="shared" si="7"/>
        <v>25</v>
      </c>
      <c r="B32" s="318" t="s">
        <v>2182</v>
      </c>
      <c r="C32" s="318" t="s">
        <v>1376</v>
      </c>
      <c r="D32" s="318"/>
      <c r="E32" s="318" t="s">
        <v>2194</v>
      </c>
      <c r="F32" s="318" t="s">
        <v>1701</v>
      </c>
      <c r="G32" s="318"/>
      <c r="H32" s="436">
        <v>3569</v>
      </c>
      <c r="I32" s="450"/>
      <c r="J32" s="450"/>
      <c r="K32" s="436">
        <f t="shared" si="0"/>
        <v>3569</v>
      </c>
      <c r="L32" s="451">
        <v>39373</v>
      </c>
      <c r="M32" s="456">
        <v>3568.8175111287287</v>
      </c>
      <c r="N32" s="438">
        <f t="shared" si="1"/>
        <v>0.1824888712712891</v>
      </c>
      <c r="O32" s="438">
        <f t="shared" si="2"/>
        <v>6009</v>
      </c>
      <c r="P32" s="452">
        <v>10</v>
      </c>
      <c r="Q32" s="453">
        <f t="shared" si="3"/>
        <v>16.463013698630139</v>
      </c>
      <c r="R32" s="454">
        <f t="shared" si="4"/>
        <v>-6.4630136986301387</v>
      </c>
      <c r="S32" s="455">
        <f t="shared" si="8"/>
        <v>9.5000000000000001E-2</v>
      </c>
      <c r="T32" s="317"/>
      <c r="U32" s="436">
        <f t="shared" si="5"/>
        <v>0.1824888712712891</v>
      </c>
      <c r="V32" s="442"/>
      <c r="W32" s="456">
        <f t="shared" si="6"/>
        <v>0.1824888712712891</v>
      </c>
    </row>
    <row r="33" spans="1:23" s="456" customFormat="1" ht="16.5">
      <c r="A33" s="450">
        <f t="shared" si="7"/>
        <v>26</v>
      </c>
      <c r="B33" s="318" t="s">
        <v>2182</v>
      </c>
      <c r="C33" s="318" t="s">
        <v>1376</v>
      </c>
      <c r="D33" s="318"/>
      <c r="E33" s="318" t="s">
        <v>414</v>
      </c>
      <c r="F33" s="318"/>
      <c r="G33" s="318"/>
      <c r="H33" s="436">
        <v>3633</v>
      </c>
      <c r="I33" s="450"/>
      <c r="J33" s="450"/>
      <c r="K33" s="436">
        <f t="shared" si="0"/>
        <v>3633</v>
      </c>
      <c r="L33" s="451">
        <v>39472</v>
      </c>
      <c r="M33" s="456">
        <v>3632.6803417061119</v>
      </c>
      <c r="N33" s="438">
        <f t="shared" si="1"/>
        <v>0.31965829388809652</v>
      </c>
      <c r="O33" s="438">
        <f t="shared" si="2"/>
        <v>5910</v>
      </c>
      <c r="P33" s="452">
        <v>10</v>
      </c>
      <c r="Q33" s="453">
        <f t="shared" si="3"/>
        <v>16.19178082191781</v>
      </c>
      <c r="R33" s="454">
        <f t="shared" si="4"/>
        <v>-6.1917808219178099</v>
      </c>
      <c r="S33" s="455">
        <f t="shared" si="8"/>
        <v>9.5000000000000001E-2</v>
      </c>
      <c r="T33" s="317"/>
      <c r="U33" s="436">
        <f t="shared" si="5"/>
        <v>0.31965829388809652</v>
      </c>
      <c r="V33" s="442"/>
      <c r="W33" s="456">
        <f t="shared" si="6"/>
        <v>0.31965829388809652</v>
      </c>
    </row>
    <row r="34" spans="1:23" s="456" customFormat="1" ht="16.5">
      <c r="A34" s="450">
        <f t="shared" si="7"/>
        <v>27</v>
      </c>
      <c r="B34" s="318" t="s">
        <v>2182</v>
      </c>
      <c r="C34" s="318" t="s">
        <v>1376</v>
      </c>
      <c r="D34" s="318"/>
      <c r="E34" s="318" t="s">
        <v>414</v>
      </c>
      <c r="F34" s="318"/>
      <c r="G34" s="318"/>
      <c r="H34" s="436">
        <v>3744</v>
      </c>
      <c r="I34" s="450"/>
      <c r="J34" s="450"/>
      <c r="K34" s="436">
        <f t="shared" si="0"/>
        <v>3744</v>
      </c>
      <c r="L34" s="451">
        <v>39472</v>
      </c>
      <c r="M34" s="456">
        <v>3744.4740433106749</v>
      </c>
      <c r="N34" s="438">
        <f t="shared" si="1"/>
        <v>-0.47404331067491512</v>
      </c>
      <c r="O34" s="438">
        <f t="shared" si="2"/>
        <v>5910</v>
      </c>
      <c r="P34" s="452">
        <v>10</v>
      </c>
      <c r="Q34" s="453">
        <f t="shared" si="3"/>
        <v>16.19178082191781</v>
      </c>
      <c r="R34" s="454">
        <f t="shared" si="4"/>
        <v>-6.1917808219178099</v>
      </c>
      <c r="S34" s="455">
        <f t="shared" si="8"/>
        <v>9.5000000000000001E-2</v>
      </c>
      <c r="T34" s="317"/>
      <c r="U34" s="436">
        <f t="shared" si="5"/>
        <v>-0.47404331067491512</v>
      </c>
      <c r="V34" s="442"/>
      <c r="W34" s="456">
        <f t="shared" si="6"/>
        <v>-0.47404331067491512</v>
      </c>
    </row>
    <row r="35" spans="1:23" s="456" customFormat="1" ht="16.5">
      <c r="A35" s="450">
        <f t="shared" si="7"/>
        <v>28</v>
      </c>
      <c r="B35" s="318" t="s">
        <v>2182</v>
      </c>
      <c r="C35" s="318" t="s">
        <v>1376</v>
      </c>
      <c r="D35" s="318"/>
      <c r="E35" s="318" t="s">
        <v>414</v>
      </c>
      <c r="F35" s="318"/>
      <c r="G35" s="318"/>
      <c r="H35" s="436">
        <v>3755</v>
      </c>
      <c r="I35" s="450"/>
      <c r="J35" s="450"/>
      <c r="K35" s="436">
        <f t="shared" si="0"/>
        <v>3755</v>
      </c>
      <c r="L35" s="451">
        <v>39402</v>
      </c>
      <c r="M35" s="456">
        <v>3755.2937238674917</v>
      </c>
      <c r="N35" s="438">
        <f t="shared" si="1"/>
        <v>-0.29372386749173529</v>
      </c>
      <c r="O35" s="438">
        <f t="shared" si="2"/>
        <v>5980</v>
      </c>
      <c r="P35" s="452">
        <v>10</v>
      </c>
      <c r="Q35" s="453">
        <f t="shared" si="3"/>
        <v>16.383561643835616</v>
      </c>
      <c r="R35" s="454">
        <f t="shared" si="4"/>
        <v>-6.3835616438356162</v>
      </c>
      <c r="S35" s="455">
        <f t="shared" si="8"/>
        <v>9.5000000000000001E-2</v>
      </c>
      <c r="T35" s="317"/>
      <c r="U35" s="436">
        <f t="shared" si="5"/>
        <v>-0.29372386749173529</v>
      </c>
      <c r="V35" s="442"/>
      <c r="W35" s="456">
        <f t="shared" si="6"/>
        <v>-0.29372386749173529</v>
      </c>
    </row>
    <row r="36" spans="1:23" s="456" customFormat="1" ht="16.5">
      <c r="A36" s="450">
        <f t="shared" si="7"/>
        <v>29</v>
      </c>
      <c r="B36" s="318" t="s">
        <v>2182</v>
      </c>
      <c r="C36" s="318" t="s">
        <v>1409</v>
      </c>
      <c r="D36" s="318"/>
      <c r="E36" s="318" t="s">
        <v>2199</v>
      </c>
      <c r="F36" s="318" t="s">
        <v>2200</v>
      </c>
      <c r="G36" s="318"/>
      <c r="H36" s="436">
        <v>4407</v>
      </c>
      <c r="I36" s="450"/>
      <c r="J36" s="450"/>
      <c r="K36" s="436">
        <f t="shared" si="0"/>
        <v>4407</v>
      </c>
      <c r="L36" s="451">
        <v>39632</v>
      </c>
      <c r="M36" s="456">
        <v>4407.3500790957478</v>
      </c>
      <c r="N36" s="438">
        <f t="shared" si="1"/>
        <v>-0.35007909574778751</v>
      </c>
      <c r="O36" s="438">
        <f t="shared" si="2"/>
        <v>5750</v>
      </c>
      <c r="P36" s="452">
        <v>10</v>
      </c>
      <c r="Q36" s="453">
        <f t="shared" si="3"/>
        <v>15.753424657534246</v>
      </c>
      <c r="R36" s="454">
        <f t="shared" si="4"/>
        <v>-5.7534246575342465</v>
      </c>
      <c r="S36" s="455">
        <f t="shared" si="8"/>
        <v>9.5000000000000001E-2</v>
      </c>
      <c r="T36" s="317"/>
      <c r="U36" s="436">
        <f t="shared" si="5"/>
        <v>-0.35007909574778751</v>
      </c>
      <c r="V36" s="442"/>
      <c r="W36" s="456">
        <f t="shared" si="6"/>
        <v>-0.35007909574778751</v>
      </c>
    </row>
    <row r="37" spans="1:23" s="456" customFormat="1" ht="16.5">
      <c r="A37" s="450">
        <f t="shared" si="7"/>
        <v>30</v>
      </c>
      <c r="B37" s="318" t="s">
        <v>2182</v>
      </c>
      <c r="C37" s="318" t="s">
        <v>1376</v>
      </c>
      <c r="D37" s="318"/>
      <c r="E37" s="318" t="s">
        <v>414</v>
      </c>
      <c r="F37" s="318" t="s">
        <v>2201</v>
      </c>
      <c r="G37" s="318"/>
      <c r="H37" s="436">
        <v>4606</v>
      </c>
      <c r="I37" s="450"/>
      <c r="J37" s="450"/>
      <c r="K37" s="436">
        <f t="shared" si="0"/>
        <v>4606</v>
      </c>
      <c r="L37" s="451">
        <v>39452</v>
      </c>
      <c r="M37" s="456">
        <v>4605.6307781279602</v>
      </c>
      <c r="N37" s="438">
        <f t="shared" si="1"/>
        <v>0.36922187203981593</v>
      </c>
      <c r="O37" s="438">
        <f t="shared" si="2"/>
        <v>5930</v>
      </c>
      <c r="P37" s="452">
        <v>10</v>
      </c>
      <c r="Q37" s="453">
        <f t="shared" si="3"/>
        <v>16.246575342465754</v>
      </c>
      <c r="R37" s="454">
        <f t="shared" si="4"/>
        <v>-6.2465753424657535</v>
      </c>
      <c r="S37" s="455">
        <f t="shared" si="8"/>
        <v>9.5000000000000001E-2</v>
      </c>
      <c r="T37" s="317"/>
      <c r="U37" s="436">
        <f t="shared" si="5"/>
        <v>0.36922187203981593</v>
      </c>
      <c r="V37" s="442"/>
      <c r="W37" s="456">
        <f t="shared" si="6"/>
        <v>0.36922187203981593</v>
      </c>
    </row>
    <row r="38" spans="1:23" s="456" customFormat="1" ht="16.5">
      <c r="A38" s="450">
        <f t="shared" si="7"/>
        <v>31</v>
      </c>
      <c r="B38" s="318" t="s">
        <v>2182</v>
      </c>
      <c r="C38" s="318" t="s">
        <v>1376</v>
      </c>
      <c r="D38" s="318"/>
      <c r="E38" s="318" t="s">
        <v>414</v>
      </c>
      <c r="F38" s="318" t="s">
        <v>2201</v>
      </c>
      <c r="G38" s="318"/>
      <c r="H38" s="436">
        <v>5339</v>
      </c>
      <c r="I38" s="450"/>
      <c r="J38" s="450"/>
      <c r="K38" s="436">
        <f t="shared" si="0"/>
        <v>5339</v>
      </c>
      <c r="L38" s="451">
        <v>39464</v>
      </c>
      <c r="M38" s="456">
        <v>5338.7329379535931</v>
      </c>
      <c r="N38" s="438">
        <f t="shared" si="1"/>
        <v>0.26706204640686337</v>
      </c>
      <c r="O38" s="438">
        <f t="shared" si="2"/>
        <v>5918</v>
      </c>
      <c r="P38" s="452">
        <v>10</v>
      </c>
      <c r="Q38" s="453">
        <f t="shared" si="3"/>
        <v>16.213698630136985</v>
      </c>
      <c r="R38" s="454">
        <f t="shared" si="4"/>
        <v>-6.2136986301369852</v>
      </c>
      <c r="S38" s="455">
        <f t="shared" si="8"/>
        <v>9.5000000000000001E-2</v>
      </c>
      <c r="T38" s="317"/>
      <c r="U38" s="436">
        <f t="shared" si="5"/>
        <v>0.26706204640686337</v>
      </c>
      <c r="V38" s="442"/>
      <c r="W38" s="456">
        <f t="shared" si="6"/>
        <v>0.26706204640686337</v>
      </c>
    </row>
    <row r="39" spans="1:23" s="456" customFormat="1" ht="16.5">
      <c r="A39" s="450">
        <f t="shared" si="7"/>
        <v>32</v>
      </c>
      <c r="B39" s="318" t="s">
        <v>2182</v>
      </c>
      <c r="C39" s="318" t="s">
        <v>1431</v>
      </c>
      <c r="D39" s="318"/>
      <c r="E39" s="318"/>
      <c r="F39" s="318"/>
      <c r="G39" s="318"/>
      <c r="H39" s="436">
        <v>4332</v>
      </c>
      <c r="I39" s="450"/>
      <c r="J39" s="450"/>
      <c r="K39" s="436">
        <f t="shared" si="0"/>
        <v>4332</v>
      </c>
      <c r="L39" s="451">
        <v>38786</v>
      </c>
      <c r="M39" s="456">
        <v>4332.3999999999996</v>
      </c>
      <c r="N39" s="438">
        <f t="shared" si="1"/>
        <v>-0.3999999999996362</v>
      </c>
      <c r="O39" s="438">
        <f t="shared" si="2"/>
        <v>6596</v>
      </c>
      <c r="P39" s="452">
        <v>10</v>
      </c>
      <c r="Q39" s="453">
        <f t="shared" si="3"/>
        <v>18.07123287671233</v>
      </c>
      <c r="R39" s="454">
        <f t="shared" si="4"/>
        <v>-8.0712328767123296</v>
      </c>
      <c r="S39" s="455">
        <f t="shared" si="8"/>
        <v>9.5000000000000001E-2</v>
      </c>
      <c r="T39" s="317"/>
      <c r="U39" s="436">
        <f t="shared" si="5"/>
        <v>-0.3999999999996362</v>
      </c>
      <c r="V39" s="442"/>
      <c r="W39" s="456">
        <f t="shared" si="6"/>
        <v>-0.3999999999996362</v>
      </c>
    </row>
    <row r="40" spans="1:23" s="456" customFormat="1" ht="16.5">
      <c r="A40" s="450">
        <f t="shared" si="7"/>
        <v>33</v>
      </c>
      <c r="B40" s="318" t="s">
        <v>2182</v>
      </c>
      <c r="C40" s="318" t="s">
        <v>1376</v>
      </c>
      <c r="D40" s="318"/>
      <c r="E40" s="318" t="s">
        <v>2202</v>
      </c>
      <c r="F40" s="318" t="s">
        <v>2203</v>
      </c>
      <c r="G40" s="318"/>
      <c r="H40" s="436">
        <v>5548</v>
      </c>
      <c r="I40" s="450"/>
      <c r="J40" s="450"/>
      <c r="K40" s="436">
        <f t="shared" si="0"/>
        <v>5548</v>
      </c>
      <c r="L40" s="451">
        <v>39373</v>
      </c>
      <c r="M40" s="456">
        <v>5548.1153129005861</v>
      </c>
      <c r="N40" s="438">
        <f t="shared" si="1"/>
        <v>-0.11531290058610466</v>
      </c>
      <c r="O40" s="438">
        <f t="shared" si="2"/>
        <v>6009</v>
      </c>
      <c r="P40" s="452">
        <v>10</v>
      </c>
      <c r="Q40" s="453">
        <f t="shared" si="3"/>
        <v>16.463013698630139</v>
      </c>
      <c r="R40" s="454">
        <f t="shared" si="4"/>
        <v>-6.4630136986301387</v>
      </c>
      <c r="S40" s="455">
        <f t="shared" si="8"/>
        <v>9.5000000000000001E-2</v>
      </c>
      <c r="T40" s="317"/>
      <c r="U40" s="436">
        <f t="shared" si="5"/>
        <v>-0.11531290058610466</v>
      </c>
      <c r="V40" s="442"/>
      <c r="W40" s="456">
        <f t="shared" si="6"/>
        <v>-0.11531290058610466</v>
      </c>
    </row>
    <row r="41" spans="1:23" s="456" customFormat="1" ht="16.5">
      <c r="A41" s="450">
        <f t="shared" si="7"/>
        <v>34</v>
      </c>
      <c r="B41" s="318" t="s">
        <v>2182</v>
      </c>
      <c r="C41" s="318" t="s">
        <v>1376</v>
      </c>
      <c r="D41" s="318"/>
      <c r="E41" s="318" t="s">
        <v>414</v>
      </c>
      <c r="F41" s="318" t="s">
        <v>2204</v>
      </c>
      <c r="G41" s="318"/>
      <c r="H41" s="436">
        <v>5625</v>
      </c>
      <c r="I41" s="450"/>
      <c r="J41" s="450"/>
      <c r="K41" s="436">
        <f t="shared" si="0"/>
        <v>5625</v>
      </c>
      <c r="L41" s="451">
        <v>39394</v>
      </c>
      <c r="M41" s="456">
        <v>5624.876753102375</v>
      </c>
      <c r="N41" s="438">
        <f t="shared" si="1"/>
        <v>0.12324689762499474</v>
      </c>
      <c r="O41" s="438">
        <f t="shared" si="2"/>
        <v>5988</v>
      </c>
      <c r="P41" s="452">
        <v>10</v>
      </c>
      <c r="Q41" s="453">
        <f t="shared" si="3"/>
        <v>16.405479452054795</v>
      </c>
      <c r="R41" s="454">
        <f t="shared" si="4"/>
        <v>-6.4054794520547951</v>
      </c>
      <c r="S41" s="455">
        <f t="shared" si="8"/>
        <v>9.5000000000000001E-2</v>
      </c>
      <c r="T41" s="317"/>
      <c r="U41" s="436">
        <f t="shared" si="5"/>
        <v>0.12324689762499474</v>
      </c>
      <c r="V41" s="442"/>
      <c r="W41" s="456">
        <f t="shared" si="6"/>
        <v>0.12324689762499474</v>
      </c>
    </row>
    <row r="42" spans="1:23" s="456" customFormat="1" ht="16.5">
      <c r="A42" s="450">
        <f t="shared" si="7"/>
        <v>35</v>
      </c>
      <c r="B42" s="318" t="s">
        <v>2182</v>
      </c>
      <c r="C42" s="318" t="s">
        <v>1376</v>
      </c>
      <c r="D42" s="318"/>
      <c r="E42" s="318" t="s">
        <v>414</v>
      </c>
      <c r="F42" s="318" t="s">
        <v>2205</v>
      </c>
      <c r="G42" s="318"/>
      <c r="H42" s="436">
        <v>5539</v>
      </c>
      <c r="I42" s="450"/>
      <c r="J42" s="450"/>
      <c r="K42" s="436">
        <f t="shared" si="0"/>
        <v>5539</v>
      </c>
      <c r="L42" s="451">
        <v>39178</v>
      </c>
      <c r="M42" s="456">
        <v>5539.1709884627016</v>
      </c>
      <c r="N42" s="438">
        <f t="shared" si="1"/>
        <v>-0.17098846270164358</v>
      </c>
      <c r="O42" s="438">
        <f t="shared" si="2"/>
        <v>6204</v>
      </c>
      <c r="P42" s="452">
        <v>10</v>
      </c>
      <c r="Q42" s="453">
        <f t="shared" si="3"/>
        <v>16.997260273972604</v>
      </c>
      <c r="R42" s="454">
        <f t="shared" si="4"/>
        <v>-6.9972602739726035</v>
      </c>
      <c r="S42" s="455">
        <f t="shared" si="8"/>
        <v>9.5000000000000001E-2</v>
      </c>
      <c r="T42" s="317">
        <v>0</v>
      </c>
      <c r="U42" s="436">
        <f t="shared" si="5"/>
        <v>-0.17098846270164358</v>
      </c>
      <c r="V42" s="442"/>
      <c r="W42" s="456">
        <f t="shared" si="6"/>
        <v>-0.17098846270164358</v>
      </c>
    </row>
    <row r="43" spans="1:23" s="456" customFormat="1" ht="16.5">
      <c r="A43" s="450">
        <f t="shared" si="7"/>
        <v>36</v>
      </c>
      <c r="B43" s="318" t="s">
        <v>2182</v>
      </c>
      <c r="C43" s="318" t="s">
        <v>1376</v>
      </c>
      <c r="D43" s="318"/>
      <c r="E43" s="318" t="s">
        <v>414</v>
      </c>
      <c r="F43" s="318" t="s">
        <v>2206</v>
      </c>
      <c r="G43" s="318"/>
      <c r="H43" s="436">
        <v>6500</v>
      </c>
      <c r="I43" s="450"/>
      <c r="J43" s="450"/>
      <c r="K43" s="436">
        <f t="shared" si="0"/>
        <v>6500</v>
      </c>
      <c r="L43" s="451">
        <v>39475</v>
      </c>
      <c r="M43" s="456">
        <v>6500</v>
      </c>
      <c r="N43" s="438">
        <f t="shared" si="1"/>
        <v>0</v>
      </c>
      <c r="O43" s="438">
        <f t="shared" si="2"/>
        <v>5907</v>
      </c>
      <c r="P43" s="452">
        <v>10</v>
      </c>
      <c r="Q43" s="453">
        <f t="shared" si="3"/>
        <v>16.183561643835617</v>
      </c>
      <c r="R43" s="454">
        <f t="shared" si="4"/>
        <v>-6.1835616438356169</v>
      </c>
      <c r="S43" s="455">
        <f t="shared" si="8"/>
        <v>9.5000000000000001E-2</v>
      </c>
      <c r="T43" s="450">
        <v>0</v>
      </c>
      <c r="U43" s="436">
        <f t="shared" si="5"/>
        <v>0</v>
      </c>
      <c r="V43" s="442"/>
      <c r="W43" s="456">
        <f t="shared" si="6"/>
        <v>0</v>
      </c>
    </row>
    <row r="44" spans="1:23" s="456" customFormat="1" ht="16.5">
      <c r="A44" s="450">
        <f t="shared" si="7"/>
        <v>37</v>
      </c>
      <c r="B44" s="318" t="s">
        <v>2182</v>
      </c>
      <c r="C44" s="318" t="s">
        <v>1409</v>
      </c>
      <c r="D44" s="318"/>
      <c r="E44" s="318" t="s">
        <v>2207</v>
      </c>
      <c r="F44" s="318"/>
      <c r="G44" s="318"/>
      <c r="H44" s="436">
        <v>7714</v>
      </c>
      <c r="I44" s="450"/>
      <c r="J44" s="450"/>
      <c r="K44" s="436">
        <f t="shared" si="0"/>
        <v>7714</v>
      </c>
      <c r="L44" s="451">
        <v>39689</v>
      </c>
      <c r="M44" s="456">
        <v>7714</v>
      </c>
      <c r="N44" s="438">
        <f t="shared" si="1"/>
        <v>0</v>
      </c>
      <c r="O44" s="438">
        <f t="shared" si="2"/>
        <v>5693</v>
      </c>
      <c r="P44" s="452">
        <v>10</v>
      </c>
      <c r="Q44" s="453">
        <f t="shared" si="3"/>
        <v>15.597260273972603</v>
      </c>
      <c r="R44" s="454">
        <f t="shared" si="4"/>
        <v>-5.5972602739726032</v>
      </c>
      <c r="S44" s="455">
        <f t="shared" si="8"/>
        <v>9.5000000000000001E-2</v>
      </c>
      <c r="T44" s="450">
        <v>0</v>
      </c>
      <c r="U44" s="436">
        <f t="shared" si="5"/>
        <v>0</v>
      </c>
      <c r="V44" s="442"/>
      <c r="W44" s="456">
        <f t="shared" si="6"/>
        <v>0</v>
      </c>
    </row>
    <row r="45" spans="1:23" s="456" customFormat="1" ht="16.5">
      <c r="A45" s="450">
        <f t="shared" si="7"/>
        <v>38</v>
      </c>
      <c r="B45" s="318" t="s">
        <v>2182</v>
      </c>
      <c r="C45" s="318" t="s">
        <v>1396</v>
      </c>
      <c r="D45" s="318"/>
      <c r="E45" s="457" t="s">
        <v>2208</v>
      </c>
      <c r="F45" s="318"/>
      <c r="G45" s="318"/>
      <c r="H45" s="436">
        <v>6168</v>
      </c>
      <c r="I45" s="450"/>
      <c r="J45" s="450"/>
      <c r="K45" s="436">
        <f t="shared" si="0"/>
        <v>6168</v>
      </c>
      <c r="L45" s="451">
        <v>38868</v>
      </c>
      <c r="M45" s="456">
        <v>6168</v>
      </c>
      <c r="N45" s="438">
        <f t="shared" si="1"/>
        <v>0</v>
      </c>
      <c r="O45" s="438">
        <f t="shared" si="2"/>
        <v>6514</v>
      </c>
      <c r="P45" s="452">
        <v>10</v>
      </c>
      <c r="Q45" s="453">
        <f t="shared" si="3"/>
        <v>17.846575342465755</v>
      </c>
      <c r="R45" s="454">
        <f t="shared" si="4"/>
        <v>-7.8465753424657549</v>
      </c>
      <c r="S45" s="455">
        <f t="shared" si="8"/>
        <v>9.5000000000000001E-2</v>
      </c>
      <c r="T45" s="450">
        <v>0</v>
      </c>
      <c r="U45" s="436">
        <f t="shared" si="5"/>
        <v>0</v>
      </c>
      <c r="V45" s="442"/>
      <c r="W45" s="456">
        <f t="shared" si="6"/>
        <v>0</v>
      </c>
    </row>
    <row r="46" spans="1:23" s="456" customFormat="1" ht="16.5">
      <c r="A46" s="450">
        <f t="shared" si="7"/>
        <v>39</v>
      </c>
      <c r="B46" s="318" t="s">
        <v>2182</v>
      </c>
      <c r="C46" s="318" t="s">
        <v>1396</v>
      </c>
      <c r="D46" s="318"/>
      <c r="E46" s="318" t="s">
        <v>2209</v>
      </c>
      <c r="F46" s="318" t="s">
        <v>2210</v>
      </c>
      <c r="G46" s="318"/>
      <c r="H46" s="436">
        <v>6707</v>
      </c>
      <c r="I46" s="450"/>
      <c r="J46" s="450"/>
      <c r="K46" s="436">
        <f t="shared" si="0"/>
        <v>6707</v>
      </c>
      <c r="L46" s="451">
        <v>39129</v>
      </c>
      <c r="M46" s="456">
        <v>6707</v>
      </c>
      <c r="N46" s="438">
        <f t="shared" si="1"/>
        <v>0</v>
      </c>
      <c r="O46" s="438">
        <f t="shared" si="2"/>
        <v>6253</v>
      </c>
      <c r="P46" s="452">
        <v>10</v>
      </c>
      <c r="Q46" s="453">
        <f t="shared" si="3"/>
        <v>17.13150684931507</v>
      </c>
      <c r="R46" s="454">
        <f t="shared" si="4"/>
        <v>-7.1315068493150697</v>
      </c>
      <c r="S46" s="455">
        <f t="shared" si="8"/>
        <v>9.5000000000000001E-2</v>
      </c>
      <c r="T46" s="450">
        <v>0</v>
      </c>
      <c r="U46" s="436">
        <f t="shared" si="5"/>
        <v>0</v>
      </c>
      <c r="V46" s="442"/>
      <c r="W46" s="456">
        <f t="shared" si="6"/>
        <v>0</v>
      </c>
    </row>
    <row r="47" spans="1:23" s="456" customFormat="1" ht="16.5">
      <c r="A47" s="450">
        <f t="shared" si="7"/>
        <v>40</v>
      </c>
      <c r="B47" s="318" t="s">
        <v>2182</v>
      </c>
      <c r="C47" s="318" t="s">
        <v>1396</v>
      </c>
      <c r="D47" s="318"/>
      <c r="E47" s="457" t="s">
        <v>2211</v>
      </c>
      <c r="F47" s="318" t="s">
        <v>2212</v>
      </c>
      <c r="G47" s="318"/>
      <c r="H47" s="436">
        <v>7057</v>
      </c>
      <c r="I47" s="450"/>
      <c r="J47" s="450"/>
      <c r="K47" s="436">
        <f t="shared" si="0"/>
        <v>7057</v>
      </c>
      <c r="L47" s="451">
        <v>39037</v>
      </c>
      <c r="M47" s="456">
        <v>7057</v>
      </c>
      <c r="N47" s="438">
        <f t="shared" si="1"/>
        <v>0</v>
      </c>
      <c r="O47" s="438">
        <f t="shared" si="2"/>
        <v>6345</v>
      </c>
      <c r="P47" s="452">
        <v>10</v>
      </c>
      <c r="Q47" s="453">
        <f t="shared" si="3"/>
        <v>17.383561643835616</v>
      </c>
      <c r="R47" s="454">
        <f t="shared" si="4"/>
        <v>-7.3835616438356162</v>
      </c>
      <c r="S47" s="455">
        <f t="shared" si="8"/>
        <v>9.5000000000000001E-2</v>
      </c>
      <c r="T47" s="450">
        <v>0</v>
      </c>
      <c r="U47" s="436">
        <f t="shared" si="5"/>
        <v>0</v>
      </c>
      <c r="V47" s="442"/>
      <c r="W47" s="456">
        <f t="shared" si="6"/>
        <v>0</v>
      </c>
    </row>
    <row r="48" spans="1:23" s="456" customFormat="1" ht="16.5">
      <c r="A48" s="450">
        <f t="shared" si="7"/>
        <v>41</v>
      </c>
      <c r="B48" s="318" t="s">
        <v>2213</v>
      </c>
      <c r="C48" s="318" t="s">
        <v>1431</v>
      </c>
      <c r="D48" s="318"/>
      <c r="E48" s="318"/>
      <c r="F48" s="318"/>
      <c r="G48" s="318"/>
      <c r="H48" s="436">
        <v>6388</v>
      </c>
      <c r="I48" s="450"/>
      <c r="J48" s="450"/>
      <c r="K48" s="436">
        <f t="shared" si="0"/>
        <v>6388</v>
      </c>
      <c r="L48" s="451">
        <v>38658</v>
      </c>
      <c r="M48" s="456">
        <v>6388</v>
      </c>
      <c r="N48" s="438">
        <f t="shared" si="1"/>
        <v>0</v>
      </c>
      <c r="O48" s="438">
        <f t="shared" si="2"/>
        <v>6724</v>
      </c>
      <c r="P48" s="452">
        <v>10</v>
      </c>
      <c r="Q48" s="453">
        <f t="shared" si="3"/>
        <v>18.421917808219177</v>
      </c>
      <c r="R48" s="454">
        <f t="shared" si="4"/>
        <v>-8.4219178082191775</v>
      </c>
      <c r="S48" s="455">
        <f t="shared" si="8"/>
        <v>9.5000000000000001E-2</v>
      </c>
      <c r="T48" s="450">
        <v>0</v>
      </c>
      <c r="U48" s="436">
        <f t="shared" si="5"/>
        <v>0</v>
      </c>
      <c r="V48" s="442"/>
      <c r="W48" s="456">
        <f t="shared" si="6"/>
        <v>0</v>
      </c>
    </row>
    <row r="49" spans="1:23" s="456" customFormat="1" ht="16.5">
      <c r="A49" s="450">
        <f t="shared" si="7"/>
        <v>42</v>
      </c>
      <c r="B49" s="318" t="s">
        <v>2182</v>
      </c>
      <c r="C49" s="318" t="s">
        <v>1376</v>
      </c>
      <c r="D49" s="318"/>
      <c r="E49" s="318" t="s">
        <v>2214</v>
      </c>
      <c r="F49" s="318"/>
      <c r="G49" s="318"/>
      <c r="H49" s="436">
        <v>7997</v>
      </c>
      <c r="I49" s="450"/>
      <c r="J49" s="450"/>
      <c r="K49" s="436">
        <f t="shared" si="0"/>
        <v>7997</v>
      </c>
      <c r="L49" s="451">
        <v>39478</v>
      </c>
      <c r="M49" s="456">
        <v>7997</v>
      </c>
      <c r="N49" s="438">
        <f t="shared" si="1"/>
        <v>0</v>
      </c>
      <c r="O49" s="438">
        <f t="shared" si="2"/>
        <v>5904</v>
      </c>
      <c r="P49" s="452">
        <v>10</v>
      </c>
      <c r="Q49" s="453">
        <f t="shared" si="3"/>
        <v>16.175342465753424</v>
      </c>
      <c r="R49" s="454">
        <f t="shared" si="4"/>
        <v>-6.1753424657534239</v>
      </c>
      <c r="S49" s="455">
        <f t="shared" si="8"/>
        <v>9.5000000000000001E-2</v>
      </c>
      <c r="T49" s="450">
        <v>0</v>
      </c>
      <c r="U49" s="436">
        <f t="shared" si="5"/>
        <v>0</v>
      </c>
      <c r="V49" s="442"/>
      <c r="W49" s="456">
        <f t="shared" si="6"/>
        <v>0</v>
      </c>
    </row>
    <row r="50" spans="1:23" s="456" customFormat="1" ht="16.5">
      <c r="A50" s="450">
        <f t="shared" si="7"/>
        <v>43</v>
      </c>
      <c r="B50" s="318" t="s">
        <v>2182</v>
      </c>
      <c r="C50" s="318" t="s">
        <v>1376</v>
      </c>
      <c r="D50" s="318"/>
      <c r="E50" s="318" t="s">
        <v>2215</v>
      </c>
      <c r="F50" s="318"/>
      <c r="G50" s="318"/>
      <c r="H50" s="436">
        <v>8104</v>
      </c>
      <c r="I50" s="450"/>
      <c r="J50" s="450"/>
      <c r="K50" s="436">
        <f t="shared" si="0"/>
        <v>8104</v>
      </c>
      <c r="L50" s="451">
        <v>39504</v>
      </c>
      <c r="M50" s="456">
        <v>8104</v>
      </c>
      <c r="N50" s="438">
        <f t="shared" si="1"/>
        <v>0</v>
      </c>
      <c r="O50" s="438">
        <f t="shared" si="2"/>
        <v>5878</v>
      </c>
      <c r="P50" s="452">
        <v>10</v>
      </c>
      <c r="Q50" s="453">
        <f t="shared" si="3"/>
        <v>16.104109589041094</v>
      </c>
      <c r="R50" s="454">
        <f t="shared" si="4"/>
        <v>-6.1041095890410944</v>
      </c>
      <c r="S50" s="455">
        <f t="shared" si="8"/>
        <v>9.5000000000000001E-2</v>
      </c>
      <c r="T50" s="450">
        <v>0</v>
      </c>
      <c r="U50" s="436">
        <f t="shared" si="5"/>
        <v>0</v>
      </c>
      <c r="V50" s="442"/>
      <c r="W50" s="456">
        <f t="shared" si="6"/>
        <v>0</v>
      </c>
    </row>
    <row r="51" spans="1:23" s="456" customFormat="1" ht="16.5">
      <c r="A51" s="450">
        <f t="shared" si="7"/>
        <v>44</v>
      </c>
      <c r="B51" s="318" t="s">
        <v>2182</v>
      </c>
      <c r="C51" s="318" t="s">
        <v>1409</v>
      </c>
      <c r="D51" s="318"/>
      <c r="E51" s="318" t="s">
        <v>2199</v>
      </c>
      <c r="F51" s="318" t="s">
        <v>2216</v>
      </c>
      <c r="G51" s="318"/>
      <c r="H51" s="436">
        <v>8810</v>
      </c>
      <c r="I51" s="450"/>
      <c r="J51" s="450"/>
      <c r="K51" s="436">
        <f t="shared" si="0"/>
        <v>8810</v>
      </c>
      <c r="L51" s="451">
        <v>39631</v>
      </c>
      <c r="M51" s="456">
        <v>8810</v>
      </c>
      <c r="N51" s="438">
        <f t="shared" si="1"/>
        <v>0</v>
      </c>
      <c r="O51" s="438">
        <f t="shared" si="2"/>
        <v>5751</v>
      </c>
      <c r="P51" s="452">
        <v>10</v>
      </c>
      <c r="Q51" s="453">
        <f t="shared" si="3"/>
        <v>15.756164383561643</v>
      </c>
      <c r="R51" s="454">
        <f t="shared" si="4"/>
        <v>-5.7561643835616429</v>
      </c>
      <c r="S51" s="455">
        <f t="shared" si="8"/>
        <v>9.5000000000000001E-2</v>
      </c>
      <c r="T51" s="450">
        <v>0</v>
      </c>
      <c r="U51" s="436">
        <f t="shared" si="5"/>
        <v>0</v>
      </c>
      <c r="V51" s="442"/>
      <c r="W51" s="456">
        <f t="shared" si="6"/>
        <v>0</v>
      </c>
    </row>
    <row r="52" spans="1:23" s="456" customFormat="1" ht="16.5">
      <c r="A52" s="450">
        <f t="shared" si="7"/>
        <v>45</v>
      </c>
      <c r="B52" s="318" t="s">
        <v>2182</v>
      </c>
      <c r="C52" s="318" t="s">
        <v>1376</v>
      </c>
      <c r="D52" s="318"/>
      <c r="E52" s="318" t="s">
        <v>2217</v>
      </c>
      <c r="F52" s="318" t="s">
        <v>2218</v>
      </c>
      <c r="G52" s="318"/>
      <c r="H52" s="436">
        <v>7770</v>
      </c>
      <c r="I52" s="450"/>
      <c r="J52" s="450"/>
      <c r="K52" s="436">
        <f t="shared" si="0"/>
        <v>7770</v>
      </c>
      <c r="L52" s="451">
        <v>39336</v>
      </c>
      <c r="M52" s="456">
        <v>7770</v>
      </c>
      <c r="N52" s="438">
        <f t="shared" si="1"/>
        <v>0</v>
      </c>
      <c r="O52" s="438">
        <f t="shared" si="2"/>
        <v>6046</v>
      </c>
      <c r="P52" s="452">
        <v>10</v>
      </c>
      <c r="Q52" s="453">
        <f t="shared" si="3"/>
        <v>16.564383561643837</v>
      </c>
      <c r="R52" s="454">
        <f t="shared" si="4"/>
        <v>-6.5643835616438366</v>
      </c>
      <c r="S52" s="455">
        <f t="shared" si="8"/>
        <v>9.5000000000000001E-2</v>
      </c>
      <c r="T52" s="450">
        <v>0</v>
      </c>
      <c r="U52" s="436">
        <f t="shared" si="5"/>
        <v>0</v>
      </c>
      <c r="V52" s="442"/>
      <c r="W52" s="456">
        <f t="shared" si="6"/>
        <v>0</v>
      </c>
    </row>
    <row r="53" spans="1:23" s="456" customFormat="1" ht="16.5">
      <c r="A53" s="450">
        <f t="shared" si="7"/>
        <v>46</v>
      </c>
      <c r="B53" s="318" t="s">
        <v>2182</v>
      </c>
      <c r="C53" s="318" t="s">
        <v>1376</v>
      </c>
      <c r="D53" s="318"/>
      <c r="E53" s="318" t="s">
        <v>414</v>
      </c>
      <c r="F53" s="318" t="s">
        <v>2219</v>
      </c>
      <c r="G53" s="318"/>
      <c r="H53" s="436">
        <v>8341</v>
      </c>
      <c r="I53" s="450"/>
      <c r="J53" s="450"/>
      <c r="K53" s="436">
        <f t="shared" si="0"/>
        <v>8341</v>
      </c>
      <c r="L53" s="451">
        <v>39271</v>
      </c>
      <c r="M53" s="456">
        <v>8341</v>
      </c>
      <c r="N53" s="438">
        <f t="shared" si="1"/>
        <v>0</v>
      </c>
      <c r="O53" s="438">
        <f t="shared" si="2"/>
        <v>6111</v>
      </c>
      <c r="P53" s="452">
        <v>10</v>
      </c>
      <c r="Q53" s="453">
        <f t="shared" si="3"/>
        <v>16.742465753424657</v>
      </c>
      <c r="R53" s="454">
        <f t="shared" si="4"/>
        <v>-6.742465753424657</v>
      </c>
      <c r="S53" s="455">
        <f t="shared" si="8"/>
        <v>9.5000000000000001E-2</v>
      </c>
      <c r="T53" s="450">
        <v>0</v>
      </c>
      <c r="U53" s="436">
        <f t="shared" si="5"/>
        <v>0</v>
      </c>
      <c r="V53" s="442"/>
      <c r="W53" s="456">
        <f t="shared" si="6"/>
        <v>0</v>
      </c>
    </row>
    <row r="54" spans="1:23" s="456" customFormat="1" ht="16.5">
      <c r="A54" s="450">
        <f t="shared" si="7"/>
        <v>47</v>
      </c>
      <c r="B54" s="318" t="s">
        <v>2182</v>
      </c>
      <c r="C54" s="318" t="s">
        <v>1376</v>
      </c>
      <c r="D54" s="318"/>
      <c r="E54" s="318" t="s">
        <v>427</v>
      </c>
      <c r="F54" s="318" t="s">
        <v>2220</v>
      </c>
      <c r="G54" s="318"/>
      <c r="H54" s="436">
        <v>8884</v>
      </c>
      <c r="I54" s="450"/>
      <c r="J54" s="450"/>
      <c r="K54" s="436">
        <f t="shared" si="0"/>
        <v>8884</v>
      </c>
      <c r="L54" s="451">
        <v>39389</v>
      </c>
      <c r="M54" s="456">
        <v>8884</v>
      </c>
      <c r="N54" s="438">
        <f t="shared" si="1"/>
        <v>0</v>
      </c>
      <c r="O54" s="438">
        <f t="shared" si="2"/>
        <v>5993</v>
      </c>
      <c r="P54" s="452">
        <v>10</v>
      </c>
      <c r="Q54" s="453">
        <f t="shared" si="3"/>
        <v>16.419178082191781</v>
      </c>
      <c r="R54" s="454">
        <f t="shared" si="4"/>
        <v>-6.419178082191781</v>
      </c>
      <c r="S54" s="455">
        <f t="shared" si="8"/>
        <v>9.5000000000000001E-2</v>
      </c>
      <c r="T54" s="450">
        <v>0</v>
      </c>
      <c r="U54" s="436">
        <f t="shared" si="5"/>
        <v>0</v>
      </c>
      <c r="V54" s="442"/>
      <c r="W54" s="456">
        <f t="shared" si="6"/>
        <v>0</v>
      </c>
    </row>
    <row r="55" spans="1:23" s="456" customFormat="1" ht="16.5">
      <c r="A55" s="450">
        <f t="shared" si="7"/>
        <v>48</v>
      </c>
      <c r="B55" s="318" t="s">
        <v>2182</v>
      </c>
      <c r="C55" s="318" t="s">
        <v>1376</v>
      </c>
      <c r="D55" s="318"/>
      <c r="E55" s="318" t="s">
        <v>2221</v>
      </c>
      <c r="F55" s="318" t="s">
        <v>2222</v>
      </c>
      <c r="G55" s="318"/>
      <c r="H55" s="436">
        <v>9337</v>
      </c>
      <c r="I55" s="450"/>
      <c r="J55" s="450"/>
      <c r="K55" s="436">
        <f t="shared" si="0"/>
        <v>9337</v>
      </c>
      <c r="L55" s="451">
        <v>39510</v>
      </c>
      <c r="M55" s="456">
        <v>9337</v>
      </c>
      <c r="N55" s="438">
        <f t="shared" si="1"/>
        <v>0</v>
      </c>
      <c r="O55" s="438">
        <f t="shared" si="2"/>
        <v>5872</v>
      </c>
      <c r="P55" s="452">
        <v>10</v>
      </c>
      <c r="Q55" s="453">
        <f t="shared" si="3"/>
        <v>16.087671232876712</v>
      </c>
      <c r="R55" s="454">
        <f t="shared" si="4"/>
        <v>-6.087671232876712</v>
      </c>
      <c r="S55" s="455">
        <f t="shared" si="8"/>
        <v>9.5000000000000001E-2</v>
      </c>
      <c r="T55" s="450">
        <v>0</v>
      </c>
      <c r="U55" s="436">
        <f t="shared" si="5"/>
        <v>0</v>
      </c>
      <c r="V55" s="442"/>
      <c r="W55" s="456">
        <f t="shared" si="6"/>
        <v>0</v>
      </c>
    </row>
    <row r="56" spans="1:23" s="456" customFormat="1" ht="16.5">
      <c r="A56" s="450">
        <f t="shared" si="7"/>
        <v>49</v>
      </c>
      <c r="B56" s="318" t="s">
        <v>2182</v>
      </c>
      <c r="C56" s="318" t="s">
        <v>1376</v>
      </c>
      <c r="D56" s="318"/>
      <c r="E56" s="318" t="s">
        <v>414</v>
      </c>
      <c r="F56" s="318"/>
      <c r="G56" s="318"/>
      <c r="H56" s="436">
        <v>9417</v>
      </c>
      <c r="I56" s="450"/>
      <c r="J56" s="450"/>
      <c r="K56" s="436">
        <f t="shared" si="0"/>
        <v>9417</v>
      </c>
      <c r="L56" s="451">
        <v>39447</v>
      </c>
      <c r="M56" s="456">
        <v>9417</v>
      </c>
      <c r="N56" s="438">
        <f t="shared" si="1"/>
        <v>0</v>
      </c>
      <c r="O56" s="438">
        <f t="shared" si="2"/>
        <v>5935</v>
      </c>
      <c r="P56" s="452">
        <v>10</v>
      </c>
      <c r="Q56" s="453">
        <f t="shared" si="3"/>
        <v>16.260273972602739</v>
      </c>
      <c r="R56" s="454">
        <f t="shared" si="4"/>
        <v>-6.2602739726027394</v>
      </c>
      <c r="S56" s="455">
        <f t="shared" si="8"/>
        <v>9.5000000000000001E-2</v>
      </c>
      <c r="T56" s="450">
        <v>0</v>
      </c>
      <c r="U56" s="436">
        <f t="shared" si="5"/>
        <v>0</v>
      </c>
      <c r="V56" s="442"/>
      <c r="W56" s="456">
        <f t="shared" si="6"/>
        <v>0</v>
      </c>
    </row>
    <row r="57" spans="1:23" s="456" customFormat="1" ht="16.5">
      <c r="A57" s="450">
        <f t="shared" si="7"/>
        <v>50</v>
      </c>
      <c r="B57" s="318" t="s">
        <v>2182</v>
      </c>
      <c r="C57" s="318" t="s">
        <v>1409</v>
      </c>
      <c r="D57" s="318" t="s">
        <v>1408</v>
      </c>
      <c r="E57" s="318"/>
      <c r="F57" s="318"/>
      <c r="G57" s="318"/>
      <c r="H57" s="436">
        <v>10363</v>
      </c>
      <c r="I57" s="450"/>
      <c r="J57" s="450"/>
      <c r="K57" s="436">
        <f t="shared" si="0"/>
        <v>10363</v>
      </c>
      <c r="L57" s="451">
        <v>39591</v>
      </c>
      <c r="M57" s="456">
        <v>10363</v>
      </c>
      <c r="N57" s="438">
        <f t="shared" si="1"/>
        <v>0</v>
      </c>
      <c r="O57" s="438">
        <f t="shared" si="2"/>
        <v>5791</v>
      </c>
      <c r="P57" s="452">
        <v>10</v>
      </c>
      <c r="Q57" s="453">
        <f t="shared" si="3"/>
        <v>15.865753424657534</v>
      </c>
      <c r="R57" s="454">
        <f t="shared" si="4"/>
        <v>-5.8657534246575338</v>
      </c>
      <c r="S57" s="455">
        <f t="shared" si="8"/>
        <v>9.5000000000000001E-2</v>
      </c>
      <c r="T57" s="450">
        <v>0</v>
      </c>
      <c r="U57" s="436">
        <f t="shared" si="5"/>
        <v>0</v>
      </c>
      <c r="V57" s="442"/>
      <c r="W57" s="456">
        <f t="shared" si="6"/>
        <v>0</v>
      </c>
    </row>
    <row r="58" spans="1:23" s="456" customFormat="1" ht="16.5">
      <c r="A58" s="450">
        <f t="shared" si="7"/>
        <v>51</v>
      </c>
      <c r="B58" s="318" t="s">
        <v>2182</v>
      </c>
      <c r="C58" s="318" t="s">
        <v>1409</v>
      </c>
      <c r="D58" s="318"/>
      <c r="E58" s="318" t="s">
        <v>2199</v>
      </c>
      <c r="F58" s="318" t="s">
        <v>2223</v>
      </c>
      <c r="G58" s="318"/>
      <c r="H58" s="436">
        <v>10862</v>
      </c>
      <c r="I58" s="450"/>
      <c r="J58" s="450"/>
      <c r="K58" s="436">
        <f t="shared" si="0"/>
        <v>10862</v>
      </c>
      <c r="L58" s="451">
        <v>39582</v>
      </c>
      <c r="M58" s="456">
        <v>10862</v>
      </c>
      <c r="N58" s="438">
        <f t="shared" si="1"/>
        <v>0</v>
      </c>
      <c r="O58" s="438">
        <f t="shared" si="2"/>
        <v>5800</v>
      </c>
      <c r="P58" s="452">
        <v>10</v>
      </c>
      <c r="Q58" s="453">
        <f t="shared" si="3"/>
        <v>15.890410958904109</v>
      </c>
      <c r="R58" s="454">
        <f t="shared" si="4"/>
        <v>-5.8904109589041092</v>
      </c>
      <c r="S58" s="455">
        <f t="shared" si="8"/>
        <v>9.5000000000000001E-2</v>
      </c>
      <c r="T58" s="450">
        <v>0</v>
      </c>
      <c r="U58" s="436">
        <f t="shared" si="5"/>
        <v>0</v>
      </c>
      <c r="V58" s="442"/>
      <c r="W58" s="456">
        <f t="shared" si="6"/>
        <v>0</v>
      </c>
    </row>
    <row r="59" spans="1:23" s="456" customFormat="1" ht="16.5">
      <c r="A59" s="450">
        <f t="shared" si="7"/>
        <v>52</v>
      </c>
      <c r="B59" s="318" t="s">
        <v>2182</v>
      </c>
      <c r="C59" s="318" t="s">
        <v>1376</v>
      </c>
      <c r="D59" s="318"/>
      <c r="E59" s="318" t="s">
        <v>414</v>
      </c>
      <c r="F59" s="318" t="s">
        <v>2224</v>
      </c>
      <c r="G59" s="318"/>
      <c r="H59" s="436">
        <v>9760</v>
      </c>
      <c r="I59" s="450"/>
      <c r="J59" s="450"/>
      <c r="K59" s="436">
        <f t="shared" si="0"/>
        <v>9760</v>
      </c>
      <c r="L59" s="451">
        <v>39338</v>
      </c>
      <c r="M59" s="456">
        <v>9760</v>
      </c>
      <c r="N59" s="438">
        <f t="shared" si="1"/>
        <v>0</v>
      </c>
      <c r="O59" s="438">
        <f t="shared" si="2"/>
        <v>6044</v>
      </c>
      <c r="P59" s="452">
        <v>10</v>
      </c>
      <c r="Q59" s="453">
        <f t="shared" si="3"/>
        <v>16.55890410958904</v>
      </c>
      <c r="R59" s="454">
        <f t="shared" si="4"/>
        <v>-6.5589041095890401</v>
      </c>
      <c r="S59" s="455">
        <f t="shared" si="8"/>
        <v>9.5000000000000001E-2</v>
      </c>
      <c r="T59" s="450">
        <v>0</v>
      </c>
      <c r="U59" s="436">
        <f t="shared" si="5"/>
        <v>0</v>
      </c>
      <c r="V59" s="442"/>
      <c r="W59" s="456">
        <f t="shared" si="6"/>
        <v>0</v>
      </c>
    </row>
    <row r="60" spans="1:23" s="456" customFormat="1" ht="16.5">
      <c r="A60" s="450">
        <f t="shared" si="7"/>
        <v>53</v>
      </c>
      <c r="B60" s="318" t="s">
        <v>2182</v>
      </c>
      <c r="C60" s="318" t="s">
        <v>1409</v>
      </c>
      <c r="D60" s="318"/>
      <c r="E60" s="318"/>
      <c r="F60" s="318"/>
      <c r="G60" s="318"/>
      <c r="H60" s="436">
        <v>11909</v>
      </c>
      <c r="I60" s="450"/>
      <c r="J60" s="450"/>
      <c r="K60" s="436">
        <f t="shared" si="0"/>
        <v>11909</v>
      </c>
      <c r="L60" s="451">
        <v>39539</v>
      </c>
      <c r="M60" s="456">
        <v>11909</v>
      </c>
      <c r="N60" s="438">
        <f t="shared" si="1"/>
        <v>0</v>
      </c>
      <c r="O60" s="438">
        <f t="shared" si="2"/>
        <v>5843</v>
      </c>
      <c r="P60" s="452">
        <v>10</v>
      </c>
      <c r="Q60" s="453">
        <f t="shared" si="3"/>
        <v>16.008219178082193</v>
      </c>
      <c r="R60" s="454">
        <f t="shared" si="4"/>
        <v>-6.008219178082193</v>
      </c>
      <c r="S60" s="455">
        <f t="shared" si="8"/>
        <v>9.5000000000000001E-2</v>
      </c>
      <c r="T60" s="450">
        <v>0</v>
      </c>
      <c r="U60" s="436">
        <f t="shared" si="5"/>
        <v>0</v>
      </c>
      <c r="V60" s="442"/>
      <c r="W60" s="456">
        <f t="shared" si="6"/>
        <v>0</v>
      </c>
    </row>
    <row r="61" spans="1:23" s="456" customFormat="1" ht="16.5">
      <c r="A61" s="450">
        <f t="shared" si="7"/>
        <v>54</v>
      </c>
      <c r="B61" s="318" t="s">
        <v>2182</v>
      </c>
      <c r="C61" s="318" t="s">
        <v>1376</v>
      </c>
      <c r="D61" s="318"/>
      <c r="E61" s="318" t="s">
        <v>414</v>
      </c>
      <c r="F61" s="318"/>
      <c r="G61" s="318"/>
      <c r="H61" s="436">
        <v>11667</v>
      </c>
      <c r="I61" s="450"/>
      <c r="J61" s="450"/>
      <c r="K61" s="436">
        <f t="shared" si="0"/>
        <v>11667</v>
      </c>
      <c r="L61" s="451">
        <v>39436</v>
      </c>
      <c r="M61" s="456">
        <v>11667</v>
      </c>
      <c r="N61" s="438">
        <f t="shared" si="1"/>
        <v>0</v>
      </c>
      <c r="O61" s="438">
        <f t="shared" si="2"/>
        <v>5946</v>
      </c>
      <c r="P61" s="452">
        <v>10</v>
      </c>
      <c r="Q61" s="453">
        <f t="shared" si="3"/>
        <v>16.290410958904111</v>
      </c>
      <c r="R61" s="454">
        <f t="shared" si="4"/>
        <v>-6.2904109589041113</v>
      </c>
      <c r="S61" s="455">
        <f t="shared" si="8"/>
        <v>9.5000000000000001E-2</v>
      </c>
      <c r="T61" s="450">
        <v>0</v>
      </c>
      <c r="U61" s="436">
        <f t="shared" si="5"/>
        <v>0</v>
      </c>
      <c r="V61" s="442"/>
      <c r="W61" s="456">
        <f t="shared" si="6"/>
        <v>0</v>
      </c>
    </row>
    <row r="62" spans="1:23" s="456" customFormat="1" ht="16.5">
      <c r="A62" s="450">
        <f t="shared" si="7"/>
        <v>55</v>
      </c>
      <c r="B62" s="318" t="s">
        <v>2225</v>
      </c>
      <c r="C62" s="318" t="s">
        <v>1431</v>
      </c>
      <c r="D62" s="318"/>
      <c r="E62" s="318"/>
      <c r="F62" s="318"/>
      <c r="G62" s="318"/>
      <c r="H62" s="436">
        <v>9043</v>
      </c>
      <c r="I62" s="450"/>
      <c r="J62" s="450"/>
      <c r="K62" s="436">
        <f t="shared" si="0"/>
        <v>9043</v>
      </c>
      <c r="L62" s="451">
        <v>38553</v>
      </c>
      <c r="M62" s="456">
        <v>9043</v>
      </c>
      <c r="N62" s="438">
        <f t="shared" si="1"/>
        <v>0</v>
      </c>
      <c r="O62" s="438">
        <f t="shared" si="2"/>
        <v>6829</v>
      </c>
      <c r="P62" s="452">
        <v>10</v>
      </c>
      <c r="Q62" s="453">
        <f t="shared" si="3"/>
        <v>18.709589041095889</v>
      </c>
      <c r="R62" s="454">
        <f t="shared" si="4"/>
        <v>-8.7095890410958887</v>
      </c>
      <c r="S62" s="455">
        <f t="shared" si="8"/>
        <v>9.5000000000000001E-2</v>
      </c>
      <c r="T62" s="450">
        <v>0</v>
      </c>
      <c r="U62" s="436">
        <f t="shared" si="5"/>
        <v>0</v>
      </c>
      <c r="V62" s="442"/>
      <c r="W62" s="456">
        <f t="shared" si="6"/>
        <v>0</v>
      </c>
    </row>
    <row r="63" spans="1:23" s="456" customFormat="1" ht="16.5">
      <c r="A63" s="450">
        <f t="shared" si="7"/>
        <v>56</v>
      </c>
      <c r="B63" s="318" t="s">
        <v>2182</v>
      </c>
      <c r="C63" s="318" t="s">
        <v>2226</v>
      </c>
      <c r="D63" s="318"/>
      <c r="E63" s="318"/>
      <c r="F63" s="318"/>
      <c r="G63" s="318"/>
      <c r="H63" s="436">
        <v>9047</v>
      </c>
      <c r="I63" s="450"/>
      <c r="J63" s="450"/>
      <c r="K63" s="436">
        <f t="shared" si="0"/>
        <v>9047</v>
      </c>
      <c r="L63" s="451">
        <v>38443</v>
      </c>
      <c r="M63" s="456">
        <v>9047</v>
      </c>
      <c r="N63" s="438">
        <f t="shared" si="1"/>
        <v>0</v>
      </c>
      <c r="O63" s="438">
        <f t="shared" si="2"/>
        <v>6939</v>
      </c>
      <c r="P63" s="452">
        <v>10</v>
      </c>
      <c r="Q63" s="453">
        <f t="shared" si="3"/>
        <v>19.010958904109589</v>
      </c>
      <c r="R63" s="454">
        <f t="shared" si="4"/>
        <v>-9.0109589041095894</v>
      </c>
      <c r="S63" s="455">
        <f t="shared" si="8"/>
        <v>9.5000000000000001E-2</v>
      </c>
      <c r="T63" s="450">
        <v>0</v>
      </c>
      <c r="U63" s="436">
        <f t="shared" si="5"/>
        <v>0</v>
      </c>
      <c r="V63" s="442"/>
      <c r="W63" s="456">
        <f t="shared" si="6"/>
        <v>0</v>
      </c>
    </row>
    <row r="64" spans="1:23" s="456" customFormat="1" ht="16.5">
      <c r="A64" s="450">
        <f t="shared" si="7"/>
        <v>57</v>
      </c>
      <c r="B64" s="318" t="s">
        <v>2182</v>
      </c>
      <c r="C64" s="318" t="s">
        <v>1376</v>
      </c>
      <c r="D64" s="318"/>
      <c r="E64" s="318" t="s">
        <v>414</v>
      </c>
      <c r="F64" s="318"/>
      <c r="G64" s="318"/>
      <c r="H64" s="436">
        <v>11894</v>
      </c>
      <c r="I64" s="450"/>
      <c r="J64" s="450"/>
      <c r="K64" s="436">
        <f t="shared" si="0"/>
        <v>11894</v>
      </c>
      <c r="L64" s="451">
        <v>39412</v>
      </c>
      <c r="M64" s="456">
        <v>11894</v>
      </c>
      <c r="N64" s="438">
        <f t="shared" si="1"/>
        <v>0</v>
      </c>
      <c r="O64" s="438">
        <f t="shared" si="2"/>
        <v>5970</v>
      </c>
      <c r="P64" s="452">
        <v>10</v>
      </c>
      <c r="Q64" s="453">
        <f t="shared" si="3"/>
        <v>16.356164383561644</v>
      </c>
      <c r="R64" s="454">
        <f t="shared" si="4"/>
        <v>-6.3561643835616444</v>
      </c>
      <c r="S64" s="455">
        <f t="shared" si="8"/>
        <v>9.5000000000000001E-2</v>
      </c>
      <c r="T64" s="450">
        <v>0</v>
      </c>
      <c r="U64" s="436">
        <f t="shared" si="5"/>
        <v>0</v>
      </c>
      <c r="V64" s="442"/>
      <c r="W64" s="456">
        <f t="shared" si="6"/>
        <v>0</v>
      </c>
    </row>
    <row r="65" spans="1:23" s="456" customFormat="1" ht="16.5">
      <c r="A65" s="450">
        <f t="shared" si="7"/>
        <v>58</v>
      </c>
      <c r="B65" s="318" t="s">
        <v>2182</v>
      </c>
      <c r="C65" s="318" t="s">
        <v>1376</v>
      </c>
      <c r="D65" s="318"/>
      <c r="E65" s="318" t="s">
        <v>2227</v>
      </c>
      <c r="F65" s="318" t="s">
        <v>1549</v>
      </c>
      <c r="G65" s="318"/>
      <c r="H65" s="436">
        <v>11594</v>
      </c>
      <c r="I65" s="450"/>
      <c r="J65" s="450"/>
      <c r="K65" s="436">
        <f t="shared" si="0"/>
        <v>11594</v>
      </c>
      <c r="L65" s="451">
        <v>39288</v>
      </c>
      <c r="M65" s="456">
        <v>11594</v>
      </c>
      <c r="N65" s="438">
        <f t="shared" si="1"/>
        <v>0</v>
      </c>
      <c r="O65" s="438">
        <f t="shared" si="2"/>
        <v>6094</v>
      </c>
      <c r="P65" s="452">
        <v>10</v>
      </c>
      <c r="Q65" s="453">
        <f t="shared" si="3"/>
        <v>16.695890410958903</v>
      </c>
      <c r="R65" s="454">
        <f t="shared" si="4"/>
        <v>-6.6958904109589028</v>
      </c>
      <c r="S65" s="455">
        <f t="shared" si="8"/>
        <v>9.5000000000000001E-2</v>
      </c>
      <c r="T65" s="450">
        <v>0</v>
      </c>
      <c r="U65" s="436">
        <f t="shared" si="5"/>
        <v>0</v>
      </c>
      <c r="V65" s="442"/>
      <c r="W65" s="456">
        <f t="shared" si="6"/>
        <v>0</v>
      </c>
    </row>
    <row r="66" spans="1:23" s="456" customFormat="1" ht="16.5">
      <c r="A66" s="450">
        <f t="shared" si="7"/>
        <v>59</v>
      </c>
      <c r="B66" s="318" t="s">
        <v>2182</v>
      </c>
      <c r="C66" s="318" t="s">
        <v>1376</v>
      </c>
      <c r="D66" s="318"/>
      <c r="E66" s="318" t="s">
        <v>414</v>
      </c>
      <c r="F66" s="318" t="s">
        <v>2228</v>
      </c>
      <c r="G66" s="318"/>
      <c r="H66" s="436">
        <v>13095</v>
      </c>
      <c r="I66" s="450"/>
      <c r="J66" s="450"/>
      <c r="K66" s="436">
        <f t="shared" si="0"/>
        <v>13095</v>
      </c>
      <c r="L66" s="451">
        <v>39387</v>
      </c>
      <c r="M66" s="456">
        <v>13095</v>
      </c>
      <c r="N66" s="438">
        <f t="shared" si="1"/>
        <v>0</v>
      </c>
      <c r="O66" s="438">
        <f t="shared" si="2"/>
        <v>5995</v>
      </c>
      <c r="P66" s="452">
        <v>10</v>
      </c>
      <c r="Q66" s="453">
        <f t="shared" si="3"/>
        <v>16.424657534246574</v>
      </c>
      <c r="R66" s="454">
        <f t="shared" si="4"/>
        <v>-6.4246575342465739</v>
      </c>
      <c r="S66" s="455">
        <f t="shared" si="8"/>
        <v>9.5000000000000001E-2</v>
      </c>
      <c r="T66" s="450">
        <v>0</v>
      </c>
      <c r="U66" s="436">
        <f t="shared" si="5"/>
        <v>0</v>
      </c>
      <c r="V66" s="442"/>
      <c r="W66" s="456">
        <f t="shared" si="6"/>
        <v>0</v>
      </c>
    </row>
    <row r="67" spans="1:23" s="456" customFormat="1" ht="16.5">
      <c r="A67" s="450">
        <f t="shared" si="7"/>
        <v>60</v>
      </c>
      <c r="B67" s="318" t="s">
        <v>2182</v>
      </c>
      <c r="C67" s="318" t="s">
        <v>1376</v>
      </c>
      <c r="D67" s="318"/>
      <c r="E67" s="318" t="s">
        <v>2188</v>
      </c>
      <c r="F67" s="318" t="s">
        <v>2229</v>
      </c>
      <c r="G67" s="318"/>
      <c r="H67" s="436">
        <v>12496</v>
      </c>
      <c r="I67" s="450"/>
      <c r="J67" s="450"/>
      <c r="K67" s="436">
        <f t="shared" si="0"/>
        <v>12496</v>
      </c>
      <c r="L67" s="451">
        <v>39280</v>
      </c>
      <c r="M67" s="456">
        <v>12496</v>
      </c>
      <c r="N67" s="438">
        <f t="shared" si="1"/>
        <v>0</v>
      </c>
      <c r="O67" s="438">
        <f t="shared" si="2"/>
        <v>6102</v>
      </c>
      <c r="P67" s="452">
        <v>10</v>
      </c>
      <c r="Q67" s="453">
        <f t="shared" si="3"/>
        <v>16.717808219178082</v>
      </c>
      <c r="R67" s="454">
        <f t="shared" si="4"/>
        <v>-6.7178082191780817</v>
      </c>
      <c r="S67" s="455">
        <f t="shared" si="8"/>
        <v>9.5000000000000001E-2</v>
      </c>
      <c r="T67" s="450">
        <v>0</v>
      </c>
      <c r="U67" s="436">
        <f t="shared" si="5"/>
        <v>0</v>
      </c>
      <c r="V67" s="442"/>
      <c r="W67" s="456">
        <f t="shared" si="6"/>
        <v>0</v>
      </c>
    </row>
    <row r="68" spans="1:23" s="456" customFormat="1" ht="16.5">
      <c r="A68" s="450">
        <f t="shared" si="7"/>
        <v>61</v>
      </c>
      <c r="B68" s="318" t="s">
        <v>2182</v>
      </c>
      <c r="C68" s="318" t="s">
        <v>1376</v>
      </c>
      <c r="D68" s="318"/>
      <c r="E68" s="318" t="s">
        <v>2230</v>
      </c>
      <c r="F68" s="458" t="s">
        <v>1444</v>
      </c>
      <c r="G68" s="318" t="s">
        <v>2231</v>
      </c>
      <c r="H68" s="436">
        <v>13722</v>
      </c>
      <c r="I68" s="450"/>
      <c r="J68" s="450"/>
      <c r="K68" s="436">
        <f t="shared" si="0"/>
        <v>13722</v>
      </c>
      <c r="L68" s="451">
        <v>39433</v>
      </c>
      <c r="M68" s="456">
        <v>13722</v>
      </c>
      <c r="N68" s="438">
        <f t="shared" si="1"/>
        <v>0</v>
      </c>
      <c r="O68" s="438">
        <f t="shared" si="2"/>
        <v>5949</v>
      </c>
      <c r="P68" s="452">
        <v>10</v>
      </c>
      <c r="Q68" s="453">
        <f t="shared" si="3"/>
        <v>16.298630136986301</v>
      </c>
      <c r="R68" s="454">
        <f t="shared" si="4"/>
        <v>-6.2986301369863007</v>
      </c>
      <c r="S68" s="455">
        <f t="shared" si="8"/>
        <v>9.5000000000000001E-2</v>
      </c>
      <c r="T68" s="450">
        <v>0</v>
      </c>
      <c r="U68" s="436">
        <f t="shared" si="5"/>
        <v>0</v>
      </c>
      <c r="V68" s="442"/>
      <c r="W68" s="456">
        <f t="shared" si="6"/>
        <v>0</v>
      </c>
    </row>
    <row r="69" spans="1:23" s="456" customFormat="1" ht="16.5">
      <c r="A69" s="450">
        <f t="shared" si="7"/>
        <v>62</v>
      </c>
      <c r="B69" s="318" t="s">
        <v>2182</v>
      </c>
      <c r="C69" s="318" t="s">
        <v>1376</v>
      </c>
      <c r="D69" s="318"/>
      <c r="E69" s="318" t="s">
        <v>2232</v>
      </c>
      <c r="F69" s="318" t="s">
        <v>245</v>
      </c>
      <c r="G69" s="318"/>
      <c r="H69" s="436">
        <v>15780</v>
      </c>
      <c r="I69" s="450"/>
      <c r="J69" s="450"/>
      <c r="K69" s="436">
        <f t="shared" si="0"/>
        <v>15780</v>
      </c>
      <c r="L69" s="451">
        <v>39333</v>
      </c>
      <c r="M69" s="456">
        <v>15780</v>
      </c>
      <c r="N69" s="438">
        <f t="shared" si="1"/>
        <v>0</v>
      </c>
      <c r="O69" s="438">
        <f t="shared" si="2"/>
        <v>6049</v>
      </c>
      <c r="P69" s="452">
        <v>10</v>
      </c>
      <c r="Q69" s="453">
        <f t="shared" si="3"/>
        <v>16.572602739726026</v>
      </c>
      <c r="R69" s="454">
        <f t="shared" si="4"/>
        <v>-6.572602739726026</v>
      </c>
      <c r="S69" s="455">
        <f t="shared" si="8"/>
        <v>9.5000000000000001E-2</v>
      </c>
      <c r="T69" s="450">
        <v>0</v>
      </c>
      <c r="U69" s="436">
        <f t="shared" si="5"/>
        <v>0</v>
      </c>
      <c r="V69" s="442"/>
      <c r="W69" s="456">
        <f t="shared" si="6"/>
        <v>0</v>
      </c>
    </row>
    <row r="70" spans="1:23" s="456" customFormat="1" ht="16.5">
      <c r="A70" s="450">
        <f t="shared" si="7"/>
        <v>63</v>
      </c>
      <c r="B70" s="318" t="s">
        <v>2182</v>
      </c>
      <c r="C70" s="318" t="s">
        <v>1376</v>
      </c>
      <c r="D70" s="318"/>
      <c r="E70" s="318" t="s">
        <v>2233</v>
      </c>
      <c r="F70" s="318" t="s">
        <v>1555</v>
      </c>
      <c r="G70" s="318"/>
      <c r="H70" s="436">
        <v>16695</v>
      </c>
      <c r="I70" s="450"/>
      <c r="J70" s="450"/>
      <c r="K70" s="436">
        <f t="shared" si="0"/>
        <v>16695</v>
      </c>
      <c r="L70" s="451">
        <v>39345</v>
      </c>
      <c r="M70" s="456">
        <v>16695</v>
      </c>
      <c r="N70" s="438">
        <f t="shared" si="1"/>
        <v>0</v>
      </c>
      <c r="O70" s="438">
        <f t="shared" si="2"/>
        <v>6037</v>
      </c>
      <c r="P70" s="452">
        <v>10</v>
      </c>
      <c r="Q70" s="453">
        <f t="shared" si="3"/>
        <v>16.539726027397261</v>
      </c>
      <c r="R70" s="454">
        <f t="shared" si="4"/>
        <v>-6.5397260273972613</v>
      </c>
      <c r="S70" s="455">
        <f t="shared" si="8"/>
        <v>9.5000000000000001E-2</v>
      </c>
      <c r="T70" s="450">
        <v>0</v>
      </c>
      <c r="U70" s="436">
        <f t="shared" si="5"/>
        <v>0</v>
      </c>
      <c r="V70" s="442"/>
      <c r="W70" s="456">
        <f t="shared" si="6"/>
        <v>0</v>
      </c>
    </row>
    <row r="71" spans="1:23" s="456" customFormat="1" ht="16.5">
      <c r="A71" s="450">
        <f t="shared" si="7"/>
        <v>64</v>
      </c>
      <c r="B71" s="318" t="s">
        <v>2182</v>
      </c>
      <c r="C71" s="318" t="s">
        <v>1376</v>
      </c>
      <c r="D71" s="318"/>
      <c r="E71" s="318" t="s">
        <v>414</v>
      </c>
      <c r="F71" s="318" t="s">
        <v>2234</v>
      </c>
      <c r="G71" s="318"/>
      <c r="H71" s="436">
        <v>21416</v>
      </c>
      <c r="I71" s="450"/>
      <c r="J71" s="450"/>
      <c r="K71" s="436">
        <f t="shared" si="0"/>
        <v>21416</v>
      </c>
      <c r="L71" s="451">
        <v>39470</v>
      </c>
      <c r="M71" s="456">
        <v>21416</v>
      </c>
      <c r="N71" s="438">
        <f t="shared" si="1"/>
        <v>0</v>
      </c>
      <c r="O71" s="438">
        <f t="shared" si="2"/>
        <v>5912</v>
      </c>
      <c r="P71" s="452">
        <v>10</v>
      </c>
      <c r="Q71" s="453">
        <f t="shared" si="3"/>
        <v>16.197260273972603</v>
      </c>
      <c r="R71" s="454">
        <f t="shared" si="4"/>
        <v>-6.1972602739726028</v>
      </c>
      <c r="S71" s="455">
        <f t="shared" si="8"/>
        <v>9.5000000000000001E-2</v>
      </c>
      <c r="T71" s="450">
        <v>0</v>
      </c>
      <c r="U71" s="436">
        <f t="shared" si="5"/>
        <v>0</v>
      </c>
      <c r="V71" s="442"/>
      <c r="W71" s="456">
        <f t="shared" si="6"/>
        <v>0</v>
      </c>
    </row>
    <row r="72" spans="1:23" s="456" customFormat="1" ht="16.5">
      <c r="A72" s="450">
        <f t="shared" si="7"/>
        <v>65</v>
      </c>
      <c r="B72" s="318" t="s">
        <v>2182</v>
      </c>
      <c r="C72" s="318" t="s">
        <v>1376</v>
      </c>
      <c r="D72" s="318"/>
      <c r="E72" s="318" t="s">
        <v>814</v>
      </c>
      <c r="F72" s="318" t="s">
        <v>2235</v>
      </c>
      <c r="G72" s="318"/>
      <c r="H72" s="436">
        <v>32635</v>
      </c>
      <c r="I72" s="450"/>
      <c r="J72" s="450"/>
      <c r="K72" s="436">
        <f t="shared" si="0"/>
        <v>32635</v>
      </c>
      <c r="L72" s="451">
        <v>39487</v>
      </c>
      <c r="M72" s="456">
        <v>32635</v>
      </c>
      <c r="N72" s="438">
        <f t="shared" si="1"/>
        <v>0</v>
      </c>
      <c r="O72" s="438">
        <f t="shared" si="2"/>
        <v>5895</v>
      </c>
      <c r="P72" s="452">
        <v>10</v>
      </c>
      <c r="Q72" s="453">
        <f t="shared" si="3"/>
        <v>16.150684931506849</v>
      </c>
      <c r="R72" s="454">
        <f t="shared" si="4"/>
        <v>-6.1506849315068486</v>
      </c>
      <c r="S72" s="455">
        <f t="shared" si="8"/>
        <v>9.5000000000000001E-2</v>
      </c>
      <c r="T72" s="450">
        <v>0</v>
      </c>
      <c r="U72" s="436">
        <f t="shared" si="5"/>
        <v>0</v>
      </c>
      <c r="V72" s="442"/>
      <c r="W72" s="456">
        <f t="shared" si="6"/>
        <v>0</v>
      </c>
    </row>
    <row r="73" spans="1:23" s="456" customFormat="1" ht="16.5">
      <c r="A73" s="450">
        <f t="shared" si="7"/>
        <v>66</v>
      </c>
      <c r="B73" s="318" t="s">
        <v>2182</v>
      </c>
      <c r="C73" s="318" t="s">
        <v>1376</v>
      </c>
      <c r="D73" s="457"/>
      <c r="E73" s="318" t="s">
        <v>2236</v>
      </c>
      <c r="F73" s="318"/>
      <c r="G73" s="318"/>
      <c r="H73" s="436">
        <v>33043</v>
      </c>
      <c r="I73" s="450"/>
      <c r="J73" s="450"/>
      <c r="K73" s="436">
        <f t="shared" ref="K73:K136" si="9">+H73+I73-J73</f>
        <v>33043</v>
      </c>
      <c r="L73" s="451">
        <v>39475</v>
      </c>
      <c r="M73" s="456">
        <v>33043</v>
      </c>
      <c r="N73" s="438">
        <f t="shared" ref="N73:N136" si="10">+K73-M73</f>
        <v>0</v>
      </c>
      <c r="O73" s="438">
        <f t="shared" ref="O73:O136" si="11">+$O$3-L73</f>
        <v>5907</v>
      </c>
      <c r="P73" s="452">
        <v>10</v>
      </c>
      <c r="Q73" s="453">
        <f t="shared" ref="Q73:Q136" si="12">+O73/365</f>
        <v>16.183561643835617</v>
      </c>
      <c r="R73" s="454">
        <f t="shared" ref="R73:R136" si="13">+P73-Q73</f>
        <v>-6.1835616438356169</v>
      </c>
      <c r="S73" s="455">
        <f t="shared" si="8"/>
        <v>9.5000000000000001E-2</v>
      </c>
      <c r="T73" s="450"/>
      <c r="U73" s="436">
        <f t="shared" ref="U73:U136" si="14">+N73-T73</f>
        <v>0</v>
      </c>
      <c r="V73" s="442"/>
      <c r="W73" s="456">
        <f t="shared" ref="W73:W136" si="15">+U73-V73</f>
        <v>0</v>
      </c>
    </row>
    <row r="74" spans="1:23" s="456" customFormat="1" ht="16.5">
      <c r="A74" s="450">
        <f t="shared" ref="A74:A137" si="16">+A73+1</f>
        <v>67</v>
      </c>
      <c r="B74" s="318" t="s">
        <v>2182</v>
      </c>
      <c r="C74" s="318" t="s">
        <v>1409</v>
      </c>
      <c r="D74" s="318"/>
      <c r="E74" s="318" t="s">
        <v>2237</v>
      </c>
      <c r="F74" s="318" t="s">
        <v>2238</v>
      </c>
      <c r="G74" s="318"/>
      <c r="H74" s="436">
        <v>48018</v>
      </c>
      <c r="I74" s="450"/>
      <c r="J74" s="450"/>
      <c r="K74" s="436">
        <f t="shared" si="9"/>
        <v>48018</v>
      </c>
      <c r="L74" s="451">
        <v>39557</v>
      </c>
      <c r="M74" s="456">
        <v>48018</v>
      </c>
      <c r="N74" s="438">
        <f t="shared" si="10"/>
        <v>0</v>
      </c>
      <c r="O74" s="438">
        <f t="shared" si="11"/>
        <v>5825</v>
      </c>
      <c r="P74" s="452">
        <v>10</v>
      </c>
      <c r="Q74" s="453">
        <f t="shared" si="12"/>
        <v>15.95890410958904</v>
      </c>
      <c r="R74" s="454">
        <f t="shared" si="13"/>
        <v>-5.9589041095890405</v>
      </c>
      <c r="S74" s="455">
        <f t="shared" ref="S74:S137" si="17">1/P74*0.95</f>
        <v>9.5000000000000001E-2</v>
      </c>
      <c r="T74" s="450"/>
      <c r="U74" s="436">
        <f t="shared" si="14"/>
        <v>0</v>
      </c>
      <c r="V74" s="442"/>
      <c r="W74" s="456">
        <f t="shared" si="15"/>
        <v>0</v>
      </c>
    </row>
    <row r="75" spans="1:23" s="456" customFormat="1" ht="16.5">
      <c r="A75" s="450">
        <f t="shared" si="16"/>
        <v>68</v>
      </c>
      <c r="B75" s="318" t="s">
        <v>2182</v>
      </c>
      <c r="C75" s="318" t="s">
        <v>1376</v>
      </c>
      <c r="D75" s="318"/>
      <c r="E75" s="318" t="s">
        <v>2232</v>
      </c>
      <c r="F75" s="318" t="s">
        <v>2239</v>
      </c>
      <c r="G75" s="318"/>
      <c r="H75" s="436">
        <v>54106</v>
      </c>
      <c r="I75" s="450"/>
      <c r="J75" s="450"/>
      <c r="K75" s="436">
        <f t="shared" si="9"/>
        <v>54106</v>
      </c>
      <c r="L75" s="451">
        <v>39277</v>
      </c>
      <c r="M75" s="456">
        <v>54106</v>
      </c>
      <c r="N75" s="438">
        <f t="shared" si="10"/>
        <v>0</v>
      </c>
      <c r="O75" s="438">
        <f t="shared" si="11"/>
        <v>6105</v>
      </c>
      <c r="P75" s="452">
        <v>10</v>
      </c>
      <c r="Q75" s="453">
        <f t="shared" si="12"/>
        <v>16.726027397260275</v>
      </c>
      <c r="R75" s="454">
        <f t="shared" si="13"/>
        <v>-6.7260273972602747</v>
      </c>
      <c r="S75" s="455">
        <f t="shared" si="17"/>
        <v>9.5000000000000001E-2</v>
      </c>
      <c r="T75" s="450"/>
      <c r="U75" s="436">
        <f t="shared" si="14"/>
        <v>0</v>
      </c>
      <c r="V75" s="442"/>
      <c r="W75" s="456">
        <f t="shared" si="15"/>
        <v>0</v>
      </c>
    </row>
    <row r="76" spans="1:23" s="456" customFormat="1" ht="16.5">
      <c r="A76" s="450">
        <f t="shared" si="16"/>
        <v>69</v>
      </c>
      <c r="B76" s="318" t="s">
        <v>2182</v>
      </c>
      <c r="C76" s="318" t="s">
        <v>1376</v>
      </c>
      <c r="D76" s="318"/>
      <c r="E76" s="318" t="s">
        <v>2240</v>
      </c>
      <c r="F76" s="318" t="s">
        <v>2241</v>
      </c>
      <c r="G76" s="318"/>
      <c r="H76" s="436">
        <v>148340</v>
      </c>
      <c r="I76" s="450"/>
      <c r="J76" s="450"/>
      <c r="K76" s="436">
        <f t="shared" si="9"/>
        <v>148340</v>
      </c>
      <c r="L76" s="451">
        <v>39435</v>
      </c>
      <c r="M76" s="456">
        <v>148340</v>
      </c>
      <c r="N76" s="438">
        <f t="shared" si="10"/>
        <v>0</v>
      </c>
      <c r="O76" s="438">
        <f t="shared" si="11"/>
        <v>5947</v>
      </c>
      <c r="P76" s="452">
        <v>10</v>
      </c>
      <c r="Q76" s="453">
        <f t="shared" si="12"/>
        <v>16.293150684931508</v>
      </c>
      <c r="R76" s="454">
        <f t="shared" si="13"/>
        <v>-6.2931506849315078</v>
      </c>
      <c r="S76" s="455">
        <f t="shared" si="17"/>
        <v>9.5000000000000001E-2</v>
      </c>
      <c r="T76" s="450"/>
      <c r="U76" s="436">
        <f t="shared" si="14"/>
        <v>0</v>
      </c>
      <c r="V76" s="442"/>
      <c r="W76" s="456">
        <f t="shared" si="15"/>
        <v>0</v>
      </c>
    </row>
    <row r="77" spans="1:23" s="456" customFormat="1" ht="16.5">
      <c r="A77" s="450">
        <f t="shared" si="16"/>
        <v>70</v>
      </c>
      <c r="B77" s="318" t="s">
        <v>2182</v>
      </c>
      <c r="C77" s="318" t="s">
        <v>1376</v>
      </c>
      <c r="D77" s="318"/>
      <c r="E77" s="318" t="s">
        <v>2240</v>
      </c>
      <c r="F77" s="318" t="s">
        <v>2242</v>
      </c>
      <c r="G77" s="318"/>
      <c r="H77" s="436">
        <v>168072</v>
      </c>
      <c r="I77" s="450"/>
      <c r="J77" s="450"/>
      <c r="K77" s="436">
        <f t="shared" si="9"/>
        <v>168072</v>
      </c>
      <c r="L77" s="451">
        <v>39423</v>
      </c>
      <c r="M77" s="456">
        <v>168072</v>
      </c>
      <c r="N77" s="438">
        <f t="shared" si="10"/>
        <v>0</v>
      </c>
      <c r="O77" s="438">
        <f t="shared" si="11"/>
        <v>5959</v>
      </c>
      <c r="P77" s="452">
        <v>10</v>
      </c>
      <c r="Q77" s="453">
        <f t="shared" si="12"/>
        <v>16.326027397260273</v>
      </c>
      <c r="R77" s="454">
        <f t="shared" si="13"/>
        <v>-6.3260273972602725</v>
      </c>
      <c r="S77" s="455">
        <f t="shared" si="17"/>
        <v>9.5000000000000001E-2</v>
      </c>
      <c r="T77" s="450"/>
      <c r="U77" s="436">
        <f t="shared" si="14"/>
        <v>0</v>
      </c>
      <c r="V77" s="442"/>
      <c r="W77" s="456">
        <f t="shared" si="15"/>
        <v>0</v>
      </c>
    </row>
    <row r="78" spans="1:23" ht="16.5">
      <c r="A78" s="450">
        <f t="shared" si="16"/>
        <v>71</v>
      </c>
      <c r="B78" s="318" t="s">
        <v>2182</v>
      </c>
      <c r="C78" s="318" t="s">
        <v>1409</v>
      </c>
      <c r="D78" s="318" t="s">
        <v>2243</v>
      </c>
      <c r="E78" s="318"/>
      <c r="F78" s="318"/>
      <c r="G78" s="318"/>
      <c r="H78" s="436">
        <v>2600</v>
      </c>
      <c r="I78" s="317"/>
      <c r="J78" s="317"/>
      <c r="K78" s="436">
        <f t="shared" si="9"/>
        <v>2600</v>
      </c>
      <c r="L78" s="459">
        <v>39745</v>
      </c>
      <c r="M78" s="456">
        <v>2600</v>
      </c>
      <c r="N78" s="438">
        <f t="shared" si="10"/>
        <v>0</v>
      </c>
      <c r="O78" s="438">
        <f t="shared" si="11"/>
        <v>5637</v>
      </c>
      <c r="P78" s="452">
        <v>10</v>
      </c>
      <c r="Q78" s="453">
        <f t="shared" si="12"/>
        <v>15.443835616438356</v>
      </c>
      <c r="R78" s="454">
        <f t="shared" si="13"/>
        <v>-5.4438356164383563</v>
      </c>
      <c r="S78" s="455">
        <f t="shared" si="17"/>
        <v>9.5000000000000001E-2</v>
      </c>
      <c r="T78" s="450"/>
      <c r="U78" s="436">
        <f t="shared" si="14"/>
        <v>0</v>
      </c>
      <c r="V78" s="442"/>
      <c r="W78" s="456">
        <f t="shared" si="15"/>
        <v>0</v>
      </c>
    </row>
    <row r="79" spans="1:23" ht="16.5">
      <c r="A79" s="450">
        <f t="shared" si="16"/>
        <v>72</v>
      </c>
      <c r="B79" s="318" t="s">
        <v>2182</v>
      </c>
      <c r="C79" s="318" t="s">
        <v>1409</v>
      </c>
      <c r="D79" s="318"/>
      <c r="E79" s="318"/>
      <c r="F79" s="318"/>
      <c r="G79" s="318"/>
      <c r="H79" s="436">
        <v>3689</v>
      </c>
      <c r="I79" s="317"/>
      <c r="J79" s="317"/>
      <c r="K79" s="436">
        <f t="shared" si="9"/>
        <v>3689</v>
      </c>
      <c r="L79" s="459">
        <v>39748</v>
      </c>
      <c r="M79" s="456">
        <v>3689</v>
      </c>
      <c r="N79" s="438">
        <f t="shared" si="10"/>
        <v>0</v>
      </c>
      <c r="O79" s="438">
        <f t="shared" si="11"/>
        <v>5634</v>
      </c>
      <c r="P79" s="452">
        <v>10</v>
      </c>
      <c r="Q79" s="453">
        <f t="shared" si="12"/>
        <v>15.435616438356165</v>
      </c>
      <c r="R79" s="454">
        <f t="shared" si="13"/>
        <v>-5.4356164383561651</v>
      </c>
      <c r="S79" s="455">
        <f t="shared" si="17"/>
        <v>9.5000000000000001E-2</v>
      </c>
      <c r="T79" s="450"/>
      <c r="U79" s="436">
        <f t="shared" si="14"/>
        <v>0</v>
      </c>
      <c r="V79" s="442"/>
      <c r="W79" s="456">
        <f t="shared" si="15"/>
        <v>0</v>
      </c>
    </row>
    <row r="80" spans="1:23" ht="16.5">
      <c r="A80" s="450">
        <f t="shared" si="16"/>
        <v>73</v>
      </c>
      <c r="B80" s="318" t="s">
        <v>2182</v>
      </c>
      <c r="C80" s="318" t="s">
        <v>1409</v>
      </c>
      <c r="D80" s="318" t="s">
        <v>2243</v>
      </c>
      <c r="E80" s="318"/>
      <c r="F80" s="318"/>
      <c r="G80" s="318"/>
      <c r="H80" s="436">
        <v>21150</v>
      </c>
      <c r="I80" s="317"/>
      <c r="J80" s="317"/>
      <c r="K80" s="436">
        <f t="shared" si="9"/>
        <v>21150</v>
      </c>
      <c r="L80" s="459">
        <v>39756</v>
      </c>
      <c r="M80" s="456">
        <v>21150</v>
      </c>
      <c r="N80" s="438">
        <f t="shared" si="10"/>
        <v>0</v>
      </c>
      <c r="O80" s="438">
        <f t="shared" si="11"/>
        <v>5626</v>
      </c>
      <c r="P80" s="452">
        <v>10</v>
      </c>
      <c r="Q80" s="453">
        <f t="shared" si="12"/>
        <v>15.413698630136986</v>
      </c>
      <c r="R80" s="454">
        <f t="shared" si="13"/>
        <v>-5.4136986301369863</v>
      </c>
      <c r="S80" s="455">
        <f t="shared" si="17"/>
        <v>9.5000000000000001E-2</v>
      </c>
      <c r="T80" s="450"/>
      <c r="U80" s="436">
        <f t="shared" si="14"/>
        <v>0</v>
      </c>
      <c r="V80" s="442"/>
      <c r="W80" s="456">
        <f t="shared" si="15"/>
        <v>0</v>
      </c>
    </row>
    <row r="81" spans="1:23" ht="16.5">
      <c r="A81" s="450">
        <f t="shared" si="16"/>
        <v>74</v>
      </c>
      <c r="B81" s="318" t="s">
        <v>2182</v>
      </c>
      <c r="C81" s="318" t="s">
        <v>1409</v>
      </c>
      <c r="D81" s="318" t="s">
        <v>2243</v>
      </c>
      <c r="E81" s="318"/>
      <c r="F81" s="318"/>
      <c r="G81" s="318"/>
      <c r="H81" s="436">
        <v>8200</v>
      </c>
      <c r="I81" s="317"/>
      <c r="J81" s="317"/>
      <c r="K81" s="436">
        <f t="shared" si="9"/>
        <v>8200</v>
      </c>
      <c r="L81" s="459">
        <v>39764</v>
      </c>
      <c r="M81" s="456">
        <v>8200</v>
      </c>
      <c r="N81" s="438">
        <f t="shared" si="10"/>
        <v>0</v>
      </c>
      <c r="O81" s="438">
        <f t="shared" si="11"/>
        <v>5618</v>
      </c>
      <c r="P81" s="452">
        <v>10</v>
      </c>
      <c r="Q81" s="453">
        <f t="shared" si="12"/>
        <v>15.391780821917807</v>
      </c>
      <c r="R81" s="454">
        <f t="shared" si="13"/>
        <v>-5.3917808219178074</v>
      </c>
      <c r="S81" s="455">
        <f t="shared" si="17"/>
        <v>9.5000000000000001E-2</v>
      </c>
      <c r="T81" s="450"/>
      <c r="U81" s="436">
        <f t="shared" si="14"/>
        <v>0</v>
      </c>
      <c r="V81" s="442"/>
      <c r="W81" s="456">
        <f t="shared" si="15"/>
        <v>0</v>
      </c>
    </row>
    <row r="82" spans="1:23" ht="16.5">
      <c r="A82" s="450">
        <f t="shared" si="16"/>
        <v>75</v>
      </c>
      <c r="B82" s="318" t="s">
        <v>2182</v>
      </c>
      <c r="C82" s="318" t="s">
        <v>1409</v>
      </c>
      <c r="D82" s="318" t="s">
        <v>2244</v>
      </c>
      <c r="E82" s="318"/>
      <c r="F82" s="318"/>
      <c r="G82" s="318"/>
      <c r="H82" s="436">
        <v>3890</v>
      </c>
      <c r="I82" s="317"/>
      <c r="J82" s="317"/>
      <c r="K82" s="436">
        <f t="shared" si="9"/>
        <v>3890</v>
      </c>
      <c r="L82" s="459">
        <v>39804</v>
      </c>
      <c r="M82" s="456">
        <v>3890</v>
      </c>
      <c r="N82" s="438">
        <f t="shared" si="10"/>
        <v>0</v>
      </c>
      <c r="O82" s="438">
        <f t="shared" si="11"/>
        <v>5578</v>
      </c>
      <c r="P82" s="452">
        <v>10</v>
      </c>
      <c r="Q82" s="453">
        <f t="shared" si="12"/>
        <v>15.282191780821918</v>
      </c>
      <c r="R82" s="454">
        <f t="shared" si="13"/>
        <v>-5.2821917808219183</v>
      </c>
      <c r="S82" s="455">
        <f t="shared" si="17"/>
        <v>9.5000000000000001E-2</v>
      </c>
      <c r="T82" s="450"/>
      <c r="U82" s="436">
        <f t="shared" si="14"/>
        <v>0</v>
      </c>
      <c r="V82" s="442"/>
      <c r="W82" s="456">
        <f t="shared" si="15"/>
        <v>0</v>
      </c>
    </row>
    <row r="83" spans="1:23" ht="16.5">
      <c r="A83" s="450">
        <f t="shared" si="16"/>
        <v>76</v>
      </c>
      <c r="B83" s="318" t="s">
        <v>2182</v>
      </c>
      <c r="C83" s="318" t="s">
        <v>1409</v>
      </c>
      <c r="D83" s="318" t="s">
        <v>2244</v>
      </c>
      <c r="E83" s="318"/>
      <c r="F83" s="318"/>
      <c r="G83" s="318"/>
      <c r="H83" s="436">
        <v>5000</v>
      </c>
      <c r="I83" s="317"/>
      <c r="J83" s="317"/>
      <c r="K83" s="436">
        <f t="shared" si="9"/>
        <v>5000</v>
      </c>
      <c r="L83" s="459">
        <v>39817</v>
      </c>
      <c r="M83" s="456">
        <v>5000</v>
      </c>
      <c r="N83" s="438">
        <f t="shared" si="10"/>
        <v>0</v>
      </c>
      <c r="O83" s="438">
        <f t="shared" si="11"/>
        <v>5565</v>
      </c>
      <c r="P83" s="452">
        <v>10</v>
      </c>
      <c r="Q83" s="453">
        <f t="shared" si="12"/>
        <v>15.246575342465754</v>
      </c>
      <c r="R83" s="454">
        <f t="shared" si="13"/>
        <v>-5.2465753424657535</v>
      </c>
      <c r="S83" s="455">
        <f t="shared" si="17"/>
        <v>9.5000000000000001E-2</v>
      </c>
      <c r="T83" s="450"/>
      <c r="U83" s="436">
        <f t="shared" si="14"/>
        <v>0</v>
      </c>
      <c r="V83" s="442"/>
      <c r="W83" s="456">
        <f t="shared" si="15"/>
        <v>0</v>
      </c>
    </row>
    <row r="84" spans="1:23" ht="16.5">
      <c r="A84" s="450">
        <f t="shared" si="16"/>
        <v>77</v>
      </c>
      <c r="B84" s="318" t="s">
        <v>2182</v>
      </c>
      <c r="C84" s="318" t="s">
        <v>1409</v>
      </c>
      <c r="D84" s="318" t="s">
        <v>2243</v>
      </c>
      <c r="E84" s="318"/>
      <c r="F84" s="318"/>
      <c r="G84" s="318"/>
      <c r="H84" s="436">
        <v>21348</v>
      </c>
      <c r="I84" s="317"/>
      <c r="J84" s="317"/>
      <c r="K84" s="436">
        <f t="shared" si="9"/>
        <v>21348</v>
      </c>
      <c r="L84" s="459">
        <v>39853</v>
      </c>
      <c r="M84" s="456">
        <v>21348</v>
      </c>
      <c r="N84" s="438">
        <f t="shared" si="10"/>
        <v>0</v>
      </c>
      <c r="O84" s="438">
        <f t="shared" si="11"/>
        <v>5529</v>
      </c>
      <c r="P84" s="452">
        <v>10</v>
      </c>
      <c r="Q84" s="453">
        <f t="shared" si="12"/>
        <v>15.147945205479452</v>
      </c>
      <c r="R84" s="454">
        <f t="shared" si="13"/>
        <v>-5.1479452054794521</v>
      </c>
      <c r="S84" s="455">
        <f t="shared" si="17"/>
        <v>9.5000000000000001E-2</v>
      </c>
      <c r="T84" s="450"/>
      <c r="U84" s="436">
        <f t="shared" si="14"/>
        <v>0</v>
      </c>
      <c r="V84" s="442"/>
      <c r="W84" s="456">
        <f t="shared" si="15"/>
        <v>0</v>
      </c>
    </row>
    <row r="85" spans="1:23" ht="16.5">
      <c r="A85" s="450">
        <f t="shared" si="16"/>
        <v>78</v>
      </c>
      <c r="B85" s="318" t="s">
        <v>2182</v>
      </c>
      <c r="C85" s="318" t="s">
        <v>1409</v>
      </c>
      <c r="D85" s="318" t="s">
        <v>2243</v>
      </c>
      <c r="E85" s="318"/>
      <c r="F85" s="318"/>
      <c r="G85" s="318"/>
      <c r="H85" s="436">
        <v>56250</v>
      </c>
      <c r="I85" s="317"/>
      <c r="J85" s="317"/>
      <c r="K85" s="436">
        <f t="shared" si="9"/>
        <v>56250</v>
      </c>
      <c r="L85" s="459">
        <v>39877</v>
      </c>
      <c r="M85" s="456">
        <v>56250.028007979374</v>
      </c>
      <c r="N85" s="438">
        <f t="shared" si="10"/>
        <v>-2.8007979373796843E-2</v>
      </c>
      <c r="O85" s="438">
        <f t="shared" si="11"/>
        <v>5505</v>
      </c>
      <c r="P85" s="452">
        <v>10</v>
      </c>
      <c r="Q85" s="453">
        <f t="shared" si="12"/>
        <v>15.082191780821917</v>
      </c>
      <c r="R85" s="454">
        <f t="shared" si="13"/>
        <v>-5.0821917808219172</v>
      </c>
      <c r="S85" s="455">
        <f t="shared" si="17"/>
        <v>9.5000000000000001E-2</v>
      </c>
      <c r="T85" s="442"/>
      <c r="U85" s="436">
        <f t="shared" si="14"/>
        <v>-2.8007979373796843E-2</v>
      </c>
      <c r="V85" s="442"/>
      <c r="W85" s="456">
        <f t="shared" si="15"/>
        <v>-2.8007979373796843E-2</v>
      </c>
    </row>
    <row r="86" spans="1:23" ht="16.5">
      <c r="A86" s="450">
        <f t="shared" si="16"/>
        <v>79</v>
      </c>
      <c r="B86" s="318" t="s">
        <v>2182</v>
      </c>
      <c r="C86" s="318" t="s">
        <v>1409</v>
      </c>
      <c r="D86" s="318"/>
      <c r="E86" s="318" t="s">
        <v>2240</v>
      </c>
      <c r="F86" s="318" t="s">
        <v>2245</v>
      </c>
      <c r="G86" s="318"/>
      <c r="H86" s="436">
        <v>28234</v>
      </c>
      <c r="I86" s="317"/>
      <c r="J86" s="317"/>
      <c r="K86" s="436">
        <f t="shared" si="9"/>
        <v>28234</v>
      </c>
      <c r="L86" s="459">
        <v>39881</v>
      </c>
      <c r="M86" s="456">
        <v>28233.78655797994</v>
      </c>
      <c r="N86" s="438">
        <f t="shared" si="10"/>
        <v>0.21344202006002888</v>
      </c>
      <c r="O86" s="438">
        <f t="shared" si="11"/>
        <v>5501</v>
      </c>
      <c r="P86" s="452">
        <v>10</v>
      </c>
      <c r="Q86" s="453">
        <f t="shared" si="12"/>
        <v>15.07123287671233</v>
      </c>
      <c r="R86" s="454">
        <f t="shared" si="13"/>
        <v>-5.0712328767123296</v>
      </c>
      <c r="S86" s="455">
        <f t="shared" si="17"/>
        <v>9.5000000000000001E-2</v>
      </c>
      <c r="T86" s="442"/>
      <c r="U86" s="436">
        <f t="shared" si="14"/>
        <v>0.21344202006002888</v>
      </c>
      <c r="V86" s="442"/>
      <c r="W86" s="456">
        <f t="shared" si="15"/>
        <v>0.21344202006002888</v>
      </c>
    </row>
    <row r="87" spans="1:23" ht="16.5">
      <c r="A87" s="450">
        <f t="shared" si="16"/>
        <v>80</v>
      </c>
      <c r="B87" s="318" t="s">
        <v>2182</v>
      </c>
      <c r="C87" s="318" t="s">
        <v>1409</v>
      </c>
      <c r="D87" s="318" t="s">
        <v>2246</v>
      </c>
      <c r="E87" s="318" t="s">
        <v>2246</v>
      </c>
      <c r="F87" s="318" t="s">
        <v>2247</v>
      </c>
      <c r="G87" s="318"/>
      <c r="H87" s="436">
        <v>17550</v>
      </c>
      <c r="I87" s="317"/>
      <c r="J87" s="317"/>
      <c r="K87" s="436">
        <f t="shared" si="9"/>
        <v>17550</v>
      </c>
      <c r="L87" s="459">
        <v>39886</v>
      </c>
      <c r="M87" s="456">
        <v>17549.942470233203</v>
      </c>
      <c r="N87" s="438">
        <f t="shared" si="10"/>
        <v>5.752976679650601E-2</v>
      </c>
      <c r="O87" s="438">
        <f t="shared" si="11"/>
        <v>5496</v>
      </c>
      <c r="P87" s="452">
        <v>10</v>
      </c>
      <c r="Q87" s="453">
        <f t="shared" si="12"/>
        <v>15.057534246575342</v>
      </c>
      <c r="R87" s="454">
        <f t="shared" si="13"/>
        <v>-5.0575342465753419</v>
      </c>
      <c r="S87" s="455">
        <f t="shared" si="17"/>
        <v>9.5000000000000001E-2</v>
      </c>
      <c r="T87" s="442"/>
      <c r="U87" s="436">
        <f t="shared" si="14"/>
        <v>5.752976679650601E-2</v>
      </c>
      <c r="V87" s="442"/>
      <c r="W87" s="456">
        <f t="shared" si="15"/>
        <v>5.752976679650601E-2</v>
      </c>
    </row>
    <row r="88" spans="1:23" ht="16.5">
      <c r="A88" s="450">
        <f t="shared" si="16"/>
        <v>81</v>
      </c>
      <c r="B88" s="318" t="s">
        <v>2182</v>
      </c>
      <c r="C88" s="318" t="s">
        <v>1409</v>
      </c>
      <c r="D88" s="318"/>
      <c r="E88" s="318"/>
      <c r="F88" s="318"/>
      <c r="G88" s="318"/>
      <c r="H88" s="436">
        <v>18160</v>
      </c>
      <c r="I88" s="317"/>
      <c r="J88" s="317"/>
      <c r="K88" s="436">
        <f t="shared" si="9"/>
        <v>18160</v>
      </c>
      <c r="L88" s="459">
        <v>39889</v>
      </c>
      <c r="M88" s="456">
        <v>18159.662705723233</v>
      </c>
      <c r="N88" s="438">
        <f t="shared" si="10"/>
        <v>0.33729427676735213</v>
      </c>
      <c r="O88" s="438">
        <f t="shared" si="11"/>
        <v>5493</v>
      </c>
      <c r="P88" s="452">
        <v>10</v>
      </c>
      <c r="Q88" s="453">
        <f t="shared" si="12"/>
        <v>15.049315068493151</v>
      </c>
      <c r="R88" s="454">
        <f t="shared" si="13"/>
        <v>-5.0493150684931507</v>
      </c>
      <c r="S88" s="455">
        <f t="shared" si="17"/>
        <v>9.5000000000000001E-2</v>
      </c>
      <c r="T88" s="442"/>
      <c r="U88" s="436">
        <f t="shared" si="14"/>
        <v>0.33729427676735213</v>
      </c>
      <c r="V88" s="442"/>
      <c r="W88" s="456">
        <f t="shared" si="15"/>
        <v>0.33729427676735213</v>
      </c>
    </row>
    <row r="89" spans="1:23" ht="16.5">
      <c r="A89" s="450">
        <f t="shared" si="16"/>
        <v>82</v>
      </c>
      <c r="B89" s="318" t="s">
        <v>2182</v>
      </c>
      <c r="C89" s="318" t="s">
        <v>1409</v>
      </c>
      <c r="D89" s="318"/>
      <c r="E89" s="318"/>
      <c r="F89" s="318"/>
      <c r="G89" s="318"/>
      <c r="H89" s="436">
        <v>11672</v>
      </c>
      <c r="I89" s="317"/>
      <c r="J89" s="317"/>
      <c r="K89" s="436">
        <f t="shared" si="9"/>
        <v>11672</v>
      </c>
      <c r="L89" s="459">
        <v>39890</v>
      </c>
      <c r="M89" s="456">
        <v>11672.270672226236</v>
      </c>
      <c r="N89" s="438">
        <f t="shared" si="10"/>
        <v>-0.27067222623554699</v>
      </c>
      <c r="O89" s="438">
        <f t="shared" si="11"/>
        <v>5492</v>
      </c>
      <c r="P89" s="452">
        <v>10</v>
      </c>
      <c r="Q89" s="453">
        <f t="shared" si="12"/>
        <v>15.046575342465754</v>
      </c>
      <c r="R89" s="454">
        <f t="shared" si="13"/>
        <v>-5.0465753424657542</v>
      </c>
      <c r="S89" s="455">
        <f t="shared" si="17"/>
        <v>9.5000000000000001E-2</v>
      </c>
      <c r="T89" s="442"/>
      <c r="U89" s="436">
        <f t="shared" si="14"/>
        <v>-0.27067222623554699</v>
      </c>
      <c r="V89" s="442"/>
      <c r="W89" s="456">
        <f t="shared" si="15"/>
        <v>-0.27067222623554699</v>
      </c>
    </row>
    <row r="90" spans="1:23" ht="16.5">
      <c r="A90" s="450">
        <f t="shared" si="16"/>
        <v>83</v>
      </c>
      <c r="B90" s="318" t="s">
        <v>2182</v>
      </c>
      <c r="C90" s="318" t="s">
        <v>1409</v>
      </c>
      <c r="D90" s="318"/>
      <c r="E90" s="318"/>
      <c r="F90" s="318"/>
      <c r="G90" s="318"/>
      <c r="H90" s="436">
        <v>7989</v>
      </c>
      <c r="I90" s="317"/>
      <c r="J90" s="317"/>
      <c r="K90" s="436">
        <f t="shared" si="9"/>
        <v>7989</v>
      </c>
      <c r="L90" s="459">
        <v>39890</v>
      </c>
      <c r="M90" s="456">
        <v>7989.1317169649938</v>
      </c>
      <c r="N90" s="438">
        <f t="shared" si="10"/>
        <v>-0.13171696499375685</v>
      </c>
      <c r="O90" s="438">
        <f t="shared" si="11"/>
        <v>5492</v>
      </c>
      <c r="P90" s="452">
        <v>10</v>
      </c>
      <c r="Q90" s="453">
        <f t="shared" si="12"/>
        <v>15.046575342465754</v>
      </c>
      <c r="R90" s="454">
        <f t="shared" si="13"/>
        <v>-5.0465753424657542</v>
      </c>
      <c r="S90" s="455">
        <f t="shared" si="17"/>
        <v>9.5000000000000001E-2</v>
      </c>
      <c r="T90" s="442"/>
      <c r="U90" s="436">
        <f t="shared" si="14"/>
        <v>-0.13171696499375685</v>
      </c>
      <c r="V90" s="442"/>
      <c r="W90" s="456">
        <f t="shared" si="15"/>
        <v>-0.13171696499375685</v>
      </c>
    </row>
    <row r="91" spans="1:23" ht="16.5">
      <c r="A91" s="450">
        <f t="shared" si="16"/>
        <v>84</v>
      </c>
      <c r="B91" s="318" t="s">
        <v>2182</v>
      </c>
      <c r="C91" s="318" t="s">
        <v>1610</v>
      </c>
      <c r="D91" s="318" t="s">
        <v>2243</v>
      </c>
      <c r="E91" s="318" t="s">
        <v>2248</v>
      </c>
      <c r="F91" s="318" t="s">
        <v>1693</v>
      </c>
      <c r="G91" s="318"/>
      <c r="H91" s="436">
        <v>4838</v>
      </c>
      <c r="I91" s="317"/>
      <c r="J91" s="317"/>
      <c r="K91" s="436">
        <f t="shared" si="9"/>
        <v>4838</v>
      </c>
      <c r="L91" s="451">
        <v>39911</v>
      </c>
      <c r="M91" s="456">
        <v>4837.5372789117991</v>
      </c>
      <c r="N91" s="438">
        <f t="shared" si="10"/>
        <v>0.46272108820085123</v>
      </c>
      <c r="O91" s="438">
        <f t="shared" si="11"/>
        <v>5471</v>
      </c>
      <c r="P91" s="452">
        <v>10</v>
      </c>
      <c r="Q91" s="453">
        <f t="shared" si="12"/>
        <v>14.989041095890411</v>
      </c>
      <c r="R91" s="454">
        <f t="shared" si="13"/>
        <v>-4.9890410958904106</v>
      </c>
      <c r="S91" s="455">
        <f t="shared" si="17"/>
        <v>9.5000000000000001E-2</v>
      </c>
      <c r="T91" s="442"/>
      <c r="U91" s="436">
        <f t="shared" si="14"/>
        <v>0.46272108820085123</v>
      </c>
      <c r="V91" s="442"/>
      <c r="W91" s="456">
        <f t="shared" si="15"/>
        <v>0.46272108820085123</v>
      </c>
    </row>
    <row r="92" spans="1:23" ht="16.5">
      <c r="A92" s="450">
        <f t="shared" si="16"/>
        <v>85</v>
      </c>
      <c r="B92" s="318" t="s">
        <v>2182</v>
      </c>
      <c r="C92" s="318" t="s">
        <v>1610</v>
      </c>
      <c r="D92" s="318" t="s">
        <v>2243</v>
      </c>
      <c r="E92" s="318" t="s">
        <v>2249</v>
      </c>
      <c r="F92" s="318"/>
      <c r="G92" s="318"/>
      <c r="H92" s="436">
        <v>9500</v>
      </c>
      <c r="I92" s="317"/>
      <c r="J92" s="317"/>
      <c r="K92" s="436">
        <f t="shared" si="9"/>
        <v>9500</v>
      </c>
      <c r="L92" s="451">
        <v>39952</v>
      </c>
      <c r="M92" s="456">
        <v>9500.3527912372192</v>
      </c>
      <c r="N92" s="438">
        <f t="shared" si="10"/>
        <v>-0.35279123721920769</v>
      </c>
      <c r="O92" s="438">
        <f t="shared" si="11"/>
        <v>5430</v>
      </c>
      <c r="P92" s="452">
        <v>10</v>
      </c>
      <c r="Q92" s="453">
        <f t="shared" si="12"/>
        <v>14.876712328767123</v>
      </c>
      <c r="R92" s="454">
        <f t="shared" si="13"/>
        <v>-4.8767123287671232</v>
      </c>
      <c r="S92" s="455">
        <f t="shared" si="17"/>
        <v>9.5000000000000001E-2</v>
      </c>
      <c r="T92" s="442"/>
      <c r="U92" s="436">
        <f t="shared" si="14"/>
        <v>-0.35279123721920769</v>
      </c>
      <c r="V92" s="442"/>
      <c r="W92" s="456">
        <f t="shared" si="15"/>
        <v>-0.35279123721920769</v>
      </c>
    </row>
    <row r="93" spans="1:23" ht="16.5">
      <c r="A93" s="450">
        <f t="shared" si="16"/>
        <v>86</v>
      </c>
      <c r="B93" s="318" t="s">
        <v>2182</v>
      </c>
      <c r="C93" s="318" t="s">
        <v>1610</v>
      </c>
      <c r="D93" s="318" t="s">
        <v>1302</v>
      </c>
      <c r="E93" s="318" t="s">
        <v>2249</v>
      </c>
      <c r="F93" s="318"/>
      <c r="G93" s="318"/>
      <c r="H93" s="436">
        <v>13000</v>
      </c>
      <c r="I93" s="317"/>
      <c r="J93" s="317"/>
      <c r="K93" s="436">
        <f t="shared" si="9"/>
        <v>13000</v>
      </c>
      <c r="L93" s="451">
        <v>39926</v>
      </c>
      <c r="M93" s="456">
        <v>13000.215995886554</v>
      </c>
      <c r="N93" s="438">
        <f t="shared" si="10"/>
        <v>-0.21599588655408297</v>
      </c>
      <c r="O93" s="438">
        <f t="shared" si="11"/>
        <v>5456</v>
      </c>
      <c r="P93" s="452">
        <v>10</v>
      </c>
      <c r="Q93" s="453">
        <f t="shared" si="12"/>
        <v>14.947945205479453</v>
      </c>
      <c r="R93" s="454">
        <f t="shared" si="13"/>
        <v>-4.9479452054794528</v>
      </c>
      <c r="S93" s="455">
        <f t="shared" si="17"/>
        <v>9.5000000000000001E-2</v>
      </c>
      <c r="T93" s="442"/>
      <c r="U93" s="436">
        <f t="shared" si="14"/>
        <v>-0.21599588655408297</v>
      </c>
      <c r="V93" s="442"/>
      <c r="W93" s="456">
        <f t="shared" si="15"/>
        <v>-0.21599588655408297</v>
      </c>
    </row>
    <row r="94" spans="1:23" ht="16.5">
      <c r="A94" s="450">
        <f t="shared" si="16"/>
        <v>87</v>
      </c>
      <c r="B94" s="318" t="s">
        <v>2182</v>
      </c>
      <c r="C94" s="318" t="s">
        <v>1610</v>
      </c>
      <c r="D94" s="318" t="s">
        <v>1302</v>
      </c>
      <c r="E94" s="318" t="s">
        <v>2249</v>
      </c>
      <c r="F94" s="318"/>
      <c r="G94" s="318"/>
      <c r="H94" s="436">
        <v>8542</v>
      </c>
      <c r="I94" s="317"/>
      <c r="J94" s="317"/>
      <c r="K94" s="436">
        <f t="shared" si="9"/>
        <v>8542</v>
      </c>
      <c r="L94" s="451">
        <v>39963</v>
      </c>
      <c r="M94" s="456">
        <v>8541.9796279435104</v>
      </c>
      <c r="N94" s="438">
        <f t="shared" si="10"/>
        <v>2.0372056489577517E-2</v>
      </c>
      <c r="O94" s="438">
        <f t="shared" si="11"/>
        <v>5419</v>
      </c>
      <c r="P94" s="452">
        <v>10</v>
      </c>
      <c r="Q94" s="453">
        <f t="shared" si="12"/>
        <v>14.846575342465753</v>
      </c>
      <c r="R94" s="454">
        <f t="shared" si="13"/>
        <v>-4.8465753424657532</v>
      </c>
      <c r="S94" s="455">
        <f t="shared" si="17"/>
        <v>9.5000000000000001E-2</v>
      </c>
      <c r="T94" s="442"/>
      <c r="U94" s="436">
        <f t="shared" si="14"/>
        <v>2.0372056489577517E-2</v>
      </c>
      <c r="V94" s="442"/>
      <c r="W94" s="456">
        <f t="shared" si="15"/>
        <v>2.0372056489577517E-2</v>
      </c>
    </row>
    <row r="95" spans="1:23" ht="16.5">
      <c r="A95" s="450">
        <f t="shared" si="16"/>
        <v>88</v>
      </c>
      <c r="B95" s="318" t="s">
        <v>2182</v>
      </c>
      <c r="C95" s="318" t="s">
        <v>1610</v>
      </c>
      <c r="D95" s="318" t="s">
        <v>1302</v>
      </c>
      <c r="E95" s="318" t="s">
        <v>2249</v>
      </c>
      <c r="F95" s="318"/>
      <c r="G95" s="318"/>
      <c r="H95" s="436">
        <v>11400</v>
      </c>
      <c r="I95" s="317"/>
      <c r="J95" s="317"/>
      <c r="K95" s="436">
        <f t="shared" si="9"/>
        <v>11400</v>
      </c>
      <c r="L95" s="451">
        <v>40029</v>
      </c>
      <c r="M95" s="456">
        <v>11400.264437381087</v>
      </c>
      <c r="N95" s="438">
        <f t="shared" si="10"/>
        <v>-0.26443738108719117</v>
      </c>
      <c r="O95" s="438">
        <f t="shared" si="11"/>
        <v>5353</v>
      </c>
      <c r="P95" s="452">
        <v>10</v>
      </c>
      <c r="Q95" s="453">
        <f t="shared" si="12"/>
        <v>14.665753424657535</v>
      </c>
      <c r="R95" s="454">
        <f t="shared" si="13"/>
        <v>-4.6657534246575345</v>
      </c>
      <c r="S95" s="455">
        <f t="shared" si="17"/>
        <v>9.5000000000000001E-2</v>
      </c>
      <c r="T95" s="442"/>
      <c r="U95" s="436">
        <f t="shared" si="14"/>
        <v>-0.26443738108719117</v>
      </c>
      <c r="V95" s="442"/>
      <c r="W95" s="456">
        <f t="shared" si="15"/>
        <v>-0.26443738108719117</v>
      </c>
    </row>
    <row r="96" spans="1:23" ht="16.5">
      <c r="A96" s="450">
        <f t="shared" si="16"/>
        <v>89</v>
      </c>
      <c r="B96" s="318" t="s">
        <v>2182</v>
      </c>
      <c r="C96" s="318" t="s">
        <v>1610</v>
      </c>
      <c r="D96" s="318" t="s">
        <v>1408</v>
      </c>
      <c r="E96" s="318" t="s">
        <v>2250</v>
      </c>
      <c r="F96" s="318" t="s">
        <v>2251</v>
      </c>
      <c r="G96" s="318"/>
      <c r="H96" s="436">
        <v>43277</v>
      </c>
      <c r="I96" s="317"/>
      <c r="J96" s="317"/>
      <c r="K96" s="436">
        <f t="shared" si="9"/>
        <v>43277</v>
      </c>
      <c r="L96" s="451">
        <v>40066</v>
      </c>
      <c r="M96" s="456">
        <v>43277.251032287641</v>
      </c>
      <c r="N96" s="438">
        <f t="shared" si="10"/>
        <v>-0.2510322876405553</v>
      </c>
      <c r="O96" s="438">
        <f t="shared" si="11"/>
        <v>5316</v>
      </c>
      <c r="P96" s="452">
        <v>10</v>
      </c>
      <c r="Q96" s="453">
        <f t="shared" si="12"/>
        <v>14.564383561643835</v>
      </c>
      <c r="R96" s="454">
        <f t="shared" si="13"/>
        <v>-4.5643835616438349</v>
      </c>
      <c r="S96" s="455">
        <f t="shared" si="17"/>
        <v>9.5000000000000001E-2</v>
      </c>
      <c r="T96" s="442"/>
      <c r="U96" s="436">
        <f t="shared" si="14"/>
        <v>-0.2510322876405553</v>
      </c>
      <c r="V96" s="442"/>
      <c r="W96" s="456">
        <f t="shared" si="15"/>
        <v>-0.2510322876405553</v>
      </c>
    </row>
    <row r="97" spans="1:23" ht="16.5">
      <c r="A97" s="450">
        <f t="shared" si="16"/>
        <v>90</v>
      </c>
      <c r="B97" s="318" t="s">
        <v>2182</v>
      </c>
      <c r="C97" s="318" t="s">
        <v>1610</v>
      </c>
      <c r="D97" s="318" t="s">
        <v>1634</v>
      </c>
      <c r="E97" s="318" t="s">
        <v>2252</v>
      </c>
      <c r="F97" s="318"/>
      <c r="G97" s="318"/>
      <c r="H97" s="436">
        <v>14400</v>
      </c>
      <c r="I97" s="317"/>
      <c r="J97" s="317"/>
      <c r="K97" s="436">
        <f t="shared" si="9"/>
        <v>14400</v>
      </c>
      <c r="L97" s="451">
        <v>40170</v>
      </c>
      <c r="M97" s="456">
        <v>14399.592304532953</v>
      </c>
      <c r="N97" s="438">
        <f t="shared" si="10"/>
        <v>0.40769546704723325</v>
      </c>
      <c r="O97" s="438">
        <f t="shared" si="11"/>
        <v>5212</v>
      </c>
      <c r="P97" s="452">
        <v>10</v>
      </c>
      <c r="Q97" s="453">
        <f t="shared" si="12"/>
        <v>14.27945205479452</v>
      </c>
      <c r="R97" s="454">
        <f t="shared" si="13"/>
        <v>-4.2794520547945201</v>
      </c>
      <c r="S97" s="455">
        <f t="shared" si="17"/>
        <v>9.5000000000000001E-2</v>
      </c>
      <c r="T97" s="442"/>
      <c r="U97" s="436">
        <f t="shared" si="14"/>
        <v>0.40769546704723325</v>
      </c>
      <c r="V97" s="442"/>
      <c r="W97" s="456">
        <f t="shared" si="15"/>
        <v>0.40769546704723325</v>
      </c>
    </row>
    <row r="98" spans="1:23" ht="16.5">
      <c r="A98" s="450">
        <f t="shared" si="16"/>
        <v>91</v>
      </c>
      <c r="B98" s="318" t="s">
        <v>2182</v>
      </c>
      <c r="C98" s="318" t="s">
        <v>1645</v>
      </c>
      <c r="D98" s="318" t="s">
        <v>2253</v>
      </c>
      <c r="E98" s="318" t="s">
        <v>2254</v>
      </c>
      <c r="F98" s="318" t="s">
        <v>2255</v>
      </c>
      <c r="G98" s="318"/>
      <c r="H98" s="436">
        <v>42750</v>
      </c>
      <c r="I98" s="317"/>
      <c r="J98" s="317"/>
      <c r="K98" s="436">
        <f t="shared" si="9"/>
        <v>42750</v>
      </c>
      <c r="L98" s="451">
        <v>40555</v>
      </c>
      <c r="M98" s="456">
        <v>42750.045248886461</v>
      </c>
      <c r="N98" s="438">
        <f t="shared" si="10"/>
        <v>-4.524888646119507E-2</v>
      </c>
      <c r="O98" s="438">
        <f t="shared" si="11"/>
        <v>4827</v>
      </c>
      <c r="P98" s="452">
        <v>10</v>
      </c>
      <c r="Q98" s="453">
        <f t="shared" si="12"/>
        <v>13.224657534246575</v>
      </c>
      <c r="R98" s="454">
        <f t="shared" si="13"/>
        <v>-3.2246575342465746</v>
      </c>
      <c r="S98" s="455">
        <f t="shared" si="17"/>
        <v>9.5000000000000001E-2</v>
      </c>
      <c r="T98" s="442"/>
      <c r="U98" s="436">
        <f t="shared" si="14"/>
        <v>-4.524888646119507E-2</v>
      </c>
      <c r="V98" s="442"/>
      <c r="W98" s="456">
        <f t="shared" si="15"/>
        <v>-4.524888646119507E-2</v>
      </c>
    </row>
    <row r="99" spans="1:23" ht="16.5">
      <c r="A99" s="450">
        <f t="shared" si="16"/>
        <v>92</v>
      </c>
      <c r="B99" s="318" t="s">
        <v>2182</v>
      </c>
      <c r="C99" s="318" t="s">
        <v>1645</v>
      </c>
      <c r="D99" s="318" t="s">
        <v>2253</v>
      </c>
      <c r="E99" s="318" t="s">
        <v>2256</v>
      </c>
      <c r="F99" s="318" t="s">
        <v>2257</v>
      </c>
      <c r="G99" s="318"/>
      <c r="H99" s="436">
        <v>10000</v>
      </c>
      <c r="I99" s="317"/>
      <c r="J99" s="317"/>
      <c r="K99" s="436">
        <f t="shared" si="9"/>
        <v>10000</v>
      </c>
      <c r="L99" s="451">
        <v>40570</v>
      </c>
      <c r="M99" s="456">
        <v>10000.091871375182</v>
      </c>
      <c r="N99" s="438">
        <f t="shared" si="10"/>
        <v>-9.1871375181654003E-2</v>
      </c>
      <c r="O99" s="438">
        <f t="shared" si="11"/>
        <v>4812</v>
      </c>
      <c r="P99" s="452">
        <v>10</v>
      </c>
      <c r="Q99" s="453">
        <f t="shared" si="12"/>
        <v>13.183561643835617</v>
      </c>
      <c r="R99" s="454">
        <f t="shared" si="13"/>
        <v>-3.1835616438356169</v>
      </c>
      <c r="S99" s="455">
        <f t="shared" si="17"/>
        <v>9.5000000000000001E-2</v>
      </c>
      <c r="T99" s="442"/>
      <c r="U99" s="436">
        <f t="shared" si="14"/>
        <v>-9.1871375181654003E-2</v>
      </c>
      <c r="V99" s="442"/>
      <c r="W99" s="456">
        <f t="shared" si="15"/>
        <v>-9.1871375181654003E-2</v>
      </c>
    </row>
    <row r="100" spans="1:23" ht="16.5">
      <c r="A100" s="450">
        <f t="shared" si="16"/>
        <v>93</v>
      </c>
      <c r="B100" s="318" t="s">
        <v>2182</v>
      </c>
      <c r="C100" s="318" t="s">
        <v>1645</v>
      </c>
      <c r="D100" s="318" t="s">
        <v>2253</v>
      </c>
      <c r="E100" s="318" t="s">
        <v>2248</v>
      </c>
      <c r="F100" s="318" t="s">
        <v>2258</v>
      </c>
      <c r="G100" s="318"/>
      <c r="H100" s="436">
        <v>5062</v>
      </c>
      <c r="I100" s="317"/>
      <c r="J100" s="317"/>
      <c r="K100" s="436">
        <f t="shared" si="9"/>
        <v>5062</v>
      </c>
      <c r="L100" s="451">
        <v>40570</v>
      </c>
      <c r="M100" s="456">
        <v>5061.9851052901176</v>
      </c>
      <c r="N100" s="438">
        <f t="shared" si="10"/>
        <v>1.4894709882355528E-2</v>
      </c>
      <c r="O100" s="438">
        <f t="shared" si="11"/>
        <v>4812</v>
      </c>
      <c r="P100" s="452">
        <v>10</v>
      </c>
      <c r="Q100" s="453">
        <f t="shared" si="12"/>
        <v>13.183561643835617</v>
      </c>
      <c r="R100" s="454">
        <f t="shared" si="13"/>
        <v>-3.1835616438356169</v>
      </c>
      <c r="S100" s="455">
        <f t="shared" si="17"/>
        <v>9.5000000000000001E-2</v>
      </c>
      <c r="T100" s="442"/>
      <c r="U100" s="436">
        <f t="shared" si="14"/>
        <v>1.4894709882355528E-2</v>
      </c>
      <c r="V100" s="442"/>
      <c r="W100" s="456">
        <f t="shared" si="15"/>
        <v>1.4894709882355528E-2</v>
      </c>
    </row>
    <row r="101" spans="1:23" ht="16.5">
      <c r="A101" s="450">
        <f t="shared" si="16"/>
        <v>94</v>
      </c>
      <c r="B101" s="318" t="s">
        <v>2182</v>
      </c>
      <c r="C101" s="318" t="s">
        <v>1645</v>
      </c>
      <c r="D101" s="318" t="s">
        <v>2253</v>
      </c>
      <c r="E101" s="318" t="s">
        <v>2259</v>
      </c>
      <c r="F101" s="318" t="s">
        <v>1574</v>
      </c>
      <c r="G101" s="318"/>
      <c r="H101" s="436">
        <v>28125</v>
      </c>
      <c r="I101" s="317"/>
      <c r="J101" s="317"/>
      <c r="K101" s="436">
        <f t="shared" si="9"/>
        <v>28125</v>
      </c>
      <c r="L101" s="451">
        <v>40607</v>
      </c>
      <c r="M101" s="456">
        <v>28124.568086662122</v>
      </c>
      <c r="N101" s="438">
        <f t="shared" si="10"/>
        <v>0.43191333787763142</v>
      </c>
      <c r="O101" s="438">
        <f t="shared" si="11"/>
        <v>4775</v>
      </c>
      <c r="P101" s="452">
        <v>10</v>
      </c>
      <c r="Q101" s="453">
        <f t="shared" si="12"/>
        <v>13.082191780821917</v>
      </c>
      <c r="R101" s="454">
        <f t="shared" si="13"/>
        <v>-3.0821917808219172</v>
      </c>
      <c r="S101" s="455">
        <f t="shared" si="17"/>
        <v>9.5000000000000001E-2</v>
      </c>
      <c r="T101" s="442"/>
      <c r="U101" s="436">
        <f t="shared" si="14"/>
        <v>0.43191333787763142</v>
      </c>
      <c r="V101" s="442"/>
      <c r="W101" s="456">
        <f t="shared" si="15"/>
        <v>0.43191333787763142</v>
      </c>
    </row>
    <row r="102" spans="1:23" ht="16.5">
      <c r="A102" s="450">
        <f t="shared" si="16"/>
        <v>95</v>
      </c>
      <c r="B102" s="318" t="s">
        <v>2182</v>
      </c>
      <c r="C102" s="318" t="s">
        <v>1645</v>
      </c>
      <c r="D102" s="318" t="s">
        <v>2253</v>
      </c>
      <c r="E102" s="318" t="s">
        <v>2256</v>
      </c>
      <c r="F102" s="318" t="s">
        <v>2260</v>
      </c>
      <c r="G102" s="318"/>
      <c r="H102" s="436">
        <v>15000</v>
      </c>
      <c r="I102" s="317"/>
      <c r="J102" s="317"/>
      <c r="K102" s="436">
        <f t="shared" si="9"/>
        <v>15000</v>
      </c>
      <c r="L102" s="451">
        <v>40628</v>
      </c>
      <c r="M102" s="456">
        <v>15000.159002375272</v>
      </c>
      <c r="N102" s="438">
        <f t="shared" si="10"/>
        <v>-0.15900237527239369</v>
      </c>
      <c r="O102" s="438">
        <f t="shared" si="11"/>
        <v>4754</v>
      </c>
      <c r="P102" s="452">
        <v>10</v>
      </c>
      <c r="Q102" s="453">
        <f t="shared" si="12"/>
        <v>13.024657534246575</v>
      </c>
      <c r="R102" s="454">
        <f t="shared" si="13"/>
        <v>-3.0246575342465754</v>
      </c>
      <c r="S102" s="455">
        <f t="shared" si="17"/>
        <v>9.5000000000000001E-2</v>
      </c>
      <c r="T102" s="442"/>
      <c r="U102" s="436">
        <f t="shared" si="14"/>
        <v>-0.15900237527239369</v>
      </c>
      <c r="V102" s="442"/>
      <c r="W102" s="456">
        <f t="shared" si="15"/>
        <v>-0.15900237527239369</v>
      </c>
    </row>
    <row r="103" spans="1:23" ht="16.5">
      <c r="A103" s="450">
        <f t="shared" si="16"/>
        <v>96</v>
      </c>
      <c r="B103" s="318" t="s">
        <v>2182</v>
      </c>
      <c r="C103" s="318" t="s">
        <v>1645</v>
      </c>
      <c r="D103" s="318" t="s">
        <v>2253</v>
      </c>
      <c r="E103" s="318" t="s">
        <v>2256</v>
      </c>
      <c r="F103" s="318" t="s">
        <v>2261</v>
      </c>
      <c r="G103" s="318"/>
      <c r="H103" s="436">
        <v>8987</v>
      </c>
      <c r="I103" s="317"/>
      <c r="J103" s="317"/>
      <c r="K103" s="436">
        <f t="shared" si="9"/>
        <v>8987</v>
      </c>
      <c r="L103" s="451">
        <v>40628</v>
      </c>
      <c r="M103" s="456">
        <v>8986.7983969564393</v>
      </c>
      <c r="N103" s="438">
        <f t="shared" si="10"/>
        <v>0.20160304356068082</v>
      </c>
      <c r="O103" s="438">
        <f t="shared" si="11"/>
        <v>4754</v>
      </c>
      <c r="P103" s="452">
        <v>10</v>
      </c>
      <c r="Q103" s="453">
        <f t="shared" si="12"/>
        <v>13.024657534246575</v>
      </c>
      <c r="R103" s="454">
        <f t="shared" si="13"/>
        <v>-3.0246575342465754</v>
      </c>
      <c r="S103" s="455">
        <f t="shared" si="17"/>
        <v>9.5000000000000001E-2</v>
      </c>
      <c r="T103" s="442"/>
      <c r="U103" s="436">
        <f t="shared" si="14"/>
        <v>0.20160304356068082</v>
      </c>
      <c r="V103" s="442"/>
      <c r="W103" s="456">
        <f t="shared" si="15"/>
        <v>0.20160304356068082</v>
      </c>
    </row>
    <row r="104" spans="1:23" ht="16.5">
      <c r="A104" s="450">
        <f t="shared" si="16"/>
        <v>97</v>
      </c>
      <c r="B104" s="318" t="s">
        <v>2182</v>
      </c>
      <c r="C104" s="318" t="s">
        <v>1645</v>
      </c>
      <c r="D104" s="318" t="s">
        <v>1634</v>
      </c>
      <c r="E104" s="318" t="s">
        <v>2262</v>
      </c>
      <c r="F104" s="318" t="s">
        <v>2210</v>
      </c>
      <c r="G104" s="318" t="s">
        <v>2263</v>
      </c>
      <c r="H104" s="436">
        <v>33550</v>
      </c>
      <c r="I104" s="317"/>
      <c r="J104" s="317"/>
      <c r="K104" s="436">
        <f t="shared" si="9"/>
        <v>33550</v>
      </c>
      <c r="L104" s="451">
        <v>40387</v>
      </c>
      <c r="M104" s="456">
        <v>33549.648145266307</v>
      </c>
      <c r="N104" s="438">
        <f t="shared" si="10"/>
        <v>0.35185473369347164</v>
      </c>
      <c r="O104" s="438">
        <f t="shared" si="11"/>
        <v>4995</v>
      </c>
      <c r="P104" s="452">
        <v>10</v>
      </c>
      <c r="Q104" s="453">
        <f t="shared" si="12"/>
        <v>13.684931506849315</v>
      </c>
      <c r="R104" s="454">
        <f t="shared" si="13"/>
        <v>-3.6849315068493151</v>
      </c>
      <c r="S104" s="455">
        <f t="shared" si="17"/>
        <v>9.5000000000000001E-2</v>
      </c>
      <c r="T104" s="442"/>
      <c r="U104" s="436">
        <f t="shared" si="14"/>
        <v>0.35185473369347164</v>
      </c>
      <c r="V104" s="442"/>
      <c r="W104" s="456">
        <f t="shared" si="15"/>
        <v>0.35185473369347164</v>
      </c>
    </row>
    <row r="105" spans="1:23" ht="16.5">
      <c r="A105" s="450">
        <f t="shared" si="16"/>
        <v>98</v>
      </c>
      <c r="B105" s="318" t="s">
        <v>2182</v>
      </c>
      <c r="C105" s="318" t="s">
        <v>1645</v>
      </c>
      <c r="D105" s="318"/>
      <c r="E105" s="318" t="s">
        <v>2264</v>
      </c>
      <c r="F105" s="318" t="s">
        <v>1766</v>
      </c>
      <c r="G105" s="318" t="s">
        <v>2265</v>
      </c>
      <c r="H105" s="436">
        <v>8473</v>
      </c>
      <c r="I105" s="317"/>
      <c r="J105" s="317"/>
      <c r="K105" s="436">
        <f t="shared" si="9"/>
        <v>8473</v>
      </c>
      <c r="L105" s="451">
        <v>40427</v>
      </c>
      <c r="M105" s="456">
        <v>8473.1469716492902</v>
      </c>
      <c r="N105" s="438">
        <f t="shared" si="10"/>
        <v>-0.14697164929020801</v>
      </c>
      <c r="O105" s="438">
        <f t="shared" si="11"/>
        <v>4955</v>
      </c>
      <c r="P105" s="452">
        <v>10</v>
      </c>
      <c r="Q105" s="453">
        <f t="shared" si="12"/>
        <v>13.575342465753424</v>
      </c>
      <c r="R105" s="454">
        <f t="shared" si="13"/>
        <v>-3.5753424657534243</v>
      </c>
      <c r="S105" s="455">
        <f t="shared" si="17"/>
        <v>9.5000000000000001E-2</v>
      </c>
      <c r="T105" s="442"/>
      <c r="U105" s="436">
        <f t="shared" si="14"/>
        <v>-0.14697164929020801</v>
      </c>
      <c r="V105" s="442"/>
      <c r="W105" s="456">
        <f t="shared" si="15"/>
        <v>-0.14697164929020801</v>
      </c>
    </row>
    <row r="106" spans="1:23" ht="16.5">
      <c r="A106" s="450">
        <f t="shared" si="16"/>
        <v>99</v>
      </c>
      <c r="B106" s="318" t="s">
        <v>2182</v>
      </c>
      <c r="C106" s="318" t="s">
        <v>1645</v>
      </c>
      <c r="D106" s="318" t="s">
        <v>1634</v>
      </c>
      <c r="E106" s="318" t="s">
        <v>2266</v>
      </c>
      <c r="F106" s="318" t="s">
        <v>2267</v>
      </c>
      <c r="G106" s="318" t="s">
        <v>2268</v>
      </c>
      <c r="H106" s="436">
        <v>38000</v>
      </c>
      <c r="I106" s="317"/>
      <c r="J106" s="317"/>
      <c r="K106" s="436">
        <f t="shared" si="9"/>
        <v>38000</v>
      </c>
      <c r="L106" s="451">
        <v>40407</v>
      </c>
      <c r="M106" s="456">
        <v>38000.01641697139</v>
      </c>
      <c r="N106" s="438">
        <f t="shared" si="10"/>
        <v>-1.6416971389844548E-2</v>
      </c>
      <c r="O106" s="438">
        <f t="shared" si="11"/>
        <v>4975</v>
      </c>
      <c r="P106" s="452">
        <v>10</v>
      </c>
      <c r="Q106" s="453">
        <f t="shared" si="12"/>
        <v>13.63013698630137</v>
      </c>
      <c r="R106" s="454">
        <f t="shared" si="13"/>
        <v>-3.6301369863013697</v>
      </c>
      <c r="S106" s="455">
        <f t="shared" si="17"/>
        <v>9.5000000000000001E-2</v>
      </c>
      <c r="T106" s="442"/>
      <c r="U106" s="436">
        <f t="shared" si="14"/>
        <v>-1.6416971389844548E-2</v>
      </c>
      <c r="V106" s="442"/>
      <c r="W106" s="456">
        <f t="shared" si="15"/>
        <v>-1.6416971389844548E-2</v>
      </c>
    </row>
    <row r="107" spans="1:23" ht="16.5">
      <c r="A107" s="450">
        <f t="shared" si="16"/>
        <v>100</v>
      </c>
      <c r="B107" s="318" t="s">
        <v>2182</v>
      </c>
      <c r="C107" s="318" t="s">
        <v>1705</v>
      </c>
      <c r="D107" s="318" t="s">
        <v>1634</v>
      </c>
      <c r="E107" s="318"/>
      <c r="F107" s="318"/>
      <c r="G107" s="318"/>
      <c r="H107" s="436">
        <v>45800</v>
      </c>
      <c r="I107" s="317"/>
      <c r="J107" s="317"/>
      <c r="K107" s="436">
        <f t="shared" si="9"/>
        <v>45800</v>
      </c>
      <c r="L107" s="459">
        <v>40990</v>
      </c>
      <c r="M107" s="456">
        <v>45799.613000003839</v>
      </c>
      <c r="N107" s="438">
        <f t="shared" si="10"/>
        <v>0.3869999961607391</v>
      </c>
      <c r="O107" s="438">
        <f t="shared" si="11"/>
        <v>4392</v>
      </c>
      <c r="P107" s="452">
        <v>10</v>
      </c>
      <c r="Q107" s="453">
        <f t="shared" si="12"/>
        <v>12.032876712328767</v>
      </c>
      <c r="R107" s="454">
        <f t="shared" si="13"/>
        <v>-2.0328767123287665</v>
      </c>
      <c r="S107" s="455">
        <f t="shared" si="17"/>
        <v>9.5000000000000001E-2</v>
      </c>
      <c r="T107" s="442"/>
      <c r="U107" s="436">
        <f t="shared" si="14"/>
        <v>0.3869999961607391</v>
      </c>
      <c r="V107" s="442"/>
      <c r="W107" s="456">
        <f t="shared" si="15"/>
        <v>0.3869999961607391</v>
      </c>
    </row>
    <row r="108" spans="1:23" ht="16.5">
      <c r="A108" s="450">
        <f t="shared" si="16"/>
        <v>101</v>
      </c>
      <c r="B108" s="318" t="s">
        <v>2182</v>
      </c>
      <c r="C108" s="318" t="s">
        <v>1705</v>
      </c>
      <c r="D108" s="318" t="s">
        <v>1634</v>
      </c>
      <c r="E108" s="318"/>
      <c r="F108" s="318"/>
      <c r="G108" s="318"/>
      <c r="H108" s="436">
        <v>42365</v>
      </c>
      <c r="I108" s="317"/>
      <c r="J108" s="317"/>
      <c r="K108" s="436">
        <f t="shared" si="9"/>
        <v>42365</v>
      </c>
      <c r="L108" s="459">
        <v>40990</v>
      </c>
      <c r="M108" s="456">
        <v>42365.317025003555</v>
      </c>
      <c r="N108" s="438">
        <f t="shared" si="10"/>
        <v>-0.31702500355459051</v>
      </c>
      <c r="O108" s="438">
        <f t="shared" si="11"/>
        <v>4392</v>
      </c>
      <c r="P108" s="452">
        <v>10</v>
      </c>
      <c r="Q108" s="453">
        <f t="shared" si="12"/>
        <v>12.032876712328767</v>
      </c>
      <c r="R108" s="454">
        <f t="shared" si="13"/>
        <v>-2.0328767123287665</v>
      </c>
      <c r="S108" s="455">
        <f t="shared" si="17"/>
        <v>9.5000000000000001E-2</v>
      </c>
      <c r="T108" s="442"/>
      <c r="U108" s="436">
        <f t="shared" si="14"/>
        <v>-0.31702500355459051</v>
      </c>
      <c r="V108" s="442"/>
      <c r="W108" s="456">
        <f t="shared" si="15"/>
        <v>-0.31702500355459051</v>
      </c>
    </row>
    <row r="109" spans="1:23" ht="16.5">
      <c r="A109" s="450">
        <f t="shared" si="16"/>
        <v>102</v>
      </c>
      <c r="B109" s="318" t="s">
        <v>2182</v>
      </c>
      <c r="C109" s="318" t="s">
        <v>1705</v>
      </c>
      <c r="D109" s="318"/>
      <c r="E109" s="318" t="s">
        <v>2240</v>
      </c>
      <c r="F109" s="318" t="s">
        <v>2269</v>
      </c>
      <c r="G109" s="318" t="s">
        <v>2270</v>
      </c>
      <c r="H109" s="436">
        <v>45719</v>
      </c>
      <c r="I109" s="317"/>
      <c r="J109" s="317"/>
      <c r="K109" s="436">
        <f t="shared" si="9"/>
        <v>45719</v>
      </c>
      <c r="L109" s="459">
        <v>40990</v>
      </c>
      <c r="M109" s="456">
        <v>45718.703837274581</v>
      </c>
      <c r="N109" s="438">
        <f t="shared" si="10"/>
        <v>0.2961627254189807</v>
      </c>
      <c r="O109" s="438">
        <f t="shared" si="11"/>
        <v>4392</v>
      </c>
      <c r="P109" s="452">
        <v>10</v>
      </c>
      <c r="Q109" s="453">
        <f t="shared" si="12"/>
        <v>12.032876712328767</v>
      </c>
      <c r="R109" s="454">
        <f t="shared" si="13"/>
        <v>-2.0328767123287665</v>
      </c>
      <c r="S109" s="455">
        <f t="shared" si="17"/>
        <v>9.5000000000000001E-2</v>
      </c>
      <c r="T109" s="442"/>
      <c r="U109" s="436">
        <f t="shared" si="14"/>
        <v>0.2961627254189807</v>
      </c>
      <c r="V109" s="442"/>
      <c r="W109" s="456">
        <f t="shared" si="15"/>
        <v>0.2961627254189807</v>
      </c>
    </row>
    <row r="110" spans="1:23" ht="16.5">
      <c r="A110" s="450">
        <f t="shared" si="16"/>
        <v>103</v>
      </c>
      <c r="B110" s="318" t="s">
        <v>2182</v>
      </c>
      <c r="C110" s="318" t="s">
        <v>1705</v>
      </c>
      <c r="D110" s="318"/>
      <c r="E110" s="318" t="s">
        <v>2271</v>
      </c>
      <c r="F110" s="318" t="s">
        <v>2272</v>
      </c>
      <c r="G110" s="318" t="s">
        <v>2273</v>
      </c>
      <c r="H110" s="436">
        <v>14328</v>
      </c>
      <c r="I110" s="317"/>
      <c r="J110" s="317"/>
      <c r="K110" s="436">
        <f t="shared" si="9"/>
        <v>14328</v>
      </c>
      <c r="L110" s="459">
        <v>40990</v>
      </c>
      <c r="M110" s="456">
        <v>14327.709673887664</v>
      </c>
      <c r="N110" s="438">
        <f t="shared" si="10"/>
        <v>0.29032611233560601</v>
      </c>
      <c r="O110" s="438">
        <f t="shared" si="11"/>
        <v>4392</v>
      </c>
      <c r="P110" s="452">
        <v>10</v>
      </c>
      <c r="Q110" s="453">
        <f t="shared" si="12"/>
        <v>12.032876712328767</v>
      </c>
      <c r="R110" s="454">
        <f t="shared" si="13"/>
        <v>-2.0328767123287665</v>
      </c>
      <c r="S110" s="455">
        <f t="shared" si="17"/>
        <v>9.5000000000000001E-2</v>
      </c>
      <c r="T110" s="442"/>
      <c r="U110" s="436">
        <f t="shared" si="14"/>
        <v>0.29032611233560601</v>
      </c>
      <c r="V110" s="442"/>
      <c r="W110" s="456">
        <f t="shared" si="15"/>
        <v>0.29032611233560601</v>
      </c>
    </row>
    <row r="111" spans="1:23" ht="16.5">
      <c r="A111" s="450">
        <f t="shared" si="16"/>
        <v>104</v>
      </c>
      <c r="B111" s="318" t="s">
        <v>2182</v>
      </c>
      <c r="C111" s="318" t="s">
        <v>1705</v>
      </c>
      <c r="D111" s="318"/>
      <c r="E111" s="318" t="s">
        <v>2271</v>
      </c>
      <c r="F111" s="318" t="s">
        <v>2274</v>
      </c>
      <c r="G111" s="318" t="s">
        <v>2275</v>
      </c>
      <c r="H111" s="436">
        <v>1020</v>
      </c>
      <c r="I111" s="317"/>
      <c r="J111" s="317"/>
      <c r="K111" s="436">
        <f t="shared" si="9"/>
        <v>1020</v>
      </c>
      <c r="L111" s="459">
        <v>40990</v>
      </c>
      <c r="M111" s="456">
        <v>1019.7079751092558</v>
      </c>
      <c r="N111" s="438">
        <f t="shared" si="10"/>
        <v>0.29202489074418736</v>
      </c>
      <c r="O111" s="438">
        <f t="shared" si="11"/>
        <v>4392</v>
      </c>
      <c r="P111" s="452">
        <v>10</v>
      </c>
      <c r="Q111" s="453">
        <f t="shared" si="12"/>
        <v>12.032876712328767</v>
      </c>
      <c r="R111" s="454">
        <f t="shared" si="13"/>
        <v>-2.0328767123287665</v>
      </c>
      <c r="S111" s="455">
        <f t="shared" si="17"/>
        <v>9.5000000000000001E-2</v>
      </c>
      <c r="T111" s="442"/>
      <c r="U111" s="436">
        <f t="shared" si="14"/>
        <v>0.29202489074418736</v>
      </c>
      <c r="V111" s="442"/>
      <c r="W111" s="456">
        <f t="shared" si="15"/>
        <v>0.29202489074418736</v>
      </c>
    </row>
    <row r="112" spans="1:23" ht="16.5">
      <c r="A112" s="450">
        <f t="shared" si="16"/>
        <v>105</v>
      </c>
      <c r="B112" s="318" t="s">
        <v>2182</v>
      </c>
      <c r="C112" s="318" t="s">
        <v>1705</v>
      </c>
      <c r="D112" s="318"/>
      <c r="E112" s="318" t="s">
        <v>2276</v>
      </c>
      <c r="F112" s="318" t="s">
        <v>2277</v>
      </c>
      <c r="G112" s="318" t="s">
        <v>2275</v>
      </c>
      <c r="H112" s="436">
        <v>6300</v>
      </c>
      <c r="I112" s="317"/>
      <c r="J112" s="317"/>
      <c r="K112" s="436">
        <f t="shared" si="9"/>
        <v>6300</v>
      </c>
      <c r="L112" s="459">
        <v>40990</v>
      </c>
      <c r="M112" s="456">
        <v>6300.4904344983452</v>
      </c>
      <c r="N112" s="438">
        <f t="shared" si="10"/>
        <v>-0.4904344983451665</v>
      </c>
      <c r="O112" s="438">
        <f t="shared" si="11"/>
        <v>4392</v>
      </c>
      <c r="P112" s="452">
        <v>10</v>
      </c>
      <c r="Q112" s="453">
        <f t="shared" si="12"/>
        <v>12.032876712328767</v>
      </c>
      <c r="R112" s="454">
        <f t="shared" si="13"/>
        <v>-2.0328767123287665</v>
      </c>
      <c r="S112" s="455">
        <f t="shared" si="17"/>
        <v>9.5000000000000001E-2</v>
      </c>
      <c r="T112" s="442"/>
      <c r="U112" s="436">
        <f t="shared" si="14"/>
        <v>-0.4904344983451665</v>
      </c>
      <c r="V112" s="442"/>
      <c r="W112" s="456">
        <f t="shared" si="15"/>
        <v>-0.4904344983451665</v>
      </c>
    </row>
    <row r="113" spans="1:23" ht="16.5">
      <c r="A113" s="450">
        <f t="shared" si="16"/>
        <v>106</v>
      </c>
      <c r="B113" s="318" t="s">
        <v>2182</v>
      </c>
      <c r="C113" s="318" t="s">
        <v>1705</v>
      </c>
      <c r="D113" s="318"/>
      <c r="E113" s="318" t="s">
        <v>2278</v>
      </c>
      <c r="F113" s="318" t="s">
        <v>2279</v>
      </c>
      <c r="G113" s="318"/>
      <c r="H113" s="436">
        <v>125826</v>
      </c>
      <c r="I113" s="317"/>
      <c r="J113" s="317"/>
      <c r="K113" s="436">
        <f t="shared" si="9"/>
        <v>125826</v>
      </c>
      <c r="L113" s="459">
        <v>40990</v>
      </c>
      <c r="M113" s="456">
        <v>125826.04085891886</v>
      </c>
      <c r="N113" s="438">
        <f t="shared" si="10"/>
        <v>-4.0858918859157711E-2</v>
      </c>
      <c r="O113" s="438">
        <f t="shared" si="11"/>
        <v>4392</v>
      </c>
      <c r="P113" s="452">
        <v>10</v>
      </c>
      <c r="Q113" s="453">
        <f t="shared" si="12"/>
        <v>12.032876712328767</v>
      </c>
      <c r="R113" s="454">
        <f t="shared" si="13"/>
        <v>-2.0328767123287665</v>
      </c>
      <c r="S113" s="455">
        <f t="shared" si="17"/>
        <v>9.5000000000000001E-2</v>
      </c>
      <c r="T113" s="442"/>
      <c r="U113" s="436">
        <f t="shared" si="14"/>
        <v>-4.0858918859157711E-2</v>
      </c>
      <c r="V113" s="442"/>
      <c r="W113" s="456">
        <f t="shared" si="15"/>
        <v>-4.0858918859157711E-2</v>
      </c>
    </row>
    <row r="114" spans="1:23" ht="16.5">
      <c r="A114" s="450">
        <f t="shared" si="16"/>
        <v>107</v>
      </c>
      <c r="B114" s="318" t="s">
        <v>2182</v>
      </c>
      <c r="C114" s="318" t="s">
        <v>1705</v>
      </c>
      <c r="D114" s="318"/>
      <c r="E114" s="318" t="s">
        <v>2280</v>
      </c>
      <c r="F114" s="318" t="s">
        <v>2281</v>
      </c>
      <c r="G114" s="318" t="s">
        <v>2282</v>
      </c>
      <c r="H114" s="436">
        <v>50242</v>
      </c>
      <c r="I114" s="317"/>
      <c r="J114" s="317"/>
      <c r="K114" s="436">
        <f t="shared" si="9"/>
        <v>50242</v>
      </c>
      <c r="L114" s="459">
        <v>40990</v>
      </c>
      <c r="M114" s="456">
        <v>50241.754985724729</v>
      </c>
      <c r="N114" s="438">
        <f t="shared" si="10"/>
        <v>0.24501427527138731</v>
      </c>
      <c r="O114" s="438">
        <f t="shared" si="11"/>
        <v>4392</v>
      </c>
      <c r="P114" s="452">
        <v>10</v>
      </c>
      <c r="Q114" s="453">
        <f t="shared" si="12"/>
        <v>12.032876712328767</v>
      </c>
      <c r="R114" s="454">
        <f t="shared" si="13"/>
        <v>-2.0328767123287665</v>
      </c>
      <c r="S114" s="455">
        <f t="shared" si="17"/>
        <v>9.5000000000000001E-2</v>
      </c>
      <c r="T114" s="442"/>
      <c r="U114" s="436">
        <f t="shared" si="14"/>
        <v>0.24501427527138731</v>
      </c>
      <c r="V114" s="442"/>
      <c r="W114" s="456">
        <f t="shared" si="15"/>
        <v>0.24501427527138731</v>
      </c>
    </row>
    <row r="115" spans="1:23" ht="16.5">
      <c r="A115" s="450">
        <f t="shared" si="16"/>
        <v>108</v>
      </c>
      <c r="B115" s="318" t="s">
        <v>2182</v>
      </c>
      <c r="C115" s="318" t="s">
        <v>1705</v>
      </c>
      <c r="D115" s="318"/>
      <c r="E115" s="318" t="s">
        <v>2283</v>
      </c>
      <c r="F115" s="318"/>
      <c r="G115" s="318"/>
      <c r="H115" s="436">
        <v>75000</v>
      </c>
      <c r="I115" s="317"/>
      <c r="J115" s="317"/>
      <c r="K115" s="436">
        <f t="shared" si="9"/>
        <v>75000</v>
      </c>
      <c r="L115" s="459">
        <v>40990</v>
      </c>
      <c r="M115" s="456">
        <v>75000.409934504103</v>
      </c>
      <c r="N115" s="438">
        <f t="shared" si="10"/>
        <v>-0.40993450410314836</v>
      </c>
      <c r="O115" s="438">
        <f t="shared" si="11"/>
        <v>4392</v>
      </c>
      <c r="P115" s="452">
        <v>10</v>
      </c>
      <c r="Q115" s="453">
        <f t="shared" si="12"/>
        <v>12.032876712328767</v>
      </c>
      <c r="R115" s="454">
        <f t="shared" si="13"/>
        <v>-2.0328767123287665</v>
      </c>
      <c r="S115" s="455">
        <f t="shared" si="17"/>
        <v>9.5000000000000001E-2</v>
      </c>
      <c r="T115" s="442"/>
      <c r="U115" s="436">
        <f t="shared" si="14"/>
        <v>-0.40993450410314836</v>
      </c>
      <c r="V115" s="442"/>
      <c r="W115" s="456">
        <f t="shared" si="15"/>
        <v>-0.40993450410314836</v>
      </c>
    </row>
    <row r="116" spans="1:23" ht="16.5">
      <c r="A116" s="450">
        <f t="shared" si="16"/>
        <v>109</v>
      </c>
      <c r="B116" s="318" t="s">
        <v>2182</v>
      </c>
      <c r="C116" s="318" t="s">
        <v>1705</v>
      </c>
      <c r="D116" s="318"/>
      <c r="E116" s="318" t="s">
        <v>414</v>
      </c>
      <c r="F116" s="318" t="s">
        <v>2284</v>
      </c>
      <c r="G116" s="318" t="s">
        <v>2285</v>
      </c>
      <c r="H116" s="436">
        <v>5128</v>
      </c>
      <c r="I116" s="317"/>
      <c r="J116" s="317"/>
      <c r="K116" s="436">
        <f t="shared" si="9"/>
        <v>5128</v>
      </c>
      <c r="L116" s="459">
        <v>40990</v>
      </c>
      <c r="M116" s="456">
        <v>5128.0887219218275</v>
      </c>
      <c r="N116" s="438">
        <f t="shared" si="10"/>
        <v>-8.8721921827527694E-2</v>
      </c>
      <c r="O116" s="438">
        <f t="shared" si="11"/>
        <v>4392</v>
      </c>
      <c r="P116" s="452">
        <v>10</v>
      </c>
      <c r="Q116" s="453">
        <f t="shared" si="12"/>
        <v>12.032876712328767</v>
      </c>
      <c r="R116" s="454">
        <f t="shared" si="13"/>
        <v>-2.0328767123287665</v>
      </c>
      <c r="S116" s="455">
        <f t="shared" si="17"/>
        <v>9.5000000000000001E-2</v>
      </c>
      <c r="T116" s="442"/>
      <c r="U116" s="436">
        <f t="shared" si="14"/>
        <v>-8.8721921827527694E-2</v>
      </c>
      <c r="V116" s="442"/>
      <c r="W116" s="456">
        <f t="shared" si="15"/>
        <v>-8.8721921827527694E-2</v>
      </c>
    </row>
    <row r="117" spans="1:23" ht="16.5">
      <c r="A117" s="450">
        <f t="shared" si="16"/>
        <v>110</v>
      </c>
      <c r="B117" s="318" t="s">
        <v>2182</v>
      </c>
      <c r="C117" s="318" t="s">
        <v>1705</v>
      </c>
      <c r="D117" s="318"/>
      <c r="E117" s="318" t="s">
        <v>2271</v>
      </c>
      <c r="F117" s="318" t="s">
        <v>2286</v>
      </c>
      <c r="G117" s="318" t="s">
        <v>2287</v>
      </c>
      <c r="H117" s="436">
        <v>1020</v>
      </c>
      <c r="I117" s="317"/>
      <c r="J117" s="317"/>
      <c r="K117" s="436">
        <f t="shared" si="9"/>
        <v>1020</v>
      </c>
      <c r="L117" s="459">
        <v>40990</v>
      </c>
      <c r="M117" s="456">
        <v>1019.7079751092558</v>
      </c>
      <c r="N117" s="438">
        <f t="shared" si="10"/>
        <v>0.29202489074418736</v>
      </c>
      <c r="O117" s="438">
        <f t="shared" si="11"/>
        <v>4392</v>
      </c>
      <c r="P117" s="452">
        <v>10</v>
      </c>
      <c r="Q117" s="453">
        <f t="shared" si="12"/>
        <v>12.032876712328767</v>
      </c>
      <c r="R117" s="454">
        <f t="shared" si="13"/>
        <v>-2.0328767123287665</v>
      </c>
      <c r="S117" s="455">
        <f t="shared" si="17"/>
        <v>9.5000000000000001E-2</v>
      </c>
      <c r="T117" s="442"/>
      <c r="U117" s="436">
        <f t="shared" si="14"/>
        <v>0.29202489074418736</v>
      </c>
      <c r="V117" s="442"/>
      <c r="W117" s="456">
        <f t="shared" si="15"/>
        <v>0.29202489074418736</v>
      </c>
    </row>
    <row r="118" spans="1:23" ht="16.5">
      <c r="A118" s="450">
        <f t="shared" si="16"/>
        <v>111</v>
      </c>
      <c r="B118" s="318" t="s">
        <v>2182</v>
      </c>
      <c r="C118" s="318" t="s">
        <v>1705</v>
      </c>
      <c r="D118" s="318"/>
      <c r="E118" s="318" t="s">
        <v>2271</v>
      </c>
      <c r="F118" s="318"/>
      <c r="G118" s="318"/>
      <c r="H118" s="436">
        <v>12657</v>
      </c>
      <c r="I118" s="317"/>
      <c r="J118" s="317"/>
      <c r="K118" s="436">
        <f t="shared" si="9"/>
        <v>12657</v>
      </c>
      <c r="L118" s="459">
        <v>40990</v>
      </c>
      <c r="M118" s="456">
        <v>12656.991020546913</v>
      </c>
      <c r="N118" s="438">
        <f t="shared" si="10"/>
        <v>8.9794530867948197E-3</v>
      </c>
      <c r="O118" s="438">
        <f t="shared" si="11"/>
        <v>4392</v>
      </c>
      <c r="P118" s="452">
        <v>10</v>
      </c>
      <c r="Q118" s="453">
        <f t="shared" si="12"/>
        <v>12.032876712328767</v>
      </c>
      <c r="R118" s="454">
        <f t="shared" si="13"/>
        <v>-2.0328767123287665</v>
      </c>
      <c r="S118" s="455">
        <f t="shared" si="17"/>
        <v>9.5000000000000001E-2</v>
      </c>
      <c r="T118" s="442"/>
      <c r="U118" s="436">
        <f t="shared" si="14"/>
        <v>8.9794530867948197E-3</v>
      </c>
      <c r="V118" s="442"/>
      <c r="W118" s="456">
        <f t="shared" si="15"/>
        <v>8.9794530867948197E-3</v>
      </c>
    </row>
    <row r="119" spans="1:23" ht="16.5">
      <c r="A119" s="450">
        <f t="shared" si="16"/>
        <v>112</v>
      </c>
      <c r="B119" s="318" t="s">
        <v>2182</v>
      </c>
      <c r="C119" s="318" t="s">
        <v>1705</v>
      </c>
      <c r="D119" s="318"/>
      <c r="E119" s="318" t="s">
        <v>414</v>
      </c>
      <c r="F119" s="318"/>
      <c r="G119" s="318"/>
      <c r="H119" s="436">
        <v>613</v>
      </c>
      <c r="I119" s="317"/>
      <c r="J119" s="317"/>
      <c r="K119" s="436">
        <f t="shared" si="9"/>
        <v>613</v>
      </c>
      <c r="L119" s="459">
        <v>40990</v>
      </c>
      <c r="M119" s="456">
        <v>613.33724386468032</v>
      </c>
      <c r="N119" s="438">
        <f t="shared" si="10"/>
        <v>-0.33724386468031753</v>
      </c>
      <c r="O119" s="438">
        <f t="shared" si="11"/>
        <v>4392</v>
      </c>
      <c r="P119" s="452">
        <v>10</v>
      </c>
      <c r="Q119" s="453">
        <f t="shared" si="12"/>
        <v>12.032876712328767</v>
      </c>
      <c r="R119" s="454">
        <f t="shared" si="13"/>
        <v>-2.0328767123287665</v>
      </c>
      <c r="S119" s="455">
        <f t="shared" si="17"/>
        <v>9.5000000000000001E-2</v>
      </c>
      <c r="T119" s="442"/>
      <c r="U119" s="436">
        <f t="shared" si="14"/>
        <v>-0.33724386468031753</v>
      </c>
      <c r="V119" s="442"/>
      <c r="W119" s="456">
        <f t="shared" si="15"/>
        <v>-0.33724386468031753</v>
      </c>
    </row>
    <row r="120" spans="1:23" ht="16.5">
      <c r="A120" s="450">
        <f t="shared" si="16"/>
        <v>113</v>
      </c>
      <c r="B120" s="318" t="s">
        <v>2182</v>
      </c>
      <c r="C120" s="318" t="s">
        <v>1705</v>
      </c>
      <c r="D120" s="318"/>
      <c r="E120" s="318" t="s">
        <v>414</v>
      </c>
      <c r="F120" s="318"/>
      <c r="G120" s="318"/>
      <c r="H120" s="436">
        <v>19234</v>
      </c>
      <c r="I120" s="317"/>
      <c r="J120" s="317"/>
      <c r="K120" s="436">
        <f t="shared" si="9"/>
        <v>19234</v>
      </c>
      <c r="L120" s="459">
        <v>40990</v>
      </c>
      <c r="M120" s="456">
        <v>19234.232542403359</v>
      </c>
      <c r="N120" s="438">
        <f t="shared" si="10"/>
        <v>-0.23254240335882059</v>
      </c>
      <c r="O120" s="438">
        <f t="shared" si="11"/>
        <v>4392</v>
      </c>
      <c r="P120" s="452">
        <v>10</v>
      </c>
      <c r="Q120" s="453">
        <f t="shared" si="12"/>
        <v>12.032876712328767</v>
      </c>
      <c r="R120" s="454">
        <f t="shared" si="13"/>
        <v>-2.0328767123287665</v>
      </c>
      <c r="S120" s="455">
        <f t="shared" si="17"/>
        <v>9.5000000000000001E-2</v>
      </c>
      <c r="T120" s="442"/>
      <c r="U120" s="436">
        <f t="shared" si="14"/>
        <v>-0.23254240335882059</v>
      </c>
      <c r="V120" s="442"/>
      <c r="W120" s="456">
        <f t="shared" si="15"/>
        <v>-0.23254240335882059</v>
      </c>
    </row>
    <row r="121" spans="1:23" ht="16.5">
      <c r="A121" s="450">
        <f t="shared" si="16"/>
        <v>114</v>
      </c>
      <c r="B121" s="318" t="s">
        <v>2182</v>
      </c>
      <c r="C121" s="318" t="s">
        <v>1705</v>
      </c>
      <c r="D121" s="318"/>
      <c r="E121" s="318" t="s">
        <v>414</v>
      </c>
      <c r="F121" s="318"/>
      <c r="G121" s="318"/>
      <c r="H121" s="436">
        <v>250</v>
      </c>
      <c r="I121" s="317"/>
      <c r="J121" s="317"/>
      <c r="K121" s="436">
        <f t="shared" si="9"/>
        <v>250</v>
      </c>
      <c r="L121" s="459">
        <v>40990</v>
      </c>
      <c r="M121" s="456">
        <v>250.11469978168037</v>
      </c>
      <c r="N121" s="438">
        <f t="shared" si="10"/>
        <v>-0.11469978168037187</v>
      </c>
      <c r="O121" s="438">
        <f t="shared" si="11"/>
        <v>4392</v>
      </c>
      <c r="P121" s="452">
        <v>10</v>
      </c>
      <c r="Q121" s="453">
        <f t="shared" si="12"/>
        <v>12.032876712328767</v>
      </c>
      <c r="R121" s="454">
        <f t="shared" si="13"/>
        <v>-2.0328767123287665</v>
      </c>
      <c r="S121" s="455">
        <f t="shared" si="17"/>
        <v>9.5000000000000001E-2</v>
      </c>
      <c r="T121" s="442"/>
      <c r="U121" s="436">
        <f t="shared" si="14"/>
        <v>-0.11469978168037187</v>
      </c>
      <c r="V121" s="442"/>
      <c r="W121" s="456">
        <f t="shared" si="15"/>
        <v>-0.11469978168037187</v>
      </c>
    </row>
    <row r="122" spans="1:23" ht="16.5">
      <c r="A122" s="450">
        <f t="shared" si="16"/>
        <v>115</v>
      </c>
      <c r="B122" s="318" t="s">
        <v>2182</v>
      </c>
      <c r="C122" s="318" t="s">
        <v>1705</v>
      </c>
      <c r="D122" s="318"/>
      <c r="E122" s="318" t="s">
        <v>414</v>
      </c>
      <c r="F122" s="318"/>
      <c r="G122" s="318"/>
      <c r="H122" s="436">
        <v>2010</v>
      </c>
      <c r="I122" s="317"/>
      <c r="J122" s="317"/>
      <c r="K122" s="436">
        <f t="shared" si="9"/>
        <v>2010</v>
      </c>
      <c r="L122" s="459">
        <v>40990</v>
      </c>
      <c r="M122" s="456">
        <v>2010.0421862447104</v>
      </c>
      <c r="N122" s="438">
        <f t="shared" si="10"/>
        <v>-4.2186244710364917E-2</v>
      </c>
      <c r="O122" s="438">
        <f t="shared" si="11"/>
        <v>4392</v>
      </c>
      <c r="P122" s="452">
        <v>10</v>
      </c>
      <c r="Q122" s="453">
        <f t="shared" si="12"/>
        <v>12.032876712328767</v>
      </c>
      <c r="R122" s="454">
        <f t="shared" si="13"/>
        <v>-2.0328767123287665</v>
      </c>
      <c r="S122" s="455">
        <f t="shared" si="17"/>
        <v>9.5000000000000001E-2</v>
      </c>
      <c r="T122" s="442"/>
      <c r="U122" s="436">
        <f t="shared" si="14"/>
        <v>-4.2186244710364917E-2</v>
      </c>
      <c r="V122" s="442"/>
      <c r="W122" s="456">
        <f t="shared" si="15"/>
        <v>-4.2186244710364917E-2</v>
      </c>
    </row>
    <row r="123" spans="1:23" ht="16.5">
      <c r="A123" s="450">
        <f t="shared" si="16"/>
        <v>116</v>
      </c>
      <c r="B123" s="318" t="s">
        <v>2182</v>
      </c>
      <c r="C123" s="318" t="s">
        <v>1705</v>
      </c>
      <c r="D123" s="318"/>
      <c r="E123" s="318" t="s">
        <v>414</v>
      </c>
      <c r="F123" s="318"/>
      <c r="G123" s="318"/>
      <c r="H123" s="436">
        <v>2755</v>
      </c>
      <c r="I123" s="317"/>
      <c r="J123" s="317"/>
      <c r="K123" s="436">
        <f t="shared" si="9"/>
        <v>2755</v>
      </c>
      <c r="L123" s="459">
        <v>40990</v>
      </c>
      <c r="M123" s="456">
        <v>2754.8239915941172</v>
      </c>
      <c r="N123" s="438">
        <f t="shared" si="10"/>
        <v>0.17600840588283972</v>
      </c>
      <c r="O123" s="438">
        <f t="shared" si="11"/>
        <v>4392</v>
      </c>
      <c r="P123" s="452">
        <v>10</v>
      </c>
      <c r="Q123" s="453">
        <f t="shared" si="12"/>
        <v>12.032876712328767</v>
      </c>
      <c r="R123" s="454">
        <f t="shared" si="13"/>
        <v>-2.0328767123287665</v>
      </c>
      <c r="S123" s="455">
        <f t="shared" si="17"/>
        <v>9.5000000000000001E-2</v>
      </c>
      <c r="T123" s="442"/>
      <c r="U123" s="436">
        <f t="shared" si="14"/>
        <v>0.17600840588283972</v>
      </c>
      <c r="V123" s="442"/>
      <c r="W123" s="456">
        <f t="shared" si="15"/>
        <v>0.17600840588283972</v>
      </c>
    </row>
    <row r="124" spans="1:23" ht="16.5">
      <c r="A124" s="450">
        <f t="shared" si="16"/>
        <v>117</v>
      </c>
      <c r="B124" s="318" t="s">
        <v>2182</v>
      </c>
      <c r="C124" s="318" t="s">
        <v>1705</v>
      </c>
      <c r="D124" s="318"/>
      <c r="E124" s="318" t="s">
        <v>414</v>
      </c>
      <c r="F124" s="318"/>
      <c r="G124" s="318"/>
      <c r="H124" s="436">
        <v>160</v>
      </c>
      <c r="I124" s="317"/>
      <c r="J124" s="317"/>
      <c r="K124" s="436">
        <f t="shared" si="9"/>
        <v>160</v>
      </c>
      <c r="L124" s="459">
        <v>40990</v>
      </c>
      <c r="M124" s="456">
        <v>159.99340786027543</v>
      </c>
      <c r="N124" s="438">
        <f t="shared" si="10"/>
        <v>6.5921397245745084E-3</v>
      </c>
      <c r="O124" s="438">
        <f t="shared" si="11"/>
        <v>4392</v>
      </c>
      <c r="P124" s="452">
        <v>10</v>
      </c>
      <c r="Q124" s="453">
        <f t="shared" si="12"/>
        <v>12.032876712328767</v>
      </c>
      <c r="R124" s="454">
        <f t="shared" si="13"/>
        <v>-2.0328767123287665</v>
      </c>
      <c r="S124" s="455">
        <f t="shared" si="17"/>
        <v>9.5000000000000001E-2</v>
      </c>
      <c r="T124" s="442"/>
      <c r="U124" s="436">
        <f t="shared" si="14"/>
        <v>6.5921397245745084E-3</v>
      </c>
      <c r="V124" s="442"/>
      <c r="W124" s="456">
        <f t="shared" si="15"/>
        <v>6.5921397245745084E-3</v>
      </c>
    </row>
    <row r="125" spans="1:23" ht="16.5">
      <c r="A125" s="450">
        <f t="shared" si="16"/>
        <v>118</v>
      </c>
      <c r="B125" s="318" t="s">
        <v>2182</v>
      </c>
      <c r="C125" s="318" t="s">
        <v>1705</v>
      </c>
      <c r="D125" s="318"/>
      <c r="E125" s="318" t="s">
        <v>414</v>
      </c>
      <c r="F125" s="318"/>
      <c r="G125" s="318"/>
      <c r="H125" s="436">
        <v>16000</v>
      </c>
      <c r="I125" s="317"/>
      <c r="J125" s="317"/>
      <c r="K125" s="436">
        <f t="shared" si="9"/>
        <v>16000</v>
      </c>
      <c r="L125" s="459">
        <v>40990</v>
      </c>
      <c r="M125" s="456">
        <v>16000.340786027544</v>
      </c>
      <c r="N125" s="438">
        <f t="shared" si="10"/>
        <v>-0.34078602754379972</v>
      </c>
      <c r="O125" s="438">
        <f t="shared" si="11"/>
        <v>4392</v>
      </c>
      <c r="P125" s="452">
        <v>10</v>
      </c>
      <c r="Q125" s="453">
        <f t="shared" si="12"/>
        <v>12.032876712328767</v>
      </c>
      <c r="R125" s="454">
        <f t="shared" si="13"/>
        <v>-2.0328767123287665</v>
      </c>
      <c r="S125" s="455">
        <f t="shared" si="17"/>
        <v>9.5000000000000001E-2</v>
      </c>
      <c r="T125" s="442"/>
      <c r="U125" s="436">
        <f t="shared" si="14"/>
        <v>-0.34078602754379972</v>
      </c>
      <c r="V125" s="442"/>
      <c r="W125" s="456">
        <f t="shared" si="15"/>
        <v>-0.34078602754379972</v>
      </c>
    </row>
    <row r="126" spans="1:23" ht="16.5">
      <c r="A126" s="450">
        <f t="shared" si="16"/>
        <v>119</v>
      </c>
      <c r="B126" s="318" t="s">
        <v>2182</v>
      </c>
      <c r="C126" s="318" t="s">
        <v>1705</v>
      </c>
      <c r="D126" s="318"/>
      <c r="E126" s="318" t="s">
        <v>414</v>
      </c>
      <c r="F126" s="318"/>
      <c r="G126" s="318"/>
      <c r="H126" s="436">
        <v>50</v>
      </c>
      <c r="I126" s="317"/>
      <c r="J126" s="317"/>
      <c r="K126" s="436">
        <f t="shared" si="9"/>
        <v>50</v>
      </c>
      <c r="L126" s="459">
        <v>40990</v>
      </c>
      <c r="M126" s="456">
        <v>49.622939956336069</v>
      </c>
      <c r="N126" s="438">
        <f t="shared" si="10"/>
        <v>0.37706004366393131</v>
      </c>
      <c r="O126" s="438">
        <f t="shared" si="11"/>
        <v>4392</v>
      </c>
      <c r="P126" s="452">
        <v>4</v>
      </c>
      <c r="Q126" s="453">
        <f t="shared" si="12"/>
        <v>12.032876712328767</v>
      </c>
      <c r="R126" s="454">
        <f t="shared" si="13"/>
        <v>-8.0328767123287665</v>
      </c>
      <c r="S126" s="455">
        <f t="shared" si="17"/>
        <v>0.23749999999999999</v>
      </c>
      <c r="T126" s="442"/>
      <c r="U126" s="436">
        <f t="shared" si="14"/>
        <v>0.37706004366393131</v>
      </c>
      <c r="V126" s="442"/>
      <c r="W126" s="456">
        <f t="shared" si="15"/>
        <v>0.37706004366393131</v>
      </c>
    </row>
    <row r="127" spans="1:23" ht="16.5">
      <c r="A127" s="450">
        <f t="shared" si="16"/>
        <v>120</v>
      </c>
      <c r="B127" s="318" t="s">
        <v>2182</v>
      </c>
      <c r="C127" s="318" t="s">
        <v>1705</v>
      </c>
      <c r="D127" s="318"/>
      <c r="E127" s="318" t="s">
        <v>2288</v>
      </c>
      <c r="F127" s="318"/>
      <c r="G127" s="318"/>
      <c r="H127" s="436">
        <v>31687</v>
      </c>
      <c r="I127" s="317"/>
      <c r="J127" s="317"/>
      <c r="K127" s="436">
        <f t="shared" si="9"/>
        <v>31687</v>
      </c>
      <c r="L127" s="459">
        <v>40990</v>
      </c>
      <c r="M127" s="456">
        <v>30103.081967928421</v>
      </c>
      <c r="N127" s="438">
        <f t="shared" si="10"/>
        <v>1583.9180320715786</v>
      </c>
      <c r="O127" s="438">
        <f t="shared" si="11"/>
        <v>4392</v>
      </c>
      <c r="P127" s="452">
        <v>4</v>
      </c>
      <c r="Q127" s="453">
        <f t="shared" si="12"/>
        <v>12.032876712328767</v>
      </c>
      <c r="R127" s="454">
        <f t="shared" si="13"/>
        <v>-8.0328767123287665</v>
      </c>
      <c r="S127" s="455">
        <f t="shared" si="17"/>
        <v>0.23749999999999999</v>
      </c>
      <c r="T127" s="442">
        <v>0</v>
      </c>
      <c r="U127" s="436">
        <f>+N127-T127</f>
        <v>1583.9180320715786</v>
      </c>
      <c r="V127" s="442">
        <f t="shared" ref="V127:V135" si="18">+H127*5%</f>
        <v>1584.3500000000001</v>
      </c>
      <c r="W127" s="456">
        <f t="shared" si="15"/>
        <v>-0.43196792842149989</v>
      </c>
    </row>
    <row r="128" spans="1:23" ht="16.5">
      <c r="A128" s="450">
        <f t="shared" si="16"/>
        <v>121</v>
      </c>
      <c r="B128" s="318" t="s">
        <v>2182</v>
      </c>
      <c r="C128" s="318" t="s">
        <v>1705</v>
      </c>
      <c r="D128" s="318"/>
      <c r="E128" s="318" t="s">
        <v>2289</v>
      </c>
      <c r="F128" s="318"/>
      <c r="G128" s="318"/>
      <c r="H128" s="436">
        <v>126294</v>
      </c>
      <c r="I128" s="317"/>
      <c r="J128" s="317"/>
      <c r="K128" s="436">
        <f t="shared" si="9"/>
        <v>126294</v>
      </c>
      <c r="L128" s="459">
        <v>40990</v>
      </c>
      <c r="M128" s="456">
        <v>119979.07157691012</v>
      </c>
      <c r="N128" s="438">
        <f t="shared" si="10"/>
        <v>6314.9284230898775</v>
      </c>
      <c r="O128" s="438">
        <f t="shared" si="11"/>
        <v>4392</v>
      </c>
      <c r="P128" s="452">
        <v>4</v>
      </c>
      <c r="Q128" s="453">
        <f t="shared" si="12"/>
        <v>12.032876712328767</v>
      </c>
      <c r="R128" s="454">
        <f t="shared" si="13"/>
        <v>-8.0328767123287665</v>
      </c>
      <c r="S128" s="455">
        <f t="shared" si="17"/>
        <v>0.23749999999999999</v>
      </c>
      <c r="T128" s="442">
        <v>0</v>
      </c>
      <c r="U128" s="436">
        <f t="shared" si="14"/>
        <v>6314.9284230898775</v>
      </c>
      <c r="V128" s="442">
        <f t="shared" si="18"/>
        <v>6314.7000000000007</v>
      </c>
      <c r="W128" s="456">
        <f t="shared" si="15"/>
        <v>0.22842308987674187</v>
      </c>
    </row>
    <row r="129" spans="1:23" ht="16.5">
      <c r="A129" s="450">
        <f t="shared" si="16"/>
        <v>122</v>
      </c>
      <c r="B129" s="318" t="s">
        <v>2182</v>
      </c>
      <c r="C129" s="318" t="s">
        <v>1705</v>
      </c>
      <c r="D129" s="318"/>
      <c r="E129" s="318" t="s">
        <v>2289</v>
      </c>
      <c r="F129" s="318"/>
      <c r="G129" s="318"/>
      <c r="H129" s="436">
        <v>126293</v>
      </c>
      <c r="I129" s="317"/>
      <c r="J129" s="317"/>
      <c r="K129" s="436">
        <f t="shared" si="9"/>
        <v>126293</v>
      </c>
      <c r="L129" s="459">
        <v>40990</v>
      </c>
      <c r="M129" s="456">
        <v>119978.15911811107</v>
      </c>
      <c r="N129" s="438">
        <f t="shared" si="10"/>
        <v>6314.8408818889293</v>
      </c>
      <c r="O129" s="438">
        <f t="shared" si="11"/>
        <v>4392</v>
      </c>
      <c r="P129" s="452">
        <v>4</v>
      </c>
      <c r="Q129" s="453">
        <f t="shared" si="12"/>
        <v>12.032876712328767</v>
      </c>
      <c r="R129" s="454">
        <f t="shared" si="13"/>
        <v>-8.0328767123287665</v>
      </c>
      <c r="S129" s="455">
        <f t="shared" si="17"/>
        <v>0.23749999999999999</v>
      </c>
      <c r="T129" s="442">
        <v>0</v>
      </c>
      <c r="U129" s="436">
        <f t="shared" si="14"/>
        <v>6314.8408818889293</v>
      </c>
      <c r="V129" s="442">
        <f t="shared" si="18"/>
        <v>6314.6500000000005</v>
      </c>
      <c r="W129" s="456">
        <f t="shared" si="15"/>
        <v>0.19088188892874314</v>
      </c>
    </row>
    <row r="130" spans="1:23" ht="16.5">
      <c r="A130" s="450">
        <f t="shared" si="16"/>
        <v>123</v>
      </c>
      <c r="B130" s="318" t="s">
        <v>2182</v>
      </c>
      <c r="C130" s="318" t="s">
        <v>1705</v>
      </c>
      <c r="D130" s="318"/>
      <c r="E130" s="318" t="s">
        <v>2290</v>
      </c>
      <c r="F130" s="318"/>
      <c r="G130" s="318"/>
      <c r="H130" s="436">
        <v>110000</v>
      </c>
      <c r="I130" s="317"/>
      <c r="J130" s="317"/>
      <c r="K130" s="436">
        <f t="shared" si="9"/>
        <v>110000</v>
      </c>
      <c r="L130" s="459">
        <v>40990</v>
      </c>
      <c r="M130" s="456">
        <v>104500.46790393937</v>
      </c>
      <c r="N130" s="438">
        <f t="shared" si="10"/>
        <v>5499.5320960606332</v>
      </c>
      <c r="O130" s="438">
        <f t="shared" si="11"/>
        <v>4392</v>
      </c>
      <c r="P130" s="452">
        <v>4</v>
      </c>
      <c r="Q130" s="453">
        <f t="shared" si="12"/>
        <v>12.032876712328767</v>
      </c>
      <c r="R130" s="454">
        <f t="shared" si="13"/>
        <v>-8.0328767123287665</v>
      </c>
      <c r="S130" s="455">
        <f t="shared" si="17"/>
        <v>0.23749999999999999</v>
      </c>
      <c r="T130" s="442">
        <v>0</v>
      </c>
      <c r="U130" s="436">
        <f t="shared" si="14"/>
        <v>5499.5320960606332</v>
      </c>
      <c r="V130" s="442">
        <f t="shared" si="18"/>
        <v>5500</v>
      </c>
      <c r="W130" s="456">
        <f t="shared" si="15"/>
        <v>-0.4679039393668063</v>
      </c>
    </row>
    <row r="131" spans="1:23" ht="16.5">
      <c r="A131" s="450">
        <f t="shared" si="16"/>
        <v>124</v>
      </c>
      <c r="B131" s="318" t="s">
        <v>2182</v>
      </c>
      <c r="C131" s="318" t="s">
        <v>1705</v>
      </c>
      <c r="D131" s="318"/>
      <c r="E131" s="318" t="s">
        <v>414</v>
      </c>
      <c r="F131" s="318"/>
      <c r="G131" s="318"/>
      <c r="H131" s="436">
        <v>640</v>
      </c>
      <c r="I131" s="317"/>
      <c r="J131" s="317"/>
      <c r="K131" s="436">
        <f t="shared" si="9"/>
        <v>640</v>
      </c>
      <c r="L131" s="459">
        <v>40990</v>
      </c>
      <c r="M131" s="456">
        <v>607.9736314411017</v>
      </c>
      <c r="N131" s="438">
        <f t="shared" si="10"/>
        <v>32.026368558898298</v>
      </c>
      <c r="O131" s="438">
        <f t="shared" si="11"/>
        <v>4392</v>
      </c>
      <c r="P131" s="452">
        <v>4</v>
      </c>
      <c r="Q131" s="453">
        <f t="shared" si="12"/>
        <v>12.032876712328767</v>
      </c>
      <c r="R131" s="454">
        <f t="shared" si="13"/>
        <v>-8.0328767123287665</v>
      </c>
      <c r="S131" s="455">
        <f t="shared" si="17"/>
        <v>0.23749999999999999</v>
      </c>
      <c r="T131" s="442"/>
      <c r="U131" s="436">
        <f t="shared" si="14"/>
        <v>32.026368558898298</v>
      </c>
      <c r="V131" s="442">
        <f t="shared" si="18"/>
        <v>32</v>
      </c>
      <c r="W131" s="456">
        <f t="shared" si="15"/>
        <v>2.6368558898298033E-2</v>
      </c>
    </row>
    <row r="132" spans="1:23" ht="16.5">
      <c r="A132" s="450">
        <f t="shared" si="16"/>
        <v>125</v>
      </c>
      <c r="B132" s="318" t="s">
        <v>2182</v>
      </c>
      <c r="C132" s="318" t="s">
        <v>1705</v>
      </c>
      <c r="D132" s="318"/>
      <c r="E132" s="318" t="s">
        <v>414</v>
      </c>
      <c r="F132" s="318"/>
      <c r="G132" s="318"/>
      <c r="H132" s="436">
        <v>1583</v>
      </c>
      <c r="I132" s="317"/>
      <c r="J132" s="317"/>
      <c r="K132" s="436">
        <f t="shared" si="9"/>
        <v>1583</v>
      </c>
      <c r="L132" s="459">
        <v>40990</v>
      </c>
      <c r="M132" s="456">
        <v>1503.4222790176</v>
      </c>
      <c r="N132" s="438">
        <f t="shared" si="10"/>
        <v>79.577720982400024</v>
      </c>
      <c r="O132" s="438">
        <f t="shared" si="11"/>
        <v>4392</v>
      </c>
      <c r="P132" s="452">
        <v>4</v>
      </c>
      <c r="Q132" s="453">
        <f t="shared" si="12"/>
        <v>12.032876712328767</v>
      </c>
      <c r="R132" s="454">
        <f t="shared" si="13"/>
        <v>-8.0328767123287665</v>
      </c>
      <c r="S132" s="455">
        <f t="shared" si="17"/>
        <v>0.23749999999999999</v>
      </c>
      <c r="T132" s="442"/>
      <c r="U132" s="436">
        <f t="shared" si="14"/>
        <v>79.577720982400024</v>
      </c>
      <c r="V132" s="442">
        <f t="shared" si="18"/>
        <v>79.150000000000006</v>
      </c>
      <c r="W132" s="456">
        <f t="shared" si="15"/>
        <v>0.4277209824000181</v>
      </c>
    </row>
    <row r="133" spans="1:23" ht="16.5">
      <c r="A133" s="450">
        <f t="shared" si="16"/>
        <v>126</v>
      </c>
      <c r="B133" s="318" t="s">
        <v>2182</v>
      </c>
      <c r="C133" s="318" t="s">
        <v>1705</v>
      </c>
      <c r="D133" s="318"/>
      <c r="E133" s="318" t="s">
        <v>2291</v>
      </c>
      <c r="F133" s="318"/>
      <c r="G133" s="318"/>
      <c r="H133" s="436">
        <v>167500</v>
      </c>
      <c r="I133" s="317"/>
      <c r="J133" s="317"/>
      <c r="K133" s="436">
        <f t="shared" si="9"/>
        <v>167500</v>
      </c>
      <c r="L133" s="459">
        <v>40990</v>
      </c>
      <c r="M133" s="456">
        <v>159124.84885372582</v>
      </c>
      <c r="N133" s="438">
        <f t="shared" si="10"/>
        <v>8375.1511462741764</v>
      </c>
      <c r="O133" s="438">
        <f t="shared" si="11"/>
        <v>4392</v>
      </c>
      <c r="P133" s="452">
        <v>4</v>
      </c>
      <c r="Q133" s="453">
        <f t="shared" si="12"/>
        <v>12.032876712328767</v>
      </c>
      <c r="R133" s="454">
        <f t="shared" si="13"/>
        <v>-8.0328767123287665</v>
      </c>
      <c r="S133" s="455">
        <f t="shared" si="17"/>
        <v>0.23749999999999999</v>
      </c>
      <c r="T133" s="442"/>
      <c r="U133" s="436">
        <f t="shared" si="14"/>
        <v>8375.1511462741764</v>
      </c>
      <c r="V133" s="442">
        <f t="shared" si="18"/>
        <v>8375</v>
      </c>
      <c r="W133" s="456">
        <f t="shared" si="15"/>
        <v>0.15114627417642623</v>
      </c>
    </row>
    <row r="134" spans="1:23" ht="16.5">
      <c r="A134" s="450">
        <f t="shared" si="16"/>
        <v>127</v>
      </c>
      <c r="B134" s="318" t="s">
        <v>2182</v>
      </c>
      <c r="C134" s="318" t="s">
        <v>1705</v>
      </c>
      <c r="D134" s="318"/>
      <c r="E134" s="318" t="s">
        <v>414</v>
      </c>
      <c r="F134" s="318"/>
      <c r="G134" s="318"/>
      <c r="H134" s="436">
        <v>2472</v>
      </c>
      <c r="I134" s="317"/>
      <c r="J134" s="317"/>
      <c r="K134" s="436">
        <f t="shared" si="9"/>
        <v>2472</v>
      </c>
      <c r="L134" s="459">
        <v>40990</v>
      </c>
      <c r="M134" s="456">
        <v>2348.5981514412551</v>
      </c>
      <c r="N134" s="438">
        <f t="shared" si="10"/>
        <v>123.40184855874486</v>
      </c>
      <c r="O134" s="438">
        <f t="shared" si="11"/>
        <v>4392</v>
      </c>
      <c r="P134" s="452">
        <v>4</v>
      </c>
      <c r="Q134" s="453">
        <f t="shared" si="12"/>
        <v>12.032876712328767</v>
      </c>
      <c r="R134" s="454">
        <f t="shared" si="13"/>
        <v>-8.0328767123287665</v>
      </c>
      <c r="S134" s="455">
        <f t="shared" si="17"/>
        <v>0.23749999999999999</v>
      </c>
      <c r="T134" s="442"/>
      <c r="U134" s="436">
        <f t="shared" si="14"/>
        <v>123.40184855874486</v>
      </c>
      <c r="V134" s="442">
        <f t="shared" si="18"/>
        <v>123.60000000000001</v>
      </c>
      <c r="W134" s="456">
        <f t="shared" si="15"/>
        <v>-0.19815144125514905</v>
      </c>
    </row>
    <row r="135" spans="1:23" ht="16.5">
      <c r="A135" s="450">
        <f t="shared" si="16"/>
        <v>128</v>
      </c>
      <c r="B135" s="318" t="s">
        <v>2182</v>
      </c>
      <c r="C135" s="318" t="s">
        <v>1705</v>
      </c>
      <c r="D135" s="318"/>
      <c r="E135" s="318" t="s">
        <v>414</v>
      </c>
      <c r="F135" s="318"/>
      <c r="G135" s="318"/>
      <c r="H135" s="436">
        <v>1350</v>
      </c>
      <c r="I135" s="317"/>
      <c r="J135" s="317"/>
      <c r="K135" s="436">
        <f t="shared" si="9"/>
        <v>1350</v>
      </c>
      <c r="L135" s="459">
        <v>40990</v>
      </c>
      <c r="M135" s="456">
        <v>1282.819378821074</v>
      </c>
      <c r="N135" s="438">
        <f t="shared" si="10"/>
        <v>67.180621178926003</v>
      </c>
      <c r="O135" s="438">
        <f t="shared" si="11"/>
        <v>4392</v>
      </c>
      <c r="P135" s="452">
        <v>4</v>
      </c>
      <c r="Q135" s="453">
        <f t="shared" si="12"/>
        <v>12.032876712328767</v>
      </c>
      <c r="R135" s="454">
        <f t="shared" si="13"/>
        <v>-8.0328767123287665</v>
      </c>
      <c r="S135" s="455">
        <f t="shared" si="17"/>
        <v>0.23749999999999999</v>
      </c>
      <c r="T135" s="442"/>
      <c r="U135" s="436">
        <f t="shared" si="14"/>
        <v>67.180621178926003</v>
      </c>
      <c r="V135" s="442">
        <f t="shared" si="18"/>
        <v>67.5</v>
      </c>
      <c r="W135" s="456">
        <f t="shared" si="15"/>
        <v>-0.31937882107399673</v>
      </c>
    </row>
    <row r="136" spans="1:23" ht="16.5">
      <c r="A136" s="450">
        <f t="shared" si="16"/>
        <v>129</v>
      </c>
      <c r="B136" s="318" t="s">
        <v>2182</v>
      </c>
      <c r="C136" s="318" t="s">
        <v>1705</v>
      </c>
      <c r="D136" s="318"/>
      <c r="E136" s="318" t="s">
        <v>2292</v>
      </c>
      <c r="F136" s="318"/>
      <c r="G136" s="318"/>
      <c r="H136" s="436">
        <v>19415</v>
      </c>
      <c r="I136" s="317"/>
      <c r="J136" s="317"/>
      <c r="K136" s="436">
        <f t="shared" si="9"/>
        <v>19415</v>
      </c>
      <c r="L136" s="459">
        <v>40990</v>
      </c>
      <c r="M136" s="456">
        <v>19415.387585045293</v>
      </c>
      <c r="N136" s="438">
        <f t="shared" si="10"/>
        <v>-0.38758504529323545</v>
      </c>
      <c r="O136" s="438">
        <f t="shared" si="11"/>
        <v>4392</v>
      </c>
      <c r="P136" s="452">
        <v>4</v>
      </c>
      <c r="Q136" s="453">
        <f t="shared" si="12"/>
        <v>12.032876712328767</v>
      </c>
      <c r="R136" s="454">
        <f t="shared" si="13"/>
        <v>-8.0328767123287665</v>
      </c>
      <c r="S136" s="455">
        <f t="shared" si="17"/>
        <v>0.23749999999999999</v>
      </c>
      <c r="T136" s="442"/>
      <c r="U136" s="436">
        <f t="shared" si="14"/>
        <v>-0.38758504529323545</v>
      </c>
      <c r="V136" s="442">
        <v>0</v>
      </c>
      <c r="W136" s="456">
        <f t="shared" si="15"/>
        <v>-0.38758504529323545</v>
      </c>
    </row>
    <row r="137" spans="1:23" ht="16.5">
      <c r="A137" s="450">
        <f t="shared" si="16"/>
        <v>130</v>
      </c>
      <c r="B137" s="318" t="s">
        <v>2182</v>
      </c>
      <c r="C137" s="318" t="s">
        <v>1746</v>
      </c>
      <c r="D137" s="318"/>
      <c r="E137" s="318" t="s">
        <v>2240</v>
      </c>
      <c r="F137" s="318" t="s">
        <v>2293</v>
      </c>
      <c r="G137" s="318" t="s">
        <v>2294</v>
      </c>
      <c r="H137" s="436">
        <v>140218</v>
      </c>
      <c r="I137" s="317"/>
      <c r="J137" s="317"/>
      <c r="K137" s="436">
        <f t="shared" ref="K137:K200" si="19">+H137+I137-J137</f>
        <v>140218</v>
      </c>
      <c r="L137" s="459">
        <v>41015</v>
      </c>
      <c r="M137" s="456">
        <v>133206.82753914208</v>
      </c>
      <c r="N137" s="438">
        <f t="shared" ref="N137:N200" si="20">+K137-M137</f>
        <v>7011.1724608579243</v>
      </c>
      <c r="O137" s="438">
        <f t="shared" ref="O137:O200" si="21">+$O$3-L137</f>
        <v>4367</v>
      </c>
      <c r="P137" s="452">
        <v>4</v>
      </c>
      <c r="Q137" s="453">
        <f t="shared" ref="Q137:Q200" si="22">+O137/365</f>
        <v>11.964383561643835</v>
      </c>
      <c r="R137" s="454">
        <f t="shared" ref="R137:R200" si="23">+P137-Q137</f>
        <v>-7.9643835616438352</v>
      </c>
      <c r="S137" s="455">
        <f t="shared" si="17"/>
        <v>0.23749999999999999</v>
      </c>
      <c r="T137" s="442"/>
      <c r="U137" s="436">
        <f t="shared" ref="U137:U200" si="24">+N137-T137</f>
        <v>7011.1724608579243</v>
      </c>
      <c r="V137" s="442">
        <f t="shared" ref="V137:V200" si="25">+H137*5%</f>
        <v>7010.9000000000005</v>
      </c>
      <c r="W137" s="456">
        <f t="shared" ref="W137:W200" si="26">+U137-V137</f>
        <v>0.27246085792376107</v>
      </c>
    </row>
    <row r="138" spans="1:23" ht="16.5">
      <c r="A138" s="450">
        <f t="shared" ref="A138:A201" si="27">+A137+1</f>
        <v>131</v>
      </c>
      <c r="B138" s="318" t="s">
        <v>2182</v>
      </c>
      <c r="C138" s="318" t="s">
        <v>1746</v>
      </c>
      <c r="D138" s="318"/>
      <c r="E138" s="318" t="s">
        <v>2289</v>
      </c>
      <c r="F138" s="318" t="s">
        <v>2295</v>
      </c>
      <c r="G138" s="318" t="s">
        <v>2296</v>
      </c>
      <c r="H138" s="436">
        <v>347507</v>
      </c>
      <c r="I138" s="317"/>
      <c r="J138" s="317"/>
      <c r="K138" s="436">
        <f t="shared" si="19"/>
        <v>347507</v>
      </c>
      <c r="L138" s="459">
        <v>41100</v>
      </c>
      <c r="M138" s="456">
        <v>330131.5284675748</v>
      </c>
      <c r="N138" s="438">
        <f t="shared" si="20"/>
        <v>17375.471532425203</v>
      </c>
      <c r="O138" s="438">
        <f t="shared" si="21"/>
        <v>4282</v>
      </c>
      <c r="P138" s="452">
        <v>4</v>
      </c>
      <c r="Q138" s="453">
        <f t="shared" si="22"/>
        <v>11.731506849315069</v>
      </c>
      <c r="R138" s="454">
        <f t="shared" si="23"/>
        <v>-7.7315068493150694</v>
      </c>
      <c r="S138" s="455">
        <f t="shared" ref="S138:S201" si="28">1/P138*0.95</f>
        <v>0.23749999999999999</v>
      </c>
      <c r="T138" s="442"/>
      <c r="U138" s="436">
        <f t="shared" si="24"/>
        <v>17375.471532425203</v>
      </c>
      <c r="V138" s="442">
        <f t="shared" si="25"/>
        <v>17375.350000000002</v>
      </c>
      <c r="W138" s="456">
        <f t="shared" si="26"/>
        <v>0.12153242520071217</v>
      </c>
    </row>
    <row r="139" spans="1:23" ht="16.5">
      <c r="A139" s="450">
        <f t="shared" si="27"/>
        <v>132</v>
      </c>
      <c r="B139" s="318" t="s">
        <v>2182</v>
      </c>
      <c r="C139" s="318" t="s">
        <v>1746</v>
      </c>
      <c r="D139" s="318"/>
      <c r="E139" s="318" t="s">
        <v>2288</v>
      </c>
      <c r="F139" s="318" t="s">
        <v>2297</v>
      </c>
      <c r="G139" s="318"/>
      <c r="H139" s="436">
        <v>276963</v>
      </c>
      <c r="I139" s="317"/>
      <c r="J139" s="317"/>
      <c r="K139" s="436">
        <f t="shared" si="19"/>
        <v>276963</v>
      </c>
      <c r="L139" s="459">
        <v>41160</v>
      </c>
      <c r="M139" s="456">
        <v>263114.38260523335</v>
      </c>
      <c r="N139" s="438">
        <f t="shared" si="20"/>
        <v>13848.617394766654</v>
      </c>
      <c r="O139" s="438">
        <f t="shared" si="21"/>
        <v>4222</v>
      </c>
      <c r="P139" s="452">
        <v>4</v>
      </c>
      <c r="Q139" s="453">
        <f t="shared" si="22"/>
        <v>11.567123287671233</v>
      </c>
      <c r="R139" s="454">
        <f t="shared" si="23"/>
        <v>-7.5671232876712331</v>
      </c>
      <c r="S139" s="455">
        <f t="shared" si="28"/>
        <v>0.23749999999999999</v>
      </c>
      <c r="T139" s="442"/>
      <c r="U139" s="436">
        <f t="shared" si="24"/>
        <v>13848.617394766654</v>
      </c>
      <c r="V139" s="442">
        <f t="shared" si="25"/>
        <v>13848.150000000001</v>
      </c>
      <c r="W139" s="456">
        <f t="shared" si="26"/>
        <v>0.46739476665243274</v>
      </c>
    </row>
    <row r="140" spans="1:23" ht="16.5">
      <c r="A140" s="450">
        <f t="shared" si="27"/>
        <v>133</v>
      </c>
      <c r="B140" s="318" t="s">
        <v>2182</v>
      </c>
      <c r="C140" s="318" t="s">
        <v>1746</v>
      </c>
      <c r="D140" s="318"/>
      <c r="E140" s="318" t="s">
        <v>2298</v>
      </c>
      <c r="F140" s="318"/>
      <c r="G140" s="318"/>
      <c r="H140" s="436">
        <v>344668</v>
      </c>
      <c r="I140" s="317"/>
      <c r="J140" s="317"/>
      <c r="K140" s="436">
        <f t="shared" si="19"/>
        <v>344668</v>
      </c>
      <c r="L140" s="459">
        <v>41332</v>
      </c>
      <c r="M140" s="456">
        <v>327434.34991242789</v>
      </c>
      <c r="N140" s="438">
        <f t="shared" si="20"/>
        <v>17233.65008757211</v>
      </c>
      <c r="O140" s="438">
        <f t="shared" si="21"/>
        <v>4050</v>
      </c>
      <c r="P140" s="452">
        <v>4</v>
      </c>
      <c r="Q140" s="453">
        <f t="shared" si="22"/>
        <v>11.095890410958905</v>
      </c>
      <c r="R140" s="454">
        <f t="shared" si="23"/>
        <v>-7.0958904109589049</v>
      </c>
      <c r="S140" s="455">
        <f t="shared" si="28"/>
        <v>0.23749999999999999</v>
      </c>
      <c r="T140" s="442"/>
      <c r="U140" s="436">
        <f t="shared" si="24"/>
        <v>17233.65008757211</v>
      </c>
      <c r="V140" s="442">
        <f t="shared" si="25"/>
        <v>17233.400000000001</v>
      </c>
      <c r="W140" s="456">
        <f t="shared" si="26"/>
        <v>0.25008757210889598</v>
      </c>
    </row>
    <row r="141" spans="1:23" ht="16.5">
      <c r="A141" s="450">
        <f t="shared" si="27"/>
        <v>134</v>
      </c>
      <c r="B141" s="318" t="s">
        <v>2182</v>
      </c>
      <c r="C141" s="318" t="s">
        <v>1746</v>
      </c>
      <c r="D141" s="318"/>
      <c r="E141" s="318" t="s">
        <v>2298</v>
      </c>
      <c r="F141" s="318" t="s">
        <v>2299</v>
      </c>
      <c r="G141" s="318"/>
      <c r="H141" s="436">
        <v>37625</v>
      </c>
      <c r="I141" s="317"/>
      <c r="J141" s="317"/>
      <c r="K141" s="436">
        <f t="shared" si="19"/>
        <v>37625</v>
      </c>
      <c r="L141" s="459">
        <v>41332</v>
      </c>
      <c r="M141" s="456">
        <v>35743.949332270764</v>
      </c>
      <c r="N141" s="438">
        <f t="shared" si="20"/>
        <v>1881.050667729236</v>
      </c>
      <c r="O141" s="438">
        <f t="shared" si="21"/>
        <v>4050</v>
      </c>
      <c r="P141" s="452">
        <v>4</v>
      </c>
      <c r="Q141" s="453">
        <f t="shared" si="22"/>
        <v>11.095890410958905</v>
      </c>
      <c r="R141" s="454">
        <f t="shared" si="23"/>
        <v>-7.0958904109589049</v>
      </c>
      <c r="S141" s="455">
        <f t="shared" si="28"/>
        <v>0.23749999999999999</v>
      </c>
      <c r="T141" s="442"/>
      <c r="U141" s="436">
        <f t="shared" si="24"/>
        <v>1881.050667729236</v>
      </c>
      <c r="V141" s="442">
        <f t="shared" si="25"/>
        <v>1881.25</v>
      </c>
      <c r="W141" s="456">
        <f t="shared" si="26"/>
        <v>-0.19933227076398907</v>
      </c>
    </row>
    <row r="142" spans="1:23" ht="16.5">
      <c r="A142" s="450">
        <f t="shared" si="27"/>
        <v>135</v>
      </c>
      <c r="B142" s="318" t="s">
        <v>2182</v>
      </c>
      <c r="C142" s="318" t="s">
        <v>1746</v>
      </c>
      <c r="D142" s="318"/>
      <c r="E142" s="318" t="s">
        <v>2298</v>
      </c>
      <c r="F142" s="318" t="s">
        <v>2300</v>
      </c>
      <c r="G142" s="318" t="s">
        <v>2301</v>
      </c>
      <c r="H142" s="436">
        <v>28855</v>
      </c>
      <c r="I142" s="317"/>
      <c r="J142" s="317"/>
      <c r="K142" s="436">
        <f t="shared" si="19"/>
        <v>28855</v>
      </c>
      <c r="L142" s="459">
        <v>41332</v>
      </c>
      <c r="M142" s="456">
        <v>27411.800079273697</v>
      </c>
      <c r="N142" s="438">
        <f t="shared" si="20"/>
        <v>1443.1999207263034</v>
      </c>
      <c r="O142" s="438">
        <f t="shared" si="21"/>
        <v>4050</v>
      </c>
      <c r="P142" s="452">
        <v>4</v>
      </c>
      <c r="Q142" s="453">
        <f t="shared" si="22"/>
        <v>11.095890410958905</v>
      </c>
      <c r="R142" s="454">
        <f t="shared" si="23"/>
        <v>-7.0958904109589049</v>
      </c>
      <c r="S142" s="455">
        <f t="shared" si="28"/>
        <v>0.23749999999999999</v>
      </c>
      <c r="T142" s="442"/>
      <c r="U142" s="436">
        <f t="shared" si="24"/>
        <v>1443.1999207263034</v>
      </c>
      <c r="V142" s="442">
        <f t="shared" si="25"/>
        <v>1442.75</v>
      </c>
      <c r="W142" s="456">
        <f t="shared" si="26"/>
        <v>0.44992072630338953</v>
      </c>
    </row>
    <row r="143" spans="1:23" ht="16.5">
      <c r="A143" s="450">
        <f t="shared" si="27"/>
        <v>136</v>
      </c>
      <c r="B143" s="318" t="s">
        <v>2182</v>
      </c>
      <c r="C143" s="318" t="s">
        <v>1796</v>
      </c>
      <c r="D143" s="318" t="s">
        <v>2071</v>
      </c>
      <c r="E143" s="318" t="s">
        <v>2302</v>
      </c>
      <c r="F143" s="318" t="s">
        <v>2303</v>
      </c>
      <c r="G143" s="318"/>
      <c r="H143" s="436">
        <v>20400</v>
      </c>
      <c r="I143" s="317"/>
      <c r="J143" s="317"/>
      <c r="K143" s="436">
        <f t="shared" si="19"/>
        <v>20400</v>
      </c>
      <c r="L143" s="459">
        <v>41366</v>
      </c>
      <c r="M143" s="456">
        <v>19379.637978593084</v>
      </c>
      <c r="N143" s="438">
        <f t="shared" si="20"/>
        <v>1020.362021406916</v>
      </c>
      <c r="O143" s="438">
        <f t="shared" si="21"/>
        <v>4016</v>
      </c>
      <c r="P143" s="452">
        <v>4</v>
      </c>
      <c r="Q143" s="453">
        <f t="shared" si="22"/>
        <v>11.002739726027396</v>
      </c>
      <c r="R143" s="454">
        <f t="shared" si="23"/>
        <v>-7.0027397260273965</v>
      </c>
      <c r="S143" s="455">
        <f t="shared" si="28"/>
        <v>0.23749999999999999</v>
      </c>
      <c r="T143" s="442"/>
      <c r="U143" s="436">
        <f t="shared" si="24"/>
        <v>1020.362021406916</v>
      </c>
      <c r="V143" s="442">
        <f t="shared" si="25"/>
        <v>1020</v>
      </c>
      <c r="W143" s="456">
        <f t="shared" si="26"/>
        <v>0.36202140691602835</v>
      </c>
    </row>
    <row r="144" spans="1:23" ht="16.5">
      <c r="A144" s="450">
        <f t="shared" si="27"/>
        <v>137</v>
      </c>
      <c r="B144" s="318" t="s">
        <v>2182</v>
      </c>
      <c r="C144" s="318" t="s">
        <v>1796</v>
      </c>
      <c r="D144" s="318" t="s">
        <v>2071</v>
      </c>
      <c r="E144" s="318" t="s">
        <v>2304</v>
      </c>
      <c r="F144" s="318" t="s">
        <v>2305</v>
      </c>
      <c r="G144" s="318"/>
      <c r="H144" s="436">
        <v>20812</v>
      </c>
      <c r="I144" s="317"/>
      <c r="J144" s="317"/>
      <c r="K144" s="436">
        <f t="shared" si="19"/>
        <v>20812</v>
      </c>
      <c r="L144" s="459">
        <v>41366</v>
      </c>
      <c r="M144" s="456">
        <v>19771.085176984281</v>
      </c>
      <c r="N144" s="438">
        <f t="shared" si="20"/>
        <v>1040.9148230157189</v>
      </c>
      <c r="O144" s="438">
        <f t="shared" si="21"/>
        <v>4016</v>
      </c>
      <c r="P144" s="452">
        <v>4</v>
      </c>
      <c r="Q144" s="453">
        <f t="shared" si="22"/>
        <v>11.002739726027396</v>
      </c>
      <c r="R144" s="454">
        <f t="shared" si="23"/>
        <v>-7.0027397260273965</v>
      </c>
      <c r="S144" s="455">
        <f t="shared" si="28"/>
        <v>0.23749999999999999</v>
      </c>
      <c r="T144" s="442"/>
      <c r="U144" s="436">
        <f t="shared" si="24"/>
        <v>1040.9148230157189</v>
      </c>
      <c r="V144" s="442">
        <f t="shared" si="25"/>
        <v>1040.6000000000001</v>
      </c>
      <c r="W144" s="456">
        <f t="shared" si="26"/>
        <v>0.31482301571872995</v>
      </c>
    </row>
    <row r="145" spans="1:23" ht="16.5">
      <c r="A145" s="450">
        <f t="shared" si="27"/>
        <v>138</v>
      </c>
      <c r="B145" s="318" t="s">
        <v>2182</v>
      </c>
      <c r="C145" s="318" t="s">
        <v>1796</v>
      </c>
      <c r="D145" s="318" t="s">
        <v>2071</v>
      </c>
      <c r="E145" s="318" t="s">
        <v>2306</v>
      </c>
      <c r="F145" s="318" t="s">
        <v>2307</v>
      </c>
      <c r="G145" s="318"/>
      <c r="H145" s="436">
        <v>29025</v>
      </c>
      <c r="I145" s="317"/>
      <c r="J145" s="317"/>
      <c r="K145" s="436">
        <f t="shared" si="19"/>
        <v>29025</v>
      </c>
      <c r="L145" s="451">
        <v>41374</v>
      </c>
      <c r="M145" s="456">
        <v>27573.810249850023</v>
      </c>
      <c r="N145" s="438">
        <f t="shared" si="20"/>
        <v>1451.189750149977</v>
      </c>
      <c r="O145" s="438">
        <f t="shared" si="21"/>
        <v>4008</v>
      </c>
      <c r="P145" s="452">
        <v>4</v>
      </c>
      <c r="Q145" s="453">
        <f t="shared" si="22"/>
        <v>10.980821917808219</v>
      </c>
      <c r="R145" s="454">
        <f t="shared" si="23"/>
        <v>-6.9808219178082194</v>
      </c>
      <c r="S145" s="455">
        <f t="shared" si="28"/>
        <v>0.23749999999999999</v>
      </c>
      <c r="T145" s="442"/>
      <c r="U145" s="436">
        <f t="shared" si="24"/>
        <v>1451.189750149977</v>
      </c>
      <c r="V145" s="442">
        <f t="shared" si="25"/>
        <v>1451.25</v>
      </c>
      <c r="W145" s="456">
        <f t="shared" si="26"/>
        <v>-6.0249850022955798E-2</v>
      </c>
    </row>
    <row r="146" spans="1:23" ht="16.5">
      <c r="A146" s="450">
        <f t="shared" si="27"/>
        <v>139</v>
      </c>
      <c r="B146" s="318" t="s">
        <v>2182</v>
      </c>
      <c r="C146" s="318" t="s">
        <v>1796</v>
      </c>
      <c r="D146" s="318" t="s">
        <v>2308</v>
      </c>
      <c r="E146" s="318" t="s">
        <v>2309</v>
      </c>
      <c r="F146" s="318" t="s">
        <v>2310</v>
      </c>
      <c r="G146" s="318"/>
      <c r="H146" s="436">
        <v>15500</v>
      </c>
      <c r="I146" s="317"/>
      <c r="J146" s="317"/>
      <c r="K146" s="436">
        <f t="shared" si="19"/>
        <v>15500</v>
      </c>
      <c r="L146" s="451">
        <v>41652</v>
      </c>
      <c r="M146" s="456">
        <v>14725.134898416934</v>
      </c>
      <c r="N146" s="438">
        <f t="shared" si="20"/>
        <v>774.86510158306555</v>
      </c>
      <c r="O146" s="438">
        <f t="shared" si="21"/>
        <v>3730</v>
      </c>
      <c r="P146" s="452">
        <v>4</v>
      </c>
      <c r="Q146" s="453">
        <f t="shared" si="22"/>
        <v>10.219178082191782</v>
      </c>
      <c r="R146" s="454">
        <f t="shared" si="23"/>
        <v>-6.2191780821917817</v>
      </c>
      <c r="S146" s="455">
        <f t="shared" si="28"/>
        <v>0.23749999999999999</v>
      </c>
      <c r="T146" s="442"/>
      <c r="U146" s="436">
        <f t="shared" si="24"/>
        <v>774.86510158306555</v>
      </c>
      <c r="V146" s="442">
        <f t="shared" si="25"/>
        <v>775</v>
      </c>
      <c r="W146" s="456">
        <f t="shared" si="26"/>
        <v>-0.1348984169344476</v>
      </c>
    </row>
    <row r="147" spans="1:23" ht="16.5">
      <c r="A147" s="450">
        <f t="shared" si="27"/>
        <v>140</v>
      </c>
      <c r="B147" s="318" t="s">
        <v>2182</v>
      </c>
      <c r="C147" s="318" t="s">
        <v>1796</v>
      </c>
      <c r="D147" s="318" t="s">
        <v>2308</v>
      </c>
      <c r="E147" s="318" t="s">
        <v>2262</v>
      </c>
      <c r="F147" s="318" t="s">
        <v>2311</v>
      </c>
      <c r="G147" s="318"/>
      <c r="H147" s="436">
        <v>11500</v>
      </c>
      <c r="I147" s="317"/>
      <c r="J147" s="317"/>
      <c r="K147" s="436">
        <f t="shared" si="19"/>
        <v>11500</v>
      </c>
      <c r="L147" s="451">
        <v>41657</v>
      </c>
      <c r="M147" s="456">
        <v>10925.373377764401</v>
      </c>
      <c r="N147" s="438">
        <f t="shared" si="20"/>
        <v>574.62662223559892</v>
      </c>
      <c r="O147" s="438">
        <f t="shared" si="21"/>
        <v>3725</v>
      </c>
      <c r="P147" s="452">
        <v>4</v>
      </c>
      <c r="Q147" s="453">
        <f t="shared" si="22"/>
        <v>10.205479452054794</v>
      </c>
      <c r="R147" s="454">
        <f t="shared" si="23"/>
        <v>-6.205479452054794</v>
      </c>
      <c r="S147" s="455">
        <f t="shared" si="28"/>
        <v>0.23749999999999999</v>
      </c>
      <c r="T147" s="442"/>
      <c r="U147" s="436">
        <f t="shared" si="24"/>
        <v>574.62662223559892</v>
      </c>
      <c r="V147" s="442">
        <f t="shared" si="25"/>
        <v>575</v>
      </c>
      <c r="W147" s="456">
        <f t="shared" si="26"/>
        <v>-0.37337776440108428</v>
      </c>
    </row>
    <row r="148" spans="1:23" ht="16.5">
      <c r="A148" s="450">
        <f t="shared" si="27"/>
        <v>141</v>
      </c>
      <c r="B148" s="318" t="s">
        <v>2182</v>
      </c>
      <c r="C148" s="318" t="s">
        <v>1796</v>
      </c>
      <c r="D148" s="318" t="s">
        <v>2308</v>
      </c>
      <c r="E148" s="318" t="s">
        <v>2312</v>
      </c>
      <c r="F148" s="318" t="s">
        <v>1603</v>
      </c>
      <c r="G148" s="318"/>
      <c r="H148" s="436">
        <v>11000</v>
      </c>
      <c r="I148" s="317"/>
      <c r="J148" s="317"/>
      <c r="K148" s="436">
        <f t="shared" si="19"/>
        <v>11000</v>
      </c>
      <c r="L148" s="451">
        <v>41652</v>
      </c>
      <c r="M148" s="456">
        <v>10450.127992424921</v>
      </c>
      <c r="N148" s="438">
        <f t="shared" si="20"/>
        <v>549.8720075750789</v>
      </c>
      <c r="O148" s="438">
        <f t="shared" si="21"/>
        <v>3730</v>
      </c>
      <c r="P148" s="452">
        <v>4</v>
      </c>
      <c r="Q148" s="453">
        <f t="shared" si="22"/>
        <v>10.219178082191782</v>
      </c>
      <c r="R148" s="454">
        <f t="shared" si="23"/>
        <v>-6.2191780821917817</v>
      </c>
      <c r="S148" s="455">
        <f t="shared" si="28"/>
        <v>0.23749999999999999</v>
      </c>
      <c r="T148" s="442"/>
      <c r="U148" s="436">
        <f t="shared" si="24"/>
        <v>549.8720075750789</v>
      </c>
      <c r="V148" s="442">
        <f t="shared" si="25"/>
        <v>550</v>
      </c>
      <c r="W148" s="456">
        <f t="shared" si="26"/>
        <v>-0.12799242492110352</v>
      </c>
    </row>
    <row r="149" spans="1:23" ht="16.5">
      <c r="A149" s="450">
        <f t="shared" si="27"/>
        <v>142</v>
      </c>
      <c r="B149" s="318" t="s">
        <v>2182</v>
      </c>
      <c r="C149" s="318" t="s">
        <v>1796</v>
      </c>
      <c r="D149" s="318" t="s">
        <v>2308</v>
      </c>
      <c r="E149" s="318" t="s">
        <v>2262</v>
      </c>
      <c r="F149" s="318"/>
      <c r="G149" s="318"/>
      <c r="H149" s="436">
        <v>15400</v>
      </c>
      <c r="I149" s="317"/>
      <c r="J149" s="317"/>
      <c r="K149" s="436">
        <f t="shared" si="19"/>
        <v>15400</v>
      </c>
      <c r="L149" s="451">
        <v>41692</v>
      </c>
      <c r="M149" s="456">
        <v>14630.186014187153</v>
      </c>
      <c r="N149" s="438">
        <f t="shared" si="20"/>
        <v>769.81398581284702</v>
      </c>
      <c r="O149" s="438">
        <f t="shared" si="21"/>
        <v>3690</v>
      </c>
      <c r="P149" s="452">
        <v>4</v>
      </c>
      <c r="Q149" s="453">
        <f t="shared" si="22"/>
        <v>10.109589041095891</v>
      </c>
      <c r="R149" s="454">
        <f t="shared" si="23"/>
        <v>-6.1095890410958908</v>
      </c>
      <c r="S149" s="455">
        <f t="shared" si="28"/>
        <v>0.23749999999999999</v>
      </c>
      <c r="T149" s="442"/>
      <c r="U149" s="436">
        <f t="shared" si="24"/>
        <v>769.81398581284702</v>
      </c>
      <c r="V149" s="442">
        <f t="shared" si="25"/>
        <v>770</v>
      </c>
      <c r="W149" s="456">
        <f t="shared" si="26"/>
        <v>-0.18601418715297768</v>
      </c>
    </row>
    <row r="150" spans="1:23" ht="16.5">
      <c r="A150" s="450">
        <f t="shared" si="27"/>
        <v>143</v>
      </c>
      <c r="B150" s="318" t="s">
        <v>2182</v>
      </c>
      <c r="C150" s="318" t="s">
        <v>1796</v>
      </c>
      <c r="D150" s="318" t="s">
        <v>2313</v>
      </c>
      <c r="E150" s="318" t="s">
        <v>2314</v>
      </c>
      <c r="F150" s="318"/>
      <c r="G150" s="318"/>
      <c r="H150" s="436">
        <v>12500</v>
      </c>
      <c r="I150" s="317"/>
      <c r="J150" s="317"/>
      <c r="K150" s="436">
        <f t="shared" si="19"/>
        <v>12500</v>
      </c>
      <c r="L150" s="451">
        <v>41661</v>
      </c>
      <c r="M150" s="456">
        <v>11874.902161884616</v>
      </c>
      <c r="N150" s="438">
        <f t="shared" si="20"/>
        <v>625.09783811538364</v>
      </c>
      <c r="O150" s="438">
        <f t="shared" si="21"/>
        <v>3721</v>
      </c>
      <c r="P150" s="452">
        <v>4</v>
      </c>
      <c r="Q150" s="453">
        <f t="shared" si="22"/>
        <v>10.194520547945206</v>
      </c>
      <c r="R150" s="454">
        <f t="shared" si="23"/>
        <v>-6.1945205479452063</v>
      </c>
      <c r="S150" s="455">
        <f t="shared" si="28"/>
        <v>0.23749999999999999</v>
      </c>
      <c r="T150" s="442"/>
      <c r="U150" s="436">
        <f t="shared" si="24"/>
        <v>625.09783811538364</v>
      </c>
      <c r="V150" s="442">
        <f t="shared" si="25"/>
        <v>625</v>
      </c>
      <c r="W150" s="456">
        <f t="shared" si="26"/>
        <v>9.7838115383638069E-2</v>
      </c>
    </row>
    <row r="151" spans="1:23" ht="16.5">
      <c r="A151" s="450">
        <f t="shared" si="27"/>
        <v>144</v>
      </c>
      <c r="B151" s="318" t="s">
        <v>2182</v>
      </c>
      <c r="C151" s="318" t="s">
        <v>1796</v>
      </c>
      <c r="D151" s="318" t="s">
        <v>2313</v>
      </c>
      <c r="E151" s="318" t="s">
        <v>2315</v>
      </c>
      <c r="F151" s="318" t="s">
        <v>2316</v>
      </c>
      <c r="G151" s="318"/>
      <c r="H151" s="436">
        <v>26000</v>
      </c>
      <c r="I151" s="317"/>
      <c r="J151" s="317"/>
      <c r="K151" s="436">
        <f t="shared" si="19"/>
        <v>26000</v>
      </c>
      <c r="L151" s="451">
        <v>41697</v>
      </c>
      <c r="M151" s="456">
        <v>24700.160926486387</v>
      </c>
      <c r="N151" s="438">
        <f t="shared" si="20"/>
        <v>1299.8390735136127</v>
      </c>
      <c r="O151" s="438">
        <f t="shared" si="21"/>
        <v>3685</v>
      </c>
      <c r="P151" s="452">
        <v>4</v>
      </c>
      <c r="Q151" s="453">
        <f t="shared" si="22"/>
        <v>10.095890410958905</v>
      </c>
      <c r="R151" s="454">
        <f t="shared" si="23"/>
        <v>-6.0958904109589049</v>
      </c>
      <c r="S151" s="455">
        <f t="shared" si="28"/>
        <v>0.23749999999999999</v>
      </c>
      <c r="T151" s="442"/>
      <c r="U151" s="436">
        <f t="shared" si="24"/>
        <v>1299.8390735136127</v>
      </c>
      <c r="V151" s="442">
        <f t="shared" si="25"/>
        <v>1300</v>
      </c>
      <c r="W151" s="456">
        <f t="shared" si="26"/>
        <v>-0.16092648638732499</v>
      </c>
    </row>
    <row r="152" spans="1:23" ht="16.5">
      <c r="A152" s="450">
        <f t="shared" si="27"/>
        <v>145</v>
      </c>
      <c r="B152" s="460" t="s">
        <v>2317</v>
      </c>
      <c r="C152" s="318"/>
      <c r="D152" s="318"/>
      <c r="E152" s="318"/>
      <c r="F152" s="318"/>
      <c r="G152" s="461">
        <v>41922</v>
      </c>
      <c r="H152" s="436">
        <v>38862</v>
      </c>
      <c r="I152" s="317"/>
      <c r="J152" s="317"/>
      <c r="K152" s="436">
        <f t="shared" si="19"/>
        <v>38862</v>
      </c>
      <c r="L152" s="437">
        <v>41922</v>
      </c>
      <c r="M152" s="456">
        <v>36821.872715230034</v>
      </c>
      <c r="N152" s="438">
        <f t="shared" si="20"/>
        <v>2040.1272847699656</v>
      </c>
      <c r="O152" s="438">
        <f t="shared" si="21"/>
        <v>3460</v>
      </c>
      <c r="P152" s="452">
        <v>4</v>
      </c>
      <c r="Q152" s="453">
        <f t="shared" si="22"/>
        <v>9.4794520547945211</v>
      </c>
      <c r="R152" s="454">
        <f t="shared" si="23"/>
        <v>-5.4794520547945211</v>
      </c>
      <c r="S152" s="455">
        <f t="shared" si="28"/>
        <v>0.23749999999999999</v>
      </c>
      <c r="T152" s="442"/>
      <c r="U152" s="436">
        <f t="shared" si="24"/>
        <v>2040.1272847699656</v>
      </c>
      <c r="V152" s="442">
        <f t="shared" si="25"/>
        <v>1943.1000000000001</v>
      </c>
      <c r="W152" s="456">
        <f t="shared" si="26"/>
        <v>97.02728476996549</v>
      </c>
    </row>
    <row r="153" spans="1:23" ht="16.5">
      <c r="A153" s="450">
        <f t="shared" si="27"/>
        <v>146</v>
      </c>
      <c r="B153" s="460" t="s">
        <v>2317</v>
      </c>
      <c r="C153" s="318"/>
      <c r="D153" s="318"/>
      <c r="E153" s="318"/>
      <c r="F153" s="318"/>
      <c r="G153" s="461">
        <v>41941</v>
      </c>
      <c r="H153" s="436">
        <v>10972</v>
      </c>
      <c r="I153" s="317"/>
      <c r="J153" s="317"/>
      <c r="K153" s="436">
        <f t="shared" si="19"/>
        <v>10972</v>
      </c>
      <c r="L153" s="437">
        <v>41941</v>
      </c>
      <c r="M153" s="456">
        <v>10341.748488805093</v>
      </c>
      <c r="N153" s="438">
        <f t="shared" si="20"/>
        <v>630.25151119490693</v>
      </c>
      <c r="O153" s="438">
        <f t="shared" si="21"/>
        <v>3441</v>
      </c>
      <c r="P153" s="452">
        <v>4</v>
      </c>
      <c r="Q153" s="453">
        <f t="shared" si="22"/>
        <v>9.4273972602739722</v>
      </c>
      <c r="R153" s="454">
        <f t="shared" si="23"/>
        <v>-5.4273972602739722</v>
      </c>
      <c r="S153" s="455">
        <f t="shared" si="28"/>
        <v>0.23749999999999999</v>
      </c>
      <c r="T153" s="442"/>
      <c r="U153" s="436">
        <f t="shared" si="24"/>
        <v>630.25151119490693</v>
      </c>
      <c r="V153" s="442">
        <f t="shared" si="25"/>
        <v>548.6</v>
      </c>
      <c r="W153" s="456">
        <f t="shared" si="26"/>
        <v>81.651511194906902</v>
      </c>
    </row>
    <row r="154" spans="1:23" ht="16.5">
      <c r="A154" s="450">
        <f t="shared" si="27"/>
        <v>147</v>
      </c>
      <c r="B154" s="460" t="s">
        <v>2318</v>
      </c>
      <c r="C154" s="318"/>
      <c r="D154" s="318"/>
      <c r="E154" s="318"/>
      <c r="F154" s="318"/>
      <c r="G154" s="461">
        <v>41941</v>
      </c>
      <c r="H154" s="436">
        <v>7200</v>
      </c>
      <c r="I154" s="317"/>
      <c r="J154" s="317"/>
      <c r="K154" s="436">
        <f t="shared" si="19"/>
        <v>7200</v>
      </c>
      <c r="L154" s="437">
        <v>41941</v>
      </c>
      <c r="M154" s="456">
        <v>6786.4189864561304</v>
      </c>
      <c r="N154" s="438">
        <f t="shared" si="20"/>
        <v>413.58101354386963</v>
      </c>
      <c r="O154" s="438">
        <f t="shared" si="21"/>
        <v>3441</v>
      </c>
      <c r="P154" s="452">
        <v>4</v>
      </c>
      <c r="Q154" s="453">
        <f t="shared" si="22"/>
        <v>9.4273972602739722</v>
      </c>
      <c r="R154" s="454">
        <f t="shared" si="23"/>
        <v>-5.4273972602739722</v>
      </c>
      <c r="S154" s="455">
        <f t="shared" si="28"/>
        <v>0.23749999999999999</v>
      </c>
      <c r="T154" s="442"/>
      <c r="U154" s="436">
        <f t="shared" si="24"/>
        <v>413.58101354386963</v>
      </c>
      <c r="V154" s="442">
        <f t="shared" si="25"/>
        <v>360</v>
      </c>
      <c r="W154" s="456">
        <f t="shared" si="26"/>
        <v>53.581013543869631</v>
      </c>
    </row>
    <row r="155" spans="1:23" ht="16.5">
      <c r="A155" s="450">
        <f t="shared" si="27"/>
        <v>148</v>
      </c>
      <c r="B155" s="460" t="s">
        <v>2318</v>
      </c>
      <c r="C155" s="318"/>
      <c r="D155" s="318"/>
      <c r="E155" s="318"/>
      <c r="F155" s="318"/>
      <c r="G155" s="461">
        <v>41941</v>
      </c>
      <c r="H155" s="436">
        <v>5486</v>
      </c>
      <c r="I155" s="317"/>
      <c r="J155" s="317"/>
      <c r="K155" s="436">
        <f t="shared" si="19"/>
        <v>5486</v>
      </c>
      <c r="L155" s="437">
        <v>41941</v>
      </c>
      <c r="M155" s="456">
        <v>5170.8742444025465</v>
      </c>
      <c r="N155" s="438">
        <f t="shared" si="20"/>
        <v>315.12575559745346</v>
      </c>
      <c r="O155" s="438">
        <f t="shared" si="21"/>
        <v>3441</v>
      </c>
      <c r="P155" s="452">
        <v>4</v>
      </c>
      <c r="Q155" s="453">
        <f t="shared" si="22"/>
        <v>9.4273972602739722</v>
      </c>
      <c r="R155" s="454">
        <f t="shared" si="23"/>
        <v>-5.4273972602739722</v>
      </c>
      <c r="S155" s="455">
        <f t="shared" si="28"/>
        <v>0.23749999999999999</v>
      </c>
      <c r="T155" s="442"/>
      <c r="U155" s="436">
        <f t="shared" si="24"/>
        <v>315.12575559745346</v>
      </c>
      <c r="V155" s="442">
        <f t="shared" si="25"/>
        <v>274.3</v>
      </c>
      <c r="W155" s="456">
        <f t="shared" si="26"/>
        <v>40.825755597453451</v>
      </c>
    </row>
    <row r="156" spans="1:23" ht="16.5">
      <c r="A156" s="450">
        <f t="shared" si="27"/>
        <v>149</v>
      </c>
      <c r="B156" s="460" t="s">
        <v>2317</v>
      </c>
      <c r="C156" s="318"/>
      <c r="D156" s="318"/>
      <c r="E156" s="318"/>
      <c r="F156" s="318"/>
      <c r="G156" s="461">
        <v>41965</v>
      </c>
      <c r="H156" s="436">
        <v>7315</v>
      </c>
      <c r="I156" s="317"/>
      <c r="J156" s="317"/>
      <c r="K156" s="436">
        <f t="shared" si="19"/>
        <v>7315</v>
      </c>
      <c r="L156" s="437">
        <v>41965</v>
      </c>
      <c r="M156" s="456">
        <v>6849.1205015694213</v>
      </c>
      <c r="N156" s="438">
        <f t="shared" si="20"/>
        <v>465.87949843057868</v>
      </c>
      <c r="O156" s="438">
        <f t="shared" si="21"/>
        <v>3417</v>
      </c>
      <c r="P156" s="452">
        <v>4</v>
      </c>
      <c r="Q156" s="453">
        <f t="shared" si="22"/>
        <v>9.3616438356164391</v>
      </c>
      <c r="R156" s="454">
        <f t="shared" si="23"/>
        <v>-5.3616438356164391</v>
      </c>
      <c r="S156" s="455">
        <f t="shared" si="28"/>
        <v>0.23749999999999999</v>
      </c>
      <c r="T156" s="442"/>
      <c r="U156" s="436">
        <f t="shared" si="24"/>
        <v>465.87949843057868</v>
      </c>
      <c r="V156" s="442">
        <f t="shared" si="25"/>
        <v>365.75</v>
      </c>
      <c r="W156" s="456">
        <f t="shared" si="26"/>
        <v>100.12949843057868</v>
      </c>
    </row>
    <row r="157" spans="1:23" ht="16.5">
      <c r="A157" s="450">
        <f t="shared" si="27"/>
        <v>150</v>
      </c>
      <c r="B157" s="460" t="s">
        <v>2319</v>
      </c>
      <c r="C157" s="318"/>
      <c r="D157" s="318"/>
      <c r="E157" s="318"/>
      <c r="F157" s="318"/>
      <c r="G157" s="461">
        <v>41965</v>
      </c>
      <c r="H157" s="436">
        <v>5258</v>
      </c>
      <c r="I157" s="317"/>
      <c r="J157" s="317"/>
      <c r="K157" s="436">
        <f t="shared" si="19"/>
        <v>5258</v>
      </c>
      <c r="L157" s="437">
        <v>41965</v>
      </c>
      <c r="M157" s="456">
        <v>4923.1272176694483</v>
      </c>
      <c r="N157" s="438">
        <f t="shared" si="20"/>
        <v>334.87278233055167</v>
      </c>
      <c r="O157" s="438">
        <f t="shared" si="21"/>
        <v>3417</v>
      </c>
      <c r="P157" s="452">
        <v>4</v>
      </c>
      <c r="Q157" s="453">
        <f t="shared" si="22"/>
        <v>9.3616438356164391</v>
      </c>
      <c r="R157" s="454">
        <f t="shared" si="23"/>
        <v>-5.3616438356164391</v>
      </c>
      <c r="S157" s="455">
        <f t="shared" si="28"/>
        <v>0.23749999999999999</v>
      </c>
      <c r="T157" s="442"/>
      <c r="U157" s="436">
        <f t="shared" si="24"/>
        <v>334.87278233055167</v>
      </c>
      <c r="V157" s="442">
        <f t="shared" si="25"/>
        <v>262.90000000000003</v>
      </c>
      <c r="W157" s="456">
        <f t="shared" si="26"/>
        <v>71.972782330551638</v>
      </c>
    </row>
    <row r="158" spans="1:23" ht="16.5">
      <c r="A158" s="450">
        <f t="shared" si="27"/>
        <v>151</v>
      </c>
      <c r="B158" s="460" t="s">
        <v>2320</v>
      </c>
      <c r="C158" s="318"/>
      <c r="D158" s="318"/>
      <c r="E158" s="318"/>
      <c r="F158" s="318"/>
      <c r="G158" s="461">
        <v>41974</v>
      </c>
      <c r="H158" s="436">
        <v>3657</v>
      </c>
      <c r="I158" s="317"/>
      <c r="J158" s="317"/>
      <c r="K158" s="436">
        <f t="shared" si="19"/>
        <v>3657</v>
      </c>
      <c r="L158" s="437">
        <v>41974</v>
      </c>
      <c r="M158" s="456">
        <v>3415.5258877204628</v>
      </c>
      <c r="N158" s="438">
        <f t="shared" si="20"/>
        <v>241.47411227953717</v>
      </c>
      <c r="O158" s="438">
        <f t="shared" si="21"/>
        <v>3408</v>
      </c>
      <c r="P158" s="452">
        <v>4</v>
      </c>
      <c r="Q158" s="453">
        <f t="shared" si="22"/>
        <v>9.3369863013698637</v>
      </c>
      <c r="R158" s="454">
        <f t="shared" si="23"/>
        <v>-5.3369863013698637</v>
      </c>
      <c r="S158" s="455">
        <f t="shared" si="28"/>
        <v>0.23749999999999999</v>
      </c>
      <c r="T158" s="442"/>
      <c r="U158" s="436">
        <f t="shared" si="24"/>
        <v>241.47411227953717</v>
      </c>
      <c r="V158" s="442">
        <f t="shared" si="25"/>
        <v>182.85000000000002</v>
      </c>
      <c r="W158" s="456">
        <f t="shared" si="26"/>
        <v>58.624112279537144</v>
      </c>
    </row>
    <row r="159" spans="1:23" ht="16.5">
      <c r="A159" s="450">
        <f t="shared" si="27"/>
        <v>152</v>
      </c>
      <c r="B159" s="460" t="s">
        <v>2320</v>
      </c>
      <c r="C159" s="318"/>
      <c r="D159" s="318"/>
      <c r="E159" s="318"/>
      <c r="F159" s="318"/>
      <c r="G159" s="461">
        <v>41974</v>
      </c>
      <c r="H159" s="436">
        <v>5314</v>
      </c>
      <c r="I159" s="317"/>
      <c r="J159" s="317"/>
      <c r="K159" s="436">
        <f t="shared" si="19"/>
        <v>5314</v>
      </c>
      <c r="L159" s="437">
        <v>41974</v>
      </c>
      <c r="M159" s="456">
        <v>4963.1130892388683</v>
      </c>
      <c r="N159" s="438">
        <f t="shared" si="20"/>
        <v>350.88691076113173</v>
      </c>
      <c r="O159" s="438">
        <f t="shared" si="21"/>
        <v>3408</v>
      </c>
      <c r="P159" s="452">
        <v>4</v>
      </c>
      <c r="Q159" s="453">
        <f t="shared" si="22"/>
        <v>9.3369863013698637</v>
      </c>
      <c r="R159" s="454">
        <f t="shared" si="23"/>
        <v>-5.3369863013698637</v>
      </c>
      <c r="S159" s="455">
        <f t="shared" si="28"/>
        <v>0.23749999999999999</v>
      </c>
      <c r="T159" s="442"/>
      <c r="U159" s="436">
        <f t="shared" si="24"/>
        <v>350.88691076113173</v>
      </c>
      <c r="V159" s="442">
        <f t="shared" si="25"/>
        <v>265.7</v>
      </c>
      <c r="W159" s="456">
        <f t="shared" si="26"/>
        <v>85.186910761131742</v>
      </c>
    </row>
    <row r="160" spans="1:23" ht="16.5">
      <c r="A160" s="450">
        <f t="shared" si="27"/>
        <v>153</v>
      </c>
      <c r="B160" s="460" t="s">
        <v>192</v>
      </c>
      <c r="C160" s="318"/>
      <c r="D160" s="318"/>
      <c r="E160" s="318"/>
      <c r="F160" s="318"/>
      <c r="G160" s="461">
        <v>41967</v>
      </c>
      <c r="H160" s="436">
        <v>19500</v>
      </c>
      <c r="I160" s="317"/>
      <c r="J160" s="317"/>
      <c r="K160" s="436">
        <f t="shared" si="19"/>
        <v>19500</v>
      </c>
      <c r="L160" s="437">
        <v>41967</v>
      </c>
      <c r="M160" s="456">
        <v>18247.92879979725</v>
      </c>
      <c r="N160" s="438">
        <f t="shared" si="20"/>
        <v>1252.0712002027503</v>
      </c>
      <c r="O160" s="438">
        <f t="shared" si="21"/>
        <v>3415</v>
      </c>
      <c r="P160" s="452">
        <v>4</v>
      </c>
      <c r="Q160" s="453">
        <f t="shared" si="22"/>
        <v>9.3561643835616444</v>
      </c>
      <c r="R160" s="454">
        <f t="shared" si="23"/>
        <v>-5.3561643835616444</v>
      </c>
      <c r="S160" s="455">
        <f t="shared" si="28"/>
        <v>0.23749999999999999</v>
      </c>
      <c r="T160" s="442"/>
      <c r="U160" s="436">
        <f t="shared" si="24"/>
        <v>1252.0712002027503</v>
      </c>
      <c r="V160" s="442">
        <f t="shared" si="25"/>
        <v>975</v>
      </c>
      <c r="W160" s="456">
        <f t="shared" si="26"/>
        <v>277.07120020275033</v>
      </c>
    </row>
    <row r="161" spans="1:23" ht="16.5">
      <c r="A161" s="450">
        <f t="shared" si="27"/>
        <v>154</v>
      </c>
      <c r="B161" s="460" t="s">
        <v>192</v>
      </c>
      <c r="C161" s="318"/>
      <c r="D161" s="318"/>
      <c r="E161" s="318"/>
      <c r="F161" s="318"/>
      <c r="G161" s="461">
        <v>41977</v>
      </c>
      <c r="H161" s="436">
        <v>6858</v>
      </c>
      <c r="I161" s="317"/>
      <c r="J161" s="317"/>
      <c r="K161" s="436">
        <f t="shared" si="19"/>
        <v>6858</v>
      </c>
      <c r="L161" s="437">
        <v>41977</v>
      </c>
      <c r="M161" s="456">
        <v>6399.8069967636429</v>
      </c>
      <c r="N161" s="438">
        <f t="shared" si="20"/>
        <v>458.19300323635707</v>
      </c>
      <c r="O161" s="438">
        <f t="shared" si="21"/>
        <v>3405</v>
      </c>
      <c r="P161" s="452">
        <v>4</v>
      </c>
      <c r="Q161" s="453">
        <f t="shared" si="22"/>
        <v>9.3287671232876708</v>
      </c>
      <c r="R161" s="454">
        <f t="shared" si="23"/>
        <v>-5.3287671232876708</v>
      </c>
      <c r="S161" s="455">
        <f t="shared" si="28"/>
        <v>0.23749999999999999</v>
      </c>
      <c r="T161" s="442"/>
      <c r="U161" s="436">
        <f t="shared" si="24"/>
        <v>458.19300323635707</v>
      </c>
      <c r="V161" s="442">
        <f t="shared" si="25"/>
        <v>342.90000000000003</v>
      </c>
      <c r="W161" s="456">
        <f t="shared" si="26"/>
        <v>115.29300323635704</v>
      </c>
    </row>
    <row r="162" spans="1:23" ht="16.5">
      <c r="A162" s="450">
        <f t="shared" si="27"/>
        <v>155</v>
      </c>
      <c r="B162" s="460" t="s">
        <v>192</v>
      </c>
      <c r="C162" s="318"/>
      <c r="D162" s="318"/>
      <c r="E162" s="318"/>
      <c r="F162" s="318"/>
      <c r="G162" s="461">
        <v>41981</v>
      </c>
      <c r="H162" s="436">
        <v>16900</v>
      </c>
      <c r="I162" s="317"/>
      <c r="J162" s="317"/>
      <c r="K162" s="436">
        <f t="shared" si="19"/>
        <v>16900</v>
      </c>
      <c r="L162" s="437">
        <v>41981</v>
      </c>
      <c r="M162" s="456">
        <v>15753.292168133514</v>
      </c>
      <c r="N162" s="438">
        <f t="shared" si="20"/>
        <v>1146.7078318664862</v>
      </c>
      <c r="O162" s="438">
        <f t="shared" si="21"/>
        <v>3401</v>
      </c>
      <c r="P162" s="452">
        <v>4</v>
      </c>
      <c r="Q162" s="453">
        <f t="shared" si="22"/>
        <v>9.3178082191780813</v>
      </c>
      <c r="R162" s="454">
        <f t="shared" si="23"/>
        <v>-5.3178082191780813</v>
      </c>
      <c r="S162" s="455">
        <f t="shared" si="28"/>
        <v>0.23749999999999999</v>
      </c>
      <c r="T162" s="442"/>
      <c r="U162" s="436">
        <f t="shared" si="24"/>
        <v>1146.7078318664862</v>
      </c>
      <c r="V162" s="442">
        <f t="shared" si="25"/>
        <v>845</v>
      </c>
      <c r="W162" s="456">
        <f t="shared" si="26"/>
        <v>301.70783186648623</v>
      </c>
    </row>
    <row r="163" spans="1:23" ht="16.5">
      <c r="A163" s="450">
        <f t="shared" si="27"/>
        <v>156</v>
      </c>
      <c r="B163" s="460" t="s">
        <v>2318</v>
      </c>
      <c r="C163" s="318"/>
      <c r="D163" s="318"/>
      <c r="E163" s="318"/>
      <c r="F163" s="318"/>
      <c r="G163" s="461">
        <v>41962</v>
      </c>
      <c r="H163" s="436">
        <v>5400</v>
      </c>
      <c r="I163" s="317"/>
      <c r="J163" s="317"/>
      <c r="K163" s="436">
        <f t="shared" si="19"/>
        <v>5400</v>
      </c>
      <c r="L163" s="437">
        <v>41962</v>
      </c>
      <c r="M163" s="456">
        <v>5060.2998316882658</v>
      </c>
      <c r="N163" s="438">
        <f t="shared" si="20"/>
        <v>339.70016831173416</v>
      </c>
      <c r="O163" s="438">
        <f t="shared" si="21"/>
        <v>3420</v>
      </c>
      <c r="P163" s="452">
        <v>4</v>
      </c>
      <c r="Q163" s="453">
        <f t="shared" si="22"/>
        <v>9.3698630136986303</v>
      </c>
      <c r="R163" s="454">
        <f t="shared" si="23"/>
        <v>-5.3698630136986303</v>
      </c>
      <c r="S163" s="455">
        <f t="shared" si="28"/>
        <v>0.23749999999999999</v>
      </c>
      <c r="T163" s="442"/>
      <c r="U163" s="436">
        <f t="shared" si="24"/>
        <v>339.70016831173416</v>
      </c>
      <c r="V163" s="442">
        <f t="shared" si="25"/>
        <v>270</v>
      </c>
      <c r="W163" s="456">
        <f t="shared" si="26"/>
        <v>69.70016831173416</v>
      </c>
    </row>
    <row r="164" spans="1:23" ht="16.5">
      <c r="A164" s="450">
        <f t="shared" si="27"/>
        <v>157</v>
      </c>
      <c r="B164" s="460" t="s">
        <v>192</v>
      </c>
      <c r="C164" s="318"/>
      <c r="D164" s="318"/>
      <c r="E164" s="318"/>
      <c r="F164" s="318"/>
      <c r="G164" s="461">
        <v>41958</v>
      </c>
      <c r="H164" s="436">
        <v>8100</v>
      </c>
      <c r="I164" s="317"/>
      <c r="J164" s="317"/>
      <c r="K164" s="436">
        <f t="shared" si="19"/>
        <v>8100</v>
      </c>
      <c r="L164" s="437">
        <v>41958</v>
      </c>
      <c r="M164" s="456">
        <v>7598.882436314143</v>
      </c>
      <c r="N164" s="438">
        <f t="shared" si="20"/>
        <v>501.11756368585702</v>
      </c>
      <c r="O164" s="438">
        <f t="shared" si="21"/>
        <v>3424</v>
      </c>
      <c r="P164" s="452">
        <v>4</v>
      </c>
      <c r="Q164" s="453">
        <f t="shared" si="22"/>
        <v>9.3808219178082197</v>
      </c>
      <c r="R164" s="454">
        <f t="shared" si="23"/>
        <v>-5.3808219178082197</v>
      </c>
      <c r="S164" s="455">
        <f t="shared" si="28"/>
        <v>0.23749999999999999</v>
      </c>
      <c r="T164" s="442"/>
      <c r="U164" s="436">
        <f t="shared" si="24"/>
        <v>501.11756368585702</v>
      </c>
      <c r="V164" s="442">
        <f t="shared" si="25"/>
        <v>405</v>
      </c>
      <c r="W164" s="456">
        <f t="shared" si="26"/>
        <v>96.117563685857021</v>
      </c>
    </row>
    <row r="165" spans="1:23" ht="16.5">
      <c r="A165" s="450">
        <f t="shared" si="27"/>
        <v>158</v>
      </c>
      <c r="B165" s="460" t="s">
        <v>2321</v>
      </c>
      <c r="C165" s="318"/>
      <c r="D165" s="318"/>
      <c r="E165" s="318"/>
      <c r="F165" s="318"/>
      <c r="G165" s="461">
        <v>42005</v>
      </c>
      <c r="H165" s="436">
        <v>13200</v>
      </c>
      <c r="I165" s="317"/>
      <c r="J165" s="317"/>
      <c r="K165" s="436">
        <f t="shared" si="19"/>
        <v>13200</v>
      </c>
      <c r="L165" s="437">
        <v>42005</v>
      </c>
      <c r="M165" s="456">
        <v>12221.893560950499</v>
      </c>
      <c r="N165" s="438">
        <f t="shared" si="20"/>
        <v>978.1064390495012</v>
      </c>
      <c r="O165" s="438">
        <f t="shared" si="21"/>
        <v>3377</v>
      </c>
      <c r="P165" s="452">
        <v>4</v>
      </c>
      <c r="Q165" s="453">
        <f t="shared" si="22"/>
        <v>9.2520547945205482</v>
      </c>
      <c r="R165" s="454">
        <f t="shared" si="23"/>
        <v>-5.2520547945205482</v>
      </c>
      <c r="S165" s="455">
        <f t="shared" si="28"/>
        <v>0.23749999999999999</v>
      </c>
      <c r="T165" s="442"/>
      <c r="U165" s="436">
        <f t="shared" si="24"/>
        <v>978.1064390495012</v>
      </c>
      <c r="V165" s="442">
        <f t="shared" si="25"/>
        <v>660</v>
      </c>
      <c r="W165" s="456">
        <f t="shared" si="26"/>
        <v>318.1064390495012</v>
      </c>
    </row>
    <row r="166" spans="1:23" ht="16.5">
      <c r="A166" s="450">
        <f t="shared" si="27"/>
        <v>159</v>
      </c>
      <c r="B166" s="460" t="s">
        <v>2320</v>
      </c>
      <c r="C166" s="318"/>
      <c r="D166" s="318"/>
      <c r="E166" s="318"/>
      <c r="F166" s="318"/>
      <c r="G166" s="461">
        <v>42066</v>
      </c>
      <c r="H166" s="436">
        <v>2700</v>
      </c>
      <c r="I166" s="317"/>
      <c r="J166" s="317"/>
      <c r="K166" s="436">
        <f t="shared" si="19"/>
        <v>2700</v>
      </c>
      <c r="L166" s="437">
        <v>42066</v>
      </c>
      <c r="M166" s="456">
        <v>2457.0665734902077</v>
      </c>
      <c r="N166" s="438">
        <f t="shared" si="20"/>
        <v>242.9334265097923</v>
      </c>
      <c r="O166" s="438">
        <f t="shared" si="21"/>
        <v>3316</v>
      </c>
      <c r="P166" s="452">
        <v>4</v>
      </c>
      <c r="Q166" s="453">
        <f t="shared" si="22"/>
        <v>9.0849315068493155</v>
      </c>
      <c r="R166" s="454">
        <f t="shared" si="23"/>
        <v>-5.0849315068493155</v>
      </c>
      <c r="S166" s="455">
        <f t="shared" si="28"/>
        <v>0.23749999999999999</v>
      </c>
      <c r="T166" s="442"/>
      <c r="U166" s="436">
        <f t="shared" si="24"/>
        <v>242.9334265097923</v>
      </c>
      <c r="V166" s="442">
        <f t="shared" si="25"/>
        <v>135</v>
      </c>
      <c r="W166" s="456">
        <f t="shared" si="26"/>
        <v>107.9334265097923</v>
      </c>
    </row>
    <row r="167" spans="1:23" ht="16.5">
      <c r="A167" s="450">
        <f t="shared" si="27"/>
        <v>160</v>
      </c>
      <c r="B167" s="460" t="s">
        <v>2322</v>
      </c>
      <c r="C167" s="318"/>
      <c r="D167" s="318"/>
      <c r="E167" s="318"/>
      <c r="F167" s="318"/>
      <c r="G167" s="461">
        <v>42094</v>
      </c>
      <c r="H167" s="436">
        <v>484800</v>
      </c>
      <c r="I167" s="317"/>
      <c r="J167" s="317"/>
      <c r="K167" s="436">
        <f t="shared" si="19"/>
        <v>484800</v>
      </c>
      <c r="L167" s="461">
        <v>42094</v>
      </c>
      <c r="M167" s="456">
        <v>437646.96517577965</v>
      </c>
      <c r="N167" s="438">
        <f t="shared" si="20"/>
        <v>47153.034824220347</v>
      </c>
      <c r="O167" s="438">
        <f t="shared" si="21"/>
        <v>3288</v>
      </c>
      <c r="P167" s="452">
        <v>4</v>
      </c>
      <c r="Q167" s="453">
        <f t="shared" si="22"/>
        <v>9.0082191780821912</v>
      </c>
      <c r="R167" s="454">
        <f t="shared" si="23"/>
        <v>-5.0082191780821912</v>
      </c>
      <c r="S167" s="455">
        <f t="shared" si="28"/>
        <v>0.23749999999999999</v>
      </c>
      <c r="T167" s="442"/>
      <c r="U167" s="436">
        <f t="shared" si="24"/>
        <v>47153.034824220347</v>
      </c>
      <c r="V167" s="442">
        <f t="shared" si="25"/>
        <v>24240</v>
      </c>
      <c r="W167" s="456">
        <f t="shared" si="26"/>
        <v>22913.034824220347</v>
      </c>
    </row>
    <row r="168" spans="1:23" ht="16.5">
      <c r="A168" s="450">
        <f t="shared" si="27"/>
        <v>161</v>
      </c>
      <c r="B168" s="462" t="s">
        <v>32</v>
      </c>
      <c r="C168" s="318"/>
      <c r="D168" s="318"/>
      <c r="E168" s="318"/>
      <c r="F168" s="318"/>
      <c r="G168" s="463">
        <v>42194</v>
      </c>
      <c r="H168" s="436">
        <v>6000</v>
      </c>
      <c r="I168" s="317"/>
      <c r="J168" s="317"/>
      <c r="K168" s="436">
        <f t="shared" si="19"/>
        <v>6000</v>
      </c>
      <c r="L168" s="463">
        <v>42194</v>
      </c>
      <c r="M168" s="456">
        <v>5261.790464393277</v>
      </c>
      <c r="N168" s="438">
        <f t="shared" si="20"/>
        <v>738.20953560672297</v>
      </c>
      <c r="O168" s="438">
        <f t="shared" si="21"/>
        <v>3188</v>
      </c>
      <c r="P168" s="452">
        <v>4</v>
      </c>
      <c r="Q168" s="453">
        <f t="shared" si="22"/>
        <v>8.7342465753424658</v>
      </c>
      <c r="R168" s="454">
        <f t="shared" si="23"/>
        <v>-4.7342465753424658</v>
      </c>
      <c r="S168" s="455">
        <f t="shared" si="28"/>
        <v>0.23749999999999999</v>
      </c>
      <c r="T168" s="442"/>
      <c r="U168" s="436">
        <f t="shared" si="24"/>
        <v>738.20953560672297</v>
      </c>
      <c r="V168" s="442">
        <f t="shared" si="25"/>
        <v>300</v>
      </c>
      <c r="W168" s="456">
        <f t="shared" si="26"/>
        <v>438.20953560672297</v>
      </c>
    </row>
    <row r="169" spans="1:23" ht="16.5">
      <c r="A169" s="450">
        <f t="shared" si="27"/>
        <v>162</v>
      </c>
      <c r="B169" s="462" t="s">
        <v>32</v>
      </c>
      <c r="C169" s="318"/>
      <c r="D169" s="318"/>
      <c r="E169" s="318"/>
      <c r="F169" s="318"/>
      <c r="G169" s="463">
        <v>42203</v>
      </c>
      <c r="H169" s="436">
        <v>15000</v>
      </c>
      <c r="I169" s="317"/>
      <c r="J169" s="317"/>
      <c r="K169" s="436">
        <f t="shared" si="19"/>
        <v>15000</v>
      </c>
      <c r="L169" s="463">
        <v>42203</v>
      </c>
      <c r="M169" s="456">
        <v>13119.340291656068</v>
      </c>
      <c r="N169" s="438">
        <f t="shared" si="20"/>
        <v>1880.6597083439319</v>
      </c>
      <c r="O169" s="438">
        <f t="shared" si="21"/>
        <v>3179</v>
      </c>
      <c r="P169" s="452">
        <v>4</v>
      </c>
      <c r="Q169" s="453">
        <f t="shared" si="22"/>
        <v>8.7095890410958905</v>
      </c>
      <c r="R169" s="454">
        <f t="shared" si="23"/>
        <v>-4.7095890410958905</v>
      </c>
      <c r="S169" s="455">
        <f t="shared" si="28"/>
        <v>0.23749999999999999</v>
      </c>
      <c r="T169" s="442"/>
      <c r="U169" s="436">
        <f t="shared" si="24"/>
        <v>1880.6597083439319</v>
      </c>
      <c r="V169" s="442">
        <f t="shared" si="25"/>
        <v>750</v>
      </c>
      <c r="W169" s="456">
        <f t="shared" si="26"/>
        <v>1130.6597083439319</v>
      </c>
    </row>
    <row r="170" spans="1:23" ht="16.5">
      <c r="A170" s="450">
        <f t="shared" si="27"/>
        <v>163</v>
      </c>
      <c r="B170" s="462" t="s">
        <v>32</v>
      </c>
      <c r="C170" s="318"/>
      <c r="D170" s="318"/>
      <c r="E170" s="318"/>
      <c r="F170" s="318"/>
      <c r="G170" s="463">
        <v>42189</v>
      </c>
      <c r="H170" s="436">
        <v>66735</v>
      </c>
      <c r="I170" s="317"/>
      <c r="J170" s="317"/>
      <c r="K170" s="436">
        <f t="shared" si="19"/>
        <v>66735</v>
      </c>
      <c r="L170" s="463">
        <v>42189</v>
      </c>
      <c r="M170" s="456">
        <v>58611.108585795824</v>
      </c>
      <c r="N170" s="438">
        <f t="shared" si="20"/>
        <v>8123.8914142041758</v>
      </c>
      <c r="O170" s="438">
        <f t="shared" si="21"/>
        <v>3193</v>
      </c>
      <c r="P170" s="452">
        <v>4</v>
      </c>
      <c r="Q170" s="453">
        <f t="shared" si="22"/>
        <v>8.7479452054794518</v>
      </c>
      <c r="R170" s="454">
        <f t="shared" si="23"/>
        <v>-4.7479452054794518</v>
      </c>
      <c r="S170" s="455">
        <f t="shared" si="28"/>
        <v>0.23749999999999999</v>
      </c>
      <c r="T170" s="442"/>
      <c r="U170" s="436">
        <f t="shared" si="24"/>
        <v>8123.8914142041758</v>
      </c>
      <c r="V170" s="442">
        <f t="shared" si="25"/>
        <v>3336.75</v>
      </c>
      <c r="W170" s="456">
        <f t="shared" si="26"/>
        <v>4787.1414142041758</v>
      </c>
    </row>
    <row r="171" spans="1:23" ht="16.5">
      <c r="A171" s="450">
        <f t="shared" si="27"/>
        <v>164</v>
      </c>
      <c r="B171" s="462" t="s">
        <v>32</v>
      </c>
      <c r="C171" s="318"/>
      <c r="D171" s="318"/>
      <c r="E171" s="318"/>
      <c r="F171" s="318"/>
      <c r="G171" s="463">
        <v>42237</v>
      </c>
      <c r="H171" s="436">
        <v>4375</v>
      </c>
      <c r="I171" s="317"/>
      <c r="J171" s="317"/>
      <c r="K171" s="436">
        <f t="shared" si="19"/>
        <v>4375</v>
      </c>
      <c r="L171" s="463">
        <v>42237</v>
      </c>
      <c r="M171" s="456">
        <v>3787.7597136058939</v>
      </c>
      <c r="N171" s="438">
        <f t="shared" si="20"/>
        <v>587.24028639410608</v>
      </c>
      <c r="O171" s="438">
        <f t="shared" si="21"/>
        <v>3145</v>
      </c>
      <c r="P171" s="452">
        <v>4</v>
      </c>
      <c r="Q171" s="453">
        <f t="shared" si="22"/>
        <v>8.6164383561643838</v>
      </c>
      <c r="R171" s="454">
        <f t="shared" si="23"/>
        <v>-4.6164383561643838</v>
      </c>
      <c r="S171" s="455">
        <f t="shared" si="28"/>
        <v>0.23749999999999999</v>
      </c>
      <c r="T171" s="442"/>
      <c r="U171" s="436">
        <f t="shared" si="24"/>
        <v>587.24028639410608</v>
      </c>
      <c r="V171" s="442">
        <f t="shared" si="25"/>
        <v>218.75</v>
      </c>
      <c r="W171" s="456">
        <f t="shared" si="26"/>
        <v>368.49028639410608</v>
      </c>
    </row>
    <row r="172" spans="1:23" ht="16.5">
      <c r="A172" s="450">
        <f t="shared" si="27"/>
        <v>165</v>
      </c>
      <c r="B172" s="462" t="s">
        <v>32</v>
      </c>
      <c r="C172" s="318"/>
      <c r="D172" s="318"/>
      <c r="E172" s="318"/>
      <c r="F172" s="318"/>
      <c r="G172" s="463">
        <v>42252</v>
      </c>
      <c r="H172" s="436">
        <v>8000</v>
      </c>
      <c r="I172" s="317"/>
      <c r="J172" s="317"/>
      <c r="K172" s="436">
        <f t="shared" si="19"/>
        <v>8000</v>
      </c>
      <c r="L172" s="463">
        <v>42252</v>
      </c>
      <c r="M172" s="456">
        <v>6894.9572803323972</v>
      </c>
      <c r="N172" s="438">
        <f t="shared" si="20"/>
        <v>1105.0427196676028</v>
      </c>
      <c r="O172" s="438">
        <f t="shared" si="21"/>
        <v>3130</v>
      </c>
      <c r="P172" s="452">
        <v>4</v>
      </c>
      <c r="Q172" s="453">
        <f t="shared" si="22"/>
        <v>8.5753424657534243</v>
      </c>
      <c r="R172" s="454">
        <f t="shared" si="23"/>
        <v>-4.5753424657534243</v>
      </c>
      <c r="S172" s="455">
        <f t="shared" si="28"/>
        <v>0.23749999999999999</v>
      </c>
      <c r="T172" s="442"/>
      <c r="U172" s="436">
        <f t="shared" si="24"/>
        <v>1105.0427196676028</v>
      </c>
      <c r="V172" s="442">
        <f t="shared" si="25"/>
        <v>400</v>
      </c>
      <c r="W172" s="456">
        <f t="shared" si="26"/>
        <v>705.0427196676028</v>
      </c>
    </row>
    <row r="173" spans="1:23" ht="16.5">
      <c r="A173" s="450">
        <f t="shared" si="27"/>
        <v>166</v>
      </c>
      <c r="B173" s="462" t="s">
        <v>32</v>
      </c>
      <c r="C173" s="318"/>
      <c r="D173" s="318"/>
      <c r="E173" s="318"/>
      <c r="F173" s="318"/>
      <c r="G173" s="463">
        <v>42255</v>
      </c>
      <c r="H173" s="436">
        <v>12187</v>
      </c>
      <c r="I173" s="317"/>
      <c r="J173" s="317"/>
      <c r="K173" s="436">
        <f t="shared" si="19"/>
        <v>12187</v>
      </c>
      <c r="L173" s="463">
        <v>42255</v>
      </c>
      <c r="M173" s="456">
        <v>10494.089963129016</v>
      </c>
      <c r="N173" s="438">
        <f t="shared" si="20"/>
        <v>1692.9100368709842</v>
      </c>
      <c r="O173" s="438">
        <f t="shared" si="21"/>
        <v>3127</v>
      </c>
      <c r="P173" s="452">
        <v>4</v>
      </c>
      <c r="Q173" s="453">
        <f t="shared" si="22"/>
        <v>8.5671232876712331</v>
      </c>
      <c r="R173" s="454">
        <f t="shared" si="23"/>
        <v>-4.5671232876712331</v>
      </c>
      <c r="S173" s="455">
        <f t="shared" si="28"/>
        <v>0.23749999999999999</v>
      </c>
      <c r="T173" s="442"/>
      <c r="U173" s="436">
        <f t="shared" si="24"/>
        <v>1692.9100368709842</v>
      </c>
      <c r="V173" s="442">
        <f t="shared" si="25"/>
        <v>609.35</v>
      </c>
      <c r="W173" s="456">
        <f t="shared" si="26"/>
        <v>1083.5600368709843</v>
      </c>
    </row>
    <row r="174" spans="1:23" ht="16.5">
      <c r="A174" s="450">
        <f t="shared" si="27"/>
        <v>167</v>
      </c>
      <c r="B174" s="462" t="s">
        <v>32</v>
      </c>
      <c r="C174" s="318"/>
      <c r="D174" s="318"/>
      <c r="E174" s="318"/>
      <c r="F174" s="318"/>
      <c r="G174" s="463">
        <v>42265</v>
      </c>
      <c r="H174" s="436">
        <v>6800</v>
      </c>
      <c r="I174" s="317"/>
      <c r="J174" s="317"/>
      <c r="K174" s="436">
        <f t="shared" si="19"/>
        <v>6800</v>
      </c>
      <c r="L174" s="463">
        <v>42265</v>
      </c>
      <c r="M174" s="456">
        <v>5837.7061752869577</v>
      </c>
      <c r="N174" s="438">
        <f t="shared" si="20"/>
        <v>962.29382471304234</v>
      </c>
      <c r="O174" s="438">
        <f t="shared" si="21"/>
        <v>3117</v>
      </c>
      <c r="P174" s="452">
        <v>4</v>
      </c>
      <c r="Q174" s="453">
        <f t="shared" si="22"/>
        <v>8.5397260273972595</v>
      </c>
      <c r="R174" s="454">
        <f t="shared" si="23"/>
        <v>-4.5397260273972595</v>
      </c>
      <c r="S174" s="455">
        <f t="shared" si="28"/>
        <v>0.23749999999999999</v>
      </c>
      <c r="T174" s="442"/>
      <c r="U174" s="436">
        <f t="shared" si="24"/>
        <v>962.29382471304234</v>
      </c>
      <c r="V174" s="442">
        <f t="shared" si="25"/>
        <v>340</v>
      </c>
      <c r="W174" s="456">
        <f t="shared" si="26"/>
        <v>622.29382471304234</v>
      </c>
    </row>
    <row r="175" spans="1:23" ht="16.5">
      <c r="A175" s="450">
        <f t="shared" si="27"/>
        <v>168</v>
      </c>
      <c r="B175" s="462" t="s">
        <v>32</v>
      </c>
      <c r="C175" s="318"/>
      <c r="D175" s="318"/>
      <c r="E175" s="318"/>
      <c r="F175" s="318"/>
      <c r="G175" s="463">
        <v>42144</v>
      </c>
      <c r="H175" s="436">
        <v>120000</v>
      </c>
      <c r="I175" s="317"/>
      <c r="J175" s="317"/>
      <c r="K175" s="436">
        <f t="shared" si="19"/>
        <v>120000</v>
      </c>
      <c r="L175" s="463">
        <v>42144</v>
      </c>
      <c r="M175" s="456">
        <v>106797.40260167145</v>
      </c>
      <c r="N175" s="438">
        <f t="shared" si="20"/>
        <v>13202.597398328551</v>
      </c>
      <c r="O175" s="438">
        <f t="shared" si="21"/>
        <v>3238</v>
      </c>
      <c r="P175" s="452">
        <v>4</v>
      </c>
      <c r="Q175" s="453">
        <f t="shared" si="22"/>
        <v>8.8712328767123285</v>
      </c>
      <c r="R175" s="454">
        <f t="shared" si="23"/>
        <v>-4.8712328767123285</v>
      </c>
      <c r="S175" s="455">
        <f t="shared" si="28"/>
        <v>0.23749999999999999</v>
      </c>
      <c r="T175" s="442"/>
      <c r="U175" s="436">
        <f t="shared" si="24"/>
        <v>13202.597398328551</v>
      </c>
      <c r="V175" s="442">
        <f t="shared" si="25"/>
        <v>6000</v>
      </c>
      <c r="W175" s="456">
        <f t="shared" si="26"/>
        <v>7202.5973983285512</v>
      </c>
    </row>
    <row r="176" spans="1:23" ht="16.5">
      <c r="A176" s="450">
        <f t="shared" si="27"/>
        <v>169</v>
      </c>
      <c r="B176" s="462" t="s">
        <v>32</v>
      </c>
      <c r="C176" s="318"/>
      <c r="D176" s="318"/>
      <c r="E176" s="318"/>
      <c r="F176" s="318"/>
      <c r="G176" s="463">
        <v>42193</v>
      </c>
      <c r="H176" s="436">
        <v>42980</v>
      </c>
      <c r="I176" s="317"/>
      <c r="J176" s="317"/>
      <c r="K176" s="436">
        <f t="shared" si="19"/>
        <v>42980</v>
      </c>
      <c r="L176" s="463">
        <v>42193</v>
      </c>
      <c r="M176" s="456">
        <v>37703.145245283624</v>
      </c>
      <c r="N176" s="438">
        <f t="shared" si="20"/>
        <v>5276.8547547163762</v>
      </c>
      <c r="O176" s="438">
        <f t="shared" si="21"/>
        <v>3189</v>
      </c>
      <c r="P176" s="452">
        <v>4</v>
      </c>
      <c r="Q176" s="453">
        <f t="shared" si="22"/>
        <v>8.7369863013698623</v>
      </c>
      <c r="R176" s="454">
        <f t="shared" si="23"/>
        <v>-4.7369863013698623</v>
      </c>
      <c r="S176" s="455">
        <f t="shared" si="28"/>
        <v>0.23749999999999999</v>
      </c>
      <c r="T176" s="442"/>
      <c r="U176" s="436">
        <f t="shared" si="24"/>
        <v>5276.8547547163762</v>
      </c>
      <c r="V176" s="442">
        <f t="shared" si="25"/>
        <v>2149</v>
      </c>
      <c r="W176" s="456">
        <f t="shared" si="26"/>
        <v>3127.8547547163762</v>
      </c>
    </row>
    <row r="177" spans="1:23" ht="16.5">
      <c r="A177" s="450">
        <f t="shared" si="27"/>
        <v>170</v>
      </c>
      <c r="B177" s="462" t="s">
        <v>32</v>
      </c>
      <c r="C177" s="318"/>
      <c r="D177" s="318"/>
      <c r="E177" s="318"/>
      <c r="F177" s="318"/>
      <c r="G177" s="463">
        <v>42242</v>
      </c>
      <c r="H177" s="436">
        <v>6270</v>
      </c>
      <c r="I177" s="317"/>
      <c r="J177" s="317"/>
      <c r="K177" s="436">
        <f t="shared" si="19"/>
        <v>6270</v>
      </c>
      <c r="L177" s="463">
        <v>42242</v>
      </c>
      <c r="M177" s="456">
        <v>5420.2414423076925</v>
      </c>
      <c r="N177" s="438">
        <f t="shared" si="20"/>
        <v>849.75855769230748</v>
      </c>
      <c r="O177" s="438">
        <f t="shared" si="21"/>
        <v>3140</v>
      </c>
      <c r="P177" s="452">
        <v>4</v>
      </c>
      <c r="Q177" s="453">
        <f t="shared" si="22"/>
        <v>8.6027397260273979</v>
      </c>
      <c r="R177" s="454">
        <f t="shared" si="23"/>
        <v>-4.6027397260273979</v>
      </c>
      <c r="S177" s="455">
        <f t="shared" si="28"/>
        <v>0.23749999999999999</v>
      </c>
      <c r="T177" s="442"/>
      <c r="U177" s="436">
        <f t="shared" si="24"/>
        <v>849.75855769230748</v>
      </c>
      <c r="V177" s="442">
        <f t="shared" si="25"/>
        <v>313.5</v>
      </c>
      <c r="W177" s="456">
        <f t="shared" si="26"/>
        <v>536.25855769230748</v>
      </c>
    </row>
    <row r="178" spans="1:23" ht="16.5">
      <c r="A178" s="450">
        <f t="shared" si="27"/>
        <v>171</v>
      </c>
      <c r="B178" s="462" t="s">
        <v>32</v>
      </c>
      <c r="C178" s="318"/>
      <c r="D178" s="318"/>
      <c r="E178" s="318"/>
      <c r="F178" s="318"/>
      <c r="G178" s="463">
        <v>42254</v>
      </c>
      <c r="H178" s="436">
        <v>33037</v>
      </c>
      <c r="I178" s="317"/>
      <c r="J178" s="317"/>
      <c r="K178" s="436">
        <f t="shared" si="19"/>
        <v>33037</v>
      </c>
      <c r="L178" s="463">
        <v>42254</v>
      </c>
      <c r="M178" s="456">
        <v>28456.391145844267</v>
      </c>
      <c r="N178" s="438">
        <f t="shared" si="20"/>
        <v>4580.6088541557328</v>
      </c>
      <c r="O178" s="438">
        <f t="shared" si="21"/>
        <v>3128</v>
      </c>
      <c r="P178" s="452">
        <v>4</v>
      </c>
      <c r="Q178" s="453">
        <f t="shared" si="22"/>
        <v>8.5698630136986296</v>
      </c>
      <c r="R178" s="454">
        <f t="shared" si="23"/>
        <v>-4.5698630136986296</v>
      </c>
      <c r="S178" s="455">
        <f t="shared" si="28"/>
        <v>0.23749999999999999</v>
      </c>
      <c r="T178" s="442"/>
      <c r="U178" s="436">
        <f t="shared" si="24"/>
        <v>4580.6088541557328</v>
      </c>
      <c r="V178" s="442">
        <f t="shared" si="25"/>
        <v>1651.8500000000001</v>
      </c>
      <c r="W178" s="456">
        <f t="shared" si="26"/>
        <v>2928.7588541557325</v>
      </c>
    </row>
    <row r="179" spans="1:23" ht="16.5">
      <c r="A179" s="450">
        <f t="shared" si="27"/>
        <v>172</v>
      </c>
      <c r="B179" s="462" t="s">
        <v>32</v>
      </c>
      <c r="C179" s="318"/>
      <c r="D179" s="318"/>
      <c r="E179" s="318"/>
      <c r="F179" s="318"/>
      <c r="G179" s="463">
        <v>42256</v>
      </c>
      <c r="H179" s="436">
        <v>11172</v>
      </c>
      <c r="I179" s="317"/>
      <c r="J179" s="317"/>
      <c r="K179" s="436">
        <f t="shared" si="19"/>
        <v>11172</v>
      </c>
      <c r="L179" s="463">
        <v>42256</v>
      </c>
      <c r="M179" s="456">
        <v>9617.1770766185145</v>
      </c>
      <c r="N179" s="438">
        <f t="shared" si="20"/>
        <v>1554.8229233814855</v>
      </c>
      <c r="O179" s="438">
        <f t="shared" si="21"/>
        <v>3126</v>
      </c>
      <c r="P179" s="452">
        <v>4</v>
      </c>
      <c r="Q179" s="453">
        <f t="shared" si="22"/>
        <v>8.5643835616438349</v>
      </c>
      <c r="R179" s="454">
        <f t="shared" si="23"/>
        <v>-4.5643835616438349</v>
      </c>
      <c r="S179" s="455">
        <f t="shared" si="28"/>
        <v>0.23749999999999999</v>
      </c>
      <c r="T179" s="442"/>
      <c r="U179" s="436">
        <f t="shared" si="24"/>
        <v>1554.8229233814855</v>
      </c>
      <c r="V179" s="442">
        <f t="shared" si="25"/>
        <v>558.6</v>
      </c>
      <c r="W179" s="456">
        <f t="shared" si="26"/>
        <v>996.22292338148543</v>
      </c>
    </row>
    <row r="180" spans="1:23" ht="16.5">
      <c r="A180" s="450">
        <f t="shared" si="27"/>
        <v>173</v>
      </c>
      <c r="B180" s="462" t="s">
        <v>32</v>
      </c>
      <c r="C180" s="318"/>
      <c r="D180" s="318"/>
      <c r="E180" s="318"/>
      <c r="F180" s="318"/>
      <c r="G180" s="463">
        <v>42267</v>
      </c>
      <c r="H180" s="436">
        <v>41439</v>
      </c>
      <c r="I180" s="317"/>
      <c r="J180" s="317"/>
      <c r="K180" s="436">
        <f t="shared" si="19"/>
        <v>41439</v>
      </c>
      <c r="L180" s="463">
        <v>42267</v>
      </c>
      <c r="M180" s="456">
        <v>35553.23940785422</v>
      </c>
      <c r="N180" s="438">
        <f t="shared" si="20"/>
        <v>5885.7605921457798</v>
      </c>
      <c r="O180" s="438">
        <f t="shared" si="21"/>
        <v>3115</v>
      </c>
      <c r="P180" s="452">
        <v>4</v>
      </c>
      <c r="Q180" s="453">
        <f t="shared" si="22"/>
        <v>8.5342465753424666</v>
      </c>
      <c r="R180" s="454">
        <f t="shared" si="23"/>
        <v>-4.5342465753424666</v>
      </c>
      <c r="S180" s="455">
        <f t="shared" si="28"/>
        <v>0.23749999999999999</v>
      </c>
      <c r="T180" s="442"/>
      <c r="U180" s="436">
        <f t="shared" si="24"/>
        <v>5885.7605921457798</v>
      </c>
      <c r="V180" s="442">
        <f t="shared" si="25"/>
        <v>2071.9500000000003</v>
      </c>
      <c r="W180" s="456">
        <f t="shared" si="26"/>
        <v>3813.8105921457795</v>
      </c>
    </row>
    <row r="181" spans="1:23" ht="16.5">
      <c r="A181" s="450">
        <f t="shared" si="27"/>
        <v>174</v>
      </c>
      <c r="B181" s="462" t="s">
        <v>32</v>
      </c>
      <c r="C181" s="318"/>
      <c r="D181" s="318"/>
      <c r="E181" s="318"/>
      <c r="F181" s="318"/>
      <c r="G181" s="463">
        <v>42290</v>
      </c>
      <c r="H181" s="436">
        <v>12540</v>
      </c>
      <c r="I181" s="317"/>
      <c r="J181" s="317"/>
      <c r="K181" s="436">
        <f t="shared" si="19"/>
        <v>12540</v>
      </c>
      <c r="L181" s="463">
        <v>42290</v>
      </c>
      <c r="M181" s="456">
        <v>10683.823562824753</v>
      </c>
      <c r="N181" s="438">
        <f t="shared" si="20"/>
        <v>1856.176437175247</v>
      </c>
      <c r="O181" s="438">
        <f t="shared" si="21"/>
        <v>3092</v>
      </c>
      <c r="P181" s="452">
        <v>4</v>
      </c>
      <c r="Q181" s="453">
        <f t="shared" si="22"/>
        <v>8.4712328767123282</v>
      </c>
      <c r="R181" s="454">
        <f t="shared" si="23"/>
        <v>-4.4712328767123282</v>
      </c>
      <c r="S181" s="455">
        <f t="shared" si="28"/>
        <v>0.23749999999999999</v>
      </c>
      <c r="T181" s="442"/>
      <c r="U181" s="436">
        <f t="shared" si="24"/>
        <v>1856.176437175247</v>
      </c>
      <c r="V181" s="442">
        <f t="shared" si="25"/>
        <v>627</v>
      </c>
      <c r="W181" s="456">
        <f t="shared" si="26"/>
        <v>1229.176437175247</v>
      </c>
    </row>
    <row r="182" spans="1:23" ht="16.5">
      <c r="A182" s="450">
        <f t="shared" si="27"/>
        <v>175</v>
      </c>
      <c r="B182" s="462" t="s">
        <v>32</v>
      </c>
      <c r="C182" s="318"/>
      <c r="D182" s="318"/>
      <c r="E182" s="318"/>
      <c r="F182" s="318"/>
      <c r="G182" s="463">
        <v>42291</v>
      </c>
      <c r="H182" s="436">
        <v>10488</v>
      </c>
      <c r="I182" s="317"/>
      <c r="J182" s="317"/>
      <c r="K182" s="436">
        <f t="shared" si="19"/>
        <v>10488</v>
      </c>
      <c r="L182" s="463">
        <v>42291</v>
      </c>
      <c r="M182" s="456">
        <v>8932.8318540964046</v>
      </c>
      <c r="N182" s="438">
        <f t="shared" si="20"/>
        <v>1555.1681459035954</v>
      </c>
      <c r="O182" s="438">
        <f t="shared" si="21"/>
        <v>3091</v>
      </c>
      <c r="P182" s="452">
        <v>4</v>
      </c>
      <c r="Q182" s="453">
        <f t="shared" si="22"/>
        <v>8.4684931506849317</v>
      </c>
      <c r="R182" s="454">
        <f t="shared" si="23"/>
        <v>-4.4684931506849317</v>
      </c>
      <c r="S182" s="455">
        <f t="shared" si="28"/>
        <v>0.23749999999999999</v>
      </c>
      <c r="T182" s="442"/>
      <c r="U182" s="436">
        <f t="shared" si="24"/>
        <v>1555.1681459035954</v>
      </c>
      <c r="V182" s="442">
        <f t="shared" si="25"/>
        <v>524.4</v>
      </c>
      <c r="W182" s="456">
        <f t="shared" si="26"/>
        <v>1030.7681459035953</v>
      </c>
    </row>
    <row r="183" spans="1:23" ht="16.5">
      <c r="A183" s="450">
        <f t="shared" si="27"/>
        <v>176</v>
      </c>
      <c r="B183" s="462" t="s">
        <v>32</v>
      </c>
      <c r="C183" s="318"/>
      <c r="D183" s="318"/>
      <c r="E183" s="318"/>
      <c r="F183" s="318"/>
      <c r="G183" s="463">
        <v>42315</v>
      </c>
      <c r="H183" s="436">
        <v>20064</v>
      </c>
      <c r="I183" s="317"/>
      <c r="J183" s="317"/>
      <c r="K183" s="436">
        <f t="shared" si="19"/>
        <v>20064</v>
      </c>
      <c r="L183" s="463">
        <v>42315</v>
      </c>
      <c r="M183" s="456">
        <v>16963.568182596289</v>
      </c>
      <c r="N183" s="438">
        <f t="shared" si="20"/>
        <v>3100.4318174037107</v>
      </c>
      <c r="O183" s="438">
        <f t="shared" si="21"/>
        <v>3067</v>
      </c>
      <c r="P183" s="452">
        <v>4</v>
      </c>
      <c r="Q183" s="453">
        <f t="shared" si="22"/>
        <v>8.4027397260273968</v>
      </c>
      <c r="R183" s="454">
        <f t="shared" si="23"/>
        <v>-4.4027397260273968</v>
      </c>
      <c r="S183" s="455">
        <f t="shared" si="28"/>
        <v>0.23749999999999999</v>
      </c>
      <c r="T183" s="442"/>
      <c r="U183" s="436">
        <f t="shared" si="24"/>
        <v>3100.4318174037107</v>
      </c>
      <c r="V183" s="442">
        <f t="shared" si="25"/>
        <v>1003.2</v>
      </c>
      <c r="W183" s="456">
        <f t="shared" si="26"/>
        <v>2097.2318174037109</v>
      </c>
    </row>
    <row r="184" spans="1:23" ht="16.5">
      <c r="A184" s="450">
        <f t="shared" si="27"/>
        <v>177</v>
      </c>
      <c r="B184" s="462" t="s">
        <v>32</v>
      </c>
      <c r="C184" s="318"/>
      <c r="D184" s="318"/>
      <c r="E184" s="318"/>
      <c r="F184" s="318"/>
      <c r="G184" s="463">
        <v>42329</v>
      </c>
      <c r="H184" s="436">
        <v>16470</v>
      </c>
      <c r="I184" s="317"/>
      <c r="J184" s="317"/>
      <c r="K184" s="436">
        <f t="shared" si="19"/>
        <v>16470</v>
      </c>
      <c r="L184" s="463">
        <v>42329</v>
      </c>
      <c r="M184" s="456">
        <v>13864.92639824125</v>
      </c>
      <c r="N184" s="438">
        <f t="shared" si="20"/>
        <v>2605.0736017587496</v>
      </c>
      <c r="O184" s="438">
        <f t="shared" si="21"/>
        <v>3053</v>
      </c>
      <c r="P184" s="452">
        <v>4</v>
      </c>
      <c r="Q184" s="453">
        <f t="shared" si="22"/>
        <v>8.3643835616438356</v>
      </c>
      <c r="R184" s="454">
        <f t="shared" si="23"/>
        <v>-4.3643835616438356</v>
      </c>
      <c r="S184" s="455">
        <f t="shared" si="28"/>
        <v>0.23749999999999999</v>
      </c>
      <c r="T184" s="442"/>
      <c r="U184" s="436">
        <f t="shared" si="24"/>
        <v>2605.0736017587496</v>
      </c>
      <c r="V184" s="442">
        <f t="shared" si="25"/>
        <v>823.5</v>
      </c>
      <c r="W184" s="456">
        <f t="shared" si="26"/>
        <v>1781.5736017587496</v>
      </c>
    </row>
    <row r="185" spans="1:23" ht="16.5">
      <c r="A185" s="450">
        <f t="shared" si="27"/>
        <v>178</v>
      </c>
      <c r="B185" s="462" t="s">
        <v>32</v>
      </c>
      <c r="C185" s="318"/>
      <c r="D185" s="318"/>
      <c r="E185" s="318"/>
      <c r="F185" s="318"/>
      <c r="G185" s="463">
        <v>42207</v>
      </c>
      <c r="H185" s="436">
        <v>6400</v>
      </c>
      <c r="I185" s="317"/>
      <c r="J185" s="317"/>
      <c r="K185" s="436">
        <f t="shared" si="19"/>
        <v>6400</v>
      </c>
      <c r="L185" s="463">
        <v>42207</v>
      </c>
      <c r="M185" s="456">
        <v>5590.9223884087896</v>
      </c>
      <c r="N185" s="438">
        <f t="shared" si="20"/>
        <v>809.07761159121037</v>
      </c>
      <c r="O185" s="438">
        <f t="shared" si="21"/>
        <v>3175</v>
      </c>
      <c r="P185" s="452">
        <v>4</v>
      </c>
      <c r="Q185" s="453">
        <f t="shared" si="22"/>
        <v>8.6986301369863011</v>
      </c>
      <c r="R185" s="454">
        <f t="shared" si="23"/>
        <v>-4.6986301369863011</v>
      </c>
      <c r="S185" s="455">
        <f t="shared" si="28"/>
        <v>0.23749999999999999</v>
      </c>
      <c r="T185" s="442"/>
      <c r="U185" s="436">
        <f t="shared" si="24"/>
        <v>809.07761159121037</v>
      </c>
      <c r="V185" s="442">
        <f t="shared" si="25"/>
        <v>320</v>
      </c>
      <c r="W185" s="456">
        <f t="shared" si="26"/>
        <v>489.07761159121037</v>
      </c>
    </row>
    <row r="186" spans="1:23" ht="16.5">
      <c r="A186" s="450">
        <f t="shared" si="27"/>
        <v>179</v>
      </c>
      <c r="B186" s="462" t="s">
        <v>32</v>
      </c>
      <c r="C186" s="318"/>
      <c r="D186" s="318"/>
      <c r="E186" s="318"/>
      <c r="F186" s="318"/>
      <c r="G186" s="463">
        <v>42207</v>
      </c>
      <c r="H186" s="436">
        <v>7230</v>
      </c>
      <c r="I186" s="317"/>
      <c r="J186" s="317"/>
      <c r="K186" s="436">
        <f t="shared" si="19"/>
        <v>7230</v>
      </c>
      <c r="L186" s="463">
        <v>42207</v>
      </c>
      <c r="M186" s="456">
        <v>6315.9951356555539</v>
      </c>
      <c r="N186" s="438">
        <f t="shared" si="20"/>
        <v>914.0048643444461</v>
      </c>
      <c r="O186" s="438">
        <f t="shared" si="21"/>
        <v>3175</v>
      </c>
      <c r="P186" s="452">
        <v>4</v>
      </c>
      <c r="Q186" s="453">
        <f t="shared" si="22"/>
        <v>8.6986301369863011</v>
      </c>
      <c r="R186" s="454">
        <f t="shared" si="23"/>
        <v>-4.6986301369863011</v>
      </c>
      <c r="S186" s="455">
        <f t="shared" si="28"/>
        <v>0.23749999999999999</v>
      </c>
      <c r="T186" s="442"/>
      <c r="U186" s="436">
        <f t="shared" si="24"/>
        <v>914.0048643444461</v>
      </c>
      <c r="V186" s="442">
        <f t="shared" si="25"/>
        <v>361.5</v>
      </c>
      <c r="W186" s="456">
        <f t="shared" si="26"/>
        <v>552.5048643444461</v>
      </c>
    </row>
    <row r="187" spans="1:23" ht="16.5">
      <c r="A187" s="450">
        <f t="shared" si="27"/>
        <v>180</v>
      </c>
      <c r="B187" s="462" t="s">
        <v>32</v>
      </c>
      <c r="C187" s="318"/>
      <c r="D187" s="318"/>
      <c r="E187" s="318"/>
      <c r="F187" s="318"/>
      <c r="G187" s="463">
        <v>42209</v>
      </c>
      <c r="H187" s="436">
        <v>17300</v>
      </c>
      <c r="I187" s="317"/>
      <c r="J187" s="317"/>
      <c r="K187" s="436">
        <f t="shared" si="19"/>
        <v>17300</v>
      </c>
      <c r="L187" s="463">
        <v>42209</v>
      </c>
      <c r="M187" s="456">
        <v>15103.956886392854</v>
      </c>
      <c r="N187" s="438">
        <f t="shared" si="20"/>
        <v>2196.0431136071456</v>
      </c>
      <c r="O187" s="438">
        <f t="shared" si="21"/>
        <v>3173</v>
      </c>
      <c r="P187" s="452">
        <v>4</v>
      </c>
      <c r="Q187" s="453">
        <f t="shared" si="22"/>
        <v>8.6931506849315063</v>
      </c>
      <c r="R187" s="454">
        <f t="shared" si="23"/>
        <v>-4.6931506849315063</v>
      </c>
      <c r="S187" s="455">
        <f t="shared" si="28"/>
        <v>0.23749999999999999</v>
      </c>
      <c r="T187" s="442"/>
      <c r="U187" s="436">
        <f t="shared" si="24"/>
        <v>2196.0431136071456</v>
      </c>
      <c r="V187" s="442">
        <f t="shared" si="25"/>
        <v>865</v>
      </c>
      <c r="W187" s="456">
        <f t="shared" si="26"/>
        <v>1331.0431136071456</v>
      </c>
    </row>
    <row r="188" spans="1:23" ht="16.5">
      <c r="A188" s="450">
        <f t="shared" si="27"/>
        <v>181</v>
      </c>
      <c r="B188" s="462" t="s">
        <v>32</v>
      </c>
      <c r="C188" s="318"/>
      <c r="D188" s="318"/>
      <c r="E188" s="318"/>
      <c r="F188" s="318"/>
      <c r="G188" s="463">
        <v>42209</v>
      </c>
      <c r="H188" s="436">
        <v>16960</v>
      </c>
      <c r="I188" s="317"/>
      <c r="J188" s="317"/>
      <c r="K188" s="436">
        <f t="shared" si="19"/>
        <v>16960</v>
      </c>
      <c r="L188" s="463">
        <v>42209</v>
      </c>
      <c r="M188" s="456">
        <v>14807.116115215193</v>
      </c>
      <c r="N188" s="438">
        <f t="shared" si="20"/>
        <v>2152.8838847848074</v>
      </c>
      <c r="O188" s="438">
        <f t="shared" si="21"/>
        <v>3173</v>
      </c>
      <c r="P188" s="452">
        <v>4</v>
      </c>
      <c r="Q188" s="453">
        <f t="shared" si="22"/>
        <v>8.6931506849315063</v>
      </c>
      <c r="R188" s="454">
        <f t="shared" si="23"/>
        <v>-4.6931506849315063</v>
      </c>
      <c r="S188" s="455">
        <f t="shared" si="28"/>
        <v>0.23749999999999999</v>
      </c>
      <c r="T188" s="442"/>
      <c r="U188" s="436">
        <f t="shared" si="24"/>
        <v>2152.8838847848074</v>
      </c>
      <c r="V188" s="442">
        <f t="shared" si="25"/>
        <v>848</v>
      </c>
      <c r="W188" s="456">
        <f t="shared" si="26"/>
        <v>1304.8838847848074</v>
      </c>
    </row>
    <row r="189" spans="1:23" ht="16.5">
      <c r="A189" s="450">
        <f t="shared" si="27"/>
        <v>182</v>
      </c>
      <c r="B189" s="462" t="s">
        <v>32</v>
      </c>
      <c r="C189" s="318"/>
      <c r="D189" s="318"/>
      <c r="E189" s="318"/>
      <c r="F189" s="318"/>
      <c r="G189" s="463">
        <v>42226</v>
      </c>
      <c r="H189" s="436">
        <v>5850</v>
      </c>
      <c r="I189" s="317"/>
      <c r="J189" s="317"/>
      <c r="K189" s="436">
        <f t="shared" si="19"/>
        <v>5850</v>
      </c>
      <c r="L189" s="463">
        <v>42226</v>
      </c>
      <c r="M189" s="456">
        <v>5081.5239535545861</v>
      </c>
      <c r="N189" s="438">
        <f t="shared" si="20"/>
        <v>768.47604644541389</v>
      </c>
      <c r="O189" s="438">
        <f t="shared" si="21"/>
        <v>3156</v>
      </c>
      <c r="P189" s="452">
        <v>4</v>
      </c>
      <c r="Q189" s="453">
        <f t="shared" si="22"/>
        <v>8.6465753424657539</v>
      </c>
      <c r="R189" s="454">
        <f t="shared" si="23"/>
        <v>-4.6465753424657539</v>
      </c>
      <c r="S189" s="455">
        <f t="shared" si="28"/>
        <v>0.23749999999999999</v>
      </c>
      <c r="T189" s="442"/>
      <c r="U189" s="436">
        <f t="shared" si="24"/>
        <v>768.47604644541389</v>
      </c>
      <c r="V189" s="442">
        <f t="shared" si="25"/>
        <v>292.5</v>
      </c>
      <c r="W189" s="456">
        <f t="shared" si="26"/>
        <v>475.97604644541389</v>
      </c>
    </row>
    <row r="190" spans="1:23" ht="16.5">
      <c r="A190" s="450">
        <f t="shared" si="27"/>
        <v>183</v>
      </c>
      <c r="B190" s="462" t="s">
        <v>32</v>
      </c>
      <c r="C190" s="318"/>
      <c r="D190" s="318"/>
      <c r="E190" s="318"/>
      <c r="F190" s="318"/>
      <c r="G190" s="463">
        <v>42345</v>
      </c>
      <c r="H190" s="436">
        <v>6160</v>
      </c>
      <c r="I190" s="317"/>
      <c r="J190" s="317"/>
      <c r="K190" s="436">
        <f t="shared" si="19"/>
        <v>6160</v>
      </c>
      <c r="L190" s="463">
        <v>42345</v>
      </c>
      <c r="M190" s="456">
        <v>5160.0158253085583</v>
      </c>
      <c r="N190" s="438">
        <f t="shared" si="20"/>
        <v>999.98417469144169</v>
      </c>
      <c r="O190" s="438">
        <f t="shared" si="21"/>
        <v>3037</v>
      </c>
      <c r="P190" s="452">
        <v>4</v>
      </c>
      <c r="Q190" s="453">
        <f t="shared" si="22"/>
        <v>8.3205479452054796</v>
      </c>
      <c r="R190" s="454">
        <f t="shared" si="23"/>
        <v>-4.3205479452054796</v>
      </c>
      <c r="S190" s="455">
        <f t="shared" si="28"/>
        <v>0.23749999999999999</v>
      </c>
      <c r="T190" s="442"/>
      <c r="U190" s="436">
        <f t="shared" si="24"/>
        <v>999.98417469144169</v>
      </c>
      <c r="V190" s="442">
        <f t="shared" si="25"/>
        <v>308</v>
      </c>
      <c r="W190" s="456">
        <f t="shared" si="26"/>
        <v>691.98417469144169</v>
      </c>
    </row>
    <row r="191" spans="1:23" ht="16.5">
      <c r="A191" s="450">
        <f t="shared" si="27"/>
        <v>184</v>
      </c>
      <c r="B191" s="462" t="s">
        <v>32</v>
      </c>
      <c r="C191" s="318"/>
      <c r="D191" s="318"/>
      <c r="E191" s="318"/>
      <c r="F191" s="318"/>
      <c r="G191" s="463">
        <v>42352</v>
      </c>
      <c r="H191" s="436">
        <v>23940</v>
      </c>
      <c r="I191" s="317"/>
      <c r="J191" s="317"/>
      <c r="K191" s="436">
        <f t="shared" si="19"/>
        <v>23940</v>
      </c>
      <c r="L191" s="463">
        <v>42352</v>
      </c>
      <c r="M191" s="456">
        <v>20010.082425686283</v>
      </c>
      <c r="N191" s="438">
        <f t="shared" si="20"/>
        <v>3929.9175743137166</v>
      </c>
      <c r="O191" s="438">
        <f t="shared" si="21"/>
        <v>3030</v>
      </c>
      <c r="P191" s="452">
        <v>4</v>
      </c>
      <c r="Q191" s="453">
        <f t="shared" si="22"/>
        <v>8.3013698630136989</v>
      </c>
      <c r="R191" s="454">
        <f t="shared" si="23"/>
        <v>-4.3013698630136989</v>
      </c>
      <c r="S191" s="455">
        <f t="shared" si="28"/>
        <v>0.23749999999999999</v>
      </c>
      <c r="T191" s="442"/>
      <c r="U191" s="436">
        <f t="shared" si="24"/>
        <v>3929.9175743137166</v>
      </c>
      <c r="V191" s="442">
        <f t="shared" si="25"/>
        <v>1197</v>
      </c>
      <c r="W191" s="456">
        <f t="shared" si="26"/>
        <v>2732.9175743137166</v>
      </c>
    </row>
    <row r="192" spans="1:23" ht="16.5">
      <c r="A192" s="450">
        <f t="shared" si="27"/>
        <v>185</v>
      </c>
      <c r="B192" s="462" t="s">
        <v>32</v>
      </c>
      <c r="C192" s="318"/>
      <c r="D192" s="318"/>
      <c r="E192" s="318"/>
      <c r="F192" s="318"/>
      <c r="G192" s="463">
        <v>42360</v>
      </c>
      <c r="H192" s="436">
        <v>20862</v>
      </c>
      <c r="I192" s="317"/>
      <c r="J192" s="317"/>
      <c r="K192" s="436">
        <f t="shared" si="19"/>
        <v>20862</v>
      </c>
      <c r="L192" s="463">
        <v>42360</v>
      </c>
      <c r="M192" s="456">
        <v>17393.920118387032</v>
      </c>
      <c r="N192" s="438">
        <f t="shared" si="20"/>
        <v>3468.0798816129682</v>
      </c>
      <c r="O192" s="438">
        <f t="shared" si="21"/>
        <v>3022</v>
      </c>
      <c r="P192" s="452">
        <v>4</v>
      </c>
      <c r="Q192" s="453">
        <f t="shared" si="22"/>
        <v>8.2794520547945201</v>
      </c>
      <c r="R192" s="454">
        <f t="shared" si="23"/>
        <v>-4.2794520547945201</v>
      </c>
      <c r="S192" s="455">
        <f t="shared" si="28"/>
        <v>0.23749999999999999</v>
      </c>
      <c r="T192" s="442"/>
      <c r="U192" s="436">
        <f t="shared" si="24"/>
        <v>3468.0798816129682</v>
      </c>
      <c r="V192" s="442">
        <f t="shared" si="25"/>
        <v>1043.1000000000001</v>
      </c>
      <c r="W192" s="456">
        <f t="shared" si="26"/>
        <v>2424.9798816129678</v>
      </c>
    </row>
    <row r="193" spans="1:23" ht="16.5">
      <c r="A193" s="450">
        <f t="shared" si="27"/>
        <v>186</v>
      </c>
      <c r="B193" s="462" t="s">
        <v>32</v>
      </c>
      <c r="C193" s="318"/>
      <c r="D193" s="318"/>
      <c r="E193" s="318"/>
      <c r="F193" s="318"/>
      <c r="G193" s="463">
        <v>42409</v>
      </c>
      <c r="H193" s="436">
        <v>69273</v>
      </c>
      <c r="I193" s="317"/>
      <c r="J193" s="317"/>
      <c r="K193" s="436">
        <f t="shared" si="19"/>
        <v>69273</v>
      </c>
      <c r="L193" s="463">
        <v>42409</v>
      </c>
      <c r="M193" s="456">
        <v>56873.676817584404</v>
      </c>
      <c r="N193" s="438">
        <f t="shared" si="20"/>
        <v>12399.323182415596</v>
      </c>
      <c r="O193" s="438">
        <f t="shared" si="21"/>
        <v>2973</v>
      </c>
      <c r="P193" s="452">
        <v>4</v>
      </c>
      <c r="Q193" s="453">
        <f t="shared" si="22"/>
        <v>8.1452054794520556</v>
      </c>
      <c r="R193" s="454">
        <f t="shared" si="23"/>
        <v>-4.1452054794520556</v>
      </c>
      <c r="S193" s="455">
        <f t="shared" si="28"/>
        <v>0.23749999999999999</v>
      </c>
      <c r="T193" s="442"/>
      <c r="U193" s="436">
        <f t="shared" si="24"/>
        <v>12399.323182415596</v>
      </c>
      <c r="V193" s="442">
        <f t="shared" si="25"/>
        <v>3463.65</v>
      </c>
      <c r="W193" s="456">
        <f t="shared" si="26"/>
        <v>8935.6731824155959</v>
      </c>
    </row>
    <row r="194" spans="1:23" ht="16.5">
      <c r="A194" s="450">
        <f t="shared" si="27"/>
        <v>187</v>
      </c>
      <c r="B194" s="462" t="s">
        <v>32</v>
      </c>
      <c r="C194" s="318"/>
      <c r="D194" s="318"/>
      <c r="E194" s="318"/>
      <c r="F194" s="318"/>
      <c r="G194" s="463">
        <v>42416</v>
      </c>
      <c r="H194" s="436">
        <v>30892</v>
      </c>
      <c r="I194" s="317"/>
      <c r="J194" s="317"/>
      <c r="K194" s="436">
        <f t="shared" si="19"/>
        <v>30892</v>
      </c>
      <c r="L194" s="463">
        <v>42416</v>
      </c>
      <c r="M194" s="456">
        <v>25306.293411133651</v>
      </c>
      <c r="N194" s="438">
        <f t="shared" si="20"/>
        <v>5585.7065888663492</v>
      </c>
      <c r="O194" s="438">
        <f t="shared" si="21"/>
        <v>2966</v>
      </c>
      <c r="P194" s="452">
        <v>4</v>
      </c>
      <c r="Q194" s="453">
        <f t="shared" si="22"/>
        <v>8.1260273972602732</v>
      </c>
      <c r="R194" s="454">
        <f t="shared" si="23"/>
        <v>-4.1260273972602732</v>
      </c>
      <c r="S194" s="455">
        <f t="shared" si="28"/>
        <v>0.23749999999999999</v>
      </c>
      <c r="T194" s="442"/>
      <c r="U194" s="436">
        <f t="shared" si="24"/>
        <v>5585.7065888663492</v>
      </c>
      <c r="V194" s="442">
        <f t="shared" si="25"/>
        <v>1544.6000000000001</v>
      </c>
      <c r="W194" s="456">
        <f t="shared" si="26"/>
        <v>4041.1065888663488</v>
      </c>
    </row>
    <row r="195" spans="1:23" ht="16.5">
      <c r="A195" s="450">
        <f t="shared" si="27"/>
        <v>188</v>
      </c>
      <c r="B195" s="462" t="s">
        <v>32</v>
      </c>
      <c r="C195" s="318"/>
      <c r="D195" s="318"/>
      <c r="E195" s="318"/>
      <c r="F195" s="318"/>
      <c r="G195" s="463">
        <v>42417</v>
      </c>
      <c r="H195" s="436">
        <v>6400</v>
      </c>
      <c r="I195" s="317"/>
      <c r="J195" s="317"/>
      <c r="K195" s="436">
        <f t="shared" si="19"/>
        <v>6400</v>
      </c>
      <c r="L195" s="463">
        <v>42417</v>
      </c>
      <c r="M195" s="456">
        <v>5241.1245895537977</v>
      </c>
      <c r="N195" s="438">
        <f t="shared" si="20"/>
        <v>1158.8754104462023</v>
      </c>
      <c r="O195" s="438">
        <f t="shared" si="21"/>
        <v>2965</v>
      </c>
      <c r="P195" s="452">
        <v>4</v>
      </c>
      <c r="Q195" s="453">
        <f t="shared" si="22"/>
        <v>8.1232876712328768</v>
      </c>
      <c r="R195" s="454">
        <f t="shared" si="23"/>
        <v>-4.1232876712328768</v>
      </c>
      <c r="S195" s="455">
        <f t="shared" si="28"/>
        <v>0.23749999999999999</v>
      </c>
      <c r="T195" s="442"/>
      <c r="U195" s="436">
        <f t="shared" si="24"/>
        <v>1158.8754104462023</v>
      </c>
      <c r="V195" s="442">
        <f t="shared" si="25"/>
        <v>320</v>
      </c>
      <c r="W195" s="456">
        <f t="shared" si="26"/>
        <v>838.8754104462023</v>
      </c>
    </row>
    <row r="196" spans="1:23" ht="16.5">
      <c r="A196" s="450">
        <f t="shared" si="27"/>
        <v>189</v>
      </c>
      <c r="B196" s="462" t="s">
        <v>32</v>
      </c>
      <c r="C196" s="318"/>
      <c r="D196" s="318"/>
      <c r="E196" s="318"/>
      <c r="F196" s="318"/>
      <c r="G196" s="463">
        <v>42460</v>
      </c>
      <c r="H196" s="436">
        <v>41586</v>
      </c>
      <c r="I196" s="317"/>
      <c r="J196" s="317"/>
      <c r="K196" s="436">
        <f t="shared" si="19"/>
        <v>41586</v>
      </c>
      <c r="L196" s="463">
        <v>42460</v>
      </c>
      <c r="M196" s="456">
        <v>33590.436378082188</v>
      </c>
      <c r="N196" s="438">
        <f t="shared" si="20"/>
        <v>7995.5636219178123</v>
      </c>
      <c r="O196" s="438">
        <f t="shared" si="21"/>
        <v>2922</v>
      </c>
      <c r="P196" s="452">
        <v>4</v>
      </c>
      <c r="Q196" s="453">
        <f t="shared" si="22"/>
        <v>8.0054794520547947</v>
      </c>
      <c r="R196" s="454">
        <f t="shared" si="23"/>
        <v>-4.0054794520547947</v>
      </c>
      <c r="S196" s="455">
        <f t="shared" si="28"/>
        <v>0.23749999999999999</v>
      </c>
      <c r="T196" s="442"/>
      <c r="U196" s="436">
        <f t="shared" si="24"/>
        <v>7995.5636219178123</v>
      </c>
      <c r="V196" s="442">
        <f t="shared" si="25"/>
        <v>2079.3000000000002</v>
      </c>
      <c r="W196" s="456">
        <f t="shared" si="26"/>
        <v>5916.2636219178121</v>
      </c>
    </row>
    <row r="197" spans="1:23" ht="16.5">
      <c r="A197" s="450">
        <f t="shared" si="27"/>
        <v>190</v>
      </c>
      <c r="B197" s="462" t="s">
        <v>32</v>
      </c>
      <c r="C197" s="318"/>
      <c r="D197" s="318"/>
      <c r="E197" s="318"/>
      <c r="F197" s="318"/>
      <c r="G197" s="463">
        <v>42163</v>
      </c>
      <c r="H197" s="436">
        <v>240000</v>
      </c>
      <c r="I197" s="317"/>
      <c r="J197" s="317"/>
      <c r="K197" s="436">
        <f t="shared" si="19"/>
        <v>240000</v>
      </c>
      <c r="L197" s="463">
        <v>42163</v>
      </c>
      <c r="M197" s="456">
        <v>212407.99463984411</v>
      </c>
      <c r="N197" s="438">
        <f t="shared" si="20"/>
        <v>27592.00536015589</v>
      </c>
      <c r="O197" s="438">
        <f t="shared" si="21"/>
        <v>3219</v>
      </c>
      <c r="P197" s="452">
        <v>4</v>
      </c>
      <c r="Q197" s="453">
        <f t="shared" si="22"/>
        <v>8.8191780821917813</v>
      </c>
      <c r="R197" s="454">
        <f t="shared" si="23"/>
        <v>-4.8191780821917813</v>
      </c>
      <c r="S197" s="455">
        <f t="shared" si="28"/>
        <v>0.23749999999999999</v>
      </c>
      <c r="T197" s="442"/>
      <c r="U197" s="436">
        <f t="shared" si="24"/>
        <v>27592.00536015589</v>
      </c>
      <c r="V197" s="442">
        <f t="shared" si="25"/>
        <v>12000</v>
      </c>
      <c r="W197" s="456">
        <f t="shared" si="26"/>
        <v>15592.00536015589</v>
      </c>
    </row>
    <row r="198" spans="1:23" ht="16.5">
      <c r="A198" s="450">
        <f t="shared" si="27"/>
        <v>191</v>
      </c>
      <c r="B198" s="462" t="s">
        <v>32</v>
      </c>
      <c r="C198" s="318"/>
      <c r="D198" s="318"/>
      <c r="E198" s="318"/>
      <c r="F198" s="318"/>
      <c r="G198" s="463">
        <v>42163</v>
      </c>
      <c r="H198" s="436">
        <v>230000</v>
      </c>
      <c r="I198" s="317"/>
      <c r="J198" s="317"/>
      <c r="K198" s="436">
        <f t="shared" si="19"/>
        <v>230000</v>
      </c>
      <c r="L198" s="463">
        <v>42163</v>
      </c>
      <c r="M198" s="456">
        <v>203557.66152985059</v>
      </c>
      <c r="N198" s="438">
        <f t="shared" si="20"/>
        <v>26442.338470149407</v>
      </c>
      <c r="O198" s="438">
        <f t="shared" si="21"/>
        <v>3219</v>
      </c>
      <c r="P198" s="452">
        <v>4</v>
      </c>
      <c r="Q198" s="453">
        <f t="shared" si="22"/>
        <v>8.8191780821917813</v>
      </c>
      <c r="R198" s="454">
        <f t="shared" si="23"/>
        <v>-4.8191780821917813</v>
      </c>
      <c r="S198" s="455">
        <f t="shared" si="28"/>
        <v>0.23749999999999999</v>
      </c>
      <c r="T198" s="442"/>
      <c r="U198" s="436">
        <f t="shared" si="24"/>
        <v>26442.338470149407</v>
      </c>
      <c r="V198" s="442">
        <f t="shared" si="25"/>
        <v>11500</v>
      </c>
      <c r="W198" s="456">
        <f t="shared" si="26"/>
        <v>14942.338470149407</v>
      </c>
    </row>
    <row r="199" spans="1:23" ht="16.5">
      <c r="A199" s="450">
        <f t="shared" si="27"/>
        <v>192</v>
      </c>
      <c r="B199" s="462" t="s">
        <v>32</v>
      </c>
      <c r="C199" s="318"/>
      <c r="D199" s="318"/>
      <c r="E199" s="318"/>
      <c r="F199" s="318"/>
      <c r="G199" s="463">
        <v>42137</v>
      </c>
      <c r="H199" s="436">
        <v>6150</v>
      </c>
      <c r="I199" s="317"/>
      <c r="J199" s="317"/>
      <c r="K199" s="436">
        <f t="shared" si="19"/>
        <v>6150</v>
      </c>
      <c r="L199" s="463">
        <v>42137</v>
      </c>
      <c r="M199" s="456">
        <v>5484.5713091517719</v>
      </c>
      <c r="N199" s="438">
        <f t="shared" si="20"/>
        <v>665.42869084822814</v>
      </c>
      <c r="O199" s="438">
        <f t="shared" si="21"/>
        <v>3245</v>
      </c>
      <c r="P199" s="452">
        <v>4</v>
      </c>
      <c r="Q199" s="453">
        <f t="shared" si="22"/>
        <v>8.8904109589041092</v>
      </c>
      <c r="R199" s="454">
        <f t="shared" si="23"/>
        <v>-4.8904109589041092</v>
      </c>
      <c r="S199" s="455">
        <f t="shared" si="28"/>
        <v>0.23749999999999999</v>
      </c>
      <c r="T199" s="442"/>
      <c r="U199" s="436">
        <f t="shared" si="24"/>
        <v>665.42869084822814</v>
      </c>
      <c r="V199" s="442">
        <f t="shared" si="25"/>
        <v>307.5</v>
      </c>
      <c r="W199" s="456">
        <f t="shared" si="26"/>
        <v>357.92869084822814</v>
      </c>
    </row>
    <row r="200" spans="1:23" ht="16.5">
      <c r="A200" s="450">
        <f t="shared" si="27"/>
        <v>193</v>
      </c>
      <c r="B200" s="462" t="s">
        <v>32</v>
      </c>
      <c r="C200" s="318"/>
      <c r="D200" s="318"/>
      <c r="E200" s="318"/>
      <c r="F200" s="318"/>
      <c r="G200" s="463">
        <v>42139</v>
      </c>
      <c r="H200" s="436">
        <v>3300</v>
      </c>
      <c r="I200" s="317"/>
      <c r="J200" s="317"/>
      <c r="K200" s="436">
        <f t="shared" si="19"/>
        <v>3300</v>
      </c>
      <c r="L200" s="463">
        <v>42139</v>
      </c>
      <c r="M200" s="456">
        <v>2941.2229508635201</v>
      </c>
      <c r="N200" s="438">
        <f t="shared" si="20"/>
        <v>358.77704913647995</v>
      </c>
      <c r="O200" s="438">
        <f t="shared" si="21"/>
        <v>3243</v>
      </c>
      <c r="P200" s="452">
        <v>4</v>
      </c>
      <c r="Q200" s="453">
        <f t="shared" si="22"/>
        <v>8.8849315068493144</v>
      </c>
      <c r="R200" s="454">
        <f t="shared" si="23"/>
        <v>-4.8849315068493144</v>
      </c>
      <c r="S200" s="455">
        <f t="shared" si="28"/>
        <v>0.23749999999999999</v>
      </c>
      <c r="T200" s="442"/>
      <c r="U200" s="436">
        <f t="shared" si="24"/>
        <v>358.77704913647995</v>
      </c>
      <c r="V200" s="442">
        <f t="shared" si="25"/>
        <v>165</v>
      </c>
      <c r="W200" s="456">
        <f t="shared" si="26"/>
        <v>193.77704913647995</v>
      </c>
    </row>
    <row r="201" spans="1:23" ht="16.5">
      <c r="A201" s="450">
        <f t="shared" si="27"/>
        <v>194</v>
      </c>
      <c r="B201" s="462" t="s">
        <v>32</v>
      </c>
      <c r="C201" s="318"/>
      <c r="D201" s="318"/>
      <c r="E201" s="318"/>
      <c r="F201" s="318"/>
      <c r="G201" s="463">
        <v>42280</v>
      </c>
      <c r="H201" s="436">
        <v>1940</v>
      </c>
      <c r="I201" s="317"/>
      <c r="J201" s="317"/>
      <c r="K201" s="436">
        <f t="shared" ref="K201:K264" si="29">+H201+I201-J201</f>
        <v>1940</v>
      </c>
      <c r="L201" s="463">
        <v>42280</v>
      </c>
      <c r="M201" s="456">
        <v>1657.8894903477951</v>
      </c>
      <c r="N201" s="438">
        <f t="shared" ref="N201:N264" si="30">+K201-M201</f>
        <v>282.11050965220488</v>
      </c>
      <c r="O201" s="438">
        <f t="shared" ref="O201:O264" si="31">+$O$3-L201</f>
        <v>3102</v>
      </c>
      <c r="P201" s="452">
        <v>4</v>
      </c>
      <c r="Q201" s="453">
        <f t="shared" ref="Q201:Q247" si="32">+O201/365</f>
        <v>8.4986301369863018</v>
      </c>
      <c r="R201" s="454">
        <f t="shared" ref="R201:R247" si="33">+P201-Q201</f>
        <v>-4.4986301369863018</v>
      </c>
      <c r="S201" s="455">
        <f t="shared" si="28"/>
        <v>0.23749999999999999</v>
      </c>
      <c r="T201" s="442"/>
      <c r="U201" s="436">
        <f t="shared" ref="U201:U247" si="34">+N201-T201</f>
        <v>282.11050965220488</v>
      </c>
      <c r="V201" s="442">
        <f t="shared" ref="V201:V230" si="35">+H201*5%</f>
        <v>97</v>
      </c>
      <c r="W201" s="456">
        <f t="shared" ref="W201:W319" si="36">+U201-V201</f>
        <v>185.11050965220488</v>
      </c>
    </row>
    <row r="202" spans="1:23" ht="16.5">
      <c r="A202" s="450">
        <f t="shared" ref="A202:A265" si="37">+A201+1</f>
        <v>195</v>
      </c>
      <c r="B202" s="462" t="s">
        <v>32</v>
      </c>
      <c r="C202" s="318"/>
      <c r="D202" s="318"/>
      <c r="E202" s="318"/>
      <c r="F202" s="318"/>
      <c r="G202" s="463">
        <v>42443</v>
      </c>
      <c r="H202" s="436">
        <v>13000</v>
      </c>
      <c r="I202" s="317"/>
      <c r="J202" s="317"/>
      <c r="K202" s="436">
        <f t="shared" si="29"/>
        <v>13000</v>
      </c>
      <c r="L202" s="463">
        <v>42443</v>
      </c>
      <c r="M202" s="456">
        <v>10558.064170145055</v>
      </c>
      <c r="N202" s="438">
        <f t="shared" si="30"/>
        <v>2441.935829854945</v>
      </c>
      <c r="O202" s="438">
        <f t="shared" si="31"/>
        <v>2939</v>
      </c>
      <c r="P202" s="452">
        <v>4</v>
      </c>
      <c r="Q202" s="453">
        <f t="shared" si="32"/>
        <v>8.0520547945205472</v>
      </c>
      <c r="R202" s="454">
        <f t="shared" si="33"/>
        <v>-4.0520547945205472</v>
      </c>
      <c r="S202" s="455">
        <f t="shared" ref="S202:S247" si="38">1/P202*0.95</f>
        <v>0.23749999999999999</v>
      </c>
      <c r="T202" s="442"/>
      <c r="U202" s="436">
        <f t="shared" si="34"/>
        <v>2441.935829854945</v>
      </c>
      <c r="V202" s="442">
        <f t="shared" si="35"/>
        <v>650</v>
      </c>
      <c r="W202" s="456">
        <f t="shared" si="36"/>
        <v>1791.935829854945</v>
      </c>
    </row>
    <row r="203" spans="1:23" ht="16.5">
      <c r="A203" s="450">
        <f t="shared" si="37"/>
        <v>196</v>
      </c>
      <c r="B203" s="462" t="s">
        <v>32</v>
      </c>
      <c r="C203" s="318"/>
      <c r="D203" s="318"/>
      <c r="E203" s="318"/>
      <c r="F203" s="318"/>
      <c r="G203" s="463">
        <v>42444</v>
      </c>
      <c r="H203" s="436">
        <v>15000</v>
      </c>
      <c r="I203" s="317"/>
      <c r="J203" s="317"/>
      <c r="K203" s="436">
        <f t="shared" si="29"/>
        <v>15000</v>
      </c>
      <c r="L203" s="463">
        <v>42444</v>
      </c>
      <c r="M203" s="456">
        <v>12178.477733129273</v>
      </c>
      <c r="N203" s="438">
        <f t="shared" si="30"/>
        <v>2821.5222668707265</v>
      </c>
      <c r="O203" s="438">
        <f t="shared" si="31"/>
        <v>2938</v>
      </c>
      <c r="P203" s="452">
        <v>4</v>
      </c>
      <c r="Q203" s="453">
        <f t="shared" si="32"/>
        <v>8.0493150684931507</v>
      </c>
      <c r="R203" s="454">
        <f t="shared" si="33"/>
        <v>-4.0493150684931507</v>
      </c>
      <c r="S203" s="455">
        <f t="shared" si="38"/>
        <v>0.23749999999999999</v>
      </c>
      <c r="T203" s="442"/>
      <c r="U203" s="436">
        <f t="shared" si="34"/>
        <v>2821.5222668707265</v>
      </c>
      <c r="V203" s="442">
        <f t="shared" si="35"/>
        <v>750</v>
      </c>
      <c r="W203" s="456">
        <f t="shared" si="36"/>
        <v>2071.5222668707265</v>
      </c>
    </row>
    <row r="204" spans="1:23" ht="16.5">
      <c r="A204" s="450">
        <f t="shared" si="37"/>
        <v>197</v>
      </c>
      <c r="B204" s="462" t="s">
        <v>32</v>
      </c>
      <c r="C204" s="318"/>
      <c r="D204" s="318"/>
      <c r="E204" s="318"/>
      <c r="F204" s="318"/>
      <c r="G204" s="463">
        <v>42446</v>
      </c>
      <c r="H204" s="436">
        <v>7000</v>
      </c>
      <c r="I204" s="317"/>
      <c r="J204" s="317"/>
      <c r="K204" s="436">
        <f t="shared" si="29"/>
        <v>7000</v>
      </c>
      <c r="L204" s="463">
        <v>42446</v>
      </c>
      <c r="M204" s="456">
        <v>5679.6458738339588</v>
      </c>
      <c r="N204" s="438">
        <f t="shared" si="30"/>
        <v>1320.3541261660412</v>
      </c>
      <c r="O204" s="438">
        <f t="shared" si="31"/>
        <v>2936</v>
      </c>
      <c r="P204" s="452">
        <v>4</v>
      </c>
      <c r="Q204" s="453">
        <f t="shared" si="32"/>
        <v>8.043835616438356</v>
      </c>
      <c r="R204" s="454">
        <f t="shared" si="33"/>
        <v>-4.043835616438356</v>
      </c>
      <c r="S204" s="455">
        <f t="shared" si="38"/>
        <v>0.23749999999999999</v>
      </c>
      <c r="T204" s="442"/>
      <c r="U204" s="436">
        <f t="shared" si="34"/>
        <v>1320.3541261660412</v>
      </c>
      <c r="V204" s="442">
        <f t="shared" si="35"/>
        <v>350</v>
      </c>
      <c r="W204" s="456">
        <f t="shared" si="36"/>
        <v>970.35412616604117</v>
      </c>
    </row>
    <row r="205" spans="1:23" ht="16.5">
      <c r="A205" s="450">
        <f t="shared" si="37"/>
        <v>198</v>
      </c>
      <c r="B205" s="462" t="s">
        <v>32</v>
      </c>
      <c r="C205" s="318"/>
      <c r="D205" s="318"/>
      <c r="E205" s="318"/>
      <c r="F205" s="318"/>
      <c r="G205" s="463">
        <v>42447</v>
      </c>
      <c r="H205" s="436">
        <v>16250</v>
      </c>
      <c r="I205" s="317"/>
      <c r="J205" s="317"/>
      <c r="K205" s="436">
        <f t="shared" si="29"/>
        <v>16250</v>
      </c>
      <c r="L205" s="463">
        <v>42447</v>
      </c>
      <c r="M205" s="456">
        <v>13180.662871797093</v>
      </c>
      <c r="N205" s="438">
        <f t="shared" si="30"/>
        <v>3069.3371282029075</v>
      </c>
      <c r="O205" s="438">
        <f t="shared" si="31"/>
        <v>2935</v>
      </c>
      <c r="P205" s="452">
        <v>4</v>
      </c>
      <c r="Q205" s="453">
        <f t="shared" si="32"/>
        <v>8.0410958904109595</v>
      </c>
      <c r="R205" s="454">
        <f t="shared" si="33"/>
        <v>-4.0410958904109595</v>
      </c>
      <c r="S205" s="455">
        <f t="shared" si="38"/>
        <v>0.23749999999999999</v>
      </c>
      <c r="T205" s="442"/>
      <c r="U205" s="436">
        <f t="shared" si="34"/>
        <v>3069.3371282029075</v>
      </c>
      <c r="V205" s="442">
        <f t="shared" si="35"/>
        <v>812.5</v>
      </c>
      <c r="W205" s="456">
        <f t="shared" si="36"/>
        <v>2256.8371282029075</v>
      </c>
    </row>
    <row r="206" spans="1:23" ht="16.5">
      <c r="A206" s="450">
        <f t="shared" si="37"/>
        <v>199</v>
      </c>
      <c r="B206" s="462" t="s">
        <v>32</v>
      </c>
      <c r="C206" s="318"/>
      <c r="D206" s="318"/>
      <c r="E206" s="318"/>
      <c r="F206" s="318"/>
      <c r="G206" s="463">
        <v>42448</v>
      </c>
      <c r="H206" s="436">
        <v>2860</v>
      </c>
      <c r="I206" s="317"/>
      <c r="J206" s="317"/>
      <c r="K206" s="436">
        <f t="shared" si="29"/>
        <v>2860</v>
      </c>
      <c r="L206" s="463">
        <v>42448</v>
      </c>
      <c r="M206" s="456">
        <v>2319.0523024091217</v>
      </c>
      <c r="N206" s="438">
        <f t="shared" si="30"/>
        <v>540.94769759087831</v>
      </c>
      <c r="O206" s="438">
        <f t="shared" si="31"/>
        <v>2934</v>
      </c>
      <c r="P206" s="452">
        <v>4</v>
      </c>
      <c r="Q206" s="453">
        <f t="shared" si="32"/>
        <v>8.0383561643835613</v>
      </c>
      <c r="R206" s="454">
        <f t="shared" si="33"/>
        <v>-4.0383561643835613</v>
      </c>
      <c r="S206" s="455">
        <f t="shared" si="38"/>
        <v>0.23749999999999999</v>
      </c>
      <c r="T206" s="442"/>
      <c r="U206" s="436">
        <f t="shared" si="34"/>
        <v>540.94769759087831</v>
      </c>
      <c r="V206" s="442">
        <f t="shared" si="35"/>
        <v>143</v>
      </c>
      <c r="W206" s="456">
        <f t="shared" si="36"/>
        <v>397.94769759087831</v>
      </c>
    </row>
    <row r="207" spans="1:23" ht="16.5">
      <c r="A207" s="450">
        <f t="shared" si="37"/>
        <v>200</v>
      </c>
      <c r="B207" s="462" t="s">
        <v>32</v>
      </c>
      <c r="C207" s="318"/>
      <c r="D207" s="318"/>
      <c r="E207" s="318"/>
      <c r="F207" s="318"/>
      <c r="G207" s="463">
        <v>42448</v>
      </c>
      <c r="H207" s="436">
        <v>6827</v>
      </c>
      <c r="I207" s="317"/>
      <c r="J207" s="317"/>
      <c r="K207" s="436">
        <f t="shared" si="29"/>
        <v>6827</v>
      </c>
      <c r="L207" s="463">
        <v>42448</v>
      </c>
      <c r="M207" s="456">
        <v>5535.7238001912838</v>
      </c>
      <c r="N207" s="438">
        <f t="shared" si="30"/>
        <v>1291.2761998087162</v>
      </c>
      <c r="O207" s="438">
        <f t="shared" si="31"/>
        <v>2934</v>
      </c>
      <c r="P207" s="452">
        <v>4</v>
      </c>
      <c r="Q207" s="453">
        <f t="shared" si="32"/>
        <v>8.0383561643835613</v>
      </c>
      <c r="R207" s="454">
        <f t="shared" si="33"/>
        <v>-4.0383561643835613</v>
      </c>
      <c r="S207" s="455">
        <f t="shared" si="38"/>
        <v>0.23749999999999999</v>
      </c>
      <c r="T207" s="442"/>
      <c r="U207" s="436">
        <f t="shared" si="34"/>
        <v>1291.2761998087162</v>
      </c>
      <c r="V207" s="442">
        <f t="shared" si="35"/>
        <v>341.35</v>
      </c>
      <c r="W207" s="456">
        <f t="shared" si="36"/>
        <v>949.92619980871621</v>
      </c>
    </row>
    <row r="208" spans="1:23" ht="16.5">
      <c r="A208" s="450">
        <f t="shared" si="37"/>
        <v>201</v>
      </c>
      <c r="B208" s="462" t="s">
        <v>32</v>
      </c>
      <c r="C208" s="318"/>
      <c r="D208" s="318"/>
      <c r="E208" s="318"/>
      <c r="F208" s="318"/>
      <c r="G208" s="463">
        <v>42452</v>
      </c>
      <c r="H208" s="436">
        <v>15000</v>
      </c>
      <c r="I208" s="317"/>
      <c r="J208" s="317"/>
      <c r="K208" s="436">
        <f t="shared" si="29"/>
        <v>15000</v>
      </c>
      <c r="L208" s="463">
        <v>42452</v>
      </c>
      <c r="M208" s="456">
        <v>12147.245717767597</v>
      </c>
      <c r="N208" s="438">
        <f t="shared" si="30"/>
        <v>2852.7542822324031</v>
      </c>
      <c r="O208" s="438">
        <f t="shared" si="31"/>
        <v>2930</v>
      </c>
      <c r="P208" s="452">
        <v>4</v>
      </c>
      <c r="Q208" s="453">
        <f t="shared" si="32"/>
        <v>8.0273972602739718</v>
      </c>
      <c r="R208" s="454">
        <f t="shared" si="33"/>
        <v>-4.0273972602739718</v>
      </c>
      <c r="S208" s="455">
        <f t="shared" si="38"/>
        <v>0.23749999999999999</v>
      </c>
      <c r="T208" s="442"/>
      <c r="U208" s="436">
        <f t="shared" si="34"/>
        <v>2852.7542822324031</v>
      </c>
      <c r="V208" s="442">
        <f t="shared" si="35"/>
        <v>750</v>
      </c>
      <c r="W208" s="456">
        <f t="shared" si="36"/>
        <v>2102.7542822324031</v>
      </c>
    </row>
    <row r="209" spans="1:23" ht="16.5">
      <c r="A209" s="450">
        <f t="shared" si="37"/>
        <v>202</v>
      </c>
      <c r="B209" s="462" t="s">
        <v>32</v>
      </c>
      <c r="C209" s="318"/>
      <c r="D209" s="318"/>
      <c r="E209" s="318"/>
      <c r="F209" s="318"/>
      <c r="G209" s="463">
        <v>42454</v>
      </c>
      <c r="H209" s="436">
        <v>17000</v>
      </c>
      <c r="I209" s="317"/>
      <c r="J209" s="317"/>
      <c r="K209" s="436">
        <f t="shared" si="29"/>
        <v>17000</v>
      </c>
      <c r="L209" s="463">
        <v>42454</v>
      </c>
      <c r="M209" s="456">
        <v>13758.029408447739</v>
      </c>
      <c r="N209" s="438">
        <f t="shared" si="30"/>
        <v>3241.9705915522609</v>
      </c>
      <c r="O209" s="438">
        <f t="shared" si="31"/>
        <v>2928</v>
      </c>
      <c r="P209" s="452">
        <v>4</v>
      </c>
      <c r="Q209" s="453">
        <f t="shared" si="32"/>
        <v>8.0219178082191789</v>
      </c>
      <c r="R209" s="454">
        <f t="shared" si="33"/>
        <v>-4.0219178082191789</v>
      </c>
      <c r="S209" s="455">
        <f t="shared" si="38"/>
        <v>0.23749999999999999</v>
      </c>
      <c r="T209" s="442"/>
      <c r="U209" s="436">
        <f t="shared" si="34"/>
        <v>3241.9705915522609</v>
      </c>
      <c r="V209" s="442">
        <f t="shared" si="35"/>
        <v>850</v>
      </c>
      <c r="W209" s="456">
        <f t="shared" si="36"/>
        <v>2391.9705915522609</v>
      </c>
    </row>
    <row r="210" spans="1:23" ht="16.5">
      <c r="A210" s="450">
        <f t="shared" si="37"/>
        <v>203</v>
      </c>
      <c r="B210" s="462" t="s">
        <v>2323</v>
      </c>
      <c r="C210" s="318"/>
      <c r="D210" s="318"/>
      <c r="E210" s="318"/>
      <c r="F210" s="318"/>
      <c r="G210" s="463">
        <v>42752</v>
      </c>
      <c r="H210" s="436">
        <v>18549</v>
      </c>
      <c r="I210" s="317"/>
      <c r="J210" s="317"/>
      <c r="K210" s="436">
        <f t="shared" si="29"/>
        <v>18549</v>
      </c>
      <c r="L210" s="463">
        <v>42752</v>
      </c>
      <c r="M210" s="456">
        <v>17621.73132191781</v>
      </c>
      <c r="N210" s="438">
        <f t="shared" si="30"/>
        <v>927.26867808218958</v>
      </c>
      <c r="O210" s="438">
        <f t="shared" si="31"/>
        <v>2630</v>
      </c>
      <c r="P210" s="452">
        <v>4</v>
      </c>
      <c r="Q210" s="453">
        <f t="shared" si="32"/>
        <v>7.2054794520547949</v>
      </c>
      <c r="R210" s="454">
        <f t="shared" si="33"/>
        <v>-3.2054794520547949</v>
      </c>
      <c r="S210" s="455">
        <f t="shared" si="38"/>
        <v>0.23749999999999999</v>
      </c>
      <c r="T210" s="442"/>
      <c r="U210" s="436">
        <f t="shared" si="34"/>
        <v>927.26867808218958</v>
      </c>
      <c r="V210" s="442">
        <f t="shared" si="35"/>
        <v>927.45</v>
      </c>
      <c r="W210" s="456">
        <f t="shared" si="36"/>
        <v>-0.18132191781046458</v>
      </c>
    </row>
    <row r="211" spans="1:23" ht="16.5">
      <c r="A211" s="450">
        <f t="shared" si="37"/>
        <v>204</v>
      </c>
      <c r="B211" s="462"/>
      <c r="C211" s="318"/>
      <c r="D211" s="318"/>
      <c r="E211" s="318"/>
      <c r="F211" s="318"/>
      <c r="G211" s="463">
        <v>42825</v>
      </c>
      <c r="H211" s="436">
        <v>102912</v>
      </c>
      <c r="I211" s="317"/>
      <c r="J211" s="317"/>
      <c r="K211" s="436">
        <f t="shared" si="29"/>
        <v>102912</v>
      </c>
      <c r="L211" s="463">
        <v>42825</v>
      </c>
      <c r="M211" s="456">
        <v>97766.865315068484</v>
      </c>
      <c r="N211" s="438">
        <f t="shared" si="30"/>
        <v>5145.1346849315159</v>
      </c>
      <c r="O211" s="438">
        <f t="shared" si="31"/>
        <v>2557</v>
      </c>
      <c r="P211" s="452">
        <v>4</v>
      </c>
      <c r="Q211" s="453">
        <f t="shared" si="32"/>
        <v>7.0054794520547947</v>
      </c>
      <c r="R211" s="454">
        <f t="shared" si="33"/>
        <v>-3.0054794520547947</v>
      </c>
      <c r="S211" s="455">
        <f t="shared" si="38"/>
        <v>0.23749999999999999</v>
      </c>
      <c r="T211" s="442"/>
      <c r="U211" s="436">
        <f t="shared" si="34"/>
        <v>5145.1346849315159</v>
      </c>
      <c r="V211" s="442">
        <f t="shared" si="35"/>
        <v>5145.6000000000004</v>
      </c>
      <c r="W211" s="456">
        <f t="shared" si="36"/>
        <v>-0.46531506848441495</v>
      </c>
    </row>
    <row r="212" spans="1:23" ht="16.5">
      <c r="A212" s="450">
        <f t="shared" si="37"/>
        <v>205</v>
      </c>
      <c r="B212" s="462" t="s">
        <v>2324</v>
      </c>
      <c r="C212" s="318"/>
      <c r="D212" s="318"/>
      <c r="E212" s="318"/>
      <c r="F212" s="318"/>
      <c r="G212" s="463">
        <v>42499</v>
      </c>
      <c r="H212" s="436">
        <v>582828</v>
      </c>
      <c r="I212" s="317"/>
      <c r="J212" s="317"/>
      <c r="K212" s="436">
        <f t="shared" si="29"/>
        <v>582828</v>
      </c>
      <c r="L212" s="463">
        <v>42499</v>
      </c>
      <c r="M212" s="456">
        <v>582827.52156164392</v>
      </c>
      <c r="N212" s="438">
        <f t="shared" si="30"/>
        <v>0.4784383560763672</v>
      </c>
      <c r="O212" s="438">
        <f t="shared" si="31"/>
        <v>2883</v>
      </c>
      <c r="P212" s="452">
        <v>4</v>
      </c>
      <c r="Q212" s="453">
        <f t="shared" si="32"/>
        <v>7.8986301369863012</v>
      </c>
      <c r="R212" s="454">
        <f t="shared" si="33"/>
        <v>-3.8986301369863012</v>
      </c>
      <c r="S212" s="455">
        <f t="shared" si="38"/>
        <v>0.23749999999999999</v>
      </c>
      <c r="T212" s="442"/>
      <c r="U212" s="436">
        <f t="shared" si="34"/>
        <v>0.4784383560763672</v>
      </c>
      <c r="V212" s="442">
        <f t="shared" si="35"/>
        <v>29141.4</v>
      </c>
      <c r="W212" s="456">
        <f t="shared" si="36"/>
        <v>-29140.921561643925</v>
      </c>
    </row>
    <row r="213" spans="1:23" ht="16.5">
      <c r="A213" s="450">
        <f t="shared" si="37"/>
        <v>206</v>
      </c>
      <c r="B213" s="462" t="s">
        <v>2324</v>
      </c>
      <c r="C213" s="318"/>
      <c r="D213" s="318"/>
      <c r="E213" s="318"/>
      <c r="F213" s="318"/>
      <c r="G213" s="463">
        <v>42502</v>
      </c>
      <c r="H213" s="436">
        <v>8250</v>
      </c>
      <c r="I213" s="317"/>
      <c r="J213" s="317"/>
      <c r="K213" s="436">
        <f t="shared" si="29"/>
        <v>8250</v>
      </c>
      <c r="L213" s="463">
        <v>42502</v>
      </c>
      <c r="M213" s="456">
        <v>8250.3373287671238</v>
      </c>
      <c r="N213" s="438">
        <f t="shared" si="30"/>
        <v>-0.33732876712383586</v>
      </c>
      <c r="O213" s="438">
        <f t="shared" si="31"/>
        <v>2880</v>
      </c>
      <c r="P213" s="452">
        <v>4</v>
      </c>
      <c r="Q213" s="453">
        <f t="shared" si="32"/>
        <v>7.8904109589041092</v>
      </c>
      <c r="R213" s="454">
        <f t="shared" si="33"/>
        <v>-3.8904109589041092</v>
      </c>
      <c r="S213" s="455">
        <f t="shared" si="38"/>
        <v>0.23749999999999999</v>
      </c>
      <c r="T213" s="442"/>
      <c r="U213" s="436">
        <f t="shared" si="34"/>
        <v>-0.33732876712383586</v>
      </c>
      <c r="V213" s="442">
        <f t="shared" si="35"/>
        <v>412.5</v>
      </c>
      <c r="W213" s="456">
        <f t="shared" si="36"/>
        <v>-412.83732876712384</v>
      </c>
    </row>
    <row r="214" spans="1:23" ht="16.5">
      <c r="A214" s="450">
        <f t="shared" si="37"/>
        <v>207</v>
      </c>
      <c r="B214" s="462" t="s">
        <v>2324</v>
      </c>
      <c r="C214" s="318"/>
      <c r="D214" s="318"/>
      <c r="E214" s="318"/>
      <c r="F214" s="318"/>
      <c r="G214" s="463">
        <v>42507</v>
      </c>
      <c r="H214" s="436">
        <v>4950</v>
      </c>
      <c r="I214" s="317"/>
      <c r="J214" s="317"/>
      <c r="K214" s="436">
        <f t="shared" si="29"/>
        <v>4950</v>
      </c>
      <c r="L214" s="463">
        <v>42507</v>
      </c>
      <c r="M214" s="456">
        <v>4950.3606164383564</v>
      </c>
      <c r="N214" s="438">
        <f t="shared" si="30"/>
        <v>-0.36061643835637369</v>
      </c>
      <c r="O214" s="438">
        <f t="shared" si="31"/>
        <v>2875</v>
      </c>
      <c r="P214" s="452">
        <v>4</v>
      </c>
      <c r="Q214" s="453">
        <f t="shared" si="32"/>
        <v>7.8767123287671232</v>
      </c>
      <c r="R214" s="454">
        <f t="shared" si="33"/>
        <v>-3.8767123287671232</v>
      </c>
      <c r="S214" s="455">
        <f t="shared" si="38"/>
        <v>0.23749999999999999</v>
      </c>
      <c r="T214" s="442"/>
      <c r="U214" s="436">
        <f t="shared" si="34"/>
        <v>-0.36061643835637369</v>
      </c>
      <c r="V214" s="442">
        <f t="shared" si="35"/>
        <v>247.5</v>
      </c>
      <c r="W214" s="456">
        <f t="shared" si="36"/>
        <v>-247.86061643835637</v>
      </c>
    </row>
    <row r="215" spans="1:23" ht="16.5">
      <c r="A215" s="450">
        <f t="shared" si="37"/>
        <v>208</v>
      </c>
      <c r="B215" s="462" t="s">
        <v>2325</v>
      </c>
      <c r="C215" s="318"/>
      <c r="D215" s="318"/>
      <c r="E215" s="318"/>
      <c r="F215" s="318"/>
      <c r="G215" s="463">
        <v>42524</v>
      </c>
      <c r="H215" s="436">
        <v>54630</v>
      </c>
      <c r="I215" s="317"/>
      <c r="J215" s="317"/>
      <c r="K215" s="436">
        <f t="shared" si="29"/>
        <v>54630</v>
      </c>
      <c r="L215" s="463">
        <v>42524</v>
      </c>
      <c r="M215" s="456">
        <v>54629.642671232876</v>
      </c>
      <c r="N215" s="438">
        <f t="shared" si="30"/>
        <v>0.35732876712427242</v>
      </c>
      <c r="O215" s="438">
        <f t="shared" si="31"/>
        <v>2858</v>
      </c>
      <c r="P215" s="452">
        <v>4</v>
      </c>
      <c r="Q215" s="453">
        <f t="shared" si="32"/>
        <v>7.8301369863013699</v>
      </c>
      <c r="R215" s="454">
        <f t="shared" si="33"/>
        <v>-3.8301369863013699</v>
      </c>
      <c r="S215" s="455">
        <f t="shared" si="38"/>
        <v>0.23749999999999999</v>
      </c>
      <c r="T215" s="442"/>
      <c r="U215" s="436">
        <f t="shared" si="34"/>
        <v>0.35732876712427242</v>
      </c>
      <c r="V215" s="442">
        <f t="shared" si="35"/>
        <v>2731.5</v>
      </c>
      <c r="W215" s="456">
        <f t="shared" si="36"/>
        <v>-2731.1426712328757</v>
      </c>
    </row>
    <row r="216" spans="1:23" ht="16.5">
      <c r="A216" s="450">
        <f t="shared" si="37"/>
        <v>209</v>
      </c>
      <c r="B216" s="462" t="s">
        <v>2326</v>
      </c>
      <c r="C216" s="318"/>
      <c r="D216" s="318"/>
      <c r="E216" s="318"/>
      <c r="F216" s="318"/>
      <c r="G216" s="463">
        <v>42535</v>
      </c>
      <c r="H216" s="436">
        <v>62425</v>
      </c>
      <c r="I216" s="317"/>
      <c r="J216" s="317"/>
      <c r="K216" s="436">
        <f t="shared" si="29"/>
        <v>62425</v>
      </c>
      <c r="L216" s="463">
        <v>42535</v>
      </c>
      <c r="M216" s="456">
        <v>62424.614897260275</v>
      </c>
      <c r="N216" s="438">
        <f t="shared" si="30"/>
        <v>0.38510273972497089</v>
      </c>
      <c r="O216" s="438">
        <f t="shared" si="31"/>
        <v>2847</v>
      </c>
      <c r="P216" s="452">
        <v>4</v>
      </c>
      <c r="Q216" s="453">
        <f t="shared" si="32"/>
        <v>7.8</v>
      </c>
      <c r="R216" s="454">
        <f t="shared" si="33"/>
        <v>-3.8</v>
      </c>
      <c r="S216" s="455">
        <f t="shared" si="38"/>
        <v>0.23749999999999999</v>
      </c>
      <c r="T216" s="442"/>
      <c r="U216" s="436">
        <f t="shared" si="34"/>
        <v>0.38510273972497089</v>
      </c>
      <c r="V216" s="442">
        <f t="shared" si="35"/>
        <v>3121.25</v>
      </c>
      <c r="W216" s="456">
        <f t="shared" si="36"/>
        <v>-3120.864897260275</v>
      </c>
    </row>
    <row r="217" spans="1:23" ht="16.5">
      <c r="A217" s="450">
        <f t="shared" si="37"/>
        <v>210</v>
      </c>
      <c r="B217" s="462" t="s">
        <v>2324</v>
      </c>
      <c r="C217" s="318"/>
      <c r="D217" s="318"/>
      <c r="E217" s="318"/>
      <c r="F217" s="318"/>
      <c r="G217" s="463">
        <v>42545</v>
      </c>
      <c r="H217" s="436">
        <v>10600</v>
      </c>
      <c r="I217" s="317"/>
      <c r="J217" s="317"/>
      <c r="K217" s="436">
        <f t="shared" si="29"/>
        <v>10600</v>
      </c>
      <c r="L217" s="463">
        <v>42545</v>
      </c>
      <c r="M217" s="456">
        <v>10599.752054794521</v>
      </c>
      <c r="N217" s="438">
        <f t="shared" si="30"/>
        <v>0.24794520547948196</v>
      </c>
      <c r="O217" s="438">
        <f t="shared" si="31"/>
        <v>2837</v>
      </c>
      <c r="P217" s="452">
        <v>4</v>
      </c>
      <c r="Q217" s="453">
        <f t="shared" si="32"/>
        <v>7.7726027397260271</v>
      </c>
      <c r="R217" s="454">
        <f t="shared" si="33"/>
        <v>-3.7726027397260271</v>
      </c>
      <c r="S217" s="455">
        <f t="shared" si="38"/>
        <v>0.23749999999999999</v>
      </c>
      <c r="T217" s="442"/>
      <c r="U217" s="436">
        <f t="shared" si="34"/>
        <v>0.24794520547948196</v>
      </c>
      <c r="V217" s="442">
        <f t="shared" si="35"/>
        <v>530</v>
      </c>
      <c r="W217" s="456">
        <f t="shared" si="36"/>
        <v>-529.75205479452052</v>
      </c>
    </row>
    <row r="218" spans="1:23" ht="16.5">
      <c r="A218" s="450">
        <f t="shared" si="37"/>
        <v>211</v>
      </c>
      <c r="B218" s="462" t="s">
        <v>2327</v>
      </c>
      <c r="C218" s="318"/>
      <c r="D218" s="318"/>
      <c r="E218" s="318"/>
      <c r="F218" s="318"/>
      <c r="G218" s="463">
        <v>42552</v>
      </c>
      <c r="H218" s="436">
        <v>10500</v>
      </c>
      <c r="I218" s="317"/>
      <c r="J218" s="317"/>
      <c r="K218" s="436">
        <f t="shared" si="29"/>
        <v>10500</v>
      </c>
      <c r="L218" s="463">
        <v>42552</v>
      </c>
      <c r="M218" s="456">
        <v>10500.058219178081</v>
      </c>
      <c r="N218" s="438">
        <f t="shared" si="30"/>
        <v>-5.821917808134458E-2</v>
      </c>
      <c r="O218" s="438">
        <f t="shared" si="31"/>
        <v>2830</v>
      </c>
      <c r="P218" s="452">
        <v>4</v>
      </c>
      <c r="Q218" s="453">
        <f t="shared" si="32"/>
        <v>7.7534246575342465</v>
      </c>
      <c r="R218" s="454">
        <f t="shared" si="33"/>
        <v>-3.7534246575342465</v>
      </c>
      <c r="S218" s="455">
        <f t="shared" si="38"/>
        <v>0.23749999999999999</v>
      </c>
      <c r="T218" s="442"/>
      <c r="U218" s="436">
        <f t="shared" si="34"/>
        <v>-5.821917808134458E-2</v>
      </c>
      <c r="V218" s="442">
        <f t="shared" si="35"/>
        <v>525</v>
      </c>
      <c r="W218" s="456">
        <f t="shared" si="36"/>
        <v>-525.05821917808134</v>
      </c>
    </row>
    <row r="219" spans="1:23" ht="16.5">
      <c r="A219" s="450">
        <f t="shared" si="37"/>
        <v>212</v>
      </c>
      <c r="B219" s="462" t="s">
        <v>2325</v>
      </c>
      <c r="C219" s="318"/>
      <c r="D219" s="318"/>
      <c r="E219" s="318"/>
      <c r="F219" s="318"/>
      <c r="G219" s="463">
        <v>42588</v>
      </c>
      <c r="H219" s="436">
        <v>27136</v>
      </c>
      <c r="I219" s="317"/>
      <c r="J219" s="317"/>
      <c r="K219" s="436">
        <f t="shared" si="29"/>
        <v>27136</v>
      </c>
      <c r="L219" s="463">
        <v>42588</v>
      </c>
      <c r="M219" s="456">
        <v>27136.185095890407</v>
      </c>
      <c r="N219" s="438">
        <f t="shared" si="30"/>
        <v>-0.18509589040695573</v>
      </c>
      <c r="O219" s="438">
        <f t="shared" si="31"/>
        <v>2794</v>
      </c>
      <c r="P219" s="452">
        <v>4</v>
      </c>
      <c r="Q219" s="453">
        <f t="shared" si="32"/>
        <v>7.6547945205479451</v>
      </c>
      <c r="R219" s="454">
        <f t="shared" si="33"/>
        <v>-3.6547945205479451</v>
      </c>
      <c r="S219" s="455">
        <f t="shared" si="38"/>
        <v>0.23749999999999999</v>
      </c>
      <c r="T219" s="442"/>
      <c r="U219" s="436">
        <f t="shared" si="34"/>
        <v>-0.18509589040695573</v>
      </c>
      <c r="V219" s="442">
        <f t="shared" si="35"/>
        <v>1356.8000000000002</v>
      </c>
      <c r="W219" s="456">
        <f t="shared" si="36"/>
        <v>-1356.9850958904071</v>
      </c>
    </row>
    <row r="220" spans="1:23" ht="16.5">
      <c r="A220" s="450">
        <f t="shared" si="37"/>
        <v>213</v>
      </c>
      <c r="B220" s="462" t="s">
        <v>2324</v>
      </c>
      <c r="C220" s="318"/>
      <c r="D220" s="318"/>
      <c r="E220" s="318"/>
      <c r="F220" s="318"/>
      <c r="G220" s="463">
        <v>42592</v>
      </c>
      <c r="H220" s="436">
        <v>10000</v>
      </c>
      <c r="I220" s="317"/>
      <c r="J220" s="317"/>
      <c r="K220" s="436">
        <f t="shared" si="29"/>
        <v>10000</v>
      </c>
      <c r="L220" s="463">
        <v>42592</v>
      </c>
      <c r="M220" s="456">
        <v>10000.04109589041</v>
      </c>
      <c r="N220" s="438">
        <f t="shared" si="30"/>
        <v>-4.109589041036088E-2</v>
      </c>
      <c r="O220" s="438">
        <f t="shared" si="31"/>
        <v>2790</v>
      </c>
      <c r="P220" s="452">
        <v>4</v>
      </c>
      <c r="Q220" s="453">
        <f t="shared" si="32"/>
        <v>7.6438356164383565</v>
      </c>
      <c r="R220" s="454">
        <f t="shared" si="33"/>
        <v>-3.6438356164383565</v>
      </c>
      <c r="S220" s="455">
        <f t="shared" si="38"/>
        <v>0.23749999999999999</v>
      </c>
      <c r="T220" s="442"/>
      <c r="U220" s="436">
        <f t="shared" si="34"/>
        <v>-4.109589041036088E-2</v>
      </c>
      <c r="V220" s="442">
        <f t="shared" si="35"/>
        <v>500</v>
      </c>
      <c r="W220" s="456">
        <f t="shared" si="36"/>
        <v>-500.04109589041036</v>
      </c>
    </row>
    <row r="221" spans="1:23" ht="16.5">
      <c r="A221" s="450">
        <f t="shared" si="37"/>
        <v>214</v>
      </c>
      <c r="B221" s="462" t="s">
        <v>2324</v>
      </c>
      <c r="C221" s="318"/>
      <c r="D221" s="318"/>
      <c r="E221" s="318"/>
      <c r="F221" s="318"/>
      <c r="G221" s="463">
        <v>42623</v>
      </c>
      <c r="H221" s="436">
        <v>176330</v>
      </c>
      <c r="I221" s="317"/>
      <c r="J221" s="317"/>
      <c r="K221" s="436">
        <f t="shared" si="29"/>
        <v>176330</v>
      </c>
      <c r="L221" s="463">
        <v>42623</v>
      </c>
      <c r="M221" s="456">
        <v>176330.32924657533</v>
      </c>
      <c r="N221" s="438">
        <f t="shared" si="30"/>
        <v>-0.32924657533294521</v>
      </c>
      <c r="O221" s="438">
        <f t="shared" si="31"/>
        <v>2759</v>
      </c>
      <c r="P221" s="452">
        <v>4</v>
      </c>
      <c r="Q221" s="453">
        <f t="shared" si="32"/>
        <v>7.558904109589041</v>
      </c>
      <c r="R221" s="454">
        <f t="shared" si="33"/>
        <v>-3.558904109589041</v>
      </c>
      <c r="S221" s="455">
        <f t="shared" si="38"/>
        <v>0.23749999999999999</v>
      </c>
      <c r="T221" s="442"/>
      <c r="U221" s="436">
        <f t="shared" si="34"/>
        <v>-0.32924657533294521</v>
      </c>
      <c r="V221" s="442">
        <f t="shared" si="35"/>
        <v>8816.5</v>
      </c>
      <c r="W221" s="456">
        <f t="shared" si="36"/>
        <v>-8816.8292465753329</v>
      </c>
    </row>
    <row r="222" spans="1:23" ht="16.5">
      <c r="A222" s="450">
        <f t="shared" si="37"/>
        <v>215</v>
      </c>
      <c r="B222" s="462" t="s">
        <v>2324</v>
      </c>
      <c r="C222" s="318"/>
      <c r="D222" s="318"/>
      <c r="E222" s="318"/>
      <c r="F222" s="318"/>
      <c r="G222" s="463">
        <v>42626</v>
      </c>
      <c r="H222" s="436">
        <v>41934</v>
      </c>
      <c r="I222" s="317"/>
      <c r="J222" s="317"/>
      <c r="K222" s="436">
        <f t="shared" si="29"/>
        <v>41934</v>
      </c>
      <c r="L222" s="463">
        <v>42626</v>
      </c>
      <c r="M222" s="456">
        <v>41934.30075342465</v>
      </c>
      <c r="N222" s="438">
        <f t="shared" si="30"/>
        <v>-0.30075342464988353</v>
      </c>
      <c r="O222" s="438">
        <f t="shared" si="31"/>
        <v>2756</v>
      </c>
      <c r="P222" s="452">
        <v>4</v>
      </c>
      <c r="Q222" s="453">
        <f t="shared" si="32"/>
        <v>7.5506849315068489</v>
      </c>
      <c r="R222" s="454">
        <f t="shared" si="33"/>
        <v>-3.5506849315068489</v>
      </c>
      <c r="S222" s="455">
        <f t="shared" si="38"/>
        <v>0.23749999999999999</v>
      </c>
      <c r="T222" s="442"/>
      <c r="U222" s="436">
        <f t="shared" si="34"/>
        <v>-0.30075342464988353</v>
      </c>
      <c r="V222" s="442">
        <f t="shared" si="35"/>
        <v>2096.7000000000003</v>
      </c>
      <c r="W222" s="456">
        <f t="shared" si="36"/>
        <v>-2097.0007534246502</v>
      </c>
    </row>
    <row r="223" spans="1:23" ht="16.5">
      <c r="A223" s="450">
        <f>+A222+1</f>
        <v>216</v>
      </c>
      <c r="B223" s="462" t="s">
        <v>2328</v>
      </c>
      <c r="C223" s="318"/>
      <c r="D223" s="318"/>
      <c r="E223" s="318"/>
      <c r="F223" s="318"/>
      <c r="G223" s="463">
        <v>42639</v>
      </c>
      <c r="H223" s="436">
        <v>6400</v>
      </c>
      <c r="I223" s="317"/>
      <c r="J223" s="317"/>
      <c r="K223" s="436">
        <f t="shared" si="29"/>
        <v>6400</v>
      </c>
      <c r="L223" s="463">
        <v>42639</v>
      </c>
      <c r="M223" s="456">
        <v>6400.495890410959</v>
      </c>
      <c r="N223" s="438">
        <f t="shared" si="30"/>
        <v>-0.49589041095896391</v>
      </c>
      <c r="O223" s="438">
        <f t="shared" si="31"/>
        <v>2743</v>
      </c>
      <c r="P223" s="452">
        <v>4</v>
      </c>
      <c r="Q223" s="453">
        <f t="shared" si="32"/>
        <v>7.515068493150685</v>
      </c>
      <c r="R223" s="454">
        <f t="shared" si="33"/>
        <v>-3.515068493150685</v>
      </c>
      <c r="S223" s="455">
        <f t="shared" si="38"/>
        <v>0.23749999999999999</v>
      </c>
      <c r="T223" s="442"/>
      <c r="U223" s="436">
        <f t="shared" si="34"/>
        <v>-0.49589041095896391</v>
      </c>
      <c r="V223" s="442">
        <f t="shared" si="35"/>
        <v>320</v>
      </c>
      <c r="W223" s="456">
        <f t="shared" si="36"/>
        <v>-320.49589041095896</v>
      </c>
    </row>
    <row r="224" spans="1:23" ht="16.5">
      <c r="A224" s="450">
        <f t="shared" si="37"/>
        <v>217</v>
      </c>
      <c r="B224" s="462" t="s">
        <v>2325</v>
      </c>
      <c r="C224" s="318"/>
      <c r="D224" s="318"/>
      <c r="E224" s="318"/>
      <c r="F224" s="318"/>
      <c r="G224" s="463">
        <v>42648</v>
      </c>
      <c r="H224" s="436">
        <v>3600</v>
      </c>
      <c r="I224" s="317"/>
      <c r="J224" s="317"/>
      <c r="K224" s="436">
        <f t="shared" si="29"/>
        <v>3600</v>
      </c>
      <c r="L224" s="463">
        <v>42648</v>
      </c>
      <c r="M224" s="456">
        <v>3599.7835616438356</v>
      </c>
      <c r="N224" s="438">
        <f t="shared" si="30"/>
        <v>0.2164383561644172</v>
      </c>
      <c r="O224" s="438">
        <f t="shared" si="31"/>
        <v>2734</v>
      </c>
      <c r="P224" s="452">
        <v>4</v>
      </c>
      <c r="Q224" s="453">
        <f t="shared" si="32"/>
        <v>7.4904109589041097</v>
      </c>
      <c r="R224" s="454">
        <f t="shared" si="33"/>
        <v>-3.4904109589041097</v>
      </c>
      <c r="S224" s="455">
        <f t="shared" si="38"/>
        <v>0.23749999999999999</v>
      </c>
      <c r="T224" s="442"/>
      <c r="U224" s="436">
        <f t="shared" si="34"/>
        <v>0.2164383561644172</v>
      </c>
      <c r="V224" s="442">
        <f t="shared" si="35"/>
        <v>180</v>
      </c>
      <c r="W224" s="456">
        <f t="shared" si="36"/>
        <v>-179.78356164383558</v>
      </c>
    </row>
    <row r="225" spans="1:23" ht="16.5">
      <c r="A225" s="450">
        <f t="shared" si="37"/>
        <v>218</v>
      </c>
      <c r="B225" s="462" t="s">
        <v>2324</v>
      </c>
      <c r="C225" s="318"/>
      <c r="D225" s="318"/>
      <c r="E225" s="318"/>
      <c r="F225" s="318"/>
      <c r="G225" s="463">
        <v>42645</v>
      </c>
      <c r="H225" s="436">
        <v>15660</v>
      </c>
      <c r="I225" s="317"/>
      <c r="J225" s="317"/>
      <c r="K225" s="436">
        <f t="shared" si="29"/>
        <v>15660</v>
      </c>
      <c r="L225" s="463">
        <v>42645</v>
      </c>
      <c r="M225" s="456">
        <v>15659.886164383563</v>
      </c>
      <c r="N225" s="438">
        <f t="shared" si="30"/>
        <v>0.11383561643742723</v>
      </c>
      <c r="O225" s="438">
        <f t="shared" si="31"/>
        <v>2737</v>
      </c>
      <c r="P225" s="452">
        <v>4</v>
      </c>
      <c r="Q225" s="453">
        <f t="shared" si="32"/>
        <v>7.4986301369863018</v>
      </c>
      <c r="R225" s="454">
        <f t="shared" si="33"/>
        <v>-3.4986301369863018</v>
      </c>
      <c r="S225" s="455">
        <f t="shared" si="38"/>
        <v>0.23749999999999999</v>
      </c>
      <c r="T225" s="442"/>
      <c r="U225" s="436">
        <f t="shared" si="34"/>
        <v>0.11383561643742723</v>
      </c>
      <c r="V225" s="442">
        <f t="shared" si="35"/>
        <v>783</v>
      </c>
      <c r="W225" s="456">
        <f t="shared" si="36"/>
        <v>-782.88616438356257</v>
      </c>
    </row>
    <row r="226" spans="1:23" ht="16.5">
      <c r="A226" s="450">
        <f t="shared" si="37"/>
        <v>219</v>
      </c>
      <c r="B226" s="462" t="s">
        <v>2328</v>
      </c>
      <c r="C226" s="318"/>
      <c r="D226" s="318"/>
      <c r="E226" s="318"/>
      <c r="F226" s="318"/>
      <c r="G226" s="463">
        <v>42678</v>
      </c>
      <c r="H226" s="436">
        <v>8000</v>
      </c>
      <c r="I226" s="317"/>
      <c r="J226" s="317"/>
      <c r="K226" s="436">
        <f t="shared" si="29"/>
        <v>8000</v>
      </c>
      <c r="L226" s="463">
        <v>42678</v>
      </c>
      <c r="M226" s="456">
        <v>8000.1643835616433</v>
      </c>
      <c r="N226" s="438">
        <f t="shared" si="30"/>
        <v>-0.16438356164326251</v>
      </c>
      <c r="O226" s="438">
        <f t="shared" si="31"/>
        <v>2704</v>
      </c>
      <c r="P226" s="452">
        <v>4</v>
      </c>
      <c r="Q226" s="453">
        <f t="shared" si="32"/>
        <v>7.4082191780821915</v>
      </c>
      <c r="R226" s="454">
        <f t="shared" si="33"/>
        <v>-3.4082191780821915</v>
      </c>
      <c r="S226" s="455">
        <f t="shared" si="38"/>
        <v>0.23749999999999999</v>
      </c>
      <c r="T226" s="442"/>
      <c r="U226" s="436">
        <f t="shared" si="34"/>
        <v>-0.16438356164326251</v>
      </c>
      <c r="V226" s="442">
        <f t="shared" si="35"/>
        <v>400</v>
      </c>
      <c r="W226" s="456">
        <f t="shared" si="36"/>
        <v>-400.16438356164326</v>
      </c>
    </row>
    <row r="227" spans="1:23" ht="16.5">
      <c r="A227" s="450">
        <f t="shared" si="37"/>
        <v>220</v>
      </c>
      <c r="B227" s="462" t="s">
        <v>2324</v>
      </c>
      <c r="C227" s="318"/>
      <c r="D227" s="318"/>
      <c r="E227" s="318"/>
      <c r="F227" s="318"/>
      <c r="G227" s="463">
        <v>42692</v>
      </c>
      <c r="H227" s="436">
        <v>12800</v>
      </c>
      <c r="I227" s="317"/>
      <c r="J227" s="317"/>
      <c r="K227" s="436">
        <f t="shared" si="29"/>
        <v>12800</v>
      </c>
      <c r="L227" s="463">
        <v>42692</v>
      </c>
      <c r="M227" s="456">
        <v>12800.42191780822</v>
      </c>
      <c r="N227" s="438">
        <f t="shared" si="30"/>
        <v>-0.42191780822031433</v>
      </c>
      <c r="O227" s="438">
        <f t="shared" si="31"/>
        <v>2690</v>
      </c>
      <c r="P227" s="452">
        <v>4</v>
      </c>
      <c r="Q227" s="453">
        <f t="shared" si="32"/>
        <v>7.3698630136986303</v>
      </c>
      <c r="R227" s="454">
        <f t="shared" si="33"/>
        <v>-3.3698630136986303</v>
      </c>
      <c r="S227" s="455">
        <f t="shared" si="38"/>
        <v>0.23749999999999999</v>
      </c>
      <c r="T227" s="442"/>
      <c r="U227" s="436">
        <f t="shared" si="34"/>
        <v>-0.42191780822031433</v>
      </c>
      <c r="V227" s="442">
        <f t="shared" si="35"/>
        <v>640</v>
      </c>
      <c r="W227" s="456">
        <f t="shared" si="36"/>
        <v>-640.42191780822031</v>
      </c>
    </row>
    <row r="228" spans="1:23" ht="16.5">
      <c r="A228" s="450">
        <f t="shared" si="37"/>
        <v>221</v>
      </c>
      <c r="B228" s="462" t="s">
        <v>2324</v>
      </c>
      <c r="C228" s="318"/>
      <c r="D228" s="318"/>
      <c r="E228" s="318"/>
      <c r="F228" s="318"/>
      <c r="G228" s="463">
        <v>42777</v>
      </c>
      <c r="H228" s="436">
        <v>15000</v>
      </c>
      <c r="I228" s="317"/>
      <c r="J228" s="317"/>
      <c r="K228" s="436">
        <f t="shared" si="29"/>
        <v>15000</v>
      </c>
      <c r="L228" s="463">
        <v>42777</v>
      </c>
      <c r="M228" s="456">
        <v>15000.301369863013</v>
      </c>
      <c r="N228" s="438">
        <f t="shared" si="30"/>
        <v>-0.3013698630129511</v>
      </c>
      <c r="O228" s="438">
        <f t="shared" si="31"/>
        <v>2605</v>
      </c>
      <c r="P228" s="452">
        <v>3</v>
      </c>
      <c r="Q228" s="453">
        <f t="shared" si="32"/>
        <v>7.1369863013698627</v>
      </c>
      <c r="R228" s="454">
        <f t="shared" si="33"/>
        <v>-4.1369863013698627</v>
      </c>
      <c r="S228" s="455">
        <f t="shared" si="38"/>
        <v>0.31666666666666665</v>
      </c>
      <c r="T228" s="442"/>
      <c r="U228" s="436">
        <f t="shared" si="34"/>
        <v>-0.3013698630129511</v>
      </c>
      <c r="V228" s="442">
        <f t="shared" si="35"/>
        <v>750</v>
      </c>
      <c r="W228" s="456">
        <f t="shared" si="36"/>
        <v>-750.30136986301295</v>
      </c>
    </row>
    <row r="229" spans="1:23" ht="16.5">
      <c r="A229" s="450">
        <f t="shared" si="37"/>
        <v>222</v>
      </c>
      <c r="B229" s="460" t="s">
        <v>2329</v>
      </c>
      <c r="C229" s="318"/>
      <c r="D229" s="318"/>
      <c r="E229" s="318"/>
      <c r="F229" s="318"/>
      <c r="G229" s="463">
        <v>42803</v>
      </c>
      <c r="H229" s="436">
        <v>139200</v>
      </c>
      <c r="I229" s="317"/>
      <c r="J229" s="317"/>
      <c r="K229" s="436">
        <f t="shared" si="29"/>
        <v>139200</v>
      </c>
      <c r="L229" s="463">
        <v>42803</v>
      </c>
      <c r="M229" s="456">
        <v>139200.29315068491</v>
      </c>
      <c r="N229" s="438">
        <f t="shared" si="30"/>
        <v>-0.29315068491268903</v>
      </c>
      <c r="O229" s="438">
        <f t="shared" si="31"/>
        <v>2579</v>
      </c>
      <c r="P229" s="452">
        <v>3</v>
      </c>
      <c r="Q229" s="453">
        <f t="shared" si="32"/>
        <v>7.065753424657534</v>
      </c>
      <c r="R229" s="454">
        <f t="shared" si="33"/>
        <v>-4.065753424657534</v>
      </c>
      <c r="S229" s="455">
        <f t="shared" si="38"/>
        <v>0.31666666666666665</v>
      </c>
      <c r="T229" s="442"/>
      <c r="U229" s="436">
        <f t="shared" si="34"/>
        <v>-0.29315068491268903</v>
      </c>
      <c r="V229" s="442">
        <f t="shared" si="35"/>
        <v>6960</v>
      </c>
      <c r="W229" s="456">
        <f t="shared" si="36"/>
        <v>-6960.2931506849127</v>
      </c>
    </row>
    <row r="230" spans="1:23" ht="16.5">
      <c r="A230" s="450">
        <f t="shared" si="37"/>
        <v>223</v>
      </c>
      <c r="B230" s="460" t="s">
        <v>184</v>
      </c>
      <c r="C230" s="318"/>
      <c r="D230" s="318"/>
      <c r="E230" s="318"/>
      <c r="F230" s="318"/>
      <c r="G230" s="463">
        <v>42809</v>
      </c>
      <c r="H230" s="436">
        <v>160800</v>
      </c>
      <c r="I230" s="317"/>
      <c r="J230" s="317"/>
      <c r="K230" s="436">
        <f t="shared" si="29"/>
        <v>160800</v>
      </c>
      <c r="L230" s="463">
        <v>42809</v>
      </c>
      <c r="M230" s="456">
        <v>152760.48493150686</v>
      </c>
      <c r="N230" s="438">
        <f t="shared" si="30"/>
        <v>8039.5150684931432</v>
      </c>
      <c r="O230" s="438">
        <f t="shared" si="31"/>
        <v>2573</v>
      </c>
      <c r="P230" s="452">
        <v>3</v>
      </c>
      <c r="Q230" s="453">
        <f t="shared" si="32"/>
        <v>7.0493150684931507</v>
      </c>
      <c r="R230" s="454">
        <f t="shared" si="33"/>
        <v>-4.0493150684931507</v>
      </c>
      <c r="S230" s="455">
        <f t="shared" si="38"/>
        <v>0.31666666666666665</v>
      </c>
      <c r="T230" s="442">
        <v>0</v>
      </c>
      <c r="U230" s="436">
        <f t="shared" si="34"/>
        <v>8039.5150684931432</v>
      </c>
      <c r="V230" s="442">
        <f t="shared" si="35"/>
        <v>8040</v>
      </c>
      <c r="W230" s="456">
        <f t="shared" si="36"/>
        <v>-0.4849315068568103</v>
      </c>
    </row>
    <row r="231" spans="1:23" ht="16.5">
      <c r="A231" s="450">
        <f t="shared" si="37"/>
        <v>224</v>
      </c>
      <c r="B231" s="406" t="s">
        <v>2330</v>
      </c>
      <c r="C231" s="318" t="s">
        <v>2020</v>
      </c>
      <c r="D231" s="464" t="s">
        <v>1302</v>
      </c>
      <c r="E231" s="318"/>
      <c r="F231" s="318"/>
      <c r="G231" s="463">
        <v>43555</v>
      </c>
      <c r="H231" s="465">
        <v>1275000</v>
      </c>
      <c r="I231" s="317"/>
      <c r="J231" s="317"/>
      <c r="K231" s="436">
        <f t="shared" si="29"/>
        <v>1275000</v>
      </c>
      <c r="L231" s="463">
        <v>43555</v>
      </c>
      <c r="M231" s="456">
        <v>1211250</v>
      </c>
      <c r="N231" s="438">
        <f t="shared" si="30"/>
        <v>63750</v>
      </c>
      <c r="O231" s="438">
        <f t="shared" si="31"/>
        <v>1827</v>
      </c>
      <c r="P231" s="452">
        <v>3</v>
      </c>
      <c r="Q231" s="453">
        <f t="shared" si="32"/>
        <v>5.0054794520547947</v>
      </c>
      <c r="R231" s="454">
        <f t="shared" si="33"/>
        <v>-2.0054794520547947</v>
      </c>
      <c r="S231" s="455">
        <f t="shared" si="38"/>
        <v>0.31666666666666665</v>
      </c>
      <c r="T231" s="442">
        <v>0</v>
      </c>
      <c r="U231" s="436">
        <f t="shared" si="34"/>
        <v>63750</v>
      </c>
      <c r="V231" s="442">
        <f>+H231*5%</f>
        <v>63750</v>
      </c>
      <c r="W231" s="456">
        <f t="shared" si="36"/>
        <v>0</v>
      </c>
    </row>
    <row r="232" spans="1:23" ht="16.5">
      <c r="A232" s="450">
        <f t="shared" si="37"/>
        <v>225</v>
      </c>
      <c r="B232" s="406" t="s">
        <v>2331</v>
      </c>
      <c r="C232" s="318"/>
      <c r="D232" s="464" t="s">
        <v>1302</v>
      </c>
      <c r="E232" s="318"/>
      <c r="F232" s="318"/>
      <c r="G232" s="463">
        <v>43555</v>
      </c>
      <c r="H232" s="465">
        <v>2476323</v>
      </c>
      <c r="I232" s="317"/>
      <c r="J232" s="317"/>
      <c r="K232" s="436">
        <f t="shared" si="29"/>
        <v>2476323</v>
      </c>
      <c r="L232" s="463">
        <v>43555</v>
      </c>
      <c r="M232" s="456">
        <v>2352506.9</v>
      </c>
      <c r="N232" s="438">
        <f t="shared" si="30"/>
        <v>123816.10000000009</v>
      </c>
      <c r="O232" s="438">
        <f t="shared" si="31"/>
        <v>1827</v>
      </c>
      <c r="P232" s="452">
        <v>3</v>
      </c>
      <c r="Q232" s="453">
        <f t="shared" si="32"/>
        <v>5.0054794520547947</v>
      </c>
      <c r="R232" s="454">
        <f t="shared" si="33"/>
        <v>-2.0054794520547947</v>
      </c>
      <c r="S232" s="455">
        <f t="shared" si="38"/>
        <v>0.31666666666666665</v>
      </c>
      <c r="T232" s="442">
        <v>0</v>
      </c>
      <c r="U232" s="436">
        <f t="shared" si="34"/>
        <v>123816.10000000009</v>
      </c>
      <c r="V232" s="442">
        <f>+H232*5%</f>
        <v>123816.15000000001</v>
      </c>
      <c r="W232" s="456">
        <f t="shared" si="36"/>
        <v>-4.9999999915598892E-2</v>
      </c>
    </row>
    <row r="233" spans="1:23" ht="16.5">
      <c r="A233" s="450">
        <f t="shared" si="37"/>
        <v>226</v>
      </c>
      <c r="B233" s="466" t="s">
        <v>2332</v>
      </c>
      <c r="C233" s="318" t="s">
        <v>2093</v>
      </c>
      <c r="D233" s="464" t="s">
        <v>1302</v>
      </c>
      <c r="E233" s="466" t="s">
        <v>2333</v>
      </c>
      <c r="F233" s="467">
        <v>663</v>
      </c>
      <c r="G233" s="468">
        <v>43788</v>
      </c>
      <c r="H233" s="465">
        <v>31000</v>
      </c>
      <c r="I233" s="317"/>
      <c r="J233" s="317"/>
      <c r="K233" s="436">
        <f t="shared" si="29"/>
        <v>31000</v>
      </c>
      <c r="L233" s="463">
        <v>43555</v>
      </c>
      <c r="M233" s="456">
        <v>29449.552511415524</v>
      </c>
      <c r="N233" s="438">
        <f t="shared" si="30"/>
        <v>1550.4474885844756</v>
      </c>
      <c r="O233" s="438">
        <f t="shared" si="31"/>
        <v>1827</v>
      </c>
      <c r="P233" s="452">
        <v>3</v>
      </c>
      <c r="Q233" s="453">
        <f t="shared" si="32"/>
        <v>5.0054794520547947</v>
      </c>
      <c r="R233" s="454">
        <f t="shared" si="33"/>
        <v>-2.0054794520547947</v>
      </c>
      <c r="S233" s="455">
        <f t="shared" si="38"/>
        <v>0.31666666666666665</v>
      </c>
      <c r="T233" s="442">
        <v>0</v>
      </c>
      <c r="U233" s="436">
        <f t="shared" si="34"/>
        <v>1550.4474885844756</v>
      </c>
      <c r="V233" s="442">
        <f t="shared" ref="V233:V247" si="39">+H233*5%</f>
        <v>1550</v>
      </c>
      <c r="W233" s="456">
        <f t="shared" si="36"/>
        <v>0.44748858447564999</v>
      </c>
    </row>
    <row r="234" spans="1:23" ht="16.5">
      <c r="A234" s="450">
        <f t="shared" si="37"/>
        <v>227</v>
      </c>
      <c r="B234" s="466" t="s">
        <v>2334</v>
      </c>
      <c r="C234" s="318" t="s">
        <v>2093</v>
      </c>
      <c r="D234" s="464" t="s">
        <v>1302</v>
      </c>
      <c r="E234" s="466" t="s">
        <v>2333</v>
      </c>
      <c r="F234" s="467">
        <v>632</v>
      </c>
      <c r="G234" s="468">
        <v>43780</v>
      </c>
      <c r="H234" s="465">
        <v>1263100</v>
      </c>
      <c r="I234" s="317"/>
      <c r="J234" s="317"/>
      <c r="K234" s="436">
        <f t="shared" si="29"/>
        <v>1263100</v>
      </c>
      <c r="L234" s="463">
        <v>43555</v>
      </c>
      <c r="M234" s="456">
        <v>1199945.4127853881</v>
      </c>
      <c r="N234" s="438">
        <f t="shared" si="30"/>
        <v>63154.587214611936</v>
      </c>
      <c r="O234" s="438">
        <f t="shared" si="31"/>
        <v>1827</v>
      </c>
      <c r="P234" s="452">
        <v>3</v>
      </c>
      <c r="Q234" s="453">
        <f t="shared" si="32"/>
        <v>5.0054794520547947</v>
      </c>
      <c r="R234" s="454">
        <f t="shared" si="33"/>
        <v>-2.0054794520547947</v>
      </c>
      <c r="S234" s="455">
        <f t="shared" si="38"/>
        <v>0.31666666666666665</v>
      </c>
      <c r="T234" s="442">
        <v>0</v>
      </c>
      <c r="U234" s="436">
        <f t="shared" si="34"/>
        <v>63154.587214611936</v>
      </c>
      <c r="V234" s="442">
        <f t="shared" si="39"/>
        <v>63155</v>
      </c>
      <c r="W234" s="456">
        <f t="shared" si="36"/>
        <v>-0.4127853880636394</v>
      </c>
    </row>
    <row r="235" spans="1:23" ht="16.5">
      <c r="A235" s="450">
        <f t="shared" si="37"/>
        <v>228</v>
      </c>
      <c r="B235" s="466" t="s">
        <v>2334</v>
      </c>
      <c r="C235" s="318" t="s">
        <v>2093</v>
      </c>
      <c r="D235" s="464" t="s">
        <v>1302</v>
      </c>
      <c r="E235" s="466" t="s">
        <v>2333</v>
      </c>
      <c r="F235" s="467">
        <v>667</v>
      </c>
      <c r="G235" s="468">
        <v>43781</v>
      </c>
      <c r="H235" s="465">
        <v>1224400</v>
      </c>
      <c r="I235" s="317"/>
      <c r="J235" s="317"/>
      <c r="K235" s="436">
        <f t="shared" si="29"/>
        <v>1224400</v>
      </c>
      <c r="L235" s="463">
        <v>43555</v>
      </c>
      <c r="M235" s="456">
        <v>1163179.5799086757</v>
      </c>
      <c r="N235" s="438">
        <f t="shared" si="30"/>
        <v>61220.420091324253</v>
      </c>
      <c r="O235" s="438">
        <f t="shared" si="31"/>
        <v>1827</v>
      </c>
      <c r="P235" s="452">
        <v>3</v>
      </c>
      <c r="Q235" s="453">
        <f t="shared" si="32"/>
        <v>5.0054794520547947</v>
      </c>
      <c r="R235" s="454">
        <f t="shared" si="33"/>
        <v>-2.0054794520547947</v>
      </c>
      <c r="S235" s="455">
        <f t="shared" si="38"/>
        <v>0.31666666666666665</v>
      </c>
      <c r="T235" s="442">
        <v>0</v>
      </c>
      <c r="U235" s="436">
        <f t="shared" si="34"/>
        <v>61220.420091324253</v>
      </c>
      <c r="V235" s="442">
        <f t="shared" si="39"/>
        <v>61220</v>
      </c>
      <c r="W235" s="456">
        <f t="shared" si="36"/>
        <v>0.42009132425300777</v>
      </c>
    </row>
    <row r="236" spans="1:23" ht="16.5">
      <c r="A236" s="450">
        <f t="shared" si="37"/>
        <v>229</v>
      </c>
      <c r="B236" s="466" t="s">
        <v>2334</v>
      </c>
      <c r="C236" s="318" t="s">
        <v>2093</v>
      </c>
      <c r="D236" s="464" t="s">
        <v>1302</v>
      </c>
      <c r="E236" s="466" t="s">
        <v>2333</v>
      </c>
      <c r="F236" s="467">
        <v>636</v>
      </c>
      <c r="G236" s="468">
        <v>43781</v>
      </c>
      <c r="H236" s="465">
        <v>21000</v>
      </c>
      <c r="I236" s="317"/>
      <c r="J236" s="317"/>
      <c r="K236" s="436">
        <f t="shared" si="29"/>
        <v>21000</v>
      </c>
      <c r="L236" s="463">
        <v>43555</v>
      </c>
      <c r="M236" s="456">
        <v>19950.410958904111</v>
      </c>
      <c r="N236" s="438">
        <f t="shared" si="30"/>
        <v>1049.5890410958891</v>
      </c>
      <c r="O236" s="438">
        <f t="shared" si="31"/>
        <v>1827</v>
      </c>
      <c r="P236" s="452">
        <v>3</v>
      </c>
      <c r="Q236" s="453">
        <f t="shared" si="32"/>
        <v>5.0054794520547947</v>
      </c>
      <c r="R236" s="454">
        <f t="shared" si="33"/>
        <v>-2.0054794520547947</v>
      </c>
      <c r="S236" s="455">
        <f t="shared" si="38"/>
        <v>0.31666666666666665</v>
      </c>
      <c r="T236" s="442">
        <v>0</v>
      </c>
      <c r="U236" s="436">
        <f t="shared" si="34"/>
        <v>1049.5890410958891</v>
      </c>
      <c r="V236" s="442">
        <f t="shared" si="39"/>
        <v>1050</v>
      </c>
      <c r="W236" s="456">
        <f t="shared" si="36"/>
        <v>-0.41095890411088476</v>
      </c>
    </row>
    <row r="237" spans="1:23" ht="16.5">
      <c r="A237" s="450">
        <f t="shared" si="37"/>
        <v>230</v>
      </c>
      <c r="B237" s="466" t="s">
        <v>807</v>
      </c>
      <c r="C237" s="318" t="s">
        <v>2093</v>
      </c>
      <c r="D237" s="464" t="s">
        <v>1302</v>
      </c>
      <c r="E237" s="466" t="s">
        <v>2333</v>
      </c>
      <c r="F237" s="467">
        <v>828</v>
      </c>
      <c r="G237" s="468">
        <v>43833</v>
      </c>
      <c r="H237" s="465">
        <v>28000</v>
      </c>
      <c r="I237" s="317"/>
      <c r="J237" s="317"/>
      <c r="K237" s="436">
        <f t="shared" si="29"/>
        <v>28000</v>
      </c>
      <c r="L237" s="463">
        <v>43555</v>
      </c>
      <c r="M237" s="456">
        <v>26599.963470319635</v>
      </c>
      <c r="N237" s="438">
        <f t="shared" si="30"/>
        <v>1400.0365296803648</v>
      </c>
      <c r="O237" s="438">
        <f t="shared" si="31"/>
        <v>1827</v>
      </c>
      <c r="P237" s="452">
        <v>3</v>
      </c>
      <c r="Q237" s="453">
        <f t="shared" si="32"/>
        <v>5.0054794520547947</v>
      </c>
      <c r="R237" s="454">
        <f t="shared" si="33"/>
        <v>-2.0054794520547947</v>
      </c>
      <c r="S237" s="455">
        <f t="shared" si="38"/>
        <v>0.31666666666666665</v>
      </c>
      <c r="T237" s="442">
        <v>0</v>
      </c>
      <c r="U237" s="436">
        <f t="shared" si="34"/>
        <v>1400.0365296803648</v>
      </c>
      <c r="V237" s="442">
        <f t="shared" si="39"/>
        <v>1400</v>
      </c>
      <c r="W237" s="456">
        <f t="shared" si="36"/>
        <v>3.6529680364765227E-2</v>
      </c>
    </row>
    <row r="238" spans="1:23" ht="18.75">
      <c r="A238" s="450">
        <f t="shared" si="37"/>
        <v>231</v>
      </c>
      <c r="B238" s="469" t="s">
        <v>2335</v>
      </c>
      <c r="C238" s="318" t="s">
        <v>2150</v>
      </c>
      <c r="D238" s="464" t="s">
        <v>1302</v>
      </c>
      <c r="E238" s="466"/>
      <c r="F238" s="467"/>
      <c r="G238" s="468"/>
      <c r="H238" s="465">
        <v>74000</v>
      </c>
      <c r="I238" s="317"/>
      <c r="J238" s="317"/>
      <c r="K238" s="436">
        <f t="shared" si="29"/>
        <v>74000</v>
      </c>
      <c r="L238" s="463">
        <v>44286</v>
      </c>
      <c r="M238" s="456">
        <v>54137.666666666664</v>
      </c>
      <c r="N238" s="438">
        <f t="shared" si="30"/>
        <v>19862.333333333336</v>
      </c>
      <c r="O238" s="438">
        <f t="shared" si="31"/>
        <v>1096</v>
      </c>
      <c r="P238" s="452">
        <v>3</v>
      </c>
      <c r="Q238" s="453">
        <f t="shared" si="32"/>
        <v>3.0027397260273974</v>
      </c>
      <c r="R238" s="454">
        <f t="shared" si="33"/>
        <v>-2.73972602739736E-3</v>
      </c>
      <c r="S238" s="455">
        <f t="shared" si="38"/>
        <v>0.31666666666666665</v>
      </c>
      <c r="T238" s="442">
        <v>16162</v>
      </c>
      <c r="U238" s="436">
        <f t="shared" si="34"/>
        <v>3700.3333333333358</v>
      </c>
      <c r="V238" s="442">
        <f t="shared" si="39"/>
        <v>3700</v>
      </c>
      <c r="W238" s="456">
        <f t="shared" si="36"/>
        <v>0.33333333333575865</v>
      </c>
    </row>
    <row r="239" spans="1:23" ht="18.75">
      <c r="A239" s="450">
        <f t="shared" si="37"/>
        <v>232</v>
      </c>
      <c r="B239" s="469" t="s">
        <v>2336</v>
      </c>
      <c r="C239" s="318" t="s">
        <v>2150</v>
      </c>
      <c r="D239" s="464" t="s">
        <v>1302</v>
      </c>
      <c r="E239" s="466"/>
      <c r="F239" s="467"/>
      <c r="G239" s="468"/>
      <c r="H239" s="465">
        <v>353309</v>
      </c>
      <c r="I239" s="317"/>
      <c r="J239" s="317"/>
      <c r="K239" s="436">
        <f t="shared" si="29"/>
        <v>353309</v>
      </c>
      <c r="L239" s="463">
        <v>44286</v>
      </c>
      <c r="M239" s="456">
        <v>251234.3666666667</v>
      </c>
      <c r="N239" s="438">
        <f t="shared" si="30"/>
        <v>102074.6333333333</v>
      </c>
      <c r="O239" s="438">
        <f t="shared" si="31"/>
        <v>1096</v>
      </c>
      <c r="P239" s="452">
        <v>3</v>
      </c>
      <c r="Q239" s="453">
        <f t="shared" si="32"/>
        <v>3.0027397260273974</v>
      </c>
      <c r="R239" s="454">
        <f t="shared" si="33"/>
        <v>-2.73972602739736E-3</v>
      </c>
      <c r="S239" s="455">
        <f t="shared" si="38"/>
        <v>0.31666666666666665</v>
      </c>
      <c r="T239" s="442">
        <v>84409</v>
      </c>
      <c r="U239" s="436">
        <f t="shared" si="34"/>
        <v>17665.633333333302</v>
      </c>
      <c r="V239" s="442">
        <f t="shared" si="39"/>
        <v>17665.45</v>
      </c>
      <c r="W239" s="456">
        <f t="shared" si="36"/>
        <v>0.18333333330156165</v>
      </c>
    </row>
    <row r="240" spans="1:23" ht="18.75">
      <c r="A240" s="450">
        <f t="shared" si="37"/>
        <v>233</v>
      </c>
      <c r="B240" s="469" t="s">
        <v>1132</v>
      </c>
      <c r="C240" s="318" t="s">
        <v>2173</v>
      </c>
      <c r="D240" s="466" t="s">
        <v>26</v>
      </c>
      <c r="E240" s="317" t="s">
        <v>1134</v>
      </c>
      <c r="F240" s="467" t="s">
        <v>1133</v>
      </c>
      <c r="G240" s="468"/>
      <c r="H240" s="465">
        <v>77190</v>
      </c>
      <c r="I240" s="317"/>
      <c r="J240" s="317"/>
      <c r="K240" s="436">
        <f t="shared" si="29"/>
        <v>77190</v>
      </c>
      <c r="L240" s="463">
        <v>44651</v>
      </c>
      <c r="M240" s="456">
        <v>29064.326027397259</v>
      </c>
      <c r="N240" s="438">
        <f t="shared" si="30"/>
        <v>48125.673972602744</v>
      </c>
      <c r="O240" s="438">
        <f t="shared" si="31"/>
        <v>731</v>
      </c>
      <c r="P240" s="452">
        <v>3</v>
      </c>
      <c r="Q240" s="453">
        <f t="shared" si="32"/>
        <v>2.0027397260273974</v>
      </c>
      <c r="R240" s="454">
        <f t="shared" si="33"/>
        <v>0.99726027397260264</v>
      </c>
      <c r="S240" s="455">
        <f t="shared" si="38"/>
        <v>0.31666666666666665</v>
      </c>
      <c r="T240" s="442">
        <f t="shared" ref="T240:T247" si="40">+K240*S240</f>
        <v>24443.5</v>
      </c>
      <c r="U240" s="436">
        <f t="shared" si="34"/>
        <v>23682.173972602744</v>
      </c>
      <c r="V240" s="442">
        <f t="shared" si="39"/>
        <v>3859.5</v>
      </c>
      <c r="W240" s="456"/>
    </row>
    <row r="241" spans="1:23" ht="18.75">
      <c r="A241" s="450">
        <f t="shared" si="37"/>
        <v>234</v>
      </c>
      <c r="B241" s="469" t="s">
        <v>1135</v>
      </c>
      <c r="C241" s="318" t="s">
        <v>2173</v>
      </c>
      <c r="D241" s="466" t="s">
        <v>18</v>
      </c>
      <c r="E241" s="317" t="s">
        <v>916</v>
      </c>
      <c r="F241" s="467" t="s">
        <v>1136</v>
      </c>
      <c r="G241" s="468"/>
      <c r="H241" s="465">
        <v>300000</v>
      </c>
      <c r="I241" s="317"/>
      <c r="J241" s="317"/>
      <c r="K241" s="436">
        <f t="shared" si="29"/>
        <v>300000</v>
      </c>
      <c r="L241" s="463">
        <v>44651</v>
      </c>
      <c r="M241" s="456">
        <v>104077.05479452055</v>
      </c>
      <c r="N241" s="438">
        <f t="shared" si="30"/>
        <v>195922.94520547945</v>
      </c>
      <c r="O241" s="438">
        <f t="shared" si="31"/>
        <v>731</v>
      </c>
      <c r="P241" s="452">
        <v>3</v>
      </c>
      <c r="Q241" s="453">
        <f t="shared" si="32"/>
        <v>2.0027397260273974</v>
      </c>
      <c r="R241" s="454">
        <f t="shared" si="33"/>
        <v>0.99726027397260264</v>
      </c>
      <c r="S241" s="455">
        <f t="shared" si="38"/>
        <v>0.31666666666666665</v>
      </c>
      <c r="T241" s="442">
        <f t="shared" si="40"/>
        <v>95000</v>
      </c>
      <c r="U241" s="436">
        <f t="shared" si="34"/>
        <v>100922.94520547945</v>
      </c>
      <c r="V241" s="442">
        <f t="shared" si="39"/>
        <v>15000</v>
      </c>
      <c r="W241" s="456"/>
    </row>
    <row r="242" spans="1:23" ht="18.75">
      <c r="A242" s="450">
        <f t="shared" si="37"/>
        <v>235</v>
      </c>
      <c r="B242" s="469" t="s">
        <v>181</v>
      </c>
      <c r="C242" s="318" t="s">
        <v>2173</v>
      </c>
      <c r="D242" s="466" t="s">
        <v>23</v>
      </c>
      <c r="E242" s="317" t="s">
        <v>197</v>
      </c>
      <c r="F242" s="467">
        <v>43</v>
      </c>
      <c r="G242" s="468"/>
      <c r="H242" s="465">
        <v>208000</v>
      </c>
      <c r="I242" s="317"/>
      <c r="J242" s="317"/>
      <c r="K242" s="436">
        <f t="shared" si="29"/>
        <v>208000</v>
      </c>
      <c r="L242" s="463">
        <v>44651</v>
      </c>
      <c r="M242" s="456">
        <v>68844.200913242006</v>
      </c>
      <c r="N242" s="438">
        <f t="shared" si="30"/>
        <v>139155.79908675799</v>
      </c>
      <c r="O242" s="438">
        <f t="shared" si="31"/>
        <v>731</v>
      </c>
      <c r="P242" s="452">
        <v>3</v>
      </c>
      <c r="Q242" s="453">
        <f t="shared" si="32"/>
        <v>2.0027397260273974</v>
      </c>
      <c r="R242" s="454">
        <f t="shared" si="33"/>
        <v>0.99726027397260264</v>
      </c>
      <c r="S242" s="455">
        <f t="shared" si="38"/>
        <v>0.31666666666666665</v>
      </c>
      <c r="T242" s="442">
        <f t="shared" si="40"/>
        <v>65866.666666666657</v>
      </c>
      <c r="U242" s="436">
        <f t="shared" si="34"/>
        <v>73289.132420091337</v>
      </c>
      <c r="V242" s="442">
        <f t="shared" si="39"/>
        <v>10400</v>
      </c>
      <c r="W242" s="456"/>
    </row>
    <row r="243" spans="1:23" ht="18.75">
      <c r="A243" s="450">
        <f t="shared" si="37"/>
        <v>236</v>
      </c>
      <c r="B243" s="469" t="s">
        <v>1137</v>
      </c>
      <c r="C243" s="318" t="s">
        <v>2173</v>
      </c>
      <c r="D243" s="466" t="s">
        <v>1138</v>
      </c>
      <c r="E243" s="317" t="s">
        <v>1139</v>
      </c>
      <c r="F243" s="467">
        <v>33464</v>
      </c>
      <c r="G243" s="468"/>
      <c r="H243" s="465">
        <v>36000</v>
      </c>
      <c r="I243" s="317"/>
      <c r="J243" s="317"/>
      <c r="K243" s="436">
        <f t="shared" si="29"/>
        <v>36000</v>
      </c>
      <c r="L243" s="463">
        <v>44651</v>
      </c>
      <c r="M243" s="456">
        <v>12184.726027397261</v>
      </c>
      <c r="N243" s="438">
        <f t="shared" si="30"/>
        <v>23815.273972602739</v>
      </c>
      <c r="O243" s="438">
        <f t="shared" si="31"/>
        <v>731</v>
      </c>
      <c r="P243" s="452">
        <v>3</v>
      </c>
      <c r="Q243" s="453">
        <f t="shared" si="32"/>
        <v>2.0027397260273974</v>
      </c>
      <c r="R243" s="454">
        <f t="shared" si="33"/>
        <v>0.99726027397260264</v>
      </c>
      <c r="S243" s="455">
        <f t="shared" si="38"/>
        <v>0.31666666666666665</v>
      </c>
      <c r="T243" s="442">
        <f t="shared" si="40"/>
        <v>11400</v>
      </c>
      <c r="U243" s="436">
        <f t="shared" si="34"/>
        <v>12415.273972602739</v>
      </c>
      <c r="V243" s="442">
        <f t="shared" si="39"/>
        <v>1800</v>
      </c>
      <c r="W243" s="456"/>
    </row>
    <row r="244" spans="1:23" ht="18.75">
      <c r="A244" s="450">
        <f t="shared" si="37"/>
        <v>237</v>
      </c>
      <c r="B244" s="469" t="s">
        <v>1137</v>
      </c>
      <c r="C244" s="318" t="s">
        <v>2173</v>
      </c>
      <c r="D244" s="466" t="s">
        <v>1138</v>
      </c>
      <c r="E244" s="317" t="s">
        <v>1139</v>
      </c>
      <c r="F244" s="467">
        <v>33465</v>
      </c>
      <c r="G244" s="468"/>
      <c r="H244" s="465">
        <v>36822</v>
      </c>
      <c r="I244" s="317"/>
      <c r="J244" s="317"/>
      <c r="K244" s="436">
        <f t="shared" si="29"/>
        <v>36822</v>
      </c>
      <c r="L244" s="463">
        <v>44651</v>
      </c>
      <c r="M244" s="456">
        <v>12462.943938356164</v>
      </c>
      <c r="N244" s="438">
        <f t="shared" si="30"/>
        <v>24359.056061643838</v>
      </c>
      <c r="O244" s="438">
        <f t="shared" si="31"/>
        <v>731</v>
      </c>
      <c r="P244" s="452">
        <v>3</v>
      </c>
      <c r="Q244" s="453">
        <f t="shared" si="32"/>
        <v>2.0027397260273974</v>
      </c>
      <c r="R244" s="454">
        <f t="shared" si="33"/>
        <v>0.99726027397260264</v>
      </c>
      <c r="S244" s="455">
        <f t="shared" si="38"/>
        <v>0.31666666666666665</v>
      </c>
      <c r="T244" s="442">
        <f t="shared" si="40"/>
        <v>11660.3</v>
      </c>
      <c r="U244" s="436">
        <f t="shared" si="34"/>
        <v>12698.756061643839</v>
      </c>
      <c r="V244" s="442">
        <f t="shared" si="39"/>
        <v>1841.1000000000001</v>
      </c>
      <c r="W244" s="456"/>
    </row>
    <row r="245" spans="1:23" ht="18.75">
      <c r="A245" s="450">
        <f t="shared" si="37"/>
        <v>238</v>
      </c>
      <c r="B245" s="469" t="s">
        <v>804</v>
      </c>
      <c r="C245" s="318" t="s">
        <v>2173</v>
      </c>
      <c r="D245" s="466" t="s">
        <v>1138</v>
      </c>
      <c r="E245" s="317" t="s">
        <v>1139</v>
      </c>
      <c r="F245" s="467">
        <v>33469</v>
      </c>
      <c r="G245" s="468"/>
      <c r="H245" s="465">
        <v>55800</v>
      </c>
      <c r="I245" s="317"/>
      <c r="J245" s="317"/>
      <c r="K245" s="436">
        <f t="shared" si="29"/>
        <v>55800</v>
      </c>
      <c r="L245" s="463">
        <v>44651</v>
      </c>
      <c r="M245" s="456">
        <v>18650.321917808218</v>
      </c>
      <c r="N245" s="438">
        <f t="shared" si="30"/>
        <v>37149.678082191778</v>
      </c>
      <c r="O245" s="438">
        <f t="shared" si="31"/>
        <v>731</v>
      </c>
      <c r="P245" s="452">
        <v>3</v>
      </c>
      <c r="Q245" s="453">
        <f t="shared" si="32"/>
        <v>2.0027397260273974</v>
      </c>
      <c r="R245" s="454">
        <f t="shared" si="33"/>
        <v>0.99726027397260264</v>
      </c>
      <c r="S245" s="455">
        <f t="shared" si="38"/>
        <v>0.31666666666666665</v>
      </c>
      <c r="T245" s="442">
        <f t="shared" si="40"/>
        <v>17670</v>
      </c>
      <c r="U245" s="436">
        <f t="shared" si="34"/>
        <v>19479.678082191778</v>
      </c>
      <c r="V245" s="442">
        <f t="shared" si="39"/>
        <v>2790</v>
      </c>
      <c r="W245" s="456"/>
    </row>
    <row r="246" spans="1:23" ht="18.75">
      <c r="A246" s="450">
        <f t="shared" si="37"/>
        <v>239</v>
      </c>
      <c r="B246" s="469" t="s">
        <v>1140</v>
      </c>
      <c r="C246" s="318" t="s">
        <v>2173</v>
      </c>
      <c r="D246" s="466" t="s">
        <v>1138</v>
      </c>
      <c r="E246" s="317" t="s">
        <v>1141</v>
      </c>
      <c r="F246" s="467">
        <v>237</v>
      </c>
      <c r="G246" s="468"/>
      <c r="H246" s="465">
        <v>86500</v>
      </c>
      <c r="I246" s="317"/>
      <c r="J246" s="317"/>
      <c r="K246" s="436">
        <f t="shared" si="29"/>
        <v>86500</v>
      </c>
      <c r="L246" s="463">
        <v>44651</v>
      </c>
      <c r="M246" s="456">
        <v>28629.920091324198</v>
      </c>
      <c r="N246" s="438">
        <f t="shared" si="30"/>
        <v>57870.079908675805</v>
      </c>
      <c r="O246" s="438">
        <f t="shared" si="31"/>
        <v>731</v>
      </c>
      <c r="P246" s="452">
        <v>3</v>
      </c>
      <c r="Q246" s="453">
        <f t="shared" si="32"/>
        <v>2.0027397260273974</v>
      </c>
      <c r="R246" s="454">
        <f t="shared" si="33"/>
        <v>0.99726027397260264</v>
      </c>
      <c r="S246" s="455">
        <f t="shared" si="38"/>
        <v>0.31666666666666665</v>
      </c>
      <c r="T246" s="442">
        <f t="shared" si="40"/>
        <v>27391.666666666664</v>
      </c>
      <c r="U246" s="436">
        <f t="shared" si="34"/>
        <v>30478.413242009141</v>
      </c>
      <c r="V246" s="442">
        <f t="shared" si="39"/>
        <v>4325</v>
      </c>
      <c r="W246" s="456"/>
    </row>
    <row r="247" spans="1:23" ht="18.75">
      <c r="A247" s="450">
        <f t="shared" si="37"/>
        <v>240</v>
      </c>
      <c r="B247" s="469" t="s">
        <v>1142</v>
      </c>
      <c r="C247" s="318" t="s">
        <v>2173</v>
      </c>
      <c r="D247" s="466" t="s">
        <v>1016</v>
      </c>
      <c r="E247" s="317" t="s">
        <v>1139</v>
      </c>
      <c r="F247" s="467">
        <v>33582</v>
      </c>
      <c r="G247" s="468"/>
      <c r="H247" s="465">
        <v>25296</v>
      </c>
      <c r="I247" s="317"/>
      <c r="J247" s="317"/>
      <c r="K247" s="436">
        <f t="shared" si="29"/>
        <v>25296</v>
      </c>
      <c r="L247" s="463">
        <v>44651</v>
      </c>
      <c r="M247" s="456">
        <v>8133.8479452054789</v>
      </c>
      <c r="N247" s="438">
        <f t="shared" si="30"/>
        <v>17162.152054794522</v>
      </c>
      <c r="O247" s="438">
        <f t="shared" si="31"/>
        <v>731</v>
      </c>
      <c r="P247" s="452">
        <v>3</v>
      </c>
      <c r="Q247" s="453">
        <f t="shared" si="32"/>
        <v>2.0027397260273974</v>
      </c>
      <c r="R247" s="454">
        <f t="shared" si="33"/>
        <v>0.99726027397260264</v>
      </c>
      <c r="S247" s="455">
        <f t="shared" si="38"/>
        <v>0.31666666666666665</v>
      </c>
      <c r="T247" s="442">
        <f t="shared" si="40"/>
        <v>8010.4</v>
      </c>
      <c r="U247" s="436">
        <f t="shared" si="34"/>
        <v>9151.7520547945223</v>
      </c>
      <c r="V247" s="442">
        <f t="shared" si="39"/>
        <v>1264.8000000000002</v>
      </c>
      <c r="W247" s="456"/>
    </row>
    <row r="248" spans="1:23" ht="16.5">
      <c r="A248" s="450">
        <f t="shared" si="37"/>
        <v>241</v>
      </c>
      <c r="B248" s="14" t="s">
        <v>802</v>
      </c>
      <c r="C248" s="318" t="s">
        <v>3663</v>
      </c>
      <c r="D248" s="91" t="s">
        <v>35</v>
      </c>
      <c r="E248" s="14" t="s">
        <v>813</v>
      </c>
      <c r="F248" s="633">
        <v>1171</v>
      </c>
      <c r="G248" s="15">
        <v>44920</v>
      </c>
      <c r="H248" s="465">
        <v>25254.239999999998</v>
      </c>
      <c r="I248" s="317"/>
      <c r="J248" s="317"/>
      <c r="K248" s="436">
        <f t="shared" si="29"/>
        <v>25254.239999999998</v>
      </c>
      <c r="L248" s="15">
        <v>44920</v>
      </c>
      <c r="M248" s="456">
        <v>1262.0201030136986</v>
      </c>
      <c r="N248" s="438">
        <f t="shared" si="30"/>
        <v>23992.219896986298</v>
      </c>
      <c r="O248" s="438">
        <f t="shared" si="31"/>
        <v>462</v>
      </c>
      <c r="P248" s="452">
        <v>3</v>
      </c>
      <c r="Q248" s="453">
        <f t="shared" ref="Q248:Q311" si="41">+O248/365</f>
        <v>1.2657534246575342</v>
      </c>
      <c r="R248" s="454">
        <f t="shared" ref="R248:R311" si="42">+P248-Q248</f>
        <v>1.7342465753424658</v>
      </c>
      <c r="S248" s="455">
        <f t="shared" ref="S248:S311" si="43">1/P248*0.95</f>
        <v>0.31666666666666665</v>
      </c>
      <c r="T248" s="442">
        <f t="shared" ref="T248:T311" si="44">+K248*S248</f>
        <v>7997.1759999999986</v>
      </c>
      <c r="U248" s="436">
        <f t="shared" ref="U248:U311" si="45">+N248-T248</f>
        <v>15995.043896986299</v>
      </c>
      <c r="V248" s="442">
        <f t="shared" ref="V248:V311" si="46">+H248*5%</f>
        <v>1262.712</v>
      </c>
      <c r="W248" s="456"/>
    </row>
    <row r="249" spans="1:23" ht="16.5">
      <c r="A249" s="450">
        <f t="shared" si="37"/>
        <v>242</v>
      </c>
      <c r="B249" s="14" t="s">
        <v>182</v>
      </c>
      <c r="C249" s="318" t="s">
        <v>3663</v>
      </c>
      <c r="D249" s="26" t="s">
        <v>3614</v>
      </c>
      <c r="E249" s="14" t="s">
        <v>198</v>
      </c>
      <c r="F249" s="633" t="s">
        <v>194</v>
      </c>
      <c r="G249" s="15">
        <v>44683</v>
      </c>
      <c r="H249" s="465">
        <v>20085</v>
      </c>
      <c r="I249" s="317"/>
      <c r="J249" s="317"/>
      <c r="K249" s="436">
        <f t="shared" si="29"/>
        <v>20085</v>
      </c>
      <c r="L249" s="15">
        <v>44683</v>
      </c>
      <c r="M249" s="456">
        <v>3481.5834246575341</v>
      </c>
      <c r="N249" s="438">
        <f t="shared" si="30"/>
        <v>16603.416575342468</v>
      </c>
      <c r="O249" s="438">
        <f t="shared" si="31"/>
        <v>699</v>
      </c>
      <c r="P249" s="452">
        <v>3</v>
      </c>
      <c r="Q249" s="453">
        <f t="shared" si="41"/>
        <v>1.9150684931506849</v>
      </c>
      <c r="R249" s="454">
        <f t="shared" si="42"/>
        <v>1.0849315068493151</v>
      </c>
      <c r="S249" s="455">
        <f t="shared" si="43"/>
        <v>0.31666666666666665</v>
      </c>
      <c r="T249" s="442">
        <f t="shared" si="44"/>
        <v>6360.25</v>
      </c>
      <c r="U249" s="436">
        <f t="shared" si="45"/>
        <v>10243.166575342468</v>
      </c>
      <c r="V249" s="442">
        <f t="shared" si="46"/>
        <v>1004.25</v>
      </c>
      <c r="W249" s="456"/>
    </row>
    <row r="250" spans="1:23" ht="16.5">
      <c r="A250" s="450">
        <f t="shared" si="37"/>
        <v>243</v>
      </c>
      <c r="B250" s="14" t="s">
        <v>183</v>
      </c>
      <c r="C250" s="318" t="s">
        <v>3663</v>
      </c>
      <c r="D250" s="26" t="s">
        <v>3614</v>
      </c>
      <c r="E250" s="14" t="s">
        <v>198</v>
      </c>
      <c r="F250" s="633" t="s">
        <v>195</v>
      </c>
      <c r="G250" s="15">
        <v>44692</v>
      </c>
      <c r="H250" s="465">
        <v>12966</v>
      </c>
      <c r="I250" s="317"/>
      <c r="J250" s="317"/>
      <c r="K250" s="436">
        <f t="shared" si="29"/>
        <v>12966</v>
      </c>
      <c r="L250" s="15">
        <v>44692</v>
      </c>
      <c r="M250" s="456">
        <v>2186.8135890410958</v>
      </c>
      <c r="N250" s="438">
        <f t="shared" si="30"/>
        <v>10779.186410958904</v>
      </c>
      <c r="O250" s="438">
        <f t="shared" si="31"/>
        <v>690</v>
      </c>
      <c r="P250" s="452">
        <v>3</v>
      </c>
      <c r="Q250" s="453">
        <f t="shared" si="41"/>
        <v>1.8904109589041096</v>
      </c>
      <c r="R250" s="454">
        <f t="shared" si="42"/>
        <v>1.1095890410958904</v>
      </c>
      <c r="S250" s="455">
        <f t="shared" si="43"/>
        <v>0.31666666666666665</v>
      </c>
      <c r="T250" s="442">
        <f t="shared" si="44"/>
        <v>4105.8999999999996</v>
      </c>
      <c r="U250" s="436">
        <f t="shared" si="45"/>
        <v>6673.2864109589045</v>
      </c>
      <c r="V250" s="442">
        <f t="shared" si="46"/>
        <v>648.30000000000007</v>
      </c>
      <c r="W250" s="456"/>
    </row>
    <row r="251" spans="1:23" ht="16.5">
      <c r="A251" s="450">
        <f t="shared" si="37"/>
        <v>244</v>
      </c>
      <c r="B251" s="14" t="s">
        <v>184</v>
      </c>
      <c r="C251" s="318" t="s">
        <v>3663</v>
      </c>
      <c r="D251" s="26" t="s">
        <v>3614</v>
      </c>
      <c r="E251" s="14" t="s">
        <v>448</v>
      </c>
      <c r="F251" s="633">
        <v>1281</v>
      </c>
      <c r="G251" s="15">
        <v>44832</v>
      </c>
      <c r="H251" s="465">
        <v>39000</v>
      </c>
      <c r="I251" s="317"/>
      <c r="J251" s="317"/>
      <c r="K251" s="436">
        <f t="shared" si="29"/>
        <v>39000</v>
      </c>
      <c r="L251" s="15">
        <v>44832</v>
      </c>
      <c r="M251" s="456">
        <v>3735.4520547945203</v>
      </c>
      <c r="N251" s="438">
        <f t="shared" si="30"/>
        <v>35264.547945205479</v>
      </c>
      <c r="O251" s="438">
        <f t="shared" si="31"/>
        <v>550</v>
      </c>
      <c r="P251" s="452">
        <v>3</v>
      </c>
      <c r="Q251" s="453">
        <f t="shared" si="41"/>
        <v>1.5068493150684932</v>
      </c>
      <c r="R251" s="454">
        <f t="shared" si="42"/>
        <v>1.4931506849315068</v>
      </c>
      <c r="S251" s="455">
        <f t="shared" si="43"/>
        <v>0.31666666666666665</v>
      </c>
      <c r="T251" s="442">
        <f t="shared" si="44"/>
        <v>12350</v>
      </c>
      <c r="U251" s="436">
        <f t="shared" si="45"/>
        <v>22914.547945205479</v>
      </c>
      <c r="V251" s="442">
        <f t="shared" si="46"/>
        <v>1950</v>
      </c>
      <c r="W251" s="456"/>
    </row>
    <row r="252" spans="1:23" ht="16.5">
      <c r="A252" s="450">
        <f t="shared" si="37"/>
        <v>245</v>
      </c>
      <c r="B252" s="14" t="s">
        <v>803</v>
      </c>
      <c r="C252" s="318" t="s">
        <v>3663</v>
      </c>
      <c r="D252" s="26" t="s">
        <v>3614</v>
      </c>
      <c r="E252" s="14" t="s">
        <v>814</v>
      </c>
      <c r="F252" s="633">
        <v>352</v>
      </c>
      <c r="G252" s="15">
        <v>44859</v>
      </c>
      <c r="H252" s="465">
        <v>13200</v>
      </c>
      <c r="I252" s="317"/>
      <c r="J252" s="317"/>
      <c r="K252" s="436">
        <f t="shared" si="29"/>
        <v>13200</v>
      </c>
      <c r="L252" s="15">
        <v>44859</v>
      </c>
      <c r="M252" s="456">
        <v>1078.7835616438356</v>
      </c>
      <c r="N252" s="438">
        <f t="shared" si="30"/>
        <v>12121.216438356165</v>
      </c>
      <c r="O252" s="438">
        <f t="shared" si="31"/>
        <v>523</v>
      </c>
      <c r="P252" s="452">
        <v>3</v>
      </c>
      <c r="Q252" s="453">
        <f t="shared" si="41"/>
        <v>1.4328767123287671</v>
      </c>
      <c r="R252" s="454">
        <f t="shared" si="42"/>
        <v>1.5671232876712329</v>
      </c>
      <c r="S252" s="455">
        <f t="shared" si="43"/>
        <v>0.31666666666666665</v>
      </c>
      <c r="T252" s="442">
        <f t="shared" si="44"/>
        <v>4180</v>
      </c>
      <c r="U252" s="436">
        <f t="shared" si="45"/>
        <v>7941.2164383561649</v>
      </c>
      <c r="V252" s="442">
        <f t="shared" si="46"/>
        <v>660</v>
      </c>
      <c r="W252" s="456"/>
    </row>
    <row r="253" spans="1:23" ht="16.5">
      <c r="A253" s="450">
        <f t="shared" si="37"/>
        <v>246</v>
      </c>
      <c r="B253" s="14" t="s">
        <v>802</v>
      </c>
      <c r="C253" s="318" t="s">
        <v>3663</v>
      </c>
      <c r="D253" s="26" t="s">
        <v>3614</v>
      </c>
      <c r="E253" s="14" t="s">
        <v>813</v>
      </c>
      <c r="F253" s="633">
        <v>912</v>
      </c>
      <c r="G253" s="15">
        <v>44873</v>
      </c>
      <c r="H253" s="465">
        <v>25254.239999999998</v>
      </c>
      <c r="I253" s="317"/>
      <c r="J253" s="317"/>
      <c r="K253" s="436">
        <f t="shared" si="29"/>
        <v>25254.239999999998</v>
      </c>
      <c r="L253" s="15">
        <v>44873</v>
      </c>
      <c r="M253" s="456">
        <v>1879.884111780822</v>
      </c>
      <c r="N253" s="438">
        <f t="shared" si="30"/>
        <v>23374.355888219176</v>
      </c>
      <c r="O253" s="438">
        <f t="shared" si="31"/>
        <v>509</v>
      </c>
      <c r="P253" s="452">
        <v>3</v>
      </c>
      <c r="Q253" s="453">
        <f t="shared" si="41"/>
        <v>1.3945205479452054</v>
      </c>
      <c r="R253" s="454">
        <f t="shared" si="42"/>
        <v>1.6054794520547946</v>
      </c>
      <c r="S253" s="455">
        <f t="shared" si="43"/>
        <v>0.31666666666666665</v>
      </c>
      <c r="T253" s="442">
        <f t="shared" si="44"/>
        <v>7997.1759999999986</v>
      </c>
      <c r="U253" s="436">
        <f t="shared" si="45"/>
        <v>15377.179888219176</v>
      </c>
      <c r="V253" s="442">
        <f t="shared" si="46"/>
        <v>1262.712</v>
      </c>
      <c r="W253" s="456"/>
    </row>
    <row r="254" spans="1:23" ht="16.5">
      <c r="A254" s="450">
        <f t="shared" si="37"/>
        <v>247</v>
      </c>
      <c r="B254" s="14" t="s">
        <v>181</v>
      </c>
      <c r="C254" s="318" t="s">
        <v>3663</v>
      </c>
      <c r="D254" s="14" t="s">
        <v>26</v>
      </c>
      <c r="E254" s="14" t="s">
        <v>197</v>
      </c>
      <c r="F254" s="633">
        <v>29</v>
      </c>
      <c r="G254" s="15">
        <v>44739</v>
      </c>
      <c r="H254" s="465">
        <v>120000</v>
      </c>
      <c r="I254" s="317"/>
      <c r="J254" s="317"/>
      <c r="K254" s="436">
        <f t="shared" si="29"/>
        <v>120000</v>
      </c>
      <c r="L254" s="15">
        <v>44739</v>
      </c>
      <c r="M254" s="456">
        <v>17303.013698630137</v>
      </c>
      <c r="N254" s="438">
        <f t="shared" si="30"/>
        <v>102696.98630136986</v>
      </c>
      <c r="O254" s="438">
        <f t="shared" si="31"/>
        <v>643</v>
      </c>
      <c r="P254" s="452">
        <v>3</v>
      </c>
      <c r="Q254" s="453">
        <f t="shared" si="41"/>
        <v>1.7616438356164383</v>
      </c>
      <c r="R254" s="454">
        <f t="shared" si="42"/>
        <v>1.2383561643835617</v>
      </c>
      <c r="S254" s="455">
        <f t="shared" si="43"/>
        <v>0.31666666666666665</v>
      </c>
      <c r="T254" s="442">
        <f t="shared" si="44"/>
        <v>38000</v>
      </c>
      <c r="U254" s="436">
        <f t="shared" si="45"/>
        <v>64696.986301369863</v>
      </c>
      <c r="V254" s="442">
        <f t="shared" si="46"/>
        <v>6000</v>
      </c>
      <c r="W254" s="456"/>
    </row>
    <row r="255" spans="1:23" ht="16.5">
      <c r="A255" s="450">
        <f t="shared" si="37"/>
        <v>248</v>
      </c>
      <c r="B255" s="14" t="s">
        <v>442</v>
      </c>
      <c r="C255" s="318" t="s">
        <v>3663</v>
      </c>
      <c r="D255" s="26" t="s">
        <v>26</v>
      </c>
      <c r="E255" s="14" t="s">
        <v>444</v>
      </c>
      <c r="F255" s="633" t="s">
        <v>443</v>
      </c>
      <c r="G255" s="15">
        <v>44803</v>
      </c>
      <c r="H255" s="465">
        <v>229421.22</v>
      </c>
      <c r="I255" s="317"/>
      <c r="J255" s="317"/>
      <c r="K255" s="436">
        <f t="shared" si="29"/>
        <v>229421.22</v>
      </c>
      <c r="L255" s="15">
        <v>44803</v>
      </c>
      <c r="M255" s="456">
        <v>25437.470612054793</v>
      </c>
      <c r="N255" s="438">
        <f t="shared" si="30"/>
        <v>203983.74938794522</v>
      </c>
      <c r="O255" s="438">
        <f t="shared" si="31"/>
        <v>579</v>
      </c>
      <c r="P255" s="452">
        <v>3</v>
      </c>
      <c r="Q255" s="453">
        <f t="shared" si="41"/>
        <v>1.5863013698630137</v>
      </c>
      <c r="R255" s="454">
        <f t="shared" si="42"/>
        <v>1.4136986301369863</v>
      </c>
      <c r="S255" s="455">
        <f t="shared" si="43"/>
        <v>0.31666666666666665</v>
      </c>
      <c r="T255" s="442">
        <f t="shared" si="44"/>
        <v>72650.053</v>
      </c>
      <c r="U255" s="436">
        <f t="shared" si="45"/>
        <v>131333.69638794521</v>
      </c>
      <c r="V255" s="442">
        <f t="shared" si="46"/>
        <v>11471.061000000002</v>
      </c>
      <c r="W255" s="456"/>
    </row>
    <row r="256" spans="1:23" ht="16.5">
      <c r="A256" s="450">
        <f t="shared" si="37"/>
        <v>249</v>
      </c>
      <c r="B256" s="14" t="s">
        <v>442</v>
      </c>
      <c r="C256" s="318" t="s">
        <v>3663</v>
      </c>
      <c r="D256" s="26" t="s">
        <v>26</v>
      </c>
      <c r="E256" s="14" t="s">
        <v>444</v>
      </c>
      <c r="F256" s="633" t="s">
        <v>445</v>
      </c>
      <c r="G256" s="15">
        <v>44803</v>
      </c>
      <c r="H256" s="465">
        <v>181651.64</v>
      </c>
      <c r="I256" s="317"/>
      <c r="J256" s="317"/>
      <c r="K256" s="436">
        <f t="shared" si="29"/>
        <v>181651.64</v>
      </c>
      <c r="L256" s="15">
        <v>44803</v>
      </c>
      <c r="M256" s="456">
        <v>20140.936632328769</v>
      </c>
      <c r="N256" s="438">
        <f t="shared" si="30"/>
        <v>161510.70336767123</v>
      </c>
      <c r="O256" s="438">
        <f t="shared" si="31"/>
        <v>579</v>
      </c>
      <c r="P256" s="452">
        <v>3</v>
      </c>
      <c r="Q256" s="453">
        <f t="shared" si="41"/>
        <v>1.5863013698630137</v>
      </c>
      <c r="R256" s="454">
        <f t="shared" si="42"/>
        <v>1.4136986301369863</v>
      </c>
      <c r="S256" s="455">
        <f t="shared" si="43"/>
        <v>0.31666666666666665</v>
      </c>
      <c r="T256" s="442">
        <f t="shared" si="44"/>
        <v>57523.019333333337</v>
      </c>
      <c r="U256" s="436">
        <f t="shared" si="45"/>
        <v>103987.6840343379</v>
      </c>
      <c r="V256" s="442">
        <f t="shared" si="46"/>
        <v>9082.5820000000003</v>
      </c>
      <c r="W256" s="456"/>
    </row>
    <row r="257" spans="1:23" ht="16.5">
      <c r="A257" s="450">
        <f t="shared" si="37"/>
        <v>250</v>
      </c>
      <c r="B257" s="14" t="s">
        <v>442</v>
      </c>
      <c r="C257" s="318" t="s">
        <v>3663</v>
      </c>
      <c r="D257" s="26" t="s">
        <v>26</v>
      </c>
      <c r="E257" s="14" t="s">
        <v>444</v>
      </c>
      <c r="F257" s="633" t="s">
        <v>446</v>
      </c>
      <c r="G257" s="15">
        <v>44803</v>
      </c>
      <c r="H257" s="465">
        <v>89183</v>
      </c>
      <c r="I257" s="317"/>
      <c r="J257" s="317"/>
      <c r="K257" s="436">
        <f t="shared" si="29"/>
        <v>89183</v>
      </c>
      <c r="L257" s="15">
        <v>44803</v>
      </c>
      <c r="M257" s="456">
        <v>9888.3178356164372</v>
      </c>
      <c r="N257" s="438">
        <f t="shared" si="30"/>
        <v>79294.682164383557</v>
      </c>
      <c r="O257" s="438">
        <f t="shared" si="31"/>
        <v>579</v>
      </c>
      <c r="P257" s="452">
        <v>3</v>
      </c>
      <c r="Q257" s="453">
        <f t="shared" si="41"/>
        <v>1.5863013698630137</v>
      </c>
      <c r="R257" s="454">
        <f t="shared" si="42"/>
        <v>1.4136986301369863</v>
      </c>
      <c r="S257" s="455">
        <f t="shared" si="43"/>
        <v>0.31666666666666665</v>
      </c>
      <c r="T257" s="442">
        <f t="shared" si="44"/>
        <v>28241.283333333333</v>
      </c>
      <c r="U257" s="436">
        <f t="shared" si="45"/>
        <v>51053.398831050225</v>
      </c>
      <c r="V257" s="442">
        <f t="shared" si="46"/>
        <v>4459.1500000000005</v>
      </c>
      <c r="W257" s="456"/>
    </row>
    <row r="258" spans="1:23" ht="16.5">
      <c r="A258" s="450">
        <f t="shared" si="37"/>
        <v>251</v>
      </c>
      <c r="B258" s="14" t="s">
        <v>442</v>
      </c>
      <c r="C258" s="318" t="s">
        <v>3663</v>
      </c>
      <c r="D258" s="26" t="s">
        <v>26</v>
      </c>
      <c r="E258" s="14" t="s">
        <v>444</v>
      </c>
      <c r="F258" s="633" t="s">
        <v>447</v>
      </c>
      <c r="G258" s="15">
        <v>44804</v>
      </c>
      <c r="H258" s="465">
        <v>207966.94</v>
      </c>
      <c r="I258" s="317"/>
      <c r="J258" s="317"/>
      <c r="K258" s="436">
        <f t="shared" si="29"/>
        <v>207966.94</v>
      </c>
      <c r="L258" s="15">
        <v>44804</v>
      </c>
      <c r="M258" s="456">
        <v>22950.4338169863</v>
      </c>
      <c r="N258" s="438">
        <f t="shared" si="30"/>
        <v>185016.5061830137</v>
      </c>
      <c r="O258" s="438">
        <f t="shared" si="31"/>
        <v>578</v>
      </c>
      <c r="P258" s="452">
        <v>3</v>
      </c>
      <c r="Q258" s="453">
        <f t="shared" si="41"/>
        <v>1.5835616438356164</v>
      </c>
      <c r="R258" s="454">
        <f t="shared" si="42"/>
        <v>1.4164383561643836</v>
      </c>
      <c r="S258" s="455">
        <f t="shared" si="43"/>
        <v>0.31666666666666665</v>
      </c>
      <c r="T258" s="442">
        <f t="shared" si="44"/>
        <v>65856.19766666666</v>
      </c>
      <c r="U258" s="436">
        <f t="shared" si="45"/>
        <v>119160.30851634704</v>
      </c>
      <c r="V258" s="442">
        <f t="shared" si="46"/>
        <v>10398.347000000002</v>
      </c>
      <c r="W258" s="456"/>
    </row>
    <row r="259" spans="1:23" ht="16.5">
      <c r="A259" s="450">
        <f t="shared" si="37"/>
        <v>252</v>
      </c>
      <c r="B259" s="14" t="s">
        <v>442</v>
      </c>
      <c r="C259" s="318" t="s">
        <v>3663</v>
      </c>
      <c r="D259" s="26" t="s">
        <v>26</v>
      </c>
      <c r="E259" s="14" t="s">
        <v>444</v>
      </c>
      <c r="F259" s="633" t="s">
        <v>808</v>
      </c>
      <c r="G259" s="15">
        <v>44895</v>
      </c>
      <c r="H259" s="465">
        <v>37376</v>
      </c>
      <c r="I259" s="317"/>
      <c r="J259" s="317"/>
      <c r="K259" s="436">
        <f t="shared" si="29"/>
        <v>37376</v>
      </c>
      <c r="L259" s="15">
        <v>44895</v>
      </c>
      <c r="M259" s="456">
        <v>2354.1759999999999</v>
      </c>
      <c r="N259" s="438">
        <f t="shared" si="30"/>
        <v>35021.824000000001</v>
      </c>
      <c r="O259" s="438">
        <f t="shared" si="31"/>
        <v>487</v>
      </c>
      <c r="P259" s="452">
        <v>3</v>
      </c>
      <c r="Q259" s="453">
        <f t="shared" si="41"/>
        <v>1.3342465753424657</v>
      </c>
      <c r="R259" s="454">
        <f t="shared" si="42"/>
        <v>1.6657534246575343</v>
      </c>
      <c r="S259" s="455">
        <f t="shared" si="43"/>
        <v>0.31666666666666665</v>
      </c>
      <c r="T259" s="442">
        <f t="shared" si="44"/>
        <v>11835.733333333334</v>
      </c>
      <c r="U259" s="436">
        <f t="shared" si="45"/>
        <v>23186.090666666667</v>
      </c>
      <c r="V259" s="442">
        <f t="shared" si="46"/>
        <v>1868.8000000000002</v>
      </c>
      <c r="W259" s="456"/>
    </row>
    <row r="260" spans="1:23" ht="16.5">
      <c r="A260" s="450">
        <f t="shared" si="37"/>
        <v>253</v>
      </c>
      <c r="B260" s="14" t="s">
        <v>801</v>
      </c>
      <c r="C260" s="318" t="s">
        <v>3663</v>
      </c>
      <c r="D260" s="26" t="s">
        <v>26</v>
      </c>
      <c r="E260" s="14" t="s">
        <v>812</v>
      </c>
      <c r="F260" s="633" t="s">
        <v>809</v>
      </c>
      <c r="G260" s="15">
        <v>44907</v>
      </c>
      <c r="H260" s="465">
        <v>173245</v>
      </c>
      <c r="I260" s="317"/>
      <c r="J260" s="317"/>
      <c r="K260" s="436">
        <f t="shared" si="29"/>
        <v>173245</v>
      </c>
      <c r="L260" s="15">
        <v>44907</v>
      </c>
      <c r="M260" s="456">
        <v>9829.8738356164395</v>
      </c>
      <c r="N260" s="438">
        <f t="shared" si="30"/>
        <v>163415.12616438355</v>
      </c>
      <c r="O260" s="438">
        <f t="shared" si="31"/>
        <v>475</v>
      </c>
      <c r="P260" s="452">
        <v>3</v>
      </c>
      <c r="Q260" s="453">
        <f t="shared" si="41"/>
        <v>1.3013698630136987</v>
      </c>
      <c r="R260" s="454">
        <f t="shared" si="42"/>
        <v>1.6986301369863013</v>
      </c>
      <c r="S260" s="455">
        <f t="shared" si="43"/>
        <v>0.31666666666666665</v>
      </c>
      <c r="T260" s="442">
        <f t="shared" si="44"/>
        <v>54860.916666666664</v>
      </c>
      <c r="U260" s="436">
        <f t="shared" si="45"/>
        <v>108554.20949771689</v>
      </c>
      <c r="V260" s="442">
        <f t="shared" si="46"/>
        <v>8662.25</v>
      </c>
      <c r="W260" s="456"/>
    </row>
    <row r="261" spans="1:23" ht="16.5">
      <c r="A261" s="450">
        <f t="shared" si="37"/>
        <v>254</v>
      </c>
      <c r="B261" s="14" t="s">
        <v>801</v>
      </c>
      <c r="C261" s="318" t="s">
        <v>3663</v>
      </c>
      <c r="D261" s="26" t="s">
        <v>26</v>
      </c>
      <c r="E261" s="14" t="s">
        <v>812</v>
      </c>
      <c r="F261" s="633" t="s">
        <v>810</v>
      </c>
      <c r="G261" s="15">
        <v>44907</v>
      </c>
      <c r="H261" s="465">
        <v>50400</v>
      </c>
      <c r="I261" s="317"/>
      <c r="J261" s="317"/>
      <c r="K261" s="436">
        <f t="shared" si="29"/>
        <v>50400</v>
      </c>
      <c r="L261" s="15">
        <v>44907</v>
      </c>
      <c r="M261" s="456">
        <v>2859.682191780822</v>
      </c>
      <c r="N261" s="438">
        <f t="shared" si="30"/>
        <v>47540.317808219181</v>
      </c>
      <c r="O261" s="438">
        <f t="shared" si="31"/>
        <v>475</v>
      </c>
      <c r="P261" s="452">
        <v>3</v>
      </c>
      <c r="Q261" s="453">
        <f t="shared" si="41"/>
        <v>1.3013698630136987</v>
      </c>
      <c r="R261" s="454">
        <f t="shared" si="42"/>
        <v>1.6986301369863013</v>
      </c>
      <c r="S261" s="455">
        <f t="shared" si="43"/>
        <v>0.31666666666666665</v>
      </c>
      <c r="T261" s="442">
        <f t="shared" si="44"/>
        <v>15960</v>
      </c>
      <c r="U261" s="436">
        <f t="shared" si="45"/>
        <v>31580.317808219181</v>
      </c>
      <c r="V261" s="442">
        <f t="shared" si="46"/>
        <v>2520</v>
      </c>
      <c r="W261" s="456"/>
    </row>
    <row r="262" spans="1:23" ht="16.5">
      <c r="A262" s="450">
        <f t="shared" si="37"/>
        <v>255</v>
      </c>
      <c r="B262" s="14" t="s">
        <v>184</v>
      </c>
      <c r="C262" s="318" t="s">
        <v>3663</v>
      </c>
      <c r="D262" s="26" t="s">
        <v>26</v>
      </c>
      <c r="E262" s="14" t="s">
        <v>812</v>
      </c>
      <c r="F262" s="633" t="s">
        <v>811</v>
      </c>
      <c r="G262" s="15">
        <v>44907</v>
      </c>
      <c r="H262" s="465">
        <v>17185.599999999999</v>
      </c>
      <c r="I262" s="317"/>
      <c r="J262" s="317"/>
      <c r="K262" s="436">
        <f t="shared" si="29"/>
        <v>17185.599999999999</v>
      </c>
      <c r="L262" s="15">
        <v>44907</v>
      </c>
      <c r="M262" s="456">
        <v>975.1062356164382</v>
      </c>
      <c r="N262" s="438">
        <f t="shared" si="30"/>
        <v>16210.49376438356</v>
      </c>
      <c r="O262" s="438">
        <f t="shared" si="31"/>
        <v>475</v>
      </c>
      <c r="P262" s="452">
        <v>3</v>
      </c>
      <c r="Q262" s="453">
        <f t="shared" si="41"/>
        <v>1.3013698630136987</v>
      </c>
      <c r="R262" s="454">
        <f t="shared" si="42"/>
        <v>1.6986301369863013</v>
      </c>
      <c r="S262" s="455">
        <f t="shared" si="43"/>
        <v>0.31666666666666665</v>
      </c>
      <c r="T262" s="442">
        <f t="shared" si="44"/>
        <v>5442.1066666666657</v>
      </c>
      <c r="U262" s="436">
        <f t="shared" si="45"/>
        <v>10768.387097716895</v>
      </c>
      <c r="V262" s="442">
        <f t="shared" si="46"/>
        <v>859.28</v>
      </c>
      <c r="W262" s="456"/>
    </row>
    <row r="263" spans="1:23" ht="16.5">
      <c r="A263" s="450">
        <f t="shared" si="37"/>
        <v>256</v>
      </c>
      <c r="B263" s="530" t="s">
        <v>32</v>
      </c>
      <c r="C263" s="318" t="s">
        <v>3663</v>
      </c>
      <c r="D263" s="622" t="s">
        <v>2474</v>
      </c>
      <c r="E263" s="530" t="s">
        <v>3434</v>
      </c>
      <c r="F263" s="629">
        <v>76</v>
      </c>
      <c r="G263" s="623">
        <v>44946</v>
      </c>
      <c r="H263" s="465">
        <v>67416.12</v>
      </c>
      <c r="I263" s="317"/>
      <c r="J263" s="317"/>
      <c r="K263" s="436">
        <f t="shared" si="29"/>
        <v>67416.12</v>
      </c>
      <c r="L263" s="623">
        <v>44946</v>
      </c>
      <c r="M263" s="456">
        <v>2456.5325917808213</v>
      </c>
      <c r="N263" s="438">
        <f t="shared" si="30"/>
        <v>64959.587408219173</v>
      </c>
      <c r="O263" s="438">
        <f t="shared" si="31"/>
        <v>436</v>
      </c>
      <c r="P263" s="452">
        <v>3</v>
      </c>
      <c r="Q263" s="453">
        <f t="shared" si="41"/>
        <v>1.1945205479452055</v>
      </c>
      <c r="R263" s="454">
        <f t="shared" si="42"/>
        <v>1.8054794520547945</v>
      </c>
      <c r="S263" s="455">
        <f t="shared" si="43"/>
        <v>0.31666666666666665</v>
      </c>
      <c r="T263" s="442">
        <f t="shared" si="44"/>
        <v>21348.437999999998</v>
      </c>
      <c r="U263" s="436">
        <f t="shared" si="45"/>
        <v>43611.149408219178</v>
      </c>
      <c r="V263" s="442">
        <f t="shared" si="46"/>
        <v>3370.806</v>
      </c>
      <c r="W263" s="456"/>
    </row>
    <row r="264" spans="1:23" ht="16.5">
      <c r="A264" s="450">
        <f t="shared" si="37"/>
        <v>257</v>
      </c>
      <c r="B264" s="14" t="s">
        <v>184</v>
      </c>
      <c r="C264" s="318" t="s">
        <v>3663</v>
      </c>
      <c r="D264" s="90" t="s">
        <v>3459</v>
      </c>
      <c r="E264" s="14" t="s">
        <v>199</v>
      </c>
      <c r="F264" s="633">
        <v>27</v>
      </c>
      <c r="G264" s="15">
        <v>44666</v>
      </c>
      <c r="H264" s="465">
        <v>9322</v>
      </c>
      <c r="I264" s="317"/>
      <c r="J264" s="317"/>
      <c r="K264" s="436">
        <f t="shared" si="29"/>
        <v>9322</v>
      </c>
      <c r="L264" s="15">
        <v>44666</v>
      </c>
      <c r="M264" s="456">
        <v>1698.3917808219178</v>
      </c>
      <c r="N264" s="438">
        <f t="shared" si="30"/>
        <v>7623.6082191780824</v>
      </c>
      <c r="O264" s="438">
        <f t="shared" si="31"/>
        <v>716</v>
      </c>
      <c r="P264" s="452">
        <v>3</v>
      </c>
      <c r="Q264" s="453">
        <f t="shared" si="41"/>
        <v>1.9616438356164383</v>
      </c>
      <c r="R264" s="454">
        <f t="shared" si="42"/>
        <v>1.0383561643835617</v>
      </c>
      <c r="S264" s="455">
        <f t="shared" si="43"/>
        <v>0.31666666666666665</v>
      </c>
      <c r="T264" s="442">
        <f t="shared" si="44"/>
        <v>2951.9666666666667</v>
      </c>
      <c r="U264" s="436">
        <f t="shared" si="45"/>
        <v>4671.6415525114153</v>
      </c>
      <c r="V264" s="442">
        <f t="shared" si="46"/>
        <v>466.1</v>
      </c>
      <c r="W264" s="456"/>
    </row>
    <row r="265" spans="1:23" ht="16.5">
      <c r="A265" s="450">
        <f t="shared" si="37"/>
        <v>258</v>
      </c>
      <c r="B265" s="14" t="s">
        <v>183</v>
      </c>
      <c r="C265" s="318" t="s">
        <v>3663</v>
      </c>
      <c r="D265" s="90" t="s">
        <v>3459</v>
      </c>
      <c r="E265" s="14" t="s">
        <v>200</v>
      </c>
      <c r="F265" s="633" t="s">
        <v>196</v>
      </c>
      <c r="G265" s="15">
        <v>44681</v>
      </c>
      <c r="H265" s="465">
        <v>224300</v>
      </c>
      <c r="I265" s="317"/>
      <c r="J265" s="317"/>
      <c r="K265" s="436">
        <f t="shared" ref="K265:K312" si="47">+H265+I265-J265</f>
        <v>224300</v>
      </c>
      <c r="L265" s="15">
        <v>44681</v>
      </c>
      <c r="M265" s="456">
        <v>39114.232876712325</v>
      </c>
      <c r="N265" s="438">
        <f t="shared" ref="N265:N312" si="48">+K265-M265</f>
        <v>185185.76712328766</v>
      </c>
      <c r="O265" s="438">
        <f t="shared" ref="O265:O312" si="49">+$O$3-L265</f>
        <v>701</v>
      </c>
      <c r="P265" s="452">
        <v>3</v>
      </c>
      <c r="Q265" s="453">
        <f t="shared" si="41"/>
        <v>1.9205479452054794</v>
      </c>
      <c r="R265" s="454">
        <f t="shared" si="42"/>
        <v>1.0794520547945206</v>
      </c>
      <c r="S265" s="455">
        <f t="shared" si="43"/>
        <v>0.31666666666666665</v>
      </c>
      <c r="T265" s="442">
        <f t="shared" si="44"/>
        <v>71028.333333333328</v>
      </c>
      <c r="U265" s="436">
        <f t="shared" si="45"/>
        <v>114157.43378995433</v>
      </c>
      <c r="V265" s="442">
        <f t="shared" si="46"/>
        <v>11215</v>
      </c>
      <c r="W265" s="456"/>
    </row>
    <row r="266" spans="1:23" ht="16.5">
      <c r="A266" s="450">
        <f t="shared" ref="A266:A312" si="50">+A265+1</f>
        <v>259</v>
      </c>
      <c r="B266" s="14" t="s">
        <v>184</v>
      </c>
      <c r="C266" s="318" t="s">
        <v>3663</v>
      </c>
      <c r="D266" s="90" t="s">
        <v>3459</v>
      </c>
      <c r="E266" s="14" t="s">
        <v>199</v>
      </c>
      <c r="F266" s="633">
        <v>44</v>
      </c>
      <c r="G266" s="15">
        <v>44683</v>
      </c>
      <c r="H266" s="465">
        <v>12754</v>
      </c>
      <c r="I266" s="317"/>
      <c r="J266" s="317"/>
      <c r="K266" s="436">
        <f t="shared" si="47"/>
        <v>12754</v>
      </c>
      <c r="L266" s="15">
        <v>44683</v>
      </c>
      <c r="M266" s="456">
        <v>2210.8098082191782</v>
      </c>
      <c r="N266" s="438">
        <f t="shared" si="48"/>
        <v>10543.190191780821</v>
      </c>
      <c r="O266" s="438">
        <f t="shared" si="49"/>
        <v>699</v>
      </c>
      <c r="P266" s="452">
        <v>3</v>
      </c>
      <c r="Q266" s="453">
        <f t="shared" si="41"/>
        <v>1.9150684931506849</v>
      </c>
      <c r="R266" s="454">
        <f t="shared" si="42"/>
        <v>1.0849315068493151</v>
      </c>
      <c r="S266" s="455">
        <f t="shared" si="43"/>
        <v>0.31666666666666665</v>
      </c>
      <c r="T266" s="442">
        <f t="shared" si="44"/>
        <v>4038.7666666666664</v>
      </c>
      <c r="U266" s="436">
        <f t="shared" si="45"/>
        <v>6504.4235251141545</v>
      </c>
      <c r="V266" s="442">
        <f t="shared" si="46"/>
        <v>637.70000000000005</v>
      </c>
      <c r="W266" s="456"/>
    </row>
    <row r="267" spans="1:23" ht="16.5">
      <c r="A267" s="450">
        <f t="shared" si="50"/>
        <v>260</v>
      </c>
      <c r="B267" s="14" t="s">
        <v>184</v>
      </c>
      <c r="C267" s="318" t="s">
        <v>3663</v>
      </c>
      <c r="D267" s="90" t="s">
        <v>3459</v>
      </c>
      <c r="E267" s="14" t="s">
        <v>201</v>
      </c>
      <c r="F267" s="633">
        <v>190</v>
      </c>
      <c r="G267" s="15">
        <v>44692</v>
      </c>
      <c r="H267" s="465">
        <v>34316</v>
      </c>
      <c r="I267" s="317"/>
      <c r="J267" s="317"/>
      <c r="K267" s="436">
        <f t="shared" si="47"/>
        <v>34316</v>
      </c>
      <c r="L267" s="15">
        <v>44692</v>
      </c>
      <c r="M267" s="456">
        <v>5787.6519452054781</v>
      </c>
      <c r="N267" s="438">
        <f t="shared" si="48"/>
        <v>28528.348054794522</v>
      </c>
      <c r="O267" s="438">
        <f t="shared" si="49"/>
        <v>690</v>
      </c>
      <c r="P267" s="452">
        <v>3</v>
      </c>
      <c r="Q267" s="453">
        <f t="shared" si="41"/>
        <v>1.8904109589041096</v>
      </c>
      <c r="R267" s="454">
        <f t="shared" si="42"/>
        <v>1.1095890410958904</v>
      </c>
      <c r="S267" s="455">
        <f t="shared" si="43"/>
        <v>0.31666666666666665</v>
      </c>
      <c r="T267" s="442">
        <f t="shared" si="44"/>
        <v>10866.733333333334</v>
      </c>
      <c r="U267" s="436">
        <f t="shared" si="45"/>
        <v>17661.614721461188</v>
      </c>
      <c r="V267" s="442">
        <f t="shared" si="46"/>
        <v>1715.8000000000002</v>
      </c>
      <c r="W267" s="456"/>
    </row>
    <row r="268" spans="1:23" ht="16.5">
      <c r="A268" s="450">
        <f t="shared" si="50"/>
        <v>261</v>
      </c>
      <c r="B268" s="14" t="s">
        <v>185</v>
      </c>
      <c r="C268" s="318" t="s">
        <v>3663</v>
      </c>
      <c r="D268" s="90" t="s">
        <v>3459</v>
      </c>
      <c r="E268" s="14" t="s">
        <v>199</v>
      </c>
      <c r="F268" s="633">
        <v>60</v>
      </c>
      <c r="G268" s="15">
        <v>44698</v>
      </c>
      <c r="H268" s="465">
        <v>16610</v>
      </c>
      <c r="I268" s="317"/>
      <c r="J268" s="317"/>
      <c r="K268" s="436">
        <f t="shared" si="47"/>
        <v>16610</v>
      </c>
      <c r="L268" s="15">
        <v>44698</v>
      </c>
      <c r="M268" s="456">
        <v>2749.5238356164386</v>
      </c>
      <c r="N268" s="438">
        <f t="shared" si="48"/>
        <v>13860.476164383561</v>
      </c>
      <c r="O268" s="438">
        <f t="shared" si="49"/>
        <v>684</v>
      </c>
      <c r="P268" s="452">
        <v>3</v>
      </c>
      <c r="Q268" s="453">
        <f t="shared" si="41"/>
        <v>1.8739726027397261</v>
      </c>
      <c r="R268" s="454">
        <f t="shared" si="42"/>
        <v>1.1260273972602739</v>
      </c>
      <c r="S268" s="455">
        <f t="shared" si="43"/>
        <v>0.31666666666666665</v>
      </c>
      <c r="T268" s="442">
        <f t="shared" si="44"/>
        <v>5259.833333333333</v>
      </c>
      <c r="U268" s="436">
        <f t="shared" si="45"/>
        <v>8600.642831050227</v>
      </c>
      <c r="V268" s="442">
        <f t="shared" si="46"/>
        <v>830.5</v>
      </c>
      <c r="W268" s="456"/>
    </row>
    <row r="269" spans="1:23" ht="16.5">
      <c r="A269" s="450">
        <f t="shared" si="50"/>
        <v>262</v>
      </c>
      <c r="B269" s="14" t="s">
        <v>186</v>
      </c>
      <c r="C269" s="318" t="s">
        <v>3663</v>
      </c>
      <c r="D269" s="90" t="s">
        <v>3459</v>
      </c>
      <c r="E269" s="14" t="s">
        <v>202</v>
      </c>
      <c r="F269" s="633">
        <v>175</v>
      </c>
      <c r="G269" s="15">
        <v>44706</v>
      </c>
      <c r="H269" s="465">
        <v>20000</v>
      </c>
      <c r="I269" s="317"/>
      <c r="J269" s="317"/>
      <c r="K269" s="436">
        <f t="shared" si="47"/>
        <v>20000</v>
      </c>
      <c r="L269" s="15">
        <v>44706</v>
      </c>
      <c r="M269" s="456">
        <v>3227.3972602739727</v>
      </c>
      <c r="N269" s="438">
        <f t="shared" si="48"/>
        <v>16772.602739726026</v>
      </c>
      <c r="O269" s="438">
        <f t="shared" si="49"/>
        <v>676</v>
      </c>
      <c r="P269" s="452">
        <v>3</v>
      </c>
      <c r="Q269" s="453">
        <f t="shared" si="41"/>
        <v>1.8520547945205479</v>
      </c>
      <c r="R269" s="454">
        <f t="shared" si="42"/>
        <v>1.1479452054794521</v>
      </c>
      <c r="S269" s="455">
        <f t="shared" si="43"/>
        <v>0.31666666666666665</v>
      </c>
      <c r="T269" s="442">
        <f t="shared" si="44"/>
        <v>6333.333333333333</v>
      </c>
      <c r="U269" s="436">
        <f t="shared" si="45"/>
        <v>10439.269406392694</v>
      </c>
      <c r="V269" s="442">
        <f t="shared" si="46"/>
        <v>1000</v>
      </c>
      <c r="W269" s="456"/>
    </row>
    <row r="270" spans="1:23" ht="16.5">
      <c r="A270" s="450">
        <f t="shared" si="50"/>
        <v>263</v>
      </c>
      <c r="B270" s="14" t="s">
        <v>187</v>
      </c>
      <c r="C270" s="318" t="s">
        <v>3663</v>
      </c>
      <c r="D270" s="90" t="s">
        <v>3459</v>
      </c>
      <c r="E270" s="14" t="s">
        <v>203</v>
      </c>
      <c r="F270" s="633">
        <v>55</v>
      </c>
      <c r="G270" s="15">
        <v>44706</v>
      </c>
      <c r="H270" s="465">
        <v>39000</v>
      </c>
      <c r="I270" s="317"/>
      <c r="J270" s="317"/>
      <c r="K270" s="436">
        <f t="shared" si="47"/>
        <v>39000</v>
      </c>
      <c r="L270" s="15">
        <v>44706</v>
      </c>
      <c r="M270" s="456">
        <v>6293.4246575342468</v>
      </c>
      <c r="N270" s="438">
        <f t="shared" si="48"/>
        <v>32706.575342465752</v>
      </c>
      <c r="O270" s="438">
        <f t="shared" si="49"/>
        <v>676</v>
      </c>
      <c r="P270" s="452">
        <v>3</v>
      </c>
      <c r="Q270" s="453">
        <f t="shared" si="41"/>
        <v>1.8520547945205479</v>
      </c>
      <c r="R270" s="454">
        <f t="shared" si="42"/>
        <v>1.1479452054794521</v>
      </c>
      <c r="S270" s="455">
        <f t="shared" si="43"/>
        <v>0.31666666666666665</v>
      </c>
      <c r="T270" s="442">
        <f t="shared" si="44"/>
        <v>12350</v>
      </c>
      <c r="U270" s="436">
        <f t="shared" si="45"/>
        <v>20356.575342465752</v>
      </c>
      <c r="V270" s="442">
        <f t="shared" si="46"/>
        <v>1950</v>
      </c>
      <c r="W270" s="456"/>
    </row>
    <row r="271" spans="1:23" ht="16.5">
      <c r="A271" s="450">
        <f t="shared" si="50"/>
        <v>264</v>
      </c>
      <c r="B271" s="14" t="s">
        <v>188</v>
      </c>
      <c r="C271" s="318" t="s">
        <v>3663</v>
      </c>
      <c r="D271" s="90" t="s">
        <v>3459</v>
      </c>
      <c r="E271" s="14" t="s">
        <v>199</v>
      </c>
      <c r="F271" s="633">
        <v>405</v>
      </c>
      <c r="G271" s="15">
        <v>44707</v>
      </c>
      <c r="H271" s="465">
        <v>6864</v>
      </c>
      <c r="I271" s="317"/>
      <c r="J271" s="317"/>
      <c r="K271" s="436">
        <f t="shared" si="47"/>
        <v>6864</v>
      </c>
      <c r="L271" s="15">
        <v>44707</v>
      </c>
      <c r="M271" s="456">
        <v>1104.0696986301368</v>
      </c>
      <c r="N271" s="438">
        <f t="shared" si="48"/>
        <v>5759.9303013698627</v>
      </c>
      <c r="O271" s="438">
        <f t="shared" si="49"/>
        <v>675</v>
      </c>
      <c r="P271" s="452">
        <v>3</v>
      </c>
      <c r="Q271" s="453">
        <f t="shared" si="41"/>
        <v>1.8493150684931507</v>
      </c>
      <c r="R271" s="454">
        <f t="shared" si="42"/>
        <v>1.1506849315068493</v>
      </c>
      <c r="S271" s="455">
        <f t="shared" si="43"/>
        <v>0.31666666666666665</v>
      </c>
      <c r="T271" s="442">
        <f t="shared" si="44"/>
        <v>2173.6</v>
      </c>
      <c r="U271" s="436">
        <f t="shared" si="45"/>
        <v>3586.3303013698628</v>
      </c>
      <c r="V271" s="442">
        <f t="shared" si="46"/>
        <v>343.20000000000005</v>
      </c>
      <c r="W271" s="456"/>
    </row>
    <row r="272" spans="1:23" ht="16.5">
      <c r="A272" s="450">
        <f t="shared" si="50"/>
        <v>265</v>
      </c>
      <c r="B272" s="14" t="s">
        <v>188</v>
      </c>
      <c r="C272" s="318" t="s">
        <v>3663</v>
      </c>
      <c r="D272" s="90" t="s">
        <v>3459</v>
      </c>
      <c r="E272" s="14" t="s">
        <v>199</v>
      </c>
      <c r="F272" s="633">
        <v>406</v>
      </c>
      <c r="G272" s="15">
        <v>44712</v>
      </c>
      <c r="H272" s="465">
        <v>23729</v>
      </c>
      <c r="I272" s="317"/>
      <c r="J272" s="317"/>
      <c r="K272" s="436">
        <f t="shared" si="47"/>
        <v>23729</v>
      </c>
      <c r="L272" s="15">
        <v>44712</v>
      </c>
      <c r="M272" s="456">
        <v>3755.0329863013699</v>
      </c>
      <c r="N272" s="438">
        <f t="shared" si="48"/>
        <v>19973.967013698631</v>
      </c>
      <c r="O272" s="438">
        <f t="shared" si="49"/>
        <v>670</v>
      </c>
      <c r="P272" s="452">
        <v>3</v>
      </c>
      <c r="Q272" s="453">
        <f t="shared" si="41"/>
        <v>1.8356164383561644</v>
      </c>
      <c r="R272" s="454">
        <f t="shared" si="42"/>
        <v>1.1643835616438356</v>
      </c>
      <c r="S272" s="455">
        <f t="shared" si="43"/>
        <v>0.31666666666666665</v>
      </c>
      <c r="T272" s="442">
        <f t="shared" si="44"/>
        <v>7514.1833333333334</v>
      </c>
      <c r="U272" s="436">
        <f t="shared" si="45"/>
        <v>12459.783680365297</v>
      </c>
      <c r="V272" s="442">
        <f t="shared" si="46"/>
        <v>1186.45</v>
      </c>
      <c r="W272" s="456"/>
    </row>
    <row r="273" spans="1:23" ht="16.5">
      <c r="A273" s="450">
        <f t="shared" si="50"/>
        <v>266</v>
      </c>
      <c r="B273" s="14" t="s">
        <v>189</v>
      </c>
      <c r="C273" s="318" t="s">
        <v>3663</v>
      </c>
      <c r="D273" s="90" t="s">
        <v>3459</v>
      </c>
      <c r="E273" s="14" t="s">
        <v>204</v>
      </c>
      <c r="F273" s="633">
        <v>104</v>
      </c>
      <c r="G273" s="15">
        <v>44725</v>
      </c>
      <c r="H273" s="465">
        <v>7627.0000000000009</v>
      </c>
      <c r="I273" s="317"/>
      <c r="J273" s="317"/>
      <c r="K273" s="436">
        <f t="shared" si="47"/>
        <v>7627.0000000000009</v>
      </c>
      <c r="L273" s="15">
        <v>44725</v>
      </c>
      <c r="M273" s="456">
        <v>1155.3337808219178</v>
      </c>
      <c r="N273" s="438">
        <f t="shared" si="48"/>
        <v>6471.6662191780833</v>
      </c>
      <c r="O273" s="438">
        <f t="shared" si="49"/>
        <v>657</v>
      </c>
      <c r="P273" s="452">
        <v>3</v>
      </c>
      <c r="Q273" s="453">
        <f t="shared" si="41"/>
        <v>1.8</v>
      </c>
      <c r="R273" s="454">
        <f t="shared" si="42"/>
        <v>1.2</v>
      </c>
      <c r="S273" s="455">
        <f t="shared" si="43"/>
        <v>0.31666666666666665</v>
      </c>
      <c r="T273" s="442">
        <f t="shared" si="44"/>
        <v>2415.2166666666667</v>
      </c>
      <c r="U273" s="436">
        <f t="shared" si="45"/>
        <v>4056.4495525114166</v>
      </c>
      <c r="V273" s="442">
        <f t="shared" si="46"/>
        <v>381.35000000000008</v>
      </c>
      <c r="W273" s="456"/>
    </row>
    <row r="274" spans="1:23" ht="16.5">
      <c r="A274" s="450">
        <f t="shared" si="50"/>
        <v>267</v>
      </c>
      <c r="B274" s="14" t="s">
        <v>449</v>
      </c>
      <c r="C274" s="318" t="s">
        <v>3663</v>
      </c>
      <c r="D274" s="90" t="s">
        <v>3459</v>
      </c>
      <c r="E274" s="14" t="s">
        <v>450</v>
      </c>
      <c r="F274" s="633">
        <v>92</v>
      </c>
      <c r="G274" s="15">
        <v>44758</v>
      </c>
      <c r="H274" s="465">
        <v>549800</v>
      </c>
      <c r="I274" s="317"/>
      <c r="J274" s="317"/>
      <c r="K274" s="436">
        <f t="shared" si="47"/>
        <v>549800</v>
      </c>
      <c r="L274" s="15">
        <v>44758</v>
      </c>
      <c r="M274" s="456">
        <v>73838.893150684933</v>
      </c>
      <c r="N274" s="438">
        <f t="shared" si="48"/>
        <v>475961.10684931505</v>
      </c>
      <c r="O274" s="438">
        <f t="shared" si="49"/>
        <v>624</v>
      </c>
      <c r="P274" s="452">
        <v>3</v>
      </c>
      <c r="Q274" s="453">
        <f t="shared" si="41"/>
        <v>1.7095890410958905</v>
      </c>
      <c r="R274" s="454">
        <f t="shared" si="42"/>
        <v>1.2904109589041095</v>
      </c>
      <c r="S274" s="455">
        <f t="shared" si="43"/>
        <v>0.31666666666666665</v>
      </c>
      <c r="T274" s="442">
        <f t="shared" si="44"/>
        <v>174103.33333333331</v>
      </c>
      <c r="U274" s="436">
        <f t="shared" si="45"/>
        <v>301857.77351598174</v>
      </c>
      <c r="V274" s="442">
        <f t="shared" si="46"/>
        <v>27490</v>
      </c>
      <c r="W274" s="456"/>
    </row>
    <row r="275" spans="1:23" ht="16.5">
      <c r="A275" s="450">
        <f t="shared" si="50"/>
        <v>268</v>
      </c>
      <c r="B275" s="14" t="s">
        <v>451</v>
      </c>
      <c r="C275" s="318" t="s">
        <v>3663</v>
      </c>
      <c r="D275" s="90" t="s">
        <v>3459</v>
      </c>
      <c r="E275" s="14" t="s">
        <v>200</v>
      </c>
      <c r="F275" s="633">
        <v>251</v>
      </c>
      <c r="G275" s="15">
        <v>44772</v>
      </c>
      <c r="H275" s="465">
        <v>29800</v>
      </c>
      <c r="I275" s="317"/>
      <c r="J275" s="317"/>
      <c r="K275" s="436">
        <f t="shared" si="47"/>
        <v>29800</v>
      </c>
      <c r="L275" s="15">
        <v>44772</v>
      </c>
      <c r="M275" s="456">
        <v>3785.0082191780821</v>
      </c>
      <c r="N275" s="438">
        <f t="shared" si="48"/>
        <v>26014.991780821918</v>
      </c>
      <c r="O275" s="438">
        <f t="shared" si="49"/>
        <v>610</v>
      </c>
      <c r="P275" s="452">
        <v>3</v>
      </c>
      <c r="Q275" s="453">
        <f t="shared" si="41"/>
        <v>1.6712328767123288</v>
      </c>
      <c r="R275" s="454">
        <f t="shared" si="42"/>
        <v>1.3287671232876712</v>
      </c>
      <c r="S275" s="455">
        <f t="shared" si="43"/>
        <v>0.31666666666666665</v>
      </c>
      <c r="T275" s="442">
        <f t="shared" si="44"/>
        <v>9436.6666666666661</v>
      </c>
      <c r="U275" s="436">
        <f t="shared" si="45"/>
        <v>16578.325114155254</v>
      </c>
      <c r="V275" s="442">
        <f t="shared" si="46"/>
        <v>1490</v>
      </c>
      <c r="W275" s="456"/>
    </row>
    <row r="276" spans="1:23" ht="16.5">
      <c r="A276" s="450">
        <f t="shared" si="50"/>
        <v>269</v>
      </c>
      <c r="B276" s="14" t="s">
        <v>452</v>
      </c>
      <c r="C276" s="318" t="s">
        <v>3663</v>
      </c>
      <c r="D276" s="90" t="s">
        <v>3459</v>
      </c>
      <c r="E276" s="14" t="s">
        <v>200</v>
      </c>
      <c r="F276" s="633">
        <v>252</v>
      </c>
      <c r="G276" s="15">
        <v>44772</v>
      </c>
      <c r="H276" s="465">
        <v>48500</v>
      </c>
      <c r="I276" s="317"/>
      <c r="J276" s="317"/>
      <c r="K276" s="436">
        <f t="shared" si="47"/>
        <v>48500</v>
      </c>
      <c r="L276" s="15">
        <v>44772</v>
      </c>
      <c r="M276" s="456">
        <v>6160.1643835616442</v>
      </c>
      <c r="N276" s="438">
        <f t="shared" si="48"/>
        <v>42339.835616438359</v>
      </c>
      <c r="O276" s="438">
        <f t="shared" si="49"/>
        <v>610</v>
      </c>
      <c r="P276" s="452">
        <v>3</v>
      </c>
      <c r="Q276" s="453">
        <f t="shared" si="41"/>
        <v>1.6712328767123288</v>
      </c>
      <c r="R276" s="454">
        <f t="shared" si="42"/>
        <v>1.3287671232876712</v>
      </c>
      <c r="S276" s="455">
        <f t="shared" si="43"/>
        <v>0.31666666666666665</v>
      </c>
      <c r="T276" s="442">
        <f t="shared" si="44"/>
        <v>15358.333333333332</v>
      </c>
      <c r="U276" s="436">
        <f t="shared" si="45"/>
        <v>26981.502283105026</v>
      </c>
      <c r="V276" s="442">
        <f t="shared" si="46"/>
        <v>2425</v>
      </c>
      <c r="W276" s="456"/>
    </row>
    <row r="277" spans="1:23" ht="16.5">
      <c r="A277" s="450">
        <f t="shared" si="50"/>
        <v>270</v>
      </c>
      <c r="B277" s="14" t="s">
        <v>192</v>
      </c>
      <c r="C277" s="318" t="s">
        <v>3663</v>
      </c>
      <c r="D277" s="90" t="s">
        <v>3459</v>
      </c>
      <c r="E277" s="14" t="s">
        <v>453</v>
      </c>
      <c r="F277" s="633">
        <v>178</v>
      </c>
      <c r="G277" s="15">
        <v>44774</v>
      </c>
      <c r="H277" s="465">
        <v>34000</v>
      </c>
      <c r="I277" s="317"/>
      <c r="J277" s="317"/>
      <c r="K277" s="436">
        <f t="shared" si="47"/>
        <v>34000</v>
      </c>
      <c r="L277" s="15">
        <v>44774</v>
      </c>
      <c r="M277" s="456">
        <v>4283.0684931506848</v>
      </c>
      <c r="N277" s="438">
        <f t="shared" si="48"/>
        <v>29716.931506849316</v>
      </c>
      <c r="O277" s="438">
        <f t="shared" si="49"/>
        <v>608</v>
      </c>
      <c r="P277" s="452">
        <v>3</v>
      </c>
      <c r="Q277" s="453">
        <f t="shared" si="41"/>
        <v>1.6657534246575343</v>
      </c>
      <c r="R277" s="454">
        <f t="shared" si="42"/>
        <v>1.3342465753424657</v>
      </c>
      <c r="S277" s="455">
        <f t="shared" si="43"/>
        <v>0.31666666666666665</v>
      </c>
      <c r="T277" s="442">
        <f t="shared" si="44"/>
        <v>10766.666666666666</v>
      </c>
      <c r="U277" s="436">
        <f t="shared" si="45"/>
        <v>18950.264840182652</v>
      </c>
      <c r="V277" s="442">
        <f t="shared" si="46"/>
        <v>1700</v>
      </c>
      <c r="W277" s="456"/>
    </row>
    <row r="278" spans="1:23" ht="16.5">
      <c r="A278" s="450">
        <f t="shared" si="50"/>
        <v>271</v>
      </c>
      <c r="B278" s="14" t="s">
        <v>189</v>
      </c>
      <c r="C278" s="318" t="s">
        <v>3663</v>
      </c>
      <c r="D278" s="90" t="s">
        <v>3459</v>
      </c>
      <c r="E278" s="14" t="s">
        <v>454</v>
      </c>
      <c r="F278" s="633">
        <v>181</v>
      </c>
      <c r="G278" s="15">
        <v>44785</v>
      </c>
      <c r="H278" s="465">
        <v>5338.98</v>
      </c>
      <c r="I278" s="317"/>
      <c r="J278" s="317"/>
      <c r="K278" s="436">
        <f t="shared" si="47"/>
        <v>5338.98</v>
      </c>
      <c r="L278" s="15">
        <v>44785</v>
      </c>
      <c r="M278" s="456">
        <v>641.99406082191763</v>
      </c>
      <c r="N278" s="438">
        <f t="shared" si="48"/>
        <v>4696.9859391780819</v>
      </c>
      <c r="O278" s="438">
        <f t="shared" si="49"/>
        <v>597</v>
      </c>
      <c r="P278" s="452">
        <v>3</v>
      </c>
      <c r="Q278" s="453">
        <f t="shared" si="41"/>
        <v>1.6356164383561644</v>
      </c>
      <c r="R278" s="454">
        <f t="shared" si="42"/>
        <v>1.3643835616438356</v>
      </c>
      <c r="S278" s="455">
        <f t="shared" si="43"/>
        <v>0.31666666666666665</v>
      </c>
      <c r="T278" s="442">
        <f t="shared" si="44"/>
        <v>1690.6769999999997</v>
      </c>
      <c r="U278" s="436">
        <f t="shared" si="45"/>
        <v>3006.3089391780823</v>
      </c>
      <c r="V278" s="442">
        <f t="shared" si="46"/>
        <v>266.94900000000001</v>
      </c>
      <c r="W278" s="456"/>
    </row>
    <row r="279" spans="1:23" ht="16.5">
      <c r="A279" s="450">
        <f t="shared" si="50"/>
        <v>272</v>
      </c>
      <c r="B279" s="14" t="s">
        <v>455</v>
      </c>
      <c r="C279" s="318" t="s">
        <v>3663</v>
      </c>
      <c r="D279" s="90" t="s">
        <v>3459</v>
      </c>
      <c r="E279" s="14" t="s">
        <v>456</v>
      </c>
      <c r="F279" s="633">
        <v>152</v>
      </c>
      <c r="G279" s="15">
        <v>44785</v>
      </c>
      <c r="H279" s="465">
        <v>8406.7800000000007</v>
      </c>
      <c r="I279" s="317"/>
      <c r="J279" s="317"/>
      <c r="K279" s="436">
        <f t="shared" si="47"/>
        <v>8406.7800000000007</v>
      </c>
      <c r="L279" s="15">
        <v>44785</v>
      </c>
      <c r="M279" s="456">
        <v>1010.8865046575341</v>
      </c>
      <c r="N279" s="438">
        <f t="shared" si="48"/>
        <v>7395.8934953424668</v>
      </c>
      <c r="O279" s="438">
        <f t="shared" si="49"/>
        <v>597</v>
      </c>
      <c r="P279" s="452">
        <v>3</v>
      </c>
      <c r="Q279" s="453">
        <f t="shared" si="41"/>
        <v>1.6356164383561644</v>
      </c>
      <c r="R279" s="454">
        <f t="shared" si="42"/>
        <v>1.3643835616438356</v>
      </c>
      <c r="S279" s="455">
        <f t="shared" si="43"/>
        <v>0.31666666666666665</v>
      </c>
      <c r="T279" s="442">
        <f t="shared" si="44"/>
        <v>2662.1469999999999</v>
      </c>
      <c r="U279" s="436">
        <f t="shared" si="45"/>
        <v>4733.7464953424669</v>
      </c>
      <c r="V279" s="442">
        <f t="shared" si="46"/>
        <v>420.33900000000006</v>
      </c>
      <c r="W279" s="456"/>
    </row>
    <row r="280" spans="1:23" ht="16.5">
      <c r="A280" s="450">
        <f t="shared" si="50"/>
        <v>273</v>
      </c>
      <c r="B280" s="14" t="s">
        <v>457</v>
      </c>
      <c r="C280" s="318" t="s">
        <v>3663</v>
      </c>
      <c r="D280" s="90" t="s">
        <v>3459</v>
      </c>
      <c r="E280" s="14" t="s">
        <v>456</v>
      </c>
      <c r="F280" s="633">
        <v>153</v>
      </c>
      <c r="G280" s="15">
        <v>44798</v>
      </c>
      <c r="H280" s="465">
        <v>10593.22</v>
      </c>
      <c r="I280" s="317"/>
      <c r="J280" s="317"/>
      <c r="K280" s="436">
        <f t="shared" si="47"/>
        <v>10593.22</v>
      </c>
      <c r="L280" s="15">
        <v>44798</v>
      </c>
      <c r="M280" s="456">
        <v>1202.1128010958903</v>
      </c>
      <c r="N280" s="438">
        <f t="shared" si="48"/>
        <v>9391.1071989041084</v>
      </c>
      <c r="O280" s="438">
        <f t="shared" si="49"/>
        <v>584</v>
      </c>
      <c r="P280" s="452">
        <v>3</v>
      </c>
      <c r="Q280" s="453">
        <f t="shared" si="41"/>
        <v>1.6</v>
      </c>
      <c r="R280" s="454">
        <f t="shared" si="42"/>
        <v>1.4</v>
      </c>
      <c r="S280" s="455">
        <f t="shared" si="43"/>
        <v>0.31666666666666665</v>
      </c>
      <c r="T280" s="442">
        <f t="shared" si="44"/>
        <v>3354.5196666666661</v>
      </c>
      <c r="U280" s="436">
        <f t="shared" si="45"/>
        <v>6036.5875322374422</v>
      </c>
      <c r="V280" s="442">
        <f t="shared" si="46"/>
        <v>529.66099999999994</v>
      </c>
      <c r="W280" s="456"/>
    </row>
    <row r="281" spans="1:23" ht="16.5">
      <c r="A281" s="450">
        <f t="shared" si="50"/>
        <v>274</v>
      </c>
      <c r="B281" s="14" t="s">
        <v>458</v>
      </c>
      <c r="C281" s="318" t="s">
        <v>3663</v>
      </c>
      <c r="D281" s="90" t="s">
        <v>3459</v>
      </c>
      <c r="E281" s="14" t="s">
        <v>454</v>
      </c>
      <c r="F281" s="633">
        <v>232</v>
      </c>
      <c r="G281" s="15">
        <v>44804</v>
      </c>
      <c r="H281" s="465">
        <v>4491.5200000000004</v>
      </c>
      <c r="I281" s="317"/>
      <c r="J281" s="317"/>
      <c r="K281" s="436">
        <f t="shared" si="47"/>
        <v>4491.5200000000004</v>
      </c>
      <c r="L281" s="15">
        <v>44804</v>
      </c>
      <c r="M281" s="456">
        <v>495.66691945205486</v>
      </c>
      <c r="N281" s="438">
        <f t="shared" si="48"/>
        <v>3995.8530805479454</v>
      </c>
      <c r="O281" s="438">
        <f t="shared" si="49"/>
        <v>578</v>
      </c>
      <c r="P281" s="452">
        <v>3</v>
      </c>
      <c r="Q281" s="453">
        <f t="shared" si="41"/>
        <v>1.5835616438356164</v>
      </c>
      <c r="R281" s="454">
        <f t="shared" si="42"/>
        <v>1.4164383561643836</v>
      </c>
      <c r="S281" s="455">
        <f t="shared" si="43"/>
        <v>0.31666666666666665</v>
      </c>
      <c r="T281" s="442">
        <f t="shared" si="44"/>
        <v>1422.3146666666667</v>
      </c>
      <c r="U281" s="436">
        <f t="shared" si="45"/>
        <v>2573.5384138812788</v>
      </c>
      <c r="V281" s="442">
        <f t="shared" si="46"/>
        <v>224.57600000000002</v>
      </c>
      <c r="W281" s="456"/>
    </row>
    <row r="282" spans="1:23" ht="16.5">
      <c r="A282" s="450">
        <f t="shared" si="50"/>
        <v>275</v>
      </c>
      <c r="B282" s="14" t="s">
        <v>184</v>
      </c>
      <c r="C282" s="318" t="s">
        <v>3663</v>
      </c>
      <c r="D282" s="90" t="s">
        <v>3459</v>
      </c>
      <c r="E282" s="14" t="s">
        <v>456</v>
      </c>
      <c r="F282" s="633">
        <v>315</v>
      </c>
      <c r="G282" s="15">
        <v>44809</v>
      </c>
      <c r="H282" s="465">
        <v>3221.34</v>
      </c>
      <c r="I282" s="317"/>
      <c r="J282" s="317"/>
      <c r="K282" s="436">
        <f t="shared" si="47"/>
        <v>3221.34</v>
      </c>
      <c r="L282" s="15">
        <v>44809</v>
      </c>
      <c r="M282" s="456">
        <v>347.1104169863014</v>
      </c>
      <c r="N282" s="438">
        <f t="shared" si="48"/>
        <v>2874.2295830136986</v>
      </c>
      <c r="O282" s="438">
        <f t="shared" si="49"/>
        <v>573</v>
      </c>
      <c r="P282" s="452">
        <v>3</v>
      </c>
      <c r="Q282" s="453">
        <f t="shared" si="41"/>
        <v>1.5698630136986302</v>
      </c>
      <c r="R282" s="454">
        <f t="shared" si="42"/>
        <v>1.4301369863013698</v>
      </c>
      <c r="S282" s="455">
        <f t="shared" si="43"/>
        <v>0.31666666666666665</v>
      </c>
      <c r="T282" s="442">
        <f t="shared" si="44"/>
        <v>1020.091</v>
      </c>
      <c r="U282" s="436">
        <f t="shared" si="45"/>
        <v>1854.1385830136987</v>
      </c>
      <c r="V282" s="442">
        <f t="shared" si="46"/>
        <v>161.06700000000001</v>
      </c>
      <c r="W282" s="456"/>
    </row>
    <row r="283" spans="1:23" ht="16.5">
      <c r="A283" s="450">
        <f t="shared" si="50"/>
        <v>276</v>
      </c>
      <c r="B283" s="14" t="s">
        <v>184</v>
      </c>
      <c r="C283" s="318" t="s">
        <v>3663</v>
      </c>
      <c r="D283" s="90" t="s">
        <v>3459</v>
      </c>
      <c r="E283" s="14" t="s">
        <v>456</v>
      </c>
      <c r="F283" s="633">
        <v>177</v>
      </c>
      <c r="G283" s="15">
        <v>44814</v>
      </c>
      <c r="H283" s="465">
        <v>17881.36</v>
      </c>
      <c r="I283" s="317"/>
      <c r="J283" s="317"/>
      <c r="K283" s="436">
        <f t="shared" si="47"/>
        <v>17881.36</v>
      </c>
      <c r="L283" s="15">
        <v>44814</v>
      </c>
      <c r="M283" s="456">
        <v>1880.2372515068494</v>
      </c>
      <c r="N283" s="438">
        <f t="shared" si="48"/>
        <v>16001.122748493151</v>
      </c>
      <c r="O283" s="438">
        <f t="shared" si="49"/>
        <v>568</v>
      </c>
      <c r="P283" s="452">
        <v>3</v>
      </c>
      <c r="Q283" s="453">
        <f t="shared" si="41"/>
        <v>1.5561643835616439</v>
      </c>
      <c r="R283" s="454">
        <f t="shared" si="42"/>
        <v>1.4438356164383561</v>
      </c>
      <c r="S283" s="455">
        <f t="shared" si="43"/>
        <v>0.31666666666666665</v>
      </c>
      <c r="T283" s="442">
        <f t="shared" si="44"/>
        <v>5662.4306666666662</v>
      </c>
      <c r="U283" s="436">
        <f t="shared" si="45"/>
        <v>10338.692081826484</v>
      </c>
      <c r="V283" s="442">
        <f t="shared" si="46"/>
        <v>894.0680000000001</v>
      </c>
      <c r="W283" s="456"/>
    </row>
    <row r="284" spans="1:23" ht="16.5">
      <c r="A284" s="450">
        <f t="shared" si="50"/>
        <v>277</v>
      </c>
      <c r="B284" s="14" t="s">
        <v>459</v>
      </c>
      <c r="C284" s="318" t="s">
        <v>3663</v>
      </c>
      <c r="D284" s="90" t="s">
        <v>3459</v>
      </c>
      <c r="E284" s="14" t="s">
        <v>200</v>
      </c>
      <c r="F284" s="633">
        <v>293</v>
      </c>
      <c r="G284" s="15">
        <v>44824</v>
      </c>
      <c r="H284" s="465">
        <v>250000</v>
      </c>
      <c r="I284" s="317"/>
      <c r="J284" s="317"/>
      <c r="K284" s="436">
        <f t="shared" si="47"/>
        <v>250000</v>
      </c>
      <c r="L284" s="15">
        <v>44824</v>
      </c>
      <c r="M284" s="456">
        <v>24986.301369863013</v>
      </c>
      <c r="N284" s="438">
        <f t="shared" si="48"/>
        <v>225013.69863013699</v>
      </c>
      <c r="O284" s="438">
        <f t="shared" si="49"/>
        <v>558</v>
      </c>
      <c r="P284" s="452">
        <v>3</v>
      </c>
      <c r="Q284" s="453">
        <f t="shared" si="41"/>
        <v>1.5287671232876712</v>
      </c>
      <c r="R284" s="454">
        <f t="shared" si="42"/>
        <v>1.4712328767123288</v>
      </c>
      <c r="S284" s="455">
        <f t="shared" si="43"/>
        <v>0.31666666666666665</v>
      </c>
      <c r="T284" s="442">
        <f t="shared" si="44"/>
        <v>79166.666666666657</v>
      </c>
      <c r="U284" s="436">
        <f t="shared" si="45"/>
        <v>145847.03196347033</v>
      </c>
      <c r="V284" s="442">
        <f t="shared" si="46"/>
        <v>12500</v>
      </c>
      <c r="W284" s="456"/>
    </row>
    <row r="285" spans="1:23" ht="16.5">
      <c r="A285" s="450">
        <f t="shared" si="50"/>
        <v>278</v>
      </c>
      <c r="B285" s="14" t="s">
        <v>459</v>
      </c>
      <c r="C285" s="318" t="s">
        <v>3663</v>
      </c>
      <c r="D285" s="90" t="s">
        <v>3459</v>
      </c>
      <c r="E285" s="14" t="s">
        <v>200</v>
      </c>
      <c r="F285" s="633">
        <v>289</v>
      </c>
      <c r="G285" s="15">
        <v>44828</v>
      </c>
      <c r="H285" s="465">
        <v>29000</v>
      </c>
      <c r="I285" s="317"/>
      <c r="J285" s="317"/>
      <c r="K285" s="436">
        <f t="shared" si="47"/>
        <v>29000</v>
      </c>
      <c r="L285" s="15">
        <v>44828</v>
      </c>
      <c r="M285" s="456">
        <v>2838.027397260274</v>
      </c>
      <c r="N285" s="438">
        <f t="shared" si="48"/>
        <v>26161.972602739726</v>
      </c>
      <c r="O285" s="438">
        <f t="shared" si="49"/>
        <v>554</v>
      </c>
      <c r="P285" s="452">
        <v>3</v>
      </c>
      <c r="Q285" s="453">
        <f t="shared" si="41"/>
        <v>1.5178082191780822</v>
      </c>
      <c r="R285" s="454">
        <f t="shared" si="42"/>
        <v>1.4821917808219178</v>
      </c>
      <c r="S285" s="455">
        <f t="shared" si="43"/>
        <v>0.31666666666666665</v>
      </c>
      <c r="T285" s="442">
        <f t="shared" si="44"/>
        <v>9183.3333333333321</v>
      </c>
      <c r="U285" s="436">
        <f t="shared" si="45"/>
        <v>16978.639269406394</v>
      </c>
      <c r="V285" s="442">
        <f t="shared" si="46"/>
        <v>1450</v>
      </c>
      <c r="W285" s="456"/>
    </row>
    <row r="286" spans="1:23" ht="16.5">
      <c r="A286" s="450">
        <f t="shared" si="50"/>
        <v>279</v>
      </c>
      <c r="B286" s="14" t="s">
        <v>459</v>
      </c>
      <c r="C286" s="318" t="s">
        <v>3663</v>
      </c>
      <c r="D286" s="90" t="s">
        <v>3459</v>
      </c>
      <c r="E286" s="14" t="s">
        <v>200</v>
      </c>
      <c r="F286" s="633">
        <v>290</v>
      </c>
      <c r="G286" s="15">
        <v>44828</v>
      </c>
      <c r="H286" s="465">
        <v>18600</v>
      </c>
      <c r="I286" s="317"/>
      <c r="J286" s="317"/>
      <c r="K286" s="436">
        <f t="shared" si="47"/>
        <v>18600</v>
      </c>
      <c r="L286" s="15">
        <v>44828</v>
      </c>
      <c r="M286" s="456">
        <v>1820.2520547945205</v>
      </c>
      <c r="N286" s="438">
        <f t="shared" si="48"/>
        <v>16779.747945205479</v>
      </c>
      <c r="O286" s="438">
        <f t="shared" si="49"/>
        <v>554</v>
      </c>
      <c r="P286" s="452">
        <v>3</v>
      </c>
      <c r="Q286" s="453">
        <f t="shared" si="41"/>
        <v>1.5178082191780822</v>
      </c>
      <c r="R286" s="454">
        <f t="shared" si="42"/>
        <v>1.4821917808219178</v>
      </c>
      <c r="S286" s="455">
        <f t="shared" si="43"/>
        <v>0.31666666666666665</v>
      </c>
      <c r="T286" s="442">
        <f t="shared" si="44"/>
        <v>5890</v>
      </c>
      <c r="U286" s="436">
        <f t="shared" si="45"/>
        <v>10889.747945205479</v>
      </c>
      <c r="V286" s="442">
        <f t="shared" si="46"/>
        <v>930</v>
      </c>
      <c r="W286" s="456"/>
    </row>
    <row r="287" spans="1:23" ht="16.5">
      <c r="A287" s="450">
        <f t="shared" si="50"/>
        <v>280</v>
      </c>
      <c r="B287" s="14" t="s">
        <v>804</v>
      </c>
      <c r="C287" s="318" t="s">
        <v>3663</v>
      </c>
      <c r="D287" s="90" t="s">
        <v>3459</v>
      </c>
      <c r="E287" s="14" t="s">
        <v>456</v>
      </c>
      <c r="F287" s="633">
        <v>217</v>
      </c>
      <c r="G287" s="15">
        <v>44895</v>
      </c>
      <c r="H287" s="465">
        <v>10762.72</v>
      </c>
      <c r="I287" s="317"/>
      <c r="J287" s="317"/>
      <c r="K287" s="436">
        <f t="shared" si="47"/>
        <v>10762.72</v>
      </c>
      <c r="L287" s="15">
        <v>44895</v>
      </c>
      <c r="M287" s="456">
        <v>677.90392547945203</v>
      </c>
      <c r="N287" s="438">
        <f t="shared" si="48"/>
        <v>10084.816074520548</v>
      </c>
      <c r="O287" s="438">
        <f t="shared" si="49"/>
        <v>487</v>
      </c>
      <c r="P287" s="452">
        <v>3</v>
      </c>
      <c r="Q287" s="453">
        <f t="shared" si="41"/>
        <v>1.3342465753424657</v>
      </c>
      <c r="R287" s="454">
        <f t="shared" si="42"/>
        <v>1.6657534246575343</v>
      </c>
      <c r="S287" s="455">
        <f t="shared" si="43"/>
        <v>0.31666666666666665</v>
      </c>
      <c r="T287" s="442">
        <f t="shared" si="44"/>
        <v>3408.1946666666663</v>
      </c>
      <c r="U287" s="436">
        <f t="shared" si="45"/>
        <v>6676.6214078538815</v>
      </c>
      <c r="V287" s="442">
        <f t="shared" si="46"/>
        <v>538.13599999999997</v>
      </c>
      <c r="W287" s="456"/>
    </row>
    <row r="288" spans="1:23" ht="16.5">
      <c r="A288" s="450">
        <f t="shared" si="50"/>
        <v>281</v>
      </c>
      <c r="B288" s="14" t="s">
        <v>804</v>
      </c>
      <c r="C288" s="318" t="s">
        <v>3663</v>
      </c>
      <c r="D288" s="90" t="s">
        <v>3459</v>
      </c>
      <c r="E288" s="14" t="s">
        <v>815</v>
      </c>
      <c r="F288" s="633">
        <v>412</v>
      </c>
      <c r="G288" s="15">
        <v>44895</v>
      </c>
      <c r="H288" s="465">
        <v>5720.34</v>
      </c>
      <c r="I288" s="317"/>
      <c r="J288" s="317"/>
      <c r="K288" s="436">
        <f t="shared" si="47"/>
        <v>5720.34</v>
      </c>
      <c r="L288" s="15">
        <v>44895</v>
      </c>
      <c r="M288" s="456">
        <v>360.30305917808221</v>
      </c>
      <c r="N288" s="438">
        <f t="shared" si="48"/>
        <v>5360.0369408219176</v>
      </c>
      <c r="O288" s="438">
        <f t="shared" si="49"/>
        <v>487</v>
      </c>
      <c r="P288" s="452">
        <v>3</v>
      </c>
      <c r="Q288" s="453">
        <f t="shared" si="41"/>
        <v>1.3342465753424657</v>
      </c>
      <c r="R288" s="454">
        <f t="shared" si="42"/>
        <v>1.6657534246575343</v>
      </c>
      <c r="S288" s="455">
        <f t="shared" si="43"/>
        <v>0.31666666666666665</v>
      </c>
      <c r="T288" s="442">
        <f t="shared" si="44"/>
        <v>1811.441</v>
      </c>
      <c r="U288" s="436">
        <f t="shared" si="45"/>
        <v>3548.5959408219178</v>
      </c>
      <c r="V288" s="442">
        <f t="shared" si="46"/>
        <v>286.017</v>
      </c>
      <c r="W288" s="456"/>
    </row>
    <row r="289" spans="1:23" ht="16.5">
      <c r="A289" s="450">
        <f t="shared" si="50"/>
        <v>282</v>
      </c>
      <c r="B289" s="530" t="s">
        <v>32</v>
      </c>
      <c r="C289" s="318" t="s">
        <v>3663</v>
      </c>
      <c r="D289" s="90" t="s">
        <v>3459</v>
      </c>
      <c r="E289" s="530" t="s">
        <v>456</v>
      </c>
      <c r="F289" s="629">
        <v>265</v>
      </c>
      <c r="G289" s="623">
        <v>44957</v>
      </c>
      <c r="H289" s="465">
        <v>8305.08</v>
      </c>
      <c r="I289" s="317"/>
      <c r="J289" s="317"/>
      <c r="K289" s="436">
        <f t="shared" si="47"/>
        <v>8305.08</v>
      </c>
      <c r="L289" s="623">
        <v>44957</v>
      </c>
      <c r="M289" s="456">
        <v>255.06834739726025</v>
      </c>
      <c r="N289" s="438">
        <f t="shared" si="48"/>
        <v>8050.0116526027396</v>
      </c>
      <c r="O289" s="438">
        <f t="shared" si="49"/>
        <v>425</v>
      </c>
      <c r="P289" s="452">
        <v>3</v>
      </c>
      <c r="Q289" s="453">
        <f t="shared" si="41"/>
        <v>1.1643835616438356</v>
      </c>
      <c r="R289" s="454">
        <f t="shared" si="42"/>
        <v>1.8356164383561644</v>
      </c>
      <c r="S289" s="455">
        <f t="shared" si="43"/>
        <v>0.31666666666666665</v>
      </c>
      <c r="T289" s="442">
        <f t="shared" si="44"/>
        <v>2629.942</v>
      </c>
      <c r="U289" s="436">
        <f t="shared" si="45"/>
        <v>5420.0696526027396</v>
      </c>
      <c r="V289" s="442">
        <f t="shared" si="46"/>
        <v>415.25400000000002</v>
      </c>
      <c r="W289" s="456"/>
    </row>
    <row r="290" spans="1:23" ht="16.5">
      <c r="A290" s="450">
        <f t="shared" si="50"/>
        <v>283</v>
      </c>
      <c r="B290" s="14" t="s">
        <v>184</v>
      </c>
      <c r="C290" s="318" t="s">
        <v>3663</v>
      </c>
      <c r="D290" s="90" t="s">
        <v>3459</v>
      </c>
      <c r="E290" s="530" t="s">
        <v>456</v>
      </c>
      <c r="F290" s="629">
        <v>278</v>
      </c>
      <c r="G290" s="623">
        <v>44975</v>
      </c>
      <c r="H290" s="465">
        <v>22118</v>
      </c>
      <c r="I290" s="317"/>
      <c r="J290" s="317"/>
      <c r="K290" s="436">
        <f t="shared" si="47"/>
        <v>22118</v>
      </c>
      <c r="L290" s="623">
        <v>44975</v>
      </c>
      <c r="M290" s="456">
        <v>472.05265753424658</v>
      </c>
      <c r="N290" s="438">
        <f t="shared" si="48"/>
        <v>21645.947342465752</v>
      </c>
      <c r="O290" s="438">
        <f t="shared" si="49"/>
        <v>407</v>
      </c>
      <c r="P290" s="452">
        <v>3</v>
      </c>
      <c r="Q290" s="453">
        <f t="shared" si="41"/>
        <v>1.1150684931506849</v>
      </c>
      <c r="R290" s="454">
        <f t="shared" si="42"/>
        <v>1.8849315068493151</v>
      </c>
      <c r="S290" s="455">
        <f t="shared" si="43"/>
        <v>0.31666666666666665</v>
      </c>
      <c r="T290" s="442">
        <f t="shared" si="44"/>
        <v>7004.0333333333328</v>
      </c>
      <c r="U290" s="436">
        <f t="shared" si="45"/>
        <v>14641.914009132419</v>
      </c>
      <c r="V290" s="442">
        <f t="shared" si="46"/>
        <v>1105.9000000000001</v>
      </c>
      <c r="W290" s="456"/>
    </row>
    <row r="291" spans="1:23" ht="16.5">
      <c r="A291" s="450">
        <f t="shared" si="50"/>
        <v>284</v>
      </c>
      <c r="B291" s="530" t="s">
        <v>32</v>
      </c>
      <c r="C291" s="318" t="s">
        <v>3663</v>
      </c>
      <c r="D291" s="90" t="s">
        <v>3459</v>
      </c>
      <c r="E291" s="14" t="s">
        <v>200</v>
      </c>
      <c r="F291" s="629">
        <v>327</v>
      </c>
      <c r="G291" s="623">
        <v>44962</v>
      </c>
      <c r="H291" s="465">
        <v>31000</v>
      </c>
      <c r="I291" s="317"/>
      <c r="J291" s="317"/>
      <c r="K291" s="436">
        <f t="shared" si="47"/>
        <v>31000</v>
      </c>
      <c r="L291" s="623">
        <v>44962</v>
      </c>
      <c r="M291" s="456">
        <v>871.39726027397262</v>
      </c>
      <c r="N291" s="438">
        <f t="shared" si="48"/>
        <v>30128.602739726026</v>
      </c>
      <c r="O291" s="438">
        <f t="shared" si="49"/>
        <v>420</v>
      </c>
      <c r="P291" s="452">
        <v>3</v>
      </c>
      <c r="Q291" s="453">
        <f t="shared" si="41"/>
        <v>1.1506849315068493</v>
      </c>
      <c r="R291" s="454">
        <f t="shared" si="42"/>
        <v>1.8493150684931507</v>
      </c>
      <c r="S291" s="455">
        <f t="shared" si="43"/>
        <v>0.31666666666666665</v>
      </c>
      <c r="T291" s="442">
        <f t="shared" si="44"/>
        <v>9816.6666666666661</v>
      </c>
      <c r="U291" s="436">
        <f t="shared" si="45"/>
        <v>20311.936073059362</v>
      </c>
      <c r="V291" s="442">
        <f t="shared" si="46"/>
        <v>1550</v>
      </c>
      <c r="W291" s="456"/>
    </row>
    <row r="292" spans="1:23" ht="16.5">
      <c r="A292" s="450">
        <f t="shared" si="50"/>
        <v>285</v>
      </c>
      <c r="B292" s="14" t="s">
        <v>805</v>
      </c>
      <c r="C292" s="318" t="s">
        <v>3663</v>
      </c>
      <c r="D292" s="26" t="s">
        <v>22</v>
      </c>
      <c r="E292" s="14" t="s">
        <v>206</v>
      </c>
      <c r="F292" s="633">
        <v>65</v>
      </c>
      <c r="G292" s="15">
        <v>44849</v>
      </c>
      <c r="H292" s="465">
        <v>70000</v>
      </c>
      <c r="I292" s="317"/>
      <c r="J292" s="317"/>
      <c r="K292" s="436">
        <f t="shared" si="47"/>
        <v>70000</v>
      </c>
      <c r="L292" s="15">
        <v>44849</v>
      </c>
      <c r="M292" s="456">
        <v>6085.2054794520545</v>
      </c>
      <c r="N292" s="438">
        <f t="shared" si="48"/>
        <v>63914.794520547948</v>
      </c>
      <c r="O292" s="438">
        <f t="shared" si="49"/>
        <v>533</v>
      </c>
      <c r="P292" s="452">
        <v>3</v>
      </c>
      <c r="Q292" s="453">
        <f t="shared" si="41"/>
        <v>1.4602739726027398</v>
      </c>
      <c r="R292" s="454">
        <f t="shared" si="42"/>
        <v>1.5397260273972602</v>
      </c>
      <c r="S292" s="455">
        <f t="shared" si="43"/>
        <v>0.31666666666666665</v>
      </c>
      <c r="T292" s="442">
        <f t="shared" si="44"/>
        <v>22166.666666666664</v>
      </c>
      <c r="U292" s="436">
        <f t="shared" si="45"/>
        <v>41748.127853881284</v>
      </c>
      <c r="V292" s="442">
        <f t="shared" si="46"/>
        <v>3500</v>
      </c>
      <c r="W292" s="456"/>
    </row>
    <row r="293" spans="1:23" ht="16.5">
      <c r="A293" s="450">
        <f t="shared" si="50"/>
        <v>286</v>
      </c>
      <c r="B293" s="14" t="s">
        <v>190</v>
      </c>
      <c r="C293" s="318" t="s">
        <v>3663</v>
      </c>
      <c r="D293" s="14" t="s">
        <v>29</v>
      </c>
      <c r="E293" s="14" t="s">
        <v>205</v>
      </c>
      <c r="F293" s="633">
        <v>481</v>
      </c>
      <c r="G293" s="15">
        <v>44726</v>
      </c>
      <c r="H293" s="465">
        <v>29576</v>
      </c>
      <c r="I293" s="317"/>
      <c r="J293" s="317"/>
      <c r="K293" s="436">
        <f t="shared" si="47"/>
        <v>29576</v>
      </c>
      <c r="L293" s="15">
        <v>44726</v>
      </c>
      <c r="M293" s="456">
        <v>4464.760547945205</v>
      </c>
      <c r="N293" s="438">
        <f t="shared" si="48"/>
        <v>25111.239452054797</v>
      </c>
      <c r="O293" s="438">
        <f t="shared" si="49"/>
        <v>656</v>
      </c>
      <c r="P293" s="452">
        <v>3</v>
      </c>
      <c r="Q293" s="453">
        <f t="shared" si="41"/>
        <v>1.7972602739726027</v>
      </c>
      <c r="R293" s="454">
        <f t="shared" si="42"/>
        <v>1.2027397260273973</v>
      </c>
      <c r="S293" s="455">
        <f t="shared" si="43"/>
        <v>0.31666666666666665</v>
      </c>
      <c r="T293" s="442">
        <f t="shared" si="44"/>
        <v>9365.7333333333336</v>
      </c>
      <c r="U293" s="436">
        <f t="shared" si="45"/>
        <v>15745.506118721463</v>
      </c>
      <c r="V293" s="442">
        <f t="shared" si="46"/>
        <v>1478.8000000000002</v>
      </c>
      <c r="W293" s="456"/>
    </row>
    <row r="294" spans="1:23" ht="16.5">
      <c r="A294" s="450">
        <f t="shared" si="50"/>
        <v>287</v>
      </c>
      <c r="B294" s="14" t="s">
        <v>460</v>
      </c>
      <c r="C294" s="318" t="s">
        <v>3663</v>
      </c>
      <c r="D294" s="26" t="s">
        <v>29</v>
      </c>
      <c r="E294" s="14" t="s">
        <v>205</v>
      </c>
      <c r="F294" s="633">
        <v>576</v>
      </c>
      <c r="G294" s="15">
        <v>44757</v>
      </c>
      <c r="H294" s="465">
        <v>26348</v>
      </c>
      <c r="I294" s="317"/>
      <c r="J294" s="317"/>
      <c r="K294" s="436">
        <f t="shared" si="47"/>
        <v>26348</v>
      </c>
      <c r="L294" s="15">
        <v>44757</v>
      </c>
      <c r="M294" s="456">
        <v>3552.2878904109593</v>
      </c>
      <c r="N294" s="438">
        <f t="shared" si="48"/>
        <v>22795.71210958904</v>
      </c>
      <c r="O294" s="438">
        <f t="shared" si="49"/>
        <v>625</v>
      </c>
      <c r="P294" s="452">
        <v>3</v>
      </c>
      <c r="Q294" s="453">
        <f t="shared" si="41"/>
        <v>1.7123287671232876</v>
      </c>
      <c r="R294" s="454">
        <f t="shared" si="42"/>
        <v>1.2876712328767124</v>
      </c>
      <c r="S294" s="455">
        <f t="shared" si="43"/>
        <v>0.31666666666666665</v>
      </c>
      <c r="T294" s="442">
        <f t="shared" si="44"/>
        <v>8343.5333333333328</v>
      </c>
      <c r="U294" s="436">
        <f t="shared" si="45"/>
        <v>14452.178776255707</v>
      </c>
      <c r="V294" s="442">
        <f t="shared" si="46"/>
        <v>1317.4</v>
      </c>
      <c r="W294" s="456"/>
    </row>
    <row r="295" spans="1:23" ht="16.5">
      <c r="A295" s="450">
        <f t="shared" si="50"/>
        <v>288</v>
      </c>
      <c r="B295" s="14" t="s">
        <v>461</v>
      </c>
      <c r="C295" s="318" t="s">
        <v>3663</v>
      </c>
      <c r="D295" s="26" t="s">
        <v>29</v>
      </c>
      <c r="E295" s="14" t="s">
        <v>205</v>
      </c>
      <c r="F295" s="633">
        <v>655</v>
      </c>
      <c r="G295" s="15">
        <v>44784</v>
      </c>
      <c r="H295" s="465">
        <v>11525.42</v>
      </c>
      <c r="I295" s="317"/>
      <c r="J295" s="317"/>
      <c r="K295" s="436">
        <f t="shared" si="47"/>
        <v>11525.42</v>
      </c>
      <c r="L295" s="15">
        <v>44784</v>
      </c>
      <c r="M295" s="456">
        <v>1391.8918180821918</v>
      </c>
      <c r="N295" s="438">
        <f t="shared" si="48"/>
        <v>10133.528181917809</v>
      </c>
      <c r="O295" s="438">
        <f t="shared" si="49"/>
        <v>598</v>
      </c>
      <c r="P295" s="452">
        <v>3</v>
      </c>
      <c r="Q295" s="453">
        <f t="shared" si="41"/>
        <v>1.6383561643835616</v>
      </c>
      <c r="R295" s="454">
        <f t="shared" si="42"/>
        <v>1.3616438356164384</v>
      </c>
      <c r="S295" s="455">
        <f t="shared" si="43"/>
        <v>0.31666666666666665</v>
      </c>
      <c r="T295" s="442">
        <f t="shared" si="44"/>
        <v>3649.7163333333333</v>
      </c>
      <c r="U295" s="436">
        <f t="shared" si="45"/>
        <v>6483.8118485844752</v>
      </c>
      <c r="V295" s="442">
        <f t="shared" si="46"/>
        <v>576.27100000000007</v>
      </c>
      <c r="W295" s="456"/>
    </row>
    <row r="296" spans="1:23" ht="16.5">
      <c r="A296" s="450">
        <f t="shared" si="50"/>
        <v>289</v>
      </c>
      <c r="B296" s="14" t="s">
        <v>462</v>
      </c>
      <c r="C296" s="318" t="s">
        <v>3663</v>
      </c>
      <c r="D296" s="26" t="s">
        <v>29</v>
      </c>
      <c r="E296" s="14" t="s">
        <v>205</v>
      </c>
      <c r="F296" s="633">
        <v>673</v>
      </c>
      <c r="G296" s="15">
        <v>44796</v>
      </c>
      <c r="H296" s="465">
        <v>81695</v>
      </c>
      <c r="I296" s="317"/>
      <c r="J296" s="317"/>
      <c r="K296" s="436">
        <f t="shared" si="47"/>
        <v>81695</v>
      </c>
      <c r="L296" s="15">
        <v>44796</v>
      </c>
      <c r="M296" s="456">
        <v>9355.7561643835616</v>
      </c>
      <c r="N296" s="438">
        <f t="shared" si="48"/>
        <v>72339.243835616435</v>
      </c>
      <c r="O296" s="438">
        <f t="shared" si="49"/>
        <v>586</v>
      </c>
      <c r="P296" s="452">
        <v>3</v>
      </c>
      <c r="Q296" s="453">
        <f t="shared" si="41"/>
        <v>1.6054794520547946</v>
      </c>
      <c r="R296" s="454">
        <f t="shared" si="42"/>
        <v>1.3945205479452054</v>
      </c>
      <c r="S296" s="455">
        <f t="shared" si="43"/>
        <v>0.31666666666666665</v>
      </c>
      <c r="T296" s="442">
        <f t="shared" si="44"/>
        <v>25870.083333333332</v>
      </c>
      <c r="U296" s="436">
        <f t="shared" si="45"/>
        <v>46469.160502283106</v>
      </c>
      <c r="V296" s="442">
        <f t="shared" si="46"/>
        <v>4084.75</v>
      </c>
      <c r="W296" s="456"/>
    </row>
    <row r="297" spans="1:23" ht="16.5">
      <c r="A297" s="450">
        <f t="shared" si="50"/>
        <v>290</v>
      </c>
      <c r="B297" s="14" t="s">
        <v>463</v>
      </c>
      <c r="C297" s="318" t="s">
        <v>3663</v>
      </c>
      <c r="D297" s="26" t="s">
        <v>29</v>
      </c>
      <c r="E297" s="14" t="s">
        <v>205</v>
      </c>
      <c r="F297" s="633">
        <v>727</v>
      </c>
      <c r="G297" s="15">
        <v>44800</v>
      </c>
      <c r="H297" s="465">
        <v>50000</v>
      </c>
      <c r="I297" s="317"/>
      <c r="J297" s="317"/>
      <c r="K297" s="436">
        <f t="shared" si="47"/>
        <v>50000</v>
      </c>
      <c r="L297" s="15">
        <v>44800</v>
      </c>
      <c r="M297" s="456">
        <v>5621.9178082191784</v>
      </c>
      <c r="N297" s="438">
        <f t="shared" si="48"/>
        <v>44378.082191780821</v>
      </c>
      <c r="O297" s="438">
        <f t="shared" si="49"/>
        <v>582</v>
      </c>
      <c r="P297" s="452">
        <v>3</v>
      </c>
      <c r="Q297" s="453">
        <f t="shared" si="41"/>
        <v>1.5945205479452054</v>
      </c>
      <c r="R297" s="454">
        <f t="shared" si="42"/>
        <v>1.4054794520547946</v>
      </c>
      <c r="S297" s="455">
        <f t="shared" si="43"/>
        <v>0.31666666666666665</v>
      </c>
      <c r="T297" s="442">
        <f t="shared" si="44"/>
        <v>15833.333333333332</v>
      </c>
      <c r="U297" s="436">
        <f t="shared" si="45"/>
        <v>28544.748858447489</v>
      </c>
      <c r="V297" s="442">
        <f t="shared" si="46"/>
        <v>2500</v>
      </c>
      <c r="W297" s="456"/>
    </row>
    <row r="298" spans="1:23" ht="16.5">
      <c r="A298" s="450">
        <f t="shared" si="50"/>
        <v>291</v>
      </c>
      <c r="B298" s="14" t="s">
        <v>186</v>
      </c>
      <c r="C298" s="318" t="s">
        <v>3663</v>
      </c>
      <c r="D298" s="26" t="s">
        <v>29</v>
      </c>
      <c r="E298" s="14" t="s">
        <v>464</v>
      </c>
      <c r="F298" s="633">
        <v>1</v>
      </c>
      <c r="G298" s="15">
        <v>44806</v>
      </c>
      <c r="H298" s="465">
        <v>48300</v>
      </c>
      <c r="I298" s="317"/>
      <c r="J298" s="317"/>
      <c r="K298" s="436">
        <f t="shared" si="47"/>
        <v>48300</v>
      </c>
      <c r="L298" s="15">
        <v>44806</v>
      </c>
      <c r="M298" s="456">
        <v>5279.9178082191784</v>
      </c>
      <c r="N298" s="438">
        <f t="shared" si="48"/>
        <v>43020.082191780821</v>
      </c>
      <c r="O298" s="438">
        <f t="shared" si="49"/>
        <v>576</v>
      </c>
      <c r="P298" s="452">
        <v>3</v>
      </c>
      <c r="Q298" s="453">
        <f t="shared" si="41"/>
        <v>1.5780821917808219</v>
      </c>
      <c r="R298" s="454">
        <f t="shared" si="42"/>
        <v>1.4219178082191781</v>
      </c>
      <c r="S298" s="455">
        <f t="shared" si="43"/>
        <v>0.31666666666666665</v>
      </c>
      <c r="T298" s="442">
        <f t="shared" si="44"/>
        <v>15295</v>
      </c>
      <c r="U298" s="436">
        <f t="shared" si="45"/>
        <v>27725.082191780821</v>
      </c>
      <c r="V298" s="442">
        <f t="shared" si="46"/>
        <v>2415</v>
      </c>
      <c r="W298" s="456"/>
    </row>
    <row r="299" spans="1:23" ht="16.5">
      <c r="A299" s="450">
        <f t="shared" si="50"/>
        <v>292</v>
      </c>
      <c r="B299" s="14" t="s">
        <v>186</v>
      </c>
      <c r="C299" s="318" t="s">
        <v>3663</v>
      </c>
      <c r="D299" s="26" t="s">
        <v>29</v>
      </c>
      <c r="E299" s="14" t="s">
        <v>464</v>
      </c>
      <c r="F299" s="633">
        <v>2</v>
      </c>
      <c r="G299" s="15">
        <v>44806</v>
      </c>
      <c r="H299" s="465">
        <v>34500</v>
      </c>
      <c r="I299" s="317"/>
      <c r="J299" s="317"/>
      <c r="K299" s="436">
        <f t="shared" si="47"/>
        <v>34500</v>
      </c>
      <c r="L299" s="15">
        <v>44806</v>
      </c>
      <c r="M299" s="456">
        <v>3771.3698630136987</v>
      </c>
      <c r="N299" s="438">
        <f t="shared" si="48"/>
        <v>30728.630136986299</v>
      </c>
      <c r="O299" s="438">
        <f t="shared" si="49"/>
        <v>576</v>
      </c>
      <c r="P299" s="452">
        <v>3</v>
      </c>
      <c r="Q299" s="453">
        <f t="shared" si="41"/>
        <v>1.5780821917808219</v>
      </c>
      <c r="R299" s="454">
        <f t="shared" si="42"/>
        <v>1.4219178082191781</v>
      </c>
      <c r="S299" s="455">
        <f t="shared" si="43"/>
        <v>0.31666666666666665</v>
      </c>
      <c r="T299" s="442">
        <f t="shared" si="44"/>
        <v>10925</v>
      </c>
      <c r="U299" s="436">
        <f t="shared" si="45"/>
        <v>19803.630136986299</v>
      </c>
      <c r="V299" s="442">
        <f t="shared" si="46"/>
        <v>1725</v>
      </c>
      <c r="W299" s="456"/>
    </row>
    <row r="300" spans="1:23" ht="16.5">
      <c r="A300" s="450">
        <f t="shared" si="50"/>
        <v>293</v>
      </c>
      <c r="B300" s="14" t="s">
        <v>465</v>
      </c>
      <c r="C300" s="318" t="s">
        <v>3663</v>
      </c>
      <c r="D300" s="26" t="s">
        <v>29</v>
      </c>
      <c r="E300" s="14" t="s">
        <v>205</v>
      </c>
      <c r="F300" s="633">
        <v>774</v>
      </c>
      <c r="G300" s="15">
        <v>44824</v>
      </c>
      <c r="H300" s="465">
        <v>27000</v>
      </c>
      <c r="I300" s="317"/>
      <c r="J300" s="317"/>
      <c r="K300" s="436">
        <f t="shared" si="47"/>
        <v>27000</v>
      </c>
      <c r="L300" s="15">
        <v>44824</v>
      </c>
      <c r="M300" s="456">
        <v>2698.5205479452056</v>
      </c>
      <c r="N300" s="438">
        <f t="shared" si="48"/>
        <v>24301.479452054795</v>
      </c>
      <c r="O300" s="438">
        <f t="shared" si="49"/>
        <v>558</v>
      </c>
      <c r="P300" s="452">
        <v>3</v>
      </c>
      <c r="Q300" s="453">
        <f t="shared" si="41"/>
        <v>1.5287671232876712</v>
      </c>
      <c r="R300" s="454">
        <f t="shared" si="42"/>
        <v>1.4712328767123288</v>
      </c>
      <c r="S300" s="455">
        <f t="shared" si="43"/>
        <v>0.31666666666666665</v>
      </c>
      <c r="T300" s="442">
        <f t="shared" si="44"/>
        <v>8550</v>
      </c>
      <c r="U300" s="436">
        <f t="shared" si="45"/>
        <v>15751.479452054795</v>
      </c>
      <c r="V300" s="442">
        <f t="shared" si="46"/>
        <v>1350</v>
      </c>
      <c r="W300" s="456"/>
    </row>
    <row r="301" spans="1:23" ht="16.5">
      <c r="A301" s="450">
        <f t="shared" si="50"/>
        <v>294</v>
      </c>
      <c r="B301" s="14" t="s">
        <v>184</v>
      </c>
      <c r="C301" s="318" t="s">
        <v>3663</v>
      </c>
      <c r="D301" s="26" t="s">
        <v>29</v>
      </c>
      <c r="E301" s="14" t="s">
        <v>816</v>
      </c>
      <c r="F301" s="633">
        <v>755</v>
      </c>
      <c r="G301" s="15">
        <v>44869</v>
      </c>
      <c r="H301" s="465">
        <v>81720</v>
      </c>
      <c r="I301" s="317"/>
      <c r="J301" s="317"/>
      <c r="K301" s="436">
        <f t="shared" si="47"/>
        <v>81720</v>
      </c>
      <c r="L301" s="15">
        <v>44869</v>
      </c>
      <c r="M301" s="456">
        <v>6253.2591780821922</v>
      </c>
      <c r="N301" s="438">
        <f t="shared" si="48"/>
        <v>75466.740821917803</v>
      </c>
      <c r="O301" s="438">
        <f t="shared" si="49"/>
        <v>513</v>
      </c>
      <c r="P301" s="452">
        <v>3</v>
      </c>
      <c r="Q301" s="453">
        <f t="shared" si="41"/>
        <v>1.4054794520547946</v>
      </c>
      <c r="R301" s="454">
        <f t="shared" si="42"/>
        <v>1.5945205479452054</v>
      </c>
      <c r="S301" s="455">
        <f t="shared" si="43"/>
        <v>0.31666666666666665</v>
      </c>
      <c r="T301" s="442">
        <f t="shared" si="44"/>
        <v>25878</v>
      </c>
      <c r="U301" s="436">
        <f t="shared" si="45"/>
        <v>49588.740821917803</v>
      </c>
      <c r="V301" s="442">
        <f t="shared" si="46"/>
        <v>4086</v>
      </c>
      <c r="W301" s="456"/>
    </row>
    <row r="302" spans="1:23" ht="16.5">
      <c r="A302" s="450">
        <f t="shared" si="50"/>
        <v>295</v>
      </c>
      <c r="B302" s="14" t="s">
        <v>806</v>
      </c>
      <c r="C302" s="318" t="s">
        <v>3663</v>
      </c>
      <c r="D302" s="26" t="s">
        <v>29</v>
      </c>
      <c r="E302" s="14" t="s">
        <v>205</v>
      </c>
      <c r="F302" s="633">
        <v>1004</v>
      </c>
      <c r="G302" s="15">
        <v>44893</v>
      </c>
      <c r="H302" s="465">
        <v>120000</v>
      </c>
      <c r="I302" s="317"/>
      <c r="J302" s="317"/>
      <c r="K302" s="436">
        <f t="shared" si="47"/>
        <v>120000</v>
      </c>
      <c r="L302" s="15">
        <v>44893</v>
      </c>
      <c r="M302" s="456">
        <v>7683.2876712328771</v>
      </c>
      <c r="N302" s="438">
        <f t="shared" si="48"/>
        <v>112316.71232876713</v>
      </c>
      <c r="O302" s="438">
        <f t="shared" si="49"/>
        <v>489</v>
      </c>
      <c r="P302" s="452">
        <v>3</v>
      </c>
      <c r="Q302" s="453">
        <f t="shared" si="41"/>
        <v>1.3397260273972602</v>
      </c>
      <c r="R302" s="454">
        <f t="shared" si="42"/>
        <v>1.6602739726027398</v>
      </c>
      <c r="S302" s="455">
        <f t="shared" si="43"/>
        <v>0.31666666666666665</v>
      </c>
      <c r="T302" s="442">
        <f t="shared" si="44"/>
        <v>38000</v>
      </c>
      <c r="U302" s="436">
        <f t="shared" si="45"/>
        <v>74316.712328767127</v>
      </c>
      <c r="V302" s="442">
        <f t="shared" si="46"/>
        <v>6000</v>
      </c>
      <c r="W302" s="456"/>
    </row>
    <row r="303" spans="1:23" ht="16.5">
      <c r="A303" s="450">
        <f t="shared" si="50"/>
        <v>296</v>
      </c>
      <c r="B303" s="14" t="s">
        <v>806</v>
      </c>
      <c r="C303" s="318" t="s">
        <v>3663</v>
      </c>
      <c r="D303" s="26" t="s">
        <v>29</v>
      </c>
      <c r="E303" s="14" t="s">
        <v>205</v>
      </c>
      <c r="F303" s="633">
        <v>1008</v>
      </c>
      <c r="G303" s="15">
        <v>44895</v>
      </c>
      <c r="H303" s="465">
        <v>150000</v>
      </c>
      <c r="I303" s="317"/>
      <c r="J303" s="317"/>
      <c r="K303" s="436">
        <f t="shared" si="47"/>
        <v>150000</v>
      </c>
      <c r="L303" s="15">
        <v>44895</v>
      </c>
      <c r="M303" s="456">
        <v>9447.9452054794529</v>
      </c>
      <c r="N303" s="438">
        <f t="shared" si="48"/>
        <v>140552.05479452055</v>
      </c>
      <c r="O303" s="438">
        <f t="shared" si="49"/>
        <v>487</v>
      </c>
      <c r="P303" s="452">
        <v>3</v>
      </c>
      <c r="Q303" s="453">
        <f t="shared" si="41"/>
        <v>1.3342465753424657</v>
      </c>
      <c r="R303" s="454">
        <f t="shared" si="42"/>
        <v>1.6657534246575343</v>
      </c>
      <c r="S303" s="455">
        <f t="shared" si="43"/>
        <v>0.31666666666666665</v>
      </c>
      <c r="T303" s="442">
        <f t="shared" si="44"/>
        <v>47500</v>
      </c>
      <c r="U303" s="436">
        <f t="shared" si="45"/>
        <v>93052.054794520547</v>
      </c>
      <c r="V303" s="442">
        <f t="shared" si="46"/>
        <v>7500</v>
      </c>
      <c r="W303" s="456"/>
    </row>
    <row r="304" spans="1:23" ht="16.5">
      <c r="A304" s="450">
        <f t="shared" si="50"/>
        <v>297</v>
      </c>
      <c r="B304" s="14" t="s">
        <v>807</v>
      </c>
      <c r="C304" s="318" t="s">
        <v>3663</v>
      </c>
      <c r="D304" s="26" t="s">
        <v>29</v>
      </c>
      <c r="E304" s="14" t="s">
        <v>456</v>
      </c>
      <c r="F304" s="633">
        <v>210</v>
      </c>
      <c r="G304" s="15">
        <v>44905</v>
      </c>
      <c r="H304" s="465">
        <v>33898</v>
      </c>
      <c r="I304" s="317"/>
      <c r="J304" s="317"/>
      <c r="K304" s="436">
        <f t="shared" si="47"/>
        <v>33898</v>
      </c>
      <c r="L304" s="15">
        <v>44905</v>
      </c>
      <c r="M304" s="456">
        <v>1958.6543013698629</v>
      </c>
      <c r="N304" s="438">
        <f t="shared" si="48"/>
        <v>31939.345698630139</v>
      </c>
      <c r="O304" s="438">
        <f t="shared" si="49"/>
        <v>477</v>
      </c>
      <c r="P304" s="452">
        <v>3</v>
      </c>
      <c r="Q304" s="453">
        <f t="shared" si="41"/>
        <v>1.3068493150684932</v>
      </c>
      <c r="R304" s="454">
        <f t="shared" si="42"/>
        <v>1.6931506849315068</v>
      </c>
      <c r="S304" s="455">
        <f t="shared" si="43"/>
        <v>0.31666666666666665</v>
      </c>
      <c r="T304" s="442">
        <f t="shared" si="44"/>
        <v>10734.366666666667</v>
      </c>
      <c r="U304" s="436">
        <f t="shared" si="45"/>
        <v>21204.97903196347</v>
      </c>
      <c r="V304" s="442">
        <f t="shared" si="46"/>
        <v>1694.9</v>
      </c>
      <c r="W304" s="456"/>
    </row>
    <row r="305" spans="1:23" ht="16.5">
      <c r="A305" s="450">
        <f t="shared" si="50"/>
        <v>298</v>
      </c>
      <c r="B305" s="14" t="s">
        <v>807</v>
      </c>
      <c r="C305" s="318" t="s">
        <v>3663</v>
      </c>
      <c r="D305" s="26" t="s">
        <v>29</v>
      </c>
      <c r="E305" s="14" t="s">
        <v>456</v>
      </c>
      <c r="F305" s="633">
        <v>213</v>
      </c>
      <c r="G305" s="15">
        <v>44905</v>
      </c>
      <c r="H305" s="465">
        <v>25847</v>
      </c>
      <c r="I305" s="317"/>
      <c r="J305" s="317"/>
      <c r="K305" s="436">
        <f t="shared" si="47"/>
        <v>25847</v>
      </c>
      <c r="L305" s="15">
        <v>44905</v>
      </c>
      <c r="M305" s="456">
        <v>1493.4609041095889</v>
      </c>
      <c r="N305" s="438">
        <f t="shared" si="48"/>
        <v>24353.53909589041</v>
      </c>
      <c r="O305" s="438">
        <f t="shared" si="49"/>
        <v>477</v>
      </c>
      <c r="P305" s="452">
        <v>3</v>
      </c>
      <c r="Q305" s="453">
        <f t="shared" si="41"/>
        <v>1.3068493150684932</v>
      </c>
      <c r="R305" s="454">
        <f t="shared" si="42"/>
        <v>1.6931506849315068</v>
      </c>
      <c r="S305" s="455">
        <f t="shared" si="43"/>
        <v>0.31666666666666665</v>
      </c>
      <c r="T305" s="442">
        <f t="shared" si="44"/>
        <v>8184.8833333333332</v>
      </c>
      <c r="U305" s="436">
        <f t="shared" si="45"/>
        <v>16168.655762557077</v>
      </c>
      <c r="V305" s="442">
        <f t="shared" si="46"/>
        <v>1292.3500000000001</v>
      </c>
      <c r="W305" s="456"/>
    </row>
    <row r="306" spans="1:23" ht="16.5">
      <c r="A306" s="450">
        <f t="shared" si="50"/>
        <v>299</v>
      </c>
      <c r="B306" s="530" t="s">
        <v>32</v>
      </c>
      <c r="C306" s="318" t="s">
        <v>3663</v>
      </c>
      <c r="D306" s="639" t="s">
        <v>29</v>
      </c>
      <c r="E306" s="530" t="s">
        <v>205</v>
      </c>
      <c r="F306" s="629">
        <v>1154</v>
      </c>
      <c r="G306" s="623">
        <v>44945</v>
      </c>
      <c r="H306" s="465">
        <v>23728</v>
      </c>
      <c r="I306" s="317"/>
      <c r="J306" s="317"/>
      <c r="K306" s="436">
        <f t="shared" si="47"/>
        <v>23728</v>
      </c>
      <c r="L306" s="623">
        <v>44945</v>
      </c>
      <c r="M306" s="456">
        <v>876.96087671232874</v>
      </c>
      <c r="N306" s="438">
        <f t="shared" si="48"/>
        <v>22851.039123287672</v>
      </c>
      <c r="O306" s="438">
        <f t="shared" si="49"/>
        <v>437</v>
      </c>
      <c r="P306" s="452">
        <v>3</v>
      </c>
      <c r="Q306" s="453">
        <f t="shared" si="41"/>
        <v>1.1972602739726028</v>
      </c>
      <c r="R306" s="454">
        <f t="shared" si="42"/>
        <v>1.8027397260273972</v>
      </c>
      <c r="S306" s="455">
        <f t="shared" si="43"/>
        <v>0.31666666666666665</v>
      </c>
      <c r="T306" s="442">
        <f t="shared" si="44"/>
        <v>7513.8666666666659</v>
      </c>
      <c r="U306" s="436">
        <f t="shared" si="45"/>
        <v>15337.172456621007</v>
      </c>
      <c r="V306" s="442">
        <f t="shared" si="46"/>
        <v>1186.4000000000001</v>
      </c>
      <c r="W306" s="456"/>
    </row>
    <row r="307" spans="1:23" ht="16.5">
      <c r="A307" s="450">
        <f t="shared" si="50"/>
        <v>300</v>
      </c>
      <c r="B307" s="14" t="s">
        <v>191</v>
      </c>
      <c r="C307" s="318" t="s">
        <v>3663</v>
      </c>
      <c r="D307" s="26" t="s">
        <v>28</v>
      </c>
      <c r="E307" s="14" t="s">
        <v>206</v>
      </c>
      <c r="F307" s="633">
        <v>15</v>
      </c>
      <c r="G307" s="15">
        <v>44688</v>
      </c>
      <c r="H307" s="465">
        <v>21186</v>
      </c>
      <c r="I307" s="317"/>
      <c r="J307" s="317"/>
      <c r="K307" s="436">
        <f t="shared" si="47"/>
        <v>21186</v>
      </c>
      <c r="L307" s="15">
        <v>44688</v>
      </c>
      <c r="M307" s="456">
        <v>3617.2918356164382</v>
      </c>
      <c r="N307" s="438">
        <f t="shared" si="48"/>
        <v>17568.708164383563</v>
      </c>
      <c r="O307" s="438">
        <f t="shared" si="49"/>
        <v>694</v>
      </c>
      <c r="P307" s="452">
        <v>3</v>
      </c>
      <c r="Q307" s="453">
        <f t="shared" si="41"/>
        <v>1.9013698630136986</v>
      </c>
      <c r="R307" s="454">
        <f t="shared" si="42"/>
        <v>1.0986301369863014</v>
      </c>
      <c r="S307" s="455">
        <f t="shared" si="43"/>
        <v>0.31666666666666665</v>
      </c>
      <c r="T307" s="442">
        <f t="shared" si="44"/>
        <v>6708.9</v>
      </c>
      <c r="U307" s="436">
        <f t="shared" si="45"/>
        <v>10859.808164383563</v>
      </c>
      <c r="V307" s="442">
        <f t="shared" si="46"/>
        <v>1059.3</v>
      </c>
      <c r="W307" s="456"/>
    </row>
    <row r="308" spans="1:23" ht="16.5">
      <c r="A308" s="450">
        <f t="shared" si="50"/>
        <v>301</v>
      </c>
      <c r="B308" s="14" t="s">
        <v>192</v>
      </c>
      <c r="C308" s="318" t="s">
        <v>3663</v>
      </c>
      <c r="D308" s="26" t="s">
        <v>28</v>
      </c>
      <c r="E308" s="14" t="s">
        <v>206</v>
      </c>
      <c r="F308" s="633">
        <v>16</v>
      </c>
      <c r="G308" s="15">
        <v>44688</v>
      </c>
      <c r="H308" s="465">
        <v>98616</v>
      </c>
      <c r="I308" s="317"/>
      <c r="J308" s="317"/>
      <c r="K308" s="436">
        <f t="shared" si="47"/>
        <v>98616</v>
      </c>
      <c r="L308" s="15">
        <v>44688</v>
      </c>
      <c r="M308" s="456">
        <v>16837.668821917807</v>
      </c>
      <c r="N308" s="438">
        <f t="shared" si="48"/>
        <v>81778.331178082197</v>
      </c>
      <c r="O308" s="438">
        <f t="shared" si="49"/>
        <v>694</v>
      </c>
      <c r="P308" s="452">
        <v>3</v>
      </c>
      <c r="Q308" s="453">
        <f t="shared" si="41"/>
        <v>1.9013698630136986</v>
      </c>
      <c r="R308" s="454">
        <f t="shared" si="42"/>
        <v>1.0986301369863014</v>
      </c>
      <c r="S308" s="455">
        <f t="shared" si="43"/>
        <v>0.31666666666666665</v>
      </c>
      <c r="T308" s="442">
        <f t="shared" si="44"/>
        <v>31228.399999999998</v>
      </c>
      <c r="U308" s="436">
        <f t="shared" si="45"/>
        <v>50549.931178082203</v>
      </c>
      <c r="V308" s="442">
        <f t="shared" si="46"/>
        <v>4930.8</v>
      </c>
      <c r="W308" s="456"/>
    </row>
    <row r="309" spans="1:23" ht="16.5">
      <c r="A309" s="450">
        <f t="shared" si="50"/>
        <v>302</v>
      </c>
      <c r="B309" s="14" t="s">
        <v>193</v>
      </c>
      <c r="C309" s="318" t="s">
        <v>3663</v>
      </c>
      <c r="D309" s="26" t="s">
        <v>28</v>
      </c>
      <c r="E309" s="14" t="s">
        <v>206</v>
      </c>
      <c r="F309" s="633">
        <v>17</v>
      </c>
      <c r="G309" s="15">
        <v>44689</v>
      </c>
      <c r="H309" s="465">
        <v>194067</v>
      </c>
      <c r="I309" s="317"/>
      <c r="J309" s="317"/>
      <c r="K309" s="436">
        <f t="shared" si="47"/>
        <v>194067</v>
      </c>
      <c r="L309" s="15">
        <v>44689</v>
      </c>
      <c r="M309" s="456">
        <v>33033.925232876711</v>
      </c>
      <c r="N309" s="438">
        <f t="shared" si="48"/>
        <v>161033.0747671233</v>
      </c>
      <c r="O309" s="438">
        <f t="shared" si="49"/>
        <v>693</v>
      </c>
      <c r="P309" s="452">
        <v>3</v>
      </c>
      <c r="Q309" s="453">
        <f t="shared" si="41"/>
        <v>1.8986301369863015</v>
      </c>
      <c r="R309" s="454">
        <f t="shared" si="42"/>
        <v>1.1013698630136985</v>
      </c>
      <c r="S309" s="455">
        <f t="shared" si="43"/>
        <v>0.31666666666666665</v>
      </c>
      <c r="T309" s="442">
        <f t="shared" si="44"/>
        <v>61454.549999999996</v>
      </c>
      <c r="U309" s="436">
        <f t="shared" si="45"/>
        <v>99578.524767123308</v>
      </c>
      <c r="V309" s="442">
        <f t="shared" si="46"/>
        <v>9703.35</v>
      </c>
      <c r="W309" s="456"/>
    </row>
    <row r="310" spans="1:23" ht="16.5">
      <c r="A310" s="450">
        <f t="shared" si="50"/>
        <v>303</v>
      </c>
      <c r="B310" s="14" t="s">
        <v>190</v>
      </c>
      <c r="C310" s="318" t="s">
        <v>3663</v>
      </c>
      <c r="D310" s="26" t="s">
        <v>28</v>
      </c>
      <c r="E310" s="14" t="s">
        <v>206</v>
      </c>
      <c r="F310" s="633">
        <v>19</v>
      </c>
      <c r="G310" s="15">
        <v>44690</v>
      </c>
      <c r="H310" s="465">
        <v>168146</v>
      </c>
      <c r="I310" s="317"/>
      <c r="J310" s="317"/>
      <c r="K310" s="436">
        <f t="shared" si="47"/>
        <v>168146</v>
      </c>
      <c r="L310" s="15">
        <v>44690</v>
      </c>
      <c r="M310" s="456">
        <v>28534.145863013699</v>
      </c>
      <c r="N310" s="438">
        <f t="shared" si="48"/>
        <v>139611.85413698631</v>
      </c>
      <c r="O310" s="438">
        <f t="shared" si="49"/>
        <v>692</v>
      </c>
      <c r="P310" s="452">
        <v>3</v>
      </c>
      <c r="Q310" s="453">
        <f t="shared" si="41"/>
        <v>1.8958904109589041</v>
      </c>
      <c r="R310" s="454">
        <f t="shared" si="42"/>
        <v>1.1041095890410959</v>
      </c>
      <c r="S310" s="455">
        <f t="shared" si="43"/>
        <v>0.31666666666666665</v>
      </c>
      <c r="T310" s="442">
        <f t="shared" si="44"/>
        <v>53246.23333333333</v>
      </c>
      <c r="U310" s="436">
        <f t="shared" si="45"/>
        <v>86365.620803652972</v>
      </c>
      <c r="V310" s="442">
        <f t="shared" si="46"/>
        <v>8407.3000000000011</v>
      </c>
      <c r="W310" s="456"/>
    </row>
    <row r="311" spans="1:23" ht="16.5">
      <c r="A311" s="450">
        <f t="shared" si="50"/>
        <v>304</v>
      </c>
      <c r="B311" s="14" t="s">
        <v>190</v>
      </c>
      <c r="C311" s="318" t="s">
        <v>3663</v>
      </c>
      <c r="D311" s="26" t="s">
        <v>28</v>
      </c>
      <c r="E311" s="14" t="s">
        <v>206</v>
      </c>
      <c r="F311" s="633">
        <v>20</v>
      </c>
      <c r="G311" s="15">
        <v>44690</v>
      </c>
      <c r="H311" s="465">
        <v>65920</v>
      </c>
      <c r="I311" s="317"/>
      <c r="J311" s="317"/>
      <c r="K311" s="436">
        <f t="shared" si="47"/>
        <v>65920</v>
      </c>
      <c r="L311" s="15">
        <v>44690</v>
      </c>
      <c r="M311" s="456">
        <v>11186.533698630137</v>
      </c>
      <c r="N311" s="438">
        <f t="shared" si="48"/>
        <v>54733.466301369859</v>
      </c>
      <c r="O311" s="438">
        <f t="shared" si="49"/>
        <v>692</v>
      </c>
      <c r="P311" s="452">
        <v>3</v>
      </c>
      <c r="Q311" s="453">
        <f t="shared" si="41"/>
        <v>1.8958904109589041</v>
      </c>
      <c r="R311" s="454">
        <f t="shared" si="42"/>
        <v>1.1041095890410959</v>
      </c>
      <c r="S311" s="455">
        <f t="shared" si="43"/>
        <v>0.31666666666666665</v>
      </c>
      <c r="T311" s="442">
        <f t="shared" si="44"/>
        <v>20874.666666666664</v>
      </c>
      <c r="U311" s="436">
        <f t="shared" si="45"/>
        <v>33858.799634703195</v>
      </c>
      <c r="V311" s="442">
        <f t="shared" si="46"/>
        <v>3296</v>
      </c>
      <c r="W311" s="456"/>
    </row>
    <row r="312" spans="1:23" ht="16.5">
      <c r="A312" s="450">
        <f t="shared" si="50"/>
        <v>305</v>
      </c>
      <c r="B312" s="14" t="s">
        <v>466</v>
      </c>
      <c r="C312" s="318" t="s">
        <v>3663</v>
      </c>
      <c r="D312" s="26" t="s">
        <v>880</v>
      </c>
      <c r="E312" s="14" t="s">
        <v>206</v>
      </c>
      <c r="F312" s="633">
        <v>45</v>
      </c>
      <c r="G312" s="15">
        <v>44768</v>
      </c>
      <c r="H312" s="465">
        <v>37400</v>
      </c>
      <c r="I312" s="317"/>
      <c r="J312" s="317"/>
      <c r="K312" s="436">
        <f t="shared" si="47"/>
        <v>37400</v>
      </c>
      <c r="L312" s="15">
        <v>44768</v>
      </c>
      <c r="M312" s="456">
        <v>4828.186301369863</v>
      </c>
      <c r="N312" s="438">
        <f t="shared" si="48"/>
        <v>32571.813698630136</v>
      </c>
      <c r="O312" s="438">
        <f t="shared" si="49"/>
        <v>614</v>
      </c>
      <c r="P312" s="452">
        <v>3</v>
      </c>
      <c r="Q312" s="453">
        <f t="shared" ref="Q312" si="51">+O312/365</f>
        <v>1.6821917808219178</v>
      </c>
      <c r="R312" s="454">
        <f t="shared" ref="R312" si="52">+P312-Q312</f>
        <v>1.3178082191780822</v>
      </c>
      <c r="S312" s="455">
        <f t="shared" ref="S312" si="53">1/P312*0.95</f>
        <v>0.31666666666666665</v>
      </c>
      <c r="T312" s="442">
        <f t="shared" ref="T312" si="54">+K312*S312</f>
        <v>11843.333333333332</v>
      </c>
      <c r="U312" s="436">
        <f t="shared" ref="U312" si="55">+N312-T312</f>
        <v>20728.480365296804</v>
      </c>
      <c r="V312" s="442">
        <f t="shared" ref="V312" si="56">+H312*5%</f>
        <v>1870</v>
      </c>
      <c r="W312" s="456"/>
    </row>
    <row r="313" spans="1:23" s="364" customFormat="1" ht="16.149999999999999" thickBot="1">
      <c r="A313" s="314"/>
      <c r="B313" s="444" t="s">
        <v>2180</v>
      </c>
      <c r="C313" s="444"/>
      <c r="D313" s="444"/>
      <c r="E313" s="444"/>
      <c r="F313" s="444"/>
      <c r="G313" s="468"/>
      <c r="H313" s="445">
        <f>SUM(H8:H312)</f>
        <v>18911062.759999998</v>
      </c>
      <c r="I313" s="445">
        <f t="shared" ref="I313:N313" si="57">SUM(I8:I312)</f>
        <v>0</v>
      </c>
      <c r="J313" s="445">
        <f t="shared" si="57"/>
        <v>0</v>
      </c>
      <c r="K313" s="445">
        <f t="shared" si="57"/>
        <v>18911062.759999998</v>
      </c>
      <c r="L313" s="470"/>
      <c r="M313" s="445">
        <f t="shared" si="57"/>
        <v>13890181.046755498</v>
      </c>
      <c r="N313" s="445">
        <f t="shared" si="57"/>
        <v>5020881.7132444968</v>
      </c>
      <c r="O313" s="445" t="s">
        <v>24</v>
      </c>
      <c r="P313" s="445" t="s">
        <v>24</v>
      </c>
      <c r="Q313" s="445" t="s">
        <v>24</v>
      </c>
      <c r="R313" s="445" t="s">
        <v>24</v>
      </c>
      <c r="S313" s="445" t="s">
        <v>24</v>
      </c>
      <c r="T313" s="445">
        <f t="shared" ref="T313" si="58">SUM(T8:T312)</f>
        <v>1689207.4740000004</v>
      </c>
      <c r="U313" s="445">
        <f t="shared" ref="U313" si="59">SUM(U8:U312)</f>
        <v>3331674.2392444964</v>
      </c>
      <c r="V313" s="445">
        <f t="shared" ref="V313" si="60">SUM(V8:V312)</f>
        <v>852171.68800000043</v>
      </c>
      <c r="W313" s="471">
        <f>SUM(W8:W239)</f>
        <v>73092.289916187598</v>
      </c>
    </row>
    <row r="314" spans="1:23" ht="13.15" thickTop="1">
      <c r="M314" s="335" t="s">
        <v>24</v>
      </c>
      <c r="W314" s="456">
        <f t="shared" si="36"/>
        <v>0</v>
      </c>
    </row>
    <row r="315" spans="1:23">
      <c r="W315" s="456">
        <f t="shared" si="36"/>
        <v>0</v>
      </c>
    </row>
    <row r="316" spans="1:23">
      <c r="W316" s="456">
        <f t="shared" si="36"/>
        <v>0</v>
      </c>
    </row>
    <row r="317" spans="1:23">
      <c r="W317" s="456">
        <f t="shared" si="36"/>
        <v>0</v>
      </c>
    </row>
    <row r="318" spans="1:23">
      <c r="W318" s="456">
        <f t="shared" si="36"/>
        <v>0</v>
      </c>
    </row>
    <row r="319" spans="1:23">
      <c r="W319" s="456">
        <f t="shared" si="36"/>
        <v>0</v>
      </c>
    </row>
  </sheetData>
  <mergeCells count="23">
    <mergeCell ref="F4:F7"/>
    <mergeCell ref="A4:A7"/>
    <mergeCell ref="B4:B7"/>
    <mergeCell ref="C4:C7"/>
    <mergeCell ref="D4:D7"/>
    <mergeCell ref="E4:E7"/>
    <mergeCell ref="G4:G7"/>
    <mergeCell ref="H4:H7"/>
    <mergeCell ref="I4:J4"/>
    <mergeCell ref="K4:K7"/>
    <mergeCell ref="L4:L7"/>
    <mergeCell ref="T4:T7"/>
    <mergeCell ref="U4:U7"/>
    <mergeCell ref="V4:V7"/>
    <mergeCell ref="I5:I7"/>
    <mergeCell ref="J5:J7"/>
    <mergeCell ref="N4:N7"/>
    <mergeCell ref="O4:O7"/>
    <mergeCell ref="P4:P7"/>
    <mergeCell ref="Q4:Q7"/>
    <mergeCell ref="R4:R7"/>
    <mergeCell ref="S4:S7"/>
    <mergeCell ref="M4:M7"/>
  </mergeCells>
  <printOptions gridLines="1"/>
  <pageMargins left="0.70866141732283472" right="0.70866141732283472" top="0.74803149606299213" bottom="0.74803149606299213" header="0.31496062992125984" footer="0.31496062992125984"/>
  <pageSetup scale="40" orientation="landscape" r:id="rId1"/>
  <rowBreaks count="3" manualBreakCount="3">
    <brk id="59" max="21" man="1"/>
    <brk id="136" max="16383" man="1"/>
    <brk id="20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232"/>
  <sheetViews>
    <sheetView topLeftCell="E217" zoomScale="98" zoomScaleNormal="98" workbookViewId="0">
      <selection activeCell="J229" sqref="J229"/>
    </sheetView>
  </sheetViews>
  <sheetFormatPr defaultColWidth="10" defaultRowHeight="12.75"/>
  <cols>
    <col min="1" max="1" width="10" style="313" customWidth="1"/>
    <col min="2" max="2" width="31.86328125" style="313" customWidth="1"/>
    <col min="3" max="3" width="10.46484375" style="313" customWidth="1"/>
    <col min="4" max="4" width="16.6640625" style="313" customWidth="1"/>
    <col min="5" max="5" width="13.53125" style="334" customWidth="1"/>
    <col min="6" max="6" width="8.53125" style="313" customWidth="1"/>
    <col min="7" max="7" width="13.53125" style="313" customWidth="1"/>
    <col min="8" max="8" width="15.6640625" style="313" bestFit="1" customWidth="1"/>
    <col min="9" max="9" width="11.33203125" style="313" bestFit="1" customWidth="1"/>
    <col min="10" max="10" width="13" style="313" bestFit="1" customWidth="1"/>
    <col min="11" max="11" width="15.46484375" style="313" customWidth="1"/>
    <col min="12" max="12" width="15.6640625" style="313" customWidth="1"/>
    <col min="13" max="13" width="18.33203125" style="313" customWidth="1"/>
    <col min="14" max="14" width="16.46484375" style="313" customWidth="1"/>
    <col min="15" max="15" width="0.33203125" style="313" customWidth="1"/>
    <col min="16" max="16" width="21.6640625" style="313" hidden="1" customWidth="1"/>
    <col min="17" max="17" width="20.33203125" style="313" hidden="1" customWidth="1"/>
    <col min="18" max="18" width="26.46484375" style="313" hidden="1" customWidth="1"/>
    <col min="19" max="19" width="10.53125" style="313" customWidth="1"/>
    <col min="20" max="20" width="17.6640625" style="313" customWidth="1"/>
    <col min="21" max="21" width="17.1328125" style="313" customWidth="1"/>
    <col min="22" max="16384" width="10" style="313"/>
  </cols>
  <sheetData>
    <row r="1" spans="1:22" ht="16.149999999999999" thickBot="1">
      <c r="A1" s="446" t="s">
        <v>1338</v>
      </c>
    </row>
    <row r="2" spans="1:22" ht="15.75">
      <c r="A2" s="447" t="s">
        <v>1349</v>
      </c>
    </row>
    <row r="3" spans="1:22" ht="17.25" thickBot="1">
      <c r="A3" s="448" t="str">
        <f>+Buildings!B3</f>
        <v>CALCULATION OF DEPRECIATION FOR THE YEAR  ENDED  31-03-2024</v>
      </c>
      <c r="O3" s="449">
        <v>45382</v>
      </c>
    </row>
    <row r="4" spans="1:22" ht="13.15" thickTop="1">
      <c r="A4" s="1171" t="s">
        <v>1289</v>
      </c>
      <c r="B4" s="1171" t="s">
        <v>1290</v>
      </c>
      <c r="C4" s="1179" t="s">
        <v>1367</v>
      </c>
      <c r="D4" s="1185" t="s">
        <v>1352</v>
      </c>
      <c r="E4" s="1179" t="s">
        <v>1368</v>
      </c>
      <c r="F4" s="1183" t="s">
        <v>1369</v>
      </c>
      <c r="G4" s="1179" t="s">
        <v>1370</v>
      </c>
      <c r="H4" s="1177" t="s">
        <v>3662</v>
      </c>
      <c r="I4" s="1181" t="s">
        <v>1353</v>
      </c>
      <c r="J4" s="1182"/>
      <c r="K4" s="1177" t="s">
        <v>3661</v>
      </c>
      <c r="L4" s="1177" t="s">
        <v>1371</v>
      </c>
      <c r="M4" s="1177" t="s">
        <v>3337</v>
      </c>
      <c r="N4" s="1170" t="s">
        <v>3654</v>
      </c>
      <c r="O4" s="1173" t="s">
        <v>1355</v>
      </c>
      <c r="P4" s="1162" t="s">
        <v>1356</v>
      </c>
      <c r="Q4" s="1162" t="s">
        <v>1357</v>
      </c>
      <c r="R4" s="1162" t="s">
        <v>1358</v>
      </c>
      <c r="S4" s="1175" t="s">
        <v>1373</v>
      </c>
      <c r="T4" s="1159" t="s">
        <v>3655</v>
      </c>
      <c r="U4" s="1162" t="s">
        <v>3656</v>
      </c>
    </row>
    <row r="5" spans="1:22">
      <c r="A5" s="1171"/>
      <c r="B5" s="1171"/>
      <c r="C5" s="1179"/>
      <c r="D5" s="1185"/>
      <c r="E5" s="1179"/>
      <c r="F5" s="1183"/>
      <c r="G5" s="1179"/>
      <c r="H5" s="1178"/>
      <c r="I5" s="1168" t="s">
        <v>891</v>
      </c>
      <c r="J5" s="1168" t="s">
        <v>892</v>
      </c>
      <c r="K5" s="1178"/>
      <c r="L5" s="1178"/>
      <c r="M5" s="1178"/>
      <c r="N5" s="1171"/>
      <c r="O5" s="1174"/>
      <c r="P5" s="1163"/>
      <c r="Q5" s="1163"/>
      <c r="R5" s="1163"/>
      <c r="S5" s="1176"/>
      <c r="T5" s="1160"/>
      <c r="U5" s="1163"/>
    </row>
    <row r="6" spans="1:22">
      <c r="A6" s="1171"/>
      <c r="B6" s="1171"/>
      <c r="C6" s="1179"/>
      <c r="D6" s="1185"/>
      <c r="E6" s="1179"/>
      <c r="F6" s="1183"/>
      <c r="G6" s="1179"/>
      <c r="H6" s="1178"/>
      <c r="I6" s="1169"/>
      <c r="J6" s="1169"/>
      <c r="K6" s="1178"/>
      <c r="L6" s="1178"/>
      <c r="M6" s="1178"/>
      <c r="N6" s="1171"/>
      <c r="O6" s="1174"/>
      <c r="P6" s="1163"/>
      <c r="Q6" s="1163"/>
      <c r="R6" s="1163"/>
      <c r="S6" s="1176"/>
      <c r="T6" s="1160"/>
      <c r="U6" s="1163"/>
    </row>
    <row r="7" spans="1:22" ht="28.25" customHeight="1">
      <c r="A7" s="1172"/>
      <c r="B7" s="1172"/>
      <c r="C7" s="1180"/>
      <c r="D7" s="1168"/>
      <c r="E7" s="1180"/>
      <c r="F7" s="1184"/>
      <c r="G7" s="1180"/>
      <c r="H7" s="1178"/>
      <c r="I7" s="1169"/>
      <c r="J7" s="1169"/>
      <c r="K7" s="1178"/>
      <c r="L7" s="1178"/>
      <c r="M7" s="1178"/>
      <c r="N7" s="1172"/>
      <c r="O7" s="1174"/>
      <c r="P7" s="1164"/>
      <c r="Q7" s="1164"/>
      <c r="R7" s="1164"/>
      <c r="S7" s="1176"/>
      <c r="T7" s="1161"/>
      <c r="U7" s="1164"/>
    </row>
    <row r="8" spans="1:22" ht="16.5">
      <c r="A8" s="460">
        <v>1</v>
      </c>
      <c r="B8" s="754" t="s">
        <v>2337</v>
      </c>
      <c r="C8" s="754" t="s">
        <v>1431</v>
      </c>
      <c r="D8" s="754"/>
      <c r="E8" s="754" t="s">
        <v>2338</v>
      </c>
      <c r="F8" s="754"/>
      <c r="G8" s="755">
        <v>38609</v>
      </c>
      <c r="H8" s="756">
        <v>235481</v>
      </c>
      <c r="I8" s="460"/>
      <c r="J8" s="756">
        <v>0</v>
      </c>
      <c r="K8" s="756">
        <f t="shared" ref="K8:K69" si="0">+H8+I8-J8</f>
        <v>235481</v>
      </c>
      <c r="L8" s="757">
        <v>38609</v>
      </c>
      <c r="M8" s="759">
        <v>235480.95</v>
      </c>
      <c r="N8" s="758">
        <f>+H8-M8</f>
        <v>4.9999999988358468E-2</v>
      </c>
      <c r="O8" s="452">
        <f>+$O$3-L8+1</f>
        <v>6774</v>
      </c>
      <c r="P8" s="452">
        <v>8</v>
      </c>
      <c r="Q8" s="453">
        <f>+O8/365</f>
        <v>18.55890410958904</v>
      </c>
      <c r="R8" s="453">
        <f>+P8-Q8</f>
        <v>-10.55890410958904</v>
      </c>
      <c r="S8" s="455">
        <f>1/P8*0.95</f>
        <v>0.11874999999999999</v>
      </c>
      <c r="T8" s="759">
        <v>0</v>
      </c>
      <c r="U8" s="756">
        <f>+N8-T8</f>
        <v>4.9999999988358468E-2</v>
      </c>
      <c r="V8" s="760"/>
    </row>
    <row r="9" spans="1:22" ht="16.5">
      <c r="A9" s="460">
        <f>+A8+1</f>
        <v>2</v>
      </c>
      <c r="B9" s="754" t="s">
        <v>2339</v>
      </c>
      <c r="C9" s="754" t="s">
        <v>1431</v>
      </c>
      <c r="D9" s="754"/>
      <c r="E9" s="754" t="s">
        <v>2340</v>
      </c>
      <c r="F9" s="754"/>
      <c r="G9" s="755">
        <v>38538</v>
      </c>
      <c r="H9" s="756">
        <v>244123</v>
      </c>
      <c r="I9" s="460"/>
      <c r="J9" s="756">
        <v>0</v>
      </c>
      <c r="K9" s="756">
        <f t="shared" si="0"/>
        <v>244123</v>
      </c>
      <c r="L9" s="757">
        <v>38538</v>
      </c>
      <c r="M9" s="759">
        <v>244122.85</v>
      </c>
      <c r="N9" s="758">
        <f t="shared" ref="N9:N72" si="1">+H9-M9</f>
        <v>0.14999999999417923</v>
      </c>
      <c r="O9" s="452">
        <f t="shared" ref="O9:O70" si="2">+$O$3-L9+1</f>
        <v>6845</v>
      </c>
      <c r="P9" s="452">
        <v>8</v>
      </c>
      <c r="Q9" s="453">
        <f t="shared" ref="Q9:Q70" si="3">+O9/365</f>
        <v>18.753424657534246</v>
      </c>
      <c r="R9" s="453">
        <f t="shared" ref="R9:R70" si="4">+P9-Q9</f>
        <v>-10.753424657534246</v>
      </c>
      <c r="S9" s="455">
        <f t="shared" ref="S9:S70" si="5">1/P9*0.95</f>
        <v>0.11874999999999999</v>
      </c>
      <c r="T9" s="759">
        <v>0</v>
      </c>
      <c r="U9" s="756">
        <f t="shared" ref="U9:U70" si="6">+N9-T9</f>
        <v>0.14999999999417923</v>
      </c>
      <c r="V9" s="760"/>
    </row>
    <row r="10" spans="1:22" ht="16.5">
      <c r="A10" s="460">
        <f t="shared" ref="A10:A73" si="7">+A9+1</f>
        <v>3</v>
      </c>
      <c r="B10" s="754" t="s">
        <v>2341</v>
      </c>
      <c r="C10" s="754" t="s">
        <v>1376</v>
      </c>
      <c r="D10" s="754"/>
      <c r="E10" s="754" t="s">
        <v>2342</v>
      </c>
      <c r="F10" s="754"/>
      <c r="G10" s="755">
        <v>39271</v>
      </c>
      <c r="H10" s="756">
        <v>325478</v>
      </c>
      <c r="I10" s="460"/>
      <c r="J10" s="756">
        <v>0</v>
      </c>
      <c r="K10" s="756">
        <f t="shared" si="0"/>
        <v>325478</v>
      </c>
      <c r="L10" s="757">
        <v>39271</v>
      </c>
      <c r="M10" s="759">
        <v>325478.09999999998</v>
      </c>
      <c r="N10" s="758">
        <f t="shared" si="1"/>
        <v>-9.9999999976716936E-2</v>
      </c>
      <c r="O10" s="452">
        <f t="shared" si="2"/>
        <v>6112</v>
      </c>
      <c r="P10" s="452">
        <v>8</v>
      </c>
      <c r="Q10" s="453">
        <f t="shared" si="3"/>
        <v>16.745205479452054</v>
      </c>
      <c r="R10" s="453">
        <f t="shared" si="4"/>
        <v>-8.7452054794520535</v>
      </c>
      <c r="S10" s="455">
        <f t="shared" si="5"/>
        <v>0.11874999999999999</v>
      </c>
      <c r="T10" s="759">
        <v>0</v>
      </c>
      <c r="U10" s="756">
        <f t="shared" si="6"/>
        <v>-9.9999999976716936E-2</v>
      </c>
      <c r="V10" s="760"/>
    </row>
    <row r="11" spans="1:22" ht="16.5">
      <c r="A11" s="460">
        <f t="shared" si="7"/>
        <v>4</v>
      </c>
      <c r="B11" s="754" t="s">
        <v>2343</v>
      </c>
      <c r="C11" s="754" t="s">
        <v>1396</v>
      </c>
      <c r="D11" s="754"/>
      <c r="E11" s="754" t="s">
        <v>2344</v>
      </c>
      <c r="F11" s="754"/>
      <c r="G11" s="755">
        <v>39093</v>
      </c>
      <c r="H11" s="756">
        <v>291433</v>
      </c>
      <c r="I11" s="460"/>
      <c r="J11" s="756">
        <v>0</v>
      </c>
      <c r="K11" s="756">
        <f t="shared" si="0"/>
        <v>291433</v>
      </c>
      <c r="L11" s="757">
        <v>39093</v>
      </c>
      <c r="M11" s="759">
        <v>291433.34999999998</v>
      </c>
      <c r="N11" s="758">
        <f t="shared" si="1"/>
        <v>-0.34999999997671694</v>
      </c>
      <c r="O11" s="452">
        <f t="shared" si="2"/>
        <v>6290</v>
      </c>
      <c r="P11" s="452">
        <v>8</v>
      </c>
      <c r="Q11" s="453">
        <f t="shared" si="3"/>
        <v>17.232876712328768</v>
      </c>
      <c r="R11" s="453">
        <f t="shared" si="4"/>
        <v>-9.2328767123287676</v>
      </c>
      <c r="S11" s="455">
        <f t="shared" si="5"/>
        <v>0.11874999999999999</v>
      </c>
      <c r="T11" s="759">
        <v>0</v>
      </c>
      <c r="U11" s="756">
        <f t="shared" si="6"/>
        <v>-0.34999999997671694</v>
      </c>
      <c r="V11" s="760"/>
    </row>
    <row r="12" spans="1:22" ht="16.5">
      <c r="A12" s="460">
        <f t="shared" si="7"/>
        <v>5</v>
      </c>
      <c r="B12" s="754" t="s">
        <v>2345</v>
      </c>
      <c r="C12" s="754" t="s">
        <v>1376</v>
      </c>
      <c r="D12" s="754" t="s">
        <v>2346</v>
      </c>
      <c r="E12" s="754" t="s">
        <v>2347</v>
      </c>
      <c r="F12" s="754"/>
      <c r="G12" s="755">
        <v>39177</v>
      </c>
      <c r="H12" s="756">
        <v>29809</v>
      </c>
      <c r="I12" s="460"/>
      <c r="J12" s="756">
        <f>+H12</f>
        <v>29809</v>
      </c>
      <c r="K12" s="756">
        <f t="shared" si="0"/>
        <v>0</v>
      </c>
      <c r="L12" s="757">
        <v>39177</v>
      </c>
      <c r="M12" s="759">
        <v>29808.55</v>
      </c>
      <c r="N12" s="758">
        <f t="shared" si="1"/>
        <v>0.4500000000007276</v>
      </c>
      <c r="O12" s="452">
        <f t="shared" si="2"/>
        <v>6206</v>
      </c>
      <c r="P12" s="452">
        <v>8</v>
      </c>
      <c r="Q12" s="453">
        <f t="shared" si="3"/>
        <v>17.002739726027396</v>
      </c>
      <c r="R12" s="453">
        <f t="shared" si="4"/>
        <v>-9.0027397260273965</v>
      </c>
      <c r="S12" s="455">
        <f t="shared" si="5"/>
        <v>0.11874999999999999</v>
      </c>
      <c r="T12" s="759">
        <v>0</v>
      </c>
      <c r="U12" s="756">
        <f t="shared" si="6"/>
        <v>0.4500000000007276</v>
      </c>
      <c r="V12" s="760"/>
    </row>
    <row r="13" spans="1:22" ht="16.5">
      <c r="A13" s="460">
        <f t="shared" si="7"/>
        <v>6</v>
      </c>
      <c r="B13" s="754" t="s">
        <v>2345</v>
      </c>
      <c r="C13" s="754" t="s">
        <v>1376</v>
      </c>
      <c r="D13" s="754" t="s">
        <v>2346</v>
      </c>
      <c r="E13" s="754"/>
      <c r="F13" s="754"/>
      <c r="G13" s="755">
        <v>39178</v>
      </c>
      <c r="H13" s="756">
        <v>27392</v>
      </c>
      <c r="I13" s="460"/>
      <c r="J13" s="756">
        <f t="shared" ref="J13:J18" si="8">+H13</f>
        <v>27392</v>
      </c>
      <c r="K13" s="756">
        <f t="shared" si="0"/>
        <v>0</v>
      </c>
      <c r="L13" s="757">
        <v>39178</v>
      </c>
      <c r="M13" s="759">
        <v>27392.400000000001</v>
      </c>
      <c r="N13" s="758">
        <f t="shared" si="1"/>
        <v>-0.40000000000145519</v>
      </c>
      <c r="O13" s="452">
        <f t="shared" si="2"/>
        <v>6205</v>
      </c>
      <c r="P13" s="452">
        <v>8</v>
      </c>
      <c r="Q13" s="453">
        <f t="shared" si="3"/>
        <v>17</v>
      </c>
      <c r="R13" s="453">
        <f t="shared" si="4"/>
        <v>-9</v>
      </c>
      <c r="S13" s="455">
        <f t="shared" si="5"/>
        <v>0.11874999999999999</v>
      </c>
      <c r="T13" s="759">
        <v>0</v>
      </c>
      <c r="U13" s="756">
        <f t="shared" si="6"/>
        <v>-0.40000000000145519</v>
      </c>
      <c r="V13" s="760"/>
    </row>
    <row r="14" spans="1:22" ht="16.5">
      <c r="A14" s="460">
        <f t="shared" si="7"/>
        <v>7</v>
      </c>
      <c r="B14" s="754" t="s">
        <v>2345</v>
      </c>
      <c r="C14" s="754" t="s">
        <v>1376</v>
      </c>
      <c r="D14" s="754"/>
      <c r="E14" s="754"/>
      <c r="F14" s="754"/>
      <c r="G14" s="755">
        <v>39291</v>
      </c>
      <c r="H14" s="756">
        <v>27186</v>
      </c>
      <c r="I14" s="460"/>
      <c r="J14" s="756">
        <f t="shared" si="8"/>
        <v>27186</v>
      </c>
      <c r="K14" s="756">
        <f t="shared" si="0"/>
        <v>0</v>
      </c>
      <c r="L14" s="757">
        <v>39291</v>
      </c>
      <c r="M14" s="759">
        <v>27185.7</v>
      </c>
      <c r="N14" s="758">
        <f t="shared" si="1"/>
        <v>0.2999999999992724</v>
      </c>
      <c r="O14" s="452">
        <f t="shared" si="2"/>
        <v>6092</v>
      </c>
      <c r="P14" s="452">
        <v>8</v>
      </c>
      <c r="Q14" s="453">
        <f t="shared" si="3"/>
        <v>16.69041095890411</v>
      </c>
      <c r="R14" s="453">
        <f t="shared" si="4"/>
        <v>-8.6904109589041099</v>
      </c>
      <c r="S14" s="455">
        <f t="shared" si="5"/>
        <v>0.11874999999999999</v>
      </c>
      <c r="T14" s="759">
        <v>0</v>
      </c>
      <c r="U14" s="756">
        <f t="shared" si="6"/>
        <v>0.2999999999992724</v>
      </c>
      <c r="V14" s="760"/>
    </row>
    <row r="15" spans="1:22" ht="16.5">
      <c r="A15" s="460">
        <f t="shared" si="7"/>
        <v>8</v>
      </c>
      <c r="B15" s="754" t="s">
        <v>2345</v>
      </c>
      <c r="C15" s="754" t="s">
        <v>1376</v>
      </c>
      <c r="D15" s="754"/>
      <c r="E15" s="754"/>
      <c r="F15" s="754"/>
      <c r="G15" s="755">
        <v>39293</v>
      </c>
      <c r="H15" s="756">
        <v>3095</v>
      </c>
      <c r="I15" s="460"/>
      <c r="J15" s="756">
        <f t="shared" si="8"/>
        <v>3095</v>
      </c>
      <c r="K15" s="756">
        <f t="shared" si="0"/>
        <v>0</v>
      </c>
      <c r="L15" s="757">
        <v>39293</v>
      </c>
      <c r="M15" s="759">
        <v>3095.25</v>
      </c>
      <c r="N15" s="758">
        <f t="shared" si="1"/>
        <v>-0.25</v>
      </c>
      <c r="O15" s="452">
        <f t="shared" si="2"/>
        <v>6090</v>
      </c>
      <c r="P15" s="452">
        <v>8</v>
      </c>
      <c r="Q15" s="453">
        <f t="shared" si="3"/>
        <v>16.684931506849313</v>
      </c>
      <c r="R15" s="453">
        <f t="shared" si="4"/>
        <v>-8.6849315068493134</v>
      </c>
      <c r="S15" s="455">
        <f t="shared" si="5"/>
        <v>0.11874999999999999</v>
      </c>
      <c r="T15" s="759">
        <v>0</v>
      </c>
      <c r="U15" s="756">
        <f t="shared" si="6"/>
        <v>-0.25</v>
      </c>
      <c r="V15" s="760"/>
    </row>
    <row r="16" spans="1:22" ht="16.5">
      <c r="A16" s="460">
        <f t="shared" si="7"/>
        <v>9</v>
      </c>
      <c r="B16" s="754" t="s">
        <v>2345</v>
      </c>
      <c r="C16" s="754" t="s">
        <v>1376</v>
      </c>
      <c r="D16" s="754"/>
      <c r="E16" s="754"/>
      <c r="F16" s="754"/>
      <c r="G16" s="755">
        <v>39320</v>
      </c>
      <c r="H16" s="756">
        <v>27186</v>
      </c>
      <c r="I16" s="460"/>
      <c r="J16" s="756">
        <f t="shared" si="8"/>
        <v>27186</v>
      </c>
      <c r="K16" s="756">
        <f t="shared" si="0"/>
        <v>0</v>
      </c>
      <c r="L16" s="757">
        <v>39320</v>
      </c>
      <c r="M16" s="759">
        <v>27185.7</v>
      </c>
      <c r="N16" s="758">
        <f t="shared" si="1"/>
        <v>0.2999999999992724</v>
      </c>
      <c r="O16" s="452">
        <f t="shared" si="2"/>
        <v>6063</v>
      </c>
      <c r="P16" s="452">
        <v>8</v>
      </c>
      <c r="Q16" s="453">
        <f t="shared" si="3"/>
        <v>16.610958904109587</v>
      </c>
      <c r="R16" s="453">
        <f t="shared" si="4"/>
        <v>-8.6109589041095873</v>
      </c>
      <c r="S16" s="455">
        <f t="shared" si="5"/>
        <v>0.11874999999999999</v>
      </c>
      <c r="T16" s="759">
        <v>0</v>
      </c>
      <c r="U16" s="756">
        <f t="shared" si="6"/>
        <v>0.2999999999992724</v>
      </c>
      <c r="V16" s="760"/>
    </row>
    <row r="17" spans="1:22" ht="16.5">
      <c r="A17" s="460">
        <f t="shared" si="7"/>
        <v>10</v>
      </c>
      <c r="B17" s="754" t="s">
        <v>2345</v>
      </c>
      <c r="C17" s="754" t="s">
        <v>1376</v>
      </c>
      <c r="D17" s="754"/>
      <c r="E17" s="754"/>
      <c r="F17" s="754"/>
      <c r="G17" s="755">
        <v>39324</v>
      </c>
      <c r="H17" s="756">
        <v>3135</v>
      </c>
      <c r="I17" s="460"/>
      <c r="J17" s="756">
        <f t="shared" si="8"/>
        <v>3135</v>
      </c>
      <c r="K17" s="756">
        <f t="shared" si="0"/>
        <v>0</v>
      </c>
      <c r="L17" s="757">
        <v>39324</v>
      </c>
      <c r="M17" s="759">
        <v>3135.25</v>
      </c>
      <c r="N17" s="758">
        <f t="shared" si="1"/>
        <v>-0.25</v>
      </c>
      <c r="O17" s="452">
        <f t="shared" si="2"/>
        <v>6059</v>
      </c>
      <c r="P17" s="452">
        <v>8</v>
      </c>
      <c r="Q17" s="453">
        <f t="shared" si="3"/>
        <v>16.600000000000001</v>
      </c>
      <c r="R17" s="453">
        <f t="shared" si="4"/>
        <v>-8.6000000000000014</v>
      </c>
      <c r="S17" s="455">
        <f t="shared" si="5"/>
        <v>0.11874999999999999</v>
      </c>
      <c r="T17" s="759">
        <v>0</v>
      </c>
      <c r="U17" s="756">
        <f t="shared" si="6"/>
        <v>-0.25</v>
      </c>
      <c r="V17" s="760"/>
    </row>
    <row r="18" spans="1:22" ht="16.5">
      <c r="A18" s="460">
        <f t="shared" si="7"/>
        <v>11</v>
      </c>
      <c r="B18" s="754" t="s">
        <v>2345</v>
      </c>
      <c r="C18" s="754" t="s">
        <v>1376</v>
      </c>
      <c r="D18" s="754" t="s">
        <v>2346</v>
      </c>
      <c r="E18" s="754"/>
      <c r="F18" s="754"/>
      <c r="G18" s="755">
        <v>39472</v>
      </c>
      <c r="H18" s="756">
        <v>32858</v>
      </c>
      <c r="I18" s="460"/>
      <c r="J18" s="756">
        <f t="shared" si="8"/>
        <v>32858</v>
      </c>
      <c r="K18" s="756">
        <f t="shared" si="0"/>
        <v>0</v>
      </c>
      <c r="L18" s="757">
        <v>39472</v>
      </c>
      <c r="M18" s="759">
        <v>32858.1</v>
      </c>
      <c r="N18" s="758">
        <f t="shared" si="1"/>
        <v>-9.9999999998544808E-2</v>
      </c>
      <c r="O18" s="452">
        <f t="shared" si="2"/>
        <v>5911</v>
      </c>
      <c r="P18" s="452">
        <v>8</v>
      </c>
      <c r="Q18" s="453">
        <f t="shared" si="3"/>
        <v>16.194520547945206</v>
      </c>
      <c r="R18" s="453">
        <f t="shared" si="4"/>
        <v>-8.1945205479452063</v>
      </c>
      <c r="S18" s="455">
        <f t="shared" si="5"/>
        <v>0.11874999999999999</v>
      </c>
      <c r="T18" s="759">
        <v>0</v>
      </c>
      <c r="U18" s="756">
        <f t="shared" si="6"/>
        <v>-9.9999999998544808E-2</v>
      </c>
      <c r="V18" s="760"/>
    </row>
    <row r="19" spans="1:22" ht="16.5">
      <c r="A19" s="460">
        <f t="shared" si="7"/>
        <v>12</v>
      </c>
      <c r="B19" s="754" t="s">
        <v>548</v>
      </c>
      <c r="C19" s="754" t="s">
        <v>1409</v>
      </c>
      <c r="D19" s="754"/>
      <c r="E19" s="754" t="s">
        <v>2348</v>
      </c>
      <c r="F19" s="754"/>
      <c r="G19" s="755">
        <v>39604</v>
      </c>
      <c r="H19" s="756">
        <v>604524</v>
      </c>
      <c r="I19" s="460"/>
      <c r="J19" s="756">
        <v>0</v>
      </c>
      <c r="K19" s="756">
        <f t="shared" si="0"/>
        <v>604524</v>
      </c>
      <c r="L19" s="757">
        <v>39604</v>
      </c>
      <c r="M19" s="759">
        <v>604523.80000000005</v>
      </c>
      <c r="N19" s="758">
        <f t="shared" si="1"/>
        <v>0.19999999995343387</v>
      </c>
      <c r="O19" s="452">
        <f t="shared" si="2"/>
        <v>5779</v>
      </c>
      <c r="P19" s="452">
        <v>8</v>
      </c>
      <c r="Q19" s="453">
        <f t="shared" si="3"/>
        <v>15.832876712328767</v>
      </c>
      <c r="R19" s="453">
        <f t="shared" si="4"/>
        <v>-7.8328767123287673</v>
      </c>
      <c r="S19" s="455">
        <f t="shared" si="5"/>
        <v>0.11874999999999999</v>
      </c>
      <c r="T19" s="759">
        <v>0</v>
      </c>
      <c r="U19" s="756">
        <f t="shared" si="6"/>
        <v>0.19999999995343387</v>
      </c>
      <c r="V19" s="760"/>
    </row>
    <row r="20" spans="1:22" ht="16.5">
      <c r="A20" s="460">
        <f t="shared" si="7"/>
        <v>13</v>
      </c>
      <c r="B20" s="754" t="s">
        <v>548</v>
      </c>
      <c r="C20" s="754" t="s">
        <v>1409</v>
      </c>
      <c r="D20" s="754"/>
      <c r="E20" s="754"/>
      <c r="F20" s="754"/>
      <c r="G20" s="755">
        <v>39785</v>
      </c>
      <c r="H20" s="756">
        <v>468360</v>
      </c>
      <c r="I20" s="460"/>
      <c r="J20" s="756">
        <v>0</v>
      </c>
      <c r="K20" s="756">
        <f t="shared" si="0"/>
        <v>468360</v>
      </c>
      <c r="L20" s="757">
        <v>39785</v>
      </c>
      <c r="M20" s="759">
        <v>468360</v>
      </c>
      <c r="N20" s="758">
        <f t="shared" si="1"/>
        <v>0</v>
      </c>
      <c r="O20" s="452">
        <f t="shared" si="2"/>
        <v>5598</v>
      </c>
      <c r="P20" s="452">
        <v>8</v>
      </c>
      <c r="Q20" s="453">
        <f t="shared" si="3"/>
        <v>15.336986301369864</v>
      </c>
      <c r="R20" s="453">
        <f t="shared" si="4"/>
        <v>-7.3369863013698637</v>
      </c>
      <c r="S20" s="455">
        <f t="shared" si="5"/>
        <v>0.11874999999999999</v>
      </c>
      <c r="T20" s="759">
        <v>0</v>
      </c>
      <c r="U20" s="756">
        <f t="shared" si="6"/>
        <v>0</v>
      </c>
      <c r="V20" s="760"/>
    </row>
    <row r="21" spans="1:22" ht="16.5">
      <c r="A21" s="460">
        <f t="shared" si="7"/>
        <v>14</v>
      </c>
      <c r="B21" s="754" t="s">
        <v>548</v>
      </c>
      <c r="C21" s="754" t="s">
        <v>1409</v>
      </c>
      <c r="D21" s="754"/>
      <c r="E21" s="754"/>
      <c r="F21" s="754"/>
      <c r="G21" s="755">
        <v>39785</v>
      </c>
      <c r="H21" s="756">
        <v>604450</v>
      </c>
      <c r="I21" s="460"/>
      <c r="J21" s="756">
        <v>0</v>
      </c>
      <c r="K21" s="756">
        <f t="shared" si="0"/>
        <v>604450</v>
      </c>
      <c r="L21" s="757">
        <v>39785</v>
      </c>
      <c r="M21" s="759">
        <v>604450.5</v>
      </c>
      <c r="N21" s="758">
        <f t="shared" si="1"/>
        <v>-0.5</v>
      </c>
      <c r="O21" s="452">
        <f t="shared" si="2"/>
        <v>5598</v>
      </c>
      <c r="P21" s="452">
        <v>8</v>
      </c>
      <c r="Q21" s="453">
        <f t="shared" si="3"/>
        <v>15.336986301369864</v>
      </c>
      <c r="R21" s="453">
        <f t="shared" si="4"/>
        <v>-7.3369863013698637</v>
      </c>
      <c r="S21" s="455">
        <f t="shared" si="5"/>
        <v>0.11874999999999999</v>
      </c>
      <c r="T21" s="759">
        <v>0</v>
      </c>
      <c r="U21" s="756">
        <f t="shared" si="6"/>
        <v>-0.5</v>
      </c>
      <c r="V21" s="760"/>
    </row>
    <row r="22" spans="1:22" ht="16.5">
      <c r="A22" s="460">
        <f t="shared" si="7"/>
        <v>15</v>
      </c>
      <c r="B22" s="754" t="s">
        <v>548</v>
      </c>
      <c r="C22" s="754" t="s">
        <v>1409</v>
      </c>
      <c r="D22" s="754"/>
      <c r="E22" s="754"/>
      <c r="F22" s="754"/>
      <c r="G22" s="755">
        <v>39785</v>
      </c>
      <c r="H22" s="756">
        <v>84623</v>
      </c>
      <c r="I22" s="460"/>
      <c r="J22" s="756">
        <v>0</v>
      </c>
      <c r="K22" s="756">
        <f t="shared" si="0"/>
        <v>84623</v>
      </c>
      <c r="L22" s="757">
        <v>39785</v>
      </c>
      <c r="M22" s="759">
        <v>84622.85</v>
      </c>
      <c r="N22" s="758">
        <f t="shared" si="1"/>
        <v>0.14999999999417923</v>
      </c>
      <c r="O22" s="452">
        <f t="shared" si="2"/>
        <v>5598</v>
      </c>
      <c r="P22" s="452">
        <v>8</v>
      </c>
      <c r="Q22" s="453">
        <f t="shared" si="3"/>
        <v>15.336986301369864</v>
      </c>
      <c r="R22" s="453">
        <f t="shared" si="4"/>
        <v>-7.3369863013698637</v>
      </c>
      <c r="S22" s="455">
        <f t="shared" si="5"/>
        <v>0.11874999999999999</v>
      </c>
      <c r="T22" s="759">
        <v>0</v>
      </c>
      <c r="U22" s="756">
        <f t="shared" si="6"/>
        <v>0.14999999999417923</v>
      </c>
      <c r="V22" s="760"/>
    </row>
    <row r="23" spans="1:22" ht="16.5">
      <c r="A23" s="460">
        <f t="shared" si="7"/>
        <v>16</v>
      </c>
      <c r="B23" s="754" t="s">
        <v>862</v>
      </c>
      <c r="C23" s="754" t="s">
        <v>1409</v>
      </c>
      <c r="D23" s="754"/>
      <c r="E23" s="754"/>
      <c r="F23" s="754"/>
      <c r="G23" s="755">
        <v>39772</v>
      </c>
      <c r="H23" s="756">
        <v>37990</v>
      </c>
      <c r="I23" s="460"/>
      <c r="J23" s="756">
        <f>+H23</f>
        <v>37990</v>
      </c>
      <c r="K23" s="756">
        <f t="shared" si="0"/>
        <v>0</v>
      </c>
      <c r="L23" s="757">
        <v>39772</v>
      </c>
      <c r="M23" s="759">
        <v>37990.5</v>
      </c>
      <c r="N23" s="758">
        <f t="shared" si="1"/>
        <v>-0.5</v>
      </c>
      <c r="O23" s="452">
        <f t="shared" si="2"/>
        <v>5611</v>
      </c>
      <c r="P23" s="452">
        <v>8</v>
      </c>
      <c r="Q23" s="453">
        <f t="shared" si="3"/>
        <v>15.372602739726027</v>
      </c>
      <c r="R23" s="453">
        <f t="shared" si="4"/>
        <v>-7.3726027397260268</v>
      </c>
      <c r="S23" s="455">
        <f t="shared" si="5"/>
        <v>0.11874999999999999</v>
      </c>
      <c r="T23" s="759">
        <v>0</v>
      </c>
      <c r="U23" s="756">
        <f t="shared" si="6"/>
        <v>-0.5</v>
      </c>
      <c r="V23" s="760"/>
    </row>
    <row r="24" spans="1:22" ht="16.5">
      <c r="A24" s="460">
        <f t="shared" si="7"/>
        <v>17</v>
      </c>
      <c r="B24" s="754" t="s">
        <v>862</v>
      </c>
      <c r="C24" s="754" t="s">
        <v>1409</v>
      </c>
      <c r="D24" s="754"/>
      <c r="E24" s="754"/>
      <c r="F24" s="754"/>
      <c r="G24" s="755">
        <v>39774</v>
      </c>
      <c r="H24" s="756">
        <v>39000</v>
      </c>
      <c r="I24" s="460"/>
      <c r="J24" s="756">
        <v>0</v>
      </c>
      <c r="K24" s="756">
        <f t="shared" si="0"/>
        <v>39000</v>
      </c>
      <c r="L24" s="757">
        <v>39774</v>
      </c>
      <c r="M24" s="759">
        <v>39000</v>
      </c>
      <c r="N24" s="758">
        <f t="shared" si="1"/>
        <v>0</v>
      </c>
      <c r="O24" s="452">
        <f t="shared" si="2"/>
        <v>5609</v>
      </c>
      <c r="P24" s="452">
        <v>8</v>
      </c>
      <c r="Q24" s="453">
        <f t="shared" si="3"/>
        <v>15.367123287671232</v>
      </c>
      <c r="R24" s="453">
        <f t="shared" si="4"/>
        <v>-7.367123287671232</v>
      </c>
      <c r="S24" s="455">
        <f t="shared" si="5"/>
        <v>0.11874999999999999</v>
      </c>
      <c r="T24" s="759">
        <v>0</v>
      </c>
      <c r="U24" s="756">
        <f t="shared" si="6"/>
        <v>0</v>
      </c>
      <c r="V24" s="760"/>
    </row>
    <row r="25" spans="1:22" ht="16.5">
      <c r="A25" s="460">
        <f t="shared" si="7"/>
        <v>18</v>
      </c>
      <c r="B25" s="754" t="s">
        <v>862</v>
      </c>
      <c r="C25" s="754" t="s">
        <v>1409</v>
      </c>
      <c r="D25" s="754"/>
      <c r="E25" s="754"/>
      <c r="F25" s="754"/>
      <c r="G25" s="755">
        <v>39806</v>
      </c>
      <c r="H25" s="756">
        <v>38000</v>
      </c>
      <c r="I25" s="460"/>
      <c r="J25" s="756">
        <v>0</v>
      </c>
      <c r="K25" s="756">
        <f t="shared" si="0"/>
        <v>38000</v>
      </c>
      <c r="L25" s="757">
        <v>39806</v>
      </c>
      <c r="M25" s="759">
        <v>38000</v>
      </c>
      <c r="N25" s="758">
        <f t="shared" si="1"/>
        <v>0</v>
      </c>
      <c r="O25" s="452">
        <f t="shared" si="2"/>
        <v>5577</v>
      </c>
      <c r="P25" s="452">
        <v>8</v>
      </c>
      <c r="Q25" s="453">
        <f t="shared" si="3"/>
        <v>15.27945205479452</v>
      </c>
      <c r="R25" s="453">
        <f t="shared" si="4"/>
        <v>-7.2794520547945201</v>
      </c>
      <c r="S25" s="455">
        <f t="shared" si="5"/>
        <v>0.11874999999999999</v>
      </c>
      <c r="T25" s="759">
        <v>0</v>
      </c>
      <c r="U25" s="756">
        <f t="shared" si="6"/>
        <v>0</v>
      </c>
      <c r="V25" s="760"/>
    </row>
    <row r="26" spans="1:22" ht="16.5">
      <c r="A26" s="460">
        <f t="shared" si="7"/>
        <v>19</v>
      </c>
      <c r="B26" s="754" t="s">
        <v>2349</v>
      </c>
      <c r="C26" s="754" t="s">
        <v>1610</v>
      </c>
      <c r="D26" s="754"/>
      <c r="E26" s="754" t="s">
        <v>2350</v>
      </c>
      <c r="F26" s="754"/>
      <c r="G26" s="755">
        <v>39953</v>
      </c>
      <c r="H26" s="756">
        <v>1269846</v>
      </c>
      <c r="I26" s="460"/>
      <c r="J26" s="756">
        <v>0</v>
      </c>
      <c r="K26" s="756">
        <f t="shared" si="0"/>
        <v>1269846</v>
      </c>
      <c r="L26" s="757">
        <v>39953</v>
      </c>
      <c r="M26" s="759">
        <v>81500</v>
      </c>
      <c r="N26" s="758">
        <f t="shared" si="1"/>
        <v>1188346</v>
      </c>
      <c r="O26" s="452">
        <f t="shared" si="2"/>
        <v>5430</v>
      </c>
      <c r="P26" s="452">
        <v>8</v>
      </c>
      <c r="Q26" s="453">
        <f t="shared" si="3"/>
        <v>14.876712328767123</v>
      </c>
      <c r="R26" s="453">
        <f t="shared" si="4"/>
        <v>-6.8767123287671232</v>
      </c>
      <c r="S26" s="455">
        <f t="shared" si="5"/>
        <v>0.11874999999999999</v>
      </c>
      <c r="T26" s="759">
        <v>1124853</v>
      </c>
      <c r="U26" s="756">
        <f t="shared" si="6"/>
        <v>63493</v>
      </c>
      <c r="V26" s="760"/>
    </row>
    <row r="27" spans="1:22" ht="16.5">
      <c r="A27" s="460">
        <f t="shared" si="7"/>
        <v>20</v>
      </c>
      <c r="B27" s="754" t="s">
        <v>548</v>
      </c>
      <c r="C27" s="754" t="s">
        <v>1610</v>
      </c>
      <c r="D27" s="754" t="s">
        <v>2351</v>
      </c>
      <c r="E27" s="754" t="s">
        <v>2352</v>
      </c>
      <c r="F27" s="754"/>
      <c r="G27" s="755">
        <v>40254</v>
      </c>
      <c r="H27" s="756">
        <v>714573</v>
      </c>
      <c r="I27" s="460"/>
      <c r="J27" s="756">
        <v>0</v>
      </c>
      <c r="K27" s="756">
        <f t="shared" si="0"/>
        <v>714573</v>
      </c>
      <c r="L27" s="757">
        <v>40254</v>
      </c>
      <c r="M27" s="759">
        <v>714573.1444602994</v>
      </c>
      <c r="N27" s="758">
        <f t="shared" si="1"/>
        <v>-0.14446029940154403</v>
      </c>
      <c r="O27" s="452">
        <f t="shared" si="2"/>
        <v>5129</v>
      </c>
      <c r="P27" s="452">
        <v>8</v>
      </c>
      <c r="Q27" s="453">
        <f t="shared" si="3"/>
        <v>14.052054794520547</v>
      </c>
      <c r="R27" s="453">
        <f t="shared" si="4"/>
        <v>-6.0520547945205472</v>
      </c>
      <c r="S27" s="455">
        <f t="shared" si="5"/>
        <v>0.11874999999999999</v>
      </c>
      <c r="T27" s="759">
        <v>0</v>
      </c>
      <c r="U27" s="756">
        <f t="shared" si="6"/>
        <v>-0.14446029940154403</v>
      </c>
      <c r="V27" s="760"/>
    </row>
    <row r="28" spans="1:22" ht="16.5">
      <c r="A28" s="460">
        <f t="shared" si="7"/>
        <v>21</v>
      </c>
      <c r="B28" s="754" t="s">
        <v>2353</v>
      </c>
      <c r="C28" s="754" t="s">
        <v>1610</v>
      </c>
      <c r="D28" s="754"/>
      <c r="E28" s="754" t="s">
        <v>2354</v>
      </c>
      <c r="F28" s="754"/>
      <c r="G28" s="755">
        <v>39909</v>
      </c>
      <c r="H28" s="756">
        <v>398000</v>
      </c>
      <c r="I28" s="460"/>
      <c r="J28" s="756">
        <v>0</v>
      </c>
      <c r="K28" s="756">
        <f t="shared" si="0"/>
        <v>398000</v>
      </c>
      <c r="L28" s="757">
        <v>39909</v>
      </c>
      <c r="M28" s="759">
        <v>378099.76721224899</v>
      </c>
      <c r="N28" s="758">
        <f t="shared" si="1"/>
        <v>19900.232787751011</v>
      </c>
      <c r="O28" s="452">
        <f t="shared" si="2"/>
        <v>5474</v>
      </c>
      <c r="P28" s="452">
        <v>8</v>
      </c>
      <c r="Q28" s="453">
        <f t="shared" si="3"/>
        <v>14.997260273972604</v>
      </c>
      <c r="R28" s="453">
        <f t="shared" si="4"/>
        <v>-6.9972602739726035</v>
      </c>
      <c r="S28" s="455">
        <f t="shared" si="5"/>
        <v>0.11874999999999999</v>
      </c>
      <c r="T28" s="759">
        <v>19900</v>
      </c>
      <c r="U28" s="756">
        <f t="shared" si="6"/>
        <v>0.2327877510106191</v>
      </c>
      <c r="V28" s="760"/>
    </row>
    <row r="29" spans="1:22" ht="16.5">
      <c r="A29" s="460">
        <f t="shared" si="7"/>
        <v>22</v>
      </c>
      <c r="B29" s="754" t="s">
        <v>862</v>
      </c>
      <c r="C29" s="754" t="s">
        <v>1610</v>
      </c>
      <c r="D29" s="754" t="s">
        <v>2355</v>
      </c>
      <c r="E29" s="754" t="s">
        <v>2356</v>
      </c>
      <c r="F29" s="754"/>
      <c r="G29" s="755">
        <v>40185</v>
      </c>
      <c r="H29" s="756">
        <v>47000</v>
      </c>
      <c r="I29" s="460"/>
      <c r="J29" s="756">
        <v>0</v>
      </c>
      <c r="K29" s="756">
        <f t="shared" si="0"/>
        <v>47000</v>
      </c>
      <c r="L29" s="757">
        <v>40185</v>
      </c>
      <c r="M29" s="759">
        <v>46999.765673040602</v>
      </c>
      <c r="N29" s="758">
        <f t="shared" si="1"/>
        <v>0.23432695939845871</v>
      </c>
      <c r="O29" s="452">
        <f t="shared" si="2"/>
        <v>5198</v>
      </c>
      <c r="P29" s="452">
        <v>8</v>
      </c>
      <c r="Q29" s="453">
        <f t="shared" si="3"/>
        <v>14.241095890410959</v>
      </c>
      <c r="R29" s="453">
        <f t="shared" si="4"/>
        <v>-6.2410958904109588</v>
      </c>
      <c r="S29" s="455">
        <f t="shared" si="5"/>
        <v>0.11874999999999999</v>
      </c>
      <c r="T29" s="759">
        <v>0</v>
      </c>
      <c r="U29" s="756">
        <f t="shared" si="6"/>
        <v>0.23432695939845871</v>
      </c>
      <c r="V29" s="760"/>
    </row>
    <row r="30" spans="1:22" ht="16.5">
      <c r="A30" s="460">
        <f t="shared" si="7"/>
        <v>23</v>
      </c>
      <c r="B30" s="754" t="s">
        <v>2357</v>
      </c>
      <c r="C30" s="754" t="s">
        <v>1645</v>
      </c>
      <c r="D30" s="754"/>
      <c r="E30" s="754" t="s">
        <v>2245</v>
      </c>
      <c r="F30" s="754"/>
      <c r="G30" s="755">
        <v>40383</v>
      </c>
      <c r="H30" s="756">
        <v>164500</v>
      </c>
      <c r="I30" s="460"/>
      <c r="J30" s="756">
        <v>0</v>
      </c>
      <c r="K30" s="756">
        <f t="shared" si="0"/>
        <v>164500</v>
      </c>
      <c r="L30" s="757">
        <v>40383</v>
      </c>
      <c r="M30" s="759">
        <v>164499.5648532006</v>
      </c>
      <c r="N30" s="758">
        <f t="shared" si="1"/>
        <v>0.43514679939835332</v>
      </c>
      <c r="O30" s="452">
        <f t="shared" si="2"/>
        <v>5000</v>
      </c>
      <c r="P30" s="452">
        <v>8</v>
      </c>
      <c r="Q30" s="453">
        <f t="shared" si="3"/>
        <v>13.698630136986301</v>
      </c>
      <c r="R30" s="453">
        <f t="shared" si="4"/>
        <v>-5.6986301369863011</v>
      </c>
      <c r="S30" s="455">
        <f t="shared" si="5"/>
        <v>0.11874999999999999</v>
      </c>
      <c r="T30" s="759">
        <v>0</v>
      </c>
      <c r="U30" s="756">
        <f t="shared" si="6"/>
        <v>0.43514679939835332</v>
      </c>
      <c r="V30" s="760"/>
    </row>
    <row r="31" spans="1:22" ht="16.5">
      <c r="A31" s="460">
        <f t="shared" si="7"/>
        <v>24</v>
      </c>
      <c r="B31" s="754" t="s">
        <v>2358</v>
      </c>
      <c r="C31" s="754" t="s">
        <v>1645</v>
      </c>
      <c r="D31" s="754"/>
      <c r="E31" s="754" t="s">
        <v>2359</v>
      </c>
      <c r="F31" s="754"/>
      <c r="G31" s="755">
        <v>40609</v>
      </c>
      <c r="H31" s="756">
        <v>496500</v>
      </c>
      <c r="I31" s="460"/>
      <c r="J31" s="756">
        <v>0</v>
      </c>
      <c r="K31" s="756">
        <f t="shared" si="0"/>
        <v>496500</v>
      </c>
      <c r="L31" s="757">
        <v>40609</v>
      </c>
      <c r="M31" s="759">
        <v>481745.54302980215</v>
      </c>
      <c r="N31" s="758">
        <f t="shared" si="1"/>
        <v>14754.456970197847</v>
      </c>
      <c r="O31" s="452">
        <f t="shared" si="2"/>
        <v>4774</v>
      </c>
      <c r="P31" s="452">
        <v>8</v>
      </c>
      <c r="Q31" s="453">
        <f t="shared" si="3"/>
        <v>13.079452054794521</v>
      </c>
      <c r="R31" s="453">
        <f t="shared" si="4"/>
        <v>-5.0794520547945208</v>
      </c>
      <c r="S31" s="455">
        <f t="shared" si="5"/>
        <v>0.11874999999999999</v>
      </c>
      <c r="T31" s="759">
        <v>0</v>
      </c>
      <c r="U31" s="756">
        <f t="shared" si="6"/>
        <v>14754.456970197847</v>
      </c>
      <c r="V31" s="760"/>
    </row>
    <row r="32" spans="1:22" ht="16.5">
      <c r="A32" s="460">
        <f t="shared" si="7"/>
        <v>25</v>
      </c>
      <c r="B32" s="754" t="s">
        <v>862</v>
      </c>
      <c r="C32" s="754" t="s">
        <v>1645</v>
      </c>
      <c r="D32" s="754" t="s">
        <v>2355</v>
      </c>
      <c r="E32" s="754" t="s">
        <v>2360</v>
      </c>
      <c r="F32" s="754"/>
      <c r="G32" s="755">
        <v>40603</v>
      </c>
      <c r="H32" s="756">
        <v>46600</v>
      </c>
      <c r="I32" s="460"/>
      <c r="J32" s="756">
        <v>0</v>
      </c>
      <c r="K32" s="756">
        <f t="shared" si="0"/>
        <v>46600</v>
      </c>
      <c r="L32" s="757">
        <v>40603</v>
      </c>
      <c r="M32" s="759">
        <v>46599.5407550003</v>
      </c>
      <c r="N32" s="758">
        <f t="shared" si="1"/>
        <v>0.45924499969987664</v>
      </c>
      <c r="O32" s="452">
        <f t="shared" si="2"/>
        <v>4780</v>
      </c>
      <c r="P32" s="452">
        <v>8</v>
      </c>
      <c r="Q32" s="453">
        <f t="shared" si="3"/>
        <v>13.095890410958905</v>
      </c>
      <c r="R32" s="453">
        <f t="shared" si="4"/>
        <v>-5.0958904109589049</v>
      </c>
      <c r="S32" s="455">
        <f t="shared" si="5"/>
        <v>0.11874999999999999</v>
      </c>
      <c r="T32" s="759">
        <v>0</v>
      </c>
      <c r="U32" s="756">
        <f t="shared" si="6"/>
        <v>0.45924499969987664</v>
      </c>
      <c r="V32" s="760"/>
    </row>
    <row r="33" spans="1:25" ht="16.5">
      <c r="A33" s="460">
        <f t="shared" si="7"/>
        <v>26</v>
      </c>
      <c r="B33" s="754" t="s">
        <v>548</v>
      </c>
      <c r="C33" s="754" t="s">
        <v>1705</v>
      </c>
      <c r="D33" s="754"/>
      <c r="E33" s="754"/>
      <c r="F33" s="754"/>
      <c r="G33" s="761">
        <v>40808</v>
      </c>
      <c r="H33" s="756">
        <v>517780</v>
      </c>
      <c r="I33" s="460"/>
      <c r="J33" s="756">
        <v>0</v>
      </c>
      <c r="K33" s="756">
        <f t="shared" si="0"/>
        <v>517780</v>
      </c>
      <c r="L33" s="762">
        <v>40808</v>
      </c>
      <c r="M33" s="759">
        <v>491891.56735652901</v>
      </c>
      <c r="N33" s="758">
        <f t="shared" si="1"/>
        <v>25888.432643470995</v>
      </c>
      <c r="O33" s="452">
        <f t="shared" si="2"/>
        <v>4575</v>
      </c>
      <c r="P33" s="452">
        <v>8</v>
      </c>
      <c r="Q33" s="453">
        <f t="shared" si="3"/>
        <v>12.534246575342467</v>
      </c>
      <c r="R33" s="453">
        <f t="shared" si="4"/>
        <v>-4.5342465753424666</v>
      </c>
      <c r="S33" s="455">
        <f t="shared" si="5"/>
        <v>0.11874999999999999</v>
      </c>
      <c r="T33" s="759">
        <v>0</v>
      </c>
      <c r="U33" s="756">
        <f t="shared" si="6"/>
        <v>25888.432643470995</v>
      </c>
      <c r="V33" s="760"/>
    </row>
    <row r="34" spans="1:25" ht="16.5">
      <c r="A34" s="460">
        <f t="shared" si="7"/>
        <v>27</v>
      </c>
      <c r="B34" s="754" t="s">
        <v>2361</v>
      </c>
      <c r="C34" s="754" t="s">
        <v>1705</v>
      </c>
      <c r="D34" s="754"/>
      <c r="E34" s="754" t="s">
        <v>2362</v>
      </c>
      <c r="F34" s="754"/>
      <c r="G34" s="755">
        <v>40779</v>
      </c>
      <c r="H34" s="756">
        <v>642692</v>
      </c>
      <c r="I34" s="460"/>
      <c r="J34" s="756">
        <v>0</v>
      </c>
      <c r="K34" s="756">
        <f t="shared" si="0"/>
        <v>642692</v>
      </c>
      <c r="L34" s="757">
        <v>40779</v>
      </c>
      <c r="M34" s="759">
        <v>610557.40391936805</v>
      </c>
      <c r="N34" s="758">
        <f t="shared" si="1"/>
        <v>32134.596080631949</v>
      </c>
      <c r="O34" s="452">
        <f t="shared" si="2"/>
        <v>4604</v>
      </c>
      <c r="P34" s="452">
        <v>8</v>
      </c>
      <c r="Q34" s="453">
        <f t="shared" si="3"/>
        <v>12.613698630136986</v>
      </c>
      <c r="R34" s="453">
        <f t="shared" si="4"/>
        <v>-4.6136986301369856</v>
      </c>
      <c r="S34" s="455">
        <f t="shared" si="5"/>
        <v>0.11874999999999999</v>
      </c>
      <c r="T34" s="759">
        <v>0</v>
      </c>
      <c r="U34" s="756">
        <f t="shared" si="6"/>
        <v>32134.596080631949</v>
      </c>
      <c r="V34" s="760"/>
    </row>
    <row r="35" spans="1:25" ht="16.5">
      <c r="A35" s="460">
        <f t="shared" si="7"/>
        <v>28</v>
      </c>
      <c r="B35" s="754" t="s">
        <v>2353</v>
      </c>
      <c r="C35" s="754" t="s">
        <v>1705</v>
      </c>
      <c r="D35" s="754"/>
      <c r="E35" s="754"/>
      <c r="F35" s="754"/>
      <c r="G35" s="761">
        <v>40995</v>
      </c>
      <c r="H35" s="756">
        <v>536719</v>
      </c>
      <c r="I35" s="460"/>
      <c r="J35" s="756">
        <v>0</v>
      </c>
      <c r="K35" s="756">
        <f t="shared" si="0"/>
        <v>536719</v>
      </c>
      <c r="L35" s="762">
        <v>40995</v>
      </c>
      <c r="M35" s="759">
        <v>0</v>
      </c>
      <c r="N35" s="758">
        <f t="shared" si="1"/>
        <v>536719</v>
      </c>
      <c r="O35" s="452">
        <f t="shared" si="2"/>
        <v>4388</v>
      </c>
      <c r="P35" s="452">
        <v>8</v>
      </c>
      <c r="Q35" s="453">
        <f t="shared" si="3"/>
        <v>12.021917808219179</v>
      </c>
      <c r="R35" s="453">
        <f t="shared" si="4"/>
        <v>-4.0219178082191789</v>
      </c>
      <c r="S35" s="455">
        <f t="shared" si="5"/>
        <v>0.11874999999999999</v>
      </c>
      <c r="T35" s="759">
        <f t="shared" ref="T35" si="9">+K35*S35</f>
        <v>63735.381249999999</v>
      </c>
      <c r="U35" s="756">
        <f t="shared" si="6"/>
        <v>472983.61875000002</v>
      </c>
      <c r="V35" s="760"/>
    </row>
    <row r="36" spans="1:25" ht="16.5">
      <c r="A36" s="460">
        <f t="shared" si="7"/>
        <v>29</v>
      </c>
      <c r="B36" s="754" t="s">
        <v>862</v>
      </c>
      <c r="C36" s="754" t="s">
        <v>1705</v>
      </c>
      <c r="D36" s="754" t="s">
        <v>2363</v>
      </c>
      <c r="E36" s="754" t="s">
        <v>2364</v>
      </c>
      <c r="F36" s="754"/>
      <c r="G36" s="755">
        <v>40836</v>
      </c>
      <c r="H36" s="756">
        <v>48000</v>
      </c>
      <c r="I36" s="460"/>
      <c r="J36" s="756">
        <v>0</v>
      </c>
      <c r="K36" s="756">
        <f t="shared" si="0"/>
        <v>48000</v>
      </c>
      <c r="L36" s="757">
        <v>40836</v>
      </c>
      <c r="M36" s="759">
        <v>48000.601446930203</v>
      </c>
      <c r="N36" s="758">
        <f t="shared" si="1"/>
        <v>-0.60144693020265549</v>
      </c>
      <c r="O36" s="452">
        <f t="shared" si="2"/>
        <v>4547</v>
      </c>
      <c r="P36" s="452">
        <v>8</v>
      </c>
      <c r="Q36" s="453">
        <f t="shared" si="3"/>
        <v>12.457534246575342</v>
      </c>
      <c r="R36" s="453">
        <f t="shared" si="4"/>
        <v>-4.4575342465753423</v>
      </c>
      <c r="S36" s="455">
        <f t="shared" si="5"/>
        <v>0.11874999999999999</v>
      </c>
      <c r="T36" s="759">
        <v>0</v>
      </c>
      <c r="U36" s="756">
        <f t="shared" si="6"/>
        <v>-0.60144693020265549</v>
      </c>
      <c r="V36" s="760"/>
    </row>
    <row r="37" spans="1:25" ht="16.5">
      <c r="A37" s="460">
        <f t="shared" si="7"/>
        <v>30</v>
      </c>
      <c r="B37" s="754" t="s">
        <v>862</v>
      </c>
      <c r="C37" s="754" t="s">
        <v>1705</v>
      </c>
      <c r="D37" s="754"/>
      <c r="E37" s="754"/>
      <c r="F37" s="754"/>
      <c r="G37" s="761">
        <v>40991</v>
      </c>
      <c r="H37" s="756">
        <v>43426</v>
      </c>
      <c r="I37" s="460"/>
      <c r="J37" s="756">
        <v>0</v>
      </c>
      <c r="K37" s="756">
        <f t="shared" si="0"/>
        <v>43426</v>
      </c>
      <c r="L37" s="762">
        <v>40991</v>
      </c>
      <c r="M37" s="759">
        <v>43426.140425011799</v>
      </c>
      <c r="N37" s="758">
        <f t="shared" si="1"/>
        <v>-0.14042501179937972</v>
      </c>
      <c r="O37" s="452">
        <f t="shared" si="2"/>
        <v>4392</v>
      </c>
      <c r="P37" s="452">
        <v>8</v>
      </c>
      <c r="Q37" s="453">
        <f t="shared" si="3"/>
        <v>12.032876712328767</v>
      </c>
      <c r="R37" s="453">
        <f t="shared" si="4"/>
        <v>-4.0328767123287665</v>
      </c>
      <c r="S37" s="455">
        <f t="shared" si="5"/>
        <v>0.11874999999999999</v>
      </c>
      <c r="T37" s="759">
        <v>0</v>
      </c>
      <c r="U37" s="756">
        <f t="shared" si="6"/>
        <v>-0.14042501179937972</v>
      </c>
      <c r="V37" s="760"/>
    </row>
    <row r="38" spans="1:25" ht="16.5">
      <c r="A38" s="460">
        <f t="shared" si="7"/>
        <v>31</v>
      </c>
      <c r="B38" s="754" t="s">
        <v>2349</v>
      </c>
      <c r="C38" s="754" t="s">
        <v>1746</v>
      </c>
      <c r="D38" s="754" t="s">
        <v>2365</v>
      </c>
      <c r="E38" s="754" t="s">
        <v>2366</v>
      </c>
      <c r="F38" s="754"/>
      <c r="G38" s="755">
        <v>41050</v>
      </c>
      <c r="H38" s="756">
        <v>1672062</v>
      </c>
      <c r="I38" s="460"/>
      <c r="J38" s="756">
        <v>0</v>
      </c>
      <c r="K38" s="756">
        <f t="shared" si="0"/>
        <v>1672062</v>
      </c>
      <c r="L38" s="757">
        <v>41050</v>
      </c>
      <c r="M38" s="759">
        <v>1653617.5210579713</v>
      </c>
      <c r="N38" s="758">
        <f t="shared" si="1"/>
        <v>18444.478942028712</v>
      </c>
      <c r="O38" s="452">
        <f t="shared" si="2"/>
        <v>4333</v>
      </c>
      <c r="P38" s="452">
        <v>8</v>
      </c>
      <c r="Q38" s="453">
        <f t="shared" si="3"/>
        <v>11.871232876712329</v>
      </c>
      <c r="R38" s="453">
        <f t="shared" si="4"/>
        <v>-3.8712328767123285</v>
      </c>
      <c r="S38" s="455">
        <f t="shared" si="5"/>
        <v>0.11874999999999999</v>
      </c>
      <c r="T38" s="759">
        <v>0</v>
      </c>
      <c r="U38" s="756">
        <f t="shared" si="6"/>
        <v>18444.478942028712</v>
      </c>
      <c r="V38" s="760"/>
    </row>
    <row r="39" spans="1:25" ht="16.5">
      <c r="A39" s="460">
        <f t="shared" si="7"/>
        <v>32</v>
      </c>
      <c r="B39" s="754" t="s">
        <v>2349</v>
      </c>
      <c r="C39" s="754" t="s">
        <v>1746</v>
      </c>
      <c r="D39" s="754" t="s">
        <v>2367</v>
      </c>
      <c r="E39" s="754"/>
      <c r="F39" s="754"/>
      <c r="G39" s="755">
        <v>41317</v>
      </c>
      <c r="H39" s="756">
        <v>800000</v>
      </c>
      <c r="I39" s="460"/>
      <c r="J39" s="756">
        <v>0</v>
      </c>
      <c r="K39" s="756">
        <f t="shared" si="0"/>
        <v>800000</v>
      </c>
      <c r="L39" s="757">
        <v>41317</v>
      </c>
      <c r="M39" s="759">
        <v>800000</v>
      </c>
      <c r="N39" s="758">
        <f t="shared" si="1"/>
        <v>0</v>
      </c>
      <c r="O39" s="452">
        <f t="shared" si="2"/>
        <v>4066</v>
      </c>
      <c r="P39" s="452">
        <v>8</v>
      </c>
      <c r="Q39" s="453">
        <f t="shared" si="3"/>
        <v>11.139726027397261</v>
      </c>
      <c r="R39" s="453">
        <f t="shared" si="4"/>
        <v>-3.1397260273972609</v>
      </c>
      <c r="S39" s="455">
        <f t="shared" si="5"/>
        <v>0.11874999999999999</v>
      </c>
      <c r="T39" s="759">
        <v>0</v>
      </c>
      <c r="U39" s="756">
        <f t="shared" si="6"/>
        <v>0</v>
      </c>
      <c r="V39" s="760"/>
    </row>
    <row r="40" spans="1:25" ht="16.5">
      <c r="A40" s="460">
        <f t="shared" si="7"/>
        <v>33</v>
      </c>
      <c r="B40" s="754" t="s">
        <v>2368</v>
      </c>
      <c r="C40" s="754" t="s">
        <v>1796</v>
      </c>
      <c r="D40" s="754"/>
      <c r="E40" s="754"/>
      <c r="F40" s="754"/>
      <c r="G40" s="755">
        <v>41617</v>
      </c>
      <c r="H40" s="756">
        <v>290210</v>
      </c>
      <c r="I40" s="460"/>
      <c r="J40" s="756">
        <v>0</v>
      </c>
      <c r="K40" s="756">
        <f t="shared" si="0"/>
        <v>290210</v>
      </c>
      <c r="L40" s="757">
        <v>41617</v>
      </c>
      <c r="M40" s="759">
        <v>275699.98644765199</v>
      </c>
      <c r="N40" s="758">
        <f t="shared" si="1"/>
        <v>14510.013552348013</v>
      </c>
      <c r="O40" s="452">
        <f t="shared" si="2"/>
        <v>3766</v>
      </c>
      <c r="P40" s="452">
        <v>8</v>
      </c>
      <c r="Q40" s="453">
        <f t="shared" si="3"/>
        <v>10.317808219178081</v>
      </c>
      <c r="R40" s="453">
        <f t="shared" si="4"/>
        <v>-2.3178082191780813</v>
      </c>
      <c r="S40" s="455">
        <f t="shared" si="5"/>
        <v>0.11874999999999999</v>
      </c>
      <c r="T40" s="759">
        <v>0</v>
      </c>
      <c r="U40" s="756">
        <f t="shared" si="6"/>
        <v>14510.013552348013</v>
      </c>
      <c r="V40" s="760"/>
    </row>
    <row r="41" spans="1:25" ht="16.5">
      <c r="A41" s="460">
        <f t="shared" si="7"/>
        <v>34</v>
      </c>
      <c r="B41" s="754" t="s">
        <v>862</v>
      </c>
      <c r="C41" s="754" t="s">
        <v>1796</v>
      </c>
      <c r="D41" s="754" t="s">
        <v>2369</v>
      </c>
      <c r="E41" s="754" t="s">
        <v>2370</v>
      </c>
      <c r="F41" s="754"/>
      <c r="G41" s="755">
        <v>41466</v>
      </c>
      <c r="H41" s="756">
        <v>51000</v>
      </c>
      <c r="I41" s="460"/>
      <c r="J41" s="756">
        <v>0</v>
      </c>
      <c r="K41" s="756">
        <f t="shared" si="0"/>
        <v>51000</v>
      </c>
      <c r="L41" s="757">
        <v>41466</v>
      </c>
      <c r="M41" s="759">
        <v>51000.24652829492</v>
      </c>
      <c r="N41" s="758">
        <f t="shared" si="1"/>
        <v>-0.24652829491969896</v>
      </c>
      <c r="O41" s="452">
        <f t="shared" si="2"/>
        <v>3917</v>
      </c>
      <c r="P41" s="452">
        <v>8</v>
      </c>
      <c r="Q41" s="453">
        <f t="shared" si="3"/>
        <v>10.731506849315069</v>
      </c>
      <c r="R41" s="453">
        <f t="shared" si="4"/>
        <v>-2.7315068493150694</v>
      </c>
      <c r="S41" s="455">
        <f t="shared" si="5"/>
        <v>0.11874999999999999</v>
      </c>
      <c r="T41" s="759">
        <v>0</v>
      </c>
      <c r="U41" s="756">
        <f t="shared" si="6"/>
        <v>-0.24652829491969896</v>
      </c>
      <c r="V41" s="760"/>
    </row>
    <row r="42" spans="1:25" ht="16.5">
      <c r="A42" s="460">
        <f t="shared" si="7"/>
        <v>35</v>
      </c>
      <c r="B42" s="754" t="s">
        <v>862</v>
      </c>
      <c r="C42" s="754" t="s">
        <v>1796</v>
      </c>
      <c r="D42" s="754" t="s">
        <v>2371</v>
      </c>
      <c r="E42" s="754" t="s">
        <v>2372</v>
      </c>
      <c r="F42" s="754"/>
      <c r="G42" s="755">
        <v>41571</v>
      </c>
      <c r="H42" s="756">
        <v>51190</v>
      </c>
      <c r="I42" s="460"/>
      <c r="J42" s="756">
        <v>0</v>
      </c>
      <c r="K42" s="756">
        <f t="shared" si="0"/>
        <v>51190</v>
      </c>
      <c r="L42" s="757">
        <v>41571</v>
      </c>
      <c r="M42" s="759">
        <v>51189.686619014654</v>
      </c>
      <c r="N42" s="758">
        <f t="shared" si="1"/>
        <v>0.3133809853461571</v>
      </c>
      <c r="O42" s="452">
        <f t="shared" si="2"/>
        <v>3812</v>
      </c>
      <c r="P42" s="452">
        <v>8</v>
      </c>
      <c r="Q42" s="453">
        <f t="shared" si="3"/>
        <v>10.443835616438356</v>
      </c>
      <c r="R42" s="453">
        <f t="shared" si="4"/>
        <v>-2.4438356164383563</v>
      </c>
      <c r="S42" s="455">
        <f t="shared" si="5"/>
        <v>0.11874999999999999</v>
      </c>
      <c r="T42" s="759">
        <v>0</v>
      </c>
      <c r="U42" s="756">
        <f t="shared" si="6"/>
        <v>0.3133809853461571</v>
      </c>
      <c r="V42" s="760"/>
    </row>
    <row r="43" spans="1:25" ht="16.5">
      <c r="A43" s="460">
        <f t="shared" si="7"/>
        <v>36</v>
      </c>
      <c r="B43" s="754" t="s">
        <v>862</v>
      </c>
      <c r="C43" s="754" t="s">
        <v>1796</v>
      </c>
      <c r="D43" s="754"/>
      <c r="E43" s="754" t="s">
        <v>2373</v>
      </c>
      <c r="F43" s="754"/>
      <c r="G43" s="755">
        <v>41617</v>
      </c>
      <c r="H43" s="756">
        <v>50117</v>
      </c>
      <c r="I43" s="460"/>
      <c r="J43" s="756">
        <v>0</v>
      </c>
      <c r="K43" s="756">
        <f t="shared" si="0"/>
        <v>50117</v>
      </c>
      <c r="L43" s="757">
        <v>41617</v>
      </c>
      <c r="M43" s="759">
        <v>50116.578804303674</v>
      </c>
      <c r="N43" s="758">
        <f t="shared" si="1"/>
        <v>0.42119569632632192</v>
      </c>
      <c r="O43" s="452">
        <f t="shared" si="2"/>
        <v>3766</v>
      </c>
      <c r="P43" s="452">
        <v>8</v>
      </c>
      <c r="Q43" s="453">
        <f t="shared" si="3"/>
        <v>10.317808219178081</v>
      </c>
      <c r="R43" s="453">
        <f t="shared" si="4"/>
        <v>-2.3178082191780813</v>
      </c>
      <c r="S43" s="455">
        <f t="shared" si="5"/>
        <v>0.11874999999999999</v>
      </c>
      <c r="T43" s="759">
        <v>0</v>
      </c>
      <c r="U43" s="756">
        <f t="shared" si="6"/>
        <v>0.42119569632632192</v>
      </c>
      <c r="V43" s="760"/>
    </row>
    <row r="44" spans="1:25" ht="16.5">
      <c r="A44" s="460">
        <f t="shared" si="7"/>
        <v>37</v>
      </c>
      <c r="B44" s="460" t="s">
        <v>548</v>
      </c>
      <c r="C44" s="754"/>
      <c r="D44" s="754"/>
      <c r="E44" s="754"/>
      <c r="F44" s="763"/>
      <c r="G44" s="763">
        <v>41950</v>
      </c>
      <c r="H44" s="756">
        <v>665025</v>
      </c>
      <c r="I44" s="460"/>
      <c r="J44" s="756">
        <v>0</v>
      </c>
      <c r="K44" s="756">
        <f t="shared" si="0"/>
        <v>665025</v>
      </c>
      <c r="L44" s="763">
        <v>41950</v>
      </c>
      <c r="M44" s="759">
        <v>631772.78086960874</v>
      </c>
      <c r="N44" s="758">
        <f t="shared" si="1"/>
        <v>33252.219130391255</v>
      </c>
      <c r="O44" s="452">
        <f t="shared" si="2"/>
        <v>3433</v>
      </c>
      <c r="P44" s="452">
        <v>8</v>
      </c>
      <c r="Q44" s="453">
        <f t="shared" si="3"/>
        <v>9.4054794520547951</v>
      </c>
      <c r="R44" s="453">
        <f t="shared" si="4"/>
        <v>-1.4054794520547951</v>
      </c>
      <c r="S44" s="455">
        <f t="shared" si="5"/>
        <v>0.11874999999999999</v>
      </c>
      <c r="T44" s="759">
        <v>0</v>
      </c>
      <c r="U44" s="756">
        <f t="shared" si="6"/>
        <v>33252.219130391255</v>
      </c>
      <c r="V44" s="760"/>
    </row>
    <row r="45" spans="1:25" ht="16.5">
      <c r="A45" s="460">
        <f t="shared" si="7"/>
        <v>38</v>
      </c>
      <c r="B45" s="473" t="s">
        <v>2374</v>
      </c>
      <c r="C45" s="764"/>
      <c r="D45" s="764"/>
      <c r="E45" s="764"/>
      <c r="F45" s="765"/>
      <c r="G45" s="765">
        <v>41950</v>
      </c>
      <c r="H45" s="766">
        <v>1554250</v>
      </c>
      <c r="I45" s="473"/>
      <c r="J45" s="766">
        <v>0</v>
      </c>
      <c r="K45" s="766">
        <f t="shared" si="0"/>
        <v>1554250</v>
      </c>
      <c r="L45" s="765">
        <v>41950</v>
      </c>
      <c r="M45" s="759">
        <v>1506405.9193019471</v>
      </c>
      <c r="N45" s="758">
        <f t="shared" si="1"/>
        <v>47844.080698052887</v>
      </c>
      <c r="O45" s="474">
        <f t="shared" si="2"/>
        <v>3433</v>
      </c>
      <c r="P45" s="474">
        <v>8</v>
      </c>
      <c r="Q45" s="475">
        <f t="shared" si="3"/>
        <v>9.4054794520547951</v>
      </c>
      <c r="R45" s="475">
        <f t="shared" si="4"/>
        <v>-1.4054794520547951</v>
      </c>
      <c r="S45" s="476">
        <f>1/P45*0.95</f>
        <v>0.11874999999999999</v>
      </c>
      <c r="T45" s="759">
        <v>29869</v>
      </c>
      <c r="U45" s="766">
        <f t="shared" si="6"/>
        <v>17975.080698052887</v>
      </c>
      <c r="V45" s="767"/>
      <c r="W45" s="477"/>
      <c r="X45" s="477"/>
      <c r="Y45" s="477"/>
    </row>
    <row r="46" spans="1:25" ht="16.5">
      <c r="A46" s="460">
        <f t="shared" si="7"/>
        <v>39</v>
      </c>
      <c r="B46" s="460" t="s">
        <v>2375</v>
      </c>
      <c r="C46" s="754"/>
      <c r="D46" s="754"/>
      <c r="E46" s="754"/>
      <c r="F46" s="763"/>
      <c r="G46" s="763">
        <v>41971</v>
      </c>
      <c r="H46" s="756">
        <v>57351</v>
      </c>
      <c r="I46" s="460"/>
      <c r="J46" s="756">
        <v>0</v>
      </c>
      <c r="K46" s="756">
        <f t="shared" si="0"/>
        <v>57351</v>
      </c>
      <c r="L46" s="763">
        <v>41971</v>
      </c>
      <c r="M46" s="759">
        <v>56795.061434139825</v>
      </c>
      <c r="N46" s="758">
        <f t="shared" si="1"/>
        <v>555.938565860175</v>
      </c>
      <c r="O46" s="452">
        <f t="shared" si="2"/>
        <v>3412</v>
      </c>
      <c r="P46" s="452">
        <v>8</v>
      </c>
      <c r="Q46" s="453">
        <f t="shared" si="3"/>
        <v>9.3479452054794514</v>
      </c>
      <c r="R46" s="453">
        <f t="shared" si="4"/>
        <v>-1.3479452054794514</v>
      </c>
      <c r="S46" s="455">
        <f t="shared" si="5"/>
        <v>0.11874999999999999</v>
      </c>
      <c r="T46" s="759">
        <v>556</v>
      </c>
      <c r="U46" s="756">
        <f t="shared" si="6"/>
        <v>-6.1434139824996237E-2</v>
      </c>
      <c r="V46" s="760"/>
    </row>
    <row r="47" spans="1:25" ht="16.5">
      <c r="A47" s="460">
        <f t="shared" si="7"/>
        <v>40</v>
      </c>
      <c r="B47" s="460" t="s">
        <v>2376</v>
      </c>
      <c r="C47" s="754"/>
      <c r="D47" s="754"/>
      <c r="E47" s="754"/>
      <c r="F47" s="763"/>
      <c r="G47" s="763">
        <v>41977</v>
      </c>
      <c r="H47" s="756">
        <f>49197+2098</f>
        <v>51295</v>
      </c>
      <c r="I47" s="460"/>
      <c r="J47" s="756">
        <v>0</v>
      </c>
      <c r="K47" s="756">
        <f t="shared" si="0"/>
        <v>51295</v>
      </c>
      <c r="L47" s="763">
        <v>41977</v>
      </c>
      <c r="M47" s="759">
        <v>50697.758467786305</v>
      </c>
      <c r="N47" s="758">
        <f t="shared" si="1"/>
        <v>597.24153221369488</v>
      </c>
      <c r="O47" s="452">
        <f t="shared" si="2"/>
        <v>3406</v>
      </c>
      <c r="P47" s="452">
        <v>8</v>
      </c>
      <c r="Q47" s="453">
        <f t="shared" si="3"/>
        <v>9.331506849315069</v>
      </c>
      <c r="R47" s="453">
        <f t="shared" si="4"/>
        <v>-1.331506849315069</v>
      </c>
      <c r="S47" s="455">
        <f t="shared" si="5"/>
        <v>0.11874999999999999</v>
      </c>
      <c r="T47" s="759">
        <v>597</v>
      </c>
      <c r="U47" s="756">
        <f t="shared" si="6"/>
        <v>0.24153221369488165</v>
      </c>
      <c r="V47" s="760"/>
    </row>
    <row r="48" spans="1:25" ht="16.5">
      <c r="A48" s="460">
        <f t="shared" si="7"/>
        <v>41</v>
      </c>
      <c r="B48" s="460" t="s">
        <v>2375</v>
      </c>
      <c r="C48" s="754"/>
      <c r="D48" s="754"/>
      <c r="E48" s="754"/>
      <c r="F48" s="763"/>
      <c r="G48" s="763">
        <v>41977</v>
      </c>
      <c r="H48" s="756">
        <f>49197+6176</f>
        <v>55373</v>
      </c>
      <c r="I48" s="460"/>
      <c r="J48" s="756">
        <v>0</v>
      </c>
      <c r="K48" s="756">
        <f t="shared" si="0"/>
        <v>55373</v>
      </c>
      <c r="L48" s="763">
        <v>41977</v>
      </c>
      <c r="M48" s="759">
        <v>54728.070967786291</v>
      </c>
      <c r="N48" s="758">
        <f t="shared" si="1"/>
        <v>644.92903221370943</v>
      </c>
      <c r="O48" s="452">
        <f t="shared" si="2"/>
        <v>3406</v>
      </c>
      <c r="P48" s="452">
        <v>8</v>
      </c>
      <c r="Q48" s="453">
        <f t="shared" si="3"/>
        <v>9.331506849315069</v>
      </c>
      <c r="R48" s="453">
        <f t="shared" si="4"/>
        <v>-1.331506849315069</v>
      </c>
      <c r="S48" s="455">
        <f t="shared" si="5"/>
        <v>0.11874999999999999</v>
      </c>
      <c r="T48" s="759">
        <v>645</v>
      </c>
      <c r="U48" s="756">
        <f t="shared" si="6"/>
        <v>-7.0967786290566437E-2</v>
      </c>
      <c r="V48" s="760"/>
    </row>
    <row r="49" spans="1:22" ht="16.5">
      <c r="A49" s="460">
        <f t="shared" si="7"/>
        <v>42</v>
      </c>
      <c r="B49" s="460" t="s">
        <v>2375</v>
      </c>
      <c r="C49" s="754"/>
      <c r="D49" s="754"/>
      <c r="E49" s="754"/>
      <c r="F49" s="763"/>
      <c r="G49" s="763">
        <v>41977</v>
      </c>
      <c r="H49" s="756">
        <f>49197+3762</f>
        <v>52959</v>
      </c>
      <c r="I49" s="460"/>
      <c r="J49" s="756">
        <v>0</v>
      </c>
      <c r="K49" s="756">
        <f t="shared" si="0"/>
        <v>52959</v>
      </c>
      <c r="L49" s="763">
        <v>41977</v>
      </c>
      <c r="M49" s="759">
        <v>52341.758467786298</v>
      </c>
      <c r="N49" s="758">
        <f t="shared" si="1"/>
        <v>617.24153221370216</v>
      </c>
      <c r="O49" s="452">
        <f t="shared" si="2"/>
        <v>3406</v>
      </c>
      <c r="P49" s="452">
        <v>8</v>
      </c>
      <c r="Q49" s="453">
        <f t="shared" si="3"/>
        <v>9.331506849315069</v>
      </c>
      <c r="R49" s="453">
        <f t="shared" si="4"/>
        <v>-1.331506849315069</v>
      </c>
      <c r="S49" s="455">
        <f t="shared" si="5"/>
        <v>0.11874999999999999</v>
      </c>
      <c r="T49" s="759">
        <v>617</v>
      </c>
      <c r="U49" s="756">
        <f t="shared" si="6"/>
        <v>0.24153221370215761</v>
      </c>
      <c r="V49" s="760"/>
    </row>
    <row r="50" spans="1:22" ht="16.5">
      <c r="A50" s="460">
        <f t="shared" si="7"/>
        <v>43</v>
      </c>
      <c r="B50" s="460" t="s">
        <v>2377</v>
      </c>
      <c r="C50" s="754"/>
      <c r="D50" s="754"/>
      <c r="E50" s="754"/>
      <c r="F50" s="763"/>
      <c r="G50" s="763">
        <v>42025</v>
      </c>
      <c r="H50" s="756">
        <v>58000</v>
      </c>
      <c r="I50" s="460"/>
      <c r="J50" s="756">
        <v>0</v>
      </c>
      <c r="K50" s="756">
        <f t="shared" si="0"/>
        <v>58000</v>
      </c>
      <c r="L50" s="763">
        <v>42025</v>
      </c>
      <c r="M50" s="759">
        <v>56418.829430555263</v>
      </c>
      <c r="N50" s="758">
        <f t="shared" si="1"/>
        <v>1581.1705694447373</v>
      </c>
      <c r="O50" s="452">
        <f t="shared" si="2"/>
        <v>3358</v>
      </c>
      <c r="P50" s="452">
        <v>8</v>
      </c>
      <c r="Q50" s="453">
        <f t="shared" si="3"/>
        <v>9.1999999999999993</v>
      </c>
      <c r="R50" s="453">
        <f t="shared" si="4"/>
        <v>-1.1999999999999993</v>
      </c>
      <c r="S50" s="455">
        <f t="shared" si="5"/>
        <v>0.11874999999999999</v>
      </c>
      <c r="T50" s="759">
        <v>1581</v>
      </c>
      <c r="U50" s="756">
        <f t="shared" si="6"/>
        <v>0.17056944473733893</v>
      </c>
      <c r="V50" s="760"/>
    </row>
    <row r="51" spans="1:22" ht="16.5">
      <c r="A51" s="460">
        <f t="shared" si="7"/>
        <v>44</v>
      </c>
      <c r="B51" s="460" t="s">
        <v>2378</v>
      </c>
      <c r="C51" s="754"/>
      <c r="D51" s="754"/>
      <c r="E51" s="754"/>
      <c r="F51" s="763"/>
      <c r="G51" s="763">
        <v>42094</v>
      </c>
      <c r="H51" s="756">
        <v>104320</v>
      </c>
      <c r="I51" s="460"/>
      <c r="J51" s="756">
        <v>0</v>
      </c>
      <c r="K51" s="756">
        <f t="shared" si="0"/>
        <v>104320</v>
      </c>
      <c r="L51" s="763">
        <v>42094</v>
      </c>
      <c r="M51" s="759">
        <v>99134.303564111091</v>
      </c>
      <c r="N51" s="758">
        <f t="shared" si="1"/>
        <v>5185.696435888909</v>
      </c>
      <c r="O51" s="452">
        <f t="shared" si="2"/>
        <v>3289</v>
      </c>
      <c r="P51" s="452">
        <v>8</v>
      </c>
      <c r="Q51" s="453">
        <f t="shared" si="3"/>
        <v>9.0109589041095894</v>
      </c>
      <c r="R51" s="453">
        <f t="shared" si="4"/>
        <v>-1.0109589041095894</v>
      </c>
      <c r="S51" s="455">
        <f t="shared" si="5"/>
        <v>0.11874999999999999</v>
      </c>
      <c r="T51" s="759">
        <v>0</v>
      </c>
      <c r="U51" s="756">
        <f t="shared" si="6"/>
        <v>5185.696435888909</v>
      </c>
      <c r="V51" s="760"/>
    </row>
    <row r="52" spans="1:22" ht="16.5">
      <c r="A52" s="460">
        <f t="shared" si="7"/>
        <v>45</v>
      </c>
      <c r="B52" s="460" t="s">
        <v>2379</v>
      </c>
      <c r="C52" s="754"/>
      <c r="D52" s="754"/>
      <c r="E52" s="754"/>
      <c r="F52" s="763"/>
      <c r="G52" s="763">
        <v>42055</v>
      </c>
      <c r="H52" s="756">
        <v>62300</v>
      </c>
      <c r="I52" s="460"/>
      <c r="J52" s="756">
        <v>0</v>
      </c>
      <c r="K52" s="756">
        <f t="shared" si="0"/>
        <v>62300</v>
      </c>
      <c r="L52" s="763">
        <v>42055</v>
      </c>
      <c r="M52" s="759">
        <v>59993.558200480213</v>
      </c>
      <c r="N52" s="758">
        <f t="shared" si="1"/>
        <v>2306.4417995197873</v>
      </c>
      <c r="O52" s="452">
        <f t="shared" si="2"/>
        <v>3328</v>
      </c>
      <c r="P52" s="452">
        <v>8</v>
      </c>
      <c r="Q52" s="453">
        <f t="shared" si="3"/>
        <v>9.117808219178082</v>
      </c>
      <c r="R52" s="453">
        <f t="shared" si="4"/>
        <v>-1.117808219178082</v>
      </c>
      <c r="S52" s="455">
        <f t="shared" si="5"/>
        <v>0.11874999999999999</v>
      </c>
      <c r="T52" s="759">
        <v>0</v>
      </c>
      <c r="U52" s="756">
        <f t="shared" si="6"/>
        <v>2306.4417995197873</v>
      </c>
      <c r="V52" s="760"/>
    </row>
    <row r="53" spans="1:22" ht="16.5">
      <c r="A53" s="460">
        <f t="shared" si="7"/>
        <v>46</v>
      </c>
      <c r="B53" s="462" t="s">
        <v>548</v>
      </c>
      <c r="C53" s="754"/>
      <c r="D53" s="754"/>
      <c r="E53" s="754"/>
      <c r="F53" s="463"/>
      <c r="G53" s="463">
        <v>42338</v>
      </c>
      <c r="H53" s="756">
        <v>739661</v>
      </c>
      <c r="I53" s="460"/>
      <c r="J53" s="756">
        <v>0</v>
      </c>
      <c r="K53" s="756">
        <f t="shared" si="0"/>
        <v>739661</v>
      </c>
      <c r="L53" s="463">
        <v>42338</v>
      </c>
      <c r="M53" s="759">
        <v>644410.91970390431</v>
      </c>
      <c r="N53" s="758">
        <f t="shared" si="1"/>
        <v>95250.080296095693</v>
      </c>
      <c r="O53" s="452">
        <f t="shared" si="2"/>
        <v>3045</v>
      </c>
      <c r="P53" s="452">
        <v>8</v>
      </c>
      <c r="Q53" s="453">
        <f t="shared" si="3"/>
        <v>8.3424657534246567</v>
      </c>
      <c r="R53" s="453">
        <f t="shared" si="4"/>
        <v>-0.34246575342465668</v>
      </c>
      <c r="S53" s="455">
        <f t="shared" si="5"/>
        <v>0.11874999999999999</v>
      </c>
      <c r="T53" s="759">
        <f t="shared" ref="T53:T109" si="10">+K53*S53</f>
        <v>87834.743749999994</v>
      </c>
      <c r="U53" s="756">
        <f t="shared" si="6"/>
        <v>7415.3365460956993</v>
      </c>
      <c r="V53" s="760"/>
    </row>
    <row r="54" spans="1:22" ht="16.5">
      <c r="A54" s="460">
        <f t="shared" si="7"/>
        <v>47</v>
      </c>
      <c r="B54" s="462" t="s">
        <v>548</v>
      </c>
      <c r="C54" s="754"/>
      <c r="D54" s="754"/>
      <c r="E54" s="754"/>
      <c r="F54" s="463"/>
      <c r="G54" s="463">
        <v>42338</v>
      </c>
      <c r="H54" s="756">
        <v>739661</v>
      </c>
      <c r="I54" s="460"/>
      <c r="J54" s="756">
        <v>0</v>
      </c>
      <c r="K54" s="756">
        <f t="shared" si="0"/>
        <v>739661</v>
      </c>
      <c r="L54" s="463">
        <v>42338</v>
      </c>
      <c r="M54" s="759">
        <v>644410.91970390431</v>
      </c>
      <c r="N54" s="758">
        <f t="shared" si="1"/>
        <v>95250.080296095693</v>
      </c>
      <c r="O54" s="452">
        <f t="shared" si="2"/>
        <v>3045</v>
      </c>
      <c r="P54" s="452">
        <v>8</v>
      </c>
      <c r="Q54" s="453">
        <f t="shared" si="3"/>
        <v>8.3424657534246567</v>
      </c>
      <c r="R54" s="453">
        <f t="shared" si="4"/>
        <v>-0.34246575342465668</v>
      </c>
      <c r="S54" s="455">
        <f t="shared" si="5"/>
        <v>0.11874999999999999</v>
      </c>
      <c r="T54" s="759">
        <f t="shared" si="10"/>
        <v>87834.743749999994</v>
      </c>
      <c r="U54" s="756">
        <f t="shared" si="6"/>
        <v>7415.3365460956993</v>
      </c>
      <c r="V54" s="760"/>
    </row>
    <row r="55" spans="1:22" ht="16.5">
      <c r="A55" s="460">
        <f t="shared" si="7"/>
        <v>48</v>
      </c>
      <c r="B55" s="462" t="s">
        <v>2380</v>
      </c>
      <c r="C55" s="754"/>
      <c r="D55" s="754"/>
      <c r="E55" s="754"/>
      <c r="F55" s="463"/>
      <c r="G55" s="463">
        <v>42247</v>
      </c>
      <c r="H55" s="756">
        <v>643355</v>
      </c>
      <c r="I55" s="460"/>
      <c r="J55" s="756">
        <v>0</v>
      </c>
      <c r="K55" s="756">
        <f t="shared" si="0"/>
        <v>643355</v>
      </c>
      <c r="L55" s="463">
        <v>42247</v>
      </c>
      <c r="M55" s="759">
        <v>579553.11145324656</v>
      </c>
      <c r="N55" s="758">
        <f t="shared" si="1"/>
        <v>63801.888546753442</v>
      </c>
      <c r="O55" s="452">
        <f t="shared" si="2"/>
        <v>3136</v>
      </c>
      <c r="P55" s="452">
        <v>8</v>
      </c>
      <c r="Q55" s="453">
        <f t="shared" si="3"/>
        <v>8.5917808219178085</v>
      </c>
      <c r="R55" s="453">
        <f t="shared" si="4"/>
        <v>-0.59178082191780845</v>
      </c>
      <c r="S55" s="455">
        <f t="shared" si="5"/>
        <v>0.11874999999999999</v>
      </c>
      <c r="T55" s="759">
        <v>0</v>
      </c>
      <c r="U55" s="756">
        <f t="shared" si="6"/>
        <v>63801.888546753442</v>
      </c>
      <c r="V55" s="760"/>
    </row>
    <row r="56" spans="1:22" ht="16.5">
      <c r="A56" s="460">
        <f t="shared" si="7"/>
        <v>49</v>
      </c>
      <c r="B56" s="462" t="s">
        <v>2381</v>
      </c>
      <c r="C56" s="754"/>
      <c r="D56" s="754"/>
      <c r="E56" s="754"/>
      <c r="F56" s="463"/>
      <c r="G56" s="463">
        <v>42302</v>
      </c>
      <c r="H56" s="756">
        <v>1698552</v>
      </c>
      <c r="I56" s="460"/>
      <c r="J56" s="756">
        <v>0</v>
      </c>
      <c r="K56" s="756">
        <f t="shared" si="0"/>
        <v>1698552</v>
      </c>
      <c r="L56" s="463">
        <v>42302</v>
      </c>
      <c r="M56" s="759">
        <v>1299713.48635012</v>
      </c>
      <c r="N56" s="758">
        <f t="shared" si="1"/>
        <v>398838.51364987995</v>
      </c>
      <c r="O56" s="452">
        <f t="shared" si="2"/>
        <v>3081</v>
      </c>
      <c r="P56" s="452">
        <v>8</v>
      </c>
      <c r="Q56" s="453">
        <f t="shared" si="3"/>
        <v>8.4410958904109581</v>
      </c>
      <c r="R56" s="453">
        <f t="shared" si="4"/>
        <v>-0.44109589041095809</v>
      </c>
      <c r="S56" s="455">
        <f t="shared" si="5"/>
        <v>0.11874999999999999</v>
      </c>
      <c r="T56" s="759">
        <f t="shared" si="10"/>
        <v>201703.05</v>
      </c>
      <c r="U56" s="756">
        <f t="shared" si="6"/>
        <v>197135.46364987997</v>
      </c>
      <c r="V56" s="760"/>
    </row>
    <row r="57" spans="1:22" ht="16.5">
      <c r="A57" s="460">
        <f t="shared" si="7"/>
        <v>50</v>
      </c>
      <c r="B57" s="462" t="s">
        <v>2375</v>
      </c>
      <c r="C57" s="754"/>
      <c r="D57" s="754"/>
      <c r="E57" s="754"/>
      <c r="F57" s="463"/>
      <c r="G57" s="463">
        <v>42224</v>
      </c>
      <c r="H57" s="756">
        <v>55870</v>
      </c>
      <c r="I57" s="460"/>
      <c r="J57" s="756">
        <v>0</v>
      </c>
      <c r="K57" s="756">
        <f t="shared" si="0"/>
        <v>55870</v>
      </c>
      <c r="L57" s="463">
        <v>42224</v>
      </c>
      <c r="M57" s="759">
        <v>50747.387010480677</v>
      </c>
      <c r="N57" s="758">
        <f t="shared" si="1"/>
        <v>5122.6129895193226</v>
      </c>
      <c r="O57" s="452">
        <f t="shared" si="2"/>
        <v>3159</v>
      </c>
      <c r="P57" s="452">
        <v>8</v>
      </c>
      <c r="Q57" s="453">
        <f t="shared" si="3"/>
        <v>8.6547945205479451</v>
      </c>
      <c r="R57" s="453">
        <f t="shared" si="4"/>
        <v>-0.65479452054794507</v>
      </c>
      <c r="S57" s="455">
        <f t="shared" si="5"/>
        <v>0.11874999999999999</v>
      </c>
      <c r="T57" s="759">
        <v>0</v>
      </c>
      <c r="U57" s="756">
        <f t="shared" si="6"/>
        <v>5122.6129895193226</v>
      </c>
      <c r="V57" s="760"/>
    </row>
    <row r="58" spans="1:22" ht="16.5">
      <c r="A58" s="460">
        <f t="shared" si="7"/>
        <v>51</v>
      </c>
      <c r="B58" s="462" t="s">
        <v>2375</v>
      </c>
      <c r="C58" s="754"/>
      <c r="D58" s="754"/>
      <c r="E58" s="754"/>
      <c r="F58" s="463"/>
      <c r="G58" s="463">
        <v>42398</v>
      </c>
      <c r="H58" s="756">
        <v>55970</v>
      </c>
      <c r="I58" s="460"/>
      <c r="J58" s="756">
        <v>0</v>
      </c>
      <c r="K58" s="756">
        <f t="shared" si="0"/>
        <v>55970</v>
      </c>
      <c r="L58" s="463">
        <v>42398</v>
      </c>
      <c r="M58" s="759">
        <v>47669.930266459443</v>
      </c>
      <c r="N58" s="758">
        <f t="shared" si="1"/>
        <v>8300.0697335405566</v>
      </c>
      <c r="O58" s="452">
        <f t="shared" si="2"/>
        <v>2985</v>
      </c>
      <c r="P58" s="452">
        <v>8</v>
      </c>
      <c r="Q58" s="453">
        <f t="shared" si="3"/>
        <v>8.1780821917808222</v>
      </c>
      <c r="R58" s="453">
        <f t="shared" si="4"/>
        <v>-0.17808219178082219</v>
      </c>
      <c r="S58" s="455">
        <f t="shared" si="5"/>
        <v>0.11874999999999999</v>
      </c>
      <c r="T58" s="759">
        <v>0</v>
      </c>
      <c r="U58" s="756">
        <f t="shared" si="6"/>
        <v>8300.0697335405566</v>
      </c>
      <c r="V58" s="760"/>
    </row>
    <row r="59" spans="1:22" ht="16.5">
      <c r="A59" s="460">
        <f t="shared" si="7"/>
        <v>52</v>
      </c>
      <c r="B59" s="462" t="s">
        <v>2375</v>
      </c>
      <c r="C59" s="754"/>
      <c r="D59" s="754"/>
      <c r="E59" s="754"/>
      <c r="F59" s="463"/>
      <c r="G59" s="463">
        <v>42154</v>
      </c>
      <c r="H59" s="756">
        <v>51669</v>
      </c>
      <c r="I59" s="460"/>
      <c r="J59" s="756">
        <v>0</v>
      </c>
      <c r="K59" s="756">
        <f t="shared" si="0"/>
        <v>51669</v>
      </c>
      <c r="L59" s="463">
        <v>42154</v>
      </c>
      <c r="M59" s="759">
        <v>48108.215804735562</v>
      </c>
      <c r="N59" s="758">
        <f t="shared" si="1"/>
        <v>3560.7841952644376</v>
      </c>
      <c r="O59" s="452">
        <f t="shared" si="2"/>
        <v>3229</v>
      </c>
      <c r="P59" s="452">
        <v>8</v>
      </c>
      <c r="Q59" s="453">
        <f t="shared" si="3"/>
        <v>8.8465753424657532</v>
      </c>
      <c r="R59" s="453">
        <f t="shared" si="4"/>
        <v>-0.84657534246575317</v>
      </c>
      <c r="S59" s="455">
        <f t="shared" si="5"/>
        <v>0.11874999999999999</v>
      </c>
      <c r="T59" s="759">
        <v>0</v>
      </c>
      <c r="U59" s="756">
        <f t="shared" si="6"/>
        <v>3560.7841952644376</v>
      </c>
      <c r="V59" s="760"/>
    </row>
    <row r="60" spans="1:22" ht="16.5">
      <c r="A60" s="460">
        <f t="shared" si="7"/>
        <v>53</v>
      </c>
      <c r="B60" s="462" t="s">
        <v>2375</v>
      </c>
      <c r="C60" s="754"/>
      <c r="D60" s="754"/>
      <c r="E60" s="754"/>
      <c r="F60" s="463"/>
      <c r="G60" s="463">
        <v>42154</v>
      </c>
      <c r="H60" s="756">
        <v>51669</v>
      </c>
      <c r="I60" s="460"/>
      <c r="J60" s="756">
        <v>0</v>
      </c>
      <c r="K60" s="756">
        <f t="shared" si="0"/>
        <v>51669</v>
      </c>
      <c r="L60" s="463">
        <v>42154</v>
      </c>
      <c r="M60" s="759">
        <v>48108.215804735562</v>
      </c>
      <c r="N60" s="758">
        <f t="shared" si="1"/>
        <v>3560.7841952644376</v>
      </c>
      <c r="O60" s="452">
        <f t="shared" si="2"/>
        <v>3229</v>
      </c>
      <c r="P60" s="452">
        <v>8</v>
      </c>
      <c r="Q60" s="453">
        <f t="shared" si="3"/>
        <v>8.8465753424657532</v>
      </c>
      <c r="R60" s="453">
        <f t="shared" si="4"/>
        <v>-0.84657534246575317</v>
      </c>
      <c r="S60" s="455">
        <f t="shared" si="5"/>
        <v>0.11874999999999999</v>
      </c>
      <c r="T60" s="759">
        <v>0</v>
      </c>
      <c r="U60" s="756">
        <f t="shared" si="6"/>
        <v>3560.7841952644376</v>
      </c>
      <c r="V60" s="760"/>
    </row>
    <row r="61" spans="1:22" ht="16.5">
      <c r="A61" s="460">
        <f t="shared" si="7"/>
        <v>54</v>
      </c>
      <c r="B61" s="462" t="s">
        <v>2375</v>
      </c>
      <c r="C61" s="754"/>
      <c r="D61" s="754"/>
      <c r="E61" s="754"/>
      <c r="F61" s="463"/>
      <c r="G61" s="463">
        <v>42154</v>
      </c>
      <c r="H61" s="756">
        <v>51669</v>
      </c>
      <c r="I61" s="460"/>
      <c r="J61" s="756">
        <v>0</v>
      </c>
      <c r="K61" s="756">
        <f t="shared" si="0"/>
        <v>51669</v>
      </c>
      <c r="L61" s="463">
        <v>42154</v>
      </c>
      <c r="M61" s="759">
        <v>48108.215804735562</v>
      </c>
      <c r="N61" s="758">
        <f t="shared" si="1"/>
        <v>3560.7841952644376</v>
      </c>
      <c r="O61" s="452">
        <f t="shared" si="2"/>
        <v>3229</v>
      </c>
      <c r="P61" s="452">
        <v>8</v>
      </c>
      <c r="Q61" s="453">
        <f t="shared" si="3"/>
        <v>8.8465753424657532</v>
      </c>
      <c r="R61" s="453">
        <f t="shared" si="4"/>
        <v>-0.84657534246575317</v>
      </c>
      <c r="S61" s="455">
        <f t="shared" si="5"/>
        <v>0.11874999999999999</v>
      </c>
      <c r="T61" s="759">
        <v>0</v>
      </c>
      <c r="U61" s="756">
        <f t="shared" si="6"/>
        <v>3560.7841952644376</v>
      </c>
      <c r="V61" s="760"/>
    </row>
    <row r="62" spans="1:22" ht="16.5">
      <c r="A62" s="460">
        <f t="shared" si="7"/>
        <v>55</v>
      </c>
      <c r="B62" s="462" t="s">
        <v>2375</v>
      </c>
      <c r="C62" s="754"/>
      <c r="D62" s="754"/>
      <c r="E62" s="754"/>
      <c r="F62" s="463"/>
      <c r="G62" s="463">
        <v>42165</v>
      </c>
      <c r="H62" s="756">
        <v>51669</v>
      </c>
      <c r="I62" s="460"/>
      <c r="J62" s="756">
        <v>0</v>
      </c>
      <c r="K62" s="756">
        <f t="shared" si="0"/>
        <v>51669</v>
      </c>
      <c r="L62" s="463">
        <v>42165</v>
      </c>
      <c r="M62" s="759">
        <v>47923.31432230919</v>
      </c>
      <c r="N62" s="758">
        <f t="shared" si="1"/>
        <v>3745.6856776908098</v>
      </c>
      <c r="O62" s="452">
        <f t="shared" si="2"/>
        <v>3218</v>
      </c>
      <c r="P62" s="452">
        <v>8</v>
      </c>
      <c r="Q62" s="453">
        <f t="shared" si="3"/>
        <v>8.8164383561643831</v>
      </c>
      <c r="R62" s="453">
        <f t="shared" si="4"/>
        <v>-0.81643835616438309</v>
      </c>
      <c r="S62" s="455">
        <f t="shared" si="5"/>
        <v>0.11874999999999999</v>
      </c>
      <c r="T62" s="759">
        <v>0</v>
      </c>
      <c r="U62" s="756">
        <f t="shared" si="6"/>
        <v>3745.6856776908098</v>
      </c>
      <c r="V62" s="760"/>
    </row>
    <row r="63" spans="1:22" ht="16.5">
      <c r="A63" s="460">
        <f t="shared" si="7"/>
        <v>56</v>
      </c>
      <c r="B63" s="462" t="s">
        <v>2375</v>
      </c>
      <c r="C63" s="754"/>
      <c r="D63" s="754"/>
      <c r="E63" s="754"/>
      <c r="F63" s="463"/>
      <c r="G63" s="463">
        <v>42165</v>
      </c>
      <c r="H63" s="756">
        <v>51669</v>
      </c>
      <c r="I63" s="460"/>
      <c r="J63" s="756">
        <v>0</v>
      </c>
      <c r="K63" s="756">
        <f t="shared" si="0"/>
        <v>51669</v>
      </c>
      <c r="L63" s="463">
        <v>42165</v>
      </c>
      <c r="M63" s="759">
        <v>47923.31432230919</v>
      </c>
      <c r="N63" s="758">
        <f t="shared" si="1"/>
        <v>3745.6856776908098</v>
      </c>
      <c r="O63" s="452">
        <f t="shared" si="2"/>
        <v>3218</v>
      </c>
      <c r="P63" s="452">
        <v>8</v>
      </c>
      <c r="Q63" s="453">
        <f t="shared" si="3"/>
        <v>8.8164383561643831</v>
      </c>
      <c r="R63" s="453">
        <f t="shared" si="4"/>
        <v>-0.81643835616438309</v>
      </c>
      <c r="S63" s="455">
        <f t="shared" si="5"/>
        <v>0.11874999999999999</v>
      </c>
      <c r="T63" s="759">
        <v>0</v>
      </c>
      <c r="U63" s="756">
        <f t="shared" si="6"/>
        <v>3745.6856776908098</v>
      </c>
      <c r="V63" s="760"/>
    </row>
    <row r="64" spans="1:22" ht="16.5">
      <c r="A64" s="460">
        <f t="shared" si="7"/>
        <v>57</v>
      </c>
      <c r="B64" s="462" t="s">
        <v>2375</v>
      </c>
      <c r="C64" s="754"/>
      <c r="D64" s="754"/>
      <c r="E64" s="754"/>
      <c r="F64" s="463"/>
      <c r="G64" s="463">
        <v>42165</v>
      </c>
      <c r="H64" s="756">
        <v>51669</v>
      </c>
      <c r="I64" s="460"/>
      <c r="J64" s="756">
        <v>0</v>
      </c>
      <c r="K64" s="756">
        <f t="shared" si="0"/>
        <v>51669</v>
      </c>
      <c r="L64" s="463">
        <v>42165</v>
      </c>
      <c r="M64" s="759">
        <v>47923.31432230919</v>
      </c>
      <c r="N64" s="758">
        <f t="shared" si="1"/>
        <v>3745.6856776908098</v>
      </c>
      <c r="O64" s="452">
        <f t="shared" si="2"/>
        <v>3218</v>
      </c>
      <c r="P64" s="452">
        <v>8</v>
      </c>
      <c r="Q64" s="453">
        <f t="shared" si="3"/>
        <v>8.8164383561643831</v>
      </c>
      <c r="R64" s="453">
        <f t="shared" si="4"/>
        <v>-0.81643835616438309</v>
      </c>
      <c r="S64" s="455">
        <f t="shared" si="5"/>
        <v>0.11874999999999999</v>
      </c>
      <c r="T64" s="759">
        <v>0</v>
      </c>
      <c r="U64" s="756">
        <f t="shared" si="6"/>
        <v>3745.6856776908098</v>
      </c>
      <c r="V64" s="760"/>
    </row>
    <row r="65" spans="1:22" ht="16.5">
      <c r="A65" s="460">
        <f t="shared" si="7"/>
        <v>58</v>
      </c>
      <c r="B65" s="462" t="s">
        <v>2375</v>
      </c>
      <c r="C65" s="754"/>
      <c r="D65" s="754"/>
      <c r="E65" s="754"/>
      <c r="F65" s="463"/>
      <c r="G65" s="463">
        <v>42400</v>
      </c>
      <c r="H65" s="756">
        <v>53130</v>
      </c>
      <c r="I65" s="460"/>
      <c r="J65" s="756">
        <v>0</v>
      </c>
      <c r="K65" s="756">
        <f t="shared" si="0"/>
        <v>53130</v>
      </c>
      <c r="L65" s="463">
        <v>42400</v>
      </c>
      <c r="M65" s="759">
        <v>45216.518647918863</v>
      </c>
      <c r="N65" s="758">
        <f t="shared" si="1"/>
        <v>7913.4813520811367</v>
      </c>
      <c r="O65" s="452">
        <f t="shared" si="2"/>
        <v>2983</v>
      </c>
      <c r="P65" s="452">
        <v>8</v>
      </c>
      <c r="Q65" s="453">
        <f t="shared" si="3"/>
        <v>8.1726027397260275</v>
      </c>
      <c r="R65" s="453">
        <f t="shared" si="4"/>
        <v>-0.17260273972602747</v>
      </c>
      <c r="S65" s="455">
        <f t="shared" si="5"/>
        <v>0.11874999999999999</v>
      </c>
      <c r="T65" s="759">
        <f t="shared" si="10"/>
        <v>6309.1875</v>
      </c>
      <c r="U65" s="756">
        <f t="shared" si="6"/>
        <v>1604.2938520811367</v>
      </c>
      <c r="V65" s="760"/>
    </row>
    <row r="66" spans="1:22" ht="16.5">
      <c r="A66" s="460">
        <f t="shared" si="7"/>
        <v>59</v>
      </c>
      <c r="B66" s="462" t="s">
        <v>2375</v>
      </c>
      <c r="C66" s="754"/>
      <c r="D66" s="754"/>
      <c r="E66" s="754"/>
      <c r="F66" s="463"/>
      <c r="G66" s="463">
        <v>42459</v>
      </c>
      <c r="H66" s="756">
        <v>54039</v>
      </c>
      <c r="I66" s="460"/>
      <c r="J66" s="756">
        <v>0</v>
      </c>
      <c r="K66" s="756">
        <f t="shared" si="0"/>
        <v>54039</v>
      </c>
      <c r="L66" s="463">
        <v>42459</v>
      </c>
      <c r="M66" s="759">
        <v>44952.882712448431</v>
      </c>
      <c r="N66" s="758">
        <f t="shared" si="1"/>
        <v>9086.1172875515695</v>
      </c>
      <c r="O66" s="452">
        <f t="shared" si="2"/>
        <v>2924</v>
      </c>
      <c r="P66" s="452">
        <v>8</v>
      </c>
      <c r="Q66" s="453">
        <f t="shared" si="3"/>
        <v>8.0109589041095894</v>
      </c>
      <c r="R66" s="453">
        <f t="shared" si="4"/>
        <v>-1.095890410958944E-2</v>
      </c>
      <c r="S66" s="455">
        <f t="shared" si="5"/>
        <v>0.11874999999999999</v>
      </c>
      <c r="T66" s="759">
        <f t="shared" si="10"/>
        <v>6417.1312499999995</v>
      </c>
      <c r="U66" s="756">
        <f t="shared" si="6"/>
        <v>2668.98603755157</v>
      </c>
      <c r="V66" s="760"/>
    </row>
    <row r="67" spans="1:22" ht="16.5">
      <c r="A67" s="460">
        <f t="shared" si="7"/>
        <v>60</v>
      </c>
      <c r="B67" s="462" t="s">
        <v>2375</v>
      </c>
      <c r="C67" s="754"/>
      <c r="D67" s="754"/>
      <c r="E67" s="754"/>
      <c r="F67" s="463"/>
      <c r="G67" s="463">
        <v>42443</v>
      </c>
      <c r="H67" s="756">
        <v>59500</v>
      </c>
      <c r="I67" s="460"/>
      <c r="J67" s="756">
        <v>0</v>
      </c>
      <c r="K67" s="756">
        <f t="shared" si="0"/>
        <v>59500</v>
      </c>
      <c r="L67" s="463">
        <v>42443</v>
      </c>
      <c r="M67" s="759">
        <v>49805.382876240452</v>
      </c>
      <c r="N67" s="758">
        <f t="shared" si="1"/>
        <v>9694.6171237595481</v>
      </c>
      <c r="O67" s="452">
        <f t="shared" si="2"/>
        <v>2940</v>
      </c>
      <c r="P67" s="452">
        <v>8</v>
      </c>
      <c r="Q67" s="453">
        <f t="shared" si="3"/>
        <v>8.0547945205479454</v>
      </c>
      <c r="R67" s="453">
        <f t="shared" si="4"/>
        <v>-5.4794520547945424E-2</v>
      </c>
      <c r="S67" s="455">
        <f t="shared" si="5"/>
        <v>0.11874999999999999</v>
      </c>
      <c r="T67" s="759">
        <f t="shared" si="10"/>
        <v>7065.625</v>
      </c>
      <c r="U67" s="756">
        <f t="shared" si="6"/>
        <v>2628.9921237595481</v>
      </c>
      <c r="V67" s="760"/>
    </row>
    <row r="68" spans="1:22" ht="16.5">
      <c r="A68" s="460">
        <f t="shared" si="7"/>
        <v>61</v>
      </c>
      <c r="B68" s="462" t="s">
        <v>2382</v>
      </c>
      <c r="C68" s="754"/>
      <c r="D68" s="754"/>
      <c r="E68" s="754"/>
      <c r="F68" s="478"/>
      <c r="G68" s="478">
        <v>42811</v>
      </c>
      <c r="H68" s="756">
        <v>618158</v>
      </c>
      <c r="I68" s="460"/>
      <c r="J68" s="756">
        <v>0</v>
      </c>
      <c r="K68" s="756">
        <f t="shared" si="0"/>
        <v>618158</v>
      </c>
      <c r="L68" s="615">
        <v>42811</v>
      </c>
      <c r="M68" s="759">
        <v>443454.27071917814</v>
      </c>
      <c r="N68" s="758">
        <f t="shared" si="1"/>
        <v>174703.72928082186</v>
      </c>
      <c r="O68" s="452">
        <f t="shared" si="2"/>
        <v>2572</v>
      </c>
      <c r="P68" s="452">
        <v>8</v>
      </c>
      <c r="Q68" s="453">
        <f t="shared" si="3"/>
        <v>7.0465753424657533</v>
      </c>
      <c r="R68" s="453">
        <f t="shared" si="4"/>
        <v>0.95342465753424666</v>
      </c>
      <c r="S68" s="455">
        <f t="shared" si="5"/>
        <v>0.11874999999999999</v>
      </c>
      <c r="T68" s="759">
        <f t="shared" si="10"/>
        <v>73406.262499999997</v>
      </c>
      <c r="U68" s="756">
        <f t="shared" si="6"/>
        <v>101297.46678082187</v>
      </c>
      <c r="V68" s="760"/>
    </row>
    <row r="69" spans="1:22" ht="16.5">
      <c r="A69" s="460">
        <f t="shared" si="7"/>
        <v>62</v>
      </c>
      <c r="B69" s="462" t="s">
        <v>2382</v>
      </c>
      <c r="C69" s="754"/>
      <c r="D69" s="754"/>
      <c r="E69" s="754"/>
      <c r="F69" s="478"/>
      <c r="G69" s="478">
        <v>42811</v>
      </c>
      <c r="H69" s="756">
        <v>618158</v>
      </c>
      <c r="I69" s="460"/>
      <c r="J69" s="756">
        <v>0</v>
      </c>
      <c r="K69" s="756">
        <f t="shared" si="0"/>
        <v>618158</v>
      </c>
      <c r="L69" s="615">
        <v>42811</v>
      </c>
      <c r="M69" s="759">
        <v>443454.27071917814</v>
      </c>
      <c r="N69" s="758">
        <f t="shared" si="1"/>
        <v>174703.72928082186</v>
      </c>
      <c r="O69" s="452">
        <f t="shared" si="2"/>
        <v>2572</v>
      </c>
      <c r="P69" s="452">
        <v>8</v>
      </c>
      <c r="Q69" s="453">
        <f t="shared" si="3"/>
        <v>7.0465753424657533</v>
      </c>
      <c r="R69" s="453">
        <f t="shared" si="4"/>
        <v>0.95342465753424666</v>
      </c>
      <c r="S69" s="455">
        <f t="shared" si="5"/>
        <v>0.11874999999999999</v>
      </c>
      <c r="T69" s="759">
        <f t="shared" si="10"/>
        <v>73406.262499999997</v>
      </c>
      <c r="U69" s="756">
        <f t="shared" si="6"/>
        <v>101297.46678082187</v>
      </c>
      <c r="V69" s="760"/>
    </row>
    <row r="70" spans="1:22" ht="16.5">
      <c r="A70" s="460">
        <f t="shared" si="7"/>
        <v>63</v>
      </c>
      <c r="B70" s="462" t="s">
        <v>2382</v>
      </c>
      <c r="C70" s="754"/>
      <c r="D70" s="754"/>
      <c r="E70" s="754"/>
      <c r="F70" s="478"/>
      <c r="G70" s="478">
        <v>42811</v>
      </c>
      <c r="H70" s="756">
        <v>618158</v>
      </c>
      <c r="I70" s="460"/>
      <c r="J70" s="756">
        <v>0</v>
      </c>
      <c r="K70" s="756">
        <f t="shared" ref="K70:K130" si="11">+H70+I70-J70</f>
        <v>618158</v>
      </c>
      <c r="L70" s="615">
        <v>42811</v>
      </c>
      <c r="M70" s="759">
        <v>443454.27071917814</v>
      </c>
      <c r="N70" s="758">
        <f t="shared" si="1"/>
        <v>174703.72928082186</v>
      </c>
      <c r="O70" s="452">
        <f t="shared" si="2"/>
        <v>2572</v>
      </c>
      <c r="P70" s="452">
        <v>8</v>
      </c>
      <c r="Q70" s="453">
        <f t="shared" si="3"/>
        <v>7.0465753424657533</v>
      </c>
      <c r="R70" s="453">
        <f t="shared" si="4"/>
        <v>0.95342465753424666</v>
      </c>
      <c r="S70" s="455">
        <f t="shared" si="5"/>
        <v>0.11874999999999999</v>
      </c>
      <c r="T70" s="759">
        <f t="shared" si="10"/>
        <v>73406.262499999997</v>
      </c>
      <c r="U70" s="756">
        <f t="shared" si="6"/>
        <v>101297.46678082187</v>
      </c>
      <c r="V70" s="760"/>
    </row>
    <row r="71" spans="1:22" ht="16.5">
      <c r="A71" s="460">
        <f t="shared" si="7"/>
        <v>64</v>
      </c>
      <c r="B71" s="462" t="s">
        <v>2383</v>
      </c>
      <c r="C71" s="754"/>
      <c r="D71" s="754"/>
      <c r="E71" s="754"/>
      <c r="F71" s="478"/>
      <c r="G71" s="478">
        <v>42811</v>
      </c>
      <c r="H71" s="756">
        <v>582975</v>
      </c>
      <c r="I71" s="460"/>
      <c r="J71" s="756">
        <v>0</v>
      </c>
      <c r="K71" s="756">
        <f t="shared" si="11"/>
        <v>582975</v>
      </c>
      <c r="L71" s="615">
        <v>42811</v>
      </c>
      <c r="M71" s="759">
        <v>418214.68535958906</v>
      </c>
      <c r="N71" s="758">
        <f t="shared" si="1"/>
        <v>164760.31464041094</v>
      </c>
      <c r="O71" s="452">
        <f t="shared" ref="O71:O130" si="12">+$O$3-L71+1</f>
        <v>2572</v>
      </c>
      <c r="P71" s="452">
        <v>8</v>
      </c>
      <c r="Q71" s="453">
        <f t="shared" ref="Q71:Q130" si="13">+O71/365</f>
        <v>7.0465753424657533</v>
      </c>
      <c r="R71" s="453">
        <f t="shared" ref="R71:R130" si="14">+P71-Q71</f>
        <v>0.95342465753424666</v>
      </c>
      <c r="S71" s="455">
        <f t="shared" ref="S71:S134" si="15">1/P71*0.95</f>
        <v>0.11874999999999999</v>
      </c>
      <c r="T71" s="759">
        <f t="shared" si="10"/>
        <v>69228.28125</v>
      </c>
      <c r="U71" s="756">
        <f t="shared" ref="U71:U134" si="16">+N71-T71</f>
        <v>95532.033390410943</v>
      </c>
      <c r="V71" s="760"/>
    </row>
    <row r="72" spans="1:22" ht="16.5">
      <c r="A72" s="460">
        <f t="shared" si="7"/>
        <v>65</v>
      </c>
      <c r="B72" s="460" t="s">
        <v>548</v>
      </c>
      <c r="C72" s="754"/>
      <c r="D72" s="754"/>
      <c r="E72" s="754"/>
      <c r="F72" s="479"/>
      <c r="G72" s="479">
        <v>42483</v>
      </c>
      <c r="H72" s="756">
        <v>786315</v>
      </c>
      <c r="I72" s="460"/>
      <c r="J72" s="756">
        <v>0</v>
      </c>
      <c r="K72" s="756">
        <f t="shared" si="11"/>
        <v>786315</v>
      </c>
      <c r="L72" s="461">
        <v>42483</v>
      </c>
      <c r="M72" s="759">
        <v>755044.36095890403</v>
      </c>
      <c r="N72" s="758">
        <f t="shared" si="1"/>
        <v>31270.639041095972</v>
      </c>
      <c r="O72" s="452">
        <f t="shared" si="12"/>
        <v>2900</v>
      </c>
      <c r="P72" s="452">
        <v>8</v>
      </c>
      <c r="Q72" s="453">
        <f t="shared" si="13"/>
        <v>7.9452054794520546</v>
      </c>
      <c r="R72" s="453">
        <f t="shared" si="14"/>
        <v>5.4794520547945424E-2</v>
      </c>
      <c r="S72" s="455">
        <f t="shared" si="15"/>
        <v>0.11874999999999999</v>
      </c>
      <c r="T72" s="759">
        <v>0</v>
      </c>
      <c r="U72" s="756">
        <f t="shared" si="16"/>
        <v>31270.639041095972</v>
      </c>
      <c r="V72" s="760"/>
    </row>
    <row r="73" spans="1:22" ht="16.5">
      <c r="A73" s="460">
        <f t="shared" si="7"/>
        <v>66</v>
      </c>
      <c r="B73" s="460" t="s">
        <v>2345</v>
      </c>
      <c r="C73" s="754"/>
      <c r="D73" s="754"/>
      <c r="E73" s="754"/>
      <c r="F73" s="479"/>
      <c r="G73" s="479">
        <v>42464</v>
      </c>
      <c r="H73" s="756">
        <v>56790</v>
      </c>
      <c r="I73" s="460"/>
      <c r="J73" s="756">
        <v>0</v>
      </c>
      <c r="K73" s="756">
        <f t="shared" si="11"/>
        <v>56790</v>
      </c>
      <c r="L73" s="461">
        <v>42464</v>
      </c>
      <c r="M73" s="759">
        <v>47151.258904109593</v>
      </c>
      <c r="N73" s="758">
        <f t="shared" ref="N73:N136" si="17">+H73-M73</f>
        <v>9638.7410958904075</v>
      </c>
      <c r="O73" s="452">
        <f t="shared" si="12"/>
        <v>2919</v>
      </c>
      <c r="P73" s="452">
        <v>8</v>
      </c>
      <c r="Q73" s="453">
        <f t="shared" si="13"/>
        <v>7.9972602739726026</v>
      </c>
      <c r="R73" s="453">
        <f t="shared" si="14"/>
        <v>2.73972602739736E-3</v>
      </c>
      <c r="S73" s="455">
        <f t="shared" si="15"/>
        <v>0.11874999999999999</v>
      </c>
      <c r="T73" s="759">
        <f t="shared" si="10"/>
        <v>6743.8125</v>
      </c>
      <c r="U73" s="756">
        <f t="shared" si="16"/>
        <v>2894.9285958904075</v>
      </c>
      <c r="V73" s="760"/>
    </row>
    <row r="74" spans="1:22" ht="16.5">
      <c r="A74" s="460">
        <f t="shared" ref="A74:A137" si="18">+A73+1</f>
        <v>67</v>
      </c>
      <c r="B74" s="460" t="s">
        <v>2345</v>
      </c>
      <c r="C74" s="754"/>
      <c r="D74" s="754"/>
      <c r="E74" s="754"/>
      <c r="F74" s="479"/>
      <c r="G74" s="479">
        <v>42481</v>
      </c>
      <c r="H74" s="756">
        <v>56790</v>
      </c>
      <c r="I74" s="460"/>
      <c r="J74" s="756">
        <v>0</v>
      </c>
      <c r="K74" s="756">
        <f t="shared" si="11"/>
        <v>56790</v>
      </c>
      <c r="L74" s="461">
        <v>42481</v>
      </c>
      <c r="M74" s="759">
        <v>46837.163527397264</v>
      </c>
      <c r="N74" s="758">
        <f t="shared" si="17"/>
        <v>9952.8364726027357</v>
      </c>
      <c r="O74" s="452">
        <f t="shared" si="12"/>
        <v>2902</v>
      </c>
      <c r="P74" s="452">
        <v>8</v>
      </c>
      <c r="Q74" s="453">
        <f t="shared" si="13"/>
        <v>7.9506849315068493</v>
      </c>
      <c r="R74" s="453">
        <f t="shared" si="14"/>
        <v>4.9315068493150704E-2</v>
      </c>
      <c r="S74" s="455">
        <f t="shared" si="15"/>
        <v>0.11874999999999999</v>
      </c>
      <c r="T74" s="759">
        <f t="shared" si="10"/>
        <v>6743.8125</v>
      </c>
      <c r="U74" s="756">
        <f t="shared" si="16"/>
        <v>3209.0239726027357</v>
      </c>
      <c r="V74" s="760"/>
    </row>
    <row r="75" spans="1:22" ht="16.5">
      <c r="A75" s="460">
        <f t="shared" si="18"/>
        <v>68</v>
      </c>
      <c r="B75" s="460" t="s">
        <v>2345</v>
      </c>
      <c r="C75" s="754"/>
      <c r="D75" s="754"/>
      <c r="E75" s="754"/>
      <c r="F75" s="479"/>
      <c r="G75" s="479">
        <v>42503</v>
      </c>
      <c r="H75" s="756">
        <v>56790</v>
      </c>
      <c r="I75" s="460"/>
      <c r="J75" s="756">
        <v>0</v>
      </c>
      <c r="K75" s="756">
        <f t="shared" si="11"/>
        <v>56790</v>
      </c>
      <c r="L75" s="461">
        <v>42503</v>
      </c>
      <c r="M75" s="759">
        <v>46430.687157534252</v>
      </c>
      <c r="N75" s="758">
        <f t="shared" si="17"/>
        <v>10359.312842465748</v>
      </c>
      <c r="O75" s="452">
        <f t="shared" si="12"/>
        <v>2880</v>
      </c>
      <c r="P75" s="452">
        <v>8</v>
      </c>
      <c r="Q75" s="453">
        <f t="shared" si="13"/>
        <v>7.8904109589041092</v>
      </c>
      <c r="R75" s="453">
        <f t="shared" si="14"/>
        <v>0.10958904109589085</v>
      </c>
      <c r="S75" s="455">
        <f t="shared" si="15"/>
        <v>0.11874999999999999</v>
      </c>
      <c r="T75" s="759">
        <f t="shared" si="10"/>
        <v>6743.8125</v>
      </c>
      <c r="U75" s="756">
        <f t="shared" si="16"/>
        <v>3615.500342465748</v>
      </c>
      <c r="V75" s="760"/>
    </row>
    <row r="76" spans="1:22" ht="16.5">
      <c r="A76" s="460">
        <f t="shared" si="18"/>
        <v>69</v>
      </c>
      <c r="B76" s="460" t="s">
        <v>2345</v>
      </c>
      <c r="C76" s="754"/>
      <c r="D76" s="754"/>
      <c r="E76" s="754"/>
      <c r="F76" s="479"/>
      <c r="G76" s="479">
        <v>42696</v>
      </c>
      <c r="H76" s="756">
        <v>60690</v>
      </c>
      <c r="I76" s="460"/>
      <c r="J76" s="756">
        <v>0</v>
      </c>
      <c r="K76" s="756">
        <f t="shared" si="11"/>
        <v>60690</v>
      </c>
      <c r="L76" s="461">
        <v>42696</v>
      </c>
      <c r="M76" s="759">
        <v>45808.479452054795</v>
      </c>
      <c r="N76" s="758">
        <f t="shared" si="17"/>
        <v>14881.520547945205</v>
      </c>
      <c r="O76" s="452">
        <f t="shared" si="12"/>
        <v>2687</v>
      </c>
      <c r="P76" s="452">
        <v>8</v>
      </c>
      <c r="Q76" s="453">
        <f t="shared" si="13"/>
        <v>7.3616438356164382</v>
      </c>
      <c r="R76" s="453">
        <f t="shared" si="14"/>
        <v>0.6383561643835618</v>
      </c>
      <c r="S76" s="455">
        <f t="shared" si="15"/>
        <v>0.11874999999999999</v>
      </c>
      <c r="T76" s="759">
        <f t="shared" si="10"/>
        <v>7206.9375</v>
      </c>
      <c r="U76" s="756">
        <f t="shared" si="16"/>
        <v>7674.5830479452052</v>
      </c>
      <c r="V76" s="760"/>
    </row>
    <row r="77" spans="1:22" ht="16.5">
      <c r="A77" s="460">
        <f t="shared" si="18"/>
        <v>70</v>
      </c>
      <c r="B77" s="460" t="s">
        <v>2345</v>
      </c>
      <c r="C77" s="754"/>
      <c r="D77" s="754"/>
      <c r="E77" s="754"/>
      <c r="F77" s="479"/>
      <c r="G77" s="479">
        <v>42707</v>
      </c>
      <c r="H77" s="756">
        <v>58000</v>
      </c>
      <c r="I77" s="460"/>
      <c r="J77" s="756">
        <v>0</v>
      </c>
      <c r="K77" s="756">
        <f t="shared" si="11"/>
        <v>58000</v>
      </c>
      <c r="L77" s="461">
        <v>42707</v>
      </c>
      <c r="M77" s="759">
        <v>43570.513698630137</v>
      </c>
      <c r="N77" s="758">
        <f t="shared" si="17"/>
        <v>14429.486301369863</v>
      </c>
      <c r="O77" s="452">
        <f t="shared" si="12"/>
        <v>2676</v>
      </c>
      <c r="P77" s="452">
        <v>8</v>
      </c>
      <c r="Q77" s="453">
        <f t="shared" si="13"/>
        <v>7.3315068493150681</v>
      </c>
      <c r="R77" s="453">
        <f t="shared" si="14"/>
        <v>0.66849315068493187</v>
      </c>
      <c r="S77" s="455">
        <f t="shared" si="15"/>
        <v>0.11874999999999999</v>
      </c>
      <c r="T77" s="759">
        <f t="shared" si="10"/>
        <v>6887.5</v>
      </c>
      <c r="U77" s="756">
        <f t="shared" si="16"/>
        <v>7541.9863013698632</v>
      </c>
      <c r="V77" s="760"/>
    </row>
    <row r="78" spans="1:22" ht="16.5">
      <c r="A78" s="460">
        <f t="shared" si="18"/>
        <v>71</v>
      </c>
      <c r="B78" s="460" t="s">
        <v>2345</v>
      </c>
      <c r="C78" s="754"/>
      <c r="D78" s="754"/>
      <c r="E78" s="754"/>
      <c r="F78" s="479"/>
      <c r="G78" s="479">
        <v>42720</v>
      </c>
      <c r="H78" s="756">
        <v>58890</v>
      </c>
      <c r="I78" s="460"/>
      <c r="J78" s="756">
        <v>0</v>
      </c>
      <c r="K78" s="756">
        <f t="shared" si="11"/>
        <v>58890</v>
      </c>
      <c r="L78" s="461">
        <v>42720</v>
      </c>
      <c r="M78" s="759">
        <v>43990.023287671233</v>
      </c>
      <c r="N78" s="758">
        <f t="shared" si="17"/>
        <v>14899.976712328767</v>
      </c>
      <c r="O78" s="452">
        <f t="shared" si="12"/>
        <v>2663</v>
      </c>
      <c r="P78" s="452">
        <v>8</v>
      </c>
      <c r="Q78" s="453">
        <f t="shared" si="13"/>
        <v>7.2958904109589042</v>
      </c>
      <c r="R78" s="453">
        <f t="shared" si="14"/>
        <v>0.70410958904109577</v>
      </c>
      <c r="S78" s="455">
        <f t="shared" si="15"/>
        <v>0.11874999999999999</v>
      </c>
      <c r="T78" s="759">
        <f t="shared" si="10"/>
        <v>6993.1875</v>
      </c>
      <c r="U78" s="756">
        <f t="shared" si="16"/>
        <v>7906.7892123287675</v>
      </c>
      <c r="V78" s="760"/>
    </row>
    <row r="79" spans="1:22" ht="16.5">
      <c r="A79" s="460">
        <f t="shared" si="18"/>
        <v>72</v>
      </c>
      <c r="B79" s="460" t="s">
        <v>2345</v>
      </c>
      <c r="C79" s="754"/>
      <c r="D79" s="754"/>
      <c r="E79" s="754"/>
      <c r="F79" s="479"/>
      <c r="G79" s="479">
        <v>42720</v>
      </c>
      <c r="H79" s="756">
        <v>58890</v>
      </c>
      <c r="I79" s="460"/>
      <c r="J79" s="756">
        <v>0</v>
      </c>
      <c r="K79" s="756">
        <f t="shared" si="11"/>
        <v>58890</v>
      </c>
      <c r="L79" s="461">
        <v>42720</v>
      </c>
      <c r="M79" s="759">
        <v>43990.023287671233</v>
      </c>
      <c r="N79" s="758">
        <f t="shared" si="17"/>
        <v>14899.976712328767</v>
      </c>
      <c r="O79" s="452">
        <f t="shared" si="12"/>
        <v>2663</v>
      </c>
      <c r="P79" s="452">
        <v>8</v>
      </c>
      <c r="Q79" s="453">
        <f t="shared" si="13"/>
        <v>7.2958904109589042</v>
      </c>
      <c r="R79" s="453">
        <f t="shared" si="14"/>
        <v>0.70410958904109577</v>
      </c>
      <c r="S79" s="455">
        <f t="shared" si="15"/>
        <v>0.11874999999999999</v>
      </c>
      <c r="T79" s="759">
        <f t="shared" si="10"/>
        <v>6993.1875</v>
      </c>
      <c r="U79" s="756">
        <f t="shared" si="16"/>
        <v>7906.7892123287675</v>
      </c>
      <c r="V79" s="760"/>
    </row>
    <row r="80" spans="1:22" ht="16.5">
      <c r="A80" s="460">
        <f t="shared" si="18"/>
        <v>73</v>
      </c>
      <c r="B80" s="460" t="s">
        <v>2345</v>
      </c>
      <c r="C80" s="754"/>
      <c r="D80" s="754"/>
      <c r="E80" s="754"/>
      <c r="F80" s="479"/>
      <c r="G80" s="479">
        <v>42774</v>
      </c>
      <c r="H80" s="756">
        <v>53705</v>
      </c>
      <c r="I80" s="460"/>
      <c r="J80" s="756">
        <v>0</v>
      </c>
      <c r="K80" s="756">
        <f t="shared" si="11"/>
        <v>53705</v>
      </c>
      <c r="L80" s="461">
        <v>42774</v>
      </c>
      <c r="M80" s="759">
        <v>39173.383390410963</v>
      </c>
      <c r="N80" s="758">
        <f t="shared" si="17"/>
        <v>14531.616609589037</v>
      </c>
      <c r="O80" s="452">
        <f t="shared" si="12"/>
        <v>2609</v>
      </c>
      <c r="P80" s="452">
        <v>8</v>
      </c>
      <c r="Q80" s="453">
        <f t="shared" si="13"/>
        <v>7.1479452054794521</v>
      </c>
      <c r="R80" s="453">
        <f t="shared" si="14"/>
        <v>0.85205479452054789</v>
      </c>
      <c r="S80" s="455">
        <f t="shared" si="15"/>
        <v>0.11874999999999999</v>
      </c>
      <c r="T80" s="759">
        <f t="shared" si="10"/>
        <v>6377.46875</v>
      </c>
      <c r="U80" s="756">
        <f t="shared" si="16"/>
        <v>8154.1478595890367</v>
      </c>
      <c r="V80" s="760"/>
    </row>
    <row r="81" spans="1:22" ht="16.5">
      <c r="A81" s="460">
        <f t="shared" si="18"/>
        <v>74</v>
      </c>
      <c r="B81" s="460" t="s">
        <v>2345</v>
      </c>
      <c r="C81" s="754"/>
      <c r="D81" s="754"/>
      <c r="E81" s="754"/>
      <c r="F81" s="479"/>
      <c r="G81" s="479">
        <v>42774</v>
      </c>
      <c r="H81" s="756">
        <v>4825</v>
      </c>
      <c r="I81" s="460"/>
      <c r="J81" s="756">
        <v>0</v>
      </c>
      <c r="K81" s="756">
        <f t="shared" si="11"/>
        <v>4825</v>
      </c>
      <c r="L81" s="461">
        <v>42774</v>
      </c>
      <c r="M81" s="759">
        <v>3519.4409246575342</v>
      </c>
      <c r="N81" s="758">
        <f t="shared" si="17"/>
        <v>1305.5590753424658</v>
      </c>
      <c r="O81" s="452">
        <f t="shared" si="12"/>
        <v>2609</v>
      </c>
      <c r="P81" s="452">
        <v>8</v>
      </c>
      <c r="Q81" s="453">
        <f t="shared" si="13"/>
        <v>7.1479452054794521</v>
      </c>
      <c r="R81" s="453">
        <f t="shared" si="14"/>
        <v>0.85205479452054789</v>
      </c>
      <c r="S81" s="455">
        <f t="shared" si="15"/>
        <v>0.11874999999999999</v>
      </c>
      <c r="T81" s="759">
        <v>1306</v>
      </c>
      <c r="U81" s="756">
        <f t="shared" si="16"/>
        <v>-0.44092465753419674</v>
      </c>
      <c r="V81" s="760"/>
    </row>
    <row r="82" spans="1:22" ht="16.5">
      <c r="A82" s="460">
        <f t="shared" si="18"/>
        <v>75</v>
      </c>
      <c r="B82" s="460" t="s">
        <v>862</v>
      </c>
      <c r="C82" s="754"/>
      <c r="D82" s="754"/>
      <c r="E82" s="754"/>
      <c r="F82" s="479"/>
      <c r="G82" s="479">
        <v>42774</v>
      </c>
      <c r="H82" s="756">
        <v>10510</v>
      </c>
      <c r="I82" s="460"/>
      <c r="J82" s="756">
        <v>0</v>
      </c>
      <c r="K82" s="756">
        <f t="shared" si="11"/>
        <v>10510</v>
      </c>
      <c r="L82" s="461">
        <v>42774</v>
      </c>
      <c r="M82" s="759">
        <v>7666.1811643835617</v>
      </c>
      <c r="N82" s="758">
        <f t="shared" si="17"/>
        <v>2843.8188356164383</v>
      </c>
      <c r="O82" s="452">
        <f t="shared" si="12"/>
        <v>2609</v>
      </c>
      <c r="P82" s="452">
        <v>8</v>
      </c>
      <c r="Q82" s="453">
        <f t="shared" si="13"/>
        <v>7.1479452054794521</v>
      </c>
      <c r="R82" s="453">
        <f t="shared" si="14"/>
        <v>0.85205479452054789</v>
      </c>
      <c r="S82" s="455">
        <f t="shared" si="15"/>
        <v>0.11874999999999999</v>
      </c>
      <c r="T82" s="759">
        <f t="shared" si="10"/>
        <v>1248.0625</v>
      </c>
      <c r="U82" s="756">
        <f t="shared" si="16"/>
        <v>1595.7563356164383</v>
      </c>
      <c r="V82" s="760"/>
    </row>
    <row r="83" spans="1:22" ht="16.5">
      <c r="A83" s="460">
        <f t="shared" si="18"/>
        <v>76</v>
      </c>
      <c r="B83" s="460" t="s">
        <v>2384</v>
      </c>
      <c r="C83" s="754"/>
      <c r="D83" s="754"/>
      <c r="E83" s="754"/>
      <c r="F83" s="479"/>
      <c r="G83" s="479">
        <v>42691</v>
      </c>
      <c r="H83" s="756">
        <v>47868</v>
      </c>
      <c r="I83" s="460"/>
      <c r="J83" s="756">
        <v>0</v>
      </c>
      <c r="K83" s="756">
        <f t="shared" si="11"/>
        <v>47868</v>
      </c>
      <c r="L83" s="461">
        <v>42691</v>
      </c>
      <c r="M83" s="759">
        <v>36208.371575342469</v>
      </c>
      <c r="N83" s="758">
        <f t="shared" si="17"/>
        <v>11659.628424657531</v>
      </c>
      <c r="O83" s="452">
        <f t="shared" si="12"/>
        <v>2692</v>
      </c>
      <c r="P83" s="452">
        <v>8</v>
      </c>
      <c r="Q83" s="453">
        <f t="shared" si="13"/>
        <v>7.375342465753425</v>
      </c>
      <c r="R83" s="453">
        <f t="shared" si="14"/>
        <v>0.624657534246575</v>
      </c>
      <c r="S83" s="455">
        <f t="shared" si="15"/>
        <v>0.11874999999999999</v>
      </c>
      <c r="T83" s="759">
        <f t="shared" si="10"/>
        <v>5684.3249999999998</v>
      </c>
      <c r="U83" s="756">
        <f t="shared" si="16"/>
        <v>5975.3034246575307</v>
      </c>
      <c r="V83" s="760"/>
    </row>
    <row r="84" spans="1:22" ht="16.5">
      <c r="A84" s="460">
        <f t="shared" si="18"/>
        <v>77</v>
      </c>
      <c r="B84" s="768" t="s">
        <v>2385</v>
      </c>
      <c r="C84" s="754" t="s">
        <v>1945</v>
      </c>
      <c r="D84" s="768" t="s">
        <v>2386</v>
      </c>
      <c r="E84" s="769" t="s">
        <v>2009</v>
      </c>
      <c r="F84" s="770"/>
      <c r="G84" s="770">
        <v>43096</v>
      </c>
      <c r="H84" s="771">
        <v>53172</v>
      </c>
      <c r="I84" s="460"/>
      <c r="J84" s="756"/>
      <c r="K84" s="756">
        <f t="shared" si="11"/>
        <v>53172</v>
      </c>
      <c r="L84" s="772">
        <v>43096</v>
      </c>
      <c r="M84" s="759">
        <v>33214.2904109589</v>
      </c>
      <c r="N84" s="758">
        <f t="shared" si="17"/>
        <v>19957.7095890411</v>
      </c>
      <c r="O84" s="452">
        <f t="shared" si="12"/>
        <v>2287</v>
      </c>
      <c r="P84" s="452">
        <v>8</v>
      </c>
      <c r="Q84" s="453">
        <f t="shared" si="13"/>
        <v>6.2657534246575342</v>
      </c>
      <c r="R84" s="453">
        <f t="shared" si="14"/>
        <v>1.7342465753424658</v>
      </c>
      <c r="S84" s="455">
        <f t="shared" si="15"/>
        <v>0.11874999999999999</v>
      </c>
      <c r="T84" s="759">
        <f t="shared" si="10"/>
        <v>6314.1749999999993</v>
      </c>
      <c r="U84" s="756">
        <f t="shared" si="16"/>
        <v>13643.534589041101</v>
      </c>
      <c r="V84" s="760"/>
    </row>
    <row r="85" spans="1:22" ht="16.5">
      <c r="A85" s="460">
        <f t="shared" si="18"/>
        <v>78</v>
      </c>
      <c r="B85" s="768" t="s">
        <v>2385</v>
      </c>
      <c r="C85" s="754" t="s">
        <v>1945</v>
      </c>
      <c r="D85" s="768" t="s">
        <v>2386</v>
      </c>
      <c r="E85" s="769" t="s">
        <v>2387</v>
      </c>
      <c r="F85" s="770"/>
      <c r="G85" s="770">
        <v>43096</v>
      </c>
      <c r="H85" s="771">
        <v>53172</v>
      </c>
      <c r="I85" s="460"/>
      <c r="J85" s="756"/>
      <c r="K85" s="756">
        <f t="shared" si="11"/>
        <v>53172</v>
      </c>
      <c r="L85" s="772">
        <v>43096</v>
      </c>
      <c r="M85" s="759">
        <v>33214.2904109589</v>
      </c>
      <c r="N85" s="758">
        <f t="shared" si="17"/>
        <v>19957.7095890411</v>
      </c>
      <c r="O85" s="452">
        <f t="shared" si="12"/>
        <v>2287</v>
      </c>
      <c r="P85" s="452">
        <v>8</v>
      </c>
      <c r="Q85" s="453">
        <f t="shared" si="13"/>
        <v>6.2657534246575342</v>
      </c>
      <c r="R85" s="453">
        <f t="shared" si="14"/>
        <v>1.7342465753424658</v>
      </c>
      <c r="S85" s="455">
        <f t="shared" si="15"/>
        <v>0.11874999999999999</v>
      </c>
      <c r="T85" s="759">
        <f t="shared" si="10"/>
        <v>6314.1749999999993</v>
      </c>
      <c r="U85" s="756">
        <f t="shared" si="16"/>
        <v>13643.534589041101</v>
      </c>
      <c r="V85" s="760"/>
    </row>
    <row r="86" spans="1:22" ht="16.5">
      <c r="A86" s="460">
        <f t="shared" si="18"/>
        <v>79</v>
      </c>
      <c r="B86" s="768" t="s">
        <v>2385</v>
      </c>
      <c r="C86" s="754" t="s">
        <v>1945</v>
      </c>
      <c r="D86" s="768" t="s">
        <v>2386</v>
      </c>
      <c r="E86" s="769" t="s">
        <v>2009</v>
      </c>
      <c r="F86" s="770"/>
      <c r="G86" s="770">
        <v>43096</v>
      </c>
      <c r="H86" s="771">
        <v>53172</v>
      </c>
      <c r="I86" s="460"/>
      <c r="J86" s="756"/>
      <c r="K86" s="756">
        <f t="shared" si="11"/>
        <v>53172</v>
      </c>
      <c r="L86" s="772">
        <v>43096</v>
      </c>
      <c r="M86" s="759">
        <v>33214.2904109589</v>
      </c>
      <c r="N86" s="758">
        <f t="shared" si="17"/>
        <v>19957.7095890411</v>
      </c>
      <c r="O86" s="452">
        <f t="shared" si="12"/>
        <v>2287</v>
      </c>
      <c r="P86" s="452">
        <v>8</v>
      </c>
      <c r="Q86" s="453">
        <f t="shared" si="13"/>
        <v>6.2657534246575342</v>
      </c>
      <c r="R86" s="453">
        <f t="shared" si="14"/>
        <v>1.7342465753424658</v>
      </c>
      <c r="S86" s="455">
        <f t="shared" si="15"/>
        <v>0.11874999999999999</v>
      </c>
      <c r="T86" s="759">
        <f t="shared" si="10"/>
        <v>6314.1749999999993</v>
      </c>
      <c r="U86" s="756">
        <f t="shared" si="16"/>
        <v>13643.534589041101</v>
      </c>
      <c r="V86" s="760"/>
    </row>
    <row r="87" spans="1:22" ht="16.5">
      <c r="A87" s="460">
        <f t="shared" si="18"/>
        <v>80</v>
      </c>
      <c r="B87" s="768" t="s">
        <v>2385</v>
      </c>
      <c r="C87" s="754" t="s">
        <v>1945</v>
      </c>
      <c r="D87" s="768" t="s">
        <v>2386</v>
      </c>
      <c r="E87" s="769" t="s">
        <v>2009</v>
      </c>
      <c r="F87" s="770"/>
      <c r="G87" s="770">
        <v>43096</v>
      </c>
      <c r="H87" s="771">
        <v>53172</v>
      </c>
      <c r="I87" s="460"/>
      <c r="J87" s="756"/>
      <c r="K87" s="756">
        <f t="shared" si="11"/>
        <v>53172</v>
      </c>
      <c r="L87" s="772">
        <v>43096</v>
      </c>
      <c r="M87" s="759">
        <v>33214.2904109589</v>
      </c>
      <c r="N87" s="758">
        <f t="shared" si="17"/>
        <v>19957.7095890411</v>
      </c>
      <c r="O87" s="452">
        <f t="shared" si="12"/>
        <v>2287</v>
      </c>
      <c r="P87" s="452">
        <v>8</v>
      </c>
      <c r="Q87" s="453">
        <f t="shared" si="13"/>
        <v>6.2657534246575342</v>
      </c>
      <c r="R87" s="453">
        <f t="shared" si="14"/>
        <v>1.7342465753424658</v>
      </c>
      <c r="S87" s="455">
        <f t="shared" si="15"/>
        <v>0.11874999999999999</v>
      </c>
      <c r="T87" s="759">
        <f t="shared" si="10"/>
        <v>6314.1749999999993</v>
      </c>
      <c r="U87" s="756">
        <f t="shared" si="16"/>
        <v>13643.534589041101</v>
      </c>
      <c r="V87" s="760"/>
    </row>
    <row r="88" spans="1:22" ht="16.5">
      <c r="A88" s="460">
        <f t="shared" si="18"/>
        <v>81</v>
      </c>
      <c r="B88" s="768" t="s">
        <v>2345</v>
      </c>
      <c r="C88" s="754" t="s">
        <v>1945</v>
      </c>
      <c r="D88" s="768" t="s">
        <v>2388</v>
      </c>
      <c r="E88" s="769" t="s">
        <v>1967</v>
      </c>
      <c r="F88" s="773"/>
      <c r="G88" s="773">
        <v>42849</v>
      </c>
      <c r="H88" s="771">
        <v>29990</v>
      </c>
      <c r="I88" s="460"/>
      <c r="J88" s="756"/>
      <c r="K88" s="756">
        <f t="shared" si="11"/>
        <v>29990</v>
      </c>
      <c r="L88" s="774">
        <v>42849</v>
      </c>
      <c r="M88" s="759">
        <v>21143.46352739726</v>
      </c>
      <c r="N88" s="758">
        <f t="shared" si="17"/>
        <v>8846.5364726027401</v>
      </c>
      <c r="O88" s="452">
        <f t="shared" si="12"/>
        <v>2534</v>
      </c>
      <c r="P88" s="452">
        <v>8</v>
      </c>
      <c r="Q88" s="453">
        <f t="shared" si="13"/>
        <v>6.9424657534246572</v>
      </c>
      <c r="R88" s="453">
        <f t="shared" si="14"/>
        <v>1.0575342465753428</v>
      </c>
      <c r="S88" s="455">
        <f t="shared" si="15"/>
        <v>0.11874999999999999</v>
      </c>
      <c r="T88" s="759">
        <f t="shared" si="10"/>
        <v>3561.3125</v>
      </c>
      <c r="U88" s="756">
        <f t="shared" si="16"/>
        <v>5285.2239726027401</v>
      </c>
      <c r="V88" s="760"/>
    </row>
    <row r="89" spans="1:22" ht="16.5">
      <c r="A89" s="460">
        <f t="shared" si="18"/>
        <v>82</v>
      </c>
      <c r="B89" s="768" t="s">
        <v>2345</v>
      </c>
      <c r="C89" s="754" t="s">
        <v>1945</v>
      </c>
      <c r="D89" s="768" t="s">
        <v>2388</v>
      </c>
      <c r="E89" s="769" t="s">
        <v>1967</v>
      </c>
      <c r="F89" s="773"/>
      <c r="G89" s="773">
        <v>42863</v>
      </c>
      <c r="H89" s="771">
        <v>34182</v>
      </c>
      <c r="I89" s="460"/>
      <c r="J89" s="756"/>
      <c r="K89" s="756">
        <f t="shared" si="11"/>
        <v>34182</v>
      </c>
      <c r="L89" s="774">
        <v>42863</v>
      </c>
      <c r="M89" s="759">
        <v>23943.203321917805</v>
      </c>
      <c r="N89" s="758">
        <f t="shared" si="17"/>
        <v>10238.796678082195</v>
      </c>
      <c r="O89" s="452">
        <f t="shared" si="12"/>
        <v>2520</v>
      </c>
      <c r="P89" s="452">
        <v>8</v>
      </c>
      <c r="Q89" s="453">
        <f t="shared" si="13"/>
        <v>6.904109589041096</v>
      </c>
      <c r="R89" s="453">
        <f t="shared" si="14"/>
        <v>1.095890410958904</v>
      </c>
      <c r="S89" s="455">
        <f t="shared" si="15"/>
        <v>0.11874999999999999</v>
      </c>
      <c r="T89" s="759">
        <f t="shared" si="10"/>
        <v>4059.1124999999997</v>
      </c>
      <c r="U89" s="756">
        <f t="shared" si="16"/>
        <v>6179.684178082196</v>
      </c>
      <c r="V89" s="760"/>
    </row>
    <row r="90" spans="1:22" ht="16.5">
      <c r="A90" s="460">
        <f t="shared" si="18"/>
        <v>83</v>
      </c>
      <c r="B90" s="768" t="s">
        <v>2345</v>
      </c>
      <c r="C90" s="754" t="s">
        <v>1945</v>
      </c>
      <c r="D90" s="768" t="s">
        <v>2389</v>
      </c>
      <c r="E90" s="769" t="s">
        <v>1967</v>
      </c>
      <c r="F90" s="773"/>
      <c r="G90" s="773">
        <v>43109</v>
      </c>
      <c r="H90" s="771">
        <v>55487</v>
      </c>
      <c r="I90" s="460"/>
      <c r="J90" s="756"/>
      <c r="K90" s="756">
        <f t="shared" si="11"/>
        <v>55487</v>
      </c>
      <c r="L90" s="774">
        <v>43109</v>
      </c>
      <c r="M90" s="759">
        <v>34425.692996575337</v>
      </c>
      <c r="N90" s="758">
        <f t="shared" si="17"/>
        <v>21061.307003424663</v>
      </c>
      <c r="O90" s="452">
        <f t="shared" si="12"/>
        <v>2274</v>
      </c>
      <c r="P90" s="452">
        <v>8</v>
      </c>
      <c r="Q90" s="453">
        <f t="shared" si="13"/>
        <v>6.2301369863013702</v>
      </c>
      <c r="R90" s="453">
        <f t="shared" si="14"/>
        <v>1.7698630136986298</v>
      </c>
      <c r="S90" s="455">
        <f t="shared" si="15"/>
        <v>0.11874999999999999</v>
      </c>
      <c r="T90" s="759">
        <f t="shared" si="10"/>
        <v>6589.0812499999993</v>
      </c>
      <c r="U90" s="756">
        <f t="shared" si="16"/>
        <v>14472.225753424664</v>
      </c>
      <c r="V90" s="760"/>
    </row>
    <row r="91" spans="1:22" ht="16.5">
      <c r="A91" s="460">
        <f t="shared" si="18"/>
        <v>84</v>
      </c>
      <c r="B91" s="768" t="s">
        <v>2345</v>
      </c>
      <c r="C91" s="754" t="s">
        <v>1945</v>
      </c>
      <c r="D91" s="768" t="s">
        <v>2389</v>
      </c>
      <c r="E91" s="769" t="s">
        <v>1967</v>
      </c>
      <c r="F91" s="773"/>
      <c r="G91" s="773">
        <v>43109</v>
      </c>
      <c r="H91" s="771">
        <v>55487</v>
      </c>
      <c r="I91" s="460"/>
      <c r="J91" s="756"/>
      <c r="K91" s="756">
        <f t="shared" si="11"/>
        <v>55487</v>
      </c>
      <c r="L91" s="774">
        <v>43109</v>
      </c>
      <c r="M91" s="759">
        <v>34425.692996575337</v>
      </c>
      <c r="N91" s="758">
        <f t="shared" si="17"/>
        <v>21061.307003424663</v>
      </c>
      <c r="O91" s="452">
        <f t="shared" si="12"/>
        <v>2274</v>
      </c>
      <c r="P91" s="452">
        <v>8</v>
      </c>
      <c r="Q91" s="453">
        <f t="shared" si="13"/>
        <v>6.2301369863013702</v>
      </c>
      <c r="R91" s="453">
        <f t="shared" si="14"/>
        <v>1.7698630136986298</v>
      </c>
      <c r="S91" s="455">
        <f t="shared" si="15"/>
        <v>0.11874999999999999</v>
      </c>
      <c r="T91" s="759">
        <f t="shared" si="10"/>
        <v>6589.0812499999993</v>
      </c>
      <c r="U91" s="756">
        <f t="shared" si="16"/>
        <v>14472.225753424664</v>
      </c>
      <c r="V91" s="760"/>
    </row>
    <row r="92" spans="1:22" ht="16.5">
      <c r="A92" s="460">
        <f t="shared" si="18"/>
        <v>85</v>
      </c>
      <c r="B92" s="768" t="s">
        <v>2345</v>
      </c>
      <c r="C92" s="754" t="s">
        <v>1945</v>
      </c>
      <c r="D92" s="768" t="s">
        <v>2390</v>
      </c>
      <c r="E92" s="769" t="s">
        <v>1967</v>
      </c>
      <c r="F92" s="773"/>
      <c r="G92" s="773">
        <v>43130</v>
      </c>
      <c r="H92" s="771">
        <v>36453.910000000003</v>
      </c>
      <c r="I92" s="460"/>
      <c r="J92" s="756"/>
      <c r="K92" s="756">
        <f t="shared" si="11"/>
        <v>36453.910000000003</v>
      </c>
      <c r="L92" s="774">
        <v>43130</v>
      </c>
      <c r="M92" s="759">
        <v>22367.969365410958</v>
      </c>
      <c r="N92" s="758">
        <f t="shared" si="17"/>
        <v>14085.940634589046</v>
      </c>
      <c r="O92" s="452">
        <f t="shared" si="12"/>
        <v>2253</v>
      </c>
      <c r="P92" s="452">
        <v>8</v>
      </c>
      <c r="Q92" s="453">
        <f t="shared" si="13"/>
        <v>6.1726027397260275</v>
      </c>
      <c r="R92" s="453">
        <f t="shared" si="14"/>
        <v>1.8273972602739725</v>
      </c>
      <c r="S92" s="455">
        <f t="shared" si="15"/>
        <v>0.11874999999999999</v>
      </c>
      <c r="T92" s="759">
        <f t="shared" si="10"/>
        <v>4328.9018125000002</v>
      </c>
      <c r="U92" s="756">
        <f t="shared" si="16"/>
        <v>9757.0388220890454</v>
      </c>
      <c r="V92" s="760"/>
    </row>
    <row r="93" spans="1:22" ht="16.5">
      <c r="A93" s="460">
        <f t="shared" si="18"/>
        <v>86</v>
      </c>
      <c r="B93" s="768" t="s">
        <v>2345</v>
      </c>
      <c r="C93" s="754" t="s">
        <v>1945</v>
      </c>
      <c r="D93" s="768" t="s">
        <v>2390</v>
      </c>
      <c r="E93" s="769" t="s">
        <v>1967</v>
      </c>
      <c r="F93" s="773"/>
      <c r="G93" s="773">
        <v>43130</v>
      </c>
      <c r="H93" s="771">
        <v>36453.910000000003</v>
      </c>
      <c r="I93" s="460"/>
      <c r="J93" s="756"/>
      <c r="K93" s="756">
        <f t="shared" si="11"/>
        <v>36453.910000000003</v>
      </c>
      <c r="L93" s="774">
        <v>43130</v>
      </c>
      <c r="M93" s="759">
        <v>22367.969365410958</v>
      </c>
      <c r="N93" s="758">
        <f t="shared" si="17"/>
        <v>14085.940634589046</v>
      </c>
      <c r="O93" s="452">
        <f t="shared" si="12"/>
        <v>2253</v>
      </c>
      <c r="P93" s="452">
        <v>8</v>
      </c>
      <c r="Q93" s="453">
        <f t="shared" si="13"/>
        <v>6.1726027397260275</v>
      </c>
      <c r="R93" s="453">
        <f t="shared" si="14"/>
        <v>1.8273972602739725</v>
      </c>
      <c r="S93" s="455">
        <f t="shared" si="15"/>
        <v>0.11874999999999999</v>
      </c>
      <c r="T93" s="759">
        <f t="shared" si="10"/>
        <v>4328.9018125000002</v>
      </c>
      <c r="U93" s="756">
        <f t="shared" si="16"/>
        <v>9757.0388220890454</v>
      </c>
      <c r="V93" s="760"/>
    </row>
    <row r="94" spans="1:22" ht="16.5">
      <c r="A94" s="460">
        <f t="shared" si="18"/>
        <v>87</v>
      </c>
      <c r="B94" s="768" t="s">
        <v>2345</v>
      </c>
      <c r="C94" s="754" t="s">
        <v>1945</v>
      </c>
      <c r="D94" s="768" t="s">
        <v>2391</v>
      </c>
      <c r="E94" s="769" t="s">
        <v>1967</v>
      </c>
      <c r="F94" s="773"/>
      <c r="G94" s="773">
        <v>43190</v>
      </c>
      <c r="H94" s="771">
        <v>36483.910000000003</v>
      </c>
      <c r="I94" s="460"/>
      <c r="J94" s="756"/>
      <c r="K94" s="756">
        <f t="shared" si="11"/>
        <v>36483.910000000003</v>
      </c>
      <c r="L94" s="774">
        <v>43190</v>
      </c>
      <c r="M94" s="759">
        <v>21674.191327739725</v>
      </c>
      <c r="N94" s="758">
        <f t="shared" si="17"/>
        <v>14809.718672260278</v>
      </c>
      <c r="O94" s="452">
        <f t="shared" si="12"/>
        <v>2193</v>
      </c>
      <c r="P94" s="452">
        <v>8</v>
      </c>
      <c r="Q94" s="453">
        <f t="shared" si="13"/>
        <v>6.0082191780821921</v>
      </c>
      <c r="R94" s="453">
        <f t="shared" si="14"/>
        <v>1.9917808219178079</v>
      </c>
      <c r="S94" s="455">
        <f t="shared" si="15"/>
        <v>0.11874999999999999</v>
      </c>
      <c r="T94" s="759">
        <f t="shared" si="10"/>
        <v>4332.4643125000002</v>
      </c>
      <c r="U94" s="756">
        <f t="shared" si="16"/>
        <v>10477.254359760278</v>
      </c>
      <c r="V94" s="760"/>
    </row>
    <row r="95" spans="1:22" ht="16.5">
      <c r="A95" s="460">
        <f t="shared" si="18"/>
        <v>88</v>
      </c>
      <c r="B95" s="775" t="s">
        <v>2392</v>
      </c>
      <c r="C95" s="754" t="s">
        <v>1945</v>
      </c>
      <c r="D95" s="775" t="s">
        <v>2393</v>
      </c>
      <c r="E95" s="776" t="s">
        <v>2394</v>
      </c>
      <c r="F95" s="777"/>
      <c r="G95" s="777">
        <v>43111</v>
      </c>
      <c r="H95" s="771">
        <v>3261855</v>
      </c>
      <c r="I95" s="460"/>
      <c r="J95" s="756"/>
      <c r="K95" s="756">
        <f t="shared" si="11"/>
        <v>3261855</v>
      </c>
      <c r="L95" s="778">
        <v>43111</v>
      </c>
      <c r="M95" s="759">
        <v>1997728.4829623301</v>
      </c>
      <c r="N95" s="758">
        <f t="shared" si="17"/>
        <v>1264126.5170376699</v>
      </c>
      <c r="O95" s="452">
        <f t="shared" si="12"/>
        <v>2272</v>
      </c>
      <c r="P95" s="452">
        <v>8</v>
      </c>
      <c r="Q95" s="453">
        <f t="shared" si="13"/>
        <v>6.2246575342465755</v>
      </c>
      <c r="R95" s="453">
        <f t="shared" si="14"/>
        <v>1.7753424657534245</v>
      </c>
      <c r="S95" s="455">
        <f t="shared" si="15"/>
        <v>0.11874999999999999</v>
      </c>
      <c r="T95" s="759">
        <f t="shared" si="10"/>
        <v>387345.28125</v>
      </c>
      <c r="U95" s="756">
        <f t="shared" si="16"/>
        <v>876781.2357876699</v>
      </c>
      <c r="V95" s="760"/>
    </row>
    <row r="96" spans="1:22" ht="16.5">
      <c r="A96" s="460">
        <f t="shared" si="18"/>
        <v>89</v>
      </c>
      <c r="B96" s="775" t="s">
        <v>2395</v>
      </c>
      <c r="C96" s="754" t="s">
        <v>1945</v>
      </c>
      <c r="D96" s="775" t="s">
        <v>2393</v>
      </c>
      <c r="E96" s="776" t="s">
        <v>2394</v>
      </c>
      <c r="F96" s="777"/>
      <c r="G96" s="777">
        <v>43125</v>
      </c>
      <c r="H96" s="771">
        <v>2527085</v>
      </c>
      <c r="I96" s="460"/>
      <c r="J96" s="756"/>
      <c r="K96" s="756">
        <f t="shared" si="11"/>
        <v>2527085</v>
      </c>
      <c r="L96" s="778">
        <v>43125</v>
      </c>
      <c r="M96" s="759">
        <v>1543867.1925856164</v>
      </c>
      <c r="N96" s="758">
        <f t="shared" si="17"/>
        <v>983217.80741438363</v>
      </c>
      <c r="O96" s="452">
        <f t="shared" si="12"/>
        <v>2258</v>
      </c>
      <c r="P96" s="452">
        <v>8</v>
      </c>
      <c r="Q96" s="453">
        <f t="shared" si="13"/>
        <v>6.1863013698630134</v>
      </c>
      <c r="R96" s="453">
        <f t="shared" si="14"/>
        <v>1.8136986301369866</v>
      </c>
      <c r="S96" s="455">
        <f t="shared" si="15"/>
        <v>0.11874999999999999</v>
      </c>
      <c r="T96" s="759">
        <f t="shared" si="10"/>
        <v>300091.34375</v>
      </c>
      <c r="U96" s="756">
        <f t="shared" si="16"/>
        <v>683126.46366438363</v>
      </c>
      <c r="V96" s="760"/>
    </row>
    <row r="97" spans="1:22" ht="16.5">
      <c r="A97" s="460">
        <f t="shared" si="18"/>
        <v>90</v>
      </c>
      <c r="B97" s="775" t="s">
        <v>2395</v>
      </c>
      <c r="C97" s="754" t="s">
        <v>1945</v>
      </c>
      <c r="D97" s="775" t="s">
        <v>2393</v>
      </c>
      <c r="E97" s="776" t="s">
        <v>2394</v>
      </c>
      <c r="F97" s="777"/>
      <c r="G97" s="777">
        <v>43125</v>
      </c>
      <c r="H97" s="771">
        <v>2209000</v>
      </c>
      <c r="I97" s="460"/>
      <c r="J97" s="756"/>
      <c r="K97" s="756">
        <f t="shared" si="11"/>
        <v>2209000</v>
      </c>
      <c r="L97" s="778">
        <v>43125</v>
      </c>
      <c r="M97" s="759">
        <v>1349540.1335616438</v>
      </c>
      <c r="N97" s="758">
        <f t="shared" si="17"/>
        <v>859459.86643835623</v>
      </c>
      <c r="O97" s="452">
        <f t="shared" si="12"/>
        <v>2258</v>
      </c>
      <c r="P97" s="452">
        <v>8</v>
      </c>
      <c r="Q97" s="453">
        <f t="shared" si="13"/>
        <v>6.1863013698630134</v>
      </c>
      <c r="R97" s="453">
        <f t="shared" si="14"/>
        <v>1.8136986301369866</v>
      </c>
      <c r="S97" s="455">
        <f t="shared" si="15"/>
        <v>0.11874999999999999</v>
      </c>
      <c r="T97" s="759">
        <f t="shared" si="10"/>
        <v>262318.75</v>
      </c>
      <c r="U97" s="756">
        <f t="shared" si="16"/>
        <v>597141.11643835623</v>
      </c>
      <c r="V97" s="760"/>
    </row>
    <row r="98" spans="1:22" ht="16.5">
      <c r="A98" s="460">
        <f t="shared" si="18"/>
        <v>91</v>
      </c>
      <c r="B98" s="775" t="s">
        <v>2396</v>
      </c>
      <c r="C98" s="754" t="s">
        <v>1945</v>
      </c>
      <c r="D98" s="775" t="s">
        <v>2393</v>
      </c>
      <c r="E98" s="776" t="s">
        <v>2394</v>
      </c>
      <c r="F98" s="777"/>
      <c r="G98" s="777">
        <v>43159</v>
      </c>
      <c r="H98" s="771">
        <v>2858749</v>
      </c>
      <c r="I98" s="460"/>
      <c r="J98" s="756"/>
      <c r="K98" s="756">
        <f t="shared" si="11"/>
        <v>2858749</v>
      </c>
      <c r="L98" s="778">
        <v>43159</v>
      </c>
      <c r="M98" s="759">
        <v>1721192.0734349312</v>
      </c>
      <c r="N98" s="758">
        <f t="shared" si="17"/>
        <v>1137556.9265650688</v>
      </c>
      <c r="O98" s="452">
        <f t="shared" si="12"/>
        <v>2224</v>
      </c>
      <c r="P98" s="452">
        <v>8</v>
      </c>
      <c r="Q98" s="453">
        <f t="shared" si="13"/>
        <v>6.0931506849315067</v>
      </c>
      <c r="R98" s="453">
        <f t="shared" si="14"/>
        <v>1.9068493150684933</v>
      </c>
      <c r="S98" s="455">
        <f t="shared" si="15"/>
        <v>0.11874999999999999</v>
      </c>
      <c r="T98" s="759">
        <f t="shared" si="10"/>
        <v>339476.44374999998</v>
      </c>
      <c r="U98" s="756">
        <f t="shared" si="16"/>
        <v>798080.4828150688</v>
      </c>
      <c r="V98" s="760"/>
    </row>
    <row r="99" spans="1:22" ht="16.5">
      <c r="A99" s="460">
        <f t="shared" si="18"/>
        <v>92</v>
      </c>
      <c r="B99" s="768" t="s">
        <v>2397</v>
      </c>
      <c r="C99" s="754" t="s">
        <v>1945</v>
      </c>
      <c r="D99" s="768" t="s">
        <v>2398</v>
      </c>
      <c r="E99" s="769" t="s">
        <v>1967</v>
      </c>
      <c r="F99" s="773"/>
      <c r="G99" s="773">
        <v>42947</v>
      </c>
      <c r="H99" s="771">
        <v>1575703</v>
      </c>
      <c r="I99" s="460"/>
      <c r="J99" s="756"/>
      <c r="K99" s="756">
        <f t="shared" si="11"/>
        <v>1575703</v>
      </c>
      <c r="L99" s="774">
        <v>42947</v>
      </c>
      <c r="M99" s="759">
        <v>1435641.5892363009</v>
      </c>
      <c r="N99" s="758">
        <f t="shared" si="17"/>
        <v>140061.4107636991</v>
      </c>
      <c r="O99" s="452">
        <f t="shared" si="12"/>
        <v>2436</v>
      </c>
      <c r="P99" s="452">
        <v>8</v>
      </c>
      <c r="Q99" s="453">
        <f t="shared" si="13"/>
        <v>6.6739726027397257</v>
      </c>
      <c r="R99" s="453">
        <f t="shared" si="14"/>
        <v>1.3260273972602743</v>
      </c>
      <c r="S99" s="455">
        <f t="shared" si="15"/>
        <v>0.11874999999999999</v>
      </c>
      <c r="T99" s="759">
        <f>+K99*S99-47053</f>
        <v>140061.73124999998</v>
      </c>
      <c r="U99" s="756">
        <f t="shared" si="16"/>
        <v>-0.32048630088684149</v>
      </c>
      <c r="V99" s="760"/>
    </row>
    <row r="100" spans="1:22" ht="16.5">
      <c r="A100" s="460">
        <f t="shared" si="18"/>
        <v>93</v>
      </c>
      <c r="B100" s="768" t="s">
        <v>2399</v>
      </c>
      <c r="C100" s="754" t="s">
        <v>2020</v>
      </c>
      <c r="D100" s="768" t="s">
        <v>2400</v>
      </c>
      <c r="E100" s="776" t="s">
        <v>2019</v>
      </c>
      <c r="F100" s="770"/>
      <c r="G100" s="770">
        <v>43343</v>
      </c>
      <c r="H100" s="771">
        <v>1645776</v>
      </c>
      <c r="I100" s="460"/>
      <c r="J100" s="756"/>
      <c r="K100" s="756">
        <f t="shared" si="11"/>
        <v>1645776</v>
      </c>
      <c r="L100" s="772">
        <v>43343</v>
      </c>
      <c r="M100" s="759">
        <v>895792.49506849318</v>
      </c>
      <c r="N100" s="758">
        <f t="shared" si="17"/>
        <v>749983.50493150682</v>
      </c>
      <c r="O100" s="452">
        <f t="shared" si="12"/>
        <v>2040</v>
      </c>
      <c r="P100" s="452">
        <v>8</v>
      </c>
      <c r="Q100" s="453">
        <f t="shared" si="13"/>
        <v>5.5890410958904111</v>
      </c>
      <c r="R100" s="453">
        <f t="shared" si="14"/>
        <v>2.4109589041095889</v>
      </c>
      <c r="S100" s="455">
        <f t="shared" si="15"/>
        <v>0.11874999999999999</v>
      </c>
      <c r="T100" s="759">
        <f t="shared" si="10"/>
        <v>195435.9</v>
      </c>
      <c r="U100" s="756">
        <f t="shared" si="16"/>
        <v>554547.60493150679</v>
      </c>
      <c r="V100" s="760"/>
    </row>
    <row r="101" spans="1:22" ht="16.5">
      <c r="A101" s="460">
        <f t="shared" si="18"/>
        <v>94</v>
      </c>
      <c r="B101" s="768" t="s">
        <v>2345</v>
      </c>
      <c r="C101" s="754" t="s">
        <v>2020</v>
      </c>
      <c r="D101" s="768" t="s">
        <v>2401</v>
      </c>
      <c r="E101" s="776" t="s">
        <v>2019</v>
      </c>
      <c r="F101" s="770"/>
      <c r="G101" s="770">
        <v>43414</v>
      </c>
      <c r="H101" s="771">
        <v>69594</v>
      </c>
      <c r="I101" s="460"/>
      <c r="J101" s="756"/>
      <c r="K101" s="756">
        <f t="shared" si="11"/>
        <v>69594</v>
      </c>
      <c r="L101" s="772">
        <v>43414</v>
      </c>
      <c r="M101" s="759">
        <v>35629.267972602742</v>
      </c>
      <c r="N101" s="758">
        <f t="shared" si="17"/>
        <v>33964.732027397258</v>
      </c>
      <c r="O101" s="452">
        <f t="shared" si="12"/>
        <v>1969</v>
      </c>
      <c r="P101" s="452">
        <v>8</v>
      </c>
      <c r="Q101" s="453">
        <f t="shared" si="13"/>
        <v>5.3945205479452056</v>
      </c>
      <c r="R101" s="453">
        <f t="shared" si="14"/>
        <v>2.6054794520547944</v>
      </c>
      <c r="S101" s="455">
        <f t="shared" si="15"/>
        <v>0.11874999999999999</v>
      </c>
      <c r="T101" s="759">
        <f t="shared" si="10"/>
        <v>8264.2875000000004</v>
      </c>
      <c r="U101" s="756">
        <f t="shared" si="16"/>
        <v>25700.44452739726</v>
      </c>
      <c r="V101" s="760"/>
    </row>
    <row r="102" spans="1:22" ht="16.5">
      <c r="A102" s="460">
        <f t="shared" si="18"/>
        <v>95</v>
      </c>
      <c r="B102" s="768" t="s">
        <v>2345</v>
      </c>
      <c r="C102" s="754" t="s">
        <v>2020</v>
      </c>
      <c r="D102" s="768" t="s">
        <v>2401</v>
      </c>
      <c r="E102" s="776" t="s">
        <v>2019</v>
      </c>
      <c r="F102" s="770"/>
      <c r="G102" s="770">
        <v>43414</v>
      </c>
      <c r="H102" s="771">
        <v>69594</v>
      </c>
      <c r="I102" s="460"/>
      <c r="J102" s="756"/>
      <c r="K102" s="756">
        <f t="shared" si="11"/>
        <v>69594</v>
      </c>
      <c r="L102" s="772">
        <v>43414</v>
      </c>
      <c r="M102" s="759">
        <v>35629.267972602742</v>
      </c>
      <c r="N102" s="758">
        <f t="shared" si="17"/>
        <v>33964.732027397258</v>
      </c>
      <c r="O102" s="452">
        <f t="shared" si="12"/>
        <v>1969</v>
      </c>
      <c r="P102" s="452">
        <v>8</v>
      </c>
      <c r="Q102" s="453">
        <f t="shared" si="13"/>
        <v>5.3945205479452056</v>
      </c>
      <c r="R102" s="453">
        <f t="shared" si="14"/>
        <v>2.6054794520547944</v>
      </c>
      <c r="S102" s="455">
        <f t="shared" si="15"/>
        <v>0.11874999999999999</v>
      </c>
      <c r="T102" s="759">
        <f t="shared" si="10"/>
        <v>8264.2875000000004</v>
      </c>
      <c r="U102" s="756">
        <f t="shared" si="16"/>
        <v>25700.44452739726</v>
      </c>
      <c r="V102" s="760"/>
    </row>
    <row r="103" spans="1:22" ht="16.5">
      <c r="A103" s="460">
        <f t="shared" si="18"/>
        <v>96</v>
      </c>
      <c r="B103" s="768" t="s">
        <v>2345</v>
      </c>
      <c r="C103" s="754" t="s">
        <v>2020</v>
      </c>
      <c r="D103" s="768" t="s">
        <v>2401</v>
      </c>
      <c r="E103" s="776" t="s">
        <v>2019</v>
      </c>
      <c r="F103" s="770"/>
      <c r="G103" s="770">
        <v>43414</v>
      </c>
      <c r="H103" s="771">
        <v>69594</v>
      </c>
      <c r="I103" s="460"/>
      <c r="J103" s="756"/>
      <c r="K103" s="756">
        <f t="shared" si="11"/>
        <v>69594</v>
      </c>
      <c r="L103" s="772">
        <v>43414</v>
      </c>
      <c r="M103" s="759">
        <v>35629.267972602742</v>
      </c>
      <c r="N103" s="758">
        <f t="shared" si="17"/>
        <v>33964.732027397258</v>
      </c>
      <c r="O103" s="452">
        <f t="shared" si="12"/>
        <v>1969</v>
      </c>
      <c r="P103" s="452">
        <v>8</v>
      </c>
      <c r="Q103" s="453">
        <f t="shared" si="13"/>
        <v>5.3945205479452056</v>
      </c>
      <c r="R103" s="453">
        <f t="shared" si="14"/>
        <v>2.6054794520547944</v>
      </c>
      <c r="S103" s="455">
        <f t="shared" si="15"/>
        <v>0.11874999999999999</v>
      </c>
      <c r="T103" s="759">
        <f t="shared" si="10"/>
        <v>8264.2875000000004</v>
      </c>
      <c r="U103" s="756">
        <f t="shared" si="16"/>
        <v>25700.44452739726</v>
      </c>
      <c r="V103" s="760"/>
    </row>
    <row r="104" spans="1:22" ht="16.5">
      <c r="A104" s="460">
        <f t="shared" si="18"/>
        <v>97</v>
      </c>
      <c r="B104" s="768" t="s">
        <v>2345</v>
      </c>
      <c r="C104" s="754" t="s">
        <v>2020</v>
      </c>
      <c r="D104" s="768" t="s">
        <v>2401</v>
      </c>
      <c r="E104" s="776" t="s">
        <v>2019</v>
      </c>
      <c r="F104" s="770"/>
      <c r="G104" s="770">
        <v>43431</v>
      </c>
      <c r="H104" s="771">
        <v>69594</v>
      </c>
      <c r="I104" s="460"/>
      <c r="J104" s="756"/>
      <c r="K104" s="756">
        <f t="shared" si="11"/>
        <v>69594</v>
      </c>
      <c r="L104" s="772">
        <v>43431</v>
      </c>
      <c r="M104" s="759">
        <v>35321.338356164379</v>
      </c>
      <c r="N104" s="758">
        <f t="shared" si="17"/>
        <v>34272.661643835621</v>
      </c>
      <c r="O104" s="452">
        <f t="shared" si="12"/>
        <v>1952</v>
      </c>
      <c r="P104" s="452">
        <v>8</v>
      </c>
      <c r="Q104" s="453">
        <f t="shared" si="13"/>
        <v>5.3479452054794523</v>
      </c>
      <c r="R104" s="453">
        <f t="shared" si="14"/>
        <v>2.6520547945205477</v>
      </c>
      <c r="S104" s="455">
        <f t="shared" si="15"/>
        <v>0.11874999999999999</v>
      </c>
      <c r="T104" s="759">
        <f t="shared" si="10"/>
        <v>8264.2875000000004</v>
      </c>
      <c r="U104" s="756">
        <f t="shared" si="16"/>
        <v>26008.374143835623</v>
      </c>
      <c r="V104" s="760"/>
    </row>
    <row r="105" spans="1:22" ht="16.5">
      <c r="A105" s="460">
        <f t="shared" si="18"/>
        <v>98</v>
      </c>
      <c r="B105" s="768" t="s">
        <v>2345</v>
      </c>
      <c r="C105" s="754" t="s">
        <v>2020</v>
      </c>
      <c r="D105" s="768" t="s">
        <v>2401</v>
      </c>
      <c r="E105" s="776" t="s">
        <v>2019</v>
      </c>
      <c r="F105" s="770"/>
      <c r="G105" s="770">
        <v>43431</v>
      </c>
      <c r="H105" s="771">
        <v>69594</v>
      </c>
      <c r="I105" s="460"/>
      <c r="J105" s="756"/>
      <c r="K105" s="756">
        <f t="shared" si="11"/>
        <v>69594</v>
      </c>
      <c r="L105" s="772">
        <v>43431</v>
      </c>
      <c r="M105" s="759">
        <v>35321.338356164379</v>
      </c>
      <c r="N105" s="758">
        <f t="shared" si="17"/>
        <v>34272.661643835621</v>
      </c>
      <c r="O105" s="452">
        <f t="shared" si="12"/>
        <v>1952</v>
      </c>
      <c r="P105" s="452">
        <v>8</v>
      </c>
      <c r="Q105" s="453">
        <f t="shared" si="13"/>
        <v>5.3479452054794523</v>
      </c>
      <c r="R105" s="453">
        <f t="shared" si="14"/>
        <v>2.6520547945205477</v>
      </c>
      <c r="S105" s="455">
        <f t="shared" si="15"/>
        <v>0.11874999999999999</v>
      </c>
      <c r="T105" s="759">
        <f t="shared" si="10"/>
        <v>8264.2875000000004</v>
      </c>
      <c r="U105" s="756">
        <f t="shared" si="16"/>
        <v>26008.374143835623</v>
      </c>
      <c r="V105" s="760"/>
    </row>
    <row r="106" spans="1:22" ht="16.5">
      <c r="A106" s="460">
        <f t="shared" si="18"/>
        <v>99</v>
      </c>
      <c r="B106" s="768" t="s">
        <v>2345</v>
      </c>
      <c r="C106" s="754" t="s">
        <v>2020</v>
      </c>
      <c r="D106" s="768" t="s">
        <v>2401</v>
      </c>
      <c r="E106" s="776" t="s">
        <v>2019</v>
      </c>
      <c r="F106" s="770"/>
      <c r="G106" s="770">
        <v>43431</v>
      </c>
      <c r="H106" s="771">
        <v>69594</v>
      </c>
      <c r="I106" s="460"/>
      <c r="J106" s="756"/>
      <c r="K106" s="756">
        <f t="shared" si="11"/>
        <v>69594</v>
      </c>
      <c r="L106" s="772">
        <v>43431</v>
      </c>
      <c r="M106" s="759">
        <v>35321.338356164379</v>
      </c>
      <c r="N106" s="758">
        <f t="shared" si="17"/>
        <v>34272.661643835621</v>
      </c>
      <c r="O106" s="452">
        <f t="shared" si="12"/>
        <v>1952</v>
      </c>
      <c r="P106" s="452">
        <v>8</v>
      </c>
      <c r="Q106" s="453">
        <f t="shared" si="13"/>
        <v>5.3479452054794523</v>
      </c>
      <c r="R106" s="453">
        <f t="shared" si="14"/>
        <v>2.6520547945205477</v>
      </c>
      <c r="S106" s="455">
        <f t="shared" si="15"/>
        <v>0.11874999999999999</v>
      </c>
      <c r="T106" s="759">
        <f t="shared" si="10"/>
        <v>8264.2875000000004</v>
      </c>
      <c r="U106" s="756">
        <f t="shared" si="16"/>
        <v>26008.374143835623</v>
      </c>
      <c r="V106" s="760"/>
    </row>
    <row r="107" spans="1:22" ht="16.5">
      <c r="A107" s="460">
        <f t="shared" si="18"/>
        <v>100</v>
      </c>
      <c r="B107" s="768" t="s">
        <v>2345</v>
      </c>
      <c r="C107" s="754" t="s">
        <v>2020</v>
      </c>
      <c r="D107" s="768" t="s">
        <v>2401</v>
      </c>
      <c r="E107" s="769" t="s">
        <v>2019</v>
      </c>
      <c r="F107" s="770"/>
      <c r="G107" s="770">
        <v>43469</v>
      </c>
      <c r="H107" s="771">
        <v>69441</v>
      </c>
      <c r="I107" s="460"/>
      <c r="J107" s="756"/>
      <c r="K107" s="756">
        <f t="shared" si="11"/>
        <v>69441</v>
      </c>
      <c r="L107" s="772">
        <v>43469</v>
      </c>
      <c r="M107" s="759">
        <v>34556.8855890411</v>
      </c>
      <c r="N107" s="758">
        <f t="shared" si="17"/>
        <v>34884.1144109589</v>
      </c>
      <c r="O107" s="452">
        <f t="shared" si="12"/>
        <v>1914</v>
      </c>
      <c r="P107" s="452">
        <v>8</v>
      </c>
      <c r="Q107" s="453">
        <f t="shared" si="13"/>
        <v>5.2438356164383562</v>
      </c>
      <c r="R107" s="453">
        <f t="shared" si="14"/>
        <v>2.7561643835616438</v>
      </c>
      <c r="S107" s="455">
        <f t="shared" si="15"/>
        <v>0.11874999999999999</v>
      </c>
      <c r="T107" s="759">
        <f t="shared" si="10"/>
        <v>8246.1187499999996</v>
      </c>
      <c r="U107" s="756">
        <f t="shared" si="16"/>
        <v>26637.995660958899</v>
      </c>
      <c r="V107" s="760"/>
    </row>
    <row r="108" spans="1:22" ht="16.5">
      <c r="A108" s="460">
        <f t="shared" si="18"/>
        <v>101</v>
      </c>
      <c r="B108" s="768" t="s">
        <v>2345</v>
      </c>
      <c r="C108" s="754" t="s">
        <v>2020</v>
      </c>
      <c r="D108" s="768" t="s">
        <v>2401</v>
      </c>
      <c r="E108" s="769" t="s">
        <v>2019</v>
      </c>
      <c r="F108" s="770"/>
      <c r="G108" s="770">
        <v>43469</v>
      </c>
      <c r="H108" s="771">
        <v>69441</v>
      </c>
      <c r="I108" s="460"/>
      <c r="J108" s="756"/>
      <c r="K108" s="756">
        <f t="shared" si="11"/>
        <v>69441</v>
      </c>
      <c r="L108" s="772">
        <v>43469</v>
      </c>
      <c r="M108" s="759">
        <v>34556.8855890411</v>
      </c>
      <c r="N108" s="758">
        <f t="shared" si="17"/>
        <v>34884.1144109589</v>
      </c>
      <c r="O108" s="452">
        <f t="shared" si="12"/>
        <v>1914</v>
      </c>
      <c r="P108" s="452">
        <v>8</v>
      </c>
      <c r="Q108" s="453">
        <f t="shared" si="13"/>
        <v>5.2438356164383562</v>
      </c>
      <c r="R108" s="453">
        <f t="shared" si="14"/>
        <v>2.7561643835616438</v>
      </c>
      <c r="S108" s="455">
        <f t="shared" si="15"/>
        <v>0.11874999999999999</v>
      </c>
      <c r="T108" s="759">
        <f t="shared" si="10"/>
        <v>8246.1187499999996</v>
      </c>
      <c r="U108" s="756">
        <f t="shared" si="16"/>
        <v>26637.995660958899</v>
      </c>
      <c r="V108" s="760"/>
    </row>
    <row r="109" spans="1:22" ht="16.5">
      <c r="A109" s="460">
        <f t="shared" si="18"/>
        <v>102</v>
      </c>
      <c r="B109" s="768" t="s">
        <v>2345</v>
      </c>
      <c r="C109" s="754" t="s">
        <v>2020</v>
      </c>
      <c r="D109" s="768" t="s">
        <v>2390</v>
      </c>
      <c r="E109" s="769" t="s">
        <v>2049</v>
      </c>
      <c r="F109" s="770"/>
      <c r="G109" s="770">
        <v>43416</v>
      </c>
      <c r="H109" s="771">
        <v>58598</v>
      </c>
      <c r="I109" s="460"/>
      <c r="J109" s="756"/>
      <c r="K109" s="756">
        <f t="shared" si="11"/>
        <v>58598</v>
      </c>
      <c r="L109" s="772">
        <v>43416</v>
      </c>
      <c r="M109" s="759">
        <v>29969.26479452055</v>
      </c>
      <c r="N109" s="758">
        <f t="shared" si="17"/>
        <v>28628.73520547945</v>
      </c>
      <c r="O109" s="452">
        <f t="shared" si="12"/>
        <v>1967</v>
      </c>
      <c r="P109" s="452">
        <v>8</v>
      </c>
      <c r="Q109" s="453">
        <f t="shared" si="13"/>
        <v>5.3890410958904109</v>
      </c>
      <c r="R109" s="453">
        <f t="shared" si="14"/>
        <v>2.6109589041095891</v>
      </c>
      <c r="S109" s="455">
        <f t="shared" si="15"/>
        <v>0.11874999999999999</v>
      </c>
      <c r="T109" s="759">
        <f t="shared" si="10"/>
        <v>6958.5124999999998</v>
      </c>
      <c r="U109" s="756">
        <f t="shared" si="16"/>
        <v>21670.222705479449</v>
      </c>
      <c r="V109" s="760"/>
    </row>
    <row r="110" spans="1:22" ht="16.5">
      <c r="A110" s="460">
        <f t="shared" si="18"/>
        <v>103</v>
      </c>
      <c r="B110" s="768" t="s">
        <v>2345</v>
      </c>
      <c r="C110" s="754" t="s">
        <v>2020</v>
      </c>
      <c r="D110" s="768" t="s">
        <v>2390</v>
      </c>
      <c r="E110" s="769" t="s">
        <v>2049</v>
      </c>
      <c r="F110" s="770"/>
      <c r="G110" s="770">
        <v>43416</v>
      </c>
      <c r="H110" s="771">
        <v>58598</v>
      </c>
      <c r="I110" s="460"/>
      <c r="J110" s="756"/>
      <c r="K110" s="756">
        <f t="shared" si="11"/>
        <v>58598</v>
      </c>
      <c r="L110" s="772">
        <v>43416</v>
      </c>
      <c r="M110" s="759">
        <v>29969.26479452055</v>
      </c>
      <c r="N110" s="758">
        <f t="shared" si="17"/>
        <v>28628.73520547945</v>
      </c>
      <c r="O110" s="452">
        <f t="shared" si="12"/>
        <v>1967</v>
      </c>
      <c r="P110" s="452">
        <v>8</v>
      </c>
      <c r="Q110" s="453">
        <f t="shared" si="13"/>
        <v>5.3890410958904109</v>
      </c>
      <c r="R110" s="453">
        <f t="shared" si="14"/>
        <v>2.6109589041095891</v>
      </c>
      <c r="S110" s="455">
        <f t="shared" si="15"/>
        <v>0.11874999999999999</v>
      </c>
      <c r="T110" s="759">
        <f t="shared" ref="T110:T173" si="19">+K110*S110</f>
        <v>6958.5124999999998</v>
      </c>
      <c r="U110" s="756">
        <f t="shared" si="16"/>
        <v>21670.222705479449</v>
      </c>
      <c r="V110" s="760"/>
    </row>
    <row r="111" spans="1:22" ht="16.5">
      <c r="A111" s="460">
        <f t="shared" si="18"/>
        <v>104</v>
      </c>
      <c r="B111" s="768" t="s">
        <v>2345</v>
      </c>
      <c r="C111" s="754" t="s">
        <v>2020</v>
      </c>
      <c r="D111" s="768" t="s">
        <v>2390</v>
      </c>
      <c r="E111" s="769" t="s">
        <v>2049</v>
      </c>
      <c r="F111" s="770"/>
      <c r="G111" s="770">
        <v>43416</v>
      </c>
      <c r="H111" s="771">
        <v>58598</v>
      </c>
      <c r="I111" s="460"/>
      <c r="J111" s="756"/>
      <c r="K111" s="756">
        <f t="shared" si="11"/>
        <v>58598</v>
      </c>
      <c r="L111" s="772">
        <v>43416</v>
      </c>
      <c r="M111" s="759">
        <v>29969.26479452055</v>
      </c>
      <c r="N111" s="758">
        <f t="shared" si="17"/>
        <v>28628.73520547945</v>
      </c>
      <c r="O111" s="452">
        <f t="shared" si="12"/>
        <v>1967</v>
      </c>
      <c r="P111" s="452">
        <v>8</v>
      </c>
      <c r="Q111" s="453">
        <f t="shared" si="13"/>
        <v>5.3890410958904109</v>
      </c>
      <c r="R111" s="453">
        <f t="shared" si="14"/>
        <v>2.6109589041095891</v>
      </c>
      <c r="S111" s="455">
        <f t="shared" si="15"/>
        <v>0.11874999999999999</v>
      </c>
      <c r="T111" s="759">
        <f t="shared" si="19"/>
        <v>6958.5124999999998</v>
      </c>
      <c r="U111" s="756">
        <f t="shared" si="16"/>
        <v>21670.222705479449</v>
      </c>
      <c r="V111" s="760"/>
    </row>
    <row r="112" spans="1:22" ht="16.5">
      <c r="A112" s="460">
        <f t="shared" si="18"/>
        <v>105</v>
      </c>
      <c r="B112" s="768" t="s">
        <v>2345</v>
      </c>
      <c r="C112" s="754" t="s">
        <v>2020</v>
      </c>
      <c r="D112" s="768" t="s">
        <v>2402</v>
      </c>
      <c r="E112" s="769" t="s">
        <v>20</v>
      </c>
      <c r="F112" s="770"/>
      <c r="G112" s="770">
        <v>43391</v>
      </c>
      <c r="H112" s="771">
        <v>75220</v>
      </c>
      <c r="I112" s="460"/>
      <c r="J112" s="756"/>
      <c r="K112" s="756">
        <f t="shared" si="11"/>
        <v>75220</v>
      </c>
      <c r="L112" s="772">
        <v>43391</v>
      </c>
      <c r="M112" s="759">
        <v>38959.838356164386</v>
      </c>
      <c r="N112" s="758">
        <f t="shared" si="17"/>
        <v>36260.161643835614</v>
      </c>
      <c r="O112" s="452">
        <f t="shared" si="12"/>
        <v>1992</v>
      </c>
      <c r="P112" s="452">
        <v>8</v>
      </c>
      <c r="Q112" s="453">
        <f t="shared" si="13"/>
        <v>5.4575342465753423</v>
      </c>
      <c r="R112" s="453">
        <f t="shared" si="14"/>
        <v>2.5424657534246577</v>
      </c>
      <c r="S112" s="455">
        <f t="shared" si="15"/>
        <v>0.11874999999999999</v>
      </c>
      <c r="T112" s="759">
        <f t="shared" si="19"/>
        <v>8932.375</v>
      </c>
      <c r="U112" s="756">
        <f t="shared" si="16"/>
        <v>27327.786643835614</v>
      </c>
      <c r="V112" s="760"/>
    </row>
    <row r="113" spans="1:22" ht="16.5">
      <c r="A113" s="460">
        <f t="shared" si="18"/>
        <v>106</v>
      </c>
      <c r="B113" s="768" t="s">
        <v>2345</v>
      </c>
      <c r="C113" s="754" t="s">
        <v>2020</v>
      </c>
      <c r="D113" s="768" t="s">
        <v>2402</v>
      </c>
      <c r="E113" s="769" t="s">
        <v>20</v>
      </c>
      <c r="F113" s="770"/>
      <c r="G113" s="770">
        <v>43404</v>
      </c>
      <c r="H113" s="771">
        <v>74820</v>
      </c>
      <c r="I113" s="460"/>
      <c r="J113" s="756"/>
      <c r="K113" s="756">
        <f t="shared" si="11"/>
        <v>74820</v>
      </c>
      <c r="L113" s="772">
        <v>43404</v>
      </c>
      <c r="M113" s="759">
        <v>38499.502191780819</v>
      </c>
      <c r="N113" s="758">
        <f t="shared" si="17"/>
        <v>36320.497808219181</v>
      </c>
      <c r="O113" s="452">
        <f t="shared" si="12"/>
        <v>1979</v>
      </c>
      <c r="P113" s="452">
        <v>8</v>
      </c>
      <c r="Q113" s="453">
        <f t="shared" si="13"/>
        <v>5.4219178082191783</v>
      </c>
      <c r="R113" s="453">
        <f t="shared" si="14"/>
        <v>2.5780821917808217</v>
      </c>
      <c r="S113" s="455">
        <f t="shared" si="15"/>
        <v>0.11874999999999999</v>
      </c>
      <c r="T113" s="759">
        <f t="shared" si="19"/>
        <v>8884.875</v>
      </c>
      <c r="U113" s="756">
        <f t="shared" si="16"/>
        <v>27435.622808219181</v>
      </c>
      <c r="V113" s="760"/>
    </row>
    <row r="114" spans="1:22" ht="16.5">
      <c r="A114" s="460">
        <f t="shared" si="18"/>
        <v>107</v>
      </c>
      <c r="B114" s="768" t="s">
        <v>2345</v>
      </c>
      <c r="C114" s="754" t="s">
        <v>2020</v>
      </c>
      <c r="D114" s="768" t="s">
        <v>2402</v>
      </c>
      <c r="E114" s="769" t="s">
        <v>20</v>
      </c>
      <c r="F114" s="770"/>
      <c r="G114" s="770">
        <v>43404</v>
      </c>
      <c r="H114" s="771">
        <v>74820</v>
      </c>
      <c r="I114" s="460"/>
      <c r="J114" s="756"/>
      <c r="K114" s="756">
        <f t="shared" si="11"/>
        <v>74820</v>
      </c>
      <c r="L114" s="772">
        <v>43404</v>
      </c>
      <c r="M114" s="759">
        <v>38499.502191780819</v>
      </c>
      <c r="N114" s="758">
        <f t="shared" si="17"/>
        <v>36320.497808219181</v>
      </c>
      <c r="O114" s="452">
        <f t="shared" si="12"/>
        <v>1979</v>
      </c>
      <c r="P114" s="452">
        <v>8</v>
      </c>
      <c r="Q114" s="453">
        <f t="shared" si="13"/>
        <v>5.4219178082191783</v>
      </c>
      <c r="R114" s="453">
        <f t="shared" si="14"/>
        <v>2.5780821917808217</v>
      </c>
      <c r="S114" s="455">
        <f t="shared" si="15"/>
        <v>0.11874999999999999</v>
      </c>
      <c r="T114" s="759">
        <f t="shared" si="19"/>
        <v>8884.875</v>
      </c>
      <c r="U114" s="756">
        <f t="shared" si="16"/>
        <v>27435.622808219181</v>
      </c>
      <c r="V114" s="760"/>
    </row>
    <row r="115" spans="1:22" ht="16.5">
      <c r="A115" s="460">
        <f t="shared" si="18"/>
        <v>108</v>
      </c>
      <c r="B115" s="768" t="s">
        <v>2345</v>
      </c>
      <c r="C115" s="754" t="s">
        <v>2020</v>
      </c>
      <c r="D115" s="768" t="s">
        <v>2402</v>
      </c>
      <c r="E115" s="769" t="s">
        <v>20</v>
      </c>
      <c r="F115" s="770"/>
      <c r="G115" s="770">
        <v>43404</v>
      </c>
      <c r="H115" s="771">
        <v>74820</v>
      </c>
      <c r="I115" s="460"/>
      <c r="J115" s="756"/>
      <c r="K115" s="756">
        <f t="shared" si="11"/>
        <v>74820</v>
      </c>
      <c r="L115" s="772">
        <v>43404</v>
      </c>
      <c r="M115" s="759">
        <v>38499.502191780819</v>
      </c>
      <c r="N115" s="758">
        <f t="shared" si="17"/>
        <v>36320.497808219181</v>
      </c>
      <c r="O115" s="452">
        <f t="shared" si="12"/>
        <v>1979</v>
      </c>
      <c r="P115" s="452">
        <v>8</v>
      </c>
      <c r="Q115" s="453">
        <f t="shared" si="13"/>
        <v>5.4219178082191783</v>
      </c>
      <c r="R115" s="453">
        <f t="shared" si="14"/>
        <v>2.5780821917808217</v>
      </c>
      <c r="S115" s="455">
        <f t="shared" si="15"/>
        <v>0.11874999999999999</v>
      </c>
      <c r="T115" s="759">
        <f t="shared" si="19"/>
        <v>8884.875</v>
      </c>
      <c r="U115" s="756">
        <f t="shared" si="16"/>
        <v>27435.622808219181</v>
      </c>
      <c r="V115" s="760"/>
    </row>
    <row r="116" spans="1:22" ht="16.5">
      <c r="A116" s="460">
        <f t="shared" si="18"/>
        <v>109</v>
      </c>
      <c r="B116" s="768" t="s">
        <v>2345</v>
      </c>
      <c r="C116" s="754" t="s">
        <v>2020</v>
      </c>
      <c r="D116" s="768" t="s">
        <v>2402</v>
      </c>
      <c r="E116" s="769" t="s">
        <v>20</v>
      </c>
      <c r="F116" s="770"/>
      <c r="G116" s="770">
        <v>43404</v>
      </c>
      <c r="H116" s="771">
        <v>74822</v>
      </c>
      <c r="I116" s="460"/>
      <c r="J116" s="756"/>
      <c r="K116" s="756">
        <f t="shared" si="11"/>
        <v>74822</v>
      </c>
      <c r="L116" s="772">
        <v>43404</v>
      </c>
      <c r="M116" s="759">
        <v>38500.531315068489</v>
      </c>
      <c r="N116" s="758">
        <f t="shared" si="17"/>
        <v>36321.468684931511</v>
      </c>
      <c r="O116" s="452">
        <f t="shared" si="12"/>
        <v>1979</v>
      </c>
      <c r="P116" s="452">
        <v>8</v>
      </c>
      <c r="Q116" s="453">
        <f t="shared" si="13"/>
        <v>5.4219178082191783</v>
      </c>
      <c r="R116" s="453">
        <f t="shared" si="14"/>
        <v>2.5780821917808217</v>
      </c>
      <c r="S116" s="455">
        <f t="shared" si="15"/>
        <v>0.11874999999999999</v>
      </c>
      <c r="T116" s="759">
        <f t="shared" si="19"/>
        <v>8885.1124999999993</v>
      </c>
      <c r="U116" s="756">
        <f t="shared" si="16"/>
        <v>27436.356184931512</v>
      </c>
      <c r="V116" s="760"/>
    </row>
    <row r="117" spans="1:22" ht="16.5">
      <c r="A117" s="460">
        <f t="shared" si="18"/>
        <v>110</v>
      </c>
      <c r="B117" s="768" t="s">
        <v>2403</v>
      </c>
      <c r="C117" s="754" t="s">
        <v>2020</v>
      </c>
      <c r="D117" s="768" t="s">
        <v>2402</v>
      </c>
      <c r="E117" s="769" t="s">
        <v>20</v>
      </c>
      <c r="F117" s="770"/>
      <c r="G117" s="770">
        <v>43448</v>
      </c>
      <c r="H117" s="771">
        <v>874496</v>
      </c>
      <c r="I117" s="460"/>
      <c r="J117" s="756"/>
      <c r="K117" s="756">
        <f t="shared" si="11"/>
        <v>874496</v>
      </c>
      <c r="L117" s="772">
        <v>43448</v>
      </c>
      <c r="M117" s="759">
        <v>446112.75397260278</v>
      </c>
      <c r="N117" s="758">
        <f t="shared" si="17"/>
        <v>428383.24602739722</v>
      </c>
      <c r="O117" s="452">
        <f t="shared" si="12"/>
        <v>1935</v>
      </c>
      <c r="P117" s="452">
        <v>8</v>
      </c>
      <c r="Q117" s="453">
        <f t="shared" si="13"/>
        <v>5.3013698630136989</v>
      </c>
      <c r="R117" s="453">
        <f t="shared" si="14"/>
        <v>2.6986301369863011</v>
      </c>
      <c r="S117" s="455">
        <f t="shared" si="15"/>
        <v>0.11874999999999999</v>
      </c>
      <c r="T117" s="759">
        <f t="shared" si="19"/>
        <v>103846.39999999999</v>
      </c>
      <c r="U117" s="756">
        <f t="shared" si="16"/>
        <v>324536.8460273972</v>
      </c>
      <c r="V117" s="760"/>
    </row>
    <row r="118" spans="1:22" ht="16.5">
      <c r="A118" s="460">
        <f t="shared" si="18"/>
        <v>111</v>
      </c>
      <c r="B118" s="768" t="s">
        <v>2403</v>
      </c>
      <c r="C118" s="754" t="s">
        <v>2020</v>
      </c>
      <c r="D118" s="768" t="s">
        <v>2402</v>
      </c>
      <c r="E118" s="769" t="s">
        <v>20</v>
      </c>
      <c r="F118" s="770"/>
      <c r="G118" s="770">
        <v>43448</v>
      </c>
      <c r="H118" s="771">
        <v>874496</v>
      </c>
      <c r="I118" s="460"/>
      <c r="J118" s="756"/>
      <c r="K118" s="756">
        <f t="shared" si="11"/>
        <v>874496</v>
      </c>
      <c r="L118" s="772">
        <v>43448</v>
      </c>
      <c r="M118" s="759">
        <v>446112.75397260278</v>
      </c>
      <c r="N118" s="758">
        <f t="shared" si="17"/>
        <v>428383.24602739722</v>
      </c>
      <c r="O118" s="452">
        <f t="shared" si="12"/>
        <v>1935</v>
      </c>
      <c r="P118" s="452">
        <v>8</v>
      </c>
      <c r="Q118" s="453">
        <f t="shared" si="13"/>
        <v>5.3013698630136989</v>
      </c>
      <c r="R118" s="453">
        <f t="shared" si="14"/>
        <v>2.6986301369863011</v>
      </c>
      <c r="S118" s="455">
        <f t="shared" si="15"/>
        <v>0.11874999999999999</v>
      </c>
      <c r="T118" s="759">
        <f t="shared" si="19"/>
        <v>103846.39999999999</v>
      </c>
      <c r="U118" s="756">
        <f t="shared" si="16"/>
        <v>324536.8460273972</v>
      </c>
      <c r="V118" s="760"/>
    </row>
    <row r="119" spans="1:22" ht="16.5">
      <c r="A119" s="460">
        <f t="shared" si="18"/>
        <v>112</v>
      </c>
      <c r="B119" s="768" t="s">
        <v>1254</v>
      </c>
      <c r="C119" s="754" t="s">
        <v>2020</v>
      </c>
      <c r="D119" s="768" t="s">
        <v>2402</v>
      </c>
      <c r="E119" s="769" t="s">
        <v>20</v>
      </c>
      <c r="F119" s="770"/>
      <c r="G119" s="770">
        <v>43521</v>
      </c>
      <c r="H119" s="771">
        <v>585425</v>
      </c>
      <c r="I119" s="460"/>
      <c r="J119" s="756"/>
      <c r="K119" s="756">
        <f t="shared" si="11"/>
        <v>585425</v>
      </c>
      <c r="L119" s="772">
        <v>43521</v>
      </c>
      <c r="M119" s="759">
        <v>284743.10145547945</v>
      </c>
      <c r="N119" s="758">
        <f t="shared" si="17"/>
        <v>300681.89854452055</v>
      </c>
      <c r="O119" s="452">
        <f t="shared" si="12"/>
        <v>1862</v>
      </c>
      <c r="P119" s="452">
        <v>8</v>
      </c>
      <c r="Q119" s="453">
        <f t="shared" si="13"/>
        <v>5.1013698630136988</v>
      </c>
      <c r="R119" s="453">
        <f t="shared" si="14"/>
        <v>2.8986301369863012</v>
      </c>
      <c r="S119" s="455">
        <f t="shared" si="15"/>
        <v>0.11874999999999999</v>
      </c>
      <c r="T119" s="759">
        <f t="shared" si="19"/>
        <v>69519.21875</v>
      </c>
      <c r="U119" s="756">
        <f t="shared" si="16"/>
        <v>231162.67979452055</v>
      </c>
      <c r="V119" s="760"/>
    </row>
    <row r="120" spans="1:22" ht="16.5">
      <c r="A120" s="460">
        <f t="shared" si="18"/>
        <v>113</v>
      </c>
      <c r="B120" s="768" t="s">
        <v>1254</v>
      </c>
      <c r="C120" s="754" t="s">
        <v>2020</v>
      </c>
      <c r="D120" s="768" t="s">
        <v>2402</v>
      </c>
      <c r="E120" s="769" t="s">
        <v>20</v>
      </c>
      <c r="F120" s="770"/>
      <c r="G120" s="770">
        <v>43465</v>
      </c>
      <c r="H120" s="771">
        <v>695616</v>
      </c>
      <c r="I120" s="460"/>
      <c r="J120" s="756"/>
      <c r="K120" s="756">
        <f t="shared" si="11"/>
        <v>695616</v>
      </c>
      <c r="L120" s="772">
        <v>43465</v>
      </c>
      <c r="M120" s="759">
        <v>351012.12164383556</v>
      </c>
      <c r="N120" s="758">
        <f t="shared" si="17"/>
        <v>344603.87835616444</v>
      </c>
      <c r="O120" s="452">
        <f t="shared" si="12"/>
        <v>1918</v>
      </c>
      <c r="P120" s="452">
        <v>8</v>
      </c>
      <c r="Q120" s="453">
        <f t="shared" si="13"/>
        <v>5.2547945205479456</v>
      </c>
      <c r="R120" s="453">
        <f t="shared" si="14"/>
        <v>2.7452054794520544</v>
      </c>
      <c r="S120" s="455">
        <f t="shared" si="15"/>
        <v>0.11874999999999999</v>
      </c>
      <c r="T120" s="759">
        <f t="shared" si="19"/>
        <v>82604.399999999994</v>
      </c>
      <c r="U120" s="756">
        <f t="shared" si="16"/>
        <v>261999.47835616444</v>
      </c>
      <c r="V120" s="760"/>
    </row>
    <row r="121" spans="1:22" ht="16.5">
      <c r="A121" s="460">
        <f t="shared" si="18"/>
        <v>114</v>
      </c>
      <c r="B121" s="768" t="s">
        <v>2345</v>
      </c>
      <c r="C121" s="754" t="s">
        <v>2020</v>
      </c>
      <c r="D121" s="768" t="s">
        <v>2404</v>
      </c>
      <c r="E121" s="769" t="s">
        <v>2014</v>
      </c>
      <c r="F121" s="770"/>
      <c r="G121" s="770">
        <v>43402</v>
      </c>
      <c r="H121" s="771">
        <v>75858</v>
      </c>
      <c r="I121" s="460"/>
      <c r="J121" s="756"/>
      <c r="K121" s="756">
        <f t="shared" si="11"/>
        <v>75858</v>
      </c>
      <c r="L121" s="772">
        <v>43402</v>
      </c>
      <c r="M121" s="759">
        <v>39073.104904109583</v>
      </c>
      <c r="N121" s="758">
        <f t="shared" si="17"/>
        <v>36784.895095890417</v>
      </c>
      <c r="O121" s="452">
        <f t="shared" si="12"/>
        <v>1981</v>
      </c>
      <c r="P121" s="452">
        <v>8</v>
      </c>
      <c r="Q121" s="453">
        <f t="shared" si="13"/>
        <v>5.4273972602739722</v>
      </c>
      <c r="R121" s="453">
        <f t="shared" si="14"/>
        <v>2.5726027397260278</v>
      </c>
      <c r="S121" s="455">
        <f t="shared" si="15"/>
        <v>0.11874999999999999</v>
      </c>
      <c r="T121" s="759">
        <f t="shared" si="19"/>
        <v>9008.1374999999989</v>
      </c>
      <c r="U121" s="756">
        <f t="shared" si="16"/>
        <v>27776.75759589042</v>
      </c>
      <c r="V121" s="760"/>
    </row>
    <row r="122" spans="1:22" ht="16.5">
      <c r="A122" s="460">
        <f t="shared" si="18"/>
        <v>115</v>
      </c>
      <c r="B122" s="768" t="s">
        <v>2345</v>
      </c>
      <c r="C122" s="754" t="s">
        <v>2020</v>
      </c>
      <c r="D122" s="768" t="s">
        <v>2405</v>
      </c>
      <c r="E122" s="769" t="s">
        <v>2014</v>
      </c>
      <c r="F122" s="770"/>
      <c r="G122" s="770">
        <v>43532</v>
      </c>
      <c r="H122" s="771">
        <v>74052</v>
      </c>
      <c r="I122" s="460"/>
      <c r="J122" s="756"/>
      <c r="K122" s="756">
        <f t="shared" si="11"/>
        <v>74052</v>
      </c>
      <c r="L122" s="772">
        <v>43532</v>
      </c>
      <c r="M122" s="759">
        <v>35637.271397260272</v>
      </c>
      <c r="N122" s="758">
        <f t="shared" si="17"/>
        <v>38414.728602739728</v>
      </c>
      <c r="O122" s="452">
        <f t="shared" si="12"/>
        <v>1851</v>
      </c>
      <c r="P122" s="452">
        <v>8</v>
      </c>
      <c r="Q122" s="453">
        <f t="shared" si="13"/>
        <v>5.0712328767123287</v>
      </c>
      <c r="R122" s="453">
        <f t="shared" si="14"/>
        <v>2.9287671232876713</v>
      </c>
      <c r="S122" s="455">
        <f t="shared" si="15"/>
        <v>0.11874999999999999</v>
      </c>
      <c r="T122" s="759">
        <f t="shared" si="19"/>
        <v>8793.6749999999993</v>
      </c>
      <c r="U122" s="756">
        <f t="shared" si="16"/>
        <v>29621.053602739728</v>
      </c>
      <c r="V122" s="760"/>
    </row>
    <row r="123" spans="1:22" ht="16.5">
      <c r="A123" s="460">
        <f t="shared" si="18"/>
        <v>116</v>
      </c>
      <c r="B123" s="768" t="s">
        <v>2345</v>
      </c>
      <c r="C123" s="754" t="s">
        <v>2020</v>
      </c>
      <c r="D123" s="768" t="s">
        <v>2405</v>
      </c>
      <c r="E123" s="769" t="s">
        <v>2014</v>
      </c>
      <c r="F123" s="770"/>
      <c r="G123" s="770">
        <v>43532</v>
      </c>
      <c r="H123" s="771">
        <v>74052</v>
      </c>
      <c r="I123" s="460"/>
      <c r="J123" s="756"/>
      <c r="K123" s="756">
        <f t="shared" si="11"/>
        <v>74052</v>
      </c>
      <c r="L123" s="772">
        <v>43532</v>
      </c>
      <c r="M123" s="759">
        <v>35637.271397260272</v>
      </c>
      <c r="N123" s="758">
        <f t="shared" si="17"/>
        <v>38414.728602739728</v>
      </c>
      <c r="O123" s="452">
        <f t="shared" si="12"/>
        <v>1851</v>
      </c>
      <c r="P123" s="452">
        <v>8</v>
      </c>
      <c r="Q123" s="453">
        <f t="shared" si="13"/>
        <v>5.0712328767123287</v>
      </c>
      <c r="R123" s="453">
        <f t="shared" si="14"/>
        <v>2.9287671232876713</v>
      </c>
      <c r="S123" s="455">
        <f t="shared" si="15"/>
        <v>0.11874999999999999</v>
      </c>
      <c r="T123" s="759">
        <f t="shared" si="19"/>
        <v>8793.6749999999993</v>
      </c>
      <c r="U123" s="756">
        <f t="shared" si="16"/>
        <v>29621.053602739728</v>
      </c>
      <c r="V123" s="760"/>
    </row>
    <row r="124" spans="1:22" ht="16.5">
      <c r="A124" s="460">
        <f t="shared" si="18"/>
        <v>117</v>
      </c>
      <c r="B124" s="768" t="s">
        <v>2406</v>
      </c>
      <c r="C124" s="754" t="s">
        <v>2020</v>
      </c>
      <c r="D124" s="768" t="s">
        <v>2407</v>
      </c>
      <c r="E124" s="769" t="s">
        <v>2394</v>
      </c>
      <c r="F124" s="770"/>
      <c r="G124" s="770">
        <v>43555</v>
      </c>
      <c r="H124" s="771">
        <v>720000</v>
      </c>
      <c r="I124" s="460"/>
      <c r="J124" s="756"/>
      <c r="K124" s="756">
        <f t="shared" si="11"/>
        <v>720000</v>
      </c>
      <c r="L124" s="772">
        <v>43555</v>
      </c>
      <c r="M124" s="759">
        <v>342234.24657534249</v>
      </c>
      <c r="N124" s="758">
        <f t="shared" si="17"/>
        <v>377765.75342465751</v>
      </c>
      <c r="O124" s="452">
        <f t="shared" si="12"/>
        <v>1828</v>
      </c>
      <c r="P124" s="452">
        <v>8</v>
      </c>
      <c r="Q124" s="453">
        <f t="shared" si="13"/>
        <v>5.0082191780821921</v>
      </c>
      <c r="R124" s="453">
        <f t="shared" si="14"/>
        <v>2.9917808219178079</v>
      </c>
      <c r="S124" s="455">
        <f t="shared" si="15"/>
        <v>0.11874999999999999</v>
      </c>
      <c r="T124" s="759">
        <f t="shared" si="19"/>
        <v>85500</v>
      </c>
      <c r="U124" s="756">
        <f t="shared" si="16"/>
        <v>292265.75342465751</v>
      </c>
      <c r="V124" s="760"/>
    </row>
    <row r="125" spans="1:22" ht="16.5">
      <c r="A125" s="460">
        <f t="shared" si="18"/>
        <v>118</v>
      </c>
      <c r="B125" s="768" t="s">
        <v>2406</v>
      </c>
      <c r="C125" s="754" t="s">
        <v>2020</v>
      </c>
      <c r="D125" s="768" t="s">
        <v>2407</v>
      </c>
      <c r="E125" s="769" t="s">
        <v>2394</v>
      </c>
      <c r="F125" s="770"/>
      <c r="G125" s="770">
        <v>43555</v>
      </c>
      <c r="H125" s="771">
        <v>765000</v>
      </c>
      <c r="I125" s="460"/>
      <c r="J125" s="756"/>
      <c r="K125" s="756">
        <f t="shared" si="11"/>
        <v>765000</v>
      </c>
      <c r="L125" s="772">
        <v>43555</v>
      </c>
      <c r="M125" s="759">
        <v>363623.8869863014</v>
      </c>
      <c r="N125" s="758">
        <f t="shared" si="17"/>
        <v>401376.1130136986</v>
      </c>
      <c r="O125" s="452">
        <f t="shared" si="12"/>
        <v>1828</v>
      </c>
      <c r="P125" s="452">
        <v>8</v>
      </c>
      <c r="Q125" s="453">
        <f t="shared" si="13"/>
        <v>5.0082191780821921</v>
      </c>
      <c r="R125" s="453">
        <f t="shared" si="14"/>
        <v>2.9917808219178079</v>
      </c>
      <c r="S125" s="455">
        <f t="shared" si="15"/>
        <v>0.11874999999999999</v>
      </c>
      <c r="T125" s="759">
        <f t="shared" si="19"/>
        <v>90843.75</v>
      </c>
      <c r="U125" s="756">
        <f t="shared" si="16"/>
        <v>310532.3630136986</v>
      </c>
      <c r="V125" s="760"/>
    </row>
    <row r="126" spans="1:22" ht="16.5">
      <c r="A126" s="460">
        <f t="shared" si="18"/>
        <v>119</v>
      </c>
      <c r="B126" s="768" t="s">
        <v>1254</v>
      </c>
      <c r="C126" s="754" t="s">
        <v>2020</v>
      </c>
      <c r="D126" s="768" t="s">
        <v>2408</v>
      </c>
      <c r="E126" s="769" t="s">
        <v>2394</v>
      </c>
      <c r="F126" s="770"/>
      <c r="G126" s="770">
        <v>43274</v>
      </c>
      <c r="H126" s="771">
        <v>688355</v>
      </c>
      <c r="I126" s="460"/>
      <c r="J126" s="756"/>
      <c r="K126" s="756">
        <f t="shared" si="11"/>
        <v>688355</v>
      </c>
      <c r="L126" s="772">
        <v>43274</v>
      </c>
      <c r="M126" s="759">
        <v>399144.86942270061</v>
      </c>
      <c r="N126" s="758">
        <f t="shared" si="17"/>
        <v>289210.13057729939</v>
      </c>
      <c r="O126" s="452">
        <f t="shared" si="12"/>
        <v>2109</v>
      </c>
      <c r="P126" s="452">
        <v>8</v>
      </c>
      <c r="Q126" s="453">
        <f t="shared" si="13"/>
        <v>5.7780821917808218</v>
      </c>
      <c r="R126" s="453">
        <f t="shared" si="14"/>
        <v>2.2219178082191782</v>
      </c>
      <c r="S126" s="455">
        <f t="shared" si="15"/>
        <v>0.11874999999999999</v>
      </c>
      <c r="T126" s="759">
        <f t="shared" si="19"/>
        <v>81742.15625</v>
      </c>
      <c r="U126" s="756">
        <f t="shared" si="16"/>
        <v>207467.97432729939</v>
      </c>
      <c r="V126" s="760"/>
    </row>
    <row r="127" spans="1:22" ht="16.5">
      <c r="A127" s="460">
        <f t="shared" si="18"/>
        <v>120</v>
      </c>
      <c r="B127" s="768" t="s">
        <v>2403</v>
      </c>
      <c r="C127" s="754" t="s">
        <v>2020</v>
      </c>
      <c r="D127" s="768" t="s">
        <v>2408</v>
      </c>
      <c r="E127" s="769" t="s">
        <v>2394</v>
      </c>
      <c r="F127" s="770"/>
      <c r="G127" s="770">
        <v>43273</v>
      </c>
      <c r="H127" s="771">
        <v>958044</v>
      </c>
      <c r="I127" s="460"/>
      <c r="J127" s="756"/>
      <c r="K127" s="756">
        <f t="shared" si="11"/>
        <v>958044</v>
      </c>
      <c r="L127" s="772">
        <v>43273</v>
      </c>
      <c r="M127" s="759">
        <v>543279.84842465748</v>
      </c>
      <c r="N127" s="758">
        <f t="shared" si="17"/>
        <v>414764.15157534252</v>
      </c>
      <c r="O127" s="452">
        <f t="shared" si="12"/>
        <v>2110</v>
      </c>
      <c r="P127" s="452">
        <v>8</v>
      </c>
      <c r="Q127" s="453">
        <f t="shared" si="13"/>
        <v>5.7808219178082192</v>
      </c>
      <c r="R127" s="453">
        <f t="shared" si="14"/>
        <v>2.2191780821917808</v>
      </c>
      <c r="S127" s="455">
        <f t="shared" si="15"/>
        <v>0.11874999999999999</v>
      </c>
      <c r="T127" s="759">
        <f t="shared" si="19"/>
        <v>113767.72499999999</v>
      </c>
      <c r="U127" s="756">
        <f t="shared" si="16"/>
        <v>300996.42657534254</v>
      </c>
      <c r="V127" s="760"/>
    </row>
    <row r="128" spans="1:22" ht="16.5">
      <c r="A128" s="460">
        <f t="shared" si="18"/>
        <v>121</v>
      </c>
      <c r="B128" s="768" t="s">
        <v>2409</v>
      </c>
      <c r="C128" s="754" t="s">
        <v>2020</v>
      </c>
      <c r="D128" s="768" t="s">
        <v>2402</v>
      </c>
      <c r="E128" s="769" t="s">
        <v>2410</v>
      </c>
      <c r="F128" s="770"/>
      <c r="G128" s="770">
        <v>43521</v>
      </c>
      <c r="H128" s="771">
        <v>787444</v>
      </c>
      <c r="I128" s="460"/>
      <c r="J128" s="756"/>
      <c r="K128" s="756">
        <f t="shared" si="11"/>
        <v>787444</v>
      </c>
      <c r="L128" s="772">
        <v>43521</v>
      </c>
      <c r="M128" s="759">
        <v>383002.51404109586</v>
      </c>
      <c r="N128" s="758">
        <f t="shared" si="17"/>
        <v>404441.48595890414</v>
      </c>
      <c r="O128" s="452">
        <f t="shared" si="12"/>
        <v>1862</v>
      </c>
      <c r="P128" s="452">
        <v>8</v>
      </c>
      <c r="Q128" s="453">
        <f t="shared" si="13"/>
        <v>5.1013698630136988</v>
      </c>
      <c r="R128" s="453">
        <f t="shared" si="14"/>
        <v>2.8986301369863012</v>
      </c>
      <c r="S128" s="455">
        <f t="shared" si="15"/>
        <v>0.11874999999999999</v>
      </c>
      <c r="T128" s="759">
        <f t="shared" si="19"/>
        <v>93508.974999999991</v>
      </c>
      <c r="U128" s="756">
        <f t="shared" si="16"/>
        <v>310932.51095890417</v>
      </c>
      <c r="V128" s="760"/>
    </row>
    <row r="129" spans="1:22" ht="16.5">
      <c r="A129" s="460">
        <f t="shared" si="18"/>
        <v>122</v>
      </c>
      <c r="B129" s="768" t="s">
        <v>2411</v>
      </c>
      <c r="C129" s="754" t="s">
        <v>2020</v>
      </c>
      <c r="D129" s="768" t="s">
        <v>2412</v>
      </c>
      <c r="E129" s="769" t="s">
        <v>2394</v>
      </c>
      <c r="F129" s="770"/>
      <c r="G129" s="770">
        <v>43323</v>
      </c>
      <c r="H129" s="771">
        <v>7162625</v>
      </c>
      <c r="I129" s="460"/>
      <c r="J129" s="756"/>
      <c r="K129" s="756">
        <f t="shared" si="11"/>
        <v>7162625</v>
      </c>
      <c r="L129" s="772">
        <v>43323</v>
      </c>
      <c r="M129" s="759">
        <v>3945208.1913527399</v>
      </c>
      <c r="N129" s="758">
        <f t="shared" si="17"/>
        <v>3217416.8086472601</v>
      </c>
      <c r="O129" s="452">
        <f t="shared" si="12"/>
        <v>2060</v>
      </c>
      <c r="P129" s="452">
        <v>8</v>
      </c>
      <c r="Q129" s="453">
        <f t="shared" si="13"/>
        <v>5.6438356164383565</v>
      </c>
      <c r="R129" s="453">
        <f t="shared" si="14"/>
        <v>2.3561643835616435</v>
      </c>
      <c r="S129" s="455">
        <f t="shared" si="15"/>
        <v>0.11874999999999999</v>
      </c>
      <c r="T129" s="759">
        <f t="shared" si="19"/>
        <v>850561.71875</v>
      </c>
      <c r="U129" s="756">
        <f t="shared" si="16"/>
        <v>2366855.0898972601</v>
      </c>
      <c r="V129" s="760"/>
    </row>
    <row r="130" spans="1:22" ht="16.5">
      <c r="A130" s="460">
        <f t="shared" si="18"/>
        <v>123</v>
      </c>
      <c r="B130" s="768" t="s">
        <v>2413</v>
      </c>
      <c r="C130" s="754" t="s">
        <v>2020</v>
      </c>
      <c r="D130" s="768" t="s">
        <v>2407</v>
      </c>
      <c r="E130" s="769" t="s">
        <v>2394</v>
      </c>
      <c r="F130" s="770"/>
      <c r="G130" s="770">
        <v>43555</v>
      </c>
      <c r="H130" s="771">
        <v>670000</v>
      </c>
      <c r="I130" s="460"/>
      <c r="J130" s="756"/>
      <c r="K130" s="756">
        <f t="shared" si="11"/>
        <v>670000</v>
      </c>
      <c r="L130" s="772">
        <v>43555</v>
      </c>
      <c r="M130" s="759">
        <v>318467.97945205477</v>
      </c>
      <c r="N130" s="758">
        <f t="shared" si="17"/>
        <v>351532.02054794523</v>
      </c>
      <c r="O130" s="452">
        <f t="shared" si="12"/>
        <v>1828</v>
      </c>
      <c r="P130" s="452">
        <v>8</v>
      </c>
      <c r="Q130" s="453">
        <f t="shared" si="13"/>
        <v>5.0082191780821921</v>
      </c>
      <c r="R130" s="453">
        <f t="shared" si="14"/>
        <v>2.9917808219178079</v>
      </c>
      <c r="S130" s="455">
        <f t="shared" si="15"/>
        <v>0.11874999999999999</v>
      </c>
      <c r="T130" s="759">
        <f t="shared" si="19"/>
        <v>79562.5</v>
      </c>
      <c r="U130" s="756">
        <f t="shared" si="16"/>
        <v>271969.52054794523</v>
      </c>
      <c r="V130" s="760"/>
    </row>
    <row r="131" spans="1:22" ht="16.5">
      <c r="A131" s="460">
        <f t="shared" si="18"/>
        <v>124</v>
      </c>
      <c r="B131" s="779" t="s">
        <v>2414</v>
      </c>
      <c r="C131" s="754" t="s">
        <v>2093</v>
      </c>
      <c r="D131" s="779" t="s">
        <v>2415</v>
      </c>
      <c r="E131" s="769" t="s">
        <v>20</v>
      </c>
      <c r="F131" s="780"/>
      <c r="G131" s="780">
        <v>43698</v>
      </c>
      <c r="H131" s="781">
        <v>56450</v>
      </c>
      <c r="I131" s="460"/>
      <c r="J131" s="756"/>
      <c r="K131" s="756">
        <f>+H131+I131-J131</f>
        <v>56450</v>
      </c>
      <c r="L131" s="782">
        <v>43698</v>
      </c>
      <c r="M131" s="759">
        <v>23386.3125</v>
      </c>
      <c r="N131" s="758">
        <f t="shared" si="17"/>
        <v>33063.6875</v>
      </c>
      <c r="O131" s="452">
        <f>+$O$3-L131+1</f>
        <v>1685</v>
      </c>
      <c r="P131" s="452">
        <v>8</v>
      </c>
      <c r="Q131" s="453">
        <f>+O131/365</f>
        <v>4.6164383561643838</v>
      </c>
      <c r="R131" s="453">
        <f>+P131-Q131</f>
        <v>3.3835616438356162</v>
      </c>
      <c r="S131" s="455">
        <f t="shared" si="15"/>
        <v>0.11874999999999999</v>
      </c>
      <c r="T131" s="759">
        <f t="shared" si="19"/>
        <v>6703.4375</v>
      </c>
      <c r="U131" s="756">
        <f t="shared" si="16"/>
        <v>26360.25</v>
      </c>
      <c r="V131" s="760"/>
    </row>
    <row r="132" spans="1:22" ht="16.5">
      <c r="A132" s="460">
        <f t="shared" si="18"/>
        <v>125</v>
      </c>
      <c r="B132" s="779" t="s">
        <v>2414</v>
      </c>
      <c r="C132" s="754" t="s">
        <v>2093</v>
      </c>
      <c r="D132" s="779" t="s">
        <v>2415</v>
      </c>
      <c r="E132" s="769" t="s">
        <v>20</v>
      </c>
      <c r="F132" s="770"/>
      <c r="G132" s="770">
        <v>43840</v>
      </c>
      <c r="H132" s="783">
        <v>81726</v>
      </c>
      <c r="I132" s="460"/>
      <c r="J132" s="756"/>
      <c r="K132" s="756">
        <f>+H132+I132-J132</f>
        <v>81726</v>
      </c>
      <c r="L132" s="772">
        <v>43840</v>
      </c>
      <c r="M132" s="759">
        <v>30837.887499999997</v>
      </c>
      <c r="N132" s="758">
        <f t="shared" si="17"/>
        <v>50888.112500000003</v>
      </c>
      <c r="O132" s="452">
        <f>+$O$3-L132+1</f>
        <v>1543</v>
      </c>
      <c r="P132" s="452">
        <v>8</v>
      </c>
      <c r="Q132" s="453">
        <f>+O132/365</f>
        <v>4.2273972602739729</v>
      </c>
      <c r="R132" s="453">
        <f>+P132-Q132</f>
        <v>3.7726027397260271</v>
      </c>
      <c r="S132" s="455">
        <f t="shared" si="15"/>
        <v>0.11874999999999999</v>
      </c>
      <c r="T132" s="759">
        <f t="shared" si="19"/>
        <v>9704.9624999999996</v>
      </c>
      <c r="U132" s="756">
        <f t="shared" si="16"/>
        <v>41183.15</v>
      </c>
      <c r="V132" s="760"/>
    </row>
    <row r="133" spans="1:22" ht="16.5">
      <c r="A133" s="460">
        <f t="shared" si="18"/>
        <v>126</v>
      </c>
      <c r="B133" s="784" t="s">
        <v>2416</v>
      </c>
      <c r="C133" s="754" t="s">
        <v>2150</v>
      </c>
      <c r="D133" s="784" t="s">
        <v>2417</v>
      </c>
      <c r="E133" s="769" t="s">
        <v>1302</v>
      </c>
      <c r="F133" s="785"/>
      <c r="G133" s="785">
        <v>44126</v>
      </c>
      <c r="H133" s="783">
        <v>2497111</v>
      </c>
      <c r="I133" s="460"/>
      <c r="J133" s="756"/>
      <c r="K133" s="756">
        <f t="shared" ref="K133:K196" si="20">+H133+I133-J133</f>
        <v>2497111</v>
      </c>
      <c r="L133" s="772">
        <v>43840</v>
      </c>
      <c r="M133" s="759">
        <v>697053.14249999984</v>
      </c>
      <c r="N133" s="758">
        <f t="shared" si="17"/>
        <v>1800057.8575000002</v>
      </c>
      <c r="O133" s="452">
        <f t="shared" ref="O133:O173" si="21">+$O$3-L133+1</f>
        <v>1543</v>
      </c>
      <c r="P133" s="452">
        <v>8</v>
      </c>
      <c r="Q133" s="453">
        <f t="shared" ref="Q133:Q173" si="22">+O133/365</f>
        <v>4.2273972602739729</v>
      </c>
      <c r="R133" s="453">
        <f t="shared" ref="R133:R173" si="23">+P133-Q133</f>
        <v>3.7726027397260271</v>
      </c>
      <c r="S133" s="455">
        <f t="shared" si="15"/>
        <v>0.11874999999999999</v>
      </c>
      <c r="T133" s="759">
        <f t="shared" si="19"/>
        <v>296531.93124999997</v>
      </c>
      <c r="U133" s="756">
        <f t="shared" si="16"/>
        <v>1503525.9262500003</v>
      </c>
      <c r="V133" s="760"/>
    </row>
    <row r="134" spans="1:22" ht="16.5">
      <c r="A134" s="460">
        <f t="shared" si="18"/>
        <v>127</v>
      </c>
      <c r="B134" s="784" t="s">
        <v>2418</v>
      </c>
      <c r="C134" s="754" t="s">
        <v>2150</v>
      </c>
      <c r="D134" s="784" t="s">
        <v>290</v>
      </c>
      <c r="E134" s="769" t="s">
        <v>1302</v>
      </c>
      <c r="F134" s="785"/>
      <c r="G134" s="785">
        <v>43973</v>
      </c>
      <c r="H134" s="783">
        <v>4070409</v>
      </c>
      <c r="I134" s="460"/>
      <c r="J134" s="756"/>
      <c r="K134" s="756">
        <f t="shared" si="20"/>
        <v>4070409</v>
      </c>
      <c r="L134" s="772">
        <v>43840</v>
      </c>
      <c r="M134" s="759">
        <v>1298321.0734315068</v>
      </c>
      <c r="N134" s="758">
        <f t="shared" si="17"/>
        <v>2772087.9265684932</v>
      </c>
      <c r="O134" s="452">
        <f t="shared" si="21"/>
        <v>1543</v>
      </c>
      <c r="P134" s="452">
        <v>8</v>
      </c>
      <c r="Q134" s="453">
        <f t="shared" si="22"/>
        <v>4.2273972602739729</v>
      </c>
      <c r="R134" s="453">
        <f t="shared" si="23"/>
        <v>3.7726027397260271</v>
      </c>
      <c r="S134" s="455">
        <f t="shared" si="15"/>
        <v>0.11874999999999999</v>
      </c>
      <c r="T134" s="759">
        <f t="shared" si="19"/>
        <v>483361.06874999998</v>
      </c>
      <c r="U134" s="756">
        <f t="shared" si="16"/>
        <v>2288726.8578184932</v>
      </c>
      <c r="V134" s="760"/>
    </row>
    <row r="135" spans="1:22" ht="16.5">
      <c r="A135" s="460">
        <f t="shared" si="18"/>
        <v>128</v>
      </c>
      <c r="B135" s="784" t="s">
        <v>2409</v>
      </c>
      <c r="C135" s="754" t="s">
        <v>2150</v>
      </c>
      <c r="D135" s="784" t="s">
        <v>2154</v>
      </c>
      <c r="E135" s="786" t="s">
        <v>2165</v>
      </c>
      <c r="F135" s="787"/>
      <c r="G135" s="787">
        <v>44110</v>
      </c>
      <c r="H135" s="783">
        <v>688809</v>
      </c>
      <c r="I135" s="460"/>
      <c r="J135" s="756"/>
      <c r="K135" s="756">
        <f t="shared" si="20"/>
        <v>688809</v>
      </c>
      <c r="L135" s="772">
        <v>43840</v>
      </c>
      <c r="M135" s="759">
        <v>195145.2511438356</v>
      </c>
      <c r="N135" s="758">
        <f t="shared" si="17"/>
        <v>493663.7488561644</v>
      </c>
      <c r="O135" s="452">
        <f t="shared" si="21"/>
        <v>1543</v>
      </c>
      <c r="P135" s="452">
        <v>8</v>
      </c>
      <c r="Q135" s="453">
        <f t="shared" si="22"/>
        <v>4.2273972602739729</v>
      </c>
      <c r="R135" s="453">
        <f t="shared" si="23"/>
        <v>3.7726027397260271</v>
      </c>
      <c r="S135" s="455">
        <f t="shared" ref="S135:S173" si="24">1/P135*0.95</f>
        <v>0.11874999999999999</v>
      </c>
      <c r="T135" s="759">
        <f t="shared" si="19"/>
        <v>81796.068749999991</v>
      </c>
      <c r="U135" s="756">
        <f t="shared" ref="U135:U173" si="25">+N135-T135</f>
        <v>411867.68010616442</v>
      </c>
      <c r="V135" s="760"/>
    </row>
    <row r="136" spans="1:22" ht="16.5">
      <c r="A136" s="460">
        <f t="shared" si="18"/>
        <v>129</v>
      </c>
      <c r="B136" s="784" t="s">
        <v>2358</v>
      </c>
      <c r="C136" s="754" t="s">
        <v>2150</v>
      </c>
      <c r="D136" s="784" t="s">
        <v>2419</v>
      </c>
      <c r="E136" s="786" t="s">
        <v>19</v>
      </c>
      <c r="F136" s="785"/>
      <c r="G136" s="785">
        <v>44159</v>
      </c>
      <c r="H136" s="783">
        <v>758478</v>
      </c>
      <c r="I136" s="460"/>
      <c r="J136" s="756"/>
      <c r="K136" s="756">
        <f t="shared" si="20"/>
        <v>758478</v>
      </c>
      <c r="L136" s="772">
        <v>43840</v>
      </c>
      <c r="M136" s="759">
        <v>205209.85943835616</v>
      </c>
      <c r="N136" s="758">
        <f t="shared" si="17"/>
        <v>553268.14056164387</v>
      </c>
      <c r="O136" s="452">
        <f t="shared" si="21"/>
        <v>1543</v>
      </c>
      <c r="P136" s="452">
        <v>8</v>
      </c>
      <c r="Q136" s="453">
        <f t="shared" si="22"/>
        <v>4.2273972602739729</v>
      </c>
      <c r="R136" s="453">
        <f t="shared" si="23"/>
        <v>3.7726027397260271</v>
      </c>
      <c r="S136" s="455">
        <f t="shared" si="24"/>
        <v>0.11874999999999999</v>
      </c>
      <c r="T136" s="759">
        <f t="shared" si="19"/>
        <v>90069.262499999997</v>
      </c>
      <c r="U136" s="756">
        <f t="shared" si="25"/>
        <v>463198.87806164386</v>
      </c>
      <c r="V136" s="760"/>
    </row>
    <row r="137" spans="1:22" ht="16.5">
      <c r="A137" s="460">
        <f t="shared" si="18"/>
        <v>130</v>
      </c>
      <c r="B137" s="784" t="s">
        <v>2416</v>
      </c>
      <c r="C137" s="754" t="s">
        <v>2150</v>
      </c>
      <c r="D137" s="784" t="s">
        <v>2420</v>
      </c>
      <c r="E137" s="784" t="s">
        <v>20</v>
      </c>
      <c r="F137" s="785"/>
      <c r="G137" s="785">
        <v>43926</v>
      </c>
      <c r="H137" s="783">
        <v>543148.1</v>
      </c>
      <c r="I137" s="460"/>
      <c r="J137" s="756"/>
      <c r="K137" s="756">
        <f t="shared" si="20"/>
        <v>543148.1</v>
      </c>
      <c r="L137" s="772">
        <v>43840</v>
      </c>
      <c r="M137" s="759">
        <v>179889.90668150684</v>
      </c>
      <c r="N137" s="758">
        <f t="shared" ref="N137:N200" si="26">+H137-M137</f>
        <v>363258.19331849314</v>
      </c>
      <c r="O137" s="452">
        <f t="shared" si="21"/>
        <v>1543</v>
      </c>
      <c r="P137" s="452">
        <v>8</v>
      </c>
      <c r="Q137" s="453">
        <f t="shared" si="22"/>
        <v>4.2273972602739729</v>
      </c>
      <c r="R137" s="453">
        <f t="shared" si="23"/>
        <v>3.7726027397260271</v>
      </c>
      <c r="S137" s="455">
        <f t="shared" si="24"/>
        <v>0.11874999999999999</v>
      </c>
      <c r="T137" s="759">
        <f t="shared" si="19"/>
        <v>64498.836874999994</v>
      </c>
      <c r="U137" s="756">
        <f t="shared" si="25"/>
        <v>298759.35644349316</v>
      </c>
      <c r="V137" s="760"/>
    </row>
    <row r="138" spans="1:22" ht="16.5">
      <c r="A138" s="460">
        <f t="shared" ref="A138:A201" si="27">+A137+1</f>
        <v>131</v>
      </c>
      <c r="B138" s="784" t="s">
        <v>2416</v>
      </c>
      <c r="C138" s="754" t="s">
        <v>2150</v>
      </c>
      <c r="D138" s="784" t="s">
        <v>2417</v>
      </c>
      <c r="E138" s="784" t="s">
        <v>1302</v>
      </c>
      <c r="F138" s="785"/>
      <c r="G138" s="785">
        <v>44250</v>
      </c>
      <c r="H138" s="783">
        <v>2945371</v>
      </c>
      <c r="I138" s="460"/>
      <c r="J138" s="756"/>
      <c r="K138" s="756">
        <f t="shared" si="20"/>
        <v>2945371</v>
      </c>
      <c r="L138" s="772">
        <v>43840</v>
      </c>
      <c r="M138" s="759">
        <v>727123.33529452048</v>
      </c>
      <c r="N138" s="758">
        <f t="shared" si="26"/>
        <v>2218247.6647054795</v>
      </c>
      <c r="O138" s="452">
        <f t="shared" si="21"/>
        <v>1543</v>
      </c>
      <c r="P138" s="452">
        <v>8</v>
      </c>
      <c r="Q138" s="453">
        <f t="shared" si="22"/>
        <v>4.2273972602739729</v>
      </c>
      <c r="R138" s="453">
        <f t="shared" si="23"/>
        <v>3.7726027397260271</v>
      </c>
      <c r="S138" s="455">
        <f t="shared" si="24"/>
        <v>0.11874999999999999</v>
      </c>
      <c r="T138" s="759">
        <f t="shared" si="19"/>
        <v>349762.80624999997</v>
      </c>
      <c r="U138" s="756">
        <f t="shared" si="25"/>
        <v>1868484.8584554796</v>
      </c>
      <c r="V138" s="760"/>
    </row>
    <row r="139" spans="1:22" ht="16.5">
      <c r="A139" s="460">
        <f t="shared" si="27"/>
        <v>132</v>
      </c>
      <c r="B139" s="784" t="s">
        <v>1215</v>
      </c>
      <c r="C139" s="754" t="s">
        <v>2173</v>
      </c>
      <c r="D139" s="784" t="s">
        <v>1217</v>
      </c>
      <c r="E139" s="784" t="s">
        <v>26</v>
      </c>
      <c r="F139" s="785" t="s">
        <v>1216</v>
      </c>
      <c r="G139" s="785">
        <v>44501</v>
      </c>
      <c r="H139" s="783">
        <v>2159519</v>
      </c>
      <c r="I139" s="460"/>
      <c r="J139" s="756"/>
      <c r="K139" s="756">
        <f t="shared" si="20"/>
        <v>2159519</v>
      </c>
      <c r="L139" s="772">
        <f>+'[84]Add21-22 (2)'!H273</f>
        <v>44501</v>
      </c>
      <c r="M139" s="759">
        <v>340752.86960616434</v>
      </c>
      <c r="N139" s="758">
        <f t="shared" si="26"/>
        <v>1818766.1303938357</v>
      </c>
      <c r="O139" s="452">
        <f t="shared" si="21"/>
        <v>882</v>
      </c>
      <c r="P139" s="452">
        <v>8</v>
      </c>
      <c r="Q139" s="453">
        <f t="shared" si="22"/>
        <v>2.4164383561643836</v>
      </c>
      <c r="R139" s="453">
        <f t="shared" si="23"/>
        <v>5.5835616438356164</v>
      </c>
      <c r="S139" s="455">
        <f t="shared" si="24"/>
        <v>0.11874999999999999</v>
      </c>
      <c r="T139" s="759">
        <f t="shared" si="19"/>
        <v>256442.88124999998</v>
      </c>
      <c r="U139" s="756">
        <f t="shared" si="25"/>
        <v>1562323.2491438356</v>
      </c>
      <c r="V139" s="760"/>
    </row>
    <row r="140" spans="1:22" ht="16.5">
      <c r="A140" s="460">
        <f t="shared" si="27"/>
        <v>133</v>
      </c>
      <c r="B140" s="784" t="s">
        <v>1218</v>
      </c>
      <c r="C140" s="754" t="s">
        <v>2173</v>
      </c>
      <c r="D140" s="784" t="s">
        <v>1220</v>
      </c>
      <c r="E140" s="784" t="s">
        <v>23</v>
      </c>
      <c r="F140" s="785" t="s">
        <v>1219</v>
      </c>
      <c r="G140" s="785">
        <v>44501</v>
      </c>
      <c r="H140" s="783">
        <v>719057</v>
      </c>
      <c r="I140" s="460"/>
      <c r="J140" s="756"/>
      <c r="K140" s="756">
        <f t="shared" si="20"/>
        <v>719057</v>
      </c>
      <c r="L140" s="772">
        <f>+'[84]Add21-22 (2)'!H274</f>
        <v>44501</v>
      </c>
      <c r="M140" s="759">
        <v>113460.79203767124</v>
      </c>
      <c r="N140" s="758">
        <f t="shared" si="26"/>
        <v>605596.2079623288</v>
      </c>
      <c r="O140" s="452">
        <f t="shared" si="21"/>
        <v>882</v>
      </c>
      <c r="P140" s="452">
        <v>8</v>
      </c>
      <c r="Q140" s="453">
        <f t="shared" si="22"/>
        <v>2.4164383561643836</v>
      </c>
      <c r="R140" s="453">
        <f t="shared" si="23"/>
        <v>5.5835616438356164</v>
      </c>
      <c r="S140" s="455">
        <f t="shared" si="24"/>
        <v>0.11874999999999999</v>
      </c>
      <c r="T140" s="759">
        <f t="shared" si="19"/>
        <v>85388.018750000003</v>
      </c>
      <c r="U140" s="756">
        <f t="shared" si="25"/>
        <v>520208.18921232881</v>
      </c>
      <c r="V140" s="760"/>
    </row>
    <row r="141" spans="1:22" ht="16.5">
      <c r="A141" s="460">
        <f t="shared" si="27"/>
        <v>134</v>
      </c>
      <c r="B141" s="784" t="s">
        <v>1218</v>
      </c>
      <c r="C141" s="754" t="s">
        <v>2173</v>
      </c>
      <c r="D141" s="784" t="s">
        <v>1220</v>
      </c>
      <c r="E141" s="784" t="s">
        <v>23</v>
      </c>
      <c r="F141" s="785" t="s">
        <v>1221</v>
      </c>
      <c r="G141" s="785">
        <v>44530</v>
      </c>
      <c r="H141" s="783">
        <v>730860</v>
      </c>
      <c r="I141" s="460"/>
      <c r="J141" s="756"/>
      <c r="K141" s="756">
        <f t="shared" si="20"/>
        <v>730860</v>
      </c>
      <c r="L141" s="772">
        <f>+'[84]Add21-22 (2)'!H275</f>
        <v>44530</v>
      </c>
      <c r="M141" s="759">
        <v>109806.70910958904</v>
      </c>
      <c r="N141" s="758">
        <f t="shared" si="26"/>
        <v>621053.29089041101</v>
      </c>
      <c r="O141" s="452">
        <f t="shared" si="21"/>
        <v>853</v>
      </c>
      <c r="P141" s="452">
        <v>8</v>
      </c>
      <c r="Q141" s="453">
        <f t="shared" si="22"/>
        <v>2.3369863013698629</v>
      </c>
      <c r="R141" s="453">
        <f t="shared" si="23"/>
        <v>5.6630136986301371</v>
      </c>
      <c r="S141" s="455">
        <f t="shared" si="24"/>
        <v>0.11874999999999999</v>
      </c>
      <c r="T141" s="759">
        <f t="shared" si="19"/>
        <v>86789.625</v>
      </c>
      <c r="U141" s="756">
        <f t="shared" si="25"/>
        <v>534263.66589041101</v>
      </c>
      <c r="V141" s="760"/>
    </row>
    <row r="142" spans="1:22" ht="16.5">
      <c r="A142" s="460">
        <f t="shared" si="27"/>
        <v>135</v>
      </c>
      <c r="B142" s="784" t="s">
        <v>1218</v>
      </c>
      <c r="C142" s="754" t="s">
        <v>2173</v>
      </c>
      <c r="D142" s="784" t="s">
        <v>1220</v>
      </c>
      <c r="E142" s="784" t="s">
        <v>23</v>
      </c>
      <c r="F142" s="785" t="s">
        <v>1222</v>
      </c>
      <c r="G142" s="785">
        <v>44597</v>
      </c>
      <c r="H142" s="783">
        <v>726563</v>
      </c>
      <c r="I142" s="460"/>
      <c r="J142" s="756"/>
      <c r="K142" s="756">
        <f t="shared" si="20"/>
        <v>726563</v>
      </c>
      <c r="L142" s="772">
        <f>+'[84]Add21-22 (2)'!H276</f>
        <v>44597</v>
      </c>
      <c r="M142" s="759">
        <v>96491.049921232872</v>
      </c>
      <c r="N142" s="758">
        <f t="shared" si="26"/>
        <v>630071.95007876714</v>
      </c>
      <c r="O142" s="452">
        <f t="shared" si="21"/>
        <v>786</v>
      </c>
      <c r="P142" s="452">
        <v>8</v>
      </c>
      <c r="Q142" s="453">
        <f t="shared" si="22"/>
        <v>2.1534246575342464</v>
      </c>
      <c r="R142" s="453">
        <f t="shared" si="23"/>
        <v>5.8465753424657532</v>
      </c>
      <c r="S142" s="455">
        <f t="shared" si="24"/>
        <v>0.11874999999999999</v>
      </c>
      <c r="T142" s="759">
        <f t="shared" si="19"/>
        <v>86279.356249999997</v>
      </c>
      <c r="U142" s="756">
        <f t="shared" si="25"/>
        <v>543792.59382876719</v>
      </c>
      <c r="V142" s="760"/>
    </row>
    <row r="143" spans="1:22" ht="16.5">
      <c r="A143" s="460">
        <f t="shared" si="27"/>
        <v>136</v>
      </c>
      <c r="B143" s="784" t="s">
        <v>1218</v>
      </c>
      <c r="C143" s="754" t="s">
        <v>2173</v>
      </c>
      <c r="D143" s="784" t="s">
        <v>1220</v>
      </c>
      <c r="E143" s="784" t="s">
        <v>23</v>
      </c>
      <c r="F143" s="785" t="s">
        <v>1223</v>
      </c>
      <c r="G143" s="785">
        <v>44597</v>
      </c>
      <c r="H143" s="783">
        <v>726564</v>
      </c>
      <c r="I143" s="460"/>
      <c r="J143" s="756"/>
      <c r="K143" s="756">
        <f t="shared" si="20"/>
        <v>726564</v>
      </c>
      <c r="L143" s="772">
        <f>+'[84]Add21-22 (2)'!H277</f>
        <v>44597</v>
      </c>
      <c r="M143" s="759">
        <v>96491.182726027386</v>
      </c>
      <c r="N143" s="758">
        <f t="shared" si="26"/>
        <v>630072.81727397256</v>
      </c>
      <c r="O143" s="452">
        <f t="shared" si="21"/>
        <v>786</v>
      </c>
      <c r="P143" s="452">
        <v>8</v>
      </c>
      <c r="Q143" s="453">
        <f t="shared" si="22"/>
        <v>2.1534246575342464</v>
      </c>
      <c r="R143" s="453">
        <f t="shared" si="23"/>
        <v>5.8465753424657532</v>
      </c>
      <c r="S143" s="455">
        <f t="shared" si="24"/>
        <v>0.11874999999999999</v>
      </c>
      <c r="T143" s="759">
        <f t="shared" si="19"/>
        <v>86279.474999999991</v>
      </c>
      <c r="U143" s="756">
        <f t="shared" si="25"/>
        <v>543793.34227397258</v>
      </c>
      <c r="V143" s="760"/>
    </row>
    <row r="144" spans="1:22" ht="16.5">
      <c r="A144" s="460">
        <f t="shared" si="27"/>
        <v>137</v>
      </c>
      <c r="B144" s="784" t="s">
        <v>1218</v>
      </c>
      <c r="C144" s="754" t="s">
        <v>2173</v>
      </c>
      <c r="D144" s="784" t="s">
        <v>1220</v>
      </c>
      <c r="E144" s="784" t="s">
        <v>23</v>
      </c>
      <c r="F144" s="785" t="s">
        <v>1224</v>
      </c>
      <c r="G144" s="785">
        <v>44597</v>
      </c>
      <c r="H144" s="783">
        <v>726564</v>
      </c>
      <c r="I144" s="460"/>
      <c r="J144" s="756"/>
      <c r="K144" s="756">
        <f t="shared" si="20"/>
        <v>726564</v>
      </c>
      <c r="L144" s="772">
        <f>+'[84]Add21-22 (2)'!H278</f>
        <v>44597</v>
      </c>
      <c r="M144" s="759">
        <v>96491.182726027386</v>
      </c>
      <c r="N144" s="758">
        <f t="shared" si="26"/>
        <v>630072.81727397256</v>
      </c>
      <c r="O144" s="452">
        <f t="shared" si="21"/>
        <v>786</v>
      </c>
      <c r="P144" s="452">
        <v>8</v>
      </c>
      <c r="Q144" s="453">
        <f t="shared" si="22"/>
        <v>2.1534246575342464</v>
      </c>
      <c r="R144" s="453">
        <f t="shared" si="23"/>
        <v>5.8465753424657532</v>
      </c>
      <c r="S144" s="455">
        <f t="shared" si="24"/>
        <v>0.11874999999999999</v>
      </c>
      <c r="T144" s="759">
        <f t="shared" si="19"/>
        <v>86279.474999999991</v>
      </c>
      <c r="U144" s="756">
        <f t="shared" si="25"/>
        <v>543793.34227397258</v>
      </c>
      <c r="V144" s="760"/>
    </row>
    <row r="145" spans="1:22" ht="16.5">
      <c r="A145" s="460">
        <f t="shared" si="27"/>
        <v>138</v>
      </c>
      <c r="B145" s="784" t="s">
        <v>1225</v>
      </c>
      <c r="C145" s="754" t="s">
        <v>2173</v>
      </c>
      <c r="D145" s="784" t="s">
        <v>1220</v>
      </c>
      <c r="E145" s="784" t="s">
        <v>23</v>
      </c>
      <c r="F145" s="785" t="s">
        <v>1226</v>
      </c>
      <c r="G145" s="785">
        <v>44607</v>
      </c>
      <c r="H145" s="783">
        <v>982415</v>
      </c>
      <c r="I145" s="460"/>
      <c r="J145" s="756"/>
      <c r="K145" s="756">
        <f t="shared" si="20"/>
        <v>982415</v>
      </c>
      <c r="L145" s="772">
        <f>+'[84]Add21-22 (2)'!H279</f>
        <v>44607</v>
      </c>
      <c r="M145" s="759">
        <v>127912.4516609589</v>
      </c>
      <c r="N145" s="758">
        <f t="shared" si="26"/>
        <v>854502.54833904107</v>
      </c>
      <c r="O145" s="452">
        <f t="shared" si="21"/>
        <v>776</v>
      </c>
      <c r="P145" s="452">
        <v>8</v>
      </c>
      <c r="Q145" s="453">
        <f t="shared" si="22"/>
        <v>2.1260273972602741</v>
      </c>
      <c r="R145" s="453">
        <f t="shared" si="23"/>
        <v>5.8739726027397259</v>
      </c>
      <c r="S145" s="455">
        <f t="shared" si="24"/>
        <v>0.11874999999999999</v>
      </c>
      <c r="T145" s="759">
        <f t="shared" si="19"/>
        <v>116661.78125</v>
      </c>
      <c r="U145" s="756">
        <f t="shared" si="25"/>
        <v>737840.76708904107</v>
      </c>
      <c r="V145" s="760"/>
    </row>
    <row r="146" spans="1:22" ht="16.5">
      <c r="A146" s="460">
        <f t="shared" si="27"/>
        <v>139</v>
      </c>
      <c r="B146" s="784" t="s">
        <v>1225</v>
      </c>
      <c r="C146" s="754" t="s">
        <v>2173</v>
      </c>
      <c r="D146" s="784" t="s">
        <v>1220</v>
      </c>
      <c r="E146" s="784" t="s">
        <v>23</v>
      </c>
      <c r="F146" s="785" t="s">
        <v>1227</v>
      </c>
      <c r="G146" s="785">
        <v>44629</v>
      </c>
      <c r="H146" s="783">
        <v>982415</v>
      </c>
      <c r="I146" s="460"/>
      <c r="J146" s="756"/>
      <c r="K146" s="756">
        <f t="shared" si="20"/>
        <v>982415</v>
      </c>
      <c r="L146" s="772">
        <f>+'[84]Add21-22 (2)'!H280</f>
        <v>44629</v>
      </c>
      <c r="M146" s="759">
        <v>122287.11645547945</v>
      </c>
      <c r="N146" s="758">
        <f t="shared" si="26"/>
        <v>860127.88354452059</v>
      </c>
      <c r="O146" s="452">
        <f t="shared" si="21"/>
        <v>754</v>
      </c>
      <c r="P146" s="452">
        <v>8</v>
      </c>
      <c r="Q146" s="453">
        <f t="shared" si="22"/>
        <v>2.0657534246575344</v>
      </c>
      <c r="R146" s="453">
        <f t="shared" si="23"/>
        <v>5.9342465753424651</v>
      </c>
      <c r="S146" s="455">
        <f t="shared" si="24"/>
        <v>0.11874999999999999</v>
      </c>
      <c r="T146" s="759">
        <f t="shared" si="19"/>
        <v>116661.78125</v>
      </c>
      <c r="U146" s="756">
        <f t="shared" si="25"/>
        <v>743466.10229452059</v>
      </c>
      <c r="V146" s="760"/>
    </row>
    <row r="147" spans="1:22" ht="16.5">
      <c r="A147" s="460">
        <f t="shared" si="27"/>
        <v>140</v>
      </c>
      <c r="B147" s="784" t="s">
        <v>1228</v>
      </c>
      <c r="C147" s="754" t="s">
        <v>2173</v>
      </c>
      <c r="D147" s="784" t="s">
        <v>292</v>
      </c>
      <c r="E147" s="784" t="s">
        <v>23</v>
      </c>
      <c r="F147" s="785" t="s">
        <v>1229</v>
      </c>
      <c r="G147" s="785">
        <v>44629</v>
      </c>
      <c r="H147" s="783">
        <v>70920</v>
      </c>
      <c r="I147" s="460"/>
      <c r="J147" s="756"/>
      <c r="K147" s="756">
        <f t="shared" si="20"/>
        <v>70920</v>
      </c>
      <c r="L147" s="772">
        <f>+'[84]Add21-22 (2)'!H281</f>
        <v>44629</v>
      </c>
      <c r="M147" s="759">
        <v>8827.8398630136981</v>
      </c>
      <c r="N147" s="758">
        <f t="shared" si="26"/>
        <v>62092.160136986306</v>
      </c>
      <c r="O147" s="452">
        <f t="shared" si="21"/>
        <v>754</v>
      </c>
      <c r="P147" s="452">
        <v>8</v>
      </c>
      <c r="Q147" s="453">
        <f t="shared" si="22"/>
        <v>2.0657534246575344</v>
      </c>
      <c r="R147" s="453">
        <f t="shared" si="23"/>
        <v>5.9342465753424651</v>
      </c>
      <c r="S147" s="455">
        <f t="shared" si="24"/>
        <v>0.11874999999999999</v>
      </c>
      <c r="T147" s="759">
        <f t="shared" si="19"/>
        <v>8421.75</v>
      </c>
      <c r="U147" s="756">
        <f t="shared" si="25"/>
        <v>53670.410136986306</v>
      </c>
      <c r="V147" s="760"/>
    </row>
    <row r="148" spans="1:22" ht="16.5">
      <c r="A148" s="460">
        <f t="shared" si="27"/>
        <v>141</v>
      </c>
      <c r="B148" s="784" t="s">
        <v>1228</v>
      </c>
      <c r="C148" s="754" t="s">
        <v>2173</v>
      </c>
      <c r="D148" s="784" t="s">
        <v>292</v>
      </c>
      <c r="E148" s="784" t="s">
        <v>23</v>
      </c>
      <c r="F148" s="785" t="s">
        <v>1230</v>
      </c>
      <c r="G148" s="785">
        <v>44629</v>
      </c>
      <c r="H148" s="783">
        <v>70920</v>
      </c>
      <c r="I148" s="460"/>
      <c r="J148" s="756"/>
      <c r="K148" s="756">
        <f t="shared" si="20"/>
        <v>70920</v>
      </c>
      <c r="L148" s="772">
        <f>+'[84]Add21-22 (2)'!H282</f>
        <v>44629</v>
      </c>
      <c r="M148" s="759">
        <v>8827.8398630136981</v>
      </c>
      <c r="N148" s="758">
        <f t="shared" si="26"/>
        <v>62092.160136986306</v>
      </c>
      <c r="O148" s="452">
        <f t="shared" si="21"/>
        <v>754</v>
      </c>
      <c r="P148" s="452">
        <v>8</v>
      </c>
      <c r="Q148" s="453">
        <f t="shared" si="22"/>
        <v>2.0657534246575344</v>
      </c>
      <c r="R148" s="453">
        <f t="shared" si="23"/>
        <v>5.9342465753424651</v>
      </c>
      <c r="S148" s="455">
        <f t="shared" si="24"/>
        <v>0.11874999999999999</v>
      </c>
      <c r="T148" s="759">
        <f t="shared" si="19"/>
        <v>8421.75</v>
      </c>
      <c r="U148" s="756">
        <f t="shared" si="25"/>
        <v>53670.410136986306</v>
      </c>
      <c r="V148" s="760"/>
    </row>
    <row r="149" spans="1:22" ht="16.5">
      <c r="A149" s="460">
        <f t="shared" si="27"/>
        <v>142</v>
      </c>
      <c r="B149" s="784" t="s">
        <v>1231</v>
      </c>
      <c r="C149" s="754" t="s">
        <v>2173</v>
      </c>
      <c r="D149" s="784" t="s">
        <v>292</v>
      </c>
      <c r="E149" s="784" t="s">
        <v>23</v>
      </c>
      <c r="F149" s="785" t="s">
        <v>1232</v>
      </c>
      <c r="G149" s="785">
        <v>44592</v>
      </c>
      <c r="H149" s="783">
        <v>79200</v>
      </c>
      <c r="I149" s="460"/>
      <c r="J149" s="756"/>
      <c r="K149" s="756">
        <f t="shared" si="20"/>
        <v>79200</v>
      </c>
      <c r="L149" s="772">
        <f>+'[84]Add21-22 (2)'!H283</f>
        <v>44592</v>
      </c>
      <c r="M149" s="759">
        <v>10621.208219178083</v>
      </c>
      <c r="N149" s="758">
        <f t="shared" si="26"/>
        <v>68578.791780821921</v>
      </c>
      <c r="O149" s="452">
        <f t="shared" si="21"/>
        <v>791</v>
      </c>
      <c r="P149" s="452">
        <v>8</v>
      </c>
      <c r="Q149" s="453">
        <f t="shared" si="22"/>
        <v>2.1671232876712327</v>
      </c>
      <c r="R149" s="453">
        <f t="shared" si="23"/>
        <v>5.8328767123287673</v>
      </c>
      <c r="S149" s="455">
        <f t="shared" si="24"/>
        <v>0.11874999999999999</v>
      </c>
      <c r="T149" s="759">
        <f t="shared" si="19"/>
        <v>9405</v>
      </c>
      <c r="U149" s="756">
        <f t="shared" si="25"/>
        <v>59173.791780821921</v>
      </c>
      <c r="V149" s="760"/>
    </row>
    <row r="150" spans="1:22" ht="16.5">
      <c r="A150" s="460">
        <f t="shared" si="27"/>
        <v>143</v>
      </c>
      <c r="B150" s="784" t="s">
        <v>1231</v>
      </c>
      <c r="C150" s="754" t="s">
        <v>2173</v>
      </c>
      <c r="D150" s="784" t="s">
        <v>292</v>
      </c>
      <c r="E150" s="784" t="s">
        <v>23</v>
      </c>
      <c r="F150" s="785" t="s">
        <v>1233</v>
      </c>
      <c r="G150" s="785">
        <v>44592</v>
      </c>
      <c r="H150" s="783">
        <v>79200</v>
      </c>
      <c r="I150" s="460"/>
      <c r="J150" s="756"/>
      <c r="K150" s="756">
        <f t="shared" si="20"/>
        <v>79200</v>
      </c>
      <c r="L150" s="772">
        <f>+'[84]Add21-22 (2)'!H284</f>
        <v>44592</v>
      </c>
      <c r="M150" s="759">
        <v>10621.208219178083</v>
      </c>
      <c r="N150" s="758">
        <f t="shared" si="26"/>
        <v>68578.791780821921</v>
      </c>
      <c r="O150" s="452">
        <f t="shared" si="21"/>
        <v>791</v>
      </c>
      <c r="P150" s="452">
        <v>8</v>
      </c>
      <c r="Q150" s="453">
        <f t="shared" si="22"/>
        <v>2.1671232876712327</v>
      </c>
      <c r="R150" s="453">
        <f t="shared" si="23"/>
        <v>5.8328767123287673</v>
      </c>
      <c r="S150" s="455">
        <f t="shared" si="24"/>
        <v>0.11874999999999999</v>
      </c>
      <c r="T150" s="759">
        <f t="shared" si="19"/>
        <v>9405</v>
      </c>
      <c r="U150" s="756">
        <f t="shared" si="25"/>
        <v>59173.791780821921</v>
      </c>
      <c r="V150" s="760"/>
    </row>
    <row r="151" spans="1:22" ht="16.5">
      <c r="A151" s="460">
        <f t="shared" si="27"/>
        <v>144</v>
      </c>
      <c r="B151" s="784" t="s">
        <v>1231</v>
      </c>
      <c r="C151" s="754" t="s">
        <v>2173</v>
      </c>
      <c r="D151" s="784" t="s">
        <v>292</v>
      </c>
      <c r="E151" s="784" t="s">
        <v>23</v>
      </c>
      <c r="F151" s="785" t="s">
        <v>1234</v>
      </c>
      <c r="G151" s="785">
        <v>44592</v>
      </c>
      <c r="H151" s="783">
        <v>79200</v>
      </c>
      <c r="I151" s="460"/>
      <c r="J151" s="756"/>
      <c r="K151" s="756">
        <f t="shared" si="20"/>
        <v>79200</v>
      </c>
      <c r="L151" s="772">
        <f>+'[84]Add21-22 (2)'!H285</f>
        <v>44592</v>
      </c>
      <c r="M151" s="759">
        <v>10621.208219178083</v>
      </c>
      <c r="N151" s="758">
        <f t="shared" si="26"/>
        <v>68578.791780821921</v>
      </c>
      <c r="O151" s="452">
        <f t="shared" si="21"/>
        <v>791</v>
      </c>
      <c r="P151" s="452">
        <v>8</v>
      </c>
      <c r="Q151" s="453">
        <f t="shared" si="22"/>
        <v>2.1671232876712327</v>
      </c>
      <c r="R151" s="453">
        <f t="shared" si="23"/>
        <v>5.8328767123287673</v>
      </c>
      <c r="S151" s="455">
        <f t="shared" si="24"/>
        <v>0.11874999999999999</v>
      </c>
      <c r="T151" s="759">
        <f t="shared" si="19"/>
        <v>9405</v>
      </c>
      <c r="U151" s="756">
        <f t="shared" si="25"/>
        <v>59173.791780821921</v>
      </c>
      <c r="V151" s="760"/>
    </row>
    <row r="152" spans="1:22" ht="16.5">
      <c r="A152" s="460">
        <f t="shared" si="27"/>
        <v>145</v>
      </c>
      <c r="B152" s="784" t="s">
        <v>1231</v>
      </c>
      <c r="C152" s="754" t="s">
        <v>2173</v>
      </c>
      <c r="D152" s="784" t="s">
        <v>292</v>
      </c>
      <c r="E152" s="784" t="s">
        <v>23</v>
      </c>
      <c r="F152" s="785" t="s">
        <v>1235</v>
      </c>
      <c r="G152" s="785">
        <v>44508</v>
      </c>
      <c r="H152" s="783">
        <v>80018</v>
      </c>
      <c r="I152" s="460"/>
      <c r="J152" s="756"/>
      <c r="K152" s="756">
        <f t="shared" si="20"/>
        <v>80018</v>
      </c>
      <c r="L152" s="772">
        <f>+'[84]Add21-22 (2)'!H286</f>
        <v>44508</v>
      </c>
      <c r="M152" s="759">
        <v>12480.341691780821</v>
      </c>
      <c r="N152" s="758">
        <f t="shared" si="26"/>
        <v>67537.658308219179</v>
      </c>
      <c r="O152" s="452">
        <f t="shared" si="21"/>
        <v>875</v>
      </c>
      <c r="P152" s="452">
        <v>8</v>
      </c>
      <c r="Q152" s="453">
        <f t="shared" si="22"/>
        <v>2.3972602739726026</v>
      </c>
      <c r="R152" s="453">
        <f t="shared" si="23"/>
        <v>5.6027397260273979</v>
      </c>
      <c r="S152" s="455">
        <f t="shared" si="24"/>
        <v>0.11874999999999999</v>
      </c>
      <c r="T152" s="759">
        <f t="shared" si="19"/>
        <v>9502.1374999999989</v>
      </c>
      <c r="U152" s="756">
        <f t="shared" si="25"/>
        <v>58035.520808219182</v>
      </c>
      <c r="V152" s="760"/>
    </row>
    <row r="153" spans="1:22" ht="16.5">
      <c r="A153" s="460">
        <f t="shared" si="27"/>
        <v>146</v>
      </c>
      <c r="B153" s="784" t="s">
        <v>1231</v>
      </c>
      <c r="C153" s="754" t="s">
        <v>2173</v>
      </c>
      <c r="D153" s="784" t="s">
        <v>292</v>
      </c>
      <c r="E153" s="784" t="s">
        <v>23</v>
      </c>
      <c r="F153" s="785" t="s">
        <v>1236</v>
      </c>
      <c r="G153" s="785">
        <v>44508</v>
      </c>
      <c r="H153" s="783">
        <v>80018</v>
      </c>
      <c r="I153" s="460"/>
      <c r="J153" s="756"/>
      <c r="K153" s="756">
        <f t="shared" si="20"/>
        <v>80018</v>
      </c>
      <c r="L153" s="772">
        <f>+'[84]Add21-22 (2)'!H287</f>
        <v>44508</v>
      </c>
      <c r="M153" s="759">
        <v>12480.341691780821</v>
      </c>
      <c r="N153" s="758">
        <f t="shared" si="26"/>
        <v>67537.658308219179</v>
      </c>
      <c r="O153" s="452">
        <f t="shared" si="21"/>
        <v>875</v>
      </c>
      <c r="P153" s="452">
        <v>8</v>
      </c>
      <c r="Q153" s="453">
        <f t="shared" si="22"/>
        <v>2.3972602739726026</v>
      </c>
      <c r="R153" s="453">
        <f t="shared" si="23"/>
        <v>5.6027397260273979</v>
      </c>
      <c r="S153" s="455">
        <f t="shared" si="24"/>
        <v>0.11874999999999999</v>
      </c>
      <c r="T153" s="759">
        <f t="shared" si="19"/>
        <v>9502.1374999999989</v>
      </c>
      <c r="U153" s="756">
        <f t="shared" si="25"/>
        <v>58035.520808219182</v>
      </c>
      <c r="V153" s="760"/>
    </row>
    <row r="154" spans="1:22" ht="16.5">
      <c r="A154" s="460">
        <f t="shared" si="27"/>
        <v>147</v>
      </c>
      <c r="B154" s="784" t="s">
        <v>1231</v>
      </c>
      <c r="C154" s="754" t="s">
        <v>2173</v>
      </c>
      <c r="D154" s="784" t="s">
        <v>292</v>
      </c>
      <c r="E154" s="784" t="s">
        <v>23</v>
      </c>
      <c r="F154" s="785" t="s">
        <v>1237</v>
      </c>
      <c r="G154" s="785">
        <v>44525</v>
      </c>
      <c r="H154" s="783">
        <v>61900</v>
      </c>
      <c r="I154" s="460"/>
      <c r="J154" s="756"/>
      <c r="K154" s="756">
        <f t="shared" si="20"/>
        <v>61900</v>
      </c>
      <c r="L154" s="772">
        <f>+'[84]Add21-22 (2)'!H288</f>
        <v>44525</v>
      </c>
      <c r="M154" s="759">
        <v>9380.6058219178085</v>
      </c>
      <c r="N154" s="758">
        <f t="shared" si="26"/>
        <v>52519.394178082192</v>
      </c>
      <c r="O154" s="452">
        <f t="shared" si="21"/>
        <v>858</v>
      </c>
      <c r="P154" s="452">
        <v>8</v>
      </c>
      <c r="Q154" s="453">
        <f t="shared" si="22"/>
        <v>2.3506849315068492</v>
      </c>
      <c r="R154" s="453">
        <f t="shared" si="23"/>
        <v>5.6493150684931503</v>
      </c>
      <c r="S154" s="455">
        <f t="shared" si="24"/>
        <v>0.11874999999999999</v>
      </c>
      <c r="T154" s="759">
        <f t="shared" si="19"/>
        <v>7350.625</v>
      </c>
      <c r="U154" s="756">
        <f t="shared" si="25"/>
        <v>45168.769178082192</v>
      </c>
      <c r="V154" s="760"/>
    </row>
    <row r="155" spans="1:22" ht="16.5">
      <c r="A155" s="460">
        <f t="shared" si="27"/>
        <v>148</v>
      </c>
      <c r="B155" s="784" t="s">
        <v>1231</v>
      </c>
      <c r="C155" s="754" t="s">
        <v>2173</v>
      </c>
      <c r="D155" s="784" t="s">
        <v>292</v>
      </c>
      <c r="E155" s="784" t="s">
        <v>23</v>
      </c>
      <c r="F155" s="785" t="s">
        <v>1238</v>
      </c>
      <c r="G155" s="785">
        <v>44525</v>
      </c>
      <c r="H155" s="783">
        <v>60675</v>
      </c>
      <c r="I155" s="460"/>
      <c r="J155" s="756"/>
      <c r="K155" s="756">
        <f t="shared" si="20"/>
        <v>60675</v>
      </c>
      <c r="L155" s="772">
        <f>+'[84]Add21-22 (2)'!H289</f>
        <v>44354</v>
      </c>
      <c r="M155" s="759">
        <v>11895.416866438356</v>
      </c>
      <c r="N155" s="758">
        <f t="shared" si="26"/>
        <v>48779.583133561646</v>
      </c>
      <c r="O155" s="452">
        <f t="shared" si="21"/>
        <v>1029</v>
      </c>
      <c r="P155" s="452">
        <v>8</v>
      </c>
      <c r="Q155" s="453">
        <f t="shared" si="22"/>
        <v>2.8191780821917809</v>
      </c>
      <c r="R155" s="453">
        <f t="shared" si="23"/>
        <v>5.1808219178082187</v>
      </c>
      <c r="S155" s="455">
        <f t="shared" si="24"/>
        <v>0.11874999999999999</v>
      </c>
      <c r="T155" s="759">
        <f t="shared" si="19"/>
        <v>7205.15625</v>
      </c>
      <c r="U155" s="756">
        <f t="shared" si="25"/>
        <v>41574.426883561646</v>
      </c>
      <c r="V155" s="760"/>
    </row>
    <row r="156" spans="1:22" ht="16.5">
      <c r="A156" s="460">
        <f t="shared" si="27"/>
        <v>149</v>
      </c>
      <c r="B156" s="784" t="s">
        <v>1231</v>
      </c>
      <c r="C156" s="754" t="s">
        <v>2173</v>
      </c>
      <c r="D156" s="784" t="s">
        <v>292</v>
      </c>
      <c r="E156" s="784" t="s">
        <v>23</v>
      </c>
      <c r="F156" s="785" t="s">
        <v>1239</v>
      </c>
      <c r="G156" s="785">
        <v>44354</v>
      </c>
      <c r="H156" s="783">
        <v>63600</v>
      </c>
      <c r="I156" s="460"/>
      <c r="J156" s="756"/>
      <c r="K156" s="756">
        <f t="shared" si="20"/>
        <v>63600</v>
      </c>
      <c r="L156" s="772">
        <f>+'[84]Add21-22 (2)'!H290</f>
        <v>44583</v>
      </c>
      <c r="M156" s="759">
        <v>8678.1328767123287</v>
      </c>
      <c r="N156" s="758">
        <f t="shared" si="26"/>
        <v>54921.867123287673</v>
      </c>
      <c r="O156" s="452">
        <f t="shared" si="21"/>
        <v>800</v>
      </c>
      <c r="P156" s="452">
        <v>8</v>
      </c>
      <c r="Q156" s="453">
        <f t="shared" si="22"/>
        <v>2.1917808219178081</v>
      </c>
      <c r="R156" s="453">
        <f t="shared" si="23"/>
        <v>5.8082191780821919</v>
      </c>
      <c r="S156" s="455">
        <f t="shared" si="24"/>
        <v>0.11874999999999999</v>
      </c>
      <c r="T156" s="759">
        <f t="shared" si="19"/>
        <v>7552.5</v>
      </c>
      <c r="U156" s="756">
        <f t="shared" si="25"/>
        <v>47369.367123287673</v>
      </c>
      <c r="V156" s="760"/>
    </row>
    <row r="157" spans="1:22" ht="16.5">
      <c r="A157" s="460">
        <f t="shared" si="27"/>
        <v>150</v>
      </c>
      <c r="B157" s="784" t="s">
        <v>1231</v>
      </c>
      <c r="C157" s="754" t="s">
        <v>2173</v>
      </c>
      <c r="D157" s="784" t="s">
        <v>292</v>
      </c>
      <c r="E157" s="784" t="s">
        <v>23</v>
      </c>
      <c r="F157" s="785" t="s">
        <v>1240</v>
      </c>
      <c r="G157" s="785">
        <v>44583</v>
      </c>
      <c r="H157" s="783">
        <v>63600</v>
      </c>
      <c r="I157" s="460"/>
      <c r="J157" s="756"/>
      <c r="K157" s="756">
        <f t="shared" si="20"/>
        <v>63600</v>
      </c>
      <c r="L157" s="772">
        <f>+'[84]Add21-22 (2)'!H291</f>
        <v>44583</v>
      </c>
      <c r="M157" s="759">
        <v>8678.1328767123287</v>
      </c>
      <c r="N157" s="758">
        <f t="shared" si="26"/>
        <v>54921.867123287673</v>
      </c>
      <c r="O157" s="452">
        <f t="shared" si="21"/>
        <v>800</v>
      </c>
      <c r="P157" s="452">
        <v>8</v>
      </c>
      <c r="Q157" s="453">
        <f t="shared" si="22"/>
        <v>2.1917808219178081</v>
      </c>
      <c r="R157" s="453">
        <f t="shared" si="23"/>
        <v>5.8082191780821919</v>
      </c>
      <c r="S157" s="455">
        <f t="shared" si="24"/>
        <v>0.11874999999999999</v>
      </c>
      <c r="T157" s="759">
        <f t="shared" si="19"/>
        <v>7552.5</v>
      </c>
      <c r="U157" s="756">
        <f t="shared" si="25"/>
        <v>47369.367123287673</v>
      </c>
      <c r="V157" s="760"/>
    </row>
    <row r="158" spans="1:22" ht="16.5">
      <c r="A158" s="460">
        <f t="shared" si="27"/>
        <v>151</v>
      </c>
      <c r="B158" s="784" t="s">
        <v>1231</v>
      </c>
      <c r="C158" s="754" t="s">
        <v>2173</v>
      </c>
      <c r="D158" s="784" t="s">
        <v>292</v>
      </c>
      <c r="E158" s="784" t="s">
        <v>23</v>
      </c>
      <c r="F158" s="785" t="s">
        <v>1241</v>
      </c>
      <c r="G158" s="785">
        <v>44583</v>
      </c>
      <c r="H158" s="783">
        <v>56425</v>
      </c>
      <c r="I158" s="460"/>
      <c r="J158" s="756"/>
      <c r="K158" s="756">
        <f t="shared" si="20"/>
        <v>56425</v>
      </c>
      <c r="L158" s="772">
        <f>+'[84]Add21-22 (2)'!H292</f>
        <v>44645</v>
      </c>
      <c r="M158" s="759">
        <v>6788.5845034246577</v>
      </c>
      <c r="N158" s="758">
        <f t="shared" si="26"/>
        <v>49636.415496575341</v>
      </c>
      <c r="O158" s="452">
        <f t="shared" si="21"/>
        <v>738</v>
      </c>
      <c r="P158" s="452">
        <v>8</v>
      </c>
      <c r="Q158" s="453">
        <f t="shared" si="22"/>
        <v>2.021917808219178</v>
      </c>
      <c r="R158" s="453">
        <f t="shared" si="23"/>
        <v>5.978082191780822</v>
      </c>
      <c r="S158" s="455">
        <f t="shared" si="24"/>
        <v>0.11874999999999999</v>
      </c>
      <c r="T158" s="759">
        <f t="shared" si="19"/>
        <v>6700.46875</v>
      </c>
      <c r="U158" s="756">
        <f t="shared" si="25"/>
        <v>42935.946746575341</v>
      </c>
      <c r="V158" s="760"/>
    </row>
    <row r="159" spans="1:22" ht="16.5">
      <c r="A159" s="460">
        <f t="shared" si="27"/>
        <v>152</v>
      </c>
      <c r="B159" s="784" t="s">
        <v>1242</v>
      </c>
      <c r="C159" s="754" t="s">
        <v>2173</v>
      </c>
      <c r="D159" s="784" t="s">
        <v>1244</v>
      </c>
      <c r="E159" s="784" t="s">
        <v>19</v>
      </c>
      <c r="F159" s="785" t="s">
        <v>1243</v>
      </c>
      <c r="G159" s="785">
        <v>44412</v>
      </c>
      <c r="H159" s="783">
        <v>2058921</v>
      </c>
      <c r="I159" s="460"/>
      <c r="J159" s="756"/>
      <c r="K159" s="756">
        <f t="shared" si="20"/>
        <v>2058921</v>
      </c>
      <c r="L159" s="772">
        <f>+'[84]Add21-22 (2)'!H293</f>
        <v>44412</v>
      </c>
      <c r="M159" s="759">
        <v>372573.03670890408</v>
      </c>
      <c r="N159" s="758">
        <f t="shared" si="26"/>
        <v>1686347.963291096</v>
      </c>
      <c r="O159" s="452">
        <f t="shared" si="21"/>
        <v>971</v>
      </c>
      <c r="P159" s="452">
        <v>8</v>
      </c>
      <c r="Q159" s="453">
        <f t="shared" si="22"/>
        <v>2.6602739726027398</v>
      </c>
      <c r="R159" s="453">
        <f t="shared" si="23"/>
        <v>5.3397260273972602</v>
      </c>
      <c r="S159" s="455">
        <f t="shared" si="24"/>
        <v>0.11874999999999999</v>
      </c>
      <c r="T159" s="759">
        <f t="shared" si="19"/>
        <v>244496.86874999999</v>
      </c>
      <c r="U159" s="756">
        <f t="shared" si="25"/>
        <v>1441851.0945410961</v>
      </c>
      <c r="V159" s="760"/>
    </row>
    <row r="160" spans="1:22" ht="16.5">
      <c r="A160" s="460">
        <f t="shared" si="27"/>
        <v>153</v>
      </c>
      <c r="B160" s="784" t="s">
        <v>1245</v>
      </c>
      <c r="C160" s="754" t="s">
        <v>2173</v>
      </c>
      <c r="D160" s="784" t="s">
        <v>1244</v>
      </c>
      <c r="E160" s="784" t="s">
        <v>19</v>
      </c>
      <c r="F160" s="785" t="s">
        <v>1246</v>
      </c>
      <c r="G160" s="785">
        <v>44641</v>
      </c>
      <c r="H160" s="783">
        <v>688162</v>
      </c>
      <c r="I160" s="460"/>
      <c r="J160" s="756"/>
      <c r="K160" s="756">
        <f t="shared" si="20"/>
        <v>688162</v>
      </c>
      <c r="L160" s="772">
        <f>+'[84]Add21-22 (2)'!H294</f>
        <v>44641</v>
      </c>
      <c r="M160" s="759">
        <v>83510.344075342466</v>
      </c>
      <c r="N160" s="758">
        <f t="shared" si="26"/>
        <v>604651.65592465759</v>
      </c>
      <c r="O160" s="452">
        <f t="shared" si="21"/>
        <v>742</v>
      </c>
      <c r="P160" s="452">
        <v>8</v>
      </c>
      <c r="Q160" s="453">
        <f t="shared" si="22"/>
        <v>2.032876712328767</v>
      </c>
      <c r="R160" s="453">
        <f t="shared" si="23"/>
        <v>5.9671232876712335</v>
      </c>
      <c r="S160" s="455">
        <f t="shared" si="24"/>
        <v>0.11874999999999999</v>
      </c>
      <c r="T160" s="759">
        <f t="shared" si="19"/>
        <v>81719.237500000003</v>
      </c>
      <c r="U160" s="756">
        <f t="shared" si="25"/>
        <v>522932.4184246576</v>
      </c>
      <c r="V160" s="760"/>
    </row>
    <row r="161" spans="1:22" ht="16.5">
      <c r="A161" s="460">
        <f t="shared" si="27"/>
        <v>154</v>
      </c>
      <c r="B161" s="784" t="s">
        <v>1247</v>
      </c>
      <c r="C161" s="754" t="s">
        <v>2173</v>
      </c>
      <c r="D161" s="784" t="s">
        <v>292</v>
      </c>
      <c r="E161" s="784" t="s">
        <v>26</v>
      </c>
      <c r="F161" s="785" t="s">
        <v>1248</v>
      </c>
      <c r="G161" s="785">
        <v>44288</v>
      </c>
      <c r="H161" s="783">
        <v>72475.490000000005</v>
      </c>
      <c r="I161" s="460"/>
      <c r="J161" s="756"/>
      <c r="K161" s="756">
        <f t="shared" si="20"/>
        <v>72475.490000000005</v>
      </c>
      <c r="L161" s="772">
        <f>+'[84]Add21-22 (2)'!H295</f>
        <v>44288</v>
      </c>
      <c r="M161" s="759">
        <v>15453.909020102741</v>
      </c>
      <c r="N161" s="758">
        <f t="shared" si="26"/>
        <v>57021.580979897262</v>
      </c>
      <c r="O161" s="452">
        <f t="shared" si="21"/>
        <v>1095</v>
      </c>
      <c r="P161" s="452">
        <v>8</v>
      </c>
      <c r="Q161" s="453">
        <f t="shared" si="22"/>
        <v>3</v>
      </c>
      <c r="R161" s="453">
        <f t="shared" si="23"/>
        <v>5</v>
      </c>
      <c r="S161" s="455">
        <f t="shared" si="24"/>
        <v>0.11874999999999999</v>
      </c>
      <c r="T161" s="759">
        <f t="shared" si="19"/>
        <v>8606.4644375000007</v>
      </c>
      <c r="U161" s="756">
        <f t="shared" si="25"/>
        <v>48415.116542397263</v>
      </c>
      <c r="V161" s="760"/>
    </row>
    <row r="162" spans="1:22" ht="16.5">
      <c r="A162" s="460">
        <f t="shared" si="27"/>
        <v>155</v>
      </c>
      <c r="B162" s="784" t="s">
        <v>1249</v>
      </c>
      <c r="C162" s="754" t="s">
        <v>2173</v>
      </c>
      <c r="D162" s="784" t="s">
        <v>1250</v>
      </c>
      <c r="E162" s="784" t="s">
        <v>29</v>
      </c>
      <c r="F162" s="785">
        <v>20945</v>
      </c>
      <c r="G162" s="785">
        <v>44622</v>
      </c>
      <c r="H162" s="783">
        <v>62800</v>
      </c>
      <c r="I162" s="460"/>
      <c r="J162" s="756"/>
      <c r="K162" s="756">
        <f t="shared" si="20"/>
        <v>62800</v>
      </c>
      <c r="L162" s="772">
        <f>+'[84]Add21-22 (2)'!H296</f>
        <v>44622</v>
      </c>
      <c r="M162" s="759">
        <v>7931.5109589041094</v>
      </c>
      <c r="N162" s="758">
        <f t="shared" si="26"/>
        <v>54868.489041095891</v>
      </c>
      <c r="O162" s="452">
        <f t="shared" si="21"/>
        <v>761</v>
      </c>
      <c r="P162" s="452">
        <v>8</v>
      </c>
      <c r="Q162" s="453">
        <f t="shared" si="22"/>
        <v>2.0849315068493151</v>
      </c>
      <c r="R162" s="453">
        <f t="shared" si="23"/>
        <v>5.9150684931506845</v>
      </c>
      <c r="S162" s="455">
        <f t="shared" si="24"/>
        <v>0.11874999999999999</v>
      </c>
      <c r="T162" s="759">
        <f t="shared" si="19"/>
        <v>7457.5</v>
      </c>
      <c r="U162" s="756">
        <f t="shared" si="25"/>
        <v>47410.989041095891</v>
      </c>
      <c r="V162" s="760"/>
    </row>
    <row r="163" spans="1:22" ht="16.5">
      <c r="A163" s="460">
        <f t="shared" si="27"/>
        <v>156</v>
      </c>
      <c r="B163" s="784" t="s">
        <v>1228</v>
      </c>
      <c r="C163" s="754" t="s">
        <v>2173</v>
      </c>
      <c r="D163" s="784" t="s">
        <v>1252</v>
      </c>
      <c r="E163" s="784" t="s">
        <v>20</v>
      </c>
      <c r="F163" s="785" t="s">
        <v>1251</v>
      </c>
      <c r="G163" s="785">
        <v>44538</v>
      </c>
      <c r="H163" s="783">
        <v>94859</v>
      </c>
      <c r="I163" s="460"/>
      <c r="J163" s="756"/>
      <c r="K163" s="756">
        <f t="shared" si="20"/>
        <v>94859</v>
      </c>
      <c r="L163" s="772">
        <f>+'[84]Add21-22 (2)'!H297</f>
        <v>44538</v>
      </c>
      <c r="M163" s="759">
        <v>14054.400400684932</v>
      </c>
      <c r="N163" s="758">
        <f t="shared" si="26"/>
        <v>80804.599599315072</v>
      </c>
      <c r="O163" s="452">
        <f t="shared" si="21"/>
        <v>845</v>
      </c>
      <c r="P163" s="452">
        <v>8</v>
      </c>
      <c r="Q163" s="453">
        <f t="shared" si="22"/>
        <v>2.3150684931506849</v>
      </c>
      <c r="R163" s="453">
        <f t="shared" si="23"/>
        <v>5.6849315068493151</v>
      </c>
      <c r="S163" s="455">
        <f t="shared" si="24"/>
        <v>0.11874999999999999</v>
      </c>
      <c r="T163" s="759">
        <f t="shared" si="19"/>
        <v>11264.50625</v>
      </c>
      <c r="U163" s="756">
        <f t="shared" si="25"/>
        <v>69540.093349315066</v>
      </c>
      <c r="V163" s="760"/>
    </row>
    <row r="164" spans="1:22" ht="16.5">
      <c r="A164" s="460">
        <f t="shared" si="27"/>
        <v>157</v>
      </c>
      <c r="B164" s="784" t="s">
        <v>1228</v>
      </c>
      <c r="C164" s="754" t="s">
        <v>2173</v>
      </c>
      <c r="D164" s="784" t="s">
        <v>1252</v>
      </c>
      <c r="E164" s="784" t="s">
        <v>20</v>
      </c>
      <c r="F164" s="785" t="s">
        <v>1253</v>
      </c>
      <c r="G164" s="785">
        <v>44538</v>
      </c>
      <c r="H164" s="783">
        <v>94859</v>
      </c>
      <c r="I164" s="460"/>
      <c r="J164" s="756"/>
      <c r="K164" s="756">
        <f t="shared" si="20"/>
        <v>94859</v>
      </c>
      <c r="L164" s="772">
        <f>+'[84]Add21-22 (2)'!H298</f>
        <v>44538</v>
      </c>
      <c r="M164" s="759">
        <v>14054.400400684932</v>
      </c>
      <c r="N164" s="758">
        <f t="shared" si="26"/>
        <v>80804.599599315072</v>
      </c>
      <c r="O164" s="452">
        <f t="shared" si="21"/>
        <v>845</v>
      </c>
      <c r="P164" s="452">
        <v>8</v>
      </c>
      <c r="Q164" s="453">
        <f t="shared" si="22"/>
        <v>2.3150684931506849</v>
      </c>
      <c r="R164" s="453">
        <f t="shared" si="23"/>
        <v>5.6849315068493151</v>
      </c>
      <c r="S164" s="455">
        <f t="shared" si="24"/>
        <v>0.11874999999999999</v>
      </c>
      <c r="T164" s="759">
        <f t="shared" si="19"/>
        <v>11264.50625</v>
      </c>
      <c r="U164" s="756">
        <f t="shared" si="25"/>
        <v>69540.093349315066</v>
      </c>
      <c r="V164" s="760"/>
    </row>
    <row r="165" spans="1:22" ht="16.5">
      <c r="A165" s="460">
        <f t="shared" si="27"/>
        <v>158</v>
      </c>
      <c r="B165" s="784" t="s">
        <v>1254</v>
      </c>
      <c r="C165" s="754" t="s">
        <v>2173</v>
      </c>
      <c r="D165" s="784" t="s">
        <v>1256</v>
      </c>
      <c r="E165" s="784" t="s">
        <v>28</v>
      </c>
      <c r="F165" s="785" t="s">
        <v>1255</v>
      </c>
      <c r="G165" s="785">
        <v>44642</v>
      </c>
      <c r="H165" s="783">
        <v>680470</v>
      </c>
      <c r="I165" s="460"/>
      <c r="J165" s="756"/>
      <c r="K165" s="756">
        <f t="shared" si="20"/>
        <v>680470</v>
      </c>
      <c r="L165" s="772">
        <f>+'[84]Add21-22 (2)'!H299</f>
        <v>44642</v>
      </c>
      <c r="M165" s="759">
        <v>82399.790171232875</v>
      </c>
      <c r="N165" s="758">
        <f t="shared" si="26"/>
        <v>598070.20982876711</v>
      </c>
      <c r="O165" s="452">
        <f t="shared" si="21"/>
        <v>741</v>
      </c>
      <c r="P165" s="452">
        <v>8</v>
      </c>
      <c r="Q165" s="453">
        <f t="shared" si="22"/>
        <v>2.0301369863013701</v>
      </c>
      <c r="R165" s="453">
        <f t="shared" si="23"/>
        <v>5.9698630136986299</v>
      </c>
      <c r="S165" s="455">
        <f t="shared" si="24"/>
        <v>0.11874999999999999</v>
      </c>
      <c r="T165" s="759">
        <f t="shared" si="19"/>
        <v>80805.8125</v>
      </c>
      <c r="U165" s="756">
        <f t="shared" si="25"/>
        <v>517264.39732876711</v>
      </c>
      <c r="V165" s="760"/>
    </row>
    <row r="166" spans="1:22" ht="16.5">
      <c r="A166" s="460">
        <f t="shared" si="27"/>
        <v>159</v>
      </c>
      <c r="B166" s="784" t="s">
        <v>1228</v>
      </c>
      <c r="C166" s="754" t="s">
        <v>2173</v>
      </c>
      <c r="D166" s="784" t="s">
        <v>1258</v>
      </c>
      <c r="E166" s="784" t="s">
        <v>1094</v>
      </c>
      <c r="F166" s="785" t="s">
        <v>1257</v>
      </c>
      <c r="G166" s="785">
        <v>44574</v>
      </c>
      <c r="H166" s="783">
        <v>70920</v>
      </c>
      <c r="I166" s="460"/>
      <c r="J166" s="756"/>
      <c r="K166" s="756">
        <f t="shared" si="20"/>
        <v>70920</v>
      </c>
      <c r="L166" s="772">
        <f>+'[84]Add21-22 (2)'!H300</f>
        <v>44574</v>
      </c>
      <c r="M166" s="759">
        <v>9843.064520547945</v>
      </c>
      <c r="N166" s="758">
        <f t="shared" si="26"/>
        <v>61076.935479452055</v>
      </c>
      <c r="O166" s="452">
        <f t="shared" si="21"/>
        <v>809</v>
      </c>
      <c r="P166" s="452">
        <v>8</v>
      </c>
      <c r="Q166" s="453">
        <f t="shared" si="22"/>
        <v>2.2164383561643834</v>
      </c>
      <c r="R166" s="453">
        <f t="shared" si="23"/>
        <v>5.7835616438356166</v>
      </c>
      <c r="S166" s="455">
        <f t="shared" si="24"/>
        <v>0.11874999999999999</v>
      </c>
      <c r="T166" s="759">
        <f t="shared" si="19"/>
        <v>8421.75</v>
      </c>
      <c r="U166" s="756">
        <f t="shared" si="25"/>
        <v>52655.185479452055</v>
      </c>
      <c r="V166" s="760"/>
    </row>
    <row r="167" spans="1:22" ht="16.5">
      <c r="A167" s="460">
        <f t="shared" si="27"/>
        <v>160</v>
      </c>
      <c r="B167" s="784" t="s">
        <v>1228</v>
      </c>
      <c r="C167" s="754" t="s">
        <v>2173</v>
      </c>
      <c r="D167" s="784" t="s">
        <v>1258</v>
      </c>
      <c r="E167" s="784" t="s">
        <v>1094</v>
      </c>
      <c r="F167" s="785" t="s">
        <v>1259</v>
      </c>
      <c r="G167" s="785">
        <v>44574</v>
      </c>
      <c r="H167" s="783">
        <v>70920</v>
      </c>
      <c r="I167" s="460"/>
      <c r="J167" s="756"/>
      <c r="K167" s="756">
        <f t="shared" si="20"/>
        <v>70920</v>
      </c>
      <c r="L167" s="772">
        <f>+'[84]Add21-22 (2)'!H301</f>
        <v>44574</v>
      </c>
      <c r="M167" s="759">
        <v>9843.064520547945</v>
      </c>
      <c r="N167" s="758">
        <f t="shared" si="26"/>
        <v>61076.935479452055</v>
      </c>
      <c r="O167" s="452">
        <f t="shared" si="21"/>
        <v>809</v>
      </c>
      <c r="P167" s="452">
        <v>8</v>
      </c>
      <c r="Q167" s="453">
        <f t="shared" si="22"/>
        <v>2.2164383561643834</v>
      </c>
      <c r="R167" s="453">
        <f t="shared" si="23"/>
        <v>5.7835616438356166</v>
      </c>
      <c r="S167" s="455">
        <f t="shared" si="24"/>
        <v>0.11874999999999999</v>
      </c>
      <c r="T167" s="759">
        <f t="shared" si="19"/>
        <v>8421.75</v>
      </c>
      <c r="U167" s="756">
        <f t="shared" si="25"/>
        <v>52655.185479452055</v>
      </c>
      <c r="V167" s="760"/>
    </row>
    <row r="168" spans="1:22" ht="16.5">
      <c r="A168" s="460">
        <f t="shared" si="27"/>
        <v>161</v>
      </c>
      <c r="B168" s="784" t="s">
        <v>1254</v>
      </c>
      <c r="C168" s="754" t="s">
        <v>2173</v>
      </c>
      <c r="D168" s="784" t="s">
        <v>1261</v>
      </c>
      <c r="E168" s="784" t="s">
        <v>1094</v>
      </c>
      <c r="F168" s="785" t="s">
        <v>1260</v>
      </c>
      <c r="G168" s="785">
        <v>44575</v>
      </c>
      <c r="H168" s="783">
        <v>740235</v>
      </c>
      <c r="I168" s="460"/>
      <c r="J168" s="756"/>
      <c r="K168" s="756">
        <f t="shared" si="20"/>
        <v>740235</v>
      </c>
      <c r="L168" s="772">
        <f>+'[84]Add21-22 (2)'!H302</f>
        <v>44575</v>
      </c>
      <c r="M168" s="759">
        <v>102545.36296232877</v>
      </c>
      <c r="N168" s="758">
        <f t="shared" si="26"/>
        <v>637689.63703767117</v>
      </c>
      <c r="O168" s="452">
        <f t="shared" si="21"/>
        <v>808</v>
      </c>
      <c r="P168" s="452">
        <v>8</v>
      </c>
      <c r="Q168" s="453">
        <f t="shared" si="22"/>
        <v>2.2136986301369861</v>
      </c>
      <c r="R168" s="453">
        <f t="shared" si="23"/>
        <v>5.7863013698630139</v>
      </c>
      <c r="S168" s="455">
        <f t="shared" si="24"/>
        <v>0.11874999999999999</v>
      </c>
      <c r="T168" s="759">
        <f t="shared" si="19"/>
        <v>87902.90625</v>
      </c>
      <c r="U168" s="756">
        <f t="shared" si="25"/>
        <v>549786.73078767117</v>
      </c>
      <c r="V168" s="760"/>
    </row>
    <row r="169" spans="1:22" ht="16.5">
      <c r="A169" s="460">
        <f t="shared" si="27"/>
        <v>162</v>
      </c>
      <c r="B169" s="784" t="s">
        <v>1228</v>
      </c>
      <c r="C169" s="754" t="s">
        <v>2173</v>
      </c>
      <c r="D169" s="784" t="s">
        <v>1263</v>
      </c>
      <c r="E169" s="784" t="s">
        <v>18</v>
      </c>
      <c r="F169" s="785" t="s">
        <v>1262</v>
      </c>
      <c r="G169" s="785">
        <v>44627</v>
      </c>
      <c r="H169" s="783">
        <v>85869</v>
      </c>
      <c r="I169" s="460"/>
      <c r="J169" s="756"/>
      <c r="K169" s="756">
        <f t="shared" si="20"/>
        <v>85869</v>
      </c>
      <c r="L169" s="772">
        <f>+'[84]Add21-22 (2)'!H303</f>
        <v>44627</v>
      </c>
      <c r="M169" s="759">
        <v>10733.330928082192</v>
      </c>
      <c r="N169" s="758">
        <f t="shared" si="26"/>
        <v>75135.6690719178</v>
      </c>
      <c r="O169" s="452">
        <f t="shared" si="21"/>
        <v>756</v>
      </c>
      <c r="P169" s="452">
        <v>8</v>
      </c>
      <c r="Q169" s="453">
        <f t="shared" si="22"/>
        <v>2.0712328767123287</v>
      </c>
      <c r="R169" s="453">
        <f t="shared" si="23"/>
        <v>5.9287671232876713</v>
      </c>
      <c r="S169" s="455">
        <f t="shared" si="24"/>
        <v>0.11874999999999999</v>
      </c>
      <c r="T169" s="759">
        <f t="shared" si="19"/>
        <v>10196.94375</v>
      </c>
      <c r="U169" s="756">
        <f t="shared" si="25"/>
        <v>64938.725321917802</v>
      </c>
      <c r="V169" s="760"/>
    </row>
    <row r="170" spans="1:22" ht="16.5">
      <c r="A170" s="460">
        <f t="shared" si="27"/>
        <v>163</v>
      </c>
      <c r="B170" s="784" t="s">
        <v>1228</v>
      </c>
      <c r="C170" s="754" t="s">
        <v>2173</v>
      </c>
      <c r="D170" s="784" t="s">
        <v>1265</v>
      </c>
      <c r="E170" s="784" t="s">
        <v>21</v>
      </c>
      <c r="F170" s="785" t="s">
        <v>1264</v>
      </c>
      <c r="G170" s="785">
        <v>44522</v>
      </c>
      <c r="H170" s="783">
        <v>95124</v>
      </c>
      <c r="I170" s="460"/>
      <c r="J170" s="756"/>
      <c r="K170" s="756">
        <f t="shared" si="20"/>
        <v>95124</v>
      </c>
      <c r="L170" s="772">
        <f>+'[84]Add21-22 (2)'!H304</f>
        <v>44522</v>
      </c>
      <c r="M170" s="759">
        <v>14489.795876712329</v>
      </c>
      <c r="N170" s="758">
        <f t="shared" si="26"/>
        <v>80634.204123287665</v>
      </c>
      <c r="O170" s="452">
        <f t="shared" si="21"/>
        <v>861</v>
      </c>
      <c r="P170" s="452">
        <v>8</v>
      </c>
      <c r="Q170" s="453">
        <f t="shared" si="22"/>
        <v>2.3589041095890413</v>
      </c>
      <c r="R170" s="453">
        <f t="shared" si="23"/>
        <v>5.6410958904109592</v>
      </c>
      <c r="S170" s="455">
        <f t="shared" si="24"/>
        <v>0.11874999999999999</v>
      </c>
      <c r="T170" s="759">
        <f t="shared" si="19"/>
        <v>11295.975</v>
      </c>
      <c r="U170" s="756">
        <f t="shared" si="25"/>
        <v>69338.22912328766</v>
      </c>
      <c r="V170" s="760"/>
    </row>
    <row r="171" spans="1:22" ht="16.5">
      <c r="A171" s="460">
        <f t="shared" si="27"/>
        <v>164</v>
      </c>
      <c r="B171" s="784" t="s">
        <v>1228</v>
      </c>
      <c r="C171" s="754" t="s">
        <v>2173</v>
      </c>
      <c r="D171" s="784" t="s">
        <v>1265</v>
      </c>
      <c r="E171" s="784" t="s">
        <v>21</v>
      </c>
      <c r="F171" s="785" t="s">
        <v>1266</v>
      </c>
      <c r="G171" s="785">
        <v>44522</v>
      </c>
      <c r="H171" s="783">
        <v>95124</v>
      </c>
      <c r="I171" s="460"/>
      <c r="J171" s="756"/>
      <c r="K171" s="756">
        <f t="shared" si="20"/>
        <v>95124</v>
      </c>
      <c r="L171" s="772">
        <f>+'[84]Add21-22 (2)'!H305</f>
        <v>44522</v>
      </c>
      <c r="M171" s="759">
        <v>14489.795876712329</v>
      </c>
      <c r="N171" s="758">
        <f t="shared" si="26"/>
        <v>80634.204123287665</v>
      </c>
      <c r="O171" s="452">
        <f t="shared" si="21"/>
        <v>861</v>
      </c>
      <c r="P171" s="452">
        <v>8</v>
      </c>
      <c r="Q171" s="453">
        <f t="shared" si="22"/>
        <v>2.3589041095890413</v>
      </c>
      <c r="R171" s="453">
        <f t="shared" si="23"/>
        <v>5.6410958904109592</v>
      </c>
      <c r="S171" s="455">
        <f t="shared" si="24"/>
        <v>0.11874999999999999</v>
      </c>
      <c r="T171" s="759">
        <f t="shared" si="19"/>
        <v>11295.975</v>
      </c>
      <c r="U171" s="756">
        <f t="shared" si="25"/>
        <v>69338.22912328766</v>
      </c>
      <c r="V171" s="760"/>
    </row>
    <row r="172" spans="1:22" ht="16.5">
      <c r="A172" s="460">
        <f t="shared" si="27"/>
        <v>165</v>
      </c>
      <c r="B172" s="784" t="s">
        <v>1228</v>
      </c>
      <c r="C172" s="754" t="s">
        <v>2173</v>
      </c>
      <c r="D172" s="784" t="s">
        <v>1265</v>
      </c>
      <c r="E172" s="784" t="s">
        <v>21</v>
      </c>
      <c r="F172" s="785" t="s">
        <v>1267</v>
      </c>
      <c r="G172" s="785">
        <v>44522</v>
      </c>
      <c r="H172" s="783">
        <v>95124</v>
      </c>
      <c r="I172" s="460"/>
      <c r="J172" s="756"/>
      <c r="K172" s="756">
        <f t="shared" si="20"/>
        <v>95124</v>
      </c>
      <c r="L172" s="772">
        <f>+'[84]Add21-22 (2)'!H306</f>
        <v>44522</v>
      </c>
      <c r="M172" s="759">
        <v>14489.795876712329</v>
      </c>
      <c r="N172" s="758">
        <f t="shared" si="26"/>
        <v>80634.204123287665</v>
      </c>
      <c r="O172" s="452">
        <f t="shared" si="21"/>
        <v>861</v>
      </c>
      <c r="P172" s="452">
        <v>8</v>
      </c>
      <c r="Q172" s="453">
        <f t="shared" si="22"/>
        <v>2.3589041095890413</v>
      </c>
      <c r="R172" s="453">
        <f t="shared" si="23"/>
        <v>5.6410958904109592</v>
      </c>
      <c r="S172" s="455">
        <f t="shared" si="24"/>
        <v>0.11874999999999999</v>
      </c>
      <c r="T172" s="759">
        <f t="shared" si="19"/>
        <v>11295.975</v>
      </c>
      <c r="U172" s="756">
        <f t="shared" si="25"/>
        <v>69338.22912328766</v>
      </c>
      <c r="V172" s="760"/>
    </row>
    <row r="173" spans="1:22" ht="16.5">
      <c r="A173" s="460">
        <f t="shared" si="27"/>
        <v>166</v>
      </c>
      <c r="B173" s="784" t="s">
        <v>1228</v>
      </c>
      <c r="C173" s="754" t="s">
        <v>2173</v>
      </c>
      <c r="D173" s="784" t="s">
        <v>1265</v>
      </c>
      <c r="E173" s="784" t="s">
        <v>21</v>
      </c>
      <c r="F173" s="785" t="s">
        <v>1268</v>
      </c>
      <c r="G173" s="785">
        <v>44522</v>
      </c>
      <c r="H173" s="783">
        <v>95124</v>
      </c>
      <c r="I173" s="460"/>
      <c r="J173" s="756"/>
      <c r="K173" s="756">
        <f t="shared" si="20"/>
        <v>95124</v>
      </c>
      <c r="L173" s="772">
        <f>+'[84]Add21-22 (2)'!H307</f>
        <v>44522</v>
      </c>
      <c r="M173" s="759">
        <v>14489.795876712329</v>
      </c>
      <c r="N173" s="758">
        <f t="shared" si="26"/>
        <v>80634.204123287665</v>
      </c>
      <c r="O173" s="452">
        <f t="shared" si="21"/>
        <v>861</v>
      </c>
      <c r="P173" s="452">
        <v>8</v>
      </c>
      <c r="Q173" s="453">
        <f t="shared" si="22"/>
        <v>2.3589041095890413</v>
      </c>
      <c r="R173" s="453">
        <f t="shared" si="23"/>
        <v>5.6410958904109592</v>
      </c>
      <c r="S173" s="455">
        <f t="shared" si="24"/>
        <v>0.11874999999999999</v>
      </c>
      <c r="T173" s="759">
        <f t="shared" si="19"/>
        <v>11295.975</v>
      </c>
      <c r="U173" s="756">
        <f t="shared" si="25"/>
        <v>69338.22912328766</v>
      </c>
      <c r="V173" s="760"/>
    </row>
    <row r="174" spans="1:22" ht="16.5">
      <c r="A174" s="460">
        <f t="shared" si="27"/>
        <v>167</v>
      </c>
      <c r="B174" s="788" t="s">
        <v>284</v>
      </c>
      <c r="C174" s="754" t="s">
        <v>3663</v>
      </c>
      <c r="D174" s="788" t="s">
        <v>290</v>
      </c>
      <c r="E174" s="789" t="s">
        <v>26</v>
      </c>
      <c r="F174" s="785"/>
      <c r="G174" s="790">
        <v>44662</v>
      </c>
      <c r="H174" s="783">
        <v>1410000</v>
      </c>
      <c r="I174" s="460"/>
      <c r="J174" s="756"/>
      <c r="K174" s="756">
        <f t="shared" si="20"/>
        <v>1410000</v>
      </c>
      <c r="L174" s="791">
        <v>44662</v>
      </c>
      <c r="M174" s="759">
        <v>162391.43835616438</v>
      </c>
      <c r="N174" s="758">
        <f t="shared" si="26"/>
        <v>1247608.5616438356</v>
      </c>
      <c r="O174" s="452">
        <f t="shared" ref="O174:O228" si="28">+$O$3-L174+1</f>
        <v>721</v>
      </c>
      <c r="P174" s="452">
        <v>8</v>
      </c>
      <c r="Q174" s="453">
        <f t="shared" ref="Q174:Q228" si="29">+O174/365</f>
        <v>1.9753424657534246</v>
      </c>
      <c r="R174" s="453">
        <f t="shared" ref="R174:R228" si="30">+P174-Q174</f>
        <v>6.0246575342465754</v>
      </c>
      <c r="S174" s="455">
        <f t="shared" ref="S174:S228" si="31">1/P174*0.95</f>
        <v>0.11874999999999999</v>
      </c>
      <c r="T174" s="759">
        <f t="shared" ref="T174:T228" si="32">+K174*S174</f>
        <v>167437.5</v>
      </c>
      <c r="U174" s="756">
        <f t="shared" ref="U174:U228" si="33">+N174-T174</f>
        <v>1080171.0616438356</v>
      </c>
      <c r="V174" s="760"/>
    </row>
    <row r="175" spans="1:22" ht="16.5">
      <c r="A175" s="460">
        <f t="shared" si="27"/>
        <v>168</v>
      </c>
      <c r="B175" s="462" t="s">
        <v>862</v>
      </c>
      <c r="C175" s="754" t="s">
        <v>3663</v>
      </c>
      <c r="D175" s="462" t="s">
        <v>3453</v>
      </c>
      <c r="E175" s="792" t="s">
        <v>2474</v>
      </c>
      <c r="F175" s="785"/>
      <c r="G175" s="793">
        <v>44933</v>
      </c>
      <c r="H175" s="783">
        <v>78000</v>
      </c>
      <c r="I175" s="460"/>
      <c r="J175" s="756"/>
      <c r="K175" s="756">
        <f t="shared" si="20"/>
        <v>78000</v>
      </c>
      <c r="L175" s="794">
        <v>44933</v>
      </c>
      <c r="M175" s="759">
        <v>2106.2671232876714</v>
      </c>
      <c r="N175" s="758">
        <f t="shared" si="26"/>
        <v>75893.732876712325</v>
      </c>
      <c r="O175" s="452">
        <f t="shared" si="28"/>
        <v>450</v>
      </c>
      <c r="P175" s="452">
        <v>8</v>
      </c>
      <c r="Q175" s="453">
        <f t="shared" si="29"/>
        <v>1.2328767123287672</v>
      </c>
      <c r="R175" s="453">
        <f t="shared" si="30"/>
        <v>6.7671232876712324</v>
      </c>
      <c r="S175" s="455">
        <f t="shared" si="31"/>
        <v>0.11874999999999999</v>
      </c>
      <c r="T175" s="759">
        <f t="shared" si="32"/>
        <v>9262.5</v>
      </c>
      <c r="U175" s="756">
        <f t="shared" si="33"/>
        <v>66631.232876712325</v>
      </c>
      <c r="V175" s="760"/>
    </row>
    <row r="176" spans="1:22" ht="16.5">
      <c r="A176" s="460">
        <f t="shared" si="27"/>
        <v>169</v>
      </c>
      <c r="B176" s="788" t="s">
        <v>285</v>
      </c>
      <c r="C176" s="754" t="s">
        <v>3663</v>
      </c>
      <c r="D176" s="788" t="s">
        <v>292</v>
      </c>
      <c r="E176" s="795" t="s">
        <v>3459</v>
      </c>
      <c r="F176" s="785"/>
      <c r="G176" s="790">
        <v>44726</v>
      </c>
      <c r="H176" s="783">
        <v>94519</v>
      </c>
      <c r="I176" s="460"/>
      <c r="J176" s="756"/>
      <c r="K176" s="756">
        <f t="shared" si="20"/>
        <v>94519</v>
      </c>
      <c r="L176" s="791">
        <v>44726</v>
      </c>
      <c r="M176" s="759">
        <v>8917.8029109589042</v>
      </c>
      <c r="N176" s="758">
        <f t="shared" si="26"/>
        <v>85601.197089041088</v>
      </c>
      <c r="O176" s="452">
        <f t="shared" si="28"/>
        <v>657</v>
      </c>
      <c r="P176" s="452">
        <v>8</v>
      </c>
      <c r="Q176" s="453">
        <f t="shared" si="29"/>
        <v>1.8</v>
      </c>
      <c r="R176" s="453">
        <f t="shared" si="30"/>
        <v>6.2</v>
      </c>
      <c r="S176" s="455">
        <f t="shared" si="31"/>
        <v>0.11874999999999999</v>
      </c>
      <c r="T176" s="759">
        <f t="shared" si="32"/>
        <v>11224.13125</v>
      </c>
      <c r="U176" s="756">
        <f t="shared" si="33"/>
        <v>74377.065839041083</v>
      </c>
      <c r="V176" s="760"/>
    </row>
    <row r="177" spans="1:22" ht="16.5">
      <c r="A177" s="460">
        <f t="shared" si="27"/>
        <v>170</v>
      </c>
      <c r="B177" s="788" t="s">
        <v>542</v>
      </c>
      <c r="C177" s="754" t="s">
        <v>3663</v>
      </c>
      <c r="D177" s="788" t="s">
        <v>292</v>
      </c>
      <c r="E177" s="795" t="s">
        <v>3459</v>
      </c>
      <c r="F177" s="785"/>
      <c r="G177" s="790">
        <v>44772</v>
      </c>
      <c r="H177" s="783">
        <v>91990</v>
      </c>
      <c r="I177" s="460"/>
      <c r="J177" s="756"/>
      <c r="K177" s="756">
        <f t="shared" si="20"/>
        <v>91990</v>
      </c>
      <c r="L177" s="791">
        <v>44772</v>
      </c>
      <c r="M177" s="759">
        <v>7302.4938356164384</v>
      </c>
      <c r="N177" s="758">
        <f t="shared" si="26"/>
        <v>84687.506164383565</v>
      </c>
      <c r="O177" s="452">
        <f t="shared" si="28"/>
        <v>611</v>
      </c>
      <c r="P177" s="452">
        <v>8</v>
      </c>
      <c r="Q177" s="453">
        <f t="shared" si="29"/>
        <v>1.6739726027397259</v>
      </c>
      <c r="R177" s="453">
        <f t="shared" si="30"/>
        <v>6.3260273972602743</v>
      </c>
      <c r="S177" s="455">
        <f t="shared" si="31"/>
        <v>0.11874999999999999</v>
      </c>
      <c r="T177" s="759">
        <f t="shared" si="32"/>
        <v>10923.8125</v>
      </c>
      <c r="U177" s="756">
        <f t="shared" si="33"/>
        <v>73763.693664383565</v>
      </c>
      <c r="V177" s="760"/>
    </row>
    <row r="178" spans="1:22" ht="16.5">
      <c r="A178" s="460">
        <f t="shared" si="27"/>
        <v>171</v>
      </c>
      <c r="B178" s="788" t="s">
        <v>544</v>
      </c>
      <c r="C178" s="754" t="s">
        <v>3663</v>
      </c>
      <c r="D178" s="788" t="s">
        <v>292</v>
      </c>
      <c r="E178" s="795" t="s">
        <v>3459</v>
      </c>
      <c r="F178" s="785"/>
      <c r="G178" s="790">
        <v>44831</v>
      </c>
      <c r="H178" s="783">
        <v>101400</v>
      </c>
      <c r="I178" s="460"/>
      <c r="J178" s="756"/>
      <c r="K178" s="756">
        <f t="shared" si="20"/>
        <v>101400</v>
      </c>
      <c r="L178" s="790">
        <v>44831</v>
      </c>
      <c r="M178" s="759">
        <v>6103.0993150684935</v>
      </c>
      <c r="N178" s="758">
        <f t="shared" si="26"/>
        <v>95296.900684931505</v>
      </c>
      <c r="O178" s="452">
        <f t="shared" si="28"/>
        <v>552</v>
      </c>
      <c r="P178" s="452">
        <v>8</v>
      </c>
      <c r="Q178" s="453">
        <f t="shared" si="29"/>
        <v>1.5123287671232877</v>
      </c>
      <c r="R178" s="453">
        <f t="shared" si="30"/>
        <v>6.4876712328767123</v>
      </c>
      <c r="S178" s="455">
        <f t="shared" si="31"/>
        <v>0.11874999999999999</v>
      </c>
      <c r="T178" s="759">
        <f t="shared" si="32"/>
        <v>12041.25</v>
      </c>
      <c r="U178" s="756">
        <f t="shared" si="33"/>
        <v>83255.650684931505</v>
      </c>
      <c r="V178" s="760"/>
    </row>
    <row r="179" spans="1:22" ht="16.5">
      <c r="A179" s="460">
        <f t="shared" si="27"/>
        <v>172</v>
      </c>
      <c r="B179" s="788" t="s">
        <v>546</v>
      </c>
      <c r="C179" s="754" t="s">
        <v>3663</v>
      </c>
      <c r="D179" s="788" t="s">
        <v>292</v>
      </c>
      <c r="E179" s="795" t="s">
        <v>3459</v>
      </c>
      <c r="F179" s="785"/>
      <c r="G179" s="790">
        <v>44831</v>
      </c>
      <c r="H179" s="783">
        <v>98938</v>
      </c>
      <c r="I179" s="460"/>
      <c r="J179" s="756"/>
      <c r="K179" s="756">
        <f t="shared" si="20"/>
        <v>98938</v>
      </c>
      <c r="L179" s="790">
        <v>44831</v>
      </c>
      <c r="M179" s="759">
        <v>5954.9155821917811</v>
      </c>
      <c r="N179" s="758">
        <f t="shared" si="26"/>
        <v>92983.084417808219</v>
      </c>
      <c r="O179" s="452">
        <f t="shared" si="28"/>
        <v>552</v>
      </c>
      <c r="P179" s="452">
        <v>8</v>
      </c>
      <c r="Q179" s="453">
        <f t="shared" si="29"/>
        <v>1.5123287671232877</v>
      </c>
      <c r="R179" s="453">
        <f t="shared" si="30"/>
        <v>6.4876712328767123</v>
      </c>
      <c r="S179" s="455">
        <f t="shared" si="31"/>
        <v>0.11874999999999999</v>
      </c>
      <c r="T179" s="759">
        <f t="shared" si="32"/>
        <v>11748.887499999999</v>
      </c>
      <c r="U179" s="756">
        <f t="shared" si="33"/>
        <v>81234.196917808222</v>
      </c>
      <c r="V179" s="760"/>
    </row>
    <row r="180" spans="1:22" ht="16.5">
      <c r="A180" s="460">
        <f t="shared" si="27"/>
        <v>173</v>
      </c>
      <c r="B180" s="788" t="s">
        <v>862</v>
      </c>
      <c r="C180" s="754" t="s">
        <v>3663</v>
      </c>
      <c r="D180" s="788" t="s">
        <v>292</v>
      </c>
      <c r="E180" s="795" t="s">
        <v>3459</v>
      </c>
      <c r="F180" s="785"/>
      <c r="G180" s="790">
        <v>44831</v>
      </c>
      <c r="H180" s="783">
        <v>96320</v>
      </c>
      <c r="I180" s="460"/>
      <c r="J180" s="756"/>
      <c r="K180" s="756">
        <f t="shared" si="20"/>
        <v>96320</v>
      </c>
      <c r="L180" s="790">
        <v>44845</v>
      </c>
      <c r="M180" s="759">
        <v>4286.8997260273973</v>
      </c>
      <c r="N180" s="758">
        <f t="shared" si="26"/>
        <v>92033.10027397261</v>
      </c>
      <c r="O180" s="452">
        <f t="shared" si="28"/>
        <v>538</v>
      </c>
      <c r="P180" s="452">
        <v>8</v>
      </c>
      <c r="Q180" s="453">
        <f t="shared" si="29"/>
        <v>1.473972602739726</v>
      </c>
      <c r="R180" s="453">
        <f t="shared" si="30"/>
        <v>6.5260273972602736</v>
      </c>
      <c r="S180" s="455">
        <f t="shared" si="31"/>
        <v>0.11874999999999999</v>
      </c>
      <c r="T180" s="759">
        <f t="shared" si="32"/>
        <v>11438</v>
      </c>
      <c r="U180" s="756">
        <f t="shared" si="33"/>
        <v>80595.10027397261</v>
      </c>
      <c r="V180" s="760"/>
    </row>
    <row r="181" spans="1:22" ht="16.5">
      <c r="A181" s="460">
        <f t="shared" si="27"/>
        <v>174</v>
      </c>
      <c r="B181" s="788" t="s">
        <v>862</v>
      </c>
      <c r="C181" s="754" t="s">
        <v>3663</v>
      </c>
      <c r="D181" s="788" t="s">
        <v>292</v>
      </c>
      <c r="E181" s="795" t="s">
        <v>3459</v>
      </c>
      <c r="F181" s="785"/>
      <c r="G181" s="790">
        <v>44831</v>
      </c>
      <c r="H181" s="783">
        <v>101400</v>
      </c>
      <c r="I181" s="460"/>
      <c r="J181" s="756"/>
      <c r="K181" s="756">
        <f t="shared" si="20"/>
        <v>101400</v>
      </c>
      <c r="L181" s="790">
        <v>44845</v>
      </c>
      <c r="M181" s="759">
        <v>4512.9945205479453</v>
      </c>
      <c r="N181" s="758">
        <f t="shared" si="26"/>
        <v>96887.005479452055</v>
      </c>
      <c r="O181" s="452">
        <f t="shared" si="28"/>
        <v>538</v>
      </c>
      <c r="P181" s="452">
        <v>8</v>
      </c>
      <c r="Q181" s="453">
        <f t="shared" si="29"/>
        <v>1.473972602739726</v>
      </c>
      <c r="R181" s="453">
        <f t="shared" si="30"/>
        <v>6.5260273972602736</v>
      </c>
      <c r="S181" s="455">
        <f t="shared" si="31"/>
        <v>0.11874999999999999</v>
      </c>
      <c r="T181" s="759">
        <f t="shared" si="32"/>
        <v>12041.25</v>
      </c>
      <c r="U181" s="756">
        <f t="shared" si="33"/>
        <v>84845.755479452055</v>
      </c>
      <c r="V181" s="760"/>
    </row>
    <row r="182" spans="1:22" ht="16.5">
      <c r="A182" s="460">
        <f t="shared" si="27"/>
        <v>175</v>
      </c>
      <c r="B182" s="788" t="s">
        <v>862</v>
      </c>
      <c r="C182" s="754" t="s">
        <v>3663</v>
      </c>
      <c r="D182" s="788" t="s">
        <v>292</v>
      </c>
      <c r="E182" s="795" t="s">
        <v>3459</v>
      </c>
      <c r="F182" s="785"/>
      <c r="G182" s="790">
        <v>44887</v>
      </c>
      <c r="H182" s="783">
        <v>86020</v>
      </c>
      <c r="I182" s="460"/>
      <c r="J182" s="756"/>
      <c r="K182" s="756">
        <f t="shared" si="20"/>
        <v>86020</v>
      </c>
      <c r="L182" s="790">
        <v>44891</v>
      </c>
      <c r="M182" s="759">
        <v>2798.5958904109589</v>
      </c>
      <c r="N182" s="758">
        <f t="shared" si="26"/>
        <v>83221.404109589042</v>
      </c>
      <c r="O182" s="452">
        <f t="shared" si="28"/>
        <v>492</v>
      </c>
      <c r="P182" s="452">
        <v>8</v>
      </c>
      <c r="Q182" s="453">
        <f t="shared" si="29"/>
        <v>1.3479452054794521</v>
      </c>
      <c r="R182" s="453">
        <f t="shared" si="30"/>
        <v>6.6520547945205477</v>
      </c>
      <c r="S182" s="455">
        <f t="shared" si="31"/>
        <v>0.11874999999999999</v>
      </c>
      <c r="T182" s="759">
        <f t="shared" si="32"/>
        <v>10214.875</v>
      </c>
      <c r="U182" s="756">
        <f t="shared" si="33"/>
        <v>73006.529109589042</v>
      </c>
      <c r="V182" s="760"/>
    </row>
    <row r="183" spans="1:22" ht="16.5">
      <c r="A183" s="460">
        <f t="shared" si="27"/>
        <v>176</v>
      </c>
      <c r="B183" s="788" t="s">
        <v>862</v>
      </c>
      <c r="C183" s="754" t="s">
        <v>3663</v>
      </c>
      <c r="D183" s="788" t="s">
        <v>292</v>
      </c>
      <c r="E183" s="795" t="s">
        <v>3459</v>
      </c>
      <c r="F183" s="785"/>
      <c r="G183" s="790">
        <v>44887</v>
      </c>
      <c r="H183" s="783">
        <v>86020</v>
      </c>
      <c r="I183" s="460"/>
      <c r="J183" s="756"/>
      <c r="K183" s="756">
        <f t="shared" si="20"/>
        <v>86020</v>
      </c>
      <c r="L183" s="790">
        <v>44898</v>
      </c>
      <c r="M183" s="759">
        <v>2641.8745205479449</v>
      </c>
      <c r="N183" s="758">
        <f t="shared" si="26"/>
        <v>83378.12547945205</v>
      </c>
      <c r="O183" s="452">
        <f t="shared" si="28"/>
        <v>485</v>
      </c>
      <c r="P183" s="452">
        <v>8</v>
      </c>
      <c r="Q183" s="453">
        <f t="shared" si="29"/>
        <v>1.3287671232876712</v>
      </c>
      <c r="R183" s="453">
        <f t="shared" si="30"/>
        <v>6.6712328767123292</v>
      </c>
      <c r="S183" s="455">
        <f t="shared" si="31"/>
        <v>0.11874999999999999</v>
      </c>
      <c r="T183" s="759">
        <f t="shared" si="32"/>
        <v>10214.875</v>
      </c>
      <c r="U183" s="756">
        <f t="shared" si="33"/>
        <v>73163.25047945205</v>
      </c>
      <c r="V183" s="760"/>
    </row>
    <row r="184" spans="1:22" ht="16.5">
      <c r="A184" s="460">
        <f t="shared" si="27"/>
        <v>177</v>
      </c>
      <c r="B184" s="788" t="s">
        <v>862</v>
      </c>
      <c r="C184" s="754" t="s">
        <v>3663</v>
      </c>
      <c r="D184" s="788" t="s">
        <v>292</v>
      </c>
      <c r="E184" s="795" t="s">
        <v>3459</v>
      </c>
      <c r="F184" s="785"/>
      <c r="G184" s="790">
        <v>44887</v>
      </c>
      <c r="H184" s="783">
        <v>85440</v>
      </c>
      <c r="I184" s="460"/>
      <c r="J184" s="756"/>
      <c r="K184" s="756">
        <f t="shared" si="20"/>
        <v>85440</v>
      </c>
      <c r="L184" s="790">
        <v>44898</v>
      </c>
      <c r="M184" s="759">
        <v>2624.0613698630136</v>
      </c>
      <c r="N184" s="758">
        <f t="shared" si="26"/>
        <v>82815.938630136981</v>
      </c>
      <c r="O184" s="452">
        <f t="shared" si="28"/>
        <v>485</v>
      </c>
      <c r="P184" s="452">
        <v>8</v>
      </c>
      <c r="Q184" s="453">
        <f t="shared" si="29"/>
        <v>1.3287671232876712</v>
      </c>
      <c r="R184" s="453">
        <f t="shared" si="30"/>
        <v>6.6712328767123292</v>
      </c>
      <c r="S184" s="455">
        <f t="shared" si="31"/>
        <v>0.11874999999999999</v>
      </c>
      <c r="T184" s="759">
        <f t="shared" si="32"/>
        <v>10146</v>
      </c>
      <c r="U184" s="756">
        <f t="shared" si="33"/>
        <v>72669.938630136981</v>
      </c>
      <c r="V184" s="760"/>
    </row>
    <row r="185" spans="1:22" ht="16.5">
      <c r="A185" s="460">
        <f t="shared" si="27"/>
        <v>178</v>
      </c>
      <c r="B185" s="788" t="s">
        <v>862</v>
      </c>
      <c r="C185" s="754" t="s">
        <v>3663</v>
      </c>
      <c r="D185" s="788" t="s">
        <v>292</v>
      </c>
      <c r="E185" s="795" t="s">
        <v>3459</v>
      </c>
      <c r="F185" s="785"/>
      <c r="G185" s="790">
        <v>44887</v>
      </c>
      <c r="H185" s="783">
        <v>85353</v>
      </c>
      <c r="I185" s="460"/>
      <c r="J185" s="756"/>
      <c r="K185" s="756">
        <f t="shared" si="20"/>
        <v>85353</v>
      </c>
      <c r="L185" s="790">
        <v>44898</v>
      </c>
      <c r="M185" s="759">
        <v>2621.3893972602737</v>
      </c>
      <c r="N185" s="758">
        <f t="shared" si="26"/>
        <v>82731.610602739733</v>
      </c>
      <c r="O185" s="452">
        <f t="shared" si="28"/>
        <v>485</v>
      </c>
      <c r="P185" s="452">
        <v>8</v>
      </c>
      <c r="Q185" s="453">
        <f t="shared" si="29"/>
        <v>1.3287671232876712</v>
      </c>
      <c r="R185" s="453">
        <f t="shared" si="30"/>
        <v>6.6712328767123292</v>
      </c>
      <c r="S185" s="455">
        <f t="shared" si="31"/>
        <v>0.11874999999999999</v>
      </c>
      <c r="T185" s="759">
        <f t="shared" si="32"/>
        <v>10135.668749999999</v>
      </c>
      <c r="U185" s="756">
        <f t="shared" si="33"/>
        <v>72595.941852739736</v>
      </c>
      <c r="V185" s="760"/>
    </row>
    <row r="186" spans="1:22" ht="16.5">
      <c r="A186" s="460">
        <f t="shared" si="27"/>
        <v>179</v>
      </c>
      <c r="B186" s="788" t="s">
        <v>862</v>
      </c>
      <c r="C186" s="754" t="s">
        <v>3663</v>
      </c>
      <c r="D186" s="788" t="s">
        <v>292</v>
      </c>
      <c r="E186" s="795" t="s">
        <v>3459</v>
      </c>
      <c r="F186" s="785"/>
      <c r="G186" s="790">
        <v>44860</v>
      </c>
      <c r="H186" s="783">
        <v>100003</v>
      </c>
      <c r="I186" s="460"/>
      <c r="J186" s="756"/>
      <c r="K186" s="756">
        <f t="shared" si="20"/>
        <v>100003</v>
      </c>
      <c r="L186" s="790">
        <v>44898</v>
      </c>
      <c r="M186" s="759">
        <v>3071.3250136986298</v>
      </c>
      <c r="N186" s="758">
        <f t="shared" si="26"/>
        <v>96931.674986301368</v>
      </c>
      <c r="O186" s="452">
        <f t="shared" si="28"/>
        <v>485</v>
      </c>
      <c r="P186" s="452">
        <v>8</v>
      </c>
      <c r="Q186" s="453">
        <f t="shared" si="29"/>
        <v>1.3287671232876712</v>
      </c>
      <c r="R186" s="453">
        <f t="shared" si="30"/>
        <v>6.6712328767123292</v>
      </c>
      <c r="S186" s="455">
        <f t="shared" si="31"/>
        <v>0.11874999999999999</v>
      </c>
      <c r="T186" s="759">
        <f t="shared" si="32"/>
        <v>11875.356249999999</v>
      </c>
      <c r="U186" s="756">
        <f t="shared" si="33"/>
        <v>85056.318736301371</v>
      </c>
      <c r="V186" s="760"/>
    </row>
    <row r="187" spans="1:22" ht="16.5">
      <c r="A187" s="460">
        <f t="shared" si="27"/>
        <v>180</v>
      </c>
      <c r="B187" s="788" t="s">
        <v>862</v>
      </c>
      <c r="C187" s="754" t="s">
        <v>3663</v>
      </c>
      <c r="D187" s="788" t="s">
        <v>292</v>
      </c>
      <c r="E187" s="795" t="s">
        <v>3459</v>
      </c>
      <c r="F187" s="785"/>
      <c r="G187" s="790">
        <v>44860</v>
      </c>
      <c r="H187" s="783">
        <v>98938</v>
      </c>
      <c r="I187" s="460"/>
      <c r="J187" s="756"/>
      <c r="K187" s="756">
        <f t="shared" si="20"/>
        <v>98938</v>
      </c>
      <c r="L187" s="790">
        <v>44898</v>
      </c>
      <c r="M187" s="759">
        <v>3038.616383561643</v>
      </c>
      <c r="N187" s="758">
        <f t="shared" si="26"/>
        <v>95899.383616438354</v>
      </c>
      <c r="O187" s="452">
        <f t="shared" si="28"/>
        <v>485</v>
      </c>
      <c r="P187" s="452">
        <v>8</v>
      </c>
      <c r="Q187" s="453">
        <f t="shared" si="29"/>
        <v>1.3287671232876712</v>
      </c>
      <c r="R187" s="453">
        <f t="shared" si="30"/>
        <v>6.6712328767123292</v>
      </c>
      <c r="S187" s="455">
        <f t="shared" si="31"/>
        <v>0.11874999999999999</v>
      </c>
      <c r="T187" s="759">
        <f t="shared" si="32"/>
        <v>11748.887499999999</v>
      </c>
      <c r="U187" s="756">
        <f t="shared" si="33"/>
        <v>84150.496116438357</v>
      </c>
      <c r="V187" s="760"/>
    </row>
    <row r="188" spans="1:22" ht="16.5">
      <c r="A188" s="460">
        <f t="shared" si="27"/>
        <v>181</v>
      </c>
      <c r="B188" s="462" t="s">
        <v>862</v>
      </c>
      <c r="C188" s="754" t="s">
        <v>3663</v>
      </c>
      <c r="D188" s="462" t="s">
        <v>292</v>
      </c>
      <c r="E188" s="792" t="s">
        <v>3459</v>
      </c>
      <c r="F188" s="785"/>
      <c r="G188" s="793">
        <v>44958</v>
      </c>
      <c r="H188" s="783">
        <v>103910</v>
      </c>
      <c r="I188" s="460"/>
      <c r="J188" s="756"/>
      <c r="K188" s="756">
        <f t="shared" si="20"/>
        <v>103910</v>
      </c>
      <c r="L188" s="793">
        <v>44969</v>
      </c>
      <c r="M188" s="759">
        <v>1271.1182191780822</v>
      </c>
      <c r="N188" s="758">
        <f t="shared" si="26"/>
        <v>102638.88178082192</v>
      </c>
      <c r="O188" s="452">
        <f t="shared" si="28"/>
        <v>414</v>
      </c>
      <c r="P188" s="452">
        <v>8</v>
      </c>
      <c r="Q188" s="453">
        <f t="shared" si="29"/>
        <v>1.1342465753424658</v>
      </c>
      <c r="R188" s="453">
        <f t="shared" si="30"/>
        <v>6.8657534246575338</v>
      </c>
      <c r="S188" s="455">
        <f t="shared" si="31"/>
        <v>0.11874999999999999</v>
      </c>
      <c r="T188" s="759">
        <f t="shared" si="32"/>
        <v>12339.3125</v>
      </c>
      <c r="U188" s="756">
        <f t="shared" si="33"/>
        <v>90299.569280821917</v>
      </c>
      <c r="V188" s="760"/>
    </row>
    <row r="189" spans="1:22" ht="16.5">
      <c r="A189" s="460">
        <f t="shared" si="27"/>
        <v>182</v>
      </c>
      <c r="B189" s="462" t="s">
        <v>862</v>
      </c>
      <c r="C189" s="754" t="s">
        <v>3663</v>
      </c>
      <c r="D189" s="462" t="s">
        <v>292</v>
      </c>
      <c r="E189" s="792" t="s">
        <v>3459</v>
      </c>
      <c r="F189" s="785"/>
      <c r="G189" s="793">
        <v>44958</v>
      </c>
      <c r="H189" s="783">
        <v>103910</v>
      </c>
      <c r="I189" s="460"/>
      <c r="J189" s="756"/>
      <c r="K189" s="756">
        <f t="shared" si="20"/>
        <v>103910</v>
      </c>
      <c r="L189" s="793">
        <v>44969</v>
      </c>
      <c r="M189" s="759">
        <v>1271.1182191780822</v>
      </c>
      <c r="N189" s="758">
        <f t="shared" si="26"/>
        <v>102638.88178082192</v>
      </c>
      <c r="O189" s="452">
        <f t="shared" si="28"/>
        <v>414</v>
      </c>
      <c r="P189" s="452">
        <v>8</v>
      </c>
      <c r="Q189" s="453">
        <f t="shared" si="29"/>
        <v>1.1342465753424658</v>
      </c>
      <c r="R189" s="453">
        <f t="shared" si="30"/>
        <v>6.8657534246575338</v>
      </c>
      <c r="S189" s="455">
        <f t="shared" si="31"/>
        <v>0.11874999999999999</v>
      </c>
      <c r="T189" s="759">
        <f t="shared" si="32"/>
        <v>12339.3125</v>
      </c>
      <c r="U189" s="756">
        <f t="shared" si="33"/>
        <v>90299.569280821917</v>
      </c>
      <c r="V189" s="760"/>
    </row>
    <row r="190" spans="1:22" ht="16.5">
      <c r="A190" s="460">
        <f t="shared" si="27"/>
        <v>183</v>
      </c>
      <c r="B190" s="462" t="s">
        <v>862</v>
      </c>
      <c r="C190" s="754" t="s">
        <v>3663</v>
      </c>
      <c r="D190" s="462" t="s">
        <v>292</v>
      </c>
      <c r="E190" s="792" t="s">
        <v>3459</v>
      </c>
      <c r="F190" s="785"/>
      <c r="G190" s="793">
        <v>44958</v>
      </c>
      <c r="H190" s="783">
        <v>103910</v>
      </c>
      <c r="I190" s="460"/>
      <c r="J190" s="756"/>
      <c r="K190" s="756">
        <f t="shared" si="20"/>
        <v>103910</v>
      </c>
      <c r="L190" s="793">
        <v>44969</v>
      </c>
      <c r="M190" s="759">
        <v>1271.1182191780822</v>
      </c>
      <c r="N190" s="758">
        <f t="shared" si="26"/>
        <v>102638.88178082192</v>
      </c>
      <c r="O190" s="452">
        <f t="shared" si="28"/>
        <v>414</v>
      </c>
      <c r="P190" s="452">
        <v>8</v>
      </c>
      <c r="Q190" s="453">
        <f t="shared" si="29"/>
        <v>1.1342465753424658</v>
      </c>
      <c r="R190" s="453">
        <f t="shared" si="30"/>
        <v>6.8657534246575338</v>
      </c>
      <c r="S190" s="455">
        <f t="shared" si="31"/>
        <v>0.11874999999999999</v>
      </c>
      <c r="T190" s="759">
        <f t="shared" si="32"/>
        <v>12339.3125</v>
      </c>
      <c r="U190" s="756">
        <f t="shared" si="33"/>
        <v>90299.569280821917</v>
      </c>
      <c r="V190" s="760"/>
    </row>
    <row r="191" spans="1:22" ht="16.5">
      <c r="A191" s="460">
        <f t="shared" si="27"/>
        <v>184</v>
      </c>
      <c r="B191" s="462" t="s">
        <v>862</v>
      </c>
      <c r="C191" s="754" t="s">
        <v>3663</v>
      </c>
      <c r="D191" s="462" t="s">
        <v>292</v>
      </c>
      <c r="E191" s="792" t="s">
        <v>3459</v>
      </c>
      <c r="F191" s="785"/>
      <c r="G191" s="793">
        <v>44958</v>
      </c>
      <c r="H191" s="783">
        <v>85548</v>
      </c>
      <c r="I191" s="460"/>
      <c r="J191" s="756"/>
      <c r="K191" s="756">
        <f t="shared" si="20"/>
        <v>85548</v>
      </c>
      <c r="L191" s="793">
        <v>44969</v>
      </c>
      <c r="M191" s="759">
        <v>1046.4981369863012</v>
      </c>
      <c r="N191" s="758">
        <f t="shared" si="26"/>
        <v>84501.501863013706</v>
      </c>
      <c r="O191" s="452">
        <f t="shared" si="28"/>
        <v>414</v>
      </c>
      <c r="P191" s="452">
        <v>8</v>
      </c>
      <c r="Q191" s="453">
        <f t="shared" si="29"/>
        <v>1.1342465753424658</v>
      </c>
      <c r="R191" s="453">
        <f t="shared" si="30"/>
        <v>6.8657534246575338</v>
      </c>
      <c r="S191" s="455">
        <f t="shared" si="31"/>
        <v>0.11874999999999999</v>
      </c>
      <c r="T191" s="759">
        <f t="shared" si="32"/>
        <v>10158.824999999999</v>
      </c>
      <c r="U191" s="756">
        <f t="shared" si="33"/>
        <v>74342.676863013708</v>
      </c>
      <c r="V191" s="760"/>
    </row>
    <row r="192" spans="1:22" ht="16.5">
      <c r="A192" s="460">
        <f t="shared" si="27"/>
        <v>185</v>
      </c>
      <c r="B192" s="462" t="s">
        <v>862</v>
      </c>
      <c r="C192" s="754" t="s">
        <v>3663</v>
      </c>
      <c r="D192" s="462" t="s">
        <v>292</v>
      </c>
      <c r="E192" s="792" t="s">
        <v>3459</v>
      </c>
      <c r="F192" s="785"/>
      <c r="G192" s="793">
        <v>44958</v>
      </c>
      <c r="H192" s="783">
        <v>85548</v>
      </c>
      <c r="I192" s="460"/>
      <c r="J192" s="756"/>
      <c r="K192" s="756">
        <f t="shared" si="20"/>
        <v>85548</v>
      </c>
      <c r="L192" s="793">
        <v>44969</v>
      </c>
      <c r="M192" s="759">
        <v>1046.4981369863012</v>
      </c>
      <c r="N192" s="758">
        <f t="shared" si="26"/>
        <v>84501.501863013706</v>
      </c>
      <c r="O192" s="452">
        <f t="shared" si="28"/>
        <v>414</v>
      </c>
      <c r="P192" s="452">
        <v>8</v>
      </c>
      <c r="Q192" s="453">
        <f t="shared" si="29"/>
        <v>1.1342465753424658</v>
      </c>
      <c r="R192" s="453">
        <f t="shared" si="30"/>
        <v>6.8657534246575338</v>
      </c>
      <c r="S192" s="455">
        <f t="shared" si="31"/>
        <v>0.11874999999999999</v>
      </c>
      <c r="T192" s="759">
        <f t="shared" si="32"/>
        <v>10158.824999999999</v>
      </c>
      <c r="U192" s="756">
        <f t="shared" si="33"/>
        <v>74342.676863013708</v>
      </c>
      <c r="V192" s="760"/>
    </row>
    <row r="193" spans="1:22" ht="16.5">
      <c r="A193" s="460">
        <f t="shared" si="27"/>
        <v>186</v>
      </c>
      <c r="B193" s="462" t="s">
        <v>862</v>
      </c>
      <c r="C193" s="754" t="s">
        <v>3663</v>
      </c>
      <c r="D193" s="462" t="s">
        <v>292</v>
      </c>
      <c r="E193" s="792" t="s">
        <v>3459</v>
      </c>
      <c r="F193" s="785"/>
      <c r="G193" s="793">
        <v>44958</v>
      </c>
      <c r="H193" s="783">
        <v>85548</v>
      </c>
      <c r="I193" s="460"/>
      <c r="J193" s="756"/>
      <c r="K193" s="756">
        <f t="shared" si="20"/>
        <v>85548</v>
      </c>
      <c r="L193" s="793">
        <v>44969</v>
      </c>
      <c r="M193" s="759">
        <v>1046.4981369863012</v>
      </c>
      <c r="N193" s="758">
        <f t="shared" si="26"/>
        <v>84501.501863013706</v>
      </c>
      <c r="O193" s="452">
        <f t="shared" si="28"/>
        <v>414</v>
      </c>
      <c r="P193" s="452">
        <v>8</v>
      </c>
      <c r="Q193" s="453">
        <f t="shared" si="29"/>
        <v>1.1342465753424658</v>
      </c>
      <c r="R193" s="453">
        <f t="shared" si="30"/>
        <v>6.8657534246575338</v>
      </c>
      <c r="S193" s="455">
        <f t="shared" si="31"/>
        <v>0.11874999999999999</v>
      </c>
      <c r="T193" s="759">
        <f t="shared" si="32"/>
        <v>10158.824999999999</v>
      </c>
      <c r="U193" s="756">
        <f t="shared" si="33"/>
        <v>74342.676863013708</v>
      </c>
      <c r="V193" s="760"/>
    </row>
    <row r="194" spans="1:22" ht="16.5">
      <c r="A194" s="460">
        <f t="shared" si="27"/>
        <v>187</v>
      </c>
      <c r="B194" s="788" t="s">
        <v>287</v>
      </c>
      <c r="C194" s="754" t="s">
        <v>3663</v>
      </c>
      <c r="D194" s="462" t="s">
        <v>3623</v>
      </c>
      <c r="E194" s="792" t="s">
        <v>3459</v>
      </c>
      <c r="F194" s="785"/>
      <c r="G194" s="793">
        <v>44861</v>
      </c>
      <c r="H194" s="783">
        <v>761360</v>
      </c>
      <c r="I194" s="460"/>
      <c r="J194" s="756"/>
      <c r="K194" s="756">
        <f t="shared" si="20"/>
        <v>761360</v>
      </c>
      <c r="L194" s="793">
        <v>44861</v>
      </c>
      <c r="M194" s="759">
        <v>30715.139726027399</v>
      </c>
      <c r="N194" s="758">
        <f t="shared" si="26"/>
        <v>730644.86027397262</v>
      </c>
      <c r="O194" s="452">
        <f t="shared" si="28"/>
        <v>522</v>
      </c>
      <c r="P194" s="452">
        <v>8</v>
      </c>
      <c r="Q194" s="453">
        <f t="shared" si="29"/>
        <v>1.4301369863013698</v>
      </c>
      <c r="R194" s="453">
        <f t="shared" si="30"/>
        <v>6.5698630136986305</v>
      </c>
      <c r="S194" s="455">
        <f t="shared" si="31"/>
        <v>0.11874999999999999</v>
      </c>
      <c r="T194" s="759">
        <f t="shared" si="32"/>
        <v>90411.5</v>
      </c>
      <c r="U194" s="756">
        <f t="shared" si="33"/>
        <v>640233.36027397262</v>
      </c>
      <c r="V194" s="760"/>
    </row>
    <row r="195" spans="1:22" ht="16.5">
      <c r="A195" s="460">
        <f t="shared" si="27"/>
        <v>188</v>
      </c>
      <c r="B195" s="788" t="s">
        <v>287</v>
      </c>
      <c r="C195" s="754" t="s">
        <v>3663</v>
      </c>
      <c r="D195" s="462" t="s">
        <v>3623</v>
      </c>
      <c r="E195" s="792" t="s">
        <v>3459</v>
      </c>
      <c r="F195" s="785"/>
      <c r="G195" s="793">
        <v>44861</v>
      </c>
      <c r="H195" s="783">
        <v>761360</v>
      </c>
      <c r="I195" s="460"/>
      <c r="J195" s="756"/>
      <c r="K195" s="756">
        <f t="shared" si="20"/>
        <v>761360</v>
      </c>
      <c r="L195" s="793">
        <v>44861</v>
      </c>
      <c r="M195" s="759">
        <v>30715.139726027399</v>
      </c>
      <c r="N195" s="758">
        <f t="shared" si="26"/>
        <v>730644.86027397262</v>
      </c>
      <c r="O195" s="452">
        <f t="shared" si="28"/>
        <v>522</v>
      </c>
      <c r="P195" s="452">
        <v>8</v>
      </c>
      <c r="Q195" s="453">
        <f t="shared" si="29"/>
        <v>1.4301369863013698</v>
      </c>
      <c r="R195" s="453">
        <f t="shared" si="30"/>
        <v>6.5698630136986305</v>
      </c>
      <c r="S195" s="455">
        <f t="shared" si="31"/>
        <v>0.11874999999999999</v>
      </c>
      <c r="T195" s="759">
        <f t="shared" si="32"/>
        <v>90411.5</v>
      </c>
      <c r="U195" s="756">
        <f t="shared" si="33"/>
        <v>640233.36027397262</v>
      </c>
      <c r="V195" s="760"/>
    </row>
    <row r="196" spans="1:22" ht="16.5">
      <c r="A196" s="460">
        <f t="shared" si="27"/>
        <v>189</v>
      </c>
      <c r="B196" s="462" t="s">
        <v>3625</v>
      </c>
      <c r="C196" s="754" t="s">
        <v>3663</v>
      </c>
      <c r="D196" s="462" t="s">
        <v>3623</v>
      </c>
      <c r="E196" s="792" t="s">
        <v>3459</v>
      </c>
      <c r="F196" s="785"/>
      <c r="G196" s="793">
        <v>44741</v>
      </c>
      <c r="H196" s="783">
        <v>1784150</v>
      </c>
      <c r="I196" s="460"/>
      <c r="J196" s="756"/>
      <c r="K196" s="756">
        <f t="shared" si="20"/>
        <v>1784150</v>
      </c>
      <c r="L196" s="793">
        <v>44741</v>
      </c>
      <c r="M196" s="759">
        <v>127701.14726027397</v>
      </c>
      <c r="N196" s="758">
        <f t="shared" si="26"/>
        <v>1656448.852739726</v>
      </c>
      <c r="O196" s="452">
        <f t="shared" si="28"/>
        <v>642</v>
      </c>
      <c r="P196" s="452">
        <v>8</v>
      </c>
      <c r="Q196" s="453">
        <f t="shared" si="29"/>
        <v>1.7589041095890412</v>
      </c>
      <c r="R196" s="453">
        <f t="shared" si="30"/>
        <v>6.2410958904109588</v>
      </c>
      <c r="S196" s="455">
        <f t="shared" si="31"/>
        <v>0.11874999999999999</v>
      </c>
      <c r="T196" s="759">
        <f t="shared" si="32"/>
        <v>211867.8125</v>
      </c>
      <c r="U196" s="756">
        <f t="shared" si="33"/>
        <v>1444581.040239726</v>
      </c>
      <c r="V196" s="760"/>
    </row>
    <row r="197" spans="1:22" ht="16.5">
      <c r="A197" s="460">
        <f t="shared" si="27"/>
        <v>190</v>
      </c>
      <c r="B197" s="462" t="s">
        <v>3452</v>
      </c>
      <c r="C197" s="754" t="s">
        <v>3663</v>
      </c>
      <c r="D197" s="462" t="s">
        <v>3450</v>
      </c>
      <c r="E197" s="792" t="s">
        <v>22</v>
      </c>
      <c r="F197" s="785"/>
      <c r="G197" s="793">
        <v>44793</v>
      </c>
      <c r="H197" s="783">
        <v>695312.5</v>
      </c>
      <c r="I197" s="460"/>
      <c r="J197" s="756"/>
      <c r="K197" s="756">
        <f t="shared" ref="K197:K228" si="34">+H197+I197-J197</f>
        <v>695312.5</v>
      </c>
      <c r="L197" s="793">
        <v>44947</v>
      </c>
      <c r="M197" s="759">
        <v>15608.813142123288</v>
      </c>
      <c r="N197" s="758">
        <f t="shared" si="26"/>
        <v>679703.68685787672</v>
      </c>
      <c r="O197" s="452">
        <f t="shared" si="28"/>
        <v>436</v>
      </c>
      <c r="P197" s="452">
        <v>8</v>
      </c>
      <c r="Q197" s="453">
        <f t="shared" si="29"/>
        <v>1.1945205479452055</v>
      </c>
      <c r="R197" s="453">
        <f t="shared" si="30"/>
        <v>6.8054794520547945</v>
      </c>
      <c r="S197" s="455">
        <f t="shared" si="31"/>
        <v>0.11874999999999999</v>
      </c>
      <c r="T197" s="759">
        <f t="shared" si="32"/>
        <v>82568.359375</v>
      </c>
      <c r="U197" s="756">
        <f t="shared" si="33"/>
        <v>597135.32748287672</v>
      </c>
      <c r="V197" s="760"/>
    </row>
    <row r="198" spans="1:22" ht="16.5">
      <c r="A198" s="460">
        <f t="shared" si="27"/>
        <v>191</v>
      </c>
      <c r="B198" s="788" t="s">
        <v>286</v>
      </c>
      <c r="C198" s="754" t="s">
        <v>3663</v>
      </c>
      <c r="D198" s="788" t="s">
        <v>294</v>
      </c>
      <c r="E198" s="796" t="s">
        <v>3461</v>
      </c>
      <c r="F198" s="785"/>
      <c r="G198" s="790">
        <v>44725</v>
      </c>
      <c r="H198" s="783">
        <v>800160</v>
      </c>
      <c r="I198" s="460"/>
      <c r="J198" s="756"/>
      <c r="K198" s="756">
        <f t="shared" si="34"/>
        <v>800160</v>
      </c>
      <c r="L198" s="791">
        <v>44725</v>
      </c>
      <c r="M198" s="759">
        <v>75754.873972602742</v>
      </c>
      <c r="N198" s="758">
        <f t="shared" si="26"/>
        <v>724405.12602739723</v>
      </c>
      <c r="O198" s="452">
        <f t="shared" si="28"/>
        <v>658</v>
      </c>
      <c r="P198" s="452">
        <v>8</v>
      </c>
      <c r="Q198" s="453">
        <f t="shared" si="29"/>
        <v>1.8027397260273972</v>
      </c>
      <c r="R198" s="453">
        <f t="shared" si="30"/>
        <v>6.1972602739726028</v>
      </c>
      <c r="S198" s="455">
        <f t="shared" si="31"/>
        <v>0.11874999999999999</v>
      </c>
      <c r="T198" s="759">
        <f t="shared" si="32"/>
        <v>95019</v>
      </c>
      <c r="U198" s="756">
        <f t="shared" si="33"/>
        <v>629386.12602739723</v>
      </c>
      <c r="V198" s="760"/>
    </row>
    <row r="199" spans="1:22" ht="16.5">
      <c r="A199" s="460">
        <f t="shared" si="27"/>
        <v>192</v>
      </c>
      <c r="B199" s="788" t="s">
        <v>288</v>
      </c>
      <c r="C199" s="754" t="s">
        <v>3663</v>
      </c>
      <c r="D199" s="788" t="s">
        <v>297</v>
      </c>
      <c r="E199" s="795" t="s">
        <v>29</v>
      </c>
      <c r="F199" s="785"/>
      <c r="G199" s="790">
        <v>44660</v>
      </c>
      <c r="H199" s="783">
        <v>79637</v>
      </c>
      <c r="I199" s="460"/>
      <c r="J199" s="756"/>
      <c r="K199" s="756">
        <f t="shared" si="34"/>
        <v>79637</v>
      </c>
      <c r="L199" s="791">
        <v>44660</v>
      </c>
      <c r="M199" s="759">
        <v>7378.96805479452</v>
      </c>
      <c r="N199" s="758">
        <f t="shared" si="26"/>
        <v>72258.031945205483</v>
      </c>
      <c r="O199" s="452">
        <f t="shared" si="28"/>
        <v>723</v>
      </c>
      <c r="P199" s="452">
        <v>8</v>
      </c>
      <c r="Q199" s="453">
        <f t="shared" si="29"/>
        <v>1.9808219178082191</v>
      </c>
      <c r="R199" s="453">
        <f t="shared" si="30"/>
        <v>6.0191780821917806</v>
      </c>
      <c r="S199" s="455">
        <f t="shared" si="31"/>
        <v>0.11874999999999999</v>
      </c>
      <c r="T199" s="759">
        <f t="shared" si="32"/>
        <v>9456.8937499999993</v>
      </c>
      <c r="U199" s="756">
        <f t="shared" si="33"/>
        <v>62801.13819520548</v>
      </c>
      <c r="V199" s="760"/>
    </row>
    <row r="200" spans="1:22" ht="16.5">
      <c r="A200" s="460">
        <f t="shared" si="27"/>
        <v>193</v>
      </c>
      <c r="B200" s="788" t="s">
        <v>288</v>
      </c>
      <c r="C200" s="754" t="s">
        <v>3663</v>
      </c>
      <c r="D200" s="788" t="s">
        <v>297</v>
      </c>
      <c r="E200" s="795" t="s">
        <v>29</v>
      </c>
      <c r="F200" s="785"/>
      <c r="G200" s="790">
        <v>44660</v>
      </c>
      <c r="H200" s="783">
        <v>79068</v>
      </c>
      <c r="I200" s="460"/>
      <c r="J200" s="756"/>
      <c r="K200" s="756">
        <f t="shared" si="34"/>
        <v>79068</v>
      </c>
      <c r="L200" s="791">
        <v>44660</v>
      </c>
      <c r="M200" s="759">
        <v>7326.245917808219</v>
      </c>
      <c r="N200" s="758">
        <f t="shared" si="26"/>
        <v>71741.754082191779</v>
      </c>
      <c r="O200" s="452">
        <f t="shared" si="28"/>
        <v>723</v>
      </c>
      <c r="P200" s="452">
        <v>8</v>
      </c>
      <c r="Q200" s="453">
        <f t="shared" si="29"/>
        <v>1.9808219178082191</v>
      </c>
      <c r="R200" s="453">
        <f t="shared" si="30"/>
        <v>6.0191780821917806</v>
      </c>
      <c r="S200" s="455">
        <f t="shared" si="31"/>
        <v>0.11874999999999999</v>
      </c>
      <c r="T200" s="759">
        <f t="shared" si="32"/>
        <v>9389.3249999999989</v>
      </c>
      <c r="U200" s="756">
        <f t="shared" si="33"/>
        <v>62352.429082191782</v>
      </c>
      <c r="V200" s="760"/>
    </row>
    <row r="201" spans="1:22" ht="16.5">
      <c r="A201" s="460">
        <f t="shared" si="27"/>
        <v>194</v>
      </c>
      <c r="B201" s="788" t="s">
        <v>288</v>
      </c>
      <c r="C201" s="754" t="s">
        <v>3663</v>
      </c>
      <c r="D201" s="788" t="s">
        <v>297</v>
      </c>
      <c r="E201" s="795" t="s">
        <v>29</v>
      </c>
      <c r="F201" s="785"/>
      <c r="G201" s="790">
        <v>44684</v>
      </c>
      <c r="H201" s="783">
        <v>91890</v>
      </c>
      <c r="I201" s="460"/>
      <c r="J201" s="756"/>
      <c r="K201" s="756">
        <f t="shared" si="34"/>
        <v>91890</v>
      </c>
      <c r="L201" s="791">
        <v>44711</v>
      </c>
      <c r="M201" s="759">
        <v>7294.5554794520549</v>
      </c>
      <c r="N201" s="758">
        <f t="shared" ref="N201:N228" si="35">+H201-M201</f>
        <v>84595.444520547942</v>
      </c>
      <c r="O201" s="452">
        <f t="shared" si="28"/>
        <v>672</v>
      </c>
      <c r="P201" s="452">
        <v>8</v>
      </c>
      <c r="Q201" s="453">
        <f t="shared" si="29"/>
        <v>1.8410958904109589</v>
      </c>
      <c r="R201" s="453">
        <f t="shared" si="30"/>
        <v>6.1589041095890416</v>
      </c>
      <c r="S201" s="455">
        <f t="shared" si="31"/>
        <v>0.11874999999999999</v>
      </c>
      <c r="T201" s="759">
        <f t="shared" si="32"/>
        <v>10911.9375</v>
      </c>
      <c r="U201" s="756">
        <f t="shared" si="33"/>
        <v>73683.507020547942</v>
      </c>
      <c r="V201" s="760"/>
    </row>
    <row r="202" spans="1:22" ht="16.5">
      <c r="A202" s="460">
        <f t="shared" ref="A202:A228" si="36">+A201+1</f>
        <v>195</v>
      </c>
      <c r="B202" s="788" t="s">
        <v>285</v>
      </c>
      <c r="C202" s="754" t="s">
        <v>3663</v>
      </c>
      <c r="D202" s="788" t="s">
        <v>297</v>
      </c>
      <c r="E202" s="795" t="s">
        <v>29</v>
      </c>
      <c r="F202" s="785"/>
      <c r="G202" s="790">
        <v>44734</v>
      </c>
      <c r="H202" s="783">
        <v>90044</v>
      </c>
      <c r="I202" s="460"/>
      <c r="J202" s="756"/>
      <c r="K202" s="756">
        <f t="shared" si="34"/>
        <v>90044</v>
      </c>
      <c r="L202" s="791">
        <v>44735</v>
      </c>
      <c r="M202" s="759">
        <v>6585.5467945205482</v>
      </c>
      <c r="N202" s="758">
        <f t="shared" si="35"/>
        <v>83458.453205479454</v>
      </c>
      <c r="O202" s="452">
        <f t="shared" si="28"/>
        <v>648</v>
      </c>
      <c r="P202" s="452">
        <v>8</v>
      </c>
      <c r="Q202" s="453">
        <f t="shared" si="29"/>
        <v>1.7753424657534247</v>
      </c>
      <c r="R202" s="453">
        <f t="shared" si="30"/>
        <v>6.2246575342465755</v>
      </c>
      <c r="S202" s="455">
        <f t="shared" si="31"/>
        <v>0.11874999999999999</v>
      </c>
      <c r="T202" s="759">
        <f t="shared" si="32"/>
        <v>10692.725</v>
      </c>
      <c r="U202" s="756">
        <f t="shared" si="33"/>
        <v>72765.728205479449</v>
      </c>
      <c r="V202" s="760"/>
    </row>
    <row r="203" spans="1:22" ht="16.5">
      <c r="A203" s="460">
        <f t="shared" si="36"/>
        <v>196</v>
      </c>
      <c r="B203" s="788" t="s">
        <v>548</v>
      </c>
      <c r="C203" s="754" t="s">
        <v>3663</v>
      </c>
      <c r="D203" s="788" t="s">
        <v>295</v>
      </c>
      <c r="E203" s="795" t="s">
        <v>29</v>
      </c>
      <c r="F203" s="785"/>
      <c r="G203" s="790">
        <v>44777</v>
      </c>
      <c r="H203" s="783">
        <v>1023400.8</v>
      </c>
      <c r="I203" s="460"/>
      <c r="J203" s="756"/>
      <c r="K203" s="756">
        <f t="shared" si="34"/>
        <v>1023400.8</v>
      </c>
      <c r="L203" s="790">
        <v>44783</v>
      </c>
      <c r="M203" s="759">
        <v>77578.687356164388</v>
      </c>
      <c r="N203" s="758">
        <f t="shared" si="35"/>
        <v>945822.1126438356</v>
      </c>
      <c r="O203" s="452">
        <f t="shared" si="28"/>
        <v>600</v>
      </c>
      <c r="P203" s="452">
        <v>8</v>
      </c>
      <c r="Q203" s="453">
        <f t="shared" si="29"/>
        <v>1.6438356164383561</v>
      </c>
      <c r="R203" s="453">
        <f t="shared" si="30"/>
        <v>6.3561643835616444</v>
      </c>
      <c r="S203" s="455">
        <f t="shared" si="31"/>
        <v>0.11874999999999999</v>
      </c>
      <c r="T203" s="759">
        <f t="shared" si="32"/>
        <v>121528.845</v>
      </c>
      <c r="U203" s="756">
        <f t="shared" si="33"/>
        <v>824293.26764383563</v>
      </c>
      <c r="V203" s="760"/>
    </row>
    <row r="204" spans="1:22" ht="16.5">
      <c r="A204" s="460">
        <f t="shared" si="36"/>
        <v>197</v>
      </c>
      <c r="B204" s="788" t="s">
        <v>552</v>
      </c>
      <c r="C204" s="754" t="s">
        <v>3663</v>
      </c>
      <c r="D204" s="788" t="s">
        <v>551</v>
      </c>
      <c r="E204" s="795" t="s">
        <v>29</v>
      </c>
      <c r="F204" s="785"/>
      <c r="G204" s="791">
        <v>44832</v>
      </c>
      <c r="H204" s="783">
        <v>101619</v>
      </c>
      <c r="I204" s="460"/>
      <c r="J204" s="756"/>
      <c r="K204" s="756">
        <f t="shared" si="34"/>
        <v>101619</v>
      </c>
      <c r="L204" s="791">
        <v>44832</v>
      </c>
      <c r="M204" s="759">
        <v>6083.2195890410958</v>
      </c>
      <c r="N204" s="758">
        <f t="shared" si="35"/>
        <v>95535.780410958905</v>
      </c>
      <c r="O204" s="452">
        <f t="shared" si="28"/>
        <v>551</v>
      </c>
      <c r="P204" s="452">
        <v>8</v>
      </c>
      <c r="Q204" s="453">
        <f t="shared" si="29"/>
        <v>1.5095890410958903</v>
      </c>
      <c r="R204" s="453">
        <f t="shared" si="30"/>
        <v>6.4904109589041097</v>
      </c>
      <c r="S204" s="455">
        <f t="shared" si="31"/>
        <v>0.11874999999999999</v>
      </c>
      <c r="T204" s="759">
        <f t="shared" si="32"/>
        <v>12067.256249999999</v>
      </c>
      <c r="U204" s="756">
        <f t="shared" si="33"/>
        <v>83468.524160958914</v>
      </c>
      <c r="V204" s="760"/>
    </row>
    <row r="205" spans="1:22" ht="16.5">
      <c r="A205" s="460">
        <f t="shared" si="36"/>
        <v>198</v>
      </c>
      <c r="B205" s="788" t="s">
        <v>554</v>
      </c>
      <c r="C205" s="754" t="s">
        <v>3663</v>
      </c>
      <c r="D205" s="788" t="s">
        <v>551</v>
      </c>
      <c r="E205" s="795" t="s">
        <v>29</v>
      </c>
      <c r="F205" s="785"/>
      <c r="G205" s="791">
        <v>44832</v>
      </c>
      <c r="H205" s="783">
        <v>101619</v>
      </c>
      <c r="I205" s="460"/>
      <c r="J205" s="756"/>
      <c r="K205" s="756">
        <f t="shared" si="34"/>
        <v>101619</v>
      </c>
      <c r="L205" s="791">
        <v>44832</v>
      </c>
      <c r="M205" s="759">
        <v>6083.2195890410958</v>
      </c>
      <c r="N205" s="758">
        <f t="shared" si="35"/>
        <v>95535.780410958905</v>
      </c>
      <c r="O205" s="452">
        <f t="shared" si="28"/>
        <v>551</v>
      </c>
      <c r="P205" s="452">
        <v>8</v>
      </c>
      <c r="Q205" s="453">
        <f t="shared" si="29"/>
        <v>1.5095890410958903</v>
      </c>
      <c r="R205" s="453">
        <f t="shared" si="30"/>
        <v>6.4904109589041097</v>
      </c>
      <c r="S205" s="455">
        <f t="shared" si="31"/>
        <v>0.11874999999999999</v>
      </c>
      <c r="T205" s="759">
        <f t="shared" si="32"/>
        <v>12067.256249999999</v>
      </c>
      <c r="U205" s="756">
        <f t="shared" si="33"/>
        <v>83468.524160958914</v>
      </c>
      <c r="V205" s="760"/>
    </row>
    <row r="206" spans="1:22" ht="16.5">
      <c r="A206" s="460">
        <f t="shared" si="36"/>
        <v>199</v>
      </c>
      <c r="B206" s="788" t="s">
        <v>556</v>
      </c>
      <c r="C206" s="754" t="s">
        <v>3663</v>
      </c>
      <c r="D206" s="788" t="s">
        <v>551</v>
      </c>
      <c r="E206" s="789" t="s">
        <v>29</v>
      </c>
      <c r="F206" s="785"/>
      <c r="G206" s="790">
        <v>44832</v>
      </c>
      <c r="H206" s="783">
        <v>101619</v>
      </c>
      <c r="I206" s="460"/>
      <c r="J206" s="756"/>
      <c r="K206" s="756">
        <f t="shared" si="34"/>
        <v>101619</v>
      </c>
      <c r="L206" s="790">
        <v>44832</v>
      </c>
      <c r="M206" s="759">
        <v>6083.2195890410958</v>
      </c>
      <c r="N206" s="758">
        <f t="shared" si="35"/>
        <v>95535.780410958905</v>
      </c>
      <c r="O206" s="452">
        <f t="shared" si="28"/>
        <v>551</v>
      </c>
      <c r="P206" s="452">
        <v>8</v>
      </c>
      <c r="Q206" s="453">
        <f t="shared" si="29"/>
        <v>1.5095890410958903</v>
      </c>
      <c r="R206" s="453">
        <f t="shared" si="30"/>
        <v>6.4904109589041097</v>
      </c>
      <c r="S206" s="455">
        <f t="shared" si="31"/>
        <v>0.11874999999999999</v>
      </c>
      <c r="T206" s="759">
        <f t="shared" si="32"/>
        <v>12067.256249999999</v>
      </c>
      <c r="U206" s="756">
        <f t="shared" si="33"/>
        <v>83468.524160958914</v>
      </c>
      <c r="V206" s="760"/>
    </row>
    <row r="207" spans="1:22" ht="16.5">
      <c r="A207" s="460">
        <f t="shared" si="36"/>
        <v>200</v>
      </c>
      <c r="B207" s="788" t="s">
        <v>558</v>
      </c>
      <c r="C207" s="754" t="s">
        <v>3663</v>
      </c>
      <c r="D207" s="788" t="s">
        <v>551</v>
      </c>
      <c r="E207" s="789" t="s">
        <v>29</v>
      </c>
      <c r="F207" s="785"/>
      <c r="G207" s="790">
        <v>44832</v>
      </c>
      <c r="H207" s="783">
        <v>99448</v>
      </c>
      <c r="I207" s="460"/>
      <c r="J207" s="756"/>
      <c r="K207" s="756">
        <f t="shared" si="34"/>
        <v>99448</v>
      </c>
      <c r="L207" s="790">
        <v>44832</v>
      </c>
      <c r="M207" s="759">
        <v>5953.2569863013696</v>
      </c>
      <c r="N207" s="758">
        <f t="shared" si="35"/>
        <v>93494.743013698637</v>
      </c>
      <c r="O207" s="452">
        <f t="shared" si="28"/>
        <v>551</v>
      </c>
      <c r="P207" s="452">
        <v>8</v>
      </c>
      <c r="Q207" s="453">
        <f t="shared" si="29"/>
        <v>1.5095890410958903</v>
      </c>
      <c r="R207" s="453">
        <f t="shared" si="30"/>
        <v>6.4904109589041097</v>
      </c>
      <c r="S207" s="455">
        <f t="shared" si="31"/>
        <v>0.11874999999999999</v>
      </c>
      <c r="T207" s="759">
        <f t="shared" si="32"/>
        <v>11809.449999999999</v>
      </c>
      <c r="U207" s="756">
        <f t="shared" si="33"/>
        <v>81685.29301369864</v>
      </c>
      <c r="V207" s="760"/>
    </row>
    <row r="208" spans="1:22" ht="16.5">
      <c r="A208" s="460">
        <f t="shared" si="36"/>
        <v>201</v>
      </c>
      <c r="B208" s="788" t="s">
        <v>863</v>
      </c>
      <c r="C208" s="754" t="s">
        <v>3663</v>
      </c>
      <c r="D208" s="788" t="s">
        <v>551</v>
      </c>
      <c r="E208" s="789" t="s">
        <v>29</v>
      </c>
      <c r="F208" s="785"/>
      <c r="G208" s="790">
        <v>44888</v>
      </c>
      <c r="H208" s="783">
        <v>73913</v>
      </c>
      <c r="I208" s="460"/>
      <c r="J208" s="756"/>
      <c r="K208" s="756">
        <f t="shared" si="34"/>
        <v>73913</v>
      </c>
      <c r="L208" s="790">
        <v>44888</v>
      </c>
      <c r="M208" s="759">
        <v>3078.020821917808</v>
      </c>
      <c r="N208" s="758">
        <f t="shared" si="35"/>
        <v>70834.979178082198</v>
      </c>
      <c r="O208" s="452">
        <f t="shared" si="28"/>
        <v>495</v>
      </c>
      <c r="P208" s="452">
        <v>8</v>
      </c>
      <c r="Q208" s="453">
        <f t="shared" si="29"/>
        <v>1.3561643835616439</v>
      </c>
      <c r="R208" s="453">
        <f t="shared" si="30"/>
        <v>6.6438356164383556</v>
      </c>
      <c r="S208" s="455">
        <f t="shared" si="31"/>
        <v>0.11874999999999999</v>
      </c>
      <c r="T208" s="759">
        <f t="shared" si="32"/>
        <v>8777.1687499999989</v>
      </c>
      <c r="U208" s="756">
        <f t="shared" si="33"/>
        <v>62057.810428082201</v>
      </c>
      <c r="V208" s="760"/>
    </row>
    <row r="209" spans="1:22" ht="16.5">
      <c r="A209" s="460">
        <f t="shared" si="36"/>
        <v>202</v>
      </c>
      <c r="B209" s="788" t="s">
        <v>863</v>
      </c>
      <c r="C209" s="754" t="s">
        <v>3663</v>
      </c>
      <c r="D209" s="788" t="s">
        <v>551</v>
      </c>
      <c r="E209" s="788" t="s">
        <v>29</v>
      </c>
      <c r="F209" s="785"/>
      <c r="G209" s="790">
        <v>44889</v>
      </c>
      <c r="H209" s="783">
        <v>73913</v>
      </c>
      <c r="I209" s="460"/>
      <c r="J209" s="756"/>
      <c r="K209" s="756">
        <f t="shared" si="34"/>
        <v>73913</v>
      </c>
      <c r="L209" s="791">
        <v>44894</v>
      </c>
      <c r="M209" s="759">
        <v>2933.7385958904106</v>
      </c>
      <c r="N209" s="758">
        <f t="shared" si="35"/>
        <v>70979.261404109595</v>
      </c>
      <c r="O209" s="452">
        <f t="shared" si="28"/>
        <v>489</v>
      </c>
      <c r="P209" s="452">
        <v>8</v>
      </c>
      <c r="Q209" s="453">
        <f t="shared" si="29"/>
        <v>1.3397260273972602</v>
      </c>
      <c r="R209" s="453">
        <f t="shared" si="30"/>
        <v>6.6602739726027398</v>
      </c>
      <c r="S209" s="455">
        <f t="shared" si="31"/>
        <v>0.11874999999999999</v>
      </c>
      <c r="T209" s="759">
        <f t="shared" si="32"/>
        <v>8777.1687499999989</v>
      </c>
      <c r="U209" s="756">
        <f t="shared" si="33"/>
        <v>62202.092654109598</v>
      </c>
      <c r="V209" s="760"/>
    </row>
    <row r="210" spans="1:22" ht="16.5">
      <c r="A210" s="460">
        <f t="shared" si="36"/>
        <v>203</v>
      </c>
      <c r="B210" s="788" t="s">
        <v>863</v>
      </c>
      <c r="C210" s="754" t="s">
        <v>3663</v>
      </c>
      <c r="D210" s="788" t="s">
        <v>551</v>
      </c>
      <c r="E210" s="795" t="s">
        <v>29</v>
      </c>
      <c r="F210" s="785"/>
      <c r="G210" s="790">
        <v>44888</v>
      </c>
      <c r="H210" s="783">
        <v>75213</v>
      </c>
      <c r="I210" s="460"/>
      <c r="J210" s="756"/>
      <c r="K210" s="756">
        <f t="shared" si="34"/>
        <v>75213</v>
      </c>
      <c r="L210" s="790">
        <v>44894</v>
      </c>
      <c r="M210" s="759">
        <v>2985.3379109589036</v>
      </c>
      <c r="N210" s="758">
        <f t="shared" si="35"/>
        <v>72227.6620890411</v>
      </c>
      <c r="O210" s="452">
        <f t="shared" si="28"/>
        <v>489</v>
      </c>
      <c r="P210" s="452">
        <v>8</v>
      </c>
      <c r="Q210" s="453">
        <f t="shared" si="29"/>
        <v>1.3397260273972602</v>
      </c>
      <c r="R210" s="453">
        <f t="shared" si="30"/>
        <v>6.6602739726027398</v>
      </c>
      <c r="S210" s="455">
        <f t="shared" si="31"/>
        <v>0.11874999999999999</v>
      </c>
      <c r="T210" s="759">
        <f t="shared" si="32"/>
        <v>8931.5437499999989</v>
      </c>
      <c r="U210" s="756">
        <f t="shared" si="33"/>
        <v>63296.118339041102</v>
      </c>
      <c r="V210" s="760"/>
    </row>
    <row r="211" spans="1:22" ht="16.5">
      <c r="A211" s="460">
        <f t="shared" si="36"/>
        <v>204</v>
      </c>
      <c r="B211" s="788" t="s">
        <v>864</v>
      </c>
      <c r="C211" s="754" t="s">
        <v>3663</v>
      </c>
      <c r="D211" s="788" t="s">
        <v>878</v>
      </c>
      <c r="E211" s="788" t="s">
        <v>29</v>
      </c>
      <c r="F211" s="785"/>
      <c r="G211" s="797">
        <v>44897</v>
      </c>
      <c r="H211" s="783">
        <v>92991</v>
      </c>
      <c r="I211" s="460"/>
      <c r="J211" s="756"/>
      <c r="K211" s="756">
        <f t="shared" si="34"/>
        <v>92991</v>
      </c>
      <c r="L211" s="797">
        <v>44897</v>
      </c>
      <c r="M211" s="759">
        <v>3600.2166267123284</v>
      </c>
      <c r="N211" s="758">
        <f t="shared" si="35"/>
        <v>89390.783373287675</v>
      </c>
      <c r="O211" s="452">
        <f t="shared" si="28"/>
        <v>486</v>
      </c>
      <c r="P211" s="452">
        <v>8</v>
      </c>
      <c r="Q211" s="453">
        <f t="shared" si="29"/>
        <v>1.3315068493150686</v>
      </c>
      <c r="R211" s="453">
        <f t="shared" si="30"/>
        <v>6.668493150684931</v>
      </c>
      <c r="S211" s="455">
        <f t="shared" si="31"/>
        <v>0.11874999999999999</v>
      </c>
      <c r="T211" s="759">
        <f t="shared" si="32"/>
        <v>11042.68125</v>
      </c>
      <c r="U211" s="756">
        <f t="shared" si="33"/>
        <v>78348.102123287681</v>
      </c>
      <c r="V211" s="760"/>
    </row>
    <row r="212" spans="1:22" ht="16.5">
      <c r="A212" s="460">
        <f t="shared" si="36"/>
        <v>205</v>
      </c>
      <c r="B212" s="462" t="s">
        <v>2345</v>
      </c>
      <c r="C212" s="754" t="s">
        <v>3663</v>
      </c>
      <c r="D212" s="462" t="s">
        <v>551</v>
      </c>
      <c r="E212" s="792" t="s">
        <v>29</v>
      </c>
      <c r="F212" s="785"/>
      <c r="G212" s="793">
        <v>44960</v>
      </c>
      <c r="H212" s="783">
        <v>73005</v>
      </c>
      <c r="I212" s="460"/>
      <c r="J212" s="756"/>
      <c r="K212" s="756">
        <f t="shared" si="34"/>
        <v>73005</v>
      </c>
      <c r="L212" s="793">
        <v>44960</v>
      </c>
      <c r="M212" s="759">
        <v>1064.0728767123289</v>
      </c>
      <c r="N212" s="758">
        <f t="shared" si="35"/>
        <v>71940.927123287678</v>
      </c>
      <c r="O212" s="452">
        <f t="shared" si="28"/>
        <v>423</v>
      </c>
      <c r="P212" s="452">
        <v>8</v>
      </c>
      <c r="Q212" s="453">
        <f t="shared" si="29"/>
        <v>1.1589041095890411</v>
      </c>
      <c r="R212" s="453">
        <f t="shared" si="30"/>
        <v>6.8410958904109584</v>
      </c>
      <c r="S212" s="455">
        <f t="shared" si="31"/>
        <v>0.11874999999999999</v>
      </c>
      <c r="T212" s="759">
        <f t="shared" si="32"/>
        <v>8669.34375</v>
      </c>
      <c r="U212" s="756">
        <f t="shared" si="33"/>
        <v>63271.583373287678</v>
      </c>
      <c r="V212" s="760"/>
    </row>
    <row r="213" spans="1:22" ht="16.5">
      <c r="A213" s="460">
        <f t="shared" si="36"/>
        <v>206</v>
      </c>
      <c r="B213" s="462" t="s">
        <v>2345</v>
      </c>
      <c r="C213" s="754" t="s">
        <v>3663</v>
      </c>
      <c r="D213" s="462" t="s">
        <v>551</v>
      </c>
      <c r="E213" s="792" t="s">
        <v>29</v>
      </c>
      <c r="F213" s="785"/>
      <c r="G213" s="793">
        <v>44960</v>
      </c>
      <c r="H213" s="783">
        <v>73005</v>
      </c>
      <c r="I213" s="460"/>
      <c r="J213" s="756"/>
      <c r="K213" s="756">
        <f t="shared" si="34"/>
        <v>73005</v>
      </c>
      <c r="L213" s="793">
        <v>44960</v>
      </c>
      <c r="M213" s="759">
        <v>1064.0728767123289</v>
      </c>
      <c r="N213" s="758">
        <f t="shared" si="35"/>
        <v>71940.927123287678</v>
      </c>
      <c r="O213" s="452">
        <f t="shared" si="28"/>
        <v>423</v>
      </c>
      <c r="P213" s="452">
        <v>8</v>
      </c>
      <c r="Q213" s="453">
        <f t="shared" si="29"/>
        <v>1.1589041095890411</v>
      </c>
      <c r="R213" s="453">
        <f t="shared" si="30"/>
        <v>6.8410958904109584</v>
      </c>
      <c r="S213" s="455">
        <f t="shared" si="31"/>
        <v>0.11874999999999999</v>
      </c>
      <c r="T213" s="759">
        <f t="shared" si="32"/>
        <v>8669.34375</v>
      </c>
      <c r="U213" s="756">
        <f t="shared" si="33"/>
        <v>63271.583373287678</v>
      </c>
      <c r="V213" s="760"/>
    </row>
    <row r="214" spans="1:22" ht="16.5">
      <c r="A214" s="460">
        <f t="shared" si="36"/>
        <v>207</v>
      </c>
      <c r="B214" s="462" t="s">
        <v>2345</v>
      </c>
      <c r="C214" s="754" t="s">
        <v>3663</v>
      </c>
      <c r="D214" s="462" t="s">
        <v>551</v>
      </c>
      <c r="E214" s="792" t="s">
        <v>29</v>
      </c>
      <c r="F214" s="785"/>
      <c r="G214" s="793">
        <v>44960</v>
      </c>
      <c r="H214" s="783">
        <v>73005</v>
      </c>
      <c r="I214" s="460"/>
      <c r="J214" s="756"/>
      <c r="K214" s="756">
        <f t="shared" si="34"/>
        <v>73005</v>
      </c>
      <c r="L214" s="793">
        <v>44962</v>
      </c>
      <c r="M214" s="759">
        <v>1026.0702739726028</v>
      </c>
      <c r="N214" s="758">
        <f t="shared" si="35"/>
        <v>71978.929726027403</v>
      </c>
      <c r="O214" s="452">
        <f t="shared" si="28"/>
        <v>421</v>
      </c>
      <c r="P214" s="452">
        <v>8</v>
      </c>
      <c r="Q214" s="453">
        <f t="shared" si="29"/>
        <v>1.1534246575342466</v>
      </c>
      <c r="R214" s="453">
        <f t="shared" si="30"/>
        <v>6.8465753424657532</v>
      </c>
      <c r="S214" s="455">
        <f t="shared" si="31"/>
        <v>0.11874999999999999</v>
      </c>
      <c r="T214" s="759">
        <f t="shared" si="32"/>
        <v>8669.34375</v>
      </c>
      <c r="U214" s="756">
        <f t="shared" si="33"/>
        <v>63309.585976027403</v>
      </c>
      <c r="V214" s="760"/>
    </row>
    <row r="215" spans="1:22" ht="16.5">
      <c r="A215" s="460">
        <f t="shared" si="36"/>
        <v>208</v>
      </c>
      <c r="B215" s="462" t="s">
        <v>2345</v>
      </c>
      <c r="C215" s="754" t="s">
        <v>3663</v>
      </c>
      <c r="D215" s="462" t="s">
        <v>551</v>
      </c>
      <c r="E215" s="792" t="s">
        <v>29</v>
      </c>
      <c r="F215" s="785"/>
      <c r="G215" s="793">
        <v>44960</v>
      </c>
      <c r="H215" s="783">
        <v>73005</v>
      </c>
      <c r="I215" s="460"/>
      <c r="J215" s="756"/>
      <c r="K215" s="756">
        <f t="shared" si="34"/>
        <v>73005</v>
      </c>
      <c r="L215" s="793">
        <v>44962</v>
      </c>
      <c r="M215" s="759">
        <v>1026.0702739726028</v>
      </c>
      <c r="N215" s="758">
        <f t="shared" si="35"/>
        <v>71978.929726027403</v>
      </c>
      <c r="O215" s="452">
        <f t="shared" si="28"/>
        <v>421</v>
      </c>
      <c r="P215" s="452">
        <v>8</v>
      </c>
      <c r="Q215" s="453">
        <f t="shared" si="29"/>
        <v>1.1534246575342466</v>
      </c>
      <c r="R215" s="453">
        <f t="shared" si="30"/>
        <v>6.8465753424657532</v>
      </c>
      <c r="S215" s="455">
        <f t="shared" si="31"/>
        <v>0.11874999999999999</v>
      </c>
      <c r="T215" s="759">
        <f t="shared" si="32"/>
        <v>8669.34375</v>
      </c>
      <c r="U215" s="756">
        <f t="shared" si="33"/>
        <v>63309.585976027403</v>
      </c>
      <c r="V215" s="760"/>
    </row>
    <row r="216" spans="1:22" ht="16.5">
      <c r="A216" s="460">
        <f t="shared" si="36"/>
        <v>209</v>
      </c>
      <c r="B216" s="462" t="s">
        <v>2345</v>
      </c>
      <c r="C216" s="754" t="s">
        <v>3663</v>
      </c>
      <c r="D216" s="462" t="s">
        <v>551</v>
      </c>
      <c r="E216" s="792" t="s">
        <v>29</v>
      </c>
      <c r="F216" s="785"/>
      <c r="G216" s="793">
        <v>44960</v>
      </c>
      <c r="H216" s="783">
        <v>73005</v>
      </c>
      <c r="I216" s="460"/>
      <c r="J216" s="756"/>
      <c r="K216" s="756">
        <f t="shared" si="34"/>
        <v>73005</v>
      </c>
      <c r="L216" s="793">
        <v>44962</v>
      </c>
      <c r="M216" s="759">
        <v>1026.0702739726028</v>
      </c>
      <c r="N216" s="758">
        <f t="shared" si="35"/>
        <v>71978.929726027403</v>
      </c>
      <c r="O216" s="452">
        <f t="shared" si="28"/>
        <v>421</v>
      </c>
      <c r="P216" s="452">
        <v>8</v>
      </c>
      <c r="Q216" s="453">
        <f t="shared" si="29"/>
        <v>1.1534246575342466</v>
      </c>
      <c r="R216" s="453">
        <f t="shared" si="30"/>
        <v>6.8465753424657532</v>
      </c>
      <c r="S216" s="455">
        <f t="shared" si="31"/>
        <v>0.11874999999999999</v>
      </c>
      <c r="T216" s="759">
        <f t="shared" si="32"/>
        <v>8669.34375</v>
      </c>
      <c r="U216" s="756">
        <f t="shared" si="33"/>
        <v>63309.585976027403</v>
      </c>
      <c r="V216" s="760"/>
    </row>
    <row r="217" spans="1:22" ht="16.5">
      <c r="A217" s="460">
        <f t="shared" si="36"/>
        <v>210</v>
      </c>
      <c r="B217" s="462" t="s">
        <v>2345</v>
      </c>
      <c r="C217" s="754" t="s">
        <v>3663</v>
      </c>
      <c r="D217" s="462" t="s">
        <v>551</v>
      </c>
      <c r="E217" s="792" t="s">
        <v>29</v>
      </c>
      <c r="F217" s="785"/>
      <c r="G217" s="793">
        <v>44960</v>
      </c>
      <c r="H217" s="783">
        <v>73005</v>
      </c>
      <c r="I217" s="460"/>
      <c r="J217" s="756"/>
      <c r="K217" s="756">
        <f t="shared" si="34"/>
        <v>73005</v>
      </c>
      <c r="L217" s="793">
        <v>44962</v>
      </c>
      <c r="M217" s="759">
        <v>1026.0702739726028</v>
      </c>
      <c r="N217" s="758">
        <f t="shared" si="35"/>
        <v>71978.929726027403</v>
      </c>
      <c r="O217" s="452">
        <f t="shared" si="28"/>
        <v>421</v>
      </c>
      <c r="P217" s="452">
        <v>8</v>
      </c>
      <c r="Q217" s="453">
        <f t="shared" si="29"/>
        <v>1.1534246575342466</v>
      </c>
      <c r="R217" s="453">
        <f t="shared" si="30"/>
        <v>6.8465753424657532</v>
      </c>
      <c r="S217" s="455">
        <f t="shared" si="31"/>
        <v>0.11874999999999999</v>
      </c>
      <c r="T217" s="759">
        <f t="shared" si="32"/>
        <v>8669.34375</v>
      </c>
      <c r="U217" s="756">
        <f t="shared" si="33"/>
        <v>63309.585976027403</v>
      </c>
      <c r="V217" s="760"/>
    </row>
    <row r="218" spans="1:22" ht="16.5">
      <c r="A218" s="460">
        <f t="shared" si="36"/>
        <v>211</v>
      </c>
      <c r="B218" s="462" t="s">
        <v>3528</v>
      </c>
      <c r="C218" s="754" t="s">
        <v>3663</v>
      </c>
      <c r="D218" s="462" t="s">
        <v>3527</v>
      </c>
      <c r="E218" s="792" t="s">
        <v>29</v>
      </c>
      <c r="F218" s="785"/>
      <c r="G218" s="793">
        <v>44915</v>
      </c>
      <c r="H218" s="783">
        <v>429688</v>
      </c>
      <c r="I218" s="460"/>
      <c r="J218" s="756"/>
      <c r="K218" s="756">
        <f t="shared" si="34"/>
        <v>429688</v>
      </c>
      <c r="L218" s="793">
        <v>44971</v>
      </c>
      <c r="M218" s="759">
        <v>5032.6471232876711</v>
      </c>
      <c r="N218" s="758">
        <f t="shared" si="35"/>
        <v>424655.35287671234</v>
      </c>
      <c r="O218" s="452">
        <f t="shared" si="28"/>
        <v>412</v>
      </c>
      <c r="P218" s="452">
        <v>8</v>
      </c>
      <c r="Q218" s="453">
        <f t="shared" si="29"/>
        <v>1.1287671232876713</v>
      </c>
      <c r="R218" s="453">
        <f t="shared" si="30"/>
        <v>6.8712328767123285</v>
      </c>
      <c r="S218" s="455">
        <f t="shared" si="31"/>
        <v>0.11874999999999999</v>
      </c>
      <c r="T218" s="759">
        <f t="shared" si="32"/>
        <v>51025.45</v>
      </c>
      <c r="U218" s="756">
        <f t="shared" si="33"/>
        <v>373629.90287671232</v>
      </c>
      <c r="V218" s="760"/>
    </row>
    <row r="219" spans="1:22" ht="16.5">
      <c r="A219" s="460">
        <f t="shared" si="36"/>
        <v>212</v>
      </c>
      <c r="B219" s="462" t="s">
        <v>2345</v>
      </c>
      <c r="C219" s="754" t="s">
        <v>3663</v>
      </c>
      <c r="D219" s="462" t="s">
        <v>551</v>
      </c>
      <c r="E219" s="792" t="s">
        <v>29</v>
      </c>
      <c r="F219" s="785"/>
      <c r="G219" s="793">
        <v>45014</v>
      </c>
      <c r="H219" s="783">
        <v>65538</v>
      </c>
      <c r="I219" s="460"/>
      <c r="J219" s="756"/>
      <c r="K219" s="756">
        <f t="shared" si="34"/>
        <v>65538</v>
      </c>
      <c r="L219" s="793">
        <v>45014</v>
      </c>
      <c r="M219" s="759">
        <v>34.115671232876707</v>
      </c>
      <c r="N219" s="758">
        <f t="shared" si="35"/>
        <v>65503.884328767126</v>
      </c>
      <c r="O219" s="452">
        <f t="shared" si="28"/>
        <v>369</v>
      </c>
      <c r="P219" s="452">
        <v>8</v>
      </c>
      <c r="Q219" s="453">
        <f t="shared" si="29"/>
        <v>1.010958904109589</v>
      </c>
      <c r="R219" s="453">
        <f t="shared" si="30"/>
        <v>6.9890410958904106</v>
      </c>
      <c r="S219" s="455">
        <f t="shared" si="31"/>
        <v>0.11874999999999999</v>
      </c>
      <c r="T219" s="759">
        <f t="shared" si="32"/>
        <v>7782.6374999999998</v>
      </c>
      <c r="U219" s="756">
        <f t="shared" si="33"/>
        <v>57721.246828767129</v>
      </c>
      <c r="V219" s="760"/>
    </row>
    <row r="220" spans="1:22" ht="16.5">
      <c r="A220" s="460">
        <f t="shared" si="36"/>
        <v>213</v>
      </c>
      <c r="B220" s="462" t="s">
        <v>2345</v>
      </c>
      <c r="C220" s="754" t="s">
        <v>3663</v>
      </c>
      <c r="D220" s="462" t="s">
        <v>551</v>
      </c>
      <c r="E220" s="792" t="s">
        <v>29</v>
      </c>
      <c r="F220" s="785"/>
      <c r="G220" s="793">
        <v>45014</v>
      </c>
      <c r="H220" s="783">
        <v>65538</v>
      </c>
      <c r="I220" s="460"/>
      <c r="J220" s="756"/>
      <c r="K220" s="756">
        <f t="shared" si="34"/>
        <v>65538</v>
      </c>
      <c r="L220" s="793">
        <v>45014</v>
      </c>
      <c r="M220" s="759">
        <v>34.115671232876707</v>
      </c>
      <c r="N220" s="758">
        <f t="shared" si="35"/>
        <v>65503.884328767126</v>
      </c>
      <c r="O220" s="452">
        <f t="shared" si="28"/>
        <v>369</v>
      </c>
      <c r="P220" s="452">
        <v>8</v>
      </c>
      <c r="Q220" s="453">
        <f t="shared" si="29"/>
        <v>1.010958904109589</v>
      </c>
      <c r="R220" s="453">
        <f t="shared" si="30"/>
        <v>6.9890410958904106</v>
      </c>
      <c r="S220" s="455">
        <f t="shared" si="31"/>
        <v>0.11874999999999999</v>
      </c>
      <c r="T220" s="759">
        <f t="shared" si="32"/>
        <v>7782.6374999999998</v>
      </c>
      <c r="U220" s="756">
        <f t="shared" si="33"/>
        <v>57721.246828767129</v>
      </c>
      <c r="V220" s="760"/>
    </row>
    <row r="221" spans="1:22" ht="16.5">
      <c r="A221" s="460">
        <f t="shared" si="36"/>
        <v>214</v>
      </c>
      <c r="B221" s="462" t="s">
        <v>2345</v>
      </c>
      <c r="C221" s="754" t="s">
        <v>3663</v>
      </c>
      <c r="D221" s="462" t="s">
        <v>551</v>
      </c>
      <c r="E221" s="792" t="s">
        <v>29</v>
      </c>
      <c r="F221" s="785"/>
      <c r="G221" s="793">
        <v>45014</v>
      </c>
      <c r="H221" s="783">
        <v>65038</v>
      </c>
      <c r="I221" s="460"/>
      <c r="J221" s="756"/>
      <c r="K221" s="756">
        <f t="shared" si="34"/>
        <v>65038</v>
      </c>
      <c r="L221" s="793">
        <v>45014</v>
      </c>
      <c r="M221" s="759">
        <v>33.855397260273968</v>
      </c>
      <c r="N221" s="758">
        <f t="shared" si="35"/>
        <v>65004.144602739725</v>
      </c>
      <c r="O221" s="452">
        <f t="shared" si="28"/>
        <v>369</v>
      </c>
      <c r="P221" s="452">
        <v>8</v>
      </c>
      <c r="Q221" s="453">
        <f t="shared" si="29"/>
        <v>1.010958904109589</v>
      </c>
      <c r="R221" s="453">
        <f t="shared" si="30"/>
        <v>6.9890410958904106</v>
      </c>
      <c r="S221" s="455">
        <f t="shared" si="31"/>
        <v>0.11874999999999999</v>
      </c>
      <c r="T221" s="759">
        <f t="shared" si="32"/>
        <v>7723.2624999999998</v>
      </c>
      <c r="U221" s="756">
        <f t="shared" si="33"/>
        <v>57280.882102739728</v>
      </c>
      <c r="V221" s="760"/>
    </row>
    <row r="222" spans="1:22" ht="16.5">
      <c r="A222" s="460">
        <f t="shared" si="36"/>
        <v>215</v>
      </c>
      <c r="B222" s="462" t="s">
        <v>2399</v>
      </c>
      <c r="C222" s="754" t="s">
        <v>3663</v>
      </c>
      <c r="D222" s="462" t="s">
        <v>2419</v>
      </c>
      <c r="E222" s="792" t="s">
        <v>3449</v>
      </c>
      <c r="F222" s="785"/>
      <c r="G222" s="793">
        <v>44935</v>
      </c>
      <c r="H222" s="783">
        <v>2204148</v>
      </c>
      <c r="I222" s="460"/>
      <c r="J222" s="756"/>
      <c r="K222" s="756">
        <f t="shared" si="34"/>
        <v>2204148</v>
      </c>
      <c r="L222" s="793">
        <v>44935</v>
      </c>
      <c r="M222" s="759">
        <v>58085.338561643832</v>
      </c>
      <c r="N222" s="758">
        <f t="shared" si="35"/>
        <v>2146062.6614383562</v>
      </c>
      <c r="O222" s="452">
        <f t="shared" si="28"/>
        <v>448</v>
      </c>
      <c r="P222" s="452">
        <v>8</v>
      </c>
      <c r="Q222" s="453">
        <f t="shared" si="29"/>
        <v>1.2273972602739727</v>
      </c>
      <c r="R222" s="453">
        <f t="shared" si="30"/>
        <v>6.7726027397260271</v>
      </c>
      <c r="S222" s="455">
        <f t="shared" si="31"/>
        <v>0.11874999999999999</v>
      </c>
      <c r="T222" s="759">
        <f t="shared" si="32"/>
        <v>261742.57499999998</v>
      </c>
      <c r="U222" s="756">
        <f t="shared" si="33"/>
        <v>1884320.0864383562</v>
      </c>
      <c r="V222" s="760"/>
    </row>
    <row r="223" spans="1:22" ht="16.5">
      <c r="A223" s="460">
        <f t="shared" si="36"/>
        <v>216</v>
      </c>
      <c r="B223" s="462" t="s">
        <v>2345</v>
      </c>
      <c r="C223" s="754" t="s">
        <v>3663</v>
      </c>
      <c r="D223" s="462" t="s">
        <v>3525</v>
      </c>
      <c r="E223" s="792" t="s">
        <v>3449</v>
      </c>
      <c r="F223" s="785"/>
      <c r="G223" s="793">
        <v>44947</v>
      </c>
      <c r="H223" s="783">
        <v>91947</v>
      </c>
      <c r="I223" s="460"/>
      <c r="J223" s="756"/>
      <c r="K223" s="756">
        <f t="shared" si="34"/>
        <v>91947</v>
      </c>
      <c r="L223" s="793">
        <v>44971</v>
      </c>
      <c r="M223" s="759">
        <v>1076.9134931506849</v>
      </c>
      <c r="N223" s="758">
        <f t="shared" si="35"/>
        <v>90870.086506849315</v>
      </c>
      <c r="O223" s="452">
        <f t="shared" si="28"/>
        <v>412</v>
      </c>
      <c r="P223" s="452">
        <v>8</v>
      </c>
      <c r="Q223" s="453">
        <f t="shared" si="29"/>
        <v>1.1287671232876713</v>
      </c>
      <c r="R223" s="453">
        <f t="shared" si="30"/>
        <v>6.8712328767123285</v>
      </c>
      <c r="S223" s="455">
        <f t="shared" si="31"/>
        <v>0.11874999999999999</v>
      </c>
      <c r="T223" s="759">
        <f t="shared" si="32"/>
        <v>10918.706249999999</v>
      </c>
      <c r="U223" s="756">
        <f t="shared" si="33"/>
        <v>79951.380256849312</v>
      </c>
      <c r="V223" s="760"/>
    </row>
    <row r="224" spans="1:22" ht="16.5">
      <c r="A224" s="460">
        <f t="shared" si="36"/>
        <v>217</v>
      </c>
      <c r="B224" s="462" t="s">
        <v>2345</v>
      </c>
      <c r="C224" s="754" t="s">
        <v>3663</v>
      </c>
      <c r="D224" s="462" t="s">
        <v>24</v>
      </c>
      <c r="E224" s="792" t="s">
        <v>3615</v>
      </c>
      <c r="F224" s="785"/>
      <c r="G224" s="793">
        <v>44681</v>
      </c>
      <c r="H224" s="783">
        <v>89226</v>
      </c>
      <c r="I224" s="460"/>
      <c r="J224" s="756"/>
      <c r="K224" s="756">
        <f t="shared" si="34"/>
        <v>89226</v>
      </c>
      <c r="L224" s="793">
        <v>44681</v>
      </c>
      <c r="M224" s="759">
        <v>7779.7738356164373</v>
      </c>
      <c r="N224" s="758">
        <f t="shared" si="35"/>
        <v>81446.226164383566</v>
      </c>
      <c r="O224" s="452">
        <f t="shared" si="28"/>
        <v>702</v>
      </c>
      <c r="P224" s="452">
        <v>8</v>
      </c>
      <c r="Q224" s="453">
        <f t="shared" si="29"/>
        <v>1.9232876712328768</v>
      </c>
      <c r="R224" s="453">
        <f t="shared" si="30"/>
        <v>6.0767123287671234</v>
      </c>
      <c r="S224" s="455">
        <f t="shared" si="31"/>
        <v>0.11874999999999999</v>
      </c>
      <c r="T224" s="759">
        <f t="shared" si="32"/>
        <v>10595.5875</v>
      </c>
      <c r="U224" s="756">
        <f t="shared" si="33"/>
        <v>70850.638664383572</v>
      </c>
      <c r="V224" s="760"/>
    </row>
    <row r="225" spans="1:22" ht="16.5">
      <c r="A225" s="460">
        <f t="shared" si="36"/>
        <v>218</v>
      </c>
      <c r="B225" s="462" t="s">
        <v>3447</v>
      </c>
      <c r="C225" s="754" t="s">
        <v>3663</v>
      </c>
      <c r="D225" s="462" t="s">
        <v>3445</v>
      </c>
      <c r="E225" s="792" t="s">
        <v>28</v>
      </c>
      <c r="F225" s="785"/>
      <c r="G225" s="793">
        <v>44929</v>
      </c>
      <c r="H225" s="783">
        <v>1480000</v>
      </c>
      <c r="I225" s="460"/>
      <c r="J225" s="756"/>
      <c r="K225" s="756">
        <f t="shared" si="34"/>
        <v>1480000</v>
      </c>
      <c r="L225" s="793">
        <v>44929</v>
      </c>
      <c r="M225" s="759">
        <v>41891.095890410958</v>
      </c>
      <c r="N225" s="758">
        <f t="shared" si="35"/>
        <v>1438108.9041095891</v>
      </c>
      <c r="O225" s="452">
        <f t="shared" si="28"/>
        <v>454</v>
      </c>
      <c r="P225" s="452">
        <v>8</v>
      </c>
      <c r="Q225" s="453">
        <f t="shared" si="29"/>
        <v>1.2438356164383562</v>
      </c>
      <c r="R225" s="453">
        <f t="shared" si="30"/>
        <v>6.7561643835616438</v>
      </c>
      <c r="S225" s="455">
        <f t="shared" si="31"/>
        <v>0.11874999999999999</v>
      </c>
      <c r="T225" s="759">
        <f t="shared" si="32"/>
        <v>175750</v>
      </c>
      <c r="U225" s="756">
        <f t="shared" si="33"/>
        <v>1262358.9041095891</v>
      </c>
      <c r="V225" s="760"/>
    </row>
    <row r="226" spans="1:22" ht="16.5">
      <c r="A226" s="460">
        <f t="shared" si="36"/>
        <v>219</v>
      </c>
      <c r="B226" s="462" t="s">
        <v>2345</v>
      </c>
      <c r="C226" s="754" t="s">
        <v>3663</v>
      </c>
      <c r="D226" s="462"/>
      <c r="E226" s="788" t="s">
        <v>880</v>
      </c>
      <c r="F226" s="785"/>
      <c r="G226" s="793">
        <v>45016</v>
      </c>
      <c r="H226" s="783">
        <v>91000</v>
      </c>
      <c r="I226" s="460"/>
      <c r="J226" s="756"/>
      <c r="K226" s="756">
        <f t="shared" si="34"/>
        <v>91000</v>
      </c>
      <c r="L226" s="793">
        <v>45016</v>
      </c>
      <c r="M226" s="759">
        <v>0</v>
      </c>
      <c r="N226" s="758">
        <f t="shared" si="35"/>
        <v>91000</v>
      </c>
      <c r="O226" s="452">
        <f t="shared" si="28"/>
        <v>367</v>
      </c>
      <c r="P226" s="452">
        <v>8</v>
      </c>
      <c r="Q226" s="453">
        <f t="shared" si="29"/>
        <v>1.0054794520547945</v>
      </c>
      <c r="R226" s="453">
        <f t="shared" si="30"/>
        <v>6.9945205479452053</v>
      </c>
      <c r="S226" s="455">
        <f t="shared" si="31"/>
        <v>0.11874999999999999</v>
      </c>
      <c r="T226" s="759">
        <f t="shared" si="32"/>
        <v>10806.25</v>
      </c>
      <c r="U226" s="756">
        <f t="shared" si="33"/>
        <v>80193.75</v>
      </c>
      <c r="V226" s="760"/>
    </row>
    <row r="227" spans="1:22" ht="16.5">
      <c r="A227" s="460">
        <f t="shared" si="36"/>
        <v>220</v>
      </c>
      <c r="B227" s="462" t="s">
        <v>2345</v>
      </c>
      <c r="C227" s="754" t="s">
        <v>3663</v>
      </c>
      <c r="D227" s="462"/>
      <c r="E227" s="788" t="s">
        <v>880</v>
      </c>
      <c r="F227" s="785"/>
      <c r="G227" s="793">
        <v>45016</v>
      </c>
      <c r="H227" s="783">
        <v>96966</v>
      </c>
      <c r="I227" s="460"/>
      <c r="J227" s="756"/>
      <c r="K227" s="756">
        <f t="shared" si="34"/>
        <v>96966</v>
      </c>
      <c r="L227" s="793">
        <v>45016</v>
      </c>
      <c r="M227" s="759">
        <v>0</v>
      </c>
      <c r="N227" s="758">
        <f t="shared" si="35"/>
        <v>96966</v>
      </c>
      <c r="O227" s="452">
        <f t="shared" si="28"/>
        <v>367</v>
      </c>
      <c r="P227" s="452">
        <v>8</v>
      </c>
      <c r="Q227" s="453">
        <f t="shared" si="29"/>
        <v>1.0054794520547945</v>
      </c>
      <c r="R227" s="453">
        <f t="shared" si="30"/>
        <v>6.9945205479452053</v>
      </c>
      <c r="S227" s="455">
        <f t="shared" si="31"/>
        <v>0.11874999999999999</v>
      </c>
      <c r="T227" s="759">
        <f t="shared" si="32"/>
        <v>11514.7125</v>
      </c>
      <c r="U227" s="756">
        <f t="shared" si="33"/>
        <v>85451.287500000006</v>
      </c>
      <c r="V227" s="760"/>
    </row>
    <row r="228" spans="1:22" ht="16.5">
      <c r="A228" s="460">
        <f t="shared" si="36"/>
        <v>221</v>
      </c>
      <c r="B228" s="462" t="s">
        <v>2345</v>
      </c>
      <c r="C228" s="754" t="s">
        <v>3663</v>
      </c>
      <c r="D228" s="462" t="s">
        <v>3640</v>
      </c>
      <c r="E228" s="788" t="s">
        <v>879</v>
      </c>
      <c r="F228" s="785"/>
      <c r="G228" s="793">
        <v>44945</v>
      </c>
      <c r="H228" s="783">
        <v>66388</v>
      </c>
      <c r="I228" s="460"/>
      <c r="J228" s="756"/>
      <c r="K228" s="756">
        <f t="shared" si="34"/>
        <v>66388</v>
      </c>
      <c r="L228" s="793">
        <v>44946</v>
      </c>
      <c r="M228" s="759">
        <v>1209.5347945205478</v>
      </c>
      <c r="N228" s="758">
        <f t="shared" si="35"/>
        <v>65178.46520547945</v>
      </c>
      <c r="O228" s="452">
        <f t="shared" si="28"/>
        <v>437</v>
      </c>
      <c r="P228" s="452">
        <v>8</v>
      </c>
      <c r="Q228" s="453">
        <f t="shared" si="29"/>
        <v>1.1972602739726028</v>
      </c>
      <c r="R228" s="453">
        <f t="shared" si="30"/>
        <v>6.8027397260273972</v>
      </c>
      <c r="S228" s="455">
        <f t="shared" si="31"/>
        <v>0.11874999999999999</v>
      </c>
      <c r="T228" s="759">
        <f t="shared" si="32"/>
        <v>7883.5749999999998</v>
      </c>
      <c r="U228" s="756">
        <f t="shared" si="33"/>
        <v>57294.890205479453</v>
      </c>
      <c r="V228" s="760"/>
    </row>
    <row r="229" spans="1:22" s="364" customFormat="1" ht="16.899999999999999" thickBot="1">
      <c r="A229" s="798"/>
      <c r="B229" s="799" t="s">
        <v>2180</v>
      </c>
      <c r="C229" s="799"/>
      <c r="D229" s="799"/>
      <c r="E229" s="799"/>
      <c r="F229" s="799"/>
      <c r="G229" s="799"/>
      <c r="H229" s="800">
        <f>SUM(H8:H228)</f>
        <v>93065134.620000005</v>
      </c>
      <c r="I229" s="800">
        <f t="shared" ref="I229:K229" si="37">SUM(I8:I228)</f>
        <v>0</v>
      </c>
      <c r="J229" s="800">
        <f t="shared" si="37"/>
        <v>188651</v>
      </c>
      <c r="K229" s="800">
        <f t="shared" si="37"/>
        <v>92876483.620000005</v>
      </c>
      <c r="L229" s="800" t="s">
        <v>24</v>
      </c>
      <c r="M229" s="800">
        <f>SUM(M8:M228)</f>
        <v>42171217.11949081</v>
      </c>
      <c r="N229" s="800">
        <f t="shared" ref="N229" si="38">SUM(N8:N228)</f>
        <v>50893917.500509202</v>
      </c>
      <c r="O229" s="800" t="s">
        <v>24</v>
      </c>
      <c r="P229" s="800" t="s">
        <v>24</v>
      </c>
      <c r="Q229" s="800" t="s">
        <v>24</v>
      </c>
      <c r="R229" s="800" t="s">
        <v>24</v>
      </c>
      <c r="S229" s="800" t="s">
        <v>24</v>
      </c>
      <c r="T229" s="800">
        <f>SUM(T8:T228)</f>
        <v>10409655.867374986</v>
      </c>
      <c r="U229" s="800">
        <f>SUM(U8:U228)</f>
        <v>40484261.633134171</v>
      </c>
      <c r="V229" s="798"/>
    </row>
    <row r="230" spans="1:22" ht="13.15" thickTop="1">
      <c r="M230" s="486" t="s">
        <v>24</v>
      </c>
    </row>
    <row r="231" spans="1:22">
      <c r="M231" s="753" t="s">
        <v>24</v>
      </c>
    </row>
    <row r="232" spans="1:22">
      <c r="M232" s="486" t="s">
        <v>24</v>
      </c>
    </row>
  </sheetData>
  <mergeCells count="22">
    <mergeCell ref="F4:F7"/>
    <mergeCell ref="A4:A7"/>
    <mergeCell ref="B4:B7"/>
    <mergeCell ref="C4:C7"/>
    <mergeCell ref="D4:D7"/>
    <mergeCell ref="E4:E7"/>
    <mergeCell ref="G4:G7"/>
    <mergeCell ref="H4:H7"/>
    <mergeCell ref="I4:J4"/>
    <mergeCell ref="K4:K7"/>
    <mergeCell ref="L4:L7"/>
    <mergeCell ref="T4:T7"/>
    <mergeCell ref="U4:U7"/>
    <mergeCell ref="I5:I7"/>
    <mergeCell ref="J5:J7"/>
    <mergeCell ref="N4:N7"/>
    <mergeCell ref="O4:O7"/>
    <mergeCell ref="P4:P7"/>
    <mergeCell ref="Q4:Q7"/>
    <mergeCell ref="R4:R7"/>
    <mergeCell ref="S4:S7"/>
    <mergeCell ref="M4:M7"/>
  </mergeCells>
  <printOptions gridLines="1"/>
  <pageMargins left="0.70866141732283472" right="0.70866141732283472" top="0.74803149606299213" bottom="0.74803149606299213" header="0.31496062992125984" footer="0.31496062992125984"/>
  <pageSetup scale="3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34"/>
  <sheetViews>
    <sheetView topLeftCell="J296" zoomScaleNormal="100" workbookViewId="0">
      <selection activeCell="W332" sqref="W332"/>
    </sheetView>
  </sheetViews>
  <sheetFormatPr defaultColWidth="10" defaultRowHeight="12.75"/>
  <cols>
    <col min="1" max="1" width="10.1328125" style="313" bestFit="1" customWidth="1"/>
    <col min="2" max="2" width="21.1328125" style="313" customWidth="1"/>
    <col min="3" max="3" width="10.46484375" style="313" customWidth="1"/>
    <col min="4" max="4" width="19.86328125" style="313" customWidth="1"/>
    <col min="5" max="5" width="27.46484375" style="313" customWidth="1"/>
    <col min="6" max="6" width="13.53125" style="334" customWidth="1"/>
    <col min="7" max="7" width="14.6640625" style="313" customWidth="1"/>
    <col min="8" max="8" width="13.53125" style="313" customWidth="1"/>
    <col min="9" max="9" width="11.33203125" style="313" customWidth="1"/>
    <col min="10" max="10" width="11.6640625" style="313" customWidth="1"/>
    <col min="11" max="11" width="14.53125" style="313" customWidth="1"/>
    <col min="12" max="12" width="15.46484375" style="313" customWidth="1"/>
    <col min="13" max="13" width="14.53125" style="313" customWidth="1"/>
    <col min="14" max="14" width="13" style="313" customWidth="1"/>
    <col min="15" max="15" width="18.1328125" style="313" hidden="1" customWidth="1"/>
    <col min="16" max="16" width="21.6640625" style="313" hidden="1" customWidth="1"/>
    <col min="17" max="17" width="20.33203125" style="313" hidden="1" customWidth="1"/>
    <col min="18" max="18" width="26.46484375" style="313" hidden="1" customWidth="1"/>
    <col min="19" max="19" width="15.33203125" style="313" customWidth="1"/>
    <col min="20" max="20" width="11.86328125" style="313" bestFit="1" customWidth="1"/>
    <col min="21" max="21" width="18.53125" style="313" customWidth="1"/>
    <col min="22" max="22" width="12.46484375" style="313" customWidth="1"/>
    <col min="23" max="16384" width="10" style="313"/>
  </cols>
  <sheetData>
    <row r="1" spans="1:22" ht="16.149999999999999" thickBot="1">
      <c r="A1" s="446" t="s">
        <v>1338</v>
      </c>
      <c r="B1" s="487"/>
      <c r="C1" s="488"/>
      <c r="D1" s="488"/>
      <c r="E1" s="364"/>
      <c r="F1" s="489"/>
      <c r="G1" s="488"/>
      <c r="H1" s="490"/>
      <c r="I1" s="364"/>
      <c r="J1" s="364"/>
      <c r="K1" s="364"/>
      <c r="L1" s="491" t="s">
        <v>24</v>
      </c>
      <c r="M1" s="491" t="s">
        <v>24</v>
      </c>
      <c r="N1" s="492"/>
      <c r="O1" s="492"/>
      <c r="P1" s="491" t="s">
        <v>24</v>
      </c>
      <c r="Q1" s="491" t="s">
        <v>24</v>
      </c>
      <c r="R1" s="493"/>
      <c r="S1" s="493"/>
      <c r="T1" s="493"/>
      <c r="U1" s="493"/>
      <c r="V1" s="493"/>
    </row>
    <row r="2" spans="1:22" ht="15.75">
      <c r="A2" s="447" t="s">
        <v>2421</v>
      </c>
      <c r="B2" s="494"/>
      <c r="C2" s="488"/>
      <c r="D2" s="488"/>
      <c r="E2" s="364"/>
      <c r="F2" s="489"/>
      <c r="G2" s="488"/>
      <c r="H2" s="490"/>
      <c r="I2" s="364"/>
      <c r="J2" s="364"/>
      <c r="K2" s="364"/>
      <c r="L2" s="491"/>
      <c r="M2" s="491"/>
      <c r="N2" s="492"/>
      <c r="O2" s="492"/>
      <c r="P2" s="491"/>
      <c r="Q2" s="491"/>
      <c r="R2" s="493"/>
      <c r="S2" s="493"/>
      <c r="T2" s="493"/>
      <c r="U2" s="493"/>
      <c r="V2" s="493"/>
    </row>
    <row r="3" spans="1:22" ht="17.25" thickBot="1">
      <c r="A3" s="448" t="str">
        <f>+Buildings!B3</f>
        <v>CALCULATION OF DEPRECIATION FOR THE YEAR  ENDED  31-03-2024</v>
      </c>
      <c r="B3" s="494"/>
      <c r="C3" s="488"/>
      <c r="D3" s="488"/>
      <c r="E3" s="364"/>
      <c r="F3" s="489"/>
      <c r="G3" s="488"/>
      <c r="H3" s="490"/>
      <c r="I3" s="364"/>
      <c r="J3" s="364"/>
      <c r="K3" s="364"/>
      <c r="L3" s="491"/>
      <c r="M3" s="491"/>
      <c r="N3" s="492"/>
      <c r="O3" s="449">
        <v>45382</v>
      </c>
      <c r="P3" s="491"/>
      <c r="Q3" s="491"/>
      <c r="R3" s="493"/>
      <c r="S3" s="493"/>
      <c r="T3" s="493"/>
      <c r="U3" s="493"/>
      <c r="V3" s="493"/>
    </row>
    <row r="4" spans="1:22" ht="14" customHeight="1" thickTop="1">
      <c r="A4" s="1171" t="s">
        <v>1289</v>
      </c>
      <c r="B4" s="1171" t="s">
        <v>1290</v>
      </c>
      <c r="C4" s="1179" t="s">
        <v>1367</v>
      </c>
      <c r="D4" s="1185" t="s">
        <v>1352</v>
      </c>
      <c r="E4" s="1179" t="s">
        <v>1368</v>
      </c>
      <c r="F4" s="1183" t="s">
        <v>1369</v>
      </c>
      <c r="G4" s="1179" t="s">
        <v>1370</v>
      </c>
      <c r="H4" s="1177" t="s">
        <v>3662</v>
      </c>
      <c r="I4" s="1181" t="s">
        <v>1353</v>
      </c>
      <c r="J4" s="1182"/>
      <c r="K4" s="1177" t="s">
        <v>3661</v>
      </c>
      <c r="L4" s="1177" t="s">
        <v>1371</v>
      </c>
      <c r="M4" s="1177" t="s">
        <v>2422</v>
      </c>
      <c r="N4" s="1170" t="s">
        <v>3654</v>
      </c>
      <c r="O4" s="1173" t="s">
        <v>1355</v>
      </c>
      <c r="P4" s="1162" t="s">
        <v>1356</v>
      </c>
      <c r="Q4" s="1162" t="s">
        <v>1357</v>
      </c>
      <c r="R4" s="1162" t="s">
        <v>1358</v>
      </c>
      <c r="S4" s="1175" t="s">
        <v>1373</v>
      </c>
      <c r="T4" s="1159" t="s">
        <v>3655</v>
      </c>
      <c r="U4" s="1162" t="s">
        <v>3656</v>
      </c>
      <c r="V4" s="1165" t="s">
        <v>1374</v>
      </c>
    </row>
    <row r="5" spans="1:22">
      <c r="A5" s="1171"/>
      <c r="B5" s="1171"/>
      <c r="C5" s="1179"/>
      <c r="D5" s="1185"/>
      <c r="E5" s="1179"/>
      <c r="F5" s="1183"/>
      <c r="G5" s="1179"/>
      <c r="H5" s="1178"/>
      <c r="I5" s="1168" t="s">
        <v>891</v>
      </c>
      <c r="J5" s="1168" t="s">
        <v>892</v>
      </c>
      <c r="K5" s="1178"/>
      <c r="L5" s="1178"/>
      <c r="M5" s="1178"/>
      <c r="N5" s="1171"/>
      <c r="O5" s="1174"/>
      <c r="P5" s="1163"/>
      <c r="Q5" s="1163"/>
      <c r="R5" s="1163"/>
      <c r="S5" s="1176"/>
      <c r="T5" s="1160"/>
      <c r="U5" s="1163"/>
      <c r="V5" s="1166"/>
    </row>
    <row r="6" spans="1:22">
      <c r="A6" s="1171"/>
      <c r="B6" s="1171"/>
      <c r="C6" s="1179"/>
      <c r="D6" s="1185"/>
      <c r="E6" s="1179"/>
      <c r="F6" s="1183"/>
      <c r="G6" s="1179"/>
      <c r="H6" s="1178"/>
      <c r="I6" s="1169"/>
      <c r="J6" s="1169"/>
      <c r="K6" s="1178"/>
      <c r="L6" s="1178"/>
      <c r="M6" s="1178"/>
      <c r="N6" s="1171"/>
      <c r="O6" s="1174"/>
      <c r="P6" s="1163"/>
      <c r="Q6" s="1163"/>
      <c r="R6" s="1163"/>
      <c r="S6" s="1176"/>
      <c r="T6" s="1160"/>
      <c r="U6" s="1163"/>
      <c r="V6" s="1166"/>
    </row>
    <row r="7" spans="1:22" ht="34.25" customHeight="1">
      <c r="A7" s="1171"/>
      <c r="B7" s="1171"/>
      <c r="C7" s="1179"/>
      <c r="D7" s="1185"/>
      <c r="E7" s="1179"/>
      <c r="F7" s="1183"/>
      <c r="G7" s="1179"/>
      <c r="H7" s="1189"/>
      <c r="I7" s="1186"/>
      <c r="J7" s="1186"/>
      <c r="K7" s="1189"/>
      <c r="L7" s="1189"/>
      <c r="M7" s="1189"/>
      <c r="N7" s="1171"/>
      <c r="O7" s="1187"/>
      <c r="P7" s="1163"/>
      <c r="Q7" s="1163"/>
      <c r="R7" s="1163"/>
      <c r="S7" s="1188"/>
      <c r="T7" s="1160"/>
      <c r="U7" s="1163"/>
      <c r="V7" s="1166"/>
    </row>
    <row r="8" spans="1:22" ht="16.5">
      <c r="A8" s="317">
        <v>1</v>
      </c>
      <c r="B8" s="318" t="s">
        <v>235</v>
      </c>
      <c r="C8" s="318" t="s">
        <v>2226</v>
      </c>
      <c r="D8" s="318"/>
      <c r="E8" s="318"/>
      <c r="F8" s="318"/>
      <c r="G8" s="318"/>
      <c r="H8" s="436">
        <v>3475</v>
      </c>
      <c r="I8" s="317"/>
      <c r="J8" s="317"/>
      <c r="K8" s="436">
        <f>+H8+I8-J8</f>
        <v>3475</v>
      </c>
      <c r="L8" s="495">
        <v>38443</v>
      </c>
      <c r="M8" s="326">
        <v>3301.25</v>
      </c>
      <c r="N8" s="438">
        <f>+K8-M8</f>
        <v>173.75</v>
      </c>
      <c r="O8" s="438">
        <f>+$O$3-L8</f>
        <v>6939</v>
      </c>
      <c r="P8" s="452">
        <v>5</v>
      </c>
      <c r="Q8" s="454">
        <f>+O8/365</f>
        <v>19.010958904109589</v>
      </c>
      <c r="R8" s="454">
        <f>+P8-Q8</f>
        <v>-14.010958904109589</v>
      </c>
      <c r="S8" s="455">
        <f>1/P8*0.95</f>
        <v>0.19</v>
      </c>
      <c r="T8" s="442">
        <v>0</v>
      </c>
      <c r="U8" s="442">
        <f>+N8-T8</f>
        <v>173.75</v>
      </c>
      <c r="V8" s="442">
        <f>+H8*5%</f>
        <v>173.75</v>
      </c>
    </row>
    <row r="9" spans="1:22" ht="16.5">
      <c r="A9" s="317">
        <f>+A8+1</f>
        <v>2</v>
      </c>
      <c r="B9" s="318" t="s">
        <v>235</v>
      </c>
      <c r="C9" s="318" t="s">
        <v>1431</v>
      </c>
      <c r="D9" s="318"/>
      <c r="E9" s="318" t="s">
        <v>2423</v>
      </c>
      <c r="F9" s="318" t="s">
        <v>2424</v>
      </c>
      <c r="G9" s="318"/>
      <c r="H9" s="436">
        <v>35573</v>
      </c>
      <c r="I9" s="317"/>
      <c r="J9" s="317"/>
      <c r="K9" s="436">
        <f t="shared" ref="K9:K72" si="0">+H9+I9-J9</f>
        <v>35573</v>
      </c>
      <c r="L9" s="495">
        <v>38776</v>
      </c>
      <c r="M9" s="326">
        <v>33794.35</v>
      </c>
      <c r="N9" s="438">
        <f t="shared" ref="N9:N72" si="1">+K9-M9</f>
        <v>1778.6500000000015</v>
      </c>
      <c r="O9" s="438">
        <f t="shared" ref="O9:O72" si="2">+$O$3-L9</f>
        <v>6606</v>
      </c>
      <c r="P9" s="452">
        <v>5</v>
      </c>
      <c r="Q9" s="454">
        <f t="shared" ref="Q9:Q72" si="3">+O9/365</f>
        <v>18.098630136986301</v>
      </c>
      <c r="R9" s="454">
        <f t="shared" ref="R9:R72" si="4">+P9-Q9</f>
        <v>-13.098630136986301</v>
      </c>
      <c r="S9" s="455">
        <f t="shared" ref="S9:S72" si="5">1/P9*0.95</f>
        <v>0.19</v>
      </c>
      <c r="T9" s="442">
        <v>0</v>
      </c>
      <c r="U9" s="442">
        <f t="shared" ref="U9:U72" si="6">+N9-T9</f>
        <v>1778.6500000000015</v>
      </c>
      <c r="V9" s="442">
        <f t="shared" ref="V9:V72" si="7">+H9*5%</f>
        <v>1778.65</v>
      </c>
    </row>
    <row r="10" spans="1:22" ht="16.5">
      <c r="A10" s="317">
        <f t="shared" ref="A10:A73" si="8">+A9+1</f>
        <v>3</v>
      </c>
      <c r="B10" s="318" t="s">
        <v>235</v>
      </c>
      <c r="C10" s="318" t="s">
        <v>1431</v>
      </c>
      <c r="D10" s="318"/>
      <c r="E10" s="318" t="s">
        <v>2425</v>
      </c>
      <c r="F10" s="318" t="s">
        <v>2426</v>
      </c>
      <c r="G10" s="318"/>
      <c r="H10" s="436">
        <v>8621</v>
      </c>
      <c r="I10" s="317"/>
      <c r="J10" s="317"/>
      <c r="K10" s="436">
        <f t="shared" si="0"/>
        <v>8621</v>
      </c>
      <c r="L10" s="495">
        <v>38786</v>
      </c>
      <c r="M10" s="326">
        <v>8189.9499999999989</v>
      </c>
      <c r="N10" s="438">
        <f t="shared" si="1"/>
        <v>431.05000000000109</v>
      </c>
      <c r="O10" s="438">
        <f t="shared" si="2"/>
        <v>6596</v>
      </c>
      <c r="P10" s="452">
        <v>5</v>
      </c>
      <c r="Q10" s="454">
        <f t="shared" si="3"/>
        <v>18.07123287671233</v>
      </c>
      <c r="R10" s="454">
        <f t="shared" si="4"/>
        <v>-13.07123287671233</v>
      </c>
      <c r="S10" s="455">
        <f t="shared" si="5"/>
        <v>0.19</v>
      </c>
      <c r="T10" s="442">
        <v>0</v>
      </c>
      <c r="U10" s="442">
        <f t="shared" si="6"/>
        <v>431.05000000000109</v>
      </c>
      <c r="V10" s="442">
        <f t="shared" si="7"/>
        <v>431.05</v>
      </c>
    </row>
    <row r="11" spans="1:22" ht="16.5">
      <c r="A11" s="317">
        <f t="shared" si="8"/>
        <v>4</v>
      </c>
      <c r="B11" s="318" t="s">
        <v>235</v>
      </c>
      <c r="C11" s="318" t="s">
        <v>1396</v>
      </c>
      <c r="D11" s="318"/>
      <c r="E11" s="318" t="s">
        <v>2423</v>
      </c>
      <c r="F11" s="318" t="s">
        <v>2427</v>
      </c>
      <c r="G11" s="318"/>
      <c r="H11" s="436">
        <v>13458</v>
      </c>
      <c r="I11" s="317"/>
      <c r="J11" s="317"/>
      <c r="K11" s="436">
        <f t="shared" si="0"/>
        <v>13458</v>
      </c>
      <c r="L11" s="495">
        <v>38853</v>
      </c>
      <c r="M11" s="326">
        <v>12785.1</v>
      </c>
      <c r="N11" s="438">
        <f t="shared" si="1"/>
        <v>672.89999999999964</v>
      </c>
      <c r="O11" s="438">
        <f t="shared" si="2"/>
        <v>6529</v>
      </c>
      <c r="P11" s="452">
        <v>5</v>
      </c>
      <c r="Q11" s="454">
        <f t="shared" si="3"/>
        <v>17.887671232876713</v>
      </c>
      <c r="R11" s="454">
        <f t="shared" si="4"/>
        <v>-12.887671232876713</v>
      </c>
      <c r="S11" s="455">
        <f t="shared" si="5"/>
        <v>0.19</v>
      </c>
      <c r="T11" s="442">
        <v>0</v>
      </c>
      <c r="U11" s="442">
        <f t="shared" si="6"/>
        <v>672.89999999999964</v>
      </c>
      <c r="V11" s="442">
        <f t="shared" si="7"/>
        <v>672.90000000000009</v>
      </c>
    </row>
    <row r="12" spans="1:22" ht="16.5">
      <c r="A12" s="317">
        <f t="shared" si="8"/>
        <v>5</v>
      </c>
      <c r="B12" s="318" t="s">
        <v>235</v>
      </c>
      <c r="C12" s="318" t="s">
        <v>1376</v>
      </c>
      <c r="D12" s="318"/>
      <c r="E12" s="318" t="s">
        <v>2428</v>
      </c>
      <c r="F12" s="318" t="s">
        <v>2429</v>
      </c>
      <c r="G12" s="318"/>
      <c r="H12" s="436">
        <v>12664</v>
      </c>
      <c r="I12" s="317"/>
      <c r="J12" s="317"/>
      <c r="K12" s="436">
        <f t="shared" si="0"/>
        <v>12664</v>
      </c>
      <c r="L12" s="495">
        <v>39413</v>
      </c>
      <c r="M12" s="326">
        <v>12030.8</v>
      </c>
      <c r="N12" s="438">
        <f t="shared" si="1"/>
        <v>633.20000000000073</v>
      </c>
      <c r="O12" s="438">
        <f t="shared" si="2"/>
        <v>5969</v>
      </c>
      <c r="P12" s="452">
        <v>5</v>
      </c>
      <c r="Q12" s="454">
        <f t="shared" si="3"/>
        <v>16.353424657534248</v>
      </c>
      <c r="R12" s="454">
        <f t="shared" si="4"/>
        <v>-11.353424657534248</v>
      </c>
      <c r="S12" s="455">
        <f t="shared" si="5"/>
        <v>0.19</v>
      </c>
      <c r="T12" s="442">
        <v>0</v>
      </c>
      <c r="U12" s="442">
        <f t="shared" si="6"/>
        <v>633.20000000000073</v>
      </c>
      <c r="V12" s="442">
        <f t="shared" si="7"/>
        <v>633.20000000000005</v>
      </c>
    </row>
    <row r="13" spans="1:22" ht="16.5">
      <c r="A13" s="317">
        <f t="shared" si="8"/>
        <v>6</v>
      </c>
      <c r="B13" s="318" t="s">
        <v>235</v>
      </c>
      <c r="C13" s="318" t="s">
        <v>1376</v>
      </c>
      <c r="D13" s="318"/>
      <c r="E13" s="318" t="s">
        <v>2428</v>
      </c>
      <c r="F13" s="318" t="s">
        <v>2430</v>
      </c>
      <c r="G13" s="318"/>
      <c r="H13" s="436">
        <v>15982</v>
      </c>
      <c r="I13" s="317"/>
      <c r="J13" s="317"/>
      <c r="K13" s="436">
        <f t="shared" si="0"/>
        <v>15982</v>
      </c>
      <c r="L13" s="495">
        <v>39413</v>
      </c>
      <c r="M13" s="326">
        <v>15182.9</v>
      </c>
      <c r="N13" s="438">
        <f t="shared" si="1"/>
        <v>799.10000000000036</v>
      </c>
      <c r="O13" s="438">
        <f t="shared" si="2"/>
        <v>5969</v>
      </c>
      <c r="P13" s="452">
        <v>5</v>
      </c>
      <c r="Q13" s="454">
        <f t="shared" si="3"/>
        <v>16.353424657534248</v>
      </c>
      <c r="R13" s="454">
        <f t="shared" si="4"/>
        <v>-11.353424657534248</v>
      </c>
      <c r="S13" s="455">
        <f t="shared" si="5"/>
        <v>0.19</v>
      </c>
      <c r="T13" s="442">
        <v>0</v>
      </c>
      <c r="U13" s="442">
        <f t="shared" si="6"/>
        <v>799.10000000000036</v>
      </c>
      <c r="V13" s="442">
        <f t="shared" si="7"/>
        <v>799.1</v>
      </c>
    </row>
    <row r="14" spans="1:22" ht="16.5">
      <c r="A14" s="317">
        <f t="shared" si="8"/>
        <v>7</v>
      </c>
      <c r="B14" s="318" t="s">
        <v>235</v>
      </c>
      <c r="C14" s="318" t="s">
        <v>1376</v>
      </c>
      <c r="D14" s="318"/>
      <c r="E14" s="318" t="s">
        <v>2428</v>
      </c>
      <c r="F14" s="318" t="s">
        <v>2431</v>
      </c>
      <c r="G14" s="318"/>
      <c r="H14" s="436">
        <v>2585</v>
      </c>
      <c r="I14" s="317"/>
      <c r="J14" s="317"/>
      <c r="K14" s="436">
        <f t="shared" si="0"/>
        <v>2585</v>
      </c>
      <c r="L14" s="495">
        <v>39535</v>
      </c>
      <c r="M14" s="326">
        <v>2455.75</v>
      </c>
      <c r="N14" s="438">
        <f t="shared" si="1"/>
        <v>129.25</v>
      </c>
      <c r="O14" s="438">
        <f t="shared" si="2"/>
        <v>5847</v>
      </c>
      <c r="P14" s="452">
        <v>5</v>
      </c>
      <c r="Q14" s="454">
        <f t="shared" si="3"/>
        <v>16.019178082191782</v>
      </c>
      <c r="R14" s="454">
        <f t="shared" si="4"/>
        <v>-11.019178082191782</v>
      </c>
      <c r="S14" s="455">
        <f t="shared" si="5"/>
        <v>0.19</v>
      </c>
      <c r="T14" s="442">
        <v>0</v>
      </c>
      <c r="U14" s="442">
        <f t="shared" si="6"/>
        <v>129.25</v>
      </c>
      <c r="V14" s="442">
        <f t="shared" si="7"/>
        <v>129.25</v>
      </c>
    </row>
    <row r="15" spans="1:22" ht="16.5">
      <c r="A15" s="317">
        <f t="shared" si="8"/>
        <v>8</v>
      </c>
      <c r="B15" s="318" t="s">
        <v>235</v>
      </c>
      <c r="C15" s="318" t="s">
        <v>1376</v>
      </c>
      <c r="D15" s="318"/>
      <c r="E15" s="318" t="s">
        <v>2432</v>
      </c>
      <c r="F15" s="318" t="s">
        <v>2431</v>
      </c>
      <c r="G15" s="318"/>
      <c r="H15" s="436">
        <v>24553</v>
      </c>
      <c r="I15" s="317"/>
      <c r="J15" s="317"/>
      <c r="K15" s="436">
        <f t="shared" si="0"/>
        <v>24553</v>
      </c>
      <c r="L15" s="495">
        <v>39535</v>
      </c>
      <c r="M15" s="326">
        <v>23325.35</v>
      </c>
      <c r="N15" s="438">
        <f t="shared" si="1"/>
        <v>1227.6500000000015</v>
      </c>
      <c r="O15" s="438">
        <f t="shared" si="2"/>
        <v>5847</v>
      </c>
      <c r="P15" s="452">
        <v>5</v>
      </c>
      <c r="Q15" s="454">
        <f t="shared" si="3"/>
        <v>16.019178082191782</v>
      </c>
      <c r="R15" s="454">
        <f t="shared" si="4"/>
        <v>-11.019178082191782</v>
      </c>
      <c r="S15" s="455">
        <f t="shared" si="5"/>
        <v>0.19</v>
      </c>
      <c r="T15" s="442">
        <v>0</v>
      </c>
      <c r="U15" s="442">
        <f t="shared" si="6"/>
        <v>1227.6500000000015</v>
      </c>
      <c r="V15" s="442">
        <f t="shared" si="7"/>
        <v>1227.6500000000001</v>
      </c>
    </row>
    <row r="16" spans="1:22" ht="16.5">
      <c r="A16" s="317">
        <f t="shared" si="8"/>
        <v>9</v>
      </c>
      <c r="B16" s="318" t="s">
        <v>236</v>
      </c>
      <c r="C16" s="318" t="s">
        <v>1396</v>
      </c>
      <c r="D16" s="318"/>
      <c r="E16" s="318" t="s">
        <v>2425</v>
      </c>
      <c r="F16" s="318" t="s">
        <v>2433</v>
      </c>
      <c r="G16" s="318"/>
      <c r="H16" s="436">
        <v>2692</v>
      </c>
      <c r="I16" s="317"/>
      <c r="J16" s="317"/>
      <c r="K16" s="436">
        <f t="shared" si="0"/>
        <v>2692</v>
      </c>
      <c r="L16" s="495">
        <v>38852</v>
      </c>
      <c r="M16" s="326">
        <v>2557.4</v>
      </c>
      <c r="N16" s="438">
        <f t="shared" si="1"/>
        <v>134.59999999999991</v>
      </c>
      <c r="O16" s="438">
        <f t="shared" si="2"/>
        <v>6530</v>
      </c>
      <c r="P16" s="452">
        <v>5</v>
      </c>
      <c r="Q16" s="454">
        <f t="shared" si="3"/>
        <v>17.890410958904109</v>
      </c>
      <c r="R16" s="454">
        <f t="shared" si="4"/>
        <v>-12.890410958904109</v>
      </c>
      <c r="S16" s="455">
        <f t="shared" si="5"/>
        <v>0.19</v>
      </c>
      <c r="T16" s="442">
        <v>0</v>
      </c>
      <c r="U16" s="442">
        <f t="shared" si="6"/>
        <v>134.59999999999991</v>
      </c>
      <c r="V16" s="442">
        <f t="shared" si="7"/>
        <v>134.6</v>
      </c>
    </row>
    <row r="17" spans="1:22" ht="16.5">
      <c r="A17" s="317">
        <f t="shared" si="8"/>
        <v>10</v>
      </c>
      <c r="B17" s="318" t="s">
        <v>236</v>
      </c>
      <c r="C17" s="318" t="s">
        <v>1409</v>
      </c>
      <c r="D17" s="318" t="s">
        <v>1408</v>
      </c>
      <c r="E17" s="318"/>
      <c r="F17" s="318"/>
      <c r="G17" s="318"/>
      <c r="H17" s="436">
        <v>5578</v>
      </c>
      <c r="I17" s="317"/>
      <c r="J17" s="317"/>
      <c r="K17" s="436">
        <f t="shared" si="0"/>
        <v>5578</v>
      </c>
      <c r="L17" s="495">
        <v>39573</v>
      </c>
      <c r="M17" s="326">
        <v>5299.1</v>
      </c>
      <c r="N17" s="438">
        <f t="shared" si="1"/>
        <v>278.89999999999964</v>
      </c>
      <c r="O17" s="438">
        <f t="shared" si="2"/>
        <v>5809</v>
      </c>
      <c r="P17" s="452">
        <v>5</v>
      </c>
      <c r="Q17" s="454">
        <f t="shared" si="3"/>
        <v>15.915068493150685</v>
      </c>
      <c r="R17" s="454">
        <f t="shared" si="4"/>
        <v>-10.915068493150685</v>
      </c>
      <c r="S17" s="455">
        <f t="shared" si="5"/>
        <v>0.19</v>
      </c>
      <c r="T17" s="442">
        <v>0</v>
      </c>
      <c r="U17" s="442">
        <f t="shared" si="6"/>
        <v>278.89999999999964</v>
      </c>
      <c r="V17" s="442">
        <f t="shared" si="7"/>
        <v>278.90000000000003</v>
      </c>
    </row>
    <row r="18" spans="1:22" ht="16.5">
      <c r="A18" s="317">
        <f t="shared" si="8"/>
        <v>11</v>
      </c>
      <c r="B18" s="318" t="s">
        <v>2434</v>
      </c>
      <c r="C18" s="318" t="s">
        <v>1431</v>
      </c>
      <c r="D18" s="318"/>
      <c r="E18" s="318" t="s">
        <v>2435</v>
      </c>
      <c r="F18" s="318" t="s">
        <v>2436</v>
      </c>
      <c r="G18" s="318"/>
      <c r="H18" s="436">
        <v>1408</v>
      </c>
      <c r="I18" s="317"/>
      <c r="J18" s="317"/>
      <c r="K18" s="436">
        <f t="shared" si="0"/>
        <v>1408</v>
      </c>
      <c r="L18" s="495">
        <v>38708</v>
      </c>
      <c r="M18" s="326">
        <v>1337.6</v>
      </c>
      <c r="N18" s="438">
        <f t="shared" si="1"/>
        <v>70.400000000000091</v>
      </c>
      <c r="O18" s="438">
        <f t="shared" si="2"/>
        <v>6674</v>
      </c>
      <c r="P18" s="452">
        <v>1</v>
      </c>
      <c r="Q18" s="454">
        <f t="shared" si="3"/>
        <v>18.284931506849315</v>
      </c>
      <c r="R18" s="454">
        <f t="shared" si="4"/>
        <v>-17.284931506849315</v>
      </c>
      <c r="S18" s="455">
        <f t="shared" si="5"/>
        <v>0.95</v>
      </c>
      <c r="T18" s="442">
        <v>0</v>
      </c>
      <c r="U18" s="442">
        <f t="shared" si="6"/>
        <v>70.400000000000091</v>
      </c>
      <c r="V18" s="442">
        <f t="shared" si="7"/>
        <v>70.400000000000006</v>
      </c>
    </row>
    <row r="19" spans="1:22" ht="16.5">
      <c r="A19" s="317">
        <f t="shared" si="8"/>
        <v>12</v>
      </c>
      <c r="B19" s="318" t="s">
        <v>2434</v>
      </c>
      <c r="C19" s="318" t="s">
        <v>1396</v>
      </c>
      <c r="D19" s="318"/>
      <c r="E19" s="318" t="s">
        <v>2435</v>
      </c>
      <c r="F19" s="318" t="s">
        <v>2437</v>
      </c>
      <c r="G19" s="318"/>
      <c r="H19" s="436">
        <v>1773</v>
      </c>
      <c r="I19" s="317"/>
      <c r="J19" s="317"/>
      <c r="K19" s="436">
        <f t="shared" si="0"/>
        <v>1773</v>
      </c>
      <c r="L19" s="495">
        <v>38884</v>
      </c>
      <c r="M19" s="326">
        <v>1684.35</v>
      </c>
      <c r="N19" s="438">
        <f t="shared" si="1"/>
        <v>88.650000000000091</v>
      </c>
      <c r="O19" s="438">
        <f t="shared" si="2"/>
        <v>6498</v>
      </c>
      <c r="P19" s="452">
        <v>1</v>
      </c>
      <c r="Q19" s="454">
        <f t="shared" si="3"/>
        <v>17.802739726027397</v>
      </c>
      <c r="R19" s="454">
        <f t="shared" si="4"/>
        <v>-16.802739726027397</v>
      </c>
      <c r="S19" s="455">
        <f t="shared" si="5"/>
        <v>0.95</v>
      </c>
      <c r="T19" s="442">
        <v>0</v>
      </c>
      <c r="U19" s="442">
        <f t="shared" si="6"/>
        <v>88.650000000000091</v>
      </c>
      <c r="V19" s="442">
        <f t="shared" si="7"/>
        <v>88.65</v>
      </c>
    </row>
    <row r="20" spans="1:22" ht="16.5">
      <c r="A20" s="317">
        <f t="shared" si="8"/>
        <v>13</v>
      </c>
      <c r="B20" s="318" t="s">
        <v>2434</v>
      </c>
      <c r="C20" s="318" t="s">
        <v>1396</v>
      </c>
      <c r="D20" s="318"/>
      <c r="E20" s="318" t="s">
        <v>2435</v>
      </c>
      <c r="F20" s="318" t="s">
        <v>2438</v>
      </c>
      <c r="G20" s="318"/>
      <c r="H20" s="436">
        <v>149</v>
      </c>
      <c r="I20" s="317"/>
      <c r="J20" s="317"/>
      <c r="K20" s="436">
        <f t="shared" si="0"/>
        <v>149</v>
      </c>
      <c r="L20" s="495">
        <v>38885</v>
      </c>
      <c r="M20" s="326">
        <v>141.55000000000001</v>
      </c>
      <c r="N20" s="438">
        <f t="shared" si="1"/>
        <v>7.4499999999999886</v>
      </c>
      <c r="O20" s="438">
        <f t="shared" si="2"/>
        <v>6497</v>
      </c>
      <c r="P20" s="452">
        <v>1</v>
      </c>
      <c r="Q20" s="454">
        <f t="shared" si="3"/>
        <v>17.8</v>
      </c>
      <c r="R20" s="454">
        <f t="shared" si="4"/>
        <v>-16.8</v>
      </c>
      <c r="S20" s="455">
        <f t="shared" si="5"/>
        <v>0.95</v>
      </c>
      <c r="T20" s="442">
        <v>0</v>
      </c>
      <c r="U20" s="442">
        <f t="shared" si="6"/>
        <v>7.4499999999999886</v>
      </c>
      <c r="V20" s="442">
        <f t="shared" si="7"/>
        <v>7.45</v>
      </c>
    </row>
    <row r="21" spans="1:22" ht="16.5">
      <c r="A21" s="317">
        <f t="shared" si="8"/>
        <v>14</v>
      </c>
      <c r="B21" s="318" t="s">
        <v>2434</v>
      </c>
      <c r="C21" s="318" t="s">
        <v>1396</v>
      </c>
      <c r="D21" s="318"/>
      <c r="E21" s="318" t="s">
        <v>2435</v>
      </c>
      <c r="F21" s="318" t="s">
        <v>2439</v>
      </c>
      <c r="G21" s="318"/>
      <c r="H21" s="436">
        <v>7328</v>
      </c>
      <c r="I21" s="317"/>
      <c r="J21" s="317"/>
      <c r="K21" s="436">
        <f t="shared" si="0"/>
        <v>7328</v>
      </c>
      <c r="L21" s="495">
        <v>39051</v>
      </c>
      <c r="M21" s="326">
        <v>6961.6</v>
      </c>
      <c r="N21" s="438">
        <f t="shared" si="1"/>
        <v>366.39999999999964</v>
      </c>
      <c r="O21" s="438">
        <f t="shared" si="2"/>
        <v>6331</v>
      </c>
      <c r="P21" s="452">
        <v>1</v>
      </c>
      <c r="Q21" s="454">
        <f t="shared" si="3"/>
        <v>17.345205479452055</v>
      </c>
      <c r="R21" s="454">
        <f t="shared" si="4"/>
        <v>-16.345205479452055</v>
      </c>
      <c r="S21" s="455">
        <f t="shared" si="5"/>
        <v>0.95</v>
      </c>
      <c r="T21" s="442">
        <v>0</v>
      </c>
      <c r="U21" s="442">
        <f t="shared" si="6"/>
        <v>366.39999999999964</v>
      </c>
      <c r="V21" s="442">
        <f t="shared" si="7"/>
        <v>366.40000000000003</v>
      </c>
    </row>
    <row r="22" spans="1:22" ht="16.5">
      <c r="A22" s="317">
        <f t="shared" si="8"/>
        <v>15</v>
      </c>
      <c r="B22" s="318" t="s">
        <v>2434</v>
      </c>
      <c r="C22" s="318" t="s">
        <v>1376</v>
      </c>
      <c r="D22" s="318"/>
      <c r="E22" s="318" t="s">
        <v>2435</v>
      </c>
      <c r="F22" s="318" t="s">
        <v>2440</v>
      </c>
      <c r="G22" s="318"/>
      <c r="H22" s="436">
        <v>11176</v>
      </c>
      <c r="I22" s="317"/>
      <c r="J22" s="317"/>
      <c r="K22" s="436">
        <f t="shared" si="0"/>
        <v>11176</v>
      </c>
      <c r="L22" s="495">
        <v>39202</v>
      </c>
      <c r="M22" s="326">
        <v>10617.2</v>
      </c>
      <c r="N22" s="438">
        <f t="shared" si="1"/>
        <v>558.79999999999927</v>
      </c>
      <c r="O22" s="438">
        <f t="shared" si="2"/>
        <v>6180</v>
      </c>
      <c r="P22" s="452">
        <v>1</v>
      </c>
      <c r="Q22" s="454">
        <f t="shared" si="3"/>
        <v>16.931506849315067</v>
      </c>
      <c r="R22" s="454">
        <f t="shared" si="4"/>
        <v>-15.931506849315067</v>
      </c>
      <c r="S22" s="455">
        <f t="shared" si="5"/>
        <v>0.95</v>
      </c>
      <c r="T22" s="442">
        <v>0</v>
      </c>
      <c r="U22" s="442">
        <f t="shared" si="6"/>
        <v>558.79999999999927</v>
      </c>
      <c r="V22" s="442">
        <f t="shared" si="7"/>
        <v>558.80000000000007</v>
      </c>
    </row>
    <row r="23" spans="1:22" ht="16.5">
      <c r="A23" s="317">
        <f t="shared" si="8"/>
        <v>16</v>
      </c>
      <c r="B23" s="318" t="s">
        <v>2434</v>
      </c>
      <c r="C23" s="318" t="s">
        <v>1376</v>
      </c>
      <c r="D23" s="318"/>
      <c r="E23" s="318" t="s">
        <v>2435</v>
      </c>
      <c r="F23" s="318" t="s">
        <v>2441</v>
      </c>
      <c r="G23" s="318"/>
      <c r="H23" s="436">
        <v>8997</v>
      </c>
      <c r="I23" s="317"/>
      <c r="J23" s="317"/>
      <c r="K23" s="436">
        <f t="shared" si="0"/>
        <v>8997</v>
      </c>
      <c r="L23" s="495">
        <v>39508</v>
      </c>
      <c r="M23" s="326">
        <v>8547.15</v>
      </c>
      <c r="N23" s="438">
        <f t="shared" si="1"/>
        <v>449.85000000000036</v>
      </c>
      <c r="O23" s="438">
        <f t="shared" si="2"/>
        <v>5874</v>
      </c>
      <c r="P23" s="452">
        <v>1</v>
      </c>
      <c r="Q23" s="454">
        <f t="shared" si="3"/>
        <v>16.093150684931508</v>
      </c>
      <c r="R23" s="454">
        <f t="shared" si="4"/>
        <v>-15.093150684931508</v>
      </c>
      <c r="S23" s="455">
        <f t="shared" si="5"/>
        <v>0.95</v>
      </c>
      <c r="T23" s="442">
        <v>0</v>
      </c>
      <c r="U23" s="442">
        <f t="shared" si="6"/>
        <v>449.85000000000036</v>
      </c>
      <c r="V23" s="442">
        <f t="shared" si="7"/>
        <v>449.85</v>
      </c>
    </row>
    <row r="24" spans="1:22" ht="16.5">
      <c r="A24" s="317">
        <f t="shared" si="8"/>
        <v>17</v>
      </c>
      <c r="B24" s="318" t="s">
        <v>2434</v>
      </c>
      <c r="C24" s="318" t="s">
        <v>1409</v>
      </c>
      <c r="D24" s="318"/>
      <c r="E24" s="318" t="s">
        <v>2435</v>
      </c>
      <c r="F24" s="318" t="s">
        <v>2442</v>
      </c>
      <c r="G24" s="318"/>
      <c r="H24" s="436">
        <v>5887</v>
      </c>
      <c r="I24" s="317"/>
      <c r="J24" s="317"/>
      <c r="K24" s="436">
        <f t="shared" si="0"/>
        <v>5887</v>
      </c>
      <c r="L24" s="495">
        <v>39547</v>
      </c>
      <c r="M24" s="326">
        <v>5592.65</v>
      </c>
      <c r="N24" s="438">
        <f t="shared" si="1"/>
        <v>294.35000000000036</v>
      </c>
      <c r="O24" s="438">
        <f t="shared" si="2"/>
        <v>5835</v>
      </c>
      <c r="P24" s="452">
        <v>1</v>
      </c>
      <c r="Q24" s="454">
        <f t="shared" si="3"/>
        <v>15.986301369863014</v>
      </c>
      <c r="R24" s="454">
        <f t="shared" si="4"/>
        <v>-14.986301369863014</v>
      </c>
      <c r="S24" s="455">
        <f t="shared" si="5"/>
        <v>0.95</v>
      </c>
      <c r="T24" s="442">
        <v>0</v>
      </c>
      <c r="U24" s="442">
        <f t="shared" si="6"/>
        <v>294.35000000000036</v>
      </c>
      <c r="V24" s="442">
        <f t="shared" si="7"/>
        <v>294.35000000000002</v>
      </c>
    </row>
    <row r="25" spans="1:22" ht="16.5">
      <c r="A25" s="317">
        <f t="shared" si="8"/>
        <v>18</v>
      </c>
      <c r="B25" s="318" t="s">
        <v>2434</v>
      </c>
      <c r="C25" s="318" t="s">
        <v>1409</v>
      </c>
      <c r="D25" s="318"/>
      <c r="E25" s="318" t="s">
        <v>2435</v>
      </c>
      <c r="F25" s="318" t="s">
        <v>2443</v>
      </c>
      <c r="G25" s="318"/>
      <c r="H25" s="436">
        <v>6638</v>
      </c>
      <c r="I25" s="317"/>
      <c r="J25" s="317"/>
      <c r="K25" s="436">
        <f t="shared" si="0"/>
        <v>6638</v>
      </c>
      <c r="L25" s="495">
        <v>39564</v>
      </c>
      <c r="M25" s="326">
        <v>6306.1</v>
      </c>
      <c r="N25" s="438">
        <f t="shared" si="1"/>
        <v>331.89999999999964</v>
      </c>
      <c r="O25" s="438">
        <f t="shared" si="2"/>
        <v>5818</v>
      </c>
      <c r="P25" s="452">
        <v>1</v>
      </c>
      <c r="Q25" s="454">
        <f t="shared" si="3"/>
        <v>15.93972602739726</v>
      </c>
      <c r="R25" s="454">
        <f t="shared" si="4"/>
        <v>-14.93972602739726</v>
      </c>
      <c r="S25" s="455">
        <f t="shared" si="5"/>
        <v>0.95</v>
      </c>
      <c r="T25" s="442">
        <v>0</v>
      </c>
      <c r="U25" s="442">
        <f t="shared" si="6"/>
        <v>331.89999999999964</v>
      </c>
      <c r="V25" s="442">
        <f t="shared" si="7"/>
        <v>331.90000000000003</v>
      </c>
    </row>
    <row r="26" spans="1:22" ht="16.5">
      <c r="A26" s="317">
        <f t="shared" si="8"/>
        <v>19</v>
      </c>
      <c r="B26" s="318" t="s">
        <v>2444</v>
      </c>
      <c r="C26" s="318" t="s">
        <v>2226</v>
      </c>
      <c r="D26" s="318"/>
      <c r="E26" s="318"/>
      <c r="F26" s="318"/>
      <c r="G26" s="318"/>
      <c r="H26" s="436">
        <v>16913</v>
      </c>
      <c r="I26" s="317"/>
      <c r="J26" s="317"/>
      <c r="K26" s="436">
        <f t="shared" si="0"/>
        <v>16913</v>
      </c>
      <c r="L26" s="495">
        <v>38443</v>
      </c>
      <c r="M26" s="326">
        <v>16067.350000000002</v>
      </c>
      <c r="N26" s="438">
        <f t="shared" si="1"/>
        <v>845.64999999999782</v>
      </c>
      <c r="O26" s="438">
        <f t="shared" si="2"/>
        <v>6939</v>
      </c>
      <c r="P26" s="452">
        <v>1</v>
      </c>
      <c r="Q26" s="454">
        <f t="shared" si="3"/>
        <v>19.010958904109589</v>
      </c>
      <c r="R26" s="454">
        <f t="shared" si="4"/>
        <v>-18.010958904109589</v>
      </c>
      <c r="S26" s="455">
        <f t="shared" si="5"/>
        <v>0.95</v>
      </c>
      <c r="T26" s="442">
        <v>0</v>
      </c>
      <c r="U26" s="442">
        <f t="shared" si="6"/>
        <v>845.64999999999782</v>
      </c>
      <c r="V26" s="442">
        <f t="shared" si="7"/>
        <v>845.65000000000009</v>
      </c>
    </row>
    <row r="27" spans="1:22" ht="16.5">
      <c r="A27" s="317">
        <f t="shared" si="8"/>
        <v>20</v>
      </c>
      <c r="B27" s="318" t="s">
        <v>2444</v>
      </c>
      <c r="C27" s="318" t="s">
        <v>1431</v>
      </c>
      <c r="D27" s="318"/>
      <c r="E27" s="318" t="s">
        <v>2445</v>
      </c>
      <c r="F27" s="318" t="s">
        <v>1955</v>
      </c>
      <c r="G27" s="318"/>
      <c r="H27" s="436">
        <v>6069</v>
      </c>
      <c r="I27" s="317"/>
      <c r="J27" s="317"/>
      <c r="K27" s="436">
        <f t="shared" si="0"/>
        <v>6069</v>
      </c>
      <c r="L27" s="495">
        <v>38644</v>
      </c>
      <c r="M27" s="326">
        <v>5765.55</v>
      </c>
      <c r="N27" s="438">
        <f t="shared" si="1"/>
        <v>303.44999999999982</v>
      </c>
      <c r="O27" s="438">
        <f t="shared" si="2"/>
        <v>6738</v>
      </c>
      <c r="P27" s="452">
        <v>1</v>
      </c>
      <c r="Q27" s="454">
        <f t="shared" si="3"/>
        <v>18.460273972602739</v>
      </c>
      <c r="R27" s="454">
        <f t="shared" si="4"/>
        <v>-17.460273972602739</v>
      </c>
      <c r="S27" s="455">
        <f t="shared" si="5"/>
        <v>0.95</v>
      </c>
      <c r="T27" s="442">
        <v>0</v>
      </c>
      <c r="U27" s="442">
        <f t="shared" si="6"/>
        <v>303.44999999999982</v>
      </c>
      <c r="V27" s="442">
        <f t="shared" si="7"/>
        <v>303.45</v>
      </c>
    </row>
    <row r="28" spans="1:22" ht="16.5">
      <c r="A28" s="317">
        <f t="shared" si="8"/>
        <v>21</v>
      </c>
      <c r="B28" s="318" t="s">
        <v>2444</v>
      </c>
      <c r="C28" s="318" t="s">
        <v>1431</v>
      </c>
      <c r="D28" s="318"/>
      <c r="E28" s="318" t="s">
        <v>2446</v>
      </c>
      <c r="F28" s="318" t="s">
        <v>2447</v>
      </c>
      <c r="G28" s="318"/>
      <c r="H28" s="436">
        <v>1650</v>
      </c>
      <c r="I28" s="317"/>
      <c r="J28" s="317"/>
      <c r="K28" s="436">
        <f t="shared" si="0"/>
        <v>1650</v>
      </c>
      <c r="L28" s="495">
        <v>38792</v>
      </c>
      <c r="M28" s="326">
        <v>1567.5</v>
      </c>
      <c r="N28" s="438">
        <f t="shared" si="1"/>
        <v>82.5</v>
      </c>
      <c r="O28" s="438">
        <f t="shared" si="2"/>
        <v>6590</v>
      </c>
      <c r="P28" s="452">
        <v>1</v>
      </c>
      <c r="Q28" s="454">
        <f t="shared" si="3"/>
        <v>18.054794520547944</v>
      </c>
      <c r="R28" s="454">
        <f t="shared" si="4"/>
        <v>-17.054794520547944</v>
      </c>
      <c r="S28" s="455">
        <f t="shared" si="5"/>
        <v>0.95</v>
      </c>
      <c r="T28" s="442">
        <v>0</v>
      </c>
      <c r="U28" s="442">
        <f t="shared" si="6"/>
        <v>82.5</v>
      </c>
      <c r="V28" s="442">
        <f t="shared" si="7"/>
        <v>82.5</v>
      </c>
    </row>
    <row r="29" spans="1:22" ht="16.5">
      <c r="A29" s="317">
        <f t="shared" si="8"/>
        <v>22</v>
      </c>
      <c r="B29" s="318" t="s">
        <v>2444</v>
      </c>
      <c r="C29" s="318" t="s">
        <v>1396</v>
      </c>
      <c r="D29" s="318"/>
      <c r="E29" s="318"/>
      <c r="F29" s="318"/>
      <c r="G29" s="318"/>
      <c r="H29" s="436">
        <v>8736</v>
      </c>
      <c r="I29" s="317"/>
      <c r="J29" s="317"/>
      <c r="K29" s="436">
        <f t="shared" si="0"/>
        <v>8736</v>
      </c>
      <c r="L29" s="495">
        <v>39169</v>
      </c>
      <c r="M29" s="326">
        <v>8299.2000000000007</v>
      </c>
      <c r="N29" s="438">
        <f t="shared" si="1"/>
        <v>436.79999999999927</v>
      </c>
      <c r="O29" s="438">
        <f t="shared" si="2"/>
        <v>6213</v>
      </c>
      <c r="P29" s="452">
        <v>1</v>
      </c>
      <c r="Q29" s="454">
        <f t="shared" si="3"/>
        <v>17.021917808219179</v>
      </c>
      <c r="R29" s="454">
        <f t="shared" si="4"/>
        <v>-16.021917808219179</v>
      </c>
      <c r="S29" s="455">
        <f t="shared" si="5"/>
        <v>0.95</v>
      </c>
      <c r="T29" s="442">
        <v>0</v>
      </c>
      <c r="U29" s="442">
        <f t="shared" si="6"/>
        <v>436.79999999999927</v>
      </c>
      <c r="V29" s="442">
        <f t="shared" si="7"/>
        <v>436.8</v>
      </c>
    </row>
    <row r="30" spans="1:22" ht="16.5">
      <c r="A30" s="317">
        <f t="shared" si="8"/>
        <v>23</v>
      </c>
      <c r="B30" s="318" t="s">
        <v>2444</v>
      </c>
      <c r="C30" s="318" t="s">
        <v>1376</v>
      </c>
      <c r="D30" s="318"/>
      <c r="E30" s="318"/>
      <c r="F30" s="318"/>
      <c r="G30" s="318"/>
      <c r="H30" s="436">
        <v>15714</v>
      </c>
      <c r="I30" s="317"/>
      <c r="J30" s="317"/>
      <c r="K30" s="436">
        <f t="shared" si="0"/>
        <v>15714</v>
      </c>
      <c r="L30" s="495">
        <v>39204</v>
      </c>
      <c r="M30" s="326">
        <v>14928.3</v>
      </c>
      <c r="N30" s="438">
        <f t="shared" si="1"/>
        <v>785.70000000000073</v>
      </c>
      <c r="O30" s="438">
        <f t="shared" si="2"/>
        <v>6178</v>
      </c>
      <c r="P30" s="452">
        <v>1</v>
      </c>
      <c r="Q30" s="454">
        <f t="shared" si="3"/>
        <v>16.926027397260274</v>
      </c>
      <c r="R30" s="454">
        <f t="shared" si="4"/>
        <v>-15.926027397260274</v>
      </c>
      <c r="S30" s="455">
        <f t="shared" si="5"/>
        <v>0.95</v>
      </c>
      <c r="T30" s="442">
        <v>0</v>
      </c>
      <c r="U30" s="442">
        <f t="shared" si="6"/>
        <v>785.70000000000073</v>
      </c>
      <c r="V30" s="442">
        <f t="shared" si="7"/>
        <v>785.7</v>
      </c>
    </row>
    <row r="31" spans="1:22" ht="16.5">
      <c r="A31" s="317">
        <f t="shared" si="8"/>
        <v>24</v>
      </c>
      <c r="B31" s="318" t="s">
        <v>2444</v>
      </c>
      <c r="C31" s="318" t="s">
        <v>1376</v>
      </c>
      <c r="D31" s="318"/>
      <c r="E31" s="318"/>
      <c r="F31" s="318"/>
      <c r="G31" s="318"/>
      <c r="H31" s="436">
        <v>10014</v>
      </c>
      <c r="I31" s="317"/>
      <c r="J31" s="317"/>
      <c r="K31" s="436">
        <f t="shared" si="0"/>
        <v>10014</v>
      </c>
      <c r="L31" s="495">
        <v>39205</v>
      </c>
      <c r="M31" s="326">
        <v>9513.2999999999993</v>
      </c>
      <c r="N31" s="438">
        <f t="shared" si="1"/>
        <v>500.70000000000073</v>
      </c>
      <c r="O31" s="438">
        <f t="shared" si="2"/>
        <v>6177</v>
      </c>
      <c r="P31" s="452">
        <v>1</v>
      </c>
      <c r="Q31" s="454">
        <f t="shared" si="3"/>
        <v>16.923287671232877</v>
      </c>
      <c r="R31" s="454">
        <f t="shared" si="4"/>
        <v>-15.923287671232877</v>
      </c>
      <c r="S31" s="455">
        <f t="shared" si="5"/>
        <v>0.95</v>
      </c>
      <c r="T31" s="442">
        <v>0</v>
      </c>
      <c r="U31" s="442">
        <f t="shared" si="6"/>
        <v>500.70000000000073</v>
      </c>
      <c r="V31" s="442">
        <f t="shared" si="7"/>
        <v>500.70000000000005</v>
      </c>
    </row>
    <row r="32" spans="1:22" ht="16.5">
      <c r="A32" s="317">
        <f t="shared" si="8"/>
        <v>25</v>
      </c>
      <c r="B32" s="318" t="s">
        <v>2444</v>
      </c>
      <c r="C32" s="318" t="s">
        <v>1376</v>
      </c>
      <c r="D32" s="318"/>
      <c r="E32" s="318"/>
      <c r="F32" s="318"/>
      <c r="G32" s="318"/>
      <c r="H32" s="436">
        <v>2850</v>
      </c>
      <c r="I32" s="317"/>
      <c r="J32" s="317"/>
      <c r="K32" s="436">
        <f t="shared" si="0"/>
        <v>2850</v>
      </c>
      <c r="L32" s="495">
        <v>39205</v>
      </c>
      <c r="M32" s="326">
        <v>2707.5</v>
      </c>
      <c r="N32" s="438">
        <f t="shared" si="1"/>
        <v>142.5</v>
      </c>
      <c r="O32" s="438">
        <f t="shared" si="2"/>
        <v>6177</v>
      </c>
      <c r="P32" s="452">
        <v>1</v>
      </c>
      <c r="Q32" s="454">
        <f t="shared" si="3"/>
        <v>16.923287671232877</v>
      </c>
      <c r="R32" s="454">
        <f t="shared" si="4"/>
        <v>-15.923287671232877</v>
      </c>
      <c r="S32" s="455">
        <f t="shared" si="5"/>
        <v>0.95</v>
      </c>
      <c r="T32" s="442">
        <v>0</v>
      </c>
      <c r="U32" s="442">
        <f t="shared" si="6"/>
        <v>142.5</v>
      </c>
      <c r="V32" s="442">
        <f t="shared" si="7"/>
        <v>142.5</v>
      </c>
    </row>
    <row r="33" spans="1:22" ht="16.5">
      <c r="A33" s="317">
        <f t="shared" si="8"/>
        <v>26</v>
      </c>
      <c r="B33" s="318" t="s">
        <v>2444</v>
      </c>
      <c r="C33" s="318" t="s">
        <v>1376</v>
      </c>
      <c r="D33" s="318"/>
      <c r="E33" s="318"/>
      <c r="F33" s="318"/>
      <c r="G33" s="318"/>
      <c r="H33" s="436">
        <v>8946</v>
      </c>
      <c r="I33" s="317"/>
      <c r="J33" s="317"/>
      <c r="K33" s="436">
        <f t="shared" si="0"/>
        <v>8946</v>
      </c>
      <c r="L33" s="495">
        <v>39224</v>
      </c>
      <c r="M33" s="326">
        <v>8498.7000000000007</v>
      </c>
      <c r="N33" s="438">
        <f t="shared" si="1"/>
        <v>447.29999999999927</v>
      </c>
      <c r="O33" s="438">
        <f t="shared" si="2"/>
        <v>6158</v>
      </c>
      <c r="P33" s="452">
        <v>1</v>
      </c>
      <c r="Q33" s="454">
        <f t="shared" si="3"/>
        <v>16.87123287671233</v>
      </c>
      <c r="R33" s="454">
        <f t="shared" si="4"/>
        <v>-15.87123287671233</v>
      </c>
      <c r="S33" s="455">
        <f t="shared" si="5"/>
        <v>0.95</v>
      </c>
      <c r="T33" s="442">
        <v>0</v>
      </c>
      <c r="U33" s="442">
        <f t="shared" si="6"/>
        <v>447.29999999999927</v>
      </c>
      <c r="V33" s="442">
        <f t="shared" si="7"/>
        <v>447.3</v>
      </c>
    </row>
    <row r="34" spans="1:22" ht="16.5">
      <c r="A34" s="317">
        <f t="shared" si="8"/>
        <v>27</v>
      </c>
      <c r="B34" s="318" t="s">
        <v>2444</v>
      </c>
      <c r="C34" s="318" t="s">
        <v>1376</v>
      </c>
      <c r="D34" s="318"/>
      <c r="E34" s="318"/>
      <c r="F34" s="318" t="s">
        <v>2448</v>
      </c>
      <c r="G34" s="318"/>
      <c r="H34" s="436">
        <v>1504</v>
      </c>
      <c r="I34" s="317"/>
      <c r="J34" s="317"/>
      <c r="K34" s="436">
        <f t="shared" si="0"/>
        <v>1504</v>
      </c>
      <c r="L34" s="495">
        <v>39285</v>
      </c>
      <c r="M34" s="326">
        <v>1428.8</v>
      </c>
      <c r="N34" s="438">
        <f t="shared" si="1"/>
        <v>75.200000000000045</v>
      </c>
      <c r="O34" s="438">
        <f t="shared" si="2"/>
        <v>6097</v>
      </c>
      <c r="P34" s="452">
        <v>1</v>
      </c>
      <c r="Q34" s="454">
        <f t="shared" si="3"/>
        <v>16.704109589041096</v>
      </c>
      <c r="R34" s="454">
        <f t="shared" si="4"/>
        <v>-15.704109589041096</v>
      </c>
      <c r="S34" s="455">
        <f t="shared" si="5"/>
        <v>0.95</v>
      </c>
      <c r="T34" s="442">
        <v>0</v>
      </c>
      <c r="U34" s="442">
        <f t="shared" si="6"/>
        <v>75.200000000000045</v>
      </c>
      <c r="V34" s="442">
        <f t="shared" si="7"/>
        <v>75.2</v>
      </c>
    </row>
    <row r="35" spans="1:22" ht="16.5">
      <c r="A35" s="317">
        <f t="shared" si="8"/>
        <v>28</v>
      </c>
      <c r="B35" s="318" t="s">
        <v>2444</v>
      </c>
      <c r="C35" s="318" t="s">
        <v>1376</v>
      </c>
      <c r="D35" s="318"/>
      <c r="E35" s="318"/>
      <c r="F35" s="318" t="s">
        <v>2449</v>
      </c>
      <c r="G35" s="318"/>
      <c r="H35" s="436">
        <v>2375</v>
      </c>
      <c r="I35" s="317"/>
      <c r="J35" s="317"/>
      <c r="K35" s="436">
        <f t="shared" si="0"/>
        <v>2375</v>
      </c>
      <c r="L35" s="495">
        <v>39285</v>
      </c>
      <c r="M35" s="326">
        <v>2256.25</v>
      </c>
      <c r="N35" s="438">
        <f t="shared" si="1"/>
        <v>118.75</v>
      </c>
      <c r="O35" s="438">
        <f t="shared" si="2"/>
        <v>6097</v>
      </c>
      <c r="P35" s="452">
        <v>1</v>
      </c>
      <c r="Q35" s="454">
        <f t="shared" si="3"/>
        <v>16.704109589041096</v>
      </c>
      <c r="R35" s="454">
        <f t="shared" si="4"/>
        <v>-15.704109589041096</v>
      </c>
      <c r="S35" s="455">
        <f t="shared" si="5"/>
        <v>0.95</v>
      </c>
      <c r="T35" s="442">
        <v>0</v>
      </c>
      <c r="U35" s="442">
        <f t="shared" si="6"/>
        <v>118.75</v>
      </c>
      <c r="V35" s="442">
        <f t="shared" si="7"/>
        <v>118.75</v>
      </c>
    </row>
    <row r="36" spans="1:22" ht="16.5">
      <c r="A36" s="317">
        <f t="shared" si="8"/>
        <v>29</v>
      </c>
      <c r="B36" s="318" t="s">
        <v>2444</v>
      </c>
      <c r="C36" s="318" t="s">
        <v>1376</v>
      </c>
      <c r="D36" s="318"/>
      <c r="E36" s="318"/>
      <c r="F36" s="318" t="s">
        <v>2450</v>
      </c>
      <c r="G36" s="318"/>
      <c r="H36" s="436">
        <v>3562</v>
      </c>
      <c r="I36" s="317"/>
      <c r="J36" s="317"/>
      <c r="K36" s="436">
        <f t="shared" si="0"/>
        <v>3562</v>
      </c>
      <c r="L36" s="495">
        <v>39291</v>
      </c>
      <c r="M36" s="326">
        <v>3383.9</v>
      </c>
      <c r="N36" s="438">
        <f t="shared" si="1"/>
        <v>178.09999999999991</v>
      </c>
      <c r="O36" s="438">
        <f t="shared" si="2"/>
        <v>6091</v>
      </c>
      <c r="P36" s="452">
        <v>1</v>
      </c>
      <c r="Q36" s="454">
        <f t="shared" si="3"/>
        <v>16.687671232876713</v>
      </c>
      <c r="R36" s="454">
        <f t="shared" si="4"/>
        <v>-15.687671232876713</v>
      </c>
      <c r="S36" s="455">
        <f t="shared" si="5"/>
        <v>0.95</v>
      </c>
      <c r="T36" s="442">
        <v>0</v>
      </c>
      <c r="U36" s="442">
        <f t="shared" si="6"/>
        <v>178.09999999999991</v>
      </c>
      <c r="V36" s="442">
        <f t="shared" si="7"/>
        <v>178.10000000000002</v>
      </c>
    </row>
    <row r="37" spans="1:22" ht="16.5">
      <c r="A37" s="317">
        <f t="shared" si="8"/>
        <v>30</v>
      </c>
      <c r="B37" s="318" t="s">
        <v>2444</v>
      </c>
      <c r="C37" s="318" t="s">
        <v>1376</v>
      </c>
      <c r="D37" s="318"/>
      <c r="E37" s="318"/>
      <c r="F37" s="318"/>
      <c r="G37" s="318"/>
      <c r="H37" s="436">
        <v>15507</v>
      </c>
      <c r="I37" s="317"/>
      <c r="J37" s="317"/>
      <c r="K37" s="436">
        <f t="shared" si="0"/>
        <v>15507</v>
      </c>
      <c r="L37" s="495">
        <v>39396</v>
      </c>
      <c r="M37" s="326">
        <v>14731.65</v>
      </c>
      <c r="N37" s="438">
        <f t="shared" si="1"/>
        <v>775.35000000000036</v>
      </c>
      <c r="O37" s="438">
        <f t="shared" si="2"/>
        <v>5986</v>
      </c>
      <c r="P37" s="452">
        <v>1</v>
      </c>
      <c r="Q37" s="454">
        <f t="shared" si="3"/>
        <v>16.399999999999999</v>
      </c>
      <c r="R37" s="454">
        <f t="shared" si="4"/>
        <v>-15.399999999999999</v>
      </c>
      <c r="S37" s="455">
        <f t="shared" si="5"/>
        <v>0.95</v>
      </c>
      <c r="T37" s="442">
        <v>0</v>
      </c>
      <c r="U37" s="442">
        <f t="shared" si="6"/>
        <v>775.35000000000036</v>
      </c>
      <c r="V37" s="442">
        <f t="shared" si="7"/>
        <v>775.35</v>
      </c>
    </row>
    <row r="38" spans="1:22" ht="16.5">
      <c r="A38" s="317">
        <f t="shared" si="8"/>
        <v>31</v>
      </c>
      <c r="B38" s="318" t="s">
        <v>2444</v>
      </c>
      <c r="C38" s="318" t="s">
        <v>1376</v>
      </c>
      <c r="D38" s="318"/>
      <c r="E38" s="318"/>
      <c r="F38" s="318"/>
      <c r="G38" s="318"/>
      <c r="H38" s="436">
        <v>4006</v>
      </c>
      <c r="I38" s="317"/>
      <c r="J38" s="317"/>
      <c r="K38" s="436">
        <f t="shared" si="0"/>
        <v>4006</v>
      </c>
      <c r="L38" s="495">
        <v>39480</v>
      </c>
      <c r="M38" s="326">
        <v>3805.7</v>
      </c>
      <c r="N38" s="438">
        <f t="shared" si="1"/>
        <v>200.30000000000018</v>
      </c>
      <c r="O38" s="438">
        <f t="shared" si="2"/>
        <v>5902</v>
      </c>
      <c r="P38" s="452">
        <v>1</v>
      </c>
      <c r="Q38" s="454">
        <f t="shared" si="3"/>
        <v>16.169863013698631</v>
      </c>
      <c r="R38" s="454">
        <f t="shared" si="4"/>
        <v>-15.169863013698631</v>
      </c>
      <c r="S38" s="455">
        <f t="shared" si="5"/>
        <v>0.95</v>
      </c>
      <c r="T38" s="442">
        <v>0</v>
      </c>
      <c r="U38" s="442">
        <f t="shared" si="6"/>
        <v>200.30000000000018</v>
      </c>
      <c r="V38" s="442">
        <f t="shared" si="7"/>
        <v>200.3</v>
      </c>
    </row>
    <row r="39" spans="1:22" ht="16.5">
      <c r="A39" s="317">
        <f t="shared" si="8"/>
        <v>32</v>
      </c>
      <c r="B39" s="318" t="s">
        <v>2444</v>
      </c>
      <c r="C39" s="318" t="s">
        <v>1376</v>
      </c>
      <c r="D39" s="318"/>
      <c r="E39" s="318" t="s">
        <v>2451</v>
      </c>
      <c r="F39" s="318"/>
      <c r="G39" s="318"/>
      <c r="H39" s="436">
        <v>8012</v>
      </c>
      <c r="I39" s="317"/>
      <c r="J39" s="317"/>
      <c r="K39" s="436">
        <f t="shared" si="0"/>
        <v>8012</v>
      </c>
      <c r="L39" s="495">
        <v>39497</v>
      </c>
      <c r="M39" s="326">
        <v>7611.4</v>
      </c>
      <c r="N39" s="438">
        <f t="shared" si="1"/>
        <v>400.60000000000036</v>
      </c>
      <c r="O39" s="438">
        <f t="shared" si="2"/>
        <v>5885</v>
      </c>
      <c r="P39" s="452">
        <v>1</v>
      </c>
      <c r="Q39" s="454">
        <f t="shared" si="3"/>
        <v>16.123287671232877</v>
      </c>
      <c r="R39" s="454">
        <f t="shared" si="4"/>
        <v>-15.123287671232877</v>
      </c>
      <c r="S39" s="455">
        <f t="shared" si="5"/>
        <v>0.95</v>
      </c>
      <c r="T39" s="442">
        <v>0</v>
      </c>
      <c r="U39" s="442">
        <f t="shared" si="6"/>
        <v>400.60000000000036</v>
      </c>
      <c r="V39" s="442">
        <f t="shared" si="7"/>
        <v>400.6</v>
      </c>
    </row>
    <row r="40" spans="1:22" ht="16.5">
      <c r="A40" s="317">
        <f t="shared" si="8"/>
        <v>33</v>
      </c>
      <c r="B40" s="318" t="s">
        <v>2444</v>
      </c>
      <c r="C40" s="318" t="s">
        <v>1409</v>
      </c>
      <c r="D40" s="318" t="s">
        <v>2452</v>
      </c>
      <c r="E40" s="318"/>
      <c r="F40" s="318"/>
      <c r="G40" s="318"/>
      <c r="H40" s="436">
        <v>11548</v>
      </c>
      <c r="I40" s="317"/>
      <c r="J40" s="317"/>
      <c r="K40" s="436">
        <f t="shared" si="0"/>
        <v>11548</v>
      </c>
      <c r="L40" s="495">
        <v>39539</v>
      </c>
      <c r="M40" s="326">
        <v>10970.6</v>
      </c>
      <c r="N40" s="438">
        <f t="shared" si="1"/>
        <v>577.39999999999964</v>
      </c>
      <c r="O40" s="438">
        <f t="shared" si="2"/>
        <v>5843</v>
      </c>
      <c r="P40" s="452">
        <v>1</v>
      </c>
      <c r="Q40" s="454">
        <f t="shared" si="3"/>
        <v>16.008219178082193</v>
      </c>
      <c r="R40" s="454">
        <f t="shared" si="4"/>
        <v>-15.008219178082193</v>
      </c>
      <c r="S40" s="455">
        <f t="shared" si="5"/>
        <v>0.95</v>
      </c>
      <c r="T40" s="442">
        <v>0</v>
      </c>
      <c r="U40" s="442">
        <f t="shared" si="6"/>
        <v>577.39999999999964</v>
      </c>
      <c r="V40" s="442">
        <f t="shared" si="7"/>
        <v>577.4</v>
      </c>
    </row>
    <row r="41" spans="1:22" ht="16.5">
      <c r="A41" s="317">
        <f t="shared" si="8"/>
        <v>34</v>
      </c>
      <c r="B41" s="318" t="s">
        <v>2444</v>
      </c>
      <c r="C41" s="318" t="s">
        <v>1409</v>
      </c>
      <c r="D41" s="318"/>
      <c r="E41" s="318"/>
      <c r="F41" s="318"/>
      <c r="G41" s="318"/>
      <c r="H41" s="436">
        <v>4388</v>
      </c>
      <c r="I41" s="317"/>
      <c r="J41" s="317"/>
      <c r="K41" s="436">
        <f t="shared" si="0"/>
        <v>4388</v>
      </c>
      <c r="L41" s="495">
        <v>39569</v>
      </c>
      <c r="M41" s="326">
        <v>4168.6000000000004</v>
      </c>
      <c r="N41" s="438">
        <f t="shared" si="1"/>
        <v>219.39999999999964</v>
      </c>
      <c r="O41" s="438">
        <f t="shared" si="2"/>
        <v>5813</v>
      </c>
      <c r="P41" s="452">
        <v>1</v>
      </c>
      <c r="Q41" s="454">
        <f t="shared" si="3"/>
        <v>15.926027397260274</v>
      </c>
      <c r="R41" s="454">
        <f t="shared" si="4"/>
        <v>-14.926027397260274</v>
      </c>
      <c r="S41" s="455">
        <f t="shared" si="5"/>
        <v>0.95</v>
      </c>
      <c r="T41" s="442">
        <v>0</v>
      </c>
      <c r="U41" s="442">
        <f t="shared" si="6"/>
        <v>219.39999999999964</v>
      </c>
      <c r="V41" s="442">
        <f t="shared" si="7"/>
        <v>219.4</v>
      </c>
    </row>
    <row r="42" spans="1:22" ht="16.5">
      <c r="A42" s="317">
        <f t="shared" si="8"/>
        <v>35</v>
      </c>
      <c r="B42" s="318" t="s">
        <v>2444</v>
      </c>
      <c r="C42" s="318" t="s">
        <v>1409</v>
      </c>
      <c r="D42" s="318" t="s">
        <v>2453</v>
      </c>
      <c r="E42" s="318"/>
      <c r="F42" s="318"/>
      <c r="G42" s="318"/>
      <c r="H42" s="436">
        <v>1275</v>
      </c>
      <c r="I42" s="317"/>
      <c r="J42" s="317"/>
      <c r="K42" s="436">
        <f t="shared" si="0"/>
        <v>1275</v>
      </c>
      <c r="L42" s="495">
        <v>39571</v>
      </c>
      <c r="M42" s="326">
        <v>1211.25</v>
      </c>
      <c r="N42" s="438">
        <f t="shared" si="1"/>
        <v>63.75</v>
      </c>
      <c r="O42" s="438">
        <f t="shared" si="2"/>
        <v>5811</v>
      </c>
      <c r="P42" s="452">
        <v>1</v>
      </c>
      <c r="Q42" s="454">
        <f t="shared" si="3"/>
        <v>15.920547945205479</v>
      </c>
      <c r="R42" s="454">
        <f t="shared" si="4"/>
        <v>-14.920547945205479</v>
      </c>
      <c r="S42" s="455">
        <f t="shared" si="5"/>
        <v>0.95</v>
      </c>
      <c r="T42" s="442">
        <v>0</v>
      </c>
      <c r="U42" s="442">
        <f t="shared" si="6"/>
        <v>63.75</v>
      </c>
      <c r="V42" s="442">
        <f t="shared" si="7"/>
        <v>63.75</v>
      </c>
    </row>
    <row r="43" spans="1:22" ht="16.5">
      <c r="A43" s="317">
        <f t="shared" si="8"/>
        <v>36</v>
      </c>
      <c r="B43" s="318" t="s">
        <v>2444</v>
      </c>
      <c r="C43" s="318" t="s">
        <v>1409</v>
      </c>
      <c r="D43" s="318" t="s">
        <v>2452</v>
      </c>
      <c r="E43" s="318"/>
      <c r="F43" s="318"/>
      <c r="G43" s="318"/>
      <c r="H43" s="436">
        <v>12637</v>
      </c>
      <c r="I43" s="317"/>
      <c r="J43" s="317"/>
      <c r="K43" s="436">
        <f t="shared" si="0"/>
        <v>12637</v>
      </c>
      <c r="L43" s="495">
        <v>39576</v>
      </c>
      <c r="M43" s="326">
        <v>12005.15</v>
      </c>
      <c r="N43" s="438">
        <f t="shared" si="1"/>
        <v>631.85000000000036</v>
      </c>
      <c r="O43" s="438">
        <f t="shared" si="2"/>
        <v>5806</v>
      </c>
      <c r="P43" s="452">
        <v>1</v>
      </c>
      <c r="Q43" s="454">
        <f t="shared" si="3"/>
        <v>15.906849315068493</v>
      </c>
      <c r="R43" s="454">
        <f t="shared" si="4"/>
        <v>-14.906849315068493</v>
      </c>
      <c r="S43" s="455">
        <f t="shared" si="5"/>
        <v>0.95</v>
      </c>
      <c r="T43" s="442">
        <v>0</v>
      </c>
      <c r="U43" s="442">
        <f t="shared" si="6"/>
        <v>631.85000000000036</v>
      </c>
      <c r="V43" s="442">
        <f t="shared" si="7"/>
        <v>631.85</v>
      </c>
    </row>
    <row r="44" spans="1:22" ht="16.5">
      <c r="A44" s="317">
        <f t="shared" si="8"/>
        <v>37</v>
      </c>
      <c r="B44" s="318" t="s">
        <v>2444</v>
      </c>
      <c r="C44" s="318" t="s">
        <v>1409</v>
      </c>
      <c r="D44" s="318" t="s">
        <v>2454</v>
      </c>
      <c r="E44" s="318"/>
      <c r="F44" s="318"/>
      <c r="G44" s="318"/>
      <c r="H44" s="436">
        <v>1634</v>
      </c>
      <c r="I44" s="317"/>
      <c r="J44" s="317"/>
      <c r="K44" s="436">
        <f t="shared" si="0"/>
        <v>1634</v>
      </c>
      <c r="L44" s="495">
        <v>39611</v>
      </c>
      <c r="M44" s="326">
        <v>1552.3</v>
      </c>
      <c r="N44" s="438">
        <f t="shared" si="1"/>
        <v>81.700000000000045</v>
      </c>
      <c r="O44" s="438">
        <f t="shared" si="2"/>
        <v>5771</v>
      </c>
      <c r="P44" s="452">
        <v>1</v>
      </c>
      <c r="Q44" s="454">
        <f t="shared" si="3"/>
        <v>15.810958904109588</v>
      </c>
      <c r="R44" s="454">
        <f t="shared" si="4"/>
        <v>-14.810958904109588</v>
      </c>
      <c r="S44" s="455">
        <f t="shared" si="5"/>
        <v>0.95</v>
      </c>
      <c r="T44" s="442">
        <v>0</v>
      </c>
      <c r="U44" s="442">
        <f t="shared" si="6"/>
        <v>81.700000000000045</v>
      </c>
      <c r="V44" s="442">
        <f t="shared" si="7"/>
        <v>81.7</v>
      </c>
    </row>
    <row r="45" spans="1:22" ht="16.5">
      <c r="A45" s="317">
        <f t="shared" si="8"/>
        <v>38</v>
      </c>
      <c r="B45" s="318" t="s">
        <v>2444</v>
      </c>
      <c r="C45" s="318" t="s">
        <v>1409</v>
      </c>
      <c r="D45" s="318" t="s">
        <v>2455</v>
      </c>
      <c r="E45" s="318"/>
      <c r="F45" s="318"/>
      <c r="G45" s="318"/>
      <c r="H45" s="436">
        <v>2227</v>
      </c>
      <c r="I45" s="317"/>
      <c r="J45" s="317"/>
      <c r="K45" s="436">
        <f t="shared" si="0"/>
        <v>2227</v>
      </c>
      <c r="L45" s="495">
        <v>39629</v>
      </c>
      <c r="M45" s="326">
        <v>2115.65</v>
      </c>
      <c r="N45" s="438">
        <f t="shared" si="1"/>
        <v>111.34999999999991</v>
      </c>
      <c r="O45" s="438">
        <f t="shared" si="2"/>
        <v>5753</v>
      </c>
      <c r="P45" s="452">
        <v>1</v>
      </c>
      <c r="Q45" s="454">
        <f t="shared" si="3"/>
        <v>15.761643835616438</v>
      </c>
      <c r="R45" s="454">
        <f t="shared" si="4"/>
        <v>-14.761643835616438</v>
      </c>
      <c r="S45" s="455">
        <f t="shared" si="5"/>
        <v>0.95</v>
      </c>
      <c r="T45" s="442">
        <v>0</v>
      </c>
      <c r="U45" s="442">
        <f t="shared" si="6"/>
        <v>111.34999999999991</v>
      </c>
      <c r="V45" s="442">
        <f t="shared" si="7"/>
        <v>111.35000000000001</v>
      </c>
    </row>
    <row r="46" spans="1:22" ht="16.5">
      <c r="A46" s="317">
        <f t="shared" si="8"/>
        <v>39</v>
      </c>
      <c r="B46" s="318" t="s">
        <v>2444</v>
      </c>
      <c r="C46" s="318" t="s">
        <v>1409</v>
      </c>
      <c r="D46" s="318" t="s">
        <v>2455</v>
      </c>
      <c r="E46" s="318"/>
      <c r="F46" s="318"/>
      <c r="G46" s="318"/>
      <c r="H46" s="436">
        <v>2123</v>
      </c>
      <c r="I46" s="317"/>
      <c r="J46" s="317"/>
      <c r="K46" s="436">
        <f t="shared" si="0"/>
        <v>2123</v>
      </c>
      <c r="L46" s="495">
        <v>39676</v>
      </c>
      <c r="M46" s="326">
        <v>2016.85</v>
      </c>
      <c r="N46" s="438">
        <f t="shared" si="1"/>
        <v>106.15000000000009</v>
      </c>
      <c r="O46" s="438">
        <f t="shared" si="2"/>
        <v>5706</v>
      </c>
      <c r="P46" s="452">
        <v>1</v>
      </c>
      <c r="Q46" s="454">
        <f t="shared" si="3"/>
        <v>15.632876712328768</v>
      </c>
      <c r="R46" s="454">
        <f t="shared" si="4"/>
        <v>-14.632876712328768</v>
      </c>
      <c r="S46" s="455">
        <f t="shared" si="5"/>
        <v>0.95</v>
      </c>
      <c r="T46" s="442">
        <v>0</v>
      </c>
      <c r="U46" s="442">
        <f t="shared" si="6"/>
        <v>106.15000000000009</v>
      </c>
      <c r="V46" s="442">
        <f t="shared" si="7"/>
        <v>106.15</v>
      </c>
    </row>
    <row r="47" spans="1:22" ht="16.5">
      <c r="A47" s="317">
        <f t="shared" si="8"/>
        <v>40</v>
      </c>
      <c r="B47" s="318" t="s">
        <v>235</v>
      </c>
      <c r="C47" s="318" t="s">
        <v>1376</v>
      </c>
      <c r="D47" s="318"/>
      <c r="E47" s="318" t="s">
        <v>2432</v>
      </c>
      <c r="F47" s="318" t="s">
        <v>2456</v>
      </c>
      <c r="G47" s="318"/>
      <c r="H47" s="436">
        <v>240790</v>
      </c>
      <c r="I47" s="317"/>
      <c r="J47" s="317"/>
      <c r="K47" s="436">
        <f t="shared" si="0"/>
        <v>240790</v>
      </c>
      <c r="L47" s="495">
        <v>39409</v>
      </c>
      <c r="M47" s="326">
        <v>228750.5</v>
      </c>
      <c r="N47" s="438">
        <f t="shared" si="1"/>
        <v>12039.5</v>
      </c>
      <c r="O47" s="438">
        <f t="shared" si="2"/>
        <v>5973</v>
      </c>
      <c r="P47" s="452">
        <v>5</v>
      </c>
      <c r="Q47" s="454">
        <f t="shared" si="3"/>
        <v>16.364383561643837</v>
      </c>
      <c r="R47" s="454">
        <f t="shared" si="4"/>
        <v>-11.364383561643837</v>
      </c>
      <c r="S47" s="455">
        <f t="shared" si="5"/>
        <v>0.19</v>
      </c>
      <c r="T47" s="442">
        <v>0</v>
      </c>
      <c r="U47" s="442">
        <f t="shared" si="6"/>
        <v>12039.5</v>
      </c>
      <c r="V47" s="442">
        <f t="shared" si="7"/>
        <v>12039.5</v>
      </c>
    </row>
    <row r="48" spans="1:22" ht="16.5">
      <c r="A48" s="317">
        <f t="shared" si="8"/>
        <v>41</v>
      </c>
      <c r="B48" s="318" t="s">
        <v>2457</v>
      </c>
      <c r="C48" s="318" t="s">
        <v>2226</v>
      </c>
      <c r="D48" s="318"/>
      <c r="E48" s="318"/>
      <c r="F48" s="318"/>
      <c r="G48" s="318"/>
      <c r="H48" s="436">
        <v>5255</v>
      </c>
      <c r="I48" s="317"/>
      <c r="J48" s="317"/>
      <c r="K48" s="436">
        <f t="shared" si="0"/>
        <v>5255</v>
      </c>
      <c r="L48" s="495">
        <v>38443</v>
      </c>
      <c r="M48" s="326">
        <v>4992.25</v>
      </c>
      <c r="N48" s="438">
        <f t="shared" si="1"/>
        <v>262.75</v>
      </c>
      <c r="O48" s="438">
        <f t="shared" si="2"/>
        <v>6939</v>
      </c>
      <c r="P48" s="452">
        <v>5</v>
      </c>
      <c r="Q48" s="454">
        <f t="shared" si="3"/>
        <v>19.010958904109589</v>
      </c>
      <c r="R48" s="454">
        <f t="shared" si="4"/>
        <v>-14.010958904109589</v>
      </c>
      <c r="S48" s="455">
        <f t="shared" si="5"/>
        <v>0.19</v>
      </c>
      <c r="T48" s="442">
        <v>0</v>
      </c>
      <c r="U48" s="442">
        <f t="shared" si="6"/>
        <v>262.75</v>
      </c>
      <c r="V48" s="442">
        <f t="shared" si="7"/>
        <v>262.75</v>
      </c>
    </row>
    <row r="49" spans="1:22" ht="16.5">
      <c r="A49" s="317">
        <f t="shared" si="8"/>
        <v>42</v>
      </c>
      <c r="B49" s="318" t="s">
        <v>2457</v>
      </c>
      <c r="C49" s="318" t="s">
        <v>1431</v>
      </c>
      <c r="D49" s="318"/>
      <c r="E49" s="318" t="s">
        <v>2458</v>
      </c>
      <c r="F49" s="318" t="s">
        <v>2459</v>
      </c>
      <c r="G49" s="318"/>
      <c r="H49" s="436">
        <v>5664</v>
      </c>
      <c r="I49" s="317"/>
      <c r="J49" s="317"/>
      <c r="K49" s="436">
        <f t="shared" si="0"/>
        <v>5664</v>
      </c>
      <c r="L49" s="495">
        <v>38631</v>
      </c>
      <c r="M49" s="326">
        <v>5380.8</v>
      </c>
      <c r="N49" s="438">
        <f t="shared" si="1"/>
        <v>283.19999999999982</v>
      </c>
      <c r="O49" s="438">
        <f t="shared" si="2"/>
        <v>6751</v>
      </c>
      <c r="P49" s="452">
        <v>5</v>
      </c>
      <c r="Q49" s="454">
        <f t="shared" si="3"/>
        <v>18.495890410958904</v>
      </c>
      <c r="R49" s="454">
        <f t="shared" si="4"/>
        <v>-13.495890410958904</v>
      </c>
      <c r="S49" s="455">
        <f t="shared" si="5"/>
        <v>0.19</v>
      </c>
      <c r="T49" s="442">
        <v>0</v>
      </c>
      <c r="U49" s="442">
        <f t="shared" si="6"/>
        <v>283.19999999999982</v>
      </c>
      <c r="V49" s="442">
        <f t="shared" si="7"/>
        <v>283.2</v>
      </c>
    </row>
    <row r="50" spans="1:22" ht="16.5">
      <c r="A50" s="317">
        <f t="shared" si="8"/>
        <v>43</v>
      </c>
      <c r="B50" s="318" t="s">
        <v>474</v>
      </c>
      <c r="C50" s="318" t="s">
        <v>1409</v>
      </c>
      <c r="D50" s="318" t="s">
        <v>1408</v>
      </c>
      <c r="E50" s="318"/>
      <c r="F50" s="318"/>
      <c r="G50" s="318"/>
      <c r="H50" s="436">
        <v>8936</v>
      </c>
      <c r="I50" s="317"/>
      <c r="J50" s="317"/>
      <c r="K50" s="436">
        <f t="shared" si="0"/>
        <v>8936</v>
      </c>
      <c r="L50" s="495">
        <v>39564</v>
      </c>
      <c r="M50" s="326">
        <v>8489.2000000000007</v>
      </c>
      <c r="N50" s="438">
        <f t="shared" si="1"/>
        <v>446.79999999999927</v>
      </c>
      <c r="O50" s="438">
        <f t="shared" si="2"/>
        <v>5818</v>
      </c>
      <c r="P50" s="452">
        <v>5</v>
      </c>
      <c r="Q50" s="454">
        <f t="shared" si="3"/>
        <v>15.93972602739726</v>
      </c>
      <c r="R50" s="454">
        <f t="shared" si="4"/>
        <v>-10.93972602739726</v>
      </c>
      <c r="S50" s="455">
        <f t="shared" si="5"/>
        <v>0.19</v>
      </c>
      <c r="T50" s="442">
        <v>0</v>
      </c>
      <c r="U50" s="442">
        <f t="shared" si="6"/>
        <v>446.79999999999927</v>
      </c>
      <c r="V50" s="442">
        <f t="shared" si="7"/>
        <v>446.8</v>
      </c>
    </row>
    <row r="51" spans="1:22" ht="16.5">
      <c r="A51" s="317">
        <f t="shared" si="8"/>
        <v>44</v>
      </c>
      <c r="B51" s="318" t="s">
        <v>238</v>
      </c>
      <c r="C51" s="318" t="s">
        <v>1431</v>
      </c>
      <c r="D51" s="318"/>
      <c r="E51" s="318"/>
      <c r="F51" s="318"/>
      <c r="G51" s="318"/>
      <c r="H51" s="436">
        <v>6816</v>
      </c>
      <c r="I51" s="317"/>
      <c r="J51" s="317"/>
      <c r="K51" s="436">
        <f t="shared" si="0"/>
        <v>6816</v>
      </c>
      <c r="L51" s="495">
        <v>38780</v>
      </c>
      <c r="M51" s="326">
        <v>6475.2</v>
      </c>
      <c r="N51" s="438">
        <f t="shared" si="1"/>
        <v>340.80000000000018</v>
      </c>
      <c r="O51" s="438">
        <f t="shared" si="2"/>
        <v>6602</v>
      </c>
      <c r="P51" s="452">
        <v>5</v>
      </c>
      <c r="Q51" s="454">
        <f t="shared" si="3"/>
        <v>18.087671232876712</v>
      </c>
      <c r="R51" s="454">
        <f t="shared" si="4"/>
        <v>-13.087671232876712</v>
      </c>
      <c r="S51" s="455">
        <f t="shared" si="5"/>
        <v>0.19</v>
      </c>
      <c r="T51" s="442">
        <v>0</v>
      </c>
      <c r="U51" s="442">
        <f t="shared" si="6"/>
        <v>340.80000000000018</v>
      </c>
      <c r="V51" s="442">
        <f t="shared" si="7"/>
        <v>340.8</v>
      </c>
    </row>
    <row r="52" spans="1:22" ht="16.5">
      <c r="A52" s="317">
        <f t="shared" si="8"/>
        <v>45</v>
      </c>
      <c r="B52" s="318" t="s">
        <v>238</v>
      </c>
      <c r="C52" s="318" t="s">
        <v>1376</v>
      </c>
      <c r="D52" s="318"/>
      <c r="E52" s="318" t="s">
        <v>2460</v>
      </c>
      <c r="F52" s="318"/>
      <c r="G52" s="318"/>
      <c r="H52" s="436">
        <v>4512</v>
      </c>
      <c r="I52" s="317"/>
      <c r="J52" s="317"/>
      <c r="K52" s="436">
        <f t="shared" si="0"/>
        <v>4512</v>
      </c>
      <c r="L52" s="495">
        <v>39273</v>
      </c>
      <c r="M52" s="326">
        <v>4286.3999999999996</v>
      </c>
      <c r="N52" s="438">
        <f t="shared" si="1"/>
        <v>225.60000000000036</v>
      </c>
      <c r="O52" s="438">
        <f t="shared" si="2"/>
        <v>6109</v>
      </c>
      <c r="P52" s="452">
        <v>5</v>
      </c>
      <c r="Q52" s="454">
        <f t="shared" si="3"/>
        <v>16.736986301369864</v>
      </c>
      <c r="R52" s="454">
        <f t="shared" si="4"/>
        <v>-11.736986301369864</v>
      </c>
      <c r="S52" s="455">
        <f t="shared" si="5"/>
        <v>0.19</v>
      </c>
      <c r="T52" s="442">
        <v>0</v>
      </c>
      <c r="U52" s="442">
        <f t="shared" si="6"/>
        <v>225.60000000000036</v>
      </c>
      <c r="V52" s="442">
        <f t="shared" si="7"/>
        <v>225.60000000000002</v>
      </c>
    </row>
    <row r="53" spans="1:22" ht="16.5">
      <c r="A53" s="317">
        <f t="shared" si="8"/>
        <v>46</v>
      </c>
      <c r="B53" s="318" t="s">
        <v>2461</v>
      </c>
      <c r="C53" s="318" t="s">
        <v>2226</v>
      </c>
      <c r="D53" s="318"/>
      <c r="E53" s="318"/>
      <c r="F53" s="318"/>
      <c r="G53" s="318"/>
      <c r="H53" s="436">
        <v>47566</v>
      </c>
      <c r="I53" s="317"/>
      <c r="J53" s="317"/>
      <c r="K53" s="436">
        <f t="shared" si="0"/>
        <v>47566</v>
      </c>
      <c r="L53" s="495">
        <v>38443</v>
      </c>
      <c r="M53" s="326">
        <v>45187.7</v>
      </c>
      <c r="N53" s="438">
        <f t="shared" si="1"/>
        <v>2378.3000000000029</v>
      </c>
      <c r="O53" s="438">
        <f t="shared" si="2"/>
        <v>6939</v>
      </c>
      <c r="P53" s="452">
        <v>5</v>
      </c>
      <c r="Q53" s="454">
        <f t="shared" si="3"/>
        <v>19.010958904109589</v>
      </c>
      <c r="R53" s="454">
        <f t="shared" si="4"/>
        <v>-14.010958904109589</v>
      </c>
      <c r="S53" s="455">
        <f t="shared" si="5"/>
        <v>0.19</v>
      </c>
      <c r="T53" s="442">
        <v>0</v>
      </c>
      <c r="U53" s="442">
        <f t="shared" si="6"/>
        <v>2378.3000000000029</v>
      </c>
      <c r="V53" s="442">
        <f t="shared" si="7"/>
        <v>2378.3000000000002</v>
      </c>
    </row>
    <row r="54" spans="1:22" ht="16.5">
      <c r="A54" s="317">
        <f t="shared" si="8"/>
        <v>47</v>
      </c>
      <c r="B54" s="318" t="s">
        <v>2461</v>
      </c>
      <c r="C54" s="318" t="s">
        <v>1431</v>
      </c>
      <c r="D54" s="318"/>
      <c r="E54" s="318" t="s">
        <v>2462</v>
      </c>
      <c r="F54" s="318" t="s">
        <v>2463</v>
      </c>
      <c r="G54" s="318"/>
      <c r="H54" s="436">
        <v>83289</v>
      </c>
      <c r="I54" s="317"/>
      <c r="J54" s="317"/>
      <c r="K54" s="436">
        <f t="shared" si="0"/>
        <v>83289</v>
      </c>
      <c r="L54" s="495">
        <v>38563</v>
      </c>
      <c r="M54" s="326">
        <v>79124.55</v>
      </c>
      <c r="N54" s="438">
        <f t="shared" si="1"/>
        <v>4164.4499999999971</v>
      </c>
      <c r="O54" s="438">
        <f t="shared" si="2"/>
        <v>6819</v>
      </c>
      <c r="P54" s="452">
        <v>5</v>
      </c>
      <c r="Q54" s="454">
        <f t="shared" si="3"/>
        <v>18.682191780821917</v>
      </c>
      <c r="R54" s="454">
        <f t="shared" si="4"/>
        <v>-13.682191780821917</v>
      </c>
      <c r="S54" s="455">
        <f t="shared" si="5"/>
        <v>0.19</v>
      </c>
      <c r="T54" s="442">
        <v>0</v>
      </c>
      <c r="U54" s="442">
        <f t="shared" si="6"/>
        <v>4164.4499999999971</v>
      </c>
      <c r="V54" s="442">
        <f t="shared" si="7"/>
        <v>4164.45</v>
      </c>
    </row>
    <row r="55" spans="1:22" ht="16.5">
      <c r="A55" s="317">
        <f t="shared" si="8"/>
        <v>48</v>
      </c>
      <c r="B55" s="318" t="s">
        <v>2461</v>
      </c>
      <c r="C55" s="318" t="s">
        <v>1431</v>
      </c>
      <c r="D55" s="318"/>
      <c r="E55" s="318" t="s">
        <v>2464</v>
      </c>
      <c r="F55" s="318" t="s">
        <v>2465</v>
      </c>
      <c r="G55" s="318"/>
      <c r="H55" s="436">
        <v>50459</v>
      </c>
      <c r="I55" s="317"/>
      <c r="J55" s="317"/>
      <c r="K55" s="436">
        <f t="shared" si="0"/>
        <v>50459</v>
      </c>
      <c r="L55" s="495">
        <v>38685</v>
      </c>
      <c r="M55" s="326">
        <v>47936.05</v>
      </c>
      <c r="N55" s="438">
        <f t="shared" si="1"/>
        <v>2522.9499999999971</v>
      </c>
      <c r="O55" s="438">
        <f t="shared" si="2"/>
        <v>6697</v>
      </c>
      <c r="P55" s="452">
        <v>5</v>
      </c>
      <c r="Q55" s="454">
        <f t="shared" si="3"/>
        <v>18.347945205479451</v>
      </c>
      <c r="R55" s="454">
        <f t="shared" si="4"/>
        <v>-13.347945205479451</v>
      </c>
      <c r="S55" s="455">
        <f t="shared" si="5"/>
        <v>0.19</v>
      </c>
      <c r="T55" s="442">
        <v>0</v>
      </c>
      <c r="U55" s="442">
        <f t="shared" si="6"/>
        <v>2522.9499999999971</v>
      </c>
      <c r="V55" s="442">
        <f t="shared" si="7"/>
        <v>2522.9500000000003</v>
      </c>
    </row>
    <row r="56" spans="1:22" ht="16.5">
      <c r="A56" s="317">
        <f t="shared" si="8"/>
        <v>49</v>
      </c>
      <c r="B56" s="318" t="s">
        <v>2461</v>
      </c>
      <c r="C56" s="318" t="s">
        <v>1376</v>
      </c>
      <c r="D56" s="318"/>
      <c r="E56" s="318" t="s">
        <v>2466</v>
      </c>
      <c r="F56" s="318" t="s">
        <v>2467</v>
      </c>
      <c r="G56" s="318"/>
      <c r="H56" s="436">
        <v>51071</v>
      </c>
      <c r="I56" s="317"/>
      <c r="J56" s="317"/>
      <c r="K56" s="436">
        <f t="shared" si="0"/>
        <v>51071</v>
      </c>
      <c r="L56" s="495">
        <v>39478</v>
      </c>
      <c r="M56" s="326">
        <v>48517.45</v>
      </c>
      <c r="N56" s="438">
        <f t="shared" si="1"/>
        <v>2553.5500000000029</v>
      </c>
      <c r="O56" s="438">
        <f t="shared" si="2"/>
        <v>5904</v>
      </c>
      <c r="P56" s="452">
        <v>5</v>
      </c>
      <c r="Q56" s="454">
        <f t="shared" si="3"/>
        <v>16.175342465753424</v>
      </c>
      <c r="R56" s="454">
        <f t="shared" si="4"/>
        <v>-11.175342465753424</v>
      </c>
      <c r="S56" s="455">
        <f t="shared" si="5"/>
        <v>0.19</v>
      </c>
      <c r="T56" s="442">
        <v>0</v>
      </c>
      <c r="U56" s="442">
        <f t="shared" si="6"/>
        <v>2553.5500000000029</v>
      </c>
      <c r="V56" s="442">
        <f t="shared" si="7"/>
        <v>2553.5500000000002</v>
      </c>
    </row>
    <row r="57" spans="1:22" ht="16.5">
      <c r="A57" s="317">
        <f t="shared" si="8"/>
        <v>50</v>
      </c>
      <c r="B57" s="318" t="s">
        <v>235</v>
      </c>
      <c r="C57" s="318" t="s">
        <v>1409</v>
      </c>
      <c r="D57" s="318"/>
      <c r="E57" s="318" t="s">
        <v>2432</v>
      </c>
      <c r="F57" s="318" t="s">
        <v>2468</v>
      </c>
      <c r="G57" s="495">
        <v>39863</v>
      </c>
      <c r="H57" s="436">
        <v>24350</v>
      </c>
      <c r="I57" s="317"/>
      <c r="J57" s="317"/>
      <c r="K57" s="436">
        <f t="shared" si="0"/>
        <v>24350</v>
      </c>
      <c r="L57" s="495">
        <v>39874</v>
      </c>
      <c r="M57" s="326">
        <v>23132.5</v>
      </c>
      <c r="N57" s="438">
        <f t="shared" si="1"/>
        <v>1217.5</v>
      </c>
      <c r="O57" s="438">
        <f t="shared" si="2"/>
        <v>5508</v>
      </c>
      <c r="P57" s="452">
        <v>5</v>
      </c>
      <c r="Q57" s="454">
        <f t="shared" si="3"/>
        <v>15.09041095890411</v>
      </c>
      <c r="R57" s="454">
        <f t="shared" si="4"/>
        <v>-10.09041095890411</v>
      </c>
      <c r="S57" s="455">
        <f t="shared" si="5"/>
        <v>0.19</v>
      </c>
      <c r="T57" s="442">
        <v>0</v>
      </c>
      <c r="U57" s="442">
        <f t="shared" si="6"/>
        <v>1217.5</v>
      </c>
      <c r="V57" s="442">
        <f t="shared" si="7"/>
        <v>1217.5</v>
      </c>
    </row>
    <row r="58" spans="1:22" ht="16.5">
      <c r="A58" s="317">
        <f t="shared" si="8"/>
        <v>51</v>
      </c>
      <c r="B58" s="318" t="s">
        <v>2469</v>
      </c>
      <c r="C58" s="318" t="s">
        <v>1409</v>
      </c>
      <c r="D58" s="318"/>
      <c r="E58" s="318"/>
      <c r="F58" s="318"/>
      <c r="G58" s="318"/>
      <c r="H58" s="436">
        <v>8990</v>
      </c>
      <c r="I58" s="317"/>
      <c r="J58" s="317"/>
      <c r="K58" s="436">
        <f t="shared" si="0"/>
        <v>8990</v>
      </c>
      <c r="L58" s="495">
        <v>39722</v>
      </c>
      <c r="M58" s="326">
        <v>8540.5</v>
      </c>
      <c r="N58" s="438">
        <f t="shared" si="1"/>
        <v>449.5</v>
      </c>
      <c r="O58" s="438">
        <f t="shared" si="2"/>
        <v>5660</v>
      </c>
      <c r="P58" s="452">
        <v>1</v>
      </c>
      <c r="Q58" s="454">
        <f t="shared" si="3"/>
        <v>15.506849315068493</v>
      </c>
      <c r="R58" s="454">
        <f t="shared" si="4"/>
        <v>-14.506849315068493</v>
      </c>
      <c r="S58" s="455">
        <f t="shared" si="5"/>
        <v>0.95</v>
      </c>
      <c r="T58" s="442">
        <v>0</v>
      </c>
      <c r="U58" s="442">
        <f t="shared" si="6"/>
        <v>449.5</v>
      </c>
      <c r="V58" s="442">
        <f t="shared" si="7"/>
        <v>449.5</v>
      </c>
    </row>
    <row r="59" spans="1:22" ht="16.5">
      <c r="A59" s="317">
        <f t="shared" si="8"/>
        <v>52</v>
      </c>
      <c r="B59" s="318" t="s">
        <v>2470</v>
      </c>
      <c r="C59" s="318" t="s">
        <v>1409</v>
      </c>
      <c r="D59" s="318"/>
      <c r="E59" s="318"/>
      <c r="F59" s="318"/>
      <c r="G59" s="318"/>
      <c r="H59" s="436">
        <v>7300</v>
      </c>
      <c r="I59" s="317"/>
      <c r="J59" s="317"/>
      <c r="K59" s="436">
        <f t="shared" si="0"/>
        <v>7300</v>
      </c>
      <c r="L59" s="495">
        <v>39701</v>
      </c>
      <c r="M59" s="326">
        <v>6935</v>
      </c>
      <c r="N59" s="438">
        <f t="shared" si="1"/>
        <v>365</v>
      </c>
      <c r="O59" s="438">
        <f t="shared" si="2"/>
        <v>5681</v>
      </c>
      <c r="P59" s="452">
        <v>1</v>
      </c>
      <c r="Q59" s="454">
        <f t="shared" si="3"/>
        <v>15.564383561643835</v>
      </c>
      <c r="R59" s="454">
        <f t="shared" si="4"/>
        <v>-14.564383561643835</v>
      </c>
      <c r="S59" s="455">
        <f t="shared" si="5"/>
        <v>0.95</v>
      </c>
      <c r="T59" s="442">
        <v>0</v>
      </c>
      <c r="U59" s="442">
        <f t="shared" si="6"/>
        <v>365</v>
      </c>
      <c r="V59" s="442">
        <f t="shared" si="7"/>
        <v>365</v>
      </c>
    </row>
    <row r="60" spans="1:22" ht="16.5">
      <c r="A60" s="317">
        <f t="shared" si="8"/>
        <v>53</v>
      </c>
      <c r="B60" s="318" t="s">
        <v>2457</v>
      </c>
      <c r="C60" s="318" t="s">
        <v>1409</v>
      </c>
      <c r="D60" s="318" t="s">
        <v>20</v>
      </c>
      <c r="E60" s="318"/>
      <c r="F60" s="318"/>
      <c r="G60" s="318"/>
      <c r="H60" s="436">
        <v>5500</v>
      </c>
      <c r="I60" s="317"/>
      <c r="J60" s="317"/>
      <c r="K60" s="436">
        <f t="shared" si="0"/>
        <v>5500</v>
      </c>
      <c r="L60" s="495">
        <v>39815</v>
      </c>
      <c r="M60" s="326">
        <v>5225</v>
      </c>
      <c r="N60" s="438">
        <f t="shared" si="1"/>
        <v>275</v>
      </c>
      <c r="O60" s="438">
        <f t="shared" si="2"/>
        <v>5567</v>
      </c>
      <c r="P60" s="452">
        <v>5</v>
      </c>
      <c r="Q60" s="454">
        <f t="shared" si="3"/>
        <v>15.252054794520548</v>
      </c>
      <c r="R60" s="454">
        <f t="shared" si="4"/>
        <v>-10.252054794520548</v>
      </c>
      <c r="S60" s="455">
        <f t="shared" si="5"/>
        <v>0.19</v>
      </c>
      <c r="T60" s="442">
        <v>0</v>
      </c>
      <c r="U60" s="442">
        <f t="shared" si="6"/>
        <v>275</v>
      </c>
      <c r="V60" s="442">
        <f t="shared" si="7"/>
        <v>275</v>
      </c>
    </row>
    <row r="61" spans="1:22" ht="16.5">
      <c r="A61" s="317">
        <f t="shared" si="8"/>
        <v>54</v>
      </c>
      <c r="B61" s="318" t="s">
        <v>1578</v>
      </c>
      <c r="C61" s="318" t="s">
        <v>1409</v>
      </c>
      <c r="D61" s="318" t="s">
        <v>20</v>
      </c>
      <c r="E61" s="318"/>
      <c r="F61" s="318"/>
      <c r="G61" s="318"/>
      <c r="H61" s="436">
        <v>29475</v>
      </c>
      <c r="I61" s="317"/>
      <c r="J61" s="317"/>
      <c r="K61" s="436">
        <f t="shared" si="0"/>
        <v>29475</v>
      </c>
      <c r="L61" s="495">
        <v>39733</v>
      </c>
      <c r="M61" s="326">
        <v>28001.25</v>
      </c>
      <c r="N61" s="438">
        <f t="shared" si="1"/>
        <v>1473.75</v>
      </c>
      <c r="O61" s="438">
        <f t="shared" si="2"/>
        <v>5649</v>
      </c>
      <c r="P61" s="452">
        <v>5</v>
      </c>
      <c r="Q61" s="454">
        <f t="shared" si="3"/>
        <v>15.476712328767123</v>
      </c>
      <c r="R61" s="454">
        <f t="shared" si="4"/>
        <v>-10.476712328767123</v>
      </c>
      <c r="S61" s="455">
        <f t="shared" si="5"/>
        <v>0.19</v>
      </c>
      <c r="T61" s="442">
        <v>0</v>
      </c>
      <c r="U61" s="442">
        <f t="shared" si="6"/>
        <v>1473.75</v>
      </c>
      <c r="V61" s="442">
        <f t="shared" si="7"/>
        <v>1473.75</v>
      </c>
    </row>
    <row r="62" spans="1:22" ht="16.5">
      <c r="A62" s="317">
        <f t="shared" si="8"/>
        <v>55</v>
      </c>
      <c r="B62" s="318" t="s">
        <v>238</v>
      </c>
      <c r="C62" s="318" t="s">
        <v>1409</v>
      </c>
      <c r="D62" s="318"/>
      <c r="E62" s="318"/>
      <c r="F62" s="318" t="s">
        <v>2471</v>
      </c>
      <c r="G62" s="318"/>
      <c r="H62" s="436">
        <v>17200</v>
      </c>
      <c r="I62" s="317"/>
      <c r="J62" s="317"/>
      <c r="K62" s="436">
        <f t="shared" si="0"/>
        <v>17200</v>
      </c>
      <c r="L62" s="495">
        <v>39732</v>
      </c>
      <c r="M62" s="326">
        <v>16340</v>
      </c>
      <c r="N62" s="438">
        <f t="shared" si="1"/>
        <v>860</v>
      </c>
      <c r="O62" s="438">
        <f t="shared" si="2"/>
        <v>5650</v>
      </c>
      <c r="P62" s="452">
        <v>5</v>
      </c>
      <c r="Q62" s="454">
        <f t="shared" si="3"/>
        <v>15.479452054794521</v>
      </c>
      <c r="R62" s="454">
        <f t="shared" si="4"/>
        <v>-10.479452054794521</v>
      </c>
      <c r="S62" s="455">
        <f t="shared" si="5"/>
        <v>0.19</v>
      </c>
      <c r="T62" s="442">
        <v>0</v>
      </c>
      <c r="U62" s="442">
        <f t="shared" si="6"/>
        <v>860</v>
      </c>
      <c r="V62" s="442">
        <f t="shared" si="7"/>
        <v>860</v>
      </c>
    </row>
    <row r="63" spans="1:22" ht="16.5">
      <c r="A63" s="317">
        <f t="shared" si="8"/>
        <v>56</v>
      </c>
      <c r="B63" s="318" t="s">
        <v>238</v>
      </c>
      <c r="C63" s="318" t="s">
        <v>1409</v>
      </c>
      <c r="D63" s="318" t="s">
        <v>20</v>
      </c>
      <c r="E63" s="318"/>
      <c r="F63" s="318"/>
      <c r="G63" s="318"/>
      <c r="H63" s="436">
        <v>10700</v>
      </c>
      <c r="I63" s="317"/>
      <c r="J63" s="317"/>
      <c r="K63" s="436">
        <f t="shared" si="0"/>
        <v>10700</v>
      </c>
      <c r="L63" s="495">
        <v>39769</v>
      </c>
      <c r="M63" s="326">
        <v>10165</v>
      </c>
      <c r="N63" s="438">
        <f t="shared" si="1"/>
        <v>535</v>
      </c>
      <c r="O63" s="438">
        <f t="shared" si="2"/>
        <v>5613</v>
      </c>
      <c r="P63" s="452">
        <v>5</v>
      </c>
      <c r="Q63" s="454">
        <f t="shared" si="3"/>
        <v>15.378082191780821</v>
      </c>
      <c r="R63" s="454">
        <f t="shared" si="4"/>
        <v>-10.378082191780821</v>
      </c>
      <c r="S63" s="455">
        <f t="shared" si="5"/>
        <v>0.19</v>
      </c>
      <c r="T63" s="442">
        <v>0</v>
      </c>
      <c r="U63" s="442">
        <f t="shared" si="6"/>
        <v>535</v>
      </c>
      <c r="V63" s="442">
        <f t="shared" si="7"/>
        <v>535</v>
      </c>
    </row>
    <row r="64" spans="1:22" ht="16.5">
      <c r="A64" s="317">
        <f t="shared" si="8"/>
        <v>57</v>
      </c>
      <c r="B64" s="318" t="s">
        <v>238</v>
      </c>
      <c r="C64" s="318" t="s">
        <v>1409</v>
      </c>
      <c r="D64" s="318" t="s">
        <v>20</v>
      </c>
      <c r="E64" s="318"/>
      <c r="F64" s="318"/>
      <c r="G64" s="318"/>
      <c r="H64" s="436">
        <v>7800</v>
      </c>
      <c r="I64" s="317"/>
      <c r="J64" s="317"/>
      <c r="K64" s="436">
        <f t="shared" si="0"/>
        <v>7800</v>
      </c>
      <c r="L64" s="495">
        <v>39805</v>
      </c>
      <c r="M64" s="326">
        <v>7410</v>
      </c>
      <c r="N64" s="438">
        <f t="shared" si="1"/>
        <v>390</v>
      </c>
      <c r="O64" s="438">
        <f t="shared" si="2"/>
        <v>5577</v>
      </c>
      <c r="P64" s="452">
        <v>5</v>
      </c>
      <c r="Q64" s="454">
        <f t="shared" si="3"/>
        <v>15.27945205479452</v>
      </c>
      <c r="R64" s="454">
        <f t="shared" si="4"/>
        <v>-10.27945205479452</v>
      </c>
      <c r="S64" s="455">
        <f t="shared" si="5"/>
        <v>0.19</v>
      </c>
      <c r="T64" s="442">
        <v>0</v>
      </c>
      <c r="U64" s="442">
        <f t="shared" si="6"/>
        <v>390</v>
      </c>
      <c r="V64" s="442">
        <f t="shared" si="7"/>
        <v>390</v>
      </c>
    </row>
    <row r="65" spans="1:22" ht="16.5">
      <c r="A65" s="317">
        <f t="shared" si="8"/>
        <v>58</v>
      </c>
      <c r="B65" s="318" t="s">
        <v>235</v>
      </c>
      <c r="C65" s="318" t="s">
        <v>1610</v>
      </c>
      <c r="D65" s="318" t="s">
        <v>20</v>
      </c>
      <c r="E65" s="318" t="s">
        <v>2472</v>
      </c>
      <c r="F65" s="318" t="s">
        <v>2311</v>
      </c>
      <c r="G65" s="318"/>
      <c r="H65" s="436">
        <v>16600</v>
      </c>
      <c r="I65" s="317"/>
      <c r="J65" s="317"/>
      <c r="K65" s="436">
        <f t="shared" si="0"/>
        <v>16600</v>
      </c>
      <c r="L65" s="495">
        <v>39910</v>
      </c>
      <c r="M65" s="326">
        <v>15770</v>
      </c>
      <c r="N65" s="438">
        <f t="shared" si="1"/>
        <v>830</v>
      </c>
      <c r="O65" s="438">
        <f t="shared" si="2"/>
        <v>5472</v>
      </c>
      <c r="P65" s="452">
        <v>5</v>
      </c>
      <c r="Q65" s="454">
        <f t="shared" si="3"/>
        <v>14.991780821917809</v>
      </c>
      <c r="R65" s="454">
        <f t="shared" si="4"/>
        <v>-9.9917808219178088</v>
      </c>
      <c r="S65" s="455">
        <f t="shared" si="5"/>
        <v>0.19</v>
      </c>
      <c r="T65" s="442">
        <v>0</v>
      </c>
      <c r="U65" s="442">
        <f t="shared" si="6"/>
        <v>830</v>
      </c>
      <c r="V65" s="442">
        <f t="shared" si="7"/>
        <v>830</v>
      </c>
    </row>
    <row r="66" spans="1:22" ht="16.5">
      <c r="A66" s="317">
        <f t="shared" si="8"/>
        <v>59</v>
      </c>
      <c r="B66" s="318" t="s">
        <v>235</v>
      </c>
      <c r="C66" s="318" t="s">
        <v>1610</v>
      </c>
      <c r="D66" s="318" t="s">
        <v>20</v>
      </c>
      <c r="E66" s="318" t="s">
        <v>2473</v>
      </c>
      <c r="F66" s="318"/>
      <c r="G66" s="318"/>
      <c r="H66" s="436">
        <v>20990</v>
      </c>
      <c r="I66" s="317"/>
      <c r="J66" s="317"/>
      <c r="K66" s="436">
        <f t="shared" si="0"/>
        <v>20990</v>
      </c>
      <c r="L66" s="495">
        <v>39910</v>
      </c>
      <c r="M66" s="326">
        <v>19940.5</v>
      </c>
      <c r="N66" s="438">
        <f t="shared" si="1"/>
        <v>1049.5</v>
      </c>
      <c r="O66" s="438">
        <f t="shared" si="2"/>
        <v>5472</v>
      </c>
      <c r="P66" s="452">
        <v>5</v>
      </c>
      <c r="Q66" s="454">
        <f t="shared" si="3"/>
        <v>14.991780821917809</v>
      </c>
      <c r="R66" s="454">
        <f t="shared" si="4"/>
        <v>-9.9917808219178088</v>
      </c>
      <c r="S66" s="455">
        <f t="shared" si="5"/>
        <v>0.19</v>
      </c>
      <c r="T66" s="442">
        <v>0</v>
      </c>
      <c r="U66" s="442">
        <f t="shared" si="6"/>
        <v>1049.5</v>
      </c>
      <c r="V66" s="442">
        <f t="shared" si="7"/>
        <v>1049.5</v>
      </c>
    </row>
    <row r="67" spans="1:22" ht="16.5">
      <c r="A67" s="317">
        <f t="shared" si="8"/>
        <v>60</v>
      </c>
      <c r="B67" s="318" t="s">
        <v>474</v>
      </c>
      <c r="C67" s="318" t="s">
        <v>1610</v>
      </c>
      <c r="D67" s="318" t="s">
        <v>20</v>
      </c>
      <c r="E67" s="318" t="s">
        <v>2472</v>
      </c>
      <c r="F67" s="318" t="s">
        <v>2311</v>
      </c>
      <c r="G67" s="318"/>
      <c r="H67" s="436">
        <v>9200</v>
      </c>
      <c r="I67" s="317"/>
      <c r="J67" s="317"/>
      <c r="K67" s="436">
        <f t="shared" si="0"/>
        <v>9200</v>
      </c>
      <c r="L67" s="495">
        <v>39910</v>
      </c>
      <c r="M67" s="326">
        <v>8740</v>
      </c>
      <c r="N67" s="438">
        <f t="shared" si="1"/>
        <v>460</v>
      </c>
      <c r="O67" s="438">
        <f t="shared" si="2"/>
        <v>5472</v>
      </c>
      <c r="P67" s="452">
        <v>5</v>
      </c>
      <c r="Q67" s="454">
        <f t="shared" si="3"/>
        <v>14.991780821917809</v>
      </c>
      <c r="R67" s="454">
        <f t="shared" si="4"/>
        <v>-9.9917808219178088</v>
      </c>
      <c r="S67" s="455">
        <f t="shared" si="5"/>
        <v>0.19</v>
      </c>
      <c r="T67" s="442">
        <v>0</v>
      </c>
      <c r="U67" s="442">
        <f t="shared" si="6"/>
        <v>460</v>
      </c>
      <c r="V67" s="442">
        <f t="shared" si="7"/>
        <v>460</v>
      </c>
    </row>
    <row r="68" spans="1:22" s="456" customFormat="1" ht="16.5">
      <c r="A68" s="317">
        <f t="shared" si="8"/>
        <v>61</v>
      </c>
      <c r="B68" s="318" t="s">
        <v>2469</v>
      </c>
      <c r="C68" s="318" t="s">
        <v>1610</v>
      </c>
      <c r="D68" s="318" t="s">
        <v>2474</v>
      </c>
      <c r="E68" s="318" t="s">
        <v>427</v>
      </c>
      <c r="F68" s="318" t="s">
        <v>2475</v>
      </c>
      <c r="G68" s="318" t="s">
        <v>2476</v>
      </c>
      <c r="H68" s="436">
        <v>47500</v>
      </c>
      <c r="I68" s="450"/>
      <c r="J68" s="450"/>
      <c r="K68" s="436">
        <f t="shared" si="0"/>
        <v>47500</v>
      </c>
      <c r="L68" s="495">
        <v>40218</v>
      </c>
      <c r="M68" s="326">
        <v>45125</v>
      </c>
      <c r="N68" s="438">
        <f t="shared" si="1"/>
        <v>2375</v>
      </c>
      <c r="O68" s="438">
        <f t="shared" si="2"/>
        <v>5164</v>
      </c>
      <c r="P68" s="452">
        <v>1</v>
      </c>
      <c r="Q68" s="454">
        <f t="shared" si="3"/>
        <v>14.147945205479452</v>
      </c>
      <c r="R68" s="454">
        <f t="shared" si="4"/>
        <v>-13.147945205479452</v>
      </c>
      <c r="S68" s="455">
        <f t="shared" si="5"/>
        <v>0.95</v>
      </c>
      <c r="T68" s="442">
        <v>0</v>
      </c>
      <c r="U68" s="442">
        <f t="shared" si="6"/>
        <v>2375</v>
      </c>
      <c r="V68" s="442">
        <f t="shared" si="7"/>
        <v>2375</v>
      </c>
    </row>
    <row r="69" spans="1:22" ht="16.5">
      <c r="A69" s="317">
        <f t="shared" si="8"/>
        <v>62</v>
      </c>
      <c r="B69" s="318" t="s">
        <v>2477</v>
      </c>
      <c r="C69" s="318" t="s">
        <v>1610</v>
      </c>
      <c r="D69" s="318" t="s">
        <v>20</v>
      </c>
      <c r="E69" s="318" t="s">
        <v>414</v>
      </c>
      <c r="F69" s="318" t="s">
        <v>2478</v>
      </c>
      <c r="G69" s="318"/>
      <c r="H69" s="436">
        <v>7000</v>
      </c>
      <c r="I69" s="317"/>
      <c r="J69" s="317"/>
      <c r="K69" s="436">
        <f t="shared" si="0"/>
        <v>7000</v>
      </c>
      <c r="L69" s="495">
        <v>40183</v>
      </c>
      <c r="M69" s="326">
        <v>6650</v>
      </c>
      <c r="N69" s="438">
        <f t="shared" si="1"/>
        <v>350</v>
      </c>
      <c r="O69" s="438">
        <f t="shared" si="2"/>
        <v>5199</v>
      </c>
      <c r="P69" s="452">
        <v>1</v>
      </c>
      <c r="Q69" s="454">
        <f t="shared" si="3"/>
        <v>14.243835616438357</v>
      </c>
      <c r="R69" s="454">
        <f t="shared" si="4"/>
        <v>-13.243835616438357</v>
      </c>
      <c r="S69" s="455">
        <f t="shared" si="5"/>
        <v>0.95</v>
      </c>
      <c r="T69" s="442">
        <v>0</v>
      </c>
      <c r="U69" s="442">
        <f t="shared" si="6"/>
        <v>350</v>
      </c>
      <c r="V69" s="442">
        <f t="shared" si="7"/>
        <v>350</v>
      </c>
    </row>
    <row r="70" spans="1:22" s="456" customFormat="1" ht="16.5">
      <c r="A70" s="317">
        <f t="shared" si="8"/>
        <v>63</v>
      </c>
      <c r="B70" s="318" t="s">
        <v>2470</v>
      </c>
      <c r="C70" s="318" t="s">
        <v>1610</v>
      </c>
      <c r="D70" s="318" t="s">
        <v>2474</v>
      </c>
      <c r="E70" s="318" t="s">
        <v>2479</v>
      </c>
      <c r="F70" s="318" t="s">
        <v>2480</v>
      </c>
      <c r="G70" s="318" t="s">
        <v>2481</v>
      </c>
      <c r="H70" s="436">
        <v>31990</v>
      </c>
      <c r="I70" s="450"/>
      <c r="J70" s="450"/>
      <c r="K70" s="436">
        <f t="shared" si="0"/>
        <v>31990</v>
      </c>
      <c r="L70" s="495">
        <v>39997</v>
      </c>
      <c r="M70" s="326">
        <v>30390.5</v>
      </c>
      <c r="N70" s="438">
        <f t="shared" si="1"/>
        <v>1599.5</v>
      </c>
      <c r="O70" s="438">
        <f t="shared" si="2"/>
        <v>5385</v>
      </c>
      <c r="P70" s="452">
        <v>1</v>
      </c>
      <c r="Q70" s="454">
        <f t="shared" si="3"/>
        <v>14.753424657534246</v>
      </c>
      <c r="R70" s="454">
        <f t="shared" si="4"/>
        <v>-13.753424657534246</v>
      </c>
      <c r="S70" s="455">
        <f t="shared" si="5"/>
        <v>0.95</v>
      </c>
      <c r="T70" s="442">
        <v>0</v>
      </c>
      <c r="U70" s="442">
        <f t="shared" si="6"/>
        <v>1599.5</v>
      </c>
      <c r="V70" s="442">
        <f t="shared" si="7"/>
        <v>1599.5</v>
      </c>
    </row>
    <row r="71" spans="1:22" s="456" customFormat="1" ht="16.5">
      <c r="A71" s="317">
        <f t="shared" si="8"/>
        <v>64</v>
      </c>
      <c r="B71" s="318" t="s">
        <v>2470</v>
      </c>
      <c r="C71" s="318" t="s">
        <v>1610</v>
      </c>
      <c r="D71" s="318" t="s">
        <v>2474</v>
      </c>
      <c r="E71" s="318" t="s">
        <v>2482</v>
      </c>
      <c r="F71" s="318" t="s">
        <v>2483</v>
      </c>
      <c r="G71" s="318" t="s">
        <v>2484</v>
      </c>
      <c r="H71" s="436">
        <v>48800</v>
      </c>
      <c r="I71" s="450"/>
      <c r="J71" s="450"/>
      <c r="K71" s="436">
        <f t="shared" si="0"/>
        <v>48800</v>
      </c>
      <c r="L71" s="495">
        <v>40047</v>
      </c>
      <c r="M71" s="326">
        <v>46360</v>
      </c>
      <c r="N71" s="438">
        <f t="shared" si="1"/>
        <v>2440</v>
      </c>
      <c r="O71" s="438">
        <f t="shared" si="2"/>
        <v>5335</v>
      </c>
      <c r="P71" s="452">
        <v>1</v>
      </c>
      <c r="Q71" s="454">
        <f t="shared" si="3"/>
        <v>14.616438356164384</v>
      </c>
      <c r="R71" s="454">
        <f t="shared" si="4"/>
        <v>-13.616438356164384</v>
      </c>
      <c r="S71" s="455">
        <f t="shared" si="5"/>
        <v>0.95</v>
      </c>
      <c r="T71" s="442">
        <v>0</v>
      </c>
      <c r="U71" s="442">
        <f t="shared" si="6"/>
        <v>2440</v>
      </c>
      <c r="V71" s="442">
        <f t="shared" si="7"/>
        <v>2440</v>
      </c>
    </row>
    <row r="72" spans="1:22" s="456" customFormat="1" ht="16.5">
      <c r="A72" s="317">
        <f t="shared" si="8"/>
        <v>65</v>
      </c>
      <c r="B72" s="318" t="s">
        <v>2470</v>
      </c>
      <c r="C72" s="318" t="s">
        <v>1610</v>
      </c>
      <c r="D72" s="318" t="s">
        <v>2474</v>
      </c>
      <c r="E72" s="318" t="s">
        <v>2479</v>
      </c>
      <c r="F72" s="318" t="s">
        <v>2485</v>
      </c>
      <c r="G72" s="318" t="s">
        <v>2486</v>
      </c>
      <c r="H72" s="436">
        <v>20200</v>
      </c>
      <c r="I72" s="450"/>
      <c r="J72" s="450"/>
      <c r="K72" s="436">
        <f t="shared" si="0"/>
        <v>20200</v>
      </c>
      <c r="L72" s="495">
        <v>40183</v>
      </c>
      <c r="M72" s="326">
        <v>19190</v>
      </c>
      <c r="N72" s="438">
        <f t="shared" si="1"/>
        <v>1010</v>
      </c>
      <c r="O72" s="438">
        <f t="shared" si="2"/>
        <v>5199</v>
      </c>
      <c r="P72" s="452">
        <v>1</v>
      </c>
      <c r="Q72" s="454">
        <f t="shared" si="3"/>
        <v>14.243835616438357</v>
      </c>
      <c r="R72" s="454">
        <f t="shared" si="4"/>
        <v>-13.243835616438357</v>
      </c>
      <c r="S72" s="455">
        <f t="shared" si="5"/>
        <v>0.95</v>
      </c>
      <c r="T72" s="442">
        <v>0</v>
      </c>
      <c r="U72" s="442">
        <f t="shared" si="6"/>
        <v>1010</v>
      </c>
      <c r="V72" s="442">
        <f t="shared" si="7"/>
        <v>1010</v>
      </c>
    </row>
    <row r="73" spans="1:22" s="456" customFormat="1" ht="16.5">
      <c r="A73" s="317">
        <f t="shared" si="8"/>
        <v>66</v>
      </c>
      <c r="B73" s="318" t="s">
        <v>238</v>
      </c>
      <c r="C73" s="318" t="s">
        <v>1610</v>
      </c>
      <c r="D73" s="318" t="s">
        <v>2487</v>
      </c>
      <c r="E73" s="318" t="s">
        <v>2488</v>
      </c>
      <c r="F73" s="318"/>
      <c r="G73" s="318"/>
      <c r="H73" s="436">
        <v>7850</v>
      </c>
      <c r="I73" s="450"/>
      <c r="J73" s="450"/>
      <c r="K73" s="436">
        <f t="shared" ref="K73:K136" si="9">+H73+I73-J73</f>
        <v>7850</v>
      </c>
      <c r="L73" s="495">
        <v>40116</v>
      </c>
      <c r="M73" s="326">
        <v>7457.5</v>
      </c>
      <c r="N73" s="438">
        <f t="shared" ref="N73:N136" si="10">+K73-M73</f>
        <v>392.5</v>
      </c>
      <c r="O73" s="438">
        <f t="shared" ref="O73:O136" si="11">+$O$3-L73</f>
        <v>5266</v>
      </c>
      <c r="P73" s="452">
        <v>5</v>
      </c>
      <c r="Q73" s="454">
        <f t="shared" ref="Q73:Q136" si="12">+O73/365</f>
        <v>14.427397260273972</v>
      </c>
      <c r="R73" s="454">
        <f t="shared" ref="R73:R136" si="13">+P73-Q73</f>
        <v>-9.4273972602739722</v>
      </c>
      <c r="S73" s="455">
        <f t="shared" ref="S73:S136" si="14">1/P73*0.95</f>
        <v>0.19</v>
      </c>
      <c r="T73" s="442">
        <v>0</v>
      </c>
      <c r="U73" s="442">
        <f t="shared" ref="U73:U136" si="15">+N73-T73</f>
        <v>392.5</v>
      </c>
      <c r="V73" s="442">
        <f t="shared" ref="V73:V136" si="16">+H73*5%</f>
        <v>392.5</v>
      </c>
    </row>
    <row r="74" spans="1:22" s="456" customFormat="1" ht="16.5">
      <c r="A74" s="317">
        <f t="shared" ref="A74:A137" si="17">+A73+1</f>
        <v>67</v>
      </c>
      <c r="B74" s="318" t="s">
        <v>2457</v>
      </c>
      <c r="C74" s="318" t="s">
        <v>1610</v>
      </c>
      <c r="D74" s="318" t="s">
        <v>2474</v>
      </c>
      <c r="E74" s="318" t="s">
        <v>2489</v>
      </c>
      <c r="F74" s="318" t="s">
        <v>2490</v>
      </c>
      <c r="G74" s="318"/>
      <c r="H74" s="436">
        <v>7540</v>
      </c>
      <c r="I74" s="450"/>
      <c r="J74" s="450"/>
      <c r="K74" s="436">
        <f t="shared" si="9"/>
        <v>7540</v>
      </c>
      <c r="L74" s="495">
        <v>39996</v>
      </c>
      <c r="M74" s="326">
        <v>7163</v>
      </c>
      <c r="N74" s="438">
        <f t="shared" si="10"/>
        <v>377</v>
      </c>
      <c r="O74" s="438">
        <f t="shared" si="11"/>
        <v>5386</v>
      </c>
      <c r="P74" s="452">
        <v>5</v>
      </c>
      <c r="Q74" s="454">
        <f t="shared" si="12"/>
        <v>14.756164383561643</v>
      </c>
      <c r="R74" s="454">
        <f t="shared" si="13"/>
        <v>-9.7561643835616429</v>
      </c>
      <c r="S74" s="455">
        <f t="shared" si="14"/>
        <v>0.19</v>
      </c>
      <c r="T74" s="442">
        <v>0</v>
      </c>
      <c r="U74" s="442">
        <f t="shared" si="15"/>
        <v>377</v>
      </c>
      <c r="V74" s="442">
        <f t="shared" si="16"/>
        <v>377</v>
      </c>
    </row>
    <row r="75" spans="1:22" s="456" customFormat="1" ht="16.5">
      <c r="A75" s="317">
        <f t="shared" si="17"/>
        <v>68</v>
      </c>
      <c r="B75" s="318" t="s">
        <v>2491</v>
      </c>
      <c r="C75" s="318" t="s">
        <v>1610</v>
      </c>
      <c r="D75" s="318" t="s">
        <v>2474</v>
      </c>
      <c r="E75" s="318" t="s">
        <v>2492</v>
      </c>
      <c r="F75" s="318" t="s">
        <v>1676</v>
      </c>
      <c r="G75" s="318" t="s">
        <v>2493</v>
      </c>
      <c r="H75" s="436">
        <v>20436</v>
      </c>
      <c r="I75" s="450"/>
      <c r="J75" s="450"/>
      <c r="K75" s="436">
        <f t="shared" si="9"/>
        <v>20436</v>
      </c>
      <c r="L75" s="495">
        <v>40157</v>
      </c>
      <c r="M75" s="326">
        <v>19414.2</v>
      </c>
      <c r="N75" s="438">
        <f t="shared" si="10"/>
        <v>1021.7999999999993</v>
      </c>
      <c r="O75" s="438">
        <f t="shared" si="11"/>
        <v>5225</v>
      </c>
      <c r="P75" s="452">
        <v>5</v>
      </c>
      <c r="Q75" s="454">
        <f t="shared" si="12"/>
        <v>14.315068493150685</v>
      </c>
      <c r="R75" s="454">
        <f t="shared" si="13"/>
        <v>-9.3150684931506849</v>
      </c>
      <c r="S75" s="455">
        <f t="shared" si="14"/>
        <v>0.19</v>
      </c>
      <c r="T75" s="442">
        <v>0</v>
      </c>
      <c r="U75" s="442">
        <f t="shared" si="15"/>
        <v>1021.7999999999993</v>
      </c>
      <c r="V75" s="442">
        <f t="shared" si="16"/>
        <v>1021.8000000000001</v>
      </c>
    </row>
    <row r="76" spans="1:22" s="456" customFormat="1" ht="16.5">
      <c r="A76" s="317">
        <f t="shared" si="17"/>
        <v>69</v>
      </c>
      <c r="B76" s="318" t="s">
        <v>235</v>
      </c>
      <c r="C76" s="318" t="s">
        <v>1645</v>
      </c>
      <c r="D76" s="318" t="s">
        <v>1108</v>
      </c>
      <c r="E76" s="318" t="s">
        <v>2473</v>
      </c>
      <c r="F76" s="318" t="s">
        <v>2494</v>
      </c>
      <c r="G76" s="318" t="s">
        <v>2495</v>
      </c>
      <c r="H76" s="436">
        <v>28490</v>
      </c>
      <c r="I76" s="450"/>
      <c r="J76" s="450"/>
      <c r="K76" s="436">
        <f t="shared" si="9"/>
        <v>28490</v>
      </c>
      <c r="L76" s="495">
        <v>40606</v>
      </c>
      <c r="M76" s="326">
        <v>27065.5</v>
      </c>
      <c r="N76" s="438">
        <f t="shared" si="10"/>
        <v>1424.5</v>
      </c>
      <c r="O76" s="438">
        <f t="shared" si="11"/>
        <v>4776</v>
      </c>
      <c r="P76" s="452">
        <v>5</v>
      </c>
      <c r="Q76" s="454">
        <f t="shared" si="12"/>
        <v>13.084931506849315</v>
      </c>
      <c r="R76" s="454">
        <f t="shared" si="13"/>
        <v>-8.0849315068493155</v>
      </c>
      <c r="S76" s="455">
        <f t="shared" si="14"/>
        <v>0.19</v>
      </c>
      <c r="T76" s="442">
        <v>0</v>
      </c>
      <c r="U76" s="442">
        <f t="shared" si="15"/>
        <v>1424.5</v>
      </c>
      <c r="V76" s="442">
        <f t="shared" si="16"/>
        <v>1424.5</v>
      </c>
    </row>
    <row r="77" spans="1:22" s="456" customFormat="1" ht="16.5">
      <c r="A77" s="317">
        <f t="shared" si="17"/>
        <v>70</v>
      </c>
      <c r="B77" s="318" t="s">
        <v>474</v>
      </c>
      <c r="C77" s="318" t="s">
        <v>1645</v>
      </c>
      <c r="D77" s="318" t="s">
        <v>1108</v>
      </c>
      <c r="E77" s="318" t="s">
        <v>2302</v>
      </c>
      <c r="F77" s="318" t="s">
        <v>2496</v>
      </c>
      <c r="G77" s="318"/>
      <c r="H77" s="436">
        <v>20400</v>
      </c>
      <c r="I77" s="450"/>
      <c r="J77" s="450"/>
      <c r="K77" s="436">
        <f t="shared" si="9"/>
        <v>20400</v>
      </c>
      <c r="L77" s="495">
        <v>40570</v>
      </c>
      <c r="M77" s="326">
        <v>19380</v>
      </c>
      <c r="N77" s="438">
        <f t="shared" si="10"/>
        <v>1020</v>
      </c>
      <c r="O77" s="438">
        <f t="shared" si="11"/>
        <v>4812</v>
      </c>
      <c r="P77" s="452">
        <v>5</v>
      </c>
      <c r="Q77" s="454">
        <f t="shared" si="12"/>
        <v>13.183561643835617</v>
      </c>
      <c r="R77" s="454">
        <f t="shared" si="13"/>
        <v>-8.1835616438356169</v>
      </c>
      <c r="S77" s="455">
        <f t="shared" si="14"/>
        <v>0.19</v>
      </c>
      <c r="T77" s="442">
        <v>0</v>
      </c>
      <c r="U77" s="442">
        <f t="shared" si="15"/>
        <v>1020</v>
      </c>
      <c r="V77" s="442">
        <f t="shared" si="16"/>
        <v>1020</v>
      </c>
    </row>
    <row r="78" spans="1:22" s="456" customFormat="1" ht="16.5">
      <c r="A78" s="317">
        <f t="shared" si="17"/>
        <v>71</v>
      </c>
      <c r="B78" s="318" t="s">
        <v>238</v>
      </c>
      <c r="C78" s="318" t="s">
        <v>1645</v>
      </c>
      <c r="D78" s="318" t="s">
        <v>1108</v>
      </c>
      <c r="E78" s="318" t="s">
        <v>2302</v>
      </c>
      <c r="F78" s="318" t="s">
        <v>2496</v>
      </c>
      <c r="G78" s="318"/>
      <c r="H78" s="436">
        <v>16400</v>
      </c>
      <c r="I78" s="450"/>
      <c r="J78" s="450"/>
      <c r="K78" s="436">
        <f t="shared" si="9"/>
        <v>16400</v>
      </c>
      <c r="L78" s="495">
        <v>40570</v>
      </c>
      <c r="M78" s="326">
        <v>15580</v>
      </c>
      <c r="N78" s="438">
        <f t="shared" si="10"/>
        <v>820</v>
      </c>
      <c r="O78" s="438">
        <f t="shared" si="11"/>
        <v>4812</v>
      </c>
      <c r="P78" s="452">
        <v>5</v>
      </c>
      <c r="Q78" s="454">
        <f t="shared" si="12"/>
        <v>13.183561643835617</v>
      </c>
      <c r="R78" s="454">
        <f t="shared" si="13"/>
        <v>-8.1835616438356169</v>
      </c>
      <c r="S78" s="455">
        <f t="shared" si="14"/>
        <v>0.19</v>
      </c>
      <c r="T78" s="442">
        <v>0</v>
      </c>
      <c r="U78" s="442">
        <f t="shared" si="15"/>
        <v>820</v>
      </c>
      <c r="V78" s="442">
        <f t="shared" si="16"/>
        <v>820</v>
      </c>
    </row>
    <row r="79" spans="1:22" s="456" customFormat="1" ht="16.5">
      <c r="A79" s="317">
        <f t="shared" si="17"/>
        <v>72</v>
      </c>
      <c r="B79" s="318" t="s">
        <v>238</v>
      </c>
      <c r="C79" s="318" t="s">
        <v>1645</v>
      </c>
      <c r="D79" s="318" t="s">
        <v>1108</v>
      </c>
      <c r="E79" s="318" t="s">
        <v>2302</v>
      </c>
      <c r="F79" s="318" t="s">
        <v>2497</v>
      </c>
      <c r="G79" s="318"/>
      <c r="H79" s="436">
        <v>7000</v>
      </c>
      <c r="I79" s="450"/>
      <c r="J79" s="450"/>
      <c r="K79" s="436">
        <f t="shared" si="9"/>
        <v>7000</v>
      </c>
      <c r="L79" s="495">
        <v>40606</v>
      </c>
      <c r="M79" s="326">
        <v>6650</v>
      </c>
      <c r="N79" s="438">
        <f t="shared" si="10"/>
        <v>350</v>
      </c>
      <c r="O79" s="438">
        <f t="shared" si="11"/>
        <v>4776</v>
      </c>
      <c r="P79" s="452">
        <v>5</v>
      </c>
      <c r="Q79" s="454">
        <f t="shared" si="12"/>
        <v>13.084931506849315</v>
      </c>
      <c r="R79" s="454">
        <f t="shared" si="13"/>
        <v>-8.0849315068493155</v>
      </c>
      <c r="S79" s="455">
        <f t="shared" si="14"/>
        <v>0.19</v>
      </c>
      <c r="T79" s="442">
        <v>0</v>
      </c>
      <c r="U79" s="442">
        <f t="shared" si="15"/>
        <v>350</v>
      </c>
      <c r="V79" s="442">
        <f t="shared" si="16"/>
        <v>350</v>
      </c>
    </row>
    <row r="80" spans="1:22" s="456" customFormat="1" ht="16.5">
      <c r="A80" s="317">
        <f t="shared" si="17"/>
        <v>73</v>
      </c>
      <c r="B80" s="318" t="s">
        <v>2469</v>
      </c>
      <c r="C80" s="318" t="s">
        <v>1645</v>
      </c>
      <c r="D80" s="318"/>
      <c r="E80" s="318" t="s">
        <v>414</v>
      </c>
      <c r="F80" s="318"/>
      <c r="G80" s="318"/>
      <c r="H80" s="436">
        <v>7800</v>
      </c>
      <c r="I80" s="450"/>
      <c r="J80" s="450"/>
      <c r="K80" s="436">
        <f t="shared" si="9"/>
        <v>7800</v>
      </c>
      <c r="L80" s="495">
        <v>40509</v>
      </c>
      <c r="M80" s="326">
        <v>7410</v>
      </c>
      <c r="N80" s="438">
        <f t="shared" si="10"/>
        <v>390</v>
      </c>
      <c r="O80" s="438">
        <f t="shared" si="11"/>
        <v>4873</v>
      </c>
      <c r="P80" s="452">
        <v>1</v>
      </c>
      <c r="Q80" s="454">
        <f t="shared" si="12"/>
        <v>13.35068493150685</v>
      </c>
      <c r="R80" s="454">
        <f t="shared" si="13"/>
        <v>-12.35068493150685</v>
      </c>
      <c r="S80" s="455">
        <f t="shared" si="14"/>
        <v>0.95</v>
      </c>
      <c r="T80" s="442">
        <v>0</v>
      </c>
      <c r="U80" s="442">
        <f t="shared" si="15"/>
        <v>390</v>
      </c>
      <c r="V80" s="442">
        <f t="shared" si="16"/>
        <v>390</v>
      </c>
    </row>
    <row r="81" spans="1:22" s="456" customFormat="1" ht="16.5">
      <c r="A81" s="317">
        <f t="shared" si="17"/>
        <v>74</v>
      </c>
      <c r="B81" s="318" t="s">
        <v>2469</v>
      </c>
      <c r="C81" s="318" t="s">
        <v>1645</v>
      </c>
      <c r="D81" s="318" t="s">
        <v>1673</v>
      </c>
      <c r="E81" s="318" t="s">
        <v>414</v>
      </c>
      <c r="F81" s="318"/>
      <c r="G81" s="318"/>
      <c r="H81" s="436">
        <v>5200</v>
      </c>
      <c r="I81" s="450"/>
      <c r="J81" s="450"/>
      <c r="K81" s="436">
        <f t="shared" si="9"/>
        <v>5200</v>
      </c>
      <c r="L81" s="495">
        <v>40629</v>
      </c>
      <c r="M81" s="326">
        <v>4940</v>
      </c>
      <c r="N81" s="438">
        <f t="shared" si="10"/>
        <v>260</v>
      </c>
      <c r="O81" s="438">
        <f t="shared" si="11"/>
        <v>4753</v>
      </c>
      <c r="P81" s="452">
        <v>1</v>
      </c>
      <c r="Q81" s="454">
        <f t="shared" si="12"/>
        <v>13.021917808219179</v>
      </c>
      <c r="R81" s="454">
        <f t="shared" si="13"/>
        <v>-12.021917808219179</v>
      </c>
      <c r="S81" s="455">
        <f t="shared" si="14"/>
        <v>0.95</v>
      </c>
      <c r="T81" s="442">
        <v>0</v>
      </c>
      <c r="U81" s="442">
        <f t="shared" si="15"/>
        <v>260</v>
      </c>
      <c r="V81" s="442">
        <f t="shared" si="16"/>
        <v>260</v>
      </c>
    </row>
    <row r="82" spans="1:22" s="456" customFormat="1" ht="16.5">
      <c r="A82" s="317">
        <f t="shared" si="17"/>
        <v>75</v>
      </c>
      <c r="B82" s="318" t="s">
        <v>2470</v>
      </c>
      <c r="C82" s="318" t="s">
        <v>1645</v>
      </c>
      <c r="D82" s="318" t="s">
        <v>2498</v>
      </c>
      <c r="E82" s="318" t="s">
        <v>414</v>
      </c>
      <c r="F82" s="318"/>
      <c r="G82" s="318"/>
      <c r="H82" s="436">
        <v>9290</v>
      </c>
      <c r="I82" s="450"/>
      <c r="J82" s="450"/>
      <c r="K82" s="436">
        <f t="shared" si="9"/>
        <v>9290</v>
      </c>
      <c r="L82" s="495">
        <v>40272</v>
      </c>
      <c r="M82" s="326">
        <v>8825.5</v>
      </c>
      <c r="N82" s="438">
        <f t="shared" si="10"/>
        <v>464.5</v>
      </c>
      <c r="O82" s="438">
        <f t="shared" si="11"/>
        <v>5110</v>
      </c>
      <c r="P82" s="452">
        <v>1</v>
      </c>
      <c r="Q82" s="454">
        <f t="shared" si="12"/>
        <v>14</v>
      </c>
      <c r="R82" s="454">
        <f t="shared" si="13"/>
        <v>-13</v>
      </c>
      <c r="S82" s="455">
        <f t="shared" si="14"/>
        <v>0.95</v>
      </c>
      <c r="T82" s="442">
        <v>0</v>
      </c>
      <c r="U82" s="442">
        <f t="shared" si="15"/>
        <v>464.5</v>
      </c>
      <c r="V82" s="442">
        <f t="shared" si="16"/>
        <v>464.5</v>
      </c>
    </row>
    <row r="83" spans="1:22" ht="16.5">
      <c r="A83" s="317">
        <f t="shared" si="17"/>
        <v>76</v>
      </c>
      <c r="B83" s="318" t="s">
        <v>2470</v>
      </c>
      <c r="C83" s="318" t="s">
        <v>1645</v>
      </c>
      <c r="D83" s="318" t="s">
        <v>2498</v>
      </c>
      <c r="E83" s="318" t="s">
        <v>414</v>
      </c>
      <c r="F83" s="318"/>
      <c r="G83" s="318"/>
      <c r="H83" s="436">
        <v>13200</v>
      </c>
      <c r="I83" s="317"/>
      <c r="J83" s="317"/>
      <c r="K83" s="436">
        <f t="shared" si="9"/>
        <v>13200</v>
      </c>
      <c r="L83" s="495">
        <v>40451</v>
      </c>
      <c r="M83" s="326">
        <v>12540</v>
      </c>
      <c r="N83" s="438">
        <f t="shared" si="10"/>
        <v>660</v>
      </c>
      <c r="O83" s="438">
        <f t="shared" si="11"/>
        <v>4931</v>
      </c>
      <c r="P83" s="452">
        <v>1</v>
      </c>
      <c r="Q83" s="454">
        <f t="shared" si="12"/>
        <v>13.509589041095891</v>
      </c>
      <c r="R83" s="454">
        <f t="shared" si="13"/>
        <v>-12.509589041095891</v>
      </c>
      <c r="S83" s="455">
        <f t="shared" si="14"/>
        <v>0.95</v>
      </c>
      <c r="T83" s="442">
        <v>0</v>
      </c>
      <c r="U83" s="442">
        <f t="shared" si="15"/>
        <v>660</v>
      </c>
      <c r="V83" s="442">
        <f t="shared" si="16"/>
        <v>660</v>
      </c>
    </row>
    <row r="84" spans="1:22" ht="16.5">
      <c r="A84" s="317">
        <f t="shared" si="17"/>
        <v>77</v>
      </c>
      <c r="B84" s="318" t="s">
        <v>2499</v>
      </c>
      <c r="C84" s="318" t="s">
        <v>1645</v>
      </c>
      <c r="D84" s="318"/>
      <c r="E84" s="318" t="s">
        <v>2500</v>
      </c>
      <c r="F84" s="318" t="s">
        <v>2501</v>
      </c>
      <c r="G84" s="318" t="s">
        <v>2502</v>
      </c>
      <c r="H84" s="436">
        <v>10000</v>
      </c>
      <c r="I84" s="317"/>
      <c r="J84" s="317"/>
      <c r="K84" s="436">
        <f t="shared" si="9"/>
        <v>10000</v>
      </c>
      <c r="L84" s="495">
        <v>40513</v>
      </c>
      <c r="M84" s="326">
        <v>9500</v>
      </c>
      <c r="N84" s="438">
        <f t="shared" si="10"/>
        <v>500</v>
      </c>
      <c r="O84" s="438">
        <f t="shared" si="11"/>
        <v>4869</v>
      </c>
      <c r="P84" s="452">
        <v>5</v>
      </c>
      <c r="Q84" s="454">
        <f t="shared" si="12"/>
        <v>13.33972602739726</v>
      </c>
      <c r="R84" s="454">
        <f t="shared" si="13"/>
        <v>-8.3397260273972602</v>
      </c>
      <c r="S84" s="455">
        <f t="shared" si="14"/>
        <v>0.19</v>
      </c>
      <c r="T84" s="442">
        <v>0</v>
      </c>
      <c r="U84" s="442">
        <f t="shared" si="15"/>
        <v>500</v>
      </c>
      <c r="V84" s="442">
        <f t="shared" si="16"/>
        <v>500</v>
      </c>
    </row>
    <row r="85" spans="1:22" ht="16.5">
      <c r="A85" s="317">
        <f t="shared" si="17"/>
        <v>78</v>
      </c>
      <c r="B85" s="318" t="s">
        <v>238</v>
      </c>
      <c r="C85" s="318" t="s">
        <v>1645</v>
      </c>
      <c r="D85" s="318" t="s">
        <v>1788</v>
      </c>
      <c r="E85" s="318"/>
      <c r="F85" s="318"/>
      <c r="G85" s="318"/>
      <c r="H85" s="436">
        <v>5950</v>
      </c>
      <c r="I85" s="317"/>
      <c r="J85" s="317"/>
      <c r="K85" s="436">
        <f t="shared" si="9"/>
        <v>5950</v>
      </c>
      <c r="L85" s="495">
        <v>40294</v>
      </c>
      <c r="M85" s="326">
        <v>5652.5</v>
      </c>
      <c r="N85" s="438">
        <f t="shared" si="10"/>
        <v>297.5</v>
      </c>
      <c r="O85" s="438">
        <f t="shared" si="11"/>
        <v>5088</v>
      </c>
      <c r="P85" s="452">
        <v>5</v>
      </c>
      <c r="Q85" s="454">
        <f t="shared" si="12"/>
        <v>13.93972602739726</v>
      </c>
      <c r="R85" s="454">
        <f t="shared" si="13"/>
        <v>-8.9397260273972599</v>
      </c>
      <c r="S85" s="455">
        <f t="shared" si="14"/>
        <v>0.19</v>
      </c>
      <c r="T85" s="442">
        <v>0</v>
      </c>
      <c r="U85" s="442">
        <f t="shared" si="15"/>
        <v>297.5</v>
      </c>
      <c r="V85" s="442">
        <f t="shared" si="16"/>
        <v>297.5</v>
      </c>
    </row>
    <row r="86" spans="1:22" ht="16.5">
      <c r="A86" s="317">
        <f t="shared" si="17"/>
        <v>79</v>
      </c>
      <c r="B86" s="318" t="s">
        <v>238</v>
      </c>
      <c r="C86" s="318" t="s">
        <v>1645</v>
      </c>
      <c r="D86" s="318" t="s">
        <v>2503</v>
      </c>
      <c r="E86" s="318" t="s">
        <v>2504</v>
      </c>
      <c r="F86" s="318" t="s">
        <v>414</v>
      </c>
      <c r="G86" s="318"/>
      <c r="H86" s="436">
        <v>9300</v>
      </c>
      <c r="I86" s="317"/>
      <c r="J86" s="317"/>
      <c r="K86" s="436">
        <f t="shared" si="9"/>
        <v>9300</v>
      </c>
      <c r="L86" s="495">
        <v>40301</v>
      </c>
      <c r="M86" s="326">
        <v>8835</v>
      </c>
      <c r="N86" s="438">
        <f t="shared" si="10"/>
        <v>465</v>
      </c>
      <c r="O86" s="438">
        <f t="shared" si="11"/>
        <v>5081</v>
      </c>
      <c r="P86" s="452">
        <v>5</v>
      </c>
      <c r="Q86" s="454">
        <f t="shared" si="12"/>
        <v>13.920547945205479</v>
      </c>
      <c r="R86" s="454">
        <f t="shared" si="13"/>
        <v>-8.9205479452054792</v>
      </c>
      <c r="S86" s="455">
        <f t="shared" si="14"/>
        <v>0.19</v>
      </c>
      <c r="T86" s="442">
        <v>0</v>
      </c>
      <c r="U86" s="442">
        <f t="shared" si="15"/>
        <v>465</v>
      </c>
      <c r="V86" s="442">
        <f t="shared" si="16"/>
        <v>465</v>
      </c>
    </row>
    <row r="87" spans="1:22" ht="16.5">
      <c r="A87" s="317">
        <f t="shared" si="17"/>
        <v>80</v>
      </c>
      <c r="B87" s="318" t="s">
        <v>238</v>
      </c>
      <c r="C87" s="318" t="s">
        <v>1645</v>
      </c>
      <c r="D87" s="318" t="s">
        <v>2505</v>
      </c>
      <c r="E87" s="318"/>
      <c r="F87" s="318"/>
      <c r="G87" s="318"/>
      <c r="H87" s="436">
        <v>5770</v>
      </c>
      <c r="I87" s="317"/>
      <c r="J87" s="317"/>
      <c r="K87" s="436">
        <f t="shared" si="9"/>
        <v>5770</v>
      </c>
      <c r="L87" s="495">
        <v>40395</v>
      </c>
      <c r="M87" s="326">
        <v>5481.5</v>
      </c>
      <c r="N87" s="438">
        <f t="shared" si="10"/>
        <v>288.5</v>
      </c>
      <c r="O87" s="438">
        <f t="shared" si="11"/>
        <v>4987</v>
      </c>
      <c r="P87" s="452">
        <v>5</v>
      </c>
      <c r="Q87" s="454">
        <f t="shared" si="12"/>
        <v>13.663013698630136</v>
      </c>
      <c r="R87" s="454">
        <f t="shared" si="13"/>
        <v>-8.6630136986301363</v>
      </c>
      <c r="S87" s="455">
        <f t="shared" si="14"/>
        <v>0.19</v>
      </c>
      <c r="T87" s="442">
        <v>0</v>
      </c>
      <c r="U87" s="442">
        <f t="shared" si="15"/>
        <v>288.5</v>
      </c>
      <c r="V87" s="442">
        <f t="shared" si="16"/>
        <v>288.5</v>
      </c>
    </row>
    <row r="88" spans="1:22" ht="16.5">
      <c r="A88" s="317">
        <f t="shared" si="17"/>
        <v>81</v>
      </c>
      <c r="B88" s="318" t="s">
        <v>238</v>
      </c>
      <c r="C88" s="318" t="s">
        <v>1645</v>
      </c>
      <c r="D88" s="318" t="s">
        <v>1788</v>
      </c>
      <c r="E88" s="318"/>
      <c r="F88" s="318"/>
      <c r="G88" s="318"/>
      <c r="H88" s="436">
        <v>7450</v>
      </c>
      <c r="I88" s="317"/>
      <c r="J88" s="317"/>
      <c r="K88" s="436">
        <f t="shared" si="9"/>
        <v>7450</v>
      </c>
      <c r="L88" s="495">
        <v>40570</v>
      </c>
      <c r="M88" s="326">
        <v>7077.5</v>
      </c>
      <c r="N88" s="438">
        <f t="shared" si="10"/>
        <v>372.5</v>
      </c>
      <c r="O88" s="438">
        <f t="shared" si="11"/>
        <v>4812</v>
      </c>
      <c r="P88" s="452">
        <v>5</v>
      </c>
      <c r="Q88" s="454">
        <f t="shared" si="12"/>
        <v>13.183561643835617</v>
      </c>
      <c r="R88" s="454">
        <f t="shared" si="13"/>
        <v>-8.1835616438356169</v>
      </c>
      <c r="S88" s="455">
        <f t="shared" si="14"/>
        <v>0.19</v>
      </c>
      <c r="T88" s="442">
        <v>0</v>
      </c>
      <c r="U88" s="442">
        <f t="shared" si="15"/>
        <v>372.5</v>
      </c>
      <c r="V88" s="442">
        <f t="shared" si="16"/>
        <v>372.5</v>
      </c>
    </row>
    <row r="89" spans="1:22" ht="16.5">
      <c r="A89" s="317">
        <f t="shared" si="17"/>
        <v>82</v>
      </c>
      <c r="B89" s="318" t="s">
        <v>238</v>
      </c>
      <c r="C89" s="318" t="s">
        <v>1645</v>
      </c>
      <c r="D89" s="318" t="s">
        <v>1673</v>
      </c>
      <c r="E89" s="318"/>
      <c r="F89" s="318" t="s">
        <v>414</v>
      </c>
      <c r="G89" s="318"/>
      <c r="H89" s="436">
        <v>9500</v>
      </c>
      <c r="I89" s="317"/>
      <c r="J89" s="317"/>
      <c r="K89" s="436">
        <f t="shared" si="9"/>
        <v>9500</v>
      </c>
      <c r="L89" s="495">
        <v>40602</v>
      </c>
      <c r="M89" s="326">
        <v>9025</v>
      </c>
      <c r="N89" s="438">
        <f t="shared" si="10"/>
        <v>475</v>
      </c>
      <c r="O89" s="438">
        <f t="shared" si="11"/>
        <v>4780</v>
      </c>
      <c r="P89" s="452">
        <v>5</v>
      </c>
      <c r="Q89" s="454">
        <f t="shared" si="12"/>
        <v>13.095890410958905</v>
      </c>
      <c r="R89" s="454">
        <f t="shared" si="13"/>
        <v>-8.0958904109589049</v>
      </c>
      <c r="S89" s="455">
        <f t="shared" si="14"/>
        <v>0.19</v>
      </c>
      <c r="T89" s="442">
        <v>0</v>
      </c>
      <c r="U89" s="442">
        <f t="shared" si="15"/>
        <v>475</v>
      </c>
      <c r="V89" s="442">
        <f t="shared" si="16"/>
        <v>475</v>
      </c>
    </row>
    <row r="90" spans="1:22" ht="16.5">
      <c r="A90" s="317">
        <f t="shared" si="17"/>
        <v>83</v>
      </c>
      <c r="B90" s="318" t="s">
        <v>238</v>
      </c>
      <c r="C90" s="318" t="s">
        <v>1645</v>
      </c>
      <c r="D90" s="318" t="s">
        <v>1673</v>
      </c>
      <c r="E90" s="318"/>
      <c r="F90" s="318" t="s">
        <v>414</v>
      </c>
      <c r="G90" s="318"/>
      <c r="H90" s="436">
        <v>8500</v>
      </c>
      <c r="I90" s="317"/>
      <c r="J90" s="317"/>
      <c r="K90" s="436">
        <f t="shared" si="9"/>
        <v>8500</v>
      </c>
      <c r="L90" s="495">
        <v>40629</v>
      </c>
      <c r="M90" s="326">
        <v>8075</v>
      </c>
      <c r="N90" s="438">
        <f t="shared" si="10"/>
        <v>425</v>
      </c>
      <c r="O90" s="438">
        <f t="shared" si="11"/>
        <v>4753</v>
      </c>
      <c r="P90" s="452">
        <v>5</v>
      </c>
      <c r="Q90" s="454">
        <f t="shared" si="12"/>
        <v>13.021917808219179</v>
      </c>
      <c r="R90" s="454">
        <f t="shared" si="13"/>
        <v>-8.0219178082191789</v>
      </c>
      <c r="S90" s="455">
        <f t="shared" si="14"/>
        <v>0.19</v>
      </c>
      <c r="T90" s="442">
        <v>0</v>
      </c>
      <c r="U90" s="442">
        <f t="shared" si="15"/>
        <v>425</v>
      </c>
      <c r="V90" s="442">
        <f t="shared" si="16"/>
        <v>425</v>
      </c>
    </row>
    <row r="91" spans="1:22" ht="16.5">
      <c r="A91" s="317">
        <f t="shared" si="17"/>
        <v>84</v>
      </c>
      <c r="B91" s="318" t="s">
        <v>2470</v>
      </c>
      <c r="C91" s="318" t="s">
        <v>1705</v>
      </c>
      <c r="D91" s="318" t="s">
        <v>2506</v>
      </c>
      <c r="E91" s="318" t="s">
        <v>2507</v>
      </c>
      <c r="F91" s="318" t="s">
        <v>2508</v>
      </c>
      <c r="G91" s="318" t="s">
        <v>2509</v>
      </c>
      <c r="H91" s="436">
        <v>31890</v>
      </c>
      <c r="I91" s="317"/>
      <c r="J91" s="317"/>
      <c r="K91" s="436">
        <f t="shared" si="9"/>
        <v>31890</v>
      </c>
      <c r="L91" s="495">
        <v>40638</v>
      </c>
      <c r="M91" s="326">
        <v>30295.5</v>
      </c>
      <c r="N91" s="438">
        <f t="shared" si="10"/>
        <v>1594.5</v>
      </c>
      <c r="O91" s="438">
        <f t="shared" si="11"/>
        <v>4744</v>
      </c>
      <c r="P91" s="452">
        <v>1</v>
      </c>
      <c r="Q91" s="454">
        <f t="shared" si="12"/>
        <v>12.997260273972604</v>
      </c>
      <c r="R91" s="454">
        <f t="shared" si="13"/>
        <v>-11.997260273972604</v>
      </c>
      <c r="S91" s="455">
        <f t="shared" si="14"/>
        <v>0.95</v>
      </c>
      <c r="T91" s="442">
        <v>0</v>
      </c>
      <c r="U91" s="442">
        <f t="shared" si="15"/>
        <v>1594.5</v>
      </c>
      <c r="V91" s="442">
        <f t="shared" si="16"/>
        <v>1594.5</v>
      </c>
    </row>
    <row r="92" spans="1:22" ht="16.5">
      <c r="A92" s="317">
        <f t="shared" si="17"/>
        <v>85</v>
      </c>
      <c r="B92" s="318" t="s">
        <v>2470</v>
      </c>
      <c r="C92" s="318" t="s">
        <v>1705</v>
      </c>
      <c r="D92" s="318" t="s">
        <v>2510</v>
      </c>
      <c r="E92" s="318" t="s">
        <v>2511</v>
      </c>
      <c r="F92" s="318" t="s">
        <v>2512</v>
      </c>
      <c r="G92" s="318" t="s">
        <v>2513</v>
      </c>
      <c r="H92" s="436">
        <v>31700</v>
      </c>
      <c r="I92" s="317"/>
      <c r="J92" s="317"/>
      <c r="K92" s="436">
        <f t="shared" si="9"/>
        <v>31700</v>
      </c>
      <c r="L92" s="495">
        <v>40677</v>
      </c>
      <c r="M92" s="326">
        <v>30115</v>
      </c>
      <c r="N92" s="438">
        <f t="shared" si="10"/>
        <v>1585</v>
      </c>
      <c r="O92" s="438">
        <f t="shared" si="11"/>
        <v>4705</v>
      </c>
      <c r="P92" s="452">
        <v>1</v>
      </c>
      <c r="Q92" s="454">
        <f t="shared" si="12"/>
        <v>12.890410958904109</v>
      </c>
      <c r="R92" s="454">
        <f t="shared" si="13"/>
        <v>-11.890410958904109</v>
      </c>
      <c r="S92" s="455">
        <f t="shared" si="14"/>
        <v>0.95</v>
      </c>
      <c r="T92" s="442">
        <v>0</v>
      </c>
      <c r="U92" s="442">
        <f t="shared" si="15"/>
        <v>1585</v>
      </c>
      <c r="V92" s="442">
        <f t="shared" si="16"/>
        <v>1585</v>
      </c>
    </row>
    <row r="93" spans="1:22" ht="16.5">
      <c r="A93" s="317">
        <f t="shared" si="17"/>
        <v>86</v>
      </c>
      <c r="B93" s="318" t="s">
        <v>2470</v>
      </c>
      <c r="C93" s="318" t="s">
        <v>1705</v>
      </c>
      <c r="D93" s="318" t="s">
        <v>2506</v>
      </c>
      <c r="E93" s="318" t="s">
        <v>2507</v>
      </c>
      <c r="F93" s="318" t="s">
        <v>2514</v>
      </c>
      <c r="G93" s="318" t="s">
        <v>2515</v>
      </c>
      <c r="H93" s="436">
        <v>29150</v>
      </c>
      <c r="I93" s="317"/>
      <c r="J93" s="317"/>
      <c r="K93" s="436">
        <f t="shared" si="9"/>
        <v>29150</v>
      </c>
      <c r="L93" s="496">
        <v>40717</v>
      </c>
      <c r="M93" s="326">
        <v>27692.5</v>
      </c>
      <c r="N93" s="438">
        <f t="shared" si="10"/>
        <v>1457.5</v>
      </c>
      <c r="O93" s="438">
        <f t="shared" si="11"/>
        <v>4665</v>
      </c>
      <c r="P93" s="452">
        <v>1</v>
      </c>
      <c r="Q93" s="454">
        <f t="shared" si="12"/>
        <v>12.780821917808218</v>
      </c>
      <c r="R93" s="454">
        <f t="shared" si="13"/>
        <v>-11.780821917808218</v>
      </c>
      <c r="S93" s="455">
        <f t="shared" si="14"/>
        <v>0.95</v>
      </c>
      <c r="T93" s="442">
        <v>0</v>
      </c>
      <c r="U93" s="442">
        <f t="shared" si="15"/>
        <v>1457.5</v>
      </c>
      <c r="V93" s="442">
        <f t="shared" si="16"/>
        <v>1457.5</v>
      </c>
    </row>
    <row r="94" spans="1:22" ht="16.5">
      <c r="A94" s="317">
        <f t="shared" si="17"/>
        <v>87</v>
      </c>
      <c r="B94" s="318" t="s">
        <v>2470</v>
      </c>
      <c r="C94" s="318" t="s">
        <v>1705</v>
      </c>
      <c r="D94" s="318" t="s">
        <v>2506</v>
      </c>
      <c r="E94" s="318" t="s">
        <v>2511</v>
      </c>
      <c r="F94" s="318" t="s">
        <v>2516</v>
      </c>
      <c r="G94" s="318" t="s">
        <v>2515</v>
      </c>
      <c r="H94" s="436">
        <v>7999</v>
      </c>
      <c r="I94" s="317"/>
      <c r="J94" s="317"/>
      <c r="K94" s="436">
        <f t="shared" si="9"/>
        <v>7999</v>
      </c>
      <c r="L94" s="496">
        <v>40717</v>
      </c>
      <c r="M94" s="326">
        <v>7599.05</v>
      </c>
      <c r="N94" s="438">
        <f t="shared" si="10"/>
        <v>399.94999999999982</v>
      </c>
      <c r="O94" s="438">
        <f t="shared" si="11"/>
        <v>4665</v>
      </c>
      <c r="P94" s="452">
        <v>1</v>
      </c>
      <c r="Q94" s="454">
        <f t="shared" si="12"/>
        <v>12.780821917808218</v>
      </c>
      <c r="R94" s="454">
        <f t="shared" si="13"/>
        <v>-11.780821917808218</v>
      </c>
      <c r="S94" s="455">
        <f t="shared" si="14"/>
        <v>0.95</v>
      </c>
      <c r="T94" s="442">
        <v>0</v>
      </c>
      <c r="U94" s="442">
        <f t="shared" si="15"/>
        <v>399.94999999999982</v>
      </c>
      <c r="V94" s="442">
        <f t="shared" si="16"/>
        <v>399.95000000000005</v>
      </c>
    </row>
    <row r="95" spans="1:22" ht="16.5">
      <c r="A95" s="317">
        <f t="shared" si="17"/>
        <v>88</v>
      </c>
      <c r="B95" s="318" t="s">
        <v>2470</v>
      </c>
      <c r="C95" s="318" t="s">
        <v>1705</v>
      </c>
      <c r="D95" s="318" t="s">
        <v>2510</v>
      </c>
      <c r="E95" s="318" t="s">
        <v>2511</v>
      </c>
      <c r="F95" s="318" t="s">
        <v>2517</v>
      </c>
      <c r="G95" s="318" t="s">
        <v>2518</v>
      </c>
      <c r="H95" s="436">
        <v>18790</v>
      </c>
      <c r="I95" s="317"/>
      <c r="J95" s="317"/>
      <c r="K95" s="436">
        <f t="shared" si="9"/>
        <v>18790</v>
      </c>
      <c r="L95" s="496">
        <v>40723</v>
      </c>
      <c r="M95" s="326">
        <v>17850.5</v>
      </c>
      <c r="N95" s="438">
        <f t="shared" si="10"/>
        <v>939.5</v>
      </c>
      <c r="O95" s="438">
        <f t="shared" si="11"/>
        <v>4659</v>
      </c>
      <c r="P95" s="452">
        <v>1</v>
      </c>
      <c r="Q95" s="454">
        <f t="shared" si="12"/>
        <v>12.764383561643836</v>
      </c>
      <c r="R95" s="454">
        <f t="shared" si="13"/>
        <v>-11.764383561643836</v>
      </c>
      <c r="S95" s="455">
        <f t="shared" si="14"/>
        <v>0.95</v>
      </c>
      <c r="T95" s="442">
        <v>0</v>
      </c>
      <c r="U95" s="442">
        <f t="shared" si="15"/>
        <v>939.5</v>
      </c>
      <c r="V95" s="442">
        <f t="shared" si="16"/>
        <v>939.5</v>
      </c>
    </row>
    <row r="96" spans="1:22" ht="16.5">
      <c r="A96" s="317">
        <f t="shared" si="17"/>
        <v>89</v>
      </c>
      <c r="B96" s="318" t="s">
        <v>2470</v>
      </c>
      <c r="C96" s="318" t="s">
        <v>1705</v>
      </c>
      <c r="D96" s="318" t="s">
        <v>2510</v>
      </c>
      <c r="E96" s="318" t="s">
        <v>2511</v>
      </c>
      <c r="F96" s="318" t="s">
        <v>2519</v>
      </c>
      <c r="G96" s="318" t="s">
        <v>2520</v>
      </c>
      <c r="H96" s="436">
        <v>31179</v>
      </c>
      <c r="I96" s="317"/>
      <c r="J96" s="317"/>
      <c r="K96" s="436">
        <f t="shared" si="9"/>
        <v>31179</v>
      </c>
      <c r="L96" s="496">
        <v>40904</v>
      </c>
      <c r="M96" s="326">
        <v>31179</v>
      </c>
      <c r="N96" s="438">
        <v>0</v>
      </c>
      <c r="O96" s="438">
        <f t="shared" si="11"/>
        <v>4478</v>
      </c>
      <c r="P96" s="452">
        <v>1</v>
      </c>
      <c r="Q96" s="454">
        <f t="shared" si="12"/>
        <v>12.268493150684931</v>
      </c>
      <c r="R96" s="454">
        <f t="shared" si="13"/>
        <v>-11.268493150684931</v>
      </c>
      <c r="S96" s="455">
        <f t="shared" si="14"/>
        <v>0.95</v>
      </c>
      <c r="T96" s="442">
        <v>0</v>
      </c>
      <c r="U96" s="442">
        <f t="shared" si="15"/>
        <v>0</v>
      </c>
      <c r="V96" s="442">
        <f t="shared" si="16"/>
        <v>1558.95</v>
      </c>
    </row>
    <row r="97" spans="1:22" ht="16.5">
      <c r="A97" s="317">
        <f t="shared" si="17"/>
        <v>90</v>
      </c>
      <c r="B97" s="318" t="s">
        <v>2470</v>
      </c>
      <c r="C97" s="318" t="s">
        <v>1705</v>
      </c>
      <c r="D97" s="318" t="s">
        <v>1776</v>
      </c>
      <c r="E97" s="318" t="s">
        <v>2521</v>
      </c>
      <c r="F97" s="318" t="s">
        <v>414</v>
      </c>
      <c r="G97" s="318" t="s">
        <v>2522</v>
      </c>
      <c r="H97" s="436">
        <v>6300</v>
      </c>
      <c r="I97" s="317"/>
      <c r="J97" s="317"/>
      <c r="K97" s="436">
        <f t="shared" si="9"/>
        <v>6300</v>
      </c>
      <c r="L97" s="496">
        <v>40996</v>
      </c>
      <c r="M97" s="326">
        <v>6300</v>
      </c>
      <c r="N97" s="438">
        <v>0</v>
      </c>
      <c r="O97" s="438">
        <f t="shared" si="11"/>
        <v>4386</v>
      </c>
      <c r="P97" s="452">
        <v>1</v>
      </c>
      <c r="Q97" s="454">
        <f t="shared" si="12"/>
        <v>12.016438356164384</v>
      </c>
      <c r="R97" s="454">
        <f t="shared" si="13"/>
        <v>-11.016438356164384</v>
      </c>
      <c r="S97" s="455">
        <f t="shared" si="14"/>
        <v>0.95</v>
      </c>
      <c r="T97" s="442">
        <v>0</v>
      </c>
      <c r="U97" s="442">
        <f t="shared" si="15"/>
        <v>0</v>
      </c>
      <c r="V97" s="442">
        <f t="shared" si="16"/>
        <v>315</v>
      </c>
    </row>
    <row r="98" spans="1:22" ht="16.5">
      <c r="A98" s="317">
        <f t="shared" si="17"/>
        <v>91</v>
      </c>
      <c r="B98" s="318" t="s">
        <v>235</v>
      </c>
      <c r="C98" s="318" t="s">
        <v>1705</v>
      </c>
      <c r="D98" s="318" t="s">
        <v>1649</v>
      </c>
      <c r="E98" s="318" t="s">
        <v>2473</v>
      </c>
      <c r="F98" s="318" t="s">
        <v>2523</v>
      </c>
      <c r="G98" s="318" t="s">
        <v>2524</v>
      </c>
      <c r="H98" s="436">
        <v>67750</v>
      </c>
      <c r="I98" s="317"/>
      <c r="J98" s="317"/>
      <c r="K98" s="436">
        <f t="shared" si="9"/>
        <v>67750</v>
      </c>
      <c r="L98" s="496">
        <v>40679</v>
      </c>
      <c r="M98" s="326">
        <v>64362.5</v>
      </c>
      <c r="N98" s="438">
        <f t="shared" si="10"/>
        <v>3387.5</v>
      </c>
      <c r="O98" s="438">
        <f t="shared" si="11"/>
        <v>4703</v>
      </c>
      <c r="P98" s="452">
        <v>5</v>
      </c>
      <c r="Q98" s="454">
        <f t="shared" si="12"/>
        <v>12.884931506849314</v>
      </c>
      <c r="R98" s="454">
        <f t="shared" si="13"/>
        <v>-7.8849315068493144</v>
      </c>
      <c r="S98" s="455">
        <f t="shared" si="14"/>
        <v>0.19</v>
      </c>
      <c r="T98" s="442">
        <v>0</v>
      </c>
      <c r="U98" s="442">
        <f t="shared" si="15"/>
        <v>3387.5</v>
      </c>
      <c r="V98" s="442">
        <f t="shared" si="16"/>
        <v>3387.5</v>
      </c>
    </row>
    <row r="99" spans="1:22" ht="16.5">
      <c r="A99" s="317">
        <f t="shared" si="17"/>
        <v>92</v>
      </c>
      <c r="B99" s="318" t="s">
        <v>2469</v>
      </c>
      <c r="C99" s="318" t="s">
        <v>1705</v>
      </c>
      <c r="D99" s="318" t="s">
        <v>2525</v>
      </c>
      <c r="E99" s="318" t="s">
        <v>2526</v>
      </c>
      <c r="F99" s="318" t="s">
        <v>2527</v>
      </c>
      <c r="G99" s="318" t="s">
        <v>2528</v>
      </c>
      <c r="H99" s="436">
        <v>8000</v>
      </c>
      <c r="I99" s="317"/>
      <c r="J99" s="317"/>
      <c r="K99" s="436">
        <f t="shared" si="9"/>
        <v>8000</v>
      </c>
      <c r="L99" s="496">
        <v>40846</v>
      </c>
      <c r="M99" s="326">
        <v>8000</v>
      </c>
      <c r="N99" s="438">
        <f t="shared" si="10"/>
        <v>0</v>
      </c>
      <c r="O99" s="438">
        <f t="shared" si="11"/>
        <v>4536</v>
      </c>
      <c r="P99" s="452">
        <v>1</v>
      </c>
      <c r="Q99" s="454">
        <f t="shared" si="12"/>
        <v>12.427397260273972</v>
      </c>
      <c r="R99" s="454">
        <f t="shared" si="13"/>
        <v>-11.427397260273972</v>
      </c>
      <c r="S99" s="455">
        <f t="shared" si="14"/>
        <v>0.95</v>
      </c>
      <c r="T99" s="442">
        <v>0</v>
      </c>
      <c r="U99" s="442">
        <f t="shared" si="15"/>
        <v>0</v>
      </c>
      <c r="V99" s="442">
        <f t="shared" si="16"/>
        <v>400</v>
      </c>
    </row>
    <row r="100" spans="1:22" ht="16.5">
      <c r="A100" s="317">
        <f t="shared" si="17"/>
        <v>93</v>
      </c>
      <c r="B100" s="318" t="s">
        <v>2469</v>
      </c>
      <c r="C100" s="318" t="s">
        <v>1705</v>
      </c>
      <c r="D100" s="318" t="s">
        <v>2529</v>
      </c>
      <c r="E100" s="318" t="s">
        <v>2530</v>
      </c>
      <c r="F100" s="318" t="s">
        <v>2531</v>
      </c>
      <c r="G100" s="495" t="s">
        <v>2532</v>
      </c>
      <c r="H100" s="436">
        <v>10700</v>
      </c>
      <c r="I100" s="317"/>
      <c r="J100" s="317"/>
      <c r="K100" s="436">
        <f t="shared" si="9"/>
        <v>10700</v>
      </c>
      <c r="L100" s="496">
        <v>40654</v>
      </c>
      <c r="M100" s="326">
        <v>10165</v>
      </c>
      <c r="N100" s="438">
        <f t="shared" si="10"/>
        <v>535</v>
      </c>
      <c r="O100" s="438">
        <f t="shared" si="11"/>
        <v>4728</v>
      </c>
      <c r="P100" s="452">
        <v>1</v>
      </c>
      <c r="Q100" s="454">
        <f t="shared" si="12"/>
        <v>12.953424657534246</v>
      </c>
      <c r="R100" s="454">
        <f t="shared" si="13"/>
        <v>-11.953424657534246</v>
      </c>
      <c r="S100" s="455">
        <f t="shared" si="14"/>
        <v>0.95</v>
      </c>
      <c r="T100" s="442">
        <v>0</v>
      </c>
      <c r="U100" s="442">
        <f t="shared" si="15"/>
        <v>535</v>
      </c>
      <c r="V100" s="442">
        <f t="shared" si="16"/>
        <v>535</v>
      </c>
    </row>
    <row r="101" spans="1:22" ht="16.5">
      <c r="A101" s="317">
        <f t="shared" si="17"/>
        <v>94</v>
      </c>
      <c r="B101" s="318" t="s">
        <v>2469</v>
      </c>
      <c r="C101" s="318" t="s">
        <v>1705</v>
      </c>
      <c r="D101" s="318" t="s">
        <v>20</v>
      </c>
      <c r="E101" s="318" t="s">
        <v>414</v>
      </c>
      <c r="F101" s="318" t="s">
        <v>414</v>
      </c>
      <c r="G101" s="318" t="s">
        <v>2533</v>
      </c>
      <c r="H101" s="436">
        <v>5950</v>
      </c>
      <c r="I101" s="317"/>
      <c r="J101" s="317"/>
      <c r="K101" s="436">
        <f t="shared" si="9"/>
        <v>5950</v>
      </c>
      <c r="L101" s="496">
        <v>40873</v>
      </c>
      <c r="M101" s="326">
        <v>5950</v>
      </c>
      <c r="N101" s="438">
        <f t="shared" si="10"/>
        <v>0</v>
      </c>
      <c r="O101" s="438">
        <f t="shared" si="11"/>
        <v>4509</v>
      </c>
      <c r="P101" s="452">
        <v>1</v>
      </c>
      <c r="Q101" s="454">
        <f t="shared" si="12"/>
        <v>12.353424657534246</v>
      </c>
      <c r="R101" s="454">
        <f t="shared" si="13"/>
        <v>-11.353424657534246</v>
      </c>
      <c r="S101" s="455">
        <f t="shared" si="14"/>
        <v>0.95</v>
      </c>
      <c r="T101" s="442">
        <v>0</v>
      </c>
      <c r="U101" s="442">
        <f t="shared" si="15"/>
        <v>0</v>
      </c>
      <c r="V101" s="442">
        <f t="shared" si="16"/>
        <v>297.5</v>
      </c>
    </row>
    <row r="102" spans="1:22" ht="16.5">
      <c r="A102" s="317">
        <f t="shared" si="17"/>
        <v>95</v>
      </c>
      <c r="B102" s="318" t="s">
        <v>238</v>
      </c>
      <c r="C102" s="318" t="s">
        <v>1705</v>
      </c>
      <c r="D102" s="318" t="s">
        <v>20</v>
      </c>
      <c r="E102" s="318" t="s">
        <v>414</v>
      </c>
      <c r="F102" s="318" t="s">
        <v>414</v>
      </c>
      <c r="G102" s="318" t="s">
        <v>2534</v>
      </c>
      <c r="H102" s="436">
        <v>8300</v>
      </c>
      <c r="I102" s="317"/>
      <c r="J102" s="317"/>
      <c r="K102" s="436">
        <f t="shared" si="9"/>
        <v>8300</v>
      </c>
      <c r="L102" s="496">
        <v>40824</v>
      </c>
      <c r="M102" s="326">
        <v>8300</v>
      </c>
      <c r="N102" s="438">
        <f t="shared" si="10"/>
        <v>0</v>
      </c>
      <c r="O102" s="438">
        <f t="shared" si="11"/>
        <v>4558</v>
      </c>
      <c r="P102" s="452">
        <v>5</v>
      </c>
      <c r="Q102" s="454">
        <f t="shared" si="12"/>
        <v>12.487671232876712</v>
      </c>
      <c r="R102" s="454">
        <f t="shared" si="13"/>
        <v>-7.4876712328767123</v>
      </c>
      <c r="S102" s="455">
        <f t="shared" si="14"/>
        <v>0.19</v>
      </c>
      <c r="T102" s="442">
        <v>0</v>
      </c>
      <c r="U102" s="442">
        <f t="shared" si="15"/>
        <v>0</v>
      </c>
      <c r="V102" s="442">
        <f t="shared" si="16"/>
        <v>415</v>
      </c>
    </row>
    <row r="103" spans="1:22" ht="16.5">
      <c r="A103" s="317">
        <f t="shared" si="17"/>
        <v>96</v>
      </c>
      <c r="B103" s="318" t="s">
        <v>2491</v>
      </c>
      <c r="C103" s="318" t="s">
        <v>1705</v>
      </c>
      <c r="D103" s="318" t="s">
        <v>2474</v>
      </c>
      <c r="E103" s="318" t="s">
        <v>2492</v>
      </c>
      <c r="F103" s="318" t="s">
        <v>2535</v>
      </c>
      <c r="G103" s="318" t="s">
        <v>2536</v>
      </c>
      <c r="H103" s="436">
        <v>18000</v>
      </c>
      <c r="I103" s="317"/>
      <c r="J103" s="317"/>
      <c r="K103" s="436">
        <f t="shared" si="9"/>
        <v>18000</v>
      </c>
      <c r="L103" s="496">
        <v>40999</v>
      </c>
      <c r="M103" s="326">
        <v>18000</v>
      </c>
      <c r="N103" s="438">
        <f t="shared" si="10"/>
        <v>0</v>
      </c>
      <c r="O103" s="438">
        <f t="shared" si="11"/>
        <v>4383</v>
      </c>
      <c r="P103" s="452">
        <v>5</v>
      </c>
      <c r="Q103" s="454">
        <f t="shared" si="12"/>
        <v>12.008219178082191</v>
      </c>
      <c r="R103" s="454">
        <f t="shared" si="13"/>
        <v>-7.0082191780821912</v>
      </c>
      <c r="S103" s="455">
        <f t="shared" si="14"/>
        <v>0.19</v>
      </c>
      <c r="T103" s="442">
        <v>0</v>
      </c>
      <c r="U103" s="442">
        <f t="shared" si="15"/>
        <v>0</v>
      </c>
      <c r="V103" s="442">
        <f t="shared" si="16"/>
        <v>900</v>
      </c>
    </row>
    <row r="104" spans="1:22" ht="16.5">
      <c r="A104" s="317">
        <f t="shared" si="17"/>
        <v>97</v>
      </c>
      <c r="B104" s="318" t="s">
        <v>2537</v>
      </c>
      <c r="C104" s="318" t="s">
        <v>1705</v>
      </c>
      <c r="D104" s="318" t="s">
        <v>2474</v>
      </c>
      <c r="E104" s="318" t="s">
        <v>2538</v>
      </c>
      <c r="F104" s="318" t="s">
        <v>2539</v>
      </c>
      <c r="G104" s="318" t="s">
        <v>2540</v>
      </c>
      <c r="H104" s="436">
        <v>7850</v>
      </c>
      <c r="I104" s="317"/>
      <c r="J104" s="317"/>
      <c r="K104" s="436">
        <f t="shared" si="9"/>
        <v>7850</v>
      </c>
      <c r="L104" s="496">
        <v>40655</v>
      </c>
      <c r="M104" s="326">
        <v>7457.5</v>
      </c>
      <c r="N104" s="438">
        <f t="shared" si="10"/>
        <v>392.5</v>
      </c>
      <c r="O104" s="438">
        <f t="shared" si="11"/>
        <v>4727</v>
      </c>
      <c r="P104" s="452">
        <v>5</v>
      </c>
      <c r="Q104" s="454">
        <f t="shared" si="12"/>
        <v>12.950684931506849</v>
      </c>
      <c r="R104" s="454">
        <f t="shared" si="13"/>
        <v>-7.9506849315068493</v>
      </c>
      <c r="S104" s="455">
        <f t="shared" si="14"/>
        <v>0.19</v>
      </c>
      <c r="T104" s="442">
        <v>0</v>
      </c>
      <c r="U104" s="442">
        <f t="shared" si="15"/>
        <v>392.5</v>
      </c>
      <c r="V104" s="442">
        <f t="shared" si="16"/>
        <v>392.5</v>
      </c>
    </row>
    <row r="105" spans="1:22" ht="16.5">
      <c r="A105" s="317">
        <f t="shared" si="17"/>
        <v>98</v>
      </c>
      <c r="B105" s="318" t="s">
        <v>2537</v>
      </c>
      <c r="C105" s="318" t="s">
        <v>1746</v>
      </c>
      <c r="D105" s="318" t="s">
        <v>2474</v>
      </c>
      <c r="E105" s="318" t="s">
        <v>2541</v>
      </c>
      <c r="F105" s="318"/>
      <c r="G105" s="318"/>
      <c r="H105" s="436">
        <v>7500</v>
      </c>
      <c r="I105" s="317"/>
      <c r="J105" s="317"/>
      <c r="K105" s="436">
        <f t="shared" si="9"/>
        <v>7500</v>
      </c>
      <c r="L105" s="496">
        <v>41019</v>
      </c>
      <c r="M105" s="326">
        <v>7125.1273106600147</v>
      </c>
      <c r="N105" s="438">
        <f t="shared" si="10"/>
        <v>374.8726893399853</v>
      </c>
      <c r="O105" s="438">
        <f t="shared" si="11"/>
        <v>4363</v>
      </c>
      <c r="P105" s="452">
        <v>5</v>
      </c>
      <c r="Q105" s="454">
        <f t="shared" si="12"/>
        <v>11.953424657534246</v>
      </c>
      <c r="R105" s="454">
        <f t="shared" si="13"/>
        <v>-6.9534246575342458</v>
      </c>
      <c r="S105" s="455">
        <f t="shared" si="14"/>
        <v>0.19</v>
      </c>
      <c r="T105" s="442">
        <v>0</v>
      </c>
      <c r="U105" s="442">
        <f t="shared" si="15"/>
        <v>374.8726893399853</v>
      </c>
      <c r="V105" s="442">
        <f t="shared" si="16"/>
        <v>375</v>
      </c>
    </row>
    <row r="106" spans="1:22" ht="16.5">
      <c r="A106" s="317">
        <f t="shared" si="17"/>
        <v>99</v>
      </c>
      <c r="B106" s="318" t="s">
        <v>2542</v>
      </c>
      <c r="C106" s="318" t="s">
        <v>1746</v>
      </c>
      <c r="D106" s="318" t="s">
        <v>2474</v>
      </c>
      <c r="E106" s="318" t="s">
        <v>2543</v>
      </c>
      <c r="F106" s="318" t="s">
        <v>2544</v>
      </c>
      <c r="G106" s="318" t="s">
        <v>2545</v>
      </c>
      <c r="H106" s="436">
        <v>10000</v>
      </c>
      <c r="I106" s="317"/>
      <c r="J106" s="317"/>
      <c r="K106" s="436">
        <f t="shared" si="9"/>
        <v>10000</v>
      </c>
      <c r="L106" s="496">
        <v>41013</v>
      </c>
      <c r="M106" s="326">
        <v>9500.3105852522276</v>
      </c>
      <c r="N106" s="438">
        <f t="shared" si="10"/>
        <v>499.68941474777239</v>
      </c>
      <c r="O106" s="438">
        <f t="shared" si="11"/>
        <v>4369</v>
      </c>
      <c r="P106" s="452">
        <v>5</v>
      </c>
      <c r="Q106" s="454">
        <f t="shared" si="12"/>
        <v>11.96986301369863</v>
      </c>
      <c r="R106" s="454">
        <f t="shared" si="13"/>
        <v>-6.9698630136986299</v>
      </c>
      <c r="S106" s="455">
        <f t="shared" si="14"/>
        <v>0.19</v>
      </c>
      <c r="T106" s="442">
        <v>0</v>
      </c>
      <c r="U106" s="442">
        <f t="shared" si="15"/>
        <v>499.68941474777239</v>
      </c>
      <c r="V106" s="442">
        <f t="shared" si="16"/>
        <v>500</v>
      </c>
    </row>
    <row r="107" spans="1:22" ht="16.5">
      <c r="A107" s="317">
        <f t="shared" si="17"/>
        <v>100</v>
      </c>
      <c r="B107" s="318" t="s">
        <v>2546</v>
      </c>
      <c r="C107" s="318" t="s">
        <v>1746</v>
      </c>
      <c r="D107" s="318" t="s">
        <v>2474</v>
      </c>
      <c r="E107" s="318" t="s">
        <v>2547</v>
      </c>
      <c r="F107" s="318" t="s">
        <v>256</v>
      </c>
      <c r="G107" s="318" t="s">
        <v>2548</v>
      </c>
      <c r="H107" s="436">
        <v>19500</v>
      </c>
      <c r="I107" s="317"/>
      <c r="J107" s="317"/>
      <c r="K107" s="436">
        <f t="shared" si="9"/>
        <v>19500</v>
      </c>
      <c r="L107" s="496">
        <v>41173</v>
      </c>
      <c r="M107" s="326">
        <v>18524.888207505828</v>
      </c>
      <c r="N107" s="438">
        <f t="shared" si="10"/>
        <v>975.11179249417182</v>
      </c>
      <c r="O107" s="438">
        <f t="shared" si="11"/>
        <v>4209</v>
      </c>
      <c r="P107" s="452">
        <v>5</v>
      </c>
      <c r="Q107" s="454">
        <f t="shared" si="12"/>
        <v>11.531506849315068</v>
      </c>
      <c r="R107" s="454">
        <f t="shared" si="13"/>
        <v>-6.5315068493150683</v>
      </c>
      <c r="S107" s="455">
        <f t="shared" si="14"/>
        <v>0.19</v>
      </c>
      <c r="T107" s="442">
        <v>0</v>
      </c>
      <c r="U107" s="442">
        <f t="shared" si="15"/>
        <v>975.11179249417182</v>
      </c>
      <c r="V107" s="442">
        <f t="shared" si="16"/>
        <v>975</v>
      </c>
    </row>
    <row r="108" spans="1:22" ht="16.5">
      <c r="A108" s="317">
        <f t="shared" si="17"/>
        <v>101</v>
      </c>
      <c r="B108" s="318" t="s">
        <v>2549</v>
      </c>
      <c r="C108" s="318" t="s">
        <v>1746</v>
      </c>
      <c r="D108" s="318" t="s">
        <v>1704</v>
      </c>
      <c r="E108" s="318" t="s">
        <v>2550</v>
      </c>
      <c r="F108" s="318" t="s">
        <v>2551</v>
      </c>
      <c r="G108" s="318" t="s">
        <v>2552</v>
      </c>
      <c r="H108" s="436">
        <v>30000</v>
      </c>
      <c r="I108" s="317"/>
      <c r="J108" s="317"/>
      <c r="K108" s="436">
        <f t="shared" si="9"/>
        <v>30000</v>
      </c>
      <c r="L108" s="496">
        <v>41186</v>
      </c>
      <c r="M108" s="326">
        <v>28500.247795684147</v>
      </c>
      <c r="N108" s="438">
        <f t="shared" si="10"/>
        <v>1499.7522043158533</v>
      </c>
      <c r="O108" s="438">
        <f t="shared" si="11"/>
        <v>4196</v>
      </c>
      <c r="P108" s="452">
        <v>5</v>
      </c>
      <c r="Q108" s="454">
        <f t="shared" si="12"/>
        <v>11.495890410958904</v>
      </c>
      <c r="R108" s="454">
        <f t="shared" si="13"/>
        <v>-6.4958904109589035</v>
      </c>
      <c r="S108" s="455">
        <f t="shared" si="14"/>
        <v>0.19</v>
      </c>
      <c r="T108" s="442">
        <v>0</v>
      </c>
      <c r="U108" s="442">
        <f t="shared" si="15"/>
        <v>1499.7522043158533</v>
      </c>
      <c r="V108" s="442">
        <f t="shared" si="16"/>
        <v>1500</v>
      </c>
    </row>
    <row r="109" spans="1:22" ht="16.5">
      <c r="A109" s="317">
        <f t="shared" si="17"/>
        <v>102</v>
      </c>
      <c r="B109" s="318" t="s">
        <v>2549</v>
      </c>
      <c r="C109" s="318" t="s">
        <v>1746</v>
      </c>
      <c r="D109" s="318" t="s">
        <v>22</v>
      </c>
      <c r="E109" s="318" t="s">
        <v>2550</v>
      </c>
      <c r="F109" s="318" t="s">
        <v>2553</v>
      </c>
      <c r="G109" s="318" t="s">
        <v>2554</v>
      </c>
      <c r="H109" s="436">
        <v>30000</v>
      </c>
      <c r="I109" s="317"/>
      <c r="J109" s="317"/>
      <c r="K109" s="436">
        <f t="shared" si="9"/>
        <v>30000</v>
      </c>
      <c r="L109" s="496">
        <v>41187</v>
      </c>
      <c r="M109" s="326">
        <v>28500.082981823052</v>
      </c>
      <c r="N109" s="438">
        <f t="shared" si="10"/>
        <v>1499.9170181769477</v>
      </c>
      <c r="O109" s="438">
        <f t="shared" si="11"/>
        <v>4195</v>
      </c>
      <c r="P109" s="452">
        <v>5</v>
      </c>
      <c r="Q109" s="454">
        <f t="shared" si="12"/>
        <v>11.493150684931507</v>
      </c>
      <c r="R109" s="454">
        <f t="shared" si="13"/>
        <v>-6.493150684931507</v>
      </c>
      <c r="S109" s="455">
        <f t="shared" si="14"/>
        <v>0.19</v>
      </c>
      <c r="T109" s="442">
        <v>0</v>
      </c>
      <c r="U109" s="442">
        <f t="shared" si="15"/>
        <v>1499.9170181769477</v>
      </c>
      <c r="V109" s="442">
        <f t="shared" si="16"/>
        <v>1500</v>
      </c>
    </row>
    <row r="110" spans="1:22" ht="16.5">
      <c r="A110" s="317">
        <f t="shared" si="17"/>
        <v>103</v>
      </c>
      <c r="B110" s="318" t="s">
        <v>235</v>
      </c>
      <c r="C110" s="318" t="s">
        <v>1746</v>
      </c>
      <c r="D110" s="318" t="s">
        <v>2555</v>
      </c>
      <c r="E110" s="318" t="s">
        <v>2473</v>
      </c>
      <c r="F110" s="318" t="s">
        <v>2556</v>
      </c>
      <c r="G110" s="318"/>
      <c r="H110" s="436">
        <v>36000</v>
      </c>
      <c r="I110" s="317"/>
      <c r="J110" s="317"/>
      <c r="K110" s="436">
        <f t="shared" si="9"/>
        <v>36000</v>
      </c>
      <c r="L110" s="496">
        <v>41364</v>
      </c>
      <c r="M110" s="326">
        <v>34199.811601555892</v>
      </c>
      <c r="N110" s="438">
        <f t="shared" si="10"/>
        <v>1800.1883984441083</v>
      </c>
      <c r="O110" s="438">
        <f t="shared" si="11"/>
        <v>4018</v>
      </c>
      <c r="P110" s="452">
        <v>5</v>
      </c>
      <c r="Q110" s="454">
        <f t="shared" si="12"/>
        <v>11.008219178082191</v>
      </c>
      <c r="R110" s="454">
        <f t="shared" si="13"/>
        <v>-6.0082191780821912</v>
      </c>
      <c r="S110" s="455">
        <f t="shared" si="14"/>
        <v>0.19</v>
      </c>
      <c r="T110" s="442">
        <v>0</v>
      </c>
      <c r="U110" s="442">
        <f t="shared" si="15"/>
        <v>1800.1883984441083</v>
      </c>
      <c r="V110" s="442">
        <f t="shared" si="16"/>
        <v>1800</v>
      </c>
    </row>
    <row r="111" spans="1:22" ht="16.5">
      <c r="A111" s="317">
        <f t="shared" si="17"/>
        <v>104</v>
      </c>
      <c r="B111" s="318" t="s">
        <v>2469</v>
      </c>
      <c r="C111" s="318" t="s">
        <v>1746</v>
      </c>
      <c r="D111" s="318" t="s">
        <v>2474</v>
      </c>
      <c r="E111" s="318" t="s">
        <v>2557</v>
      </c>
      <c r="F111" s="318" t="s">
        <v>2558</v>
      </c>
      <c r="G111" s="318" t="s">
        <v>2559</v>
      </c>
      <c r="H111" s="436">
        <v>96900</v>
      </c>
      <c r="I111" s="317"/>
      <c r="J111" s="317"/>
      <c r="K111" s="436">
        <f t="shared" si="9"/>
        <v>96900</v>
      </c>
      <c r="L111" s="496">
        <v>41200</v>
      </c>
      <c r="M111" s="326">
        <v>92055</v>
      </c>
      <c r="N111" s="438">
        <f t="shared" si="10"/>
        <v>4845</v>
      </c>
      <c r="O111" s="438">
        <f t="shared" si="11"/>
        <v>4182</v>
      </c>
      <c r="P111" s="452">
        <v>1</v>
      </c>
      <c r="Q111" s="454">
        <f t="shared" si="12"/>
        <v>11.457534246575342</v>
      </c>
      <c r="R111" s="454">
        <f t="shared" si="13"/>
        <v>-10.457534246575342</v>
      </c>
      <c r="S111" s="455">
        <f t="shared" si="14"/>
        <v>0.95</v>
      </c>
      <c r="T111" s="442">
        <v>0</v>
      </c>
      <c r="U111" s="442">
        <f t="shared" si="15"/>
        <v>4845</v>
      </c>
      <c r="V111" s="442">
        <f t="shared" si="16"/>
        <v>4845</v>
      </c>
    </row>
    <row r="112" spans="1:22" ht="16.5">
      <c r="A112" s="317">
        <f t="shared" si="17"/>
        <v>105</v>
      </c>
      <c r="B112" s="318" t="s">
        <v>238</v>
      </c>
      <c r="C112" s="318" t="s">
        <v>1746</v>
      </c>
      <c r="D112" s="318" t="s">
        <v>1704</v>
      </c>
      <c r="E112" s="318" t="s">
        <v>2560</v>
      </c>
      <c r="F112" s="318" t="s">
        <v>2561</v>
      </c>
      <c r="G112" s="318" t="s">
        <v>2562</v>
      </c>
      <c r="H112" s="436">
        <v>7600</v>
      </c>
      <c r="I112" s="317"/>
      <c r="J112" s="317"/>
      <c r="K112" s="436">
        <f t="shared" si="9"/>
        <v>7600</v>
      </c>
      <c r="L112" s="496">
        <v>41176</v>
      </c>
      <c r="M112" s="326">
        <v>7220.1139006403009</v>
      </c>
      <c r="N112" s="438">
        <f t="shared" si="10"/>
        <v>379.88609935969907</v>
      </c>
      <c r="O112" s="438">
        <f t="shared" si="11"/>
        <v>4206</v>
      </c>
      <c r="P112" s="452">
        <v>5</v>
      </c>
      <c r="Q112" s="454">
        <f t="shared" si="12"/>
        <v>11.523287671232877</v>
      </c>
      <c r="R112" s="454">
        <f t="shared" si="13"/>
        <v>-6.5232876712328771</v>
      </c>
      <c r="S112" s="455">
        <f t="shared" si="14"/>
        <v>0.19</v>
      </c>
      <c r="T112" s="442">
        <v>0</v>
      </c>
      <c r="U112" s="442">
        <f t="shared" si="15"/>
        <v>379.88609935969907</v>
      </c>
      <c r="V112" s="442">
        <f t="shared" si="16"/>
        <v>380</v>
      </c>
    </row>
    <row r="113" spans="1:22" ht="16.5">
      <c r="A113" s="317">
        <f t="shared" si="17"/>
        <v>106</v>
      </c>
      <c r="B113" s="318" t="s">
        <v>238</v>
      </c>
      <c r="C113" s="318" t="s">
        <v>1746</v>
      </c>
      <c r="D113" s="318" t="s">
        <v>2474</v>
      </c>
      <c r="E113" s="318" t="s">
        <v>2563</v>
      </c>
      <c r="F113" s="318" t="s">
        <v>2564</v>
      </c>
      <c r="G113" s="318" t="s">
        <v>2565</v>
      </c>
      <c r="H113" s="436">
        <v>26000</v>
      </c>
      <c r="I113" s="317"/>
      <c r="J113" s="317"/>
      <c r="K113" s="436">
        <f t="shared" si="9"/>
        <v>26000</v>
      </c>
      <c r="L113" s="496">
        <v>41201</v>
      </c>
      <c r="M113" s="326">
        <v>24700.280500063389</v>
      </c>
      <c r="N113" s="438">
        <f t="shared" si="10"/>
        <v>1299.7194999366111</v>
      </c>
      <c r="O113" s="438">
        <f t="shared" si="11"/>
        <v>4181</v>
      </c>
      <c r="P113" s="452">
        <v>5</v>
      </c>
      <c r="Q113" s="454">
        <f t="shared" si="12"/>
        <v>11.454794520547946</v>
      </c>
      <c r="R113" s="454">
        <f t="shared" si="13"/>
        <v>-6.4547945205479458</v>
      </c>
      <c r="S113" s="455">
        <f t="shared" si="14"/>
        <v>0.19</v>
      </c>
      <c r="T113" s="442">
        <v>0</v>
      </c>
      <c r="U113" s="442">
        <f t="shared" si="15"/>
        <v>1299.7194999366111</v>
      </c>
      <c r="V113" s="442">
        <f t="shared" si="16"/>
        <v>1300</v>
      </c>
    </row>
    <row r="114" spans="1:22" ht="16.5">
      <c r="A114" s="317">
        <f t="shared" si="17"/>
        <v>107</v>
      </c>
      <c r="B114" s="318" t="s">
        <v>2470</v>
      </c>
      <c r="C114" s="318" t="s">
        <v>1746</v>
      </c>
      <c r="D114" s="318" t="s">
        <v>2474</v>
      </c>
      <c r="E114" s="318" t="s">
        <v>2566</v>
      </c>
      <c r="F114" s="318"/>
      <c r="G114" s="318"/>
      <c r="H114" s="436">
        <v>13000</v>
      </c>
      <c r="I114" s="317"/>
      <c r="J114" s="317"/>
      <c r="K114" s="436">
        <f t="shared" si="9"/>
        <v>13000</v>
      </c>
      <c r="L114" s="496">
        <v>41109</v>
      </c>
      <c r="M114" s="326">
        <v>12350</v>
      </c>
      <c r="N114" s="438">
        <f t="shared" si="10"/>
        <v>650</v>
      </c>
      <c r="O114" s="438">
        <f t="shared" si="11"/>
        <v>4273</v>
      </c>
      <c r="P114" s="452">
        <v>1</v>
      </c>
      <c r="Q114" s="454">
        <f t="shared" si="12"/>
        <v>11.706849315068494</v>
      </c>
      <c r="R114" s="454">
        <f t="shared" si="13"/>
        <v>-10.706849315068494</v>
      </c>
      <c r="S114" s="455">
        <f t="shared" si="14"/>
        <v>0.95</v>
      </c>
      <c r="T114" s="442">
        <v>0</v>
      </c>
      <c r="U114" s="442">
        <f t="shared" si="15"/>
        <v>650</v>
      </c>
      <c r="V114" s="442">
        <f t="shared" si="16"/>
        <v>650</v>
      </c>
    </row>
    <row r="115" spans="1:22" ht="16.5">
      <c r="A115" s="317">
        <f t="shared" si="17"/>
        <v>108</v>
      </c>
      <c r="B115" s="318" t="s">
        <v>2470</v>
      </c>
      <c r="C115" s="318" t="s">
        <v>1746</v>
      </c>
      <c r="D115" s="318" t="s">
        <v>2474</v>
      </c>
      <c r="E115" s="318" t="s">
        <v>2507</v>
      </c>
      <c r="F115" s="318" t="s">
        <v>2567</v>
      </c>
      <c r="G115" s="318" t="s">
        <v>2568</v>
      </c>
      <c r="H115" s="436">
        <v>33000</v>
      </c>
      <c r="I115" s="317"/>
      <c r="J115" s="317"/>
      <c r="K115" s="436">
        <f t="shared" si="9"/>
        <v>33000</v>
      </c>
      <c r="L115" s="496">
        <v>41242</v>
      </c>
      <c r="M115" s="326">
        <v>31350</v>
      </c>
      <c r="N115" s="438">
        <f t="shared" si="10"/>
        <v>1650</v>
      </c>
      <c r="O115" s="438">
        <f t="shared" si="11"/>
        <v>4140</v>
      </c>
      <c r="P115" s="452">
        <v>1</v>
      </c>
      <c r="Q115" s="454">
        <f t="shared" si="12"/>
        <v>11.342465753424657</v>
      </c>
      <c r="R115" s="454">
        <f t="shared" si="13"/>
        <v>-10.342465753424657</v>
      </c>
      <c r="S115" s="455">
        <f t="shared" si="14"/>
        <v>0.95</v>
      </c>
      <c r="T115" s="442">
        <v>0</v>
      </c>
      <c r="U115" s="442">
        <f t="shared" si="15"/>
        <v>1650</v>
      </c>
      <c r="V115" s="442">
        <f t="shared" si="16"/>
        <v>1650</v>
      </c>
    </row>
    <row r="116" spans="1:22" ht="16.5">
      <c r="A116" s="317">
        <f t="shared" si="17"/>
        <v>109</v>
      </c>
      <c r="B116" s="318" t="s">
        <v>2470</v>
      </c>
      <c r="C116" s="318" t="s">
        <v>1746</v>
      </c>
      <c r="D116" s="318" t="s">
        <v>2474</v>
      </c>
      <c r="E116" s="318" t="s">
        <v>2507</v>
      </c>
      <c r="F116" s="318" t="s">
        <v>2569</v>
      </c>
      <c r="G116" s="318" t="s">
        <v>2570</v>
      </c>
      <c r="H116" s="436">
        <v>35900</v>
      </c>
      <c r="I116" s="317"/>
      <c r="J116" s="317"/>
      <c r="K116" s="436">
        <f t="shared" si="9"/>
        <v>35900</v>
      </c>
      <c r="L116" s="496">
        <v>41269</v>
      </c>
      <c r="M116" s="326">
        <v>34105</v>
      </c>
      <c r="N116" s="438">
        <f t="shared" si="10"/>
        <v>1795</v>
      </c>
      <c r="O116" s="438">
        <f t="shared" si="11"/>
        <v>4113</v>
      </c>
      <c r="P116" s="452">
        <v>1</v>
      </c>
      <c r="Q116" s="454">
        <f t="shared" si="12"/>
        <v>11.268493150684931</v>
      </c>
      <c r="R116" s="454">
        <f t="shared" si="13"/>
        <v>-10.268493150684931</v>
      </c>
      <c r="S116" s="455">
        <f t="shared" si="14"/>
        <v>0.95</v>
      </c>
      <c r="T116" s="442">
        <v>0</v>
      </c>
      <c r="U116" s="442">
        <f t="shared" si="15"/>
        <v>1795</v>
      </c>
      <c r="V116" s="442">
        <f t="shared" si="16"/>
        <v>1795</v>
      </c>
    </row>
    <row r="117" spans="1:22" ht="16.5">
      <c r="A117" s="317">
        <f t="shared" si="17"/>
        <v>110</v>
      </c>
      <c r="B117" s="318" t="s">
        <v>2470</v>
      </c>
      <c r="C117" s="318" t="s">
        <v>1746</v>
      </c>
      <c r="D117" s="318" t="s">
        <v>2474</v>
      </c>
      <c r="E117" s="318" t="s">
        <v>2507</v>
      </c>
      <c r="F117" s="318" t="s">
        <v>2571</v>
      </c>
      <c r="G117" s="318" t="s">
        <v>2572</v>
      </c>
      <c r="H117" s="436">
        <v>11800</v>
      </c>
      <c r="I117" s="317"/>
      <c r="J117" s="317"/>
      <c r="K117" s="436">
        <f t="shared" si="9"/>
        <v>11800</v>
      </c>
      <c r="L117" s="496">
        <v>41309</v>
      </c>
      <c r="M117" s="326">
        <v>11210</v>
      </c>
      <c r="N117" s="438">
        <f t="shared" si="10"/>
        <v>590</v>
      </c>
      <c r="O117" s="438">
        <f t="shared" si="11"/>
        <v>4073</v>
      </c>
      <c r="P117" s="452">
        <v>1</v>
      </c>
      <c r="Q117" s="454">
        <f t="shared" si="12"/>
        <v>11.158904109589042</v>
      </c>
      <c r="R117" s="454">
        <f t="shared" si="13"/>
        <v>-10.158904109589042</v>
      </c>
      <c r="S117" s="455">
        <f t="shared" si="14"/>
        <v>0.95</v>
      </c>
      <c r="T117" s="442">
        <v>0</v>
      </c>
      <c r="U117" s="442">
        <f t="shared" si="15"/>
        <v>590</v>
      </c>
      <c r="V117" s="442">
        <f t="shared" si="16"/>
        <v>590</v>
      </c>
    </row>
    <row r="118" spans="1:22" ht="16.5">
      <c r="A118" s="317">
        <f t="shared" si="17"/>
        <v>111</v>
      </c>
      <c r="B118" s="318" t="s">
        <v>2470</v>
      </c>
      <c r="C118" s="318" t="s">
        <v>1746</v>
      </c>
      <c r="D118" s="318" t="s">
        <v>2474</v>
      </c>
      <c r="E118" s="318" t="s">
        <v>2541</v>
      </c>
      <c r="F118" s="318"/>
      <c r="G118" s="318" t="s">
        <v>2573</v>
      </c>
      <c r="H118" s="436">
        <v>9500</v>
      </c>
      <c r="I118" s="317"/>
      <c r="J118" s="317"/>
      <c r="K118" s="436">
        <f t="shared" si="9"/>
        <v>9500</v>
      </c>
      <c r="L118" s="495">
        <v>41132</v>
      </c>
      <c r="M118" s="326">
        <v>9025</v>
      </c>
      <c r="N118" s="438">
        <f t="shared" si="10"/>
        <v>475</v>
      </c>
      <c r="O118" s="438">
        <f t="shared" si="11"/>
        <v>4250</v>
      </c>
      <c r="P118" s="452">
        <v>1</v>
      </c>
      <c r="Q118" s="454">
        <f t="shared" si="12"/>
        <v>11.643835616438356</v>
      </c>
      <c r="R118" s="454">
        <f t="shared" si="13"/>
        <v>-10.643835616438356</v>
      </c>
      <c r="S118" s="455">
        <f t="shared" si="14"/>
        <v>0.95</v>
      </c>
      <c r="T118" s="442">
        <v>0</v>
      </c>
      <c r="U118" s="442">
        <f t="shared" si="15"/>
        <v>475</v>
      </c>
      <c r="V118" s="442">
        <f t="shared" si="16"/>
        <v>475</v>
      </c>
    </row>
    <row r="119" spans="1:22" ht="16.5">
      <c r="A119" s="317">
        <f t="shared" si="17"/>
        <v>112</v>
      </c>
      <c r="B119" s="318" t="s">
        <v>2470</v>
      </c>
      <c r="C119" s="318" t="s">
        <v>1746</v>
      </c>
      <c r="D119" s="318" t="s">
        <v>2474</v>
      </c>
      <c r="E119" s="318" t="s">
        <v>2541</v>
      </c>
      <c r="F119" s="318"/>
      <c r="G119" s="318" t="s">
        <v>2574</v>
      </c>
      <c r="H119" s="436">
        <v>9500</v>
      </c>
      <c r="I119" s="317"/>
      <c r="J119" s="317"/>
      <c r="K119" s="436">
        <f t="shared" si="9"/>
        <v>9500</v>
      </c>
      <c r="L119" s="496">
        <v>41338</v>
      </c>
      <c r="M119" s="326">
        <v>9025</v>
      </c>
      <c r="N119" s="438">
        <f t="shared" si="10"/>
        <v>475</v>
      </c>
      <c r="O119" s="438">
        <f t="shared" si="11"/>
        <v>4044</v>
      </c>
      <c r="P119" s="452">
        <v>1</v>
      </c>
      <c r="Q119" s="454">
        <f t="shared" si="12"/>
        <v>11.079452054794521</v>
      </c>
      <c r="R119" s="454">
        <f t="shared" si="13"/>
        <v>-10.079452054794521</v>
      </c>
      <c r="S119" s="455">
        <f t="shared" si="14"/>
        <v>0.95</v>
      </c>
      <c r="T119" s="442">
        <v>0</v>
      </c>
      <c r="U119" s="442">
        <f t="shared" si="15"/>
        <v>475</v>
      </c>
      <c r="V119" s="442">
        <f t="shared" si="16"/>
        <v>475</v>
      </c>
    </row>
    <row r="120" spans="1:22" ht="16.5">
      <c r="A120" s="317">
        <f t="shared" si="17"/>
        <v>113</v>
      </c>
      <c r="B120" s="318" t="s">
        <v>235</v>
      </c>
      <c r="C120" s="318" t="s">
        <v>1796</v>
      </c>
      <c r="D120" s="318" t="s">
        <v>2474</v>
      </c>
      <c r="E120" s="318" t="s">
        <v>2575</v>
      </c>
      <c r="F120" s="318" t="s">
        <v>2576</v>
      </c>
      <c r="G120" s="318" t="s">
        <v>2577</v>
      </c>
      <c r="H120" s="436">
        <v>634520</v>
      </c>
      <c r="I120" s="317"/>
      <c r="J120" s="317"/>
      <c r="K120" s="436">
        <f t="shared" si="9"/>
        <v>634520</v>
      </c>
      <c r="L120" s="495">
        <v>41536</v>
      </c>
      <c r="M120" s="326">
        <v>602793.74115204299</v>
      </c>
      <c r="N120" s="438">
        <f t="shared" si="10"/>
        <v>31726.258847957011</v>
      </c>
      <c r="O120" s="438">
        <f t="shared" si="11"/>
        <v>3846</v>
      </c>
      <c r="P120" s="452">
        <v>5</v>
      </c>
      <c r="Q120" s="454">
        <f t="shared" si="12"/>
        <v>10.536986301369863</v>
      </c>
      <c r="R120" s="454">
        <f t="shared" si="13"/>
        <v>-5.536986301369863</v>
      </c>
      <c r="S120" s="455">
        <f t="shared" si="14"/>
        <v>0.19</v>
      </c>
      <c r="T120" s="442">
        <v>0</v>
      </c>
      <c r="U120" s="442">
        <f t="shared" si="15"/>
        <v>31726.258847957011</v>
      </c>
      <c r="V120" s="442">
        <f t="shared" si="16"/>
        <v>31726</v>
      </c>
    </row>
    <row r="121" spans="1:22" ht="16.5">
      <c r="A121" s="317">
        <f t="shared" si="17"/>
        <v>114</v>
      </c>
      <c r="B121" s="318" t="s">
        <v>235</v>
      </c>
      <c r="C121" s="318" t="s">
        <v>1796</v>
      </c>
      <c r="D121" s="318" t="s">
        <v>2474</v>
      </c>
      <c r="E121" s="318" t="s">
        <v>2578</v>
      </c>
      <c r="F121" s="317"/>
      <c r="G121" s="318" t="s">
        <v>2579</v>
      </c>
      <c r="H121" s="436">
        <v>45600</v>
      </c>
      <c r="I121" s="317"/>
      <c r="J121" s="317"/>
      <c r="K121" s="436">
        <f t="shared" si="9"/>
        <v>45600</v>
      </c>
      <c r="L121" s="495">
        <v>41568</v>
      </c>
      <c r="M121" s="326">
        <v>43319.539758215622</v>
      </c>
      <c r="N121" s="438">
        <f t="shared" si="10"/>
        <v>2280.460241784378</v>
      </c>
      <c r="O121" s="438">
        <f t="shared" si="11"/>
        <v>3814</v>
      </c>
      <c r="P121" s="452">
        <v>5</v>
      </c>
      <c r="Q121" s="454">
        <f t="shared" si="12"/>
        <v>10.449315068493151</v>
      </c>
      <c r="R121" s="454">
        <f t="shared" si="13"/>
        <v>-5.4493150684931511</v>
      </c>
      <c r="S121" s="455">
        <f t="shared" si="14"/>
        <v>0.19</v>
      </c>
      <c r="T121" s="442">
        <v>0</v>
      </c>
      <c r="U121" s="442">
        <f t="shared" si="15"/>
        <v>2280.460241784378</v>
      </c>
      <c r="V121" s="442">
        <f t="shared" si="16"/>
        <v>2280</v>
      </c>
    </row>
    <row r="122" spans="1:22" ht="16.5">
      <c r="A122" s="317">
        <f t="shared" si="17"/>
        <v>115</v>
      </c>
      <c r="B122" s="318" t="s">
        <v>2469</v>
      </c>
      <c r="C122" s="318" t="s">
        <v>1796</v>
      </c>
      <c r="D122" s="318" t="s">
        <v>2308</v>
      </c>
      <c r="E122" s="318" t="s">
        <v>2580</v>
      </c>
      <c r="F122" s="318" t="s">
        <v>2581</v>
      </c>
      <c r="G122" s="318" t="s">
        <v>2582</v>
      </c>
      <c r="H122" s="436">
        <v>6150</v>
      </c>
      <c r="I122" s="317"/>
      <c r="J122" s="317"/>
      <c r="K122" s="436">
        <f t="shared" si="9"/>
        <v>6150</v>
      </c>
      <c r="L122" s="495">
        <v>41656</v>
      </c>
      <c r="M122" s="326">
        <v>5842.5</v>
      </c>
      <c r="N122" s="438">
        <f t="shared" si="10"/>
        <v>307.5</v>
      </c>
      <c r="O122" s="438">
        <f t="shared" si="11"/>
        <v>3726</v>
      </c>
      <c r="P122" s="452">
        <v>1</v>
      </c>
      <c r="Q122" s="454">
        <f t="shared" si="12"/>
        <v>10.208219178082192</v>
      </c>
      <c r="R122" s="454">
        <f t="shared" si="13"/>
        <v>-9.2082191780821923</v>
      </c>
      <c r="S122" s="455">
        <f t="shared" si="14"/>
        <v>0.95</v>
      </c>
      <c r="T122" s="442">
        <v>0</v>
      </c>
      <c r="U122" s="442">
        <f t="shared" si="15"/>
        <v>307.5</v>
      </c>
      <c r="V122" s="442">
        <f t="shared" si="16"/>
        <v>307.5</v>
      </c>
    </row>
    <row r="123" spans="1:22" ht="16.5">
      <c r="A123" s="317">
        <f t="shared" si="17"/>
        <v>116</v>
      </c>
      <c r="B123" s="318" t="s">
        <v>2469</v>
      </c>
      <c r="C123" s="318" t="s">
        <v>1796</v>
      </c>
      <c r="D123" s="318" t="s">
        <v>2583</v>
      </c>
      <c r="E123" s="318"/>
      <c r="F123" s="318"/>
      <c r="G123" s="318"/>
      <c r="H123" s="436">
        <v>8850</v>
      </c>
      <c r="I123" s="317"/>
      <c r="J123" s="317"/>
      <c r="K123" s="436">
        <f t="shared" si="9"/>
        <v>8850</v>
      </c>
      <c r="L123" s="495">
        <v>41685</v>
      </c>
      <c r="M123" s="326">
        <v>8407.5</v>
      </c>
      <c r="N123" s="438">
        <f t="shared" si="10"/>
        <v>442.5</v>
      </c>
      <c r="O123" s="438">
        <f t="shared" si="11"/>
        <v>3697</v>
      </c>
      <c r="P123" s="452">
        <v>1</v>
      </c>
      <c r="Q123" s="454">
        <f t="shared" si="12"/>
        <v>10.128767123287671</v>
      </c>
      <c r="R123" s="454">
        <f t="shared" si="13"/>
        <v>-9.1287671232876715</v>
      </c>
      <c r="S123" s="455">
        <f t="shared" si="14"/>
        <v>0.95</v>
      </c>
      <c r="T123" s="442">
        <v>0</v>
      </c>
      <c r="U123" s="442">
        <f t="shared" si="15"/>
        <v>442.5</v>
      </c>
      <c r="V123" s="442">
        <f t="shared" si="16"/>
        <v>442.5</v>
      </c>
    </row>
    <row r="124" spans="1:22" ht="16.5">
      <c r="A124" s="317">
        <f t="shared" si="17"/>
        <v>117</v>
      </c>
      <c r="B124" s="318" t="s">
        <v>2470</v>
      </c>
      <c r="C124" s="318" t="s">
        <v>1796</v>
      </c>
      <c r="D124" s="318" t="s">
        <v>2474</v>
      </c>
      <c r="E124" s="318" t="s">
        <v>2507</v>
      </c>
      <c r="F124" s="318" t="s">
        <v>2584</v>
      </c>
      <c r="G124" s="318"/>
      <c r="H124" s="436">
        <v>43900</v>
      </c>
      <c r="I124" s="317"/>
      <c r="J124" s="317"/>
      <c r="K124" s="436">
        <f t="shared" si="9"/>
        <v>43900</v>
      </c>
      <c r="L124" s="495">
        <v>41493</v>
      </c>
      <c r="M124" s="326">
        <v>41705</v>
      </c>
      <c r="N124" s="438">
        <f t="shared" si="10"/>
        <v>2195</v>
      </c>
      <c r="O124" s="438">
        <f t="shared" si="11"/>
        <v>3889</v>
      </c>
      <c r="P124" s="452">
        <v>1</v>
      </c>
      <c r="Q124" s="454">
        <f t="shared" si="12"/>
        <v>10.654794520547945</v>
      </c>
      <c r="R124" s="454">
        <f t="shared" si="13"/>
        <v>-9.6547945205479451</v>
      </c>
      <c r="S124" s="455">
        <f t="shared" si="14"/>
        <v>0.95</v>
      </c>
      <c r="T124" s="442">
        <v>0</v>
      </c>
      <c r="U124" s="442">
        <f t="shared" si="15"/>
        <v>2195</v>
      </c>
      <c r="V124" s="442">
        <f t="shared" si="16"/>
        <v>2195</v>
      </c>
    </row>
    <row r="125" spans="1:22" ht="16.5">
      <c r="A125" s="317">
        <f t="shared" si="17"/>
        <v>118</v>
      </c>
      <c r="B125" s="318" t="s">
        <v>2470</v>
      </c>
      <c r="C125" s="318" t="s">
        <v>1796</v>
      </c>
      <c r="D125" s="318" t="s">
        <v>2474</v>
      </c>
      <c r="E125" s="318" t="s">
        <v>2507</v>
      </c>
      <c r="F125" s="318" t="s">
        <v>2585</v>
      </c>
      <c r="G125" s="318" t="s">
        <v>2586</v>
      </c>
      <c r="H125" s="436">
        <v>23200</v>
      </c>
      <c r="I125" s="317"/>
      <c r="J125" s="317"/>
      <c r="K125" s="436">
        <f t="shared" si="9"/>
        <v>23200</v>
      </c>
      <c r="L125" s="495">
        <v>41503</v>
      </c>
      <c r="M125" s="326">
        <v>22040</v>
      </c>
      <c r="N125" s="438">
        <f t="shared" si="10"/>
        <v>1160</v>
      </c>
      <c r="O125" s="438">
        <f t="shared" si="11"/>
        <v>3879</v>
      </c>
      <c r="P125" s="452">
        <v>1</v>
      </c>
      <c r="Q125" s="454">
        <f t="shared" si="12"/>
        <v>10.627397260273973</v>
      </c>
      <c r="R125" s="454">
        <f t="shared" si="13"/>
        <v>-9.6273972602739732</v>
      </c>
      <c r="S125" s="455">
        <f t="shared" si="14"/>
        <v>0.95</v>
      </c>
      <c r="T125" s="442">
        <v>0</v>
      </c>
      <c r="U125" s="442">
        <f t="shared" si="15"/>
        <v>1160</v>
      </c>
      <c r="V125" s="442">
        <f t="shared" si="16"/>
        <v>1160</v>
      </c>
    </row>
    <row r="126" spans="1:22" ht="16.5">
      <c r="A126" s="317">
        <f t="shared" si="17"/>
        <v>119</v>
      </c>
      <c r="B126" s="318" t="s">
        <v>2470</v>
      </c>
      <c r="C126" s="318" t="s">
        <v>1796</v>
      </c>
      <c r="D126" s="318" t="s">
        <v>2474</v>
      </c>
      <c r="E126" s="318" t="s">
        <v>2507</v>
      </c>
      <c r="F126" s="318" t="s">
        <v>2587</v>
      </c>
      <c r="G126" s="318" t="s">
        <v>2588</v>
      </c>
      <c r="H126" s="436">
        <v>11800</v>
      </c>
      <c r="I126" s="317"/>
      <c r="J126" s="317"/>
      <c r="K126" s="436">
        <f t="shared" si="9"/>
        <v>11800</v>
      </c>
      <c r="L126" s="495">
        <v>41637</v>
      </c>
      <c r="M126" s="326">
        <v>11210</v>
      </c>
      <c r="N126" s="438">
        <f t="shared" si="10"/>
        <v>590</v>
      </c>
      <c r="O126" s="438">
        <f t="shared" si="11"/>
        <v>3745</v>
      </c>
      <c r="P126" s="452">
        <v>1</v>
      </c>
      <c r="Q126" s="454">
        <f t="shared" si="12"/>
        <v>10.260273972602739</v>
      </c>
      <c r="R126" s="454">
        <f t="shared" si="13"/>
        <v>-9.2602739726027394</v>
      </c>
      <c r="S126" s="455">
        <f t="shared" si="14"/>
        <v>0.95</v>
      </c>
      <c r="T126" s="442">
        <v>0</v>
      </c>
      <c r="U126" s="442">
        <f t="shared" si="15"/>
        <v>590</v>
      </c>
      <c r="V126" s="442">
        <f t="shared" si="16"/>
        <v>590</v>
      </c>
    </row>
    <row r="127" spans="1:22" ht="16.5">
      <c r="A127" s="317">
        <f t="shared" si="17"/>
        <v>120</v>
      </c>
      <c r="B127" s="318" t="s">
        <v>2470</v>
      </c>
      <c r="C127" s="318" t="s">
        <v>1796</v>
      </c>
      <c r="D127" s="318" t="s">
        <v>2474</v>
      </c>
      <c r="E127" s="318" t="s">
        <v>2507</v>
      </c>
      <c r="F127" s="318" t="s">
        <v>2589</v>
      </c>
      <c r="G127" s="318" t="s">
        <v>2590</v>
      </c>
      <c r="H127" s="436">
        <v>17400</v>
      </c>
      <c r="I127" s="317"/>
      <c r="J127" s="317"/>
      <c r="K127" s="436">
        <f t="shared" si="9"/>
        <v>17400</v>
      </c>
      <c r="L127" s="495">
        <v>41641</v>
      </c>
      <c r="M127" s="326">
        <v>16530</v>
      </c>
      <c r="N127" s="438">
        <f t="shared" si="10"/>
        <v>870</v>
      </c>
      <c r="O127" s="438">
        <f t="shared" si="11"/>
        <v>3741</v>
      </c>
      <c r="P127" s="452">
        <v>1</v>
      </c>
      <c r="Q127" s="454">
        <f t="shared" si="12"/>
        <v>10.24931506849315</v>
      </c>
      <c r="R127" s="454">
        <f t="shared" si="13"/>
        <v>-9.24931506849315</v>
      </c>
      <c r="S127" s="455">
        <f t="shared" si="14"/>
        <v>0.95</v>
      </c>
      <c r="T127" s="442">
        <v>0</v>
      </c>
      <c r="U127" s="442">
        <f t="shared" si="15"/>
        <v>870</v>
      </c>
      <c r="V127" s="442">
        <f t="shared" si="16"/>
        <v>870</v>
      </c>
    </row>
    <row r="128" spans="1:22" ht="16.5">
      <c r="A128" s="317">
        <f t="shared" si="17"/>
        <v>121</v>
      </c>
      <c r="B128" s="318" t="s">
        <v>2470</v>
      </c>
      <c r="C128" s="318" t="s">
        <v>1796</v>
      </c>
      <c r="D128" s="318" t="s">
        <v>2583</v>
      </c>
      <c r="E128" s="318"/>
      <c r="F128" s="318" t="s">
        <v>2591</v>
      </c>
      <c r="G128" s="318"/>
      <c r="H128" s="436">
        <v>17900</v>
      </c>
      <c r="I128" s="317"/>
      <c r="J128" s="317"/>
      <c r="K128" s="436">
        <f t="shared" si="9"/>
        <v>17900</v>
      </c>
      <c r="L128" s="495">
        <v>41696</v>
      </c>
      <c r="M128" s="326">
        <v>17005</v>
      </c>
      <c r="N128" s="438">
        <f t="shared" si="10"/>
        <v>895</v>
      </c>
      <c r="O128" s="438">
        <f t="shared" si="11"/>
        <v>3686</v>
      </c>
      <c r="P128" s="452">
        <v>1</v>
      </c>
      <c r="Q128" s="454">
        <f t="shared" si="12"/>
        <v>10.098630136986301</v>
      </c>
      <c r="R128" s="454">
        <f t="shared" si="13"/>
        <v>-9.0986301369863014</v>
      </c>
      <c r="S128" s="455">
        <f t="shared" si="14"/>
        <v>0.95</v>
      </c>
      <c r="T128" s="442">
        <v>0</v>
      </c>
      <c r="U128" s="442">
        <f t="shared" si="15"/>
        <v>895</v>
      </c>
      <c r="V128" s="442">
        <f t="shared" si="16"/>
        <v>895</v>
      </c>
    </row>
    <row r="129" spans="1:22" ht="16.5">
      <c r="A129" s="317">
        <f t="shared" si="17"/>
        <v>122</v>
      </c>
      <c r="B129" s="318" t="s">
        <v>2470</v>
      </c>
      <c r="C129" s="318" t="s">
        <v>1796</v>
      </c>
      <c r="D129" s="318" t="s">
        <v>2592</v>
      </c>
      <c r="E129" s="318"/>
      <c r="F129" s="318" t="s">
        <v>2593</v>
      </c>
      <c r="G129" s="318" t="s">
        <v>2594</v>
      </c>
      <c r="H129" s="436">
        <v>17700</v>
      </c>
      <c r="I129" s="317"/>
      <c r="J129" s="317"/>
      <c r="K129" s="436">
        <f t="shared" si="9"/>
        <v>17700</v>
      </c>
      <c r="L129" s="495">
        <v>41630</v>
      </c>
      <c r="M129" s="326">
        <v>16815</v>
      </c>
      <c r="N129" s="438">
        <f t="shared" si="10"/>
        <v>885</v>
      </c>
      <c r="O129" s="438">
        <f t="shared" si="11"/>
        <v>3752</v>
      </c>
      <c r="P129" s="452">
        <v>1</v>
      </c>
      <c r="Q129" s="454">
        <f t="shared" si="12"/>
        <v>10.27945205479452</v>
      </c>
      <c r="R129" s="454">
        <f t="shared" si="13"/>
        <v>-9.2794520547945201</v>
      </c>
      <c r="S129" s="455">
        <f t="shared" si="14"/>
        <v>0.95</v>
      </c>
      <c r="T129" s="442">
        <v>0</v>
      </c>
      <c r="U129" s="442">
        <f t="shared" si="15"/>
        <v>885</v>
      </c>
      <c r="V129" s="442">
        <f t="shared" si="16"/>
        <v>885</v>
      </c>
    </row>
    <row r="130" spans="1:22" ht="16.5">
      <c r="A130" s="317">
        <f t="shared" si="17"/>
        <v>123</v>
      </c>
      <c r="B130" s="318" t="s">
        <v>2595</v>
      </c>
      <c r="C130" s="318" t="s">
        <v>1796</v>
      </c>
      <c r="D130" s="318" t="s">
        <v>2474</v>
      </c>
      <c r="E130" s="318"/>
      <c r="F130" s="318" t="s">
        <v>2596</v>
      </c>
      <c r="G130" s="318" t="s">
        <v>2597</v>
      </c>
      <c r="H130" s="436">
        <v>9160</v>
      </c>
      <c r="I130" s="317"/>
      <c r="J130" s="317"/>
      <c r="K130" s="436">
        <f t="shared" si="9"/>
        <v>9160</v>
      </c>
      <c r="L130" s="495">
        <v>41536</v>
      </c>
      <c r="M130" s="326">
        <v>8702.2550415317328</v>
      </c>
      <c r="N130" s="438">
        <f t="shared" si="10"/>
        <v>457.74495846826721</v>
      </c>
      <c r="O130" s="438">
        <f t="shared" si="11"/>
        <v>3846</v>
      </c>
      <c r="P130" s="452">
        <v>5</v>
      </c>
      <c r="Q130" s="454">
        <f t="shared" si="12"/>
        <v>10.536986301369863</v>
      </c>
      <c r="R130" s="454">
        <f t="shared" si="13"/>
        <v>-5.536986301369863</v>
      </c>
      <c r="S130" s="455">
        <f t="shared" si="14"/>
        <v>0.19</v>
      </c>
      <c r="T130" s="442">
        <v>0</v>
      </c>
      <c r="U130" s="442">
        <f t="shared" si="15"/>
        <v>457.74495846826721</v>
      </c>
      <c r="V130" s="442">
        <f t="shared" si="16"/>
        <v>458</v>
      </c>
    </row>
    <row r="131" spans="1:22" ht="16.5">
      <c r="A131" s="317">
        <f t="shared" si="17"/>
        <v>124</v>
      </c>
      <c r="B131" s="318" t="s">
        <v>2598</v>
      </c>
      <c r="C131" s="318" t="s">
        <v>1796</v>
      </c>
      <c r="D131" s="318" t="s">
        <v>2474</v>
      </c>
      <c r="E131" s="318"/>
      <c r="F131" s="318" t="s">
        <v>2599</v>
      </c>
      <c r="G131" s="318"/>
      <c r="H131" s="436">
        <v>36750</v>
      </c>
      <c r="I131" s="317"/>
      <c r="J131" s="317"/>
      <c r="K131" s="436">
        <f t="shared" si="9"/>
        <v>36750</v>
      </c>
      <c r="L131" s="495">
        <v>41618</v>
      </c>
      <c r="M131" s="326">
        <v>34912.468252096834</v>
      </c>
      <c r="N131" s="438">
        <f t="shared" si="10"/>
        <v>1837.5317479031655</v>
      </c>
      <c r="O131" s="438">
        <f t="shared" si="11"/>
        <v>3764</v>
      </c>
      <c r="P131" s="452">
        <v>5</v>
      </c>
      <c r="Q131" s="454">
        <f t="shared" si="12"/>
        <v>10.312328767123288</v>
      </c>
      <c r="R131" s="454">
        <f t="shared" si="13"/>
        <v>-5.3123287671232884</v>
      </c>
      <c r="S131" s="455">
        <f t="shared" si="14"/>
        <v>0.19</v>
      </c>
      <c r="T131" s="442">
        <v>0</v>
      </c>
      <c r="U131" s="442">
        <f t="shared" si="15"/>
        <v>1837.5317479031655</v>
      </c>
      <c r="V131" s="442">
        <f t="shared" si="16"/>
        <v>1837.5</v>
      </c>
    </row>
    <row r="132" spans="1:22" ht="16.5">
      <c r="A132" s="317">
        <f t="shared" si="17"/>
        <v>125</v>
      </c>
      <c r="B132" s="318" t="s">
        <v>474</v>
      </c>
      <c r="C132" s="318" t="s">
        <v>1796</v>
      </c>
      <c r="D132" s="318" t="s">
        <v>1704</v>
      </c>
      <c r="E132" s="318" t="s">
        <v>2560</v>
      </c>
      <c r="F132" s="318"/>
      <c r="G132" s="318"/>
      <c r="H132" s="436">
        <v>14500</v>
      </c>
      <c r="I132" s="317"/>
      <c r="J132" s="317"/>
      <c r="K132" s="436">
        <f t="shared" si="9"/>
        <v>14500</v>
      </c>
      <c r="L132" s="495">
        <v>41365</v>
      </c>
      <c r="M132" s="326">
        <v>13775.198237508555</v>
      </c>
      <c r="N132" s="438">
        <f t="shared" si="10"/>
        <v>724.80176249144461</v>
      </c>
      <c r="O132" s="438">
        <f t="shared" si="11"/>
        <v>4017</v>
      </c>
      <c r="P132" s="452">
        <v>5</v>
      </c>
      <c r="Q132" s="454">
        <f t="shared" si="12"/>
        <v>11.005479452054795</v>
      </c>
      <c r="R132" s="454">
        <f t="shared" si="13"/>
        <v>-6.0054794520547947</v>
      </c>
      <c r="S132" s="455">
        <f t="shared" si="14"/>
        <v>0.19</v>
      </c>
      <c r="T132" s="442">
        <v>0</v>
      </c>
      <c r="U132" s="442">
        <f t="shared" si="15"/>
        <v>724.80176249144461</v>
      </c>
      <c r="V132" s="442">
        <f t="shared" si="16"/>
        <v>725</v>
      </c>
    </row>
    <row r="133" spans="1:22" ht="16.5">
      <c r="A133" s="317">
        <f t="shared" si="17"/>
        <v>126</v>
      </c>
      <c r="B133" s="318" t="s">
        <v>474</v>
      </c>
      <c r="C133" s="318" t="s">
        <v>1796</v>
      </c>
      <c r="D133" s="318" t="s">
        <v>1673</v>
      </c>
      <c r="E133" s="318" t="s">
        <v>2600</v>
      </c>
      <c r="F133" s="318" t="s">
        <v>2601</v>
      </c>
      <c r="G133" s="318" t="s">
        <v>2602</v>
      </c>
      <c r="H133" s="436">
        <v>14700</v>
      </c>
      <c r="I133" s="317"/>
      <c r="J133" s="317"/>
      <c r="K133" s="436">
        <f t="shared" si="9"/>
        <v>14700</v>
      </c>
      <c r="L133" s="495">
        <v>41494</v>
      </c>
      <c r="M133" s="326">
        <v>13964.569390014236</v>
      </c>
      <c r="N133" s="438">
        <f t="shared" si="10"/>
        <v>735.43060998576402</v>
      </c>
      <c r="O133" s="438">
        <f t="shared" si="11"/>
        <v>3888</v>
      </c>
      <c r="P133" s="452">
        <v>5</v>
      </c>
      <c r="Q133" s="454">
        <f t="shared" si="12"/>
        <v>10.652054794520549</v>
      </c>
      <c r="R133" s="454">
        <f t="shared" si="13"/>
        <v>-5.6520547945205486</v>
      </c>
      <c r="S133" s="455">
        <f t="shared" si="14"/>
        <v>0.19</v>
      </c>
      <c r="T133" s="442">
        <v>0</v>
      </c>
      <c r="U133" s="442">
        <f t="shared" si="15"/>
        <v>735.43060998576402</v>
      </c>
      <c r="V133" s="442">
        <f t="shared" si="16"/>
        <v>735</v>
      </c>
    </row>
    <row r="134" spans="1:22" ht="16.5">
      <c r="A134" s="317">
        <f t="shared" si="17"/>
        <v>127</v>
      </c>
      <c r="B134" s="318" t="s">
        <v>238</v>
      </c>
      <c r="C134" s="318" t="s">
        <v>1796</v>
      </c>
      <c r="D134" s="318" t="s">
        <v>1673</v>
      </c>
      <c r="E134" s="318"/>
      <c r="F134" s="318"/>
      <c r="G134" s="318"/>
      <c r="H134" s="436">
        <v>10800</v>
      </c>
      <c r="I134" s="317"/>
      <c r="J134" s="317"/>
      <c r="K134" s="436">
        <f t="shared" si="9"/>
        <v>10800</v>
      </c>
      <c r="L134" s="495">
        <v>41380</v>
      </c>
      <c r="M134" s="326">
        <v>10259.806497038951</v>
      </c>
      <c r="N134" s="438">
        <f t="shared" si="10"/>
        <v>540.19350296104858</v>
      </c>
      <c r="O134" s="438">
        <f t="shared" si="11"/>
        <v>4002</v>
      </c>
      <c r="P134" s="452">
        <v>5</v>
      </c>
      <c r="Q134" s="454">
        <f t="shared" si="12"/>
        <v>10.964383561643835</v>
      </c>
      <c r="R134" s="454">
        <f t="shared" si="13"/>
        <v>-5.9643835616438352</v>
      </c>
      <c r="S134" s="455">
        <f t="shared" si="14"/>
        <v>0.19</v>
      </c>
      <c r="T134" s="442">
        <v>0</v>
      </c>
      <c r="U134" s="442">
        <f t="shared" si="15"/>
        <v>540.19350296104858</v>
      </c>
      <c r="V134" s="442">
        <f t="shared" si="16"/>
        <v>540</v>
      </c>
    </row>
    <row r="135" spans="1:22" ht="16.5">
      <c r="A135" s="317">
        <f t="shared" si="17"/>
        <v>128</v>
      </c>
      <c r="B135" s="318" t="s">
        <v>238</v>
      </c>
      <c r="C135" s="318" t="s">
        <v>1796</v>
      </c>
      <c r="D135" s="318" t="s">
        <v>2555</v>
      </c>
      <c r="E135" s="318"/>
      <c r="F135" s="318"/>
      <c r="G135" s="318"/>
      <c r="H135" s="436">
        <v>8300</v>
      </c>
      <c r="I135" s="317"/>
      <c r="J135" s="317"/>
      <c r="K135" s="436">
        <f t="shared" si="9"/>
        <v>8300</v>
      </c>
      <c r="L135" s="495">
        <v>41435</v>
      </c>
      <c r="M135" s="326">
        <v>7885.4979560683096</v>
      </c>
      <c r="N135" s="438">
        <f t="shared" si="10"/>
        <v>414.50204393169042</v>
      </c>
      <c r="O135" s="438">
        <f t="shared" si="11"/>
        <v>3947</v>
      </c>
      <c r="P135" s="452">
        <v>5</v>
      </c>
      <c r="Q135" s="454">
        <f t="shared" si="12"/>
        <v>10.813698630136987</v>
      </c>
      <c r="R135" s="454">
        <f t="shared" si="13"/>
        <v>-5.8136986301369866</v>
      </c>
      <c r="S135" s="455">
        <f t="shared" si="14"/>
        <v>0.19</v>
      </c>
      <c r="T135" s="442">
        <v>0</v>
      </c>
      <c r="U135" s="442">
        <f t="shared" si="15"/>
        <v>414.50204393169042</v>
      </c>
      <c r="V135" s="442">
        <f t="shared" si="16"/>
        <v>415</v>
      </c>
    </row>
    <row r="136" spans="1:22" ht="16.5">
      <c r="A136" s="317">
        <f t="shared" si="17"/>
        <v>129</v>
      </c>
      <c r="B136" s="318" t="s">
        <v>238</v>
      </c>
      <c r="C136" s="318" t="s">
        <v>1796</v>
      </c>
      <c r="D136" s="318" t="s">
        <v>2603</v>
      </c>
      <c r="E136" s="318" t="s">
        <v>2504</v>
      </c>
      <c r="F136" s="318" t="s">
        <v>2604</v>
      </c>
      <c r="G136" s="318"/>
      <c r="H136" s="436">
        <v>9900</v>
      </c>
      <c r="I136" s="317"/>
      <c r="J136" s="317"/>
      <c r="K136" s="436">
        <f t="shared" si="9"/>
        <v>9900</v>
      </c>
      <c r="L136" s="495">
        <v>41536</v>
      </c>
      <c r="M136" s="326">
        <v>9404.8542479436856</v>
      </c>
      <c r="N136" s="438">
        <f t="shared" si="10"/>
        <v>495.14575205631445</v>
      </c>
      <c r="O136" s="438">
        <f t="shared" si="11"/>
        <v>3846</v>
      </c>
      <c r="P136" s="452">
        <v>5</v>
      </c>
      <c r="Q136" s="454">
        <f t="shared" si="12"/>
        <v>10.536986301369863</v>
      </c>
      <c r="R136" s="454">
        <f t="shared" si="13"/>
        <v>-5.536986301369863</v>
      </c>
      <c r="S136" s="455">
        <f t="shared" si="14"/>
        <v>0.19</v>
      </c>
      <c r="T136" s="442">
        <v>0</v>
      </c>
      <c r="U136" s="442">
        <f t="shared" si="15"/>
        <v>495.14575205631445</v>
      </c>
      <c r="V136" s="442">
        <f t="shared" si="16"/>
        <v>495</v>
      </c>
    </row>
    <row r="137" spans="1:22" ht="16.5">
      <c r="A137" s="317">
        <f t="shared" si="17"/>
        <v>130</v>
      </c>
      <c r="B137" s="318" t="s">
        <v>238</v>
      </c>
      <c r="C137" s="318" t="s">
        <v>1796</v>
      </c>
      <c r="D137" s="318" t="s">
        <v>2583</v>
      </c>
      <c r="E137" s="318"/>
      <c r="F137" s="318"/>
      <c r="G137" s="318"/>
      <c r="H137" s="436">
        <v>27600</v>
      </c>
      <c r="I137" s="317"/>
      <c r="J137" s="317"/>
      <c r="K137" s="436">
        <f t="shared" ref="K137:K200" si="18">+H137+I137-J137</f>
        <v>27600</v>
      </c>
      <c r="L137" s="495">
        <v>41686</v>
      </c>
      <c r="M137" s="326">
        <v>26219.622539257605</v>
      </c>
      <c r="N137" s="438">
        <f t="shared" ref="N137:N200" si="19">+K137-M137</f>
        <v>1380.3774607423948</v>
      </c>
      <c r="O137" s="438">
        <f t="shared" ref="O137:O200" si="20">+$O$3-L137</f>
        <v>3696</v>
      </c>
      <c r="P137" s="452">
        <v>5</v>
      </c>
      <c r="Q137" s="454">
        <f t="shared" ref="Q137:Q200" si="21">+O137/365</f>
        <v>10.126027397260273</v>
      </c>
      <c r="R137" s="454">
        <f t="shared" ref="R137:R200" si="22">+P137-Q137</f>
        <v>-5.1260273972602732</v>
      </c>
      <c r="S137" s="455">
        <f t="shared" ref="S137:S200" si="23">1/P137*0.95</f>
        <v>0.19</v>
      </c>
      <c r="T137" s="442">
        <v>0</v>
      </c>
      <c r="U137" s="442">
        <f t="shared" ref="U137:U200" si="24">+N137-T137</f>
        <v>1380.3774607423948</v>
      </c>
      <c r="V137" s="442">
        <f t="shared" ref="V137:V200" si="25">+H137*5%</f>
        <v>1380</v>
      </c>
    </row>
    <row r="138" spans="1:22" ht="16.5">
      <c r="A138" s="317">
        <f t="shared" ref="A138:A201" si="26">+A137+1</f>
        <v>131</v>
      </c>
      <c r="B138" s="318" t="s">
        <v>238</v>
      </c>
      <c r="C138" s="318" t="s">
        <v>1796</v>
      </c>
      <c r="D138" s="318" t="s">
        <v>2605</v>
      </c>
      <c r="E138" s="318"/>
      <c r="F138" s="318"/>
      <c r="G138" s="318"/>
      <c r="H138" s="436">
        <v>7404</v>
      </c>
      <c r="I138" s="317"/>
      <c r="J138" s="317"/>
      <c r="K138" s="436">
        <f t="shared" si="18"/>
        <v>7404</v>
      </c>
      <c r="L138" s="495">
        <v>41704</v>
      </c>
      <c r="M138" s="326">
        <v>7033.9922128722419</v>
      </c>
      <c r="N138" s="438">
        <f t="shared" si="19"/>
        <v>370.00778712775809</v>
      </c>
      <c r="O138" s="438">
        <f t="shared" si="20"/>
        <v>3678</v>
      </c>
      <c r="P138" s="452">
        <v>5</v>
      </c>
      <c r="Q138" s="454">
        <f t="shared" si="21"/>
        <v>10.076712328767123</v>
      </c>
      <c r="R138" s="454">
        <f t="shared" si="22"/>
        <v>-5.0767123287671225</v>
      </c>
      <c r="S138" s="455">
        <f t="shared" si="23"/>
        <v>0.19</v>
      </c>
      <c r="T138" s="442">
        <v>0</v>
      </c>
      <c r="U138" s="442">
        <f t="shared" si="24"/>
        <v>370.00778712775809</v>
      </c>
      <c r="V138" s="442">
        <f t="shared" si="25"/>
        <v>370.20000000000005</v>
      </c>
    </row>
    <row r="139" spans="1:22" ht="16.5">
      <c r="A139" s="317">
        <f t="shared" si="26"/>
        <v>132</v>
      </c>
      <c r="B139" s="460" t="s">
        <v>2606</v>
      </c>
      <c r="C139" s="318"/>
      <c r="D139" s="318"/>
      <c r="E139" s="318"/>
      <c r="F139" s="318"/>
      <c r="G139" s="461">
        <v>41651</v>
      </c>
      <c r="H139" s="436">
        <v>18000</v>
      </c>
      <c r="I139" s="317"/>
      <c r="J139" s="317"/>
      <c r="K139" s="436">
        <f t="shared" si="18"/>
        <v>18000</v>
      </c>
      <c r="L139" s="472">
        <v>41974</v>
      </c>
      <c r="M139" s="326">
        <v>18000.294341304299</v>
      </c>
      <c r="N139" s="438">
        <f t="shared" si="19"/>
        <v>-0.29434130429945071</v>
      </c>
      <c r="O139" s="438">
        <f t="shared" si="20"/>
        <v>3408</v>
      </c>
      <c r="P139" s="452">
        <v>5</v>
      </c>
      <c r="Q139" s="454">
        <f t="shared" si="21"/>
        <v>9.3369863013698637</v>
      </c>
      <c r="R139" s="454">
        <f t="shared" si="22"/>
        <v>-4.3369863013698637</v>
      </c>
      <c r="S139" s="455">
        <f t="shared" si="23"/>
        <v>0.19</v>
      </c>
      <c r="T139" s="442"/>
      <c r="U139" s="442">
        <f t="shared" si="24"/>
        <v>-0.29434130429945071</v>
      </c>
      <c r="V139" s="442">
        <f t="shared" si="25"/>
        <v>900</v>
      </c>
    </row>
    <row r="140" spans="1:22" ht="16.5">
      <c r="A140" s="317">
        <f t="shared" si="26"/>
        <v>133</v>
      </c>
      <c r="B140" s="460" t="s">
        <v>2607</v>
      </c>
      <c r="C140" s="318"/>
      <c r="D140" s="318"/>
      <c r="E140" s="318"/>
      <c r="F140" s="318"/>
      <c r="G140" s="461">
        <v>42126</v>
      </c>
      <c r="H140" s="436">
        <v>183750</v>
      </c>
      <c r="I140" s="317"/>
      <c r="J140" s="317"/>
      <c r="K140" s="436">
        <f t="shared" si="18"/>
        <v>183750</v>
      </c>
      <c r="L140" s="472">
        <v>42040</v>
      </c>
      <c r="M140" s="326">
        <v>183750.19551729399</v>
      </c>
      <c r="N140" s="438">
        <f t="shared" si="19"/>
        <v>-0.19551729399245232</v>
      </c>
      <c r="O140" s="438">
        <f t="shared" si="20"/>
        <v>3342</v>
      </c>
      <c r="P140" s="452">
        <v>5</v>
      </c>
      <c r="Q140" s="454">
        <f t="shared" si="21"/>
        <v>9.1561643835616433</v>
      </c>
      <c r="R140" s="454">
        <f t="shared" si="22"/>
        <v>-4.1561643835616433</v>
      </c>
      <c r="S140" s="455">
        <f t="shared" si="23"/>
        <v>0.19</v>
      </c>
      <c r="T140" s="442"/>
      <c r="U140" s="442">
        <f t="shared" si="24"/>
        <v>-0.19551729399245232</v>
      </c>
      <c r="V140" s="442">
        <f t="shared" si="25"/>
        <v>9187.5</v>
      </c>
    </row>
    <row r="141" spans="1:22" ht="16.5">
      <c r="A141" s="317">
        <f t="shared" si="26"/>
        <v>134</v>
      </c>
      <c r="B141" s="460" t="s">
        <v>2608</v>
      </c>
      <c r="C141" s="318"/>
      <c r="D141" s="318"/>
      <c r="E141" s="318"/>
      <c r="F141" s="318"/>
      <c r="G141" s="479" t="s">
        <v>2609</v>
      </c>
      <c r="H141" s="436">
        <v>5400</v>
      </c>
      <c r="I141" s="317"/>
      <c r="J141" s="317"/>
      <c r="K141" s="436">
        <f t="shared" si="18"/>
        <v>5400</v>
      </c>
      <c r="L141" s="472">
        <v>41960</v>
      </c>
      <c r="M141" s="326">
        <v>5400.0398506131996</v>
      </c>
      <c r="N141" s="438">
        <f t="shared" si="19"/>
        <v>-3.9850613199632789E-2</v>
      </c>
      <c r="O141" s="438">
        <f t="shared" si="20"/>
        <v>3422</v>
      </c>
      <c r="P141" s="452">
        <v>5</v>
      </c>
      <c r="Q141" s="454">
        <f t="shared" si="21"/>
        <v>9.375342465753425</v>
      </c>
      <c r="R141" s="454">
        <f t="shared" si="22"/>
        <v>-4.375342465753425</v>
      </c>
      <c r="S141" s="455">
        <f t="shared" si="23"/>
        <v>0.19</v>
      </c>
      <c r="T141" s="442"/>
      <c r="U141" s="442">
        <f t="shared" si="24"/>
        <v>-3.9850613199632789E-2</v>
      </c>
      <c r="V141" s="442">
        <f t="shared" si="25"/>
        <v>270</v>
      </c>
    </row>
    <row r="142" spans="1:22" ht="16.5">
      <c r="A142" s="317">
        <f t="shared" si="26"/>
        <v>135</v>
      </c>
      <c r="B142" s="460" t="s">
        <v>2610</v>
      </c>
      <c r="C142" s="318"/>
      <c r="D142" s="318"/>
      <c r="E142" s="318"/>
      <c r="F142" s="318"/>
      <c r="G142" s="479" t="s">
        <v>2611</v>
      </c>
      <c r="H142" s="436">
        <v>30290</v>
      </c>
      <c r="I142" s="317"/>
      <c r="J142" s="317"/>
      <c r="K142" s="436">
        <f t="shared" si="18"/>
        <v>30290</v>
      </c>
      <c r="L142" s="472">
        <v>42094</v>
      </c>
      <c r="M142" s="326">
        <v>30289.8028280207</v>
      </c>
      <c r="N142" s="438">
        <f t="shared" si="19"/>
        <v>0.19717197930003749</v>
      </c>
      <c r="O142" s="438">
        <f t="shared" si="20"/>
        <v>3288</v>
      </c>
      <c r="P142" s="452">
        <v>5</v>
      </c>
      <c r="Q142" s="454">
        <f t="shared" si="21"/>
        <v>9.0082191780821912</v>
      </c>
      <c r="R142" s="454">
        <f t="shared" si="22"/>
        <v>-4.0082191780821912</v>
      </c>
      <c r="S142" s="455">
        <f t="shared" si="23"/>
        <v>0.19</v>
      </c>
      <c r="T142" s="442"/>
      <c r="U142" s="442">
        <f t="shared" si="24"/>
        <v>0.19717197930003749</v>
      </c>
      <c r="V142" s="442">
        <f t="shared" si="25"/>
        <v>1514.5</v>
      </c>
    </row>
    <row r="143" spans="1:22" ht="16.5">
      <c r="A143" s="317">
        <f t="shared" si="26"/>
        <v>136</v>
      </c>
      <c r="B143" s="460" t="s">
        <v>2612</v>
      </c>
      <c r="C143" s="318"/>
      <c r="D143" s="318"/>
      <c r="E143" s="318"/>
      <c r="F143" s="318"/>
      <c r="G143" s="479" t="s">
        <v>2613</v>
      </c>
      <c r="H143" s="436">
        <v>16000</v>
      </c>
      <c r="I143" s="317"/>
      <c r="J143" s="317"/>
      <c r="K143" s="436">
        <f t="shared" si="18"/>
        <v>16000</v>
      </c>
      <c r="L143" s="472">
        <v>41759</v>
      </c>
      <c r="M143" s="326">
        <v>15443.088027660966</v>
      </c>
      <c r="N143" s="438">
        <f t="shared" si="19"/>
        <v>556.91197233903404</v>
      </c>
      <c r="O143" s="438">
        <f t="shared" si="20"/>
        <v>3623</v>
      </c>
      <c r="P143" s="452">
        <v>5</v>
      </c>
      <c r="Q143" s="454">
        <f t="shared" si="21"/>
        <v>9.9260273972602739</v>
      </c>
      <c r="R143" s="454">
        <f t="shared" si="22"/>
        <v>-4.9260273972602739</v>
      </c>
      <c r="S143" s="455">
        <f t="shared" si="23"/>
        <v>0.19</v>
      </c>
      <c r="T143" s="442"/>
      <c r="U143" s="442">
        <f t="shared" si="24"/>
        <v>556.91197233903404</v>
      </c>
      <c r="V143" s="442">
        <f t="shared" si="25"/>
        <v>800</v>
      </c>
    </row>
    <row r="144" spans="1:22" ht="16.5">
      <c r="A144" s="317">
        <f t="shared" si="26"/>
        <v>137</v>
      </c>
      <c r="B144" s="460" t="s">
        <v>2614</v>
      </c>
      <c r="C144" s="318"/>
      <c r="D144" s="318"/>
      <c r="E144" s="318"/>
      <c r="F144" s="318"/>
      <c r="G144" s="479">
        <v>42157</v>
      </c>
      <c r="H144" s="436">
        <v>8500</v>
      </c>
      <c r="I144" s="317"/>
      <c r="J144" s="317"/>
      <c r="K144" s="436">
        <f t="shared" si="18"/>
        <v>8500</v>
      </c>
      <c r="L144" s="472">
        <v>42041</v>
      </c>
      <c r="M144" s="326">
        <v>8075</v>
      </c>
      <c r="N144" s="438">
        <f t="shared" si="19"/>
        <v>425</v>
      </c>
      <c r="O144" s="438">
        <f t="shared" si="20"/>
        <v>3341</v>
      </c>
      <c r="P144" s="452">
        <v>1</v>
      </c>
      <c r="Q144" s="454">
        <f t="shared" si="21"/>
        <v>9.1534246575342468</v>
      </c>
      <c r="R144" s="454">
        <f t="shared" si="22"/>
        <v>-8.1534246575342468</v>
      </c>
      <c r="S144" s="455">
        <f t="shared" si="23"/>
        <v>0.95</v>
      </c>
      <c r="T144" s="442"/>
      <c r="U144" s="442">
        <f t="shared" si="24"/>
        <v>425</v>
      </c>
      <c r="V144" s="442">
        <f t="shared" si="25"/>
        <v>425</v>
      </c>
    </row>
    <row r="145" spans="1:22" ht="16.5">
      <c r="A145" s="317">
        <f t="shared" si="26"/>
        <v>138</v>
      </c>
      <c r="B145" s="460" t="s">
        <v>2614</v>
      </c>
      <c r="C145" s="318"/>
      <c r="D145" s="318"/>
      <c r="E145" s="318"/>
      <c r="F145" s="318"/>
      <c r="G145" s="479">
        <v>41886</v>
      </c>
      <c r="H145" s="436">
        <v>22900</v>
      </c>
      <c r="I145" s="317"/>
      <c r="J145" s="317"/>
      <c r="K145" s="436">
        <f t="shared" si="18"/>
        <v>22900</v>
      </c>
      <c r="L145" s="472">
        <v>41738</v>
      </c>
      <c r="M145" s="326">
        <v>21755</v>
      </c>
      <c r="N145" s="438">
        <f t="shared" si="19"/>
        <v>1145</v>
      </c>
      <c r="O145" s="438">
        <f t="shared" si="20"/>
        <v>3644</v>
      </c>
      <c r="P145" s="452">
        <v>1</v>
      </c>
      <c r="Q145" s="454">
        <f t="shared" si="21"/>
        <v>9.9835616438356158</v>
      </c>
      <c r="R145" s="454">
        <f t="shared" si="22"/>
        <v>-8.9835616438356158</v>
      </c>
      <c r="S145" s="455">
        <f t="shared" si="23"/>
        <v>0.95</v>
      </c>
      <c r="T145" s="442"/>
      <c r="U145" s="442">
        <f t="shared" si="24"/>
        <v>1145</v>
      </c>
      <c r="V145" s="442">
        <f t="shared" si="25"/>
        <v>1145</v>
      </c>
    </row>
    <row r="146" spans="1:22" ht="16.5">
      <c r="A146" s="317">
        <f t="shared" si="26"/>
        <v>139</v>
      </c>
      <c r="B146" s="460" t="s">
        <v>2614</v>
      </c>
      <c r="C146" s="318"/>
      <c r="D146" s="318"/>
      <c r="E146" s="318"/>
      <c r="F146" s="318"/>
      <c r="G146" s="479">
        <v>41886</v>
      </c>
      <c r="H146" s="436">
        <v>23500</v>
      </c>
      <c r="I146" s="317"/>
      <c r="J146" s="317"/>
      <c r="K146" s="436">
        <f t="shared" si="18"/>
        <v>23500</v>
      </c>
      <c r="L146" s="472">
        <v>41738</v>
      </c>
      <c r="M146" s="326">
        <v>22325</v>
      </c>
      <c r="N146" s="438">
        <f t="shared" si="19"/>
        <v>1175</v>
      </c>
      <c r="O146" s="438">
        <f t="shared" si="20"/>
        <v>3644</v>
      </c>
      <c r="P146" s="452">
        <v>1</v>
      </c>
      <c r="Q146" s="454">
        <f t="shared" si="21"/>
        <v>9.9835616438356158</v>
      </c>
      <c r="R146" s="454">
        <f t="shared" si="22"/>
        <v>-8.9835616438356158</v>
      </c>
      <c r="S146" s="455">
        <f t="shared" si="23"/>
        <v>0.95</v>
      </c>
      <c r="T146" s="442"/>
      <c r="U146" s="442">
        <f t="shared" si="24"/>
        <v>1175</v>
      </c>
      <c r="V146" s="442">
        <f t="shared" si="25"/>
        <v>1175</v>
      </c>
    </row>
    <row r="147" spans="1:22" ht="16.5">
      <c r="A147" s="317">
        <f t="shared" si="26"/>
        <v>140</v>
      </c>
      <c r="B147" s="460" t="s">
        <v>2614</v>
      </c>
      <c r="C147" s="318"/>
      <c r="D147" s="318"/>
      <c r="E147" s="318"/>
      <c r="F147" s="318"/>
      <c r="G147" s="479" t="s">
        <v>2615</v>
      </c>
      <c r="H147" s="436">
        <v>42500</v>
      </c>
      <c r="I147" s="317"/>
      <c r="J147" s="317"/>
      <c r="K147" s="436">
        <f t="shared" si="18"/>
        <v>42500</v>
      </c>
      <c r="L147" s="472">
        <v>41809</v>
      </c>
      <c r="M147" s="326">
        <v>40375</v>
      </c>
      <c r="N147" s="438">
        <f t="shared" si="19"/>
        <v>2125</v>
      </c>
      <c r="O147" s="438">
        <f t="shared" si="20"/>
        <v>3573</v>
      </c>
      <c r="P147" s="452">
        <v>1</v>
      </c>
      <c r="Q147" s="454">
        <f t="shared" si="21"/>
        <v>9.7890410958904113</v>
      </c>
      <c r="R147" s="454">
        <f t="shared" si="22"/>
        <v>-8.7890410958904113</v>
      </c>
      <c r="S147" s="455">
        <f t="shared" si="23"/>
        <v>0.95</v>
      </c>
      <c r="T147" s="442"/>
      <c r="U147" s="442">
        <f t="shared" si="24"/>
        <v>2125</v>
      </c>
      <c r="V147" s="442">
        <f t="shared" si="25"/>
        <v>2125</v>
      </c>
    </row>
    <row r="148" spans="1:22" ht="16.5">
      <c r="A148" s="317">
        <f t="shared" si="26"/>
        <v>141</v>
      </c>
      <c r="B148" s="460" t="s">
        <v>2614</v>
      </c>
      <c r="C148" s="318"/>
      <c r="D148" s="318"/>
      <c r="E148" s="318"/>
      <c r="F148" s="318"/>
      <c r="G148" s="479">
        <v>41831</v>
      </c>
      <c r="H148" s="436">
        <v>47000</v>
      </c>
      <c r="I148" s="317"/>
      <c r="J148" s="317"/>
      <c r="K148" s="436">
        <f t="shared" si="18"/>
        <v>47000</v>
      </c>
      <c r="L148" s="472">
        <v>41950</v>
      </c>
      <c r="M148" s="326">
        <v>44650</v>
      </c>
      <c r="N148" s="438">
        <f t="shared" si="19"/>
        <v>2350</v>
      </c>
      <c r="O148" s="438">
        <f t="shared" si="20"/>
        <v>3432</v>
      </c>
      <c r="P148" s="452">
        <v>1</v>
      </c>
      <c r="Q148" s="454">
        <f t="shared" si="21"/>
        <v>9.4027397260273968</v>
      </c>
      <c r="R148" s="454">
        <f t="shared" si="22"/>
        <v>-8.4027397260273968</v>
      </c>
      <c r="S148" s="455">
        <f t="shared" si="23"/>
        <v>0.95</v>
      </c>
      <c r="T148" s="442"/>
      <c r="U148" s="442">
        <f t="shared" si="24"/>
        <v>2350</v>
      </c>
      <c r="V148" s="442">
        <f t="shared" si="25"/>
        <v>2350</v>
      </c>
    </row>
    <row r="149" spans="1:22" ht="16.5">
      <c r="A149" s="317">
        <f t="shared" si="26"/>
        <v>142</v>
      </c>
      <c r="B149" s="460" t="s">
        <v>2616</v>
      </c>
      <c r="C149" s="318"/>
      <c r="D149" s="318"/>
      <c r="E149" s="318"/>
      <c r="F149" s="318"/>
      <c r="G149" s="479" t="s">
        <v>2617</v>
      </c>
      <c r="H149" s="436">
        <v>26500</v>
      </c>
      <c r="I149" s="317"/>
      <c r="J149" s="317"/>
      <c r="K149" s="436">
        <f t="shared" si="18"/>
        <v>26500</v>
      </c>
      <c r="L149" s="472">
        <v>42024</v>
      </c>
      <c r="M149" s="326">
        <v>26500.295911697602</v>
      </c>
      <c r="N149" s="438">
        <f t="shared" si="19"/>
        <v>-0.29591169760169578</v>
      </c>
      <c r="O149" s="438">
        <f t="shared" si="20"/>
        <v>3358</v>
      </c>
      <c r="P149" s="452">
        <v>5</v>
      </c>
      <c r="Q149" s="454">
        <f t="shared" si="21"/>
        <v>9.1999999999999993</v>
      </c>
      <c r="R149" s="454">
        <f t="shared" si="22"/>
        <v>-4.1999999999999993</v>
      </c>
      <c r="S149" s="455">
        <f t="shared" si="23"/>
        <v>0.19</v>
      </c>
      <c r="T149" s="442"/>
      <c r="U149" s="442">
        <f t="shared" si="24"/>
        <v>-0.29591169760169578</v>
      </c>
      <c r="V149" s="442">
        <f t="shared" si="25"/>
        <v>1325</v>
      </c>
    </row>
    <row r="150" spans="1:22" ht="16.5">
      <c r="A150" s="317">
        <f t="shared" si="26"/>
        <v>143</v>
      </c>
      <c r="B150" s="460" t="s">
        <v>2616</v>
      </c>
      <c r="C150" s="318"/>
      <c r="D150" s="318"/>
      <c r="E150" s="318"/>
      <c r="F150" s="318"/>
      <c r="G150" s="479" t="s">
        <v>2618</v>
      </c>
      <c r="H150" s="436">
        <v>6100</v>
      </c>
      <c r="I150" s="317"/>
      <c r="J150" s="317"/>
      <c r="K150" s="436">
        <f t="shared" si="18"/>
        <v>6100</v>
      </c>
      <c r="L150" s="461">
        <v>41760</v>
      </c>
      <c r="M150" s="326">
        <v>5891.2145959879008</v>
      </c>
      <c r="N150" s="438">
        <f t="shared" si="19"/>
        <v>208.78540401209921</v>
      </c>
      <c r="O150" s="438">
        <f t="shared" si="20"/>
        <v>3622</v>
      </c>
      <c r="P150" s="452">
        <v>5</v>
      </c>
      <c r="Q150" s="454">
        <f t="shared" si="21"/>
        <v>9.9232876712328775</v>
      </c>
      <c r="R150" s="454">
        <f t="shared" si="22"/>
        <v>-4.9232876712328775</v>
      </c>
      <c r="S150" s="455">
        <f t="shared" si="23"/>
        <v>0.19</v>
      </c>
      <c r="T150" s="442"/>
      <c r="U150" s="442">
        <f t="shared" si="24"/>
        <v>208.78540401209921</v>
      </c>
      <c r="V150" s="442">
        <f t="shared" si="25"/>
        <v>305</v>
      </c>
    </row>
    <row r="151" spans="1:22" ht="16.5">
      <c r="A151" s="317">
        <f t="shared" si="26"/>
        <v>144</v>
      </c>
      <c r="B151" s="460" t="s">
        <v>2619</v>
      </c>
      <c r="C151" s="318"/>
      <c r="D151" s="318"/>
      <c r="E151" s="318"/>
      <c r="F151" s="318"/>
      <c r="G151" s="479" t="s">
        <v>2620</v>
      </c>
      <c r="H151" s="436">
        <v>31066</v>
      </c>
      <c r="I151" s="317"/>
      <c r="J151" s="317"/>
      <c r="K151" s="436">
        <f t="shared" si="18"/>
        <v>31066</v>
      </c>
      <c r="L151" s="461">
        <v>41816</v>
      </c>
      <c r="M151" s="326">
        <v>30905.328284022846</v>
      </c>
      <c r="N151" s="438">
        <f t="shared" si="19"/>
        <v>160.67171597715424</v>
      </c>
      <c r="O151" s="438">
        <f t="shared" si="20"/>
        <v>3566</v>
      </c>
      <c r="P151" s="452">
        <v>5</v>
      </c>
      <c r="Q151" s="454">
        <f t="shared" si="21"/>
        <v>9.7698630136986306</v>
      </c>
      <c r="R151" s="454">
        <f t="shared" si="22"/>
        <v>-4.7698630136986306</v>
      </c>
      <c r="S151" s="455">
        <f t="shared" si="23"/>
        <v>0.19</v>
      </c>
      <c r="T151" s="442"/>
      <c r="U151" s="442">
        <f t="shared" si="24"/>
        <v>160.67171597715424</v>
      </c>
      <c r="V151" s="442">
        <f t="shared" si="25"/>
        <v>1553.3000000000002</v>
      </c>
    </row>
    <row r="152" spans="1:22" ht="16.5">
      <c r="A152" s="317">
        <f t="shared" si="26"/>
        <v>145</v>
      </c>
      <c r="B152" s="460" t="s">
        <v>2621</v>
      </c>
      <c r="C152" s="318"/>
      <c r="D152" s="318"/>
      <c r="E152" s="318"/>
      <c r="F152" s="318"/>
      <c r="G152" s="479" t="s">
        <v>2620</v>
      </c>
      <c r="H152" s="436">
        <v>28262</v>
      </c>
      <c r="I152" s="317"/>
      <c r="J152" s="317"/>
      <c r="K152" s="436">
        <f t="shared" si="18"/>
        <v>28262</v>
      </c>
      <c r="L152" s="461">
        <v>41816</v>
      </c>
      <c r="M152" s="326">
        <v>26848.9</v>
      </c>
      <c r="N152" s="438">
        <f t="shared" si="19"/>
        <v>1413.0999999999985</v>
      </c>
      <c r="O152" s="438">
        <f t="shared" si="20"/>
        <v>3566</v>
      </c>
      <c r="P152" s="452">
        <v>1</v>
      </c>
      <c r="Q152" s="454">
        <f t="shared" si="21"/>
        <v>9.7698630136986306</v>
      </c>
      <c r="R152" s="454">
        <f t="shared" si="22"/>
        <v>-8.7698630136986306</v>
      </c>
      <c r="S152" s="455">
        <f t="shared" si="23"/>
        <v>0.95</v>
      </c>
      <c r="T152" s="442"/>
      <c r="U152" s="442">
        <f t="shared" si="24"/>
        <v>1413.0999999999985</v>
      </c>
      <c r="V152" s="442">
        <f t="shared" si="25"/>
        <v>1413.1000000000001</v>
      </c>
    </row>
    <row r="153" spans="1:22" ht="16.5">
      <c r="A153" s="317">
        <f t="shared" si="26"/>
        <v>146</v>
      </c>
      <c r="B153" s="460" t="s">
        <v>2614</v>
      </c>
      <c r="C153" s="318"/>
      <c r="D153" s="318"/>
      <c r="E153" s="318"/>
      <c r="F153" s="318"/>
      <c r="G153" s="479" t="s">
        <v>2611</v>
      </c>
      <c r="H153" s="436">
        <v>8000</v>
      </c>
      <c r="I153" s="317"/>
      <c r="J153" s="317"/>
      <c r="K153" s="436">
        <f t="shared" si="18"/>
        <v>8000</v>
      </c>
      <c r="L153" s="479">
        <v>42094</v>
      </c>
      <c r="M153" s="326">
        <v>7999.5398687410197</v>
      </c>
      <c r="N153" s="438">
        <f t="shared" si="19"/>
        <v>0.46013125898025464</v>
      </c>
      <c r="O153" s="438">
        <f t="shared" si="20"/>
        <v>3288</v>
      </c>
      <c r="P153" s="452">
        <v>5</v>
      </c>
      <c r="Q153" s="454">
        <f t="shared" si="21"/>
        <v>9.0082191780821912</v>
      </c>
      <c r="R153" s="454">
        <f t="shared" si="22"/>
        <v>-4.0082191780821912</v>
      </c>
      <c r="S153" s="455">
        <f t="shared" si="23"/>
        <v>0.19</v>
      </c>
      <c r="T153" s="442"/>
      <c r="U153" s="442">
        <f t="shared" si="24"/>
        <v>0.46013125898025464</v>
      </c>
      <c r="V153" s="442">
        <f t="shared" si="25"/>
        <v>400</v>
      </c>
    </row>
    <row r="154" spans="1:22" ht="16.5">
      <c r="A154" s="317">
        <f t="shared" si="26"/>
        <v>147</v>
      </c>
      <c r="B154" s="462" t="s">
        <v>235</v>
      </c>
      <c r="C154" s="318"/>
      <c r="D154" s="318"/>
      <c r="E154" s="318"/>
      <c r="F154" s="318"/>
      <c r="G154" s="463">
        <v>42100</v>
      </c>
      <c r="H154" s="436">
        <v>5200</v>
      </c>
      <c r="I154" s="317"/>
      <c r="J154" s="317"/>
      <c r="K154" s="436">
        <f t="shared" si="18"/>
        <v>5200</v>
      </c>
      <c r="L154" s="463">
        <v>42100</v>
      </c>
      <c r="M154" s="326">
        <v>5200.4982000093496</v>
      </c>
      <c r="N154" s="438">
        <f t="shared" si="19"/>
        <v>-0.49820000934960262</v>
      </c>
      <c r="O154" s="438">
        <f t="shared" si="20"/>
        <v>3282</v>
      </c>
      <c r="P154" s="452">
        <v>5</v>
      </c>
      <c r="Q154" s="454">
        <f t="shared" si="21"/>
        <v>8.9917808219178088</v>
      </c>
      <c r="R154" s="454">
        <f t="shared" si="22"/>
        <v>-3.9917808219178088</v>
      </c>
      <c r="S154" s="455">
        <f t="shared" si="23"/>
        <v>0.19</v>
      </c>
      <c r="T154" s="442"/>
      <c r="U154" s="442">
        <f t="shared" si="24"/>
        <v>-0.49820000934960262</v>
      </c>
      <c r="V154" s="442">
        <f t="shared" si="25"/>
        <v>260</v>
      </c>
    </row>
    <row r="155" spans="1:22" ht="16.5">
      <c r="A155" s="317">
        <f t="shared" si="26"/>
        <v>148</v>
      </c>
      <c r="B155" s="462" t="s">
        <v>235</v>
      </c>
      <c r="C155" s="318"/>
      <c r="D155" s="318"/>
      <c r="E155" s="318"/>
      <c r="F155" s="318"/>
      <c r="G155" s="463">
        <v>42116</v>
      </c>
      <c r="H155" s="436">
        <v>68600</v>
      </c>
      <c r="I155" s="317"/>
      <c r="J155" s="317"/>
      <c r="K155" s="436">
        <f t="shared" si="18"/>
        <v>68600</v>
      </c>
      <c r="L155" s="463">
        <v>42116</v>
      </c>
      <c r="M155" s="326">
        <v>68600.007408914695</v>
      </c>
      <c r="N155" s="438">
        <f t="shared" si="19"/>
        <v>-7.4089146946789697E-3</v>
      </c>
      <c r="O155" s="438">
        <f t="shared" si="20"/>
        <v>3266</v>
      </c>
      <c r="P155" s="452">
        <v>5</v>
      </c>
      <c r="Q155" s="454">
        <f t="shared" si="21"/>
        <v>8.9479452054794528</v>
      </c>
      <c r="R155" s="454">
        <f t="shared" si="22"/>
        <v>-3.9479452054794528</v>
      </c>
      <c r="S155" s="455">
        <f t="shared" si="23"/>
        <v>0.19</v>
      </c>
      <c r="T155" s="442"/>
      <c r="U155" s="442">
        <f t="shared" si="24"/>
        <v>-7.4089146946789697E-3</v>
      </c>
      <c r="V155" s="442">
        <f t="shared" si="25"/>
        <v>3430</v>
      </c>
    </row>
    <row r="156" spans="1:22" ht="16.5">
      <c r="A156" s="317">
        <f t="shared" si="26"/>
        <v>149</v>
      </c>
      <c r="B156" s="462" t="s">
        <v>235</v>
      </c>
      <c r="C156" s="318"/>
      <c r="D156" s="318"/>
      <c r="E156" s="318"/>
      <c r="F156" s="318"/>
      <c r="G156" s="463">
        <v>42117</v>
      </c>
      <c r="H156" s="436">
        <v>34300</v>
      </c>
      <c r="I156" s="317"/>
      <c r="J156" s="317"/>
      <c r="K156" s="436">
        <f t="shared" si="18"/>
        <v>34300</v>
      </c>
      <c r="L156" s="463">
        <v>42117</v>
      </c>
      <c r="M156" s="326">
        <v>34299.651879171099</v>
      </c>
      <c r="N156" s="438">
        <f t="shared" si="19"/>
        <v>0.34812082890130114</v>
      </c>
      <c r="O156" s="438">
        <f t="shared" si="20"/>
        <v>3265</v>
      </c>
      <c r="P156" s="452">
        <v>5</v>
      </c>
      <c r="Q156" s="454">
        <f t="shared" si="21"/>
        <v>8.9452054794520546</v>
      </c>
      <c r="R156" s="454">
        <f t="shared" si="22"/>
        <v>-3.9452054794520546</v>
      </c>
      <c r="S156" s="455">
        <f t="shared" si="23"/>
        <v>0.19</v>
      </c>
      <c r="T156" s="442"/>
      <c r="U156" s="442">
        <f t="shared" si="24"/>
        <v>0.34812082890130114</v>
      </c>
      <c r="V156" s="442">
        <f t="shared" si="25"/>
        <v>1715</v>
      </c>
    </row>
    <row r="157" spans="1:22" ht="16.5">
      <c r="A157" s="317">
        <f t="shared" si="26"/>
        <v>150</v>
      </c>
      <c r="B157" s="462" t="s">
        <v>235</v>
      </c>
      <c r="C157" s="318"/>
      <c r="D157" s="318"/>
      <c r="E157" s="318"/>
      <c r="F157" s="318"/>
      <c r="G157" s="463">
        <v>42174</v>
      </c>
      <c r="H157" s="436">
        <v>117600</v>
      </c>
      <c r="I157" s="317"/>
      <c r="J157" s="317"/>
      <c r="K157" s="436">
        <f t="shared" si="18"/>
        <v>117600</v>
      </c>
      <c r="L157" s="463">
        <v>42174</v>
      </c>
      <c r="M157" s="326">
        <v>117599.599289701</v>
      </c>
      <c r="N157" s="438">
        <f t="shared" si="19"/>
        <v>0.40071029899991117</v>
      </c>
      <c r="O157" s="438">
        <f t="shared" si="20"/>
        <v>3208</v>
      </c>
      <c r="P157" s="452">
        <v>5</v>
      </c>
      <c r="Q157" s="454">
        <f t="shared" si="21"/>
        <v>8.7890410958904113</v>
      </c>
      <c r="R157" s="454">
        <f t="shared" si="22"/>
        <v>-3.7890410958904113</v>
      </c>
      <c r="S157" s="455">
        <f t="shared" si="23"/>
        <v>0.19</v>
      </c>
      <c r="T157" s="442"/>
      <c r="U157" s="442">
        <f t="shared" si="24"/>
        <v>0.40071029899991117</v>
      </c>
      <c r="V157" s="442">
        <f t="shared" si="25"/>
        <v>5880</v>
      </c>
    </row>
    <row r="158" spans="1:22" ht="16.5">
      <c r="A158" s="317">
        <f t="shared" si="26"/>
        <v>151</v>
      </c>
      <c r="B158" s="462" t="s">
        <v>235</v>
      </c>
      <c r="C158" s="318"/>
      <c r="D158" s="318"/>
      <c r="E158" s="318"/>
      <c r="F158" s="318"/>
      <c r="G158" s="463">
        <v>42174</v>
      </c>
      <c r="H158" s="436">
        <v>42500</v>
      </c>
      <c r="I158" s="317"/>
      <c r="J158" s="317"/>
      <c r="K158" s="436">
        <f t="shared" si="18"/>
        <v>42500</v>
      </c>
      <c r="L158" s="463">
        <v>42174</v>
      </c>
      <c r="M158" s="326">
        <v>42500.136648063599</v>
      </c>
      <c r="N158" s="438">
        <f t="shared" si="19"/>
        <v>-0.13664806359884096</v>
      </c>
      <c r="O158" s="438">
        <f t="shared" si="20"/>
        <v>3208</v>
      </c>
      <c r="P158" s="452">
        <v>5</v>
      </c>
      <c r="Q158" s="454">
        <f t="shared" si="21"/>
        <v>8.7890410958904113</v>
      </c>
      <c r="R158" s="454">
        <f t="shared" si="22"/>
        <v>-3.7890410958904113</v>
      </c>
      <c r="S158" s="455">
        <f t="shared" si="23"/>
        <v>0.19</v>
      </c>
      <c r="T158" s="442"/>
      <c r="U158" s="442">
        <f t="shared" si="24"/>
        <v>-0.13664806359884096</v>
      </c>
      <c r="V158" s="442">
        <f t="shared" si="25"/>
        <v>2125</v>
      </c>
    </row>
    <row r="159" spans="1:22" ht="16.5">
      <c r="A159" s="317">
        <f t="shared" si="26"/>
        <v>152</v>
      </c>
      <c r="B159" s="462" t="s">
        <v>2469</v>
      </c>
      <c r="C159" s="318"/>
      <c r="D159" s="318"/>
      <c r="E159" s="318"/>
      <c r="F159" s="318"/>
      <c r="G159" s="463">
        <v>42249</v>
      </c>
      <c r="H159" s="436">
        <v>7700</v>
      </c>
      <c r="I159" s="317"/>
      <c r="J159" s="317"/>
      <c r="K159" s="436">
        <f t="shared" si="18"/>
        <v>7700</v>
      </c>
      <c r="L159" s="463">
        <v>42249</v>
      </c>
      <c r="M159" s="326">
        <v>7315</v>
      </c>
      <c r="N159" s="438">
        <f t="shared" si="19"/>
        <v>385</v>
      </c>
      <c r="O159" s="438">
        <f t="shared" si="20"/>
        <v>3133</v>
      </c>
      <c r="P159" s="452">
        <v>1</v>
      </c>
      <c r="Q159" s="454">
        <f t="shared" si="21"/>
        <v>8.5835616438356173</v>
      </c>
      <c r="R159" s="454">
        <f t="shared" si="22"/>
        <v>-7.5835616438356173</v>
      </c>
      <c r="S159" s="455">
        <f t="shared" si="23"/>
        <v>0.95</v>
      </c>
      <c r="T159" s="442">
        <v>0</v>
      </c>
      <c r="U159" s="442">
        <f t="shared" si="24"/>
        <v>385</v>
      </c>
      <c r="V159" s="442">
        <f t="shared" si="25"/>
        <v>385</v>
      </c>
    </row>
    <row r="160" spans="1:22" ht="16.5">
      <c r="A160" s="317">
        <f t="shared" si="26"/>
        <v>153</v>
      </c>
      <c r="B160" s="462" t="s">
        <v>2469</v>
      </c>
      <c r="C160" s="318"/>
      <c r="D160" s="318"/>
      <c r="E160" s="318"/>
      <c r="F160" s="318"/>
      <c r="G160" s="463">
        <v>42328</v>
      </c>
      <c r="H160" s="436">
        <v>153000</v>
      </c>
      <c r="I160" s="317"/>
      <c r="J160" s="317"/>
      <c r="K160" s="436">
        <f t="shared" si="18"/>
        <v>153000</v>
      </c>
      <c r="L160" s="463">
        <v>42328</v>
      </c>
      <c r="M160" s="326">
        <v>145350</v>
      </c>
      <c r="N160" s="438">
        <f t="shared" si="19"/>
        <v>7650</v>
      </c>
      <c r="O160" s="438">
        <f t="shared" si="20"/>
        <v>3054</v>
      </c>
      <c r="P160" s="452">
        <v>1</v>
      </c>
      <c r="Q160" s="454">
        <f t="shared" si="21"/>
        <v>8.367123287671232</v>
      </c>
      <c r="R160" s="454">
        <f t="shared" si="22"/>
        <v>-7.367123287671232</v>
      </c>
      <c r="S160" s="455">
        <f t="shared" si="23"/>
        <v>0.95</v>
      </c>
      <c r="T160" s="442">
        <v>0</v>
      </c>
      <c r="U160" s="442">
        <f t="shared" si="24"/>
        <v>7650</v>
      </c>
      <c r="V160" s="442">
        <f t="shared" si="25"/>
        <v>7650</v>
      </c>
    </row>
    <row r="161" spans="1:22" ht="16.5">
      <c r="A161" s="317">
        <f t="shared" si="26"/>
        <v>154</v>
      </c>
      <c r="B161" s="462" t="s">
        <v>2444</v>
      </c>
      <c r="C161" s="318"/>
      <c r="D161" s="318"/>
      <c r="E161" s="318"/>
      <c r="F161" s="318"/>
      <c r="G161" s="463">
        <v>42170</v>
      </c>
      <c r="H161" s="436">
        <v>13000</v>
      </c>
      <c r="I161" s="317"/>
      <c r="J161" s="317"/>
      <c r="K161" s="436">
        <f t="shared" si="18"/>
        <v>13000</v>
      </c>
      <c r="L161" s="463">
        <v>42170</v>
      </c>
      <c r="M161" s="326">
        <v>12350</v>
      </c>
      <c r="N161" s="438">
        <f t="shared" si="19"/>
        <v>650</v>
      </c>
      <c r="O161" s="438">
        <f t="shared" si="20"/>
        <v>3212</v>
      </c>
      <c r="P161" s="452">
        <v>1</v>
      </c>
      <c r="Q161" s="454">
        <f t="shared" si="21"/>
        <v>8.8000000000000007</v>
      </c>
      <c r="R161" s="454">
        <f t="shared" si="22"/>
        <v>-7.8000000000000007</v>
      </c>
      <c r="S161" s="455">
        <f t="shared" si="23"/>
        <v>0.95</v>
      </c>
      <c r="T161" s="442">
        <v>0</v>
      </c>
      <c r="U161" s="442">
        <f t="shared" si="24"/>
        <v>650</v>
      </c>
      <c r="V161" s="442">
        <f t="shared" si="25"/>
        <v>650</v>
      </c>
    </row>
    <row r="162" spans="1:22" ht="16.5">
      <c r="A162" s="317">
        <f t="shared" si="26"/>
        <v>155</v>
      </c>
      <c r="B162" s="462" t="s">
        <v>2444</v>
      </c>
      <c r="C162" s="318"/>
      <c r="D162" s="318"/>
      <c r="E162" s="318"/>
      <c r="F162" s="318"/>
      <c r="G162" s="463">
        <v>42231</v>
      </c>
      <c r="H162" s="436">
        <v>6490</v>
      </c>
      <c r="I162" s="317"/>
      <c r="J162" s="317"/>
      <c r="K162" s="436">
        <f t="shared" si="18"/>
        <v>6490</v>
      </c>
      <c r="L162" s="463">
        <v>42231</v>
      </c>
      <c r="M162" s="326">
        <v>6165.5</v>
      </c>
      <c r="N162" s="438">
        <f t="shared" si="19"/>
        <v>324.5</v>
      </c>
      <c r="O162" s="438">
        <f t="shared" si="20"/>
        <v>3151</v>
      </c>
      <c r="P162" s="452">
        <v>1</v>
      </c>
      <c r="Q162" s="454">
        <f t="shared" si="21"/>
        <v>8.632876712328768</v>
      </c>
      <c r="R162" s="454">
        <f t="shared" si="22"/>
        <v>-7.632876712328768</v>
      </c>
      <c r="S162" s="455">
        <f t="shared" si="23"/>
        <v>0.95</v>
      </c>
      <c r="T162" s="442">
        <v>0</v>
      </c>
      <c r="U162" s="442">
        <f t="shared" si="24"/>
        <v>324.5</v>
      </c>
      <c r="V162" s="442">
        <f t="shared" si="25"/>
        <v>324.5</v>
      </c>
    </row>
    <row r="163" spans="1:22" ht="16.5">
      <c r="A163" s="317">
        <f t="shared" si="26"/>
        <v>156</v>
      </c>
      <c r="B163" s="462" t="s">
        <v>2444</v>
      </c>
      <c r="C163" s="318"/>
      <c r="D163" s="318"/>
      <c r="E163" s="318"/>
      <c r="F163" s="318"/>
      <c r="G163" s="463">
        <v>42282</v>
      </c>
      <c r="H163" s="436">
        <v>20500</v>
      </c>
      <c r="I163" s="317"/>
      <c r="J163" s="317"/>
      <c r="K163" s="436">
        <f t="shared" si="18"/>
        <v>20500</v>
      </c>
      <c r="L163" s="463">
        <v>42282</v>
      </c>
      <c r="M163" s="326">
        <v>19475</v>
      </c>
      <c r="N163" s="438">
        <f t="shared" si="19"/>
        <v>1025</v>
      </c>
      <c r="O163" s="438">
        <f t="shared" si="20"/>
        <v>3100</v>
      </c>
      <c r="P163" s="452">
        <v>1</v>
      </c>
      <c r="Q163" s="454">
        <f t="shared" si="21"/>
        <v>8.493150684931507</v>
      </c>
      <c r="R163" s="454">
        <f t="shared" si="22"/>
        <v>-7.493150684931507</v>
      </c>
      <c r="S163" s="455">
        <f t="shared" si="23"/>
        <v>0.95</v>
      </c>
      <c r="T163" s="442">
        <v>0</v>
      </c>
      <c r="U163" s="442">
        <f t="shared" si="24"/>
        <v>1025</v>
      </c>
      <c r="V163" s="442">
        <f t="shared" si="25"/>
        <v>1025</v>
      </c>
    </row>
    <row r="164" spans="1:22" ht="16.5">
      <c r="A164" s="317">
        <f t="shared" si="26"/>
        <v>157</v>
      </c>
      <c r="B164" s="462" t="s">
        <v>2444</v>
      </c>
      <c r="C164" s="318"/>
      <c r="D164" s="318"/>
      <c r="E164" s="318"/>
      <c r="F164" s="318"/>
      <c r="G164" s="463">
        <v>42282</v>
      </c>
      <c r="H164" s="436">
        <v>31500</v>
      </c>
      <c r="I164" s="317"/>
      <c r="J164" s="317"/>
      <c r="K164" s="436">
        <f t="shared" si="18"/>
        <v>31500</v>
      </c>
      <c r="L164" s="463">
        <v>42282</v>
      </c>
      <c r="M164" s="326">
        <v>29925</v>
      </c>
      <c r="N164" s="438">
        <f t="shared" si="19"/>
        <v>1575</v>
      </c>
      <c r="O164" s="438">
        <f t="shared" si="20"/>
        <v>3100</v>
      </c>
      <c r="P164" s="452">
        <v>1</v>
      </c>
      <c r="Q164" s="454">
        <f t="shared" si="21"/>
        <v>8.493150684931507</v>
      </c>
      <c r="R164" s="454">
        <f t="shared" si="22"/>
        <v>-7.493150684931507</v>
      </c>
      <c r="S164" s="455">
        <f t="shared" si="23"/>
        <v>0.95</v>
      </c>
      <c r="T164" s="442">
        <v>0</v>
      </c>
      <c r="U164" s="442">
        <f t="shared" si="24"/>
        <v>1575</v>
      </c>
      <c r="V164" s="442">
        <f t="shared" si="25"/>
        <v>1575</v>
      </c>
    </row>
    <row r="165" spans="1:22" ht="16.5">
      <c r="A165" s="317">
        <f t="shared" si="26"/>
        <v>158</v>
      </c>
      <c r="B165" s="462" t="s">
        <v>2444</v>
      </c>
      <c r="C165" s="318"/>
      <c r="D165" s="318"/>
      <c r="E165" s="318"/>
      <c r="F165" s="318"/>
      <c r="G165" s="463">
        <v>42292</v>
      </c>
      <c r="H165" s="436">
        <v>15000</v>
      </c>
      <c r="I165" s="317"/>
      <c r="J165" s="317"/>
      <c r="K165" s="436">
        <f t="shared" si="18"/>
        <v>15000</v>
      </c>
      <c r="L165" s="463">
        <v>42292</v>
      </c>
      <c r="M165" s="326">
        <v>14250</v>
      </c>
      <c r="N165" s="438">
        <f t="shared" si="19"/>
        <v>750</v>
      </c>
      <c r="O165" s="438">
        <f t="shared" si="20"/>
        <v>3090</v>
      </c>
      <c r="P165" s="452">
        <v>1</v>
      </c>
      <c r="Q165" s="454">
        <f t="shared" si="21"/>
        <v>8.4657534246575334</v>
      </c>
      <c r="R165" s="454">
        <f t="shared" si="22"/>
        <v>-7.4657534246575334</v>
      </c>
      <c r="S165" s="455">
        <f t="shared" si="23"/>
        <v>0.95</v>
      </c>
      <c r="T165" s="442">
        <v>0</v>
      </c>
      <c r="U165" s="442">
        <f t="shared" si="24"/>
        <v>750</v>
      </c>
      <c r="V165" s="442">
        <f t="shared" si="25"/>
        <v>750</v>
      </c>
    </row>
    <row r="166" spans="1:22" ht="16.5">
      <c r="A166" s="317">
        <f t="shared" si="26"/>
        <v>159</v>
      </c>
      <c r="B166" s="462" t="s">
        <v>2444</v>
      </c>
      <c r="C166" s="318"/>
      <c r="D166" s="318"/>
      <c r="E166" s="318"/>
      <c r="F166" s="318"/>
      <c r="G166" s="463">
        <v>42293</v>
      </c>
      <c r="H166" s="436">
        <v>10999</v>
      </c>
      <c r="I166" s="317"/>
      <c r="J166" s="317"/>
      <c r="K166" s="436">
        <f t="shared" si="18"/>
        <v>10999</v>
      </c>
      <c r="L166" s="463">
        <v>42293</v>
      </c>
      <c r="M166" s="326">
        <v>10449.049999999999</v>
      </c>
      <c r="N166" s="438">
        <f t="shared" si="19"/>
        <v>549.95000000000073</v>
      </c>
      <c r="O166" s="438">
        <f t="shared" si="20"/>
        <v>3089</v>
      </c>
      <c r="P166" s="452">
        <v>1</v>
      </c>
      <c r="Q166" s="454">
        <f t="shared" si="21"/>
        <v>8.463013698630137</v>
      </c>
      <c r="R166" s="454">
        <f t="shared" si="22"/>
        <v>-7.463013698630137</v>
      </c>
      <c r="S166" s="455">
        <f t="shared" si="23"/>
        <v>0.95</v>
      </c>
      <c r="T166" s="442">
        <v>0</v>
      </c>
      <c r="U166" s="442">
        <f t="shared" si="24"/>
        <v>549.95000000000073</v>
      </c>
      <c r="V166" s="442">
        <f t="shared" si="25"/>
        <v>549.95000000000005</v>
      </c>
    </row>
    <row r="167" spans="1:22" ht="16.5">
      <c r="A167" s="317">
        <f t="shared" si="26"/>
        <v>160</v>
      </c>
      <c r="B167" s="462" t="s">
        <v>2444</v>
      </c>
      <c r="C167" s="318"/>
      <c r="D167" s="318"/>
      <c r="E167" s="318"/>
      <c r="F167" s="318"/>
      <c r="G167" s="463">
        <v>42359</v>
      </c>
      <c r="H167" s="436">
        <v>23000</v>
      </c>
      <c r="I167" s="317"/>
      <c r="J167" s="317"/>
      <c r="K167" s="436">
        <f t="shared" si="18"/>
        <v>23000</v>
      </c>
      <c r="L167" s="463">
        <v>42359</v>
      </c>
      <c r="M167" s="326">
        <v>21850</v>
      </c>
      <c r="N167" s="438">
        <f t="shared" si="19"/>
        <v>1150</v>
      </c>
      <c r="O167" s="438">
        <f t="shared" si="20"/>
        <v>3023</v>
      </c>
      <c r="P167" s="452">
        <v>1</v>
      </c>
      <c r="Q167" s="454">
        <f t="shared" si="21"/>
        <v>8.2821917808219183</v>
      </c>
      <c r="R167" s="454">
        <f t="shared" si="22"/>
        <v>-7.2821917808219183</v>
      </c>
      <c r="S167" s="455">
        <f t="shared" si="23"/>
        <v>0.95</v>
      </c>
      <c r="T167" s="442">
        <v>0</v>
      </c>
      <c r="U167" s="442">
        <f t="shared" si="24"/>
        <v>1150</v>
      </c>
      <c r="V167" s="442">
        <f t="shared" si="25"/>
        <v>1150</v>
      </c>
    </row>
    <row r="168" spans="1:22" ht="16.5">
      <c r="A168" s="317">
        <f t="shared" si="26"/>
        <v>161</v>
      </c>
      <c r="B168" s="462" t="s">
        <v>2444</v>
      </c>
      <c r="C168" s="318"/>
      <c r="D168" s="318"/>
      <c r="E168" s="318"/>
      <c r="F168" s="318"/>
      <c r="G168" s="463">
        <v>42359</v>
      </c>
      <c r="H168" s="436">
        <v>66000</v>
      </c>
      <c r="I168" s="317"/>
      <c r="J168" s="317"/>
      <c r="K168" s="436">
        <f t="shared" si="18"/>
        <v>66000</v>
      </c>
      <c r="L168" s="463">
        <v>42359</v>
      </c>
      <c r="M168" s="326">
        <v>62700</v>
      </c>
      <c r="N168" s="438">
        <f t="shared" si="19"/>
        <v>3300</v>
      </c>
      <c r="O168" s="438">
        <f t="shared" si="20"/>
        <v>3023</v>
      </c>
      <c r="P168" s="452">
        <v>1</v>
      </c>
      <c r="Q168" s="454">
        <f t="shared" si="21"/>
        <v>8.2821917808219183</v>
      </c>
      <c r="R168" s="454">
        <f t="shared" si="22"/>
        <v>-7.2821917808219183</v>
      </c>
      <c r="S168" s="455">
        <f t="shared" si="23"/>
        <v>0.95</v>
      </c>
      <c r="T168" s="442">
        <v>0</v>
      </c>
      <c r="U168" s="442">
        <f t="shared" si="24"/>
        <v>3300</v>
      </c>
      <c r="V168" s="442">
        <f t="shared" si="25"/>
        <v>3300</v>
      </c>
    </row>
    <row r="169" spans="1:22" ht="16.5">
      <c r="A169" s="317">
        <f t="shared" si="26"/>
        <v>162</v>
      </c>
      <c r="B169" s="462" t="s">
        <v>2444</v>
      </c>
      <c r="C169" s="318"/>
      <c r="D169" s="318"/>
      <c r="E169" s="318"/>
      <c r="F169" s="318"/>
      <c r="G169" s="463">
        <v>42385</v>
      </c>
      <c r="H169" s="436">
        <v>17000</v>
      </c>
      <c r="I169" s="317"/>
      <c r="J169" s="317"/>
      <c r="K169" s="436">
        <f t="shared" si="18"/>
        <v>17000</v>
      </c>
      <c r="L169" s="463">
        <v>42385</v>
      </c>
      <c r="M169" s="326">
        <v>16150</v>
      </c>
      <c r="N169" s="438">
        <f t="shared" si="19"/>
        <v>850</v>
      </c>
      <c r="O169" s="438">
        <f t="shared" si="20"/>
        <v>2997</v>
      </c>
      <c r="P169" s="452">
        <v>1</v>
      </c>
      <c r="Q169" s="454">
        <f t="shared" si="21"/>
        <v>8.2109589041095887</v>
      </c>
      <c r="R169" s="454">
        <f t="shared" si="22"/>
        <v>-7.2109589041095887</v>
      </c>
      <c r="S169" s="455">
        <f t="shared" si="23"/>
        <v>0.95</v>
      </c>
      <c r="T169" s="442">
        <v>0</v>
      </c>
      <c r="U169" s="442">
        <f t="shared" si="24"/>
        <v>850</v>
      </c>
      <c r="V169" s="442">
        <f t="shared" si="25"/>
        <v>850</v>
      </c>
    </row>
    <row r="170" spans="1:22" ht="16.5">
      <c r="A170" s="317">
        <f t="shared" si="26"/>
        <v>163</v>
      </c>
      <c r="B170" s="462" t="s">
        <v>2444</v>
      </c>
      <c r="C170" s="318"/>
      <c r="D170" s="318"/>
      <c r="E170" s="318"/>
      <c r="F170" s="318"/>
      <c r="G170" s="463">
        <v>42440</v>
      </c>
      <c r="H170" s="436">
        <v>46700</v>
      </c>
      <c r="I170" s="317"/>
      <c r="J170" s="317"/>
      <c r="K170" s="436">
        <f t="shared" si="18"/>
        <v>46700</v>
      </c>
      <c r="L170" s="463">
        <v>42440</v>
      </c>
      <c r="M170" s="326">
        <v>44365</v>
      </c>
      <c r="N170" s="438">
        <f t="shared" si="19"/>
        <v>2335</v>
      </c>
      <c r="O170" s="438">
        <f t="shared" si="20"/>
        <v>2942</v>
      </c>
      <c r="P170" s="452">
        <v>1</v>
      </c>
      <c r="Q170" s="454">
        <f t="shared" si="21"/>
        <v>8.0602739726027401</v>
      </c>
      <c r="R170" s="454">
        <f t="shared" si="22"/>
        <v>-7.0602739726027401</v>
      </c>
      <c r="S170" s="455">
        <f t="shared" si="23"/>
        <v>0.95</v>
      </c>
      <c r="T170" s="442">
        <v>0</v>
      </c>
      <c r="U170" s="442">
        <f t="shared" si="24"/>
        <v>2335</v>
      </c>
      <c r="V170" s="442">
        <f t="shared" si="25"/>
        <v>2335</v>
      </c>
    </row>
    <row r="171" spans="1:22" ht="16.5">
      <c r="A171" s="317">
        <f t="shared" si="26"/>
        <v>164</v>
      </c>
      <c r="B171" s="462" t="s">
        <v>2622</v>
      </c>
      <c r="C171" s="318"/>
      <c r="D171" s="318"/>
      <c r="E171" s="318"/>
      <c r="F171" s="318"/>
      <c r="G171" s="463">
        <v>42259</v>
      </c>
      <c r="H171" s="436">
        <v>21700</v>
      </c>
      <c r="I171" s="317"/>
      <c r="J171" s="317"/>
      <c r="K171" s="436">
        <f t="shared" si="18"/>
        <v>21700</v>
      </c>
      <c r="L171" s="463">
        <v>42259</v>
      </c>
      <c r="M171" s="326">
        <v>20615.231069910253</v>
      </c>
      <c r="N171" s="438">
        <f t="shared" si="19"/>
        <v>1084.7689300897473</v>
      </c>
      <c r="O171" s="438">
        <f t="shared" si="20"/>
        <v>3123</v>
      </c>
      <c r="P171" s="452">
        <v>5</v>
      </c>
      <c r="Q171" s="454">
        <f t="shared" si="21"/>
        <v>8.5561643835616437</v>
      </c>
      <c r="R171" s="454">
        <f t="shared" si="22"/>
        <v>-3.5561643835616437</v>
      </c>
      <c r="S171" s="455">
        <f t="shared" si="23"/>
        <v>0.19</v>
      </c>
      <c r="T171" s="442">
        <v>0</v>
      </c>
      <c r="U171" s="442">
        <f t="shared" si="24"/>
        <v>1084.7689300897473</v>
      </c>
      <c r="V171" s="442">
        <f t="shared" si="25"/>
        <v>1085</v>
      </c>
    </row>
    <row r="172" spans="1:22" ht="16.5">
      <c r="A172" s="317">
        <f t="shared" si="26"/>
        <v>165</v>
      </c>
      <c r="B172" s="462" t="s">
        <v>2622</v>
      </c>
      <c r="C172" s="318"/>
      <c r="D172" s="318"/>
      <c r="E172" s="318"/>
      <c r="F172" s="318"/>
      <c r="G172" s="463">
        <v>42342</v>
      </c>
      <c r="H172" s="436">
        <v>16500</v>
      </c>
      <c r="I172" s="317"/>
      <c r="J172" s="317"/>
      <c r="K172" s="436">
        <f t="shared" si="18"/>
        <v>16500</v>
      </c>
      <c r="L172" s="463">
        <v>42342</v>
      </c>
      <c r="M172" s="326">
        <v>15675.259335050678</v>
      </c>
      <c r="N172" s="438">
        <f t="shared" si="19"/>
        <v>824.74066494932231</v>
      </c>
      <c r="O172" s="438">
        <f t="shared" si="20"/>
        <v>3040</v>
      </c>
      <c r="P172" s="452">
        <v>5</v>
      </c>
      <c r="Q172" s="454">
        <f t="shared" si="21"/>
        <v>8.3287671232876708</v>
      </c>
      <c r="R172" s="454">
        <f t="shared" si="22"/>
        <v>-3.3287671232876708</v>
      </c>
      <c r="S172" s="455">
        <f t="shared" si="23"/>
        <v>0.19</v>
      </c>
      <c r="T172" s="442">
        <v>0</v>
      </c>
      <c r="U172" s="442">
        <f t="shared" si="24"/>
        <v>824.74066494932231</v>
      </c>
      <c r="V172" s="442">
        <f t="shared" si="25"/>
        <v>825</v>
      </c>
    </row>
    <row r="173" spans="1:22" ht="16.5">
      <c r="A173" s="317">
        <f t="shared" si="26"/>
        <v>166</v>
      </c>
      <c r="B173" s="462" t="s">
        <v>2622</v>
      </c>
      <c r="C173" s="318"/>
      <c r="D173" s="318"/>
      <c r="E173" s="318"/>
      <c r="F173" s="318"/>
      <c r="G173" s="463">
        <v>42413</v>
      </c>
      <c r="H173" s="436">
        <v>74201</v>
      </c>
      <c r="I173" s="317"/>
      <c r="J173" s="317"/>
      <c r="K173" s="436">
        <f t="shared" si="18"/>
        <v>74201</v>
      </c>
      <c r="L173" s="463">
        <v>42413</v>
      </c>
      <c r="M173" s="326">
        <v>70490.839307225309</v>
      </c>
      <c r="N173" s="438">
        <f t="shared" si="19"/>
        <v>3710.1606927746907</v>
      </c>
      <c r="O173" s="438">
        <f t="shared" si="20"/>
        <v>2969</v>
      </c>
      <c r="P173" s="452">
        <v>5</v>
      </c>
      <c r="Q173" s="454">
        <f t="shared" si="21"/>
        <v>8.1342465753424662</v>
      </c>
      <c r="R173" s="454">
        <f t="shared" si="22"/>
        <v>-3.1342465753424662</v>
      </c>
      <c r="S173" s="455">
        <f t="shared" si="23"/>
        <v>0.19</v>
      </c>
      <c r="T173" s="442">
        <v>0</v>
      </c>
      <c r="U173" s="442">
        <f t="shared" si="24"/>
        <v>3710.1606927746907</v>
      </c>
      <c r="V173" s="442">
        <f t="shared" si="25"/>
        <v>3710.05</v>
      </c>
    </row>
    <row r="174" spans="1:22" ht="16.5">
      <c r="A174" s="317">
        <f t="shared" si="26"/>
        <v>167</v>
      </c>
      <c r="B174" s="462" t="s">
        <v>2622</v>
      </c>
      <c r="C174" s="318"/>
      <c r="D174" s="318"/>
      <c r="E174" s="318"/>
      <c r="F174" s="318"/>
      <c r="G174" s="463">
        <v>42163</v>
      </c>
      <c r="H174" s="436">
        <v>2500</v>
      </c>
      <c r="I174" s="317"/>
      <c r="J174" s="317"/>
      <c r="K174" s="436">
        <f t="shared" si="18"/>
        <v>2500</v>
      </c>
      <c r="L174" s="463">
        <v>42163</v>
      </c>
      <c r="M174" s="326">
        <v>2375.4973553037366</v>
      </c>
      <c r="N174" s="438">
        <f t="shared" si="19"/>
        <v>124.50264469626336</v>
      </c>
      <c r="O174" s="438">
        <f t="shared" si="20"/>
        <v>3219</v>
      </c>
      <c r="P174" s="452">
        <v>5</v>
      </c>
      <c r="Q174" s="454">
        <f t="shared" si="21"/>
        <v>8.8191780821917813</v>
      </c>
      <c r="R174" s="454">
        <f t="shared" si="22"/>
        <v>-3.8191780821917813</v>
      </c>
      <c r="S174" s="455">
        <f t="shared" si="23"/>
        <v>0.19</v>
      </c>
      <c r="T174" s="442">
        <v>0</v>
      </c>
      <c r="U174" s="442">
        <f t="shared" si="24"/>
        <v>124.50264469626336</v>
      </c>
      <c r="V174" s="442">
        <f t="shared" si="25"/>
        <v>125</v>
      </c>
    </row>
    <row r="175" spans="1:22" ht="16.5">
      <c r="A175" s="317">
        <f t="shared" si="26"/>
        <v>168</v>
      </c>
      <c r="B175" s="462" t="s">
        <v>2622</v>
      </c>
      <c r="C175" s="318"/>
      <c r="D175" s="318"/>
      <c r="E175" s="318"/>
      <c r="F175" s="318"/>
      <c r="G175" s="463">
        <v>42169</v>
      </c>
      <c r="H175" s="436">
        <v>5800</v>
      </c>
      <c r="I175" s="317"/>
      <c r="J175" s="317"/>
      <c r="K175" s="436">
        <f t="shared" si="18"/>
        <v>5800</v>
      </c>
      <c r="L175" s="463">
        <v>42169</v>
      </c>
      <c r="M175" s="326">
        <v>5509.8816166883962</v>
      </c>
      <c r="N175" s="438">
        <f t="shared" si="19"/>
        <v>290.11838331160379</v>
      </c>
      <c r="O175" s="438">
        <f t="shared" si="20"/>
        <v>3213</v>
      </c>
      <c r="P175" s="452">
        <v>5</v>
      </c>
      <c r="Q175" s="454">
        <f t="shared" si="21"/>
        <v>8.8027397260273972</v>
      </c>
      <c r="R175" s="454">
        <f t="shared" si="22"/>
        <v>-3.8027397260273972</v>
      </c>
      <c r="S175" s="455">
        <f t="shared" si="23"/>
        <v>0.19</v>
      </c>
      <c r="T175" s="442">
        <v>0</v>
      </c>
      <c r="U175" s="442">
        <f t="shared" si="24"/>
        <v>290.11838331160379</v>
      </c>
      <c r="V175" s="442">
        <f t="shared" si="25"/>
        <v>290</v>
      </c>
    </row>
    <row r="176" spans="1:22" ht="16.5">
      <c r="A176" s="317">
        <f t="shared" si="26"/>
        <v>169</v>
      </c>
      <c r="B176" s="462" t="s">
        <v>2622</v>
      </c>
      <c r="C176" s="318"/>
      <c r="D176" s="318"/>
      <c r="E176" s="318"/>
      <c r="F176" s="318"/>
      <c r="G176" s="463">
        <v>42244</v>
      </c>
      <c r="H176" s="436">
        <v>25900</v>
      </c>
      <c r="I176" s="317"/>
      <c r="J176" s="317"/>
      <c r="K176" s="436">
        <f t="shared" si="18"/>
        <v>25900</v>
      </c>
      <c r="L176" s="463">
        <v>42244</v>
      </c>
      <c r="M176" s="326">
        <v>24604.577195058617</v>
      </c>
      <c r="N176" s="438">
        <f t="shared" si="19"/>
        <v>1295.4228049413832</v>
      </c>
      <c r="O176" s="438">
        <f t="shared" si="20"/>
        <v>3138</v>
      </c>
      <c r="P176" s="452">
        <v>5</v>
      </c>
      <c r="Q176" s="454">
        <f t="shared" si="21"/>
        <v>8.5972602739726032</v>
      </c>
      <c r="R176" s="454">
        <f t="shared" si="22"/>
        <v>-3.5972602739726032</v>
      </c>
      <c r="S176" s="455">
        <f t="shared" si="23"/>
        <v>0.19</v>
      </c>
      <c r="T176" s="442">
        <v>0</v>
      </c>
      <c r="U176" s="442">
        <f t="shared" si="24"/>
        <v>1295.4228049413832</v>
      </c>
      <c r="V176" s="442">
        <f t="shared" si="25"/>
        <v>1295</v>
      </c>
    </row>
    <row r="177" spans="1:22" ht="16.5">
      <c r="A177" s="317">
        <f t="shared" si="26"/>
        <v>170</v>
      </c>
      <c r="B177" s="462" t="s">
        <v>2622</v>
      </c>
      <c r="C177" s="318"/>
      <c r="D177" s="318"/>
      <c r="E177" s="318"/>
      <c r="F177" s="318"/>
      <c r="G177" s="463">
        <v>42265</v>
      </c>
      <c r="H177" s="436">
        <v>14150</v>
      </c>
      <c r="I177" s="317"/>
      <c r="J177" s="317"/>
      <c r="K177" s="436">
        <f t="shared" si="18"/>
        <v>14150</v>
      </c>
      <c r="L177" s="463">
        <v>42265</v>
      </c>
      <c r="M177" s="326">
        <v>13442.03828472981</v>
      </c>
      <c r="N177" s="438">
        <f t="shared" si="19"/>
        <v>707.96171527019033</v>
      </c>
      <c r="O177" s="438">
        <f t="shared" si="20"/>
        <v>3117</v>
      </c>
      <c r="P177" s="452">
        <v>5</v>
      </c>
      <c r="Q177" s="454">
        <f t="shared" si="21"/>
        <v>8.5397260273972595</v>
      </c>
      <c r="R177" s="454">
        <f t="shared" si="22"/>
        <v>-3.5397260273972595</v>
      </c>
      <c r="S177" s="455">
        <f t="shared" si="23"/>
        <v>0.19</v>
      </c>
      <c r="T177" s="442">
        <v>0</v>
      </c>
      <c r="U177" s="442">
        <f t="shared" si="24"/>
        <v>707.96171527019033</v>
      </c>
      <c r="V177" s="442">
        <f t="shared" si="25"/>
        <v>707.5</v>
      </c>
    </row>
    <row r="178" spans="1:22" ht="16.5">
      <c r="A178" s="317">
        <f t="shared" si="26"/>
        <v>171</v>
      </c>
      <c r="B178" s="462" t="s">
        <v>474</v>
      </c>
      <c r="C178" s="318"/>
      <c r="D178" s="318"/>
      <c r="E178" s="318"/>
      <c r="F178" s="318"/>
      <c r="G178" s="463">
        <v>42145</v>
      </c>
      <c r="H178" s="436">
        <v>13500</v>
      </c>
      <c r="I178" s="317"/>
      <c r="J178" s="317"/>
      <c r="K178" s="436">
        <f t="shared" si="18"/>
        <v>13500</v>
      </c>
      <c r="L178" s="463">
        <v>42145</v>
      </c>
      <c r="M178" s="326">
        <v>12824.958858749887</v>
      </c>
      <c r="N178" s="438">
        <f t="shared" si="19"/>
        <v>675.04114125011256</v>
      </c>
      <c r="O178" s="438">
        <f t="shared" si="20"/>
        <v>3237</v>
      </c>
      <c r="P178" s="452">
        <v>5</v>
      </c>
      <c r="Q178" s="454">
        <f t="shared" si="21"/>
        <v>8.868493150684932</v>
      </c>
      <c r="R178" s="454">
        <f t="shared" si="22"/>
        <v>-3.868493150684932</v>
      </c>
      <c r="S178" s="455">
        <f t="shared" si="23"/>
        <v>0.19</v>
      </c>
      <c r="T178" s="442">
        <v>0</v>
      </c>
      <c r="U178" s="442">
        <f t="shared" si="24"/>
        <v>675.04114125011256</v>
      </c>
      <c r="V178" s="442">
        <f t="shared" si="25"/>
        <v>675</v>
      </c>
    </row>
    <row r="179" spans="1:22" ht="16.5">
      <c r="A179" s="317">
        <f t="shared" si="26"/>
        <v>172</v>
      </c>
      <c r="B179" s="462" t="s">
        <v>474</v>
      </c>
      <c r="C179" s="318"/>
      <c r="D179" s="318"/>
      <c r="E179" s="318"/>
      <c r="F179" s="318"/>
      <c r="G179" s="463">
        <v>42208</v>
      </c>
      <c r="H179" s="436">
        <v>16500</v>
      </c>
      <c r="I179" s="317"/>
      <c r="J179" s="317"/>
      <c r="K179" s="436">
        <f t="shared" si="18"/>
        <v>16500</v>
      </c>
      <c r="L179" s="463">
        <v>42208</v>
      </c>
      <c r="M179" s="326">
        <v>15675.034390267267</v>
      </c>
      <c r="N179" s="438">
        <f t="shared" si="19"/>
        <v>824.96560973273336</v>
      </c>
      <c r="O179" s="438">
        <f t="shared" si="20"/>
        <v>3174</v>
      </c>
      <c r="P179" s="452">
        <v>5</v>
      </c>
      <c r="Q179" s="454">
        <f t="shared" si="21"/>
        <v>8.6958904109589046</v>
      </c>
      <c r="R179" s="454">
        <f t="shared" si="22"/>
        <v>-3.6958904109589046</v>
      </c>
      <c r="S179" s="455">
        <f t="shared" si="23"/>
        <v>0.19</v>
      </c>
      <c r="T179" s="442">
        <v>0</v>
      </c>
      <c r="U179" s="442">
        <f t="shared" si="24"/>
        <v>824.96560973273336</v>
      </c>
      <c r="V179" s="442">
        <f t="shared" si="25"/>
        <v>825</v>
      </c>
    </row>
    <row r="180" spans="1:22" ht="16.5">
      <c r="A180" s="317">
        <f t="shared" si="26"/>
        <v>173</v>
      </c>
      <c r="B180" s="462" t="s">
        <v>238</v>
      </c>
      <c r="C180" s="318"/>
      <c r="D180" s="318"/>
      <c r="E180" s="318"/>
      <c r="F180" s="318"/>
      <c r="G180" s="463">
        <v>42145</v>
      </c>
      <c r="H180" s="436">
        <v>15800</v>
      </c>
      <c r="I180" s="317"/>
      <c r="J180" s="317"/>
      <c r="K180" s="436">
        <f t="shared" si="18"/>
        <v>15800</v>
      </c>
      <c r="L180" s="463">
        <v>42145</v>
      </c>
      <c r="M180" s="326">
        <v>15010.003701351718</v>
      </c>
      <c r="N180" s="438">
        <f t="shared" si="19"/>
        <v>789.99629864828239</v>
      </c>
      <c r="O180" s="438">
        <f t="shared" si="20"/>
        <v>3237</v>
      </c>
      <c r="P180" s="452">
        <v>5</v>
      </c>
      <c r="Q180" s="454">
        <f t="shared" si="21"/>
        <v>8.868493150684932</v>
      </c>
      <c r="R180" s="454">
        <f t="shared" si="22"/>
        <v>-3.868493150684932</v>
      </c>
      <c r="S180" s="455">
        <f t="shared" si="23"/>
        <v>0.19</v>
      </c>
      <c r="T180" s="442">
        <v>0</v>
      </c>
      <c r="U180" s="442">
        <f t="shared" si="24"/>
        <v>789.99629864828239</v>
      </c>
      <c r="V180" s="442">
        <f t="shared" si="25"/>
        <v>790</v>
      </c>
    </row>
    <row r="181" spans="1:22" ht="16.5">
      <c r="A181" s="317">
        <f t="shared" si="26"/>
        <v>174</v>
      </c>
      <c r="B181" s="462" t="s">
        <v>238</v>
      </c>
      <c r="C181" s="318"/>
      <c r="D181" s="318"/>
      <c r="E181" s="318"/>
      <c r="F181" s="318"/>
      <c r="G181" s="463">
        <v>42202</v>
      </c>
      <c r="H181" s="436">
        <v>15300</v>
      </c>
      <c r="I181" s="317"/>
      <c r="J181" s="317"/>
      <c r="K181" s="436">
        <f t="shared" si="18"/>
        <v>15300</v>
      </c>
      <c r="L181" s="463">
        <v>42202</v>
      </c>
      <c r="M181" s="326">
        <v>14534.920205260903</v>
      </c>
      <c r="N181" s="438">
        <f t="shared" si="19"/>
        <v>765.07979473909654</v>
      </c>
      <c r="O181" s="438">
        <f t="shared" si="20"/>
        <v>3180</v>
      </c>
      <c r="P181" s="452">
        <v>5</v>
      </c>
      <c r="Q181" s="454">
        <f t="shared" si="21"/>
        <v>8.712328767123287</v>
      </c>
      <c r="R181" s="454">
        <f t="shared" si="22"/>
        <v>-3.712328767123287</v>
      </c>
      <c r="S181" s="455">
        <f t="shared" si="23"/>
        <v>0.19</v>
      </c>
      <c r="T181" s="442">
        <v>0</v>
      </c>
      <c r="U181" s="442">
        <f t="shared" si="24"/>
        <v>765.07979473909654</v>
      </c>
      <c r="V181" s="442">
        <f t="shared" si="25"/>
        <v>765</v>
      </c>
    </row>
    <row r="182" spans="1:22" ht="16.5">
      <c r="A182" s="317">
        <f t="shared" si="26"/>
        <v>175</v>
      </c>
      <c r="B182" s="462" t="s">
        <v>238</v>
      </c>
      <c r="C182" s="318"/>
      <c r="D182" s="318"/>
      <c r="E182" s="318"/>
      <c r="F182" s="318"/>
      <c r="G182" s="463">
        <v>42286</v>
      </c>
      <c r="H182" s="436">
        <v>25099</v>
      </c>
      <c r="I182" s="317"/>
      <c r="J182" s="317"/>
      <c r="K182" s="436">
        <f t="shared" si="18"/>
        <v>25099</v>
      </c>
      <c r="L182" s="463">
        <v>42286</v>
      </c>
      <c r="M182" s="326">
        <v>23843.767316113939</v>
      </c>
      <c r="N182" s="438">
        <f t="shared" si="19"/>
        <v>1255.2326838860608</v>
      </c>
      <c r="O182" s="438">
        <f t="shared" si="20"/>
        <v>3096</v>
      </c>
      <c r="P182" s="452">
        <v>5</v>
      </c>
      <c r="Q182" s="454">
        <f t="shared" si="21"/>
        <v>8.4821917808219176</v>
      </c>
      <c r="R182" s="454">
        <f t="shared" si="22"/>
        <v>-3.4821917808219176</v>
      </c>
      <c r="S182" s="455">
        <f t="shared" si="23"/>
        <v>0.19</v>
      </c>
      <c r="T182" s="442">
        <v>0</v>
      </c>
      <c r="U182" s="442">
        <f t="shared" si="24"/>
        <v>1255.2326838860608</v>
      </c>
      <c r="V182" s="442">
        <f t="shared" si="25"/>
        <v>1254.95</v>
      </c>
    </row>
    <row r="183" spans="1:22" ht="16.5">
      <c r="A183" s="317">
        <f t="shared" si="26"/>
        <v>176</v>
      </c>
      <c r="B183" s="462" t="s">
        <v>2623</v>
      </c>
      <c r="C183" s="318"/>
      <c r="D183" s="318"/>
      <c r="E183" s="318"/>
      <c r="F183" s="318"/>
      <c r="G183" s="463">
        <v>42285</v>
      </c>
      <c r="H183" s="436">
        <v>153000</v>
      </c>
      <c r="I183" s="317"/>
      <c r="J183" s="317"/>
      <c r="K183" s="436">
        <f t="shared" si="18"/>
        <v>153000</v>
      </c>
      <c r="L183" s="463">
        <v>42285</v>
      </c>
      <c r="M183" s="326">
        <v>145349.69688667497</v>
      </c>
      <c r="N183" s="438">
        <f t="shared" si="19"/>
        <v>7650.3031133250333</v>
      </c>
      <c r="O183" s="438">
        <f t="shared" si="20"/>
        <v>3097</v>
      </c>
      <c r="P183" s="452">
        <v>5</v>
      </c>
      <c r="Q183" s="454">
        <f t="shared" si="21"/>
        <v>8.4849315068493159</v>
      </c>
      <c r="R183" s="454">
        <f t="shared" si="22"/>
        <v>-3.4849315068493159</v>
      </c>
      <c r="S183" s="455">
        <f t="shared" si="23"/>
        <v>0.19</v>
      </c>
      <c r="T183" s="442">
        <v>0</v>
      </c>
      <c r="U183" s="442">
        <f t="shared" si="24"/>
        <v>7650.3031133250333</v>
      </c>
      <c r="V183" s="442">
        <f t="shared" si="25"/>
        <v>7650</v>
      </c>
    </row>
    <row r="184" spans="1:22" ht="16.5">
      <c r="A184" s="317">
        <f t="shared" si="26"/>
        <v>177</v>
      </c>
      <c r="B184" s="462" t="s">
        <v>2623</v>
      </c>
      <c r="C184" s="318"/>
      <c r="D184" s="318"/>
      <c r="E184" s="318"/>
      <c r="F184" s="318"/>
      <c r="G184" s="463">
        <v>42285</v>
      </c>
      <c r="H184" s="436">
        <v>173400</v>
      </c>
      <c r="I184" s="317"/>
      <c r="J184" s="317"/>
      <c r="K184" s="436">
        <f t="shared" si="18"/>
        <v>173400</v>
      </c>
      <c r="L184" s="463">
        <v>42285</v>
      </c>
      <c r="M184" s="326">
        <v>164730.32313823164</v>
      </c>
      <c r="N184" s="438">
        <f t="shared" si="19"/>
        <v>8669.6768617683556</v>
      </c>
      <c r="O184" s="438">
        <f t="shared" si="20"/>
        <v>3097</v>
      </c>
      <c r="P184" s="452">
        <v>5</v>
      </c>
      <c r="Q184" s="454">
        <f t="shared" si="21"/>
        <v>8.4849315068493159</v>
      </c>
      <c r="R184" s="454">
        <f t="shared" si="22"/>
        <v>-3.4849315068493159</v>
      </c>
      <c r="S184" s="455">
        <f t="shared" si="23"/>
        <v>0.19</v>
      </c>
      <c r="T184" s="442">
        <v>0</v>
      </c>
      <c r="U184" s="442">
        <f t="shared" si="24"/>
        <v>8669.6768617683556</v>
      </c>
      <c r="V184" s="442">
        <f t="shared" si="25"/>
        <v>8670</v>
      </c>
    </row>
    <row r="185" spans="1:22" ht="16.5">
      <c r="A185" s="317">
        <f t="shared" si="26"/>
        <v>178</v>
      </c>
      <c r="B185" s="462" t="s">
        <v>2623</v>
      </c>
      <c r="C185" s="318"/>
      <c r="D185" s="318"/>
      <c r="E185" s="318"/>
      <c r="F185" s="318"/>
      <c r="G185" s="463">
        <v>42218</v>
      </c>
      <c r="H185" s="436">
        <v>15385</v>
      </c>
      <c r="I185" s="317"/>
      <c r="J185" s="317"/>
      <c r="K185" s="436">
        <f t="shared" si="18"/>
        <v>15385</v>
      </c>
      <c r="L185" s="463">
        <v>42218</v>
      </c>
      <c r="M185" s="326">
        <v>14615.850534532143</v>
      </c>
      <c r="N185" s="438">
        <f t="shared" si="19"/>
        <v>769.14946546785723</v>
      </c>
      <c r="O185" s="438">
        <f t="shared" si="20"/>
        <v>3164</v>
      </c>
      <c r="P185" s="452">
        <v>5</v>
      </c>
      <c r="Q185" s="454">
        <f t="shared" si="21"/>
        <v>8.668493150684931</v>
      </c>
      <c r="R185" s="454">
        <f t="shared" si="22"/>
        <v>-3.668493150684931</v>
      </c>
      <c r="S185" s="455">
        <f t="shared" si="23"/>
        <v>0.19</v>
      </c>
      <c r="T185" s="442">
        <v>0</v>
      </c>
      <c r="U185" s="442">
        <f t="shared" si="24"/>
        <v>769.14946546785723</v>
      </c>
      <c r="V185" s="442">
        <f t="shared" si="25"/>
        <v>769.25</v>
      </c>
    </row>
    <row r="186" spans="1:22" ht="16.5">
      <c r="A186" s="317">
        <f t="shared" si="26"/>
        <v>179</v>
      </c>
      <c r="B186" s="462" t="s">
        <v>2623</v>
      </c>
      <c r="C186" s="318"/>
      <c r="D186" s="318"/>
      <c r="E186" s="318"/>
      <c r="F186" s="318"/>
      <c r="G186" s="463">
        <v>42427</v>
      </c>
      <c r="H186" s="436">
        <v>50000</v>
      </c>
      <c r="I186" s="317"/>
      <c r="J186" s="317"/>
      <c r="K186" s="436">
        <f t="shared" si="18"/>
        <v>50000</v>
      </c>
      <c r="L186" s="463">
        <v>42427</v>
      </c>
      <c r="M186" s="326">
        <v>47499.630167563599</v>
      </c>
      <c r="N186" s="438">
        <f t="shared" si="19"/>
        <v>2500.3698324364013</v>
      </c>
      <c r="O186" s="438">
        <f t="shared" si="20"/>
        <v>2955</v>
      </c>
      <c r="P186" s="452">
        <v>5</v>
      </c>
      <c r="Q186" s="454">
        <f t="shared" si="21"/>
        <v>8.0958904109589049</v>
      </c>
      <c r="R186" s="454">
        <f t="shared" si="22"/>
        <v>-3.0958904109589049</v>
      </c>
      <c r="S186" s="455">
        <f t="shared" si="23"/>
        <v>0.19</v>
      </c>
      <c r="T186" s="442">
        <v>0</v>
      </c>
      <c r="U186" s="442">
        <f t="shared" si="24"/>
        <v>2500.3698324364013</v>
      </c>
      <c r="V186" s="442">
        <f t="shared" si="25"/>
        <v>2500</v>
      </c>
    </row>
    <row r="187" spans="1:22" ht="16.5">
      <c r="A187" s="317">
        <f t="shared" si="26"/>
        <v>180</v>
      </c>
      <c r="B187" s="462" t="s">
        <v>2623</v>
      </c>
      <c r="C187" s="318"/>
      <c r="D187" s="318"/>
      <c r="E187" s="318"/>
      <c r="F187" s="318"/>
      <c r="G187" s="463">
        <v>42447</v>
      </c>
      <c r="H187" s="436">
        <v>68200</v>
      </c>
      <c r="I187" s="317"/>
      <c r="J187" s="317"/>
      <c r="K187" s="436">
        <f t="shared" si="18"/>
        <v>68200</v>
      </c>
      <c r="L187" s="463">
        <v>42447</v>
      </c>
      <c r="M187" s="326">
        <v>64789.867963954159</v>
      </c>
      <c r="N187" s="438">
        <f t="shared" si="19"/>
        <v>3410.1320360458412</v>
      </c>
      <c r="O187" s="438">
        <f t="shared" si="20"/>
        <v>2935</v>
      </c>
      <c r="P187" s="452">
        <v>5</v>
      </c>
      <c r="Q187" s="454">
        <f t="shared" si="21"/>
        <v>8.0410958904109595</v>
      </c>
      <c r="R187" s="454">
        <f t="shared" si="22"/>
        <v>-3.0410958904109595</v>
      </c>
      <c r="S187" s="455">
        <f t="shared" si="23"/>
        <v>0.19</v>
      </c>
      <c r="T187" s="442">
        <v>0</v>
      </c>
      <c r="U187" s="442">
        <f t="shared" si="24"/>
        <v>3410.1320360458412</v>
      </c>
      <c r="V187" s="442">
        <f t="shared" si="25"/>
        <v>3410</v>
      </c>
    </row>
    <row r="188" spans="1:22" ht="16.5">
      <c r="A188" s="317">
        <f t="shared" si="26"/>
        <v>181</v>
      </c>
      <c r="B188" s="462" t="s">
        <v>303</v>
      </c>
      <c r="C188" s="318"/>
      <c r="D188" s="318"/>
      <c r="E188" s="318"/>
      <c r="F188" s="318"/>
      <c r="G188" s="463">
        <v>42301</v>
      </c>
      <c r="H188" s="436">
        <v>15458</v>
      </c>
      <c r="I188" s="317"/>
      <c r="J188" s="317"/>
      <c r="K188" s="436">
        <f t="shared" si="18"/>
        <v>15458</v>
      </c>
      <c r="L188" s="463">
        <v>42301</v>
      </c>
      <c r="M188" s="326">
        <v>14684.777904750943</v>
      </c>
      <c r="N188" s="438">
        <f t="shared" si="19"/>
        <v>773.22209524905702</v>
      </c>
      <c r="O188" s="438">
        <f t="shared" si="20"/>
        <v>3081</v>
      </c>
      <c r="P188" s="452">
        <v>5</v>
      </c>
      <c r="Q188" s="454">
        <f t="shared" si="21"/>
        <v>8.4410958904109581</v>
      </c>
      <c r="R188" s="454">
        <f t="shared" si="22"/>
        <v>-3.4410958904109581</v>
      </c>
      <c r="S188" s="455">
        <f t="shared" si="23"/>
        <v>0.19</v>
      </c>
      <c r="T188" s="442">
        <v>0</v>
      </c>
      <c r="U188" s="442">
        <f t="shared" si="24"/>
        <v>773.22209524905702</v>
      </c>
      <c r="V188" s="442">
        <f t="shared" si="25"/>
        <v>772.90000000000009</v>
      </c>
    </row>
    <row r="189" spans="1:22" ht="16.5">
      <c r="A189" s="317">
        <f t="shared" si="26"/>
        <v>182</v>
      </c>
      <c r="B189" s="462" t="s">
        <v>303</v>
      </c>
      <c r="C189" s="318"/>
      <c r="D189" s="318"/>
      <c r="E189" s="318"/>
      <c r="F189" s="318"/>
      <c r="G189" s="463">
        <v>42364</v>
      </c>
      <c r="H189" s="436">
        <v>131250</v>
      </c>
      <c r="I189" s="317"/>
      <c r="J189" s="317"/>
      <c r="K189" s="436">
        <f t="shared" si="18"/>
        <v>131250</v>
      </c>
      <c r="L189" s="463">
        <v>42364</v>
      </c>
      <c r="M189" s="326">
        <v>124687.80295047419</v>
      </c>
      <c r="N189" s="438">
        <f t="shared" si="19"/>
        <v>6562.1970495258138</v>
      </c>
      <c r="O189" s="438">
        <f t="shared" si="20"/>
        <v>3018</v>
      </c>
      <c r="P189" s="452">
        <v>5</v>
      </c>
      <c r="Q189" s="454">
        <f t="shared" si="21"/>
        <v>8.2684931506849306</v>
      </c>
      <c r="R189" s="454">
        <f t="shared" si="22"/>
        <v>-3.2684931506849306</v>
      </c>
      <c r="S189" s="455">
        <f t="shared" si="23"/>
        <v>0.19</v>
      </c>
      <c r="T189" s="442">
        <v>0</v>
      </c>
      <c r="U189" s="442">
        <f t="shared" si="24"/>
        <v>6562.1970495258138</v>
      </c>
      <c r="V189" s="442">
        <f t="shared" si="25"/>
        <v>6562.5</v>
      </c>
    </row>
    <row r="190" spans="1:22" ht="16.5">
      <c r="A190" s="317">
        <f t="shared" si="26"/>
        <v>183</v>
      </c>
      <c r="B190" s="462" t="s">
        <v>303</v>
      </c>
      <c r="C190" s="318"/>
      <c r="D190" s="318"/>
      <c r="E190" s="318"/>
      <c r="F190" s="318"/>
      <c r="G190" s="463">
        <v>42364</v>
      </c>
      <c r="H190" s="436">
        <v>131250</v>
      </c>
      <c r="I190" s="317"/>
      <c r="J190" s="317"/>
      <c r="K190" s="436">
        <f t="shared" si="18"/>
        <v>131250</v>
      </c>
      <c r="L190" s="463">
        <v>42364</v>
      </c>
      <c r="M190" s="326">
        <v>124687.80295047419</v>
      </c>
      <c r="N190" s="438">
        <f t="shared" si="19"/>
        <v>6562.1970495258138</v>
      </c>
      <c r="O190" s="438">
        <f t="shared" si="20"/>
        <v>3018</v>
      </c>
      <c r="P190" s="452">
        <v>5</v>
      </c>
      <c r="Q190" s="454">
        <f t="shared" si="21"/>
        <v>8.2684931506849306</v>
      </c>
      <c r="R190" s="454">
        <f t="shared" si="22"/>
        <v>-3.2684931506849306</v>
      </c>
      <c r="S190" s="455">
        <f t="shared" si="23"/>
        <v>0.19</v>
      </c>
      <c r="T190" s="442">
        <v>0</v>
      </c>
      <c r="U190" s="442">
        <f t="shared" si="24"/>
        <v>6562.1970495258138</v>
      </c>
      <c r="V190" s="442">
        <f t="shared" si="25"/>
        <v>6562.5</v>
      </c>
    </row>
    <row r="191" spans="1:22" ht="16.5">
      <c r="A191" s="317">
        <f t="shared" si="26"/>
        <v>184</v>
      </c>
      <c r="B191" s="462" t="s">
        <v>303</v>
      </c>
      <c r="C191" s="318"/>
      <c r="D191" s="318"/>
      <c r="E191" s="318"/>
      <c r="F191" s="318"/>
      <c r="G191" s="463">
        <v>42276</v>
      </c>
      <c r="H191" s="436">
        <v>20000</v>
      </c>
      <c r="I191" s="317"/>
      <c r="J191" s="317"/>
      <c r="K191" s="436">
        <f t="shared" si="18"/>
        <v>20000</v>
      </c>
      <c r="L191" s="463">
        <v>42276</v>
      </c>
      <c r="M191" s="326">
        <v>18999.711736078068</v>
      </c>
      <c r="N191" s="438">
        <f t="shared" si="19"/>
        <v>1000.2882639219315</v>
      </c>
      <c r="O191" s="438">
        <f t="shared" si="20"/>
        <v>3106</v>
      </c>
      <c r="P191" s="452">
        <v>5</v>
      </c>
      <c r="Q191" s="454">
        <f t="shared" si="21"/>
        <v>8.5095890410958912</v>
      </c>
      <c r="R191" s="454">
        <f t="shared" si="22"/>
        <v>-3.5095890410958912</v>
      </c>
      <c r="S191" s="455">
        <f t="shared" si="23"/>
        <v>0.19</v>
      </c>
      <c r="T191" s="442">
        <v>0</v>
      </c>
      <c r="U191" s="442">
        <f t="shared" si="24"/>
        <v>1000.2882639219315</v>
      </c>
      <c r="V191" s="442">
        <f t="shared" si="25"/>
        <v>1000</v>
      </c>
    </row>
    <row r="192" spans="1:22" ht="16.5">
      <c r="A192" s="317">
        <f t="shared" si="26"/>
        <v>185</v>
      </c>
      <c r="B192" s="462" t="s">
        <v>303</v>
      </c>
      <c r="C192" s="318"/>
      <c r="D192" s="318"/>
      <c r="E192" s="318"/>
      <c r="F192" s="318"/>
      <c r="G192" s="463">
        <v>42341</v>
      </c>
      <c r="H192" s="436">
        <v>94500</v>
      </c>
      <c r="I192" s="317"/>
      <c r="J192" s="317"/>
      <c r="K192" s="436">
        <f t="shared" si="18"/>
        <v>94500</v>
      </c>
      <c r="L192" s="463">
        <v>42341</v>
      </c>
      <c r="M192" s="326">
        <v>89775.489079638341</v>
      </c>
      <c r="N192" s="438">
        <f t="shared" si="19"/>
        <v>4724.5109203616594</v>
      </c>
      <c r="O192" s="438">
        <f t="shared" si="20"/>
        <v>3041</v>
      </c>
      <c r="P192" s="452">
        <v>5</v>
      </c>
      <c r="Q192" s="454">
        <f t="shared" si="21"/>
        <v>8.331506849315069</v>
      </c>
      <c r="R192" s="454">
        <f t="shared" si="22"/>
        <v>-3.331506849315069</v>
      </c>
      <c r="S192" s="455">
        <f t="shared" si="23"/>
        <v>0.19</v>
      </c>
      <c r="T192" s="442">
        <v>0</v>
      </c>
      <c r="U192" s="442">
        <f t="shared" si="24"/>
        <v>4724.5109203616594</v>
      </c>
      <c r="V192" s="442">
        <f t="shared" si="25"/>
        <v>4725</v>
      </c>
    </row>
    <row r="193" spans="1:22" ht="16.5">
      <c r="A193" s="317">
        <f t="shared" si="26"/>
        <v>186</v>
      </c>
      <c r="B193" s="462" t="s">
        <v>303</v>
      </c>
      <c r="C193" s="318"/>
      <c r="D193" s="318"/>
      <c r="E193" s="318"/>
      <c r="F193" s="318"/>
      <c r="G193" s="463">
        <v>42365</v>
      </c>
      <c r="H193" s="436">
        <v>98000</v>
      </c>
      <c r="I193" s="317"/>
      <c r="J193" s="317"/>
      <c r="K193" s="436">
        <f t="shared" si="18"/>
        <v>98000</v>
      </c>
      <c r="L193" s="463">
        <v>42365</v>
      </c>
      <c r="M193" s="326">
        <v>93099.552062712799</v>
      </c>
      <c r="N193" s="438">
        <f t="shared" si="19"/>
        <v>4900.4479372872011</v>
      </c>
      <c r="O193" s="438">
        <f t="shared" si="20"/>
        <v>3017</v>
      </c>
      <c r="P193" s="452">
        <v>5</v>
      </c>
      <c r="Q193" s="454">
        <f t="shared" si="21"/>
        <v>8.2657534246575342</v>
      </c>
      <c r="R193" s="454">
        <f t="shared" si="22"/>
        <v>-3.2657534246575342</v>
      </c>
      <c r="S193" s="455">
        <f t="shared" si="23"/>
        <v>0.19</v>
      </c>
      <c r="T193" s="442">
        <v>0</v>
      </c>
      <c r="U193" s="442">
        <f t="shared" si="24"/>
        <v>4900.4479372872011</v>
      </c>
      <c r="V193" s="442">
        <f t="shared" si="25"/>
        <v>4900</v>
      </c>
    </row>
    <row r="194" spans="1:22" ht="16.5">
      <c r="A194" s="317">
        <f t="shared" si="26"/>
        <v>187</v>
      </c>
      <c r="B194" s="462" t="s">
        <v>303</v>
      </c>
      <c r="C194" s="318"/>
      <c r="D194" s="318"/>
      <c r="E194" s="318"/>
      <c r="F194" s="318"/>
      <c r="G194" s="463">
        <v>42385</v>
      </c>
      <c r="H194" s="436">
        <v>105000</v>
      </c>
      <c r="I194" s="317"/>
      <c r="J194" s="317"/>
      <c r="K194" s="436">
        <f t="shared" si="18"/>
        <v>105000</v>
      </c>
      <c r="L194" s="463">
        <v>42385</v>
      </c>
      <c r="M194" s="326">
        <v>99749.572602739732</v>
      </c>
      <c r="N194" s="438">
        <f t="shared" si="19"/>
        <v>5250.4273972602678</v>
      </c>
      <c r="O194" s="438">
        <f t="shared" si="20"/>
        <v>2997</v>
      </c>
      <c r="P194" s="452">
        <v>5</v>
      </c>
      <c r="Q194" s="454">
        <f t="shared" si="21"/>
        <v>8.2109589041095887</v>
      </c>
      <c r="R194" s="454">
        <f t="shared" si="22"/>
        <v>-3.2109589041095887</v>
      </c>
      <c r="S194" s="455">
        <f t="shared" si="23"/>
        <v>0.19</v>
      </c>
      <c r="T194" s="442">
        <v>0</v>
      </c>
      <c r="U194" s="442">
        <f t="shared" si="24"/>
        <v>5250.4273972602678</v>
      </c>
      <c r="V194" s="442">
        <f t="shared" si="25"/>
        <v>5250</v>
      </c>
    </row>
    <row r="195" spans="1:22" ht="16.5">
      <c r="A195" s="317">
        <f t="shared" si="26"/>
        <v>188</v>
      </c>
      <c r="B195" s="462" t="s">
        <v>303</v>
      </c>
      <c r="C195" s="318"/>
      <c r="D195" s="318"/>
      <c r="E195" s="318"/>
      <c r="F195" s="318"/>
      <c r="G195" s="463">
        <v>42415</v>
      </c>
      <c r="H195" s="436">
        <v>440825</v>
      </c>
      <c r="I195" s="317"/>
      <c r="J195" s="317"/>
      <c r="K195" s="436">
        <f t="shared" si="18"/>
        <v>440825</v>
      </c>
      <c r="L195" s="463">
        <v>42415</v>
      </c>
      <c r="M195" s="326">
        <v>418783.59085154702</v>
      </c>
      <c r="N195" s="438">
        <f t="shared" si="19"/>
        <v>22041.409148452978</v>
      </c>
      <c r="O195" s="438">
        <f t="shared" si="20"/>
        <v>2967</v>
      </c>
      <c r="P195" s="452">
        <v>5</v>
      </c>
      <c r="Q195" s="454">
        <f t="shared" si="21"/>
        <v>8.1287671232876715</v>
      </c>
      <c r="R195" s="454">
        <f t="shared" si="22"/>
        <v>-3.1287671232876715</v>
      </c>
      <c r="S195" s="455">
        <f t="shared" si="23"/>
        <v>0.19</v>
      </c>
      <c r="T195" s="442">
        <v>0</v>
      </c>
      <c r="U195" s="442">
        <f t="shared" si="24"/>
        <v>22041.409148452978</v>
      </c>
      <c r="V195" s="442">
        <f t="shared" si="25"/>
        <v>22041.25</v>
      </c>
    </row>
    <row r="196" spans="1:22" ht="16.5">
      <c r="A196" s="317">
        <f t="shared" si="26"/>
        <v>189</v>
      </c>
      <c r="B196" s="462" t="s">
        <v>2624</v>
      </c>
      <c r="C196" s="318"/>
      <c r="D196" s="318"/>
      <c r="E196" s="318"/>
      <c r="F196" s="318"/>
      <c r="G196" s="463">
        <v>42483</v>
      </c>
      <c r="H196" s="436">
        <v>85900</v>
      </c>
      <c r="I196" s="317"/>
      <c r="J196" s="317"/>
      <c r="K196" s="436">
        <f t="shared" si="18"/>
        <v>85900</v>
      </c>
      <c r="L196" s="463">
        <v>42483</v>
      </c>
      <c r="M196" s="326">
        <v>81605.342465753434</v>
      </c>
      <c r="N196" s="438">
        <f t="shared" si="19"/>
        <v>4294.6575342465658</v>
      </c>
      <c r="O196" s="438">
        <f t="shared" si="20"/>
        <v>2899</v>
      </c>
      <c r="P196" s="497">
        <v>1</v>
      </c>
      <c r="Q196" s="454">
        <f t="shared" si="21"/>
        <v>7.9424657534246572</v>
      </c>
      <c r="R196" s="454">
        <f t="shared" si="22"/>
        <v>-6.9424657534246572</v>
      </c>
      <c r="S196" s="455">
        <f t="shared" si="23"/>
        <v>0.95</v>
      </c>
      <c r="T196" s="442">
        <v>0</v>
      </c>
      <c r="U196" s="442">
        <f t="shared" si="24"/>
        <v>4294.6575342465658</v>
      </c>
      <c r="V196" s="442">
        <f t="shared" si="25"/>
        <v>4295</v>
      </c>
    </row>
    <row r="197" spans="1:22" ht="16.5">
      <c r="A197" s="317">
        <f t="shared" si="26"/>
        <v>190</v>
      </c>
      <c r="B197" s="498" t="s">
        <v>2470</v>
      </c>
      <c r="C197" s="318"/>
      <c r="D197" s="318"/>
      <c r="E197" s="318"/>
      <c r="F197" s="318"/>
      <c r="G197" s="463">
        <v>42504</v>
      </c>
      <c r="H197" s="436">
        <v>16990</v>
      </c>
      <c r="I197" s="317"/>
      <c r="J197" s="317"/>
      <c r="K197" s="436">
        <f t="shared" si="18"/>
        <v>16990</v>
      </c>
      <c r="L197" s="463">
        <v>42504</v>
      </c>
      <c r="M197" s="326">
        <v>16140.016438356166</v>
      </c>
      <c r="N197" s="438">
        <f t="shared" si="19"/>
        <v>849.98356164383404</v>
      </c>
      <c r="O197" s="438">
        <f t="shared" si="20"/>
        <v>2878</v>
      </c>
      <c r="P197" s="497">
        <v>1</v>
      </c>
      <c r="Q197" s="454">
        <f t="shared" si="21"/>
        <v>7.8849315068493153</v>
      </c>
      <c r="R197" s="454">
        <f t="shared" si="22"/>
        <v>-6.8849315068493153</v>
      </c>
      <c r="S197" s="455">
        <f t="shared" si="23"/>
        <v>0.95</v>
      </c>
      <c r="T197" s="442">
        <v>0</v>
      </c>
      <c r="U197" s="442">
        <f t="shared" si="24"/>
        <v>849.98356164383404</v>
      </c>
      <c r="V197" s="442">
        <f t="shared" si="25"/>
        <v>849.5</v>
      </c>
    </row>
    <row r="198" spans="1:22" ht="16.5">
      <c r="A198" s="317">
        <f t="shared" si="26"/>
        <v>191</v>
      </c>
      <c r="B198" s="462" t="s">
        <v>2470</v>
      </c>
      <c r="C198" s="318"/>
      <c r="D198" s="318"/>
      <c r="E198" s="318"/>
      <c r="F198" s="318"/>
      <c r="G198" s="463">
        <v>42562</v>
      </c>
      <c r="H198" s="436">
        <v>22000</v>
      </c>
      <c r="I198" s="317"/>
      <c r="J198" s="317"/>
      <c r="K198" s="436">
        <f t="shared" si="18"/>
        <v>22000</v>
      </c>
      <c r="L198" s="463">
        <v>42562</v>
      </c>
      <c r="M198" s="326">
        <v>20899.712328767124</v>
      </c>
      <c r="N198" s="438">
        <f t="shared" si="19"/>
        <v>1100.2876712328762</v>
      </c>
      <c r="O198" s="438">
        <f t="shared" si="20"/>
        <v>2820</v>
      </c>
      <c r="P198" s="497">
        <v>1</v>
      </c>
      <c r="Q198" s="454">
        <f t="shared" si="21"/>
        <v>7.7260273972602738</v>
      </c>
      <c r="R198" s="454">
        <f t="shared" si="22"/>
        <v>-6.7260273972602738</v>
      </c>
      <c r="S198" s="455">
        <f t="shared" si="23"/>
        <v>0.95</v>
      </c>
      <c r="T198" s="442">
        <v>0</v>
      </c>
      <c r="U198" s="442">
        <f t="shared" si="24"/>
        <v>1100.2876712328762</v>
      </c>
      <c r="V198" s="442">
        <f t="shared" si="25"/>
        <v>1100</v>
      </c>
    </row>
    <row r="199" spans="1:22" ht="16.5">
      <c r="A199" s="317">
        <f t="shared" si="26"/>
        <v>192</v>
      </c>
      <c r="B199" s="462" t="s">
        <v>2470</v>
      </c>
      <c r="C199" s="318"/>
      <c r="D199" s="318"/>
      <c r="E199" s="318"/>
      <c r="F199" s="318"/>
      <c r="G199" s="463">
        <v>42587</v>
      </c>
      <c r="H199" s="436">
        <v>59000</v>
      </c>
      <c r="I199" s="317"/>
      <c r="J199" s="317"/>
      <c r="K199" s="436">
        <f t="shared" si="18"/>
        <v>59000</v>
      </c>
      <c r="L199" s="463">
        <v>42587</v>
      </c>
      <c r="M199" s="326">
        <v>56050.232876712333</v>
      </c>
      <c r="N199" s="438">
        <f t="shared" si="19"/>
        <v>2949.7671232876673</v>
      </c>
      <c r="O199" s="438">
        <f t="shared" si="20"/>
        <v>2795</v>
      </c>
      <c r="P199" s="497">
        <v>1</v>
      </c>
      <c r="Q199" s="454">
        <f t="shared" si="21"/>
        <v>7.6575342465753424</v>
      </c>
      <c r="R199" s="454">
        <f t="shared" si="22"/>
        <v>-6.6575342465753424</v>
      </c>
      <c r="S199" s="455">
        <f t="shared" si="23"/>
        <v>0.95</v>
      </c>
      <c r="T199" s="442">
        <v>0</v>
      </c>
      <c r="U199" s="442">
        <f t="shared" si="24"/>
        <v>2949.7671232876673</v>
      </c>
      <c r="V199" s="442">
        <f t="shared" si="25"/>
        <v>2950</v>
      </c>
    </row>
    <row r="200" spans="1:22" ht="16.5">
      <c r="A200" s="317">
        <f t="shared" si="26"/>
        <v>193</v>
      </c>
      <c r="B200" s="462" t="s">
        <v>36</v>
      </c>
      <c r="C200" s="318"/>
      <c r="D200" s="318"/>
      <c r="E200" s="318"/>
      <c r="F200" s="318"/>
      <c r="G200" s="463">
        <v>42601</v>
      </c>
      <c r="H200" s="436">
        <v>26000</v>
      </c>
      <c r="I200" s="317"/>
      <c r="J200" s="317"/>
      <c r="K200" s="436">
        <f t="shared" si="18"/>
        <v>26000</v>
      </c>
      <c r="L200" s="463">
        <v>42601</v>
      </c>
      <c r="M200" s="326">
        <v>24700.027397260303</v>
      </c>
      <c r="N200" s="438">
        <f t="shared" si="19"/>
        <v>1299.9726027396973</v>
      </c>
      <c r="O200" s="438">
        <f t="shared" si="20"/>
        <v>2781</v>
      </c>
      <c r="P200" s="497">
        <v>1</v>
      </c>
      <c r="Q200" s="454">
        <f t="shared" si="21"/>
        <v>7.6191780821917812</v>
      </c>
      <c r="R200" s="454">
        <f t="shared" si="22"/>
        <v>-6.6191780821917812</v>
      </c>
      <c r="S200" s="455">
        <f t="shared" si="23"/>
        <v>0.95</v>
      </c>
      <c r="T200" s="442">
        <v>0</v>
      </c>
      <c r="U200" s="442">
        <f t="shared" si="24"/>
        <v>1299.9726027396973</v>
      </c>
      <c r="V200" s="442">
        <f t="shared" si="25"/>
        <v>1300</v>
      </c>
    </row>
    <row r="201" spans="1:22" ht="16.5">
      <c r="A201" s="317">
        <f t="shared" si="26"/>
        <v>194</v>
      </c>
      <c r="B201" s="462" t="s">
        <v>2625</v>
      </c>
      <c r="C201" s="318"/>
      <c r="D201" s="318"/>
      <c r="E201" s="318"/>
      <c r="F201" s="318"/>
      <c r="G201" s="463">
        <v>42723</v>
      </c>
      <c r="H201" s="436">
        <v>15225</v>
      </c>
      <c r="I201" s="317"/>
      <c r="J201" s="317"/>
      <c r="K201" s="436">
        <f t="shared" ref="K201:K256" si="27">+H201+I201-J201</f>
        <v>15225</v>
      </c>
      <c r="L201" s="463">
        <v>42723</v>
      </c>
      <c r="M201" s="326">
        <v>14463.551369863013</v>
      </c>
      <c r="N201" s="438">
        <f t="shared" ref="N201:N256" si="28">+K201-M201</f>
        <v>761.44863013698705</v>
      </c>
      <c r="O201" s="438">
        <f t="shared" ref="O201:O264" si="29">+$O$3-L201</f>
        <v>2659</v>
      </c>
      <c r="P201" s="497">
        <v>1</v>
      </c>
      <c r="Q201" s="454">
        <f t="shared" ref="Q201:Q264" si="30">+O201/365</f>
        <v>7.2849315068493148</v>
      </c>
      <c r="R201" s="454">
        <f t="shared" ref="R201:R264" si="31">+P201-Q201</f>
        <v>-6.2849315068493148</v>
      </c>
      <c r="S201" s="455">
        <f t="shared" ref="S201:S230" si="32">1/P201*0.95</f>
        <v>0.95</v>
      </c>
      <c r="T201" s="442">
        <v>0</v>
      </c>
      <c r="U201" s="442">
        <f t="shared" ref="U201:U264" si="33">+N201-T201</f>
        <v>761.44863013698705</v>
      </c>
      <c r="V201" s="442">
        <f t="shared" ref="V201:V264" si="34">+H201*5%</f>
        <v>761.25</v>
      </c>
    </row>
    <row r="202" spans="1:22" ht="16.5">
      <c r="A202" s="317">
        <f t="shared" ref="A202:A265" si="35">+A201+1</f>
        <v>195</v>
      </c>
      <c r="B202" s="462" t="s">
        <v>2626</v>
      </c>
      <c r="C202" s="318"/>
      <c r="D202" s="318"/>
      <c r="E202" s="318"/>
      <c r="F202" s="318"/>
      <c r="G202" s="463">
        <v>42694</v>
      </c>
      <c r="H202" s="436">
        <v>18100</v>
      </c>
      <c r="I202" s="317"/>
      <c r="J202" s="317"/>
      <c r="K202" s="436">
        <f t="shared" si="27"/>
        <v>18100</v>
      </c>
      <c r="L202" s="463">
        <v>42694</v>
      </c>
      <c r="M202" s="326">
        <v>17195.465753424658</v>
      </c>
      <c r="N202" s="438">
        <f t="shared" si="28"/>
        <v>904.53424657534197</v>
      </c>
      <c r="O202" s="438">
        <f t="shared" si="29"/>
        <v>2688</v>
      </c>
      <c r="P202" s="497">
        <v>1</v>
      </c>
      <c r="Q202" s="454">
        <f t="shared" si="30"/>
        <v>7.3643835616438356</v>
      </c>
      <c r="R202" s="454">
        <f t="shared" si="31"/>
        <v>-6.3643835616438356</v>
      </c>
      <c r="S202" s="455">
        <f t="shared" si="32"/>
        <v>0.95</v>
      </c>
      <c r="T202" s="442">
        <v>0</v>
      </c>
      <c r="U202" s="442">
        <f t="shared" si="33"/>
        <v>904.53424657534197</v>
      </c>
      <c r="V202" s="442">
        <f t="shared" si="34"/>
        <v>905</v>
      </c>
    </row>
    <row r="203" spans="1:22" ht="16.5">
      <c r="A203" s="317">
        <f t="shared" si="35"/>
        <v>196</v>
      </c>
      <c r="B203" s="462" t="s">
        <v>303</v>
      </c>
      <c r="C203" s="318"/>
      <c r="D203" s="318"/>
      <c r="E203" s="318"/>
      <c r="F203" s="318"/>
      <c r="G203" s="463">
        <v>42493</v>
      </c>
      <c r="H203" s="436">
        <v>141750</v>
      </c>
      <c r="I203" s="317"/>
      <c r="J203" s="317"/>
      <c r="K203" s="436">
        <f t="shared" si="27"/>
        <v>141750</v>
      </c>
      <c r="L203" s="463">
        <v>42493</v>
      </c>
      <c r="M203" s="326">
        <v>137023.29452054796</v>
      </c>
      <c r="N203" s="438">
        <f t="shared" si="28"/>
        <v>4726.7054794520373</v>
      </c>
      <c r="O203" s="438">
        <f t="shared" si="29"/>
        <v>2889</v>
      </c>
      <c r="P203" s="497">
        <v>5</v>
      </c>
      <c r="Q203" s="454">
        <f t="shared" si="30"/>
        <v>7.9150684931506845</v>
      </c>
      <c r="R203" s="454">
        <f t="shared" si="31"/>
        <v>-2.9150684931506845</v>
      </c>
      <c r="S203" s="455">
        <f t="shared" si="32"/>
        <v>0.19</v>
      </c>
      <c r="T203" s="442">
        <v>0</v>
      </c>
      <c r="U203" s="442">
        <f t="shared" si="33"/>
        <v>4726.7054794520373</v>
      </c>
      <c r="V203" s="442">
        <f t="shared" si="34"/>
        <v>7087.5</v>
      </c>
    </row>
    <row r="204" spans="1:22" ht="16.5">
      <c r="A204" s="317">
        <f t="shared" si="35"/>
        <v>197</v>
      </c>
      <c r="B204" s="462" t="s">
        <v>303</v>
      </c>
      <c r="C204" s="318"/>
      <c r="D204" s="318"/>
      <c r="E204" s="318"/>
      <c r="F204" s="318"/>
      <c r="G204" s="463">
        <v>42493</v>
      </c>
      <c r="H204" s="436">
        <v>141750</v>
      </c>
      <c r="I204" s="317"/>
      <c r="J204" s="317"/>
      <c r="K204" s="436">
        <f t="shared" si="27"/>
        <v>141750</v>
      </c>
      <c r="L204" s="463">
        <v>42493</v>
      </c>
      <c r="M204" s="326">
        <v>137023.29452054796</v>
      </c>
      <c r="N204" s="438">
        <f t="shared" si="28"/>
        <v>4726.7054794520373</v>
      </c>
      <c r="O204" s="438">
        <f t="shared" si="29"/>
        <v>2889</v>
      </c>
      <c r="P204" s="497">
        <v>5</v>
      </c>
      <c r="Q204" s="454">
        <f t="shared" si="30"/>
        <v>7.9150684931506845</v>
      </c>
      <c r="R204" s="454">
        <f t="shared" si="31"/>
        <v>-2.9150684931506845</v>
      </c>
      <c r="S204" s="455">
        <f t="shared" si="32"/>
        <v>0.19</v>
      </c>
      <c r="T204" s="442">
        <v>0</v>
      </c>
      <c r="U204" s="442">
        <f t="shared" si="33"/>
        <v>4726.7054794520373</v>
      </c>
      <c r="V204" s="442">
        <f t="shared" si="34"/>
        <v>7087.5</v>
      </c>
    </row>
    <row r="205" spans="1:22" ht="16.5">
      <c r="A205" s="317">
        <f t="shared" si="35"/>
        <v>198</v>
      </c>
      <c r="B205" s="462" t="s">
        <v>303</v>
      </c>
      <c r="C205" s="318"/>
      <c r="D205" s="318"/>
      <c r="E205" s="318"/>
      <c r="F205" s="318"/>
      <c r="G205" s="463">
        <v>42493</v>
      </c>
      <c r="H205" s="436">
        <v>141750</v>
      </c>
      <c r="I205" s="317"/>
      <c r="J205" s="317"/>
      <c r="K205" s="436">
        <f t="shared" si="27"/>
        <v>141750</v>
      </c>
      <c r="L205" s="463">
        <v>42493</v>
      </c>
      <c r="M205" s="326">
        <v>137023.29452054796</v>
      </c>
      <c r="N205" s="438">
        <f t="shared" si="28"/>
        <v>4726.7054794520373</v>
      </c>
      <c r="O205" s="438">
        <f t="shared" si="29"/>
        <v>2889</v>
      </c>
      <c r="P205" s="497">
        <v>5</v>
      </c>
      <c r="Q205" s="454">
        <f t="shared" si="30"/>
        <v>7.9150684931506845</v>
      </c>
      <c r="R205" s="454">
        <f t="shared" si="31"/>
        <v>-2.9150684931506845</v>
      </c>
      <c r="S205" s="455">
        <f t="shared" si="32"/>
        <v>0.19</v>
      </c>
      <c r="T205" s="442">
        <v>0</v>
      </c>
      <c r="U205" s="442">
        <f t="shared" si="33"/>
        <v>4726.7054794520373</v>
      </c>
      <c r="V205" s="442">
        <f t="shared" si="34"/>
        <v>7087.5</v>
      </c>
    </row>
    <row r="206" spans="1:22" ht="16.5">
      <c r="A206" s="317">
        <f t="shared" si="35"/>
        <v>199</v>
      </c>
      <c r="B206" s="462" t="s">
        <v>303</v>
      </c>
      <c r="C206" s="318"/>
      <c r="D206" s="318"/>
      <c r="E206" s="318"/>
      <c r="F206" s="318"/>
      <c r="G206" s="463">
        <v>42493</v>
      </c>
      <c r="H206" s="436">
        <v>141750</v>
      </c>
      <c r="I206" s="317"/>
      <c r="J206" s="317"/>
      <c r="K206" s="436">
        <f t="shared" si="27"/>
        <v>141750</v>
      </c>
      <c r="L206" s="463">
        <v>42493</v>
      </c>
      <c r="M206" s="326">
        <v>137023.29452054796</v>
      </c>
      <c r="N206" s="438">
        <f t="shared" si="28"/>
        <v>4726.7054794520373</v>
      </c>
      <c r="O206" s="438">
        <f t="shared" si="29"/>
        <v>2889</v>
      </c>
      <c r="P206" s="497">
        <v>5</v>
      </c>
      <c r="Q206" s="454">
        <f t="shared" si="30"/>
        <v>7.9150684931506845</v>
      </c>
      <c r="R206" s="454">
        <f t="shared" si="31"/>
        <v>-2.9150684931506845</v>
      </c>
      <c r="S206" s="455">
        <f t="shared" si="32"/>
        <v>0.19</v>
      </c>
      <c r="T206" s="442">
        <v>0</v>
      </c>
      <c r="U206" s="442">
        <f t="shared" si="33"/>
        <v>4726.7054794520373</v>
      </c>
      <c r="V206" s="442">
        <f t="shared" si="34"/>
        <v>7087.5</v>
      </c>
    </row>
    <row r="207" spans="1:22" ht="16.5">
      <c r="A207" s="317">
        <f t="shared" si="35"/>
        <v>200</v>
      </c>
      <c r="B207" s="462" t="s">
        <v>303</v>
      </c>
      <c r="C207" s="318"/>
      <c r="D207" s="318"/>
      <c r="E207" s="318"/>
      <c r="F207" s="318"/>
      <c r="G207" s="463">
        <v>42493</v>
      </c>
      <c r="H207" s="436">
        <v>141750</v>
      </c>
      <c r="I207" s="317"/>
      <c r="J207" s="317"/>
      <c r="K207" s="436">
        <f t="shared" si="27"/>
        <v>141750</v>
      </c>
      <c r="L207" s="463">
        <v>42493</v>
      </c>
      <c r="M207" s="326">
        <v>137023.29452054796</v>
      </c>
      <c r="N207" s="438">
        <f t="shared" si="28"/>
        <v>4726.7054794520373</v>
      </c>
      <c r="O207" s="438">
        <f t="shared" si="29"/>
        <v>2889</v>
      </c>
      <c r="P207" s="497">
        <v>5</v>
      </c>
      <c r="Q207" s="454">
        <f t="shared" si="30"/>
        <v>7.9150684931506845</v>
      </c>
      <c r="R207" s="454">
        <f t="shared" si="31"/>
        <v>-2.9150684931506845</v>
      </c>
      <c r="S207" s="455">
        <f t="shared" si="32"/>
        <v>0.19</v>
      </c>
      <c r="T207" s="442">
        <v>0</v>
      </c>
      <c r="U207" s="442">
        <f t="shared" si="33"/>
        <v>4726.7054794520373</v>
      </c>
      <c r="V207" s="442">
        <f t="shared" si="34"/>
        <v>7087.5</v>
      </c>
    </row>
    <row r="208" spans="1:22" ht="16.5">
      <c r="A208" s="317">
        <f t="shared" si="35"/>
        <v>201</v>
      </c>
      <c r="B208" s="462" t="s">
        <v>303</v>
      </c>
      <c r="C208" s="318"/>
      <c r="D208" s="318"/>
      <c r="E208" s="318"/>
      <c r="F208" s="318"/>
      <c r="G208" s="463">
        <v>42675</v>
      </c>
      <c r="H208" s="436">
        <v>288750</v>
      </c>
      <c r="I208" s="317"/>
      <c r="J208" s="317"/>
      <c r="K208" s="436">
        <f t="shared" si="27"/>
        <v>288750</v>
      </c>
      <c r="L208" s="463">
        <v>42675</v>
      </c>
      <c r="M208" s="326">
        <v>274312.5410958904</v>
      </c>
      <c r="N208" s="438">
        <f t="shared" si="28"/>
        <v>14437.458904109604</v>
      </c>
      <c r="O208" s="438">
        <f t="shared" si="29"/>
        <v>2707</v>
      </c>
      <c r="P208" s="497">
        <v>5</v>
      </c>
      <c r="Q208" s="454">
        <f t="shared" si="30"/>
        <v>7.4164383561643836</v>
      </c>
      <c r="R208" s="454">
        <f t="shared" si="31"/>
        <v>-2.4164383561643836</v>
      </c>
      <c r="S208" s="455">
        <f t="shared" si="32"/>
        <v>0.19</v>
      </c>
      <c r="T208" s="442">
        <v>0</v>
      </c>
      <c r="U208" s="442">
        <f t="shared" si="33"/>
        <v>14437.458904109604</v>
      </c>
      <c r="V208" s="442">
        <f t="shared" si="34"/>
        <v>14437.5</v>
      </c>
    </row>
    <row r="209" spans="1:22" ht="16.5">
      <c r="A209" s="317">
        <f t="shared" si="35"/>
        <v>202</v>
      </c>
      <c r="B209" s="462" t="s">
        <v>2470</v>
      </c>
      <c r="C209" s="318"/>
      <c r="D209" s="318"/>
      <c r="E209" s="318"/>
      <c r="F209" s="318"/>
      <c r="G209" s="463">
        <v>42770</v>
      </c>
      <c r="H209" s="436">
        <v>14316</v>
      </c>
      <c r="I209" s="317"/>
      <c r="J209" s="317"/>
      <c r="K209" s="436">
        <f t="shared" si="27"/>
        <v>14316</v>
      </c>
      <c r="L209" s="463">
        <v>42770</v>
      </c>
      <c r="M209" s="326">
        <v>13600.60602739726</v>
      </c>
      <c r="N209" s="438">
        <f t="shared" si="28"/>
        <v>715.39397260274018</v>
      </c>
      <c r="O209" s="438">
        <f t="shared" si="29"/>
        <v>2612</v>
      </c>
      <c r="P209" s="497">
        <v>1</v>
      </c>
      <c r="Q209" s="454">
        <f t="shared" si="30"/>
        <v>7.1561643835616442</v>
      </c>
      <c r="R209" s="454">
        <f t="shared" si="31"/>
        <v>-6.1561643835616442</v>
      </c>
      <c r="S209" s="455">
        <f t="shared" si="32"/>
        <v>0.95</v>
      </c>
      <c r="T209" s="442">
        <v>0</v>
      </c>
      <c r="U209" s="442">
        <f t="shared" si="33"/>
        <v>715.39397260274018</v>
      </c>
      <c r="V209" s="442">
        <f t="shared" si="34"/>
        <v>715.80000000000007</v>
      </c>
    </row>
    <row r="210" spans="1:22" ht="16.5">
      <c r="A210" s="317">
        <f t="shared" si="35"/>
        <v>203</v>
      </c>
      <c r="B210" s="460" t="s">
        <v>235</v>
      </c>
      <c r="C210" s="318"/>
      <c r="D210" s="318"/>
      <c r="E210" s="318"/>
      <c r="F210" s="318"/>
      <c r="G210" s="463">
        <v>42478</v>
      </c>
      <c r="H210" s="436">
        <v>159200</v>
      </c>
      <c r="I210" s="317"/>
      <c r="J210" s="317"/>
      <c r="K210" s="436">
        <f t="shared" si="27"/>
        <v>159200</v>
      </c>
      <c r="L210" s="463">
        <v>42478</v>
      </c>
      <c r="M210" s="326">
        <v>152649.1890410959</v>
      </c>
      <c r="N210" s="438">
        <f t="shared" si="28"/>
        <v>6550.8109589040978</v>
      </c>
      <c r="O210" s="438">
        <f t="shared" si="29"/>
        <v>2904</v>
      </c>
      <c r="P210" s="497">
        <v>5</v>
      </c>
      <c r="Q210" s="454">
        <f t="shared" si="30"/>
        <v>7.956164383561644</v>
      </c>
      <c r="R210" s="454">
        <f t="shared" si="31"/>
        <v>-2.956164383561644</v>
      </c>
      <c r="S210" s="455">
        <f t="shared" si="32"/>
        <v>0.19</v>
      </c>
      <c r="T210" s="442">
        <v>0</v>
      </c>
      <c r="U210" s="442">
        <f t="shared" si="33"/>
        <v>6550.8109589040978</v>
      </c>
      <c r="V210" s="442">
        <f t="shared" si="34"/>
        <v>7960</v>
      </c>
    </row>
    <row r="211" spans="1:22" ht="16.5">
      <c r="A211" s="317">
        <f t="shared" si="35"/>
        <v>204</v>
      </c>
      <c r="B211" s="460" t="s">
        <v>2627</v>
      </c>
      <c r="C211" s="318"/>
      <c r="D211" s="318"/>
      <c r="E211" s="318"/>
      <c r="F211" s="318"/>
      <c r="G211" s="463">
        <v>42488</v>
      </c>
      <c r="H211" s="436">
        <v>40000</v>
      </c>
      <c r="I211" s="317"/>
      <c r="J211" s="317"/>
      <c r="K211" s="436">
        <f t="shared" si="27"/>
        <v>40000</v>
      </c>
      <c r="L211" s="463">
        <v>42488</v>
      </c>
      <c r="M211" s="326">
        <v>38561.808219178085</v>
      </c>
      <c r="N211" s="438">
        <f t="shared" si="28"/>
        <v>1438.191780821915</v>
      </c>
      <c r="O211" s="438">
        <f t="shared" si="29"/>
        <v>2894</v>
      </c>
      <c r="P211" s="497">
        <v>5</v>
      </c>
      <c r="Q211" s="454">
        <f t="shared" si="30"/>
        <v>7.9287671232876713</v>
      </c>
      <c r="R211" s="454">
        <f t="shared" si="31"/>
        <v>-2.9287671232876713</v>
      </c>
      <c r="S211" s="455">
        <f t="shared" si="32"/>
        <v>0.19</v>
      </c>
      <c r="T211" s="442">
        <v>0</v>
      </c>
      <c r="U211" s="442">
        <f t="shared" si="33"/>
        <v>1438.191780821915</v>
      </c>
      <c r="V211" s="442">
        <f t="shared" si="34"/>
        <v>2000</v>
      </c>
    </row>
    <row r="212" spans="1:22" ht="16.5">
      <c r="A212" s="317">
        <f t="shared" si="35"/>
        <v>205</v>
      </c>
      <c r="B212" s="460" t="s">
        <v>2628</v>
      </c>
      <c r="C212" s="318"/>
      <c r="D212" s="318"/>
      <c r="E212" s="318"/>
      <c r="F212" s="318"/>
      <c r="G212" s="463">
        <v>42570</v>
      </c>
      <c r="H212" s="436">
        <f>6500+10239</f>
        <v>16739</v>
      </c>
      <c r="I212" s="317"/>
      <c r="J212" s="317"/>
      <c r="K212" s="436">
        <f t="shared" si="27"/>
        <v>16739</v>
      </c>
      <c r="L212" s="463">
        <v>42570</v>
      </c>
      <c r="M212" s="326">
        <v>15901.831780821918</v>
      </c>
      <c r="N212" s="438">
        <f t="shared" si="28"/>
        <v>837.16821917808193</v>
      </c>
      <c r="O212" s="438">
        <f t="shared" si="29"/>
        <v>2812</v>
      </c>
      <c r="P212" s="497">
        <v>5</v>
      </c>
      <c r="Q212" s="454">
        <f t="shared" si="30"/>
        <v>7.7041095890410958</v>
      </c>
      <c r="R212" s="454">
        <f t="shared" si="31"/>
        <v>-2.7041095890410958</v>
      </c>
      <c r="S212" s="455">
        <f t="shared" si="32"/>
        <v>0.19</v>
      </c>
      <c r="T212" s="442">
        <v>0</v>
      </c>
      <c r="U212" s="442">
        <f t="shared" si="33"/>
        <v>837.16821917808193</v>
      </c>
      <c r="V212" s="442">
        <f t="shared" si="34"/>
        <v>836.95</v>
      </c>
    </row>
    <row r="213" spans="1:22" ht="16.5">
      <c r="A213" s="317">
        <f t="shared" si="35"/>
        <v>206</v>
      </c>
      <c r="B213" s="460" t="s">
        <v>235</v>
      </c>
      <c r="C213" s="318"/>
      <c r="D213" s="318"/>
      <c r="E213" s="318"/>
      <c r="F213" s="318"/>
      <c r="G213" s="463">
        <v>42625</v>
      </c>
      <c r="H213" s="436">
        <v>152600</v>
      </c>
      <c r="I213" s="317"/>
      <c r="J213" s="317"/>
      <c r="K213" s="436">
        <f t="shared" si="27"/>
        <v>152600</v>
      </c>
      <c r="L213" s="463">
        <v>42625</v>
      </c>
      <c r="M213" s="326">
        <v>144969.55890410958</v>
      </c>
      <c r="N213" s="438">
        <f t="shared" si="28"/>
        <v>7630.4410958904191</v>
      </c>
      <c r="O213" s="438">
        <f t="shared" si="29"/>
        <v>2757</v>
      </c>
      <c r="P213" s="497">
        <v>5</v>
      </c>
      <c r="Q213" s="454">
        <f t="shared" si="30"/>
        <v>7.5534246575342463</v>
      </c>
      <c r="R213" s="454">
        <f t="shared" si="31"/>
        <v>-2.5534246575342463</v>
      </c>
      <c r="S213" s="455">
        <f t="shared" si="32"/>
        <v>0.19</v>
      </c>
      <c r="T213" s="442">
        <v>0</v>
      </c>
      <c r="U213" s="442">
        <f t="shared" si="33"/>
        <v>7630.4410958904191</v>
      </c>
      <c r="V213" s="442">
        <f t="shared" si="34"/>
        <v>7630</v>
      </c>
    </row>
    <row r="214" spans="1:22" ht="16.5">
      <c r="A214" s="317">
        <f t="shared" si="35"/>
        <v>207</v>
      </c>
      <c r="B214" s="460" t="s">
        <v>235</v>
      </c>
      <c r="C214" s="318"/>
      <c r="D214" s="318"/>
      <c r="E214" s="318"/>
      <c r="F214" s="318"/>
      <c r="G214" s="463">
        <v>42693</v>
      </c>
      <c r="H214" s="436">
        <v>81800</v>
      </c>
      <c r="I214" s="317"/>
      <c r="J214" s="317"/>
      <c r="K214" s="436">
        <f t="shared" si="27"/>
        <v>81800</v>
      </c>
      <c r="L214" s="463">
        <v>42693</v>
      </c>
      <c r="M214" s="326">
        <v>77710.24931506849</v>
      </c>
      <c r="N214" s="438">
        <f t="shared" si="28"/>
        <v>4089.7506849315105</v>
      </c>
      <c r="O214" s="438">
        <f t="shared" si="29"/>
        <v>2689</v>
      </c>
      <c r="P214" s="497">
        <v>5</v>
      </c>
      <c r="Q214" s="454">
        <f t="shared" si="30"/>
        <v>7.3671232876712329</v>
      </c>
      <c r="R214" s="454">
        <f t="shared" si="31"/>
        <v>-2.3671232876712329</v>
      </c>
      <c r="S214" s="455">
        <f t="shared" si="32"/>
        <v>0.19</v>
      </c>
      <c r="T214" s="442">
        <v>0</v>
      </c>
      <c r="U214" s="442">
        <f t="shared" si="33"/>
        <v>4089.7506849315105</v>
      </c>
      <c r="V214" s="442">
        <f t="shared" si="34"/>
        <v>4090</v>
      </c>
    </row>
    <row r="215" spans="1:22" ht="16.5">
      <c r="A215" s="317">
        <f t="shared" si="35"/>
        <v>208</v>
      </c>
      <c r="B215" s="460" t="s">
        <v>2470</v>
      </c>
      <c r="C215" s="318"/>
      <c r="D215" s="318"/>
      <c r="E215" s="318"/>
      <c r="F215" s="318"/>
      <c r="G215" s="463">
        <v>42678</v>
      </c>
      <c r="H215" s="436">
        <v>9990</v>
      </c>
      <c r="I215" s="317"/>
      <c r="J215" s="317"/>
      <c r="K215" s="436">
        <f t="shared" si="27"/>
        <v>9990</v>
      </c>
      <c r="L215" s="463">
        <v>42678</v>
      </c>
      <c r="M215" s="326">
        <v>9490.2027397260281</v>
      </c>
      <c r="N215" s="438">
        <f t="shared" si="28"/>
        <v>499.79726027397192</v>
      </c>
      <c r="O215" s="438">
        <f t="shared" si="29"/>
        <v>2704</v>
      </c>
      <c r="P215" s="497">
        <v>1</v>
      </c>
      <c r="Q215" s="454">
        <f t="shared" si="30"/>
        <v>7.4082191780821915</v>
      </c>
      <c r="R215" s="454">
        <f t="shared" si="31"/>
        <v>-6.4082191780821915</v>
      </c>
      <c r="S215" s="455">
        <f t="shared" si="32"/>
        <v>0.95</v>
      </c>
      <c r="T215" s="442">
        <v>0</v>
      </c>
      <c r="U215" s="442">
        <f t="shared" si="33"/>
        <v>499.79726027397192</v>
      </c>
      <c r="V215" s="442">
        <f t="shared" si="34"/>
        <v>499.5</v>
      </c>
    </row>
    <row r="216" spans="1:22" ht="16.5">
      <c r="A216" s="317">
        <f t="shared" si="35"/>
        <v>209</v>
      </c>
      <c r="B216" s="460" t="s">
        <v>2470</v>
      </c>
      <c r="C216" s="318"/>
      <c r="D216" s="318"/>
      <c r="E216" s="318"/>
      <c r="F216" s="318"/>
      <c r="G216" s="463">
        <v>42741</v>
      </c>
      <c r="H216" s="436">
        <v>56000</v>
      </c>
      <c r="I216" s="317"/>
      <c r="J216" s="317"/>
      <c r="K216" s="436">
        <f t="shared" si="27"/>
        <v>56000</v>
      </c>
      <c r="L216" s="463">
        <v>42741</v>
      </c>
      <c r="M216" s="326">
        <v>53200.04109589041</v>
      </c>
      <c r="N216" s="438">
        <f t="shared" si="28"/>
        <v>2799.9589041095896</v>
      </c>
      <c r="O216" s="438">
        <f t="shared" si="29"/>
        <v>2641</v>
      </c>
      <c r="P216" s="497">
        <v>1</v>
      </c>
      <c r="Q216" s="454">
        <f t="shared" si="30"/>
        <v>7.2356164383561641</v>
      </c>
      <c r="R216" s="454">
        <f t="shared" si="31"/>
        <v>-6.2356164383561641</v>
      </c>
      <c r="S216" s="455">
        <f t="shared" si="32"/>
        <v>0.95</v>
      </c>
      <c r="T216" s="442">
        <v>0</v>
      </c>
      <c r="U216" s="442">
        <f t="shared" si="33"/>
        <v>2799.9589041095896</v>
      </c>
      <c r="V216" s="442">
        <f t="shared" si="34"/>
        <v>2800</v>
      </c>
    </row>
    <row r="217" spans="1:22" ht="16.5">
      <c r="A217" s="317">
        <f t="shared" si="35"/>
        <v>210</v>
      </c>
      <c r="B217" s="460" t="s">
        <v>2629</v>
      </c>
      <c r="C217" s="318"/>
      <c r="D217" s="318"/>
      <c r="E217" s="318"/>
      <c r="F217" s="318"/>
      <c r="G217" s="463">
        <v>42645</v>
      </c>
      <c r="H217" s="436">
        <v>5297</v>
      </c>
      <c r="I217" s="317"/>
      <c r="J217" s="317"/>
      <c r="K217" s="436">
        <f t="shared" si="27"/>
        <v>5297</v>
      </c>
      <c r="L217" s="463">
        <v>42645</v>
      </c>
      <c r="M217" s="326">
        <v>5031.7989863013709</v>
      </c>
      <c r="N217" s="438">
        <f t="shared" si="28"/>
        <v>265.20101369862914</v>
      </c>
      <c r="O217" s="438">
        <f t="shared" si="29"/>
        <v>2737</v>
      </c>
      <c r="P217" s="497">
        <v>5</v>
      </c>
      <c r="Q217" s="454">
        <f t="shared" si="30"/>
        <v>7.4986301369863018</v>
      </c>
      <c r="R217" s="454">
        <f t="shared" si="31"/>
        <v>-2.4986301369863018</v>
      </c>
      <c r="S217" s="455">
        <f t="shared" si="32"/>
        <v>0.19</v>
      </c>
      <c r="T217" s="442">
        <v>0</v>
      </c>
      <c r="U217" s="442">
        <f t="shared" si="33"/>
        <v>265.20101369862914</v>
      </c>
      <c r="V217" s="442">
        <f t="shared" si="34"/>
        <v>264.85000000000002</v>
      </c>
    </row>
    <row r="218" spans="1:22" ht="16.5">
      <c r="A218" s="317">
        <f t="shared" si="35"/>
        <v>211</v>
      </c>
      <c r="B218" s="460" t="s">
        <v>2630</v>
      </c>
      <c r="C218" s="318"/>
      <c r="D218" s="318"/>
      <c r="E218" s="318"/>
      <c r="F218" s="318"/>
      <c r="G218" s="463">
        <v>42645</v>
      </c>
      <c r="H218" s="436">
        <v>15457</v>
      </c>
      <c r="I218" s="317"/>
      <c r="J218" s="317"/>
      <c r="K218" s="436">
        <f t="shared" si="27"/>
        <v>15457</v>
      </c>
      <c r="L218" s="463">
        <v>42645</v>
      </c>
      <c r="M218" s="326">
        <v>14683.665835616439</v>
      </c>
      <c r="N218" s="438">
        <f t="shared" si="28"/>
        <v>773.33416438356107</v>
      </c>
      <c r="O218" s="438">
        <f t="shared" si="29"/>
        <v>2737</v>
      </c>
      <c r="P218" s="497">
        <v>5</v>
      </c>
      <c r="Q218" s="454">
        <f t="shared" si="30"/>
        <v>7.4986301369863018</v>
      </c>
      <c r="R218" s="454">
        <f t="shared" si="31"/>
        <v>-2.4986301369863018</v>
      </c>
      <c r="S218" s="455">
        <f t="shared" si="32"/>
        <v>0.19</v>
      </c>
      <c r="T218" s="442">
        <v>0</v>
      </c>
      <c r="U218" s="442">
        <f t="shared" si="33"/>
        <v>773.33416438356107</v>
      </c>
      <c r="V218" s="442">
        <f t="shared" si="34"/>
        <v>772.85</v>
      </c>
    </row>
    <row r="219" spans="1:22" ht="16.5">
      <c r="A219" s="317">
        <f t="shared" si="35"/>
        <v>212</v>
      </c>
      <c r="B219" s="460" t="s">
        <v>2434</v>
      </c>
      <c r="C219" s="318"/>
      <c r="D219" s="318"/>
      <c r="E219" s="318"/>
      <c r="F219" s="318"/>
      <c r="G219" s="463">
        <v>42675</v>
      </c>
      <c r="H219" s="436">
        <v>86290</v>
      </c>
      <c r="I219" s="317"/>
      <c r="J219" s="317"/>
      <c r="K219" s="436">
        <f t="shared" si="27"/>
        <v>86290</v>
      </c>
      <c r="L219" s="463">
        <v>42675</v>
      </c>
      <c r="M219" s="326">
        <v>81975.030410958891</v>
      </c>
      <c r="N219" s="438">
        <f t="shared" si="28"/>
        <v>4314.9695890411094</v>
      </c>
      <c r="O219" s="438">
        <f t="shared" si="29"/>
        <v>2707</v>
      </c>
      <c r="P219" s="497">
        <v>5</v>
      </c>
      <c r="Q219" s="454">
        <f t="shared" si="30"/>
        <v>7.4164383561643836</v>
      </c>
      <c r="R219" s="454">
        <f t="shared" si="31"/>
        <v>-2.4164383561643836</v>
      </c>
      <c r="S219" s="455">
        <f t="shared" si="32"/>
        <v>0.19</v>
      </c>
      <c r="T219" s="442">
        <v>0</v>
      </c>
      <c r="U219" s="442">
        <f t="shared" si="33"/>
        <v>4314.9695890411094</v>
      </c>
      <c r="V219" s="442">
        <f t="shared" si="34"/>
        <v>4314.5</v>
      </c>
    </row>
    <row r="220" spans="1:22" ht="16.5">
      <c r="A220" s="317">
        <f t="shared" si="35"/>
        <v>213</v>
      </c>
      <c r="B220" s="460" t="s">
        <v>2631</v>
      </c>
      <c r="C220" s="318"/>
      <c r="D220" s="318"/>
      <c r="E220" s="318"/>
      <c r="F220" s="318"/>
      <c r="G220" s="463">
        <v>42675</v>
      </c>
      <c r="H220" s="436">
        <v>19270</v>
      </c>
      <c r="I220" s="317"/>
      <c r="J220" s="317"/>
      <c r="K220" s="436">
        <f t="shared" si="27"/>
        <v>19270</v>
      </c>
      <c r="L220" s="463">
        <v>42675</v>
      </c>
      <c r="M220" s="326">
        <v>18306.874794520547</v>
      </c>
      <c r="N220" s="438">
        <f t="shared" si="28"/>
        <v>963.12520547945314</v>
      </c>
      <c r="O220" s="438">
        <f t="shared" si="29"/>
        <v>2707</v>
      </c>
      <c r="P220" s="497">
        <v>5</v>
      </c>
      <c r="Q220" s="454">
        <f t="shared" si="30"/>
        <v>7.4164383561643836</v>
      </c>
      <c r="R220" s="454">
        <f t="shared" si="31"/>
        <v>-2.4164383561643836</v>
      </c>
      <c r="S220" s="455">
        <f t="shared" si="32"/>
        <v>0.19</v>
      </c>
      <c r="T220" s="442">
        <v>0</v>
      </c>
      <c r="U220" s="442">
        <f t="shared" si="33"/>
        <v>963.12520547945314</v>
      </c>
      <c r="V220" s="442">
        <f t="shared" si="34"/>
        <v>963.5</v>
      </c>
    </row>
    <row r="221" spans="1:22" ht="16.5">
      <c r="A221" s="317">
        <f t="shared" si="35"/>
        <v>214</v>
      </c>
      <c r="B221" s="460" t="s">
        <v>2632</v>
      </c>
      <c r="C221" s="318"/>
      <c r="D221" s="318"/>
      <c r="E221" s="318"/>
      <c r="F221" s="318"/>
      <c r="G221" s="463">
        <v>42692</v>
      </c>
      <c r="H221" s="436">
        <v>5845</v>
      </c>
      <c r="I221" s="317"/>
      <c r="J221" s="317"/>
      <c r="K221" s="436">
        <f t="shared" si="27"/>
        <v>5845</v>
      </c>
      <c r="L221" s="463">
        <v>42692</v>
      </c>
      <c r="M221" s="326">
        <v>5552.9087671232883</v>
      </c>
      <c r="N221" s="438">
        <f t="shared" si="28"/>
        <v>292.09123287671173</v>
      </c>
      <c r="O221" s="438">
        <f t="shared" si="29"/>
        <v>2690</v>
      </c>
      <c r="P221" s="497">
        <v>5</v>
      </c>
      <c r="Q221" s="454">
        <f t="shared" si="30"/>
        <v>7.3698630136986303</v>
      </c>
      <c r="R221" s="454">
        <f t="shared" si="31"/>
        <v>-2.3698630136986303</v>
      </c>
      <c r="S221" s="455">
        <f t="shared" si="32"/>
        <v>0.19</v>
      </c>
      <c r="T221" s="442">
        <v>0</v>
      </c>
      <c r="U221" s="442">
        <f t="shared" si="33"/>
        <v>292.09123287671173</v>
      </c>
      <c r="V221" s="442">
        <f t="shared" si="34"/>
        <v>292.25</v>
      </c>
    </row>
    <row r="222" spans="1:22" ht="16.5">
      <c r="A222" s="317">
        <f t="shared" si="35"/>
        <v>215</v>
      </c>
      <c r="B222" s="460" t="s">
        <v>2633</v>
      </c>
      <c r="C222" s="318"/>
      <c r="D222" s="318"/>
      <c r="E222" s="318"/>
      <c r="F222" s="318"/>
      <c r="G222" s="463">
        <v>42759</v>
      </c>
      <c r="H222" s="436">
        <v>101905</v>
      </c>
      <c r="I222" s="317"/>
      <c r="J222" s="317"/>
      <c r="K222" s="436">
        <f t="shared" si="27"/>
        <v>101905</v>
      </c>
      <c r="L222" s="463">
        <v>42759</v>
      </c>
      <c r="M222" s="326">
        <v>96809.91136986301</v>
      </c>
      <c r="N222" s="438">
        <f t="shared" si="28"/>
        <v>5095.0886301369901</v>
      </c>
      <c r="O222" s="438">
        <f t="shared" si="29"/>
        <v>2623</v>
      </c>
      <c r="P222" s="497">
        <v>5</v>
      </c>
      <c r="Q222" s="454">
        <f t="shared" si="30"/>
        <v>7.1863013698630134</v>
      </c>
      <c r="R222" s="454">
        <f t="shared" si="31"/>
        <v>-2.1863013698630134</v>
      </c>
      <c r="S222" s="455">
        <f t="shared" si="32"/>
        <v>0.19</v>
      </c>
      <c r="T222" s="442">
        <v>0</v>
      </c>
      <c r="U222" s="442">
        <f t="shared" si="33"/>
        <v>5095.0886301369901</v>
      </c>
      <c r="V222" s="442">
        <f t="shared" si="34"/>
        <v>5095.25</v>
      </c>
    </row>
    <row r="223" spans="1:22" ht="16.5">
      <c r="A223" s="317">
        <f t="shared" si="35"/>
        <v>216</v>
      </c>
      <c r="B223" s="460" t="s">
        <v>474</v>
      </c>
      <c r="C223" s="318"/>
      <c r="D223" s="318"/>
      <c r="E223" s="318"/>
      <c r="F223" s="318"/>
      <c r="G223" s="463">
        <v>42623</v>
      </c>
      <c r="H223" s="436">
        <v>27348</v>
      </c>
      <c r="I223" s="317"/>
      <c r="J223" s="317"/>
      <c r="K223" s="436">
        <f t="shared" si="27"/>
        <v>27348</v>
      </c>
      <c r="L223" s="463">
        <v>42623</v>
      </c>
      <c r="M223" s="326">
        <v>25980.376876712326</v>
      </c>
      <c r="N223" s="438">
        <f t="shared" si="28"/>
        <v>1367.6231232876744</v>
      </c>
      <c r="O223" s="438">
        <f t="shared" si="29"/>
        <v>2759</v>
      </c>
      <c r="P223" s="497">
        <v>5</v>
      </c>
      <c r="Q223" s="454">
        <f t="shared" si="30"/>
        <v>7.558904109589041</v>
      </c>
      <c r="R223" s="454">
        <f t="shared" si="31"/>
        <v>-2.558904109589041</v>
      </c>
      <c r="S223" s="455">
        <f t="shared" si="32"/>
        <v>0.19</v>
      </c>
      <c r="T223" s="442">
        <v>0</v>
      </c>
      <c r="U223" s="442">
        <f t="shared" si="33"/>
        <v>1367.6231232876744</v>
      </c>
      <c r="V223" s="442">
        <f t="shared" si="34"/>
        <v>1367.4</v>
      </c>
    </row>
    <row r="224" spans="1:22" ht="16.5">
      <c r="A224" s="317">
        <f t="shared" si="35"/>
        <v>217</v>
      </c>
      <c r="B224" s="460" t="s">
        <v>2634</v>
      </c>
      <c r="C224" s="318"/>
      <c r="D224" s="318"/>
      <c r="E224" s="318"/>
      <c r="F224" s="318"/>
      <c r="G224" s="463">
        <v>42623</v>
      </c>
      <c r="H224" s="436">
        <v>26000</v>
      </c>
      <c r="I224" s="317"/>
      <c r="J224" s="317"/>
      <c r="K224" s="436">
        <f t="shared" si="27"/>
        <v>26000</v>
      </c>
      <c r="L224" s="463">
        <v>42623</v>
      </c>
      <c r="M224" s="326">
        <v>24700.452054794521</v>
      </c>
      <c r="N224" s="438">
        <f t="shared" si="28"/>
        <v>1299.5479452054788</v>
      </c>
      <c r="O224" s="438">
        <f t="shared" si="29"/>
        <v>2759</v>
      </c>
      <c r="P224" s="497">
        <v>5</v>
      </c>
      <c r="Q224" s="454">
        <f t="shared" si="30"/>
        <v>7.558904109589041</v>
      </c>
      <c r="R224" s="454">
        <f t="shared" si="31"/>
        <v>-2.558904109589041</v>
      </c>
      <c r="S224" s="455">
        <f t="shared" si="32"/>
        <v>0.19</v>
      </c>
      <c r="T224" s="442">
        <v>0</v>
      </c>
      <c r="U224" s="442">
        <f t="shared" si="33"/>
        <v>1299.5479452054788</v>
      </c>
      <c r="V224" s="442">
        <f t="shared" si="34"/>
        <v>1300</v>
      </c>
    </row>
    <row r="225" spans="1:22" ht="16.5">
      <c r="A225" s="317">
        <f t="shared" si="35"/>
        <v>218</v>
      </c>
      <c r="B225" s="460" t="s">
        <v>303</v>
      </c>
      <c r="C225" s="318"/>
      <c r="D225" s="318"/>
      <c r="E225" s="318"/>
      <c r="F225" s="318"/>
      <c r="G225" s="463">
        <v>42471</v>
      </c>
      <c r="H225" s="436">
        <v>140000</v>
      </c>
      <c r="I225" s="317"/>
      <c r="J225" s="317"/>
      <c r="K225" s="436">
        <f t="shared" si="27"/>
        <v>140000</v>
      </c>
      <c r="L225" s="463">
        <v>42471</v>
      </c>
      <c r="M225" s="326">
        <v>133729.23287671234</v>
      </c>
      <c r="N225" s="438">
        <f t="shared" si="28"/>
        <v>6270.7671232876601</v>
      </c>
      <c r="O225" s="438">
        <f t="shared" si="29"/>
        <v>2911</v>
      </c>
      <c r="P225" s="497">
        <v>5</v>
      </c>
      <c r="Q225" s="454">
        <f t="shared" si="30"/>
        <v>7.9753424657534246</v>
      </c>
      <c r="R225" s="454">
        <f t="shared" si="31"/>
        <v>-2.9753424657534246</v>
      </c>
      <c r="S225" s="455">
        <f t="shared" si="32"/>
        <v>0.19</v>
      </c>
      <c r="T225" s="442">
        <v>0</v>
      </c>
      <c r="U225" s="442">
        <f t="shared" si="33"/>
        <v>6270.7671232876601</v>
      </c>
      <c r="V225" s="442">
        <f t="shared" si="34"/>
        <v>7000</v>
      </c>
    </row>
    <row r="226" spans="1:22" ht="16.5">
      <c r="A226" s="317">
        <f t="shared" si="35"/>
        <v>219</v>
      </c>
      <c r="B226" s="460" t="s">
        <v>2635</v>
      </c>
      <c r="C226" s="318"/>
      <c r="D226" s="318"/>
      <c r="E226" s="318"/>
      <c r="F226" s="318"/>
      <c r="G226" s="463">
        <v>42481</v>
      </c>
      <c r="H226" s="436">
        <v>14000</v>
      </c>
      <c r="I226" s="317"/>
      <c r="J226" s="317"/>
      <c r="K226" s="436">
        <f t="shared" si="27"/>
        <v>14000</v>
      </c>
      <c r="L226" s="463">
        <v>42481</v>
      </c>
      <c r="M226" s="326">
        <v>13446.246575342466</v>
      </c>
      <c r="N226" s="438">
        <f t="shared" si="28"/>
        <v>553.7534246575342</v>
      </c>
      <c r="O226" s="438">
        <f t="shared" si="29"/>
        <v>2901</v>
      </c>
      <c r="P226" s="497">
        <v>5</v>
      </c>
      <c r="Q226" s="454">
        <f t="shared" si="30"/>
        <v>7.9479452054794519</v>
      </c>
      <c r="R226" s="454">
        <f t="shared" si="31"/>
        <v>-2.9479452054794519</v>
      </c>
      <c r="S226" s="455">
        <f t="shared" si="32"/>
        <v>0.19</v>
      </c>
      <c r="T226" s="442">
        <v>0</v>
      </c>
      <c r="U226" s="442">
        <f t="shared" si="33"/>
        <v>553.7534246575342</v>
      </c>
      <c r="V226" s="442">
        <f t="shared" si="34"/>
        <v>700</v>
      </c>
    </row>
    <row r="227" spans="1:22" ht="16.5">
      <c r="A227" s="317">
        <f t="shared" si="35"/>
        <v>220</v>
      </c>
      <c r="B227" s="460" t="s">
        <v>2635</v>
      </c>
      <c r="C227" s="318"/>
      <c r="D227" s="318"/>
      <c r="E227" s="318"/>
      <c r="F227" s="318"/>
      <c r="G227" s="463">
        <v>42490</v>
      </c>
      <c r="H227" s="436">
        <v>16500</v>
      </c>
      <c r="I227" s="317"/>
      <c r="J227" s="317"/>
      <c r="K227" s="436">
        <f t="shared" si="27"/>
        <v>16500</v>
      </c>
      <c r="L227" s="463">
        <v>42490</v>
      </c>
      <c r="M227" s="326">
        <v>15923.917808219177</v>
      </c>
      <c r="N227" s="438">
        <f t="shared" si="28"/>
        <v>576.08219178082254</v>
      </c>
      <c r="O227" s="438">
        <f t="shared" si="29"/>
        <v>2892</v>
      </c>
      <c r="P227" s="497">
        <v>5</v>
      </c>
      <c r="Q227" s="454">
        <f t="shared" si="30"/>
        <v>7.9232876712328766</v>
      </c>
      <c r="R227" s="454">
        <f t="shared" si="31"/>
        <v>-2.9232876712328766</v>
      </c>
      <c r="S227" s="455">
        <f t="shared" si="32"/>
        <v>0.19</v>
      </c>
      <c r="T227" s="442">
        <v>0</v>
      </c>
      <c r="U227" s="442">
        <f t="shared" si="33"/>
        <v>576.08219178082254</v>
      </c>
      <c r="V227" s="442">
        <f t="shared" si="34"/>
        <v>825</v>
      </c>
    </row>
    <row r="228" spans="1:22" ht="16.5">
      <c r="A228" s="317">
        <f t="shared" si="35"/>
        <v>221</v>
      </c>
      <c r="B228" s="460" t="s">
        <v>2635</v>
      </c>
      <c r="C228" s="318"/>
      <c r="D228" s="318"/>
      <c r="E228" s="318"/>
      <c r="F228" s="318"/>
      <c r="G228" s="463">
        <v>42491</v>
      </c>
      <c r="H228" s="436">
        <v>14500</v>
      </c>
      <c r="I228" s="317"/>
      <c r="J228" s="317"/>
      <c r="K228" s="436">
        <f t="shared" si="27"/>
        <v>14500</v>
      </c>
      <c r="L228" s="463">
        <v>42491</v>
      </c>
      <c r="M228" s="326">
        <v>14000.561643835616</v>
      </c>
      <c r="N228" s="438">
        <f t="shared" si="28"/>
        <v>499.43835616438446</v>
      </c>
      <c r="O228" s="438">
        <f t="shared" si="29"/>
        <v>2891</v>
      </c>
      <c r="P228" s="497">
        <v>5</v>
      </c>
      <c r="Q228" s="454">
        <f t="shared" si="30"/>
        <v>7.9205479452054792</v>
      </c>
      <c r="R228" s="454">
        <f t="shared" si="31"/>
        <v>-2.9205479452054792</v>
      </c>
      <c r="S228" s="455">
        <f t="shared" si="32"/>
        <v>0.19</v>
      </c>
      <c r="T228" s="442">
        <v>0</v>
      </c>
      <c r="U228" s="442">
        <f t="shared" si="33"/>
        <v>499.43835616438446</v>
      </c>
      <c r="V228" s="442">
        <f t="shared" si="34"/>
        <v>725</v>
      </c>
    </row>
    <row r="229" spans="1:22" ht="16.5">
      <c r="A229" s="317">
        <f t="shared" si="35"/>
        <v>222</v>
      </c>
      <c r="B229" s="460" t="s">
        <v>2635</v>
      </c>
      <c r="C229" s="318"/>
      <c r="D229" s="318"/>
      <c r="E229" s="318"/>
      <c r="F229" s="318"/>
      <c r="G229" s="463">
        <v>42501</v>
      </c>
      <c r="H229" s="436">
        <v>7000</v>
      </c>
      <c r="I229" s="317"/>
      <c r="J229" s="317"/>
      <c r="K229" s="436">
        <f t="shared" si="27"/>
        <v>7000</v>
      </c>
      <c r="L229" s="463">
        <v>42501</v>
      </c>
      <c r="M229" s="326">
        <v>6796.2465753424658</v>
      </c>
      <c r="N229" s="438">
        <f t="shared" si="28"/>
        <v>203.7534246575342</v>
      </c>
      <c r="O229" s="438">
        <f t="shared" si="29"/>
        <v>2881</v>
      </c>
      <c r="P229" s="497">
        <v>5</v>
      </c>
      <c r="Q229" s="454">
        <f t="shared" si="30"/>
        <v>7.8931506849315065</v>
      </c>
      <c r="R229" s="454">
        <f t="shared" si="31"/>
        <v>-2.8931506849315065</v>
      </c>
      <c r="S229" s="455">
        <f t="shared" si="32"/>
        <v>0.19</v>
      </c>
      <c r="T229" s="442">
        <v>0</v>
      </c>
      <c r="U229" s="442">
        <f t="shared" si="33"/>
        <v>203.7534246575342</v>
      </c>
      <c r="V229" s="442">
        <f t="shared" si="34"/>
        <v>350</v>
      </c>
    </row>
    <row r="230" spans="1:22" ht="16.5">
      <c r="A230" s="317">
        <f t="shared" si="35"/>
        <v>223</v>
      </c>
      <c r="B230" s="460" t="s">
        <v>2636</v>
      </c>
      <c r="C230" s="318"/>
      <c r="D230" s="318"/>
      <c r="E230" s="318"/>
      <c r="F230" s="318"/>
      <c r="G230" s="463">
        <v>42770</v>
      </c>
      <c r="H230" s="436">
        <v>6620</v>
      </c>
      <c r="I230" s="317"/>
      <c r="J230" s="317"/>
      <c r="K230" s="436">
        <f t="shared" si="27"/>
        <v>6620</v>
      </c>
      <c r="L230" s="463">
        <v>42770</v>
      </c>
      <c r="M230" s="326">
        <v>6289.1775342465753</v>
      </c>
      <c r="N230" s="438">
        <f t="shared" si="28"/>
        <v>330.82246575342469</v>
      </c>
      <c r="O230" s="438">
        <f t="shared" si="29"/>
        <v>2612</v>
      </c>
      <c r="P230" s="497">
        <v>5</v>
      </c>
      <c r="Q230" s="454">
        <f t="shared" si="30"/>
        <v>7.1561643835616442</v>
      </c>
      <c r="R230" s="454">
        <f t="shared" si="31"/>
        <v>-2.1561643835616442</v>
      </c>
      <c r="S230" s="455">
        <f t="shared" si="32"/>
        <v>0.19</v>
      </c>
      <c r="T230" s="442">
        <v>0</v>
      </c>
      <c r="U230" s="442">
        <f t="shared" si="33"/>
        <v>330.82246575342469</v>
      </c>
      <c r="V230" s="442">
        <f t="shared" si="34"/>
        <v>331</v>
      </c>
    </row>
    <row r="231" spans="1:22" ht="16.5">
      <c r="A231" s="317">
        <f t="shared" si="35"/>
        <v>224</v>
      </c>
      <c r="B231" s="460" t="s">
        <v>2637</v>
      </c>
      <c r="C231" s="318"/>
      <c r="D231" s="318"/>
      <c r="E231" s="318"/>
      <c r="F231" s="318"/>
      <c r="G231" s="463">
        <v>42819</v>
      </c>
      <c r="H231" s="436">
        <v>153000</v>
      </c>
      <c r="I231" s="317"/>
      <c r="J231" s="317"/>
      <c r="K231" s="436">
        <f t="shared" si="27"/>
        <v>153000</v>
      </c>
      <c r="L231" s="463">
        <v>42819</v>
      </c>
      <c r="M231" s="326">
        <v>145349.64626424672</v>
      </c>
      <c r="N231" s="438">
        <f t="shared" si="28"/>
        <v>7650.3537357532769</v>
      </c>
      <c r="O231" s="438">
        <f t="shared" si="29"/>
        <v>2563</v>
      </c>
      <c r="P231" s="497">
        <v>5</v>
      </c>
      <c r="Q231" s="454">
        <f t="shared" si="30"/>
        <v>7.021917808219178</v>
      </c>
      <c r="R231" s="454">
        <f t="shared" si="31"/>
        <v>-2.021917808219178</v>
      </c>
      <c r="S231" s="455">
        <f>(1-((K231*0.05)/N231))^1/R231</f>
        <v>-2.2868303313242671E-5</v>
      </c>
      <c r="T231" s="442">
        <v>0</v>
      </c>
      <c r="U231" s="442">
        <f t="shared" si="33"/>
        <v>7650.3537357532769</v>
      </c>
      <c r="V231" s="442">
        <f t="shared" si="34"/>
        <v>7650</v>
      </c>
    </row>
    <row r="232" spans="1:22" ht="16.5">
      <c r="A232" s="317">
        <f t="shared" si="35"/>
        <v>225</v>
      </c>
      <c r="B232" s="460" t="s">
        <v>238</v>
      </c>
      <c r="C232" s="318"/>
      <c r="D232" s="318"/>
      <c r="E232" s="318"/>
      <c r="F232" s="318"/>
      <c r="G232" s="463">
        <v>42812</v>
      </c>
      <c r="H232" s="436">
        <v>13000</v>
      </c>
      <c r="I232" s="317"/>
      <c r="J232" s="317"/>
      <c r="K232" s="436">
        <f t="shared" si="27"/>
        <v>13000</v>
      </c>
      <c r="L232" s="463">
        <v>42812</v>
      </c>
      <c r="M232" s="326">
        <v>12350.296063782976</v>
      </c>
      <c r="N232" s="438">
        <f t="shared" si="28"/>
        <v>649.70393621702351</v>
      </c>
      <c r="O232" s="438">
        <f t="shared" si="29"/>
        <v>2570</v>
      </c>
      <c r="P232" s="497">
        <v>5</v>
      </c>
      <c r="Q232" s="454">
        <f t="shared" si="30"/>
        <v>7.0410958904109586</v>
      </c>
      <c r="R232" s="454">
        <f t="shared" si="31"/>
        <v>-2.0410958904109586</v>
      </c>
      <c r="S232" s="455">
        <f>(1-((K232*0.05)/N232))^1/R232</f>
        <v>2.2325766479193611E-4</v>
      </c>
      <c r="T232" s="442">
        <v>0</v>
      </c>
      <c r="U232" s="442">
        <f t="shared" si="33"/>
        <v>649.70393621702351</v>
      </c>
      <c r="V232" s="442">
        <f t="shared" si="34"/>
        <v>650</v>
      </c>
    </row>
    <row r="233" spans="1:22" ht="16.5">
      <c r="A233" s="317">
        <f t="shared" si="35"/>
        <v>226</v>
      </c>
      <c r="B233" s="460" t="s">
        <v>235</v>
      </c>
      <c r="C233" s="318"/>
      <c r="D233" s="318"/>
      <c r="E233" s="318"/>
      <c r="F233" s="318"/>
      <c r="G233" s="463">
        <v>42483</v>
      </c>
      <c r="H233" s="436">
        <v>47000</v>
      </c>
      <c r="I233" s="317"/>
      <c r="J233" s="317"/>
      <c r="K233" s="436">
        <f t="shared" si="27"/>
        <v>47000</v>
      </c>
      <c r="L233" s="463">
        <v>42483</v>
      </c>
      <c r="M233" s="326">
        <v>44649.940631786987</v>
      </c>
      <c r="N233" s="438">
        <f t="shared" si="28"/>
        <v>2350.0593682130129</v>
      </c>
      <c r="O233" s="438">
        <f t="shared" si="29"/>
        <v>2899</v>
      </c>
      <c r="P233" s="497">
        <v>5</v>
      </c>
      <c r="Q233" s="454">
        <f t="shared" si="30"/>
        <v>7.9424657534246572</v>
      </c>
      <c r="R233" s="454">
        <f t="shared" si="31"/>
        <v>-2.9424657534246572</v>
      </c>
      <c r="S233" s="455">
        <f>(1-((K233*0.05)/N233))^1/R233</f>
        <v>-8.5854631039395534E-6</v>
      </c>
      <c r="T233" s="442">
        <v>0</v>
      </c>
      <c r="U233" s="442">
        <f t="shared" si="33"/>
        <v>2350.0593682130129</v>
      </c>
      <c r="V233" s="442">
        <f t="shared" si="34"/>
        <v>2350</v>
      </c>
    </row>
    <row r="234" spans="1:22" ht="16.5">
      <c r="A234" s="317">
        <f t="shared" si="35"/>
        <v>227</v>
      </c>
      <c r="B234" s="393" t="s">
        <v>235</v>
      </c>
      <c r="C234" s="318" t="s">
        <v>1945</v>
      </c>
      <c r="D234" s="394" t="s">
        <v>1967</v>
      </c>
      <c r="E234" s="393" t="s">
        <v>2638</v>
      </c>
      <c r="F234" s="395">
        <v>393</v>
      </c>
      <c r="G234" s="481">
        <v>42844</v>
      </c>
      <c r="H234" s="499">
        <v>39500</v>
      </c>
      <c r="I234" s="317"/>
      <c r="J234" s="317"/>
      <c r="K234" s="436">
        <f t="shared" si="27"/>
        <v>39500</v>
      </c>
      <c r="L234" s="481">
        <v>42844</v>
      </c>
      <c r="M234" s="326">
        <v>37525.231579412954</v>
      </c>
      <c r="N234" s="438">
        <f t="shared" si="28"/>
        <v>1974.7684205870464</v>
      </c>
      <c r="O234" s="438">
        <f t="shared" si="29"/>
        <v>2538</v>
      </c>
      <c r="P234" s="497">
        <v>5</v>
      </c>
      <c r="Q234" s="454">
        <f t="shared" si="30"/>
        <v>6.9534246575342467</v>
      </c>
      <c r="R234" s="454">
        <f t="shared" si="31"/>
        <v>-1.9534246575342467</v>
      </c>
      <c r="S234" s="455">
        <f t="shared" ref="S234:S297" si="36">(1-((K234*0.05)/N234))^1/R234</f>
        <v>6.0032594015021711E-5</v>
      </c>
      <c r="T234" s="442">
        <v>0</v>
      </c>
      <c r="U234" s="442">
        <f t="shared" si="33"/>
        <v>1974.7684205870464</v>
      </c>
      <c r="V234" s="442">
        <f t="shared" si="34"/>
        <v>1975</v>
      </c>
    </row>
    <row r="235" spans="1:22" ht="16.5">
      <c r="A235" s="317">
        <f t="shared" si="35"/>
        <v>228</v>
      </c>
      <c r="B235" s="393" t="s">
        <v>235</v>
      </c>
      <c r="C235" s="318" t="s">
        <v>1945</v>
      </c>
      <c r="D235" s="394" t="s">
        <v>1967</v>
      </c>
      <c r="E235" s="393" t="s">
        <v>2639</v>
      </c>
      <c r="F235" s="395">
        <v>264</v>
      </c>
      <c r="G235" s="481">
        <v>43024</v>
      </c>
      <c r="H235" s="499">
        <v>55300.38</v>
      </c>
      <c r="I235" s="317"/>
      <c r="J235" s="317"/>
      <c r="K235" s="436">
        <f t="shared" si="27"/>
        <v>55300.38</v>
      </c>
      <c r="L235" s="481">
        <v>43024</v>
      </c>
      <c r="M235" s="326">
        <v>52535.796460551865</v>
      </c>
      <c r="N235" s="438">
        <f t="shared" si="28"/>
        <v>2764.5835394481328</v>
      </c>
      <c r="O235" s="438">
        <f t="shared" si="29"/>
        <v>2358</v>
      </c>
      <c r="P235" s="497">
        <v>5</v>
      </c>
      <c r="Q235" s="454">
        <f t="shared" si="30"/>
        <v>6.4602739726027396</v>
      </c>
      <c r="R235" s="454">
        <f t="shared" si="31"/>
        <v>-1.4602739726027396</v>
      </c>
      <c r="S235" s="455">
        <f t="shared" si="36"/>
        <v>1.0786604523332754E-4</v>
      </c>
      <c r="T235" s="442">
        <v>0</v>
      </c>
      <c r="U235" s="442">
        <f t="shared" si="33"/>
        <v>2764.5835394481328</v>
      </c>
      <c r="V235" s="442">
        <f t="shared" si="34"/>
        <v>2765.0190000000002</v>
      </c>
    </row>
    <row r="236" spans="1:22" ht="16.5">
      <c r="A236" s="317">
        <f t="shared" si="35"/>
        <v>229</v>
      </c>
      <c r="B236" s="393" t="s">
        <v>2640</v>
      </c>
      <c r="C236" s="318" t="s">
        <v>1945</v>
      </c>
      <c r="D236" s="394" t="s">
        <v>1967</v>
      </c>
      <c r="E236" s="393" t="s">
        <v>2638</v>
      </c>
      <c r="F236" s="395">
        <v>3884</v>
      </c>
      <c r="G236" s="481">
        <v>43070</v>
      </c>
      <c r="H236" s="499">
        <v>43000</v>
      </c>
      <c r="I236" s="317"/>
      <c r="J236" s="317"/>
      <c r="K236" s="436">
        <f t="shared" si="27"/>
        <v>43000</v>
      </c>
      <c r="L236" s="481">
        <v>43070</v>
      </c>
      <c r="M236" s="326">
        <v>40849.745020771952</v>
      </c>
      <c r="N236" s="438">
        <f t="shared" si="28"/>
        <v>2150.2549792280479</v>
      </c>
      <c r="O236" s="438">
        <f t="shared" si="29"/>
        <v>2312</v>
      </c>
      <c r="P236" s="497">
        <v>5</v>
      </c>
      <c r="Q236" s="454">
        <f t="shared" si="30"/>
        <v>6.3342465753424655</v>
      </c>
      <c r="R236" s="454">
        <f t="shared" si="31"/>
        <v>-1.3342465753424655</v>
      </c>
      <c r="S236" s="455">
        <f t="shared" si="36"/>
        <v>-8.8874821848797245E-5</v>
      </c>
      <c r="T236" s="442">
        <v>0</v>
      </c>
      <c r="U236" s="442">
        <f t="shared" si="33"/>
        <v>2150.2549792280479</v>
      </c>
      <c r="V236" s="442">
        <f t="shared" si="34"/>
        <v>2150</v>
      </c>
    </row>
    <row r="237" spans="1:22" ht="16.5">
      <c r="A237" s="317">
        <f t="shared" si="35"/>
        <v>230</v>
      </c>
      <c r="B237" s="406" t="s">
        <v>2641</v>
      </c>
      <c r="C237" s="318" t="s">
        <v>1945</v>
      </c>
      <c r="D237" s="482" t="s">
        <v>2394</v>
      </c>
      <c r="E237" s="406" t="s">
        <v>217</v>
      </c>
      <c r="F237" s="500" t="s">
        <v>2642</v>
      </c>
      <c r="G237" s="501">
        <v>43130</v>
      </c>
      <c r="H237" s="499">
        <v>28989.98</v>
      </c>
      <c r="I237" s="317"/>
      <c r="J237" s="317"/>
      <c r="K237" s="436">
        <f t="shared" si="27"/>
        <v>28989.98</v>
      </c>
      <c r="L237" s="501">
        <v>43130</v>
      </c>
      <c r="M237" s="326">
        <v>27540.06950595514</v>
      </c>
      <c r="N237" s="438">
        <f t="shared" si="28"/>
        <v>1449.9104940448597</v>
      </c>
      <c r="O237" s="438">
        <f t="shared" si="29"/>
        <v>2252</v>
      </c>
      <c r="P237" s="497">
        <v>5</v>
      </c>
      <c r="Q237" s="454">
        <f t="shared" si="30"/>
        <v>6.1698630136986301</v>
      </c>
      <c r="R237" s="454">
        <f t="shared" si="31"/>
        <v>-1.1698630136986301</v>
      </c>
      <c r="S237" s="455">
        <f t="shared" si="36"/>
        <v>-2.4259807516754933E-4</v>
      </c>
      <c r="T237" s="442">
        <v>0</v>
      </c>
      <c r="U237" s="442">
        <f t="shared" si="33"/>
        <v>1449.9104940448597</v>
      </c>
      <c r="V237" s="442">
        <f t="shared" si="34"/>
        <v>1449.499</v>
      </c>
    </row>
    <row r="238" spans="1:22" ht="16.5">
      <c r="A238" s="317">
        <f t="shared" si="35"/>
        <v>231</v>
      </c>
      <c r="B238" s="393" t="s">
        <v>2643</v>
      </c>
      <c r="C238" s="318" t="s">
        <v>1945</v>
      </c>
      <c r="D238" s="394" t="s">
        <v>2009</v>
      </c>
      <c r="E238" s="393" t="s">
        <v>2644</v>
      </c>
      <c r="F238" s="395">
        <v>19</v>
      </c>
      <c r="G238" s="481">
        <v>43105</v>
      </c>
      <c r="H238" s="499">
        <v>36399.520000000004</v>
      </c>
      <c r="I238" s="317"/>
      <c r="J238" s="317"/>
      <c r="K238" s="436">
        <f t="shared" si="27"/>
        <v>36399.520000000004</v>
      </c>
      <c r="L238" s="481">
        <v>43105</v>
      </c>
      <c r="M238" s="326">
        <v>34579.862966810033</v>
      </c>
      <c r="N238" s="438">
        <f t="shared" si="28"/>
        <v>1819.6570331899711</v>
      </c>
      <c r="O238" s="438">
        <f t="shared" si="29"/>
        <v>2277</v>
      </c>
      <c r="P238" s="497">
        <v>5</v>
      </c>
      <c r="Q238" s="454">
        <f t="shared" si="30"/>
        <v>6.2383561643835614</v>
      </c>
      <c r="R238" s="454">
        <f t="shared" si="31"/>
        <v>-1.2383561643835614</v>
      </c>
      <c r="S238" s="455">
        <f t="shared" si="36"/>
        <v>1.4155016642611787E-4</v>
      </c>
      <c r="T238" s="442">
        <v>0</v>
      </c>
      <c r="U238" s="442">
        <f t="shared" si="33"/>
        <v>1819.6570331899711</v>
      </c>
      <c r="V238" s="442">
        <f t="shared" si="34"/>
        <v>1819.9760000000003</v>
      </c>
    </row>
    <row r="239" spans="1:22" ht="16.5">
      <c r="A239" s="317">
        <f t="shared" si="35"/>
        <v>232</v>
      </c>
      <c r="B239" s="393" t="s">
        <v>2645</v>
      </c>
      <c r="C239" s="318" t="s">
        <v>1945</v>
      </c>
      <c r="D239" s="394" t="s">
        <v>2009</v>
      </c>
      <c r="E239" s="393" t="s">
        <v>2646</v>
      </c>
      <c r="F239" s="395">
        <v>2369</v>
      </c>
      <c r="G239" s="481">
        <v>43122</v>
      </c>
      <c r="H239" s="499">
        <v>34500.01</v>
      </c>
      <c r="I239" s="317"/>
      <c r="J239" s="317"/>
      <c r="K239" s="436">
        <f t="shared" si="27"/>
        <v>34500.01</v>
      </c>
      <c r="L239" s="481">
        <v>43122</v>
      </c>
      <c r="M239" s="326">
        <v>32775.013272014883</v>
      </c>
      <c r="N239" s="438">
        <f t="shared" si="28"/>
        <v>1724.9967279851189</v>
      </c>
      <c r="O239" s="438">
        <f t="shared" si="29"/>
        <v>2260</v>
      </c>
      <c r="P239" s="497">
        <v>5</v>
      </c>
      <c r="Q239" s="454">
        <f t="shared" si="30"/>
        <v>6.1917808219178081</v>
      </c>
      <c r="R239" s="454">
        <f t="shared" si="31"/>
        <v>-1.1917808219178081</v>
      </c>
      <c r="S239" s="455">
        <f t="shared" si="36"/>
        <v>1.8347999907863064E-6</v>
      </c>
      <c r="T239" s="442">
        <v>0</v>
      </c>
      <c r="U239" s="442">
        <f t="shared" si="33"/>
        <v>1724.9967279851189</v>
      </c>
      <c r="V239" s="442">
        <f t="shared" si="34"/>
        <v>1725.0005000000001</v>
      </c>
    </row>
    <row r="240" spans="1:22" ht="16.5">
      <c r="A240" s="317">
        <f t="shared" si="35"/>
        <v>233</v>
      </c>
      <c r="B240" s="393" t="s">
        <v>2647</v>
      </c>
      <c r="C240" s="318" t="s">
        <v>1945</v>
      </c>
      <c r="D240" s="394" t="s">
        <v>2009</v>
      </c>
      <c r="E240" s="393" t="s">
        <v>423</v>
      </c>
      <c r="F240" s="395">
        <v>4682</v>
      </c>
      <c r="G240" s="481">
        <v>43144</v>
      </c>
      <c r="H240" s="499">
        <v>15864</v>
      </c>
      <c r="I240" s="317"/>
      <c r="J240" s="317"/>
      <c r="K240" s="436">
        <f t="shared" si="27"/>
        <v>15864</v>
      </c>
      <c r="L240" s="481">
        <v>43144</v>
      </c>
      <c r="M240" s="326">
        <v>15070.304559836066</v>
      </c>
      <c r="N240" s="438">
        <f t="shared" si="28"/>
        <v>793.69544016393411</v>
      </c>
      <c r="O240" s="438">
        <f t="shared" si="29"/>
        <v>2238</v>
      </c>
      <c r="P240" s="497">
        <v>5</v>
      </c>
      <c r="Q240" s="454">
        <f t="shared" si="30"/>
        <v>6.1315068493150688</v>
      </c>
      <c r="R240" s="454">
        <f t="shared" si="31"/>
        <v>-1.1315068493150688</v>
      </c>
      <c r="S240" s="455">
        <f t="shared" si="36"/>
        <v>-5.516709790249363E-4</v>
      </c>
      <c r="T240" s="442">
        <v>0</v>
      </c>
      <c r="U240" s="442">
        <f t="shared" si="33"/>
        <v>793.69544016393411</v>
      </c>
      <c r="V240" s="442">
        <f t="shared" si="34"/>
        <v>793.2</v>
      </c>
    </row>
    <row r="241" spans="1:22" ht="16.5">
      <c r="A241" s="317">
        <f t="shared" si="35"/>
        <v>234</v>
      </c>
      <c r="B241" s="393" t="s">
        <v>2461</v>
      </c>
      <c r="C241" s="318" t="s">
        <v>1945</v>
      </c>
      <c r="D241" s="394" t="s">
        <v>2009</v>
      </c>
      <c r="E241" s="393" t="s">
        <v>2648</v>
      </c>
      <c r="F241" s="395">
        <v>416</v>
      </c>
      <c r="G241" s="481">
        <v>43151</v>
      </c>
      <c r="H241" s="499">
        <v>165200</v>
      </c>
      <c r="I241" s="317"/>
      <c r="J241" s="317"/>
      <c r="K241" s="436">
        <f t="shared" si="27"/>
        <v>165200</v>
      </c>
      <c r="L241" s="481">
        <v>43151</v>
      </c>
      <c r="M241" s="326">
        <v>156940.21629180358</v>
      </c>
      <c r="N241" s="438">
        <f t="shared" si="28"/>
        <v>8259.7837081964244</v>
      </c>
      <c r="O241" s="438">
        <f t="shared" si="29"/>
        <v>2231</v>
      </c>
      <c r="P241" s="497">
        <v>5</v>
      </c>
      <c r="Q241" s="454">
        <f t="shared" si="30"/>
        <v>6.1123287671232873</v>
      </c>
      <c r="R241" s="454">
        <f t="shared" si="31"/>
        <v>-1.1123287671232873</v>
      </c>
      <c r="S241" s="455">
        <f t="shared" si="36"/>
        <v>2.3541721516547057E-5</v>
      </c>
      <c r="T241" s="442">
        <v>0</v>
      </c>
      <c r="U241" s="442">
        <f t="shared" si="33"/>
        <v>8259.7837081964244</v>
      </c>
      <c r="V241" s="442">
        <f t="shared" si="34"/>
        <v>8260</v>
      </c>
    </row>
    <row r="242" spans="1:22" ht="16.5">
      <c r="A242" s="317">
        <f t="shared" si="35"/>
        <v>235</v>
      </c>
      <c r="B242" s="393" t="s">
        <v>2647</v>
      </c>
      <c r="C242" s="318" t="s">
        <v>1945</v>
      </c>
      <c r="D242" s="394" t="s">
        <v>2009</v>
      </c>
      <c r="E242" s="393" t="s">
        <v>2649</v>
      </c>
      <c r="F242" s="395">
        <v>306</v>
      </c>
      <c r="G242" s="481">
        <v>43157</v>
      </c>
      <c r="H242" s="499">
        <v>13452</v>
      </c>
      <c r="I242" s="317"/>
      <c r="J242" s="317"/>
      <c r="K242" s="436">
        <f t="shared" si="27"/>
        <v>13452</v>
      </c>
      <c r="L242" s="481">
        <v>43157</v>
      </c>
      <c r="M242" s="326">
        <v>12779.528914158071</v>
      </c>
      <c r="N242" s="438">
        <f t="shared" si="28"/>
        <v>672.47108584192938</v>
      </c>
      <c r="O242" s="438">
        <f t="shared" si="29"/>
        <v>2225</v>
      </c>
      <c r="P242" s="497">
        <v>5</v>
      </c>
      <c r="Q242" s="454">
        <f t="shared" si="30"/>
        <v>6.095890410958904</v>
      </c>
      <c r="R242" s="454">
        <f t="shared" si="31"/>
        <v>-1.095890410958904</v>
      </c>
      <c r="S242" s="455">
        <f t="shared" si="36"/>
        <v>1.749282187979484E-4</v>
      </c>
      <c r="T242" s="442">
        <v>0</v>
      </c>
      <c r="U242" s="442">
        <f t="shared" si="33"/>
        <v>672.47108584192938</v>
      </c>
      <c r="V242" s="442">
        <f t="shared" si="34"/>
        <v>672.6</v>
      </c>
    </row>
    <row r="243" spans="1:22" ht="16.5">
      <c r="A243" s="317">
        <f t="shared" si="35"/>
        <v>236</v>
      </c>
      <c r="B243" s="393" t="s">
        <v>2641</v>
      </c>
      <c r="C243" s="318" t="s">
        <v>1945</v>
      </c>
      <c r="D243" s="394" t="s">
        <v>2009</v>
      </c>
      <c r="E243" s="393" t="s">
        <v>2650</v>
      </c>
      <c r="F243" s="395">
        <v>1055</v>
      </c>
      <c r="G243" s="481">
        <v>43174</v>
      </c>
      <c r="H243" s="499">
        <v>35000.01</v>
      </c>
      <c r="I243" s="317"/>
      <c r="J243" s="317"/>
      <c r="K243" s="436">
        <f t="shared" si="27"/>
        <v>35000.01</v>
      </c>
      <c r="L243" s="481">
        <v>43174</v>
      </c>
      <c r="M243" s="326">
        <v>33250.184162549427</v>
      </c>
      <c r="N243" s="438">
        <f t="shared" si="28"/>
        <v>1749.8258374505749</v>
      </c>
      <c r="O243" s="438">
        <f t="shared" si="29"/>
        <v>2208</v>
      </c>
      <c r="P243" s="497">
        <v>5</v>
      </c>
      <c r="Q243" s="454">
        <f t="shared" si="30"/>
        <v>6.0493150684931507</v>
      </c>
      <c r="R243" s="454">
        <f t="shared" si="31"/>
        <v>-1.0493150684931507</v>
      </c>
      <c r="S243" s="455">
        <f t="shared" si="36"/>
        <v>9.5125961725929032E-5</v>
      </c>
      <c r="T243" s="442">
        <v>0</v>
      </c>
      <c r="U243" s="442">
        <f t="shared" si="33"/>
        <v>1749.8258374505749</v>
      </c>
      <c r="V243" s="442">
        <f t="shared" si="34"/>
        <v>1750.0005000000001</v>
      </c>
    </row>
    <row r="244" spans="1:22" ht="16.5">
      <c r="A244" s="317">
        <f t="shared" si="35"/>
        <v>237</v>
      </c>
      <c r="B244" s="393" t="s">
        <v>2651</v>
      </c>
      <c r="C244" s="318" t="s">
        <v>1945</v>
      </c>
      <c r="D244" s="394" t="s">
        <v>2009</v>
      </c>
      <c r="E244" s="393" t="s">
        <v>2652</v>
      </c>
      <c r="F244" s="395" t="s">
        <v>2653</v>
      </c>
      <c r="G244" s="481">
        <v>43187</v>
      </c>
      <c r="H244" s="499">
        <v>60000</v>
      </c>
      <c r="I244" s="317"/>
      <c r="J244" s="317"/>
      <c r="K244" s="436">
        <f t="shared" si="27"/>
        <v>60000</v>
      </c>
      <c r="L244" s="481">
        <v>43187</v>
      </c>
      <c r="M244" s="326">
        <v>57000.339754912115</v>
      </c>
      <c r="N244" s="438">
        <f t="shared" si="28"/>
        <v>2999.6602450878854</v>
      </c>
      <c r="O244" s="438">
        <f t="shared" si="29"/>
        <v>2195</v>
      </c>
      <c r="P244" s="497">
        <v>5</v>
      </c>
      <c r="Q244" s="454">
        <f t="shared" si="30"/>
        <v>6.0136986301369859</v>
      </c>
      <c r="R244" s="454">
        <f t="shared" si="31"/>
        <v>-1.0136986301369859</v>
      </c>
      <c r="S244" s="455">
        <f t="shared" si="36"/>
        <v>1.1173386388257487E-4</v>
      </c>
      <c r="T244" s="442">
        <v>0</v>
      </c>
      <c r="U244" s="442">
        <f t="shared" si="33"/>
        <v>2999.6602450878854</v>
      </c>
      <c r="V244" s="442">
        <f t="shared" si="34"/>
        <v>3000</v>
      </c>
    </row>
    <row r="245" spans="1:22" ht="16.5">
      <c r="A245" s="317">
        <f t="shared" si="35"/>
        <v>238</v>
      </c>
      <c r="B245" s="393" t="s">
        <v>2641</v>
      </c>
      <c r="C245" s="318" t="s">
        <v>1945</v>
      </c>
      <c r="D245" s="394" t="s">
        <v>2009</v>
      </c>
      <c r="E245" s="393" t="s">
        <v>2654</v>
      </c>
      <c r="F245" s="395">
        <v>476</v>
      </c>
      <c r="G245" s="481">
        <v>43190</v>
      </c>
      <c r="H245" s="499">
        <v>160000</v>
      </c>
      <c r="I245" s="317"/>
      <c r="J245" s="317"/>
      <c r="K245" s="436">
        <f t="shared" si="27"/>
        <v>160000</v>
      </c>
      <c r="L245" s="481">
        <v>43190</v>
      </c>
      <c r="M245" s="326">
        <v>151999.50417490618</v>
      </c>
      <c r="N245" s="438">
        <f t="shared" si="28"/>
        <v>8000.4958250938216</v>
      </c>
      <c r="O245" s="438">
        <f t="shared" si="29"/>
        <v>2192</v>
      </c>
      <c r="P245" s="497">
        <v>5</v>
      </c>
      <c r="Q245" s="454">
        <f t="shared" si="30"/>
        <v>6.0054794520547947</v>
      </c>
      <c r="R245" s="454">
        <f t="shared" si="31"/>
        <v>-1.0054794520547947</v>
      </c>
      <c r="S245" s="455">
        <f t="shared" si="36"/>
        <v>-6.16365610949945E-5</v>
      </c>
      <c r="T245" s="442">
        <v>0</v>
      </c>
      <c r="U245" s="442">
        <f t="shared" si="33"/>
        <v>8000.4958250938216</v>
      </c>
      <c r="V245" s="442">
        <f t="shared" si="34"/>
        <v>8000</v>
      </c>
    </row>
    <row r="246" spans="1:22" ht="16.5">
      <c r="A246" s="317">
        <f t="shared" si="35"/>
        <v>239</v>
      </c>
      <c r="B246" s="393" t="s">
        <v>2655</v>
      </c>
      <c r="C246" s="318" t="s">
        <v>1945</v>
      </c>
      <c r="D246" s="394" t="s">
        <v>27</v>
      </c>
      <c r="E246" s="393" t="s">
        <v>2656</v>
      </c>
      <c r="F246" s="395" t="s">
        <v>2657</v>
      </c>
      <c r="G246" s="480">
        <v>42829</v>
      </c>
      <c r="H246" s="499">
        <v>110400</v>
      </c>
      <c r="I246" s="317"/>
      <c r="J246" s="317"/>
      <c r="K246" s="436">
        <f t="shared" si="27"/>
        <v>110400</v>
      </c>
      <c r="L246" s="480">
        <v>42829</v>
      </c>
      <c r="M246" s="326">
        <v>104879.67275083555</v>
      </c>
      <c r="N246" s="438">
        <f t="shared" si="28"/>
        <v>5520.3272491644457</v>
      </c>
      <c r="O246" s="438">
        <f t="shared" si="29"/>
        <v>2553</v>
      </c>
      <c r="P246" s="497">
        <v>5</v>
      </c>
      <c r="Q246" s="454">
        <f t="shared" si="30"/>
        <v>6.9945205479452053</v>
      </c>
      <c r="R246" s="454">
        <f t="shared" si="31"/>
        <v>-1.9945205479452053</v>
      </c>
      <c r="S246" s="455">
        <f t="shared" si="36"/>
        <v>-2.9721806860396675E-5</v>
      </c>
      <c r="T246" s="442">
        <v>0</v>
      </c>
      <c r="U246" s="442">
        <f t="shared" si="33"/>
        <v>5520.3272491644457</v>
      </c>
      <c r="V246" s="442">
        <f t="shared" si="34"/>
        <v>5520</v>
      </c>
    </row>
    <row r="247" spans="1:22" ht="16.5">
      <c r="A247" s="317">
        <f t="shared" si="35"/>
        <v>240</v>
      </c>
      <c r="B247" s="393" t="s">
        <v>2655</v>
      </c>
      <c r="C247" s="318" t="s">
        <v>1945</v>
      </c>
      <c r="D247" s="394" t="s">
        <v>27</v>
      </c>
      <c r="E247" s="393" t="s">
        <v>2656</v>
      </c>
      <c r="F247" s="395" t="s">
        <v>2658</v>
      </c>
      <c r="G247" s="480">
        <v>42829</v>
      </c>
      <c r="H247" s="499">
        <v>94500</v>
      </c>
      <c r="I247" s="317"/>
      <c r="J247" s="317"/>
      <c r="K247" s="436">
        <f t="shared" si="27"/>
        <v>94500</v>
      </c>
      <c r="L247" s="480">
        <v>42829</v>
      </c>
      <c r="M247" s="326">
        <v>89775.135642698908</v>
      </c>
      <c r="N247" s="438">
        <f t="shared" si="28"/>
        <v>4724.8643573010922</v>
      </c>
      <c r="O247" s="438">
        <f t="shared" si="29"/>
        <v>2553</v>
      </c>
      <c r="P247" s="497">
        <v>5</v>
      </c>
      <c r="Q247" s="454">
        <f t="shared" si="30"/>
        <v>6.9945205479452053</v>
      </c>
      <c r="R247" s="454">
        <f t="shared" si="31"/>
        <v>-1.9945205479452053</v>
      </c>
      <c r="S247" s="455">
        <f t="shared" si="36"/>
        <v>1.4393571264645998E-5</v>
      </c>
      <c r="T247" s="442">
        <v>0</v>
      </c>
      <c r="U247" s="442">
        <f t="shared" si="33"/>
        <v>4724.8643573010922</v>
      </c>
      <c r="V247" s="442">
        <f t="shared" si="34"/>
        <v>4725</v>
      </c>
    </row>
    <row r="248" spans="1:22" ht="16.5">
      <c r="A248" s="317">
        <f t="shared" si="35"/>
        <v>241</v>
      </c>
      <c r="B248" s="393" t="s">
        <v>2659</v>
      </c>
      <c r="C248" s="318" t="s">
        <v>1945</v>
      </c>
      <c r="D248" s="394" t="s">
        <v>27</v>
      </c>
      <c r="E248" s="393" t="s">
        <v>2660</v>
      </c>
      <c r="F248" s="395">
        <v>22</v>
      </c>
      <c r="G248" s="480">
        <v>42851</v>
      </c>
      <c r="H248" s="499">
        <v>86250</v>
      </c>
      <c r="I248" s="317"/>
      <c r="J248" s="317"/>
      <c r="K248" s="436">
        <f t="shared" si="27"/>
        <v>86250</v>
      </c>
      <c r="L248" s="480">
        <v>42851</v>
      </c>
      <c r="M248" s="326">
        <v>81937.13424164422</v>
      </c>
      <c r="N248" s="438">
        <f t="shared" si="28"/>
        <v>4312.8657583557797</v>
      </c>
      <c r="O248" s="438">
        <f t="shared" si="29"/>
        <v>2531</v>
      </c>
      <c r="P248" s="497">
        <v>5</v>
      </c>
      <c r="Q248" s="454">
        <f t="shared" si="30"/>
        <v>6.934246575342466</v>
      </c>
      <c r="R248" s="454">
        <f t="shared" si="31"/>
        <v>-1.934246575342466</v>
      </c>
      <c r="S248" s="455">
        <f t="shared" si="36"/>
        <v>-4.3844637044178967E-5</v>
      </c>
      <c r="T248" s="442">
        <v>0</v>
      </c>
      <c r="U248" s="442">
        <f t="shared" si="33"/>
        <v>4312.8657583557797</v>
      </c>
      <c r="V248" s="442">
        <f t="shared" si="34"/>
        <v>4312.5</v>
      </c>
    </row>
    <row r="249" spans="1:22" ht="16.5">
      <c r="A249" s="317">
        <f t="shared" si="35"/>
        <v>242</v>
      </c>
      <c r="B249" s="393" t="s">
        <v>2655</v>
      </c>
      <c r="C249" s="318" t="s">
        <v>1945</v>
      </c>
      <c r="D249" s="394" t="s">
        <v>27</v>
      </c>
      <c r="E249" s="393" t="s">
        <v>2661</v>
      </c>
      <c r="F249" s="395">
        <v>492</v>
      </c>
      <c r="G249" s="480">
        <v>42873</v>
      </c>
      <c r="H249" s="499">
        <v>259160</v>
      </c>
      <c r="I249" s="317"/>
      <c r="J249" s="317"/>
      <c r="K249" s="436">
        <f t="shared" si="27"/>
        <v>259160</v>
      </c>
      <c r="L249" s="480">
        <v>42873</v>
      </c>
      <c r="M249" s="326">
        <v>246201.94119997835</v>
      </c>
      <c r="N249" s="438">
        <f t="shared" si="28"/>
        <v>12958.058800021652</v>
      </c>
      <c r="O249" s="438">
        <f t="shared" si="29"/>
        <v>2509</v>
      </c>
      <c r="P249" s="497">
        <v>5</v>
      </c>
      <c r="Q249" s="454">
        <f t="shared" si="30"/>
        <v>6.8739726027397259</v>
      </c>
      <c r="R249" s="454">
        <f t="shared" si="31"/>
        <v>-1.8739726027397259</v>
      </c>
      <c r="S249" s="455">
        <f t="shared" si="36"/>
        <v>-2.421443290324378E-6</v>
      </c>
      <c r="T249" s="442">
        <v>0</v>
      </c>
      <c r="U249" s="442">
        <f t="shared" si="33"/>
        <v>12958.058800021652</v>
      </c>
      <c r="V249" s="442">
        <f t="shared" si="34"/>
        <v>12958</v>
      </c>
    </row>
    <row r="250" spans="1:22" ht="16.5">
      <c r="A250" s="317">
        <f t="shared" si="35"/>
        <v>243</v>
      </c>
      <c r="B250" s="393" t="s">
        <v>2662</v>
      </c>
      <c r="C250" s="318" t="s">
        <v>1945</v>
      </c>
      <c r="D250" s="394" t="s">
        <v>27</v>
      </c>
      <c r="E250" s="393" t="s">
        <v>2663</v>
      </c>
      <c r="F250" s="395">
        <v>36</v>
      </c>
      <c r="G250" s="480">
        <v>42852</v>
      </c>
      <c r="H250" s="499">
        <v>23400</v>
      </c>
      <c r="I250" s="317"/>
      <c r="J250" s="317"/>
      <c r="K250" s="436">
        <f t="shared" si="27"/>
        <v>23400</v>
      </c>
      <c r="L250" s="480">
        <v>42852</v>
      </c>
      <c r="M250" s="326">
        <v>22230.425484044445</v>
      </c>
      <c r="N250" s="438">
        <f t="shared" si="28"/>
        <v>1169.5745159555554</v>
      </c>
      <c r="O250" s="438">
        <f t="shared" si="29"/>
        <v>2530</v>
      </c>
      <c r="P250" s="497">
        <v>5</v>
      </c>
      <c r="Q250" s="454">
        <f t="shared" si="30"/>
        <v>6.9315068493150687</v>
      </c>
      <c r="R250" s="454">
        <f t="shared" si="31"/>
        <v>-1.9315068493150687</v>
      </c>
      <c r="S250" s="455">
        <f t="shared" si="36"/>
        <v>1.883471831493594E-4</v>
      </c>
      <c r="T250" s="442">
        <v>0</v>
      </c>
      <c r="U250" s="442">
        <f t="shared" si="33"/>
        <v>1169.5745159555554</v>
      </c>
      <c r="V250" s="442">
        <f t="shared" si="34"/>
        <v>1170</v>
      </c>
    </row>
    <row r="251" spans="1:22" ht="16.5">
      <c r="A251" s="317">
        <f t="shared" si="35"/>
        <v>244</v>
      </c>
      <c r="B251" s="393" t="s">
        <v>2662</v>
      </c>
      <c r="C251" s="318" t="s">
        <v>1945</v>
      </c>
      <c r="D251" s="394" t="s">
        <v>27</v>
      </c>
      <c r="E251" s="393" t="s">
        <v>2663</v>
      </c>
      <c r="F251" s="395">
        <v>37</v>
      </c>
      <c r="G251" s="480">
        <v>42852</v>
      </c>
      <c r="H251" s="499">
        <v>23400</v>
      </c>
      <c r="I251" s="317"/>
      <c r="J251" s="317"/>
      <c r="K251" s="436">
        <f t="shared" si="27"/>
        <v>23400</v>
      </c>
      <c r="L251" s="480">
        <v>42852</v>
      </c>
      <c r="M251" s="326">
        <v>22230.425484044445</v>
      </c>
      <c r="N251" s="438">
        <f t="shared" si="28"/>
        <v>1169.5745159555554</v>
      </c>
      <c r="O251" s="438">
        <f t="shared" si="29"/>
        <v>2530</v>
      </c>
      <c r="P251" s="497">
        <v>5</v>
      </c>
      <c r="Q251" s="454">
        <f t="shared" si="30"/>
        <v>6.9315068493150687</v>
      </c>
      <c r="R251" s="454">
        <f t="shared" si="31"/>
        <v>-1.9315068493150687</v>
      </c>
      <c r="S251" s="455">
        <f t="shared" si="36"/>
        <v>1.883471831493594E-4</v>
      </c>
      <c r="T251" s="442">
        <v>0</v>
      </c>
      <c r="U251" s="442">
        <f t="shared" si="33"/>
        <v>1169.5745159555554</v>
      </c>
      <c r="V251" s="442">
        <f t="shared" si="34"/>
        <v>1170</v>
      </c>
    </row>
    <row r="252" spans="1:22" ht="16.5">
      <c r="A252" s="317">
        <f t="shared" si="35"/>
        <v>245</v>
      </c>
      <c r="B252" s="393" t="s">
        <v>2664</v>
      </c>
      <c r="C252" s="318" t="s">
        <v>1945</v>
      </c>
      <c r="D252" s="394" t="s">
        <v>27</v>
      </c>
      <c r="E252" s="393" t="s">
        <v>2665</v>
      </c>
      <c r="F252" s="395">
        <v>519</v>
      </c>
      <c r="G252" s="480">
        <v>42959</v>
      </c>
      <c r="H252" s="499">
        <v>65658</v>
      </c>
      <c r="I252" s="317"/>
      <c r="J252" s="317"/>
      <c r="K252" s="436">
        <f t="shared" si="27"/>
        <v>65658</v>
      </c>
      <c r="L252" s="480">
        <v>42959</v>
      </c>
      <c r="M252" s="326">
        <v>62375.15331298043</v>
      </c>
      <c r="N252" s="438">
        <f t="shared" si="28"/>
        <v>3282.8466870195698</v>
      </c>
      <c r="O252" s="438">
        <f t="shared" si="29"/>
        <v>2423</v>
      </c>
      <c r="P252" s="497">
        <v>5</v>
      </c>
      <c r="Q252" s="454">
        <f t="shared" si="30"/>
        <v>6.6383561643835618</v>
      </c>
      <c r="R252" s="454">
        <f t="shared" si="31"/>
        <v>-1.6383561643835618</v>
      </c>
      <c r="S252" s="455">
        <f t="shared" si="36"/>
        <v>9.912290958374145E-6</v>
      </c>
      <c r="T252" s="442">
        <v>0</v>
      </c>
      <c r="U252" s="442">
        <f t="shared" si="33"/>
        <v>3282.8466870195698</v>
      </c>
      <c r="V252" s="442">
        <f t="shared" si="34"/>
        <v>3282.9</v>
      </c>
    </row>
    <row r="253" spans="1:22" ht="16.5">
      <c r="A253" s="317">
        <f t="shared" si="35"/>
        <v>246</v>
      </c>
      <c r="B253" s="393" t="s">
        <v>2666</v>
      </c>
      <c r="C253" s="318" t="s">
        <v>1945</v>
      </c>
      <c r="D253" s="394" t="s">
        <v>27</v>
      </c>
      <c r="E253" s="393" t="s">
        <v>2667</v>
      </c>
      <c r="F253" s="395">
        <v>544</v>
      </c>
      <c r="G253" s="480">
        <v>43019</v>
      </c>
      <c r="H253" s="499">
        <v>90413</v>
      </c>
      <c r="I253" s="317"/>
      <c r="J253" s="317"/>
      <c r="K253" s="436">
        <f t="shared" si="27"/>
        <v>90413</v>
      </c>
      <c r="L253" s="480">
        <v>43019</v>
      </c>
      <c r="M253" s="326">
        <v>85891.905311721057</v>
      </c>
      <c r="N253" s="438">
        <f t="shared" si="28"/>
        <v>4521.0946882789431</v>
      </c>
      <c r="O253" s="438">
        <f t="shared" si="29"/>
        <v>2363</v>
      </c>
      <c r="P253" s="497">
        <v>5</v>
      </c>
      <c r="Q253" s="454">
        <f t="shared" si="30"/>
        <v>6.4739726027397264</v>
      </c>
      <c r="R253" s="454">
        <f t="shared" si="31"/>
        <v>-1.4739726027397264</v>
      </c>
      <c r="S253" s="455">
        <f t="shared" si="36"/>
        <v>-6.6730237175998547E-5</v>
      </c>
      <c r="T253" s="442">
        <v>0</v>
      </c>
      <c r="U253" s="442">
        <f t="shared" si="33"/>
        <v>4521.0946882789431</v>
      </c>
      <c r="V253" s="442">
        <f t="shared" si="34"/>
        <v>4520.6500000000005</v>
      </c>
    </row>
    <row r="254" spans="1:22" ht="16.5">
      <c r="A254" s="317">
        <f t="shared" si="35"/>
        <v>247</v>
      </c>
      <c r="B254" s="393" t="s">
        <v>2641</v>
      </c>
      <c r="C254" s="318" t="s">
        <v>2020</v>
      </c>
      <c r="D254" s="394" t="s">
        <v>2019</v>
      </c>
      <c r="E254" s="393" t="s">
        <v>2668</v>
      </c>
      <c r="F254" s="399" t="s">
        <v>2669</v>
      </c>
      <c r="G254" s="480">
        <v>43508</v>
      </c>
      <c r="H254" s="499">
        <v>47921</v>
      </c>
      <c r="I254" s="317"/>
      <c r="J254" s="317"/>
      <c r="K254" s="436">
        <f t="shared" si="27"/>
        <v>47921</v>
      </c>
      <c r="L254" s="480">
        <v>43508</v>
      </c>
      <c r="M254" s="326">
        <v>45525.010798211173</v>
      </c>
      <c r="N254" s="438">
        <f t="shared" si="28"/>
        <v>2395.9892017888269</v>
      </c>
      <c r="O254" s="438">
        <f t="shared" si="29"/>
        <v>1874</v>
      </c>
      <c r="P254" s="497">
        <v>5</v>
      </c>
      <c r="Q254" s="454">
        <f t="shared" si="30"/>
        <v>5.1342465753424653</v>
      </c>
      <c r="R254" s="454">
        <f t="shared" si="31"/>
        <v>-0.13424657534246531</v>
      </c>
      <c r="S254" s="455">
        <f t="shared" si="36"/>
        <v>1.8901781106138755E-4</v>
      </c>
      <c r="T254" s="442">
        <v>0</v>
      </c>
      <c r="U254" s="442">
        <f t="shared" si="33"/>
        <v>2395.9892017888269</v>
      </c>
      <c r="V254" s="442">
        <f t="shared" si="34"/>
        <v>2396.0500000000002</v>
      </c>
    </row>
    <row r="255" spans="1:22" ht="16.5">
      <c r="A255" s="317">
        <f t="shared" si="35"/>
        <v>248</v>
      </c>
      <c r="B255" s="393" t="s">
        <v>2670</v>
      </c>
      <c r="C255" s="318" t="s">
        <v>2020</v>
      </c>
      <c r="D255" s="394" t="s">
        <v>2019</v>
      </c>
      <c r="E255" s="393" t="s">
        <v>2644</v>
      </c>
      <c r="F255" s="399" t="s">
        <v>2671</v>
      </c>
      <c r="G255" s="480">
        <v>43424</v>
      </c>
      <c r="H255" s="499">
        <v>158652</v>
      </c>
      <c r="I255" s="317"/>
      <c r="J255" s="317"/>
      <c r="K255" s="436">
        <f t="shared" si="27"/>
        <v>158652</v>
      </c>
      <c r="L255" s="480">
        <v>43424</v>
      </c>
      <c r="M255" s="326">
        <v>150718.9749505978</v>
      </c>
      <c r="N255" s="438">
        <f t="shared" si="28"/>
        <v>7933.0250494022039</v>
      </c>
      <c r="O255" s="438">
        <f t="shared" si="29"/>
        <v>1958</v>
      </c>
      <c r="P255" s="497">
        <v>5</v>
      </c>
      <c r="Q255" s="454">
        <f t="shared" si="30"/>
        <v>5.3643835616438356</v>
      </c>
      <c r="R255" s="454">
        <f t="shared" si="31"/>
        <v>-0.36438356164383556</v>
      </c>
      <c r="S255" s="455">
        <f t="shared" si="36"/>
        <v>-1.4704213760452419E-4</v>
      </c>
      <c r="T255" s="442">
        <v>0</v>
      </c>
      <c r="U255" s="442">
        <f t="shared" si="33"/>
        <v>7933.0250494022039</v>
      </c>
      <c r="V255" s="442">
        <f t="shared" si="34"/>
        <v>7932.6</v>
      </c>
    </row>
    <row r="256" spans="1:22" ht="16.5">
      <c r="A256" s="317">
        <f t="shared" si="35"/>
        <v>249</v>
      </c>
      <c r="B256" s="393" t="s">
        <v>2641</v>
      </c>
      <c r="C256" s="318" t="s">
        <v>2020</v>
      </c>
      <c r="D256" s="394" t="s">
        <v>2009</v>
      </c>
      <c r="E256" s="402" t="s">
        <v>2652</v>
      </c>
      <c r="F256" s="399" t="s">
        <v>2672</v>
      </c>
      <c r="G256" s="480">
        <v>43193</v>
      </c>
      <c r="H256" s="499">
        <v>30000</v>
      </c>
      <c r="I256" s="317"/>
      <c r="J256" s="317"/>
      <c r="K256" s="436">
        <f t="shared" si="27"/>
        <v>30000</v>
      </c>
      <c r="L256" s="480">
        <v>43193</v>
      </c>
      <c r="M256" s="326">
        <v>28504.76729382588</v>
      </c>
      <c r="N256" s="438">
        <f t="shared" si="28"/>
        <v>1495.2327061741198</v>
      </c>
      <c r="O256" s="438">
        <f t="shared" si="29"/>
        <v>2189</v>
      </c>
      <c r="P256" s="497">
        <v>5</v>
      </c>
      <c r="Q256" s="454">
        <f t="shared" si="30"/>
        <v>5.9972602739726026</v>
      </c>
      <c r="R256" s="454">
        <f t="shared" si="31"/>
        <v>-0.99726027397260264</v>
      </c>
      <c r="S256" s="455">
        <f t="shared" si="36"/>
        <v>3.1970881637361529E-3</v>
      </c>
      <c r="T256" s="442">
        <v>5</v>
      </c>
      <c r="U256" s="442">
        <f t="shared" si="33"/>
        <v>1490.2327061741198</v>
      </c>
      <c r="V256" s="442">
        <f t="shared" si="34"/>
        <v>1500</v>
      </c>
    </row>
    <row r="257" spans="1:22" ht="16.5">
      <c r="A257" s="317">
        <f t="shared" si="35"/>
        <v>250</v>
      </c>
      <c r="B257" s="393" t="s">
        <v>2641</v>
      </c>
      <c r="C257" s="318" t="s">
        <v>2020</v>
      </c>
      <c r="D257" s="394" t="s">
        <v>2009</v>
      </c>
      <c r="E257" s="402" t="s">
        <v>2654</v>
      </c>
      <c r="F257" s="399" t="s">
        <v>2295</v>
      </c>
      <c r="G257" s="480">
        <v>43215</v>
      </c>
      <c r="H257" s="499">
        <v>31250</v>
      </c>
      <c r="I257" s="317"/>
      <c r="J257" s="317"/>
      <c r="K257" s="436">
        <f>+H257+I257-J257</f>
        <v>31250</v>
      </c>
      <c r="L257" s="480">
        <v>43215</v>
      </c>
      <c r="M257" s="326">
        <v>30592.87291974407</v>
      </c>
      <c r="N257" s="438">
        <f>+K257-M257</f>
        <v>657.1270802559302</v>
      </c>
      <c r="O257" s="438">
        <f t="shared" si="29"/>
        <v>2167</v>
      </c>
      <c r="P257" s="497">
        <v>5</v>
      </c>
      <c r="Q257" s="454">
        <f t="shared" si="30"/>
        <v>5.9369863013698634</v>
      </c>
      <c r="R257" s="454">
        <f t="shared" si="31"/>
        <v>-0.93698630136986338</v>
      </c>
      <c r="S257" s="455">
        <f t="shared" si="36"/>
        <v>1.4704318255536659</v>
      </c>
      <c r="T257" s="442">
        <v>905</v>
      </c>
      <c r="U257" s="442">
        <f t="shared" si="33"/>
        <v>-247.8729197440698</v>
      </c>
      <c r="V257" s="442">
        <f t="shared" si="34"/>
        <v>1562.5</v>
      </c>
    </row>
    <row r="258" spans="1:22" ht="16.5">
      <c r="A258" s="317">
        <f t="shared" si="35"/>
        <v>251</v>
      </c>
      <c r="B258" s="393" t="s">
        <v>474</v>
      </c>
      <c r="C258" s="318" t="s">
        <v>2020</v>
      </c>
      <c r="D258" s="394" t="s">
        <v>2009</v>
      </c>
      <c r="E258" s="402" t="s">
        <v>2646</v>
      </c>
      <c r="F258" s="399" t="s">
        <v>2673</v>
      </c>
      <c r="G258" s="480">
        <v>43195</v>
      </c>
      <c r="H258" s="499">
        <v>40898.019999999997</v>
      </c>
      <c r="I258" s="317"/>
      <c r="J258" s="317"/>
      <c r="K258" s="436">
        <f>+H258+I258-J258</f>
        <v>40898.019999999997</v>
      </c>
      <c r="L258" s="480">
        <v>43195</v>
      </c>
      <c r="M258" s="326">
        <v>38967.69431750552</v>
      </c>
      <c r="N258" s="438">
        <f>+K258-M258</f>
        <v>1930.3256824944765</v>
      </c>
      <c r="O258" s="438">
        <f t="shared" si="29"/>
        <v>2187</v>
      </c>
      <c r="P258" s="497">
        <v>5</v>
      </c>
      <c r="Q258" s="454">
        <f t="shared" si="30"/>
        <v>5.9917808219178079</v>
      </c>
      <c r="R258" s="454">
        <f t="shared" si="31"/>
        <v>-0.99178082191780792</v>
      </c>
      <c r="S258" s="455">
        <f t="shared" si="36"/>
        <v>5.9847329266262621E-2</v>
      </c>
      <c r="T258" s="442">
        <v>115</v>
      </c>
      <c r="U258" s="442">
        <f t="shared" si="33"/>
        <v>1815.3256824944765</v>
      </c>
      <c r="V258" s="442">
        <f t="shared" si="34"/>
        <v>2044.9009999999998</v>
      </c>
    </row>
    <row r="259" spans="1:22" ht="16.5">
      <c r="A259" s="317">
        <f t="shared" si="35"/>
        <v>252</v>
      </c>
      <c r="B259" s="393" t="s">
        <v>2641</v>
      </c>
      <c r="C259" s="318" t="s">
        <v>2020</v>
      </c>
      <c r="D259" s="394" t="s">
        <v>27</v>
      </c>
      <c r="E259" s="393" t="s">
        <v>2674</v>
      </c>
      <c r="F259" s="399"/>
      <c r="G259" s="480">
        <v>43531</v>
      </c>
      <c r="H259" s="499">
        <v>314064</v>
      </c>
      <c r="I259" s="317"/>
      <c r="J259" s="317"/>
      <c r="K259" s="436">
        <f>+H259+I259-J259</f>
        <v>314064</v>
      </c>
      <c r="L259" s="480">
        <v>43531</v>
      </c>
      <c r="M259" s="326">
        <v>298360.91177195474</v>
      </c>
      <c r="N259" s="438">
        <f>+K259-M259</f>
        <v>15703.088228045264</v>
      </c>
      <c r="O259" s="438">
        <f t="shared" si="29"/>
        <v>1851</v>
      </c>
      <c r="P259" s="497">
        <v>5</v>
      </c>
      <c r="Q259" s="454">
        <f t="shared" si="30"/>
        <v>5.0712328767123287</v>
      </c>
      <c r="R259" s="454">
        <f t="shared" si="31"/>
        <v>-7.1232876712328697E-2</v>
      </c>
      <c r="S259" s="455">
        <f t="shared" si="36"/>
        <v>9.9923420467086087E-5</v>
      </c>
      <c r="T259" s="442">
        <v>0</v>
      </c>
      <c r="U259" s="442">
        <f t="shared" si="33"/>
        <v>15703.088228045264</v>
      </c>
      <c r="V259" s="442">
        <f t="shared" si="34"/>
        <v>15703.2</v>
      </c>
    </row>
    <row r="260" spans="1:22" ht="16.5">
      <c r="A260" s="317">
        <f t="shared" si="35"/>
        <v>253</v>
      </c>
      <c r="B260" s="393" t="s">
        <v>2675</v>
      </c>
      <c r="C260" s="318" t="s">
        <v>2020</v>
      </c>
      <c r="D260" s="394" t="s">
        <v>1710</v>
      </c>
      <c r="E260" s="393" t="s">
        <v>2644</v>
      </c>
      <c r="F260" s="399" t="s">
        <v>2295</v>
      </c>
      <c r="G260" s="480">
        <v>43291</v>
      </c>
      <c r="H260" s="499">
        <v>135169.51</v>
      </c>
      <c r="I260" s="317"/>
      <c r="J260" s="317"/>
      <c r="K260" s="436">
        <f>+H260+I260-J260</f>
        <v>135169.51</v>
      </c>
      <c r="L260" s="480">
        <v>43291</v>
      </c>
      <c r="M260" s="326">
        <v>128410.56215887654</v>
      </c>
      <c r="N260" s="438">
        <f>+K260-M260</f>
        <v>6758.9478411234741</v>
      </c>
      <c r="O260" s="438">
        <f t="shared" si="29"/>
        <v>2091</v>
      </c>
      <c r="P260" s="497">
        <v>5</v>
      </c>
      <c r="Q260" s="454">
        <f t="shared" si="30"/>
        <v>5.7287671232876711</v>
      </c>
      <c r="R260" s="454">
        <f t="shared" si="31"/>
        <v>-0.72876712328767113</v>
      </c>
      <c r="S260" s="455">
        <f t="shared" si="36"/>
        <v>-9.5893217573186909E-5</v>
      </c>
      <c r="T260" s="442">
        <v>0</v>
      </c>
      <c r="U260" s="442">
        <f t="shared" si="33"/>
        <v>6758.9478411234741</v>
      </c>
      <c r="V260" s="442">
        <f t="shared" si="34"/>
        <v>6758.4755000000005</v>
      </c>
    </row>
    <row r="261" spans="1:22" ht="16.5">
      <c r="A261" s="317">
        <f t="shared" si="35"/>
        <v>254</v>
      </c>
      <c r="B261" s="393" t="s">
        <v>2670</v>
      </c>
      <c r="C261" s="318" t="s">
        <v>2020</v>
      </c>
      <c r="D261" s="394" t="s">
        <v>2071</v>
      </c>
      <c r="E261" s="393" t="s">
        <v>2644</v>
      </c>
      <c r="F261" s="399" t="s">
        <v>2676</v>
      </c>
      <c r="G261" s="480">
        <v>43291</v>
      </c>
      <c r="H261" s="499">
        <v>135169</v>
      </c>
      <c r="I261" s="317"/>
      <c r="J261" s="317"/>
      <c r="K261" s="436">
        <f>+H261+I261-J261</f>
        <v>135169</v>
      </c>
      <c r="L261" s="480">
        <v>43291</v>
      </c>
      <c r="M261" s="326">
        <v>128410.14031576486</v>
      </c>
      <c r="N261" s="438">
        <f>+K261-M261</f>
        <v>6758.8596842351399</v>
      </c>
      <c r="O261" s="438">
        <f t="shared" si="29"/>
        <v>2091</v>
      </c>
      <c r="P261" s="497">
        <v>5</v>
      </c>
      <c r="Q261" s="454">
        <f t="shared" si="30"/>
        <v>5.7287671232876711</v>
      </c>
      <c r="R261" s="454">
        <f t="shared" si="31"/>
        <v>-0.72876712328767113</v>
      </c>
      <c r="S261" s="455">
        <f t="shared" si="36"/>
        <v>-8.3173896908094464E-5</v>
      </c>
      <c r="T261" s="442">
        <v>0</v>
      </c>
      <c r="U261" s="442">
        <f t="shared" si="33"/>
        <v>6758.8596842351399</v>
      </c>
      <c r="V261" s="442">
        <f t="shared" si="34"/>
        <v>6758.4500000000007</v>
      </c>
    </row>
    <row r="262" spans="1:22" ht="16.5">
      <c r="A262" s="317">
        <f t="shared" si="35"/>
        <v>255</v>
      </c>
      <c r="B262" s="393" t="s">
        <v>2677</v>
      </c>
      <c r="C262" s="318" t="s">
        <v>2093</v>
      </c>
      <c r="D262" s="394" t="s">
        <v>1302</v>
      </c>
      <c r="E262" s="393" t="s">
        <v>2678</v>
      </c>
      <c r="F262" s="399"/>
      <c r="G262" s="480">
        <v>43601</v>
      </c>
      <c r="H262" s="499">
        <v>226070</v>
      </c>
      <c r="I262" s="317"/>
      <c r="J262" s="317"/>
      <c r="K262" s="436">
        <f t="shared" ref="K262:K325" si="37">+H262+I262-J262</f>
        <v>226070</v>
      </c>
      <c r="L262" s="480">
        <v>43601</v>
      </c>
      <c r="M262" s="326">
        <v>214766.98305782059</v>
      </c>
      <c r="N262" s="438">
        <f t="shared" ref="N262:N325" si="38">+K262-M262</f>
        <v>11303.016942179413</v>
      </c>
      <c r="O262" s="438">
        <f t="shared" si="29"/>
        <v>1781</v>
      </c>
      <c r="P262" s="497">
        <v>5</v>
      </c>
      <c r="Q262" s="454">
        <f t="shared" si="30"/>
        <v>4.8794520547945206</v>
      </c>
      <c r="R262" s="454">
        <f t="shared" si="31"/>
        <v>0.1205479452054794</v>
      </c>
      <c r="S262" s="455">
        <f t="shared" si="36"/>
        <v>-3.5452341742088137E-4</v>
      </c>
      <c r="T262" s="442">
        <v>0</v>
      </c>
      <c r="U262" s="442">
        <f t="shared" si="33"/>
        <v>11303.016942179413</v>
      </c>
      <c r="V262" s="442">
        <f t="shared" si="34"/>
        <v>11303.5</v>
      </c>
    </row>
    <row r="263" spans="1:22" ht="16.5">
      <c r="A263" s="317">
        <f t="shared" si="35"/>
        <v>256</v>
      </c>
      <c r="B263" s="393" t="s">
        <v>2677</v>
      </c>
      <c r="C263" s="318" t="s">
        <v>2093</v>
      </c>
      <c r="D263" s="394" t="s">
        <v>2084</v>
      </c>
      <c r="E263" s="393" t="s">
        <v>2678</v>
      </c>
      <c r="F263" s="399"/>
      <c r="G263" s="480">
        <v>43601</v>
      </c>
      <c r="H263" s="499">
        <v>2614068</v>
      </c>
      <c r="I263" s="317"/>
      <c r="J263" s="317"/>
      <c r="K263" s="436">
        <f t="shared" si="37"/>
        <v>2614068</v>
      </c>
      <c r="L263" s="480">
        <v>43601</v>
      </c>
      <c r="M263" s="326">
        <v>2483364.6622992479</v>
      </c>
      <c r="N263" s="438">
        <f t="shared" si="38"/>
        <v>130703.33770075208</v>
      </c>
      <c r="O263" s="438">
        <f t="shared" si="29"/>
        <v>1781</v>
      </c>
      <c r="P263" s="497">
        <v>5</v>
      </c>
      <c r="Q263" s="454">
        <f t="shared" si="30"/>
        <v>4.8794520547945206</v>
      </c>
      <c r="R263" s="454">
        <f t="shared" si="31"/>
        <v>0.1205479452054794</v>
      </c>
      <c r="S263" s="455">
        <f t="shared" si="36"/>
        <v>-3.9539968040140544E-6</v>
      </c>
      <c r="T263" s="442">
        <v>0</v>
      </c>
      <c r="U263" s="442">
        <f t="shared" si="33"/>
        <v>130703.33770075208</v>
      </c>
      <c r="V263" s="442">
        <f t="shared" si="34"/>
        <v>130703.40000000001</v>
      </c>
    </row>
    <row r="264" spans="1:22" ht="16.5">
      <c r="A264" s="317">
        <f t="shared" si="35"/>
        <v>257</v>
      </c>
      <c r="B264" s="393" t="s">
        <v>2677</v>
      </c>
      <c r="C264" s="318" t="s">
        <v>2093</v>
      </c>
      <c r="D264" s="394" t="s">
        <v>1302</v>
      </c>
      <c r="E264" s="393" t="s">
        <v>2678</v>
      </c>
      <c r="F264" s="399"/>
      <c r="G264" s="480">
        <v>43790</v>
      </c>
      <c r="H264" s="499">
        <v>327619</v>
      </c>
      <c r="I264" s="317"/>
      <c r="J264" s="317"/>
      <c r="K264" s="436">
        <f t="shared" si="37"/>
        <v>327619</v>
      </c>
      <c r="L264" s="480">
        <v>43790</v>
      </c>
      <c r="M264" s="326">
        <v>311238.39470229705</v>
      </c>
      <c r="N264" s="438">
        <f t="shared" si="38"/>
        <v>16380.605297702947</v>
      </c>
      <c r="O264" s="438">
        <f t="shared" si="29"/>
        <v>1592</v>
      </c>
      <c r="P264" s="497">
        <v>5</v>
      </c>
      <c r="Q264" s="454">
        <f t="shared" si="30"/>
        <v>4.3616438356164382</v>
      </c>
      <c r="R264" s="454">
        <f t="shared" si="31"/>
        <v>0.6383561643835618</v>
      </c>
      <c r="S264" s="455">
        <f t="shared" si="36"/>
        <v>-3.2964855405043536E-5</v>
      </c>
      <c r="T264" s="442">
        <v>0</v>
      </c>
      <c r="U264" s="442">
        <f t="shared" si="33"/>
        <v>16380.605297702947</v>
      </c>
      <c r="V264" s="442">
        <f t="shared" si="34"/>
        <v>16380.95</v>
      </c>
    </row>
    <row r="265" spans="1:22" ht="16.5">
      <c r="A265" s="317">
        <f t="shared" si="35"/>
        <v>258</v>
      </c>
      <c r="B265" s="393" t="s">
        <v>2679</v>
      </c>
      <c r="C265" s="318" t="s">
        <v>2093</v>
      </c>
      <c r="D265" s="394" t="s">
        <v>1302</v>
      </c>
      <c r="E265" s="393" t="s">
        <v>2680</v>
      </c>
      <c r="F265" s="399"/>
      <c r="G265" s="480">
        <v>43781</v>
      </c>
      <c r="H265" s="499">
        <v>50848</v>
      </c>
      <c r="I265" s="317"/>
      <c r="J265" s="317"/>
      <c r="K265" s="436">
        <f t="shared" si="37"/>
        <v>50848</v>
      </c>
      <c r="L265" s="480">
        <v>43781</v>
      </c>
      <c r="M265" s="326">
        <v>48306.045432866718</v>
      </c>
      <c r="N265" s="438">
        <f t="shared" si="38"/>
        <v>2541.9545671332817</v>
      </c>
      <c r="O265" s="438">
        <f t="shared" ref="O265:O307" si="39">+$O$3-L265</f>
        <v>1601</v>
      </c>
      <c r="P265" s="497">
        <v>5</v>
      </c>
      <c r="Q265" s="454">
        <f t="shared" ref="Q265:Q307" si="40">+O265/365</f>
        <v>4.3863013698630136</v>
      </c>
      <c r="R265" s="454">
        <f t="shared" ref="R265:R307" si="41">+P265-Q265</f>
        <v>0.61369863013698644</v>
      </c>
      <c r="S265" s="455">
        <f t="shared" si="36"/>
        <v>-2.8553498059555012E-4</v>
      </c>
      <c r="T265" s="442">
        <v>0</v>
      </c>
      <c r="U265" s="442">
        <f t="shared" ref="U265:U307" si="42">+N265-T265</f>
        <v>2541.9545671332817</v>
      </c>
      <c r="V265" s="442">
        <f t="shared" ref="V265:V307" si="43">+H265*5%</f>
        <v>2542.4</v>
      </c>
    </row>
    <row r="266" spans="1:22" ht="16.5">
      <c r="A266" s="317">
        <f t="shared" ref="A266:A331" si="44">+A265+1</f>
        <v>259</v>
      </c>
      <c r="B266" s="393" t="s">
        <v>2681</v>
      </c>
      <c r="C266" s="318" t="s">
        <v>2093</v>
      </c>
      <c r="D266" s="394" t="s">
        <v>2682</v>
      </c>
      <c r="E266" s="402" t="s">
        <v>2683</v>
      </c>
      <c r="F266" s="399"/>
      <c r="G266" s="480">
        <v>43677</v>
      </c>
      <c r="H266" s="499">
        <v>228126</v>
      </c>
      <c r="I266" s="317"/>
      <c r="J266" s="317"/>
      <c r="K266" s="436">
        <f t="shared" si="37"/>
        <v>228126</v>
      </c>
      <c r="L266" s="480">
        <v>43677</v>
      </c>
      <c r="M266" s="326">
        <v>216719.95259695605</v>
      </c>
      <c r="N266" s="438">
        <f t="shared" si="38"/>
        <v>11406.047403043951</v>
      </c>
      <c r="O266" s="438">
        <f t="shared" si="39"/>
        <v>1705</v>
      </c>
      <c r="P266" s="497">
        <v>5</v>
      </c>
      <c r="Q266" s="454">
        <f t="shared" si="40"/>
        <v>4.6712328767123283</v>
      </c>
      <c r="R266" s="454">
        <f t="shared" si="41"/>
        <v>0.32876712328767166</v>
      </c>
      <c r="S266" s="455">
        <f t="shared" si="36"/>
        <v>-6.7360384729986319E-5</v>
      </c>
      <c r="T266" s="442">
        <v>0</v>
      </c>
      <c r="U266" s="442">
        <f t="shared" si="42"/>
        <v>11406.047403043951</v>
      </c>
      <c r="V266" s="442">
        <f t="shared" si="43"/>
        <v>11406.300000000001</v>
      </c>
    </row>
    <row r="267" spans="1:22" ht="16.5">
      <c r="A267" s="317">
        <f t="shared" si="44"/>
        <v>260</v>
      </c>
      <c r="B267" s="393" t="s">
        <v>2677</v>
      </c>
      <c r="C267" s="318" t="s">
        <v>2093</v>
      </c>
      <c r="D267" s="394" t="s">
        <v>2682</v>
      </c>
      <c r="E267" s="402" t="s">
        <v>2683</v>
      </c>
      <c r="F267" s="399"/>
      <c r="G267" s="480">
        <v>43739</v>
      </c>
      <c r="H267" s="499">
        <v>29296</v>
      </c>
      <c r="I267" s="317"/>
      <c r="J267" s="317"/>
      <c r="K267" s="436">
        <f t="shared" si="37"/>
        <v>29296</v>
      </c>
      <c r="L267" s="480">
        <v>43739</v>
      </c>
      <c r="M267" s="326">
        <v>27831.454760545828</v>
      </c>
      <c r="N267" s="438">
        <f t="shared" si="38"/>
        <v>1464.5452394541717</v>
      </c>
      <c r="O267" s="438">
        <f t="shared" si="39"/>
        <v>1643</v>
      </c>
      <c r="P267" s="497">
        <v>5</v>
      </c>
      <c r="Q267" s="454">
        <f t="shared" si="40"/>
        <v>4.5013698630136982</v>
      </c>
      <c r="R267" s="454">
        <f t="shared" si="41"/>
        <v>0.49863013698630176</v>
      </c>
      <c r="S267" s="455">
        <f t="shared" si="36"/>
        <v>-3.488597423362757E-4</v>
      </c>
      <c r="T267" s="442">
        <v>0</v>
      </c>
      <c r="U267" s="442">
        <f t="shared" si="42"/>
        <v>1464.5452394541717</v>
      </c>
      <c r="V267" s="442">
        <f t="shared" si="43"/>
        <v>1464.8000000000002</v>
      </c>
    </row>
    <row r="268" spans="1:22" ht="16.5">
      <c r="A268" s="317">
        <f t="shared" si="44"/>
        <v>261</v>
      </c>
      <c r="B268" s="393" t="s">
        <v>2677</v>
      </c>
      <c r="C268" s="318" t="s">
        <v>2093</v>
      </c>
      <c r="D268" s="394" t="s">
        <v>2069</v>
      </c>
      <c r="E268" s="402" t="s">
        <v>2683</v>
      </c>
      <c r="F268" s="399"/>
      <c r="G268" s="480">
        <v>43568</v>
      </c>
      <c r="H268" s="499">
        <v>27735</v>
      </c>
      <c r="I268" s="317"/>
      <c r="J268" s="317"/>
      <c r="K268" s="436">
        <f t="shared" si="37"/>
        <v>27735</v>
      </c>
      <c r="L268" s="480">
        <v>43568</v>
      </c>
      <c r="M268" s="326">
        <v>26348.696356317276</v>
      </c>
      <c r="N268" s="438">
        <f t="shared" si="38"/>
        <v>1386.3036436827242</v>
      </c>
      <c r="O268" s="438">
        <f t="shared" si="39"/>
        <v>1814</v>
      </c>
      <c r="P268" s="497">
        <v>5</v>
      </c>
      <c r="Q268" s="454">
        <f t="shared" si="40"/>
        <v>4.9698630136986299</v>
      </c>
      <c r="R268" s="454">
        <f t="shared" si="41"/>
        <v>3.0136986301370072E-2</v>
      </c>
      <c r="S268" s="455">
        <f t="shared" si="36"/>
        <v>-1.0683744669965231E-2</v>
      </c>
      <c r="T268" s="442">
        <v>0</v>
      </c>
      <c r="U268" s="442">
        <f t="shared" si="42"/>
        <v>1386.3036436827242</v>
      </c>
      <c r="V268" s="442">
        <f t="shared" si="43"/>
        <v>1386.75</v>
      </c>
    </row>
    <row r="269" spans="1:22" ht="16.5">
      <c r="A269" s="317">
        <f t="shared" si="44"/>
        <v>262</v>
      </c>
      <c r="B269" s="393" t="s">
        <v>2677</v>
      </c>
      <c r="C269" s="318" t="s">
        <v>2093</v>
      </c>
      <c r="D269" s="394" t="s">
        <v>2069</v>
      </c>
      <c r="E269" s="402" t="s">
        <v>2683</v>
      </c>
      <c r="F269" s="399"/>
      <c r="G269" s="480">
        <v>43585</v>
      </c>
      <c r="H269" s="499">
        <v>27735</v>
      </c>
      <c r="I269" s="317"/>
      <c r="J269" s="317"/>
      <c r="K269" s="436">
        <f t="shared" si="37"/>
        <v>27735</v>
      </c>
      <c r="L269" s="480">
        <v>43585</v>
      </c>
      <c r="M269" s="326">
        <v>26347.80729997575</v>
      </c>
      <c r="N269" s="438">
        <f t="shared" si="38"/>
        <v>1387.1927000242504</v>
      </c>
      <c r="O269" s="438">
        <f t="shared" si="39"/>
        <v>1797</v>
      </c>
      <c r="P269" s="497">
        <v>5</v>
      </c>
      <c r="Q269" s="454">
        <f t="shared" si="40"/>
        <v>4.9232876712328766</v>
      </c>
      <c r="R269" s="454">
        <f t="shared" si="41"/>
        <v>7.6712328767123417E-2</v>
      </c>
      <c r="S269" s="455">
        <f t="shared" si="36"/>
        <v>4.1601365335230686E-3</v>
      </c>
      <c r="T269" s="442">
        <v>0</v>
      </c>
      <c r="U269" s="442">
        <f t="shared" si="42"/>
        <v>1387.1927000242504</v>
      </c>
      <c r="V269" s="442">
        <f t="shared" si="43"/>
        <v>1386.75</v>
      </c>
    </row>
    <row r="270" spans="1:22" ht="16.5">
      <c r="A270" s="317">
        <f t="shared" si="44"/>
        <v>263</v>
      </c>
      <c r="B270" s="393" t="s">
        <v>2679</v>
      </c>
      <c r="C270" s="318" t="s">
        <v>2093</v>
      </c>
      <c r="D270" s="394" t="s">
        <v>2069</v>
      </c>
      <c r="E270" s="402" t="s">
        <v>2683</v>
      </c>
      <c r="F270" s="399"/>
      <c r="G270" s="480">
        <v>43880</v>
      </c>
      <c r="H270" s="499">
        <v>44945</v>
      </c>
      <c r="I270" s="317"/>
      <c r="J270" s="317"/>
      <c r="K270" s="436">
        <f t="shared" si="37"/>
        <v>44945</v>
      </c>
      <c r="L270" s="480">
        <v>43880</v>
      </c>
      <c r="M270" s="326">
        <v>42697.66174797502</v>
      </c>
      <c r="N270" s="438">
        <f t="shared" si="38"/>
        <v>2247.3382520249797</v>
      </c>
      <c r="O270" s="438">
        <f t="shared" si="39"/>
        <v>1502</v>
      </c>
      <c r="P270" s="497">
        <v>5</v>
      </c>
      <c r="Q270" s="454">
        <f t="shared" si="40"/>
        <v>4.1150684931506847</v>
      </c>
      <c r="R270" s="454">
        <f t="shared" si="41"/>
        <v>0.88493150684931532</v>
      </c>
      <c r="S270" s="455">
        <f t="shared" si="36"/>
        <v>4.4375839016701141E-5</v>
      </c>
      <c r="T270" s="442">
        <v>0</v>
      </c>
      <c r="U270" s="442">
        <f t="shared" si="42"/>
        <v>2247.3382520249797</v>
      </c>
      <c r="V270" s="442">
        <f t="shared" si="43"/>
        <v>2247.25</v>
      </c>
    </row>
    <row r="271" spans="1:22" ht="16.5">
      <c r="A271" s="317">
        <f t="shared" si="44"/>
        <v>264</v>
      </c>
      <c r="B271" s="393" t="s">
        <v>2616</v>
      </c>
      <c r="C271" s="318" t="s">
        <v>2093</v>
      </c>
      <c r="D271" s="394" t="s">
        <v>2069</v>
      </c>
      <c r="E271" s="402" t="s">
        <v>2683</v>
      </c>
      <c r="F271" s="399"/>
      <c r="G271" s="480">
        <v>43585</v>
      </c>
      <c r="H271" s="499">
        <v>31695</v>
      </c>
      <c r="I271" s="317"/>
      <c r="J271" s="317"/>
      <c r="K271" s="436">
        <f t="shared" si="37"/>
        <v>31695</v>
      </c>
      <c r="L271" s="480">
        <v>43585</v>
      </c>
      <c r="M271" s="326">
        <v>30110.365508301111</v>
      </c>
      <c r="N271" s="438">
        <f t="shared" si="38"/>
        <v>1584.6344916988892</v>
      </c>
      <c r="O271" s="438">
        <f t="shared" si="39"/>
        <v>1797</v>
      </c>
      <c r="P271" s="497">
        <v>5</v>
      </c>
      <c r="Q271" s="454">
        <f t="shared" si="40"/>
        <v>4.9232876712328766</v>
      </c>
      <c r="R271" s="454">
        <f t="shared" si="41"/>
        <v>7.6712328767123417E-2</v>
      </c>
      <c r="S271" s="455">
        <f t="shared" si="36"/>
        <v>-9.502085299766959E-4</v>
      </c>
      <c r="T271" s="442">
        <v>0</v>
      </c>
      <c r="U271" s="442">
        <f t="shared" si="42"/>
        <v>1584.6344916988892</v>
      </c>
      <c r="V271" s="442">
        <f t="shared" si="43"/>
        <v>1584.75</v>
      </c>
    </row>
    <row r="272" spans="1:22" ht="16.5">
      <c r="A272" s="317">
        <f t="shared" si="44"/>
        <v>265</v>
      </c>
      <c r="B272" s="393" t="s">
        <v>2616</v>
      </c>
      <c r="C272" s="318" t="s">
        <v>2093</v>
      </c>
      <c r="D272" s="394" t="s">
        <v>2069</v>
      </c>
      <c r="E272" s="402" t="s">
        <v>2683</v>
      </c>
      <c r="F272" s="399"/>
      <c r="G272" s="480">
        <v>43880</v>
      </c>
      <c r="H272" s="499">
        <v>33814</v>
      </c>
      <c r="I272" s="317"/>
      <c r="J272" s="317"/>
      <c r="K272" s="436">
        <f t="shared" si="37"/>
        <v>33814</v>
      </c>
      <c r="L272" s="480">
        <v>43880</v>
      </c>
      <c r="M272" s="326">
        <v>32122.828175459501</v>
      </c>
      <c r="N272" s="438">
        <f t="shared" si="38"/>
        <v>1691.1718245404991</v>
      </c>
      <c r="O272" s="438">
        <f t="shared" si="39"/>
        <v>1502</v>
      </c>
      <c r="P272" s="497">
        <v>5</v>
      </c>
      <c r="Q272" s="454">
        <f t="shared" si="40"/>
        <v>4.1150684931506847</v>
      </c>
      <c r="R272" s="454">
        <f t="shared" si="41"/>
        <v>0.88493150684931532</v>
      </c>
      <c r="S272" s="455">
        <f t="shared" si="36"/>
        <v>3.1527035313492124E-4</v>
      </c>
      <c r="T272" s="442">
        <v>0</v>
      </c>
      <c r="U272" s="442">
        <f t="shared" si="42"/>
        <v>1691.1718245404991</v>
      </c>
      <c r="V272" s="442">
        <f t="shared" si="43"/>
        <v>1690.7</v>
      </c>
    </row>
    <row r="273" spans="1:22" ht="16.5">
      <c r="A273" s="317">
        <f t="shared" si="44"/>
        <v>266</v>
      </c>
      <c r="B273" s="393" t="s">
        <v>2677</v>
      </c>
      <c r="C273" s="318" t="s">
        <v>2093</v>
      </c>
      <c r="D273" s="394" t="s">
        <v>2684</v>
      </c>
      <c r="E273" s="402"/>
      <c r="F273" s="399"/>
      <c r="G273" s="480">
        <v>43585</v>
      </c>
      <c r="H273" s="499">
        <v>136328</v>
      </c>
      <c r="I273" s="317"/>
      <c r="J273" s="317"/>
      <c r="K273" s="436">
        <f t="shared" si="37"/>
        <v>136328</v>
      </c>
      <c r="L273" s="480">
        <v>43585</v>
      </c>
      <c r="M273" s="326">
        <v>129511.50793550006</v>
      </c>
      <c r="N273" s="438">
        <f t="shared" si="38"/>
        <v>6816.4920644999365</v>
      </c>
      <c r="O273" s="438">
        <f t="shared" si="39"/>
        <v>1797</v>
      </c>
      <c r="P273" s="497">
        <v>5</v>
      </c>
      <c r="Q273" s="454">
        <f t="shared" si="40"/>
        <v>4.9232876712328766</v>
      </c>
      <c r="R273" s="454">
        <f t="shared" si="41"/>
        <v>7.6712328767123417E-2</v>
      </c>
      <c r="S273" s="455">
        <f t="shared" si="36"/>
        <v>1.7606218941758911E-4</v>
      </c>
      <c r="T273" s="442">
        <v>0</v>
      </c>
      <c r="U273" s="442">
        <f t="shared" si="42"/>
        <v>6816.4920644999365</v>
      </c>
      <c r="V273" s="442">
        <f t="shared" si="43"/>
        <v>6816.4000000000005</v>
      </c>
    </row>
    <row r="274" spans="1:22" ht="16.5">
      <c r="A274" s="317">
        <f t="shared" si="44"/>
        <v>267</v>
      </c>
      <c r="B274" s="393" t="s">
        <v>2677</v>
      </c>
      <c r="C274" s="318" t="s">
        <v>2093</v>
      </c>
      <c r="D274" s="394" t="s">
        <v>2684</v>
      </c>
      <c r="E274" s="402"/>
      <c r="F274" s="399"/>
      <c r="G274" s="480">
        <v>43585</v>
      </c>
      <c r="H274" s="499">
        <v>23729</v>
      </c>
      <c r="I274" s="317"/>
      <c r="J274" s="317"/>
      <c r="K274" s="436">
        <f t="shared" si="37"/>
        <v>23729</v>
      </c>
      <c r="L274" s="480">
        <v>43585</v>
      </c>
      <c r="M274" s="326">
        <v>22542.956243775898</v>
      </c>
      <c r="N274" s="438">
        <f t="shared" si="38"/>
        <v>1186.0437562241023</v>
      </c>
      <c r="O274" s="438">
        <f t="shared" si="39"/>
        <v>1797</v>
      </c>
      <c r="P274" s="497">
        <v>5</v>
      </c>
      <c r="Q274" s="454">
        <f t="shared" si="40"/>
        <v>4.9232876712328766</v>
      </c>
      <c r="R274" s="454">
        <f t="shared" si="41"/>
        <v>7.6712328767123417E-2</v>
      </c>
      <c r="S274" s="455">
        <f t="shared" si="36"/>
        <v>-4.4649936101961128E-3</v>
      </c>
      <c r="T274" s="442">
        <v>0</v>
      </c>
      <c r="U274" s="442">
        <f t="shared" si="42"/>
        <v>1186.0437562241023</v>
      </c>
      <c r="V274" s="442">
        <f t="shared" si="43"/>
        <v>1186.45</v>
      </c>
    </row>
    <row r="275" spans="1:22" ht="16.5">
      <c r="A275" s="317">
        <f t="shared" si="44"/>
        <v>268</v>
      </c>
      <c r="B275" s="393" t="s">
        <v>2677</v>
      </c>
      <c r="C275" s="318" t="s">
        <v>2093</v>
      </c>
      <c r="D275" s="394" t="s">
        <v>2684</v>
      </c>
      <c r="E275" s="402"/>
      <c r="F275" s="399"/>
      <c r="G275" s="480">
        <v>43646</v>
      </c>
      <c r="H275" s="499">
        <v>24609</v>
      </c>
      <c r="I275" s="317"/>
      <c r="J275" s="317"/>
      <c r="K275" s="436">
        <f t="shared" si="37"/>
        <v>24609</v>
      </c>
      <c r="L275" s="480">
        <v>43646</v>
      </c>
      <c r="M275" s="326">
        <v>23378.162335714016</v>
      </c>
      <c r="N275" s="438">
        <f t="shared" si="38"/>
        <v>1230.8376642859839</v>
      </c>
      <c r="O275" s="438">
        <f t="shared" si="39"/>
        <v>1736</v>
      </c>
      <c r="P275" s="497">
        <v>5</v>
      </c>
      <c r="Q275" s="454">
        <f t="shared" si="40"/>
        <v>4.7561643835616438</v>
      </c>
      <c r="R275" s="454">
        <f t="shared" si="41"/>
        <v>0.24383561643835616</v>
      </c>
      <c r="S275" s="455">
        <f t="shared" si="36"/>
        <v>1.2916887389090319E-3</v>
      </c>
      <c r="T275" s="442">
        <v>0</v>
      </c>
      <c r="U275" s="442">
        <f t="shared" si="42"/>
        <v>1230.8376642859839</v>
      </c>
      <c r="V275" s="442">
        <f t="shared" si="43"/>
        <v>1230.45</v>
      </c>
    </row>
    <row r="276" spans="1:22" ht="16.5">
      <c r="A276" s="317">
        <f t="shared" si="44"/>
        <v>269</v>
      </c>
      <c r="B276" s="393" t="s">
        <v>2677</v>
      </c>
      <c r="C276" s="318" t="s">
        <v>2093</v>
      </c>
      <c r="D276" s="394" t="s">
        <v>2685</v>
      </c>
      <c r="E276" s="402"/>
      <c r="F276" s="399"/>
      <c r="G276" s="480">
        <v>43585</v>
      </c>
      <c r="H276" s="499">
        <v>28125</v>
      </c>
      <c r="I276" s="317"/>
      <c r="J276" s="317"/>
      <c r="K276" s="436">
        <f t="shared" si="37"/>
        <v>28125</v>
      </c>
      <c r="L276" s="480">
        <v>43585</v>
      </c>
      <c r="M276" s="326">
        <v>26719.203184129005</v>
      </c>
      <c r="N276" s="438">
        <f t="shared" si="38"/>
        <v>1405.7968158709955</v>
      </c>
      <c r="O276" s="438">
        <f t="shared" si="39"/>
        <v>1797</v>
      </c>
      <c r="P276" s="497">
        <v>5</v>
      </c>
      <c r="Q276" s="454">
        <f t="shared" si="40"/>
        <v>4.9232876712328766</v>
      </c>
      <c r="R276" s="454">
        <f t="shared" si="41"/>
        <v>7.6712328767123417E-2</v>
      </c>
      <c r="S276" s="455">
        <f t="shared" si="36"/>
        <v>-4.2022991927631124E-3</v>
      </c>
      <c r="T276" s="442">
        <v>0</v>
      </c>
      <c r="U276" s="442">
        <f t="shared" si="42"/>
        <v>1405.7968158709955</v>
      </c>
      <c r="V276" s="442">
        <f t="shared" si="43"/>
        <v>1406.25</v>
      </c>
    </row>
    <row r="277" spans="1:22" ht="16.5">
      <c r="A277" s="317">
        <f t="shared" si="44"/>
        <v>270</v>
      </c>
      <c r="B277" s="393" t="s">
        <v>2677</v>
      </c>
      <c r="C277" s="318" t="s">
        <v>2093</v>
      </c>
      <c r="D277" s="394" t="s">
        <v>2685</v>
      </c>
      <c r="E277" s="402"/>
      <c r="F277" s="399"/>
      <c r="G277" s="480">
        <v>43585</v>
      </c>
      <c r="H277" s="499">
        <v>125000</v>
      </c>
      <c r="I277" s="317"/>
      <c r="J277" s="317"/>
      <c r="K277" s="436">
        <f t="shared" si="37"/>
        <v>125000</v>
      </c>
      <c r="L277" s="480">
        <v>43585</v>
      </c>
      <c r="M277" s="326">
        <v>118750.3474850178</v>
      </c>
      <c r="N277" s="438">
        <f t="shared" si="38"/>
        <v>6249.6525149821973</v>
      </c>
      <c r="O277" s="438">
        <f t="shared" si="39"/>
        <v>1797</v>
      </c>
      <c r="P277" s="497">
        <v>5</v>
      </c>
      <c r="Q277" s="454">
        <f t="shared" si="40"/>
        <v>4.9232876712328766</v>
      </c>
      <c r="R277" s="454">
        <f t="shared" si="41"/>
        <v>7.6712328767123417E-2</v>
      </c>
      <c r="S277" s="455">
        <f t="shared" si="36"/>
        <v>-7.2479476255358729E-4</v>
      </c>
      <c r="T277" s="442">
        <v>0</v>
      </c>
      <c r="U277" s="442">
        <f t="shared" si="42"/>
        <v>6249.6525149821973</v>
      </c>
      <c r="V277" s="442">
        <f t="shared" si="43"/>
        <v>6250</v>
      </c>
    </row>
    <row r="278" spans="1:22" ht="18.75">
      <c r="A278" s="317">
        <f t="shared" si="44"/>
        <v>271</v>
      </c>
      <c r="B278" s="469" t="s">
        <v>2686</v>
      </c>
      <c r="C278" s="318" t="s">
        <v>2150</v>
      </c>
      <c r="D278" s="485" t="s">
        <v>2079</v>
      </c>
      <c r="E278" s="469" t="s">
        <v>2668</v>
      </c>
      <c r="F278" s="469">
        <v>205</v>
      </c>
      <c r="G278" s="502">
        <v>43963</v>
      </c>
      <c r="H278" s="499">
        <v>64751</v>
      </c>
      <c r="I278" s="317"/>
      <c r="J278" s="317"/>
      <c r="K278" s="436">
        <f t="shared" si="37"/>
        <v>64751</v>
      </c>
      <c r="L278" s="502">
        <v>43963</v>
      </c>
      <c r="M278" s="326">
        <v>58150.795937774019</v>
      </c>
      <c r="N278" s="438">
        <f t="shared" si="38"/>
        <v>6600.204062225981</v>
      </c>
      <c r="O278" s="438">
        <f t="shared" si="39"/>
        <v>1419</v>
      </c>
      <c r="P278" s="497">
        <v>5</v>
      </c>
      <c r="Q278" s="454">
        <f t="shared" si="40"/>
        <v>3.8876712328767122</v>
      </c>
      <c r="R278" s="454">
        <f t="shared" si="41"/>
        <v>1.1123287671232878</v>
      </c>
      <c r="S278" s="455">
        <f t="shared" si="36"/>
        <v>0.45802761063672381</v>
      </c>
      <c r="T278" s="442">
        <v>3363</v>
      </c>
      <c r="U278" s="442">
        <f t="shared" si="42"/>
        <v>3237.204062225981</v>
      </c>
      <c r="V278" s="442">
        <f t="shared" si="43"/>
        <v>3237.55</v>
      </c>
    </row>
    <row r="279" spans="1:22" ht="18.75">
      <c r="A279" s="317">
        <f t="shared" si="44"/>
        <v>272</v>
      </c>
      <c r="B279" s="469" t="s">
        <v>2686</v>
      </c>
      <c r="C279" s="318" t="s">
        <v>2150</v>
      </c>
      <c r="D279" s="485" t="s">
        <v>19</v>
      </c>
      <c r="E279" s="503" t="s">
        <v>2687</v>
      </c>
      <c r="F279" s="504">
        <v>657</v>
      </c>
      <c r="G279" s="502">
        <v>44100</v>
      </c>
      <c r="H279" s="499">
        <v>20513</v>
      </c>
      <c r="I279" s="317"/>
      <c r="J279" s="317"/>
      <c r="K279" s="436">
        <f t="shared" si="37"/>
        <v>20513</v>
      </c>
      <c r="L279" s="502">
        <v>44100</v>
      </c>
      <c r="M279" s="326">
        <v>15123.421509725933</v>
      </c>
      <c r="N279" s="438">
        <f t="shared" si="38"/>
        <v>5389.578490274067</v>
      </c>
      <c r="O279" s="438">
        <f t="shared" si="39"/>
        <v>1282</v>
      </c>
      <c r="P279" s="497">
        <v>5</v>
      </c>
      <c r="Q279" s="454">
        <f t="shared" si="40"/>
        <v>3.5123287671232877</v>
      </c>
      <c r="R279" s="454">
        <f t="shared" si="41"/>
        <v>1.4876712328767123</v>
      </c>
      <c r="S279" s="455">
        <f t="shared" si="36"/>
        <v>0.54427183269201351</v>
      </c>
      <c r="T279" s="442">
        <v>4364</v>
      </c>
      <c r="U279" s="442">
        <f t="shared" si="42"/>
        <v>1025.578490274067</v>
      </c>
      <c r="V279" s="442">
        <f t="shared" si="43"/>
        <v>1025.6500000000001</v>
      </c>
    </row>
    <row r="280" spans="1:22" ht="18.75">
      <c r="A280" s="317">
        <f t="shared" si="44"/>
        <v>273</v>
      </c>
      <c r="B280" s="469" t="s">
        <v>2686</v>
      </c>
      <c r="C280" s="318" t="s">
        <v>2150</v>
      </c>
      <c r="D280" s="485" t="s">
        <v>2165</v>
      </c>
      <c r="E280" s="469" t="s">
        <v>2688</v>
      </c>
      <c r="F280" s="469" t="s">
        <v>2689</v>
      </c>
      <c r="G280" s="505">
        <v>44122</v>
      </c>
      <c r="H280" s="499">
        <v>15038</v>
      </c>
      <c r="I280" s="317"/>
      <c r="J280" s="317"/>
      <c r="K280" s="436">
        <f t="shared" si="37"/>
        <v>15038</v>
      </c>
      <c r="L280" s="505">
        <v>44122</v>
      </c>
      <c r="M280" s="326">
        <v>10728.536154584812</v>
      </c>
      <c r="N280" s="438">
        <f t="shared" si="38"/>
        <v>4309.4638454151882</v>
      </c>
      <c r="O280" s="438">
        <f t="shared" si="39"/>
        <v>1260</v>
      </c>
      <c r="P280" s="497">
        <v>5</v>
      </c>
      <c r="Q280" s="454">
        <f t="shared" si="40"/>
        <v>3.452054794520548</v>
      </c>
      <c r="R280" s="454">
        <f t="shared" si="41"/>
        <v>1.547945205479452</v>
      </c>
      <c r="S280" s="455">
        <f t="shared" si="36"/>
        <v>0.53330281731336071</v>
      </c>
      <c r="T280" s="442">
        <v>3558</v>
      </c>
      <c r="U280" s="442">
        <f t="shared" si="42"/>
        <v>751.46384541518819</v>
      </c>
      <c r="V280" s="442">
        <f t="shared" si="43"/>
        <v>751.90000000000009</v>
      </c>
    </row>
    <row r="281" spans="1:22" ht="18.75">
      <c r="A281" s="317">
        <f t="shared" si="44"/>
        <v>274</v>
      </c>
      <c r="B281" s="469" t="s">
        <v>2686</v>
      </c>
      <c r="C281" s="318" t="s">
        <v>2150</v>
      </c>
      <c r="D281" s="485" t="s">
        <v>2165</v>
      </c>
      <c r="E281" s="469" t="s">
        <v>2690</v>
      </c>
      <c r="F281" s="469">
        <v>266</v>
      </c>
      <c r="G281" s="502">
        <v>44103</v>
      </c>
      <c r="H281" s="499">
        <v>28320</v>
      </c>
      <c r="I281" s="317"/>
      <c r="J281" s="317"/>
      <c r="K281" s="436">
        <f t="shared" si="37"/>
        <v>28320</v>
      </c>
      <c r="L281" s="502">
        <v>44103</v>
      </c>
      <c r="M281" s="326">
        <v>20786.368424406362</v>
      </c>
      <c r="N281" s="438">
        <f t="shared" si="38"/>
        <v>7533.6315755936375</v>
      </c>
      <c r="O281" s="438">
        <f t="shared" si="39"/>
        <v>1279</v>
      </c>
      <c r="P281" s="497">
        <v>5</v>
      </c>
      <c r="Q281" s="454">
        <f t="shared" si="40"/>
        <v>3.504109589041096</v>
      </c>
      <c r="R281" s="454">
        <f t="shared" si="41"/>
        <v>1.495890410958904</v>
      </c>
      <c r="S281" s="455">
        <f t="shared" si="36"/>
        <v>0.54284915087696683</v>
      </c>
      <c r="T281" s="442">
        <v>6118</v>
      </c>
      <c r="U281" s="442">
        <f t="shared" si="42"/>
        <v>1415.6315755936375</v>
      </c>
      <c r="V281" s="442">
        <f t="shared" si="43"/>
        <v>1416</v>
      </c>
    </row>
    <row r="282" spans="1:22" ht="18.75">
      <c r="A282" s="317">
        <f t="shared" si="44"/>
        <v>275</v>
      </c>
      <c r="B282" s="469" t="s">
        <v>2686</v>
      </c>
      <c r="C282" s="318" t="s">
        <v>2150</v>
      </c>
      <c r="D282" s="485" t="s">
        <v>2165</v>
      </c>
      <c r="E282" s="469" t="s">
        <v>2691</v>
      </c>
      <c r="F282" s="469" t="s">
        <v>2692</v>
      </c>
      <c r="G282" s="505">
        <v>44198</v>
      </c>
      <c r="H282" s="499">
        <v>21093</v>
      </c>
      <c r="I282" s="317"/>
      <c r="J282" s="317"/>
      <c r="K282" s="436">
        <f t="shared" si="37"/>
        <v>21093</v>
      </c>
      <c r="L282" s="505">
        <v>44198</v>
      </c>
      <c r="M282" s="326">
        <v>13384.621571368189</v>
      </c>
      <c r="N282" s="438">
        <f t="shared" si="38"/>
        <v>7708.3784286318114</v>
      </c>
      <c r="O282" s="438">
        <f t="shared" si="39"/>
        <v>1184</v>
      </c>
      <c r="P282" s="497">
        <v>5</v>
      </c>
      <c r="Q282" s="454">
        <f t="shared" si="40"/>
        <v>3.2438356164383562</v>
      </c>
      <c r="R282" s="454">
        <f t="shared" si="41"/>
        <v>1.7561643835616438</v>
      </c>
      <c r="S282" s="455">
        <f t="shared" si="36"/>
        <v>0.49151511614566445</v>
      </c>
      <c r="T282" s="442">
        <v>6654</v>
      </c>
      <c r="U282" s="442">
        <f t="shared" si="42"/>
        <v>1054.3784286318114</v>
      </c>
      <c r="V282" s="442">
        <f t="shared" si="43"/>
        <v>1054.6500000000001</v>
      </c>
    </row>
    <row r="283" spans="1:22" ht="18.75">
      <c r="A283" s="317">
        <f t="shared" si="44"/>
        <v>276</v>
      </c>
      <c r="B283" s="469" t="s">
        <v>2686</v>
      </c>
      <c r="C283" s="318" t="s">
        <v>2150</v>
      </c>
      <c r="D283" s="485" t="s">
        <v>2165</v>
      </c>
      <c r="E283" s="469" t="s">
        <v>2691</v>
      </c>
      <c r="F283" s="469" t="s">
        <v>2693</v>
      </c>
      <c r="G283" s="505">
        <v>44198</v>
      </c>
      <c r="H283" s="499">
        <v>21093</v>
      </c>
      <c r="I283" s="317"/>
      <c r="J283" s="317"/>
      <c r="K283" s="436">
        <f t="shared" si="37"/>
        <v>21093</v>
      </c>
      <c r="L283" s="505">
        <v>44198</v>
      </c>
      <c r="M283" s="326">
        <v>13384.621571368189</v>
      </c>
      <c r="N283" s="438">
        <f t="shared" si="38"/>
        <v>7708.3784286318114</v>
      </c>
      <c r="O283" s="438">
        <f t="shared" si="39"/>
        <v>1184</v>
      </c>
      <c r="P283" s="497">
        <v>5</v>
      </c>
      <c r="Q283" s="454">
        <f t="shared" si="40"/>
        <v>3.2438356164383562</v>
      </c>
      <c r="R283" s="454">
        <f t="shared" si="41"/>
        <v>1.7561643835616438</v>
      </c>
      <c r="S283" s="455">
        <f t="shared" si="36"/>
        <v>0.49151511614566445</v>
      </c>
      <c r="T283" s="442">
        <v>6654</v>
      </c>
      <c r="U283" s="442">
        <f t="shared" si="42"/>
        <v>1054.3784286318114</v>
      </c>
      <c r="V283" s="442">
        <f t="shared" si="43"/>
        <v>1054.6500000000001</v>
      </c>
    </row>
    <row r="284" spans="1:22" ht="18.75">
      <c r="A284" s="317">
        <f t="shared" si="44"/>
        <v>277</v>
      </c>
      <c r="B284" s="469" t="s">
        <v>36</v>
      </c>
      <c r="C284" s="318" t="s">
        <v>2150</v>
      </c>
      <c r="D284" s="485" t="s">
        <v>2095</v>
      </c>
      <c r="E284" s="469" t="s">
        <v>2694</v>
      </c>
      <c r="F284" s="469" t="s">
        <v>2695</v>
      </c>
      <c r="G284" s="502">
        <v>44064</v>
      </c>
      <c r="H284" s="499">
        <v>66101.820000000007</v>
      </c>
      <c r="I284" s="317"/>
      <c r="J284" s="317"/>
      <c r="K284" s="436">
        <f t="shared" si="37"/>
        <v>66101.820000000007</v>
      </c>
      <c r="L284" s="502">
        <v>44064</v>
      </c>
      <c r="M284" s="326">
        <v>51383.719151806014</v>
      </c>
      <c r="N284" s="438">
        <f t="shared" si="38"/>
        <v>14718.100848193993</v>
      </c>
      <c r="O284" s="438">
        <f t="shared" si="39"/>
        <v>1318</v>
      </c>
      <c r="P284" s="497">
        <v>5</v>
      </c>
      <c r="Q284" s="454">
        <f t="shared" si="40"/>
        <v>3.6109589041095891</v>
      </c>
      <c r="R284" s="454">
        <f t="shared" si="41"/>
        <v>1.3890410958904109</v>
      </c>
      <c r="S284" s="455">
        <f t="shared" si="36"/>
        <v>0.5582559014063192</v>
      </c>
      <c r="T284" s="442">
        <v>11413</v>
      </c>
      <c r="U284" s="442">
        <f t="shared" si="42"/>
        <v>3305.1008481939934</v>
      </c>
      <c r="V284" s="442">
        <f t="shared" si="43"/>
        <v>3305.0910000000003</v>
      </c>
    </row>
    <row r="285" spans="1:22" ht="18.75">
      <c r="A285" s="317">
        <f t="shared" si="44"/>
        <v>278</v>
      </c>
      <c r="B285" s="469" t="s">
        <v>36</v>
      </c>
      <c r="C285" s="318" t="s">
        <v>2150</v>
      </c>
      <c r="D285" s="485" t="s">
        <v>2095</v>
      </c>
      <c r="E285" s="469" t="s">
        <v>2696</v>
      </c>
      <c r="F285" s="469" t="s">
        <v>2697</v>
      </c>
      <c r="G285" s="502">
        <v>44089</v>
      </c>
      <c r="H285" s="499">
        <f>60678-1550</f>
        <v>59128</v>
      </c>
      <c r="I285" s="317"/>
      <c r="J285" s="317"/>
      <c r="K285" s="436">
        <f>+H285+I285-J285</f>
        <v>59128</v>
      </c>
      <c r="L285" s="502">
        <v>44089</v>
      </c>
      <c r="M285" s="326">
        <v>43626.830398463309</v>
      </c>
      <c r="N285" s="438">
        <f>+K285-M285</f>
        <v>15501.169601536691</v>
      </c>
      <c r="O285" s="438">
        <f t="shared" si="39"/>
        <v>1293</v>
      </c>
      <c r="P285" s="497">
        <v>5</v>
      </c>
      <c r="Q285" s="454">
        <f t="shared" si="40"/>
        <v>3.5424657534246577</v>
      </c>
      <c r="R285" s="454">
        <f t="shared" si="41"/>
        <v>1.4575342465753423</v>
      </c>
      <c r="S285" s="455">
        <f t="shared" si="36"/>
        <v>0.55523834825420904</v>
      </c>
      <c r="T285" s="442">
        <v>12545</v>
      </c>
      <c r="U285" s="442">
        <f t="shared" si="42"/>
        <v>2956.1696015366906</v>
      </c>
      <c r="V285" s="442">
        <f t="shared" si="43"/>
        <v>2956.4</v>
      </c>
    </row>
    <row r="286" spans="1:22" ht="18.75">
      <c r="A286" s="317">
        <f t="shared" si="44"/>
        <v>279</v>
      </c>
      <c r="B286" s="469" t="s">
        <v>36</v>
      </c>
      <c r="C286" s="318" t="s">
        <v>2150</v>
      </c>
      <c r="D286" s="485" t="s">
        <v>988</v>
      </c>
      <c r="E286" s="469" t="s">
        <v>473</v>
      </c>
      <c r="F286" s="469" t="s">
        <v>2698</v>
      </c>
      <c r="G286" s="505">
        <v>44227</v>
      </c>
      <c r="H286" s="499">
        <v>22034</v>
      </c>
      <c r="I286" s="317"/>
      <c r="J286" s="317"/>
      <c r="K286" s="436">
        <f t="shared" si="37"/>
        <v>22034</v>
      </c>
      <c r="L286" s="505">
        <v>44227</v>
      </c>
      <c r="M286" s="326">
        <v>13346.567161535932</v>
      </c>
      <c r="N286" s="438">
        <f t="shared" si="38"/>
        <v>8687.4328384640685</v>
      </c>
      <c r="O286" s="438">
        <f t="shared" si="39"/>
        <v>1155</v>
      </c>
      <c r="P286" s="497">
        <v>5</v>
      </c>
      <c r="Q286" s="454">
        <f t="shared" si="40"/>
        <v>3.1643835616438358</v>
      </c>
      <c r="R286" s="454">
        <f t="shared" si="41"/>
        <v>1.8356164383561642</v>
      </c>
      <c r="S286" s="455">
        <f t="shared" si="36"/>
        <v>0.47569013486576478</v>
      </c>
      <c r="T286" s="442">
        <v>7586</v>
      </c>
      <c r="U286" s="442">
        <f t="shared" si="42"/>
        <v>1101.4328384640685</v>
      </c>
      <c r="V286" s="442">
        <f t="shared" si="43"/>
        <v>1101.7</v>
      </c>
    </row>
    <row r="287" spans="1:22" ht="18.75">
      <c r="A287" s="317">
        <f t="shared" si="44"/>
        <v>280</v>
      </c>
      <c r="B287" s="469" t="s">
        <v>36</v>
      </c>
      <c r="C287" s="318" t="s">
        <v>2150</v>
      </c>
      <c r="D287" s="484" t="s">
        <v>1302</v>
      </c>
      <c r="E287" s="469" t="s">
        <v>2699</v>
      </c>
      <c r="F287" s="469" t="s">
        <v>2700</v>
      </c>
      <c r="G287" s="502">
        <v>44110</v>
      </c>
      <c r="H287" s="499">
        <v>582507</v>
      </c>
      <c r="I287" s="317"/>
      <c r="J287" s="317"/>
      <c r="K287" s="436">
        <f t="shared" si="37"/>
        <v>582507</v>
      </c>
      <c r="L287" s="502">
        <v>44110</v>
      </c>
      <c r="M287" s="326">
        <v>423114.32307499507</v>
      </c>
      <c r="N287" s="438">
        <f t="shared" si="38"/>
        <v>159392.67692500493</v>
      </c>
      <c r="O287" s="438">
        <f t="shared" si="39"/>
        <v>1272</v>
      </c>
      <c r="P287" s="497">
        <v>5</v>
      </c>
      <c r="Q287" s="454">
        <f t="shared" si="40"/>
        <v>3.484931506849315</v>
      </c>
      <c r="R287" s="454">
        <f t="shared" si="41"/>
        <v>1.515068493150685</v>
      </c>
      <c r="S287" s="455">
        <f t="shared" si="36"/>
        <v>0.5394297198903778</v>
      </c>
      <c r="T287" s="442">
        <v>130267</v>
      </c>
      <c r="U287" s="442">
        <f t="shared" si="42"/>
        <v>29125.676925004926</v>
      </c>
      <c r="V287" s="442">
        <f t="shared" si="43"/>
        <v>29125.350000000002</v>
      </c>
    </row>
    <row r="288" spans="1:22" ht="18.75">
      <c r="A288" s="317">
        <f t="shared" si="44"/>
        <v>281</v>
      </c>
      <c r="B288" s="469" t="s">
        <v>238</v>
      </c>
      <c r="C288" s="318" t="s">
        <v>2150</v>
      </c>
      <c r="D288" s="484" t="s">
        <v>1302</v>
      </c>
      <c r="E288" s="469" t="s">
        <v>2701</v>
      </c>
      <c r="F288" s="469" t="s">
        <v>2702</v>
      </c>
      <c r="G288" s="505">
        <v>44086</v>
      </c>
      <c r="H288" s="499">
        <v>164000</v>
      </c>
      <c r="I288" s="317"/>
      <c r="J288" s="317"/>
      <c r="K288" s="436">
        <f t="shared" si="37"/>
        <v>164000</v>
      </c>
      <c r="L288" s="505">
        <v>44086</v>
      </c>
      <c r="M288" s="326">
        <v>133940.35217378082</v>
      </c>
      <c r="N288" s="438">
        <f t="shared" si="38"/>
        <v>30059.647826219181</v>
      </c>
      <c r="O288" s="438">
        <f t="shared" si="39"/>
        <v>1296</v>
      </c>
      <c r="P288" s="497">
        <v>5</v>
      </c>
      <c r="Q288" s="454">
        <f t="shared" si="40"/>
        <v>3.5506849315068494</v>
      </c>
      <c r="R288" s="454">
        <f t="shared" si="41"/>
        <v>1.4493150684931506</v>
      </c>
      <c r="S288" s="455">
        <f t="shared" si="36"/>
        <v>0.50176049504740572</v>
      </c>
      <c r="T288" s="442">
        <v>21860</v>
      </c>
      <c r="U288" s="442">
        <f t="shared" si="42"/>
        <v>8199.6478262191813</v>
      </c>
      <c r="V288" s="442">
        <f t="shared" si="43"/>
        <v>8200</v>
      </c>
    </row>
    <row r="289" spans="1:22" ht="18.75">
      <c r="A289" s="317">
        <f t="shared" si="44"/>
        <v>282</v>
      </c>
      <c r="B289" s="469" t="s">
        <v>238</v>
      </c>
      <c r="C289" s="318" t="s">
        <v>2150</v>
      </c>
      <c r="D289" s="484" t="s">
        <v>1302</v>
      </c>
      <c r="E289" s="469" t="s">
        <v>2701</v>
      </c>
      <c r="F289" s="469" t="s">
        <v>2703</v>
      </c>
      <c r="G289" s="502">
        <v>44098</v>
      </c>
      <c r="H289" s="499">
        <v>328000</v>
      </c>
      <c r="I289" s="317"/>
      <c r="J289" s="317"/>
      <c r="K289" s="436">
        <f t="shared" si="37"/>
        <v>328000</v>
      </c>
      <c r="L289" s="502">
        <v>44098</v>
      </c>
      <c r="M289" s="326">
        <v>262352.40157906339</v>
      </c>
      <c r="N289" s="438">
        <f t="shared" si="38"/>
        <v>65647.598420936614</v>
      </c>
      <c r="O289" s="438">
        <f t="shared" si="39"/>
        <v>1284</v>
      </c>
      <c r="P289" s="497">
        <v>5</v>
      </c>
      <c r="Q289" s="454">
        <f t="shared" si="40"/>
        <v>3.5178082191780824</v>
      </c>
      <c r="R289" s="454">
        <f t="shared" si="41"/>
        <v>1.4821917808219176</v>
      </c>
      <c r="S289" s="455">
        <f t="shared" si="36"/>
        <v>0.50612968888684584</v>
      </c>
      <c r="T289" s="442">
        <v>49248</v>
      </c>
      <c r="U289" s="442">
        <f t="shared" si="42"/>
        <v>16399.598420936614</v>
      </c>
      <c r="V289" s="442">
        <f t="shared" si="43"/>
        <v>16400</v>
      </c>
    </row>
    <row r="290" spans="1:22" ht="18.75">
      <c r="A290" s="317">
        <f t="shared" si="44"/>
        <v>283</v>
      </c>
      <c r="B290" s="469" t="s">
        <v>238</v>
      </c>
      <c r="C290" s="318" t="s">
        <v>2150</v>
      </c>
      <c r="D290" s="484" t="s">
        <v>1302</v>
      </c>
      <c r="E290" s="469" t="s">
        <v>2701</v>
      </c>
      <c r="F290" s="469" t="s">
        <v>2704</v>
      </c>
      <c r="G290" s="502">
        <v>44088</v>
      </c>
      <c r="H290" s="499">
        <v>123750</v>
      </c>
      <c r="I290" s="317"/>
      <c r="J290" s="317"/>
      <c r="K290" s="436">
        <f t="shared" si="37"/>
        <v>123750</v>
      </c>
      <c r="L290" s="502">
        <v>44088</v>
      </c>
      <c r="M290" s="326">
        <v>100719.2400742087</v>
      </c>
      <c r="N290" s="438">
        <f t="shared" si="38"/>
        <v>23030.759925791295</v>
      </c>
      <c r="O290" s="438">
        <f t="shared" si="39"/>
        <v>1294</v>
      </c>
      <c r="P290" s="497">
        <v>5</v>
      </c>
      <c r="Q290" s="454">
        <f t="shared" si="40"/>
        <v>3.5452054794520547</v>
      </c>
      <c r="R290" s="454">
        <f t="shared" si="41"/>
        <v>1.4547945205479453</v>
      </c>
      <c r="S290" s="455">
        <f t="shared" si="36"/>
        <v>0.50270849695614661</v>
      </c>
      <c r="T290" s="442">
        <v>16843</v>
      </c>
      <c r="U290" s="442">
        <f t="shared" si="42"/>
        <v>6187.7599257912952</v>
      </c>
      <c r="V290" s="442">
        <f t="shared" si="43"/>
        <v>6187.5</v>
      </c>
    </row>
    <row r="291" spans="1:22" ht="18.75">
      <c r="A291" s="317">
        <f t="shared" si="44"/>
        <v>284</v>
      </c>
      <c r="B291" s="469" t="s">
        <v>238</v>
      </c>
      <c r="C291" s="318" t="s">
        <v>2150</v>
      </c>
      <c r="D291" s="484" t="s">
        <v>1302</v>
      </c>
      <c r="E291" s="469" t="s">
        <v>2701</v>
      </c>
      <c r="F291" s="469" t="s">
        <v>2705</v>
      </c>
      <c r="G291" s="502">
        <v>44100</v>
      </c>
      <c r="H291" s="499">
        <v>165000</v>
      </c>
      <c r="I291" s="317"/>
      <c r="J291" s="317"/>
      <c r="K291" s="436">
        <f t="shared" si="37"/>
        <v>165000</v>
      </c>
      <c r="L291" s="502">
        <v>44100</v>
      </c>
      <c r="M291" s="326">
        <v>131514.28753282648</v>
      </c>
      <c r="N291" s="438">
        <f t="shared" si="38"/>
        <v>33485.712467173522</v>
      </c>
      <c r="O291" s="438">
        <f t="shared" si="39"/>
        <v>1282</v>
      </c>
      <c r="P291" s="497">
        <v>5</v>
      </c>
      <c r="Q291" s="454">
        <f t="shared" si="40"/>
        <v>3.5123287671232877</v>
      </c>
      <c r="R291" s="454">
        <f t="shared" si="41"/>
        <v>1.4876712328767123</v>
      </c>
      <c r="S291" s="455">
        <f t="shared" si="36"/>
        <v>0.50658119201924645</v>
      </c>
      <c r="T291" s="442">
        <v>25236</v>
      </c>
      <c r="U291" s="442">
        <f t="shared" si="42"/>
        <v>8249.7124671735219</v>
      </c>
      <c r="V291" s="442">
        <f t="shared" si="43"/>
        <v>8250</v>
      </c>
    </row>
    <row r="292" spans="1:22" ht="18.75">
      <c r="A292" s="317">
        <f t="shared" si="44"/>
        <v>285</v>
      </c>
      <c r="B292" s="469" t="s">
        <v>238</v>
      </c>
      <c r="C292" s="318" t="s">
        <v>2150</v>
      </c>
      <c r="D292" s="484" t="s">
        <v>1302</v>
      </c>
      <c r="E292" s="469" t="s">
        <v>471</v>
      </c>
      <c r="F292" s="469" t="s">
        <v>2706</v>
      </c>
      <c r="G292" s="505">
        <v>44124</v>
      </c>
      <c r="H292" s="499">
        <v>240827.46000000002</v>
      </c>
      <c r="I292" s="317"/>
      <c r="J292" s="317"/>
      <c r="K292" s="436">
        <f t="shared" si="37"/>
        <v>240827.46000000002</v>
      </c>
      <c r="L292" s="505">
        <v>44124</v>
      </c>
      <c r="M292" s="326">
        <v>183921.1596117366</v>
      </c>
      <c r="N292" s="438">
        <f t="shared" si="38"/>
        <v>56906.300388263422</v>
      </c>
      <c r="O292" s="438">
        <f t="shared" si="39"/>
        <v>1258</v>
      </c>
      <c r="P292" s="497">
        <v>5</v>
      </c>
      <c r="Q292" s="454">
        <f t="shared" si="40"/>
        <v>3.4465753424657533</v>
      </c>
      <c r="R292" s="454">
        <f t="shared" si="41"/>
        <v>1.5534246575342467</v>
      </c>
      <c r="S292" s="455">
        <f t="shared" si="36"/>
        <v>0.50752381135816671</v>
      </c>
      <c r="T292" s="442">
        <v>44865</v>
      </c>
      <c r="U292" s="442">
        <f t="shared" si="42"/>
        <v>12041.300388263422</v>
      </c>
      <c r="V292" s="442">
        <f t="shared" si="43"/>
        <v>12041.373000000001</v>
      </c>
    </row>
    <row r="293" spans="1:22" ht="18.75">
      <c r="A293" s="317">
        <f t="shared" si="44"/>
        <v>286</v>
      </c>
      <c r="B293" s="469" t="s">
        <v>238</v>
      </c>
      <c r="C293" s="318" t="s">
        <v>2150</v>
      </c>
      <c r="D293" s="484" t="s">
        <v>1302</v>
      </c>
      <c r="E293" s="469" t="s">
        <v>2707</v>
      </c>
      <c r="F293" s="469" t="s">
        <v>2708</v>
      </c>
      <c r="G293" s="502">
        <v>44126</v>
      </c>
      <c r="H293" s="499">
        <v>89500</v>
      </c>
      <c r="I293" s="317"/>
      <c r="J293" s="317"/>
      <c r="K293" s="436">
        <f t="shared" si="37"/>
        <v>89500</v>
      </c>
      <c r="L293" s="502">
        <v>44126</v>
      </c>
      <c r="M293" s="326">
        <v>68104.578393110365</v>
      </c>
      <c r="N293" s="438">
        <f t="shared" si="38"/>
        <v>21395.421606889635</v>
      </c>
      <c r="O293" s="438">
        <f t="shared" si="39"/>
        <v>1256</v>
      </c>
      <c r="P293" s="497">
        <v>5</v>
      </c>
      <c r="Q293" s="454">
        <f t="shared" si="40"/>
        <v>3.441095890410959</v>
      </c>
      <c r="R293" s="454">
        <f t="shared" si="41"/>
        <v>1.558904109589041</v>
      </c>
      <c r="S293" s="455">
        <f t="shared" si="36"/>
        <v>0.50730708696092175</v>
      </c>
      <c r="T293" s="442">
        <v>16920</v>
      </c>
      <c r="U293" s="442">
        <f t="shared" si="42"/>
        <v>4475.4216068896349</v>
      </c>
      <c r="V293" s="442">
        <f t="shared" si="43"/>
        <v>4475</v>
      </c>
    </row>
    <row r="294" spans="1:22" ht="18.75">
      <c r="A294" s="317">
        <f t="shared" si="44"/>
        <v>287</v>
      </c>
      <c r="B294" s="469" t="s">
        <v>238</v>
      </c>
      <c r="C294" s="318" t="s">
        <v>2150</v>
      </c>
      <c r="D294" s="484" t="s">
        <v>1302</v>
      </c>
      <c r="E294" s="469" t="s">
        <v>2701</v>
      </c>
      <c r="F294" s="469" t="s">
        <v>2709</v>
      </c>
      <c r="G294" s="502">
        <v>44120</v>
      </c>
      <c r="H294" s="499">
        <v>150000</v>
      </c>
      <c r="I294" s="317"/>
      <c r="J294" s="317"/>
      <c r="K294" s="436">
        <f t="shared" si="37"/>
        <v>150000</v>
      </c>
      <c r="L294" s="502">
        <v>44120</v>
      </c>
      <c r="M294" s="326">
        <v>115385.11159630865</v>
      </c>
      <c r="N294" s="438">
        <f t="shared" si="38"/>
        <v>34614.888403691351</v>
      </c>
      <c r="O294" s="438">
        <f t="shared" si="39"/>
        <v>1262</v>
      </c>
      <c r="P294" s="497">
        <v>5</v>
      </c>
      <c r="Q294" s="454">
        <f t="shared" si="40"/>
        <v>3.4575342465753423</v>
      </c>
      <c r="R294" s="454">
        <f t="shared" si="41"/>
        <v>1.5424657534246577</v>
      </c>
      <c r="S294" s="455">
        <f t="shared" si="36"/>
        <v>0.50784286499196873</v>
      </c>
      <c r="T294" s="442">
        <v>27115</v>
      </c>
      <c r="U294" s="442">
        <f t="shared" si="42"/>
        <v>7499.8884036913514</v>
      </c>
      <c r="V294" s="442">
        <f t="shared" si="43"/>
        <v>7500</v>
      </c>
    </row>
    <row r="295" spans="1:22" ht="18.75">
      <c r="A295" s="317">
        <f t="shared" si="44"/>
        <v>288</v>
      </c>
      <c r="B295" s="469" t="s">
        <v>238</v>
      </c>
      <c r="C295" s="318" t="s">
        <v>2150</v>
      </c>
      <c r="D295" s="484" t="s">
        <v>1302</v>
      </c>
      <c r="E295" s="469" t="s">
        <v>2707</v>
      </c>
      <c r="F295" s="469" t="s">
        <v>2710</v>
      </c>
      <c r="G295" s="502">
        <v>44071</v>
      </c>
      <c r="H295" s="499">
        <v>54000</v>
      </c>
      <c r="I295" s="317"/>
      <c r="J295" s="317"/>
      <c r="K295" s="436">
        <f t="shared" si="37"/>
        <v>54000</v>
      </c>
      <c r="L295" s="502">
        <v>44071</v>
      </c>
      <c r="M295" s="326">
        <v>45248.236559712022</v>
      </c>
      <c r="N295" s="438">
        <f t="shared" si="38"/>
        <v>8751.7634402879776</v>
      </c>
      <c r="O295" s="438">
        <f t="shared" si="39"/>
        <v>1311</v>
      </c>
      <c r="P295" s="497">
        <v>5</v>
      </c>
      <c r="Q295" s="454">
        <f t="shared" si="40"/>
        <v>3.591780821917808</v>
      </c>
      <c r="R295" s="454">
        <f t="shared" si="41"/>
        <v>1.408219178082192</v>
      </c>
      <c r="S295" s="455">
        <f t="shared" si="36"/>
        <v>0.49103914924750874</v>
      </c>
      <c r="T295" s="442">
        <v>6052</v>
      </c>
      <c r="U295" s="442">
        <f t="shared" si="42"/>
        <v>2699.7634402879776</v>
      </c>
      <c r="V295" s="442">
        <f t="shared" si="43"/>
        <v>2700</v>
      </c>
    </row>
    <row r="296" spans="1:22" ht="18.75">
      <c r="A296" s="317">
        <f t="shared" si="44"/>
        <v>289</v>
      </c>
      <c r="B296" s="469" t="s">
        <v>238</v>
      </c>
      <c r="C296" s="318" t="s">
        <v>2150</v>
      </c>
      <c r="D296" s="484" t="s">
        <v>1302</v>
      </c>
      <c r="E296" s="469" t="s">
        <v>2707</v>
      </c>
      <c r="F296" s="469" t="s">
        <v>2711</v>
      </c>
      <c r="G296" s="502">
        <v>44071</v>
      </c>
      <c r="H296" s="499">
        <v>54000</v>
      </c>
      <c r="I296" s="317"/>
      <c r="J296" s="317"/>
      <c r="K296" s="436">
        <f t="shared" si="37"/>
        <v>54000</v>
      </c>
      <c r="L296" s="502">
        <v>44071</v>
      </c>
      <c r="M296" s="326">
        <v>45248.236559712022</v>
      </c>
      <c r="N296" s="438">
        <f t="shared" si="38"/>
        <v>8751.7634402879776</v>
      </c>
      <c r="O296" s="438">
        <f t="shared" si="39"/>
        <v>1311</v>
      </c>
      <c r="P296" s="497">
        <v>5</v>
      </c>
      <c r="Q296" s="454">
        <f t="shared" si="40"/>
        <v>3.591780821917808</v>
      </c>
      <c r="R296" s="454">
        <f t="shared" si="41"/>
        <v>1.408219178082192</v>
      </c>
      <c r="S296" s="455">
        <f t="shared" si="36"/>
        <v>0.49103914924750874</v>
      </c>
      <c r="T296" s="442">
        <v>6052</v>
      </c>
      <c r="U296" s="442">
        <f t="shared" si="42"/>
        <v>2699.7634402879776</v>
      </c>
      <c r="V296" s="442">
        <f t="shared" si="43"/>
        <v>2700</v>
      </c>
    </row>
    <row r="297" spans="1:22" ht="16.5">
      <c r="A297" s="317">
        <f t="shared" si="44"/>
        <v>290</v>
      </c>
      <c r="B297" s="14" t="s">
        <v>1197</v>
      </c>
      <c r="C297" s="318" t="s">
        <v>2173</v>
      </c>
      <c r="D297" s="14" t="s">
        <v>18</v>
      </c>
      <c r="E297" s="14" t="s">
        <v>916</v>
      </c>
      <c r="F297" s="14" t="s">
        <v>1198</v>
      </c>
      <c r="G297" s="15">
        <v>44558</v>
      </c>
      <c r="H297" s="499">
        <v>90000</v>
      </c>
      <c r="I297" s="317"/>
      <c r="J297" s="317"/>
      <c r="K297" s="436">
        <f t="shared" si="37"/>
        <v>90000</v>
      </c>
      <c r="L297" s="15">
        <v>44558</v>
      </c>
      <c r="M297" s="326">
        <v>27125.047580883889</v>
      </c>
      <c r="N297" s="438">
        <f t="shared" si="38"/>
        <v>62874.952419116111</v>
      </c>
      <c r="O297" s="438">
        <f t="shared" si="39"/>
        <v>824</v>
      </c>
      <c r="P297" s="497">
        <v>5</v>
      </c>
      <c r="Q297" s="454">
        <f t="shared" si="40"/>
        <v>2.2575342465753425</v>
      </c>
      <c r="R297" s="454">
        <f t="shared" si="41"/>
        <v>2.7424657534246575</v>
      </c>
      <c r="S297" s="455">
        <f t="shared" si="36"/>
        <v>0.33853818161212529</v>
      </c>
      <c r="T297" s="442">
        <f t="shared" ref="T297:T313" si="45">+K297*S297</f>
        <v>30468.436345091275</v>
      </c>
      <c r="U297" s="442">
        <f t="shared" si="42"/>
        <v>32406.516074024836</v>
      </c>
      <c r="V297" s="442">
        <f t="shared" si="43"/>
        <v>4500</v>
      </c>
    </row>
    <row r="298" spans="1:22" ht="16.5">
      <c r="A298" s="317">
        <f t="shared" si="44"/>
        <v>291</v>
      </c>
      <c r="B298" s="14" t="s">
        <v>1199</v>
      </c>
      <c r="C298" s="318" t="s">
        <v>2173</v>
      </c>
      <c r="D298" s="26" t="s">
        <v>21</v>
      </c>
      <c r="E298" s="14" t="s">
        <v>1201</v>
      </c>
      <c r="F298" s="14" t="s">
        <v>1200</v>
      </c>
      <c r="G298" s="23">
        <v>44434</v>
      </c>
      <c r="H298" s="499">
        <v>174231.96</v>
      </c>
      <c r="I298" s="317"/>
      <c r="J298" s="317"/>
      <c r="K298" s="436">
        <f t="shared" si="37"/>
        <v>174231.96</v>
      </c>
      <c r="L298" s="23">
        <v>44434</v>
      </c>
      <c r="M298" s="326">
        <v>67959.421186349471</v>
      </c>
      <c r="N298" s="438">
        <f t="shared" si="38"/>
        <v>106272.53881365052</v>
      </c>
      <c r="O298" s="438">
        <f t="shared" si="39"/>
        <v>948</v>
      </c>
      <c r="P298" s="497">
        <v>5</v>
      </c>
      <c r="Q298" s="454">
        <f t="shared" si="40"/>
        <v>2.5972602739726027</v>
      </c>
      <c r="R298" s="454">
        <f t="shared" si="41"/>
        <v>2.4027397260273973</v>
      </c>
      <c r="S298" s="455">
        <f t="shared" ref="S298:S307" si="46">(1-((K298*0.05)/N298))^1/R298</f>
        <v>0.38207462449578722</v>
      </c>
      <c r="T298" s="442">
        <f t="shared" si="45"/>
        <v>66569.610692165021</v>
      </c>
      <c r="U298" s="442">
        <f t="shared" si="42"/>
        <v>39702.9281214855</v>
      </c>
      <c r="V298" s="442">
        <f t="shared" si="43"/>
        <v>8711.598</v>
      </c>
    </row>
    <row r="299" spans="1:22" ht="16.5">
      <c r="A299" s="317">
        <f t="shared" si="44"/>
        <v>292</v>
      </c>
      <c r="B299" s="14" t="s">
        <v>1202</v>
      </c>
      <c r="C299" s="318" t="s">
        <v>2173</v>
      </c>
      <c r="D299" s="14" t="s">
        <v>26</v>
      </c>
      <c r="E299" s="14" t="s">
        <v>1204</v>
      </c>
      <c r="F299" s="14" t="s">
        <v>1203</v>
      </c>
      <c r="G299" s="23">
        <v>44512</v>
      </c>
      <c r="H299" s="499">
        <v>134576</v>
      </c>
      <c r="I299" s="317"/>
      <c r="J299" s="317"/>
      <c r="K299" s="436">
        <f t="shared" si="37"/>
        <v>134576</v>
      </c>
      <c r="L299" s="23">
        <v>44512</v>
      </c>
      <c r="M299" s="326">
        <v>44917.311739076067</v>
      </c>
      <c r="N299" s="438">
        <f t="shared" si="38"/>
        <v>89658.688260923926</v>
      </c>
      <c r="O299" s="438">
        <f t="shared" si="39"/>
        <v>870</v>
      </c>
      <c r="P299" s="497">
        <v>5</v>
      </c>
      <c r="Q299" s="454">
        <f t="shared" si="40"/>
        <v>2.3835616438356166</v>
      </c>
      <c r="R299" s="454">
        <f t="shared" si="41"/>
        <v>2.6164383561643834</v>
      </c>
      <c r="S299" s="455">
        <f t="shared" si="46"/>
        <v>0.35351528190447312</v>
      </c>
      <c r="T299" s="442">
        <f t="shared" si="45"/>
        <v>47574.672577576377</v>
      </c>
      <c r="U299" s="442">
        <f t="shared" si="42"/>
        <v>42084.015683347548</v>
      </c>
      <c r="V299" s="442">
        <f t="shared" si="43"/>
        <v>6728.8</v>
      </c>
    </row>
    <row r="300" spans="1:22" ht="16.5">
      <c r="A300" s="317">
        <f t="shared" si="44"/>
        <v>293</v>
      </c>
      <c r="B300" s="14" t="s">
        <v>1197</v>
      </c>
      <c r="C300" s="318" t="s">
        <v>2173</v>
      </c>
      <c r="D300" s="14" t="s">
        <v>26</v>
      </c>
      <c r="E300" s="14" t="s">
        <v>1206</v>
      </c>
      <c r="F300" s="14" t="s">
        <v>1205</v>
      </c>
      <c r="G300" s="23">
        <v>44616</v>
      </c>
      <c r="H300" s="499">
        <v>378676</v>
      </c>
      <c r="I300" s="317"/>
      <c r="J300" s="317"/>
      <c r="K300" s="436">
        <f t="shared" si="37"/>
        <v>378676</v>
      </c>
      <c r="L300" s="23">
        <v>44643</v>
      </c>
      <c r="M300" s="326">
        <v>91988.111389518803</v>
      </c>
      <c r="N300" s="438">
        <f t="shared" si="38"/>
        <v>286687.88861048117</v>
      </c>
      <c r="O300" s="438">
        <f t="shared" si="39"/>
        <v>739</v>
      </c>
      <c r="P300" s="497">
        <v>5</v>
      </c>
      <c r="Q300" s="454">
        <f t="shared" si="40"/>
        <v>2.0246575342465754</v>
      </c>
      <c r="R300" s="454">
        <f t="shared" si="41"/>
        <v>2.9753424657534246</v>
      </c>
      <c r="S300" s="455">
        <f t="shared" si="46"/>
        <v>0.3138989075709156</v>
      </c>
      <c r="T300" s="442">
        <f t="shared" si="45"/>
        <v>118865.98272332404</v>
      </c>
      <c r="U300" s="442">
        <f t="shared" si="42"/>
        <v>167821.90588715713</v>
      </c>
      <c r="V300" s="442">
        <f t="shared" si="43"/>
        <v>18933.8</v>
      </c>
    </row>
    <row r="301" spans="1:22" ht="16.5">
      <c r="A301" s="317">
        <f t="shared" si="44"/>
        <v>294</v>
      </c>
      <c r="B301" s="14" t="s">
        <v>1197</v>
      </c>
      <c r="C301" s="318" t="s">
        <v>2173</v>
      </c>
      <c r="D301" s="14" t="s">
        <v>26</v>
      </c>
      <c r="E301" s="14" t="s">
        <v>1206</v>
      </c>
      <c r="F301" s="14" t="s">
        <v>1205</v>
      </c>
      <c r="G301" s="23">
        <v>44616</v>
      </c>
      <c r="H301" s="499">
        <v>31054</v>
      </c>
      <c r="I301" s="317"/>
      <c r="J301" s="317"/>
      <c r="K301" s="436">
        <f t="shared" si="37"/>
        <v>31054</v>
      </c>
      <c r="L301" s="23">
        <v>44643</v>
      </c>
      <c r="M301" s="326">
        <v>7543.6489534327948</v>
      </c>
      <c r="N301" s="438">
        <f t="shared" si="38"/>
        <v>23510.351046567204</v>
      </c>
      <c r="O301" s="438">
        <f t="shared" si="39"/>
        <v>739</v>
      </c>
      <c r="P301" s="497">
        <v>5</v>
      </c>
      <c r="Q301" s="454">
        <f t="shared" si="40"/>
        <v>2.0246575342465754</v>
      </c>
      <c r="R301" s="454">
        <f t="shared" si="41"/>
        <v>2.9753424657534246</v>
      </c>
      <c r="S301" s="455">
        <f t="shared" si="46"/>
        <v>0.3138989075709156</v>
      </c>
      <c r="T301" s="442">
        <f t="shared" si="45"/>
        <v>9747.8166757072122</v>
      </c>
      <c r="U301" s="442">
        <f t="shared" si="42"/>
        <v>13762.534370859992</v>
      </c>
      <c r="V301" s="442">
        <f t="shared" si="43"/>
        <v>1552.7</v>
      </c>
    </row>
    <row r="302" spans="1:22" ht="16.5">
      <c r="A302" s="317">
        <f t="shared" si="44"/>
        <v>295</v>
      </c>
      <c r="B302" s="14" t="s">
        <v>1207</v>
      </c>
      <c r="C302" s="318" t="s">
        <v>2173</v>
      </c>
      <c r="D302" s="506" t="s">
        <v>988</v>
      </c>
      <c r="E302" s="14" t="s">
        <v>473</v>
      </c>
      <c r="F302" s="24" t="s">
        <v>1208</v>
      </c>
      <c r="G302" s="23">
        <v>44300</v>
      </c>
      <c r="H302" s="499">
        <v>33594</v>
      </c>
      <c r="I302" s="317"/>
      <c r="J302" s="317"/>
      <c r="K302" s="436">
        <f t="shared" si="37"/>
        <v>33594</v>
      </c>
      <c r="L302" s="23">
        <v>44300</v>
      </c>
      <c r="M302" s="326">
        <v>16518.252007911171</v>
      </c>
      <c r="N302" s="438">
        <f t="shared" si="38"/>
        <v>17075.747992088829</v>
      </c>
      <c r="O302" s="438">
        <f t="shared" si="39"/>
        <v>1082</v>
      </c>
      <c r="P302" s="497">
        <v>5</v>
      </c>
      <c r="Q302" s="454">
        <f t="shared" si="40"/>
        <v>2.9643835616438357</v>
      </c>
      <c r="R302" s="454">
        <f t="shared" si="41"/>
        <v>2.0356164383561643</v>
      </c>
      <c r="S302" s="455">
        <f t="shared" si="46"/>
        <v>0.44292844339516629</v>
      </c>
      <c r="T302" s="442">
        <f t="shared" si="45"/>
        <v>14879.738127417217</v>
      </c>
      <c r="U302" s="442">
        <f t="shared" si="42"/>
        <v>2196.0098646716124</v>
      </c>
      <c r="V302" s="442">
        <f t="shared" si="43"/>
        <v>1679.7</v>
      </c>
    </row>
    <row r="303" spans="1:22" ht="16.5">
      <c r="A303" s="317">
        <f t="shared" si="44"/>
        <v>296</v>
      </c>
      <c r="B303" s="14" t="s">
        <v>474</v>
      </c>
      <c r="C303" s="318" t="s">
        <v>2173</v>
      </c>
      <c r="D303" s="506" t="s">
        <v>988</v>
      </c>
      <c r="E303" s="14" t="s">
        <v>1210</v>
      </c>
      <c r="F303" s="24" t="s">
        <v>1209</v>
      </c>
      <c r="G303" s="25">
        <v>44412</v>
      </c>
      <c r="H303" s="499">
        <v>37288</v>
      </c>
      <c r="I303" s="317"/>
      <c r="J303" s="317"/>
      <c r="K303" s="436">
        <f t="shared" si="37"/>
        <v>37288</v>
      </c>
      <c r="L303" s="23">
        <v>44412</v>
      </c>
      <c r="M303" s="326">
        <v>15149.209512019344</v>
      </c>
      <c r="N303" s="438">
        <f t="shared" si="38"/>
        <v>22138.790487980656</v>
      </c>
      <c r="O303" s="438">
        <f t="shared" si="39"/>
        <v>970</v>
      </c>
      <c r="P303" s="497">
        <v>5</v>
      </c>
      <c r="Q303" s="454">
        <f t="shared" si="40"/>
        <v>2.6575342465753424</v>
      </c>
      <c r="R303" s="454">
        <f t="shared" si="41"/>
        <v>2.3424657534246576</v>
      </c>
      <c r="S303" s="455">
        <f t="shared" si="46"/>
        <v>0.39094950378552096</v>
      </c>
      <c r="T303" s="442">
        <f t="shared" si="45"/>
        <v>14577.725097154505</v>
      </c>
      <c r="U303" s="442">
        <f t="shared" si="42"/>
        <v>7561.0653908261502</v>
      </c>
      <c r="V303" s="442">
        <f t="shared" si="43"/>
        <v>1864.4</v>
      </c>
    </row>
    <row r="304" spans="1:22" ht="16.5">
      <c r="A304" s="317">
        <f t="shared" si="44"/>
        <v>297</v>
      </c>
      <c r="B304" s="14" t="s">
        <v>1211</v>
      </c>
      <c r="C304" s="318" t="s">
        <v>2173</v>
      </c>
      <c r="D304" s="506" t="s">
        <v>988</v>
      </c>
      <c r="E304" s="14" t="s">
        <v>1210</v>
      </c>
      <c r="F304" s="24" t="s">
        <v>1209</v>
      </c>
      <c r="G304" s="25">
        <v>44412</v>
      </c>
      <c r="H304" s="499">
        <v>83203</v>
      </c>
      <c r="I304" s="317"/>
      <c r="J304" s="317"/>
      <c r="K304" s="436">
        <f t="shared" si="37"/>
        <v>83203</v>
      </c>
      <c r="L304" s="23">
        <v>44412</v>
      </c>
      <c r="M304" s="326">
        <v>33803.359767982882</v>
      </c>
      <c r="N304" s="438">
        <f t="shared" si="38"/>
        <v>49399.640232017118</v>
      </c>
      <c r="O304" s="438">
        <f t="shared" si="39"/>
        <v>970</v>
      </c>
      <c r="P304" s="497">
        <v>5</v>
      </c>
      <c r="Q304" s="454">
        <f t="shared" si="40"/>
        <v>2.6575342465753424</v>
      </c>
      <c r="R304" s="454">
        <f t="shared" si="41"/>
        <v>2.3424657534246576</v>
      </c>
      <c r="S304" s="455">
        <f t="shared" si="46"/>
        <v>0.39094950378552096</v>
      </c>
      <c r="T304" s="442">
        <f t="shared" si="45"/>
        <v>32528.171563466702</v>
      </c>
      <c r="U304" s="442">
        <f t="shared" si="42"/>
        <v>16871.468668550417</v>
      </c>
      <c r="V304" s="442">
        <f t="shared" si="43"/>
        <v>4160.1500000000005</v>
      </c>
    </row>
    <row r="305" spans="1:22" ht="16.5">
      <c r="A305" s="317">
        <f t="shared" si="44"/>
        <v>298</v>
      </c>
      <c r="B305" s="14" t="s">
        <v>1211</v>
      </c>
      <c r="C305" s="318" t="s">
        <v>2173</v>
      </c>
      <c r="D305" s="506" t="s">
        <v>988</v>
      </c>
      <c r="E305" s="14" t="s">
        <v>1210</v>
      </c>
      <c r="F305" s="24" t="s">
        <v>1212</v>
      </c>
      <c r="G305" s="25">
        <v>44412</v>
      </c>
      <c r="H305" s="499">
        <v>36328</v>
      </c>
      <c r="I305" s="317"/>
      <c r="J305" s="317"/>
      <c r="K305" s="436">
        <f t="shared" si="37"/>
        <v>36328</v>
      </c>
      <c r="L305" s="23">
        <v>44413</v>
      </c>
      <c r="M305" s="326">
        <v>14732.263137300703</v>
      </c>
      <c r="N305" s="438">
        <f t="shared" si="38"/>
        <v>21595.736862699297</v>
      </c>
      <c r="O305" s="438">
        <f t="shared" si="39"/>
        <v>969</v>
      </c>
      <c r="P305" s="497">
        <v>5</v>
      </c>
      <c r="Q305" s="454">
        <f t="shared" si="40"/>
        <v>2.6547945205479451</v>
      </c>
      <c r="R305" s="454">
        <f t="shared" si="41"/>
        <v>2.3452054794520549</v>
      </c>
      <c r="S305" s="455">
        <f t="shared" si="46"/>
        <v>0.3905375520455342</v>
      </c>
      <c r="T305" s="442">
        <f t="shared" si="45"/>
        <v>14187.448190710167</v>
      </c>
      <c r="U305" s="442">
        <f t="shared" si="42"/>
        <v>7408.2886719891303</v>
      </c>
      <c r="V305" s="442">
        <f t="shared" si="43"/>
        <v>1816.4</v>
      </c>
    </row>
    <row r="306" spans="1:22" ht="16.5">
      <c r="A306" s="317">
        <f t="shared" si="44"/>
        <v>299</v>
      </c>
      <c r="B306" s="14" t="s">
        <v>474</v>
      </c>
      <c r="C306" s="318" t="s">
        <v>2173</v>
      </c>
      <c r="D306" s="14" t="s">
        <v>18</v>
      </c>
      <c r="E306" s="14" t="s">
        <v>24</v>
      </c>
      <c r="F306" s="24" t="s">
        <v>24</v>
      </c>
      <c r="G306" s="23">
        <v>44625</v>
      </c>
      <c r="H306" s="499">
        <v>13983</v>
      </c>
      <c r="I306" s="317"/>
      <c r="J306" s="317"/>
      <c r="K306" s="436">
        <f t="shared" si="37"/>
        <v>13983</v>
      </c>
      <c r="L306" s="23">
        <v>44625</v>
      </c>
      <c r="M306" s="326">
        <v>3567.983026120211</v>
      </c>
      <c r="N306" s="438">
        <f t="shared" si="38"/>
        <v>10415.016973879789</v>
      </c>
      <c r="O306" s="438">
        <f t="shared" si="39"/>
        <v>757</v>
      </c>
      <c r="P306" s="497">
        <v>5</v>
      </c>
      <c r="Q306" s="454">
        <f t="shared" si="40"/>
        <v>2.0739726027397261</v>
      </c>
      <c r="R306" s="454">
        <f t="shared" si="41"/>
        <v>2.9260273972602739</v>
      </c>
      <c r="S306" s="455">
        <f t="shared" si="46"/>
        <v>0.31881826178890998</v>
      </c>
      <c r="T306" s="442">
        <f t="shared" si="45"/>
        <v>4458.035754594328</v>
      </c>
      <c r="U306" s="442">
        <f t="shared" si="42"/>
        <v>5956.9812192854606</v>
      </c>
      <c r="V306" s="442">
        <f t="shared" si="43"/>
        <v>699.15000000000009</v>
      </c>
    </row>
    <row r="307" spans="1:22" ht="16.5">
      <c r="A307" s="317">
        <f t="shared" si="44"/>
        <v>300</v>
      </c>
      <c r="B307" s="14" t="s">
        <v>474</v>
      </c>
      <c r="C307" s="318" t="s">
        <v>2173</v>
      </c>
      <c r="D307" s="507" t="s">
        <v>23</v>
      </c>
      <c r="E307" s="14" t="s">
        <v>1214</v>
      </c>
      <c r="F307" s="24" t="s">
        <v>1213</v>
      </c>
      <c r="G307" s="23">
        <v>44536</v>
      </c>
      <c r="H307" s="499">
        <v>12544</v>
      </c>
      <c r="I307" s="317"/>
      <c r="J307" s="317"/>
      <c r="K307" s="436">
        <f t="shared" si="37"/>
        <v>12544</v>
      </c>
      <c r="L307" s="25">
        <v>44536</v>
      </c>
      <c r="M307" s="326">
        <v>3974.0109081249711</v>
      </c>
      <c r="N307" s="438">
        <f t="shared" si="38"/>
        <v>8569.989091875028</v>
      </c>
      <c r="O307" s="438">
        <f t="shared" si="39"/>
        <v>846</v>
      </c>
      <c r="P307" s="497">
        <v>5</v>
      </c>
      <c r="Q307" s="454">
        <f t="shared" si="40"/>
        <v>2.3178082191780822</v>
      </c>
      <c r="R307" s="454">
        <f t="shared" si="41"/>
        <v>2.6821917808219178</v>
      </c>
      <c r="S307" s="455">
        <f t="shared" si="46"/>
        <v>0.34554366416019422</v>
      </c>
      <c r="T307" s="442">
        <f t="shared" si="45"/>
        <v>4334.4997232254764</v>
      </c>
      <c r="U307" s="442">
        <f t="shared" si="42"/>
        <v>4235.4893686495516</v>
      </c>
      <c r="V307" s="442">
        <f t="shared" si="43"/>
        <v>627.20000000000005</v>
      </c>
    </row>
    <row r="308" spans="1:22" ht="16.5">
      <c r="A308" s="317">
        <f t="shared" si="44"/>
        <v>301</v>
      </c>
      <c r="B308" s="14" t="s">
        <v>236</v>
      </c>
      <c r="C308" s="318" t="s">
        <v>3663</v>
      </c>
      <c r="D308" s="26" t="s">
        <v>3614</v>
      </c>
      <c r="E308" s="14" t="s">
        <v>280</v>
      </c>
      <c r="F308" s="633" t="s">
        <v>271</v>
      </c>
      <c r="G308" s="23">
        <v>44702</v>
      </c>
      <c r="H308" s="499">
        <v>7712</v>
      </c>
      <c r="I308" s="317"/>
      <c r="J308" s="317"/>
      <c r="K308" s="436">
        <f t="shared" si="37"/>
        <v>7712</v>
      </c>
      <c r="L308" s="23">
        <v>44702</v>
      </c>
      <c r="M308" s="442">
        <v>1260.5422465753425</v>
      </c>
      <c r="N308" s="438">
        <f t="shared" si="38"/>
        <v>6451.4577534246573</v>
      </c>
      <c r="O308" s="438">
        <f t="shared" ref="O308:O333" si="47">+$O$3-L308</f>
        <v>680</v>
      </c>
      <c r="P308" s="497">
        <v>5</v>
      </c>
      <c r="Q308" s="454">
        <f t="shared" ref="Q308:Q333" si="48">+O308/365</f>
        <v>1.8630136986301369</v>
      </c>
      <c r="R308" s="454">
        <f t="shared" ref="R308:R333" si="49">+P308-Q308</f>
        <v>3.1369863013698631</v>
      </c>
      <c r="S308" s="455">
        <f t="shared" ref="S308:S333" si="50">(1-((K308*0.05)/N308))^1/R308</f>
        <v>0.29972415315963907</v>
      </c>
      <c r="T308" s="442">
        <f t="shared" si="45"/>
        <v>2311.4726691671367</v>
      </c>
      <c r="U308" s="442">
        <f t="shared" ref="U308:U333" si="51">+N308-T308</f>
        <v>4139.9850842575206</v>
      </c>
      <c r="V308" s="442">
        <f t="shared" ref="V308:V333" si="52">+H308*5%</f>
        <v>385.6</v>
      </c>
    </row>
    <row r="309" spans="1:22" ht="16.5">
      <c r="A309" s="317">
        <f t="shared" si="44"/>
        <v>302</v>
      </c>
      <c r="B309" s="14" t="s">
        <v>235</v>
      </c>
      <c r="C309" s="318" t="s">
        <v>3663</v>
      </c>
      <c r="D309" s="26" t="s">
        <v>3614</v>
      </c>
      <c r="E309" s="14" t="s">
        <v>473</v>
      </c>
      <c r="F309" s="633" t="s">
        <v>472</v>
      </c>
      <c r="G309" s="23">
        <v>44833</v>
      </c>
      <c r="H309" s="499">
        <v>30468.739999999998</v>
      </c>
      <c r="I309" s="317"/>
      <c r="J309" s="317"/>
      <c r="K309" s="436">
        <f t="shared" si="37"/>
        <v>30468.739999999998</v>
      </c>
      <c r="L309" s="23">
        <v>44833</v>
      </c>
      <c r="M309" s="442">
        <v>2902.4605199999992</v>
      </c>
      <c r="N309" s="438">
        <f t="shared" si="38"/>
        <v>27566.279479999997</v>
      </c>
      <c r="O309" s="438">
        <f t="shared" si="47"/>
        <v>549</v>
      </c>
      <c r="P309" s="497">
        <v>5</v>
      </c>
      <c r="Q309" s="454">
        <f t="shared" si="48"/>
        <v>1.5041095890410958</v>
      </c>
      <c r="R309" s="454">
        <f t="shared" si="49"/>
        <v>3.4958904109589044</v>
      </c>
      <c r="S309" s="455">
        <f t="shared" si="50"/>
        <v>0.27024173424487941</v>
      </c>
      <c r="T309" s="442">
        <f t="shared" si="45"/>
        <v>8233.9251378563258</v>
      </c>
      <c r="U309" s="442">
        <f t="shared" si="51"/>
        <v>19332.35434214367</v>
      </c>
      <c r="V309" s="442">
        <f t="shared" si="52"/>
        <v>1523.4369999999999</v>
      </c>
    </row>
    <row r="310" spans="1:22" ht="16.5">
      <c r="A310" s="317">
        <f t="shared" si="44"/>
        <v>303</v>
      </c>
      <c r="B310" s="14" t="s">
        <v>235</v>
      </c>
      <c r="C310" s="318" t="s">
        <v>3663</v>
      </c>
      <c r="D310" s="14" t="s">
        <v>26</v>
      </c>
      <c r="E310" s="14" t="s">
        <v>279</v>
      </c>
      <c r="F310" s="633">
        <v>335</v>
      </c>
      <c r="G310" s="15">
        <v>44664</v>
      </c>
      <c r="H310" s="499">
        <v>32455</v>
      </c>
      <c r="I310" s="317"/>
      <c r="J310" s="317"/>
      <c r="K310" s="436">
        <f t="shared" si="37"/>
        <v>32455</v>
      </c>
      <c r="L310" s="15">
        <v>44664</v>
      </c>
      <c r="M310" s="442">
        <v>5946.8230136986294</v>
      </c>
      <c r="N310" s="438">
        <f t="shared" si="38"/>
        <v>26508.176986301369</v>
      </c>
      <c r="O310" s="438">
        <f t="shared" si="47"/>
        <v>718</v>
      </c>
      <c r="P310" s="497">
        <v>5</v>
      </c>
      <c r="Q310" s="454">
        <f t="shared" si="48"/>
        <v>1.9671232876712328</v>
      </c>
      <c r="R310" s="454">
        <f t="shared" si="49"/>
        <v>3.0328767123287674</v>
      </c>
      <c r="S310" s="455">
        <f t="shared" si="50"/>
        <v>0.30953551015451114</v>
      </c>
      <c r="T310" s="442">
        <f t="shared" si="45"/>
        <v>10045.974982064659</v>
      </c>
      <c r="U310" s="442">
        <f t="shared" si="51"/>
        <v>16462.202004236708</v>
      </c>
      <c r="V310" s="442">
        <f t="shared" si="52"/>
        <v>1622.75</v>
      </c>
    </row>
    <row r="311" spans="1:22" ht="16.5">
      <c r="A311" s="317">
        <f t="shared" si="44"/>
        <v>304</v>
      </c>
      <c r="B311" s="14" t="s">
        <v>235</v>
      </c>
      <c r="C311" s="318" t="s">
        <v>3663</v>
      </c>
      <c r="D311" s="14" t="s">
        <v>26</v>
      </c>
      <c r="E311" s="14" t="s">
        <v>468</v>
      </c>
      <c r="F311" s="633" t="s">
        <v>467</v>
      </c>
      <c r="G311" s="23">
        <v>44831</v>
      </c>
      <c r="H311" s="499">
        <v>151187.41999999998</v>
      </c>
      <c r="I311" s="317"/>
      <c r="J311" s="317"/>
      <c r="K311" s="436">
        <f t="shared" si="37"/>
        <v>151187.41999999998</v>
      </c>
      <c r="L311" s="23">
        <v>44834</v>
      </c>
      <c r="M311" s="442">
        <v>14323.454749589038</v>
      </c>
      <c r="N311" s="438">
        <f t="shared" si="38"/>
        <v>136863.96525041095</v>
      </c>
      <c r="O311" s="438">
        <f t="shared" si="47"/>
        <v>548</v>
      </c>
      <c r="P311" s="497">
        <v>5</v>
      </c>
      <c r="Q311" s="454">
        <f t="shared" si="48"/>
        <v>1.5013698630136987</v>
      </c>
      <c r="R311" s="454">
        <f t="shared" si="49"/>
        <v>3.4986301369863013</v>
      </c>
      <c r="S311" s="455">
        <f t="shared" si="50"/>
        <v>0.27003919503129237</v>
      </c>
      <c r="T311" s="442">
        <f t="shared" si="45"/>
        <v>40826.529195657909</v>
      </c>
      <c r="U311" s="442">
        <f t="shared" si="51"/>
        <v>96037.436054753052</v>
      </c>
      <c r="V311" s="442">
        <f t="shared" si="52"/>
        <v>7559.3709999999992</v>
      </c>
    </row>
    <row r="312" spans="1:22" ht="16.5">
      <c r="A312" s="317">
        <f t="shared" si="44"/>
        <v>305</v>
      </c>
      <c r="B312" s="14" t="s">
        <v>469</v>
      </c>
      <c r="C312" s="318" t="s">
        <v>3663</v>
      </c>
      <c r="D312" s="14" t="s">
        <v>26</v>
      </c>
      <c r="E312" s="14" t="s">
        <v>471</v>
      </c>
      <c r="F312" s="633" t="s">
        <v>470</v>
      </c>
      <c r="G312" s="23">
        <v>44788</v>
      </c>
      <c r="H312" s="499">
        <v>126733.04000000001</v>
      </c>
      <c r="I312" s="317"/>
      <c r="J312" s="317"/>
      <c r="K312" s="436">
        <f t="shared" si="37"/>
        <v>126733.04000000001</v>
      </c>
      <c r="L312" s="23">
        <v>44788</v>
      </c>
      <c r="M312" s="442">
        <v>15041.302172054795</v>
      </c>
      <c r="N312" s="438">
        <f t="shared" si="38"/>
        <v>111691.73782794521</v>
      </c>
      <c r="O312" s="438">
        <f t="shared" si="47"/>
        <v>594</v>
      </c>
      <c r="P312" s="497">
        <v>5</v>
      </c>
      <c r="Q312" s="454">
        <f t="shared" si="48"/>
        <v>1.6273972602739726</v>
      </c>
      <c r="R312" s="454">
        <f t="shared" si="49"/>
        <v>3.3726027397260276</v>
      </c>
      <c r="S312" s="455">
        <f t="shared" si="50"/>
        <v>0.2796850602169641</v>
      </c>
      <c r="T312" s="442">
        <f t="shared" si="45"/>
        <v>35445.33792387892</v>
      </c>
      <c r="U312" s="442">
        <f t="shared" si="51"/>
        <v>76246.399904066289</v>
      </c>
      <c r="V312" s="442">
        <f t="shared" si="52"/>
        <v>6336.652000000001</v>
      </c>
    </row>
    <row r="313" spans="1:22" ht="16.5">
      <c r="A313" s="317">
        <f t="shared" si="44"/>
        <v>306</v>
      </c>
      <c r="B313" s="14" t="s">
        <v>235</v>
      </c>
      <c r="C313" s="318" t="s">
        <v>3663</v>
      </c>
      <c r="D313" s="14" t="s">
        <v>26</v>
      </c>
      <c r="E313" s="14" t="s">
        <v>468</v>
      </c>
      <c r="F313" s="633" t="s">
        <v>818</v>
      </c>
      <c r="G313" s="23">
        <v>44873</v>
      </c>
      <c r="H313" s="499">
        <v>74094</v>
      </c>
      <c r="I313" s="317"/>
      <c r="J313" s="317"/>
      <c r="K313" s="436">
        <f t="shared" si="37"/>
        <v>74094</v>
      </c>
      <c r="L313" s="23">
        <v>44873</v>
      </c>
      <c r="M313" s="442">
        <v>5515.4355616438352</v>
      </c>
      <c r="N313" s="438">
        <f t="shared" si="38"/>
        <v>68578.564438356159</v>
      </c>
      <c r="O313" s="438">
        <f t="shared" si="47"/>
        <v>509</v>
      </c>
      <c r="P313" s="497">
        <v>5</v>
      </c>
      <c r="Q313" s="454">
        <f t="shared" si="48"/>
        <v>1.3945205479452054</v>
      </c>
      <c r="R313" s="454">
        <f t="shared" si="49"/>
        <v>3.6054794520547944</v>
      </c>
      <c r="S313" s="455">
        <f t="shared" si="50"/>
        <v>0.26237252473254341</v>
      </c>
      <c r="T313" s="442">
        <f t="shared" si="45"/>
        <v>19440.229847533072</v>
      </c>
      <c r="U313" s="442">
        <f t="shared" si="51"/>
        <v>49138.334590823084</v>
      </c>
      <c r="V313" s="442">
        <f t="shared" si="52"/>
        <v>3704.7000000000003</v>
      </c>
    </row>
    <row r="314" spans="1:22" ht="16.5">
      <c r="A314" s="317">
        <f t="shared" si="44"/>
        <v>307</v>
      </c>
      <c r="B314" s="530" t="s">
        <v>474</v>
      </c>
      <c r="C314" s="318" t="s">
        <v>3663</v>
      </c>
      <c r="D314" s="530" t="s">
        <v>2474</v>
      </c>
      <c r="E314" s="530" t="s">
        <v>471</v>
      </c>
      <c r="F314" s="629" t="s">
        <v>3444</v>
      </c>
      <c r="G314" s="623">
        <v>44952</v>
      </c>
      <c r="H314" s="499">
        <v>23711.02</v>
      </c>
      <c r="I314" s="317"/>
      <c r="J314" s="317"/>
      <c r="K314" s="436">
        <f t="shared" si="37"/>
        <v>23711.02</v>
      </c>
      <c r="L314" s="623">
        <v>44956</v>
      </c>
      <c r="M314" s="442">
        <v>740.56336438356175</v>
      </c>
      <c r="N314" s="438">
        <f t="shared" si="38"/>
        <v>22970.45663561644</v>
      </c>
      <c r="O314" s="438">
        <f t="shared" si="47"/>
        <v>426</v>
      </c>
      <c r="P314" s="497">
        <v>5</v>
      </c>
      <c r="Q314" s="454">
        <f t="shared" si="48"/>
        <v>1.167123287671233</v>
      </c>
      <c r="R314" s="454">
        <f t="shared" si="49"/>
        <v>3.8328767123287673</v>
      </c>
      <c r="S314" s="455">
        <f t="shared" si="50"/>
        <v>0.24743504167488733</v>
      </c>
      <c r="T314" s="442">
        <f t="shared" ref="T314:T333" si="53">+K314*S314</f>
        <v>5866.9372218540875</v>
      </c>
      <c r="U314" s="442">
        <f t="shared" si="51"/>
        <v>17103.519413762351</v>
      </c>
      <c r="V314" s="442">
        <f t="shared" si="52"/>
        <v>1185.5510000000002</v>
      </c>
    </row>
    <row r="315" spans="1:22" ht="16.5">
      <c r="A315" s="317">
        <f t="shared" si="44"/>
        <v>308</v>
      </c>
      <c r="B315" s="14" t="s">
        <v>235</v>
      </c>
      <c r="C315" s="318" t="s">
        <v>3663</v>
      </c>
      <c r="D315" s="90" t="s">
        <v>3459</v>
      </c>
      <c r="E315" s="14" t="s">
        <v>281</v>
      </c>
      <c r="F315" s="633" t="s">
        <v>272</v>
      </c>
      <c r="G315" s="23">
        <v>44659</v>
      </c>
      <c r="H315" s="499">
        <v>59321.999999999993</v>
      </c>
      <c r="I315" s="317"/>
      <c r="J315" s="317"/>
      <c r="K315" s="436">
        <f t="shared" si="37"/>
        <v>59321.999999999993</v>
      </c>
      <c r="L315" s="23">
        <v>44659</v>
      </c>
      <c r="M315" s="442">
        <v>11024.140438356162</v>
      </c>
      <c r="N315" s="438">
        <f t="shared" si="38"/>
        <v>48297.859561643832</v>
      </c>
      <c r="O315" s="438">
        <f t="shared" si="47"/>
        <v>723</v>
      </c>
      <c r="P315" s="497">
        <v>5</v>
      </c>
      <c r="Q315" s="454">
        <f t="shared" si="48"/>
        <v>1.9808219178082191</v>
      </c>
      <c r="R315" s="454">
        <f t="shared" si="49"/>
        <v>3.0191780821917806</v>
      </c>
      <c r="S315" s="455">
        <f t="shared" si="50"/>
        <v>0.31087511734256368</v>
      </c>
      <c r="T315" s="442">
        <f t="shared" si="53"/>
        <v>18441.733710995559</v>
      </c>
      <c r="U315" s="442">
        <f t="shared" si="51"/>
        <v>29856.125850648274</v>
      </c>
      <c r="V315" s="442">
        <f t="shared" si="52"/>
        <v>2966.1</v>
      </c>
    </row>
    <row r="316" spans="1:22" ht="16.5">
      <c r="A316" s="317">
        <f t="shared" si="44"/>
        <v>309</v>
      </c>
      <c r="B316" s="14" t="s">
        <v>235</v>
      </c>
      <c r="C316" s="318" t="s">
        <v>3663</v>
      </c>
      <c r="D316" s="90" t="s">
        <v>3459</v>
      </c>
      <c r="E316" s="14" t="s">
        <v>281</v>
      </c>
      <c r="F316" s="633" t="s">
        <v>273</v>
      </c>
      <c r="G316" s="23">
        <v>44673</v>
      </c>
      <c r="H316" s="499">
        <v>115625</v>
      </c>
      <c r="I316" s="317"/>
      <c r="J316" s="317"/>
      <c r="K316" s="436">
        <f t="shared" si="37"/>
        <v>115625</v>
      </c>
      <c r="L316" s="23">
        <v>44673</v>
      </c>
      <c r="M316" s="442">
        <v>20644.60616438356</v>
      </c>
      <c r="N316" s="438">
        <f t="shared" si="38"/>
        <v>94980.393835616444</v>
      </c>
      <c r="O316" s="438">
        <f t="shared" si="47"/>
        <v>709</v>
      </c>
      <c r="P316" s="497">
        <v>5</v>
      </c>
      <c r="Q316" s="454">
        <f t="shared" si="48"/>
        <v>1.9424657534246574</v>
      </c>
      <c r="R316" s="454">
        <f t="shared" si="49"/>
        <v>3.0575342465753428</v>
      </c>
      <c r="S316" s="455">
        <f t="shared" si="50"/>
        <v>0.30715344429943991</v>
      </c>
      <c r="T316" s="442">
        <f t="shared" si="53"/>
        <v>35514.616997122743</v>
      </c>
      <c r="U316" s="442">
        <f t="shared" si="51"/>
        <v>59465.776838493701</v>
      </c>
      <c r="V316" s="442">
        <f t="shared" si="52"/>
        <v>5781.25</v>
      </c>
    </row>
    <row r="317" spans="1:22" ht="16.5">
      <c r="A317" s="317">
        <f t="shared" si="44"/>
        <v>310</v>
      </c>
      <c r="B317" s="14" t="s">
        <v>235</v>
      </c>
      <c r="C317" s="318" t="s">
        <v>3663</v>
      </c>
      <c r="D317" s="90" t="s">
        <v>3459</v>
      </c>
      <c r="E317" s="14" t="s">
        <v>281</v>
      </c>
      <c r="F317" s="633" t="s">
        <v>274</v>
      </c>
      <c r="G317" s="23">
        <v>44683</v>
      </c>
      <c r="H317" s="499">
        <v>57812</v>
      </c>
      <c r="I317" s="317"/>
      <c r="J317" s="317"/>
      <c r="K317" s="436">
        <f t="shared" si="37"/>
        <v>57812</v>
      </c>
      <c r="L317" s="23">
        <v>44683</v>
      </c>
      <c r="M317" s="442">
        <v>10021.274630136986</v>
      </c>
      <c r="N317" s="438">
        <f t="shared" si="38"/>
        <v>47790.725369863016</v>
      </c>
      <c r="O317" s="438">
        <f t="shared" si="47"/>
        <v>699</v>
      </c>
      <c r="P317" s="497">
        <v>5</v>
      </c>
      <c r="Q317" s="454">
        <f t="shared" si="48"/>
        <v>1.9150684931506849</v>
      </c>
      <c r="R317" s="454">
        <f t="shared" si="49"/>
        <v>3.0849315068493151</v>
      </c>
      <c r="S317" s="455">
        <f t="shared" si="50"/>
        <v>0.30454986075266732</v>
      </c>
      <c r="T317" s="442">
        <f t="shared" si="53"/>
        <v>17606.636549833202</v>
      </c>
      <c r="U317" s="442">
        <f t="shared" si="51"/>
        <v>30184.088820029814</v>
      </c>
      <c r="V317" s="442">
        <f t="shared" si="52"/>
        <v>2890.6000000000004</v>
      </c>
    </row>
    <row r="318" spans="1:22" ht="16.5">
      <c r="A318" s="317">
        <f t="shared" si="44"/>
        <v>311</v>
      </c>
      <c r="B318" s="14" t="s">
        <v>3619</v>
      </c>
      <c r="C318" s="318" t="s">
        <v>3663</v>
      </c>
      <c r="D318" s="90" t="s">
        <v>3459</v>
      </c>
      <c r="E318" s="14" t="s">
        <v>3620</v>
      </c>
      <c r="F318" s="633">
        <v>3134</v>
      </c>
      <c r="G318" s="23">
        <v>44985</v>
      </c>
      <c r="H318" s="499">
        <v>28516</v>
      </c>
      <c r="I318" s="317"/>
      <c r="J318" s="317"/>
      <c r="K318" s="436">
        <f t="shared" si="37"/>
        <v>28516</v>
      </c>
      <c r="L318" s="23">
        <v>44985</v>
      </c>
      <c r="M318" s="442">
        <v>460.16230136986292</v>
      </c>
      <c r="N318" s="438">
        <f t="shared" si="38"/>
        <v>28055.837698630137</v>
      </c>
      <c r="O318" s="438">
        <f t="shared" si="47"/>
        <v>397</v>
      </c>
      <c r="P318" s="497">
        <v>5</v>
      </c>
      <c r="Q318" s="454">
        <f t="shared" si="48"/>
        <v>1.0876712328767124</v>
      </c>
      <c r="R318" s="454">
        <f t="shared" si="49"/>
        <v>3.9123287671232876</v>
      </c>
      <c r="S318" s="455">
        <f t="shared" si="50"/>
        <v>0.24261251380338272</v>
      </c>
      <c r="T318" s="442">
        <f t="shared" si="53"/>
        <v>6918.3384436172619</v>
      </c>
      <c r="U318" s="442">
        <f t="shared" si="51"/>
        <v>21137.499255012874</v>
      </c>
      <c r="V318" s="442">
        <f t="shared" si="52"/>
        <v>1425.8000000000002</v>
      </c>
    </row>
    <row r="319" spans="1:22" ht="16.5">
      <c r="A319" s="317">
        <f t="shared" si="44"/>
        <v>312</v>
      </c>
      <c r="B319" s="14" t="s">
        <v>3619</v>
      </c>
      <c r="C319" s="318" t="s">
        <v>3663</v>
      </c>
      <c r="D319" s="90" t="s">
        <v>3459</v>
      </c>
      <c r="E319" s="14" t="s">
        <v>3621</v>
      </c>
      <c r="F319" s="633">
        <v>3413</v>
      </c>
      <c r="G319" s="23">
        <v>44985</v>
      </c>
      <c r="H319" s="499">
        <v>120312</v>
      </c>
      <c r="I319" s="317"/>
      <c r="J319" s="317"/>
      <c r="K319" s="436">
        <f t="shared" si="37"/>
        <v>120312</v>
      </c>
      <c r="L319" s="23">
        <v>44985</v>
      </c>
      <c r="M319" s="442">
        <v>1941.4730958904108</v>
      </c>
      <c r="N319" s="438">
        <f t="shared" si="38"/>
        <v>118370.52690410959</v>
      </c>
      <c r="O319" s="438">
        <f t="shared" si="47"/>
        <v>397</v>
      </c>
      <c r="P319" s="497">
        <v>5</v>
      </c>
      <c r="Q319" s="454">
        <f t="shared" si="48"/>
        <v>1.0876712328767124</v>
      </c>
      <c r="R319" s="454">
        <f t="shared" si="49"/>
        <v>3.9123287671232876</v>
      </c>
      <c r="S319" s="455">
        <f t="shared" si="50"/>
        <v>0.24261251380338272</v>
      </c>
      <c r="T319" s="442">
        <f t="shared" si="53"/>
        <v>29189.196760712581</v>
      </c>
      <c r="U319" s="442">
        <f t="shared" si="51"/>
        <v>89181.330143397005</v>
      </c>
      <c r="V319" s="442">
        <f t="shared" si="52"/>
        <v>6015.6</v>
      </c>
    </row>
    <row r="320" spans="1:22" ht="16.5">
      <c r="A320" s="317">
        <f t="shared" si="44"/>
        <v>313</v>
      </c>
      <c r="B320" s="14" t="s">
        <v>237</v>
      </c>
      <c r="C320" s="318" t="s">
        <v>3663</v>
      </c>
      <c r="D320" s="90" t="s">
        <v>3459</v>
      </c>
      <c r="E320" s="14" t="s">
        <v>281</v>
      </c>
      <c r="F320" s="633" t="s">
        <v>275</v>
      </c>
      <c r="G320" s="23">
        <v>44702</v>
      </c>
      <c r="H320" s="499">
        <v>12288</v>
      </c>
      <c r="I320" s="317"/>
      <c r="J320" s="317"/>
      <c r="K320" s="436">
        <f t="shared" si="37"/>
        <v>12288</v>
      </c>
      <c r="L320" s="23">
        <v>44702</v>
      </c>
      <c r="M320" s="442">
        <v>2008.4988493150684</v>
      </c>
      <c r="N320" s="438">
        <f t="shared" si="38"/>
        <v>10279.501150684931</v>
      </c>
      <c r="O320" s="438">
        <f t="shared" si="47"/>
        <v>680</v>
      </c>
      <c r="P320" s="497">
        <v>5</v>
      </c>
      <c r="Q320" s="454">
        <f t="shared" si="48"/>
        <v>1.8630136986301369</v>
      </c>
      <c r="R320" s="454">
        <f t="shared" si="49"/>
        <v>3.1369863013698631</v>
      </c>
      <c r="S320" s="455">
        <f t="shared" si="50"/>
        <v>0.29972415315963902</v>
      </c>
      <c r="T320" s="442">
        <f t="shared" si="53"/>
        <v>3683.010394025644</v>
      </c>
      <c r="U320" s="442">
        <f t="shared" si="51"/>
        <v>6596.4907566592874</v>
      </c>
      <c r="V320" s="442">
        <f t="shared" si="52"/>
        <v>614.40000000000009</v>
      </c>
    </row>
    <row r="321" spans="1:22" ht="16.5">
      <c r="A321" s="317">
        <f t="shared" si="44"/>
        <v>314</v>
      </c>
      <c r="B321" s="14" t="s">
        <v>238</v>
      </c>
      <c r="C321" s="318" t="s">
        <v>3663</v>
      </c>
      <c r="D321" s="90" t="s">
        <v>3459</v>
      </c>
      <c r="E321" s="14" t="s">
        <v>281</v>
      </c>
      <c r="F321" s="631" t="s">
        <v>276</v>
      </c>
      <c r="G321" s="23">
        <v>44697</v>
      </c>
      <c r="H321" s="499">
        <v>25391</v>
      </c>
      <c r="I321" s="317"/>
      <c r="J321" s="317"/>
      <c r="K321" s="436">
        <f t="shared" si="37"/>
        <v>25391</v>
      </c>
      <c r="L321" s="23">
        <v>44706</v>
      </c>
      <c r="M321" s="442">
        <v>4097.3421917808209</v>
      </c>
      <c r="N321" s="438">
        <f t="shared" si="38"/>
        <v>21293.657808219177</v>
      </c>
      <c r="O321" s="438">
        <f t="shared" si="47"/>
        <v>676</v>
      </c>
      <c r="P321" s="497">
        <v>5</v>
      </c>
      <c r="Q321" s="454">
        <f t="shared" si="48"/>
        <v>1.8520547945205479</v>
      </c>
      <c r="R321" s="454">
        <f t="shared" si="49"/>
        <v>3.1479452054794521</v>
      </c>
      <c r="S321" s="455">
        <f t="shared" si="50"/>
        <v>0.29872786841618165</v>
      </c>
      <c r="T321" s="442">
        <f t="shared" si="53"/>
        <v>7584.9993069552684</v>
      </c>
      <c r="U321" s="442">
        <f t="shared" si="51"/>
        <v>13708.658501263908</v>
      </c>
      <c r="V321" s="442">
        <f t="shared" si="52"/>
        <v>1269.5500000000002</v>
      </c>
    </row>
    <row r="322" spans="1:22" ht="16.5">
      <c r="A322" s="317">
        <f t="shared" si="44"/>
        <v>315</v>
      </c>
      <c r="B322" s="14" t="s">
        <v>239</v>
      </c>
      <c r="C322" s="318" t="s">
        <v>3663</v>
      </c>
      <c r="D322" s="665" t="s">
        <v>3461</v>
      </c>
      <c r="E322" s="14" t="s">
        <v>217</v>
      </c>
      <c r="F322" s="633" t="s">
        <v>277</v>
      </c>
      <c r="G322" s="23">
        <v>44722</v>
      </c>
      <c r="H322" s="499">
        <v>16517</v>
      </c>
      <c r="I322" s="317"/>
      <c r="J322" s="317"/>
      <c r="K322" s="436">
        <f t="shared" si="37"/>
        <v>16517</v>
      </c>
      <c r="L322" s="23">
        <v>44737</v>
      </c>
      <c r="M322" s="442">
        <v>2398.8114246575342</v>
      </c>
      <c r="N322" s="438">
        <f t="shared" si="38"/>
        <v>14118.188575342465</v>
      </c>
      <c r="O322" s="438">
        <f t="shared" si="47"/>
        <v>645</v>
      </c>
      <c r="P322" s="497">
        <v>5</v>
      </c>
      <c r="Q322" s="454">
        <f t="shared" si="48"/>
        <v>1.7671232876712328</v>
      </c>
      <c r="R322" s="454">
        <f t="shared" si="49"/>
        <v>3.2328767123287672</v>
      </c>
      <c r="S322" s="455">
        <f t="shared" si="50"/>
        <v>0.29122809781495607</v>
      </c>
      <c r="T322" s="442">
        <f t="shared" si="53"/>
        <v>4810.2144916096295</v>
      </c>
      <c r="U322" s="442">
        <f t="shared" si="51"/>
        <v>9307.9740837328354</v>
      </c>
      <c r="V322" s="442">
        <f t="shared" si="52"/>
        <v>825.85</v>
      </c>
    </row>
    <row r="323" spans="1:22" ht="16.5">
      <c r="A323" s="317">
        <f t="shared" si="44"/>
        <v>316</v>
      </c>
      <c r="B323" s="14" t="s">
        <v>235</v>
      </c>
      <c r="C323" s="318" t="s">
        <v>3663</v>
      </c>
      <c r="D323" s="112" t="s">
        <v>29</v>
      </c>
      <c r="E323" s="14" t="s">
        <v>205</v>
      </c>
      <c r="F323" s="631">
        <v>459</v>
      </c>
      <c r="G323" s="23">
        <v>44722</v>
      </c>
      <c r="H323" s="499">
        <v>61719</v>
      </c>
      <c r="I323" s="317"/>
      <c r="J323" s="317"/>
      <c r="K323" s="436">
        <f t="shared" si="37"/>
        <v>61719</v>
      </c>
      <c r="L323" s="23">
        <v>44722</v>
      </c>
      <c r="M323" s="442">
        <v>9445.5433972602732</v>
      </c>
      <c r="N323" s="438">
        <f t="shared" si="38"/>
        <v>52273.456602739723</v>
      </c>
      <c r="O323" s="438">
        <f t="shared" si="47"/>
        <v>660</v>
      </c>
      <c r="P323" s="497">
        <v>5</v>
      </c>
      <c r="Q323" s="454">
        <f t="shared" si="48"/>
        <v>1.8082191780821917</v>
      </c>
      <c r="R323" s="454">
        <f t="shared" si="49"/>
        <v>3.1917808219178081</v>
      </c>
      <c r="S323" s="455">
        <f t="shared" si="50"/>
        <v>0.29480885780044375</v>
      </c>
      <c r="T323" s="442">
        <f t="shared" si="53"/>
        <v>18195.307894585589</v>
      </c>
      <c r="U323" s="442">
        <f t="shared" si="51"/>
        <v>34078.148708154135</v>
      </c>
      <c r="V323" s="442">
        <f t="shared" si="52"/>
        <v>3085.9500000000003</v>
      </c>
    </row>
    <row r="324" spans="1:22" ht="16.5">
      <c r="A324" s="317">
        <f t="shared" si="44"/>
        <v>317</v>
      </c>
      <c r="B324" s="14" t="s">
        <v>474</v>
      </c>
      <c r="C324" s="318" t="s">
        <v>3663</v>
      </c>
      <c r="D324" s="14" t="s">
        <v>29</v>
      </c>
      <c r="E324" s="14" t="s">
        <v>205</v>
      </c>
      <c r="F324" s="633">
        <v>576</v>
      </c>
      <c r="G324" s="23">
        <v>44749</v>
      </c>
      <c r="H324" s="499">
        <v>13729</v>
      </c>
      <c r="I324" s="317"/>
      <c r="J324" s="317"/>
      <c r="K324" s="436">
        <f t="shared" si="37"/>
        <v>13729</v>
      </c>
      <c r="L324" s="23">
        <v>44757</v>
      </c>
      <c r="M324" s="442">
        <v>1850.9701095890409</v>
      </c>
      <c r="N324" s="438">
        <f t="shared" si="38"/>
        <v>11878.029890410959</v>
      </c>
      <c r="O324" s="438">
        <f t="shared" si="47"/>
        <v>625</v>
      </c>
      <c r="P324" s="497">
        <v>5</v>
      </c>
      <c r="Q324" s="454">
        <f t="shared" si="48"/>
        <v>1.7123287671232876</v>
      </c>
      <c r="R324" s="454">
        <f t="shared" si="49"/>
        <v>3.2876712328767121</v>
      </c>
      <c r="S324" s="455">
        <f t="shared" si="50"/>
        <v>0.28658839735267105</v>
      </c>
      <c r="T324" s="442">
        <f t="shared" si="53"/>
        <v>3934.5721072548208</v>
      </c>
      <c r="U324" s="442">
        <f t="shared" si="51"/>
        <v>7943.4577831561382</v>
      </c>
      <c r="V324" s="442">
        <f t="shared" si="52"/>
        <v>686.45</v>
      </c>
    </row>
    <row r="325" spans="1:22" ht="16.5">
      <c r="A325" s="317">
        <f t="shared" si="44"/>
        <v>318</v>
      </c>
      <c r="B325" s="14" t="s">
        <v>817</v>
      </c>
      <c r="C325" s="318" t="s">
        <v>3663</v>
      </c>
      <c r="D325" s="14" t="s">
        <v>29</v>
      </c>
      <c r="E325" s="14" t="s">
        <v>205</v>
      </c>
      <c r="F325" s="633">
        <v>986</v>
      </c>
      <c r="G325" s="23">
        <v>44878</v>
      </c>
      <c r="H325" s="499">
        <v>14406</v>
      </c>
      <c r="I325" s="317"/>
      <c r="J325" s="317"/>
      <c r="K325" s="436">
        <f t="shared" si="37"/>
        <v>14406</v>
      </c>
      <c r="L325" s="23">
        <v>44878</v>
      </c>
      <c r="M325" s="442">
        <v>1034.8638904109589</v>
      </c>
      <c r="N325" s="438">
        <f t="shared" si="38"/>
        <v>13371.136109589041</v>
      </c>
      <c r="O325" s="438">
        <f t="shared" si="47"/>
        <v>504</v>
      </c>
      <c r="P325" s="497">
        <v>5</v>
      </c>
      <c r="Q325" s="454">
        <f t="shared" si="48"/>
        <v>1.3808219178082193</v>
      </c>
      <c r="R325" s="454">
        <f t="shared" si="49"/>
        <v>3.6191780821917807</v>
      </c>
      <c r="S325" s="455">
        <f t="shared" si="50"/>
        <v>0.26142129801913344</v>
      </c>
      <c r="T325" s="442">
        <f t="shared" si="53"/>
        <v>3766.0352192636365</v>
      </c>
      <c r="U325" s="442">
        <f t="shared" si="51"/>
        <v>9605.1008903254042</v>
      </c>
      <c r="V325" s="442">
        <f t="shared" si="52"/>
        <v>720.30000000000007</v>
      </c>
    </row>
    <row r="326" spans="1:22" ht="16.5">
      <c r="A326" s="317">
        <f t="shared" si="44"/>
        <v>319</v>
      </c>
      <c r="B326" s="530" t="s">
        <v>3443</v>
      </c>
      <c r="C326" s="318" t="s">
        <v>3663</v>
      </c>
      <c r="D326" s="530" t="s">
        <v>29</v>
      </c>
      <c r="E326" s="530" t="s">
        <v>3442</v>
      </c>
      <c r="F326" s="629">
        <v>3670</v>
      </c>
      <c r="G326" s="620">
        <v>44934</v>
      </c>
      <c r="H326" s="499">
        <v>23000</v>
      </c>
      <c r="I326" s="317"/>
      <c r="J326" s="317"/>
      <c r="K326" s="436">
        <f t="shared" ref="K326:K333" si="54">+H326+I326-J326</f>
        <v>23000</v>
      </c>
      <c r="L326" s="620">
        <v>44936</v>
      </c>
      <c r="M326" s="442">
        <v>957.80821917808214</v>
      </c>
      <c r="N326" s="438">
        <f t="shared" ref="N326:N333" si="55">+K326-M326</f>
        <v>22042.191780821919</v>
      </c>
      <c r="O326" s="438">
        <f t="shared" si="47"/>
        <v>446</v>
      </c>
      <c r="P326" s="497">
        <v>5</v>
      </c>
      <c r="Q326" s="454">
        <f t="shared" si="48"/>
        <v>1.2219178082191782</v>
      </c>
      <c r="R326" s="454">
        <f t="shared" si="49"/>
        <v>3.7780821917808218</v>
      </c>
      <c r="S326" s="455">
        <f t="shared" si="50"/>
        <v>0.25087525410770312</v>
      </c>
      <c r="T326" s="442">
        <f t="shared" si="53"/>
        <v>5770.1308444771721</v>
      </c>
      <c r="U326" s="442">
        <f t="shared" si="51"/>
        <v>16272.060936344747</v>
      </c>
      <c r="V326" s="442">
        <f t="shared" si="52"/>
        <v>1150</v>
      </c>
    </row>
    <row r="327" spans="1:22" ht="16.5">
      <c r="A327" s="317">
        <f t="shared" si="44"/>
        <v>320</v>
      </c>
      <c r="B327" s="530" t="s">
        <v>2640</v>
      </c>
      <c r="C327" s="318" t="s">
        <v>3663</v>
      </c>
      <c r="D327" s="530" t="s">
        <v>29</v>
      </c>
      <c r="E327" s="530" t="s">
        <v>3440</v>
      </c>
      <c r="F327" s="629" t="s">
        <v>3441</v>
      </c>
      <c r="G327" s="620">
        <v>44934</v>
      </c>
      <c r="H327" s="499">
        <v>36718</v>
      </c>
      <c r="I327" s="317"/>
      <c r="J327" s="317"/>
      <c r="K327" s="436">
        <f t="shared" si="54"/>
        <v>36718</v>
      </c>
      <c r="L327" s="620">
        <v>44936</v>
      </c>
      <c r="M327" s="442">
        <v>1529.0783561643834</v>
      </c>
      <c r="N327" s="438">
        <f t="shared" si="55"/>
        <v>35188.921643835616</v>
      </c>
      <c r="O327" s="438">
        <f t="shared" si="47"/>
        <v>446</v>
      </c>
      <c r="P327" s="497">
        <v>5</v>
      </c>
      <c r="Q327" s="454">
        <f t="shared" si="48"/>
        <v>1.2219178082191782</v>
      </c>
      <c r="R327" s="454">
        <f t="shared" si="49"/>
        <v>3.7780821917808218</v>
      </c>
      <c r="S327" s="455">
        <f t="shared" si="50"/>
        <v>0.25087525410770312</v>
      </c>
      <c r="T327" s="442">
        <f t="shared" si="53"/>
        <v>9211.6375803266437</v>
      </c>
      <c r="U327" s="442">
        <f t="shared" si="51"/>
        <v>25977.284063508974</v>
      </c>
      <c r="V327" s="442">
        <f t="shared" si="52"/>
        <v>1835.9</v>
      </c>
    </row>
    <row r="328" spans="1:22" ht="16.5">
      <c r="A328" s="317">
        <f t="shared" si="44"/>
        <v>321</v>
      </c>
      <c r="B328" s="530" t="s">
        <v>2640</v>
      </c>
      <c r="C328" s="318" t="s">
        <v>3663</v>
      </c>
      <c r="D328" s="530" t="s">
        <v>29</v>
      </c>
      <c r="E328" s="530" t="s">
        <v>3438</v>
      </c>
      <c r="F328" s="629" t="s">
        <v>3439</v>
      </c>
      <c r="G328" s="620">
        <v>44934</v>
      </c>
      <c r="H328" s="499">
        <v>41250</v>
      </c>
      <c r="I328" s="317"/>
      <c r="J328" s="317"/>
      <c r="K328" s="436">
        <f t="shared" si="54"/>
        <v>41250</v>
      </c>
      <c r="L328" s="620">
        <v>44940</v>
      </c>
      <c r="M328" s="442">
        <v>1631.9178082191781</v>
      </c>
      <c r="N328" s="438">
        <f t="shared" si="55"/>
        <v>39618.082191780821</v>
      </c>
      <c r="O328" s="438">
        <f t="shared" si="47"/>
        <v>442</v>
      </c>
      <c r="P328" s="497">
        <v>5</v>
      </c>
      <c r="Q328" s="454">
        <f t="shared" si="48"/>
        <v>1.210958904109589</v>
      </c>
      <c r="R328" s="454">
        <f t="shared" si="49"/>
        <v>3.7890410958904113</v>
      </c>
      <c r="S328" s="455">
        <f t="shared" si="50"/>
        <v>0.25017950826245405</v>
      </c>
      <c r="T328" s="442">
        <f t="shared" si="53"/>
        <v>10319.904715826229</v>
      </c>
      <c r="U328" s="442">
        <f t="shared" si="51"/>
        <v>29298.177475954592</v>
      </c>
      <c r="V328" s="442">
        <f t="shared" si="52"/>
        <v>2062.5</v>
      </c>
    </row>
    <row r="329" spans="1:22" ht="16.5">
      <c r="A329" s="317">
        <f t="shared" si="44"/>
        <v>322</v>
      </c>
      <c r="B329" s="14" t="s">
        <v>3632</v>
      </c>
      <c r="C329" s="318" t="s">
        <v>3663</v>
      </c>
      <c r="D329" s="112" t="s">
        <v>29</v>
      </c>
      <c r="E329" s="14" t="s">
        <v>3631</v>
      </c>
      <c r="F329" s="631">
        <v>1100</v>
      </c>
      <c r="G329" s="23">
        <v>45016</v>
      </c>
      <c r="H329" s="499">
        <v>184375</v>
      </c>
      <c r="I329" s="317"/>
      <c r="J329" s="317"/>
      <c r="K329" s="436">
        <f t="shared" si="54"/>
        <v>184375</v>
      </c>
      <c r="L329" s="23">
        <v>45016</v>
      </c>
      <c r="M329" s="442">
        <v>0</v>
      </c>
      <c r="N329" s="438">
        <f t="shared" si="55"/>
        <v>184375</v>
      </c>
      <c r="O329" s="438">
        <f t="shared" si="47"/>
        <v>366</v>
      </c>
      <c r="P329" s="497">
        <v>5</v>
      </c>
      <c r="Q329" s="454">
        <f t="shared" si="48"/>
        <v>1.0027397260273974</v>
      </c>
      <c r="R329" s="454">
        <f t="shared" si="49"/>
        <v>3.9972602739726026</v>
      </c>
      <c r="S329" s="455">
        <f t="shared" si="50"/>
        <v>0.23766278272789582</v>
      </c>
      <c r="T329" s="442">
        <f t="shared" si="53"/>
        <v>43819.075565455794</v>
      </c>
      <c r="U329" s="442">
        <f t="shared" si="51"/>
        <v>140555.9244345442</v>
      </c>
      <c r="V329" s="442">
        <f t="shared" si="52"/>
        <v>9218.75</v>
      </c>
    </row>
    <row r="330" spans="1:22" ht="16.5">
      <c r="A330" s="317">
        <f t="shared" ref="A330" si="56">+A329+1</f>
        <v>323</v>
      </c>
      <c r="B330" s="14" t="s">
        <v>474</v>
      </c>
      <c r="C330" s="318" t="s">
        <v>3663</v>
      </c>
      <c r="D330" s="14" t="s">
        <v>29</v>
      </c>
      <c r="E330" s="14" t="s">
        <v>205</v>
      </c>
      <c r="F330" s="633">
        <v>1230</v>
      </c>
      <c r="G330" s="23">
        <v>44997</v>
      </c>
      <c r="H330" s="499">
        <v>9745</v>
      </c>
      <c r="I330" s="317"/>
      <c r="J330" s="317"/>
      <c r="K330" s="436">
        <f t="shared" si="54"/>
        <v>9745</v>
      </c>
      <c r="L330" s="23">
        <v>44997</v>
      </c>
      <c r="M330" s="442">
        <v>96.382054794520542</v>
      </c>
      <c r="N330" s="438">
        <f t="shared" si="55"/>
        <v>9648.6179452054803</v>
      </c>
      <c r="O330" s="438">
        <f t="shared" si="47"/>
        <v>385</v>
      </c>
      <c r="P330" s="497">
        <v>5</v>
      </c>
      <c r="Q330" s="454">
        <f t="shared" si="48"/>
        <v>1.0547945205479452</v>
      </c>
      <c r="R330" s="454">
        <f t="shared" si="49"/>
        <v>3.9452054794520546</v>
      </c>
      <c r="S330" s="455">
        <f t="shared" si="50"/>
        <v>0.240672011769372</v>
      </c>
      <c r="T330" s="442">
        <f t="shared" si="53"/>
        <v>2345.3487546925303</v>
      </c>
      <c r="U330" s="442">
        <f t="shared" si="51"/>
        <v>7303.2691905129504</v>
      </c>
      <c r="V330" s="442">
        <f t="shared" si="52"/>
        <v>487.25</v>
      </c>
    </row>
    <row r="331" spans="1:22" ht="16.5">
      <c r="A331" s="317">
        <f t="shared" si="44"/>
        <v>324</v>
      </c>
      <c r="B331" s="14" t="s">
        <v>238</v>
      </c>
      <c r="C331" s="318" t="s">
        <v>3663</v>
      </c>
      <c r="D331" s="14" t="s">
        <v>19</v>
      </c>
      <c r="E331" s="14" t="s">
        <v>282</v>
      </c>
      <c r="F331" s="633" t="s">
        <v>278</v>
      </c>
      <c r="G331" s="23">
        <v>44664</v>
      </c>
      <c r="H331" s="499">
        <v>36719</v>
      </c>
      <c r="I331" s="317"/>
      <c r="J331" s="317"/>
      <c r="K331" s="436">
        <f t="shared" si="54"/>
        <v>36719</v>
      </c>
      <c r="L331" s="23">
        <v>44664</v>
      </c>
      <c r="M331" s="442">
        <v>6728.1279999999997</v>
      </c>
      <c r="N331" s="438">
        <f t="shared" si="55"/>
        <v>29990.871999999999</v>
      </c>
      <c r="O331" s="438">
        <f t="shared" si="47"/>
        <v>718</v>
      </c>
      <c r="P331" s="497">
        <v>5</v>
      </c>
      <c r="Q331" s="454">
        <f t="shared" si="48"/>
        <v>1.9671232876712328</v>
      </c>
      <c r="R331" s="454">
        <f t="shared" si="49"/>
        <v>3.0328767123287674</v>
      </c>
      <c r="S331" s="455">
        <f t="shared" si="50"/>
        <v>0.30953551015451114</v>
      </c>
      <c r="T331" s="442">
        <f t="shared" si="53"/>
        <v>11365.834397363495</v>
      </c>
      <c r="U331" s="442">
        <f t="shared" si="51"/>
        <v>18625.037602636505</v>
      </c>
      <c r="V331" s="442">
        <f t="shared" si="52"/>
        <v>1835.95</v>
      </c>
    </row>
    <row r="332" spans="1:22" ht="16.5">
      <c r="A332" s="317">
        <f t="shared" ref="A332:A333" si="57">+A331+1</f>
        <v>325</v>
      </c>
      <c r="B332" s="14" t="s">
        <v>235</v>
      </c>
      <c r="C332" s="318" t="s">
        <v>3663</v>
      </c>
      <c r="D332" s="74" t="s">
        <v>28</v>
      </c>
      <c r="E332" s="14" t="s">
        <v>283</v>
      </c>
      <c r="F332" s="631">
        <v>204</v>
      </c>
      <c r="G332" s="23">
        <v>44683</v>
      </c>
      <c r="H332" s="499">
        <v>29297</v>
      </c>
      <c r="I332" s="317"/>
      <c r="J332" s="317"/>
      <c r="K332" s="436">
        <f t="shared" si="54"/>
        <v>29297</v>
      </c>
      <c r="L332" s="23">
        <v>44683</v>
      </c>
      <c r="M332" s="442">
        <v>5078.4142191780811</v>
      </c>
      <c r="N332" s="438">
        <f t="shared" si="55"/>
        <v>24218.585780821919</v>
      </c>
      <c r="O332" s="438">
        <f t="shared" si="47"/>
        <v>699</v>
      </c>
      <c r="P332" s="497">
        <v>5</v>
      </c>
      <c r="Q332" s="454">
        <f t="shared" si="48"/>
        <v>1.9150684931506849</v>
      </c>
      <c r="R332" s="454">
        <f t="shared" si="49"/>
        <v>3.0849315068493151</v>
      </c>
      <c r="S332" s="455">
        <f t="shared" si="50"/>
        <v>0.30454986075266732</v>
      </c>
      <c r="T332" s="442">
        <f t="shared" si="53"/>
        <v>8922.397270470894</v>
      </c>
      <c r="U332" s="442">
        <f t="shared" si="51"/>
        <v>15296.188510351025</v>
      </c>
      <c r="V332" s="442">
        <f t="shared" si="52"/>
        <v>1464.8500000000001</v>
      </c>
    </row>
    <row r="333" spans="1:22" ht="16.5">
      <c r="A333" s="317">
        <f t="shared" si="57"/>
        <v>326</v>
      </c>
      <c r="B333" s="530" t="s">
        <v>235</v>
      </c>
      <c r="C333" s="318" t="s">
        <v>3663</v>
      </c>
      <c r="D333" s="621" t="s">
        <v>880</v>
      </c>
      <c r="E333" s="530" t="s">
        <v>3437</v>
      </c>
      <c r="F333" s="629">
        <v>504</v>
      </c>
      <c r="G333" s="620">
        <v>44936</v>
      </c>
      <c r="H333" s="499">
        <v>37000</v>
      </c>
      <c r="I333" s="317"/>
      <c r="J333" s="317"/>
      <c r="K333" s="436">
        <f t="shared" si="54"/>
        <v>37000</v>
      </c>
      <c r="L333" s="620">
        <v>44952</v>
      </c>
      <c r="M333" s="442">
        <v>1232.6575342465753</v>
      </c>
      <c r="N333" s="438">
        <f t="shared" si="55"/>
        <v>35767.342465753427</v>
      </c>
      <c r="O333" s="438">
        <f t="shared" si="47"/>
        <v>430</v>
      </c>
      <c r="P333" s="497">
        <v>5</v>
      </c>
      <c r="Q333" s="454">
        <f t="shared" si="48"/>
        <v>1.178082191780822</v>
      </c>
      <c r="R333" s="454">
        <f t="shared" si="49"/>
        <v>3.8219178082191778</v>
      </c>
      <c r="S333" s="455">
        <f t="shared" si="50"/>
        <v>0.24811544542410402</v>
      </c>
      <c r="T333" s="442">
        <f t="shared" si="53"/>
        <v>9180.2714806918484</v>
      </c>
      <c r="U333" s="442">
        <f t="shared" si="51"/>
        <v>26587.070985061579</v>
      </c>
      <c r="V333" s="442">
        <f t="shared" si="52"/>
        <v>1850</v>
      </c>
    </row>
    <row r="334" spans="1:22" s="364" customFormat="1" ht="15.75">
      <c r="A334" s="314"/>
      <c r="B334" s="444" t="s">
        <v>2180</v>
      </c>
      <c r="C334" s="444"/>
      <c r="D334" s="444"/>
      <c r="E334" s="444"/>
      <c r="F334" s="444"/>
      <c r="G334" s="444"/>
      <c r="H334" s="445">
        <f>SUM(H8:H333)</f>
        <v>19323103.890000001</v>
      </c>
      <c r="I334" s="445">
        <f t="shared" ref="I334:N334" si="58">SUM(I8:I333)</f>
        <v>0</v>
      </c>
      <c r="J334" s="445">
        <f t="shared" si="58"/>
        <v>0</v>
      </c>
      <c r="K334" s="445">
        <f t="shared" si="58"/>
        <v>19323103.890000001</v>
      </c>
      <c r="L334" s="444"/>
      <c r="M334" s="445">
        <f t="shared" si="58"/>
        <v>16178549.349103615</v>
      </c>
      <c r="N334" s="445">
        <f t="shared" si="58"/>
        <v>3144554.5408963845</v>
      </c>
      <c r="O334" s="445" t="s">
        <v>24</v>
      </c>
      <c r="P334" s="445" t="s">
        <v>24</v>
      </c>
      <c r="Q334" s="445" t="s">
        <v>24</v>
      </c>
      <c r="R334" s="445" t="s">
        <v>24</v>
      </c>
      <c r="S334" s="445" t="s">
        <v>24</v>
      </c>
      <c r="T334" s="445">
        <f t="shared" ref="T334" si="59">SUM(T8:T333)</f>
        <v>1138679.8069337248</v>
      </c>
      <c r="U334" s="445">
        <f t="shared" ref="U334" si="60">SUM(U8:U333)</f>
        <v>2005874.7339626616</v>
      </c>
      <c r="V334" s="445">
        <f t="shared" ref="V334" si="61">SUM(V8:V333)</f>
        <v>966155.1945000001</v>
      </c>
    </row>
  </sheetData>
  <mergeCells count="23">
    <mergeCell ref="F4:F7"/>
    <mergeCell ref="A4:A7"/>
    <mergeCell ref="B4:B7"/>
    <mergeCell ref="C4:C7"/>
    <mergeCell ref="D4:D7"/>
    <mergeCell ref="E4:E7"/>
    <mergeCell ref="G4:G7"/>
    <mergeCell ref="H4:H7"/>
    <mergeCell ref="I4:J4"/>
    <mergeCell ref="K4:K7"/>
    <mergeCell ref="L4:L7"/>
    <mergeCell ref="T4:T7"/>
    <mergeCell ref="U4:U7"/>
    <mergeCell ref="V4:V7"/>
    <mergeCell ref="I5:I7"/>
    <mergeCell ref="J5:J7"/>
    <mergeCell ref="N4:N7"/>
    <mergeCell ref="O4:O7"/>
    <mergeCell ref="P4:P7"/>
    <mergeCell ref="Q4:Q7"/>
    <mergeCell ref="R4:R7"/>
    <mergeCell ref="S4:S7"/>
    <mergeCell ref="M4:M7"/>
  </mergeCells>
  <printOptions gridLines="1"/>
  <pageMargins left="0.70866141732283472" right="0.70866141732283472" top="0.74803149606299213" bottom="0.74803149606299213" header="0.31496062992125984" footer="0.31496062992125984"/>
  <pageSetup scale="40" orientation="landscape" r:id="rId1"/>
  <rowBreaks count="3" manualBreakCount="3">
    <brk id="73" max="21" man="1"/>
    <brk id="141" max="21" man="1"/>
    <brk id="204" max="21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326"/>
  <sheetViews>
    <sheetView topLeftCell="A263" zoomScaleNormal="100" workbookViewId="0">
      <selection activeCell="H275" sqref="H275"/>
    </sheetView>
  </sheetViews>
  <sheetFormatPr defaultColWidth="10" defaultRowHeight="12.75"/>
  <cols>
    <col min="1" max="1" width="10.1328125" style="313" bestFit="1" customWidth="1"/>
    <col min="2" max="2" width="16" style="313" customWidth="1"/>
    <col min="3" max="3" width="10.46484375" style="313" customWidth="1"/>
    <col min="4" max="4" width="10.33203125" style="313" customWidth="1"/>
    <col min="5" max="5" width="15.33203125" style="313" customWidth="1"/>
    <col min="6" max="6" width="13.53125" style="334" customWidth="1"/>
    <col min="7" max="7" width="14.1328125" style="313" bestFit="1" customWidth="1"/>
    <col min="8" max="8" width="13.53125" style="313" customWidth="1"/>
    <col min="9" max="9" width="11.33203125" style="313" bestFit="1" customWidth="1"/>
    <col min="10" max="10" width="13" style="313" bestFit="1" customWidth="1"/>
    <col min="11" max="11" width="13" style="313" customWidth="1"/>
    <col min="12" max="12" width="15.46484375" style="313" customWidth="1"/>
    <col min="13" max="13" width="12.86328125" style="313" customWidth="1"/>
    <col min="14" max="14" width="12.33203125" style="313" customWidth="1"/>
    <col min="15" max="15" width="15.46484375" style="313" customWidth="1"/>
    <col min="16" max="17" width="12.86328125" style="313" customWidth="1"/>
    <col min="18" max="19" width="10.53125" style="313" bestFit="1" customWidth="1"/>
    <col min="20" max="20" width="11.33203125" style="313" bestFit="1" customWidth="1"/>
    <col min="21" max="21" width="12.1328125" style="313" bestFit="1" customWidth="1"/>
    <col min="22" max="22" width="17.1328125" style="313" customWidth="1"/>
    <col min="23" max="16384" width="10" style="313"/>
  </cols>
  <sheetData>
    <row r="1" spans="1:24" s="364" customFormat="1" ht="15" thickBot="1">
      <c r="A1" s="338" t="s">
        <v>1338</v>
      </c>
      <c r="B1" s="427"/>
      <c r="C1" s="428"/>
      <c r="D1" s="428"/>
      <c r="E1" s="347"/>
      <c r="F1" s="429"/>
      <c r="G1" s="428"/>
      <c r="H1" s="430"/>
      <c r="I1" s="347"/>
      <c r="J1" s="347"/>
      <c r="K1" s="347"/>
      <c r="L1" s="431" t="s">
        <v>24</v>
      </c>
      <c r="M1" s="431" t="s">
        <v>24</v>
      </c>
      <c r="N1" s="432"/>
      <c r="O1" s="432"/>
      <c r="P1" s="431" t="s">
        <v>24</v>
      </c>
      <c r="Q1" s="431" t="s">
        <v>24</v>
      </c>
      <c r="R1" s="433"/>
      <c r="S1" s="433"/>
      <c r="T1" s="433"/>
      <c r="U1" s="347"/>
      <c r="V1" s="433"/>
    </row>
    <row r="2" spans="1:24" s="364" customFormat="1" ht="14.65">
      <c r="A2" s="344" t="s">
        <v>2712</v>
      </c>
      <c r="B2" s="434"/>
      <c r="C2" s="428"/>
      <c r="D2" s="428"/>
      <c r="E2" s="347"/>
      <c r="F2" s="429"/>
      <c r="G2" s="428"/>
      <c r="H2" s="430"/>
      <c r="I2" s="347"/>
      <c r="J2" s="347"/>
      <c r="K2" s="347"/>
      <c r="L2" s="431"/>
      <c r="M2" s="431"/>
      <c r="N2" s="432"/>
      <c r="O2" s="432"/>
      <c r="P2" s="431"/>
      <c r="Q2" s="431"/>
      <c r="R2" s="433"/>
      <c r="S2" s="433"/>
      <c r="T2" s="433"/>
      <c r="U2" s="433"/>
      <c r="V2" s="433"/>
    </row>
    <row r="3" spans="1:24" s="364" customFormat="1" ht="15" thickBot="1">
      <c r="A3" s="347" t="str">
        <f>+Buildings!B3</f>
        <v>CALCULATION OF DEPRECIATION FOR THE YEAR  ENDED  31-03-2024</v>
      </c>
      <c r="B3" s="434"/>
      <c r="C3" s="428"/>
      <c r="D3" s="428"/>
      <c r="E3" s="347"/>
      <c r="F3" s="429"/>
      <c r="G3" s="428"/>
      <c r="H3" s="430"/>
      <c r="I3" s="347"/>
      <c r="J3" s="347"/>
      <c r="K3" s="347"/>
      <c r="L3" s="431"/>
      <c r="M3" s="431"/>
      <c r="N3" s="432"/>
      <c r="O3" s="435">
        <v>45382</v>
      </c>
      <c r="P3" s="431"/>
      <c r="Q3" s="431"/>
      <c r="R3" s="433"/>
      <c r="S3" s="433"/>
      <c r="T3" s="433"/>
      <c r="U3" s="433"/>
      <c r="V3" s="433"/>
    </row>
    <row r="4" spans="1:24" s="364" customFormat="1" ht="14" customHeight="1" thickTop="1">
      <c r="A4" s="1133" t="s">
        <v>1289</v>
      </c>
      <c r="B4" s="1133" t="s">
        <v>1290</v>
      </c>
      <c r="C4" s="1158" t="s">
        <v>1352</v>
      </c>
      <c r="D4" s="1133" t="s">
        <v>1367</v>
      </c>
      <c r="E4" s="1133" t="s">
        <v>1368</v>
      </c>
      <c r="F4" s="1157" t="s">
        <v>1369</v>
      </c>
      <c r="G4" s="1133" t="s">
        <v>1370</v>
      </c>
      <c r="H4" s="1152" t="s">
        <v>3662</v>
      </c>
      <c r="I4" s="1155" t="s">
        <v>1353</v>
      </c>
      <c r="J4" s="1156"/>
      <c r="K4" s="1152" t="s">
        <v>3661</v>
      </c>
      <c r="L4" s="1152" t="s">
        <v>1371</v>
      </c>
      <c r="M4" s="1152" t="s">
        <v>2175</v>
      </c>
      <c r="N4" s="1145" t="s">
        <v>2176</v>
      </c>
      <c r="O4" s="1146" t="s">
        <v>1355</v>
      </c>
      <c r="P4" s="1138" t="s">
        <v>1356</v>
      </c>
      <c r="Q4" s="1138" t="s">
        <v>1357</v>
      </c>
      <c r="R4" s="1138" t="s">
        <v>1358</v>
      </c>
      <c r="S4" s="1149" t="s">
        <v>1373</v>
      </c>
      <c r="T4" s="1136" t="s">
        <v>3655</v>
      </c>
      <c r="U4" s="1138" t="s">
        <v>3656</v>
      </c>
      <c r="V4" s="1140" t="s">
        <v>1374</v>
      </c>
    </row>
    <row r="5" spans="1:24" s="364" customFormat="1">
      <c r="A5" s="1133"/>
      <c r="B5" s="1133"/>
      <c r="C5" s="1158"/>
      <c r="D5" s="1133"/>
      <c r="E5" s="1133"/>
      <c r="F5" s="1157"/>
      <c r="G5" s="1133"/>
      <c r="H5" s="1153"/>
      <c r="I5" s="1142" t="s">
        <v>891</v>
      </c>
      <c r="J5" s="1142" t="s">
        <v>892</v>
      </c>
      <c r="K5" s="1153"/>
      <c r="L5" s="1153"/>
      <c r="M5" s="1153"/>
      <c r="N5" s="1133"/>
      <c r="O5" s="1147"/>
      <c r="P5" s="1139"/>
      <c r="Q5" s="1139"/>
      <c r="R5" s="1139"/>
      <c r="S5" s="1150"/>
      <c r="T5" s="1137"/>
      <c r="U5" s="1139"/>
      <c r="V5" s="1141"/>
    </row>
    <row r="6" spans="1:24" s="364" customFormat="1">
      <c r="A6" s="1133"/>
      <c r="B6" s="1133"/>
      <c r="C6" s="1158"/>
      <c r="D6" s="1133"/>
      <c r="E6" s="1133"/>
      <c r="F6" s="1157"/>
      <c r="G6" s="1133"/>
      <c r="H6" s="1153"/>
      <c r="I6" s="1143"/>
      <c r="J6" s="1143"/>
      <c r="K6" s="1153"/>
      <c r="L6" s="1153"/>
      <c r="M6" s="1153"/>
      <c r="N6" s="1133"/>
      <c r="O6" s="1147"/>
      <c r="P6" s="1139"/>
      <c r="Q6" s="1139"/>
      <c r="R6" s="1139"/>
      <c r="S6" s="1150"/>
      <c r="T6" s="1137"/>
      <c r="U6" s="1139"/>
      <c r="V6" s="1141"/>
    </row>
    <row r="7" spans="1:24" s="364" customFormat="1" ht="24.6" customHeight="1">
      <c r="A7" s="1133"/>
      <c r="B7" s="1133"/>
      <c r="C7" s="1158"/>
      <c r="D7" s="1133"/>
      <c r="E7" s="1133"/>
      <c r="F7" s="1157"/>
      <c r="G7" s="1133"/>
      <c r="H7" s="1154"/>
      <c r="I7" s="1144"/>
      <c r="J7" s="1144"/>
      <c r="K7" s="1154"/>
      <c r="L7" s="1154"/>
      <c r="M7" s="1154"/>
      <c r="N7" s="1133"/>
      <c r="O7" s="1148"/>
      <c r="P7" s="1139"/>
      <c r="Q7" s="1139"/>
      <c r="R7" s="1139"/>
      <c r="S7" s="1151"/>
      <c r="T7" s="1137"/>
      <c r="U7" s="1139"/>
      <c r="V7" s="1141"/>
    </row>
    <row r="8" spans="1:24" ht="13.9">
      <c r="A8" s="340">
        <v>1</v>
      </c>
      <c r="B8" s="508" t="s">
        <v>425</v>
      </c>
      <c r="C8" s="508" t="s">
        <v>2226</v>
      </c>
      <c r="D8" s="508"/>
      <c r="E8" s="508"/>
      <c r="F8" s="508"/>
      <c r="G8" s="509"/>
      <c r="H8" s="510">
        <v>2676</v>
      </c>
      <c r="I8" s="340"/>
      <c r="J8" s="340"/>
      <c r="K8" s="510">
        <f>+H8+I8-J8</f>
        <v>2676</v>
      </c>
      <c r="L8" s="511" t="s">
        <v>2713</v>
      </c>
      <c r="M8" s="335">
        <v>2676</v>
      </c>
      <c r="N8" s="512">
        <f>+K8-M8</f>
        <v>0</v>
      </c>
      <c r="O8" s="512">
        <f>+$O$3-L8+1</f>
        <v>6940</v>
      </c>
      <c r="P8" s="513">
        <v>3</v>
      </c>
      <c r="Q8" s="514">
        <f>+O8/365</f>
        <v>19.013698630136986</v>
      </c>
      <c r="R8" s="514">
        <f>+P8-Q8</f>
        <v>-16.013698630136986</v>
      </c>
      <c r="S8" s="515">
        <f>1/P8*0.95</f>
        <v>0.31666666666666665</v>
      </c>
      <c r="T8" s="335"/>
      <c r="U8" s="516">
        <f>+N8-T8</f>
        <v>0</v>
      </c>
      <c r="V8" s="517">
        <f>ROUND(+H8*5%,0)</f>
        <v>134</v>
      </c>
      <c r="X8" s="335">
        <v>2676</v>
      </c>
    </row>
    <row r="9" spans="1:24" ht="13.9">
      <c r="A9" s="340" t="e">
        <f>+#REF!+1</f>
        <v>#REF!</v>
      </c>
      <c r="B9" s="508" t="s">
        <v>425</v>
      </c>
      <c r="C9" s="508" t="s">
        <v>1431</v>
      </c>
      <c r="D9" s="508"/>
      <c r="E9" s="508" t="s">
        <v>2435</v>
      </c>
      <c r="F9" s="508" t="s">
        <v>2714</v>
      </c>
      <c r="G9" s="509"/>
      <c r="H9" s="510">
        <v>4063</v>
      </c>
      <c r="I9" s="340"/>
      <c r="J9" s="340"/>
      <c r="K9" s="510">
        <f t="shared" ref="K9:K71" si="0">+H9+I9-J9</f>
        <v>4063</v>
      </c>
      <c r="L9" s="518">
        <v>38787</v>
      </c>
      <c r="M9" s="335">
        <v>4063</v>
      </c>
      <c r="N9" s="512">
        <f t="shared" ref="N9:N72" si="1">+K9-M9</f>
        <v>0</v>
      </c>
      <c r="O9" s="512">
        <f t="shared" ref="O9:O71" si="2">+$O$3-L9+1</f>
        <v>6596</v>
      </c>
      <c r="P9" s="513">
        <v>3</v>
      </c>
      <c r="Q9" s="514">
        <f t="shared" ref="Q9:Q71" si="3">+O9/365</f>
        <v>18.07123287671233</v>
      </c>
      <c r="R9" s="514">
        <f t="shared" ref="R9:R71" si="4">+P9-Q9</f>
        <v>-15.07123287671233</v>
      </c>
      <c r="S9" s="515">
        <f t="shared" ref="S9:S71" si="5">1/P9*0.95</f>
        <v>0.31666666666666665</v>
      </c>
      <c r="T9" s="335"/>
      <c r="U9" s="516">
        <f t="shared" ref="U9:U71" si="6">+N9-T9</f>
        <v>0</v>
      </c>
      <c r="V9" s="517">
        <f t="shared" ref="V9:V71" si="7">ROUND(+H9*5%,0)</f>
        <v>203</v>
      </c>
      <c r="X9" s="335">
        <v>4063</v>
      </c>
    </row>
    <row r="10" spans="1:24" ht="13.9">
      <c r="A10" s="340" t="e">
        <f t="shared" ref="A10:A72" si="8">+A9+1</f>
        <v>#REF!</v>
      </c>
      <c r="B10" s="508" t="s">
        <v>425</v>
      </c>
      <c r="C10" s="508" t="s">
        <v>1431</v>
      </c>
      <c r="D10" s="508"/>
      <c r="E10" s="508" t="s">
        <v>2435</v>
      </c>
      <c r="F10" s="508" t="s">
        <v>2715</v>
      </c>
      <c r="G10" s="509"/>
      <c r="H10" s="510">
        <v>1788</v>
      </c>
      <c r="I10" s="340"/>
      <c r="J10" s="340"/>
      <c r="K10" s="510">
        <f t="shared" si="0"/>
        <v>1788</v>
      </c>
      <c r="L10" s="518">
        <v>38787</v>
      </c>
      <c r="M10" s="335">
        <v>1788</v>
      </c>
      <c r="N10" s="512">
        <f t="shared" si="1"/>
        <v>0</v>
      </c>
      <c r="O10" s="512">
        <f t="shared" si="2"/>
        <v>6596</v>
      </c>
      <c r="P10" s="513">
        <v>3</v>
      </c>
      <c r="Q10" s="514">
        <f t="shared" si="3"/>
        <v>18.07123287671233</v>
      </c>
      <c r="R10" s="514">
        <f t="shared" si="4"/>
        <v>-15.07123287671233</v>
      </c>
      <c r="S10" s="515">
        <f t="shared" si="5"/>
        <v>0.31666666666666665</v>
      </c>
      <c r="T10" s="335"/>
      <c r="U10" s="516">
        <f t="shared" si="6"/>
        <v>0</v>
      </c>
      <c r="V10" s="517">
        <f t="shared" si="7"/>
        <v>89</v>
      </c>
      <c r="X10" s="335">
        <v>1788</v>
      </c>
    </row>
    <row r="11" spans="1:24" ht="13.9">
      <c r="A11" s="340" t="e">
        <f t="shared" si="8"/>
        <v>#REF!</v>
      </c>
      <c r="B11" s="508" t="s">
        <v>425</v>
      </c>
      <c r="C11" s="508" t="s">
        <v>1431</v>
      </c>
      <c r="D11" s="508"/>
      <c r="E11" s="508" t="s">
        <v>2435</v>
      </c>
      <c r="F11" s="508" t="s">
        <v>2716</v>
      </c>
      <c r="G11" s="509"/>
      <c r="H11" s="510">
        <v>2039</v>
      </c>
      <c r="I11" s="340"/>
      <c r="J11" s="340"/>
      <c r="K11" s="510">
        <f t="shared" si="0"/>
        <v>2039</v>
      </c>
      <c r="L11" s="518">
        <v>38787</v>
      </c>
      <c r="M11" s="335">
        <v>2039</v>
      </c>
      <c r="N11" s="512">
        <f t="shared" si="1"/>
        <v>0</v>
      </c>
      <c r="O11" s="512">
        <f t="shared" si="2"/>
        <v>6596</v>
      </c>
      <c r="P11" s="513">
        <v>3</v>
      </c>
      <c r="Q11" s="514">
        <f t="shared" si="3"/>
        <v>18.07123287671233</v>
      </c>
      <c r="R11" s="514">
        <f t="shared" si="4"/>
        <v>-15.07123287671233</v>
      </c>
      <c r="S11" s="515">
        <f t="shared" si="5"/>
        <v>0.31666666666666665</v>
      </c>
      <c r="T11" s="335"/>
      <c r="U11" s="516">
        <f t="shared" si="6"/>
        <v>0</v>
      </c>
      <c r="V11" s="517">
        <f t="shared" si="7"/>
        <v>102</v>
      </c>
      <c r="X11" s="335">
        <v>2039</v>
      </c>
    </row>
    <row r="12" spans="1:24" ht="13.9">
      <c r="A12" s="340" t="e">
        <f t="shared" si="8"/>
        <v>#REF!</v>
      </c>
      <c r="B12" s="508" t="s">
        <v>425</v>
      </c>
      <c r="C12" s="508" t="s">
        <v>1431</v>
      </c>
      <c r="D12" s="508"/>
      <c r="E12" s="508" t="s">
        <v>2435</v>
      </c>
      <c r="F12" s="508" t="s">
        <v>2717</v>
      </c>
      <c r="G12" s="509"/>
      <c r="H12" s="510">
        <v>2121</v>
      </c>
      <c r="I12" s="340"/>
      <c r="J12" s="340"/>
      <c r="K12" s="510">
        <f t="shared" si="0"/>
        <v>2121</v>
      </c>
      <c r="L12" s="518">
        <v>38787</v>
      </c>
      <c r="M12" s="335">
        <v>2121</v>
      </c>
      <c r="N12" s="512">
        <f t="shared" si="1"/>
        <v>0</v>
      </c>
      <c r="O12" s="512">
        <f t="shared" si="2"/>
        <v>6596</v>
      </c>
      <c r="P12" s="513">
        <v>3</v>
      </c>
      <c r="Q12" s="514">
        <f t="shared" si="3"/>
        <v>18.07123287671233</v>
      </c>
      <c r="R12" s="514">
        <f t="shared" si="4"/>
        <v>-15.07123287671233</v>
      </c>
      <c r="S12" s="515">
        <f t="shared" si="5"/>
        <v>0.31666666666666665</v>
      </c>
      <c r="T12" s="335"/>
      <c r="U12" s="516">
        <f t="shared" si="6"/>
        <v>0</v>
      </c>
      <c r="V12" s="517">
        <f t="shared" si="7"/>
        <v>106</v>
      </c>
      <c r="X12" s="335">
        <v>2121</v>
      </c>
    </row>
    <row r="13" spans="1:24" ht="13.9">
      <c r="A13" s="340" t="e">
        <f t="shared" si="8"/>
        <v>#REF!</v>
      </c>
      <c r="B13" s="508" t="s">
        <v>425</v>
      </c>
      <c r="C13" s="508" t="s">
        <v>1431</v>
      </c>
      <c r="D13" s="508"/>
      <c r="E13" s="508" t="s">
        <v>2435</v>
      </c>
      <c r="F13" s="508" t="s">
        <v>2718</v>
      </c>
      <c r="G13" s="509"/>
      <c r="H13" s="510">
        <v>3047</v>
      </c>
      <c r="I13" s="340"/>
      <c r="J13" s="340"/>
      <c r="K13" s="510">
        <f t="shared" si="0"/>
        <v>3047</v>
      </c>
      <c r="L13" s="518">
        <v>38787</v>
      </c>
      <c r="M13" s="335">
        <v>3047</v>
      </c>
      <c r="N13" s="512">
        <f t="shared" si="1"/>
        <v>0</v>
      </c>
      <c r="O13" s="512">
        <f t="shared" si="2"/>
        <v>6596</v>
      </c>
      <c r="P13" s="513">
        <v>3</v>
      </c>
      <c r="Q13" s="514">
        <f t="shared" si="3"/>
        <v>18.07123287671233</v>
      </c>
      <c r="R13" s="514">
        <f t="shared" si="4"/>
        <v>-15.07123287671233</v>
      </c>
      <c r="S13" s="515">
        <f t="shared" si="5"/>
        <v>0.31666666666666665</v>
      </c>
      <c r="T13" s="335"/>
      <c r="U13" s="516">
        <f t="shared" si="6"/>
        <v>0</v>
      </c>
      <c r="V13" s="517">
        <f t="shared" si="7"/>
        <v>152</v>
      </c>
      <c r="X13" s="335">
        <v>3047</v>
      </c>
    </row>
    <row r="14" spans="1:24" ht="13.9">
      <c r="A14" s="340" t="e">
        <f t="shared" si="8"/>
        <v>#REF!</v>
      </c>
      <c r="B14" s="508" t="s">
        <v>425</v>
      </c>
      <c r="C14" s="508" t="s">
        <v>1431</v>
      </c>
      <c r="D14" s="508"/>
      <c r="E14" s="508" t="s">
        <v>2435</v>
      </c>
      <c r="F14" s="508" t="s">
        <v>2719</v>
      </c>
      <c r="G14" s="509"/>
      <c r="H14" s="510">
        <v>3107</v>
      </c>
      <c r="I14" s="340"/>
      <c r="J14" s="340"/>
      <c r="K14" s="510">
        <f t="shared" si="0"/>
        <v>3107</v>
      </c>
      <c r="L14" s="518">
        <v>38787</v>
      </c>
      <c r="M14" s="335">
        <v>3107</v>
      </c>
      <c r="N14" s="512">
        <f t="shared" si="1"/>
        <v>0</v>
      </c>
      <c r="O14" s="512">
        <f t="shared" si="2"/>
        <v>6596</v>
      </c>
      <c r="P14" s="513">
        <v>3</v>
      </c>
      <c r="Q14" s="514">
        <f t="shared" si="3"/>
        <v>18.07123287671233</v>
      </c>
      <c r="R14" s="514">
        <f t="shared" si="4"/>
        <v>-15.07123287671233</v>
      </c>
      <c r="S14" s="515">
        <f t="shared" si="5"/>
        <v>0.31666666666666665</v>
      </c>
      <c r="T14" s="335"/>
      <c r="U14" s="516">
        <f t="shared" si="6"/>
        <v>0</v>
      </c>
      <c r="V14" s="517">
        <f t="shared" si="7"/>
        <v>155</v>
      </c>
      <c r="X14" s="335">
        <v>3107</v>
      </c>
    </row>
    <row r="15" spans="1:24" ht="13.9">
      <c r="A15" s="340" t="e">
        <f t="shared" si="8"/>
        <v>#REF!</v>
      </c>
      <c r="B15" s="508" t="s">
        <v>425</v>
      </c>
      <c r="C15" s="508" t="s">
        <v>1396</v>
      </c>
      <c r="D15" s="508"/>
      <c r="E15" s="508" t="s">
        <v>2435</v>
      </c>
      <c r="F15" s="508" t="s">
        <v>2720</v>
      </c>
      <c r="G15" s="509"/>
      <c r="H15" s="510">
        <v>3343</v>
      </c>
      <c r="I15" s="340"/>
      <c r="J15" s="340"/>
      <c r="K15" s="510">
        <f t="shared" si="0"/>
        <v>3343</v>
      </c>
      <c r="L15" s="518">
        <v>38856</v>
      </c>
      <c r="M15" s="335">
        <v>3343</v>
      </c>
      <c r="N15" s="512">
        <f t="shared" si="1"/>
        <v>0</v>
      </c>
      <c r="O15" s="512">
        <f t="shared" si="2"/>
        <v>6527</v>
      </c>
      <c r="P15" s="513">
        <v>3</v>
      </c>
      <c r="Q15" s="514">
        <f t="shared" si="3"/>
        <v>17.882191780821916</v>
      </c>
      <c r="R15" s="514">
        <f t="shared" si="4"/>
        <v>-14.882191780821916</v>
      </c>
      <c r="S15" s="515">
        <f t="shared" si="5"/>
        <v>0.31666666666666665</v>
      </c>
      <c r="T15" s="335"/>
      <c r="U15" s="516">
        <f t="shared" si="6"/>
        <v>0</v>
      </c>
      <c r="V15" s="517">
        <f t="shared" si="7"/>
        <v>167</v>
      </c>
      <c r="X15" s="335">
        <v>3343</v>
      </c>
    </row>
    <row r="16" spans="1:24" ht="13.9">
      <c r="A16" s="340" t="e">
        <f t="shared" si="8"/>
        <v>#REF!</v>
      </c>
      <c r="B16" s="508" t="s">
        <v>425</v>
      </c>
      <c r="C16" s="508" t="s">
        <v>1396</v>
      </c>
      <c r="D16" s="508"/>
      <c r="E16" s="508" t="s">
        <v>2435</v>
      </c>
      <c r="F16" s="508" t="s">
        <v>2721</v>
      </c>
      <c r="G16" s="509"/>
      <c r="H16" s="510">
        <v>3285</v>
      </c>
      <c r="I16" s="340"/>
      <c r="J16" s="340"/>
      <c r="K16" s="510">
        <f t="shared" si="0"/>
        <v>3285</v>
      </c>
      <c r="L16" s="518">
        <v>38860</v>
      </c>
      <c r="M16" s="335">
        <v>3285</v>
      </c>
      <c r="N16" s="512">
        <f t="shared" si="1"/>
        <v>0</v>
      </c>
      <c r="O16" s="512">
        <f t="shared" si="2"/>
        <v>6523</v>
      </c>
      <c r="P16" s="513">
        <v>3</v>
      </c>
      <c r="Q16" s="514">
        <f t="shared" si="3"/>
        <v>17.87123287671233</v>
      </c>
      <c r="R16" s="514">
        <f t="shared" si="4"/>
        <v>-14.87123287671233</v>
      </c>
      <c r="S16" s="515">
        <f t="shared" si="5"/>
        <v>0.31666666666666665</v>
      </c>
      <c r="T16" s="335"/>
      <c r="U16" s="516">
        <f t="shared" si="6"/>
        <v>0</v>
      </c>
      <c r="V16" s="517">
        <f t="shared" si="7"/>
        <v>164</v>
      </c>
      <c r="X16" s="335">
        <v>3285</v>
      </c>
    </row>
    <row r="17" spans="1:24" ht="13.9">
      <c r="A17" s="340" t="e">
        <f t="shared" si="8"/>
        <v>#REF!</v>
      </c>
      <c r="B17" s="508" t="s">
        <v>425</v>
      </c>
      <c r="C17" s="508" t="s">
        <v>1396</v>
      </c>
      <c r="D17" s="508"/>
      <c r="E17" s="508" t="s">
        <v>2435</v>
      </c>
      <c r="F17" s="508" t="s">
        <v>2722</v>
      </c>
      <c r="G17" s="509"/>
      <c r="H17" s="510">
        <v>3598</v>
      </c>
      <c r="I17" s="340"/>
      <c r="J17" s="340"/>
      <c r="K17" s="510">
        <f t="shared" si="0"/>
        <v>3598</v>
      </c>
      <c r="L17" s="518">
        <v>38960</v>
      </c>
      <c r="M17" s="335">
        <v>3598</v>
      </c>
      <c r="N17" s="512">
        <f t="shared" si="1"/>
        <v>0</v>
      </c>
      <c r="O17" s="512">
        <f t="shared" si="2"/>
        <v>6423</v>
      </c>
      <c r="P17" s="513">
        <v>3</v>
      </c>
      <c r="Q17" s="514">
        <f t="shared" si="3"/>
        <v>17.597260273972601</v>
      </c>
      <c r="R17" s="514">
        <f t="shared" si="4"/>
        <v>-14.597260273972601</v>
      </c>
      <c r="S17" s="515">
        <f t="shared" si="5"/>
        <v>0.31666666666666665</v>
      </c>
      <c r="T17" s="335"/>
      <c r="U17" s="516">
        <f t="shared" si="6"/>
        <v>0</v>
      </c>
      <c r="V17" s="517">
        <f t="shared" si="7"/>
        <v>180</v>
      </c>
      <c r="X17" s="335">
        <v>3598</v>
      </c>
    </row>
    <row r="18" spans="1:24" ht="13.9">
      <c r="A18" s="340" t="e">
        <f t="shared" si="8"/>
        <v>#REF!</v>
      </c>
      <c r="B18" s="508" t="s">
        <v>425</v>
      </c>
      <c r="C18" s="508" t="s">
        <v>1396</v>
      </c>
      <c r="D18" s="508"/>
      <c r="E18" s="508"/>
      <c r="F18" s="508"/>
      <c r="G18" s="509"/>
      <c r="H18" s="510">
        <v>3656</v>
      </c>
      <c r="I18" s="340"/>
      <c r="J18" s="340"/>
      <c r="K18" s="510">
        <f t="shared" si="0"/>
        <v>3656</v>
      </c>
      <c r="L18" s="518">
        <v>39052</v>
      </c>
      <c r="M18" s="335">
        <v>3656</v>
      </c>
      <c r="N18" s="512">
        <f t="shared" si="1"/>
        <v>0</v>
      </c>
      <c r="O18" s="512">
        <f t="shared" si="2"/>
        <v>6331</v>
      </c>
      <c r="P18" s="513">
        <v>3</v>
      </c>
      <c r="Q18" s="514">
        <f t="shared" si="3"/>
        <v>17.345205479452055</v>
      </c>
      <c r="R18" s="514">
        <f t="shared" si="4"/>
        <v>-14.345205479452055</v>
      </c>
      <c r="S18" s="515">
        <f t="shared" si="5"/>
        <v>0.31666666666666665</v>
      </c>
      <c r="T18" s="335"/>
      <c r="U18" s="516">
        <f t="shared" si="6"/>
        <v>0</v>
      </c>
      <c r="V18" s="517">
        <f t="shared" si="7"/>
        <v>183</v>
      </c>
      <c r="X18" s="335">
        <v>3656</v>
      </c>
    </row>
    <row r="19" spans="1:24" ht="13.9">
      <c r="A19" s="340" t="e">
        <f t="shared" si="8"/>
        <v>#REF!</v>
      </c>
      <c r="B19" s="508" t="s">
        <v>425</v>
      </c>
      <c r="C19" s="508" t="s">
        <v>1376</v>
      </c>
      <c r="D19" s="508"/>
      <c r="E19" s="508" t="s">
        <v>2435</v>
      </c>
      <c r="F19" s="508" t="s">
        <v>2723</v>
      </c>
      <c r="G19" s="509"/>
      <c r="H19" s="510">
        <v>13204</v>
      </c>
      <c r="I19" s="340"/>
      <c r="J19" s="340"/>
      <c r="K19" s="510">
        <f t="shared" si="0"/>
        <v>13204</v>
      </c>
      <c r="L19" s="518">
        <v>39352</v>
      </c>
      <c r="M19" s="335">
        <v>13204</v>
      </c>
      <c r="N19" s="512">
        <f t="shared" si="1"/>
        <v>0</v>
      </c>
      <c r="O19" s="512">
        <f t="shared" si="2"/>
        <v>6031</v>
      </c>
      <c r="P19" s="513">
        <v>3</v>
      </c>
      <c r="Q19" s="514">
        <f t="shared" si="3"/>
        <v>16.523287671232875</v>
      </c>
      <c r="R19" s="514">
        <f t="shared" si="4"/>
        <v>-13.523287671232875</v>
      </c>
      <c r="S19" s="515">
        <f t="shared" si="5"/>
        <v>0.31666666666666665</v>
      </c>
      <c r="T19" s="335"/>
      <c r="U19" s="516">
        <f t="shared" si="6"/>
        <v>0</v>
      </c>
      <c r="V19" s="517">
        <f t="shared" si="7"/>
        <v>660</v>
      </c>
      <c r="X19" s="335">
        <v>13204</v>
      </c>
    </row>
    <row r="20" spans="1:24" ht="13.9">
      <c r="A20" s="340" t="e">
        <f t="shared" si="8"/>
        <v>#REF!</v>
      </c>
      <c r="B20" s="508" t="s">
        <v>425</v>
      </c>
      <c r="C20" s="508" t="s">
        <v>1376</v>
      </c>
      <c r="D20" s="508"/>
      <c r="E20" s="508" t="s">
        <v>2435</v>
      </c>
      <c r="F20" s="508" t="s">
        <v>2724</v>
      </c>
      <c r="G20" s="509"/>
      <c r="H20" s="510">
        <v>8024</v>
      </c>
      <c r="I20" s="340"/>
      <c r="J20" s="340"/>
      <c r="K20" s="510">
        <f t="shared" si="0"/>
        <v>8024</v>
      </c>
      <c r="L20" s="518">
        <v>39399</v>
      </c>
      <c r="M20" s="335">
        <v>8024</v>
      </c>
      <c r="N20" s="512">
        <f t="shared" si="1"/>
        <v>0</v>
      </c>
      <c r="O20" s="512">
        <f t="shared" si="2"/>
        <v>5984</v>
      </c>
      <c r="P20" s="513">
        <v>3</v>
      </c>
      <c r="Q20" s="514">
        <f t="shared" si="3"/>
        <v>16.394520547945206</v>
      </c>
      <c r="R20" s="514">
        <f t="shared" si="4"/>
        <v>-13.394520547945206</v>
      </c>
      <c r="S20" s="515">
        <f t="shared" si="5"/>
        <v>0.31666666666666665</v>
      </c>
      <c r="T20" s="335"/>
      <c r="U20" s="516">
        <f t="shared" si="6"/>
        <v>0</v>
      </c>
      <c r="V20" s="517">
        <f t="shared" si="7"/>
        <v>401</v>
      </c>
      <c r="X20" s="335">
        <v>8024</v>
      </c>
    </row>
    <row r="21" spans="1:24" ht="13.9">
      <c r="A21" s="340" t="e">
        <f t="shared" si="8"/>
        <v>#REF!</v>
      </c>
      <c r="B21" s="508" t="s">
        <v>425</v>
      </c>
      <c r="C21" s="508" t="s">
        <v>1376</v>
      </c>
      <c r="D21" s="508"/>
      <c r="E21" s="508" t="s">
        <v>2435</v>
      </c>
      <c r="F21" s="508" t="s">
        <v>2725</v>
      </c>
      <c r="G21" s="509"/>
      <c r="H21" s="510">
        <v>26154</v>
      </c>
      <c r="I21" s="340"/>
      <c r="J21" s="340"/>
      <c r="K21" s="510">
        <f t="shared" si="0"/>
        <v>26154</v>
      </c>
      <c r="L21" s="518">
        <v>39405</v>
      </c>
      <c r="M21" s="335">
        <v>26154</v>
      </c>
      <c r="N21" s="512">
        <f t="shared" si="1"/>
        <v>0</v>
      </c>
      <c r="O21" s="512">
        <f t="shared" si="2"/>
        <v>5978</v>
      </c>
      <c r="P21" s="513">
        <v>3</v>
      </c>
      <c r="Q21" s="514">
        <f t="shared" si="3"/>
        <v>16.378082191780823</v>
      </c>
      <c r="R21" s="514">
        <f t="shared" si="4"/>
        <v>-13.378082191780823</v>
      </c>
      <c r="S21" s="515">
        <f t="shared" si="5"/>
        <v>0.31666666666666665</v>
      </c>
      <c r="T21" s="335"/>
      <c r="U21" s="516">
        <f t="shared" si="6"/>
        <v>0</v>
      </c>
      <c r="V21" s="517">
        <f t="shared" si="7"/>
        <v>1308</v>
      </c>
      <c r="X21" s="335">
        <v>26154</v>
      </c>
    </row>
    <row r="22" spans="1:24" ht="13.9">
      <c r="A22" s="340" t="e">
        <f t="shared" si="8"/>
        <v>#REF!</v>
      </c>
      <c r="B22" s="508" t="s">
        <v>425</v>
      </c>
      <c r="C22" s="508" t="s">
        <v>1376</v>
      </c>
      <c r="D22" s="508"/>
      <c r="E22" s="508" t="s">
        <v>2435</v>
      </c>
      <c r="F22" s="508" t="s">
        <v>2726</v>
      </c>
      <c r="G22" s="509"/>
      <c r="H22" s="510">
        <v>57893</v>
      </c>
      <c r="I22" s="340"/>
      <c r="J22" s="340"/>
      <c r="K22" s="510">
        <f t="shared" si="0"/>
        <v>57893</v>
      </c>
      <c r="L22" s="518">
        <v>39457</v>
      </c>
      <c r="M22" s="335">
        <v>57893</v>
      </c>
      <c r="N22" s="512">
        <f t="shared" si="1"/>
        <v>0</v>
      </c>
      <c r="O22" s="512">
        <f t="shared" si="2"/>
        <v>5926</v>
      </c>
      <c r="P22" s="513">
        <v>3</v>
      </c>
      <c r="Q22" s="514">
        <f t="shared" si="3"/>
        <v>16.235616438356164</v>
      </c>
      <c r="R22" s="514">
        <f t="shared" si="4"/>
        <v>-13.235616438356164</v>
      </c>
      <c r="S22" s="515">
        <f t="shared" si="5"/>
        <v>0.31666666666666665</v>
      </c>
      <c r="T22" s="335"/>
      <c r="U22" s="516">
        <f t="shared" si="6"/>
        <v>0</v>
      </c>
      <c r="V22" s="517">
        <f t="shared" si="7"/>
        <v>2895</v>
      </c>
      <c r="X22" s="335">
        <v>57893</v>
      </c>
    </row>
    <row r="23" spans="1:24" ht="13.9">
      <c r="A23" s="340" t="e">
        <f t="shared" si="8"/>
        <v>#REF!</v>
      </c>
      <c r="B23" s="508" t="s">
        <v>425</v>
      </c>
      <c r="C23" s="508" t="s">
        <v>1376</v>
      </c>
      <c r="D23" s="508"/>
      <c r="E23" s="508" t="s">
        <v>2435</v>
      </c>
      <c r="F23" s="508" t="s">
        <v>2727</v>
      </c>
      <c r="G23" s="509"/>
      <c r="H23" s="510">
        <v>26509</v>
      </c>
      <c r="I23" s="340"/>
      <c r="J23" s="340"/>
      <c r="K23" s="510">
        <f t="shared" si="0"/>
        <v>26509</v>
      </c>
      <c r="L23" s="518">
        <v>39457</v>
      </c>
      <c r="M23" s="335">
        <v>26509</v>
      </c>
      <c r="N23" s="512">
        <f t="shared" si="1"/>
        <v>0</v>
      </c>
      <c r="O23" s="512">
        <f t="shared" si="2"/>
        <v>5926</v>
      </c>
      <c r="P23" s="513">
        <v>3</v>
      </c>
      <c r="Q23" s="514">
        <f t="shared" si="3"/>
        <v>16.235616438356164</v>
      </c>
      <c r="R23" s="514">
        <f t="shared" si="4"/>
        <v>-13.235616438356164</v>
      </c>
      <c r="S23" s="515">
        <f t="shared" si="5"/>
        <v>0.31666666666666665</v>
      </c>
      <c r="T23" s="335"/>
      <c r="U23" s="516">
        <f t="shared" si="6"/>
        <v>0</v>
      </c>
      <c r="V23" s="517">
        <f t="shared" si="7"/>
        <v>1325</v>
      </c>
      <c r="X23" s="335">
        <v>26509</v>
      </c>
    </row>
    <row r="24" spans="1:24" ht="13.9">
      <c r="A24" s="340" t="e">
        <f t="shared" si="8"/>
        <v>#REF!</v>
      </c>
      <c r="B24" s="508" t="s">
        <v>425</v>
      </c>
      <c r="C24" s="508" t="s">
        <v>1376</v>
      </c>
      <c r="D24" s="508"/>
      <c r="E24" s="508" t="s">
        <v>2435</v>
      </c>
      <c r="F24" s="508" t="s">
        <v>2728</v>
      </c>
      <c r="G24" s="509"/>
      <c r="H24" s="510">
        <v>15425</v>
      </c>
      <c r="I24" s="340"/>
      <c r="J24" s="340"/>
      <c r="K24" s="510">
        <f t="shared" si="0"/>
        <v>15425</v>
      </c>
      <c r="L24" s="518">
        <v>39457</v>
      </c>
      <c r="M24" s="335">
        <v>15425</v>
      </c>
      <c r="N24" s="512">
        <f t="shared" si="1"/>
        <v>0</v>
      </c>
      <c r="O24" s="512">
        <f t="shared" si="2"/>
        <v>5926</v>
      </c>
      <c r="P24" s="513">
        <v>3</v>
      </c>
      <c r="Q24" s="514">
        <f t="shared" si="3"/>
        <v>16.235616438356164</v>
      </c>
      <c r="R24" s="514">
        <f t="shared" si="4"/>
        <v>-13.235616438356164</v>
      </c>
      <c r="S24" s="515">
        <f t="shared" si="5"/>
        <v>0.31666666666666665</v>
      </c>
      <c r="T24" s="335"/>
      <c r="U24" s="516">
        <f t="shared" si="6"/>
        <v>0</v>
      </c>
      <c r="V24" s="517">
        <f t="shared" si="7"/>
        <v>771</v>
      </c>
      <c r="X24" s="335">
        <v>15425</v>
      </c>
    </row>
    <row r="25" spans="1:24" ht="13.9">
      <c r="A25" s="340" t="e">
        <f t="shared" si="8"/>
        <v>#REF!</v>
      </c>
      <c r="B25" s="508" t="s">
        <v>425</v>
      </c>
      <c r="C25" s="508" t="s">
        <v>1376</v>
      </c>
      <c r="D25" s="508"/>
      <c r="E25" s="508" t="s">
        <v>2435</v>
      </c>
      <c r="F25" s="508" t="s">
        <v>2729</v>
      </c>
      <c r="G25" s="509"/>
      <c r="H25" s="510">
        <v>23360</v>
      </c>
      <c r="I25" s="340"/>
      <c r="J25" s="340"/>
      <c r="K25" s="510">
        <f t="shared" si="0"/>
        <v>23360</v>
      </c>
      <c r="L25" s="518">
        <v>39470</v>
      </c>
      <c r="M25" s="335">
        <v>23360</v>
      </c>
      <c r="N25" s="512">
        <f t="shared" si="1"/>
        <v>0</v>
      </c>
      <c r="O25" s="512">
        <f t="shared" si="2"/>
        <v>5913</v>
      </c>
      <c r="P25" s="513">
        <v>3</v>
      </c>
      <c r="Q25" s="514">
        <f t="shared" si="3"/>
        <v>16.2</v>
      </c>
      <c r="R25" s="514">
        <f t="shared" si="4"/>
        <v>-13.2</v>
      </c>
      <c r="S25" s="515">
        <f t="shared" si="5"/>
        <v>0.31666666666666665</v>
      </c>
      <c r="T25" s="335"/>
      <c r="U25" s="516">
        <f t="shared" si="6"/>
        <v>0</v>
      </c>
      <c r="V25" s="517">
        <f t="shared" si="7"/>
        <v>1168</v>
      </c>
      <c r="X25" s="335">
        <v>23360</v>
      </c>
    </row>
    <row r="26" spans="1:24" ht="13.9">
      <c r="A26" s="340" t="e">
        <f t="shared" si="8"/>
        <v>#REF!</v>
      </c>
      <c r="B26" s="508" t="s">
        <v>425</v>
      </c>
      <c r="C26" s="508" t="s">
        <v>1376</v>
      </c>
      <c r="D26" s="508"/>
      <c r="E26" s="508" t="s">
        <v>2435</v>
      </c>
      <c r="F26" s="508" t="s">
        <v>2730</v>
      </c>
      <c r="G26" s="509"/>
      <c r="H26" s="510">
        <v>13305</v>
      </c>
      <c r="I26" s="340"/>
      <c r="J26" s="340"/>
      <c r="K26" s="510">
        <f t="shared" si="0"/>
        <v>13305</v>
      </c>
      <c r="L26" s="518">
        <v>39470</v>
      </c>
      <c r="M26" s="335">
        <v>13305</v>
      </c>
      <c r="N26" s="512">
        <f t="shared" si="1"/>
        <v>0</v>
      </c>
      <c r="O26" s="512">
        <f t="shared" si="2"/>
        <v>5913</v>
      </c>
      <c r="P26" s="513">
        <v>3</v>
      </c>
      <c r="Q26" s="514">
        <f t="shared" si="3"/>
        <v>16.2</v>
      </c>
      <c r="R26" s="514">
        <f t="shared" si="4"/>
        <v>-13.2</v>
      </c>
      <c r="S26" s="515">
        <f t="shared" si="5"/>
        <v>0.31666666666666665</v>
      </c>
      <c r="T26" s="335"/>
      <c r="U26" s="516">
        <f t="shared" si="6"/>
        <v>0</v>
      </c>
      <c r="V26" s="517">
        <f t="shared" si="7"/>
        <v>665</v>
      </c>
      <c r="X26" s="335">
        <v>13305</v>
      </c>
    </row>
    <row r="27" spans="1:24" ht="13.9">
      <c r="A27" s="340" t="e">
        <f t="shared" si="8"/>
        <v>#REF!</v>
      </c>
      <c r="B27" s="508" t="s">
        <v>425</v>
      </c>
      <c r="C27" s="508" t="s">
        <v>1376</v>
      </c>
      <c r="D27" s="508"/>
      <c r="E27" s="508" t="s">
        <v>2435</v>
      </c>
      <c r="F27" s="508" t="s">
        <v>2731</v>
      </c>
      <c r="G27" s="509"/>
      <c r="H27" s="510">
        <v>7871</v>
      </c>
      <c r="I27" s="340"/>
      <c r="J27" s="340"/>
      <c r="K27" s="510">
        <f t="shared" si="0"/>
        <v>7871</v>
      </c>
      <c r="L27" s="518">
        <v>39508</v>
      </c>
      <c r="M27" s="335">
        <v>7871</v>
      </c>
      <c r="N27" s="512">
        <f t="shared" si="1"/>
        <v>0</v>
      </c>
      <c r="O27" s="512">
        <f t="shared" si="2"/>
        <v>5875</v>
      </c>
      <c r="P27" s="513">
        <v>3</v>
      </c>
      <c r="Q27" s="514">
        <f t="shared" si="3"/>
        <v>16.095890410958905</v>
      </c>
      <c r="R27" s="514">
        <f t="shared" si="4"/>
        <v>-13.095890410958905</v>
      </c>
      <c r="S27" s="515">
        <f t="shared" si="5"/>
        <v>0.31666666666666665</v>
      </c>
      <c r="T27" s="335"/>
      <c r="U27" s="516">
        <f t="shared" si="6"/>
        <v>0</v>
      </c>
      <c r="V27" s="517">
        <f t="shared" si="7"/>
        <v>394</v>
      </c>
      <c r="X27" s="335">
        <v>7871</v>
      </c>
    </row>
    <row r="28" spans="1:24" ht="13.9">
      <c r="A28" s="340" t="e">
        <f t="shared" si="8"/>
        <v>#REF!</v>
      </c>
      <c r="B28" s="508" t="s">
        <v>425</v>
      </c>
      <c r="C28" s="508" t="s">
        <v>1409</v>
      </c>
      <c r="D28" s="508"/>
      <c r="E28" s="508" t="s">
        <v>2435</v>
      </c>
      <c r="F28" s="508" t="s">
        <v>2442</v>
      </c>
      <c r="G28" s="509"/>
      <c r="H28" s="510">
        <v>35011</v>
      </c>
      <c r="I28" s="340"/>
      <c r="J28" s="340"/>
      <c r="K28" s="510">
        <f t="shared" si="0"/>
        <v>35011</v>
      </c>
      <c r="L28" s="518">
        <v>39547</v>
      </c>
      <c r="M28" s="335">
        <v>35011</v>
      </c>
      <c r="N28" s="512">
        <f t="shared" si="1"/>
        <v>0</v>
      </c>
      <c r="O28" s="512">
        <f t="shared" si="2"/>
        <v>5836</v>
      </c>
      <c r="P28" s="513">
        <v>3</v>
      </c>
      <c r="Q28" s="514">
        <f t="shared" si="3"/>
        <v>15.989041095890411</v>
      </c>
      <c r="R28" s="514">
        <f t="shared" si="4"/>
        <v>-12.989041095890411</v>
      </c>
      <c r="S28" s="515">
        <f t="shared" si="5"/>
        <v>0.31666666666666665</v>
      </c>
      <c r="T28" s="335"/>
      <c r="U28" s="516">
        <f t="shared" si="6"/>
        <v>0</v>
      </c>
      <c r="V28" s="517">
        <f t="shared" si="7"/>
        <v>1751</v>
      </c>
      <c r="X28" s="335">
        <v>35011</v>
      </c>
    </row>
    <row r="29" spans="1:24" ht="13.9">
      <c r="A29" s="340" t="e">
        <f t="shared" si="8"/>
        <v>#REF!</v>
      </c>
      <c r="B29" s="508" t="s">
        <v>425</v>
      </c>
      <c r="C29" s="508" t="s">
        <v>1409</v>
      </c>
      <c r="D29" s="508"/>
      <c r="E29" s="508" t="s">
        <v>2435</v>
      </c>
      <c r="F29" s="508" t="s">
        <v>2732</v>
      </c>
      <c r="G29" s="509"/>
      <c r="H29" s="510">
        <v>51419</v>
      </c>
      <c r="I29" s="340"/>
      <c r="J29" s="340"/>
      <c r="K29" s="510">
        <f t="shared" si="0"/>
        <v>51419</v>
      </c>
      <c r="L29" s="518">
        <v>39678</v>
      </c>
      <c r="M29" s="335">
        <v>51419</v>
      </c>
      <c r="N29" s="512">
        <f t="shared" si="1"/>
        <v>0</v>
      </c>
      <c r="O29" s="512">
        <f t="shared" si="2"/>
        <v>5705</v>
      </c>
      <c r="P29" s="513">
        <v>3</v>
      </c>
      <c r="Q29" s="514">
        <f t="shared" si="3"/>
        <v>15.63013698630137</v>
      </c>
      <c r="R29" s="514">
        <f t="shared" si="4"/>
        <v>-12.63013698630137</v>
      </c>
      <c r="S29" s="515">
        <f t="shared" si="5"/>
        <v>0.31666666666666665</v>
      </c>
      <c r="T29" s="335"/>
      <c r="U29" s="516">
        <f t="shared" si="6"/>
        <v>0</v>
      </c>
      <c r="V29" s="517">
        <f t="shared" si="7"/>
        <v>2571</v>
      </c>
      <c r="X29" s="335">
        <v>51419</v>
      </c>
    </row>
    <row r="30" spans="1:24" ht="13.9">
      <c r="A30" s="340" t="e">
        <f t="shared" si="8"/>
        <v>#REF!</v>
      </c>
      <c r="B30" s="508" t="s">
        <v>2733</v>
      </c>
      <c r="C30" s="508" t="s">
        <v>1431</v>
      </c>
      <c r="D30" s="508"/>
      <c r="E30" s="508" t="s">
        <v>2435</v>
      </c>
      <c r="F30" s="508" t="s">
        <v>2734</v>
      </c>
      <c r="G30" s="509"/>
      <c r="H30" s="510">
        <v>2374</v>
      </c>
      <c r="I30" s="340"/>
      <c r="J30" s="340"/>
      <c r="K30" s="510">
        <f t="shared" si="0"/>
        <v>2374</v>
      </c>
      <c r="L30" s="518">
        <v>38462</v>
      </c>
      <c r="M30" s="335">
        <v>2374</v>
      </c>
      <c r="N30" s="512">
        <f t="shared" si="1"/>
        <v>0</v>
      </c>
      <c r="O30" s="512">
        <f t="shared" si="2"/>
        <v>6921</v>
      </c>
      <c r="P30" s="513">
        <v>3</v>
      </c>
      <c r="Q30" s="514">
        <f t="shared" si="3"/>
        <v>18.961643835616439</v>
      </c>
      <c r="R30" s="514">
        <f t="shared" si="4"/>
        <v>-15.961643835616439</v>
      </c>
      <c r="S30" s="515">
        <f t="shared" si="5"/>
        <v>0.31666666666666665</v>
      </c>
      <c r="T30" s="335"/>
      <c r="U30" s="516">
        <f t="shared" si="6"/>
        <v>0</v>
      </c>
      <c r="V30" s="517">
        <f t="shared" si="7"/>
        <v>119</v>
      </c>
      <c r="X30" s="335">
        <v>2374</v>
      </c>
    </row>
    <row r="31" spans="1:24" ht="13.9">
      <c r="A31" s="340" t="e">
        <f t="shared" si="8"/>
        <v>#REF!</v>
      </c>
      <c r="B31" s="508" t="s">
        <v>209</v>
      </c>
      <c r="C31" s="508" t="s">
        <v>1431</v>
      </c>
      <c r="D31" s="508"/>
      <c r="E31" s="508" t="s">
        <v>2735</v>
      </c>
      <c r="F31" s="508" t="s">
        <v>2736</v>
      </c>
      <c r="G31" s="509"/>
      <c r="H31" s="510">
        <v>60842</v>
      </c>
      <c r="I31" s="340"/>
      <c r="J31" s="340"/>
      <c r="K31" s="510">
        <f t="shared" si="0"/>
        <v>60842</v>
      </c>
      <c r="L31" s="518">
        <v>38783</v>
      </c>
      <c r="M31" s="335">
        <v>60842</v>
      </c>
      <c r="N31" s="512">
        <f t="shared" si="1"/>
        <v>0</v>
      </c>
      <c r="O31" s="512">
        <f t="shared" si="2"/>
        <v>6600</v>
      </c>
      <c r="P31" s="513">
        <v>3</v>
      </c>
      <c r="Q31" s="514">
        <f t="shared" si="3"/>
        <v>18.082191780821919</v>
      </c>
      <c r="R31" s="514">
        <f t="shared" si="4"/>
        <v>-15.082191780821919</v>
      </c>
      <c r="S31" s="515">
        <f t="shared" si="5"/>
        <v>0.31666666666666665</v>
      </c>
      <c r="T31" s="335"/>
      <c r="U31" s="516">
        <f t="shared" si="6"/>
        <v>0</v>
      </c>
      <c r="V31" s="517">
        <f t="shared" si="7"/>
        <v>3042</v>
      </c>
      <c r="X31" s="335">
        <v>60842</v>
      </c>
    </row>
    <row r="32" spans="1:24" ht="13.9">
      <c r="A32" s="340" t="e">
        <f t="shared" si="8"/>
        <v>#REF!</v>
      </c>
      <c r="B32" s="508" t="s">
        <v>209</v>
      </c>
      <c r="C32" s="508" t="s">
        <v>1396</v>
      </c>
      <c r="D32" s="508"/>
      <c r="E32" s="508" t="s">
        <v>2435</v>
      </c>
      <c r="F32" s="508" t="s">
        <v>2737</v>
      </c>
      <c r="G32" s="509"/>
      <c r="H32" s="510">
        <v>842</v>
      </c>
      <c r="I32" s="340"/>
      <c r="J32" s="340"/>
      <c r="K32" s="510">
        <f t="shared" si="0"/>
        <v>842</v>
      </c>
      <c r="L32" s="518">
        <v>38808</v>
      </c>
      <c r="M32" s="335">
        <v>842</v>
      </c>
      <c r="N32" s="512">
        <f t="shared" si="1"/>
        <v>0</v>
      </c>
      <c r="O32" s="512">
        <f t="shared" si="2"/>
        <v>6575</v>
      </c>
      <c r="P32" s="513">
        <v>3</v>
      </c>
      <c r="Q32" s="514">
        <f t="shared" si="3"/>
        <v>18.013698630136986</v>
      </c>
      <c r="R32" s="514">
        <f t="shared" si="4"/>
        <v>-15.013698630136986</v>
      </c>
      <c r="S32" s="515">
        <f t="shared" si="5"/>
        <v>0.31666666666666665</v>
      </c>
      <c r="T32" s="335"/>
      <c r="U32" s="516">
        <f t="shared" si="6"/>
        <v>0</v>
      </c>
      <c r="V32" s="517">
        <f t="shared" si="7"/>
        <v>42</v>
      </c>
      <c r="X32" s="335">
        <v>842</v>
      </c>
    </row>
    <row r="33" spans="1:24" ht="13.9">
      <c r="A33" s="340" t="e">
        <f t="shared" si="8"/>
        <v>#REF!</v>
      </c>
      <c r="B33" s="508" t="s">
        <v>209</v>
      </c>
      <c r="C33" s="508" t="s">
        <v>1396</v>
      </c>
      <c r="D33" s="508"/>
      <c r="E33" s="508" t="s">
        <v>2464</v>
      </c>
      <c r="F33" s="508" t="s">
        <v>2738</v>
      </c>
      <c r="G33" s="509"/>
      <c r="H33" s="510">
        <v>48288</v>
      </c>
      <c r="I33" s="340"/>
      <c r="J33" s="340"/>
      <c r="K33" s="510">
        <f t="shared" si="0"/>
        <v>48288</v>
      </c>
      <c r="L33" s="518">
        <v>38990</v>
      </c>
      <c r="M33" s="335">
        <v>48288</v>
      </c>
      <c r="N33" s="512">
        <f t="shared" si="1"/>
        <v>0</v>
      </c>
      <c r="O33" s="512">
        <f t="shared" si="2"/>
        <v>6393</v>
      </c>
      <c r="P33" s="513">
        <v>3</v>
      </c>
      <c r="Q33" s="514">
        <f t="shared" si="3"/>
        <v>17.515068493150686</v>
      </c>
      <c r="R33" s="514">
        <f t="shared" si="4"/>
        <v>-14.515068493150686</v>
      </c>
      <c r="S33" s="515">
        <f t="shared" si="5"/>
        <v>0.31666666666666665</v>
      </c>
      <c r="T33" s="335"/>
      <c r="U33" s="516">
        <f t="shared" si="6"/>
        <v>0</v>
      </c>
      <c r="V33" s="517">
        <f t="shared" si="7"/>
        <v>2414</v>
      </c>
      <c r="X33" s="335">
        <v>48288</v>
      </c>
    </row>
    <row r="34" spans="1:24" ht="13.9">
      <c r="A34" s="340" t="e">
        <f t="shared" si="8"/>
        <v>#REF!</v>
      </c>
      <c r="B34" s="508" t="s">
        <v>209</v>
      </c>
      <c r="C34" s="508" t="s">
        <v>1376</v>
      </c>
      <c r="D34" s="508"/>
      <c r="E34" s="508" t="s">
        <v>2435</v>
      </c>
      <c r="F34" s="508" t="s">
        <v>2739</v>
      </c>
      <c r="G34" s="509"/>
      <c r="H34" s="510">
        <v>4607</v>
      </c>
      <c r="I34" s="340"/>
      <c r="J34" s="340"/>
      <c r="K34" s="510">
        <f t="shared" si="0"/>
        <v>4607</v>
      </c>
      <c r="L34" s="518">
        <v>39115</v>
      </c>
      <c r="M34" s="335">
        <v>4607</v>
      </c>
      <c r="N34" s="512">
        <f t="shared" si="1"/>
        <v>0</v>
      </c>
      <c r="O34" s="512">
        <f t="shared" si="2"/>
        <v>6268</v>
      </c>
      <c r="P34" s="513">
        <v>3</v>
      </c>
      <c r="Q34" s="514">
        <f t="shared" si="3"/>
        <v>17.172602739726027</v>
      </c>
      <c r="R34" s="514">
        <f t="shared" si="4"/>
        <v>-14.172602739726027</v>
      </c>
      <c r="S34" s="515">
        <f t="shared" si="5"/>
        <v>0.31666666666666665</v>
      </c>
      <c r="T34" s="335"/>
      <c r="U34" s="516">
        <f t="shared" si="6"/>
        <v>0</v>
      </c>
      <c r="V34" s="517">
        <f t="shared" si="7"/>
        <v>230</v>
      </c>
      <c r="X34" s="335">
        <v>4607</v>
      </c>
    </row>
    <row r="35" spans="1:24" ht="13.9">
      <c r="A35" s="340" t="e">
        <f t="shared" si="8"/>
        <v>#REF!</v>
      </c>
      <c r="B35" s="508" t="s">
        <v>209</v>
      </c>
      <c r="C35" s="508" t="s">
        <v>1376</v>
      </c>
      <c r="D35" s="508"/>
      <c r="E35" s="508" t="s">
        <v>2435</v>
      </c>
      <c r="F35" s="508" t="s">
        <v>2740</v>
      </c>
      <c r="G35" s="509"/>
      <c r="H35" s="510">
        <v>3555</v>
      </c>
      <c r="I35" s="340"/>
      <c r="J35" s="340"/>
      <c r="K35" s="510">
        <f t="shared" si="0"/>
        <v>3555</v>
      </c>
      <c r="L35" s="518">
        <v>39364</v>
      </c>
      <c r="M35" s="335">
        <v>3555</v>
      </c>
      <c r="N35" s="512">
        <f t="shared" si="1"/>
        <v>0</v>
      </c>
      <c r="O35" s="512">
        <f t="shared" si="2"/>
        <v>6019</v>
      </c>
      <c r="P35" s="513">
        <v>3</v>
      </c>
      <c r="Q35" s="514">
        <f t="shared" si="3"/>
        <v>16.490410958904111</v>
      </c>
      <c r="R35" s="514">
        <f t="shared" si="4"/>
        <v>-13.490410958904111</v>
      </c>
      <c r="S35" s="515">
        <f t="shared" si="5"/>
        <v>0.31666666666666665</v>
      </c>
      <c r="T35" s="335"/>
      <c r="U35" s="516">
        <f t="shared" si="6"/>
        <v>0</v>
      </c>
      <c r="V35" s="517">
        <f t="shared" si="7"/>
        <v>178</v>
      </c>
      <c r="X35" s="335">
        <v>3555</v>
      </c>
    </row>
    <row r="36" spans="1:24" ht="13.9">
      <c r="A36" s="340" t="e">
        <f t="shared" si="8"/>
        <v>#REF!</v>
      </c>
      <c r="B36" s="508" t="s">
        <v>900</v>
      </c>
      <c r="C36" s="508" t="s">
        <v>1409</v>
      </c>
      <c r="D36" s="508" t="s">
        <v>20</v>
      </c>
      <c r="E36" s="508"/>
      <c r="F36" s="508"/>
      <c r="G36" s="509"/>
      <c r="H36" s="510">
        <v>36850</v>
      </c>
      <c r="I36" s="340"/>
      <c r="J36" s="340"/>
      <c r="K36" s="510">
        <f t="shared" si="0"/>
        <v>36850</v>
      </c>
      <c r="L36" s="518">
        <v>39745</v>
      </c>
      <c r="M36" s="335">
        <v>36850</v>
      </c>
      <c r="N36" s="512">
        <f t="shared" si="1"/>
        <v>0</v>
      </c>
      <c r="O36" s="512">
        <f t="shared" si="2"/>
        <v>5638</v>
      </c>
      <c r="P36" s="513">
        <v>3</v>
      </c>
      <c r="Q36" s="514">
        <f t="shared" si="3"/>
        <v>15.446575342465753</v>
      </c>
      <c r="R36" s="514">
        <f t="shared" si="4"/>
        <v>-12.446575342465753</v>
      </c>
      <c r="S36" s="515">
        <f t="shared" si="5"/>
        <v>0.31666666666666665</v>
      </c>
      <c r="T36" s="335"/>
      <c r="U36" s="516">
        <f t="shared" si="6"/>
        <v>0</v>
      </c>
      <c r="V36" s="517">
        <f t="shared" si="7"/>
        <v>1843</v>
      </c>
      <c r="X36" s="335">
        <v>36850</v>
      </c>
    </row>
    <row r="37" spans="1:24" ht="13.9">
      <c r="A37" s="340" t="e">
        <f t="shared" si="8"/>
        <v>#REF!</v>
      </c>
      <c r="B37" s="508" t="s">
        <v>900</v>
      </c>
      <c r="C37" s="508" t="s">
        <v>1409</v>
      </c>
      <c r="D37" s="508"/>
      <c r="E37" s="508" t="s">
        <v>2435</v>
      </c>
      <c r="F37" s="508" t="s">
        <v>2741</v>
      </c>
      <c r="G37" s="509"/>
      <c r="H37" s="510">
        <v>26900</v>
      </c>
      <c r="I37" s="340"/>
      <c r="J37" s="340"/>
      <c r="K37" s="510">
        <f t="shared" si="0"/>
        <v>26900</v>
      </c>
      <c r="L37" s="518">
        <v>39780</v>
      </c>
      <c r="M37" s="335">
        <v>26900</v>
      </c>
      <c r="N37" s="512">
        <f t="shared" si="1"/>
        <v>0</v>
      </c>
      <c r="O37" s="512">
        <f t="shared" si="2"/>
        <v>5603</v>
      </c>
      <c r="P37" s="513">
        <v>3</v>
      </c>
      <c r="Q37" s="514">
        <f t="shared" si="3"/>
        <v>15.35068493150685</v>
      </c>
      <c r="R37" s="514">
        <f t="shared" si="4"/>
        <v>-12.35068493150685</v>
      </c>
      <c r="S37" s="515">
        <f t="shared" si="5"/>
        <v>0.31666666666666665</v>
      </c>
      <c r="T37" s="335"/>
      <c r="U37" s="516">
        <f t="shared" si="6"/>
        <v>0</v>
      </c>
      <c r="V37" s="517">
        <f t="shared" si="7"/>
        <v>1345</v>
      </c>
      <c r="X37" s="335">
        <v>26900</v>
      </c>
    </row>
    <row r="38" spans="1:24" ht="13.9">
      <c r="A38" s="340" t="e">
        <f t="shared" si="8"/>
        <v>#REF!</v>
      </c>
      <c r="B38" s="508" t="s">
        <v>900</v>
      </c>
      <c r="C38" s="508" t="s">
        <v>1409</v>
      </c>
      <c r="D38" s="508" t="s">
        <v>20</v>
      </c>
      <c r="E38" s="508"/>
      <c r="F38" s="508"/>
      <c r="G38" s="509"/>
      <c r="H38" s="510">
        <v>39490</v>
      </c>
      <c r="I38" s="340"/>
      <c r="J38" s="340"/>
      <c r="K38" s="510">
        <f t="shared" si="0"/>
        <v>39490</v>
      </c>
      <c r="L38" s="518">
        <v>39851</v>
      </c>
      <c r="M38" s="335">
        <v>39490</v>
      </c>
      <c r="N38" s="512">
        <f t="shared" si="1"/>
        <v>0</v>
      </c>
      <c r="O38" s="512">
        <f t="shared" si="2"/>
        <v>5532</v>
      </c>
      <c r="P38" s="513">
        <v>3</v>
      </c>
      <c r="Q38" s="514">
        <f t="shared" si="3"/>
        <v>15.156164383561643</v>
      </c>
      <c r="R38" s="514">
        <f t="shared" si="4"/>
        <v>-12.156164383561643</v>
      </c>
      <c r="S38" s="515">
        <f t="shared" si="5"/>
        <v>0.31666666666666665</v>
      </c>
      <c r="T38" s="335"/>
      <c r="U38" s="516">
        <f t="shared" si="6"/>
        <v>0</v>
      </c>
      <c r="V38" s="517">
        <f t="shared" si="7"/>
        <v>1975</v>
      </c>
      <c r="X38" s="335">
        <v>39490</v>
      </c>
    </row>
    <row r="39" spans="1:24" ht="13.9">
      <c r="A39" s="340" t="e">
        <f t="shared" si="8"/>
        <v>#REF!</v>
      </c>
      <c r="B39" s="508" t="s">
        <v>900</v>
      </c>
      <c r="C39" s="508" t="s">
        <v>1409</v>
      </c>
      <c r="D39" s="508"/>
      <c r="E39" s="508" t="s">
        <v>2435</v>
      </c>
      <c r="F39" s="508" t="s">
        <v>2742</v>
      </c>
      <c r="G39" s="509"/>
      <c r="H39" s="510">
        <v>32400</v>
      </c>
      <c r="I39" s="340"/>
      <c r="J39" s="340"/>
      <c r="K39" s="510">
        <f t="shared" si="0"/>
        <v>32400</v>
      </c>
      <c r="L39" s="518">
        <v>39890</v>
      </c>
      <c r="M39" s="335">
        <v>32400</v>
      </c>
      <c r="N39" s="512">
        <f t="shared" si="1"/>
        <v>0</v>
      </c>
      <c r="O39" s="512">
        <f t="shared" si="2"/>
        <v>5493</v>
      </c>
      <c r="P39" s="513">
        <v>3</v>
      </c>
      <c r="Q39" s="514">
        <f t="shared" si="3"/>
        <v>15.049315068493151</v>
      </c>
      <c r="R39" s="514">
        <f t="shared" si="4"/>
        <v>-12.049315068493151</v>
      </c>
      <c r="S39" s="515">
        <f t="shared" si="5"/>
        <v>0.31666666666666665</v>
      </c>
      <c r="T39" s="335"/>
      <c r="U39" s="516">
        <f t="shared" si="6"/>
        <v>0</v>
      </c>
      <c r="V39" s="517">
        <f t="shared" si="7"/>
        <v>1620</v>
      </c>
      <c r="X39" s="335">
        <v>32400</v>
      </c>
    </row>
    <row r="40" spans="1:24" ht="13.9">
      <c r="A40" s="340" t="e">
        <f t="shared" si="8"/>
        <v>#REF!</v>
      </c>
      <c r="B40" s="508" t="s">
        <v>209</v>
      </c>
      <c r="C40" s="508" t="s">
        <v>1409</v>
      </c>
      <c r="D40" s="508"/>
      <c r="E40" s="508" t="s">
        <v>2466</v>
      </c>
      <c r="F40" s="508" t="s">
        <v>2743</v>
      </c>
      <c r="G40" s="509"/>
      <c r="H40" s="510">
        <v>130000</v>
      </c>
      <c r="I40" s="340"/>
      <c r="J40" s="340"/>
      <c r="K40" s="510">
        <f t="shared" si="0"/>
        <v>130000</v>
      </c>
      <c r="L40" s="518">
        <v>39741</v>
      </c>
      <c r="M40" s="335">
        <v>130000</v>
      </c>
      <c r="N40" s="512">
        <f t="shared" si="1"/>
        <v>0</v>
      </c>
      <c r="O40" s="512">
        <f t="shared" si="2"/>
        <v>5642</v>
      </c>
      <c r="P40" s="513">
        <v>3</v>
      </c>
      <c r="Q40" s="514">
        <f t="shared" si="3"/>
        <v>15.457534246575342</v>
      </c>
      <c r="R40" s="514">
        <f t="shared" si="4"/>
        <v>-12.457534246575342</v>
      </c>
      <c r="S40" s="515">
        <f t="shared" si="5"/>
        <v>0.31666666666666665</v>
      </c>
      <c r="T40" s="335"/>
      <c r="U40" s="516">
        <f t="shared" si="6"/>
        <v>0</v>
      </c>
      <c r="V40" s="517">
        <f t="shared" si="7"/>
        <v>6500</v>
      </c>
      <c r="X40" s="335">
        <v>130000</v>
      </c>
    </row>
    <row r="41" spans="1:24" ht="13.9">
      <c r="A41" s="340" t="e">
        <f t="shared" si="8"/>
        <v>#REF!</v>
      </c>
      <c r="B41" s="508" t="s">
        <v>209</v>
      </c>
      <c r="C41" s="508" t="s">
        <v>1610</v>
      </c>
      <c r="D41" s="508" t="s">
        <v>20</v>
      </c>
      <c r="E41" s="508" t="s">
        <v>2744</v>
      </c>
      <c r="F41" s="508" t="s">
        <v>2745</v>
      </c>
      <c r="G41" s="509" t="s">
        <v>2746</v>
      </c>
      <c r="H41" s="510">
        <v>5800</v>
      </c>
      <c r="I41" s="340"/>
      <c r="J41" s="340"/>
      <c r="K41" s="510">
        <f t="shared" si="0"/>
        <v>5800</v>
      </c>
      <c r="L41" s="518">
        <v>40268</v>
      </c>
      <c r="M41" s="335">
        <v>5800</v>
      </c>
      <c r="N41" s="512">
        <f t="shared" si="1"/>
        <v>0</v>
      </c>
      <c r="O41" s="512">
        <f t="shared" si="2"/>
        <v>5115</v>
      </c>
      <c r="P41" s="513">
        <v>3</v>
      </c>
      <c r="Q41" s="514">
        <f t="shared" si="3"/>
        <v>14.013698630136986</v>
      </c>
      <c r="R41" s="514">
        <f t="shared" si="4"/>
        <v>-11.013698630136986</v>
      </c>
      <c r="S41" s="515">
        <f t="shared" si="5"/>
        <v>0.31666666666666665</v>
      </c>
      <c r="T41" s="335"/>
      <c r="U41" s="516">
        <f t="shared" si="6"/>
        <v>0</v>
      </c>
      <c r="V41" s="517">
        <f t="shared" si="7"/>
        <v>290</v>
      </c>
      <c r="X41" s="335">
        <v>5800</v>
      </c>
    </row>
    <row r="42" spans="1:24" ht="13.9">
      <c r="A42" s="340" t="e">
        <f t="shared" si="8"/>
        <v>#REF!</v>
      </c>
      <c r="B42" s="519" t="s">
        <v>2747</v>
      </c>
      <c r="C42" s="519" t="s">
        <v>1610</v>
      </c>
      <c r="D42" s="519" t="s">
        <v>2474</v>
      </c>
      <c r="E42" s="519" t="s">
        <v>2748</v>
      </c>
      <c r="F42" s="519" t="s">
        <v>1676</v>
      </c>
      <c r="G42" s="520" t="s">
        <v>2749</v>
      </c>
      <c r="H42" s="510">
        <v>291237</v>
      </c>
      <c r="I42" s="521"/>
      <c r="J42" s="521"/>
      <c r="K42" s="510">
        <f>+H42+I42-J42</f>
        <v>291237</v>
      </c>
      <c r="L42" s="522">
        <v>40019</v>
      </c>
      <c r="M42" s="335">
        <v>120297</v>
      </c>
      <c r="N42" s="512">
        <f t="shared" si="1"/>
        <v>170940</v>
      </c>
      <c r="O42" s="512">
        <f>+$O$3-L42+1</f>
        <v>5364</v>
      </c>
      <c r="P42" s="523">
        <v>3</v>
      </c>
      <c r="Q42" s="514">
        <f>+O42/365</f>
        <v>14.695890410958905</v>
      </c>
      <c r="R42" s="514">
        <f>+P42-Q42</f>
        <v>-11.695890410958905</v>
      </c>
      <c r="S42" s="515">
        <f t="shared" si="5"/>
        <v>0.31666666666666665</v>
      </c>
      <c r="T42" s="335"/>
      <c r="U42" s="516">
        <f>+N42-T42</f>
        <v>170940</v>
      </c>
      <c r="V42" s="517">
        <f>ROUND(+H42*5%,0)</f>
        <v>14562</v>
      </c>
      <c r="X42" s="335">
        <v>120297</v>
      </c>
    </row>
    <row r="43" spans="1:24" ht="13.9">
      <c r="A43" s="340" t="e">
        <f t="shared" si="8"/>
        <v>#REF!</v>
      </c>
      <c r="B43" s="508" t="s">
        <v>209</v>
      </c>
      <c r="C43" s="508" t="s">
        <v>1610</v>
      </c>
      <c r="D43" s="508" t="s">
        <v>2474</v>
      </c>
      <c r="E43" s="508" t="s">
        <v>2435</v>
      </c>
      <c r="F43" s="508" t="s">
        <v>2750</v>
      </c>
      <c r="G43" s="509" t="s">
        <v>2751</v>
      </c>
      <c r="H43" s="510">
        <v>6900</v>
      </c>
      <c r="I43" s="340"/>
      <c r="J43" s="340"/>
      <c r="K43" s="510">
        <f t="shared" si="0"/>
        <v>6900</v>
      </c>
      <c r="L43" s="518">
        <v>39972</v>
      </c>
      <c r="M43" s="335">
        <v>6900</v>
      </c>
      <c r="N43" s="512">
        <f t="shared" si="1"/>
        <v>0</v>
      </c>
      <c r="O43" s="512">
        <f t="shared" si="2"/>
        <v>5411</v>
      </c>
      <c r="P43" s="513">
        <v>3</v>
      </c>
      <c r="Q43" s="514">
        <f t="shared" si="3"/>
        <v>14.824657534246576</v>
      </c>
      <c r="R43" s="514">
        <f t="shared" si="4"/>
        <v>-11.824657534246576</v>
      </c>
      <c r="S43" s="515">
        <f t="shared" si="5"/>
        <v>0.31666666666666665</v>
      </c>
      <c r="T43" s="335"/>
      <c r="U43" s="516">
        <f t="shared" si="6"/>
        <v>0</v>
      </c>
      <c r="V43" s="517">
        <f t="shared" si="7"/>
        <v>345</v>
      </c>
      <c r="X43" s="335">
        <v>6900</v>
      </c>
    </row>
    <row r="44" spans="1:24" ht="13.9">
      <c r="A44" s="340" t="e">
        <f t="shared" si="8"/>
        <v>#REF!</v>
      </c>
      <c r="B44" s="508" t="s">
        <v>209</v>
      </c>
      <c r="C44" s="508" t="s">
        <v>1610</v>
      </c>
      <c r="D44" s="508" t="s">
        <v>2474</v>
      </c>
      <c r="E44" s="508" t="s">
        <v>2435</v>
      </c>
      <c r="F44" s="508" t="s">
        <v>2752</v>
      </c>
      <c r="G44" s="509" t="s">
        <v>2753</v>
      </c>
      <c r="H44" s="510">
        <v>6750</v>
      </c>
      <c r="I44" s="340"/>
      <c r="J44" s="340"/>
      <c r="K44" s="510">
        <f t="shared" si="0"/>
        <v>6750</v>
      </c>
      <c r="L44" s="518">
        <v>40210</v>
      </c>
      <c r="M44" s="335">
        <v>6750</v>
      </c>
      <c r="N44" s="512">
        <f t="shared" si="1"/>
        <v>0</v>
      </c>
      <c r="O44" s="512">
        <f t="shared" si="2"/>
        <v>5173</v>
      </c>
      <c r="P44" s="513">
        <v>3</v>
      </c>
      <c r="Q44" s="514">
        <f t="shared" si="3"/>
        <v>14.172602739726027</v>
      </c>
      <c r="R44" s="514">
        <f t="shared" si="4"/>
        <v>-11.172602739726027</v>
      </c>
      <c r="S44" s="515">
        <f t="shared" si="5"/>
        <v>0.31666666666666665</v>
      </c>
      <c r="T44" s="335"/>
      <c r="U44" s="516">
        <f t="shared" si="6"/>
        <v>0</v>
      </c>
      <c r="V44" s="517">
        <f t="shared" si="7"/>
        <v>338</v>
      </c>
      <c r="X44" s="335">
        <v>6750</v>
      </c>
    </row>
    <row r="45" spans="1:24" ht="13.9">
      <c r="A45" s="340" t="e">
        <f t="shared" si="8"/>
        <v>#REF!</v>
      </c>
      <c r="B45" s="508" t="s">
        <v>900</v>
      </c>
      <c r="C45" s="508" t="s">
        <v>1610</v>
      </c>
      <c r="D45" s="508" t="s">
        <v>2474</v>
      </c>
      <c r="E45" s="508" t="s">
        <v>2435</v>
      </c>
      <c r="F45" s="508" t="s">
        <v>2754</v>
      </c>
      <c r="G45" s="509"/>
      <c r="H45" s="510">
        <v>34950</v>
      </c>
      <c r="I45" s="340"/>
      <c r="J45" s="340"/>
      <c r="K45" s="510">
        <f t="shared" si="0"/>
        <v>34950</v>
      </c>
      <c r="L45" s="518">
        <v>39941</v>
      </c>
      <c r="M45" s="335">
        <v>34950</v>
      </c>
      <c r="N45" s="512">
        <f t="shared" si="1"/>
        <v>0</v>
      </c>
      <c r="O45" s="512">
        <f t="shared" si="2"/>
        <v>5442</v>
      </c>
      <c r="P45" s="513">
        <v>3</v>
      </c>
      <c r="Q45" s="514">
        <f t="shared" si="3"/>
        <v>14.90958904109589</v>
      </c>
      <c r="R45" s="514">
        <f t="shared" si="4"/>
        <v>-11.90958904109589</v>
      </c>
      <c r="S45" s="515">
        <f t="shared" si="5"/>
        <v>0.31666666666666665</v>
      </c>
      <c r="T45" s="335"/>
      <c r="U45" s="516">
        <f t="shared" si="6"/>
        <v>0</v>
      </c>
      <c r="V45" s="517">
        <f t="shared" si="7"/>
        <v>1748</v>
      </c>
      <c r="X45" s="335">
        <v>34950</v>
      </c>
    </row>
    <row r="46" spans="1:24" ht="13.9">
      <c r="A46" s="340" t="e">
        <f t="shared" si="8"/>
        <v>#REF!</v>
      </c>
      <c r="B46" s="508" t="s">
        <v>900</v>
      </c>
      <c r="C46" s="508" t="s">
        <v>1610</v>
      </c>
      <c r="D46" s="508" t="s">
        <v>2474</v>
      </c>
      <c r="E46" s="508" t="s">
        <v>2435</v>
      </c>
      <c r="F46" s="508" t="s">
        <v>2755</v>
      </c>
      <c r="G46" s="509"/>
      <c r="H46" s="510">
        <v>23150</v>
      </c>
      <c r="I46" s="340"/>
      <c r="J46" s="340"/>
      <c r="K46" s="510">
        <f t="shared" si="0"/>
        <v>23150</v>
      </c>
      <c r="L46" s="518">
        <v>39946</v>
      </c>
      <c r="M46" s="335">
        <v>23150</v>
      </c>
      <c r="N46" s="512">
        <f t="shared" si="1"/>
        <v>0</v>
      </c>
      <c r="O46" s="512">
        <f t="shared" si="2"/>
        <v>5437</v>
      </c>
      <c r="P46" s="513">
        <v>3</v>
      </c>
      <c r="Q46" s="514">
        <f t="shared" si="3"/>
        <v>14.895890410958904</v>
      </c>
      <c r="R46" s="514">
        <f t="shared" si="4"/>
        <v>-11.895890410958904</v>
      </c>
      <c r="S46" s="515">
        <f t="shared" si="5"/>
        <v>0.31666666666666665</v>
      </c>
      <c r="T46" s="335"/>
      <c r="U46" s="516">
        <f t="shared" si="6"/>
        <v>0</v>
      </c>
      <c r="V46" s="517">
        <f t="shared" si="7"/>
        <v>1158</v>
      </c>
      <c r="X46" s="335">
        <v>23150</v>
      </c>
    </row>
    <row r="47" spans="1:24" ht="13.9">
      <c r="A47" s="340" t="e">
        <f t="shared" si="8"/>
        <v>#REF!</v>
      </c>
      <c r="B47" s="508" t="s">
        <v>900</v>
      </c>
      <c r="C47" s="508" t="s">
        <v>1610</v>
      </c>
      <c r="D47" s="508" t="s">
        <v>2474</v>
      </c>
      <c r="E47" s="508" t="s">
        <v>2435</v>
      </c>
      <c r="F47" s="508" t="s">
        <v>2756</v>
      </c>
      <c r="G47" s="509" t="s">
        <v>2757</v>
      </c>
      <c r="H47" s="510">
        <v>23400</v>
      </c>
      <c r="I47" s="340"/>
      <c r="J47" s="340"/>
      <c r="K47" s="510">
        <f t="shared" si="0"/>
        <v>23400</v>
      </c>
      <c r="L47" s="518">
        <v>40061</v>
      </c>
      <c r="M47" s="335">
        <v>23400</v>
      </c>
      <c r="N47" s="512">
        <f t="shared" si="1"/>
        <v>0</v>
      </c>
      <c r="O47" s="512">
        <f t="shared" si="2"/>
        <v>5322</v>
      </c>
      <c r="P47" s="513">
        <v>3</v>
      </c>
      <c r="Q47" s="514">
        <f t="shared" si="3"/>
        <v>14.580821917808219</v>
      </c>
      <c r="R47" s="514">
        <f t="shared" si="4"/>
        <v>-11.580821917808219</v>
      </c>
      <c r="S47" s="515">
        <f t="shared" si="5"/>
        <v>0.31666666666666665</v>
      </c>
      <c r="T47" s="335"/>
      <c r="U47" s="516">
        <f t="shared" si="6"/>
        <v>0</v>
      </c>
      <c r="V47" s="517">
        <f t="shared" si="7"/>
        <v>1170</v>
      </c>
      <c r="X47" s="335">
        <v>23400</v>
      </c>
    </row>
    <row r="48" spans="1:24" ht="13.9">
      <c r="A48" s="340" t="e">
        <f t="shared" si="8"/>
        <v>#REF!</v>
      </c>
      <c r="B48" s="508" t="s">
        <v>900</v>
      </c>
      <c r="C48" s="508" t="s">
        <v>1610</v>
      </c>
      <c r="D48" s="508" t="s">
        <v>2474</v>
      </c>
      <c r="E48" s="508" t="s">
        <v>2435</v>
      </c>
      <c r="F48" s="508" t="s">
        <v>2758</v>
      </c>
      <c r="G48" s="509" t="s">
        <v>2759</v>
      </c>
      <c r="H48" s="510">
        <v>46800</v>
      </c>
      <c r="I48" s="340"/>
      <c r="J48" s="340"/>
      <c r="K48" s="510">
        <f t="shared" si="0"/>
        <v>46800</v>
      </c>
      <c r="L48" s="518">
        <v>40248</v>
      </c>
      <c r="M48" s="335">
        <v>46800</v>
      </c>
      <c r="N48" s="512">
        <f t="shared" si="1"/>
        <v>0</v>
      </c>
      <c r="O48" s="512">
        <f t="shared" si="2"/>
        <v>5135</v>
      </c>
      <c r="P48" s="513">
        <v>3</v>
      </c>
      <c r="Q48" s="514">
        <f t="shared" si="3"/>
        <v>14.068493150684931</v>
      </c>
      <c r="R48" s="514">
        <f t="shared" si="4"/>
        <v>-11.068493150684931</v>
      </c>
      <c r="S48" s="515">
        <f t="shared" si="5"/>
        <v>0.31666666666666665</v>
      </c>
      <c r="T48" s="335"/>
      <c r="U48" s="516">
        <f t="shared" si="6"/>
        <v>0</v>
      </c>
      <c r="V48" s="517">
        <f t="shared" si="7"/>
        <v>2340</v>
      </c>
      <c r="X48" s="335">
        <v>46800</v>
      </c>
    </row>
    <row r="49" spans="1:24" ht="13.9">
      <c r="A49" s="340" t="e">
        <f t="shared" si="8"/>
        <v>#REF!</v>
      </c>
      <c r="B49" s="508" t="s">
        <v>900</v>
      </c>
      <c r="C49" s="508" t="s">
        <v>1645</v>
      </c>
      <c r="D49" s="508"/>
      <c r="E49" s="508" t="s">
        <v>427</v>
      </c>
      <c r="F49" s="508" t="s">
        <v>2760</v>
      </c>
      <c r="G49" s="509" t="s">
        <v>2761</v>
      </c>
      <c r="H49" s="510">
        <v>26000</v>
      </c>
      <c r="I49" s="340"/>
      <c r="J49" s="340"/>
      <c r="K49" s="510">
        <f t="shared" si="0"/>
        <v>26000</v>
      </c>
      <c r="L49" s="524">
        <v>40331</v>
      </c>
      <c r="M49" s="335">
        <v>26000</v>
      </c>
      <c r="N49" s="512">
        <f t="shared" si="1"/>
        <v>0</v>
      </c>
      <c r="O49" s="512">
        <f t="shared" si="2"/>
        <v>5052</v>
      </c>
      <c r="P49" s="513">
        <v>3</v>
      </c>
      <c r="Q49" s="514">
        <f t="shared" si="3"/>
        <v>13.841095890410958</v>
      </c>
      <c r="R49" s="514">
        <f t="shared" si="4"/>
        <v>-10.841095890410958</v>
      </c>
      <c r="S49" s="515">
        <f t="shared" si="5"/>
        <v>0.31666666666666665</v>
      </c>
      <c r="T49" s="335"/>
      <c r="U49" s="516">
        <f t="shared" si="6"/>
        <v>0</v>
      </c>
      <c r="V49" s="517">
        <f t="shared" si="7"/>
        <v>1300</v>
      </c>
      <c r="X49" s="335">
        <v>26000</v>
      </c>
    </row>
    <row r="50" spans="1:24" ht="13.9">
      <c r="A50" s="340" t="e">
        <f t="shared" si="8"/>
        <v>#REF!</v>
      </c>
      <c r="B50" s="508" t="s">
        <v>900</v>
      </c>
      <c r="C50" s="508" t="s">
        <v>1645</v>
      </c>
      <c r="D50" s="508"/>
      <c r="E50" s="508" t="s">
        <v>427</v>
      </c>
      <c r="F50" s="508" t="s">
        <v>2762</v>
      </c>
      <c r="G50" s="509" t="s">
        <v>2763</v>
      </c>
      <c r="H50" s="510">
        <v>22400</v>
      </c>
      <c r="I50" s="340"/>
      <c r="J50" s="340"/>
      <c r="K50" s="510">
        <f t="shared" si="0"/>
        <v>22400</v>
      </c>
      <c r="L50" s="524">
        <v>40352</v>
      </c>
      <c r="M50" s="335">
        <v>22400</v>
      </c>
      <c r="N50" s="512">
        <f t="shared" si="1"/>
        <v>0</v>
      </c>
      <c r="O50" s="512">
        <f t="shared" si="2"/>
        <v>5031</v>
      </c>
      <c r="P50" s="513">
        <v>3</v>
      </c>
      <c r="Q50" s="514">
        <f t="shared" si="3"/>
        <v>13.783561643835617</v>
      </c>
      <c r="R50" s="514">
        <f t="shared" si="4"/>
        <v>-10.783561643835617</v>
      </c>
      <c r="S50" s="515">
        <f t="shared" si="5"/>
        <v>0.31666666666666665</v>
      </c>
      <c r="T50" s="335"/>
      <c r="U50" s="516">
        <f t="shared" si="6"/>
        <v>0</v>
      </c>
      <c r="V50" s="517">
        <f t="shared" si="7"/>
        <v>1120</v>
      </c>
      <c r="X50" s="335">
        <v>22400</v>
      </c>
    </row>
    <row r="51" spans="1:24" ht="13.9">
      <c r="A51" s="340" t="e">
        <f t="shared" si="8"/>
        <v>#REF!</v>
      </c>
      <c r="B51" s="508" t="s">
        <v>900</v>
      </c>
      <c r="C51" s="508" t="s">
        <v>1645</v>
      </c>
      <c r="D51" s="508" t="s">
        <v>1634</v>
      </c>
      <c r="E51" s="508" t="s">
        <v>2764</v>
      </c>
      <c r="F51" s="508" t="s">
        <v>1487</v>
      </c>
      <c r="G51" s="509" t="s">
        <v>2765</v>
      </c>
      <c r="H51" s="510">
        <v>26000</v>
      </c>
      <c r="I51" s="340"/>
      <c r="J51" s="340"/>
      <c r="K51" s="510">
        <f t="shared" si="0"/>
        <v>26000</v>
      </c>
      <c r="L51" s="524">
        <v>40411</v>
      </c>
      <c r="M51" s="335">
        <v>26000</v>
      </c>
      <c r="N51" s="512">
        <f t="shared" si="1"/>
        <v>0</v>
      </c>
      <c r="O51" s="512">
        <f t="shared" si="2"/>
        <v>4972</v>
      </c>
      <c r="P51" s="513">
        <v>3</v>
      </c>
      <c r="Q51" s="514">
        <f t="shared" si="3"/>
        <v>13.621917808219179</v>
      </c>
      <c r="R51" s="514">
        <f t="shared" si="4"/>
        <v>-10.621917808219179</v>
      </c>
      <c r="S51" s="515">
        <f t="shared" si="5"/>
        <v>0.31666666666666665</v>
      </c>
      <c r="T51" s="335"/>
      <c r="U51" s="516">
        <f t="shared" si="6"/>
        <v>0</v>
      </c>
      <c r="V51" s="517">
        <f t="shared" si="7"/>
        <v>1300</v>
      </c>
      <c r="X51" s="335">
        <v>26000</v>
      </c>
    </row>
    <row r="52" spans="1:24" ht="13.9">
      <c r="A52" s="340" t="e">
        <f t="shared" si="8"/>
        <v>#REF!</v>
      </c>
      <c r="B52" s="508" t="s">
        <v>900</v>
      </c>
      <c r="C52" s="508" t="s">
        <v>1645</v>
      </c>
      <c r="D52" s="508"/>
      <c r="E52" s="508" t="s">
        <v>427</v>
      </c>
      <c r="F52" s="508" t="s">
        <v>2766</v>
      </c>
      <c r="G52" s="509" t="s">
        <v>2767</v>
      </c>
      <c r="H52" s="510">
        <v>45500</v>
      </c>
      <c r="I52" s="340"/>
      <c r="J52" s="340"/>
      <c r="K52" s="510">
        <f t="shared" si="0"/>
        <v>45500</v>
      </c>
      <c r="L52" s="524">
        <v>40449</v>
      </c>
      <c r="M52" s="335">
        <v>45500</v>
      </c>
      <c r="N52" s="512">
        <f t="shared" si="1"/>
        <v>0</v>
      </c>
      <c r="O52" s="512">
        <f t="shared" si="2"/>
        <v>4934</v>
      </c>
      <c r="P52" s="513">
        <v>3</v>
      </c>
      <c r="Q52" s="514">
        <f t="shared" si="3"/>
        <v>13.517808219178082</v>
      </c>
      <c r="R52" s="514">
        <f t="shared" si="4"/>
        <v>-10.517808219178082</v>
      </c>
      <c r="S52" s="515">
        <f t="shared" si="5"/>
        <v>0.31666666666666665</v>
      </c>
      <c r="T52" s="335"/>
      <c r="U52" s="516">
        <f t="shared" si="6"/>
        <v>0</v>
      </c>
      <c r="V52" s="517">
        <f t="shared" si="7"/>
        <v>2275</v>
      </c>
      <c r="X52" s="335">
        <v>45500</v>
      </c>
    </row>
    <row r="53" spans="1:24" ht="13.9">
      <c r="A53" s="340" t="e">
        <f t="shared" si="8"/>
        <v>#REF!</v>
      </c>
      <c r="B53" s="508" t="s">
        <v>900</v>
      </c>
      <c r="C53" s="508" t="s">
        <v>1645</v>
      </c>
      <c r="D53" s="508"/>
      <c r="E53" s="508" t="s">
        <v>427</v>
      </c>
      <c r="F53" s="508" t="s">
        <v>2768</v>
      </c>
      <c r="G53" s="509" t="s">
        <v>2769</v>
      </c>
      <c r="H53" s="510">
        <v>10500</v>
      </c>
      <c r="I53" s="340"/>
      <c r="J53" s="340"/>
      <c r="K53" s="510">
        <f t="shared" si="0"/>
        <v>10500</v>
      </c>
      <c r="L53" s="524">
        <v>40530</v>
      </c>
      <c r="M53" s="335">
        <v>10500</v>
      </c>
      <c r="N53" s="512">
        <f t="shared" si="1"/>
        <v>0</v>
      </c>
      <c r="O53" s="512">
        <f t="shared" si="2"/>
        <v>4853</v>
      </c>
      <c r="P53" s="513">
        <v>3</v>
      </c>
      <c r="Q53" s="514">
        <f t="shared" si="3"/>
        <v>13.295890410958904</v>
      </c>
      <c r="R53" s="514">
        <f t="shared" si="4"/>
        <v>-10.295890410958904</v>
      </c>
      <c r="S53" s="515">
        <f t="shared" si="5"/>
        <v>0.31666666666666665</v>
      </c>
      <c r="T53" s="335"/>
      <c r="U53" s="516">
        <f t="shared" si="6"/>
        <v>0</v>
      </c>
      <c r="V53" s="517">
        <f t="shared" si="7"/>
        <v>525</v>
      </c>
      <c r="X53" s="335">
        <v>10500</v>
      </c>
    </row>
    <row r="54" spans="1:24" ht="13.9">
      <c r="A54" s="340" t="e">
        <f t="shared" si="8"/>
        <v>#REF!</v>
      </c>
      <c r="B54" s="508" t="s">
        <v>900</v>
      </c>
      <c r="C54" s="508" t="s">
        <v>1645</v>
      </c>
      <c r="D54" s="508"/>
      <c r="E54" s="508" t="s">
        <v>427</v>
      </c>
      <c r="F54" s="508" t="s">
        <v>2770</v>
      </c>
      <c r="G54" s="509" t="s">
        <v>2771</v>
      </c>
      <c r="H54" s="510">
        <v>9950</v>
      </c>
      <c r="I54" s="340"/>
      <c r="J54" s="340"/>
      <c r="K54" s="510">
        <f t="shared" si="0"/>
        <v>9950</v>
      </c>
      <c r="L54" s="524">
        <v>40532</v>
      </c>
      <c r="M54" s="335">
        <v>9950</v>
      </c>
      <c r="N54" s="512">
        <f t="shared" si="1"/>
        <v>0</v>
      </c>
      <c r="O54" s="512">
        <f t="shared" si="2"/>
        <v>4851</v>
      </c>
      <c r="P54" s="513">
        <v>3</v>
      </c>
      <c r="Q54" s="514">
        <f t="shared" si="3"/>
        <v>13.29041095890411</v>
      </c>
      <c r="R54" s="514">
        <f t="shared" si="4"/>
        <v>-10.29041095890411</v>
      </c>
      <c r="S54" s="515">
        <f t="shared" si="5"/>
        <v>0.31666666666666665</v>
      </c>
      <c r="T54" s="335"/>
      <c r="U54" s="516">
        <f t="shared" si="6"/>
        <v>0</v>
      </c>
      <c r="V54" s="517">
        <f t="shared" si="7"/>
        <v>498</v>
      </c>
      <c r="X54" s="335">
        <v>9950</v>
      </c>
    </row>
    <row r="55" spans="1:24" ht="13.9">
      <c r="A55" s="340" t="e">
        <f t="shared" si="8"/>
        <v>#REF!</v>
      </c>
      <c r="B55" s="508" t="s">
        <v>900</v>
      </c>
      <c r="C55" s="508" t="s">
        <v>1645</v>
      </c>
      <c r="D55" s="508"/>
      <c r="E55" s="508" t="s">
        <v>427</v>
      </c>
      <c r="F55" s="508" t="s">
        <v>2772</v>
      </c>
      <c r="G55" s="509" t="s">
        <v>2773</v>
      </c>
      <c r="H55" s="510">
        <v>36000</v>
      </c>
      <c r="I55" s="340"/>
      <c r="J55" s="340"/>
      <c r="K55" s="510">
        <f t="shared" si="0"/>
        <v>36000</v>
      </c>
      <c r="L55" s="524">
        <v>40623</v>
      </c>
      <c r="M55" s="335">
        <v>36000</v>
      </c>
      <c r="N55" s="512">
        <f t="shared" si="1"/>
        <v>0</v>
      </c>
      <c r="O55" s="512">
        <f t="shared" si="2"/>
        <v>4760</v>
      </c>
      <c r="P55" s="513">
        <v>3</v>
      </c>
      <c r="Q55" s="514">
        <f t="shared" si="3"/>
        <v>13.04109589041096</v>
      </c>
      <c r="R55" s="514">
        <f t="shared" si="4"/>
        <v>-10.04109589041096</v>
      </c>
      <c r="S55" s="515">
        <f t="shared" si="5"/>
        <v>0.31666666666666665</v>
      </c>
      <c r="T55" s="335"/>
      <c r="U55" s="516">
        <f t="shared" si="6"/>
        <v>0</v>
      </c>
      <c r="V55" s="517">
        <f t="shared" si="7"/>
        <v>1800</v>
      </c>
      <c r="X55" s="335">
        <v>36000</v>
      </c>
    </row>
    <row r="56" spans="1:24" ht="13.9">
      <c r="A56" s="340" t="e">
        <f t="shared" si="8"/>
        <v>#REF!</v>
      </c>
      <c r="B56" s="508" t="s">
        <v>209</v>
      </c>
      <c r="C56" s="508" t="s">
        <v>1645</v>
      </c>
      <c r="D56" s="508" t="s">
        <v>2774</v>
      </c>
      <c r="E56" s="508" t="s">
        <v>2775</v>
      </c>
      <c r="F56" s="508" t="s">
        <v>2776</v>
      </c>
      <c r="G56" s="509"/>
      <c r="H56" s="510">
        <v>6850</v>
      </c>
      <c r="I56" s="340"/>
      <c r="J56" s="340"/>
      <c r="K56" s="510">
        <f t="shared" si="0"/>
        <v>6850</v>
      </c>
      <c r="L56" s="524">
        <v>40568</v>
      </c>
      <c r="M56" s="335">
        <v>6850</v>
      </c>
      <c r="N56" s="512">
        <f t="shared" si="1"/>
        <v>0</v>
      </c>
      <c r="O56" s="512">
        <f t="shared" si="2"/>
        <v>4815</v>
      </c>
      <c r="P56" s="513">
        <v>3</v>
      </c>
      <c r="Q56" s="514">
        <f t="shared" si="3"/>
        <v>13.191780821917808</v>
      </c>
      <c r="R56" s="514">
        <f t="shared" si="4"/>
        <v>-10.191780821917808</v>
      </c>
      <c r="S56" s="515">
        <f t="shared" si="5"/>
        <v>0.31666666666666665</v>
      </c>
      <c r="T56" s="335"/>
      <c r="U56" s="516">
        <f t="shared" si="6"/>
        <v>0</v>
      </c>
      <c r="V56" s="517">
        <f t="shared" si="7"/>
        <v>343</v>
      </c>
      <c r="X56" s="335">
        <v>6850</v>
      </c>
    </row>
    <row r="57" spans="1:24" ht="13.9">
      <c r="A57" s="340" t="e">
        <f t="shared" si="8"/>
        <v>#REF!</v>
      </c>
      <c r="B57" s="508" t="s">
        <v>900</v>
      </c>
      <c r="C57" s="508" t="s">
        <v>1645</v>
      </c>
      <c r="D57" s="508" t="s">
        <v>2774</v>
      </c>
      <c r="E57" s="508" t="s">
        <v>2775</v>
      </c>
      <c r="F57" s="508" t="s">
        <v>2777</v>
      </c>
      <c r="G57" s="509"/>
      <c r="H57" s="510">
        <v>26950</v>
      </c>
      <c r="I57" s="340"/>
      <c r="J57" s="340"/>
      <c r="K57" s="510">
        <f t="shared" si="0"/>
        <v>26950</v>
      </c>
      <c r="L57" s="524">
        <v>40574</v>
      </c>
      <c r="M57" s="335">
        <v>26950</v>
      </c>
      <c r="N57" s="512">
        <f t="shared" si="1"/>
        <v>0</v>
      </c>
      <c r="O57" s="512">
        <f t="shared" si="2"/>
        <v>4809</v>
      </c>
      <c r="P57" s="513">
        <v>3</v>
      </c>
      <c r="Q57" s="514">
        <f t="shared" si="3"/>
        <v>13.175342465753424</v>
      </c>
      <c r="R57" s="514">
        <f t="shared" si="4"/>
        <v>-10.175342465753424</v>
      </c>
      <c r="S57" s="515">
        <f t="shared" si="5"/>
        <v>0.31666666666666665</v>
      </c>
      <c r="T57" s="335"/>
      <c r="U57" s="516">
        <f t="shared" si="6"/>
        <v>0</v>
      </c>
      <c r="V57" s="517">
        <f t="shared" si="7"/>
        <v>1348</v>
      </c>
      <c r="X57" s="335">
        <v>26950</v>
      </c>
    </row>
    <row r="58" spans="1:24" ht="13.9">
      <c r="A58" s="340" t="e">
        <f t="shared" si="8"/>
        <v>#REF!</v>
      </c>
      <c r="B58" s="508" t="s">
        <v>209</v>
      </c>
      <c r="C58" s="508" t="s">
        <v>1645</v>
      </c>
      <c r="D58" s="508"/>
      <c r="E58" s="508" t="s">
        <v>427</v>
      </c>
      <c r="F58" s="508" t="s">
        <v>2778</v>
      </c>
      <c r="G58" s="509" t="s">
        <v>2779</v>
      </c>
      <c r="H58" s="510">
        <v>7950</v>
      </c>
      <c r="I58" s="340"/>
      <c r="J58" s="340"/>
      <c r="K58" s="510">
        <f t="shared" si="0"/>
        <v>7950</v>
      </c>
      <c r="L58" s="524">
        <v>40456</v>
      </c>
      <c r="M58" s="335">
        <v>7950</v>
      </c>
      <c r="N58" s="512">
        <f t="shared" si="1"/>
        <v>0</v>
      </c>
      <c r="O58" s="512">
        <f t="shared" si="2"/>
        <v>4927</v>
      </c>
      <c r="P58" s="513">
        <v>3</v>
      </c>
      <c r="Q58" s="514">
        <f t="shared" si="3"/>
        <v>13.498630136986302</v>
      </c>
      <c r="R58" s="514">
        <f t="shared" si="4"/>
        <v>-10.498630136986302</v>
      </c>
      <c r="S58" s="515">
        <f t="shared" si="5"/>
        <v>0.31666666666666665</v>
      </c>
      <c r="T58" s="335"/>
      <c r="U58" s="516">
        <f t="shared" si="6"/>
        <v>0</v>
      </c>
      <c r="V58" s="517">
        <f t="shared" si="7"/>
        <v>398</v>
      </c>
      <c r="X58" s="335">
        <v>7950</v>
      </c>
    </row>
    <row r="59" spans="1:24" ht="13.9">
      <c r="A59" s="340" t="e">
        <f t="shared" si="8"/>
        <v>#REF!</v>
      </c>
      <c r="B59" s="508" t="s">
        <v>209</v>
      </c>
      <c r="C59" s="508" t="s">
        <v>1645</v>
      </c>
      <c r="D59" s="508" t="s">
        <v>1673</v>
      </c>
      <c r="E59" s="508" t="s">
        <v>414</v>
      </c>
      <c r="F59" s="508"/>
      <c r="G59" s="509"/>
      <c r="H59" s="510">
        <v>6900</v>
      </c>
      <c r="I59" s="340"/>
      <c r="J59" s="340"/>
      <c r="K59" s="510">
        <f t="shared" si="0"/>
        <v>6900</v>
      </c>
      <c r="L59" s="524">
        <v>40629</v>
      </c>
      <c r="M59" s="335">
        <v>6900</v>
      </c>
      <c r="N59" s="512">
        <f t="shared" si="1"/>
        <v>0</v>
      </c>
      <c r="O59" s="512">
        <f t="shared" si="2"/>
        <v>4754</v>
      </c>
      <c r="P59" s="513">
        <v>3</v>
      </c>
      <c r="Q59" s="514">
        <f t="shared" si="3"/>
        <v>13.024657534246575</v>
      </c>
      <c r="R59" s="514">
        <f t="shared" si="4"/>
        <v>-10.024657534246575</v>
      </c>
      <c r="S59" s="515">
        <f t="shared" si="5"/>
        <v>0.31666666666666665</v>
      </c>
      <c r="T59" s="335"/>
      <c r="U59" s="516">
        <f t="shared" si="6"/>
        <v>0</v>
      </c>
      <c r="V59" s="517">
        <f t="shared" si="7"/>
        <v>345</v>
      </c>
      <c r="X59" s="335">
        <v>6900</v>
      </c>
    </row>
    <row r="60" spans="1:24" ht="13.9">
      <c r="A60" s="340" t="e">
        <f t="shared" si="8"/>
        <v>#REF!</v>
      </c>
      <c r="B60" s="508" t="s">
        <v>900</v>
      </c>
      <c r="C60" s="508" t="s">
        <v>1705</v>
      </c>
      <c r="D60" s="508"/>
      <c r="E60" s="508" t="s">
        <v>427</v>
      </c>
      <c r="F60" s="508"/>
      <c r="G60" s="509"/>
      <c r="H60" s="510">
        <v>44000</v>
      </c>
      <c r="I60" s="340"/>
      <c r="J60" s="340"/>
      <c r="K60" s="510">
        <f t="shared" si="0"/>
        <v>44000</v>
      </c>
      <c r="L60" s="524">
        <v>40732</v>
      </c>
      <c r="M60" s="335">
        <v>44000</v>
      </c>
      <c r="N60" s="512">
        <f t="shared" si="1"/>
        <v>0</v>
      </c>
      <c r="O60" s="512">
        <f t="shared" si="2"/>
        <v>4651</v>
      </c>
      <c r="P60" s="513">
        <v>3</v>
      </c>
      <c r="Q60" s="514">
        <f t="shared" si="3"/>
        <v>12.742465753424657</v>
      </c>
      <c r="R60" s="514">
        <f t="shared" si="4"/>
        <v>-9.742465753424657</v>
      </c>
      <c r="S60" s="515">
        <f t="shared" si="5"/>
        <v>0.31666666666666665</v>
      </c>
      <c r="T60" s="335"/>
      <c r="U60" s="516">
        <f t="shared" si="6"/>
        <v>0</v>
      </c>
      <c r="V60" s="517">
        <f t="shared" si="7"/>
        <v>2200</v>
      </c>
      <c r="X60" s="335">
        <v>44000</v>
      </c>
    </row>
    <row r="61" spans="1:24" ht="13.9">
      <c r="A61" s="340" t="e">
        <f t="shared" si="8"/>
        <v>#REF!</v>
      </c>
      <c r="B61" s="508" t="s">
        <v>900</v>
      </c>
      <c r="C61" s="508" t="s">
        <v>1705</v>
      </c>
      <c r="D61" s="508"/>
      <c r="E61" s="508" t="s">
        <v>427</v>
      </c>
      <c r="F61" s="508"/>
      <c r="G61" s="509"/>
      <c r="H61" s="510">
        <v>76800</v>
      </c>
      <c r="I61" s="340"/>
      <c r="J61" s="340"/>
      <c r="K61" s="510">
        <f t="shared" si="0"/>
        <v>76800</v>
      </c>
      <c r="L61" s="524">
        <v>40780</v>
      </c>
      <c r="M61" s="335">
        <v>76800</v>
      </c>
      <c r="N61" s="512">
        <f t="shared" si="1"/>
        <v>0</v>
      </c>
      <c r="O61" s="512">
        <f t="shared" si="2"/>
        <v>4603</v>
      </c>
      <c r="P61" s="513">
        <v>3</v>
      </c>
      <c r="Q61" s="514">
        <f t="shared" si="3"/>
        <v>12.610958904109589</v>
      </c>
      <c r="R61" s="514">
        <f t="shared" si="4"/>
        <v>-9.6109589041095891</v>
      </c>
      <c r="S61" s="515">
        <f t="shared" si="5"/>
        <v>0.31666666666666665</v>
      </c>
      <c r="T61" s="335"/>
      <c r="U61" s="516">
        <f t="shared" si="6"/>
        <v>0</v>
      </c>
      <c r="V61" s="517">
        <f t="shared" si="7"/>
        <v>3840</v>
      </c>
      <c r="X61" s="335">
        <v>76800</v>
      </c>
    </row>
    <row r="62" spans="1:24" ht="13.9">
      <c r="A62" s="340" t="e">
        <f t="shared" si="8"/>
        <v>#REF!</v>
      </c>
      <c r="B62" s="508" t="s">
        <v>900</v>
      </c>
      <c r="C62" s="508" t="s">
        <v>1705</v>
      </c>
      <c r="D62" s="508"/>
      <c r="E62" s="508" t="s">
        <v>427</v>
      </c>
      <c r="F62" s="508"/>
      <c r="G62" s="509"/>
      <c r="H62" s="510">
        <v>20500</v>
      </c>
      <c r="I62" s="340"/>
      <c r="J62" s="340"/>
      <c r="K62" s="510">
        <f t="shared" si="0"/>
        <v>20500</v>
      </c>
      <c r="L62" s="524">
        <v>40799</v>
      </c>
      <c r="M62" s="335">
        <v>20500</v>
      </c>
      <c r="N62" s="512">
        <f t="shared" si="1"/>
        <v>0</v>
      </c>
      <c r="O62" s="512">
        <f t="shared" si="2"/>
        <v>4584</v>
      </c>
      <c r="P62" s="513">
        <v>3</v>
      </c>
      <c r="Q62" s="514">
        <f t="shared" si="3"/>
        <v>12.558904109589042</v>
      </c>
      <c r="R62" s="514">
        <f t="shared" si="4"/>
        <v>-9.5589041095890419</v>
      </c>
      <c r="S62" s="515">
        <f t="shared" si="5"/>
        <v>0.31666666666666665</v>
      </c>
      <c r="T62" s="335"/>
      <c r="U62" s="516">
        <f t="shared" si="6"/>
        <v>0</v>
      </c>
      <c r="V62" s="517">
        <f t="shared" si="7"/>
        <v>1025</v>
      </c>
      <c r="X62" s="335">
        <v>20500</v>
      </c>
    </row>
    <row r="63" spans="1:24" ht="13.9">
      <c r="A63" s="340" t="e">
        <f t="shared" si="8"/>
        <v>#REF!</v>
      </c>
      <c r="B63" s="508" t="s">
        <v>900</v>
      </c>
      <c r="C63" s="508" t="s">
        <v>1705</v>
      </c>
      <c r="D63" s="508"/>
      <c r="E63" s="508" t="s">
        <v>427</v>
      </c>
      <c r="F63" s="508"/>
      <c r="G63" s="509"/>
      <c r="H63" s="510">
        <v>42000</v>
      </c>
      <c r="I63" s="340"/>
      <c r="J63" s="340"/>
      <c r="K63" s="510">
        <f t="shared" si="0"/>
        <v>42000</v>
      </c>
      <c r="L63" s="524">
        <v>40802</v>
      </c>
      <c r="M63" s="335">
        <v>42000</v>
      </c>
      <c r="N63" s="512">
        <f t="shared" si="1"/>
        <v>0</v>
      </c>
      <c r="O63" s="512">
        <f t="shared" si="2"/>
        <v>4581</v>
      </c>
      <c r="P63" s="513">
        <v>3</v>
      </c>
      <c r="Q63" s="514">
        <f t="shared" si="3"/>
        <v>12.550684931506849</v>
      </c>
      <c r="R63" s="514">
        <f t="shared" si="4"/>
        <v>-9.5506849315068489</v>
      </c>
      <c r="S63" s="515">
        <f t="shared" si="5"/>
        <v>0.31666666666666665</v>
      </c>
      <c r="T63" s="335"/>
      <c r="U63" s="516">
        <f t="shared" si="6"/>
        <v>0</v>
      </c>
      <c r="V63" s="517">
        <f t="shared" si="7"/>
        <v>2100</v>
      </c>
      <c r="X63" s="335">
        <v>42000</v>
      </c>
    </row>
    <row r="64" spans="1:24" ht="13.9">
      <c r="A64" s="340" t="e">
        <f t="shared" si="8"/>
        <v>#REF!</v>
      </c>
      <c r="B64" s="508" t="s">
        <v>900</v>
      </c>
      <c r="C64" s="508" t="s">
        <v>1705</v>
      </c>
      <c r="D64" s="508"/>
      <c r="E64" s="508" t="s">
        <v>427</v>
      </c>
      <c r="F64" s="508"/>
      <c r="G64" s="509"/>
      <c r="H64" s="510">
        <v>21000</v>
      </c>
      <c r="I64" s="340"/>
      <c r="J64" s="340"/>
      <c r="K64" s="510">
        <f t="shared" si="0"/>
        <v>21000</v>
      </c>
      <c r="L64" s="524">
        <v>40808</v>
      </c>
      <c r="M64" s="335">
        <v>21000</v>
      </c>
      <c r="N64" s="512">
        <f t="shared" si="1"/>
        <v>0</v>
      </c>
      <c r="O64" s="512">
        <f t="shared" si="2"/>
        <v>4575</v>
      </c>
      <c r="P64" s="513">
        <v>3</v>
      </c>
      <c r="Q64" s="514">
        <f t="shared" si="3"/>
        <v>12.534246575342467</v>
      </c>
      <c r="R64" s="514">
        <f t="shared" si="4"/>
        <v>-9.5342465753424666</v>
      </c>
      <c r="S64" s="515">
        <f t="shared" si="5"/>
        <v>0.31666666666666665</v>
      </c>
      <c r="T64" s="335"/>
      <c r="U64" s="516">
        <f t="shared" si="6"/>
        <v>0</v>
      </c>
      <c r="V64" s="517">
        <f t="shared" si="7"/>
        <v>1050</v>
      </c>
      <c r="X64" s="335">
        <v>21000</v>
      </c>
    </row>
    <row r="65" spans="1:24" ht="13.9">
      <c r="A65" s="340" t="e">
        <f t="shared" si="8"/>
        <v>#REF!</v>
      </c>
      <c r="B65" s="508" t="s">
        <v>900</v>
      </c>
      <c r="C65" s="508" t="s">
        <v>1705</v>
      </c>
      <c r="D65" s="508"/>
      <c r="E65" s="508" t="s">
        <v>427</v>
      </c>
      <c r="F65" s="508"/>
      <c r="G65" s="509"/>
      <c r="H65" s="510">
        <v>24400</v>
      </c>
      <c r="I65" s="340"/>
      <c r="J65" s="340"/>
      <c r="K65" s="510">
        <f t="shared" si="0"/>
        <v>24400</v>
      </c>
      <c r="L65" s="524">
        <v>40858</v>
      </c>
      <c r="M65" s="335">
        <v>24400</v>
      </c>
      <c r="N65" s="512">
        <f t="shared" si="1"/>
        <v>0</v>
      </c>
      <c r="O65" s="512">
        <f t="shared" si="2"/>
        <v>4525</v>
      </c>
      <c r="P65" s="513">
        <v>3</v>
      </c>
      <c r="Q65" s="514">
        <f t="shared" si="3"/>
        <v>12.397260273972602</v>
      </c>
      <c r="R65" s="514">
        <f t="shared" si="4"/>
        <v>-9.3972602739726021</v>
      </c>
      <c r="S65" s="515">
        <f t="shared" si="5"/>
        <v>0.31666666666666665</v>
      </c>
      <c r="T65" s="335"/>
      <c r="U65" s="516">
        <f t="shared" si="6"/>
        <v>0</v>
      </c>
      <c r="V65" s="517">
        <f t="shared" si="7"/>
        <v>1220</v>
      </c>
      <c r="X65" s="335">
        <v>24400</v>
      </c>
    </row>
    <row r="66" spans="1:24" ht="13.9">
      <c r="A66" s="340" t="e">
        <f t="shared" si="8"/>
        <v>#REF!</v>
      </c>
      <c r="B66" s="508" t="s">
        <v>900</v>
      </c>
      <c r="C66" s="508" t="s">
        <v>1705</v>
      </c>
      <c r="D66" s="508"/>
      <c r="E66" s="508" t="s">
        <v>2780</v>
      </c>
      <c r="F66" s="508"/>
      <c r="G66" s="509"/>
      <c r="H66" s="510">
        <v>93800</v>
      </c>
      <c r="I66" s="340"/>
      <c r="J66" s="340"/>
      <c r="K66" s="510">
        <f t="shared" si="0"/>
        <v>93800</v>
      </c>
      <c r="L66" s="524">
        <v>40859</v>
      </c>
      <c r="M66" s="335">
        <v>93800</v>
      </c>
      <c r="N66" s="512">
        <f t="shared" si="1"/>
        <v>0</v>
      </c>
      <c r="O66" s="512">
        <f t="shared" si="2"/>
        <v>4524</v>
      </c>
      <c r="P66" s="513">
        <v>3</v>
      </c>
      <c r="Q66" s="514">
        <f t="shared" si="3"/>
        <v>12.394520547945206</v>
      </c>
      <c r="R66" s="514">
        <f t="shared" si="4"/>
        <v>-9.3945205479452056</v>
      </c>
      <c r="S66" s="515">
        <f t="shared" si="5"/>
        <v>0.31666666666666665</v>
      </c>
      <c r="T66" s="335"/>
      <c r="U66" s="516">
        <f t="shared" si="6"/>
        <v>0</v>
      </c>
      <c r="V66" s="517">
        <f t="shared" si="7"/>
        <v>4690</v>
      </c>
      <c r="X66" s="335">
        <v>93800</v>
      </c>
    </row>
    <row r="67" spans="1:24" ht="13.9">
      <c r="A67" s="340" t="e">
        <f t="shared" si="8"/>
        <v>#REF!</v>
      </c>
      <c r="B67" s="508" t="s">
        <v>900</v>
      </c>
      <c r="C67" s="508" t="s">
        <v>1705</v>
      </c>
      <c r="D67" s="508"/>
      <c r="E67" s="508" t="s">
        <v>427</v>
      </c>
      <c r="F67" s="508"/>
      <c r="G67" s="509"/>
      <c r="H67" s="510">
        <v>76900</v>
      </c>
      <c r="I67" s="340"/>
      <c r="J67" s="340"/>
      <c r="K67" s="510">
        <f t="shared" si="0"/>
        <v>76900</v>
      </c>
      <c r="L67" s="524">
        <v>40884</v>
      </c>
      <c r="M67" s="335">
        <v>76900</v>
      </c>
      <c r="N67" s="512">
        <f t="shared" si="1"/>
        <v>0</v>
      </c>
      <c r="O67" s="512">
        <f t="shared" si="2"/>
        <v>4499</v>
      </c>
      <c r="P67" s="513">
        <v>3</v>
      </c>
      <c r="Q67" s="514">
        <f t="shared" si="3"/>
        <v>12.326027397260274</v>
      </c>
      <c r="R67" s="514">
        <f t="shared" si="4"/>
        <v>-9.3260273972602743</v>
      </c>
      <c r="S67" s="515">
        <f t="shared" si="5"/>
        <v>0.31666666666666665</v>
      </c>
      <c r="T67" s="335"/>
      <c r="U67" s="516">
        <f t="shared" si="6"/>
        <v>0</v>
      </c>
      <c r="V67" s="517">
        <f t="shared" si="7"/>
        <v>3845</v>
      </c>
      <c r="X67" s="335">
        <v>76900</v>
      </c>
    </row>
    <row r="68" spans="1:24" ht="13.9">
      <c r="A68" s="340" t="e">
        <f t="shared" si="8"/>
        <v>#REF!</v>
      </c>
      <c r="B68" s="508" t="s">
        <v>900</v>
      </c>
      <c r="C68" s="508" t="s">
        <v>1705</v>
      </c>
      <c r="D68" s="508"/>
      <c r="E68" s="508" t="s">
        <v>427</v>
      </c>
      <c r="F68" s="508"/>
      <c r="G68" s="509"/>
      <c r="H68" s="510">
        <v>25150</v>
      </c>
      <c r="I68" s="340"/>
      <c r="J68" s="340"/>
      <c r="K68" s="510">
        <f t="shared" si="0"/>
        <v>25150</v>
      </c>
      <c r="L68" s="524">
        <v>40949</v>
      </c>
      <c r="M68" s="335">
        <v>25150</v>
      </c>
      <c r="N68" s="512">
        <f t="shared" si="1"/>
        <v>0</v>
      </c>
      <c r="O68" s="512">
        <f t="shared" si="2"/>
        <v>4434</v>
      </c>
      <c r="P68" s="513">
        <v>3</v>
      </c>
      <c r="Q68" s="514">
        <f t="shared" si="3"/>
        <v>12.147945205479452</v>
      </c>
      <c r="R68" s="514">
        <f t="shared" si="4"/>
        <v>-9.1479452054794521</v>
      </c>
      <c r="S68" s="515">
        <f t="shared" si="5"/>
        <v>0.31666666666666665</v>
      </c>
      <c r="T68" s="335"/>
      <c r="U68" s="516">
        <f t="shared" si="6"/>
        <v>0</v>
      </c>
      <c r="V68" s="517">
        <f t="shared" si="7"/>
        <v>1258</v>
      </c>
      <c r="X68" s="335">
        <v>25150</v>
      </c>
    </row>
    <row r="69" spans="1:24" ht="13.9">
      <c r="A69" s="340" t="e">
        <f t="shared" si="8"/>
        <v>#REF!</v>
      </c>
      <c r="B69" s="508" t="s">
        <v>900</v>
      </c>
      <c r="C69" s="508" t="s">
        <v>1705</v>
      </c>
      <c r="D69" s="508"/>
      <c r="E69" s="508" t="s">
        <v>427</v>
      </c>
      <c r="F69" s="508"/>
      <c r="G69" s="509"/>
      <c r="H69" s="510">
        <v>77900</v>
      </c>
      <c r="I69" s="340"/>
      <c r="J69" s="340"/>
      <c r="K69" s="510">
        <f t="shared" si="0"/>
        <v>77900</v>
      </c>
      <c r="L69" s="524">
        <v>40982</v>
      </c>
      <c r="M69" s="335">
        <v>77900</v>
      </c>
      <c r="N69" s="512">
        <f t="shared" si="1"/>
        <v>0</v>
      </c>
      <c r="O69" s="512">
        <f t="shared" si="2"/>
        <v>4401</v>
      </c>
      <c r="P69" s="513">
        <v>3</v>
      </c>
      <c r="Q69" s="514">
        <f t="shared" si="3"/>
        <v>12.057534246575342</v>
      </c>
      <c r="R69" s="514">
        <f t="shared" si="4"/>
        <v>-9.0575342465753419</v>
      </c>
      <c r="S69" s="515">
        <f t="shared" si="5"/>
        <v>0.31666666666666665</v>
      </c>
      <c r="T69" s="335"/>
      <c r="U69" s="516">
        <f t="shared" si="6"/>
        <v>0</v>
      </c>
      <c r="V69" s="517">
        <f t="shared" si="7"/>
        <v>3895</v>
      </c>
      <c r="X69" s="335">
        <v>77900</v>
      </c>
    </row>
    <row r="70" spans="1:24" ht="14.65">
      <c r="A70" s="340" t="e">
        <f t="shared" si="8"/>
        <v>#REF!</v>
      </c>
      <c r="B70" s="508" t="s">
        <v>900</v>
      </c>
      <c r="C70" s="508" t="s">
        <v>1705</v>
      </c>
      <c r="D70" s="508" t="s">
        <v>1776</v>
      </c>
      <c r="E70" s="508"/>
      <c r="F70" s="508"/>
      <c r="G70" s="509"/>
      <c r="H70" s="510">
        <v>24050</v>
      </c>
      <c r="I70" s="340"/>
      <c r="J70" s="340"/>
      <c r="K70" s="510">
        <f t="shared" si="0"/>
        <v>24050</v>
      </c>
      <c r="L70" s="525">
        <v>40999</v>
      </c>
      <c r="M70" s="335">
        <v>24050</v>
      </c>
      <c r="N70" s="512">
        <f t="shared" si="1"/>
        <v>0</v>
      </c>
      <c r="O70" s="512">
        <f t="shared" si="2"/>
        <v>4384</v>
      </c>
      <c r="P70" s="513">
        <v>3</v>
      </c>
      <c r="Q70" s="514">
        <f t="shared" si="3"/>
        <v>12.010958904109589</v>
      </c>
      <c r="R70" s="514">
        <f t="shared" si="4"/>
        <v>-9.0109589041095894</v>
      </c>
      <c r="S70" s="515">
        <f t="shared" si="5"/>
        <v>0.31666666666666665</v>
      </c>
      <c r="T70" s="335"/>
      <c r="U70" s="516">
        <f t="shared" si="6"/>
        <v>0</v>
      </c>
      <c r="V70" s="517">
        <f t="shared" si="7"/>
        <v>1203</v>
      </c>
      <c r="X70" s="335">
        <v>24050</v>
      </c>
    </row>
    <row r="71" spans="1:24" ht="13.9">
      <c r="A71" s="340" t="e">
        <f t="shared" si="8"/>
        <v>#REF!</v>
      </c>
      <c r="B71" s="508" t="s">
        <v>209</v>
      </c>
      <c r="C71" s="508" t="s">
        <v>1705</v>
      </c>
      <c r="D71" s="508" t="s">
        <v>1634</v>
      </c>
      <c r="E71" s="508" t="s">
        <v>2781</v>
      </c>
      <c r="F71" s="508" t="s">
        <v>2782</v>
      </c>
      <c r="G71" s="509" t="s">
        <v>2783</v>
      </c>
      <c r="H71" s="510">
        <v>107120</v>
      </c>
      <c r="I71" s="340"/>
      <c r="J71" s="340"/>
      <c r="K71" s="510">
        <f t="shared" si="0"/>
        <v>107120</v>
      </c>
      <c r="L71" s="524">
        <v>40689</v>
      </c>
      <c r="M71" s="335">
        <v>107120</v>
      </c>
      <c r="N71" s="512">
        <f t="shared" si="1"/>
        <v>0</v>
      </c>
      <c r="O71" s="512">
        <f t="shared" si="2"/>
        <v>4694</v>
      </c>
      <c r="P71" s="513">
        <v>3</v>
      </c>
      <c r="Q71" s="514">
        <f t="shared" si="3"/>
        <v>12.860273972602739</v>
      </c>
      <c r="R71" s="514">
        <f t="shared" si="4"/>
        <v>-9.8602739726027391</v>
      </c>
      <c r="S71" s="515">
        <f t="shared" si="5"/>
        <v>0.31666666666666665</v>
      </c>
      <c r="T71" s="335"/>
      <c r="U71" s="516">
        <f t="shared" si="6"/>
        <v>0</v>
      </c>
      <c r="V71" s="517">
        <f t="shared" si="7"/>
        <v>5356</v>
      </c>
      <c r="X71" s="335">
        <v>107120</v>
      </c>
    </row>
    <row r="72" spans="1:24" ht="13.9">
      <c r="A72" s="340" t="e">
        <f t="shared" si="8"/>
        <v>#REF!</v>
      </c>
      <c r="B72" s="508" t="s">
        <v>209</v>
      </c>
      <c r="C72" s="508" t="s">
        <v>1705</v>
      </c>
      <c r="D72" s="508"/>
      <c r="E72" s="508" t="s">
        <v>427</v>
      </c>
      <c r="F72" s="508" t="s">
        <v>2784</v>
      </c>
      <c r="G72" s="509" t="s">
        <v>2785</v>
      </c>
      <c r="H72" s="510">
        <v>5800</v>
      </c>
      <c r="I72" s="340"/>
      <c r="J72" s="340"/>
      <c r="K72" s="510">
        <f t="shared" ref="K72:K135" si="9">+H72+I72-J72</f>
        <v>5800</v>
      </c>
      <c r="L72" s="524">
        <v>40799</v>
      </c>
      <c r="M72" s="335">
        <v>5800</v>
      </c>
      <c r="N72" s="512">
        <f t="shared" si="1"/>
        <v>0</v>
      </c>
      <c r="O72" s="512">
        <f t="shared" ref="O72:O135" si="10">+$O$3-L72+1</f>
        <v>4584</v>
      </c>
      <c r="P72" s="513">
        <v>3</v>
      </c>
      <c r="Q72" s="514">
        <f t="shared" ref="Q72:Q135" si="11">+O72/365</f>
        <v>12.558904109589042</v>
      </c>
      <c r="R72" s="514">
        <f t="shared" ref="R72:R135" si="12">+P72-Q72</f>
        <v>-9.5589041095890419</v>
      </c>
      <c r="S72" s="515">
        <f t="shared" ref="S72:S135" si="13">1/P72*0.95</f>
        <v>0.31666666666666665</v>
      </c>
      <c r="T72" s="335"/>
      <c r="U72" s="516">
        <f t="shared" ref="U72:U135" si="14">+N72-T72</f>
        <v>0</v>
      </c>
      <c r="V72" s="517">
        <f t="shared" ref="V72:V135" si="15">ROUND(+H72*5%,0)</f>
        <v>290</v>
      </c>
      <c r="X72" s="335">
        <v>5800</v>
      </c>
    </row>
    <row r="73" spans="1:24" ht="13.9">
      <c r="A73" s="340" t="e">
        <f t="shared" ref="A73:A136" si="16">+A72+1</f>
        <v>#REF!</v>
      </c>
      <c r="B73" s="508" t="s">
        <v>209</v>
      </c>
      <c r="C73" s="508" t="s">
        <v>1705</v>
      </c>
      <c r="D73" s="508"/>
      <c r="E73" s="508" t="s">
        <v>427</v>
      </c>
      <c r="F73" s="508" t="s">
        <v>2786</v>
      </c>
      <c r="G73" s="509" t="s">
        <v>2787</v>
      </c>
      <c r="H73" s="510">
        <v>11250</v>
      </c>
      <c r="I73" s="340"/>
      <c r="J73" s="340"/>
      <c r="K73" s="510">
        <f t="shared" si="9"/>
        <v>11250</v>
      </c>
      <c r="L73" s="524">
        <v>40808</v>
      </c>
      <c r="M73" s="335">
        <v>11250</v>
      </c>
      <c r="N73" s="512">
        <f t="shared" ref="N73:N136" si="17">+K73-M73</f>
        <v>0</v>
      </c>
      <c r="O73" s="512">
        <f t="shared" si="10"/>
        <v>4575</v>
      </c>
      <c r="P73" s="513">
        <v>3</v>
      </c>
      <c r="Q73" s="514">
        <f t="shared" si="11"/>
        <v>12.534246575342467</v>
      </c>
      <c r="R73" s="514">
        <f t="shared" si="12"/>
        <v>-9.5342465753424666</v>
      </c>
      <c r="S73" s="515">
        <f t="shared" si="13"/>
        <v>0.31666666666666665</v>
      </c>
      <c r="T73" s="335"/>
      <c r="U73" s="516">
        <f t="shared" si="14"/>
        <v>0</v>
      </c>
      <c r="V73" s="517">
        <f t="shared" si="15"/>
        <v>563</v>
      </c>
      <c r="X73" s="335">
        <v>11250</v>
      </c>
    </row>
    <row r="74" spans="1:24" ht="13.9">
      <c r="A74" s="340" t="e">
        <f t="shared" si="16"/>
        <v>#REF!</v>
      </c>
      <c r="B74" s="508" t="s">
        <v>209</v>
      </c>
      <c r="C74" s="508" t="s">
        <v>1705</v>
      </c>
      <c r="D74" s="508"/>
      <c r="E74" s="508" t="s">
        <v>427</v>
      </c>
      <c r="F74" s="508" t="s">
        <v>2788</v>
      </c>
      <c r="G74" s="509" t="s">
        <v>2789</v>
      </c>
      <c r="H74" s="510">
        <v>7000</v>
      </c>
      <c r="I74" s="340"/>
      <c r="J74" s="340"/>
      <c r="K74" s="510">
        <f t="shared" si="9"/>
        <v>7000</v>
      </c>
      <c r="L74" s="524">
        <v>40855</v>
      </c>
      <c r="M74" s="335">
        <v>7000</v>
      </c>
      <c r="N74" s="512">
        <f t="shared" si="17"/>
        <v>0</v>
      </c>
      <c r="O74" s="512">
        <f t="shared" si="10"/>
        <v>4528</v>
      </c>
      <c r="P74" s="513">
        <v>3</v>
      </c>
      <c r="Q74" s="514">
        <f t="shared" si="11"/>
        <v>12.405479452054795</v>
      </c>
      <c r="R74" s="514">
        <f t="shared" si="12"/>
        <v>-9.4054794520547951</v>
      </c>
      <c r="S74" s="515">
        <f t="shared" si="13"/>
        <v>0.31666666666666665</v>
      </c>
      <c r="T74" s="335"/>
      <c r="U74" s="516">
        <f t="shared" si="14"/>
        <v>0</v>
      </c>
      <c r="V74" s="517">
        <f t="shared" si="15"/>
        <v>350</v>
      </c>
      <c r="X74" s="335">
        <v>7000</v>
      </c>
    </row>
    <row r="75" spans="1:24" ht="13.9">
      <c r="A75" s="340" t="e">
        <f t="shared" si="16"/>
        <v>#REF!</v>
      </c>
      <c r="B75" s="508" t="s">
        <v>209</v>
      </c>
      <c r="C75" s="508" t="s">
        <v>1705</v>
      </c>
      <c r="D75" s="508"/>
      <c r="E75" s="508" t="s">
        <v>427</v>
      </c>
      <c r="F75" s="508" t="s">
        <v>2790</v>
      </c>
      <c r="G75" s="509" t="s">
        <v>2791</v>
      </c>
      <c r="H75" s="510">
        <v>9900</v>
      </c>
      <c r="I75" s="340"/>
      <c r="J75" s="340"/>
      <c r="K75" s="510">
        <f t="shared" si="9"/>
        <v>9900</v>
      </c>
      <c r="L75" s="524">
        <v>40927</v>
      </c>
      <c r="M75" s="335">
        <v>9900</v>
      </c>
      <c r="N75" s="512">
        <f t="shared" si="17"/>
        <v>0</v>
      </c>
      <c r="O75" s="512">
        <f t="shared" si="10"/>
        <v>4456</v>
      </c>
      <c r="P75" s="513">
        <v>3</v>
      </c>
      <c r="Q75" s="514">
        <f t="shared" si="11"/>
        <v>12.208219178082192</v>
      </c>
      <c r="R75" s="514">
        <f t="shared" si="12"/>
        <v>-9.2082191780821923</v>
      </c>
      <c r="S75" s="515">
        <f t="shared" si="13"/>
        <v>0.31666666666666665</v>
      </c>
      <c r="T75" s="335"/>
      <c r="U75" s="516">
        <f t="shared" si="14"/>
        <v>0</v>
      </c>
      <c r="V75" s="517">
        <f t="shared" si="15"/>
        <v>495</v>
      </c>
      <c r="X75" s="335">
        <v>9900</v>
      </c>
    </row>
    <row r="76" spans="1:24" ht="13.9">
      <c r="A76" s="340" t="e">
        <f t="shared" si="16"/>
        <v>#REF!</v>
      </c>
      <c r="B76" s="508" t="s">
        <v>2792</v>
      </c>
      <c r="C76" s="508" t="s">
        <v>1746</v>
      </c>
      <c r="D76" s="508"/>
      <c r="E76" s="508" t="s">
        <v>427</v>
      </c>
      <c r="F76" s="508" t="s">
        <v>2793</v>
      </c>
      <c r="G76" s="509" t="s">
        <v>2794</v>
      </c>
      <c r="H76" s="510">
        <v>97400</v>
      </c>
      <c r="I76" s="340"/>
      <c r="J76" s="340"/>
      <c r="K76" s="510">
        <f t="shared" si="9"/>
        <v>97400</v>
      </c>
      <c r="L76" s="524">
        <v>41046</v>
      </c>
      <c r="M76" s="335">
        <v>97400</v>
      </c>
      <c r="N76" s="512">
        <f t="shared" si="17"/>
        <v>0</v>
      </c>
      <c r="O76" s="512">
        <f t="shared" si="10"/>
        <v>4337</v>
      </c>
      <c r="P76" s="513">
        <v>3</v>
      </c>
      <c r="Q76" s="514">
        <f t="shared" si="11"/>
        <v>11.882191780821918</v>
      </c>
      <c r="R76" s="514">
        <f t="shared" si="12"/>
        <v>-8.882191780821918</v>
      </c>
      <c r="S76" s="515">
        <f t="shared" si="13"/>
        <v>0.31666666666666665</v>
      </c>
      <c r="T76" s="335"/>
      <c r="U76" s="516">
        <f t="shared" si="14"/>
        <v>0</v>
      </c>
      <c r="V76" s="517">
        <f t="shared" si="15"/>
        <v>4870</v>
      </c>
      <c r="X76" s="335">
        <v>97400</v>
      </c>
    </row>
    <row r="77" spans="1:24" ht="13.9">
      <c r="A77" s="340" t="e">
        <f t="shared" si="16"/>
        <v>#REF!</v>
      </c>
      <c r="B77" s="508" t="s">
        <v>900</v>
      </c>
      <c r="C77" s="508" t="s">
        <v>1746</v>
      </c>
      <c r="D77" s="508"/>
      <c r="E77" s="508" t="s">
        <v>427</v>
      </c>
      <c r="F77" s="508" t="s">
        <v>2795</v>
      </c>
      <c r="G77" s="509" t="s">
        <v>2796</v>
      </c>
      <c r="H77" s="510">
        <v>18430</v>
      </c>
      <c r="I77" s="340"/>
      <c r="J77" s="340"/>
      <c r="K77" s="510">
        <f t="shared" si="9"/>
        <v>18430</v>
      </c>
      <c r="L77" s="524">
        <v>41060</v>
      </c>
      <c r="M77" s="335">
        <v>18430</v>
      </c>
      <c r="N77" s="512">
        <f t="shared" si="17"/>
        <v>0</v>
      </c>
      <c r="O77" s="512">
        <f t="shared" si="10"/>
        <v>4323</v>
      </c>
      <c r="P77" s="513">
        <v>3</v>
      </c>
      <c r="Q77" s="514">
        <f t="shared" si="11"/>
        <v>11.843835616438357</v>
      </c>
      <c r="R77" s="514">
        <f t="shared" si="12"/>
        <v>-8.8438356164383567</v>
      </c>
      <c r="S77" s="515">
        <f t="shared" si="13"/>
        <v>0.31666666666666665</v>
      </c>
      <c r="T77" s="335"/>
      <c r="U77" s="516">
        <f t="shared" si="14"/>
        <v>0</v>
      </c>
      <c r="V77" s="517">
        <f t="shared" si="15"/>
        <v>922</v>
      </c>
      <c r="X77" s="335">
        <v>18430</v>
      </c>
    </row>
    <row r="78" spans="1:24" ht="13.9">
      <c r="A78" s="340" t="e">
        <f t="shared" si="16"/>
        <v>#REF!</v>
      </c>
      <c r="B78" s="508" t="s">
        <v>900</v>
      </c>
      <c r="C78" s="508" t="s">
        <v>1746</v>
      </c>
      <c r="D78" s="508"/>
      <c r="E78" s="508" t="s">
        <v>427</v>
      </c>
      <c r="F78" s="508" t="s">
        <v>2797</v>
      </c>
      <c r="G78" s="509" t="s">
        <v>2798</v>
      </c>
      <c r="H78" s="510">
        <v>76900</v>
      </c>
      <c r="I78" s="340"/>
      <c r="J78" s="340"/>
      <c r="K78" s="510">
        <f t="shared" si="9"/>
        <v>76900</v>
      </c>
      <c r="L78" s="524">
        <v>41083</v>
      </c>
      <c r="M78" s="335">
        <v>76900</v>
      </c>
      <c r="N78" s="512">
        <f t="shared" si="17"/>
        <v>0</v>
      </c>
      <c r="O78" s="512">
        <f t="shared" si="10"/>
        <v>4300</v>
      </c>
      <c r="P78" s="513">
        <v>3</v>
      </c>
      <c r="Q78" s="514">
        <f t="shared" si="11"/>
        <v>11.780821917808218</v>
      </c>
      <c r="R78" s="514">
        <f t="shared" si="12"/>
        <v>-8.7808219178082183</v>
      </c>
      <c r="S78" s="515">
        <f t="shared" si="13"/>
        <v>0.31666666666666665</v>
      </c>
      <c r="T78" s="335"/>
      <c r="U78" s="516">
        <f t="shared" si="14"/>
        <v>0</v>
      </c>
      <c r="V78" s="517">
        <f t="shared" si="15"/>
        <v>3845</v>
      </c>
      <c r="X78" s="335">
        <v>76900</v>
      </c>
    </row>
    <row r="79" spans="1:24" ht="13.9">
      <c r="A79" s="340" t="e">
        <f t="shared" si="16"/>
        <v>#REF!</v>
      </c>
      <c r="B79" s="508" t="s">
        <v>900</v>
      </c>
      <c r="C79" s="508" t="s">
        <v>1746</v>
      </c>
      <c r="D79" s="508"/>
      <c r="E79" s="508" t="s">
        <v>427</v>
      </c>
      <c r="F79" s="508" t="s">
        <v>2799</v>
      </c>
      <c r="G79" s="509" t="s">
        <v>2573</v>
      </c>
      <c r="H79" s="510">
        <v>19000</v>
      </c>
      <c r="I79" s="340"/>
      <c r="J79" s="340"/>
      <c r="K79" s="510">
        <f t="shared" si="9"/>
        <v>19000</v>
      </c>
      <c r="L79" s="526">
        <v>41132</v>
      </c>
      <c r="M79" s="335">
        <v>19000</v>
      </c>
      <c r="N79" s="512">
        <f t="shared" si="17"/>
        <v>0</v>
      </c>
      <c r="O79" s="512">
        <f t="shared" si="10"/>
        <v>4251</v>
      </c>
      <c r="P79" s="513">
        <v>3</v>
      </c>
      <c r="Q79" s="514">
        <f t="shared" si="11"/>
        <v>11.646575342465754</v>
      </c>
      <c r="R79" s="514">
        <f t="shared" si="12"/>
        <v>-8.6465753424657539</v>
      </c>
      <c r="S79" s="515">
        <f t="shared" si="13"/>
        <v>0.31666666666666665</v>
      </c>
      <c r="T79" s="335"/>
      <c r="U79" s="516">
        <f t="shared" si="14"/>
        <v>0</v>
      </c>
      <c r="V79" s="517">
        <f t="shared" si="15"/>
        <v>950</v>
      </c>
      <c r="X79" s="335">
        <v>19000</v>
      </c>
    </row>
    <row r="80" spans="1:24" ht="13.9">
      <c r="A80" s="340" t="e">
        <f t="shared" si="16"/>
        <v>#REF!</v>
      </c>
      <c r="B80" s="508" t="s">
        <v>900</v>
      </c>
      <c r="C80" s="508" t="s">
        <v>1746</v>
      </c>
      <c r="D80" s="508"/>
      <c r="E80" s="508" t="s">
        <v>427</v>
      </c>
      <c r="F80" s="508" t="s">
        <v>2800</v>
      </c>
      <c r="G80" s="509" t="s">
        <v>2801</v>
      </c>
      <c r="H80" s="510">
        <v>27500</v>
      </c>
      <c r="I80" s="340"/>
      <c r="J80" s="340"/>
      <c r="K80" s="510">
        <f t="shared" si="9"/>
        <v>27500</v>
      </c>
      <c r="L80" s="524">
        <v>41149</v>
      </c>
      <c r="M80" s="335">
        <v>27500</v>
      </c>
      <c r="N80" s="512">
        <f t="shared" si="17"/>
        <v>0</v>
      </c>
      <c r="O80" s="512">
        <f t="shared" si="10"/>
        <v>4234</v>
      </c>
      <c r="P80" s="513">
        <v>3</v>
      </c>
      <c r="Q80" s="514">
        <f t="shared" si="11"/>
        <v>11.6</v>
      </c>
      <c r="R80" s="514">
        <f t="shared" si="12"/>
        <v>-8.6</v>
      </c>
      <c r="S80" s="515">
        <f t="shared" si="13"/>
        <v>0.31666666666666665</v>
      </c>
      <c r="T80" s="335"/>
      <c r="U80" s="516">
        <f t="shared" si="14"/>
        <v>0</v>
      </c>
      <c r="V80" s="517">
        <f t="shared" si="15"/>
        <v>1375</v>
      </c>
      <c r="X80" s="335">
        <v>27500</v>
      </c>
    </row>
    <row r="81" spans="1:24" ht="13.9">
      <c r="A81" s="340" t="e">
        <f t="shared" si="16"/>
        <v>#REF!</v>
      </c>
      <c r="B81" s="508" t="s">
        <v>900</v>
      </c>
      <c r="C81" s="508" t="s">
        <v>1746</v>
      </c>
      <c r="D81" s="508"/>
      <c r="E81" s="508" t="s">
        <v>427</v>
      </c>
      <c r="F81" s="508" t="s">
        <v>2802</v>
      </c>
      <c r="G81" s="509" t="s">
        <v>2803</v>
      </c>
      <c r="H81" s="510">
        <v>23200</v>
      </c>
      <c r="I81" s="340"/>
      <c r="J81" s="340"/>
      <c r="K81" s="510">
        <f t="shared" si="9"/>
        <v>23200</v>
      </c>
      <c r="L81" s="524">
        <v>41358</v>
      </c>
      <c r="M81" s="335">
        <v>23200</v>
      </c>
      <c r="N81" s="512">
        <f t="shared" si="17"/>
        <v>0</v>
      </c>
      <c r="O81" s="512">
        <f t="shared" si="10"/>
        <v>4025</v>
      </c>
      <c r="P81" s="513">
        <v>3</v>
      </c>
      <c r="Q81" s="514">
        <f t="shared" si="11"/>
        <v>11.027397260273972</v>
      </c>
      <c r="R81" s="514">
        <f t="shared" si="12"/>
        <v>-8.0273972602739718</v>
      </c>
      <c r="S81" s="515">
        <f t="shared" si="13"/>
        <v>0.31666666666666665</v>
      </c>
      <c r="T81" s="335"/>
      <c r="U81" s="516">
        <f t="shared" si="14"/>
        <v>0</v>
      </c>
      <c r="V81" s="517">
        <f t="shared" si="15"/>
        <v>1160</v>
      </c>
      <c r="X81" s="335">
        <v>23200</v>
      </c>
    </row>
    <row r="82" spans="1:24" ht="13.9">
      <c r="A82" s="340" t="e">
        <f t="shared" si="16"/>
        <v>#REF!</v>
      </c>
      <c r="B82" s="508" t="s">
        <v>209</v>
      </c>
      <c r="C82" s="508" t="s">
        <v>1746</v>
      </c>
      <c r="D82" s="508"/>
      <c r="E82" s="508" t="s">
        <v>427</v>
      </c>
      <c r="F82" s="508" t="s">
        <v>2804</v>
      </c>
      <c r="G82" s="509" t="s">
        <v>2805</v>
      </c>
      <c r="H82" s="510">
        <v>12900</v>
      </c>
      <c r="I82" s="340"/>
      <c r="J82" s="340"/>
      <c r="K82" s="510">
        <f t="shared" si="9"/>
        <v>12900</v>
      </c>
      <c r="L82" s="524">
        <v>41025</v>
      </c>
      <c r="M82" s="335">
        <v>12900</v>
      </c>
      <c r="N82" s="512">
        <f t="shared" si="17"/>
        <v>0</v>
      </c>
      <c r="O82" s="512">
        <f t="shared" si="10"/>
        <v>4358</v>
      </c>
      <c r="P82" s="513">
        <v>3</v>
      </c>
      <c r="Q82" s="514">
        <f t="shared" si="11"/>
        <v>11.93972602739726</v>
      </c>
      <c r="R82" s="514">
        <f t="shared" si="12"/>
        <v>-8.9397260273972599</v>
      </c>
      <c r="S82" s="515">
        <f t="shared" si="13"/>
        <v>0.31666666666666665</v>
      </c>
      <c r="T82" s="335"/>
      <c r="U82" s="516">
        <f t="shared" si="14"/>
        <v>0</v>
      </c>
      <c r="V82" s="517">
        <f t="shared" si="15"/>
        <v>645</v>
      </c>
      <c r="X82" s="335">
        <v>12900</v>
      </c>
    </row>
    <row r="83" spans="1:24" ht="13.9">
      <c r="A83" s="340" t="e">
        <f t="shared" si="16"/>
        <v>#REF!</v>
      </c>
      <c r="B83" s="508" t="s">
        <v>209</v>
      </c>
      <c r="C83" s="508" t="s">
        <v>1746</v>
      </c>
      <c r="D83" s="508"/>
      <c r="E83" s="508" t="s">
        <v>427</v>
      </c>
      <c r="F83" s="508" t="s">
        <v>2797</v>
      </c>
      <c r="G83" s="509" t="s">
        <v>2798</v>
      </c>
      <c r="H83" s="510">
        <v>16100</v>
      </c>
      <c r="I83" s="340"/>
      <c r="J83" s="340"/>
      <c r="K83" s="510">
        <f t="shared" si="9"/>
        <v>16100</v>
      </c>
      <c r="L83" s="524">
        <v>41083</v>
      </c>
      <c r="M83" s="335">
        <v>16100</v>
      </c>
      <c r="N83" s="512">
        <f t="shared" si="17"/>
        <v>0</v>
      </c>
      <c r="O83" s="512">
        <f t="shared" si="10"/>
        <v>4300</v>
      </c>
      <c r="P83" s="513">
        <v>3</v>
      </c>
      <c r="Q83" s="514">
        <f t="shared" si="11"/>
        <v>11.780821917808218</v>
      </c>
      <c r="R83" s="514">
        <f t="shared" si="12"/>
        <v>-8.7808219178082183</v>
      </c>
      <c r="S83" s="515">
        <f t="shared" si="13"/>
        <v>0.31666666666666665</v>
      </c>
      <c r="T83" s="335"/>
      <c r="U83" s="516">
        <f t="shared" si="14"/>
        <v>0</v>
      </c>
      <c r="V83" s="517">
        <f t="shared" si="15"/>
        <v>805</v>
      </c>
      <c r="X83" s="335">
        <v>16100</v>
      </c>
    </row>
    <row r="84" spans="1:24" ht="13.9">
      <c r="A84" s="340" t="e">
        <f t="shared" si="16"/>
        <v>#REF!</v>
      </c>
      <c r="B84" s="508" t="s">
        <v>209</v>
      </c>
      <c r="C84" s="508" t="s">
        <v>1796</v>
      </c>
      <c r="D84" s="508" t="s">
        <v>2806</v>
      </c>
      <c r="E84" s="508"/>
      <c r="F84" s="508"/>
      <c r="G84" s="509"/>
      <c r="H84" s="510">
        <v>9500</v>
      </c>
      <c r="I84" s="340"/>
      <c r="J84" s="340"/>
      <c r="K84" s="510">
        <f t="shared" si="9"/>
        <v>9500</v>
      </c>
      <c r="L84" s="524">
        <v>41444</v>
      </c>
      <c r="M84" s="335">
        <v>9500</v>
      </c>
      <c r="N84" s="512">
        <f t="shared" si="17"/>
        <v>0</v>
      </c>
      <c r="O84" s="512">
        <f t="shared" si="10"/>
        <v>3939</v>
      </c>
      <c r="P84" s="513">
        <v>3</v>
      </c>
      <c r="Q84" s="514">
        <f t="shared" si="11"/>
        <v>10.791780821917808</v>
      </c>
      <c r="R84" s="514">
        <f t="shared" si="12"/>
        <v>-7.7917808219178077</v>
      </c>
      <c r="S84" s="515">
        <f t="shared" si="13"/>
        <v>0.31666666666666665</v>
      </c>
      <c r="T84" s="335"/>
      <c r="U84" s="516">
        <f t="shared" si="14"/>
        <v>0</v>
      </c>
      <c r="V84" s="517">
        <f t="shared" si="15"/>
        <v>475</v>
      </c>
      <c r="X84" s="335">
        <v>9500</v>
      </c>
    </row>
    <row r="85" spans="1:24" ht="13.9">
      <c r="A85" s="340" t="e">
        <f t="shared" si="16"/>
        <v>#REF!</v>
      </c>
      <c r="B85" s="508" t="s">
        <v>209</v>
      </c>
      <c r="C85" s="508" t="s">
        <v>1796</v>
      </c>
      <c r="D85" s="508"/>
      <c r="E85" s="508" t="s">
        <v>427</v>
      </c>
      <c r="F85" s="508" t="s">
        <v>2807</v>
      </c>
      <c r="G85" s="509" t="s">
        <v>2808</v>
      </c>
      <c r="H85" s="510">
        <v>8200</v>
      </c>
      <c r="I85" s="340"/>
      <c r="J85" s="340"/>
      <c r="K85" s="510">
        <f t="shared" si="9"/>
        <v>8200</v>
      </c>
      <c r="L85" s="524">
        <v>41449</v>
      </c>
      <c r="M85" s="335">
        <v>8200</v>
      </c>
      <c r="N85" s="512">
        <f t="shared" si="17"/>
        <v>0</v>
      </c>
      <c r="O85" s="512">
        <f t="shared" si="10"/>
        <v>3934</v>
      </c>
      <c r="P85" s="513">
        <v>3</v>
      </c>
      <c r="Q85" s="514">
        <f t="shared" si="11"/>
        <v>10.778082191780822</v>
      </c>
      <c r="R85" s="514">
        <f t="shared" si="12"/>
        <v>-7.7780821917808218</v>
      </c>
      <c r="S85" s="515">
        <f t="shared" si="13"/>
        <v>0.31666666666666665</v>
      </c>
      <c r="T85" s="335"/>
      <c r="U85" s="516">
        <f t="shared" si="14"/>
        <v>0</v>
      </c>
      <c r="V85" s="517">
        <f t="shared" si="15"/>
        <v>410</v>
      </c>
      <c r="X85" s="335">
        <v>8200</v>
      </c>
    </row>
    <row r="86" spans="1:24" ht="13.9">
      <c r="A86" s="340" t="e">
        <f t="shared" si="16"/>
        <v>#REF!</v>
      </c>
      <c r="B86" s="508" t="s">
        <v>209</v>
      </c>
      <c r="C86" s="508" t="s">
        <v>1796</v>
      </c>
      <c r="D86" s="508"/>
      <c r="E86" s="508" t="s">
        <v>427</v>
      </c>
      <c r="F86" s="508" t="s">
        <v>2809</v>
      </c>
      <c r="G86" s="509" t="s">
        <v>2810</v>
      </c>
      <c r="H86" s="510">
        <v>8200</v>
      </c>
      <c r="I86" s="340"/>
      <c r="J86" s="340"/>
      <c r="K86" s="510">
        <f t="shared" si="9"/>
        <v>8200</v>
      </c>
      <c r="L86" s="524">
        <v>41466</v>
      </c>
      <c r="M86" s="335">
        <v>8200</v>
      </c>
      <c r="N86" s="512">
        <f t="shared" si="17"/>
        <v>0</v>
      </c>
      <c r="O86" s="512">
        <f t="shared" si="10"/>
        <v>3917</v>
      </c>
      <c r="P86" s="513">
        <v>3</v>
      </c>
      <c r="Q86" s="514">
        <f t="shared" si="11"/>
        <v>10.731506849315069</v>
      </c>
      <c r="R86" s="514">
        <f t="shared" si="12"/>
        <v>-7.7315068493150694</v>
      </c>
      <c r="S86" s="515">
        <f t="shared" si="13"/>
        <v>0.31666666666666665</v>
      </c>
      <c r="T86" s="335"/>
      <c r="U86" s="516">
        <f t="shared" si="14"/>
        <v>0</v>
      </c>
      <c r="V86" s="517">
        <f t="shared" si="15"/>
        <v>410</v>
      </c>
      <c r="X86" s="335">
        <v>8200</v>
      </c>
    </row>
    <row r="87" spans="1:24" ht="13.9">
      <c r="A87" s="340" t="e">
        <f t="shared" si="16"/>
        <v>#REF!</v>
      </c>
      <c r="B87" s="508" t="s">
        <v>209</v>
      </c>
      <c r="C87" s="508" t="s">
        <v>1796</v>
      </c>
      <c r="D87" s="508"/>
      <c r="E87" s="508"/>
      <c r="F87" s="508"/>
      <c r="G87" s="509"/>
      <c r="H87" s="510">
        <v>20000</v>
      </c>
      <c r="I87" s="340"/>
      <c r="J87" s="340"/>
      <c r="K87" s="510">
        <f t="shared" si="9"/>
        <v>20000</v>
      </c>
      <c r="L87" s="524">
        <v>41548</v>
      </c>
      <c r="M87" s="335">
        <v>20000</v>
      </c>
      <c r="N87" s="512">
        <f t="shared" si="17"/>
        <v>0</v>
      </c>
      <c r="O87" s="512">
        <f t="shared" si="10"/>
        <v>3835</v>
      </c>
      <c r="P87" s="513">
        <v>3</v>
      </c>
      <c r="Q87" s="514">
        <f t="shared" si="11"/>
        <v>10.506849315068493</v>
      </c>
      <c r="R87" s="514">
        <f t="shared" si="12"/>
        <v>-7.506849315068493</v>
      </c>
      <c r="S87" s="515">
        <f t="shared" si="13"/>
        <v>0.31666666666666665</v>
      </c>
      <c r="T87" s="335"/>
      <c r="U87" s="516">
        <f t="shared" si="14"/>
        <v>0</v>
      </c>
      <c r="V87" s="517">
        <f t="shared" si="15"/>
        <v>1000</v>
      </c>
      <c r="X87" s="335">
        <v>20000</v>
      </c>
    </row>
    <row r="88" spans="1:24" ht="13.9">
      <c r="A88" s="340" t="e">
        <f t="shared" si="16"/>
        <v>#REF!</v>
      </c>
      <c r="B88" s="508" t="s">
        <v>209</v>
      </c>
      <c r="C88" s="508" t="s">
        <v>1796</v>
      </c>
      <c r="D88" s="508"/>
      <c r="E88" s="508"/>
      <c r="F88" s="508" t="s">
        <v>414</v>
      </c>
      <c r="G88" s="509"/>
      <c r="H88" s="510">
        <v>13272</v>
      </c>
      <c r="I88" s="340"/>
      <c r="J88" s="340"/>
      <c r="K88" s="510">
        <f t="shared" si="9"/>
        <v>13272</v>
      </c>
      <c r="L88" s="524">
        <v>41603</v>
      </c>
      <c r="M88" s="335">
        <v>13272</v>
      </c>
      <c r="N88" s="512">
        <f t="shared" si="17"/>
        <v>0</v>
      </c>
      <c r="O88" s="512">
        <f t="shared" si="10"/>
        <v>3780</v>
      </c>
      <c r="P88" s="513">
        <v>3</v>
      </c>
      <c r="Q88" s="514">
        <f t="shared" si="11"/>
        <v>10.356164383561644</v>
      </c>
      <c r="R88" s="514">
        <f t="shared" si="12"/>
        <v>-7.3561643835616444</v>
      </c>
      <c r="S88" s="515">
        <f t="shared" si="13"/>
        <v>0.31666666666666665</v>
      </c>
      <c r="T88" s="335"/>
      <c r="U88" s="516">
        <f t="shared" si="14"/>
        <v>0</v>
      </c>
      <c r="V88" s="517">
        <f t="shared" si="15"/>
        <v>664</v>
      </c>
      <c r="X88" s="335">
        <v>13272</v>
      </c>
    </row>
    <row r="89" spans="1:24" ht="13.9">
      <c r="A89" s="340" t="e">
        <f t="shared" si="16"/>
        <v>#REF!</v>
      </c>
      <c r="B89" s="508" t="s">
        <v>209</v>
      </c>
      <c r="C89" s="508" t="s">
        <v>1796</v>
      </c>
      <c r="D89" s="508"/>
      <c r="E89" s="508" t="s">
        <v>2811</v>
      </c>
      <c r="F89" s="508"/>
      <c r="G89" s="509" t="s">
        <v>2812</v>
      </c>
      <c r="H89" s="510">
        <v>10500</v>
      </c>
      <c r="I89" s="340"/>
      <c r="J89" s="340"/>
      <c r="K89" s="510">
        <f t="shared" si="9"/>
        <v>10500</v>
      </c>
      <c r="L89" s="524">
        <v>41665</v>
      </c>
      <c r="M89" s="335">
        <v>10500</v>
      </c>
      <c r="N89" s="512">
        <f t="shared" si="17"/>
        <v>0</v>
      </c>
      <c r="O89" s="512">
        <f t="shared" si="10"/>
        <v>3718</v>
      </c>
      <c r="P89" s="513">
        <v>3</v>
      </c>
      <c r="Q89" s="514">
        <f t="shared" si="11"/>
        <v>10.186301369863013</v>
      </c>
      <c r="R89" s="514">
        <f t="shared" si="12"/>
        <v>-7.1863013698630134</v>
      </c>
      <c r="S89" s="515">
        <f t="shared" si="13"/>
        <v>0.31666666666666665</v>
      </c>
      <c r="T89" s="335"/>
      <c r="U89" s="516">
        <f t="shared" si="14"/>
        <v>0</v>
      </c>
      <c r="V89" s="517">
        <f t="shared" si="15"/>
        <v>525</v>
      </c>
      <c r="X89" s="335">
        <v>10500</v>
      </c>
    </row>
    <row r="90" spans="1:24" ht="13.9">
      <c r="A90" s="340" t="e">
        <f t="shared" si="16"/>
        <v>#REF!</v>
      </c>
      <c r="B90" s="508" t="s">
        <v>209</v>
      </c>
      <c r="C90" s="508" t="s">
        <v>1796</v>
      </c>
      <c r="D90" s="508"/>
      <c r="E90" s="508"/>
      <c r="F90" s="508" t="s">
        <v>2249</v>
      </c>
      <c r="G90" s="509"/>
      <c r="H90" s="510">
        <v>8450</v>
      </c>
      <c r="I90" s="340"/>
      <c r="J90" s="340"/>
      <c r="K90" s="510">
        <f t="shared" si="9"/>
        <v>8450</v>
      </c>
      <c r="L90" s="524">
        <v>41710</v>
      </c>
      <c r="M90" s="335">
        <v>8450</v>
      </c>
      <c r="N90" s="512">
        <f t="shared" si="17"/>
        <v>0</v>
      </c>
      <c r="O90" s="512">
        <f t="shared" si="10"/>
        <v>3673</v>
      </c>
      <c r="P90" s="513">
        <v>3</v>
      </c>
      <c r="Q90" s="514">
        <f t="shared" si="11"/>
        <v>10.063013698630137</v>
      </c>
      <c r="R90" s="514">
        <f t="shared" si="12"/>
        <v>-7.0630136986301366</v>
      </c>
      <c r="S90" s="515">
        <f t="shared" si="13"/>
        <v>0.31666666666666665</v>
      </c>
      <c r="T90" s="335"/>
      <c r="U90" s="516">
        <f t="shared" si="14"/>
        <v>0</v>
      </c>
      <c r="V90" s="517">
        <f t="shared" si="15"/>
        <v>423</v>
      </c>
      <c r="X90" s="335">
        <v>8450</v>
      </c>
    </row>
    <row r="91" spans="1:24" ht="13.9">
      <c r="A91" s="340" t="e">
        <f t="shared" si="16"/>
        <v>#REF!</v>
      </c>
      <c r="B91" s="508" t="s">
        <v>900</v>
      </c>
      <c r="C91" s="508" t="s">
        <v>1796</v>
      </c>
      <c r="D91" s="508" t="s">
        <v>1673</v>
      </c>
      <c r="E91" s="508" t="s">
        <v>2813</v>
      </c>
      <c r="F91" s="508" t="s">
        <v>2814</v>
      </c>
      <c r="G91" s="509" t="s">
        <v>2815</v>
      </c>
      <c r="H91" s="510">
        <v>31200</v>
      </c>
      <c r="I91" s="340"/>
      <c r="J91" s="340"/>
      <c r="K91" s="510">
        <f t="shared" si="9"/>
        <v>31200</v>
      </c>
      <c r="L91" s="524">
        <v>41417</v>
      </c>
      <c r="M91" s="335">
        <v>31200</v>
      </c>
      <c r="N91" s="512">
        <f t="shared" si="17"/>
        <v>0</v>
      </c>
      <c r="O91" s="512">
        <f t="shared" si="10"/>
        <v>3966</v>
      </c>
      <c r="P91" s="513">
        <v>3</v>
      </c>
      <c r="Q91" s="514">
        <f t="shared" si="11"/>
        <v>10.865753424657534</v>
      </c>
      <c r="R91" s="514">
        <f t="shared" si="12"/>
        <v>-7.8657534246575338</v>
      </c>
      <c r="S91" s="515">
        <f t="shared" si="13"/>
        <v>0.31666666666666665</v>
      </c>
      <c r="T91" s="335"/>
      <c r="U91" s="516">
        <f t="shared" si="14"/>
        <v>0</v>
      </c>
      <c r="V91" s="517">
        <f t="shared" si="15"/>
        <v>1560</v>
      </c>
      <c r="X91" s="335">
        <v>31200</v>
      </c>
    </row>
    <row r="92" spans="1:24" ht="13.9">
      <c r="A92" s="340" t="e">
        <f t="shared" si="16"/>
        <v>#REF!</v>
      </c>
      <c r="B92" s="508" t="s">
        <v>900</v>
      </c>
      <c r="C92" s="508" t="s">
        <v>1796</v>
      </c>
      <c r="D92" s="508" t="s">
        <v>1804</v>
      </c>
      <c r="E92" s="508" t="s">
        <v>2816</v>
      </c>
      <c r="F92" s="508" t="s">
        <v>2817</v>
      </c>
      <c r="G92" s="509" t="s">
        <v>2818</v>
      </c>
      <c r="H92" s="510">
        <v>34750</v>
      </c>
      <c r="I92" s="340"/>
      <c r="J92" s="340"/>
      <c r="K92" s="510">
        <f t="shared" si="9"/>
        <v>34750</v>
      </c>
      <c r="L92" s="524">
        <v>41619</v>
      </c>
      <c r="M92" s="335">
        <v>34750</v>
      </c>
      <c r="N92" s="512">
        <f t="shared" si="17"/>
        <v>0</v>
      </c>
      <c r="O92" s="512">
        <f t="shared" si="10"/>
        <v>3764</v>
      </c>
      <c r="P92" s="513">
        <v>3</v>
      </c>
      <c r="Q92" s="514">
        <f t="shared" si="11"/>
        <v>10.312328767123288</v>
      </c>
      <c r="R92" s="514">
        <f t="shared" si="12"/>
        <v>-7.3123287671232884</v>
      </c>
      <c r="S92" s="515">
        <f t="shared" si="13"/>
        <v>0.31666666666666665</v>
      </c>
      <c r="T92" s="335"/>
      <c r="U92" s="516">
        <f t="shared" si="14"/>
        <v>0</v>
      </c>
      <c r="V92" s="517">
        <f t="shared" si="15"/>
        <v>1738</v>
      </c>
      <c r="X92" s="335">
        <v>34750</v>
      </c>
    </row>
    <row r="93" spans="1:24" ht="13.9">
      <c r="A93" s="340" t="e">
        <f t="shared" si="16"/>
        <v>#REF!</v>
      </c>
      <c r="B93" s="508" t="s">
        <v>900</v>
      </c>
      <c r="C93" s="508" t="s">
        <v>1796</v>
      </c>
      <c r="D93" s="508" t="s">
        <v>2819</v>
      </c>
      <c r="E93" s="508" t="s">
        <v>427</v>
      </c>
      <c r="F93" s="508" t="s">
        <v>2820</v>
      </c>
      <c r="G93" s="509" t="s">
        <v>2821</v>
      </c>
      <c r="H93" s="510">
        <v>52000</v>
      </c>
      <c r="I93" s="340"/>
      <c r="J93" s="340"/>
      <c r="K93" s="510">
        <f t="shared" si="9"/>
        <v>52000</v>
      </c>
      <c r="L93" s="524">
        <v>41647</v>
      </c>
      <c r="M93" s="335">
        <v>52000</v>
      </c>
      <c r="N93" s="512">
        <f t="shared" si="17"/>
        <v>0</v>
      </c>
      <c r="O93" s="512">
        <f t="shared" si="10"/>
        <v>3736</v>
      </c>
      <c r="P93" s="513">
        <v>3</v>
      </c>
      <c r="Q93" s="514">
        <f t="shared" si="11"/>
        <v>10.235616438356164</v>
      </c>
      <c r="R93" s="514">
        <f t="shared" si="12"/>
        <v>-7.2356164383561641</v>
      </c>
      <c r="S93" s="515">
        <f t="shared" si="13"/>
        <v>0.31666666666666665</v>
      </c>
      <c r="T93" s="335"/>
      <c r="U93" s="516">
        <f t="shared" si="14"/>
        <v>0</v>
      </c>
      <c r="V93" s="517">
        <f t="shared" si="15"/>
        <v>2600</v>
      </c>
      <c r="X93" s="335">
        <v>52000</v>
      </c>
    </row>
    <row r="94" spans="1:24" ht="13.9">
      <c r="A94" s="340" t="e">
        <f t="shared" si="16"/>
        <v>#REF!</v>
      </c>
      <c r="B94" s="508" t="s">
        <v>900</v>
      </c>
      <c r="C94" s="508" t="s">
        <v>1796</v>
      </c>
      <c r="D94" s="508" t="s">
        <v>2822</v>
      </c>
      <c r="E94" s="508" t="s">
        <v>427</v>
      </c>
      <c r="F94" s="508" t="s">
        <v>2823</v>
      </c>
      <c r="G94" s="509" t="s">
        <v>2824</v>
      </c>
      <c r="H94" s="510">
        <v>34500</v>
      </c>
      <c r="I94" s="340"/>
      <c r="J94" s="340"/>
      <c r="K94" s="510">
        <f t="shared" si="9"/>
        <v>34500</v>
      </c>
      <c r="L94" s="524">
        <v>41506</v>
      </c>
      <c r="M94" s="335">
        <v>34500</v>
      </c>
      <c r="N94" s="512">
        <f t="shared" si="17"/>
        <v>0</v>
      </c>
      <c r="O94" s="512">
        <f t="shared" si="10"/>
        <v>3877</v>
      </c>
      <c r="P94" s="513">
        <v>3</v>
      </c>
      <c r="Q94" s="514">
        <f t="shared" si="11"/>
        <v>10.621917808219179</v>
      </c>
      <c r="R94" s="514">
        <f t="shared" si="12"/>
        <v>-7.6219178082191785</v>
      </c>
      <c r="S94" s="515">
        <f t="shared" si="13"/>
        <v>0.31666666666666665</v>
      </c>
      <c r="T94" s="335"/>
      <c r="U94" s="516">
        <f t="shared" si="14"/>
        <v>0</v>
      </c>
      <c r="V94" s="517">
        <f t="shared" si="15"/>
        <v>1725</v>
      </c>
      <c r="X94" s="335">
        <v>34500</v>
      </c>
    </row>
    <row r="95" spans="1:24" ht="13.9">
      <c r="A95" s="340" t="e">
        <f t="shared" si="16"/>
        <v>#REF!</v>
      </c>
      <c r="B95" s="527" t="s">
        <v>209</v>
      </c>
      <c r="C95" s="508"/>
      <c r="D95" s="508"/>
      <c r="E95" s="508"/>
      <c r="F95" s="508"/>
      <c r="G95" s="528">
        <v>42217</v>
      </c>
      <c r="H95" s="510">
        <v>16750</v>
      </c>
      <c r="I95" s="340"/>
      <c r="J95" s="340"/>
      <c r="K95" s="510">
        <f t="shared" si="9"/>
        <v>16750</v>
      </c>
      <c r="L95" s="529">
        <v>42012</v>
      </c>
      <c r="M95" s="335">
        <v>16750</v>
      </c>
      <c r="N95" s="512">
        <f t="shared" si="17"/>
        <v>0</v>
      </c>
      <c r="O95" s="512">
        <f t="shared" si="10"/>
        <v>3371</v>
      </c>
      <c r="P95" s="513">
        <v>3</v>
      </c>
      <c r="Q95" s="514">
        <f t="shared" si="11"/>
        <v>9.2356164383561641</v>
      </c>
      <c r="R95" s="514">
        <f t="shared" si="12"/>
        <v>-6.2356164383561641</v>
      </c>
      <c r="S95" s="515">
        <f t="shared" si="13"/>
        <v>0.31666666666666665</v>
      </c>
      <c r="T95" s="335"/>
      <c r="U95" s="516">
        <f t="shared" si="14"/>
        <v>0</v>
      </c>
      <c r="V95" s="517">
        <f t="shared" si="15"/>
        <v>838</v>
      </c>
      <c r="X95" s="335">
        <v>16750</v>
      </c>
    </row>
    <row r="96" spans="1:24" ht="13.9">
      <c r="A96" s="340" t="e">
        <f t="shared" si="16"/>
        <v>#REF!</v>
      </c>
      <c r="B96" s="527" t="s">
        <v>209</v>
      </c>
      <c r="C96" s="508"/>
      <c r="D96" s="508"/>
      <c r="E96" s="508"/>
      <c r="F96" s="508"/>
      <c r="G96" s="528">
        <v>42280</v>
      </c>
      <c r="H96" s="510">
        <v>663000</v>
      </c>
      <c r="I96" s="340"/>
      <c r="J96" s="340"/>
      <c r="K96" s="510">
        <f t="shared" si="9"/>
        <v>663000</v>
      </c>
      <c r="L96" s="529">
        <v>42073</v>
      </c>
      <c r="M96" s="335">
        <v>663000</v>
      </c>
      <c r="N96" s="512">
        <f t="shared" si="17"/>
        <v>0</v>
      </c>
      <c r="O96" s="512">
        <f t="shared" si="10"/>
        <v>3310</v>
      </c>
      <c r="P96" s="513">
        <v>3</v>
      </c>
      <c r="Q96" s="514">
        <f t="shared" si="11"/>
        <v>9.0684931506849313</v>
      </c>
      <c r="R96" s="514">
        <f t="shared" si="12"/>
        <v>-6.0684931506849313</v>
      </c>
      <c r="S96" s="515">
        <f t="shared" si="13"/>
        <v>0.31666666666666665</v>
      </c>
      <c r="T96" s="335"/>
      <c r="U96" s="516">
        <f t="shared" si="14"/>
        <v>0</v>
      </c>
      <c r="V96" s="517">
        <f t="shared" si="15"/>
        <v>33150</v>
      </c>
      <c r="X96" s="335">
        <v>663000</v>
      </c>
    </row>
    <row r="97" spans="1:24" ht="13.9">
      <c r="A97" s="340" t="e">
        <f t="shared" si="16"/>
        <v>#REF!</v>
      </c>
      <c r="B97" s="527" t="s">
        <v>209</v>
      </c>
      <c r="C97" s="508"/>
      <c r="D97" s="508"/>
      <c r="E97" s="508"/>
      <c r="F97" s="508"/>
      <c r="G97" s="528" t="s">
        <v>2825</v>
      </c>
      <c r="H97" s="510">
        <v>11680</v>
      </c>
      <c r="I97" s="340"/>
      <c r="J97" s="340"/>
      <c r="K97" s="510">
        <f t="shared" si="9"/>
        <v>11680</v>
      </c>
      <c r="L97" s="529">
        <v>41905</v>
      </c>
      <c r="M97" s="335">
        <v>11680</v>
      </c>
      <c r="N97" s="512">
        <f t="shared" si="17"/>
        <v>0</v>
      </c>
      <c r="O97" s="512">
        <f t="shared" si="10"/>
        <v>3478</v>
      </c>
      <c r="P97" s="513">
        <v>3</v>
      </c>
      <c r="Q97" s="514">
        <f t="shared" si="11"/>
        <v>9.5287671232876718</v>
      </c>
      <c r="R97" s="514">
        <f t="shared" si="12"/>
        <v>-6.5287671232876718</v>
      </c>
      <c r="S97" s="515">
        <f t="shared" si="13"/>
        <v>0.31666666666666665</v>
      </c>
      <c r="T97" s="335"/>
      <c r="U97" s="516">
        <f t="shared" si="14"/>
        <v>0</v>
      </c>
      <c r="V97" s="517">
        <f t="shared" si="15"/>
        <v>584</v>
      </c>
      <c r="X97" s="335">
        <v>11680</v>
      </c>
    </row>
    <row r="98" spans="1:24" ht="13.9">
      <c r="A98" s="340" t="e">
        <f t="shared" si="16"/>
        <v>#REF!</v>
      </c>
      <c r="B98" s="527" t="s">
        <v>209</v>
      </c>
      <c r="C98" s="508"/>
      <c r="D98" s="508"/>
      <c r="E98" s="508"/>
      <c r="F98" s="508"/>
      <c r="G98" s="528" t="s">
        <v>2826</v>
      </c>
      <c r="H98" s="510">
        <v>231000</v>
      </c>
      <c r="I98" s="340"/>
      <c r="J98" s="340"/>
      <c r="K98" s="510">
        <f t="shared" si="9"/>
        <v>231000</v>
      </c>
      <c r="L98" s="529">
        <v>41964</v>
      </c>
      <c r="M98" s="335">
        <v>219450</v>
      </c>
      <c r="N98" s="512">
        <f t="shared" si="17"/>
        <v>11550</v>
      </c>
      <c r="O98" s="512">
        <f t="shared" si="10"/>
        <v>3419</v>
      </c>
      <c r="P98" s="513">
        <v>3</v>
      </c>
      <c r="Q98" s="514">
        <f t="shared" si="11"/>
        <v>9.367123287671232</v>
      </c>
      <c r="R98" s="514">
        <f t="shared" si="12"/>
        <v>-6.367123287671232</v>
      </c>
      <c r="S98" s="515">
        <f t="shared" si="13"/>
        <v>0.31666666666666665</v>
      </c>
      <c r="T98" s="335"/>
      <c r="U98" s="516">
        <f t="shared" si="14"/>
        <v>11550</v>
      </c>
      <c r="V98" s="517">
        <f t="shared" si="15"/>
        <v>11550</v>
      </c>
      <c r="X98" s="335">
        <v>219450</v>
      </c>
    </row>
    <row r="99" spans="1:24" ht="13.9">
      <c r="A99" s="340" t="e">
        <f t="shared" si="16"/>
        <v>#REF!</v>
      </c>
      <c r="B99" s="527" t="s">
        <v>209</v>
      </c>
      <c r="C99" s="508"/>
      <c r="D99" s="508"/>
      <c r="E99" s="508"/>
      <c r="F99" s="508"/>
      <c r="G99" s="528" t="s">
        <v>2827</v>
      </c>
      <c r="H99" s="510">
        <v>11800</v>
      </c>
      <c r="I99" s="340"/>
      <c r="J99" s="340"/>
      <c r="K99" s="510">
        <f t="shared" si="9"/>
        <v>11800</v>
      </c>
      <c r="L99" s="529">
        <v>41941</v>
      </c>
      <c r="M99" s="335">
        <v>11800</v>
      </c>
      <c r="N99" s="512">
        <f t="shared" si="17"/>
        <v>0</v>
      </c>
      <c r="O99" s="512">
        <f t="shared" si="10"/>
        <v>3442</v>
      </c>
      <c r="P99" s="513">
        <v>3</v>
      </c>
      <c r="Q99" s="514">
        <f t="shared" si="11"/>
        <v>9.4301369863013704</v>
      </c>
      <c r="R99" s="514">
        <f t="shared" si="12"/>
        <v>-6.4301369863013704</v>
      </c>
      <c r="S99" s="515">
        <f t="shared" si="13"/>
        <v>0.31666666666666665</v>
      </c>
      <c r="T99" s="335"/>
      <c r="U99" s="516">
        <f t="shared" si="14"/>
        <v>0</v>
      </c>
      <c r="V99" s="517">
        <f t="shared" si="15"/>
        <v>590</v>
      </c>
      <c r="X99" s="335">
        <v>11800</v>
      </c>
    </row>
    <row r="100" spans="1:24" ht="13.9">
      <c r="A100" s="340" t="e">
        <f t="shared" si="16"/>
        <v>#REF!</v>
      </c>
      <c r="B100" s="527" t="s">
        <v>209</v>
      </c>
      <c r="C100" s="508"/>
      <c r="D100" s="508"/>
      <c r="E100" s="508"/>
      <c r="F100" s="508"/>
      <c r="G100" s="528">
        <v>41984</v>
      </c>
      <c r="H100" s="510">
        <v>12090</v>
      </c>
      <c r="I100" s="340"/>
      <c r="J100" s="340"/>
      <c r="K100" s="510">
        <f t="shared" si="9"/>
        <v>12090</v>
      </c>
      <c r="L100" s="529">
        <v>41984</v>
      </c>
      <c r="M100" s="335">
        <v>12090</v>
      </c>
      <c r="N100" s="512">
        <f t="shared" si="17"/>
        <v>0</v>
      </c>
      <c r="O100" s="512">
        <f t="shared" si="10"/>
        <v>3399</v>
      </c>
      <c r="P100" s="513">
        <v>3</v>
      </c>
      <c r="Q100" s="514">
        <f t="shared" si="11"/>
        <v>9.3123287671232884</v>
      </c>
      <c r="R100" s="514">
        <f t="shared" si="12"/>
        <v>-6.3123287671232884</v>
      </c>
      <c r="S100" s="515">
        <f t="shared" si="13"/>
        <v>0.31666666666666665</v>
      </c>
      <c r="T100" s="335"/>
      <c r="U100" s="516">
        <f t="shared" si="14"/>
        <v>0</v>
      </c>
      <c r="V100" s="517">
        <f t="shared" si="15"/>
        <v>605</v>
      </c>
      <c r="X100" s="335">
        <v>12090</v>
      </c>
    </row>
    <row r="101" spans="1:24" ht="13.9">
      <c r="A101" s="340" t="e">
        <f t="shared" si="16"/>
        <v>#REF!</v>
      </c>
      <c r="B101" s="527" t="s">
        <v>209</v>
      </c>
      <c r="C101" s="508"/>
      <c r="D101" s="508"/>
      <c r="E101" s="508"/>
      <c r="F101" s="508"/>
      <c r="G101" s="528">
        <v>41651</v>
      </c>
      <c r="H101" s="510">
        <v>12090</v>
      </c>
      <c r="I101" s="340"/>
      <c r="J101" s="340"/>
      <c r="K101" s="510">
        <f t="shared" si="9"/>
        <v>12090</v>
      </c>
      <c r="L101" s="529">
        <v>41974</v>
      </c>
      <c r="M101" s="335">
        <v>12090</v>
      </c>
      <c r="N101" s="512">
        <f t="shared" si="17"/>
        <v>0</v>
      </c>
      <c r="O101" s="512">
        <f t="shared" si="10"/>
        <v>3409</v>
      </c>
      <c r="P101" s="513">
        <v>3</v>
      </c>
      <c r="Q101" s="514">
        <f t="shared" si="11"/>
        <v>9.3397260273972602</v>
      </c>
      <c r="R101" s="514">
        <f t="shared" si="12"/>
        <v>-6.3397260273972602</v>
      </c>
      <c r="S101" s="515">
        <f t="shared" si="13"/>
        <v>0.31666666666666665</v>
      </c>
      <c r="T101" s="335"/>
      <c r="U101" s="516">
        <f t="shared" si="14"/>
        <v>0</v>
      </c>
      <c r="V101" s="517">
        <f t="shared" si="15"/>
        <v>605</v>
      </c>
      <c r="X101" s="335">
        <v>12090</v>
      </c>
    </row>
    <row r="102" spans="1:24" ht="13.9">
      <c r="A102" s="340" t="e">
        <f t="shared" si="16"/>
        <v>#REF!</v>
      </c>
      <c r="B102" s="527" t="s">
        <v>209</v>
      </c>
      <c r="C102" s="508"/>
      <c r="D102" s="508"/>
      <c r="E102" s="508"/>
      <c r="F102" s="508"/>
      <c r="G102" s="528" t="s">
        <v>2828</v>
      </c>
      <c r="H102" s="510">
        <v>11500</v>
      </c>
      <c r="I102" s="340"/>
      <c r="J102" s="340"/>
      <c r="K102" s="510">
        <f t="shared" si="9"/>
        <v>11500</v>
      </c>
      <c r="L102" s="529">
        <v>41990</v>
      </c>
      <c r="M102" s="335">
        <v>11500</v>
      </c>
      <c r="N102" s="512">
        <f t="shared" si="17"/>
        <v>0</v>
      </c>
      <c r="O102" s="512">
        <f t="shared" si="10"/>
        <v>3393</v>
      </c>
      <c r="P102" s="513">
        <v>3</v>
      </c>
      <c r="Q102" s="514">
        <f t="shared" si="11"/>
        <v>9.2958904109589042</v>
      </c>
      <c r="R102" s="514">
        <f t="shared" si="12"/>
        <v>-6.2958904109589042</v>
      </c>
      <c r="S102" s="515">
        <f t="shared" si="13"/>
        <v>0.31666666666666665</v>
      </c>
      <c r="T102" s="335"/>
      <c r="U102" s="516">
        <f t="shared" si="14"/>
        <v>0</v>
      </c>
      <c r="V102" s="517">
        <f t="shared" si="15"/>
        <v>575</v>
      </c>
      <c r="X102" s="335">
        <v>11500</v>
      </c>
    </row>
    <row r="103" spans="1:24" ht="13.9">
      <c r="A103" s="340" t="e">
        <f t="shared" si="16"/>
        <v>#REF!</v>
      </c>
      <c r="B103" s="527" t="s">
        <v>209</v>
      </c>
      <c r="C103" s="508"/>
      <c r="D103" s="508"/>
      <c r="E103" s="508"/>
      <c r="F103" s="508"/>
      <c r="G103" s="528" t="s">
        <v>2829</v>
      </c>
      <c r="H103" s="510">
        <v>183750</v>
      </c>
      <c r="I103" s="340"/>
      <c r="J103" s="340"/>
      <c r="K103" s="510">
        <f t="shared" si="9"/>
        <v>183750</v>
      </c>
      <c r="L103" s="529">
        <v>42034</v>
      </c>
      <c r="M103" s="335">
        <v>183750</v>
      </c>
      <c r="N103" s="512">
        <f t="shared" si="17"/>
        <v>0</v>
      </c>
      <c r="O103" s="512">
        <f t="shared" si="10"/>
        <v>3349</v>
      </c>
      <c r="P103" s="513">
        <v>3</v>
      </c>
      <c r="Q103" s="514">
        <f t="shared" si="11"/>
        <v>9.1753424657534239</v>
      </c>
      <c r="R103" s="514">
        <f t="shared" si="12"/>
        <v>-6.1753424657534239</v>
      </c>
      <c r="S103" s="515">
        <f t="shared" si="13"/>
        <v>0.31666666666666665</v>
      </c>
      <c r="T103" s="335"/>
      <c r="U103" s="516">
        <f t="shared" si="14"/>
        <v>0</v>
      </c>
      <c r="V103" s="517">
        <f t="shared" si="15"/>
        <v>9188</v>
      </c>
      <c r="X103" s="335">
        <v>183750</v>
      </c>
    </row>
    <row r="104" spans="1:24" ht="13.9">
      <c r="A104" s="340" t="e">
        <f t="shared" si="16"/>
        <v>#REF!</v>
      </c>
      <c r="B104" s="527" t="s">
        <v>900</v>
      </c>
      <c r="C104" s="508"/>
      <c r="D104" s="508"/>
      <c r="E104" s="508"/>
      <c r="F104" s="508"/>
      <c r="G104" s="528">
        <v>41797</v>
      </c>
      <c r="H104" s="510">
        <v>35500</v>
      </c>
      <c r="I104" s="340"/>
      <c r="J104" s="340"/>
      <c r="K104" s="510">
        <f t="shared" si="9"/>
        <v>35500</v>
      </c>
      <c r="L104" s="529">
        <v>41797</v>
      </c>
      <c r="M104" s="335">
        <v>35500</v>
      </c>
      <c r="N104" s="512">
        <f t="shared" si="17"/>
        <v>0</v>
      </c>
      <c r="O104" s="512">
        <f t="shared" si="10"/>
        <v>3586</v>
      </c>
      <c r="P104" s="513">
        <v>3</v>
      </c>
      <c r="Q104" s="514">
        <f t="shared" si="11"/>
        <v>9.8246575342465761</v>
      </c>
      <c r="R104" s="514">
        <f t="shared" si="12"/>
        <v>-6.8246575342465761</v>
      </c>
      <c r="S104" s="515">
        <f t="shared" si="13"/>
        <v>0.31666666666666665</v>
      </c>
      <c r="T104" s="335"/>
      <c r="U104" s="516">
        <f t="shared" si="14"/>
        <v>0</v>
      </c>
      <c r="V104" s="517">
        <f t="shared" si="15"/>
        <v>1775</v>
      </c>
      <c r="X104" s="335">
        <v>35500</v>
      </c>
    </row>
    <row r="105" spans="1:24" ht="13.9">
      <c r="A105" s="340" t="e">
        <f t="shared" si="16"/>
        <v>#REF!</v>
      </c>
      <c r="B105" s="527" t="s">
        <v>900</v>
      </c>
      <c r="C105" s="508"/>
      <c r="D105" s="508"/>
      <c r="E105" s="508"/>
      <c r="F105" s="508"/>
      <c r="G105" s="528">
        <v>41740</v>
      </c>
      <c r="H105" s="510">
        <v>77600</v>
      </c>
      <c r="I105" s="340"/>
      <c r="J105" s="340"/>
      <c r="K105" s="510">
        <f t="shared" si="9"/>
        <v>77600</v>
      </c>
      <c r="L105" s="529">
        <v>41740</v>
      </c>
      <c r="M105" s="335">
        <v>77600</v>
      </c>
      <c r="N105" s="512">
        <f t="shared" si="17"/>
        <v>0</v>
      </c>
      <c r="O105" s="512">
        <f t="shared" si="10"/>
        <v>3643</v>
      </c>
      <c r="P105" s="513">
        <v>3</v>
      </c>
      <c r="Q105" s="514">
        <f t="shared" si="11"/>
        <v>9.9808219178082194</v>
      </c>
      <c r="R105" s="514">
        <f t="shared" si="12"/>
        <v>-6.9808219178082194</v>
      </c>
      <c r="S105" s="515">
        <f t="shared" si="13"/>
        <v>0.31666666666666665</v>
      </c>
      <c r="T105" s="335"/>
      <c r="U105" s="516">
        <f t="shared" si="14"/>
        <v>0</v>
      </c>
      <c r="V105" s="517">
        <f t="shared" si="15"/>
        <v>3880</v>
      </c>
      <c r="X105" s="335">
        <v>77600</v>
      </c>
    </row>
    <row r="106" spans="1:24" ht="13.9">
      <c r="A106" s="340" t="e">
        <f t="shared" si="16"/>
        <v>#REF!</v>
      </c>
      <c r="B106" s="527" t="s">
        <v>900</v>
      </c>
      <c r="C106" s="508"/>
      <c r="D106" s="508"/>
      <c r="E106" s="508"/>
      <c r="F106" s="508"/>
      <c r="G106" s="528">
        <v>41984</v>
      </c>
      <c r="H106" s="510">
        <v>162002</v>
      </c>
      <c r="I106" s="340"/>
      <c r="J106" s="340"/>
      <c r="K106" s="510">
        <f t="shared" si="9"/>
        <v>162002</v>
      </c>
      <c r="L106" s="529">
        <v>41984</v>
      </c>
      <c r="M106" s="335">
        <v>162002</v>
      </c>
      <c r="N106" s="512">
        <f t="shared" si="17"/>
        <v>0</v>
      </c>
      <c r="O106" s="512">
        <f t="shared" si="10"/>
        <v>3399</v>
      </c>
      <c r="P106" s="513">
        <v>3</v>
      </c>
      <c r="Q106" s="514">
        <f t="shared" si="11"/>
        <v>9.3123287671232884</v>
      </c>
      <c r="R106" s="514">
        <f t="shared" si="12"/>
        <v>-6.3123287671232884</v>
      </c>
      <c r="S106" s="515">
        <f t="shared" si="13"/>
        <v>0.31666666666666665</v>
      </c>
      <c r="T106" s="335"/>
      <c r="U106" s="516">
        <f t="shared" si="14"/>
        <v>0</v>
      </c>
      <c r="V106" s="517">
        <f t="shared" si="15"/>
        <v>8100</v>
      </c>
      <c r="X106" s="335">
        <v>162002</v>
      </c>
    </row>
    <row r="107" spans="1:24" ht="13.9">
      <c r="A107" s="340" t="e">
        <f t="shared" si="16"/>
        <v>#REF!</v>
      </c>
      <c r="B107" s="527" t="s">
        <v>900</v>
      </c>
      <c r="C107" s="508"/>
      <c r="D107" s="508"/>
      <c r="E107" s="508"/>
      <c r="F107" s="508"/>
      <c r="G107" s="528" t="s">
        <v>2609</v>
      </c>
      <c r="H107" s="510">
        <v>39500</v>
      </c>
      <c r="I107" s="340"/>
      <c r="J107" s="340"/>
      <c r="K107" s="510">
        <f t="shared" si="9"/>
        <v>39500</v>
      </c>
      <c r="L107" s="529">
        <v>41960</v>
      </c>
      <c r="M107" s="335">
        <v>39500</v>
      </c>
      <c r="N107" s="512">
        <f t="shared" si="17"/>
        <v>0</v>
      </c>
      <c r="O107" s="512">
        <f t="shared" si="10"/>
        <v>3423</v>
      </c>
      <c r="P107" s="513">
        <v>3</v>
      </c>
      <c r="Q107" s="514">
        <f t="shared" si="11"/>
        <v>9.3780821917808215</v>
      </c>
      <c r="R107" s="514">
        <f t="shared" si="12"/>
        <v>-6.3780821917808215</v>
      </c>
      <c r="S107" s="515">
        <f t="shared" si="13"/>
        <v>0.31666666666666665</v>
      </c>
      <c r="T107" s="335"/>
      <c r="U107" s="516">
        <f t="shared" si="14"/>
        <v>0</v>
      </c>
      <c r="V107" s="517">
        <f t="shared" si="15"/>
        <v>1975</v>
      </c>
      <c r="X107" s="335">
        <v>39500</v>
      </c>
    </row>
    <row r="108" spans="1:24" ht="13.9">
      <c r="A108" s="340" t="e">
        <f t="shared" si="16"/>
        <v>#REF!</v>
      </c>
      <c r="B108" s="527" t="s">
        <v>900</v>
      </c>
      <c r="C108" s="508"/>
      <c r="D108" s="508"/>
      <c r="E108" s="508"/>
      <c r="F108" s="508"/>
      <c r="G108" s="528" t="s">
        <v>2830</v>
      </c>
      <c r="H108" s="510">
        <v>29000</v>
      </c>
      <c r="I108" s="340"/>
      <c r="J108" s="340"/>
      <c r="K108" s="510">
        <f t="shared" si="9"/>
        <v>29000</v>
      </c>
      <c r="L108" s="529">
        <v>41965</v>
      </c>
      <c r="M108" s="335">
        <v>29000</v>
      </c>
      <c r="N108" s="512">
        <f t="shared" si="17"/>
        <v>0</v>
      </c>
      <c r="O108" s="512">
        <f t="shared" si="10"/>
        <v>3418</v>
      </c>
      <c r="P108" s="513">
        <v>3</v>
      </c>
      <c r="Q108" s="514">
        <f t="shared" si="11"/>
        <v>9.3643835616438356</v>
      </c>
      <c r="R108" s="514">
        <f t="shared" si="12"/>
        <v>-6.3643835616438356</v>
      </c>
      <c r="S108" s="515">
        <f t="shared" si="13"/>
        <v>0.31666666666666665</v>
      </c>
      <c r="T108" s="335"/>
      <c r="U108" s="516">
        <f t="shared" si="14"/>
        <v>0</v>
      </c>
      <c r="V108" s="517">
        <f t="shared" si="15"/>
        <v>1450</v>
      </c>
      <c r="X108" s="335">
        <v>29000</v>
      </c>
    </row>
    <row r="109" spans="1:24" ht="13.9">
      <c r="A109" s="340" t="e">
        <f t="shared" si="16"/>
        <v>#REF!</v>
      </c>
      <c r="B109" s="527" t="s">
        <v>900</v>
      </c>
      <c r="C109" s="508"/>
      <c r="D109" s="508"/>
      <c r="E109" s="508"/>
      <c r="F109" s="508"/>
      <c r="G109" s="528" t="s">
        <v>2831</v>
      </c>
      <c r="H109" s="510">
        <v>38500</v>
      </c>
      <c r="I109" s="340"/>
      <c r="J109" s="340"/>
      <c r="K109" s="510">
        <f t="shared" si="9"/>
        <v>38500</v>
      </c>
      <c r="L109" s="529">
        <v>41967</v>
      </c>
      <c r="M109" s="335">
        <v>38500</v>
      </c>
      <c r="N109" s="512">
        <f t="shared" si="17"/>
        <v>0</v>
      </c>
      <c r="O109" s="512">
        <f t="shared" si="10"/>
        <v>3416</v>
      </c>
      <c r="P109" s="513">
        <v>3</v>
      </c>
      <c r="Q109" s="514">
        <f t="shared" si="11"/>
        <v>9.3589041095890408</v>
      </c>
      <c r="R109" s="514">
        <f t="shared" si="12"/>
        <v>-6.3589041095890408</v>
      </c>
      <c r="S109" s="515">
        <f t="shared" si="13"/>
        <v>0.31666666666666665</v>
      </c>
      <c r="T109" s="335"/>
      <c r="U109" s="516">
        <f t="shared" si="14"/>
        <v>0</v>
      </c>
      <c r="V109" s="517">
        <f t="shared" si="15"/>
        <v>1925</v>
      </c>
      <c r="X109" s="335">
        <v>38500</v>
      </c>
    </row>
    <row r="110" spans="1:24" ht="13.9">
      <c r="A110" s="340" t="e">
        <f t="shared" si="16"/>
        <v>#REF!</v>
      </c>
      <c r="B110" s="527" t="s">
        <v>900</v>
      </c>
      <c r="C110" s="508"/>
      <c r="D110" s="508"/>
      <c r="E110" s="508"/>
      <c r="F110" s="508"/>
      <c r="G110" s="528" t="s">
        <v>2832</v>
      </c>
      <c r="H110" s="510">
        <v>33000</v>
      </c>
      <c r="I110" s="340"/>
      <c r="J110" s="340"/>
      <c r="K110" s="510">
        <f t="shared" si="9"/>
        <v>33000</v>
      </c>
      <c r="L110" s="529">
        <v>41968</v>
      </c>
      <c r="M110" s="335">
        <v>33000</v>
      </c>
      <c r="N110" s="512">
        <f t="shared" si="17"/>
        <v>0</v>
      </c>
      <c r="O110" s="512">
        <f t="shared" si="10"/>
        <v>3415</v>
      </c>
      <c r="P110" s="513">
        <v>3</v>
      </c>
      <c r="Q110" s="514">
        <f t="shared" si="11"/>
        <v>9.3561643835616444</v>
      </c>
      <c r="R110" s="514">
        <f t="shared" si="12"/>
        <v>-6.3561643835616444</v>
      </c>
      <c r="S110" s="515">
        <f t="shared" si="13"/>
        <v>0.31666666666666665</v>
      </c>
      <c r="T110" s="335"/>
      <c r="U110" s="516">
        <f t="shared" si="14"/>
        <v>0</v>
      </c>
      <c r="V110" s="517">
        <f t="shared" si="15"/>
        <v>1650</v>
      </c>
      <c r="X110" s="335">
        <v>33000</v>
      </c>
    </row>
    <row r="111" spans="1:24" ht="13.9">
      <c r="A111" s="340" t="e">
        <f t="shared" si="16"/>
        <v>#REF!</v>
      </c>
      <c r="B111" s="527" t="s">
        <v>900</v>
      </c>
      <c r="C111" s="508"/>
      <c r="D111" s="508"/>
      <c r="E111" s="508"/>
      <c r="F111" s="508"/>
      <c r="G111" s="528" t="s">
        <v>2832</v>
      </c>
      <c r="H111" s="510">
        <v>33000</v>
      </c>
      <c r="I111" s="340"/>
      <c r="J111" s="340"/>
      <c r="K111" s="510">
        <f t="shared" si="9"/>
        <v>33000</v>
      </c>
      <c r="L111" s="529">
        <v>41968</v>
      </c>
      <c r="M111" s="335">
        <v>33000</v>
      </c>
      <c r="N111" s="512">
        <f t="shared" si="17"/>
        <v>0</v>
      </c>
      <c r="O111" s="512">
        <f t="shared" si="10"/>
        <v>3415</v>
      </c>
      <c r="P111" s="513">
        <v>3</v>
      </c>
      <c r="Q111" s="514">
        <f t="shared" si="11"/>
        <v>9.3561643835616444</v>
      </c>
      <c r="R111" s="514">
        <f t="shared" si="12"/>
        <v>-6.3561643835616444</v>
      </c>
      <c r="S111" s="515">
        <f t="shared" si="13"/>
        <v>0.31666666666666665</v>
      </c>
      <c r="T111" s="335"/>
      <c r="U111" s="516">
        <f t="shared" si="14"/>
        <v>0</v>
      </c>
      <c r="V111" s="517">
        <f t="shared" si="15"/>
        <v>1650</v>
      </c>
      <c r="X111" s="335">
        <v>33000</v>
      </c>
    </row>
    <row r="112" spans="1:24" ht="13.9">
      <c r="A112" s="340" t="e">
        <f t="shared" si="16"/>
        <v>#REF!</v>
      </c>
      <c r="B112" s="527" t="s">
        <v>900</v>
      </c>
      <c r="C112" s="508"/>
      <c r="D112" s="508"/>
      <c r="E112" s="508"/>
      <c r="F112" s="508"/>
      <c r="G112" s="528">
        <v>41651</v>
      </c>
      <c r="H112" s="510">
        <v>26500</v>
      </c>
      <c r="I112" s="340"/>
      <c r="J112" s="340"/>
      <c r="K112" s="510">
        <f t="shared" si="9"/>
        <v>26500</v>
      </c>
      <c r="L112" s="529">
        <v>41974</v>
      </c>
      <c r="M112" s="335">
        <v>26500</v>
      </c>
      <c r="N112" s="512">
        <f t="shared" si="17"/>
        <v>0</v>
      </c>
      <c r="O112" s="512">
        <f t="shared" si="10"/>
        <v>3409</v>
      </c>
      <c r="P112" s="513">
        <v>3</v>
      </c>
      <c r="Q112" s="514">
        <f t="shared" si="11"/>
        <v>9.3397260273972602</v>
      </c>
      <c r="R112" s="514">
        <f t="shared" si="12"/>
        <v>-6.3397260273972602</v>
      </c>
      <c r="S112" s="515">
        <f t="shared" si="13"/>
        <v>0.31666666666666665</v>
      </c>
      <c r="T112" s="335"/>
      <c r="U112" s="516">
        <f t="shared" si="14"/>
        <v>0</v>
      </c>
      <c r="V112" s="517">
        <f t="shared" si="15"/>
        <v>1325</v>
      </c>
      <c r="X112" s="335">
        <v>26500</v>
      </c>
    </row>
    <row r="113" spans="1:24" ht="13.9">
      <c r="A113" s="340" t="e">
        <f t="shared" si="16"/>
        <v>#REF!</v>
      </c>
      <c r="B113" s="527" t="s">
        <v>900</v>
      </c>
      <c r="C113" s="508"/>
      <c r="D113" s="508"/>
      <c r="E113" s="508"/>
      <c r="F113" s="508"/>
      <c r="G113" s="528" t="s">
        <v>2828</v>
      </c>
      <c r="H113" s="510">
        <v>21150</v>
      </c>
      <c r="I113" s="340"/>
      <c r="J113" s="340"/>
      <c r="K113" s="510">
        <f t="shared" si="9"/>
        <v>21150</v>
      </c>
      <c r="L113" s="529">
        <v>41990</v>
      </c>
      <c r="M113" s="335">
        <v>21150</v>
      </c>
      <c r="N113" s="512">
        <f t="shared" si="17"/>
        <v>0</v>
      </c>
      <c r="O113" s="512">
        <f t="shared" si="10"/>
        <v>3393</v>
      </c>
      <c r="P113" s="513">
        <v>3</v>
      </c>
      <c r="Q113" s="514">
        <f t="shared" si="11"/>
        <v>9.2958904109589042</v>
      </c>
      <c r="R113" s="514">
        <f t="shared" si="12"/>
        <v>-6.2958904109589042</v>
      </c>
      <c r="S113" s="515">
        <f t="shared" si="13"/>
        <v>0.31666666666666665</v>
      </c>
      <c r="T113" s="335"/>
      <c r="U113" s="516">
        <f t="shared" si="14"/>
        <v>0</v>
      </c>
      <c r="V113" s="517">
        <f t="shared" si="15"/>
        <v>1058</v>
      </c>
      <c r="X113" s="335">
        <v>21150</v>
      </c>
    </row>
    <row r="114" spans="1:24" ht="13.9">
      <c r="A114" s="340" t="e">
        <f t="shared" si="16"/>
        <v>#REF!</v>
      </c>
      <c r="B114" s="527" t="s">
        <v>900</v>
      </c>
      <c r="C114" s="508"/>
      <c r="D114" s="508"/>
      <c r="E114" s="508"/>
      <c r="F114" s="508"/>
      <c r="G114" s="528" t="s">
        <v>2833</v>
      </c>
      <c r="H114" s="510">
        <v>41000</v>
      </c>
      <c r="I114" s="340"/>
      <c r="J114" s="340"/>
      <c r="K114" s="510">
        <f t="shared" si="9"/>
        <v>41000</v>
      </c>
      <c r="L114" s="529">
        <v>42024</v>
      </c>
      <c r="M114" s="335">
        <v>41000</v>
      </c>
      <c r="N114" s="512">
        <f t="shared" si="17"/>
        <v>0</v>
      </c>
      <c r="O114" s="512">
        <f t="shared" si="10"/>
        <v>3359</v>
      </c>
      <c r="P114" s="513">
        <v>3</v>
      </c>
      <c r="Q114" s="514">
        <f t="shared" si="11"/>
        <v>9.2027397260273975</v>
      </c>
      <c r="R114" s="514">
        <f t="shared" si="12"/>
        <v>-6.2027397260273975</v>
      </c>
      <c r="S114" s="515">
        <f t="shared" si="13"/>
        <v>0.31666666666666665</v>
      </c>
      <c r="T114" s="335"/>
      <c r="U114" s="516">
        <f t="shared" si="14"/>
        <v>0</v>
      </c>
      <c r="V114" s="517">
        <f t="shared" si="15"/>
        <v>2050</v>
      </c>
      <c r="X114" s="335">
        <v>41000</v>
      </c>
    </row>
    <row r="115" spans="1:24" ht="13.9">
      <c r="A115" s="340" t="e">
        <f t="shared" si="16"/>
        <v>#REF!</v>
      </c>
      <c r="B115" s="527" t="s">
        <v>900</v>
      </c>
      <c r="C115" s="508"/>
      <c r="D115" s="508"/>
      <c r="E115" s="508"/>
      <c r="F115" s="508"/>
      <c r="G115" s="528">
        <v>42037</v>
      </c>
      <c r="H115" s="510">
        <v>33000</v>
      </c>
      <c r="I115" s="340"/>
      <c r="J115" s="340"/>
      <c r="K115" s="510">
        <f t="shared" si="9"/>
        <v>33000</v>
      </c>
      <c r="L115" s="529">
        <v>42037</v>
      </c>
      <c r="M115" s="335">
        <v>33000</v>
      </c>
      <c r="N115" s="512">
        <f t="shared" si="17"/>
        <v>0</v>
      </c>
      <c r="O115" s="512">
        <f t="shared" si="10"/>
        <v>3346</v>
      </c>
      <c r="P115" s="513">
        <v>3</v>
      </c>
      <c r="Q115" s="514">
        <f t="shared" si="11"/>
        <v>9.1671232876712327</v>
      </c>
      <c r="R115" s="514">
        <f t="shared" si="12"/>
        <v>-6.1671232876712327</v>
      </c>
      <c r="S115" s="515">
        <f t="shared" si="13"/>
        <v>0.31666666666666665</v>
      </c>
      <c r="T115" s="335"/>
      <c r="U115" s="516">
        <f t="shared" si="14"/>
        <v>0</v>
      </c>
      <c r="V115" s="517">
        <f t="shared" si="15"/>
        <v>1650</v>
      </c>
      <c r="X115" s="335">
        <v>33000</v>
      </c>
    </row>
    <row r="116" spans="1:24" ht="13.9">
      <c r="A116" s="340" t="e">
        <f t="shared" si="16"/>
        <v>#REF!</v>
      </c>
      <c r="B116" s="527" t="s">
        <v>900</v>
      </c>
      <c r="C116" s="508"/>
      <c r="D116" s="508"/>
      <c r="E116" s="508"/>
      <c r="F116" s="508"/>
      <c r="G116" s="528">
        <v>42037</v>
      </c>
      <c r="H116" s="510">
        <v>33000</v>
      </c>
      <c r="I116" s="340"/>
      <c r="J116" s="340"/>
      <c r="K116" s="510">
        <f t="shared" si="9"/>
        <v>33000</v>
      </c>
      <c r="L116" s="529">
        <v>42037</v>
      </c>
      <c r="M116" s="335">
        <v>33000</v>
      </c>
      <c r="N116" s="512">
        <f t="shared" si="17"/>
        <v>0</v>
      </c>
      <c r="O116" s="512">
        <f t="shared" si="10"/>
        <v>3346</v>
      </c>
      <c r="P116" s="513">
        <v>3</v>
      </c>
      <c r="Q116" s="514">
        <f t="shared" si="11"/>
        <v>9.1671232876712327</v>
      </c>
      <c r="R116" s="514">
        <f t="shared" si="12"/>
        <v>-6.1671232876712327</v>
      </c>
      <c r="S116" s="515">
        <f t="shared" si="13"/>
        <v>0.31666666666666665</v>
      </c>
      <c r="T116" s="335"/>
      <c r="U116" s="516">
        <f t="shared" si="14"/>
        <v>0</v>
      </c>
      <c r="V116" s="517">
        <f t="shared" si="15"/>
        <v>1650</v>
      </c>
      <c r="X116" s="335">
        <v>33000</v>
      </c>
    </row>
    <row r="117" spans="1:24" ht="13.9">
      <c r="A117" s="340" t="e">
        <f t="shared" si="16"/>
        <v>#REF!</v>
      </c>
      <c r="B117" s="527" t="s">
        <v>900</v>
      </c>
      <c r="C117" s="508"/>
      <c r="D117" s="508"/>
      <c r="E117" s="508"/>
      <c r="F117" s="508"/>
      <c r="G117" s="528">
        <v>42037</v>
      </c>
      <c r="H117" s="510">
        <v>6200</v>
      </c>
      <c r="I117" s="340"/>
      <c r="J117" s="340"/>
      <c r="K117" s="510">
        <f t="shared" si="9"/>
        <v>6200</v>
      </c>
      <c r="L117" s="529">
        <v>42037</v>
      </c>
      <c r="M117" s="335">
        <v>6200</v>
      </c>
      <c r="N117" s="512">
        <f t="shared" si="17"/>
        <v>0</v>
      </c>
      <c r="O117" s="512">
        <f t="shared" si="10"/>
        <v>3346</v>
      </c>
      <c r="P117" s="513">
        <v>3</v>
      </c>
      <c r="Q117" s="514">
        <f t="shared" si="11"/>
        <v>9.1671232876712327</v>
      </c>
      <c r="R117" s="514">
        <f t="shared" si="12"/>
        <v>-6.1671232876712327</v>
      </c>
      <c r="S117" s="515">
        <f t="shared" si="13"/>
        <v>0.31666666666666665</v>
      </c>
      <c r="T117" s="335"/>
      <c r="U117" s="516">
        <f t="shared" si="14"/>
        <v>0</v>
      </c>
      <c r="V117" s="517">
        <f t="shared" si="15"/>
        <v>310</v>
      </c>
      <c r="X117" s="335">
        <v>6200</v>
      </c>
    </row>
    <row r="118" spans="1:24" ht="13.9">
      <c r="A118" s="340" t="e">
        <f t="shared" si="16"/>
        <v>#REF!</v>
      </c>
      <c r="B118" s="527" t="s">
        <v>900</v>
      </c>
      <c r="C118" s="508"/>
      <c r="D118" s="508"/>
      <c r="E118" s="508"/>
      <c r="F118" s="508"/>
      <c r="G118" s="528">
        <v>42279</v>
      </c>
      <c r="H118" s="510">
        <v>33000</v>
      </c>
      <c r="I118" s="340"/>
      <c r="J118" s="340"/>
      <c r="K118" s="510">
        <f t="shared" si="9"/>
        <v>33000</v>
      </c>
      <c r="L118" s="529">
        <v>42045</v>
      </c>
      <c r="M118" s="335">
        <v>33000</v>
      </c>
      <c r="N118" s="512">
        <f t="shared" si="17"/>
        <v>0</v>
      </c>
      <c r="O118" s="512">
        <f t="shared" si="10"/>
        <v>3338</v>
      </c>
      <c r="P118" s="513">
        <v>3</v>
      </c>
      <c r="Q118" s="514">
        <f t="shared" si="11"/>
        <v>9.1452054794520556</v>
      </c>
      <c r="R118" s="514">
        <f t="shared" si="12"/>
        <v>-6.1452054794520556</v>
      </c>
      <c r="S118" s="515">
        <f t="shared" si="13"/>
        <v>0.31666666666666665</v>
      </c>
      <c r="T118" s="335"/>
      <c r="U118" s="516">
        <f t="shared" si="14"/>
        <v>0</v>
      </c>
      <c r="V118" s="517">
        <f t="shared" si="15"/>
        <v>1650</v>
      </c>
      <c r="X118" s="335">
        <v>33000</v>
      </c>
    </row>
    <row r="119" spans="1:24" ht="13.9">
      <c r="A119" s="340" t="e">
        <f t="shared" si="16"/>
        <v>#REF!</v>
      </c>
      <c r="B119" s="527" t="s">
        <v>900</v>
      </c>
      <c r="C119" s="508"/>
      <c r="D119" s="508"/>
      <c r="E119" s="508"/>
      <c r="F119" s="508"/>
      <c r="G119" s="528" t="s">
        <v>2834</v>
      </c>
      <c r="H119" s="510">
        <v>33000</v>
      </c>
      <c r="I119" s="340"/>
      <c r="J119" s="340"/>
      <c r="K119" s="510">
        <f t="shared" si="9"/>
        <v>33000</v>
      </c>
      <c r="L119" s="529">
        <v>42083</v>
      </c>
      <c r="M119" s="335">
        <v>33000</v>
      </c>
      <c r="N119" s="512">
        <f t="shared" si="17"/>
        <v>0</v>
      </c>
      <c r="O119" s="512">
        <f t="shared" si="10"/>
        <v>3300</v>
      </c>
      <c r="P119" s="513">
        <v>3</v>
      </c>
      <c r="Q119" s="514">
        <f t="shared" si="11"/>
        <v>9.0410958904109595</v>
      </c>
      <c r="R119" s="514">
        <f t="shared" si="12"/>
        <v>-6.0410958904109595</v>
      </c>
      <c r="S119" s="515">
        <f t="shared" si="13"/>
        <v>0.31666666666666665</v>
      </c>
      <c r="T119" s="335"/>
      <c r="U119" s="516">
        <f t="shared" si="14"/>
        <v>0</v>
      </c>
      <c r="V119" s="517">
        <f t="shared" si="15"/>
        <v>1650</v>
      </c>
      <c r="X119" s="335">
        <v>33000</v>
      </c>
    </row>
    <row r="120" spans="1:24" ht="13.9">
      <c r="A120" s="340" t="e">
        <f t="shared" si="16"/>
        <v>#REF!</v>
      </c>
      <c r="B120" s="527" t="s">
        <v>900</v>
      </c>
      <c r="C120" s="508"/>
      <c r="D120" s="508"/>
      <c r="E120" s="508"/>
      <c r="F120" s="508"/>
      <c r="G120" s="528" t="s">
        <v>2834</v>
      </c>
      <c r="H120" s="510">
        <v>23200</v>
      </c>
      <c r="I120" s="340"/>
      <c r="J120" s="340"/>
      <c r="K120" s="510">
        <f t="shared" si="9"/>
        <v>23200</v>
      </c>
      <c r="L120" s="529">
        <v>42083</v>
      </c>
      <c r="M120" s="335">
        <v>23200</v>
      </c>
      <c r="N120" s="512">
        <f t="shared" si="17"/>
        <v>0</v>
      </c>
      <c r="O120" s="512">
        <f t="shared" si="10"/>
        <v>3300</v>
      </c>
      <c r="P120" s="513">
        <v>3</v>
      </c>
      <c r="Q120" s="514">
        <f t="shared" si="11"/>
        <v>9.0410958904109595</v>
      </c>
      <c r="R120" s="514">
        <f t="shared" si="12"/>
        <v>-6.0410958904109595</v>
      </c>
      <c r="S120" s="515">
        <f t="shared" si="13"/>
        <v>0.31666666666666665</v>
      </c>
      <c r="T120" s="335"/>
      <c r="U120" s="516">
        <f t="shared" si="14"/>
        <v>0</v>
      </c>
      <c r="V120" s="517">
        <f t="shared" si="15"/>
        <v>1160</v>
      </c>
      <c r="X120" s="335">
        <v>23200</v>
      </c>
    </row>
    <row r="121" spans="1:24" ht="13.9">
      <c r="A121" s="340" t="e">
        <f t="shared" si="16"/>
        <v>#REF!</v>
      </c>
      <c r="B121" s="527" t="s">
        <v>900</v>
      </c>
      <c r="C121" s="508"/>
      <c r="D121" s="508"/>
      <c r="E121" s="508"/>
      <c r="F121" s="508"/>
      <c r="G121" s="528" t="s">
        <v>2835</v>
      </c>
      <c r="H121" s="510">
        <v>29500</v>
      </c>
      <c r="I121" s="340"/>
      <c r="J121" s="340"/>
      <c r="K121" s="510">
        <f t="shared" si="9"/>
        <v>29500</v>
      </c>
      <c r="L121" s="529">
        <v>42093</v>
      </c>
      <c r="M121" s="335">
        <v>29500</v>
      </c>
      <c r="N121" s="512">
        <f t="shared" si="17"/>
        <v>0</v>
      </c>
      <c r="O121" s="512">
        <f t="shared" si="10"/>
        <v>3290</v>
      </c>
      <c r="P121" s="513">
        <v>3</v>
      </c>
      <c r="Q121" s="514">
        <f t="shared" si="11"/>
        <v>9.0136986301369859</v>
      </c>
      <c r="R121" s="514">
        <f t="shared" si="12"/>
        <v>-6.0136986301369859</v>
      </c>
      <c r="S121" s="515">
        <f t="shared" si="13"/>
        <v>0.31666666666666665</v>
      </c>
      <c r="T121" s="335"/>
      <c r="U121" s="516">
        <f t="shared" si="14"/>
        <v>0</v>
      </c>
      <c r="V121" s="517">
        <f t="shared" si="15"/>
        <v>1475</v>
      </c>
      <c r="X121" s="335">
        <v>29500</v>
      </c>
    </row>
    <row r="122" spans="1:24" ht="13.9">
      <c r="A122" s="340" t="e">
        <f t="shared" si="16"/>
        <v>#REF!</v>
      </c>
      <c r="B122" s="530" t="s">
        <v>425</v>
      </c>
      <c r="C122" s="508"/>
      <c r="D122" s="508"/>
      <c r="E122" s="508"/>
      <c r="F122" s="508"/>
      <c r="G122" s="531">
        <v>42107</v>
      </c>
      <c r="H122" s="510">
        <v>38980</v>
      </c>
      <c r="I122" s="340"/>
      <c r="J122" s="340"/>
      <c r="K122" s="510">
        <f t="shared" si="9"/>
        <v>38980</v>
      </c>
      <c r="L122" s="532">
        <v>42107</v>
      </c>
      <c r="M122" s="335">
        <v>38980</v>
      </c>
      <c r="N122" s="512">
        <f t="shared" si="17"/>
        <v>0</v>
      </c>
      <c r="O122" s="512">
        <f t="shared" si="10"/>
        <v>3276</v>
      </c>
      <c r="P122" s="513">
        <v>3</v>
      </c>
      <c r="Q122" s="514">
        <f t="shared" si="11"/>
        <v>8.9753424657534246</v>
      </c>
      <c r="R122" s="533">
        <f t="shared" si="12"/>
        <v>-5.9753424657534246</v>
      </c>
      <c r="S122" s="515">
        <f t="shared" si="13"/>
        <v>0.31666666666666665</v>
      </c>
      <c r="T122" s="335"/>
      <c r="U122" s="516">
        <f t="shared" si="14"/>
        <v>0</v>
      </c>
      <c r="V122" s="517">
        <f t="shared" si="15"/>
        <v>1949</v>
      </c>
      <c r="X122" s="335">
        <v>38980</v>
      </c>
    </row>
    <row r="123" spans="1:24" ht="13.9">
      <c r="A123" s="340" t="e">
        <f t="shared" si="16"/>
        <v>#REF!</v>
      </c>
      <c r="B123" s="530" t="s">
        <v>425</v>
      </c>
      <c r="C123" s="508"/>
      <c r="D123" s="508"/>
      <c r="E123" s="508"/>
      <c r="F123" s="508"/>
      <c r="G123" s="531">
        <v>42117</v>
      </c>
      <c r="H123" s="510">
        <v>33550</v>
      </c>
      <c r="I123" s="340"/>
      <c r="J123" s="340"/>
      <c r="K123" s="510">
        <f t="shared" si="9"/>
        <v>33550</v>
      </c>
      <c r="L123" s="532">
        <v>42117</v>
      </c>
      <c r="M123" s="335">
        <v>33550</v>
      </c>
      <c r="N123" s="512">
        <f t="shared" si="17"/>
        <v>0</v>
      </c>
      <c r="O123" s="512">
        <f t="shared" si="10"/>
        <v>3266</v>
      </c>
      <c r="P123" s="513">
        <v>3</v>
      </c>
      <c r="Q123" s="514">
        <f t="shared" si="11"/>
        <v>8.9479452054794528</v>
      </c>
      <c r="R123" s="514">
        <f t="shared" si="12"/>
        <v>-5.9479452054794528</v>
      </c>
      <c r="S123" s="515">
        <f t="shared" si="13"/>
        <v>0.31666666666666665</v>
      </c>
      <c r="T123" s="335"/>
      <c r="U123" s="516">
        <f t="shared" si="14"/>
        <v>0</v>
      </c>
      <c r="V123" s="517">
        <f t="shared" si="15"/>
        <v>1678</v>
      </c>
      <c r="X123" s="335">
        <v>33550</v>
      </c>
    </row>
    <row r="124" spans="1:24" ht="13.9">
      <c r="A124" s="340" t="e">
        <f t="shared" si="16"/>
        <v>#REF!</v>
      </c>
      <c r="B124" s="530" t="s">
        <v>425</v>
      </c>
      <c r="C124" s="508"/>
      <c r="D124" s="508"/>
      <c r="E124" s="508"/>
      <c r="F124" s="508"/>
      <c r="G124" s="531">
        <v>42139</v>
      </c>
      <c r="H124" s="510">
        <v>25500</v>
      </c>
      <c r="I124" s="340"/>
      <c r="J124" s="340"/>
      <c r="K124" s="510">
        <f t="shared" si="9"/>
        <v>25500</v>
      </c>
      <c r="L124" s="532">
        <v>42139</v>
      </c>
      <c r="M124" s="335">
        <v>25500</v>
      </c>
      <c r="N124" s="512">
        <f t="shared" si="17"/>
        <v>0</v>
      </c>
      <c r="O124" s="512">
        <f t="shared" si="10"/>
        <v>3244</v>
      </c>
      <c r="P124" s="513">
        <v>3</v>
      </c>
      <c r="Q124" s="514">
        <f t="shared" si="11"/>
        <v>8.8876712328767127</v>
      </c>
      <c r="R124" s="514">
        <f t="shared" si="12"/>
        <v>-5.8876712328767127</v>
      </c>
      <c r="S124" s="515">
        <f t="shared" si="13"/>
        <v>0.31666666666666665</v>
      </c>
      <c r="T124" s="335"/>
      <c r="U124" s="516">
        <f t="shared" si="14"/>
        <v>0</v>
      </c>
      <c r="V124" s="517">
        <f t="shared" si="15"/>
        <v>1275</v>
      </c>
      <c r="X124" s="335">
        <v>25500</v>
      </c>
    </row>
    <row r="125" spans="1:24" ht="13.9">
      <c r="A125" s="340" t="e">
        <f t="shared" si="16"/>
        <v>#REF!</v>
      </c>
      <c r="B125" s="530" t="s">
        <v>425</v>
      </c>
      <c r="C125" s="508"/>
      <c r="D125" s="508"/>
      <c r="E125" s="508"/>
      <c r="F125" s="508"/>
      <c r="G125" s="531">
        <v>42145</v>
      </c>
      <c r="H125" s="510">
        <v>37000</v>
      </c>
      <c r="I125" s="340"/>
      <c r="J125" s="340"/>
      <c r="K125" s="510">
        <f t="shared" si="9"/>
        <v>37000</v>
      </c>
      <c r="L125" s="532">
        <v>42145</v>
      </c>
      <c r="M125" s="335">
        <v>37000</v>
      </c>
      <c r="N125" s="512">
        <f t="shared" si="17"/>
        <v>0</v>
      </c>
      <c r="O125" s="512">
        <f t="shared" si="10"/>
        <v>3238</v>
      </c>
      <c r="P125" s="513">
        <v>3</v>
      </c>
      <c r="Q125" s="514">
        <f t="shared" si="11"/>
        <v>8.8712328767123285</v>
      </c>
      <c r="R125" s="514">
        <f t="shared" si="12"/>
        <v>-5.8712328767123285</v>
      </c>
      <c r="S125" s="515">
        <f t="shared" si="13"/>
        <v>0.31666666666666665</v>
      </c>
      <c r="T125" s="335"/>
      <c r="U125" s="516">
        <f t="shared" si="14"/>
        <v>0</v>
      </c>
      <c r="V125" s="517">
        <f t="shared" si="15"/>
        <v>1850</v>
      </c>
      <c r="X125" s="335">
        <v>37000</v>
      </c>
    </row>
    <row r="126" spans="1:24" ht="13.9">
      <c r="A126" s="340" t="e">
        <f t="shared" si="16"/>
        <v>#REF!</v>
      </c>
      <c r="B126" s="530" t="s">
        <v>425</v>
      </c>
      <c r="C126" s="508"/>
      <c r="D126" s="508"/>
      <c r="E126" s="508"/>
      <c r="F126" s="508"/>
      <c r="G126" s="531">
        <v>42185</v>
      </c>
      <c r="H126" s="510">
        <v>44650</v>
      </c>
      <c r="I126" s="340"/>
      <c r="J126" s="340"/>
      <c r="K126" s="510">
        <f t="shared" si="9"/>
        <v>44650</v>
      </c>
      <c r="L126" s="532">
        <v>42185</v>
      </c>
      <c r="M126" s="335">
        <v>44650</v>
      </c>
      <c r="N126" s="512">
        <f t="shared" si="17"/>
        <v>0</v>
      </c>
      <c r="O126" s="512">
        <f t="shared" si="10"/>
        <v>3198</v>
      </c>
      <c r="P126" s="513">
        <v>3</v>
      </c>
      <c r="Q126" s="514">
        <f t="shared" si="11"/>
        <v>8.7616438356164377</v>
      </c>
      <c r="R126" s="514">
        <f t="shared" si="12"/>
        <v>-5.7616438356164377</v>
      </c>
      <c r="S126" s="515">
        <f t="shared" si="13"/>
        <v>0.31666666666666665</v>
      </c>
      <c r="T126" s="335"/>
      <c r="U126" s="516">
        <f t="shared" si="14"/>
        <v>0</v>
      </c>
      <c r="V126" s="517">
        <f t="shared" si="15"/>
        <v>2233</v>
      </c>
      <c r="X126" s="335">
        <v>44650</v>
      </c>
    </row>
    <row r="127" spans="1:24" ht="13.9">
      <c r="A127" s="340" t="e">
        <f t="shared" si="16"/>
        <v>#REF!</v>
      </c>
      <c r="B127" s="530" t="s">
        <v>425</v>
      </c>
      <c r="C127" s="508"/>
      <c r="D127" s="508"/>
      <c r="E127" s="508"/>
      <c r="F127" s="508"/>
      <c r="G127" s="531">
        <v>42185</v>
      </c>
      <c r="H127" s="510">
        <v>55800</v>
      </c>
      <c r="I127" s="340"/>
      <c r="J127" s="340"/>
      <c r="K127" s="510">
        <f t="shared" si="9"/>
        <v>55800</v>
      </c>
      <c r="L127" s="532">
        <v>42185</v>
      </c>
      <c r="M127" s="335">
        <v>55800</v>
      </c>
      <c r="N127" s="512">
        <f t="shared" si="17"/>
        <v>0</v>
      </c>
      <c r="O127" s="512">
        <f t="shared" si="10"/>
        <v>3198</v>
      </c>
      <c r="P127" s="513">
        <v>3</v>
      </c>
      <c r="Q127" s="514">
        <f t="shared" si="11"/>
        <v>8.7616438356164377</v>
      </c>
      <c r="R127" s="514">
        <f t="shared" si="12"/>
        <v>-5.7616438356164377</v>
      </c>
      <c r="S127" s="515">
        <f t="shared" si="13"/>
        <v>0.31666666666666665</v>
      </c>
      <c r="T127" s="335"/>
      <c r="U127" s="516">
        <f t="shared" si="14"/>
        <v>0</v>
      </c>
      <c r="V127" s="517">
        <f t="shared" si="15"/>
        <v>2790</v>
      </c>
      <c r="X127" s="335">
        <v>55800</v>
      </c>
    </row>
    <row r="128" spans="1:24" ht="13.9">
      <c r="A128" s="340" t="e">
        <f t="shared" si="16"/>
        <v>#REF!</v>
      </c>
      <c r="B128" s="530" t="s">
        <v>425</v>
      </c>
      <c r="C128" s="508"/>
      <c r="D128" s="508"/>
      <c r="E128" s="508"/>
      <c r="F128" s="508"/>
      <c r="G128" s="531">
        <v>42250</v>
      </c>
      <c r="H128" s="510">
        <v>31600</v>
      </c>
      <c r="I128" s="340"/>
      <c r="J128" s="340"/>
      <c r="K128" s="510">
        <f t="shared" si="9"/>
        <v>31600</v>
      </c>
      <c r="L128" s="532">
        <v>42250</v>
      </c>
      <c r="M128" s="335">
        <v>31600</v>
      </c>
      <c r="N128" s="512">
        <f t="shared" si="17"/>
        <v>0</v>
      </c>
      <c r="O128" s="512">
        <f t="shared" si="10"/>
        <v>3133</v>
      </c>
      <c r="P128" s="513">
        <v>3</v>
      </c>
      <c r="Q128" s="514">
        <f t="shared" si="11"/>
        <v>8.5835616438356173</v>
      </c>
      <c r="R128" s="514">
        <f t="shared" si="12"/>
        <v>-5.5835616438356173</v>
      </c>
      <c r="S128" s="515">
        <f t="shared" si="13"/>
        <v>0.31666666666666665</v>
      </c>
      <c r="T128" s="335"/>
      <c r="U128" s="516">
        <f t="shared" si="14"/>
        <v>0</v>
      </c>
      <c r="V128" s="517">
        <f t="shared" si="15"/>
        <v>1580</v>
      </c>
      <c r="X128" s="335">
        <v>31600</v>
      </c>
    </row>
    <row r="129" spans="1:24" ht="13.9">
      <c r="A129" s="340" t="e">
        <f t="shared" si="16"/>
        <v>#REF!</v>
      </c>
      <c r="B129" s="530" t="s">
        <v>425</v>
      </c>
      <c r="C129" s="508"/>
      <c r="D129" s="508"/>
      <c r="E129" s="508"/>
      <c r="F129" s="508"/>
      <c r="G129" s="531">
        <v>42105</v>
      </c>
      <c r="H129" s="510">
        <v>76356</v>
      </c>
      <c r="I129" s="340"/>
      <c r="J129" s="340"/>
      <c r="K129" s="510">
        <f t="shared" si="9"/>
        <v>76356</v>
      </c>
      <c r="L129" s="532">
        <v>42105</v>
      </c>
      <c r="M129" s="335">
        <v>76356</v>
      </c>
      <c r="N129" s="512">
        <f t="shared" si="17"/>
        <v>0</v>
      </c>
      <c r="O129" s="512">
        <f t="shared" si="10"/>
        <v>3278</v>
      </c>
      <c r="P129" s="513">
        <v>3</v>
      </c>
      <c r="Q129" s="514">
        <f t="shared" si="11"/>
        <v>8.9808219178082194</v>
      </c>
      <c r="R129" s="514">
        <f t="shared" si="12"/>
        <v>-5.9808219178082194</v>
      </c>
      <c r="S129" s="515">
        <f t="shared" si="13"/>
        <v>0.31666666666666665</v>
      </c>
      <c r="T129" s="335"/>
      <c r="U129" s="516">
        <f t="shared" si="14"/>
        <v>0</v>
      </c>
      <c r="V129" s="517">
        <f t="shared" si="15"/>
        <v>3818</v>
      </c>
      <c r="X129" s="335">
        <v>76356</v>
      </c>
    </row>
    <row r="130" spans="1:24" ht="13.9">
      <c r="A130" s="340" t="e">
        <f t="shared" si="16"/>
        <v>#REF!</v>
      </c>
      <c r="B130" s="530" t="s">
        <v>425</v>
      </c>
      <c r="C130" s="508"/>
      <c r="D130" s="508"/>
      <c r="E130" s="508"/>
      <c r="F130" s="508"/>
      <c r="G130" s="531">
        <v>42150</v>
      </c>
      <c r="H130" s="510">
        <v>25452</v>
      </c>
      <c r="I130" s="340"/>
      <c r="J130" s="340"/>
      <c r="K130" s="510">
        <f t="shared" si="9"/>
        <v>25452</v>
      </c>
      <c r="L130" s="532">
        <v>42150</v>
      </c>
      <c r="M130" s="335">
        <v>25452</v>
      </c>
      <c r="N130" s="512">
        <f t="shared" si="17"/>
        <v>0</v>
      </c>
      <c r="O130" s="512">
        <f t="shared" si="10"/>
        <v>3233</v>
      </c>
      <c r="P130" s="513">
        <v>3</v>
      </c>
      <c r="Q130" s="514">
        <f t="shared" si="11"/>
        <v>8.8575342465753426</v>
      </c>
      <c r="R130" s="514">
        <f t="shared" si="12"/>
        <v>-5.8575342465753426</v>
      </c>
      <c r="S130" s="515">
        <f t="shared" si="13"/>
        <v>0.31666666666666665</v>
      </c>
      <c r="T130" s="335"/>
      <c r="U130" s="516">
        <f t="shared" si="14"/>
        <v>0</v>
      </c>
      <c r="V130" s="517">
        <f t="shared" si="15"/>
        <v>1273</v>
      </c>
      <c r="X130" s="335">
        <v>25452</v>
      </c>
    </row>
    <row r="131" spans="1:24" ht="13.9">
      <c r="A131" s="340" t="e">
        <f t="shared" si="16"/>
        <v>#REF!</v>
      </c>
      <c r="B131" s="530" t="s">
        <v>425</v>
      </c>
      <c r="C131" s="508"/>
      <c r="D131" s="508"/>
      <c r="E131" s="508"/>
      <c r="F131" s="508"/>
      <c r="G131" s="531">
        <v>42150</v>
      </c>
      <c r="H131" s="510">
        <v>25452</v>
      </c>
      <c r="I131" s="340"/>
      <c r="J131" s="340"/>
      <c r="K131" s="510">
        <f t="shared" si="9"/>
        <v>25452</v>
      </c>
      <c r="L131" s="532">
        <v>42150</v>
      </c>
      <c r="M131" s="335">
        <v>25452</v>
      </c>
      <c r="N131" s="512">
        <f t="shared" si="17"/>
        <v>0</v>
      </c>
      <c r="O131" s="512">
        <f t="shared" si="10"/>
        <v>3233</v>
      </c>
      <c r="P131" s="513">
        <v>3</v>
      </c>
      <c r="Q131" s="514">
        <f t="shared" si="11"/>
        <v>8.8575342465753426</v>
      </c>
      <c r="R131" s="514">
        <f t="shared" si="12"/>
        <v>-5.8575342465753426</v>
      </c>
      <c r="S131" s="515">
        <f t="shared" si="13"/>
        <v>0.31666666666666665</v>
      </c>
      <c r="T131" s="335"/>
      <c r="U131" s="516">
        <f t="shared" si="14"/>
        <v>0</v>
      </c>
      <c r="V131" s="517">
        <f t="shared" si="15"/>
        <v>1273</v>
      </c>
      <c r="X131" s="335">
        <v>25452</v>
      </c>
    </row>
    <row r="132" spans="1:24" ht="13.9">
      <c r="A132" s="340" t="e">
        <f t="shared" si="16"/>
        <v>#REF!</v>
      </c>
      <c r="B132" s="530" t="s">
        <v>425</v>
      </c>
      <c r="C132" s="508"/>
      <c r="D132" s="508"/>
      <c r="E132" s="508"/>
      <c r="F132" s="508"/>
      <c r="G132" s="531">
        <v>42185</v>
      </c>
      <c r="H132" s="510">
        <v>25852</v>
      </c>
      <c r="I132" s="340"/>
      <c r="J132" s="340"/>
      <c r="K132" s="510">
        <f t="shared" si="9"/>
        <v>25852</v>
      </c>
      <c r="L132" s="532">
        <v>42185</v>
      </c>
      <c r="M132" s="335">
        <v>25852</v>
      </c>
      <c r="N132" s="512">
        <f t="shared" si="17"/>
        <v>0</v>
      </c>
      <c r="O132" s="512">
        <f t="shared" si="10"/>
        <v>3198</v>
      </c>
      <c r="P132" s="513">
        <v>3</v>
      </c>
      <c r="Q132" s="514">
        <f t="shared" si="11"/>
        <v>8.7616438356164377</v>
      </c>
      <c r="R132" s="514">
        <f t="shared" si="12"/>
        <v>-5.7616438356164377</v>
      </c>
      <c r="S132" s="515">
        <f t="shared" si="13"/>
        <v>0.31666666666666665</v>
      </c>
      <c r="T132" s="335"/>
      <c r="U132" s="516">
        <f t="shared" si="14"/>
        <v>0</v>
      </c>
      <c r="V132" s="517">
        <f t="shared" si="15"/>
        <v>1293</v>
      </c>
      <c r="X132" s="335">
        <v>25852</v>
      </c>
    </row>
    <row r="133" spans="1:24" ht="13.9">
      <c r="A133" s="340" t="e">
        <f t="shared" si="16"/>
        <v>#REF!</v>
      </c>
      <c r="B133" s="530" t="s">
        <v>425</v>
      </c>
      <c r="C133" s="508"/>
      <c r="D133" s="508"/>
      <c r="E133" s="508"/>
      <c r="F133" s="508"/>
      <c r="G133" s="531">
        <v>42201</v>
      </c>
      <c r="H133" s="510">
        <v>76356</v>
      </c>
      <c r="I133" s="340"/>
      <c r="J133" s="340"/>
      <c r="K133" s="510">
        <f t="shared" si="9"/>
        <v>76356</v>
      </c>
      <c r="L133" s="532">
        <v>42201</v>
      </c>
      <c r="M133" s="335">
        <v>76356</v>
      </c>
      <c r="N133" s="512">
        <f t="shared" si="17"/>
        <v>0</v>
      </c>
      <c r="O133" s="512">
        <f t="shared" si="10"/>
        <v>3182</v>
      </c>
      <c r="P133" s="513">
        <v>3</v>
      </c>
      <c r="Q133" s="514">
        <f t="shared" si="11"/>
        <v>8.7178082191780817</v>
      </c>
      <c r="R133" s="514">
        <f t="shared" si="12"/>
        <v>-5.7178082191780817</v>
      </c>
      <c r="S133" s="515">
        <f t="shared" si="13"/>
        <v>0.31666666666666665</v>
      </c>
      <c r="T133" s="335"/>
      <c r="U133" s="516">
        <f t="shared" si="14"/>
        <v>0</v>
      </c>
      <c r="V133" s="517">
        <f t="shared" si="15"/>
        <v>3818</v>
      </c>
      <c r="X133" s="335">
        <v>76356</v>
      </c>
    </row>
    <row r="134" spans="1:24" ht="13.9">
      <c r="A134" s="340" t="e">
        <f t="shared" si="16"/>
        <v>#REF!</v>
      </c>
      <c r="B134" s="530" t="s">
        <v>425</v>
      </c>
      <c r="C134" s="508"/>
      <c r="D134" s="508"/>
      <c r="E134" s="508"/>
      <c r="F134" s="508"/>
      <c r="G134" s="531">
        <v>42220</v>
      </c>
      <c r="H134" s="510">
        <v>120500</v>
      </c>
      <c r="I134" s="340"/>
      <c r="J134" s="340"/>
      <c r="K134" s="510">
        <f t="shared" si="9"/>
        <v>120500</v>
      </c>
      <c r="L134" s="532">
        <v>42220</v>
      </c>
      <c r="M134" s="335">
        <v>120500</v>
      </c>
      <c r="N134" s="512">
        <f t="shared" si="17"/>
        <v>0</v>
      </c>
      <c r="O134" s="512">
        <f t="shared" si="10"/>
        <v>3163</v>
      </c>
      <c r="P134" s="513">
        <v>3</v>
      </c>
      <c r="Q134" s="514">
        <f t="shared" si="11"/>
        <v>8.6657534246575345</v>
      </c>
      <c r="R134" s="514">
        <f t="shared" si="12"/>
        <v>-5.6657534246575345</v>
      </c>
      <c r="S134" s="515">
        <f t="shared" si="13"/>
        <v>0.31666666666666665</v>
      </c>
      <c r="T134" s="335"/>
      <c r="U134" s="516">
        <f t="shared" si="14"/>
        <v>0</v>
      </c>
      <c r="V134" s="517">
        <f t="shared" si="15"/>
        <v>6025</v>
      </c>
      <c r="X134" s="335">
        <v>120500</v>
      </c>
    </row>
    <row r="135" spans="1:24" ht="13.9">
      <c r="A135" s="340" t="e">
        <f t="shared" si="16"/>
        <v>#REF!</v>
      </c>
      <c r="B135" s="530" t="s">
        <v>425</v>
      </c>
      <c r="C135" s="508"/>
      <c r="D135" s="508"/>
      <c r="E135" s="508"/>
      <c r="F135" s="508"/>
      <c r="G135" s="531">
        <v>42277</v>
      </c>
      <c r="H135" s="510">
        <v>56000</v>
      </c>
      <c r="I135" s="340"/>
      <c r="J135" s="340"/>
      <c r="K135" s="510">
        <f t="shared" si="9"/>
        <v>56000</v>
      </c>
      <c r="L135" s="532">
        <v>42277</v>
      </c>
      <c r="M135" s="335">
        <v>56000</v>
      </c>
      <c r="N135" s="512">
        <f t="shared" si="17"/>
        <v>0</v>
      </c>
      <c r="O135" s="512">
        <f t="shared" si="10"/>
        <v>3106</v>
      </c>
      <c r="P135" s="513">
        <v>3</v>
      </c>
      <c r="Q135" s="514">
        <f t="shared" si="11"/>
        <v>8.5095890410958912</v>
      </c>
      <c r="R135" s="514">
        <f t="shared" si="12"/>
        <v>-5.5095890410958912</v>
      </c>
      <c r="S135" s="515">
        <f t="shared" si="13"/>
        <v>0.31666666666666665</v>
      </c>
      <c r="T135" s="335"/>
      <c r="U135" s="516">
        <f t="shared" si="14"/>
        <v>0</v>
      </c>
      <c r="V135" s="517">
        <f t="shared" si="15"/>
        <v>2800</v>
      </c>
      <c r="X135" s="335">
        <v>56000</v>
      </c>
    </row>
    <row r="136" spans="1:24" ht="13.9">
      <c r="A136" s="340" t="e">
        <f t="shared" si="16"/>
        <v>#REF!</v>
      </c>
      <c r="B136" s="530" t="s">
        <v>425</v>
      </c>
      <c r="C136" s="508"/>
      <c r="D136" s="508"/>
      <c r="E136" s="508"/>
      <c r="F136" s="508"/>
      <c r="G136" s="531">
        <v>42332</v>
      </c>
      <c r="H136" s="510">
        <v>16200</v>
      </c>
      <c r="I136" s="340"/>
      <c r="J136" s="340"/>
      <c r="K136" s="510">
        <f t="shared" ref="K136:K199" si="18">+H136+I136-J136</f>
        <v>16200</v>
      </c>
      <c r="L136" s="532">
        <v>42332</v>
      </c>
      <c r="M136" s="335">
        <v>16200</v>
      </c>
      <c r="N136" s="512">
        <f t="shared" si="17"/>
        <v>0</v>
      </c>
      <c r="O136" s="512">
        <f t="shared" ref="O136:O199" si="19">+$O$3-L136+1</f>
        <v>3051</v>
      </c>
      <c r="P136" s="513">
        <v>3</v>
      </c>
      <c r="Q136" s="514">
        <f t="shared" ref="Q136:Q199" si="20">+O136/365</f>
        <v>8.3589041095890408</v>
      </c>
      <c r="R136" s="514">
        <f t="shared" ref="R136:R199" si="21">+P136-Q136</f>
        <v>-5.3589041095890408</v>
      </c>
      <c r="S136" s="515">
        <f t="shared" ref="S136:S199" si="22">1/P136*0.95</f>
        <v>0.31666666666666665</v>
      </c>
      <c r="T136" s="335"/>
      <c r="U136" s="516">
        <f t="shared" ref="U136:U199" si="23">+N136-T136</f>
        <v>0</v>
      </c>
      <c r="V136" s="517">
        <f t="shared" ref="V136:V199" si="24">ROUND(+H136*5%,0)</f>
        <v>810</v>
      </c>
      <c r="X136" s="335">
        <v>16200</v>
      </c>
    </row>
    <row r="137" spans="1:24" ht="13.9">
      <c r="A137" s="340" t="e">
        <f t="shared" ref="A137:A200" si="25">+A136+1</f>
        <v>#REF!</v>
      </c>
      <c r="B137" s="530" t="s">
        <v>425</v>
      </c>
      <c r="C137" s="508"/>
      <c r="D137" s="508"/>
      <c r="E137" s="508"/>
      <c r="F137" s="508"/>
      <c r="G137" s="531">
        <v>42308</v>
      </c>
      <c r="H137" s="510">
        <v>21900</v>
      </c>
      <c r="I137" s="340"/>
      <c r="J137" s="340"/>
      <c r="K137" s="510">
        <f t="shared" si="18"/>
        <v>21900</v>
      </c>
      <c r="L137" s="532">
        <v>42308</v>
      </c>
      <c r="M137" s="335">
        <v>21900</v>
      </c>
      <c r="N137" s="512">
        <f t="shared" ref="N137:N200" si="26">+K137-M137</f>
        <v>0</v>
      </c>
      <c r="O137" s="512">
        <f t="shared" si="19"/>
        <v>3075</v>
      </c>
      <c r="P137" s="513">
        <v>3</v>
      </c>
      <c r="Q137" s="514">
        <f t="shared" si="20"/>
        <v>8.4246575342465757</v>
      </c>
      <c r="R137" s="514">
        <f t="shared" si="21"/>
        <v>-5.4246575342465757</v>
      </c>
      <c r="S137" s="515">
        <f t="shared" si="22"/>
        <v>0.31666666666666665</v>
      </c>
      <c r="T137" s="335"/>
      <c r="U137" s="516">
        <f t="shared" si="23"/>
        <v>0</v>
      </c>
      <c r="V137" s="517">
        <f t="shared" si="24"/>
        <v>1095</v>
      </c>
      <c r="X137" s="335">
        <v>21900</v>
      </c>
    </row>
    <row r="138" spans="1:24" ht="13.9">
      <c r="A138" s="340" t="e">
        <f t="shared" si="25"/>
        <v>#REF!</v>
      </c>
      <c r="B138" s="530" t="s">
        <v>425</v>
      </c>
      <c r="C138" s="508"/>
      <c r="D138" s="508"/>
      <c r="E138" s="508"/>
      <c r="F138" s="508"/>
      <c r="G138" s="531">
        <v>42138</v>
      </c>
      <c r="H138" s="510">
        <v>28450</v>
      </c>
      <c r="I138" s="340"/>
      <c r="J138" s="340"/>
      <c r="K138" s="510">
        <f t="shared" si="18"/>
        <v>28450</v>
      </c>
      <c r="L138" s="532">
        <v>42138</v>
      </c>
      <c r="M138" s="335">
        <v>28450</v>
      </c>
      <c r="N138" s="512">
        <f t="shared" si="26"/>
        <v>0</v>
      </c>
      <c r="O138" s="512">
        <f t="shared" si="19"/>
        <v>3245</v>
      </c>
      <c r="P138" s="513">
        <v>3</v>
      </c>
      <c r="Q138" s="514">
        <f t="shared" si="20"/>
        <v>8.8904109589041092</v>
      </c>
      <c r="R138" s="514">
        <f t="shared" si="21"/>
        <v>-5.8904109589041092</v>
      </c>
      <c r="S138" s="515">
        <f t="shared" si="22"/>
        <v>0.31666666666666665</v>
      </c>
      <c r="T138" s="335"/>
      <c r="U138" s="516">
        <f t="shared" si="23"/>
        <v>0</v>
      </c>
      <c r="V138" s="517">
        <f t="shared" si="24"/>
        <v>1423</v>
      </c>
      <c r="X138" s="335">
        <v>28450</v>
      </c>
    </row>
    <row r="139" spans="1:24" ht="13.9">
      <c r="A139" s="340" t="e">
        <f t="shared" si="25"/>
        <v>#REF!</v>
      </c>
      <c r="B139" s="530" t="s">
        <v>425</v>
      </c>
      <c r="C139" s="508"/>
      <c r="D139" s="508"/>
      <c r="E139" s="508"/>
      <c r="F139" s="508"/>
      <c r="G139" s="531">
        <v>42168</v>
      </c>
      <c r="H139" s="510">
        <v>18900</v>
      </c>
      <c r="I139" s="340"/>
      <c r="J139" s="340"/>
      <c r="K139" s="510">
        <f t="shared" si="18"/>
        <v>18900</v>
      </c>
      <c r="L139" s="532">
        <v>42168</v>
      </c>
      <c r="M139" s="335">
        <v>18900</v>
      </c>
      <c r="N139" s="512">
        <f t="shared" si="26"/>
        <v>0</v>
      </c>
      <c r="O139" s="512">
        <f t="shared" si="19"/>
        <v>3215</v>
      </c>
      <c r="P139" s="513">
        <v>3</v>
      </c>
      <c r="Q139" s="514">
        <f t="shared" si="20"/>
        <v>8.8082191780821919</v>
      </c>
      <c r="R139" s="514">
        <f t="shared" si="21"/>
        <v>-5.8082191780821919</v>
      </c>
      <c r="S139" s="515">
        <f t="shared" si="22"/>
        <v>0.31666666666666665</v>
      </c>
      <c r="T139" s="335"/>
      <c r="U139" s="516">
        <f t="shared" si="23"/>
        <v>0</v>
      </c>
      <c r="V139" s="517">
        <f t="shared" si="24"/>
        <v>945</v>
      </c>
      <c r="X139" s="335">
        <v>18900</v>
      </c>
    </row>
    <row r="140" spans="1:24" ht="13.9">
      <c r="A140" s="340" t="e">
        <f t="shared" si="25"/>
        <v>#REF!</v>
      </c>
      <c r="B140" s="530" t="s">
        <v>425</v>
      </c>
      <c r="C140" s="508"/>
      <c r="D140" s="508"/>
      <c r="E140" s="508"/>
      <c r="F140" s="508"/>
      <c r="G140" s="531">
        <v>42169</v>
      </c>
      <c r="H140" s="510">
        <v>19110</v>
      </c>
      <c r="I140" s="340"/>
      <c r="J140" s="340"/>
      <c r="K140" s="510">
        <f t="shared" si="18"/>
        <v>19110</v>
      </c>
      <c r="L140" s="532">
        <v>42169</v>
      </c>
      <c r="M140" s="335">
        <v>19110</v>
      </c>
      <c r="N140" s="512">
        <f t="shared" si="26"/>
        <v>0</v>
      </c>
      <c r="O140" s="512">
        <f t="shared" si="19"/>
        <v>3214</v>
      </c>
      <c r="P140" s="513">
        <v>3</v>
      </c>
      <c r="Q140" s="514">
        <f t="shared" si="20"/>
        <v>8.8054794520547937</v>
      </c>
      <c r="R140" s="514">
        <f t="shared" si="21"/>
        <v>-5.8054794520547937</v>
      </c>
      <c r="S140" s="515">
        <f t="shared" si="22"/>
        <v>0.31666666666666665</v>
      </c>
      <c r="T140" s="335"/>
      <c r="U140" s="516">
        <f t="shared" si="23"/>
        <v>0</v>
      </c>
      <c r="V140" s="517">
        <f t="shared" si="24"/>
        <v>956</v>
      </c>
      <c r="X140" s="335">
        <v>19110</v>
      </c>
    </row>
    <row r="141" spans="1:24" ht="13.9">
      <c r="A141" s="340" t="e">
        <f t="shared" si="25"/>
        <v>#REF!</v>
      </c>
      <c r="B141" s="530" t="s">
        <v>425</v>
      </c>
      <c r="C141" s="508"/>
      <c r="D141" s="508"/>
      <c r="E141" s="508"/>
      <c r="F141" s="508"/>
      <c r="G141" s="531">
        <v>42279</v>
      </c>
      <c r="H141" s="510">
        <v>88137</v>
      </c>
      <c r="I141" s="340"/>
      <c r="J141" s="340"/>
      <c r="K141" s="510">
        <f t="shared" si="18"/>
        <v>88137</v>
      </c>
      <c r="L141" s="532">
        <v>42279</v>
      </c>
      <c r="M141" s="335">
        <v>88137</v>
      </c>
      <c r="N141" s="512">
        <f t="shared" si="26"/>
        <v>0</v>
      </c>
      <c r="O141" s="512">
        <f t="shared" si="19"/>
        <v>3104</v>
      </c>
      <c r="P141" s="513">
        <v>3</v>
      </c>
      <c r="Q141" s="514">
        <f t="shared" si="20"/>
        <v>8.5041095890410965</v>
      </c>
      <c r="R141" s="514">
        <f t="shared" si="21"/>
        <v>-5.5041095890410965</v>
      </c>
      <c r="S141" s="515">
        <f t="shared" si="22"/>
        <v>0.31666666666666665</v>
      </c>
      <c r="T141" s="335"/>
      <c r="U141" s="516">
        <f t="shared" si="23"/>
        <v>0</v>
      </c>
      <c r="V141" s="517">
        <f t="shared" si="24"/>
        <v>4407</v>
      </c>
      <c r="X141" s="335">
        <v>88137</v>
      </c>
    </row>
    <row r="142" spans="1:24" ht="13.9">
      <c r="A142" s="340" t="e">
        <f t="shared" si="25"/>
        <v>#REF!</v>
      </c>
      <c r="B142" s="530" t="s">
        <v>425</v>
      </c>
      <c r="C142" s="508"/>
      <c r="D142" s="508"/>
      <c r="E142" s="508"/>
      <c r="F142" s="508"/>
      <c r="G142" s="531">
        <v>42310</v>
      </c>
      <c r="H142" s="510">
        <v>58000</v>
      </c>
      <c r="I142" s="340"/>
      <c r="J142" s="340"/>
      <c r="K142" s="510">
        <f t="shared" si="18"/>
        <v>58000</v>
      </c>
      <c r="L142" s="532">
        <v>42310</v>
      </c>
      <c r="M142" s="335">
        <v>58000</v>
      </c>
      <c r="N142" s="512">
        <f t="shared" si="26"/>
        <v>0</v>
      </c>
      <c r="O142" s="512">
        <f t="shared" si="19"/>
        <v>3073</v>
      </c>
      <c r="P142" s="513">
        <v>3</v>
      </c>
      <c r="Q142" s="514">
        <f t="shared" si="20"/>
        <v>8.419178082191781</v>
      </c>
      <c r="R142" s="514">
        <f t="shared" si="21"/>
        <v>-5.419178082191781</v>
      </c>
      <c r="S142" s="515">
        <f t="shared" si="22"/>
        <v>0.31666666666666665</v>
      </c>
      <c r="T142" s="335"/>
      <c r="U142" s="516">
        <f t="shared" si="23"/>
        <v>0</v>
      </c>
      <c r="V142" s="517">
        <f t="shared" si="24"/>
        <v>2900</v>
      </c>
      <c r="X142" s="335">
        <v>58000</v>
      </c>
    </row>
    <row r="143" spans="1:24" ht="13.9">
      <c r="A143" s="340" t="e">
        <f t="shared" si="25"/>
        <v>#REF!</v>
      </c>
      <c r="B143" s="530" t="s">
        <v>425</v>
      </c>
      <c r="C143" s="508"/>
      <c r="D143" s="508"/>
      <c r="E143" s="508"/>
      <c r="F143" s="508"/>
      <c r="G143" s="531">
        <v>42328</v>
      </c>
      <c r="H143" s="510">
        <v>27900</v>
      </c>
      <c r="I143" s="340"/>
      <c r="J143" s="340"/>
      <c r="K143" s="510">
        <f t="shared" si="18"/>
        <v>27900</v>
      </c>
      <c r="L143" s="532">
        <v>42328</v>
      </c>
      <c r="M143" s="335">
        <v>27900</v>
      </c>
      <c r="N143" s="512">
        <f t="shared" si="26"/>
        <v>0</v>
      </c>
      <c r="O143" s="512">
        <f t="shared" si="19"/>
        <v>3055</v>
      </c>
      <c r="P143" s="513">
        <v>3</v>
      </c>
      <c r="Q143" s="514">
        <f t="shared" si="20"/>
        <v>8.3698630136986303</v>
      </c>
      <c r="R143" s="514">
        <f t="shared" si="21"/>
        <v>-5.3698630136986303</v>
      </c>
      <c r="S143" s="515">
        <f t="shared" si="22"/>
        <v>0.31666666666666665</v>
      </c>
      <c r="T143" s="335"/>
      <c r="U143" s="516">
        <f t="shared" si="23"/>
        <v>0</v>
      </c>
      <c r="V143" s="517">
        <f t="shared" si="24"/>
        <v>1395</v>
      </c>
      <c r="X143" s="335">
        <v>27900</v>
      </c>
    </row>
    <row r="144" spans="1:24" ht="13.9">
      <c r="A144" s="340" t="e">
        <f t="shared" si="25"/>
        <v>#REF!</v>
      </c>
      <c r="B144" s="530" t="s">
        <v>425</v>
      </c>
      <c r="C144" s="508"/>
      <c r="D144" s="508"/>
      <c r="E144" s="508"/>
      <c r="F144" s="508"/>
      <c r="G144" s="531">
        <v>42388</v>
      </c>
      <c r="H144" s="510">
        <v>54000</v>
      </c>
      <c r="I144" s="340"/>
      <c r="J144" s="340"/>
      <c r="K144" s="510">
        <f t="shared" si="18"/>
        <v>54000</v>
      </c>
      <c r="L144" s="532">
        <v>42388</v>
      </c>
      <c r="M144" s="335">
        <v>54000</v>
      </c>
      <c r="N144" s="512">
        <f t="shared" si="26"/>
        <v>0</v>
      </c>
      <c r="O144" s="512">
        <f t="shared" si="19"/>
        <v>2995</v>
      </c>
      <c r="P144" s="513">
        <v>3</v>
      </c>
      <c r="Q144" s="514">
        <f t="shared" si="20"/>
        <v>8.205479452054794</v>
      </c>
      <c r="R144" s="514">
        <f t="shared" si="21"/>
        <v>-5.205479452054794</v>
      </c>
      <c r="S144" s="515">
        <f t="shared" si="22"/>
        <v>0.31666666666666665</v>
      </c>
      <c r="T144" s="335"/>
      <c r="U144" s="516">
        <f t="shared" si="23"/>
        <v>0</v>
      </c>
      <c r="V144" s="517">
        <f t="shared" si="24"/>
        <v>2700</v>
      </c>
      <c r="X144" s="335">
        <v>54000</v>
      </c>
    </row>
    <row r="145" spans="1:24" ht="13.9">
      <c r="A145" s="340" t="e">
        <f t="shared" si="25"/>
        <v>#REF!</v>
      </c>
      <c r="B145" s="530" t="s">
        <v>425</v>
      </c>
      <c r="C145" s="508"/>
      <c r="D145" s="508"/>
      <c r="E145" s="508"/>
      <c r="F145" s="508"/>
      <c r="G145" s="531">
        <v>42226</v>
      </c>
      <c r="H145" s="510">
        <v>33850</v>
      </c>
      <c r="I145" s="340"/>
      <c r="J145" s="340"/>
      <c r="K145" s="510">
        <f t="shared" si="18"/>
        <v>33850</v>
      </c>
      <c r="L145" s="532">
        <v>42226</v>
      </c>
      <c r="M145" s="335">
        <v>33850</v>
      </c>
      <c r="N145" s="512">
        <f t="shared" si="26"/>
        <v>0</v>
      </c>
      <c r="O145" s="512">
        <f t="shared" si="19"/>
        <v>3157</v>
      </c>
      <c r="P145" s="513">
        <v>3</v>
      </c>
      <c r="Q145" s="514">
        <f t="shared" si="20"/>
        <v>8.6493150684931503</v>
      </c>
      <c r="R145" s="514">
        <f t="shared" si="21"/>
        <v>-5.6493150684931503</v>
      </c>
      <c r="S145" s="515">
        <f t="shared" si="22"/>
        <v>0.31666666666666665</v>
      </c>
      <c r="T145" s="335"/>
      <c r="U145" s="516">
        <f t="shared" si="23"/>
        <v>0</v>
      </c>
      <c r="V145" s="517">
        <f t="shared" si="24"/>
        <v>1693</v>
      </c>
      <c r="X145" s="335">
        <v>33850</v>
      </c>
    </row>
    <row r="146" spans="1:24" ht="13.9">
      <c r="A146" s="340" t="e">
        <f t="shared" si="25"/>
        <v>#REF!</v>
      </c>
      <c r="B146" s="530" t="s">
        <v>425</v>
      </c>
      <c r="C146" s="508"/>
      <c r="D146" s="508"/>
      <c r="E146" s="508"/>
      <c r="F146" s="508"/>
      <c r="G146" s="531">
        <v>42210</v>
      </c>
      <c r="H146" s="510">
        <v>47000</v>
      </c>
      <c r="I146" s="340"/>
      <c r="J146" s="340"/>
      <c r="K146" s="510">
        <f t="shared" si="18"/>
        <v>47000</v>
      </c>
      <c r="L146" s="532">
        <v>42210</v>
      </c>
      <c r="M146" s="335">
        <v>47000</v>
      </c>
      <c r="N146" s="512">
        <f t="shared" si="26"/>
        <v>0</v>
      </c>
      <c r="O146" s="512">
        <f t="shared" si="19"/>
        <v>3173</v>
      </c>
      <c r="P146" s="513">
        <v>3</v>
      </c>
      <c r="Q146" s="514">
        <f t="shared" si="20"/>
        <v>8.6931506849315063</v>
      </c>
      <c r="R146" s="514">
        <f t="shared" si="21"/>
        <v>-5.6931506849315063</v>
      </c>
      <c r="S146" s="515">
        <f t="shared" si="22"/>
        <v>0.31666666666666665</v>
      </c>
      <c r="T146" s="335"/>
      <c r="U146" s="516">
        <f t="shared" si="23"/>
        <v>0</v>
      </c>
      <c r="V146" s="517">
        <f t="shared" si="24"/>
        <v>2350</v>
      </c>
      <c r="X146" s="335">
        <v>47000</v>
      </c>
    </row>
    <row r="147" spans="1:24" ht="13.9">
      <c r="A147" s="340" t="e">
        <f t="shared" si="25"/>
        <v>#REF!</v>
      </c>
      <c r="B147" s="530" t="s">
        <v>425</v>
      </c>
      <c r="C147" s="508"/>
      <c r="D147" s="508"/>
      <c r="E147" s="508"/>
      <c r="F147" s="508"/>
      <c r="G147" s="531">
        <v>42414</v>
      </c>
      <c r="H147" s="510">
        <v>62130</v>
      </c>
      <c r="I147" s="340"/>
      <c r="J147" s="340"/>
      <c r="K147" s="510">
        <f t="shared" si="18"/>
        <v>62130</v>
      </c>
      <c r="L147" s="532">
        <v>42414</v>
      </c>
      <c r="M147" s="335">
        <v>62130</v>
      </c>
      <c r="N147" s="512">
        <f t="shared" si="26"/>
        <v>0</v>
      </c>
      <c r="O147" s="512">
        <f t="shared" si="19"/>
        <v>2969</v>
      </c>
      <c r="P147" s="513">
        <v>3</v>
      </c>
      <c r="Q147" s="514">
        <f t="shared" si="20"/>
        <v>8.1342465753424662</v>
      </c>
      <c r="R147" s="514">
        <f t="shared" si="21"/>
        <v>-5.1342465753424662</v>
      </c>
      <c r="S147" s="515">
        <f t="shared" si="22"/>
        <v>0.31666666666666665</v>
      </c>
      <c r="T147" s="335"/>
      <c r="U147" s="516">
        <f t="shared" si="23"/>
        <v>0</v>
      </c>
      <c r="V147" s="517">
        <f t="shared" si="24"/>
        <v>3107</v>
      </c>
      <c r="X147" s="335">
        <v>62130</v>
      </c>
    </row>
    <row r="148" spans="1:24" ht="13.9">
      <c r="A148" s="340" t="e">
        <f t="shared" si="25"/>
        <v>#REF!</v>
      </c>
      <c r="B148" s="530" t="s">
        <v>425</v>
      </c>
      <c r="C148" s="508"/>
      <c r="D148" s="508"/>
      <c r="E148" s="508"/>
      <c r="F148" s="508"/>
      <c r="G148" s="531">
        <v>42391</v>
      </c>
      <c r="H148" s="510">
        <v>27000</v>
      </c>
      <c r="I148" s="340"/>
      <c r="J148" s="340"/>
      <c r="K148" s="510">
        <f t="shared" si="18"/>
        <v>27000</v>
      </c>
      <c r="L148" s="532">
        <v>42391</v>
      </c>
      <c r="M148" s="335">
        <v>27000</v>
      </c>
      <c r="N148" s="512">
        <f t="shared" si="26"/>
        <v>0</v>
      </c>
      <c r="O148" s="512">
        <f t="shared" si="19"/>
        <v>2992</v>
      </c>
      <c r="P148" s="513">
        <v>3</v>
      </c>
      <c r="Q148" s="514">
        <f t="shared" si="20"/>
        <v>8.1972602739726028</v>
      </c>
      <c r="R148" s="514">
        <f t="shared" si="21"/>
        <v>-5.1972602739726028</v>
      </c>
      <c r="S148" s="515">
        <f t="shared" si="22"/>
        <v>0.31666666666666665</v>
      </c>
      <c r="T148" s="335"/>
      <c r="U148" s="516">
        <f t="shared" si="23"/>
        <v>0</v>
      </c>
      <c r="V148" s="517">
        <f t="shared" si="24"/>
        <v>1350</v>
      </c>
      <c r="X148" s="335">
        <v>27000</v>
      </c>
    </row>
    <row r="149" spans="1:24" ht="13.9">
      <c r="A149" s="340" t="e">
        <f t="shared" si="25"/>
        <v>#REF!</v>
      </c>
      <c r="B149" s="530" t="s">
        <v>425</v>
      </c>
      <c r="C149" s="508"/>
      <c r="D149" s="508"/>
      <c r="E149" s="508"/>
      <c r="F149" s="508"/>
      <c r="G149" s="531">
        <v>42453</v>
      </c>
      <c r="H149" s="510">
        <v>29000</v>
      </c>
      <c r="I149" s="340"/>
      <c r="J149" s="340"/>
      <c r="K149" s="510">
        <f t="shared" si="18"/>
        <v>29000</v>
      </c>
      <c r="L149" s="532">
        <v>42453</v>
      </c>
      <c r="M149" s="335">
        <v>29000</v>
      </c>
      <c r="N149" s="512">
        <f t="shared" si="26"/>
        <v>0</v>
      </c>
      <c r="O149" s="512">
        <f t="shared" si="19"/>
        <v>2930</v>
      </c>
      <c r="P149" s="513">
        <v>3</v>
      </c>
      <c r="Q149" s="514">
        <f t="shared" si="20"/>
        <v>8.0273972602739718</v>
      </c>
      <c r="R149" s="514">
        <f t="shared" si="21"/>
        <v>-5.0273972602739718</v>
      </c>
      <c r="S149" s="515">
        <f t="shared" si="22"/>
        <v>0.31666666666666665</v>
      </c>
      <c r="T149" s="335"/>
      <c r="U149" s="516">
        <f t="shared" si="23"/>
        <v>0</v>
      </c>
      <c r="V149" s="517">
        <f t="shared" si="24"/>
        <v>1450</v>
      </c>
      <c r="X149" s="335">
        <v>29000</v>
      </c>
    </row>
    <row r="150" spans="1:24" ht="13.9">
      <c r="A150" s="340" t="e">
        <f t="shared" si="25"/>
        <v>#REF!</v>
      </c>
      <c r="B150" s="530" t="s">
        <v>2836</v>
      </c>
      <c r="C150" s="508"/>
      <c r="D150" s="508"/>
      <c r="E150" s="508"/>
      <c r="F150" s="508"/>
      <c r="G150" s="531">
        <v>42139</v>
      </c>
      <c r="H150" s="510">
        <v>10990</v>
      </c>
      <c r="I150" s="340"/>
      <c r="J150" s="340"/>
      <c r="K150" s="510">
        <f t="shared" si="18"/>
        <v>10990</v>
      </c>
      <c r="L150" s="532">
        <v>42139</v>
      </c>
      <c r="M150" s="335">
        <v>10990</v>
      </c>
      <c r="N150" s="512">
        <f t="shared" si="26"/>
        <v>0</v>
      </c>
      <c r="O150" s="512">
        <f t="shared" si="19"/>
        <v>3244</v>
      </c>
      <c r="P150" s="513">
        <v>3</v>
      </c>
      <c r="Q150" s="514">
        <f t="shared" si="20"/>
        <v>8.8876712328767127</v>
      </c>
      <c r="R150" s="514">
        <f t="shared" si="21"/>
        <v>-5.8876712328767127</v>
      </c>
      <c r="S150" s="515">
        <f t="shared" si="22"/>
        <v>0.31666666666666665</v>
      </c>
      <c r="T150" s="335"/>
      <c r="U150" s="516">
        <f t="shared" si="23"/>
        <v>0</v>
      </c>
      <c r="V150" s="517">
        <f t="shared" si="24"/>
        <v>550</v>
      </c>
      <c r="X150" s="335">
        <v>10990</v>
      </c>
    </row>
    <row r="151" spans="1:24" ht="13.9">
      <c r="A151" s="340" t="e">
        <f t="shared" si="25"/>
        <v>#REF!</v>
      </c>
      <c r="B151" s="530" t="s">
        <v>2836</v>
      </c>
      <c r="C151" s="508"/>
      <c r="D151" s="508"/>
      <c r="E151" s="508"/>
      <c r="F151" s="508"/>
      <c r="G151" s="531">
        <v>42220</v>
      </c>
      <c r="H151" s="510">
        <v>10600</v>
      </c>
      <c r="I151" s="340"/>
      <c r="J151" s="340"/>
      <c r="K151" s="510">
        <f t="shared" si="18"/>
        <v>10600</v>
      </c>
      <c r="L151" s="532">
        <v>42220</v>
      </c>
      <c r="M151" s="335">
        <v>10600</v>
      </c>
      <c r="N151" s="512">
        <f t="shared" si="26"/>
        <v>0</v>
      </c>
      <c r="O151" s="512">
        <f t="shared" si="19"/>
        <v>3163</v>
      </c>
      <c r="P151" s="513">
        <v>3</v>
      </c>
      <c r="Q151" s="514">
        <f t="shared" si="20"/>
        <v>8.6657534246575345</v>
      </c>
      <c r="R151" s="514">
        <f t="shared" si="21"/>
        <v>-5.6657534246575345</v>
      </c>
      <c r="S151" s="515">
        <f t="shared" si="22"/>
        <v>0.31666666666666665</v>
      </c>
      <c r="T151" s="335"/>
      <c r="U151" s="516">
        <f t="shared" si="23"/>
        <v>0</v>
      </c>
      <c r="V151" s="517">
        <f t="shared" si="24"/>
        <v>530</v>
      </c>
      <c r="X151" s="335">
        <v>10600</v>
      </c>
    </row>
    <row r="152" spans="1:24" ht="13.9">
      <c r="A152" s="340" t="e">
        <f t="shared" si="25"/>
        <v>#REF!</v>
      </c>
      <c r="B152" s="530" t="s">
        <v>2836</v>
      </c>
      <c r="C152" s="508"/>
      <c r="D152" s="508"/>
      <c r="E152" s="508"/>
      <c r="F152" s="508"/>
      <c r="G152" s="531">
        <v>42272</v>
      </c>
      <c r="H152" s="510">
        <v>13500</v>
      </c>
      <c r="I152" s="340"/>
      <c r="J152" s="340"/>
      <c r="K152" s="510">
        <f t="shared" si="18"/>
        <v>13500</v>
      </c>
      <c r="L152" s="532">
        <v>42272</v>
      </c>
      <c r="M152" s="335">
        <v>13500</v>
      </c>
      <c r="N152" s="512">
        <f t="shared" si="26"/>
        <v>0</v>
      </c>
      <c r="O152" s="512">
        <f t="shared" si="19"/>
        <v>3111</v>
      </c>
      <c r="P152" s="513">
        <v>3</v>
      </c>
      <c r="Q152" s="514">
        <f t="shared" si="20"/>
        <v>8.5232876712328771</v>
      </c>
      <c r="R152" s="514">
        <f t="shared" si="21"/>
        <v>-5.5232876712328771</v>
      </c>
      <c r="S152" s="515">
        <f t="shared" si="22"/>
        <v>0.31666666666666665</v>
      </c>
      <c r="T152" s="335"/>
      <c r="U152" s="516">
        <f t="shared" si="23"/>
        <v>0</v>
      </c>
      <c r="V152" s="517">
        <f t="shared" si="24"/>
        <v>675</v>
      </c>
      <c r="X152" s="335">
        <v>13500</v>
      </c>
    </row>
    <row r="153" spans="1:24" ht="13.9">
      <c r="A153" s="340" t="e">
        <f t="shared" si="25"/>
        <v>#REF!</v>
      </c>
      <c r="B153" s="530" t="s">
        <v>2836</v>
      </c>
      <c r="C153" s="508"/>
      <c r="D153" s="508"/>
      <c r="E153" s="508"/>
      <c r="F153" s="508"/>
      <c r="G153" s="531">
        <v>42279</v>
      </c>
      <c r="H153" s="510">
        <v>11000</v>
      </c>
      <c r="I153" s="340"/>
      <c r="J153" s="340"/>
      <c r="K153" s="510">
        <f t="shared" si="18"/>
        <v>11000</v>
      </c>
      <c r="L153" s="532">
        <v>42279</v>
      </c>
      <c r="M153" s="335">
        <v>11000</v>
      </c>
      <c r="N153" s="512">
        <f t="shared" si="26"/>
        <v>0</v>
      </c>
      <c r="O153" s="512">
        <f t="shared" si="19"/>
        <v>3104</v>
      </c>
      <c r="P153" s="513">
        <v>3</v>
      </c>
      <c r="Q153" s="514">
        <f t="shared" si="20"/>
        <v>8.5041095890410965</v>
      </c>
      <c r="R153" s="514">
        <f t="shared" si="21"/>
        <v>-5.5041095890410965</v>
      </c>
      <c r="S153" s="515">
        <f t="shared" si="22"/>
        <v>0.31666666666666665</v>
      </c>
      <c r="T153" s="335"/>
      <c r="U153" s="516">
        <f t="shared" si="23"/>
        <v>0</v>
      </c>
      <c r="V153" s="517">
        <f t="shared" si="24"/>
        <v>550</v>
      </c>
      <c r="X153" s="335">
        <v>11000</v>
      </c>
    </row>
    <row r="154" spans="1:24" ht="13.9">
      <c r="A154" s="340" t="e">
        <f t="shared" si="25"/>
        <v>#REF!</v>
      </c>
      <c r="B154" s="530" t="s">
        <v>2836</v>
      </c>
      <c r="C154" s="508"/>
      <c r="D154" s="508"/>
      <c r="E154" s="508"/>
      <c r="F154" s="508"/>
      <c r="G154" s="531">
        <v>42167</v>
      </c>
      <c r="H154" s="510">
        <v>18690</v>
      </c>
      <c r="I154" s="340"/>
      <c r="J154" s="340"/>
      <c r="K154" s="510">
        <f t="shared" si="18"/>
        <v>18690</v>
      </c>
      <c r="L154" s="532">
        <v>42167</v>
      </c>
      <c r="M154" s="335">
        <v>18690</v>
      </c>
      <c r="N154" s="512">
        <f t="shared" si="26"/>
        <v>0</v>
      </c>
      <c r="O154" s="512">
        <f t="shared" si="19"/>
        <v>3216</v>
      </c>
      <c r="P154" s="513">
        <v>3</v>
      </c>
      <c r="Q154" s="514">
        <f t="shared" si="20"/>
        <v>8.8109589041095884</v>
      </c>
      <c r="R154" s="514">
        <f t="shared" si="21"/>
        <v>-5.8109589041095884</v>
      </c>
      <c r="S154" s="515">
        <f t="shared" si="22"/>
        <v>0.31666666666666665</v>
      </c>
      <c r="T154" s="335"/>
      <c r="U154" s="516">
        <f t="shared" si="23"/>
        <v>0</v>
      </c>
      <c r="V154" s="517">
        <f t="shared" si="24"/>
        <v>935</v>
      </c>
      <c r="X154" s="335">
        <v>18690</v>
      </c>
    </row>
    <row r="155" spans="1:24" ht="13.9">
      <c r="A155" s="340" t="e">
        <f t="shared" si="25"/>
        <v>#REF!</v>
      </c>
      <c r="B155" s="530" t="s">
        <v>2836</v>
      </c>
      <c r="C155" s="508"/>
      <c r="D155" s="508"/>
      <c r="E155" s="508"/>
      <c r="F155" s="508"/>
      <c r="G155" s="531">
        <v>42168</v>
      </c>
      <c r="H155" s="510">
        <v>183750</v>
      </c>
      <c r="I155" s="340"/>
      <c r="J155" s="340"/>
      <c r="K155" s="510">
        <f t="shared" si="18"/>
        <v>183750</v>
      </c>
      <c r="L155" s="532">
        <v>42168</v>
      </c>
      <c r="M155" s="335">
        <v>183750</v>
      </c>
      <c r="N155" s="512">
        <f t="shared" si="26"/>
        <v>0</v>
      </c>
      <c r="O155" s="512">
        <f t="shared" si="19"/>
        <v>3215</v>
      </c>
      <c r="P155" s="513">
        <v>3</v>
      </c>
      <c r="Q155" s="514">
        <f t="shared" si="20"/>
        <v>8.8082191780821919</v>
      </c>
      <c r="R155" s="514">
        <f t="shared" si="21"/>
        <v>-5.8082191780821919</v>
      </c>
      <c r="S155" s="515">
        <f t="shared" si="22"/>
        <v>0.31666666666666665</v>
      </c>
      <c r="T155" s="335"/>
      <c r="U155" s="516">
        <f t="shared" si="23"/>
        <v>0</v>
      </c>
      <c r="V155" s="517">
        <f t="shared" si="24"/>
        <v>9188</v>
      </c>
      <c r="X155" s="335">
        <v>183750</v>
      </c>
    </row>
    <row r="156" spans="1:24" ht="13.9">
      <c r="A156" s="340" t="e">
        <f t="shared" si="25"/>
        <v>#REF!</v>
      </c>
      <c r="B156" s="530" t="s">
        <v>2836</v>
      </c>
      <c r="C156" s="508"/>
      <c r="D156" s="508"/>
      <c r="E156" s="508"/>
      <c r="F156" s="508"/>
      <c r="G156" s="531">
        <v>42187</v>
      </c>
      <c r="H156" s="510">
        <v>10600</v>
      </c>
      <c r="I156" s="340"/>
      <c r="J156" s="340"/>
      <c r="K156" s="510">
        <f t="shared" si="18"/>
        <v>10600</v>
      </c>
      <c r="L156" s="532">
        <v>42187</v>
      </c>
      <c r="M156" s="335">
        <v>10600</v>
      </c>
      <c r="N156" s="512">
        <f t="shared" si="26"/>
        <v>0</v>
      </c>
      <c r="O156" s="512">
        <f t="shared" si="19"/>
        <v>3196</v>
      </c>
      <c r="P156" s="513">
        <v>3</v>
      </c>
      <c r="Q156" s="514">
        <f t="shared" si="20"/>
        <v>8.7561643835616429</v>
      </c>
      <c r="R156" s="514">
        <f t="shared" si="21"/>
        <v>-5.7561643835616429</v>
      </c>
      <c r="S156" s="515">
        <f t="shared" si="22"/>
        <v>0.31666666666666665</v>
      </c>
      <c r="T156" s="335"/>
      <c r="U156" s="516">
        <f t="shared" si="23"/>
        <v>0</v>
      </c>
      <c r="V156" s="517">
        <f t="shared" si="24"/>
        <v>530</v>
      </c>
      <c r="X156" s="335">
        <v>10600</v>
      </c>
    </row>
    <row r="157" spans="1:24" ht="13.9">
      <c r="A157" s="340" t="e">
        <f t="shared" si="25"/>
        <v>#REF!</v>
      </c>
      <c r="B157" s="530" t="s">
        <v>2836</v>
      </c>
      <c r="C157" s="508"/>
      <c r="D157" s="508"/>
      <c r="E157" s="508"/>
      <c r="F157" s="508"/>
      <c r="G157" s="531">
        <v>42255</v>
      </c>
      <c r="H157" s="510">
        <v>7200</v>
      </c>
      <c r="I157" s="340"/>
      <c r="J157" s="340"/>
      <c r="K157" s="510">
        <f t="shared" si="18"/>
        <v>7200</v>
      </c>
      <c r="L157" s="532">
        <v>42255</v>
      </c>
      <c r="M157" s="335">
        <v>7200</v>
      </c>
      <c r="N157" s="512">
        <f t="shared" si="26"/>
        <v>0</v>
      </c>
      <c r="O157" s="512">
        <f t="shared" si="19"/>
        <v>3128</v>
      </c>
      <c r="P157" s="513">
        <v>3</v>
      </c>
      <c r="Q157" s="514">
        <f t="shared" si="20"/>
        <v>8.5698630136986296</v>
      </c>
      <c r="R157" s="514">
        <f t="shared" si="21"/>
        <v>-5.5698630136986296</v>
      </c>
      <c r="S157" s="515">
        <f t="shared" si="22"/>
        <v>0.31666666666666665</v>
      </c>
      <c r="T157" s="335"/>
      <c r="U157" s="516">
        <f t="shared" si="23"/>
        <v>0</v>
      </c>
      <c r="V157" s="517">
        <f t="shared" si="24"/>
        <v>360</v>
      </c>
      <c r="X157" s="335">
        <v>7200</v>
      </c>
    </row>
    <row r="158" spans="1:24" ht="13.9">
      <c r="A158" s="340" t="e">
        <f t="shared" si="25"/>
        <v>#REF!</v>
      </c>
      <c r="B158" s="530" t="s">
        <v>2836</v>
      </c>
      <c r="C158" s="508"/>
      <c r="D158" s="508"/>
      <c r="E158" s="508"/>
      <c r="F158" s="508"/>
      <c r="G158" s="531">
        <v>42304</v>
      </c>
      <c r="H158" s="510">
        <v>7200</v>
      </c>
      <c r="I158" s="340"/>
      <c r="J158" s="340"/>
      <c r="K158" s="510">
        <f t="shared" si="18"/>
        <v>7200</v>
      </c>
      <c r="L158" s="532">
        <v>42304</v>
      </c>
      <c r="M158" s="335">
        <v>7200</v>
      </c>
      <c r="N158" s="512">
        <f t="shared" si="26"/>
        <v>0</v>
      </c>
      <c r="O158" s="512">
        <f t="shared" si="19"/>
        <v>3079</v>
      </c>
      <c r="P158" s="513">
        <v>3</v>
      </c>
      <c r="Q158" s="514">
        <f t="shared" si="20"/>
        <v>8.4356164383561651</v>
      </c>
      <c r="R158" s="514">
        <f t="shared" si="21"/>
        <v>-5.4356164383561651</v>
      </c>
      <c r="S158" s="515">
        <f t="shared" si="22"/>
        <v>0.31666666666666665</v>
      </c>
      <c r="T158" s="335"/>
      <c r="U158" s="516">
        <f t="shared" si="23"/>
        <v>0</v>
      </c>
      <c r="V158" s="517">
        <f t="shared" si="24"/>
        <v>360</v>
      </c>
      <c r="X158" s="335">
        <v>7200</v>
      </c>
    </row>
    <row r="159" spans="1:24" ht="13.9">
      <c r="A159" s="340" t="e">
        <f t="shared" si="25"/>
        <v>#REF!</v>
      </c>
      <c r="B159" s="530" t="s">
        <v>2836</v>
      </c>
      <c r="C159" s="508"/>
      <c r="D159" s="508"/>
      <c r="E159" s="508"/>
      <c r="F159" s="508"/>
      <c r="G159" s="531">
        <v>42286</v>
      </c>
      <c r="H159" s="510">
        <v>12500</v>
      </c>
      <c r="I159" s="340"/>
      <c r="J159" s="340"/>
      <c r="K159" s="510">
        <f t="shared" si="18"/>
        <v>12500</v>
      </c>
      <c r="L159" s="532">
        <v>42286</v>
      </c>
      <c r="M159" s="335">
        <v>12500</v>
      </c>
      <c r="N159" s="512">
        <f t="shared" si="26"/>
        <v>0</v>
      </c>
      <c r="O159" s="512">
        <f t="shared" si="19"/>
        <v>3097</v>
      </c>
      <c r="P159" s="513">
        <v>3</v>
      </c>
      <c r="Q159" s="514">
        <f t="shared" si="20"/>
        <v>8.4849315068493159</v>
      </c>
      <c r="R159" s="514">
        <f t="shared" si="21"/>
        <v>-5.4849315068493159</v>
      </c>
      <c r="S159" s="515">
        <f t="shared" si="22"/>
        <v>0.31666666666666665</v>
      </c>
      <c r="T159" s="335"/>
      <c r="U159" s="516">
        <f t="shared" si="23"/>
        <v>0</v>
      </c>
      <c r="V159" s="517">
        <f t="shared" si="24"/>
        <v>625</v>
      </c>
      <c r="X159" s="335">
        <v>12500</v>
      </c>
    </row>
    <row r="160" spans="1:24" ht="13.9">
      <c r="A160" s="340" t="e">
        <f t="shared" si="25"/>
        <v>#REF!</v>
      </c>
      <c r="B160" s="530" t="s">
        <v>2836</v>
      </c>
      <c r="C160" s="508"/>
      <c r="D160" s="508"/>
      <c r="E160" s="508"/>
      <c r="F160" s="508"/>
      <c r="G160" s="531">
        <v>42356</v>
      </c>
      <c r="H160" s="510">
        <v>7201</v>
      </c>
      <c r="I160" s="340"/>
      <c r="J160" s="340"/>
      <c r="K160" s="510">
        <f t="shared" si="18"/>
        <v>7201</v>
      </c>
      <c r="L160" s="532">
        <v>42356</v>
      </c>
      <c r="M160" s="335">
        <v>7201</v>
      </c>
      <c r="N160" s="512">
        <f t="shared" si="26"/>
        <v>0</v>
      </c>
      <c r="O160" s="512">
        <f t="shared" si="19"/>
        <v>3027</v>
      </c>
      <c r="P160" s="513">
        <v>3</v>
      </c>
      <c r="Q160" s="514">
        <f t="shared" si="20"/>
        <v>8.293150684931506</v>
      </c>
      <c r="R160" s="514">
        <f t="shared" si="21"/>
        <v>-5.293150684931506</v>
      </c>
      <c r="S160" s="515">
        <f t="shared" si="22"/>
        <v>0.31666666666666665</v>
      </c>
      <c r="T160" s="335"/>
      <c r="U160" s="516">
        <f t="shared" si="23"/>
        <v>0</v>
      </c>
      <c r="V160" s="517">
        <f t="shared" si="24"/>
        <v>360</v>
      </c>
      <c r="X160" s="335">
        <v>7201</v>
      </c>
    </row>
    <row r="161" spans="1:24" ht="13.9">
      <c r="A161" s="340" t="e">
        <f t="shared" si="25"/>
        <v>#REF!</v>
      </c>
      <c r="B161" s="530" t="s">
        <v>2836</v>
      </c>
      <c r="C161" s="508"/>
      <c r="D161" s="508"/>
      <c r="E161" s="508"/>
      <c r="F161" s="508"/>
      <c r="G161" s="531">
        <v>42397</v>
      </c>
      <c r="H161" s="510">
        <v>6100</v>
      </c>
      <c r="I161" s="340"/>
      <c r="J161" s="340"/>
      <c r="K161" s="510">
        <f t="shared" si="18"/>
        <v>6100</v>
      </c>
      <c r="L161" s="532">
        <v>42397</v>
      </c>
      <c r="M161" s="335">
        <v>6100</v>
      </c>
      <c r="N161" s="512">
        <f t="shared" si="26"/>
        <v>0</v>
      </c>
      <c r="O161" s="512">
        <f t="shared" si="19"/>
        <v>2986</v>
      </c>
      <c r="P161" s="513">
        <v>3</v>
      </c>
      <c r="Q161" s="514">
        <f t="shared" si="20"/>
        <v>8.1808219178082187</v>
      </c>
      <c r="R161" s="514">
        <f t="shared" si="21"/>
        <v>-5.1808219178082187</v>
      </c>
      <c r="S161" s="515">
        <f t="shared" si="22"/>
        <v>0.31666666666666665</v>
      </c>
      <c r="T161" s="335"/>
      <c r="U161" s="516">
        <f t="shared" si="23"/>
        <v>0</v>
      </c>
      <c r="V161" s="517">
        <f t="shared" si="24"/>
        <v>305</v>
      </c>
      <c r="X161" s="335">
        <v>6100</v>
      </c>
    </row>
    <row r="162" spans="1:24" ht="13.9">
      <c r="A162" s="340" t="e">
        <f t="shared" si="25"/>
        <v>#REF!</v>
      </c>
      <c r="B162" s="530" t="s">
        <v>425</v>
      </c>
      <c r="C162" s="508"/>
      <c r="D162" s="508"/>
      <c r="E162" s="508"/>
      <c r="F162" s="508"/>
      <c r="G162" s="531">
        <v>42555</v>
      </c>
      <c r="H162" s="510">
        <v>56000</v>
      </c>
      <c r="I162" s="340"/>
      <c r="J162" s="340"/>
      <c r="K162" s="510">
        <f t="shared" si="18"/>
        <v>56000</v>
      </c>
      <c r="L162" s="532">
        <v>42555</v>
      </c>
      <c r="M162" s="335">
        <v>56000</v>
      </c>
      <c r="N162" s="512">
        <f t="shared" si="26"/>
        <v>0</v>
      </c>
      <c r="O162" s="512">
        <f t="shared" si="19"/>
        <v>2828</v>
      </c>
      <c r="P162" s="513">
        <v>3</v>
      </c>
      <c r="Q162" s="514">
        <f t="shared" si="20"/>
        <v>7.7479452054794518</v>
      </c>
      <c r="R162" s="514">
        <f t="shared" si="21"/>
        <v>-4.7479452054794518</v>
      </c>
      <c r="S162" s="515">
        <f t="shared" si="22"/>
        <v>0.31666666666666665</v>
      </c>
      <c r="T162" s="335"/>
      <c r="U162" s="516">
        <f t="shared" si="23"/>
        <v>0</v>
      </c>
      <c r="V162" s="517">
        <f t="shared" si="24"/>
        <v>2800</v>
      </c>
      <c r="X162" s="335">
        <v>56000</v>
      </c>
    </row>
    <row r="163" spans="1:24" ht="13.9">
      <c r="A163" s="340" t="e">
        <f t="shared" si="25"/>
        <v>#REF!</v>
      </c>
      <c r="B163" s="530" t="s">
        <v>425</v>
      </c>
      <c r="C163" s="508"/>
      <c r="D163" s="508"/>
      <c r="E163" s="508"/>
      <c r="F163" s="508"/>
      <c r="G163" s="531">
        <v>42573</v>
      </c>
      <c r="H163" s="510">
        <v>32500</v>
      </c>
      <c r="I163" s="340"/>
      <c r="J163" s="340"/>
      <c r="K163" s="510">
        <f t="shared" si="18"/>
        <v>32500</v>
      </c>
      <c r="L163" s="532">
        <v>42573</v>
      </c>
      <c r="M163" s="335">
        <v>32500</v>
      </c>
      <c r="N163" s="512">
        <f t="shared" si="26"/>
        <v>0</v>
      </c>
      <c r="O163" s="512">
        <f t="shared" si="19"/>
        <v>2810</v>
      </c>
      <c r="P163" s="513">
        <v>3</v>
      </c>
      <c r="Q163" s="514">
        <f t="shared" si="20"/>
        <v>7.6986301369863011</v>
      </c>
      <c r="R163" s="514">
        <f t="shared" si="21"/>
        <v>-4.6986301369863011</v>
      </c>
      <c r="S163" s="515">
        <f t="shared" si="22"/>
        <v>0.31666666666666665</v>
      </c>
      <c r="T163" s="335"/>
      <c r="U163" s="516">
        <f t="shared" si="23"/>
        <v>0</v>
      </c>
      <c r="V163" s="517">
        <f t="shared" si="24"/>
        <v>1625</v>
      </c>
      <c r="X163" s="335">
        <v>32500</v>
      </c>
    </row>
    <row r="164" spans="1:24" ht="13.9">
      <c r="A164" s="340" t="e">
        <f t="shared" si="25"/>
        <v>#REF!</v>
      </c>
      <c r="B164" s="530" t="s">
        <v>425</v>
      </c>
      <c r="C164" s="508"/>
      <c r="D164" s="508"/>
      <c r="E164" s="508"/>
      <c r="F164" s="508"/>
      <c r="G164" s="531">
        <v>42579</v>
      </c>
      <c r="H164" s="510">
        <v>25100</v>
      </c>
      <c r="I164" s="340"/>
      <c r="J164" s="340"/>
      <c r="K164" s="510">
        <f t="shared" si="18"/>
        <v>25100</v>
      </c>
      <c r="L164" s="532">
        <v>42579</v>
      </c>
      <c r="M164" s="335">
        <v>25100</v>
      </c>
      <c r="N164" s="512">
        <f t="shared" si="26"/>
        <v>0</v>
      </c>
      <c r="O164" s="512">
        <f t="shared" si="19"/>
        <v>2804</v>
      </c>
      <c r="P164" s="513">
        <v>3</v>
      </c>
      <c r="Q164" s="514">
        <f t="shared" si="20"/>
        <v>7.6821917808219178</v>
      </c>
      <c r="R164" s="514">
        <f t="shared" si="21"/>
        <v>-4.6821917808219178</v>
      </c>
      <c r="S164" s="515">
        <f t="shared" si="22"/>
        <v>0.31666666666666665</v>
      </c>
      <c r="T164" s="335"/>
      <c r="U164" s="516">
        <f t="shared" si="23"/>
        <v>0</v>
      </c>
      <c r="V164" s="517">
        <f t="shared" si="24"/>
        <v>1255</v>
      </c>
      <c r="X164" s="335">
        <v>25100</v>
      </c>
    </row>
    <row r="165" spans="1:24" ht="13.9">
      <c r="A165" s="340" t="e">
        <f t="shared" si="25"/>
        <v>#REF!</v>
      </c>
      <c r="B165" s="530" t="s">
        <v>425</v>
      </c>
      <c r="C165" s="508"/>
      <c r="D165" s="508"/>
      <c r="E165" s="508"/>
      <c r="F165" s="508"/>
      <c r="G165" s="531">
        <v>42642</v>
      </c>
      <c r="H165" s="510">
        <v>26000</v>
      </c>
      <c r="I165" s="340"/>
      <c r="J165" s="340"/>
      <c r="K165" s="510">
        <f t="shared" si="18"/>
        <v>26000</v>
      </c>
      <c r="L165" s="532">
        <v>42642</v>
      </c>
      <c r="M165" s="335">
        <v>26000</v>
      </c>
      <c r="N165" s="512">
        <f t="shared" si="26"/>
        <v>0</v>
      </c>
      <c r="O165" s="512">
        <f t="shared" si="19"/>
        <v>2741</v>
      </c>
      <c r="P165" s="513">
        <v>3</v>
      </c>
      <c r="Q165" s="514">
        <f t="shared" si="20"/>
        <v>7.5095890410958903</v>
      </c>
      <c r="R165" s="514">
        <f t="shared" si="21"/>
        <v>-4.5095890410958903</v>
      </c>
      <c r="S165" s="515">
        <f t="shared" si="22"/>
        <v>0.31666666666666665</v>
      </c>
      <c r="T165" s="335"/>
      <c r="U165" s="516">
        <f t="shared" si="23"/>
        <v>0</v>
      </c>
      <c r="V165" s="517">
        <f t="shared" si="24"/>
        <v>1300</v>
      </c>
      <c r="X165" s="335">
        <v>26000</v>
      </c>
    </row>
    <row r="166" spans="1:24" ht="13.9">
      <c r="A166" s="340" t="e">
        <f t="shared" si="25"/>
        <v>#REF!</v>
      </c>
      <c r="B166" s="530" t="s">
        <v>425</v>
      </c>
      <c r="C166" s="508"/>
      <c r="D166" s="508"/>
      <c r="E166" s="508"/>
      <c r="F166" s="508"/>
      <c r="G166" s="531">
        <v>42684</v>
      </c>
      <c r="H166" s="510">
        <v>32800</v>
      </c>
      <c r="I166" s="340"/>
      <c r="J166" s="340"/>
      <c r="K166" s="510">
        <f t="shared" si="18"/>
        <v>32800</v>
      </c>
      <c r="L166" s="532">
        <v>42684</v>
      </c>
      <c r="M166" s="335">
        <v>32800</v>
      </c>
      <c r="N166" s="512">
        <f t="shared" si="26"/>
        <v>0</v>
      </c>
      <c r="O166" s="512">
        <f t="shared" si="19"/>
        <v>2699</v>
      </c>
      <c r="P166" s="513">
        <v>3</v>
      </c>
      <c r="Q166" s="514">
        <f t="shared" si="20"/>
        <v>7.3945205479452056</v>
      </c>
      <c r="R166" s="514">
        <f t="shared" si="21"/>
        <v>-4.3945205479452056</v>
      </c>
      <c r="S166" s="515">
        <f t="shared" si="22"/>
        <v>0.31666666666666665</v>
      </c>
      <c r="T166" s="335"/>
      <c r="U166" s="516">
        <f t="shared" si="23"/>
        <v>0</v>
      </c>
      <c r="V166" s="517">
        <f t="shared" si="24"/>
        <v>1640</v>
      </c>
      <c r="X166" s="335">
        <v>32800</v>
      </c>
    </row>
    <row r="167" spans="1:24" ht="13.9">
      <c r="A167" s="340" t="e">
        <f t="shared" si="25"/>
        <v>#REF!</v>
      </c>
      <c r="B167" s="530" t="s">
        <v>209</v>
      </c>
      <c r="C167" s="508"/>
      <c r="D167" s="508"/>
      <c r="E167" s="508"/>
      <c r="F167" s="508"/>
      <c r="G167" s="531">
        <v>42724</v>
      </c>
      <c r="H167" s="510">
        <v>10300</v>
      </c>
      <c r="I167" s="340"/>
      <c r="J167" s="340"/>
      <c r="K167" s="510">
        <f t="shared" si="18"/>
        <v>10300</v>
      </c>
      <c r="L167" s="532">
        <v>42724</v>
      </c>
      <c r="M167" s="335">
        <v>10300</v>
      </c>
      <c r="N167" s="512">
        <f t="shared" si="26"/>
        <v>0</v>
      </c>
      <c r="O167" s="512">
        <f t="shared" si="19"/>
        <v>2659</v>
      </c>
      <c r="P167" s="513">
        <v>3</v>
      </c>
      <c r="Q167" s="514">
        <f t="shared" si="20"/>
        <v>7.2849315068493148</v>
      </c>
      <c r="R167" s="514">
        <f t="shared" si="21"/>
        <v>-4.2849315068493148</v>
      </c>
      <c r="S167" s="515">
        <f t="shared" si="22"/>
        <v>0.31666666666666665</v>
      </c>
      <c r="T167" s="335"/>
      <c r="U167" s="516">
        <f t="shared" si="23"/>
        <v>0</v>
      </c>
      <c r="V167" s="517">
        <f t="shared" si="24"/>
        <v>515</v>
      </c>
      <c r="X167" s="335">
        <v>10300</v>
      </c>
    </row>
    <row r="168" spans="1:24" ht="13.9">
      <c r="A168" s="340" t="e">
        <f t="shared" si="25"/>
        <v>#REF!</v>
      </c>
      <c r="B168" s="530" t="s">
        <v>2837</v>
      </c>
      <c r="C168" s="508"/>
      <c r="D168" s="508"/>
      <c r="E168" s="508"/>
      <c r="F168" s="508"/>
      <c r="G168" s="531">
        <v>42762</v>
      </c>
      <c r="H168" s="510">
        <v>14750</v>
      </c>
      <c r="I168" s="340"/>
      <c r="J168" s="340"/>
      <c r="K168" s="510">
        <f t="shared" si="18"/>
        <v>14750</v>
      </c>
      <c r="L168" s="532">
        <v>42762</v>
      </c>
      <c r="M168" s="335">
        <v>14750</v>
      </c>
      <c r="N168" s="512">
        <f t="shared" si="26"/>
        <v>0</v>
      </c>
      <c r="O168" s="512">
        <f t="shared" si="19"/>
        <v>2621</v>
      </c>
      <c r="P168" s="513">
        <v>3</v>
      </c>
      <c r="Q168" s="514">
        <f t="shared" si="20"/>
        <v>7.1808219178082195</v>
      </c>
      <c r="R168" s="514">
        <f t="shared" si="21"/>
        <v>-4.1808219178082195</v>
      </c>
      <c r="S168" s="515">
        <f t="shared" si="22"/>
        <v>0.31666666666666665</v>
      </c>
      <c r="T168" s="335"/>
      <c r="U168" s="516">
        <f t="shared" si="23"/>
        <v>0</v>
      </c>
      <c r="V168" s="517">
        <f t="shared" si="24"/>
        <v>738</v>
      </c>
      <c r="X168" s="335">
        <v>14750</v>
      </c>
    </row>
    <row r="169" spans="1:24" ht="13.9">
      <c r="A169" s="340" t="e">
        <f t="shared" si="25"/>
        <v>#REF!</v>
      </c>
      <c r="B169" s="534" t="s">
        <v>425</v>
      </c>
      <c r="C169" s="508"/>
      <c r="D169" s="508"/>
      <c r="E169" s="508"/>
      <c r="F169" s="508"/>
      <c r="G169" s="531">
        <v>42640</v>
      </c>
      <c r="H169" s="510">
        <v>17500</v>
      </c>
      <c r="I169" s="340"/>
      <c r="J169" s="340"/>
      <c r="K169" s="510">
        <f t="shared" si="18"/>
        <v>17500</v>
      </c>
      <c r="L169" s="532">
        <v>42640</v>
      </c>
      <c r="M169" s="335">
        <v>17500</v>
      </c>
      <c r="N169" s="512">
        <f t="shared" si="26"/>
        <v>0</v>
      </c>
      <c r="O169" s="512">
        <f t="shared" si="19"/>
        <v>2743</v>
      </c>
      <c r="P169" s="513">
        <v>3</v>
      </c>
      <c r="Q169" s="514">
        <f t="shared" si="20"/>
        <v>7.515068493150685</v>
      </c>
      <c r="R169" s="514">
        <f t="shared" si="21"/>
        <v>-4.515068493150685</v>
      </c>
      <c r="S169" s="515">
        <f t="shared" si="22"/>
        <v>0.31666666666666665</v>
      </c>
      <c r="T169" s="335"/>
      <c r="U169" s="516">
        <f t="shared" si="23"/>
        <v>0</v>
      </c>
      <c r="V169" s="517">
        <f t="shared" si="24"/>
        <v>875</v>
      </c>
      <c r="X169" s="335">
        <v>17500</v>
      </c>
    </row>
    <row r="170" spans="1:24" ht="13.9">
      <c r="A170" s="340" t="e">
        <f t="shared" si="25"/>
        <v>#REF!</v>
      </c>
      <c r="B170" s="534" t="s">
        <v>425</v>
      </c>
      <c r="C170" s="508"/>
      <c r="D170" s="508"/>
      <c r="E170" s="508"/>
      <c r="F170" s="508"/>
      <c r="G170" s="531">
        <v>42765</v>
      </c>
      <c r="H170" s="510">
        <v>18000</v>
      </c>
      <c r="I170" s="340"/>
      <c r="J170" s="340"/>
      <c r="K170" s="510">
        <f t="shared" si="18"/>
        <v>18000</v>
      </c>
      <c r="L170" s="532">
        <v>42765</v>
      </c>
      <c r="M170" s="335">
        <v>18000</v>
      </c>
      <c r="N170" s="512">
        <f t="shared" si="26"/>
        <v>0</v>
      </c>
      <c r="O170" s="512">
        <f t="shared" si="19"/>
        <v>2618</v>
      </c>
      <c r="P170" s="513">
        <v>3</v>
      </c>
      <c r="Q170" s="514">
        <f t="shared" si="20"/>
        <v>7.1726027397260275</v>
      </c>
      <c r="R170" s="514">
        <f t="shared" si="21"/>
        <v>-4.1726027397260275</v>
      </c>
      <c r="S170" s="515">
        <f t="shared" si="22"/>
        <v>0.31666666666666665</v>
      </c>
      <c r="T170" s="335"/>
      <c r="U170" s="516">
        <f t="shared" si="23"/>
        <v>0</v>
      </c>
      <c r="V170" s="517">
        <f t="shared" si="24"/>
        <v>900</v>
      </c>
      <c r="X170" s="335">
        <v>18000</v>
      </c>
    </row>
    <row r="171" spans="1:24" ht="13.9">
      <c r="A171" s="340" t="e">
        <f t="shared" si="25"/>
        <v>#REF!</v>
      </c>
      <c r="B171" s="530" t="s">
        <v>425</v>
      </c>
      <c r="C171" s="508"/>
      <c r="D171" s="508"/>
      <c r="E171" s="508"/>
      <c r="F171" s="508"/>
      <c r="G171" s="531">
        <v>42469</v>
      </c>
      <c r="H171" s="510">
        <v>54590</v>
      </c>
      <c r="I171" s="340"/>
      <c r="J171" s="340"/>
      <c r="K171" s="510">
        <f t="shared" si="18"/>
        <v>54590</v>
      </c>
      <c r="L171" s="532">
        <v>42469</v>
      </c>
      <c r="M171" s="335">
        <v>54590</v>
      </c>
      <c r="N171" s="512">
        <f t="shared" si="26"/>
        <v>0</v>
      </c>
      <c r="O171" s="512">
        <f t="shared" si="19"/>
        <v>2914</v>
      </c>
      <c r="P171" s="513">
        <v>3</v>
      </c>
      <c r="Q171" s="514">
        <f t="shared" si="20"/>
        <v>7.9835616438356167</v>
      </c>
      <c r="R171" s="514">
        <f t="shared" si="21"/>
        <v>-4.9835616438356167</v>
      </c>
      <c r="S171" s="515">
        <f t="shared" si="22"/>
        <v>0.31666666666666665</v>
      </c>
      <c r="T171" s="335"/>
      <c r="U171" s="516">
        <f t="shared" si="23"/>
        <v>0</v>
      </c>
      <c r="V171" s="517">
        <f t="shared" si="24"/>
        <v>2730</v>
      </c>
      <c r="X171" s="335">
        <v>54590</v>
      </c>
    </row>
    <row r="172" spans="1:24" ht="13.9">
      <c r="A172" s="340" t="e">
        <f t="shared" si="25"/>
        <v>#REF!</v>
      </c>
      <c r="B172" s="530" t="s">
        <v>425</v>
      </c>
      <c r="C172" s="508"/>
      <c r="D172" s="508"/>
      <c r="E172" s="508"/>
      <c r="F172" s="508"/>
      <c r="G172" s="531">
        <v>42497</v>
      </c>
      <c r="H172" s="510">
        <v>107210</v>
      </c>
      <c r="I172" s="340"/>
      <c r="J172" s="340"/>
      <c r="K172" s="510">
        <f t="shared" si="18"/>
        <v>107210</v>
      </c>
      <c r="L172" s="532">
        <v>42497</v>
      </c>
      <c r="M172" s="335">
        <v>107210</v>
      </c>
      <c r="N172" s="512">
        <f t="shared" si="26"/>
        <v>0</v>
      </c>
      <c r="O172" s="512">
        <f t="shared" si="19"/>
        <v>2886</v>
      </c>
      <c r="P172" s="513">
        <v>3</v>
      </c>
      <c r="Q172" s="514">
        <f t="shared" si="20"/>
        <v>7.9068493150684933</v>
      </c>
      <c r="R172" s="514">
        <f t="shared" si="21"/>
        <v>-4.9068493150684933</v>
      </c>
      <c r="S172" s="515">
        <f t="shared" si="22"/>
        <v>0.31666666666666665</v>
      </c>
      <c r="T172" s="335"/>
      <c r="U172" s="516">
        <f t="shared" si="23"/>
        <v>0</v>
      </c>
      <c r="V172" s="517">
        <f t="shared" si="24"/>
        <v>5361</v>
      </c>
      <c r="X172" s="335">
        <v>107210</v>
      </c>
    </row>
    <row r="173" spans="1:24" ht="13.9">
      <c r="A173" s="340" t="e">
        <f t="shared" si="25"/>
        <v>#REF!</v>
      </c>
      <c r="B173" s="530" t="s">
        <v>900</v>
      </c>
      <c r="C173" s="508"/>
      <c r="D173" s="508"/>
      <c r="E173" s="508"/>
      <c r="F173" s="508"/>
      <c r="G173" s="531">
        <v>42502</v>
      </c>
      <c r="H173" s="510">
        <v>35250</v>
      </c>
      <c r="I173" s="340"/>
      <c r="J173" s="340"/>
      <c r="K173" s="510">
        <f t="shared" si="18"/>
        <v>35250</v>
      </c>
      <c r="L173" s="532">
        <v>42502</v>
      </c>
      <c r="M173" s="335">
        <v>35250</v>
      </c>
      <c r="N173" s="512">
        <f t="shared" si="26"/>
        <v>0</v>
      </c>
      <c r="O173" s="512">
        <f t="shared" si="19"/>
        <v>2881</v>
      </c>
      <c r="P173" s="513">
        <v>3</v>
      </c>
      <c r="Q173" s="514">
        <f t="shared" si="20"/>
        <v>7.8931506849315065</v>
      </c>
      <c r="R173" s="514">
        <f t="shared" si="21"/>
        <v>-4.8931506849315065</v>
      </c>
      <c r="S173" s="515">
        <f t="shared" si="22"/>
        <v>0.31666666666666665</v>
      </c>
      <c r="T173" s="335"/>
      <c r="U173" s="516">
        <f t="shared" si="23"/>
        <v>0</v>
      </c>
      <c r="V173" s="517">
        <f t="shared" si="24"/>
        <v>1763</v>
      </c>
      <c r="X173" s="335">
        <v>35250</v>
      </c>
    </row>
    <row r="174" spans="1:24" ht="13.9">
      <c r="A174" s="340" t="e">
        <f t="shared" si="25"/>
        <v>#REF!</v>
      </c>
      <c r="B174" s="530" t="s">
        <v>900</v>
      </c>
      <c r="C174" s="508"/>
      <c r="D174" s="508"/>
      <c r="E174" s="508"/>
      <c r="F174" s="508"/>
      <c r="G174" s="531">
        <v>42584</v>
      </c>
      <c r="H174" s="510">
        <v>28760</v>
      </c>
      <c r="I174" s="340"/>
      <c r="J174" s="340"/>
      <c r="K174" s="510">
        <f t="shared" si="18"/>
        <v>28760</v>
      </c>
      <c r="L174" s="532">
        <v>42584</v>
      </c>
      <c r="M174" s="335">
        <v>28760</v>
      </c>
      <c r="N174" s="512">
        <f t="shared" si="26"/>
        <v>0</v>
      </c>
      <c r="O174" s="512">
        <f t="shared" si="19"/>
        <v>2799</v>
      </c>
      <c r="P174" s="513">
        <v>3</v>
      </c>
      <c r="Q174" s="514">
        <f t="shared" si="20"/>
        <v>7.6684931506849319</v>
      </c>
      <c r="R174" s="514">
        <f t="shared" si="21"/>
        <v>-4.6684931506849319</v>
      </c>
      <c r="S174" s="515">
        <f t="shared" si="22"/>
        <v>0.31666666666666665</v>
      </c>
      <c r="T174" s="335"/>
      <c r="U174" s="516">
        <f t="shared" si="23"/>
        <v>0</v>
      </c>
      <c r="V174" s="517">
        <f t="shared" si="24"/>
        <v>1438</v>
      </c>
      <c r="X174" s="335">
        <v>28760</v>
      </c>
    </row>
    <row r="175" spans="1:24" ht="13.9">
      <c r="A175" s="340" t="e">
        <f t="shared" si="25"/>
        <v>#REF!</v>
      </c>
      <c r="B175" s="534" t="s">
        <v>2838</v>
      </c>
      <c r="C175" s="508"/>
      <c r="D175" s="508"/>
      <c r="E175" s="508"/>
      <c r="F175" s="508"/>
      <c r="G175" s="531">
        <v>42675</v>
      </c>
      <c r="H175" s="510">
        <v>76150</v>
      </c>
      <c r="I175" s="340"/>
      <c r="J175" s="340"/>
      <c r="K175" s="510">
        <f t="shared" si="18"/>
        <v>76150</v>
      </c>
      <c r="L175" s="532">
        <v>42675</v>
      </c>
      <c r="M175" s="335">
        <v>76150</v>
      </c>
      <c r="N175" s="512">
        <f t="shared" si="26"/>
        <v>0</v>
      </c>
      <c r="O175" s="512">
        <f t="shared" si="19"/>
        <v>2708</v>
      </c>
      <c r="P175" s="513">
        <v>3</v>
      </c>
      <c r="Q175" s="514">
        <f t="shared" si="20"/>
        <v>7.419178082191781</v>
      </c>
      <c r="R175" s="514">
        <f t="shared" si="21"/>
        <v>-4.419178082191781</v>
      </c>
      <c r="S175" s="515">
        <f t="shared" si="22"/>
        <v>0.31666666666666665</v>
      </c>
      <c r="T175" s="335"/>
      <c r="U175" s="516">
        <f t="shared" si="23"/>
        <v>0</v>
      </c>
      <c r="V175" s="517">
        <f t="shared" si="24"/>
        <v>3808</v>
      </c>
      <c r="X175" s="335">
        <v>76150</v>
      </c>
    </row>
    <row r="176" spans="1:24" ht="13.9">
      <c r="A176" s="340" t="e">
        <f t="shared" si="25"/>
        <v>#REF!</v>
      </c>
      <c r="B176" s="530" t="s">
        <v>2733</v>
      </c>
      <c r="C176" s="508"/>
      <c r="D176" s="508"/>
      <c r="E176" s="508"/>
      <c r="F176" s="508"/>
      <c r="G176" s="531">
        <v>42587</v>
      </c>
      <c r="H176" s="510">
        <v>140000</v>
      </c>
      <c r="I176" s="340"/>
      <c r="J176" s="340"/>
      <c r="K176" s="510">
        <f t="shared" si="18"/>
        <v>140000</v>
      </c>
      <c r="L176" s="532">
        <v>42587</v>
      </c>
      <c r="M176" s="335">
        <v>140000</v>
      </c>
      <c r="N176" s="512">
        <f t="shared" si="26"/>
        <v>0</v>
      </c>
      <c r="O176" s="512">
        <f t="shared" si="19"/>
        <v>2796</v>
      </c>
      <c r="P176" s="513">
        <v>3</v>
      </c>
      <c r="Q176" s="514">
        <f t="shared" si="20"/>
        <v>7.6602739726027398</v>
      </c>
      <c r="R176" s="514">
        <f t="shared" si="21"/>
        <v>-4.6602739726027398</v>
      </c>
      <c r="S176" s="515">
        <f t="shared" si="22"/>
        <v>0.31666666666666665</v>
      </c>
      <c r="T176" s="335"/>
      <c r="U176" s="516">
        <f t="shared" si="23"/>
        <v>0</v>
      </c>
      <c r="V176" s="517">
        <f t="shared" si="24"/>
        <v>7000</v>
      </c>
      <c r="X176" s="335">
        <v>140000</v>
      </c>
    </row>
    <row r="177" spans="1:24" ht="13.9">
      <c r="A177" s="340" t="e">
        <f t="shared" si="25"/>
        <v>#REF!</v>
      </c>
      <c r="B177" s="530" t="s">
        <v>2733</v>
      </c>
      <c r="C177" s="508"/>
      <c r="D177" s="508"/>
      <c r="E177" s="508"/>
      <c r="F177" s="508"/>
      <c r="G177" s="531">
        <v>42592</v>
      </c>
      <c r="H177" s="510">
        <v>140000</v>
      </c>
      <c r="I177" s="340"/>
      <c r="J177" s="340"/>
      <c r="K177" s="510">
        <f t="shared" si="18"/>
        <v>140000</v>
      </c>
      <c r="L177" s="532">
        <v>42592</v>
      </c>
      <c r="M177" s="335">
        <v>140000</v>
      </c>
      <c r="N177" s="512">
        <f t="shared" si="26"/>
        <v>0</v>
      </c>
      <c r="O177" s="512">
        <f t="shared" si="19"/>
        <v>2791</v>
      </c>
      <c r="P177" s="513">
        <v>3</v>
      </c>
      <c r="Q177" s="514">
        <f t="shared" si="20"/>
        <v>7.646575342465753</v>
      </c>
      <c r="R177" s="514">
        <f t="shared" si="21"/>
        <v>-4.646575342465753</v>
      </c>
      <c r="S177" s="515">
        <f t="shared" si="22"/>
        <v>0.31666666666666665</v>
      </c>
      <c r="T177" s="335"/>
      <c r="U177" s="516">
        <f t="shared" si="23"/>
        <v>0</v>
      </c>
      <c r="V177" s="517">
        <f t="shared" si="24"/>
        <v>7000</v>
      </c>
      <c r="X177" s="335">
        <v>140000</v>
      </c>
    </row>
    <row r="178" spans="1:24" ht="13.9">
      <c r="A178" s="340" t="e">
        <f t="shared" si="25"/>
        <v>#REF!</v>
      </c>
      <c r="B178" s="530" t="s">
        <v>2607</v>
      </c>
      <c r="C178" s="508"/>
      <c r="D178" s="508"/>
      <c r="E178" s="508"/>
      <c r="F178" s="508"/>
      <c r="G178" s="531">
        <v>42462</v>
      </c>
      <c r="H178" s="510">
        <v>265200</v>
      </c>
      <c r="I178" s="340"/>
      <c r="J178" s="340"/>
      <c r="K178" s="510">
        <f t="shared" si="18"/>
        <v>265200</v>
      </c>
      <c r="L178" s="532">
        <v>42462</v>
      </c>
      <c r="M178" s="335">
        <v>265200</v>
      </c>
      <c r="N178" s="512">
        <f t="shared" si="26"/>
        <v>0</v>
      </c>
      <c r="O178" s="512">
        <f t="shared" si="19"/>
        <v>2921</v>
      </c>
      <c r="P178" s="513">
        <v>3</v>
      </c>
      <c r="Q178" s="514">
        <f t="shared" si="20"/>
        <v>8.0027397260273965</v>
      </c>
      <c r="R178" s="514">
        <f t="shared" si="21"/>
        <v>-5.0027397260273965</v>
      </c>
      <c r="S178" s="515">
        <f t="shared" si="22"/>
        <v>0.31666666666666665</v>
      </c>
      <c r="T178" s="335"/>
      <c r="U178" s="516">
        <f t="shared" si="23"/>
        <v>0</v>
      </c>
      <c r="V178" s="517">
        <f t="shared" si="24"/>
        <v>13260</v>
      </c>
      <c r="X178" s="335">
        <v>265200</v>
      </c>
    </row>
    <row r="179" spans="1:24" ht="13.9">
      <c r="A179" s="340" t="e">
        <f t="shared" si="25"/>
        <v>#REF!</v>
      </c>
      <c r="B179" s="534" t="s">
        <v>425</v>
      </c>
      <c r="C179" s="508"/>
      <c r="D179" s="508"/>
      <c r="E179" s="508"/>
      <c r="F179" s="508"/>
      <c r="G179" s="531">
        <v>42815</v>
      </c>
      <c r="H179" s="510">
        <v>43500</v>
      </c>
      <c r="I179" s="340"/>
      <c r="J179" s="340"/>
      <c r="K179" s="510">
        <f t="shared" si="18"/>
        <v>43500</v>
      </c>
      <c r="L179" s="532">
        <v>42815</v>
      </c>
      <c r="M179" s="335">
        <v>43500</v>
      </c>
      <c r="N179" s="512">
        <f t="shared" si="26"/>
        <v>0</v>
      </c>
      <c r="O179" s="512">
        <f t="shared" si="19"/>
        <v>2568</v>
      </c>
      <c r="P179" s="513">
        <v>3</v>
      </c>
      <c r="Q179" s="514">
        <f t="shared" si="20"/>
        <v>7.0356164383561648</v>
      </c>
      <c r="R179" s="514">
        <f t="shared" si="21"/>
        <v>-4.0356164383561648</v>
      </c>
      <c r="S179" s="515">
        <f t="shared" si="22"/>
        <v>0.31666666666666665</v>
      </c>
      <c r="T179" s="335"/>
      <c r="U179" s="516">
        <f t="shared" si="23"/>
        <v>0</v>
      </c>
      <c r="V179" s="517">
        <f t="shared" si="24"/>
        <v>2175</v>
      </c>
      <c r="X179" s="335">
        <v>43500</v>
      </c>
    </row>
    <row r="180" spans="1:24" ht="13.9">
      <c r="A180" s="340" t="e">
        <f t="shared" si="25"/>
        <v>#REF!</v>
      </c>
      <c r="B180" s="534" t="s">
        <v>209</v>
      </c>
      <c r="C180" s="508"/>
      <c r="D180" s="508"/>
      <c r="E180" s="508"/>
      <c r="F180" s="508"/>
      <c r="G180" s="531">
        <v>42815</v>
      </c>
      <c r="H180" s="510">
        <v>14000</v>
      </c>
      <c r="I180" s="340"/>
      <c r="J180" s="340"/>
      <c r="K180" s="510">
        <f t="shared" si="18"/>
        <v>14000</v>
      </c>
      <c r="L180" s="532">
        <v>42815</v>
      </c>
      <c r="M180" s="335">
        <v>13300.273972602739</v>
      </c>
      <c r="N180" s="512">
        <f t="shared" si="26"/>
        <v>699.72602739726062</v>
      </c>
      <c r="O180" s="512">
        <f t="shared" si="19"/>
        <v>2568</v>
      </c>
      <c r="P180" s="513">
        <v>3</v>
      </c>
      <c r="Q180" s="514">
        <f t="shared" si="20"/>
        <v>7.0356164383561648</v>
      </c>
      <c r="R180" s="514">
        <f t="shared" si="21"/>
        <v>-4.0356164383561648</v>
      </c>
      <c r="S180" s="515">
        <f t="shared" si="22"/>
        <v>0.31666666666666665</v>
      </c>
      <c r="T180" s="516">
        <v>0</v>
      </c>
      <c r="U180" s="516">
        <f t="shared" si="23"/>
        <v>699.72602739726062</v>
      </c>
      <c r="V180" s="517">
        <f t="shared" si="24"/>
        <v>700</v>
      </c>
      <c r="X180" s="335">
        <v>13300.273972602739</v>
      </c>
    </row>
    <row r="181" spans="1:24" ht="13.9">
      <c r="A181" s="340" t="e">
        <f t="shared" si="25"/>
        <v>#REF!</v>
      </c>
      <c r="B181" s="534" t="s">
        <v>2839</v>
      </c>
      <c r="C181" s="508"/>
      <c r="D181" s="508"/>
      <c r="E181" s="508"/>
      <c r="F181" s="508"/>
      <c r="G181" s="531">
        <v>42506</v>
      </c>
      <c r="H181" s="510">
        <f>27200+150</f>
        <v>27350</v>
      </c>
      <c r="I181" s="340"/>
      <c r="J181" s="340"/>
      <c r="K181" s="510">
        <f t="shared" si="18"/>
        <v>27350</v>
      </c>
      <c r="L181" s="532">
        <v>42506</v>
      </c>
      <c r="M181" s="335">
        <v>25982.082191780799</v>
      </c>
      <c r="N181" s="512">
        <f t="shared" si="26"/>
        <v>1367.9178082192011</v>
      </c>
      <c r="O181" s="512">
        <f t="shared" si="19"/>
        <v>2877</v>
      </c>
      <c r="P181" s="513">
        <v>3</v>
      </c>
      <c r="Q181" s="514">
        <f t="shared" si="20"/>
        <v>7.882191780821918</v>
      </c>
      <c r="R181" s="514">
        <f t="shared" si="21"/>
        <v>-4.882191780821918</v>
      </c>
      <c r="S181" s="515">
        <f t="shared" si="22"/>
        <v>0.31666666666666665</v>
      </c>
      <c r="T181" s="516">
        <v>0</v>
      </c>
      <c r="U181" s="516">
        <f t="shared" si="23"/>
        <v>1367.9178082192011</v>
      </c>
      <c r="V181" s="517">
        <f t="shared" si="24"/>
        <v>1368</v>
      </c>
      <c r="X181" s="335">
        <v>25982.082191780799</v>
      </c>
    </row>
    <row r="182" spans="1:24" ht="13.9">
      <c r="A182" s="340" t="e">
        <f t="shared" si="25"/>
        <v>#REF!</v>
      </c>
      <c r="B182" s="406" t="s">
        <v>900</v>
      </c>
      <c r="C182" s="340" t="s">
        <v>1945</v>
      </c>
      <c r="D182" s="482" t="s">
        <v>2394</v>
      </c>
      <c r="E182" s="406" t="s">
        <v>2840</v>
      </c>
      <c r="F182" s="535">
        <v>12027</v>
      </c>
      <c r="G182" s="483">
        <v>42828</v>
      </c>
      <c r="H182" s="465">
        <v>59000</v>
      </c>
      <c r="I182" s="340"/>
      <c r="J182" s="340"/>
      <c r="K182" s="510">
        <f t="shared" si="18"/>
        <v>59000</v>
      </c>
      <c r="L182" s="483">
        <v>42828</v>
      </c>
      <c r="M182" s="335">
        <v>56049.917808219201</v>
      </c>
      <c r="N182" s="512">
        <f t="shared" si="26"/>
        <v>2950.0821917807989</v>
      </c>
      <c r="O182" s="512">
        <f t="shared" si="19"/>
        <v>2555</v>
      </c>
      <c r="P182" s="513">
        <v>3</v>
      </c>
      <c r="Q182" s="514">
        <f t="shared" si="20"/>
        <v>7</v>
      </c>
      <c r="R182" s="514">
        <f t="shared" si="21"/>
        <v>-4</v>
      </c>
      <c r="S182" s="515">
        <f t="shared" si="22"/>
        <v>0.31666666666666665</v>
      </c>
      <c r="T182" s="516">
        <v>0</v>
      </c>
      <c r="U182" s="516">
        <f t="shared" si="23"/>
        <v>2950.0821917807989</v>
      </c>
      <c r="V182" s="517">
        <f t="shared" si="24"/>
        <v>2950</v>
      </c>
      <c r="X182" s="335">
        <v>56049.917808219201</v>
      </c>
    </row>
    <row r="183" spans="1:24" ht="13.9">
      <c r="A183" s="340" t="e">
        <f t="shared" si="25"/>
        <v>#REF!</v>
      </c>
      <c r="B183" s="406" t="s">
        <v>900</v>
      </c>
      <c r="C183" s="340" t="s">
        <v>1945</v>
      </c>
      <c r="D183" s="482" t="s">
        <v>2394</v>
      </c>
      <c r="E183" s="406" t="s">
        <v>2840</v>
      </c>
      <c r="F183" s="535">
        <v>12030</v>
      </c>
      <c r="G183" s="483">
        <v>42832</v>
      </c>
      <c r="H183" s="465">
        <v>30600</v>
      </c>
      <c r="I183" s="340"/>
      <c r="J183" s="340"/>
      <c r="K183" s="510">
        <f t="shared" si="18"/>
        <v>30600</v>
      </c>
      <c r="L183" s="483">
        <v>42832</v>
      </c>
      <c r="M183" s="335">
        <v>29070.4246575342</v>
      </c>
      <c r="N183" s="512">
        <f t="shared" si="26"/>
        <v>1529.5753424657996</v>
      </c>
      <c r="O183" s="512">
        <f t="shared" si="19"/>
        <v>2551</v>
      </c>
      <c r="P183" s="513">
        <v>3</v>
      </c>
      <c r="Q183" s="514">
        <f t="shared" si="20"/>
        <v>6.9890410958904106</v>
      </c>
      <c r="R183" s="514">
        <f t="shared" si="21"/>
        <v>-3.9890410958904106</v>
      </c>
      <c r="S183" s="515">
        <f t="shared" si="22"/>
        <v>0.31666666666666665</v>
      </c>
      <c r="T183" s="516">
        <v>0</v>
      </c>
      <c r="U183" s="516">
        <f t="shared" si="23"/>
        <v>1529.5753424657996</v>
      </c>
      <c r="V183" s="517">
        <f t="shared" si="24"/>
        <v>1530</v>
      </c>
      <c r="X183" s="335">
        <v>29070.4246575342</v>
      </c>
    </row>
    <row r="184" spans="1:24" ht="13.9">
      <c r="A184" s="340" t="e">
        <f t="shared" si="25"/>
        <v>#REF!</v>
      </c>
      <c r="B184" s="406" t="s">
        <v>900</v>
      </c>
      <c r="C184" s="340" t="s">
        <v>1945</v>
      </c>
      <c r="D184" s="482" t="s">
        <v>2394</v>
      </c>
      <c r="E184" s="406" t="s">
        <v>2840</v>
      </c>
      <c r="F184" s="535">
        <v>174</v>
      </c>
      <c r="G184" s="483">
        <v>43082</v>
      </c>
      <c r="H184" s="465">
        <v>36200</v>
      </c>
      <c r="I184" s="340"/>
      <c r="J184" s="340"/>
      <c r="K184" s="510">
        <f t="shared" si="18"/>
        <v>36200</v>
      </c>
      <c r="L184" s="483">
        <v>43082</v>
      </c>
      <c r="M184" s="335">
        <v>34389.92694063927</v>
      </c>
      <c r="N184" s="512">
        <f t="shared" si="26"/>
        <v>1810.0730593607295</v>
      </c>
      <c r="O184" s="512">
        <f t="shared" si="19"/>
        <v>2301</v>
      </c>
      <c r="P184" s="513">
        <v>3</v>
      </c>
      <c r="Q184" s="514">
        <f t="shared" si="20"/>
        <v>6.3041095890410963</v>
      </c>
      <c r="R184" s="514">
        <f t="shared" si="21"/>
        <v>-3.3041095890410963</v>
      </c>
      <c r="S184" s="515">
        <f t="shared" si="22"/>
        <v>0.31666666666666665</v>
      </c>
      <c r="T184" s="516">
        <v>0</v>
      </c>
      <c r="U184" s="516">
        <f t="shared" si="23"/>
        <v>1810.0730593607295</v>
      </c>
      <c r="V184" s="517">
        <f t="shared" si="24"/>
        <v>1810</v>
      </c>
      <c r="X184" s="335">
        <v>34389.92694063927</v>
      </c>
    </row>
    <row r="185" spans="1:24" ht="13.9">
      <c r="A185" s="340" t="e">
        <f t="shared" si="25"/>
        <v>#REF!</v>
      </c>
      <c r="B185" s="406" t="s">
        <v>900</v>
      </c>
      <c r="C185" s="340" t="s">
        <v>1945</v>
      </c>
      <c r="D185" s="482" t="s">
        <v>2394</v>
      </c>
      <c r="E185" s="406" t="s">
        <v>2840</v>
      </c>
      <c r="F185" s="535">
        <v>172</v>
      </c>
      <c r="G185" s="483">
        <v>43082</v>
      </c>
      <c r="H185" s="465">
        <v>34500</v>
      </c>
      <c r="I185" s="340"/>
      <c r="J185" s="340"/>
      <c r="K185" s="510">
        <f t="shared" si="18"/>
        <v>34500</v>
      </c>
      <c r="L185" s="483">
        <v>43082</v>
      </c>
      <c r="M185" s="335">
        <v>32775.068493150684</v>
      </c>
      <c r="N185" s="512">
        <f t="shared" si="26"/>
        <v>1724.9315068493161</v>
      </c>
      <c r="O185" s="512">
        <f t="shared" si="19"/>
        <v>2301</v>
      </c>
      <c r="P185" s="513">
        <v>3</v>
      </c>
      <c r="Q185" s="514">
        <f t="shared" si="20"/>
        <v>6.3041095890410963</v>
      </c>
      <c r="R185" s="514">
        <f t="shared" si="21"/>
        <v>-3.3041095890410963</v>
      </c>
      <c r="S185" s="515">
        <f t="shared" si="22"/>
        <v>0.31666666666666665</v>
      </c>
      <c r="T185" s="516">
        <v>0</v>
      </c>
      <c r="U185" s="516">
        <f t="shared" si="23"/>
        <v>1724.9315068493161</v>
      </c>
      <c r="V185" s="517">
        <f t="shared" si="24"/>
        <v>1725</v>
      </c>
      <c r="X185" s="335">
        <v>32775.068493150684</v>
      </c>
    </row>
    <row r="186" spans="1:24" ht="13.9">
      <c r="A186" s="340" t="e">
        <f t="shared" si="25"/>
        <v>#REF!</v>
      </c>
      <c r="B186" s="406" t="s">
        <v>900</v>
      </c>
      <c r="C186" s="340" t="s">
        <v>1945</v>
      </c>
      <c r="D186" s="482" t="s">
        <v>2394</v>
      </c>
      <c r="E186" s="406" t="s">
        <v>2840</v>
      </c>
      <c r="F186" s="535" t="s">
        <v>24</v>
      </c>
      <c r="G186" s="483">
        <v>43082</v>
      </c>
      <c r="H186" s="465">
        <v>136500</v>
      </c>
      <c r="I186" s="340"/>
      <c r="J186" s="340"/>
      <c r="K186" s="510">
        <f t="shared" si="18"/>
        <v>136500</v>
      </c>
      <c r="L186" s="483">
        <v>43082</v>
      </c>
      <c r="M186" s="335">
        <v>129674.57534246575</v>
      </c>
      <c r="N186" s="512">
        <f t="shared" si="26"/>
        <v>6825.4246575342549</v>
      </c>
      <c r="O186" s="512">
        <f t="shared" si="19"/>
        <v>2301</v>
      </c>
      <c r="P186" s="513">
        <v>3</v>
      </c>
      <c r="Q186" s="514">
        <f t="shared" si="20"/>
        <v>6.3041095890410963</v>
      </c>
      <c r="R186" s="514">
        <f t="shared" si="21"/>
        <v>-3.3041095890410963</v>
      </c>
      <c r="S186" s="515">
        <f t="shared" si="22"/>
        <v>0.31666666666666665</v>
      </c>
      <c r="T186" s="516">
        <v>0</v>
      </c>
      <c r="U186" s="516">
        <f t="shared" si="23"/>
        <v>6825.4246575342549</v>
      </c>
      <c r="V186" s="517">
        <f t="shared" si="24"/>
        <v>6825</v>
      </c>
      <c r="X186" s="335">
        <v>129674.57534246575</v>
      </c>
    </row>
    <row r="187" spans="1:24" ht="13.9">
      <c r="A187" s="340" t="e">
        <f t="shared" si="25"/>
        <v>#REF!</v>
      </c>
      <c r="B187" s="393" t="s">
        <v>2841</v>
      </c>
      <c r="C187" s="340" t="s">
        <v>1945</v>
      </c>
      <c r="D187" s="394" t="s">
        <v>1967</v>
      </c>
      <c r="E187" s="393" t="s">
        <v>2842</v>
      </c>
      <c r="F187" s="395">
        <v>645</v>
      </c>
      <c r="G187" s="481">
        <v>43092</v>
      </c>
      <c r="H187" s="465">
        <v>75000</v>
      </c>
      <c r="I187" s="340"/>
      <c r="J187" s="340"/>
      <c r="K187" s="510">
        <f t="shared" si="18"/>
        <v>75000</v>
      </c>
      <c r="L187" s="481">
        <v>43092</v>
      </c>
      <c r="M187" s="335">
        <v>71249.561643835623</v>
      </c>
      <c r="N187" s="512">
        <f t="shared" si="26"/>
        <v>3750.4383561643772</v>
      </c>
      <c r="O187" s="512">
        <f t="shared" si="19"/>
        <v>2291</v>
      </c>
      <c r="P187" s="513">
        <v>3</v>
      </c>
      <c r="Q187" s="514">
        <f t="shared" si="20"/>
        <v>6.2767123287671236</v>
      </c>
      <c r="R187" s="514">
        <f t="shared" si="21"/>
        <v>-3.2767123287671236</v>
      </c>
      <c r="S187" s="515">
        <f t="shared" si="22"/>
        <v>0.31666666666666665</v>
      </c>
      <c r="T187" s="516">
        <v>0</v>
      </c>
      <c r="U187" s="516">
        <f t="shared" si="23"/>
        <v>3750.4383561643772</v>
      </c>
      <c r="V187" s="517">
        <f t="shared" si="24"/>
        <v>3750</v>
      </c>
      <c r="X187" s="335">
        <v>71249.561643835623</v>
      </c>
    </row>
    <row r="188" spans="1:24" ht="13.9">
      <c r="A188" s="340" t="e">
        <f t="shared" si="25"/>
        <v>#REF!</v>
      </c>
      <c r="B188" s="393" t="s">
        <v>2841</v>
      </c>
      <c r="C188" s="340" t="s">
        <v>1945</v>
      </c>
      <c r="D188" s="394" t="s">
        <v>1967</v>
      </c>
      <c r="E188" s="393" t="s">
        <v>1131</v>
      </c>
      <c r="F188" s="395">
        <v>5965</v>
      </c>
      <c r="G188" s="481">
        <v>43129</v>
      </c>
      <c r="H188" s="465">
        <v>28593</v>
      </c>
      <c r="I188" s="340"/>
      <c r="J188" s="340"/>
      <c r="K188" s="510">
        <f t="shared" si="18"/>
        <v>28593</v>
      </c>
      <c r="L188" s="481">
        <v>43129</v>
      </c>
      <c r="M188" s="335">
        <v>27163.449999999997</v>
      </c>
      <c r="N188" s="512">
        <f t="shared" si="26"/>
        <v>1429.5500000000029</v>
      </c>
      <c r="O188" s="512">
        <f t="shared" si="19"/>
        <v>2254</v>
      </c>
      <c r="P188" s="513">
        <v>3</v>
      </c>
      <c r="Q188" s="514">
        <f t="shared" si="20"/>
        <v>6.1753424657534248</v>
      </c>
      <c r="R188" s="514">
        <f t="shared" si="21"/>
        <v>-3.1753424657534248</v>
      </c>
      <c r="S188" s="515">
        <f t="shared" si="22"/>
        <v>0.31666666666666665</v>
      </c>
      <c r="T188" s="516">
        <v>0</v>
      </c>
      <c r="U188" s="516">
        <f t="shared" si="23"/>
        <v>1429.5500000000029</v>
      </c>
      <c r="V188" s="517">
        <f t="shared" si="24"/>
        <v>1430</v>
      </c>
      <c r="X188" s="335">
        <v>27163.449999999997</v>
      </c>
    </row>
    <row r="189" spans="1:24" ht="13.9">
      <c r="A189" s="340" t="e">
        <f t="shared" si="25"/>
        <v>#REF!</v>
      </c>
      <c r="B189" s="393" t="s">
        <v>2841</v>
      </c>
      <c r="C189" s="340" t="s">
        <v>1945</v>
      </c>
      <c r="D189" s="394" t="s">
        <v>1967</v>
      </c>
      <c r="E189" s="393" t="s">
        <v>2843</v>
      </c>
      <c r="F189" s="395">
        <v>133</v>
      </c>
      <c r="G189" s="481">
        <v>43135</v>
      </c>
      <c r="H189" s="465">
        <v>90035</v>
      </c>
      <c r="I189" s="340"/>
      <c r="J189" s="340"/>
      <c r="K189" s="510">
        <f t="shared" si="18"/>
        <v>90035</v>
      </c>
      <c r="L189" s="481">
        <v>43135</v>
      </c>
      <c r="M189" s="335">
        <v>85532.773059360727</v>
      </c>
      <c r="N189" s="512">
        <f t="shared" si="26"/>
        <v>4502.2269406392734</v>
      </c>
      <c r="O189" s="512">
        <f t="shared" si="19"/>
        <v>2248</v>
      </c>
      <c r="P189" s="513">
        <v>3</v>
      </c>
      <c r="Q189" s="514">
        <f t="shared" si="20"/>
        <v>6.1589041095890407</v>
      </c>
      <c r="R189" s="514">
        <f t="shared" si="21"/>
        <v>-3.1589041095890407</v>
      </c>
      <c r="S189" s="515">
        <f t="shared" si="22"/>
        <v>0.31666666666666665</v>
      </c>
      <c r="T189" s="516">
        <v>0</v>
      </c>
      <c r="U189" s="516">
        <f t="shared" si="23"/>
        <v>4502.2269406392734</v>
      </c>
      <c r="V189" s="517">
        <f t="shared" si="24"/>
        <v>4502</v>
      </c>
      <c r="X189" s="335">
        <v>85532.773059360727</v>
      </c>
    </row>
    <row r="190" spans="1:24" ht="13.9">
      <c r="A190" s="340" t="e">
        <f t="shared" si="25"/>
        <v>#REF!</v>
      </c>
      <c r="B190" s="393" t="s">
        <v>2844</v>
      </c>
      <c r="C190" s="340" t="s">
        <v>1945</v>
      </c>
      <c r="D190" s="394" t="s">
        <v>1967</v>
      </c>
      <c r="E190" s="393" t="s">
        <v>1131</v>
      </c>
      <c r="F190" s="395">
        <v>4620</v>
      </c>
      <c r="G190" s="481">
        <v>43079</v>
      </c>
      <c r="H190" s="465">
        <v>7949.15</v>
      </c>
      <c r="I190" s="340"/>
      <c r="J190" s="340"/>
      <c r="K190" s="510">
        <f t="shared" si="18"/>
        <v>7949.15</v>
      </c>
      <c r="L190" s="481">
        <v>43079</v>
      </c>
      <c r="M190" s="335">
        <v>7552.2827808219172</v>
      </c>
      <c r="N190" s="512">
        <f t="shared" si="26"/>
        <v>396.86721917808245</v>
      </c>
      <c r="O190" s="512">
        <f t="shared" si="19"/>
        <v>2304</v>
      </c>
      <c r="P190" s="513">
        <v>3</v>
      </c>
      <c r="Q190" s="514">
        <f t="shared" si="20"/>
        <v>6.3123287671232875</v>
      </c>
      <c r="R190" s="514">
        <f t="shared" si="21"/>
        <v>-3.3123287671232875</v>
      </c>
      <c r="S190" s="515">
        <f t="shared" si="22"/>
        <v>0.31666666666666665</v>
      </c>
      <c r="T190" s="516">
        <v>0</v>
      </c>
      <c r="U190" s="516">
        <f t="shared" si="23"/>
        <v>396.86721917808245</v>
      </c>
      <c r="V190" s="517">
        <f t="shared" si="24"/>
        <v>397</v>
      </c>
      <c r="X190" s="335">
        <v>7552.2827808219172</v>
      </c>
    </row>
    <row r="191" spans="1:24" ht="13.9">
      <c r="A191" s="340" t="e">
        <f t="shared" si="25"/>
        <v>#REF!</v>
      </c>
      <c r="B191" s="393" t="s">
        <v>2845</v>
      </c>
      <c r="C191" s="340" t="s">
        <v>1945</v>
      </c>
      <c r="D191" s="394" t="s">
        <v>1967</v>
      </c>
      <c r="E191" s="393" t="s">
        <v>2843</v>
      </c>
      <c r="F191" s="395">
        <v>117</v>
      </c>
      <c r="G191" s="481">
        <v>43118</v>
      </c>
      <c r="H191" s="465">
        <v>13220.34</v>
      </c>
      <c r="I191" s="340"/>
      <c r="J191" s="340"/>
      <c r="K191" s="510">
        <f t="shared" si="18"/>
        <v>13220.34</v>
      </c>
      <c r="L191" s="481">
        <v>43118</v>
      </c>
      <c r="M191" s="335">
        <v>12559.4584</v>
      </c>
      <c r="N191" s="512">
        <f t="shared" si="26"/>
        <v>660.88160000000062</v>
      </c>
      <c r="O191" s="512">
        <f t="shared" si="19"/>
        <v>2265</v>
      </c>
      <c r="P191" s="513">
        <v>3</v>
      </c>
      <c r="Q191" s="514">
        <f t="shared" si="20"/>
        <v>6.2054794520547949</v>
      </c>
      <c r="R191" s="514">
        <f t="shared" si="21"/>
        <v>-3.2054794520547949</v>
      </c>
      <c r="S191" s="515">
        <f t="shared" si="22"/>
        <v>0.31666666666666665</v>
      </c>
      <c r="T191" s="516">
        <v>0</v>
      </c>
      <c r="U191" s="516">
        <f t="shared" si="23"/>
        <v>660.88160000000062</v>
      </c>
      <c r="V191" s="517">
        <f t="shared" si="24"/>
        <v>661</v>
      </c>
      <c r="X191" s="335">
        <v>12559.4584</v>
      </c>
    </row>
    <row r="192" spans="1:24" ht="13.9">
      <c r="A192" s="340" t="e">
        <f t="shared" si="25"/>
        <v>#REF!</v>
      </c>
      <c r="B192" s="393" t="s">
        <v>2846</v>
      </c>
      <c r="C192" s="340" t="s">
        <v>1945</v>
      </c>
      <c r="D192" s="394" t="s">
        <v>1967</v>
      </c>
      <c r="E192" s="393" t="s">
        <v>2843</v>
      </c>
      <c r="F192" s="395">
        <v>148</v>
      </c>
      <c r="G192" s="481">
        <v>43151</v>
      </c>
      <c r="H192" s="465">
        <v>13220.34</v>
      </c>
      <c r="I192" s="340"/>
      <c r="J192" s="340"/>
      <c r="K192" s="510">
        <f t="shared" si="18"/>
        <v>13220.34</v>
      </c>
      <c r="L192" s="481">
        <v>43151</v>
      </c>
      <c r="M192" s="335">
        <v>12559.458109589041</v>
      </c>
      <c r="N192" s="512">
        <f t="shared" si="26"/>
        <v>660.88189041095939</v>
      </c>
      <c r="O192" s="512">
        <f t="shared" si="19"/>
        <v>2232</v>
      </c>
      <c r="P192" s="513">
        <v>3</v>
      </c>
      <c r="Q192" s="514">
        <f t="shared" si="20"/>
        <v>6.1150684931506847</v>
      </c>
      <c r="R192" s="514">
        <f t="shared" si="21"/>
        <v>-3.1150684931506847</v>
      </c>
      <c r="S192" s="515">
        <f t="shared" si="22"/>
        <v>0.31666666666666665</v>
      </c>
      <c r="T192" s="516">
        <v>0</v>
      </c>
      <c r="U192" s="516">
        <f t="shared" si="23"/>
        <v>660.88189041095939</v>
      </c>
      <c r="V192" s="517">
        <f t="shared" si="24"/>
        <v>661</v>
      </c>
      <c r="X192" s="335">
        <v>12559.458109589041</v>
      </c>
    </row>
    <row r="193" spans="1:24" ht="13.9">
      <c r="A193" s="340" t="e">
        <f t="shared" si="25"/>
        <v>#REF!</v>
      </c>
      <c r="B193" s="393" t="s">
        <v>2846</v>
      </c>
      <c r="C193" s="340" t="s">
        <v>1945</v>
      </c>
      <c r="D193" s="394" t="s">
        <v>1967</v>
      </c>
      <c r="E193" s="393" t="s">
        <v>2843</v>
      </c>
      <c r="F193" s="395">
        <v>154</v>
      </c>
      <c r="G193" s="481">
        <v>43157</v>
      </c>
      <c r="H193" s="465">
        <v>13664.06</v>
      </c>
      <c r="I193" s="340"/>
      <c r="J193" s="340"/>
      <c r="K193" s="510">
        <f t="shared" si="18"/>
        <v>13664.06</v>
      </c>
      <c r="L193" s="481">
        <v>43157</v>
      </c>
      <c r="M193" s="335">
        <v>12981.02181369863</v>
      </c>
      <c r="N193" s="512">
        <f t="shared" si="26"/>
        <v>683.03818630136993</v>
      </c>
      <c r="O193" s="512">
        <f t="shared" si="19"/>
        <v>2226</v>
      </c>
      <c r="P193" s="513">
        <v>3</v>
      </c>
      <c r="Q193" s="514">
        <f t="shared" si="20"/>
        <v>6.0986301369863014</v>
      </c>
      <c r="R193" s="514">
        <f t="shared" si="21"/>
        <v>-3.0986301369863014</v>
      </c>
      <c r="S193" s="515">
        <f t="shared" si="22"/>
        <v>0.31666666666666665</v>
      </c>
      <c r="T193" s="516">
        <v>0</v>
      </c>
      <c r="U193" s="516">
        <f t="shared" si="23"/>
        <v>683.03818630136993</v>
      </c>
      <c r="V193" s="517">
        <f t="shared" si="24"/>
        <v>683</v>
      </c>
      <c r="X193" s="335">
        <v>12981.02181369863</v>
      </c>
    </row>
    <row r="194" spans="1:24" ht="13.9">
      <c r="A194" s="340" t="e">
        <f t="shared" si="25"/>
        <v>#REF!</v>
      </c>
      <c r="B194" s="406" t="s">
        <v>900</v>
      </c>
      <c r="C194" s="340" t="s">
        <v>2020</v>
      </c>
      <c r="D194" s="482" t="s">
        <v>2019</v>
      </c>
      <c r="E194" s="406" t="s">
        <v>2847</v>
      </c>
      <c r="F194" s="500" t="s">
        <v>2848</v>
      </c>
      <c r="G194" s="480">
        <v>43369</v>
      </c>
      <c r="H194" s="536">
        <v>26822</v>
      </c>
      <c r="I194" s="340"/>
      <c r="J194" s="340"/>
      <c r="K194" s="510">
        <f t="shared" si="18"/>
        <v>26822</v>
      </c>
      <c r="L194" s="480">
        <v>43369</v>
      </c>
      <c r="M194" s="335">
        <v>25480.799360730591</v>
      </c>
      <c r="N194" s="512">
        <f t="shared" si="26"/>
        <v>1341.2006392694093</v>
      </c>
      <c r="O194" s="512">
        <f t="shared" si="19"/>
        <v>2014</v>
      </c>
      <c r="P194" s="513">
        <v>3</v>
      </c>
      <c r="Q194" s="514">
        <f t="shared" si="20"/>
        <v>5.5178082191780824</v>
      </c>
      <c r="R194" s="514">
        <f t="shared" si="21"/>
        <v>-2.5178082191780824</v>
      </c>
      <c r="S194" s="515">
        <f t="shared" si="22"/>
        <v>0.31666666666666665</v>
      </c>
      <c r="T194" s="516">
        <v>0</v>
      </c>
      <c r="U194" s="516">
        <f t="shared" si="23"/>
        <v>1341.2006392694093</v>
      </c>
      <c r="V194" s="517">
        <f t="shared" si="24"/>
        <v>1341</v>
      </c>
      <c r="X194" s="335">
        <v>25480.799360730591</v>
      </c>
    </row>
    <row r="195" spans="1:24" ht="13.9">
      <c r="A195" s="340" t="e">
        <f t="shared" si="25"/>
        <v>#REF!</v>
      </c>
      <c r="B195" s="406" t="s">
        <v>900</v>
      </c>
      <c r="C195" s="340" t="s">
        <v>2020</v>
      </c>
      <c r="D195" s="482" t="s">
        <v>2019</v>
      </c>
      <c r="E195" s="406" t="s">
        <v>2847</v>
      </c>
      <c r="F195" s="500" t="s">
        <v>2849</v>
      </c>
      <c r="G195" s="480">
        <v>43383</v>
      </c>
      <c r="H195" s="536">
        <v>17720</v>
      </c>
      <c r="I195" s="340"/>
      <c r="J195" s="340"/>
      <c r="K195" s="510">
        <f t="shared" si="18"/>
        <v>17720</v>
      </c>
      <c r="L195" s="480">
        <v>43383</v>
      </c>
      <c r="M195" s="335">
        <v>16834.284931506849</v>
      </c>
      <c r="N195" s="512">
        <f t="shared" si="26"/>
        <v>885.71506849315119</v>
      </c>
      <c r="O195" s="512">
        <f t="shared" si="19"/>
        <v>2000</v>
      </c>
      <c r="P195" s="513">
        <v>3</v>
      </c>
      <c r="Q195" s="514">
        <f t="shared" si="20"/>
        <v>5.4794520547945202</v>
      </c>
      <c r="R195" s="514">
        <f t="shared" si="21"/>
        <v>-2.4794520547945202</v>
      </c>
      <c r="S195" s="515">
        <f t="shared" si="22"/>
        <v>0.31666666666666665</v>
      </c>
      <c r="T195" s="516">
        <v>0</v>
      </c>
      <c r="U195" s="516">
        <f t="shared" si="23"/>
        <v>885.71506849315119</v>
      </c>
      <c r="V195" s="517">
        <f t="shared" si="24"/>
        <v>886</v>
      </c>
      <c r="X195" s="335">
        <v>16834.284931506849</v>
      </c>
    </row>
    <row r="196" spans="1:24" ht="13.9">
      <c r="A196" s="340" t="e">
        <f t="shared" si="25"/>
        <v>#REF!</v>
      </c>
      <c r="B196" s="406" t="s">
        <v>900</v>
      </c>
      <c r="C196" s="340" t="s">
        <v>2020</v>
      </c>
      <c r="D196" s="482" t="s">
        <v>2019</v>
      </c>
      <c r="E196" s="406" t="s">
        <v>2847</v>
      </c>
      <c r="F196" s="500" t="s">
        <v>2850</v>
      </c>
      <c r="G196" s="480">
        <v>43399</v>
      </c>
      <c r="H196" s="536">
        <v>57033</v>
      </c>
      <c r="I196" s="340"/>
      <c r="J196" s="340"/>
      <c r="K196" s="510">
        <f t="shared" si="18"/>
        <v>57033</v>
      </c>
      <c r="L196" s="480">
        <v>43399</v>
      </c>
      <c r="M196" s="335">
        <v>54181.367534246572</v>
      </c>
      <c r="N196" s="512">
        <f t="shared" si="26"/>
        <v>2851.6324657534278</v>
      </c>
      <c r="O196" s="512">
        <f t="shared" si="19"/>
        <v>1984</v>
      </c>
      <c r="P196" s="513">
        <v>3</v>
      </c>
      <c r="Q196" s="514">
        <f t="shared" si="20"/>
        <v>5.4356164383561643</v>
      </c>
      <c r="R196" s="514">
        <f t="shared" si="21"/>
        <v>-2.4356164383561643</v>
      </c>
      <c r="S196" s="515">
        <f t="shared" si="22"/>
        <v>0.31666666666666665</v>
      </c>
      <c r="T196" s="516">
        <v>0</v>
      </c>
      <c r="U196" s="516">
        <f t="shared" si="23"/>
        <v>2851.6324657534278</v>
      </c>
      <c r="V196" s="517">
        <f t="shared" si="24"/>
        <v>2852</v>
      </c>
      <c r="X196" s="335">
        <v>54181.367534246572</v>
      </c>
    </row>
    <row r="197" spans="1:24" ht="13.9">
      <c r="A197" s="340" t="e">
        <f t="shared" si="25"/>
        <v>#REF!</v>
      </c>
      <c r="B197" s="406" t="s">
        <v>900</v>
      </c>
      <c r="C197" s="340" t="s">
        <v>2020</v>
      </c>
      <c r="D197" s="482" t="s">
        <v>2019</v>
      </c>
      <c r="E197" s="406" t="s">
        <v>2847</v>
      </c>
      <c r="F197" s="500" t="s">
        <v>2851</v>
      </c>
      <c r="G197" s="480">
        <v>43432</v>
      </c>
      <c r="H197" s="536">
        <v>27966</v>
      </c>
      <c r="I197" s="340"/>
      <c r="J197" s="340"/>
      <c r="K197" s="510">
        <f t="shared" si="18"/>
        <v>27966</v>
      </c>
      <c r="L197" s="480">
        <v>43432</v>
      </c>
      <c r="M197" s="335">
        <v>26568.379726027397</v>
      </c>
      <c r="N197" s="512">
        <f t="shared" si="26"/>
        <v>1397.6202739726032</v>
      </c>
      <c r="O197" s="512">
        <f t="shared" si="19"/>
        <v>1951</v>
      </c>
      <c r="P197" s="513">
        <v>3</v>
      </c>
      <c r="Q197" s="514">
        <f t="shared" si="20"/>
        <v>5.3452054794520549</v>
      </c>
      <c r="R197" s="514">
        <f t="shared" si="21"/>
        <v>-2.3452054794520549</v>
      </c>
      <c r="S197" s="515">
        <f t="shared" si="22"/>
        <v>0.31666666666666665</v>
      </c>
      <c r="T197" s="516">
        <v>0</v>
      </c>
      <c r="U197" s="516">
        <f t="shared" si="23"/>
        <v>1397.6202739726032</v>
      </c>
      <c r="V197" s="517">
        <f t="shared" si="24"/>
        <v>1398</v>
      </c>
      <c r="X197" s="335">
        <v>26568.379726027397</v>
      </c>
    </row>
    <row r="198" spans="1:24" ht="13.9">
      <c r="A198" s="340" t="e">
        <f t="shared" si="25"/>
        <v>#REF!</v>
      </c>
      <c r="B198" s="406" t="s">
        <v>900</v>
      </c>
      <c r="C198" s="340" t="s">
        <v>2020</v>
      </c>
      <c r="D198" s="482" t="s">
        <v>2019</v>
      </c>
      <c r="E198" s="406" t="s">
        <v>2847</v>
      </c>
      <c r="F198" s="399">
        <v>9071</v>
      </c>
      <c r="G198" s="480">
        <v>43507</v>
      </c>
      <c r="H198" s="536">
        <v>59831</v>
      </c>
      <c r="I198" s="340"/>
      <c r="J198" s="340"/>
      <c r="K198" s="510">
        <f t="shared" si="18"/>
        <v>59831</v>
      </c>
      <c r="L198" s="480">
        <v>43507</v>
      </c>
      <c r="M198" s="335">
        <v>56839.467168949734</v>
      </c>
      <c r="N198" s="512">
        <f t="shared" si="26"/>
        <v>2991.5328310502664</v>
      </c>
      <c r="O198" s="512">
        <f t="shared" si="19"/>
        <v>1876</v>
      </c>
      <c r="P198" s="513">
        <v>3</v>
      </c>
      <c r="Q198" s="514">
        <f t="shared" si="20"/>
        <v>5.13972602739726</v>
      </c>
      <c r="R198" s="514">
        <f t="shared" si="21"/>
        <v>-2.13972602739726</v>
      </c>
      <c r="S198" s="515">
        <f t="shared" si="22"/>
        <v>0.31666666666666665</v>
      </c>
      <c r="T198" s="516">
        <v>0</v>
      </c>
      <c r="U198" s="516">
        <f t="shared" si="23"/>
        <v>2991.5328310502664</v>
      </c>
      <c r="V198" s="517">
        <f t="shared" si="24"/>
        <v>2992</v>
      </c>
      <c r="X198" s="335">
        <v>56839.467168949734</v>
      </c>
    </row>
    <row r="199" spans="1:24" ht="13.9">
      <c r="A199" s="340" t="e">
        <f t="shared" si="25"/>
        <v>#REF!</v>
      </c>
      <c r="B199" s="406" t="s">
        <v>900</v>
      </c>
      <c r="C199" s="340" t="s">
        <v>2020</v>
      </c>
      <c r="D199" s="482" t="s">
        <v>2019</v>
      </c>
      <c r="E199" s="406" t="s">
        <v>2847</v>
      </c>
      <c r="F199" s="399">
        <v>9164</v>
      </c>
      <c r="G199" s="480">
        <v>43509</v>
      </c>
      <c r="H199" s="536">
        <v>8390</v>
      </c>
      <c r="I199" s="340"/>
      <c r="J199" s="340"/>
      <c r="K199" s="510">
        <f t="shared" si="18"/>
        <v>8390</v>
      </c>
      <c r="L199" s="480">
        <v>43509</v>
      </c>
      <c r="M199" s="335">
        <v>7969.7794520547941</v>
      </c>
      <c r="N199" s="512">
        <f t="shared" si="26"/>
        <v>420.22054794520591</v>
      </c>
      <c r="O199" s="512">
        <f t="shared" si="19"/>
        <v>1874</v>
      </c>
      <c r="P199" s="513">
        <v>3</v>
      </c>
      <c r="Q199" s="514">
        <f t="shared" si="20"/>
        <v>5.1342465753424653</v>
      </c>
      <c r="R199" s="514">
        <f t="shared" si="21"/>
        <v>-2.1342465753424653</v>
      </c>
      <c r="S199" s="515">
        <f t="shared" si="22"/>
        <v>0.31666666666666665</v>
      </c>
      <c r="T199" s="516">
        <v>0</v>
      </c>
      <c r="U199" s="516">
        <f t="shared" si="23"/>
        <v>420.22054794520591</v>
      </c>
      <c r="V199" s="517">
        <f t="shared" si="24"/>
        <v>420</v>
      </c>
      <c r="X199" s="335">
        <v>7969.7794520547941</v>
      </c>
    </row>
    <row r="200" spans="1:24" ht="13.9">
      <c r="A200" s="340" t="e">
        <f t="shared" si="25"/>
        <v>#REF!</v>
      </c>
      <c r="B200" s="406" t="s">
        <v>209</v>
      </c>
      <c r="C200" s="340" t="s">
        <v>2020</v>
      </c>
      <c r="D200" s="482" t="s">
        <v>2019</v>
      </c>
      <c r="E200" s="406" t="s">
        <v>2847</v>
      </c>
      <c r="F200" s="500" t="s">
        <v>2852</v>
      </c>
      <c r="G200" s="480">
        <v>43454</v>
      </c>
      <c r="H200" s="536">
        <v>14407</v>
      </c>
      <c r="I200" s="340"/>
      <c r="J200" s="340"/>
      <c r="K200" s="510">
        <f t="shared" ref="K200:K263" si="27">+H200+I200-J200</f>
        <v>14407</v>
      </c>
      <c r="L200" s="480">
        <v>43454</v>
      </c>
      <c r="M200" s="335">
        <v>13687.354155251141</v>
      </c>
      <c r="N200" s="512">
        <f t="shared" si="26"/>
        <v>719.64584474885851</v>
      </c>
      <c r="O200" s="512">
        <f t="shared" ref="O200:O258" si="28">+$O$3-L200+1</f>
        <v>1929</v>
      </c>
      <c r="P200" s="513">
        <v>3</v>
      </c>
      <c r="Q200" s="514">
        <f t="shared" ref="Q200:Q258" si="29">+O200/365</f>
        <v>5.2849315068493148</v>
      </c>
      <c r="R200" s="514">
        <f t="shared" ref="R200:R258" si="30">+P200-Q200</f>
        <v>-2.2849315068493148</v>
      </c>
      <c r="S200" s="515">
        <f t="shared" ref="S200:S258" si="31">1/P200*0.95</f>
        <v>0.31666666666666665</v>
      </c>
      <c r="T200" s="516">
        <v>0</v>
      </c>
      <c r="U200" s="516">
        <f t="shared" ref="U200:U258" si="32">+N200-T200</f>
        <v>719.64584474885851</v>
      </c>
      <c r="V200" s="517">
        <f t="shared" ref="V200:V258" si="33">ROUND(+H200*5%,0)</f>
        <v>720</v>
      </c>
      <c r="X200" s="335">
        <v>13687.354155251141</v>
      </c>
    </row>
    <row r="201" spans="1:24" ht="13.9">
      <c r="A201" s="340" t="e">
        <f t="shared" ref="A201:A264" si="34">+A200+1</f>
        <v>#REF!</v>
      </c>
      <c r="B201" s="406" t="s">
        <v>209</v>
      </c>
      <c r="C201" s="340" t="s">
        <v>2020</v>
      </c>
      <c r="D201" s="482" t="s">
        <v>2019</v>
      </c>
      <c r="E201" s="406" t="s">
        <v>2648</v>
      </c>
      <c r="F201" s="500" t="s">
        <v>2853</v>
      </c>
      <c r="G201" s="480">
        <v>43406</v>
      </c>
      <c r="H201" s="536">
        <v>159600</v>
      </c>
      <c r="I201" s="340"/>
      <c r="J201" s="340"/>
      <c r="K201" s="510">
        <f t="shared" si="27"/>
        <v>159600</v>
      </c>
      <c r="L201" s="480">
        <v>43406</v>
      </c>
      <c r="M201" s="335">
        <v>151619.86301369863</v>
      </c>
      <c r="N201" s="512">
        <f t="shared" ref="N201:N264" si="35">+K201-M201</f>
        <v>7980.1369863013679</v>
      </c>
      <c r="O201" s="512">
        <f t="shared" si="28"/>
        <v>1977</v>
      </c>
      <c r="P201" s="513">
        <v>3</v>
      </c>
      <c r="Q201" s="514">
        <f t="shared" si="29"/>
        <v>5.4164383561643836</v>
      </c>
      <c r="R201" s="514">
        <f t="shared" si="30"/>
        <v>-2.4164383561643836</v>
      </c>
      <c r="S201" s="515">
        <f t="shared" si="31"/>
        <v>0.31666666666666665</v>
      </c>
      <c r="T201" s="516">
        <v>0</v>
      </c>
      <c r="U201" s="516">
        <f t="shared" si="32"/>
        <v>7980.1369863013679</v>
      </c>
      <c r="V201" s="517">
        <f t="shared" si="33"/>
        <v>7980</v>
      </c>
      <c r="X201" s="335">
        <v>151619.86301369863</v>
      </c>
    </row>
    <row r="202" spans="1:24" ht="13.9">
      <c r="A202" s="340" t="e">
        <f t="shared" si="34"/>
        <v>#REF!</v>
      </c>
      <c r="B202" s="406" t="s">
        <v>900</v>
      </c>
      <c r="C202" s="340" t="s">
        <v>2020</v>
      </c>
      <c r="D202" s="482" t="s">
        <v>20</v>
      </c>
      <c r="E202" s="406" t="s">
        <v>2854</v>
      </c>
      <c r="F202" s="500" t="s">
        <v>2855</v>
      </c>
      <c r="G202" s="480">
        <v>43519</v>
      </c>
      <c r="H202" s="536">
        <v>70338.990000000005</v>
      </c>
      <c r="I202" s="340"/>
      <c r="J202" s="340"/>
      <c r="K202" s="510">
        <f t="shared" si="27"/>
        <v>70338.990000000005</v>
      </c>
      <c r="L202" s="480">
        <v>43519</v>
      </c>
      <c r="M202" s="335">
        <v>66821.940697260274</v>
      </c>
      <c r="N202" s="512">
        <f t="shared" si="35"/>
        <v>3517.0493027397315</v>
      </c>
      <c r="O202" s="512">
        <f t="shared" si="28"/>
        <v>1864</v>
      </c>
      <c r="P202" s="513">
        <v>3</v>
      </c>
      <c r="Q202" s="514">
        <f t="shared" si="29"/>
        <v>5.1068493150684935</v>
      </c>
      <c r="R202" s="514">
        <f t="shared" si="30"/>
        <v>-2.1068493150684935</v>
      </c>
      <c r="S202" s="515">
        <f t="shared" si="31"/>
        <v>0.31666666666666665</v>
      </c>
      <c r="T202" s="516">
        <v>0</v>
      </c>
      <c r="U202" s="516">
        <f t="shared" si="32"/>
        <v>3517.0493027397315</v>
      </c>
      <c r="V202" s="517">
        <f t="shared" si="33"/>
        <v>3517</v>
      </c>
      <c r="X202" s="335">
        <v>66821.940697260274</v>
      </c>
    </row>
    <row r="203" spans="1:24" ht="13.9">
      <c r="A203" s="340" t="e">
        <f t="shared" si="34"/>
        <v>#REF!</v>
      </c>
      <c r="B203" s="406" t="s">
        <v>900</v>
      </c>
      <c r="C203" s="340" t="s">
        <v>2020</v>
      </c>
      <c r="D203" s="482" t="s">
        <v>20</v>
      </c>
      <c r="E203" s="406" t="s">
        <v>2854</v>
      </c>
      <c r="F203" s="500" t="s">
        <v>2856</v>
      </c>
      <c r="G203" s="480">
        <v>43428</v>
      </c>
      <c r="H203" s="536">
        <v>82288</v>
      </c>
      <c r="I203" s="340"/>
      <c r="J203" s="340"/>
      <c r="K203" s="510">
        <f t="shared" si="27"/>
        <v>82288</v>
      </c>
      <c r="L203" s="480">
        <v>43428</v>
      </c>
      <c r="M203" s="335">
        <v>78173.834520547942</v>
      </c>
      <c r="N203" s="512">
        <f t="shared" si="35"/>
        <v>4114.1654794520582</v>
      </c>
      <c r="O203" s="512">
        <f t="shared" si="28"/>
        <v>1955</v>
      </c>
      <c r="P203" s="513">
        <v>3</v>
      </c>
      <c r="Q203" s="514">
        <f t="shared" si="29"/>
        <v>5.3561643835616435</v>
      </c>
      <c r="R203" s="514">
        <f t="shared" si="30"/>
        <v>-2.3561643835616435</v>
      </c>
      <c r="S203" s="515">
        <f t="shared" si="31"/>
        <v>0.31666666666666665</v>
      </c>
      <c r="T203" s="516">
        <v>0</v>
      </c>
      <c r="U203" s="516">
        <f t="shared" si="32"/>
        <v>4114.1654794520582</v>
      </c>
      <c r="V203" s="517">
        <f t="shared" si="33"/>
        <v>4114</v>
      </c>
      <c r="X203" s="335">
        <v>78173.834520547942</v>
      </c>
    </row>
    <row r="204" spans="1:24" ht="13.9">
      <c r="A204" s="340" t="e">
        <f t="shared" si="34"/>
        <v>#REF!</v>
      </c>
      <c r="B204" s="406" t="s">
        <v>900</v>
      </c>
      <c r="C204" s="340" t="s">
        <v>2020</v>
      </c>
      <c r="D204" s="482" t="s">
        <v>2857</v>
      </c>
      <c r="E204" s="406" t="s">
        <v>2858</v>
      </c>
      <c r="F204" s="537" t="s">
        <v>2859</v>
      </c>
      <c r="G204" s="480">
        <v>43389</v>
      </c>
      <c r="H204" s="536">
        <v>38400</v>
      </c>
      <c r="I204" s="340"/>
      <c r="J204" s="340"/>
      <c r="K204" s="510">
        <f t="shared" si="27"/>
        <v>38400</v>
      </c>
      <c r="L204" s="480">
        <v>43389</v>
      </c>
      <c r="M204" s="335">
        <v>36479.616438356163</v>
      </c>
      <c r="N204" s="512">
        <f t="shared" si="35"/>
        <v>1920.3835616438373</v>
      </c>
      <c r="O204" s="512">
        <f t="shared" si="28"/>
        <v>1994</v>
      </c>
      <c r="P204" s="513">
        <v>3</v>
      </c>
      <c r="Q204" s="514">
        <f t="shared" si="29"/>
        <v>5.463013698630137</v>
      </c>
      <c r="R204" s="514">
        <f t="shared" si="30"/>
        <v>-2.463013698630137</v>
      </c>
      <c r="S204" s="515">
        <f t="shared" si="31"/>
        <v>0.31666666666666665</v>
      </c>
      <c r="T204" s="516">
        <v>0</v>
      </c>
      <c r="U204" s="516">
        <f t="shared" si="32"/>
        <v>1920.3835616438373</v>
      </c>
      <c r="V204" s="517">
        <f t="shared" si="33"/>
        <v>1920</v>
      </c>
      <c r="X204" s="335">
        <v>36479.616438356163</v>
      </c>
    </row>
    <row r="205" spans="1:24" ht="13.9">
      <c r="A205" s="340" t="e">
        <f t="shared" si="34"/>
        <v>#REF!</v>
      </c>
      <c r="B205" s="406" t="s">
        <v>900</v>
      </c>
      <c r="C205" s="340" t="s">
        <v>2020</v>
      </c>
      <c r="D205" s="482" t="s">
        <v>2857</v>
      </c>
      <c r="E205" s="406" t="s">
        <v>2858</v>
      </c>
      <c r="F205" s="537" t="s">
        <v>2860</v>
      </c>
      <c r="G205" s="480">
        <v>43419</v>
      </c>
      <c r="H205" s="536">
        <v>20475</v>
      </c>
      <c r="I205" s="340"/>
      <c r="J205" s="340"/>
      <c r="K205" s="510">
        <f t="shared" si="27"/>
        <v>20475</v>
      </c>
      <c r="L205" s="480">
        <v>43419</v>
      </c>
      <c r="M205" s="335">
        <v>19451.126712328769</v>
      </c>
      <c r="N205" s="512">
        <f t="shared" si="35"/>
        <v>1023.8732876712311</v>
      </c>
      <c r="O205" s="512">
        <f t="shared" si="28"/>
        <v>1964</v>
      </c>
      <c r="P205" s="513">
        <v>3</v>
      </c>
      <c r="Q205" s="514">
        <f t="shared" si="29"/>
        <v>5.3808219178082188</v>
      </c>
      <c r="R205" s="514">
        <f t="shared" si="30"/>
        <v>-2.3808219178082188</v>
      </c>
      <c r="S205" s="515">
        <f t="shared" si="31"/>
        <v>0.31666666666666665</v>
      </c>
      <c r="T205" s="516">
        <v>0</v>
      </c>
      <c r="U205" s="516">
        <f t="shared" si="32"/>
        <v>1023.8732876712311</v>
      </c>
      <c r="V205" s="517">
        <f t="shared" si="33"/>
        <v>1024</v>
      </c>
      <c r="X205" s="335">
        <v>19451.126712328769</v>
      </c>
    </row>
    <row r="206" spans="1:24" ht="13.9">
      <c r="A206" s="340" t="e">
        <f t="shared" si="34"/>
        <v>#REF!</v>
      </c>
      <c r="B206" s="406" t="s">
        <v>900</v>
      </c>
      <c r="C206" s="340" t="s">
        <v>2020</v>
      </c>
      <c r="D206" s="482" t="s">
        <v>2857</v>
      </c>
      <c r="E206" s="406" t="s">
        <v>2858</v>
      </c>
      <c r="F206" s="537" t="s">
        <v>2861</v>
      </c>
      <c r="G206" s="480">
        <v>43444</v>
      </c>
      <c r="H206" s="536">
        <v>28400</v>
      </c>
      <c r="I206" s="340"/>
      <c r="J206" s="340"/>
      <c r="K206" s="510">
        <f t="shared" si="27"/>
        <v>28400</v>
      </c>
      <c r="L206" s="480">
        <v>43444</v>
      </c>
      <c r="M206" s="335">
        <v>26980.264840182645</v>
      </c>
      <c r="N206" s="512">
        <f t="shared" si="35"/>
        <v>1419.7351598173555</v>
      </c>
      <c r="O206" s="512">
        <f t="shared" si="28"/>
        <v>1939</v>
      </c>
      <c r="P206" s="513">
        <v>3</v>
      </c>
      <c r="Q206" s="514">
        <f t="shared" si="29"/>
        <v>5.3123287671232875</v>
      </c>
      <c r="R206" s="514">
        <f t="shared" si="30"/>
        <v>-2.3123287671232875</v>
      </c>
      <c r="S206" s="515">
        <f t="shared" si="31"/>
        <v>0.31666666666666665</v>
      </c>
      <c r="T206" s="516">
        <v>0</v>
      </c>
      <c r="U206" s="516">
        <f t="shared" si="32"/>
        <v>1419.7351598173555</v>
      </c>
      <c r="V206" s="517">
        <f t="shared" si="33"/>
        <v>1420</v>
      </c>
      <c r="X206" s="335">
        <v>26980.264840182645</v>
      </c>
    </row>
    <row r="207" spans="1:24" ht="13.9">
      <c r="A207" s="340" t="e">
        <f t="shared" si="34"/>
        <v>#REF!</v>
      </c>
      <c r="B207" s="406" t="s">
        <v>2839</v>
      </c>
      <c r="C207" s="340" t="s">
        <v>2020</v>
      </c>
      <c r="D207" s="482" t="s">
        <v>2394</v>
      </c>
      <c r="E207" s="406" t="s">
        <v>2858</v>
      </c>
      <c r="F207" s="537" t="s">
        <v>2862</v>
      </c>
      <c r="G207" s="480">
        <v>43194</v>
      </c>
      <c r="H207" s="536">
        <v>42900</v>
      </c>
      <c r="I207" s="340"/>
      <c r="J207" s="340"/>
      <c r="K207" s="510">
        <f t="shared" si="27"/>
        <v>42900</v>
      </c>
      <c r="L207" s="480">
        <v>43194</v>
      </c>
      <c r="M207" s="335">
        <v>40755.342465753427</v>
      </c>
      <c r="N207" s="512">
        <f t="shared" si="35"/>
        <v>2144.6575342465731</v>
      </c>
      <c r="O207" s="512">
        <f t="shared" si="28"/>
        <v>2189</v>
      </c>
      <c r="P207" s="513">
        <v>3</v>
      </c>
      <c r="Q207" s="514">
        <f t="shared" si="29"/>
        <v>5.9972602739726026</v>
      </c>
      <c r="R207" s="514">
        <f t="shared" si="30"/>
        <v>-2.9972602739726026</v>
      </c>
      <c r="S207" s="515">
        <f t="shared" si="31"/>
        <v>0.31666666666666665</v>
      </c>
      <c r="T207" s="516">
        <v>0</v>
      </c>
      <c r="U207" s="516">
        <f t="shared" si="32"/>
        <v>2144.6575342465731</v>
      </c>
      <c r="V207" s="517">
        <f t="shared" si="33"/>
        <v>2145</v>
      </c>
      <c r="X207" s="335">
        <v>40755.342465753427</v>
      </c>
    </row>
    <row r="208" spans="1:24" ht="13.9">
      <c r="A208" s="340" t="e">
        <f t="shared" si="34"/>
        <v>#REF!</v>
      </c>
      <c r="B208" s="406" t="s">
        <v>209</v>
      </c>
      <c r="C208" s="340" t="s">
        <v>2020</v>
      </c>
      <c r="D208" s="482" t="s">
        <v>2394</v>
      </c>
      <c r="E208" s="406" t="s">
        <v>2858</v>
      </c>
      <c r="F208" s="537" t="s">
        <v>2863</v>
      </c>
      <c r="G208" s="480">
        <v>43201</v>
      </c>
      <c r="H208" s="536">
        <v>20800</v>
      </c>
      <c r="I208" s="340"/>
      <c r="J208" s="340"/>
      <c r="K208" s="510">
        <f t="shared" si="27"/>
        <v>20800</v>
      </c>
      <c r="L208" s="480">
        <v>43201</v>
      </c>
      <c r="M208" s="335">
        <v>19939.543378995433</v>
      </c>
      <c r="N208" s="512">
        <f t="shared" si="35"/>
        <v>860.45662100456684</v>
      </c>
      <c r="O208" s="512">
        <f t="shared" si="28"/>
        <v>2182</v>
      </c>
      <c r="P208" s="513">
        <v>3</v>
      </c>
      <c r="Q208" s="514">
        <f t="shared" si="29"/>
        <v>5.978082191780822</v>
      </c>
      <c r="R208" s="514">
        <f t="shared" si="30"/>
        <v>-2.978082191780822</v>
      </c>
      <c r="S208" s="515">
        <f t="shared" si="31"/>
        <v>0.31666666666666665</v>
      </c>
      <c r="T208" s="516">
        <v>180</v>
      </c>
      <c r="U208" s="516">
        <f t="shared" si="32"/>
        <v>680.45662100456684</v>
      </c>
      <c r="V208" s="517">
        <f t="shared" si="33"/>
        <v>1040</v>
      </c>
      <c r="X208" s="335">
        <v>19939.543378995433</v>
      </c>
    </row>
    <row r="209" spans="1:24" ht="13.9">
      <c r="A209" s="340" t="e">
        <f t="shared" si="34"/>
        <v>#REF!</v>
      </c>
      <c r="B209" s="406" t="s">
        <v>209</v>
      </c>
      <c r="C209" s="340" t="s">
        <v>2020</v>
      </c>
      <c r="D209" s="482" t="s">
        <v>2394</v>
      </c>
      <c r="E209" s="406" t="s">
        <v>2858</v>
      </c>
      <c r="F209" s="537" t="s">
        <v>2864</v>
      </c>
      <c r="G209" s="480">
        <v>43209</v>
      </c>
      <c r="H209" s="536">
        <v>20800</v>
      </c>
      <c r="I209" s="340"/>
      <c r="J209" s="340"/>
      <c r="K209" s="510">
        <f t="shared" si="27"/>
        <v>20800</v>
      </c>
      <c r="L209" s="480">
        <v>43209</v>
      </c>
      <c r="M209" s="335">
        <v>20085.178082191778</v>
      </c>
      <c r="N209" s="512">
        <f t="shared" si="35"/>
        <v>714.82191780822177</v>
      </c>
      <c r="O209" s="512">
        <f t="shared" si="28"/>
        <v>2174</v>
      </c>
      <c r="P209" s="513">
        <v>3</v>
      </c>
      <c r="Q209" s="514">
        <f t="shared" si="29"/>
        <v>5.956164383561644</v>
      </c>
      <c r="R209" s="514">
        <f t="shared" si="30"/>
        <v>-2.956164383561644</v>
      </c>
      <c r="S209" s="515">
        <f t="shared" si="31"/>
        <v>0.31666666666666665</v>
      </c>
      <c r="T209" s="516">
        <v>325</v>
      </c>
      <c r="U209" s="516">
        <f t="shared" si="32"/>
        <v>389.82191780822177</v>
      </c>
      <c r="V209" s="517">
        <f t="shared" si="33"/>
        <v>1040</v>
      </c>
      <c r="X209" s="335">
        <v>20085.178082191778</v>
      </c>
    </row>
    <row r="210" spans="1:24" ht="13.9">
      <c r="A210" s="340" t="e">
        <f t="shared" si="34"/>
        <v>#REF!</v>
      </c>
      <c r="B210" s="538" t="s">
        <v>2839</v>
      </c>
      <c r="C210" s="340" t="s">
        <v>2093</v>
      </c>
      <c r="D210" s="539" t="s">
        <v>1302</v>
      </c>
      <c r="E210" s="538" t="s">
        <v>2865</v>
      </c>
      <c r="F210" s="540" t="s">
        <v>2866</v>
      </c>
      <c r="G210" s="541">
        <v>43575</v>
      </c>
      <c r="H210" s="536">
        <v>45690</v>
      </c>
      <c r="I210" s="340"/>
      <c r="J210" s="340"/>
      <c r="K210" s="510">
        <f t="shared" si="27"/>
        <v>45690</v>
      </c>
      <c r="L210" s="541">
        <v>43575</v>
      </c>
      <c r="M210" s="335">
        <v>42652.345205479454</v>
      </c>
      <c r="N210" s="512">
        <f t="shared" si="35"/>
        <v>3037.6547945205457</v>
      </c>
      <c r="O210" s="512">
        <f t="shared" si="28"/>
        <v>1808</v>
      </c>
      <c r="P210" s="513">
        <v>3</v>
      </c>
      <c r="Q210" s="514">
        <f t="shared" si="29"/>
        <v>4.9534246575342467</v>
      </c>
      <c r="R210" s="514">
        <f t="shared" si="30"/>
        <v>-1.9534246575342467</v>
      </c>
      <c r="S210" s="515">
        <f t="shared" si="31"/>
        <v>0.31666666666666665</v>
      </c>
      <c r="T210" s="516">
        <v>0</v>
      </c>
      <c r="U210" s="516">
        <f t="shared" si="32"/>
        <v>3037.6547945205457</v>
      </c>
      <c r="V210" s="517">
        <f t="shared" si="33"/>
        <v>2285</v>
      </c>
      <c r="X210" s="335">
        <v>42652.345205479454</v>
      </c>
    </row>
    <row r="211" spans="1:24" ht="13.9">
      <c r="A211" s="340" t="e">
        <f t="shared" si="34"/>
        <v>#REF!</v>
      </c>
      <c r="B211" s="538" t="s">
        <v>2867</v>
      </c>
      <c r="C211" s="340" t="s">
        <v>2093</v>
      </c>
      <c r="D211" s="539" t="s">
        <v>2084</v>
      </c>
      <c r="E211" s="538" t="s">
        <v>439</v>
      </c>
      <c r="F211" s="540">
        <v>676</v>
      </c>
      <c r="G211" s="541">
        <v>43823</v>
      </c>
      <c r="H211" s="536">
        <v>150000</v>
      </c>
      <c r="I211" s="340"/>
      <c r="J211" s="340"/>
      <c r="K211" s="510">
        <f t="shared" si="27"/>
        <v>150000</v>
      </c>
      <c r="L211" s="541">
        <v>43823</v>
      </c>
      <c r="M211" s="335">
        <v>142500.42465753425</v>
      </c>
      <c r="N211" s="512">
        <f t="shared" si="35"/>
        <v>7499.5753424657451</v>
      </c>
      <c r="O211" s="512">
        <f t="shared" si="28"/>
        <v>1560</v>
      </c>
      <c r="P211" s="513">
        <v>3</v>
      </c>
      <c r="Q211" s="514">
        <f t="shared" si="29"/>
        <v>4.2739726027397262</v>
      </c>
      <c r="R211" s="514">
        <f t="shared" si="30"/>
        <v>-1.2739726027397262</v>
      </c>
      <c r="S211" s="515">
        <f t="shared" si="31"/>
        <v>0.31666666666666665</v>
      </c>
      <c r="T211" s="516">
        <v>0</v>
      </c>
      <c r="U211" s="516">
        <f t="shared" si="32"/>
        <v>7499.5753424657451</v>
      </c>
      <c r="V211" s="517">
        <f t="shared" si="33"/>
        <v>7500</v>
      </c>
      <c r="W211" s="335">
        <f t="shared" ref="W211:W240" si="36">+U211-V211</f>
        <v>-0.42465753425494768</v>
      </c>
      <c r="X211" s="335">
        <v>142500.42465753425</v>
      </c>
    </row>
    <row r="212" spans="1:24" ht="13.9">
      <c r="A212" s="340" t="e">
        <f t="shared" si="34"/>
        <v>#REF!</v>
      </c>
      <c r="B212" s="538" t="s">
        <v>2867</v>
      </c>
      <c r="C212" s="340" t="s">
        <v>2093</v>
      </c>
      <c r="D212" s="539" t="s">
        <v>1302</v>
      </c>
      <c r="E212" s="538" t="s">
        <v>439</v>
      </c>
      <c r="F212" s="540">
        <v>802</v>
      </c>
      <c r="G212" s="541">
        <v>43853</v>
      </c>
      <c r="H212" s="536">
        <v>150000</v>
      </c>
      <c r="I212" s="340"/>
      <c r="J212" s="340"/>
      <c r="K212" s="510">
        <f t="shared" si="27"/>
        <v>150000</v>
      </c>
      <c r="L212" s="541">
        <v>43853</v>
      </c>
      <c r="M212" s="335">
        <v>142500.31506849316</v>
      </c>
      <c r="N212" s="512">
        <f t="shared" si="35"/>
        <v>7499.6849315068393</v>
      </c>
      <c r="O212" s="512">
        <f t="shared" si="28"/>
        <v>1530</v>
      </c>
      <c r="P212" s="513">
        <v>3</v>
      </c>
      <c r="Q212" s="514">
        <f t="shared" si="29"/>
        <v>4.1917808219178081</v>
      </c>
      <c r="R212" s="514">
        <f t="shared" si="30"/>
        <v>-1.1917808219178081</v>
      </c>
      <c r="S212" s="515">
        <f t="shared" si="31"/>
        <v>0.31666666666666665</v>
      </c>
      <c r="T212" s="516">
        <v>0</v>
      </c>
      <c r="U212" s="516">
        <f t="shared" si="32"/>
        <v>7499.6849315068393</v>
      </c>
      <c r="V212" s="517">
        <f t="shared" si="33"/>
        <v>7500</v>
      </c>
      <c r="W212" s="335">
        <f t="shared" si="36"/>
        <v>-0.315068493160652</v>
      </c>
      <c r="X212" s="335">
        <v>142500.31506849316</v>
      </c>
    </row>
    <row r="213" spans="1:24" ht="13.9">
      <c r="A213" s="340" t="e">
        <f t="shared" si="34"/>
        <v>#REF!</v>
      </c>
      <c r="B213" s="538" t="s">
        <v>2839</v>
      </c>
      <c r="C213" s="340" t="s">
        <v>2093</v>
      </c>
      <c r="D213" s="539" t="s">
        <v>27</v>
      </c>
      <c r="E213" s="538" t="s">
        <v>2847</v>
      </c>
      <c r="F213" s="542">
        <v>3754</v>
      </c>
      <c r="G213" s="541">
        <v>43696</v>
      </c>
      <c r="H213" s="536">
        <v>24745.759999999998</v>
      </c>
      <c r="I213" s="340"/>
      <c r="J213" s="340"/>
      <c r="K213" s="510">
        <f t="shared" si="27"/>
        <v>24745.759999999998</v>
      </c>
      <c r="L213" s="541">
        <v>43696</v>
      </c>
      <c r="M213" s="335">
        <v>23508.822611872143</v>
      </c>
      <c r="N213" s="512">
        <f t="shared" si="35"/>
        <v>1236.9373881278552</v>
      </c>
      <c r="O213" s="512">
        <f t="shared" si="28"/>
        <v>1687</v>
      </c>
      <c r="P213" s="513">
        <v>3</v>
      </c>
      <c r="Q213" s="514">
        <f t="shared" si="29"/>
        <v>4.6219178082191785</v>
      </c>
      <c r="R213" s="514">
        <f t="shared" si="30"/>
        <v>-1.6219178082191785</v>
      </c>
      <c r="S213" s="515">
        <f t="shared" si="31"/>
        <v>0.31666666666666665</v>
      </c>
      <c r="T213" s="516">
        <v>0</v>
      </c>
      <c r="U213" s="516">
        <f t="shared" si="32"/>
        <v>1236.9373881278552</v>
      </c>
      <c r="V213" s="517">
        <f t="shared" si="33"/>
        <v>1237</v>
      </c>
      <c r="W213" s="335">
        <f t="shared" si="36"/>
        <v>-6.2611872144771041E-2</v>
      </c>
      <c r="X213" s="335">
        <v>23508.822611872143</v>
      </c>
    </row>
    <row r="214" spans="1:24" ht="13.9">
      <c r="A214" s="340" t="e">
        <f t="shared" si="34"/>
        <v>#REF!</v>
      </c>
      <c r="B214" s="538" t="s">
        <v>2867</v>
      </c>
      <c r="C214" s="340" t="s">
        <v>2093</v>
      </c>
      <c r="D214" s="539" t="s">
        <v>27</v>
      </c>
      <c r="E214" s="538" t="s">
        <v>439</v>
      </c>
      <c r="F214" s="540">
        <v>110</v>
      </c>
      <c r="G214" s="541">
        <v>43624</v>
      </c>
      <c r="H214" s="536">
        <v>159600</v>
      </c>
      <c r="I214" s="340"/>
      <c r="J214" s="340"/>
      <c r="K214" s="510">
        <f t="shared" si="27"/>
        <v>159600</v>
      </c>
      <c r="L214" s="541">
        <v>43624</v>
      </c>
      <c r="M214" s="335">
        <v>151620.32876712328</v>
      </c>
      <c r="N214" s="512">
        <f t="shared" si="35"/>
        <v>7979.6712328767171</v>
      </c>
      <c r="O214" s="512">
        <f t="shared" si="28"/>
        <v>1759</v>
      </c>
      <c r="P214" s="513">
        <v>3</v>
      </c>
      <c r="Q214" s="514">
        <f t="shared" si="29"/>
        <v>4.8191780821917805</v>
      </c>
      <c r="R214" s="514">
        <f t="shared" si="30"/>
        <v>-1.8191780821917805</v>
      </c>
      <c r="S214" s="515">
        <f t="shared" si="31"/>
        <v>0.31666666666666665</v>
      </c>
      <c r="T214" s="516">
        <v>0</v>
      </c>
      <c r="U214" s="516">
        <f t="shared" si="32"/>
        <v>7979.6712328767171</v>
      </c>
      <c r="V214" s="517">
        <f t="shared" si="33"/>
        <v>7980</v>
      </c>
      <c r="W214" s="335">
        <f t="shared" si="36"/>
        <v>-0.32876712328288704</v>
      </c>
      <c r="X214" s="335">
        <v>151620.32876712328</v>
      </c>
    </row>
    <row r="215" spans="1:24" ht="13.9">
      <c r="A215" s="340" t="e">
        <f t="shared" si="34"/>
        <v>#REF!</v>
      </c>
      <c r="B215" s="538" t="s">
        <v>2867</v>
      </c>
      <c r="C215" s="340" t="s">
        <v>2093</v>
      </c>
      <c r="D215" s="539" t="s">
        <v>2079</v>
      </c>
      <c r="E215" s="538" t="s">
        <v>439</v>
      </c>
      <c r="F215" s="540">
        <v>712</v>
      </c>
      <c r="G215" s="541">
        <v>43799</v>
      </c>
      <c r="H215" s="536">
        <v>150000</v>
      </c>
      <c r="I215" s="340"/>
      <c r="J215" s="340"/>
      <c r="K215" s="510">
        <f t="shared" si="27"/>
        <v>150000</v>
      </c>
      <c r="L215" s="541">
        <v>43799</v>
      </c>
      <c r="M215" s="335">
        <v>142499.71232876711</v>
      </c>
      <c r="N215" s="512">
        <f t="shared" si="35"/>
        <v>7500.2876712328871</v>
      </c>
      <c r="O215" s="512">
        <f t="shared" si="28"/>
        <v>1584</v>
      </c>
      <c r="P215" s="513">
        <v>3</v>
      </c>
      <c r="Q215" s="514">
        <f t="shared" si="29"/>
        <v>4.3397260273972602</v>
      </c>
      <c r="R215" s="514">
        <f t="shared" si="30"/>
        <v>-1.3397260273972602</v>
      </c>
      <c r="S215" s="515">
        <f t="shared" si="31"/>
        <v>0.31666666666666665</v>
      </c>
      <c r="T215" s="516">
        <v>0</v>
      </c>
      <c r="U215" s="516">
        <f t="shared" si="32"/>
        <v>7500.2876712328871</v>
      </c>
      <c r="V215" s="517">
        <f t="shared" si="33"/>
        <v>7500</v>
      </c>
      <c r="W215" s="335">
        <f t="shared" si="36"/>
        <v>0.28767123288707808</v>
      </c>
      <c r="X215" s="335">
        <v>142499.71232876711</v>
      </c>
    </row>
    <row r="216" spans="1:24" ht="13.9">
      <c r="A216" s="340" t="e">
        <f t="shared" si="34"/>
        <v>#REF!</v>
      </c>
      <c r="B216" s="538" t="s">
        <v>2867</v>
      </c>
      <c r="C216" s="340" t="s">
        <v>2093</v>
      </c>
      <c r="D216" s="539" t="s">
        <v>20</v>
      </c>
      <c r="E216" s="538" t="s">
        <v>439</v>
      </c>
      <c r="F216" s="542">
        <v>711</v>
      </c>
      <c r="G216" s="541">
        <v>43827</v>
      </c>
      <c r="H216" s="536">
        <v>150000</v>
      </c>
      <c r="I216" s="340"/>
      <c r="J216" s="340"/>
      <c r="K216" s="510">
        <f t="shared" si="27"/>
        <v>150000</v>
      </c>
      <c r="L216" s="541">
        <v>43827</v>
      </c>
      <c r="M216" s="335">
        <v>142499.87671232875</v>
      </c>
      <c r="N216" s="512">
        <f t="shared" si="35"/>
        <v>7500.1232876712456</v>
      </c>
      <c r="O216" s="512">
        <f t="shared" si="28"/>
        <v>1556</v>
      </c>
      <c r="P216" s="513">
        <v>3</v>
      </c>
      <c r="Q216" s="514">
        <f t="shared" si="29"/>
        <v>4.2630136986301368</v>
      </c>
      <c r="R216" s="514">
        <f t="shared" si="30"/>
        <v>-1.2630136986301368</v>
      </c>
      <c r="S216" s="515">
        <f t="shared" si="31"/>
        <v>0.31666666666666665</v>
      </c>
      <c r="T216" s="516">
        <v>0</v>
      </c>
      <c r="U216" s="516">
        <f t="shared" si="32"/>
        <v>7500.1232876712456</v>
      </c>
      <c r="V216" s="517">
        <f t="shared" si="33"/>
        <v>7500</v>
      </c>
      <c r="W216" s="335">
        <f t="shared" si="36"/>
        <v>0.12328767124563456</v>
      </c>
      <c r="X216" s="335">
        <v>142499.87671232875</v>
      </c>
    </row>
    <row r="217" spans="1:24" ht="13.9">
      <c r="A217" s="340" t="e">
        <f t="shared" si="34"/>
        <v>#REF!</v>
      </c>
      <c r="B217" s="538" t="s">
        <v>2867</v>
      </c>
      <c r="C217" s="340" t="s">
        <v>2093</v>
      </c>
      <c r="D217" s="539" t="s">
        <v>21</v>
      </c>
      <c r="E217" s="538" t="s">
        <v>439</v>
      </c>
      <c r="F217" s="540">
        <v>99</v>
      </c>
      <c r="G217" s="541">
        <v>43623</v>
      </c>
      <c r="H217" s="536">
        <v>159600</v>
      </c>
      <c r="I217" s="340"/>
      <c r="J217" s="340"/>
      <c r="K217" s="510">
        <f t="shared" si="27"/>
        <v>159600</v>
      </c>
      <c r="L217" s="541">
        <v>43623</v>
      </c>
      <c r="M217" s="335">
        <v>151619.79452054793</v>
      </c>
      <c r="N217" s="512">
        <f t="shared" si="35"/>
        <v>7980.2054794520664</v>
      </c>
      <c r="O217" s="512">
        <f t="shared" si="28"/>
        <v>1760</v>
      </c>
      <c r="P217" s="513">
        <v>3</v>
      </c>
      <c r="Q217" s="514">
        <f t="shared" si="29"/>
        <v>4.8219178082191778</v>
      </c>
      <c r="R217" s="514">
        <f t="shared" si="30"/>
        <v>-1.8219178082191778</v>
      </c>
      <c r="S217" s="515">
        <f t="shared" si="31"/>
        <v>0.31666666666666665</v>
      </c>
      <c r="T217" s="516">
        <v>0</v>
      </c>
      <c r="U217" s="516">
        <f t="shared" si="32"/>
        <v>7980.2054794520664</v>
      </c>
      <c r="V217" s="517">
        <f t="shared" si="33"/>
        <v>7980</v>
      </c>
      <c r="W217" s="335">
        <f t="shared" si="36"/>
        <v>0.20547945206635632</v>
      </c>
      <c r="X217" s="335">
        <v>151619.79452054793</v>
      </c>
    </row>
    <row r="218" spans="1:24" ht="13.9">
      <c r="A218" s="340" t="e">
        <f t="shared" si="34"/>
        <v>#REF!</v>
      </c>
      <c r="B218" s="538" t="s">
        <v>2839</v>
      </c>
      <c r="C218" s="340" t="s">
        <v>2093</v>
      </c>
      <c r="D218" s="539" t="s">
        <v>21</v>
      </c>
      <c r="E218" s="538" t="s">
        <v>799</v>
      </c>
      <c r="F218" s="540">
        <v>2152</v>
      </c>
      <c r="G218" s="541">
        <v>43883</v>
      </c>
      <c r="H218" s="536">
        <v>50593</v>
      </c>
      <c r="I218" s="340"/>
      <c r="J218" s="340"/>
      <c r="K218" s="510">
        <f t="shared" si="27"/>
        <v>50593</v>
      </c>
      <c r="L218" s="541">
        <v>43883</v>
      </c>
      <c r="M218" s="335">
        <v>49731.301872146119</v>
      </c>
      <c r="N218" s="512">
        <f t="shared" si="35"/>
        <v>861.69812785388058</v>
      </c>
      <c r="O218" s="512">
        <f t="shared" si="28"/>
        <v>1500</v>
      </c>
      <c r="P218" s="513">
        <v>3</v>
      </c>
      <c r="Q218" s="514">
        <f t="shared" si="29"/>
        <v>4.1095890410958908</v>
      </c>
      <c r="R218" s="514">
        <f t="shared" si="30"/>
        <v>-1.1095890410958908</v>
      </c>
      <c r="S218" s="515">
        <f t="shared" si="31"/>
        <v>0.31666666666666665</v>
      </c>
      <c r="T218" s="516">
        <v>0</v>
      </c>
      <c r="U218" s="516">
        <f t="shared" si="32"/>
        <v>861.69812785388058</v>
      </c>
      <c r="V218" s="517">
        <f t="shared" si="33"/>
        <v>2530</v>
      </c>
      <c r="W218" s="335">
        <f t="shared" si="36"/>
        <v>-1668.3018721461194</v>
      </c>
      <c r="X218" s="335">
        <v>49731.301872146119</v>
      </c>
    </row>
    <row r="219" spans="1:24" ht="13.9">
      <c r="A219" s="340" t="e">
        <f t="shared" si="34"/>
        <v>#REF!</v>
      </c>
      <c r="B219" s="538" t="s">
        <v>2867</v>
      </c>
      <c r="C219" s="340" t="s">
        <v>2093</v>
      </c>
      <c r="D219" s="539" t="s">
        <v>2071</v>
      </c>
      <c r="E219" s="538" t="s">
        <v>439</v>
      </c>
      <c r="F219" s="540">
        <v>100</v>
      </c>
      <c r="G219" s="541">
        <v>43623</v>
      </c>
      <c r="H219" s="536">
        <v>159600</v>
      </c>
      <c r="I219" s="340"/>
      <c r="J219" s="340"/>
      <c r="K219" s="510">
        <f t="shared" si="27"/>
        <v>159600</v>
      </c>
      <c r="L219" s="541">
        <v>43623</v>
      </c>
      <c r="M219" s="335">
        <v>151619.79452054793</v>
      </c>
      <c r="N219" s="512">
        <f t="shared" si="35"/>
        <v>7980.2054794520664</v>
      </c>
      <c r="O219" s="512">
        <f t="shared" si="28"/>
        <v>1760</v>
      </c>
      <c r="P219" s="513">
        <v>3</v>
      </c>
      <c r="Q219" s="514">
        <f t="shared" si="29"/>
        <v>4.8219178082191778</v>
      </c>
      <c r="R219" s="514">
        <f t="shared" si="30"/>
        <v>-1.8219178082191778</v>
      </c>
      <c r="S219" s="515">
        <f t="shared" si="31"/>
        <v>0.31666666666666665</v>
      </c>
      <c r="T219" s="516">
        <v>0</v>
      </c>
      <c r="U219" s="516">
        <f t="shared" si="32"/>
        <v>7980.2054794520664</v>
      </c>
      <c r="V219" s="517">
        <f t="shared" si="33"/>
        <v>7980</v>
      </c>
      <c r="W219" s="335">
        <f t="shared" si="36"/>
        <v>0.20547945206635632</v>
      </c>
      <c r="X219" s="335">
        <v>151619.79452054793</v>
      </c>
    </row>
    <row r="220" spans="1:24" ht="15.4">
      <c r="A220" s="340" t="e">
        <f t="shared" si="34"/>
        <v>#REF!</v>
      </c>
      <c r="B220" s="543" t="s">
        <v>425</v>
      </c>
      <c r="C220" s="340" t="s">
        <v>2150</v>
      </c>
      <c r="D220" s="544" t="s">
        <v>21</v>
      </c>
      <c r="E220" s="544" t="s">
        <v>799</v>
      </c>
      <c r="F220" s="544" t="s">
        <v>2868</v>
      </c>
      <c r="G220" s="545">
        <v>44161</v>
      </c>
      <c r="H220" s="536">
        <v>12882</v>
      </c>
      <c r="I220" s="340"/>
      <c r="J220" s="340"/>
      <c r="K220" s="510">
        <f t="shared" si="27"/>
        <v>12882</v>
      </c>
      <c r="L220" s="545">
        <v>44161</v>
      </c>
      <c r="M220" s="335">
        <v>9555.6205479452055</v>
      </c>
      <c r="N220" s="512">
        <f t="shared" si="35"/>
        <v>3326.3794520547945</v>
      </c>
      <c r="O220" s="512">
        <f t="shared" si="28"/>
        <v>1222</v>
      </c>
      <c r="P220" s="513">
        <v>3</v>
      </c>
      <c r="Q220" s="514">
        <f t="shared" si="29"/>
        <v>3.3479452054794518</v>
      </c>
      <c r="R220" s="514">
        <f t="shared" si="30"/>
        <v>-0.34794520547945185</v>
      </c>
      <c r="S220" s="515">
        <f t="shared" si="31"/>
        <v>0.31666666666666665</v>
      </c>
      <c r="T220" s="516">
        <v>2682</v>
      </c>
      <c r="U220" s="516">
        <f t="shared" si="32"/>
        <v>644.37945205479446</v>
      </c>
      <c r="V220" s="517">
        <f t="shared" si="33"/>
        <v>644</v>
      </c>
      <c r="W220" s="335">
        <f t="shared" si="36"/>
        <v>0.37945205479445576</v>
      </c>
      <c r="X220" s="335">
        <v>9555.6205479452055</v>
      </c>
    </row>
    <row r="221" spans="1:24" ht="15.4">
      <c r="A221" s="340" t="e">
        <f t="shared" si="34"/>
        <v>#REF!</v>
      </c>
      <c r="B221" s="543" t="s">
        <v>209</v>
      </c>
      <c r="C221" s="340" t="s">
        <v>2150</v>
      </c>
      <c r="D221" s="546" t="s">
        <v>19</v>
      </c>
      <c r="E221" s="544" t="s">
        <v>2869</v>
      </c>
      <c r="F221" s="547" t="s">
        <v>2870</v>
      </c>
      <c r="G221" s="548">
        <v>44224</v>
      </c>
      <c r="H221" s="536">
        <v>15678</v>
      </c>
      <c r="I221" s="340"/>
      <c r="J221" s="340"/>
      <c r="K221" s="510">
        <f t="shared" si="27"/>
        <v>15678</v>
      </c>
      <c r="L221" s="548">
        <v>44224</v>
      </c>
      <c r="M221" s="335">
        <v>10772.718904109588</v>
      </c>
      <c r="N221" s="512">
        <f t="shared" si="35"/>
        <v>4905.281095890412</v>
      </c>
      <c r="O221" s="512">
        <f t="shared" si="28"/>
        <v>1159</v>
      </c>
      <c r="P221" s="513">
        <v>3</v>
      </c>
      <c r="Q221" s="514">
        <f t="shared" si="29"/>
        <v>3.1753424657534248</v>
      </c>
      <c r="R221" s="514">
        <f t="shared" si="30"/>
        <v>-0.17534246575342483</v>
      </c>
      <c r="S221" s="515">
        <f t="shared" si="31"/>
        <v>0.31666666666666665</v>
      </c>
      <c r="T221" s="516">
        <v>4121</v>
      </c>
      <c r="U221" s="516">
        <f t="shared" si="32"/>
        <v>784.28109589041196</v>
      </c>
      <c r="V221" s="517">
        <f t="shared" si="33"/>
        <v>784</v>
      </c>
      <c r="W221" s="335">
        <f t="shared" si="36"/>
        <v>0.28109589041196159</v>
      </c>
      <c r="X221" s="335">
        <v>10772.718904109588</v>
      </c>
    </row>
    <row r="222" spans="1:24" ht="15.4">
      <c r="A222" s="340" t="e">
        <f t="shared" si="34"/>
        <v>#REF!</v>
      </c>
      <c r="B222" s="543" t="s">
        <v>425</v>
      </c>
      <c r="C222" s="340" t="s">
        <v>2150</v>
      </c>
      <c r="D222" s="546" t="s">
        <v>2165</v>
      </c>
      <c r="E222" s="544" t="s">
        <v>2871</v>
      </c>
      <c r="F222" s="544" t="s">
        <v>2872</v>
      </c>
      <c r="G222" s="549">
        <v>44100</v>
      </c>
      <c r="H222" s="536">
        <v>64492</v>
      </c>
      <c r="I222" s="340"/>
      <c r="J222" s="340"/>
      <c r="K222" s="510">
        <f t="shared" si="27"/>
        <v>64492</v>
      </c>
      <c r="L222" s="549">
        <v>44100</v>
      </c>
      <c r="M222" s="335">
        <v>51251.998538812782</v>
      </c>
      <c r="N222" s="512">
        <f t="shared" si="35"/>
        <v>13240.001461187218</v>
      </c>
      <c r="O222" s="512">
        <f t="shared" si="28"/>
        <v>1283</v>
      </c>
      <c r="P222" s="513">
        <v>3</v>
      </c>
      <c r="Q222" s="514">
        <f t="shared" si="29"/>
        <v>3.515068493150685</v>
      </c>
      <c r="R222" s="514">
        <f t="shared" si="30"/>
        <v>-0.51506849315068504</v>
      </c>
      <c r="S222" s="515">
        <f t="shared" si="31"/>
        <v>0.31666666666666665</v>
      </c>
      <c r="T222" s="516">
        <v>10015</v>
      </c>
      <c r="U222" s="516">
        <f t="shared" si="32"/>
        <v>3225.0014611872175</v>
      </c>
      <c r="V222" s="517">
        <f t="shared" si="33"/>
        <v>3225</v>
      </c>
      <c r="W222" s="335">
        <f t="shared" si="36"/>
        <v>1.4611872175009921E-3</v>
      </c>
      <c r="X222" s="335">
        <v>51251.998538812782</v>
      </c>
    </row>
    <row r="223" spans="1:24" ht="15.4">
      <c r="A223" s="340" t="e">
        <f t="shared" si="34"/>
        <v>#REF!</v>
      </c>
      <c r="B223" s="543" t="s">
        <v>209</v>
      </c>
      <c r="C223" s="340" t="s">
        <v>2150</v>
      </c>
      <c r="D223" s="546" t="s">
        <v>2165</v>
      </c>
      <c r="E223" s="544" t="s">
        <v>2871</v>
      </c>
      <c r="F223" s="544" t="s">
        <v>2872</v>
      </c>
      <c r="G223" s="549">
        <v>44100</v>
      </c>
      <c r="H223" s="536">
        <v>14831.000000000002</v>
      </c>
      <c r="I223" s="340"/>
      <c r="J223" s="340"/>
      <c r="K223" s="510">
        <f t="shared" si="27"/>
        <v>14831.000000000002</v>
      </c>
      <c r="L223" s="549">
        <v>44100</v>
      </c>
      <c r="M223" s="335">
        <v>11786.243105022832</v>
      </c>
      <c r="N223" s="512">
        <f t="shared" si="35"/>
        <v>3044.7568949771703</v>
      </c>
      <c r="O223" s="512">
        <f t="shared" si="28"/>
        <v>1283</v>
      </c>
      <c r="P223" s="513">
        <v>3</v>
      </c>
      <c r="Q223" s="514">
        <f t="shared" si="29"/>
        <v>3.515068493150685</v>
      </c>
      <c r="R223" s="514">
        <f t="shared" si="30"/>
        <v>-0.51506849315068504</v>
      </c>
      <c r="S223" s="515">
        <f t="shared" si="31"/>
        <v>0.31666666666666665</v>
      </c>
      <c r="T223" s="516">
        <v>2303</v>
      </c>
      <c r="U223" s="516">
        <f t="shared" si="32"/>
        <v>741.7568949771703</v>
      </c>
      <c r="V223" s="517">
        <f t="shared" si="33"/>
        <v>742</v>
      </c>
      <c r="W223" s="335">
        <f t="shared" si="36"/>
        <v>-0.24310502282969537</v>
      </c>
      <c r="X223" s="335">
        <v>11786.243105022832</v>
      </c>
    </row>
    <row r="224" spans="1:24" ht="15.4">
      <c r="A224" s="340" t="e">
        <f t="shared" si="34"/>
        <v>#REF!</v>
      </c>
      <c r="B224" s="543" t="s">
        <v>209</v>
      </c>
      <c r="C224" s="340" t="s">
        <v>2150</v>
      </c>
      <c r="D224" s="546" t="s">
        <v>2095</v>
      </c>
      <c r="E224" s="544" t="s">
        <v>2873</v>
      </c>
      <c r="F224" s="544">
        <v>39</v>
      </c>
      <c r="G224" s="549">
        <v>44004</v>
      </c>
      <c r="H224" s="536">
        <v>10800</v>
      </c>
      <c r="I224" s="340"/>
      <c r="J224" s="340"/>
      <c r="K224" s="510">
        <f t="shared" si="27"/>
        <v>10800</v>
      </c>
      <c r="L224" s="549">
        <v>44004</v>
      </c>
      <c r="M224" s="335">
        <v>9482.301369863013</v>
      </c>
      <c r="N224" s="512">
        <f t="shared" si="35"/>
        <v>1317.698630136987</v>
      </c>
      <c r="O224" s="512">
        <f t="shared" si="28"/>
        <v>1379</v>
      </c>
      <c r="P224" s="513">
        <v>3</v>
      </c>
      <c r="Q224" s="514">
        <f t="shared" si="29"/>
        <v>3.7780821917808218</v>
      </c>
      <c r="R224" s="514">
        <f t="shared" si="30"/>
        <v>-0.77808219178082183</v>
      </c>
      <c r="S224" s="515">
        <f t="shared" si="31"/>
        <v>0.31666666666666665</v>
      </c>
      <c r="T224" s="516">
        <v>778</v>
      </c>
      <c r="U224" s="516">
        <f t="shared" si="32"/>
        <v>539.69863013698705</v>
      </c>
      <c r="V224" s="517">
        <f t="shared" si="33"/>
        <v>540</v>
      </c>
      <c r="W224" s="335">
        <f t="shared" si="36"/>
        <v>-0.3013698630129511</v>
      </c>
      <c r="X224" s="335">
        <v>9482.301369863013</v>
      </c>
    </row>
    <row r="225" spans="1:24" ht="15.4">
      <c r="A225" s="340" t="e">
        <f t="shared" si="34"/>
        <v>#REF!</v>
      </c>
      <c r="B225" s="543" t="s">
        <v>209</v>
      </c>
      <c r="C225" s="340" t="s">
        <v>2150</v>
      </c>
      <c r="D225" s="546" t="s">
        <v>2095</v>
      </c>
      <c r="E225" s="544" t="s">
        <v>2874</v>
      </c>
      <c r="F225" s="544">
        <v>11051</v>
      </c>
      <c r="G225" s="549">
        <v>44064</v>
      </c>
      <c r="H225" s="536">
        <v>14406.999999999998</v>
      </c>
      <c r="I225" s="340"/>
      <c r="J225" s="340"/>
      <c r="K225" s="510">
        <f t="shared" si="27"/>
        <v>14406.999999999998</v>
      </c>
      <c r="L225" s="549">
        <v>44064</v>
      </c>
      <c r="M225" s="335">
        <v>11899.261004566208</v>
      </c>
      <c r="N225" s="512">
        <f t="shared" si="35"/>
        <v>2507.7389954337905</v>
      </c>
      <c r="O225" s="512">
        <f t="shared" si="28"/>
        <v>1319</v>
      </c>
      <c r="P225" s="513">
        <v>3</v>
      </c>
      <c r="Q225" s="514">
        <f t="shared" si="29"/>
        <v>3.6136986301369864</v>
      </c>
      <c r="R225" s="514">
        <f t="shared" si="30"/>
        <v>-0.61369863013698644</v>
      </c>
      <c r="S225" s="515">
        <f t="shared" si="31"/>
        <v>0.31666666666666665</v>
      </c>
      <c r="T225" s="516">
        <v>1788</v>
      </c>
      <c r="U225" s="516">
        <f t="shared" si="32"/>
        <v>719.73899543379048</v>
      </c>
      <c r="V225" s="517">
        <f t="shared" si="33"/>
        <v>720</v>
      </c>
      <c r="W225" s="335">
        <f t="shared" si="36"/>
        <v>-0.26100456620952173</v>
      </c>
      <c r="X225" s="335">
        <v>11899.261004566208</v>
      </c>
    </row>
    <row r="226" spans="1:24" ht="15.4">
      <c r="A226" s="340" t="e">
        <f t="shared" si="34"/>
        <v>#REF!</v>
      </c>
      <c r="B226" s="543" t="s">
        <v>209</v>
      </c>
      <c r="C226" s="340" t="s">
        <v>2150</v>
      </c>
      <c r="D226" s="546" t="s">
        <v>2095</v>
      </c>
      <c r="E226" s="544" t="s">
        <v>2874</v>
      </c>
      <c r="F226" s="544">
        <v>11051</v>
      </c>
      <c r="G226" s="549">
        <v>44064</v>
      </c>
      <c r="H226" s="536">
        <v>9491.44</v>
      </c>
      <c r="I226" s="340"/>
      <c r="J226" s="340"/>
      <c r="K226" s="510">
        <f t="shared" si="27"/>
        <v>9491.44</v>
      </c>
      <c r="L226" s="549">
        <v>44064</v>
      </c>
      <c r="M226" s="335">
        <v>7839.3226812785397</v>
      </c>
      <c r="N226" s="512">
        <f t="shared" si="35"/>
        <v>1652.1173187214608</v>
      </c>
      <c r="O226" s="512">
        <f t="shared" si="28"/>
        <v>1319</v>
      </c>
      <c r="P226" s="513">
        <v>3</v>
      </c>
      <c r="Q226" s="514">
        <f t="shared" si="29"/>
        <v>3.6136986301369864</v>
      </c>
      <c r="R226" s="514">
        <f t="shared" si="30"/>
        <v>-0.61369863013698644</v>
      </c>
      <c r="S226" s="515">
        <f t="shared" si="31"/>
        <v>0.31666666666666665</v>
      </c>
      <c r="T226" s="516">
        <v>1177</v>
      </c>
      <c r="U226" s="516">
        <f t="shared" si="32"/>
        <v>475.11731872146083</v>
      </c>
      <c r="V226" s="517">
        <f t="shared" si="33"/>
        <v>475</v>
      </c>
      <c r="W226" s="335">
        <f t="shared" si="36"/>
        <v>0.11731872146083333</v>
      </c>
      <c r="X226" s="335">
        <v>7839.3226812785397</v>
      </c>
    </row>
    <row r="227" spans="1:24" ht="15.4">
      <c r="A227" s="340" t="e">
        <f t="shared" si="34"/>
        <v>#REF!</v>
      </c>
      <c r="B227" s="543" t="s">
        <v>425</v>
      </c>
      <c r="C227" s="340" t="s">
        <v>2150</v>
      </c>
      <c r="D227" s="546" t="s">
        <v>2875</v>
      </c>
      <c r="E227" s="544" t="s">
        <v>2876</v>
      </c>
      <c r="F227" s="544"/>
      <c r="G227" s="549">
        <v>43942</v>
      </c>
      <c r="H227" s="536">
        <v>41525</v>
      </c>
      <c r="I227" s="340"/>
      <c r="J227" s="340"/>
      <c r="K227" s="510">
        <f t="shared" si="27"/>
        <v>41525</v>
      </c>
      <c r="L227" s="549">
        <v>43942</v>
      </c>
      <c r="M227" s="335">
        <v>38692.198630136991</v>
      </c>
      <c r="N227" s="512">
        <f t="shared" si="35"/>
        <v>2832.8013698630093</v>
      </c>
      <c r="O227" s="512">
        <f t="shared" si="28"/>
        <v>1441</v>
      </c>
      <c r="P227" s="513">
        <v>3</v>
      </c>
      <c r="Q227" s="514">
        <f t="shared" si="29"/>
        <v>3.9479452054794519</v>
      </c>
      <c r="R227" s="514">
        <f t="shared" si="30"/>
        <v>-0.94794520547945194</v>
      </c>
      <c r="S227" s="515">
        <f t="shared" si="31"/>
        <v>0.31666666666666665</v>
      </c>
      <c r="T227" s="516">
        <v>757</v>
      </c>
      <c r="U227" s="516">
        <f t="shared" si="32"/>
        <v>2075.8013698630093</v>
      </c>
      <c r="V227" s="517">
        <f t="shared" si="33"/>
        <v>2076</v>
      </c>
      <c r="W227" s="335">
        <f t="shared" si="36"/>
        <v>-0.19863013699068688</v>
      </c>
      <c r="X227" s="335">
        <v>38692.198630136991</v>
      </c>
    </row>
    <row r="228" spans="1:24" ht="15.4">
      <c r="A228" s="340" t="e">
        <f t="shared" si="34"/>
        <v>#REF!</v>
      </c>
      <c r="B228" s="543" t="s">
        <v>425</v>
      </c>
      <c r="C228" s="340" t="s">
        <v>2150</v>
      </c>
      <c r="D228" s="546" t="s">
        <v>2875</v>
      </c>
      <c r="E228" s="544" t="s">
        <v>2876</v>
      </c>
      <c r="F228" s="544"/>
      <c r="G228" s="549">
        <v>44246</v>
      </c>
      <c r="H228" s="536">
        <v>29576</v>
      </c>
      <c r="I228" s="340"/>
      <c r="J228" s="340"/>
      <c r="K228" s="510">
        <f t="shared" si="27"/>
        <v>29576</v>
      </c>
      <c r="L228" s="549">
        <v>44246</v>
      </c>
      <c r="M228" s="335">
        <v>19757.848401826486</v>
      </c>
      <c r="N228" s="512">
        <f t="shared" si="35"/>
        <v>9818.1515981735138</v>
      </c>
      <c r="O228" s="512">
        <f t="shared" si="28"/>
        <v>1137</v>
      </c>
      <c r="P228" s="513">
        <v>3</v>
      </c>
      <c r="Q228" s="514">
        <f t="shared" si="29"/>
        <v>3.1150684931506851</v>
      </c>
      <c r="R228" s="514">
        <f t="shared" si="30"/>
        <v>-0.11506849315068512</v>
      </c>
      <c r="S228" s="515">
        <f t="shared" si="31"/>
        <v>0.31666666666666665</v>
      </c>
      <c r="T228" s="516">
        <v>8339</v>
      </c>
      <c r="U228" s="516">
        <f t="shared" si="32"/>
        <v>1479.1515981735138</v>
      </c>
      <c r="V228" s="517">
        <f t="shared" si="33"/>
        <v>1479</v>
      </c>
      <c r="W228" s="335">
        <f t="shared" si="36"/>
        <v>0.15159817351377569</v>
      </c>
      <c r="X228" s="335">
        <v>19757.848401826486</v>
      </c>
    </row>
    <row r="229" spans="1:24" ht="18.75">
      <c r="A229" s="340" t="e">
        <f t="shared" si="34"/>
        <v>#REF!</v>
      </c>
      <c r="B229" s="543" t="s">
        <v>425</v>
      </c>
      <c r="C229" s="340" t="s">
        <v>2150</v>
      </c>
      <c r="D229" s="484" t="s">
        <v>1302</v>
      </c>
      <c r="E229" s="544" t="s">
        <v>427</v>
      </c>
      <c r="F229" s="544">
        <v>195</v>
      </c>
      <c r="G229" s="549">
        <v>43972</v>
      </c>
      <c r="H229" s="536">
        <v>45338.98</v>
      </c>
      <c r="I229" s="340"/>
      <c r="J229" s="340"/>
      <c r="K229" s="510">
        <f t="shared" si="27"/>
        <v>45338.98</v>
      </c>
      <c r="L229" s="549">
        <v>43972</v>
      </c>
      <c r="M229" s="335">
        <v>41065.936405479457</v>
      </c>
      <c r="N229" s="512">
        <f t="shared" si="35"/>
        <v>4273.0435945205463</v>
      </c>
      <c r="O229" s="512">
        <f t="shared" si="28"/>
        <v>1411</v>
      </c>
      <c r="P229" s="513">
        <v>3</v>
      </c>
      <c r="Q229" s="514">
        <f t="shared" si="29"/>
        <v>3.8657534246575342</v>
      </c>
      <c r="R229" s="514">
        <f t="shared" si="30"/>
        <v>-0.86575342465753424</v>
      </c>
      <c r="S229" s="515">
        <f t="shared" si="31"/>
        <v>0.31666666666666665</v>
      </c>
      <c r="T229" s="516">
        <v>2006</v>
      </c>
      <c r="U229" s="516">
        <f t="shared" si="32"/>
        <v>2267.0435945205463</v>
      </c>
      <c r="V229" s="517">
        <f t="shared" si="33"/>
        <v>2267</v>
      </c>
      <c r="W229" s="335">
        <f t="shared" si="36"/>
        <v>4.3594520546321291E-2</v>
      </c>
      <c r="X229" s="335">
        <v>41065.936405479457</v>
      </c>
    </row>
    <row r="230" spans="1:24" ht="18.75">
      <c r="A230" s="340" t="e">
        <f t="shared" si="34"/>
        <v>#REF!</v>
      </c>
      <c r="B230" s="543" t="s">
        <v>425</v>
      </c>
      <c r="C230" s="340" t="s">
        <v>2150</v>
      </c>
      <c r="D230" s="484" t="s">
        <v>1302</v>
      </c>
      <c r="E230" s="544" t="s">
        <v>427</v>
      </c>
      <c r="F230" s="544">
        <v>203</v>
      </c>
      <c r="G230" s="549">
        <v>43978</v>
      </c>
      <c r="H230" s="536">
        <v>25326.37</v>
      </c>
      <c r="I230" s="340"/>
      <c r="J230" s="340"/>
      <c r="K230" s="510">
        <f t="shared" si="27"/>
        <v>25326.37</v>
      </c>
      <c r="L230" s="549">
        <v>43978</v>
      </c>
      <c r="M230" s="335">
        <v>22807.610463013694</v>
      </c>
      <c r="N230" s="512">
        <f t="shared" si="35"/>
        <v>2518.7595369863047</v>
      </c>
      <c r="O230" s="512">
        <f t="shared" si="28"/>
        <v>1405</v>
      </c>
      <c r="P230" s="513">
        <v>3</v>
      </c>
      <c r="Q230" s="514">
        <f t="shared" si="29"/>
        <v>3.8493150684931505</v>
      </c>
      <c r="R230" s="514">
        <f t="shared" si="30"/>
        <v>-0.84931506849315053</v>
      </c>
      <c r="S230" s="515">
        <f t="shared" si="31"/>
        <v>0.31666666666666665</v>
      </c>
      <c r="T230" s="516">
        <v>1253</v>
      </c>
      <c r="U230" s="516">
        <f t="shared" si="32"/>
        <v>1265.7595369863047</v>
      </c>
      <c r="V230" s="517">
        <f t="shared" si="33"/>
        <v>1266</v>
      </c>
      <c r="W230" s="335">
        <f t="shared" si="36"/>
        <v>-0.24046301369526191</v>
      </c>
      <c r="X230" s="335">
        <v>22807.610463013694</v>
      </c>
    </row>
    <row r="231" spans="1:24" ht="18.75">
      <c r="A231" s="340" t="e">
        <f t="shared" si="34"/>
        <v>#REF!</v>
      </c>
      <c r="B231" s="543" t="s">
        <v>425</v>
      </c>
      <c r="C231" s="340" t="s">
        <v>2150</v>
      </c>
      <c r="D231" s="484" t="s">
        <v>1302</v>
      </c>
      <c r="E231" s="544" t="s">
        <v>427</v>
      </c>
      <c r="F231" s="544">
        <v>211</v>
      </c>
      <c r="G231" s="549">
        <v>43998</v>
      </c>
      <c r="H231" s="536">
        <v>59767.8</v>
      </c>
      <c r="I231" s="340"/>
      <c r="J231" s="340"/>
      <c r="K231" s="510">
        <f t="shared" si="27"/>
        <v>59767.8</v>
      </c>
      <c r="L231" s="549">
        <v>43998</v>
      </c>
      <c r="M231" s="335">
        <v>52786.702630136992</v>
      </c>
      <c r="N231" s="512">
        <f t="shared" si="35"/>
        <v>6981.0973698630114</v>
      </c>
      <c r="O231" s="512">
        <f t="shared" si="28"/>
        <v>1385</v>
      </c>
      <c r="P231" s="513">
        <v>3</v>
      </c>
      <c r="Q231" s="514">
        <f t="shared" si="29"/>
        <v>3.7945205479452055</v>
      </c>
      <c r="R231" s="514">
        <f t="shared" si="30"/>
        <v>-0.79452054794520555</v>
      </c>
      <c r="S231" s="515">
        <f t="shared" si="31"/>
        <v>0.31666666666666665</v>
      </c>
      <c r="T231" s="516">
        <v>3993</v>
      </c>
      <c r="U231" s="516">
        <f t="shared" si="32"/>
        <v>2988.0973698630114</v>
      </c>
      <c r="V231" s="517">
        <f t="shared" si="33"/>
        <v>2988</v>
      </c>
      <c r="W231" s="335">
        <f t="shared" si="36"/>
        <v>9.7369863011408597E-2</v>
      </c>
      <c r="X231" s="335">
        <v>52786.702630136992</v>
      </c>
    </row>
    <row r="232" spans="1:24" ht="18.75">
      <c r="A232" s="340" t="e">
        <f t="shared" si="34"/>
        <v>#REF!</v>
      </c>
      <c r="B232" s="543" t="s">
        <v>425</v>
      </c>
      <c r="C232" s="340" t="s">
        <v>2150</v>
      </c>
      <c r="D232" s="484" t="s">
        <v>1302</v>
      </c>
      <c r="E232" s="544" t="s">
        <v>427</v>
      </c>
      <c r="F232" s="544">
        <v>236</v>
      </c>
      <c r="G232" s="549">
        <v>44068</v>
      </c>
      <c r="H232" s="536">
        <v>91228.799999999988</v>
      </c>
      <c r="I232" s="340"/>
      <c r="J232" s="340"/>
      <c r="K232" s="510">
        <f t="shared" si="27"/>
        <v>91228.799999999988</v>
      </c>
      <c r="L232" s="549">
        <v>44068</v>
      </c>
      <c r="M232" s="335">
        <v>75032.56372602738</v>
      </c>
      <c r="N232" s="512">
        <f t="shared" si="35"/>
        <v>16196.236273972609</v>
      </c>
      <c r="O232" s="512">
        <f t="shared" si="28"/>
        <v>1315</v>
      </c>
      <c r="P232" s="513">
        <v>3</v>
      </c>
      <c r="Q232" s="514">
        <f t="shared" si="29"/>
        <v>3.6027397260273974</v>
      </c>
      <c r="R232" s="514">
        <f t="shared" si="30"/>
        <v>-0.60273972602739745</v>
      </c>
      <c r="S232" s="515">
        <f t="shared" si="31"/>
        <v>0.31666666666666665</v>
      </c>
      <c r="T232" s="516">
        <v>11635</v>
      </c>
      <c r="U232" s="516">
        <f t="shared" si="32"/>
        <v>4561.2362739726086</v>
      </c>
      <c r="V232" s="517">
        <f t="shared" si="33"/>
        <v>4561</v>
      </c>
      <c r="W232" s="335">
        <f t="shared" si="36"/>
        <v>0.23627397260861471</v>
      </c>
      <c r="X232" s="335">
        <v>75032.56372602738</v>
      </c>
    </row>
    <row r="233" spans="1:24" ht="18.75">
      <c r="A233" s="340" t="e">
        <f t="shared" si="34"/>
        <v>#REF!</v>
      </c>
      <c r="B233" s="543" t="s">
        <v>425</v>
      </c>
      <c r="C233" s="340" t="s">
        <v>2150</v>
      </c>
      <c r="D233" s="484" t="s">
        <v>1302</v>
      </c>
      <c r="E233" s="544" t="s">
        <v>427</v>
      </c>
      <c r="F233" s="544">
        <v>238</v>
      </c>
      <c r="G233" s="549">
        <v>44102</v>
      </c>
      <c r="H233" s="536">
        <v>70111.86</v>
      </c>
      <c r="I233" s="340"/>
      <c r="J233" s="340"/>
      <c r="K233" s="510">
        <f t="shared" si="27"/>
        <v>70111.86</v>
      </c>
      <c r="L233" s="549">
        <v>44102</v>
      </c>
      <c r="M233" s="335">
        <v>55596.463961643836</v>
      </c>
      <c r="N233" s="512">
        <f t="shared" si="35"/>
        <v>14515.396038356164</v>
      </c>
      <c r="O233" s="512">
        <f t="shared" si="28"/>
        <v>1281</v>
      </c>
      <c r="P233" s="513">
        <v>3</v>
      </c>
      <c r="Q233" s="514">
        <f t="shared" si="29"/>
        <v>3.5095890410958903</v>
      </c>
      <c r="R233" s="514">
        <f t="shared" si="30"/>
        <v>-0.50958904109589032</v>
      </c>
      <c r="S233" s="515">
        <f t="shared" si="31"/>
        <v>0.31666666666666665</v>
      </c>
      <c r="T233" s="516">
        <v>11009</v>
      </c>
      <c r="U233" s="516">
        <f t="shared" si="32"/>
        <v>3506.3960383561644</v>
      </c>
      <c r="V233" s="517">
        <f t="shared" si="33"/>
        <v>3506</v>
      </c>
      <c r="W233" s="335">
        <f t="shared" si="36"/>
        <v>0.3960383561643539</v>
      </c>
      <c r="X233" s="335">
        <v>55596.463961643836</v>
      </c>
    </row>
    <row r="234" spans="1:24" ht="18.75">
      <c r="A234" s="340" t="e">
        <f t="shared" si="34"/>
        <v>#REF!</v>
      </c>
      <c r="B234" s="543" t="s">
        <v>425</v>
      </c>
      <c r="C234" s="340" t="s">
        <v>2150</v>
      </c>
      <c r="D234" s="484" t="s">
        <v>1302</v>
      </c>
      <c r="E234" s="544" t="s">
        <v>427</v>
      </c>
      <c r="F234" s="544">
        <v>282</v>
      </c>
      <c r="G234" s="549">
        <v>44139</v>
      </c>
      <c r="H234" s="536">
        <v>65419.48000000001</v>
      </c>
      <c r="I234" s="340"/>
      <c r="J234" s="340"/>
      <c r="K234" s="510">
        <f t="shared" si="27"/>
        <v>65419.48000000001</v>
      </c>
      <c r="L234" s="549">
        <v>44139</v>
      </c>
      <c r="M234" s="335">
        <v>49775.561426484026</v>
      </c>
      <c r="N234" s="512">
        <f t="shared" si="35"/>
        <v>15643.918573515984</v>
      </c>
      <c r="O234" s="512">
        <f t="shared" si="28"/>
        <v>1244</v>
      </c>
      <c r="P234" s="513">
        <v>3</v>
      </c>
      <c r="Q234" s="514">
        <f t="shared" si="29"/>
        <v>3.408219178082192</v>
      </c>
      <c r="R234" s="514">
        <f t="shared" si="30"/>
        <v>-0.40821917808219199</v>
      </c>
      <c r="S234" s="515">
        <f t="shared" si="31"/>
        <v>0.31666666666666665</v>
      </c>
      <c r="T234" s="516">
        <v>12373</v>
      </c>
      <c r="U234" s="516">
        <f t="shared" si="32"/>
        <v>3270.9185735159845</v>
      </c>
      <c r="V234" s="517">
        <f t="shared" si="33"/>
        <v>3271</v>
      </c>
      <c r="W234" s="335">
        <f t="shared" si="36"/>
        <v>-8.1426484015537426E-2</v>
      </c>
      <c r="X234" s="335">
        <v>49775.561426484026</v>
      </c>
    </row>
    <row r="235" spans="1:24" ht="18.75">
      <c r="A235" s="340" t="e">
        <f t="shared" si="34"/>
        <v>#REF!</v>
      </c>
      <c r="B235" s="543" t="s">
        <v>425</v>
      </c>
      <c r="C235" s="340" t="s">
        <v>2150</v>
      </c>
      <c r="D235" s="484" t="s">
        <v>1302</v>
      </c>
      <c r="E235" s="544" t="s">
        <v>427</v>
      </c>
      <c r="F235" s="544">
        <v>315</v>
      </c>
      <c r="G235" s="549">
        <v>44203</v>
      </c>
      <c r="H235" s="536">
        <v>77754.240000000005</v>
      </c>
      <c r="I235" s="340"/>
      <c r="J235" s="340"/>
      <c r="K235" s="510">
        <f t="shared" si="27"/>
        <v>77754.240000000005</v>
      </c>
      <c r="L235" s="549">
        <v>44203</v>
      </c>
      <c r="M235" s="335">
        <v>54843.367364383565</v>
      </c>
      <c r="N235" s="512">
        <f t="shared" si="35"/>
        <v>22910.872635616441</v>
      </c>
      <c r="O235" s="512">
        <f t="shared" si="28"/>
        <v>1180</v>
      </c>
      <c r="P235" s="513">
        <v>3</v>
      </c>
      <c r="Q235" s="514">
        <f t="shared" si="29"/>
        <v>3.2328767123287672</v>
      </c>
      <c r="R235" s="514">
        <f t="shared" si="30"/>
        <v>-0.23287671232876717</v>
      </c>
      <c r="S235" s="515">
        <f t="shared" si="31"/>
        <v>0.31666666666666665</v>
      </c>
      <c r="T235" s="516">
        <v>19023</v>
      </c>
      <c r="U235" s="516">
        <f t="shared" si="32"/>
        <v>3887.8726356164407</v>
      </c>
      <c r="V235" s="517">
        <f t="shared" si="33"/>
        <v>3888</v>
      </c>
      <c r="W235" s="335">
        <f t="shared" si="36"/>
        <v>-0.12736438355932478</v>
      </c>
      <c r="X235" s="335">
        <v>54843.367364383565</v>
      </c>
    </row>
    <row r="236" spans="1:24" ht="18.75">
      <c r="A236" s="340" t="e">
        <f t="shared" si="34"/>
        <v>#REF!</v>
      </c>
      <c r="B236" s="543" t="s">
        <v>425</v>
      </c>
      <c r="C236" s="340" t="s">
        <v>2150</v>
      </c>
      <c r="D236" s="484" t="s">
        <v>1302</v>
      </c>
      <c r="E236" s="544" t="s">
        <v>427</v>
      </c>
      <c r="F236" s="544">
        <v>316</v>
      </c>
      <c r="G236" s="549">
        <v>44208</v>
      </c>
      <c r="H236" s="536">
        <f>69749+1550</f>
        <v>71299</v>
      </c>
      <c r="I236" s="340"/>
      <c r="J236" s="340"/>
      <c r="K236" s="510">
        <f t="shared" si="27"/>
        <v>71299</v>
      </c>
      <c r="L236" s="549">
        <v>44208</v>
      </c>
      <c r="M236" s="335">
        <v>49385.20082191781</v>
      </c>
      <c r="N236" s="512">
        <f t="shared" si="35"/>
        <v>21913.79917808219</v>
      </c>
      <c r="O236" s="512">
        <f t="shared" si="28"/>
        <v>1175</v>
      </c>
      <c r="P236" s="513">
        <v>3</v>
      </c>
      <c r="Q236" s="514">
        <f t="shared" si="29"/>
        <v>3.2191780821917808</v>
      </c>
      <c r="R236" s="514">
        <f t="shared" si="30"/>
        <v>-0.21917808219178081</v>
      </c>
      <c r="S236" s="515">
        <f t="shared" si="31"/>
        <v>0.31666666666666665</v>
      </c>
      <c r="T236" s="516">
        <v>18349</v>
      </c>
      <c r="U236" s="516">
        <f t="shared" si="32"/>
        <v>3564.7991780821903</v>
      </c>
      <c r="V236" s="517">
        <f t="shared" si="33"/>
        <v>3565</v>
      </c>
      <c r="W236" s="335">
        <f t="shared" si="36"/>
        <v>-0.20082191780966241</v>
      </c>
      <c r="X236" s="335">
        <v>49385.20082191781</v>
      </c>
    </row>
    <row r="237" spans="1:24" ht="18.75">
      <c r="A237" s="340" t="e">
        <f t="shared" si="34"/>
        <v>#REF!</v>
      </c>
      <c r="B237" s="543" t="s">
        <v>425</v>
      </c>
      <c r="C237" s="340" t="s">
        <v>2150</v>
      </c>
      <c r="D237" s="484" t="s">
        <v>1302</v>
      </c>
      <c r="E237" s="544" t="s">
        <v>427</v>
      </c>
      <c r="F237" s="544">
        <v>325</v>
      </c>
      <c r="G237" s="549">
        <v>44223</v>
      </c>
      <c r="H237" s="536">
        <v>108050.84</v>
      </c>
      <c r="I237" s="340"/>
      <c r="J237" s="340"/>
      <c r="K237" s="510">
        <f t="shared" si="27"/>
        <v>108050.84</v>
      </c>
      <c r="L237" s="549">
        <v>44223</v>
      </c>
      <c r="M237" s="335">
        <v>74337.991154337898</v>
      </c>
      <c r="N237" s="512">
        <f t="shared" si="35"/>
        <v>33712.848845662098</v>
      </c>
      <c r="O237" s="512">
        <f t="shared" si="28"/>
        <v>1160</v>
      </c>
      <c r="P237" s="513">
        <v>3</v>
      </c>
      <c r="Q237" s="514">
        <f t="shared" si="29"/>
        <v>3.1780821917808217</v>
      </c>
      <c r="R237" s="514">
        <f t="shared" si="30"/>
        <v>-0.17808219178082174</v>
      </c>
      <c r="S237" s="515">
        <f t="shared" si="31"/>
        <v>0.31666666666666665</v>
      </c>
      <c r="T237" s="516">
        <v>28310</v>
      </c>
      <c r="U237" s="516">
        <f t="shared" si="32"/>
        <v>5402.848845662098</v>
      </c>
      <c r="V237" s="517">
        <f t="shared" si="33"/>
        <v>5403</v>
      </c>
      <c r="W237" s="335">
        <f t="shared" si="36"/>
        <v>-0.1511543379019713</v>
      </c>
      <c r="X237" s="335">
        <v>74337.991154337898</v>
      </c>
    </row>
    <row r="238" spans="1:24" ht="18.75">
      <c r="A238" s="340" t="e">
        <f t="shared" si="34"/>
        <v>#REF!</v>
      </c>
      <c r="B238" s="543" t="s">
        <v>425</v>
      </c>
      <c r="C238" s="340" t="s">
        <v>2150</v>
      </c>
      <c r="D238" s="484" t="s">
        <v>1302</v>
      </c>
      <c r="E238" s="544" t="s">
        <v>427</v>
      </c>
      <c r="F238" s="544">
        <v>336</v>
      </c>
      <c r="G238" s="549">
        <v>44252</v>
      </c>
      <c r="H238" s="536">
        <v>60169.499999999993</v>
      </c>
      <c r="I238" s="340"/>
      <c r="J238" s="340"/>
      <c r="K238" s="510">
        <f t="shared" si="27"/>
        <v>60169.499999999993</v>
      </c>
      <c r="L238" s="549">
        <v>44252</v>
      </c>
      <c r="M238" s="335">
        <v>39882.212876712321</v>
      </c>
      <c r="N238" s="512">
        <f t="shared" si="35"/>
        <v>20287.287123287671</v>
      </c>
      <c r="O238" s="512">
        <f t="shared" si="28"/>
        <v>1131</v>
      </c>
      <c r="P238" s="513">
        <v>3</v>
      </c>
      <c r="Q238" s="514">
        <f t="shared" si="29"/>
        <v>3.0986301369863014</v>
      </c>
      <c r="R238" s="514">
        <f t="shared" si="30"/>
        <v>-9.8630136986301409E-2</v>
      </c>
      <c r="S238" s="515">
        <f t="shared" si="31"/>
        <v>0.31666666666666665</v>
      </c>
      <c r="T238" s="516">
        <v>17279</v>
      </c>
      <c r="U238" s="516">
        <f t="shared" si="32"/>
        <v>3008.2871232876714</v>
      </c>
      <c r="V238" s="517">
        <f t="shared" si="33"/>
        <v>3008</v>
      </c>
      <c r="W238" s="335">
        <f t="shared" si="36"/>
        <v>0.28712328767142026</v>
      </c>
      <c r="X238" s="335">
        <v>39882.212876712321</v>
      </c>
    </row>
    <row r="239" spans="1:24" ht="18.75">
      <c r="A239" s="340" t="e">
        <f t="shared" si="34"/>
        <v>#REF!</v>
      </c>
      <c r="B239" s="543" t="s">
        <v>425</v>
      </c>
      <c r="C239" s="340" t="s">
        <v>2150</v>
      </c>
      <c r="D239" s="484" t="s">
        <v>1302</v>
      </c>
      <c r="E239" s="544" t="s">
        <v>427</v>
      </c>
      <c r="F239" s="544">
        <v>347</v>
      </c>
      <c r="G239" s="549">
        <v>44274</v>
      </c>
      <c r="H239" s="536">
        <v>80233.899999999994</v>
      </c>
      <c r="I239" s="340"/>
      <c r="J239" s="340"/>
      <c r="K239" s="510">
        <f t="shared" si="27"/>
        <v>80233.899999999994</v>
      </c>
      <c r="L239" s="549">
        <v>44274</v>
      </c>
      <c r="M239" s="335">
        <v>51650.115168949764</v>
      </c>
      <c r="N239" s="512">
        <f t="shared" si="35"/>
        <v>28583.78483105023</v>
      </c>
      <c r="O239" s="512">
        <f t="shared" si="28"/>
        <v>1109</v>
      </c>
      <c r="P239" s="513">
        <v>3</v>
      </c>
      <c r="Q239" s="514">
        <f t="shared" si="29"/>
        <v>3.0383561643835617</v>
      </c>
      <c r="R239" s="514">
        <f t="shared" si="30"/>
        <v>-3.8356164383561708E-2</v>
      </c>
      <c r="S239" s="515">
        <f t="shared" si="31"/>
        <v>0.31666666666666665</v>
      </c>
      <c r="T239" s="516">
        <v>24572</v>
      </c>
      <c r="U239" s="516">
        <f t="shared" si="32"/>
        <v>4011.7848310502304</v>
      </c>
      <c r="V239" s="517">
        <f t="shared" si="33"/>
        <v>4012</v>
      </c>
      <c r="W239" s="335">
        <f t="shared" si="36"/>
        <v>-0.21516894976957701</v>
      </c>
      <c r="X239" s="335">
        <v>51650.115168949764</v>
      </c>
    </row>
    <row r="240" spans="1:24" ht="18.75">
      <c r="A240" s="340" t="e">
        <f t="shared" si="34"/>
        <v>#REF!</v>
      </c>
      <c r="B240" s="543" t="s">
        <v>209</v>
      </c>
      <c r="C240" s="340" t="s">
        <v>2150</v>
      </c>
      <c r="D240" s="484" t="s">
        <v>1302</v>
      </c>
      <c r="E240" s="544" t="s">
        <v>2877</v>
      </c>
      <c r="F240" s="544">
        <v>93130131</v>
      </c>
      <c r="G240" s="549">
        <v>44118</v>
      </c>
      <c r="H240" s="536">
        <v>310000</v>
      </c>
      <c r="I240" s="340"/>
      <c r="J240" s="340"/>
      <c r="K240" s="510">
        <f t="shared" si="27"/>
        <v>310000</v>
      </c>
      <c r="L240" s="549">
        <v>44118</v>
      </c>
      <c r="M240" s="335">
        <v>241516.89497716894</v>
      </c>
      <c r="N240" s="512">
        <f t="shared" si="35"/>
        <v>68483.105022831063</v>
      </c>
      <c r="O240" s="512">
        <f t="shared" si="28"/>
        <v>1265</v>
      </c>
      <c r="P240" s="513">
        <v>3</v>
      </c>
      <c r="Q240" s="514">
        <f t="shared" si="29"/>
        <v>3.4657534246575343</v>
      </c>
      <c r="R240" s="514">
        <f t="shared" si="30"/>
        <v>-0.46575342465753433</v>
      </c>
      <c r="S240" s="515">
        <f t="shared" si="31"/>
        <v>0.31666666666666665</v>
      </c>
      <c r="T240" s="516">
        <v>52983</v>
      </c>
      <c r="U240" s="516">
        <f t="shared" si="32"/>
        <v>15500.105022831063</v>
      </c>
      <c r="V240" s="517">
        <f t="shared" si="33"/>
        <v>15500</v>
      </c>
      <c r="W240" s="335">
        <f t="shared" si="36"/>
        <v>0.10502283106325194</v>
      </c>
      <c r="X240" s="335">
        <v>241516.89497716894</v>
      </c>
    </row>
    <row r="241" spans="1:24" ht="18.75">
      <c r="A241" s="340" t="e">
        <f t="shared" si="34"/>
        <v>#REF!</v>
      </c>
      <c r="B241" s="543" t="s">
        <v>209</v>
      </c>
      <c r="C241" s="340" t="s">
        <v>2150</v>
      </c>
      <c r="D241" s="484" t="s">
        <v>1302</v>
      </c>
      <c r="E241" s="544" t="s">
        <v>427</v>
      </c>
      <c r="F241" s="544">
        <v>317</v>
      </c>
      <c r="G241" s="549">
        <v>44208</v>
      </c>
      <c r="H241" s="536">
        <v>25228.82</v>
      </c>
      <c r="I241" s="340"/>
      <c r="J241" s="340"/>
      <c r="K241" s="510">
        <f t="shared" si="27"/>
        <v>25228.82</v>
      </c>
      <c r="L241" s="549">
        <v>44208</v>
      </c>
      <c r="M241" s="335">
        <v>17685.518020091324</v>
      </c>
      <c r="N241" s="512">
        <f t="shared" si="35"/>
        <v>7543.301979908676</v>
      </c>
      <c r="O241" s="512">
        <f t="shared" si="28"/>
        <v>1175</v>
      </c>
      <c r="P241" s="513">
        <v>3</v>
      </c>
      <c r="Q241" s="514">
        <f t="shared" si="29"/>
        <v>3.2191780821917808</v>
      </c>
      <c r="R241" s="514">
        <f t="shared" si="30"/>
        <v>-0.21917808219178081</v>
      </c>
      <c r="S241" s="515">
        <f t="shared" si="31"/>
        <v>0.31666666666666665</v>
      </c>
      <c r="T241" s="516">
        <v>6282</v>
      </c>
      <c r="U241" s="516">
        <f t="shared" si="32"/>
        <v>1261.301979908676</v>
      </c>
      <c r="V241" s="517">
        <f t="shared" si="33"/>
        <v>1261</v>
      </c>
      <c r="W241" s="335">
        <f>+U241-V241</f>
        <v>0.30197990867600311</v>
      </c>
      <c r="X241" s="335">
        <v>17685.518020091324</v>
      </c>
    </row>
    <row r="242" spans="1:24" ht="13.9">
      <c r="A242" s="340" t="e">
        <f t="shared" si="34"/>
        <v>#REF!</v>
      </c>
      <c r="B242" s="14" t="s">
        <v>1109</v>
      </c>
      <c r="C242" s="340" t="s">
        <v>2173</v>
      </c>
      <c r="D242" s="14" t="s">
        <v>1110</v>
      </c>
      <c r="E242" s="14" t="s">
        <v>1111</v>
      </c>
      <c r="F242" s="14">
        <v>125</v>
      </c>
      <c r="G242" s="15">
        <v>44392</v>
      </c>
      <c r="H242" s="536">
        <v>37288</v>
      </c>
      <c r="I242" s="340"/>
      <c r="J242" s="340"/>
      <c r="K242" s="510">
        <f t="shared" si="27"/>
        <v>37288</v>
      </c>
      <c r="L242" s="15">
        <v>44392</v>
      </c>
      <c r="M242" s="335">
        <v>20186.599452054797</v>
      </c>
      <c r="N242" s="512">
        <f t="shared" si="35"/>
        <v>17101.400547945203</v>
      </c>
      <c r="O242" s="512">
        <f t="shared" si="28"/>
        <v>991</v>
      </c>
      <c r="P242" s="513">
        <v>3</v>
      </c>
      <c r="Q242" s="514">
        <f t="shared" si="29"/>
        <v>2.7150684931506848</v>
      </c>
      <c r="R242" s="514">
        <f t="shared" si="30"/>
        <v>0.28493150684931523</v>
      </c>
      <c r="S242" s="515">
        <f t="shared" si="31"/>
        <v>0.31666666666666665</v>
      </c>
      <c r="T242" s="516">
        <f t="shared" ref="T242:T258" si="37">K242*S242</f>
        <v>11807.866666666667</v>
      </c>
      <c r="U242" s="516">
        <f t="shared" si="32"/>
        <v>5293.5338812785358</v>
      </c>
      <c r="V242" s="517">
        <f t="shared" si="33"/>
        <v>1864</v>
      </c>
      <c r="X242" s="335">
        <v>20186.599452054797</v>
      </c>
    </row>
    <row r="243" spans="1:24" ht="13.9">
      <c r="A243" s="340" t="e">
        <f t="shared" si="34"/>
        <v>#REF!</v>
      </c>
      <c r="B243" s="14" t="s">
        <v>1112</v>
      </c>
      <c r="C243" s="340" t="s">
        <v>2173</v>
      </c>
      <c r="D243" s="14" t="s">
        <v>1110</v>
      </c>
      <c r="E243" s="14" t="s">
        <v>1111</v>
      </c>
      <c r="F243" s="14">
        <v>165</v>
      </c>
      <c r="G243" s="15">
        <v>44404</v>
      </c>
      <c r="H243" s="536">
        <v>47458</v>
      </c>
      <c r="I243" s="340"/>
      <c r="J243" s="340"/>
      <c r="K243" s="510">
        <f t="shared" si="27"/>
        <v>47458</v>
      </c>
      <c r="L243" s="15">
        <v>44410</v>
      </c>
      <c r="M243" s="335">
        <v>24951.20602739726</v>
      </c>
      <c r="N243" s="512">
        <f t="shared" si="35"/>
        <v>22506.79397260274</v>
      </c>
      <c r="O243" s="512">
        <f t="shared" si="28"/>
        <v>973</v>
      </c>
      <c r="P243" s="513">
        <v>3</v>
      </c>
      <c r="Q243" s="514">
        <f t="shared" si="29"/>
        <v>2.6657534246575341</v>
      </c>
      <c r="R243" s="514">
        <f t="shared" si="30"/>
        <v>0.33424657534246593</v>
      </c>
      <c r="S243" s="515">
        <f t="shared" si="31"/>
        <v>0.31666666666666665</v>
      </c>
      <c r="T243" s="516">
        <f t="shared" si="37"/>
        <v>15028.366666666667</v>
      </c>
      <c r="U243" s="516">
        <f t="shared" si="32"/>
        <v>7478.427305936073</v>
      </c>
      <c r="V243" s="517">
        <f t="shared" si="33"/>
        <v>2373</v>
      </c>
      <c r="X243" s="335">
        <v>24951.20602739726</v>
      </c>
    </row>
    <row r="244" spans="1:24" ht="13.9">
      <c r="A244" s="340" t="e">
        <f t="shared" si="34"/>
        <v>#REF!</v>
      </c>
      <c r="B244" s="14" t="s">
        <v>1113</v>
      </c>
      <c r="C244" s="340" t="s">
        <v>2173</v>
      </c>
      <c r="D244" s="14" t="s">
        <v>26</v>
      </c>
      <c r="E244" s="14" t="s">
        <v>427</v>
      </c>
      <c r="F244" s="14" t="s">
        <v>1114</v>
      </c>
      <c r="G244" s="15">
        <v>44306</v>
      </c>
      <c r="H244" s="536">
        <v>31950</v>
      </c>
      <c r="I244" s="340"/>
      <c r="J244" s="340"/>
      <c r="K244" s="510">
        <f t="shared" si="27"/>
        <v>31950</v>
      </c>
      <c r="L244" s="15">
        <v>44306</v>
      </c>
      <c r="M244" s="335">
        <v>19680.616438356163</v>
      </c>
      <c r="N244" s="512">
        <f t="shared" si="35"/>
        <v>12269.383561643837</v>
      </c>
      <c r="O244" s="512">
        <f t="shared" si="28"/>
        <v>1077</v>
      </c>
      <c r="P244" s="513">
        <v>3</v>
      </c>
      <c r="Q244" s="514">
        <f t="shared" si="29"/>
        <v>2.9506849315068493</v>
      </c>
      <c r="R244" s="514">
        <f t="shared" si="30"/>
        <v>4.9315068493150704E-2</v>
      </c>
      <c r="S244" s="515">
        <f t="shared" si="31"/>
        <v>0.31666666666666665</v>
      </c>
      <c r="T244" s="516">
        <f t="shared" si="37"/>
        <v>10117.5</v>
      </c>
      <c r="U244" s="516">
        <f t="shared" si="32"/>
        <v>2151.8835616438373</v>
      </c>
      <c r="V244" s="517">
        <f t="shared" si="33"/>
        <v>1598</v>
      </c>
      <c r="X244" s="335">
        <v>19680.616438356163</v>
      </c>
    </row>
    <row r="245" spans="1:24" ht="13.9">
      <c r="A245" s="340" t="e">
        <f t="shared" si="34"/>
        <v>#REF!</v>
      </c>
      <c r="B245" s="14" t="s">
        <v>1112</v>
      </c>
      <c r="C245" s="340" t="s">
        <v>2173</v>
      </c>
      <c r="D245" s="14" t="s">
        <v>26</v>
      </c>
      <c r="E245" s="14" t="s">
        <v>427</v>
      </c>
      <c r="F245" s="14" t="s">
        <v>1115</v>
      </c>
      <c r="G245" s="23">
        <v>44336</v>
      </c>
      <c r="H245" s="536">
        <v>89651</v>
      </c>
      <c r="I245" s="340"/>
      <c r="J245" s="340"/>
      <c r="K245" s="510">
        <f t="shared" si="27"/>
        <v>89651</v>
      </c>
      <c r="L245" s="23">
        <v>44336</v>
      </c>
      <c r="M245" s="335">
        <v>52889.996347031964</v>
      </c>
      <c r="N245" s="512">
        <f t="shared" si="35"/>
        <v>36761.003652968036</v>
      </c>
      <c r="O245" s="512">
        <f t="shared" si="28"/>
        <v>1047</v>
      </c>
      <c r="P245" s="513">
        <v>3</v>
      </c>
      <c r="Q245" s="514">
        <f t="shared" si="29"/>
        <v>2.8684931506849316</v>
      </c>
      <c r="R245" s="514">
        <f t="shared" si="30"/>
        <v>0.1315068493150684</v>
      </c>
      <c r="S245" s="515">
        <f t="shared" si="31"/>
        <v>0.31666666666666665</v>
      </c>
      <c r="T245" s="516">
        <f t="shared" si="37"/>
        <v>28389.483333333334</v>
      </c>
      <c r="U245" s="516">
        <f t="shared" si="32"/>
        <v>8371.5203196347029</v>
      </c>
      <c r="V245" s="517">
        <f t="shared" si="33"/>
        <v>4483</v>
      </c>
      <c r="X245" s="335">
        <v>52889.996347031964</v>
      </c>
    </row>
    <row r="246" spans="1:24" ht="13.9">
      <c r="A246" s="340" t="e">
        <f t="shared" si="34"/>
        <v>#REF!</v>
      </c>
      <c r="B246" s="14" t="s">
        <v>1113</v>
      </c>
      <c r="C246" s="340" t="s">
        <v>2173</v>
      </c>
      <c r="D246" s="14" t="s">
        <v>26</v>
      </c>
      <c r="E246" s="14" t="s">
        <v>427</v>
      </c>
      <c r="F246" s="14" t="s">
        <v>1116</v>
      </c>
      <c r="G246" s="15">
        <v>44415</v>
      </c>
      <c r="H246" s="536">
        <v>27450</v>
      </c>
      <c r="I246" s="340"/>
      <c r="J246" s="340"/>
      <c r="K246" s="510">
        <f t="shared" si="27"/>
        <v>27450</v>
      </c>
      <c r="L246" s="15">
        <v>44420</v>
      </c>
      <c r="M246" s="335">
        <v>14193.780821917808</v>
      </c>
      <c r="N246" s="512">
        <f t="shared" si="35"/>
        <v>13256.219178082192</v>
      </c>
      <c r="O246" s="512">
        <f t="shared" si="28"/>
        <v>963</v>
      </c>
      <c r="P246" s="513">
        <v>3</v>
      </c>
      <c r="Q246" s="514">
        <f t="shared" si="29"/>
        <v>2.6383561643835618</v>
      </c>
      <c r="R246" s="514">
        <f t="shared" si="30"/>
        <v>0.3616438356164382</v>
      </c>
      <c r="S246" s="515">
        <f t="shared" si="31"/>
        <v>0.31666666666666665</v>
      </c>
      <c r="T246" s="516">
        <f t="shared" si="37"/>
        <v>8692.5</v>
      </c>
      <c r="U246" s="516">
        <f t="shared" si="32"/>
        <v>4563.7191780821922</v>
      </c>
      <c r="V246" s="517">
        <f t="shared" si="33"/>
        <v>1373</v>
      </c>
      <c r="X246" s="335">
        <v>14193.780821917808</v>
      </c>
    </row>
    <row r="247" spans="1:24" ht="13.9">
      <c r="A247" s="340" t="e">
        <f t="shared" si="34"/>
        <v>#REF!</v>
      </c>
      <c r="B247" s="14" t="s">
        <v>1113</v>
      </c>
      <c r="C247" s="340" t="s">
        <v>2173</v>
      </c>
      <c r="D247" s="14" t="s">
        <v>26</v>
      </c>
      <c r="E247" s="14" t="s">
        <v>427</v>
      </c>
      <c r="F247" s="14" t="s">
        <v>1117</v>
      </c>
      <c r="G247" s="23">
        <v>44443</v>
      </c>
      <c r="H247" s="536">
        <v>37557</v>
      </c>
      <c r="I247" s="340"/>
      <c r="J247" s="340"/>
      <c r="K247" s="510">
        <f t="shared" si="27"/>
        <v>37557</v>
      </c>
      <c r="L247" s="23">
        <v>44443</v>
      </c>
      <c r="M247" s="335">
        <v>18670.459315068492</v>
      </c>
      <c r="N247" s="512">
        <f t="shared" si="35"/>
        <v>18886.540684931508</v>
      </c>
      <c r="O247" s="512">
        <f t="shared" si="28"/>
        <v>940</v>
      </c>
      <c r="P247" s="513">
        <v>3</v>
      </c>
      <c r="Q247" s="514">
        <f t="shared" si="29"/>
        <v>2.5753424657534247</v>
      </c>
      <c r="R247" s="514">
        <f t="shared" si="30"/>
        <v>0.42465753424657526</v>
      </c>
      <c r="S247" s="515">
        <f t="shared" si="31"/>
        <v>0.31666666666666665</v>
      </c>
      <c r="T247" s="516">
        <f t="shared" si="37"/>
        <v>11893.05</v>
      </c>
      <c r="U247" s="516">
        <f t="shared" si="32"/>
        <v>6993.4906849315084</v>
      </c>
      <c r="V247" s="517">
        <f t="shared" si="33"/>
        <v>1878</v>
      </c>
      <c r="X247" s="335">
        <v>18670.459315068492</v>
      </c>
    </row>
    <row r="248" spans="1:24" ht="13.9">
      <c r="A248" s="340" t="e">
        <f t="shared" si="34"/>
        <v>#REF!</v>
      </c>
      <c r="B248" s="14" t="s">
        <v>1113</v>
      </c>
      <c r="C248" s="340" t="s">
        <v>2173</v>
      </c>
      <c r="D248" s="14" t="s">
        <v>26</v>
      </c>
      <c r="E248" s="14" t="s">
        <v>427</v>
      </c>
      <c r="F248" s="14" t="s">
        <v>1118</v>
      </c>
      <c r="G248" s="23">
        <v>44560</v>
      </c>
      <c r="H248" s="536">
        <v>27005</v>
      </c>
      <c r="I248" s="340">
        <v>0</v>
      </c>
      <c r="J248" s="340"/>
      <c r="K248" s="510">
        <f t="shared" si="27"/>
        <v>27005</v>
      </c>
      <c r="L248" s="23">
        <v>44560</v>
      </c>
      <c r="M248" s="335">
        <v>10683.621917808217</v>
      </c>
      <c r="N248" s="512">
        <f t="shared" si="35"/>
        <v>16321.378082191783</v>
      </c>
      <c r="O248" s="512">
        <f t="shared" si="28"/>
        <v>823</v>
      </c>
      <c r="P248" s="513">
        <v>3</v>
      </c>
      <c r="Q248" s="514">
        <f t="shared" si="29"/>
        <v>2.2547945205479452</v>
      </c>
      <c r="R248" s="514">
        <f t="shared" si="30"/>
        <v>0.74520547945205484</v>
      </c>
      <c r="S248" s="515">
        <f t="shared" si="31"/>
        <v>0.31666666666666665</v>
      </c>
      <c r="T248" s="516">
        <f t="shared" si="37"/>
        <v>8551.5833333333321</v>
      </c>
      <c r="U248" s="516">
        <f t="shared" si="32"/>
        <v>7769.7947488584505</v>
      </c>
      <c r="V248" s="517">
        <f t="shared" si="33"/>
        <v>1350</v>
      </c>
      <c r="X248" s="335">
        <v>10683.621917808217</v>
      </c>
    </row>
    <row r="249" spans="1:24" ht="13.9">
      <c r="A249" s="340" t="e">
        <f t="shared" si="34"/>
        <v>#REF!</v>
      </c>
      <c r="B249" s="14" t="s">
        <v>1113</v>
      </c>
      <c r="C249" s="340" t="s">
        <v>2173</v>
      </c>
      <c r="D249" s="14" t="s">
        <v>26</v>
      </c>
      <c r="E249" s="14" t="s">
        <v>427</v>
      </c>
      <c r="F249" s="14" t="s">
        <v>1119</v>
      </c>
      <c r="G249" s="23">
        <v>44608</v>
      </c>
      <c r="H249" s="536">
        <v>104851</v>
      </c>
      <c r="I249" s="340"/>
      <c r="J249" s="340"/>
      <c r="K249" s="510">
        <f t="shared" si="27"/>
        <v>104851</v>
      </c>
      <c r="L249" s="23">
        <v>44608</v>
      </c>
      <c r="M249" s="335">
        <v>37114.381369863011</v>
      </c>
      <c r="N249" s="512">
        <f t="shared" si="35"/>
        <v>67736.618630136989</v>
      </c>
      <c r="O249" s="512">
        <f t="shared" si="28"/>
        <v>775</v>
      </c>
      <c r="P249" s="513">
        <v>3</v>
      </c>
      <c r="Q249" s="514">
        <f t="shared" si="29"/>
        <v>2.1232876712328768</v>
      </c>
      <c r="R249" s="514">
        <f t="shared" si="30"/>
        <v>0.87671232876712324</v>
      </c>
      <c r="S249" s="515">
        <f t="shared" si="31"/>
        <v>0.31666666666666665</v>
      </c>
      <c r="T249" s="516">
        <f t="shared" si="37"/>
        <v>33202.816666666666</v>
      </c>
      <c r="U249" s="516">
        <f t="shared" si="32"/>
        <v>34533.801963470323</v>
      </c>
      <c r="V249" s="517">
        <f t="shared" si="33"/>
        <v>5243</v>
      </c>
      <c r="X249" s="335">
        <v>37114.381369863011</v>
      </c>
    </row>
    <row r="250" spans="1:24" ht="13.9">
      <c r="A250" s="340" t="e">
        <f t="shared" si="34"/>
        <v>#REF!</v>
      </c>
      <c r="B250" s="14" t="s">
        <v>1120</v>
      </c>
      <c r="C250" s="340" t="s">
        <v>2173</v>
      </c>
      <c r="D250" s="14" t="s">
        <v>26</v>
      </c>
      <c r="E250" s="14" t="s">
        <v>427</v>
      </c>
      <c r="F250" s="14"/>
      <c r="G250" s="23">
        <v>44622</v>
      </c>
      <c r="H250" s="536">
        <v>91102</v>
      </c>
      <c r="I250" s="340"/>
      <c r="J250" s="340"/>
      <c r="K250" s="510">
        <f t="shared" si="27"/>
        <v>91102</v>
      </c>
      <c r="L250" s="23">
        <v>44622</v>
      </c>
      <c r="M250" s="335">
        <v>31141.076347031958</v>
      </c>
      <c r="N250" s="512">
        <f t="shared" si="35"/>
        <v>59960.923652968042</v>
      </c>
      <c r="O250" s="512">
        <f t="shared" si="28"/>
        <v>761</v>
      </c>
      <c r="P250" s="513">
        <v>3</v>
      </c>
      <c r="Q250" s="514">
        <f t="shared" si="29"/>
        <v>2.0849315068493151</v>
      </c>
      <c r="R250" s="514">
        <f t="shared" si="30"/>
        <v>0.91506849315068495</v>
      </c>
      <c r="S250" s="515">
        <f t="shared" si="31"/>
        <v>0.31666666666666665</v>
      </c>
      <c r="T250" s="516">
        <f t="shared" si="37"/>
        <v>28848.966666666664</v>
      </c>
      <c r="U250" s="516">
        <f t="shared" si="32"/>
        <v>31111.956986301378</v>
      </c>
      <c r="V250" s="517">
        <f t="shared" si="33"/>
        <v>4555</v>
      </c>
      <c r="X250" s="335">
        <v>31141.076347031958</v>
      </c>
    </row>
    <row r="251" spans="1:24" ht="13.9">
      <c r="A251" s="340" t="e">
        <f t="shared" si="34"/>
        <v>#REF!</v>
      </c>
      <c r="B251" s="14" t="s">
        <v>1121</v>
      </c>
      <c r="C251" s="340" t="s">
        <v>2173</v>
      </c>
      <c r="D251" s="14" t="s">
        <v>26</v>
      </c>
      <c r="E251" s="14" t="s">
        <v>427</v>
      </c>
      <c r="F251" s="14" t="s">
        <v>1122</v>
      </c>
      <c r="G251" s="23">
        <v>44636</v>
      </c>
      <c r="H251" s="536">
        <v>57542</v>
      </c>
      <c r="I251" s="340"/>
      <c r="J251" s="340"/>
      <c r="K251" s="510">
        <f t="shared" si="27"/>
        <v>57542</v>
      </c>
      <c r="L251" s="23">
        <v>44636</v>
      </c>
      <c r="M251" s="335">
        <v>18970.467579908673</v>
      </c>
      <c r="N251" s="512">
        <f t="shared" si="35"/>
        <v>38571.532420091331</v>
      </c>
      <c r="O251" s="512">
        <f t="shared" si="28"/>
        <v>747</v>
      </c>
      <c r="P251" s="513">
        <v>3</v>
      </c>
      <c r="Q251" s="514">
        <f t="shared" si="29"/>
        <v>2.0465753424657533</v>
      </c>
      <c r="R251" s="514">
        <f t="shared" si="30"/>
        <v>0.95342465753424666</v>
      </c>
      <c r="S251" s="515">
        <f t="shared" si="31"/>
        <v>0.31666666666666665</v>
      </c>
      <c r="T251" s="516">
        <f t="shared" si="37"/>
        <v>18221.633333333331</v>
      </c>
      <c r="U251" s="516">
        <f t="shared" si="32"/>
        <v>20349.899086758</v>
      </c>
      <c r="V251" s="517">
        <f t="shared" si="33"/>
        <v>2877</v>
      </c>
      <c r="X251" s="335">
        <v>18970.467579908673</v>
      </c>
    </row>
    <row r="252" spans="1:24" ht="13.9">
      <c r="A252" s="340" t="e">
        <f t="shared" si="34"/>
        <v>#REF!</v>
      </c>
      <c r="B252" s="14" t="s">
        <v>209</v>
      </c>
      <c r="C252" s="340" t="s">
        <v>2173</v>
      </c>
      <c r="D252" s="14" t="s">
        <v>26</v>
      </c>
      <c r="E252" s="14" t="s">
        <v>427</v>
      </c>
      <c r="F252" s="14" t="s">
        <v>1123</v>
      </c>
      <c r="G252" s="23">
        <v>44627</v>
      </c>
      <c r="H252" s="536">
        <v>19238</v>
      </c>
      <c r="I252" s="340"/>
      <c r="J252" s="340"/>
      <c r="K252" s="510">
        <f t="shared" si="27"/>
        <v>19238</v>
      </c>
      <c r="L252" s="23">
        <v>44627</v>
      </c>
      <c r="M252" s="335">
        <v>6492.6053881278531</v>
      </c>
      <c r="N252" s="512">
        <f t="shared" si="35"/>
        <v>12745.394611872147</v>
      </c>
      <c r="O252" s="512">
        <f t="shared" si="28"/>
        <v>756</v>
      </c>
      <c r="P252" s="513">
        <v>3</v>
      </c>
      <c r="Q252" s="514">
        <f t="shared" si="29"/>
        <v>2.0712328767123287</v>
      </c>
      <c r="R252" s="514">
        <f t="shared" si="30"/>
        <v>0.9287671232876713</v>
      </c>
      <c r="S252" s="515">
        <f t="shared" si="31"/>
        <v>0.31666666666666665</v>
      </c>
      <c r="T252" s="516">
        <f t="shared" si="37"/>
        <v>6092.0333333333328</v>
      </c>
      <c r="U252" s="516">
        <f t="shared" si="32"/>
        <v>6653.3612785388141</v>
      </c>
      <c r="V252" s="517">
        <f t="shared" si="33"/>
        <v>962</v>
      </c>
      <c r="X252" s="335">
        <v>6492.6053881278531</v>
      </c>
    </row>
    <row r="253" spans="1:24" ht="13.9">
      <c r="A253" s="340" t="e">
        <f t="shared" si="34"/>
        <v>#REF!</v>
      </c>
      <c r="B253" s="14" t="s">
        <v>1109</v>
      </c>
      <c r="C253" s="340" t="s">
        <v>2173</v>
      </c>
      <c r="D253" s="26" t="s">
        <v>988</v>
      </c>
      <c r="E253" s="14" t="s">
        <v>435</v>
      </c>
      <c r="F253" s="14" t="s">
        <v>1124</v>
      </c>
      <c r="G253" s="23">
        <v>44502</v>
      </c>
      <c r="H253" s="536">
        <v>26525</v>
      </c>
      <c r="I253" s="340"/>
      <c r="J253" s="340"/>
      <c r="K253" s="510">
        <f t="shared" si="27"/>
        <v>26525</v>
      </c>
      <c r="L253" s="23">
        <v>44532</v>
      </c>
      <c r="M253" s="335">
        <v>11138.077625570775</v>
      </c>
      <c r="N253" s="512">
        <f t="shared" si="35"/>
        <v>15386.922374429225</v>
      </c>
      <c r="O253" s="512">
        <f t="shared" si="28"/>
        <v>851</v>
      </c>
      <c r="P253" s="513">
        <v>3</v>
      </c>
      <c r="Q253" s="514">
        <f t="shared" si="29"/>
        <v>2.3315068493150686</v>
      </c>
      <c r="R253" s="514">
        <f t="shared" si="30"/>
        <v>0.66849315068493143</v>
      </c>
      <c r="S253" s="515">
        <f t="shared" si="31"/>
        <v>0.31666666666666665</v>
      </c>
      <c r="T253" s="516">
        <f t="shared" si="37"/>
        <v>8399.5833333333321</v>
      </c>
      <c r="U253" s="516">
        <f t="shared" si="32"/>
        <v>6987.3390410958928</v>
      </c>
      <c r="V253" s="517">
        <f t="shared" si="33"/>
        <v>1326</v>
      </c>
      <c r="X253" s="335">
        <v>11138.077625570775</v>
      </c>
    </row>
    <row r="254" spans="1:24" ht="13.9">
      <c r="A254" s="340" t="e">
        <f t="shared" si="34"/>
        <v>#REF!</v>
      </c>
      <c r="B254" s="14" t="s">
        <v>1125</v>
      </c>
      <c r="C254" s="340" t="s">
        <v>2173</v>
      </c>
      <c r="D254" s="26" t="s">
        <v>988</v>
      </c>
      <c r="E254" s="14" t="s">
        <v>435</v>
      </c>
      <c r="F254" s="14" t="s">
        <v>1126</v>
      </c>
      <c r="G254" s="23">
        <v>44531</v>
      </c>
      <c r="H254" s="536">
        <v>23729</v>
      </c>
      <c r="I254" s="340"/>
      <c r="J254" s="340"/>
      <c r="K254" s="510">
        <f t="shared" si="27"/>
        <v>23729</v>
      </c>
      <c r="L254" s="23">
        <v>44531</v>
      </c>
      <c r="M254" s="335">
        <v>9984.5997716894981</v>
      </c>
      <c r="N254" s="512">
        <f t="shared" si="35"/>
        <v>13744.400228310502</v>
      </c>
      <c r="O254" s="512">
        <f t="shared" si="28"/>
        <v>852</v>
      </c>
      <c r="P254" s="513">
        <v>3</v>
      </c>
      <c r="Q254" s="514">
        <f t="shared" si="29"/>
        <v>2.3342465753424659</v>
      </c>
      <c r="R254" s="514">
        <f t="shared" si="30"/>
        <v>0.66575342465753407</v>
      </c>
      <c r="S254" s="515">
        <f t="shared" si="31"/>
        <v>0.31666666666666665</v>
      </c>
      <c r="T254" s="516">
        <f t="shared" si="37"/>
        <v>7514.1833333333334</v>
      </c>
      <c r="U254" s="516">
        <f t="shared" si="32"/>
        <v>6230.2168949771685</v>
      </c>
      <c r="V254" s="517">
        <f t="shared" si="33"/>
        <v>1186</v>
      </c>
      <c r="X254" s="335">
        <v>9984.5997716894981</v>
      </c>
    </row>
    <row r="255" spans="1:24" ht="13.9">
      <c r="A255" s="340" t="e">
        <f t="shared" si="34"/>
        <v>#REF!</v>
      </c>
      <c r="B255" s="14" t="s">
        <v>1127</v>
      </c>
      <c r="C255" s="340" t="s">
        <v>2173</v>
      </c>
      <c r="D255" s="26" t="s">
        <v>988</v>
      </c>
      <c r="E255" s="14" t="s">
        <v>435</v>
      </c>
      <c r="F255" s="14" t="s">
        <v>1126</v>
      </c>
      <c r="G255" s="23">
        <v>44531</v>
      </c>
      <c r="H255" s="536">
        <v>7203</v>
      </c>
      <c r="I255" s="340"/>
      <c r="J255" s="340"/>
      <c r="K255" s="510">
        <f t="shared" si="27"/>
        <v>7203</v>
      </c>
      <c r="L255" s="23">
        <v>44531</v>
      </c>
      <c r="M255" s="335">
        <v>3030.8513698630136</v>
      </c>
      <c r="N255" s="512">
        <f t="shared" si="35"/>
        <v>4172.148630136986</v>
      </c>
      <c r="O255" s="512">
        <f t="shared" si="28"/>
        <v>852</v>
      </c>
      <c r="P255" s="513">
        <v>3</v>
      </c>
      <c r="Q255" s="514">
        <f t="shared" si="29"/>
        <v>2.3342465753424659</v>
      </c>
      <c r="R255" s="514">
        <f t="shared" si="30"/>
        <v>0.66575342465753407</v>
      </c>
      <c r="S255" s="515">
        <f t="shared" si="31"/>
        <v>0.31666666666666665</v>
      </c>
      <c r="T255" s="516">
        <f t="shared" si="37"/>
        <v>2280.9499999999998</v>
      </c>
      <c r="U255" s="516">
        <f t="shared" si="32"/>
        <v>1891.1986301369861</v>
      </c>
      <c r="V255" s="517">
        <f t="shared" si="33"/>
        <v>360</v>
      </c>
      <c r="X255" s="335">
        <v>3030.8513698630136</v>
      </c>
    </row>
    <row r="256" spans="1:24" ht="13.9">
      <c r="A256" s="340" t="e">
        <f t="shared" si="34"/>
        <v>#REF!</v>
      </c>
      <c r="B256" s="14" t="s">
        <v>1128</v>
      </c>
      <c r="C256" s="340" t="s">
        <v>2173</v>
      </c>
      <c r="D256" s="26" t="s">
        <v>988</v>
      </c>
      <c r="E256" s="14" t="s">
        <v>435</v>
      </c>
      <c r="F256" s="14" t="s">
        <v>1126</v>
      </c>
      <c r="G256" s="23">
        <v>44531</v>
      </c>
      <c r="H256" s="536">
        <v>11441</v>
      </c>
      <c r="I256" s="340"/>
      <c r="J256" s="340"/>
      <c r="K256" s="510">
        <f t="shared" si="27"/>
        <v>11441</v>
      </c>
      <c r="L256" s="23">
        <v>44531</v>
      </c>
      <c r="M256" s="335">
        <v>4814.1011415525118</v>
      </c>
      <c r="N256" s="512">
        <f t="shared" si="35"/>
        <v>6626.8988584474882</v>
      </c>
      <c r="O256" s="512">
        <f t="shared" si="28"/>
        <v>852</v>
      </c>
      <c r="P256" s="513">
        <v>3</v>
      </c>
      <c r="Q256" s="514">
        <f t="shared" si="29"/>
        <v>2.3342465753424659</v>
      </c>
      <c r="R256" s="514">
        <f t="shared" si="30"/>
        <v>0.66575342465753407</v>
      </c>
      <c r="S256" s="515">
        <f t="shared" si="31"/>
        <v>0.31666666666666665</v>
      </c>
      <c r="T256" s="516">
        <f t="shared" si="37"/>
        <v>3622.9833333333331</v>
      </c>
      <c r="U256" s="516">
        <f t="shared" si="32"/>
        <v>3003.9155251141551</v>
      </c>
      <c r="V256" s="517">
        <f t="shared" si="33"/>
        <v>572</v>
      </c>
      <c r="X256" s="335">
        <v>4814.1011415525118</v>
      </c>
    </row>
    <row r="257" spans="1:24" ht="13.9">
      <c r="A257" s="340" t="e">
        <f t="shared" si="34"/>
        <v>#REF!</v>
      </c>
      <c r="B257" s="14" t="s">
        <v>1109</v>
      </c>
      <c r="C257" s="340" t="s">
        <v>2173</v>
      </c>
      <c r="D257" s="27" t="s">
        <v>23</v>
      </c>
      <c r="E257" s="14" t="s">
        <v>1130</v>
      </c>
      <c r="F257" s="14" t="s">
        <v>1129</v>
      </c>
      <c r="G257" s="23">
        <v>44643</v>
      </c>
      <c r="H257" s="536">
        <v>80305</v>
      </c>
      <c r="I257" s="340"/>
      <c r="J257" s="340"/>
      <c r="K257" s="510">
        <f t="shared" si="27"/>
        <v>80305</v>
      </c>
      <c r="L257" s="23">
        <v>44648</v>
      </c>
      <c r="M257" s="335">
        <v>25638.929680365294</v>
      </c>
      <c r="N257" s="512">
        <f t="shared" si="35"/>
        <v>54666.070319634702</v>
      </c>
      <c r="O257" s="512">
        <f t="shared" si="28"/>
        <v>735</v>
      </c>
      <c r="P257" s="513">
        <v>3</v>
      </c>
      <c r="Q257" s="514">
        <f t="shared" si="29"/>
        <v>2.0136986301369864</v>
      </c>
      <c r="R257" s="514">
        <f t="shared" si="30"/>
        <v>0.98630136986301364</v>
      </c>
      <c r="S257" s="515">
        <f t="shared" si="31"/>
        <v>0.31666666666666665</v>
      </c>
      <c r="T257" s="516">
        <f t="shared" si="37"/>
        <v>25429.916666666664</v>
      </c>
      <c r="U257" s="516">
        <f t="shared" si="32"/>
        <v>29236.153652968038</v>
      </c>
      <c r="V257" s="517">
        <f t="shared" si="33"/>
        <v>4015</v>
      </c>
      <c r="X257" s="335">
        <v>25638.929680365294</v>
      </c>
    </row>
    <row r="258" spans="1:24" ht="13.9">
      <c r="A258" s="340" t="e">
        <f t="shared" si="34"/>
        <v>#REF!</v>
      </c>
      <c r="B258" s="14" t="s">
        <v>209</v>
      </c>
      <c r="C258" s="340" t="s">
        <v>2173</v>
      </c>
      <c r="D258" s="26" t="s">
        <v>19</v>
      </c>
      <c r="E258" s="14" t="s">
        <v>1131</v>
      </c>
      <c r="F258" s="14">
        <v>11903</v>
      </c>
      <c r="G258" s="23">
        <v>44630</v>
      </c>
      <c r="H258" s="536">
        <v>11822</v>
      </c>
      <c r="I258" s="340"/>
      <c r="J258" s="340"/>
      <c r="K258" s="510">
        <f t="shared" si="27"/>
        <v>11822</v>
      </c>
      <c r="L258" s="23">
        <v>44630</v>
      </c>
      <c r="M258" s="335">
        <v>3959.0204566210045</v>
      </c>
      <c r="N258" s="512">
        <f t="shared" si="35"/>
        <v>7862.979543378995</v>
      </c>
      <c r="O258" s="512">
        <f t="shared" si="28"/>
        <v>753</v>
      </c>
      <c r="P258" s="513">
        <v>3</v>
      </c>
      <c r="Q258" s="514">
        <f t="shared" si="29"/>
        <v>2.0630136986301371</v>
      </c>
      <c r="R258" s="514">
        <f t="shared" si="30"/>
        <v>0.93698630136986294</v>
      </c>
      <c r="S258" s="515">
        <f t="shared" si="31"/>
        <v>0.31666666666666665</v>
      </c>
      <c r="T258" s="516">
        <f t="shared" si="37"/>
        <v>3743.6333333333332</v>
      </c>
      <c r="U258" s="516">
        <f t="shared" si="32"/>
        <v>4119.3462100456618</v>
      </c>
      <c r="V258" s="517">
        <f t="shared" si="33"/>
        <v>591</v>
      </c>
      <c r="X258" s="335">
        <v>3959.0204566210045</v>
      </c>
    </row>
    <row r="259" spans="1:24" ht="13.9">
      <c r="A259" s="340" t="e">
        <f t="shared" si="34"/>
        <v>#REF!</v>
      </c>
      <c r="B259" s="14" t="s">
        <v>425</v>
      </c>
      <c r="C259" s="340" t="s">
        <v>3663</v>
      </c>
      <c r="D259" s="90" t="s">
        <v>35</v>
      </c>
      <c r="E259" s="14" t="s">
        <v>434</v>
      </c>
      <c r="F259" s="633" t="s">
        <v>433</v>
      </c>
      <c r="G259" s="23">
        <v>44755</v>
      </c>
      <c r="H259" s="536">
        <v>58983.06</v>
      </c>
      <c r="I259" s="340"/>
      <c r="J259" s="340"/>
      <c r="K259" s="510">
        <f t="shared" si="27"/>
        <v>58983.06</v>
      </c>
      <c r="L259" s="15">
        <v>44755</v>
      </c>
      <c r="M259" s="335">
        <v>13356.027147945202</v>
      </c>
      <c r="N259" s="512">
        <f t="shared" si="35"/>
        <v>45627.032852054792</v>
      </c>
      <c r="O259" s="512">
        <f t="shared" ref="O259:O314" si="38">+$O$3-L259+1</f>
        <v>628</v>
      </c>
      <c r="P259" s="513">
        <v>3</v>
      </c>
      <c r="Q259" s="514">
        <f t="shared" ref="Q259:Q314" si="39">+O259/365</f>
        <v>1.7205479452054795</v>
      </c>
      <c r="R259" s="514">
        <f t="shared" ref="R259:R314" si="40">+P259-Q259</f>
        <v>1.2794520547945205</v>
      </c>
      <c r="S259" s="515">
        <f t="shared" ref="S259:S314" si="41">1/P259*0.95</f>
        <v>0.31666666666666665</v>
      </c>
      <c r="T259" s="516">
        <f t="shared" ref="T259:T314" si="42">K259*S259</f>
        <v>18677.968999999997</v>
      </c>
      <c r="U259" s="516">
        <f t="shared" ref="U259:U314" si="43">+N259-T259</f>
        <v>26949.063852054795</v>
      </c>
      <c r="V259" s="517">
        <f t="shared" ref="V259:V314" si="44">ROUND(+H259*5%,0)</f>
        <v>2949</v>
      </c>
      <c r="X259" s="335"/>
    </row>
    <row r="260" spans="1:24" ht="13.9">
      <c r="A260" s="340" t="e">
        <f t="shared" si="34"/>
        <v>#REF!</v>
      </c>
      <c r="B260" s="14" t="s">
        <v>209</v>
      </c>
      <c r="C260" s="340" t="s">
        <v>3663</v>
      </c>
      <c r="D260" s="91" t="s">
        <v>35</v>
      </c>
      <c r="E260" s="14" t="s">
        <v>435</v>
      </c>
      <c r="F260" s="633">
        <v>244</v>
      </c>
      <c r="G260" s="23">
        <v>44747</v>
      </c>
      <c r="H260" s="536">
        <v>19067.8</v>
      </c>
      <c r="I260" s="340"/>
      <c r="J260" s="340"/>
      <c r="K260" s="510">
        <f t="shared" si="27"/>
        <v>19067.8</v>
      </c>
      <c r="L260" s="15">
        <v>44747</v>
      </c>
      <c r="M260" s="335">
        <v>4450.0240091324195</v>
      </c>
      <c r="N260" s="512">
        <f t="shared" si="35"/>
        <v>14617.77599086758</v>
      </c>
      <c r="O260" s="512">
        <f t="shared" si="38"/>
        <v>636</v>
      </c>
      <c r="P260" s="513">
        <v>3</v>
      </c>
      <c r="Q260" s="514">
        <f t="shared" si="39"/>
        <v>1.7424657534246575</v>
      </c>
      <c r="R260" s="514">
        <f t="shared" si="40"/>
        <v>1.2575342465753425</v>
      </c>
      <c r="S260" s="515">
        <f t="shared" si="41"/>
        <v>0.31666666666666665</v>
      </c>
      <c r="T260" s="516">
        <f t="shared" si="42"/>
        <v>6038.1366666666663</v>
      </c>
      <c r="U260" s="516">
        <f t="shared" si="43"/>
        <v>8579.6393242009144</v>
      </c>
      <c r="V260" s="517">
        <f t="shared" si="44"/>
        <v>953</v>
      </c>
      <c r="X260" s="335"/>
    </row>
    <row r="261" spans="1:24" ht="13.9">
      <c r="A261" s="340" t="e">
        <f t="shared" si="34"/>
        <v>#REF!</v>
      </c>
      <c r="B261" s="14" t="s">
        <v>779</v>
      </c>
      <c r="C261" s="340" t="s">
        <v>3663</v>
      </c>
      <c r="D261" s="90" t="s">
        <v>35</v>
      </c>
      <c r="E261" s="14" t="s">
        <v>798</v>
      </c>
      <c r="F261" s="633" t="s">
        <v>791</v>
      </c>
      <c r="G261" s="15">
        <v>44895</v>
      </c>
      <c r="H261" s="536">
        <v>127118.6</v>
      </c>
      <c r="I261" s="340"/>
      <c r="J261" s="340"/>
      <c r="K261" s="510">
        <f t="shared" si="27"/>
        <v>127118.6</v>
      </c>
      <c r="L261" s="15">
        <v>44895</v>
      </c>
      <c r="M261" s="335">
        <v>13344.550748858448</v>
      </c>
      <c r="N261" s="512">
        <f t="shared" si="35"/>
        <v>113774.04925114155</v>
      </c>
      <c r="O261" s="512">
        <f t="shared" si="38"/>
        <v>488</v>
      </c>
      <c r="P261" s="513">
        <v>3</v>
      </c>
      <c r="Q261" s="514">
        <f t="shared" si="39"/>
        <v>1.3369863013698631</v>
      </c>
      <c r="R261" s="514">
        <f t="shared" si="40"/>
        <v>1.6630136986301369</v>
      </c>
      <c r="S261" s="515">
        <f t="shared" si="41"/>
        <v>0.31666666666666665</v>
      </c>
      <c r="T261" s="516">
        <f t="shared" si="42"/>
        <v>40254.223333333335</v>
      </c>
      <c r="U261" s="516">
        <f t="shared" si="43"/>
        <v>73519.825917808223</v>
      </c>
      <c r="V261" s="517">
        <f t="shared" si="44"/>
        <v>6356</v>
      </c>
      <c r="X261" s="335"/>
    </row>
    <row r="262" spans="1:24" ht="13.9">
      <c r="A262" s="340" t="e">
        <f t="shared" si="34"/>
        <v>#REF!</v>
      </c>
      <c r="B262" s="14" t="s">
        <v>779</v>
      </c>
      <c r="C262" s="340" t="s">
        <v>3663</v>
      </c>
      <c r="D262" s="90" t="s">
        <v>35</v>
      </c>
      <c r="E262" s="14" t="s">
        <v>798</v>
      </c>
      <c r="F262" s="633" t="s">
        <v>792</v>
      </c>
      <c r="G262" s="15">
        <v>44897</v>
      </c>
      <c r="H262" s="536">
        <v>57882</v>
      </c>
      <c r="I262" s="340"/>
      <c r="J262" s="340"/>
      <c r="K262" s="510">
        <f t="shared" si="27"/>
        <v>57882</v>
      </c>
      <c r="L262" s="15">
        <v>44898</v>
      </c>
      <c r="M262" s="335">
        <v>5925.6367123287673</v>
      </c>
      <c r="N262" s="512">
        <f t="shared" si="35"/>
        <v>51956.363287671236</v>
      </c>
      <c r="O262" s="512">
        <f t="shared" si="38"/>
        <v>485</v>
      </c>
      <c r="P262" s="513">
        <v>3</v>
      </c>
      <c r="Q262" s="514">
        <f t="shared" si="39"/>
        <v>1.3287671232876712</v>
      </c>
      <c r="R262" s="514">
        <f t="shared" si="40"/>
        <v>1.6712328767123288</v>
      </c>
      <c r="S262" s="515">
        <f t="shared" si="41"/>
        <v>0.31666666666666665</v>
      </c>
      <c r="T262" s="516">
        <f t="shared" si="42"/>
        <v>18329.3</v>
      </c>
      <c r="U262" s="516">
        <f t="shared" si="43"/>
        <v>33627.063287671233</v>
      </c>
      <c r="V262" s="517">
        <f t="shared" si="44"/>
        <v>2894</v>
      </c>
      <c r="X262" s="335"/>
    </row>
    <row r="263" spans="1:24" ht="13.9">
      <c r="A263" s="340" t="e">
        <f t="shared" si="34"/>
        <v>#REF!</v>
      </c>
      <c r="B263" s="14" t="s">
        <v>209</v>
      </c>
      <c r="C263" s="340" t="s">
        <v>3663</v>
      </c>
      <c r="D263" s="90" t="s">
        <v>35</v>
      </c>
      <c r="E263" s="14" t="s">
        <v>435</v>
      </c>
      <c r="F263" s="633" t="s">
        <v>793</v>
      </c>
      <c r="G263" s="15">
        <v>44917</v>
      </c>
      <c r="H263" s="536">
        <v>19830.5</v>
      </c>
      <c r="I263" s="340"/>
      <c r="J263" s="340"/>
      <c r="K263" s="510">
        <f t="shared" si="27"/>
        <v>19830.5</v>
      </c>
      <c r="L263" s="15">
        <v>44917</v>
      </c>
      <c r="M263" s="335">
        <v>1703.2497945205478</v>
      </c>
      <c r="N263" s="512">
        <f t="shared" si="35"/>
        <v>18127.250205479453</v>
      </c>
      <c r="O263" s="512">
        <f t="shared" si="38"/>
        <v>466</v>
      </c>
      <c r="P263" s="513">
        <v>3</v>
      </c>
      <c r="Q263" s="514">
        <f t="shared" si="39"/>
        <v>1.2767123287671234</v>
      </c>
      <c r="R263" s="514">
        <f t="shared" si="40"/>
        <v>1.7232876712328766</v>
      </c>
      <c r="S263" s="515">
        <f t="shared" si="41"/>
        <v>0.31666666666666665</v>
      </c>
      <c r="T263" s="516">
        <f t="shared" si="42"/>
        <v>6279.6583333333328</v>
      </c>
      <c r="U263" s="516">
        <f t="shared" si="43"/>
        <v>11847.59187214612</v>
      </c>
      <c r="V263" s="517">
        <f t="shared" si="44"/>
        <v>992</v>
      </c>
      <c r="X263" s="335"/>
    </row>
    <row r="264" spans="1:24" ht="13.9">
      <c r="A264" s="340" t="e">
        <f t="shared" si="34"/>
        <v>#REF!</v>
      </c>
      <c r="B264" s="14" t="s">
        <v>425</v>
      </c>
      <c r="C264" s="340" t="s">
        <v>3663</v>
      </c>
      <c r="D264" s="14" t="s">
        <v>26</v>
      </c>
      <c r="E264" s="14" t="s">
        <v>427</v>
      </c>
      <c r="F264" s="633" t="s">
        <v>426</v>
      </c>
      <c r="G264" s="23">
        <v>44764</v>
      </c>
      <c r="H264" s="536">
        <v>48347.46</v>
      </c>
      <c r="I264" s="340"/>
      <c r="J264" s="340"/>
      <c r="K264" s="510">
        <f t="shared" ref="K264:K314" si="45">+H264+I264-J264</f>
        <v>48347.46</v>
      </c>
      <c r="L264" s="15">
        <v>44768</v>
      </c>
      <c r="M264" s="335">
        <v>10402.4306630137</v>
      </c>
      <c r="N264" s="512">
        <f t="shared" si="35"/>
        <v>37945.029336986299</v>
      </c>
      <c r="O264" s="512">
        <f t="shared" si="38"/>
        <v>615</v>
      </c>
      <c r="P264" s="513">
        <v>3</v>
      </c>
      <c r="Q264" s="514">
        <f t="shared" si="39"/>
        <v>1.6849315068493151</v>
      </c>
      <c r="R264" s="514">
        <f t="shared" si="40"/>
        <v>1.3150684931506849</v>
      </c>
      <c r="S264" s="515">
        <f t="shared" si="41"/>
        <v>0.31666666666666665</v>
      </c>
      <c r="T264" s="516">
        <f t="shared" si="42"/>
        <v>15310.028999999999</v>
      </c>
      <c r="U264" s="516">
        <f t="shared" si="43"/>
        <v>22635.000336986301</v>
      </c>
      <c r="V264" s="517">
        <f t="shared" si="44"/>
        <v>2417</v>
      </c>
      <c r="X264" s="335"/>
    </row>
    <row r="265" spans="1:24" ht="13.9">
      <c r="A265" s="340" t="e">
        <f t="shared" ref="A265:A314" si="46">+A264+1</f>
        <v>#REF!</v>
      </c>
      <c r="B265" s="14" t="s">
        <v>425</v>
      </c>
      <c r="C265" s="340" t="s">
        <v>3663</v>
      </c>
      <c r="D265" s="14" t="s">
        <v>26</v>
      </c>
      <c r="E265" s="14" t="s">
        <v>427</v>
      </c>
      <c r="F265" s="633" t="s">
        <v>428</v>
      </c>
      <c r="G265" s="23">
        <v>44776</v>
      </c>
      <c r="H265" s="536">
        <v>39829.699999999997</v>
      </c>
      <c r="I265" s="340"/>
      <c r="J265" s="340"/>
      <c r="K265" s="510">
        <f t="shared" si="45"/>
        <v>39829.699999999997</v>
      </c>
      <c r="L265" s="15">
        <v>44776</v>
      </c>
      <c r="M265" s="335">
        <v>8293.3073972602724</v>
      </c>
      <c r="N265" s="512">
        <f t="shared" ref="N265:N314" si="47">+K265-M265</f>
        <v>31536.392602739725</v>
      </c>
      <c r="O265" s="512">
        <f t="shared" si="38"/>
        <v>607</v>
      </c>
      <c r="P265" s="513">
        <v>3</v>
      </c>
      <c r="Q265" s="514">
        <f t="shared" si="39"/>
        <v>1.6630136986301369</v>
      </c>
      <c r="R265" s="514">
        <f t="shared" si="40"/>
        <v>1.3369863013698631</v>
      </c>
      <c r="S265" s="515">
        <f t="shared" si="41"/>
        <v>0.31666666666666665</v>
      </c>
      <c r="T265" s="516">
        <f t="shared" si="42"/>
        <v>12612.738333333331</v>
      </c>
      <c r="U265" s="516">
        <f t="shared" si="43"/>
        <v>18923.654269406394</v>
      </c>
      <c r="V265" s="517">
        <f t="shared" si="44"/>
        <v>1991</v>
      </c>
      <c r="X265" s="335"/>
    </row>
    <row r="266" spans="1:24" ht="13.9">
      <c r="A266" s="340" t="e">
        <f t="shared" si="46"/>
        <v>#REF!</v>
      </c>
      <c r="B266" s="14" t="s">
        <v>425</v>
      </c>
      <c r="C266" s="340" t="s">
        <v>3663</v>
      </c>
      <c r="D266" s="14" t="s">
        <v>26</v>
      </c>
      <c r="E266" s="14" t="s">
        <v>427</v>
      </c>
      <c r="F266" s="633" t="s">
        <v>429</v>
      </c>
      <c r="G266" s="23">
        <v>44802</v>
      </c>
      <c r="H266" s="536">
        <v>57627.12</v>
      </c>
      <c r="I266" s="340"/>
      <c r="J266" s="340"/>
      <c r="K266" s="510">
        <f t="shared" si="45"/>
        <v>57627.12</v>
      </c>
      <c r="L266" s="15">
        <v>44804</v>
      </c>
      <c r="M266" s="335">
        <v>10599.179879452055</v>
      </c>
      <c r="N266" s="512">
        <f t="shared" si="47"/>
        <v>47027.940120547952</v>
      </c>
      <c r="O266" s="512">
        <f t="shared" si="38"/>
        <v>579</v>
      </c>
      <c r="P266" s="513">
        <v>3</v>
      </c>
      <c r="Q266" s="514">
        <f t="shared" si="39"/>
        <v>1.5863013698630137</v>
      </c>
      <c r="R266" s="514">
        <f t="shared" si="40"/>
        <v>1.4136986301369863</v>
      </c>
      <c r="S266" s="515">
        <f t="shared" si="41"/>
        <v>0.31666666666666665</v>
      </c>
      <c r="T266" s="516">
        <f t="shared" si="42"/>
        <v>18248.588</v>
      </c>
      <c r="U266" s="516">
        <f t="shared" si="43"/>
        <v>28779.352120547952</v>
      </c>
      <c r="V266" s="517">
        <f t="shared" si="44"/>
        <v>2881</v>
      </c>
      <c r="X266" s="335"/>
    </row>
    <row r="267" spans="1:24" ht="13.9">
      <c r="A267" s="340" t="e">
        <f t="shared" si="46"/>
        <v>#REF!</v>
      </c>
      <c r="B267" s="14" t="s">
        <v>31</v>
      </c>
      <c r="C267" s="340" t="s">
        <v>3663</v>
      </c>
      <c r="D267" s="14" t="s">
        <v>26</v>
      </c>
      <c r="E267" s="14" t="s">
        <v>427</v>
      </c>
      <c r="F267" s="633" t="s">
        <v>430</v>
      </c>
      <c r="G267" s="23">
        <v>44802</v>
      </c>
      <c r="H267" s="536">
        <v>61440.68</v>
      </c>
      <c r="I267" s="340"/>
      <c r="J267" s="340"/>
      <c r="K267" s="510">
        <f t="shared" si="45"/>
        <v>61440.68</v>
      </c>
      <c r="L267" s="15">
        <v>44804</v>
      </c>
      <c r="M267" s="335">
        <v>11300.596303196347</v>
      </c>
      <c r="N267" s="512">
        <f t="shared" si="47"/>
        <v>50140.083696803653</v>
      </c>
      <c r="O267" s="512">
        <f t="shared" si="38"/>
        <v>579</v>
      </c>
      <c r="P267" s="513">
        <v>3</v>
      </c>
      <c r="Q267" s="514">
        <f t="shared" si="39"/>
        <v>1.5863013698630137</v>
      </c>
      <c r="R267" s="514">
        <f t="shared" si="40"/>
        <v>1.4136986301369863</v>
      </c>
      <c r="S267" s="515">
        <f t="shared" si="41"/>
        <v>0.31666666666666665</v>
      </c>
      <c r="T267" s="516">
        <f t="shared" si="42"/>
        <v>19456.215333333334</v>
      </c>
      <c r="U267" s="516">
        <f t="shared" si="43"/>
        <v>30683.868363470319</v>
      </c>
      <c r="V267" s="517">
        <f t="shared" si="44"/>
        <v>3072</v>
      </c>
      <c r="X267" s="335"/>
    </row>
    <row r="268" spans="1:24" ht="13.9">
      <c r="A268" s="340" t="e">
        <f t="shared" si="46"/>
        <v>#REF!</v>
      </c>
      <c r="B268" s="14" t="s">
        <v>209</v>
      </c>
      <c r="C268" s="340" t="s">
        <v>3663</v>
      </c>
      <c r="D268" s="14" t="s">
        <v>26</v>
      </c>
      <c r="E268" s="14" t="s">
        <v>427</v>
      </c>
      <c r="F268" s="633" t="s">
        <v>431</v>
      </c>
      <c r="G268" s="23">
        <v>44814</v>
      </c>
      <c r="H268" s="536">
        <v>16228.82</v>
      </c>
      <c r="I268" s="340"/>
      <c r="J268" s="340"/>
      <c r="K268" s="510">
        <f t="shared" si="45"/>
        <v>16228.82</v>
      </c>
      <c r="L268" s="15">
        <v>44816</v>
      </c>
      <c r="M268" s="335">
        <v>2815.9596347031957</v>
      </c>
      <c r="N268" s="512">
        <f t="shared" si="47"/>
        <v>13412.860365296805</v>
      </c>
      <c r="O268" s="512">
        <f t="shared" si="38"/>
        <v>567</v>
      </c>
      <c r="P268" s="513">
        <v>3</v>
      </c>
      <c r="Q268" s="514">
        <f t="shared" si="39"/>
        <v>1.5534246575342465</v>
      </c>
      <c r="R268" s="514">
        <f t="shared" si="40"/>
        <v>1.4465753424657535</v>
      </c>
      <c r="S268" s="515">
        <f t="shared" si="41"/>
        <v>0.31666666666666665</v>
      </c>
      <c r="T268" s="516">
        <f t="shared" si="42"/>
        <v>5139.1263333333327</v>
      </c>
      <c r="U268" s="516">
        <f t="shared" si="43"/>
        <v>8273.7340319634714</v>
      </c>
      <c r="V268" s="517">
        <f t="shared" si="44"/>
        <v>811</v>
      </c>
      <c r="X268" s="335"/>
    </row>
    <row r="269" spans="1:24" ht="13.9">
      <c r="A269" s="340" t="e">
        <f t="shared" si="46"/>
        <v>#REF!</v>
      </c>
      <c r="B269" s="14" t="s">
        <v>209</v>
      </c>
      <c r="C269" s="340" t="s">
        <v>3663</v>
      </c>
      <c r="D269" s="14" t="s">
        <v>26</v>
      </c>
      <c r="E269" s="14" t="s">
        <v>427</v>
      </c>
      <c r="F269" s="633" t="s">
        <v>432</v>
      </c>
      <c r="G269" s="23">
        <v>44821</v>
      </c>
      <c r="H269" s="536">
        <v>15169.5</v>
      </c>
      <c r="I269" s="340"/>
      <c r="J269" s="340"/>
      <c r="K269" s="510">
        <f t="shared" si="45"/>
        <v>15169.5</v>
      </c>
      <c r="L269" s="15">
        <v>44821</v>
      </c>
      <c r="M269" s="335">
        <v>2566.3469178082191</v>
      </c>
      <c r="N269" s="512">
        <f t="shared" si="47"/>
        <v>12603.15308219178</v>
      </c>
      <c r="O269" s="512">
        <f t="shared" si="38"/>
        <v>562</v>
      </c>
      <c r="P269" s="513">
        <v>3</v>
      </c>
      <c r="Q269" s="514">
        <f t="shared" si="39"/>
        <v>1.5397260273972602</v>
      </c>
      <c r="R269" s="514">
        <f t="shared" si="40"/>
        <v>1.4602739726027398</v>
      </c>
      <c r="S269" s="515">
        <f t="shared" si="41"/>
        <v>0.31666666666666665</v>
      </c>
      <c r="T269" s="516">
        <f t="shared" si="42"/>
        <v>4803.6750000000002</v>
      </c>
      <c r="U269" s="516">
        <f t="shared" si="43"/>
        <v>7799.4780821917802</v>
      </c>
      <c r="V269" s="517">
        <f t="shared" si="44"/>
        <v>758</v>
      </c>
      <c r="X269" s="335"/>
    </row>
    <row r="270" spans="1:24" ht="13.9">
      <c r="A270" s="340" t="e">
        <f t="shared" si="46"/>
        <v>#REF!</v>
      </c>
      <c r="B270" s="14" t="s">
        <v>425</v>
      </c>
      <c r="C270" s="340" t="s">
        <v>3663</v>
      </c>
      <c r="D270" s="14" t="s">
        <v>26</v>
      </c>
      <c r="E270" s="14" t="s">
        <v>427</v>
      </c>
      <c r="F270" s="633" t="s">
        <v>784</v>
      </c>
      <c r="G270" s="15">
        <v>44854</v>
      </c>
      <c r="H270" s="536">
        <v>277882</v>
      </c>
      <c r="I270" s="340"/>
      <c r="J270" s="340"/>
      <c r="K270" s="510">
        <f t="shared" si="45"/>
        <v>277882</v>
      </c>
      <c r="L270" s="15">
        <v>44859</v>
      </c>
      <c r="M270" s="335">
        <v>37850.319908675796</v>
      </c>
      <c r="N270" s="512">
        <f t="shared" si="47"/>
        <v>240031.6800913242</v>
      </c>
      <c r="O270" s="512">
        <f t="shared" si="38"/>
        <v>524</v>
      </c>
      <c r="P270" s="513">
        <v>3</v>
      </c>
      <c r="Q270" s="514">
        <f t="shared" si="39"/>
        <v>1.4356164383561645</v>
      </c>
      <c r="R270" s="514">
        <f t="shared" si="40"/>
        <v>1.5643835616438355</v>
      </c>
      <c r="S270" s="515">
        <f t="shared" si="41"/>
        <v>0.31666666666666665</v>
      </c>
      <c r="T270" s="516">
        <f t="shared" si="42"/>
        <v>87995.96666666666</v>
      </c>
      <c r="U270" s="516">
        <f t="shared" si="43"/>
        <v>152035.71342465753</v>
      </c>
      <c r="V270" s="517">
        <f t="shared" si="44"/>
        <v>13894</v>
      </c>
      <c r="X270" s="335"/>
    </row>
    <row r="271" spans="1:24" ht="13.9">
      <c r="A271" s="340" t="e">
        <f t="shared" si="46"/>
        <v>#REF!</v>
      </c>
      <c r="B271" s="14" t="s">
        <v>425</v>
      </c>
      <c r="C271" s="340" t="s">
        <v>3663</v>
      </c>
      <c r="D271" s="14" t="s">
        <v>26</v>
      </c>
      <c r="E271" s="14" t="s">
        <v>427</v>
      </c>
      <c r="F271" s="633" t="s">
        <v>785</v>
      </c>
      <c r="G271" s="15">
        <v>44874</v>
      </c>
      <c r="H271" s="536">
        <v>201694.98</v>
      </c>
      <c r="I271" s="340"/>
      <c r="J271" s="340"/>
      <c r="K271" s="510">
        <f t="shared" si="45"/>
        <v>201694.98</v>
      </c>
      <c r="L271" s="15">
        <v>44874</v>
      </c>
      <c r="M271" s="335">
        <v>24848.084750684931</v>
      </c>
      <c r="N271" s="512">
        <f t="shared" si="47"/>
        <v>176846.89524931507</v>
      </c>
      <c r="O271" s="512">
        <f t="shared" si="38"/>
        <v>509</v>
      </c>
      <c r="P271" s="513">
        <v>3</v>
      </c>
      <c r="Q271" s="514">
        <f t="shared" si="39"/>
        <v>1.3945205479452054</v>
      </c>
      <c r="R271" s="514">
        <f t="shared" si="40"/>
        <v>1.6054794520547946</v>
      </c>
      <c r="S271" s="515">
        <f t="shared" si="41"/>
        <v>0.31666666666666665</v>
      </c>
      <c r="T271" s="516">
        <f t="shared" si="42"/>
        <v>63870.076999999997</v>
      </c>
      <c r="U271" s="516">
        <f t="shared" si="43"/>
        <v>112976.81824931508</v>
      </c>
      <c r="V271" s="517">
        <f t="shared" si="44"/>
        <v>10085</v>
      </c>
      <c r="X271" s="335"/>
    </row>
    <row r="272" spans="1:24" ht="13.9">
      <c r="A272" s="340" t="e">
        <f t="shared" si="46"/>
        <v>#REF!</v>
      </c>
      <c r="B272" s="14" t="s">
        <v>425</v>
      </c>
      <c r="C272" s="340" t="s">
        <v>3663</v>
      </c>
      <c r="D272" s="14" t="s">
        <v>26</v>
      </c>
      <c r="E272" s="14" t="s">
        <v>427</v>
      </c>
      <c r="F272" s="633" t="s">
        <v>786</v>
      </c>
      <c r="G272" s="15">
        <v>44874</v>
      </c>
      <c r="H272" s="536">
        <v>92628</v>
      </c>
      <c r="I272" s="340"/>
      <c r="J272" s="340"/>
      <c r="K272" s="510">
        <f t="shared" si="45"/>
        <v>92628</v>
      </c>
      <c r="L272" s="15">
        <v>44874</v>
      </c>
      <c r="M272" s="335">
        <v>11411.43123287671</v>
      </c>
      <c r="N272" s="512">
        <f t="shared" si="47"/>
        <v>81216.568767123288</v>
      </c>
      <c r="O272" s="512">
        <f t="shared" si="38"/>
        <v>509</v>
      </c>
      <c r="P272" s="513">
        <v>3</v>
      </c>
      <c r="Q272" s="514">
        <f t="shared" si="39"/>
        <v>1.3945205479452054</v>
      </c>
      <c r="R272" s="514">
        <f t="shared" si="40"/>
        <v>1.6054794520547946</v>
      </c>
      <c r="S272" s="515">
        <f t="shared" si="41"/>
        <v>0.31666666666666665</v>
      </c>
      <c r="T272" s="516">
        <f t="shared" si="42"/>
        <v>29332.199999999997</v>
      </c>
      <c r="U272" s="516">
        <f t="shared" si="43"/>
        <v>51884.368767123291</v>
      </c>
      <c r="V272" s="517">
        <f t="shared" si="44"/>
        <v>4631</v>
      </c>
      <c r="X272" s="335"/>
    </row>
    <row r="273" spans="1:24" ht="13.9">
      <c r="A273" s="340" t="e">
        <f t="shared" si="46"/>
        <v>#REF!</v>
      </c>
      <c r="B273" s="14" t="s">
        <v>425</v>
      </c>
      <c r="C273" s="340" t="s">
        <v>3663</v>
      </c>
      <c r="D273" s="14" t="s">
        <v>26</v>
      </c>
      <c r="E273" s="14" t="s">
        <v>427</v>
      </c>
      <c r="F273" s="633" t="s">
        <v>787</v>
      </c>
      <c r="G273" s="15">
        <v>44889</v>
      </c>
      <c r="H273" s="536">
        <v>66016.959999999992</v>
      </c>
      <c r="I273" s="340"/>
      <c r="J273" s="340"/>
      <c r="K273" s="510">
        <f t="shared" si="45"/>
        <v>66016.959999999992</v>
      </c>
      <c r="L273" s="15">
        <v>44889</v>
      </c>
      <c r="M273" s="335">
        <v>7273.9234922374408</v>
      </c>
      <c r="N273" s="512">
        <f t="shared" si="47"/>
        <v>58743.036507762554</v>
      </c>
      <c r="O273" s="512">
        <f t="shared" si="38"/>
        <v>494</v>
      </c>
      <c r="P273" s="513">
        <v>3</v>
      </c>
      <c r="Q273" s="514">
        <f t="shared" si="39"/>
        <v>1.3534246575342466</v>
      </c>
      <c r="R273" s="514">
        <f t="shared" si="40"/>
        <v>1.6465753424657534</v>
      </c>
      <c r="S273" s="515">
        <f t="shared" si="41"/>
        <v>0.31666666666666665</v>
      </c>
      <c r="T273" s="516">
        <f t="shared" si="42"/>
        <v>20905.370666666662</v>
      </c>
      <c r="U273" s="516">
        <f t="shared" si="43"/>
        <v>37837.665841095892</v>
      </c>
      <c r="V273" s="517">
        <f t="shared" si="44"/>
        <v>3301</v>
      </c>
      <c r="X273" s="335"/>
    </row>
    <row r="274" spans="1:24" ht="13.9">
      <c r="A274" s="340" t="e">
        <f t="shared" si="46"/>
        <v>#REF!</v>
      </c>
      <c r="B274" s="14" t="s">
        <v>778</v>
      </c>
      <c r="C274" s="340" t="s">
        <v>3663</v>
      </c>
      <c r="D274" s="14" t="s">
        <v>26</v>
      </c>
      <c r="E274" s="14" t="s">
        <v>427</v>
      </c>
      <c r="F274" s="633" t="s">
        <v>788</v>
      </c>
      <c r="G274" s="15">
        <v>44870</v>
      </c>
      <c r="H274" s="536">
        <v>187001</v>
      </c>
      <c r="I274" s="340"/>
      <c r="J274" s="340"/>
      <c r="K274" s="510">
        <f t="shared" si="45"/>
        <v>187001</v>
      </c>
      <c r="L274" s="15">
        <v>44870</v>
      </c>
      <c r="M274" s="335">
        <v>23686.793333333331</v>
      </c>
      <c r="N274" s="512">
        <f t="shared" si="47"/>
        <v>163314.20666666667</v>
      </c>
      <c r="O274" s="512">
        <f t="shared" si="38"/>
        <v>513</v>
      </c>
      <c r="P274" s="513">
        <v>3</v>
      </c>
      <c r="Q274" s="514">
        <f t="shared" si="39"/>
        <v>1.4054794520547946</v>
      </c>
      <c r="R274" s="514">
        <f t="shared" si="40"/>
        <v>1.5945205479452054</v>
      </c>
      <c r="S274" s="515">
        <f t="shared" si="41"/>
        <v>0.31666666666666665</v>
      </c>
      <c r="T274" s="516">
        <f t="shared" si="42"/>
        <v>59216.98333333333</v>
      </c>
      <c r="U274" s="516">
        <f t="shared" si="43"/>
        <v>104097.22333333333</v>
      </c>
      <c r="V274" s="517">
        <f t="shared" si="44"/>
        <v>9350</v>
      </c>
      <c r="X274" s="335"/>
    </row>
    <row r="275" spans="1:24" ht="13.9">
      <c r="A275" s="340" t="e">
        <f t="shared" si="46"/>
        <v>#REF!</v>
      </c>
      <c r="B275" s="14" t="s">
        <v>778</v>
      </c>
      <c r="C275" s="340" t="s">
        <v>3663</v>
      </c>
      <c r="D275" s="14" t="s">
        <v>26</v>
      </c>
      <c r="E275" s="14" t="s">
        <v>427</v>
      </c>
      <c r="F275" s="633" t="s">
        <v>789</v>
      </c>
      <c r="G275" s="15">
        <v>44870</v>
      </c>
      <c r="H275" s="536">
        <v>833999</v>
      </c>
      <c r="I275" s="340"/>
      <c r="J275" s="340"/>
      <c r="K275" s="510">
        <f t="shared" si="45"/>
        <v>833999</v>
      </c>
      <c r="L275" s="15">
        <v>44872</v>
      </c>
      <c r="M275" s="335">
        <v>104192.7517808219</v>
      </c>
      <c r="N275" s="512">
        <f t="shared" si="47"/>
        <v>729806.24821917806</v>
      </c>
      <c r="O275" s="512">
        <f t="shared" si="38"/>
        <v>511</v>
      </c>
      <c r="P275" s="513">
        <v>3</v>
      </c>
      <c r="Q275" s="514">
        <f t="shared" si="39"/>
        <v>1.4</v>
      </c>
      <c r="R275" s="514">
        <f t="shared" si="40"/>
        <v>1.6</v>
      </c>
      <c r="S275" s="515">
        <f t="shared" si="41"/>
        <v>0.31666666666666665</v>
      </c>
      <c r="T275" s="516">
        <f t="shared" si="42"/>
        <v>264099.68333333335</v>
      </c>
      <c r="U275" s="516">
        <f t="shared" si="43"/>
        <v>465706.56488584471</v>
      </c>
      <c r="V275" s="517">
        <f t="shared" si="44"/>
        <v>41700</v>
      </c>
      <c r="X275" s="335"/>
    </row>
    <row r="276" spans="1:24" ht="13.9">
      <c r="A276" s="340" t="e">
        <f t="shared" si="46"/>
        <v>#REF!</v>
      </c>
      <c r="B276" s="14" t="s">
        <v>209</v>
      </c>
      <c r="C276" s="340" t="s">
        <v>3663</v>
      </c>
      <c r="D276" s="14" t="s">
        <v>26</v>
      </c>
      <c r="E276" s="14" t="s">
        <v>427</v>
      </c>
      <c r="F276" s="633" t="s">
        <v>790</v>
      </c>
      <c r="G276" s="15">
        <v>44903</v>
      </c>
      <c r="H276" s="536">
        <v>55900</v>
      </c>
      <c r="I276" s="340"/>
      <c r="J276" s="340"/>
      <c r="K276" s="510">
        <f t="shared" si="45"/>
        <v>55900</v>
      </c>
      <c r="L276" s="15">
        <v>44903</v>
      </c>
      <c r="M276" s="335">
        <v>5480.2420091324202</v>
      </c>
      <c r="N276" s="512">
        <f t="shared" si="47"/>
        <v>50419.757990867583</v>
      </c>
      <c r="O276" s="512">
        <f t="shared" si="38"/>
        <v>480</v>
      </c>
      <c r="P276" s="513">
        <v>3</v>
      </c>
      <c r="Q276" s="514">
        <f t="shared" si="39"/>
        <v>1.3150684931506849</v>
      </c>
      <c r="R276" s="514">
        <f t="shared" si="40"/>
        <v>1.6849315068493151</v>
      </c>
      <c r="S276" s="515">
        <f t="shared" si="41"/>
        <v>0.31666666666666665</v>
      </c>
      <c r="T276" s="516">
        <f t="shared" si="42"/>
        <v>17701.666666666664</v>
      </c>
      <c r="U276" s="516">
        <f t="shared" si="43"/>
        <v>32718.091324200919</v>
      </c>
      <c r="V276" s="517">
        <f t="shared" si="44"/>
        <v>2795</v>
      </c>
      <c r="X276" s="335"/>
    </row>
    <row r="277" spans="1:24" ht="13.9">
      <c r="A277" s="340" t="e">
        <f t="shared" si="46"/>
        <v>#REF!</v>
      </c>
      <c r="B277" s="530" t="s">
        <v>425</v>
      </c>
      <c r="C277" s="340" t="s">
        <v>3663</v>
      </c>
      <c r="D277" s="621" t="s">
        <v>2474</v>
      </c>
      <c r="E277" s="530" t="s">
        <v>2858</v>
      </c>
      <c r="F277" s="629" t="s">
        <v>3433</v>
      </c>
      <c r="G277" s="620">
        <v>44944</v>
      </c>
      <c r="H277" s="536">
        <v>359941.52</v>
      </c>
      <c r="I277" s="340"/>
      <c r="J277" s="340"/>
      <c r="K277" s="510">
        <f t="shared" si="45"/>
        <v>359941.52</v>
      </c>
      <c r="L277" s="623">
        <v>44947</v>
      </c>
      <c r="M277" s="335">
        <v>21547.184142465754</v>
      </c>
      <c r="N277" s="512">
        <f t="shared" si="47"/>
        <v>338394.33585753426</v>
      </c>
      <c r="O277" s="512">
        <f t="shared" si="38"/>
        <v>436</v>
      </c>
      <c r="P277" s="513">
        <v>3</v>
      </c>
      <c r="Q277" s="514">
        <f t="shared" si="39"/>
        <v>1.1945205479452055</v>
      </c>
      <c r="R277" s="514">
        <f t="shared" si="40"/>
        <v>1.8054794520547945</v>
      </c>
      <c r="S277" s="515">
        <f t="shared" si="41"/>
        <v>0.31666666666666665</v>
      </c>
      <c r="T277" s="516">
        <f t="shared" si="42"/>
        <v>113981.48133333333</v>
      </c>
      <c r="U277" s="516">
        <f t="shared" si="43"/>
        <v>224412.85452420093</v>
      </c>
      <c r="V277" s="517">
        <f t="shared" si="44"/>
        <v>17997</v>
      </c>
      <c r="X277" s="335"/>
    </row>
    <row r="278" spans="1:24" ht="13.9">
      <c r="A278" s="340" t="e">
        <f t="shared" si="46"/>
        <v>#REF!</v>
      </c>
      <c r="B278" s="530" t="s">
        <v>1284</v>
      </c>
      <c r="C278" s="340" t="s">
        <v>3663</v>
      </c>
      <c r="D278" s="622" t="s">
        <v>2474</v>
      </c>
      <c r="E278" s="530" t="s">
        <v>2858</v>
      </c>
      <c r="F278" s="629" t="s">
        <v>3432</v>
      </c>
      <c r="G278" s="620">
        <v>44944</v>
      </c>
      <c r="H278" s="536">
        <v>45762.679999999993</v>
      </c>
      <c r="I278" s="340"/>
      <c r="J278" s="340"/>
      <c r="K278" s="510">
        <f t="shared" si="45"/>
        <v>45762.679999999993</v>
      </c>
      <c r="L278" s="623">
        <v>44949</v>
      </c>
      <c r="M278" s="335">
        <v>2660.0863762557074</v>
      </c>
      <c r="N278" s="512">
        <f t="shared" si="47"/>
        <v>43102.593623744287</v>
      </c>
      <c r="O278" s="512">
        <f t="shared" si="38"/>
        <v>434</v>
      </c>
      <c r="P278" s="513">
        <v>3</v>
      </c>
      <c r="Q278" s="514">
        <f t="shared" si="39"/>
        <v>1.189041095890411</v>
      </c>
      <c r="R278" s="514">
        <f t="shared" si="40"/>
        <v>1.810958904109589</v>
      </c>
      <c r="S278" s="515">
        <f t="shared" si="41"/>
        <v>0.31666666666666665</v>
      </c>
      <c r="T278" s="516">
        <f t="shared" si="42"/>
        <v>14491.515333333331</v>
      </c>
      <c r="U278" s="516">
        <f t="shared" si="43"/>
        <v>28611.078290410958</v>
      </c>
      <c r="V278" s="517">
        <f t="shared" si="44"/>
        <v>2288</v>
      </c>
      <c r="X278" s="335"/>
    </row>
    <row r="279" spans="1:24" ht="13.9">
      <c r="A279" s="340" t="e">
        <f t="shared" si="46"/>
        <v>#REF!</v>
      </c>
      <c r="B279" s="530" t="s">
        <v>209</v>
      </c>
      <c r="C279" s="340" t="s">
        <v>3663</v>
      </c>
      <c r="D279" s="621" t="s">
        <v>2474</v>
      </c>
      <c r="E279" s="530" t="s">
        <v>2858</v>
      </c>
      <c r="F279" s="629" t="s">
        <v>3432</v>
      </c>
      <c r="G279" s="623">
        <v>44944</v>
      </c>
      <c r="H279" s="536">
        <v>40339</v>
      </c>
      <c r="I279" s="340"/>
      <c r="J279" s="340"/>
      <c r="K279" s="510">
        <f t="shared" si="45"/>
        <v>40339</v>
      </c>
      <c r="L279" s="623">
        <v>44949</v>
      </c>
      <c r="M279" s="335">
        <v>2344.8194977168946</v>
      </c>
      <c r="N279" s="512">
        <f t="shared" si="47"/>
        <v>37994.180502283103</v>
      </c>
      <c r="O279" s="512">
        <f t="shared" si="38"/>
        <v>434</v>
      </c>
      <c r="P279" s="513">
        <v>3</v>
      </c>
      <c r="Q279" s="514">
        <f t="shared" si="39"/>
        <v>1.189041095890411</v>
      </c>
      <c r="R279" s="514">
        <f t="shared" si="40"/>
        <v>1.810958904109589</v>
      </c>
      <c r="S279" s="515">
        <f t="shared" si="41"/>
        <v>0.31666666666666665</v>
      </c>
      <c r="T279" s="516">
        <f t="shared" si="42"/>
        <v>12774.016666666666</v>
      </c>
      <c r="U279" s="516">
        <f t="shared" si="43"/>
        <v>25220.163835616437</v>
      </c>
      <c r="V279" s="517">
        <f t="shared" si="44"/>
        <v>2017</v>
      </c>
      <c r="X279" s="335"/>
    </row>
    <row r="280" spans="1:24" ht="13.9">
      <c r="A280" s="340" t="e">
        <f t="shared" si="46"/>
        <v>#REF!</v>
      </c>
      <c r="B280" s="14" t="s">
        <v>207</v>
      </c>
      <c r="C280" s="340" t="s">
        <v>3663</v>
      </c>
      <c r="D280" s="90" t="s">
        <v>3459</v>
      </c>
      <c r="E280" s="14" t="s">
        <v>215</v>
      </c>
      <c r="F280" s="633" t="s">
        <v>211</v>
      </c>
      <c r="G280" s="23">
        <v>44702</v>
      </c>
      <c r="H280" s="536">
        <v>243008.40999999997</v>
      </c>
      <c r="I280" s="340"/>
      <c r="J280" s="340"/>
      <c r="K280" s="510">
        <f t="shared" si="45"/>
        <v>243008.40999999997</v>
      </c>
      <c r="L280" s="15">
        <v>44702</v>
      </c>
      <c r="M280" s="335">
        <v>66200.373244748844</v>
      </c>
      <c r="N280" s="512">
        <f t="shared" si="47"/>
        <v>176808.03675525112</v>
      </c>
      <c r="O280" s="512">
        <f t="shared" si="38"/>
        <v>681</v>
      </c>
      <c r="P280" s="513">
        <v>3</v>
      </c>
      <c r="Q280" s="514">
        <f t="shared" si="39"/>
        <v>1.8657534246575342</v>
      </c>
      <c r="R280" s="514">
        <f t="shared" si="40"/>
        <v>1.1342465753424658</v>
      </c>
      <c r="S280" s="515">
        <f t="shared" si="41"/>
        <v>0.31666666666666665</v>
      </c>
      <c r="T280" s="516">
        <f t="shared" si="42"/>
        <v>76952.663166666651</v>
      </c>
      <c r="U280" s="516">
        <f t="shared" si="43"/>
        <v>99855.373588584465</v>
      </c>
      <c r="V280" s="517">
        <f t="shared" si="44"/>
        <v>12150</v>
      </c>
      <c r="X280" s="335"/>
    </row>
    <row r="281" spans="1:24" ht="13.9">
      <c r="A281" s="340" t="e">
        <f t="shared" si="46"/>
        <v>#REF!</v>
      </c>
      <c r="B281" s="14" t="s">
        <v>436</v>
      </c>
      <c r="C281" s="340" t="s">
        <v>3663</v>
      </c>
      <c r="D281" s="90" t="s">
        <v>3459</v>
      </c>
      <c r="E281" s="14" t="s">
        <v>427</v>
      </c>
      <c r="F281" s="633" t="s">
        <v>437</v>
      </c>
      <c r="G281" s="23">
        <v>44746</v>
      </c>
      <c r="H281" s="536">
        <v>531822.05000000005</v>
      </c>
      <c r="I281" s="340"/>
      <c r="J281" s="340"/>
      <c r="K281" s="510">
        <f t="shared" si="45"/>
        <v>531822.05000000005</v>
      </c>
      <c r="L281" s="15">
        <v>44746</v>
      </c>
      <c r="M281" s="335">
        <f>124577</f>
        <v>124577</v>
      </c>
      <c r="N281" s="512">
        <f t="shared" si="47"/>
        <v>407245.05000000005</v>
      </c>
      <c r="O281" s="512">
        <f t="shared" si="38"/>
        <v>637</v>
      </c>
      <c r="P281" s="513">
        <v>3</v>
      </c>
      <c r="Q281" s="514">
        <f t="shared" si="39"/>
        <v>1.7452054794520548</v>
      </c>
      <c r="R281" s="514">
        <f t="shared" si="40"/>
        <v>1.2547945205479452</v>
      </c>
      <c r="S281" s="515">
        <f t="shared" si="41"/>
        <v>0.31666666666666665</v>
      </c>
      <c r="T281" s="516">
        <f t="shared" si="42"/>
        <v>168410.31583333333</v>
      </c>
      <c r="U281" s="516">
        <f t="shared" si="43"/>
        <v>238834.73416666672</v>
      </c>
      <c r="V281" s="517">
        <f t="shared" si="44"/>
        <v>26591</v>
      </c>
      <c r="X281" s="335"/>
    </row>
    <row r="282" spans="1:24" ht="13.9">
      <c r="A282" s="340" t="e">
        <f t="shared" si="46"/>
        <v>#REF!</v>
      </c>
      <c r="B282" s="14" t="s">
        <v>209</v>
      </c>
      <c r="C282" s="340" t="s">
        <v>3663</v>
      </c>
      <c r="D282" s="90" t="s">
        <v>3459</v>
      </c>
      <c r="E282" s="14" t="s">
        <v>438</v>
      </c>
      <c r="F282" s="633">
        <v>112</v>
      </c>
      <c r="G282" s="23">
        <v>44791</v>
      </c>
      <c r="H282" s="536">
        <v>15169.5</v>
      </c>
      <c r="I282" s="340"/>
      <c r="J282" s="340"/>
      <c r="K282" s="510">
        <f t="shared" si="45"/>
        <v>15169.5</v>
      </c>
      <c r="L282" s="15">
        <v>44791</v>
      </c>
      <c r="M282" s="335">
        <v>2961.169520547945</v>
      </c>
      <c r="N282" s="512">
        <f t="shared" si="47"/>
        <v>12208.330479452055</v>
      </c>
      <c r="O282" s="512">
        <f t="shared" si="38"/>
        <v>592</v>
      </c>
      <c r="P282" s="513">
        <v>3</v>
      </c>
      <c r="Q282" s="514">
        <f t="shared" si="39"/>
        <v>1.6219178082191781</v>
      </c>
      <c r="R282" s="514">
        <f t="shared" si="40"/>
        <v>1.3780821917808219</v>
      </c>
      <c r="S282" s="515">
        <f t="shared" si="41"/>
        <v>0.31666666666666665</v>
      </c>
      <c r="T282" s="516">
        <f t="shared" si="42"/>
        <v>4803.6750000000002</v>
      </c>
      <c r="U282" s="516">
        <f t="shared" si="43"/>
        <v>7404.6554794520553</v>
      </c>
      <c r="V282" s="517">
        <f t="shared" si="44"/>
        <v>758</v>
      </c>
      <c r="X282" s="335"/>
    </row>
    <row r="283" spans="1:24" ht="13.9">
      <c r="A283" s="340" t="e">
        <f t="shared" si="46"/>
        <v>#REF!</v>
      </c>
      <c r="B283" s="14" t="s">
        <v>209</v>
      </c>
      <c r="C283" s="340" t="s">
        <v>3663</v>
      </c>
      <c r="D283" s="90" t="s">
        <v>3459</v>
      </c>
      <c r="E283" s="14" t="s">
        <v>438</v>
      </c>
      <c r="F283" s="633">
        <v>162</v>
      </c>
      <c r="G283" s="23">
        <v>44812</v>
      </c>
      <c r="H283" s="536">
        <v>28983.06</v>
      </c>
      <c r="I283" s="340"/>
      <c r="J283" s="340"/>
      <c r="K283" s="510">
        <f t="shared" si="45"/>
        <v>28983.06</v>
      </c>
      <c r="L283" s="15">
        <v>44814</v>
      </c>
      <c r="M283" s="335">
        <v>5079.314350684931</v>
      </c>
      <c r="N283" s="512">
        <f t="shared" si="47"/>
        <v>23903.745649315071</v>
      </c>
      <c r="O283" s="512">
        <f t="shared" si="38"/>
        <v>569</v>
      </c>
      <c r="P283" s="513">
        <v>3</v>
      </c>
      <c r="Q283" s="514">
        <f t="shared" si="39"/>
        <v>1.558904109589041</v>
      </c>
      <c r="R283" s="514">
        <f t="shared" si="40"/>
        <v>1.441095890410959</v>
      </c>
      <c r="S283" s="515">
        <f t="shared" si="41"/>
        <v>0.31666666666666665</v>
      </c>
      <c r="T283" s="516">
        <f t="shared" si="42"/>
        <v>9177.9689999999991</v>
      </c>
      <c r="U283" s="516">
        <f t="shared" si="43"/>
        <v>14725.776649315072</v>
      </c>
      <c r="V283" s="517">
        <f t="shared" si="44"/>
        <v>1449</v>
      </c>
      <c r="X283" s="335"/>
    </row>
    <row r="284" spans="1:24" ht="13.9">
      <c r="A284" s="340" t="e">
        <f t="shared" si="46"/>
        <v>#REF!</v>
      </c>
      <c r="B284" s="14" t="s">
        <v>780</v>
      </c>
      <c r="C284" s="340" t="s">
        <v>3663</v>
      </c>
      <c r="D284" s="90" t="s">
        <v>3459</v>
      </c>
      <c r="E284" s="14" t="s">
        <v>438</v>
      </c>
      <c r="F284" s="633">
        <v>744</v>
      </c>
      <c r="G284" s="15">
        <v>44902</v>
      </c>
      <c r="H284" s="536">
        <v>17118.644067796609</v>
      </c>
      <c r="I284" s="340"/>
      <c r="J284" s="340"/>
      <c r="K284" s="510">
        <f t="shared" si="45"/>
        <v>17118.644067796609</v>
      </c>
      <c r="L284" s="15">
        <v>44926</v>
      </c>
      <c r="M284" s="335">
        <v>1336.6612491293242</v>
      </c>
      <c r="N284" s="512">
        <f t="shared" si="47"/>
        <v>15781.982818667286</v>
      </c>
      <c r="O284" s="512">
        <f t="shared" si="38"/>
        <v>457</v>
      </c>
      <c r="P284" s="513">
        <v>3</v>
      </c>
      <c r="Q284" s="514">
        <f t="shared" si="39"/>
        <v>1.252054794520548</v>
      </c>
      <c r="R284" s="514">
        <f t="shared" si="40"/>
        <v>1.747945205479452</v>
      </c>
      <c r="S284" s="515">
        <f t="shared" si="41"/>
        <v>0.31666666666666665</v>
      </c>
      <c r="T284" s="516">
        <f t="shared" si="42"/>
        <v>5420.9039548022592</v>
      </c>
      <c r="U284" s="516">
        <f t="shared" si="43"/>
        <v>10361.078863865027</v>
      </c>
      <c r="V284" s="517">
        <f t="shared" si="44"/>
        <v>856</v>
      </c>
      <c r="X284" s="335"/>
    </row>
    <row r="285" spans="1:24" ht="13.9">
      <c r="A285" s="340" t="e">
        <f t="shared" si="46"/>
        <v>#REF!</v>
      </c>
      <c r="B285" s="14" t="s">
        <v>436</v>
      </c>
      <c r="C285" s="340" t="s">
        <v>3663</v>
      </c>
      <c r="D285" s="90" t="s">
        <v>3459</v>
      </c>
      <c r="E285" s="14" t="s">
        <v>438</v>
      </c>
      <c r="F285" s="633">
        <v>744</v>
      </c>
      <c r="G285" s="15">
        <v>44902</v>
      </c>
      <c r="H285" s="536">
        <v>6355.9322033898306</v>
      </c>
      <c r="I285" s="340"/>
      <c r="J285" s="340"/>
      <c r="K285" s="510">
        <f t="shared" si="45"/>
        <v>6355.9322033898306</v>
      </c>
      <c r="L285" s="15">
        <v>44926</v>
      </c>
      <c r="M285" s="335">
        <v>496.28511725098673</v>
      </c>
      <c r="N285" s="512">
        <f t="shared" si="47"/>
        <v>5859.6470861388443</v>
      </c>
      <c r="O285" s="512">
        <f t="shared" si="38"/>
        <v>457</v>
      </c>
      <c r="P285" s="513">
        <v>3</v>
      </c>
      <c r="Q285" s="514">
        <f t="shared" si="39"/>
        <v>1.252054794520548</v>
      </c>
      <c r="R285" s="514">
        <f t="shared" si="40"/>
        <v>1.747945205479452</v>
      </c>
      <c r="S285" s="515">
        <f t="shared" si="41"/>
        <v>0.31666666666666665</v>
      </c>
      <c r="T285" s="516">
        <f t="shared" si="42"/>
        <v>2012.7118644067796</v>
      </c>
      <c r="U285" s="516">
        <f t="shared" si="43"/>
        <v>3846.9352217320647</v>
      </c>
      <c r="V285" s="517">
        <f t="shared" si="44"/>
        <v>318</v>
      </c>
      <c r="X285" s="335"/>
    </row>
    <row r="286" spans="1:24" ht="13.9">
      <c r="A286" s="340" t="e">
        <f t="shared" si="46"/>
        <v>#REF!</v>
      </c>
      <c r="B286" s="14" t="s">
        <v>780</v>
      </c>
      <c r="C286" s="340" t="s">
        <v>3663</v>
      </c>
      <c r="D286" s="90" t="s">
        <v>3459</v>
      </c>
      <c r="E286" s="14" t="s">
        <v>438</v>
      </c>
      <c r="F286" s="633">
        <v>737</v>
      </c>
      <c r="G286" s="15">
        <v>44888</v>
      </c>
      <c r="H286" s="536">
        <v>15423.728813559323</v>
      </c>
      <c r="I286" s="340"/>
      <c r="J286" s="340"/>
      <c r="K286" s="510">
        <f t="shared" si="45"/>
        <v>15423.728813559323</v>
      </c>
      <c r="L286" s="15">
        <v>44926</v>
      </c>
      <c r="M286" s="326">
        <v>1204.3185511957281</v>
      </c>
      <c r="N286" s="512">
        <f t="shared" si="47"/>
        <v>14219.410262363595</v>
      </c>
      <c r="O286" s="512">
        <f t="shared" si="38"/>
        <v>457</v>
      </c>
      <c r="P286" s="513">
        <v>3</v>
      </c>
      <c r="Q286" s="514">
        <f t="shared" si="39"/>
        <v>1.252054794520548</v>
      </c>
      <c r="R286" s="514">
        <f t="shared" si="40"/>
        <v>1.747945205479452</v>
      </c>
      <c r="S286" s="515">
        <f t="shared" si="41"/>
        <v>0.31666666666666665</v>
      </c>
      <c r="T286" s="516">
        <f t="shared" si="42"/>
        <v>4884.1807909604522</v>
      </c>
      <c r="U286" s="516">
        <f t="shared" si="43"/>
        <v>9335.2294714031432</v>
      </c>
      <c r="V286" s="517">
        <f t="shared" si="44"/>
        <v>771</v>
      </c>
      <c r="X286" s="335"/>
    </row>
    <row r="287" spans="1:24" ht="13.9">
      <c r="A287" s="340" t="e">
        <f t="shared" si="46"/>
        <v>#REF!</v>
      </c>
      <c r="B287" s="14" t="s">
        <v>436</v>
      </c>
      <c r="C287" s="340" t="s">
        <v>3663</v>
      </c>
      <c r="D287" s="90" t="s">
        <v>3459</v>
      </c>
      <c r="E287" s="14" t="s">
        <v>438</v>
      </c>
      <c r="F287" s="633">
        <v>737</v>
      </c>
      <c r="G287" s="15">
        <v>44888</v>
      </c>
      <c r="H287" s="536">
        <v>6694.9152542372885</v>
      </c>
      <c r="I287" s="340"/>
      <c r="J287" s="340"/>
      <c r="K287" s="510">
        <f t="shared" si="45"/>
        <v>6694.9152542372885</v>
      </c>
      <c r="L287" s="15">
        <v>44926</v>
      </c>
      <c r="M287" s="335">
        <v>522.7536568377061</v>
      </c>
      <c r="N287" s="512">
        <f t="shared" si="47"/>
        <v>6172.1615973995822</v>
      </c>
      <c r="O287" s="512">
        <f t="shared" si="38"/>
        <v>457</v>
      </c>
      <c r="P287" s="513">
        <v>3</v>
      </c>
      <c r="Q287" s="514">
        <f t="shared" si="39"/>
        <v>1.252054794520548</v>
      </c>
      <c r="R287" s="514">
        <f t="shared" si="40"/>
        <v>1.747945205479452</v>
      </c>
      <c r="S287" s="515">
        <f t="shared" si="41"/>
        <v>0.31666666666666665</v>
      </c>
      <c r="T287" s="516">
        <f t="shared" si="42"/>
        <v>2120.0564971751414</v>
      </c>
      <c r="U287" s="516">
        <f t="shared" si="43"/>
        <v>4052.1051002244408</v>
      </c>
      <c r="V287" s="517">
        <f t="shared" si="44"/>
        <v>335</v>
      </c>
      <c r="X287" s="335"/>
    </row>
    <row r="288" spans="1:24" ht="13.9">
      <c r="A288" s="340" t="e">
        <f t="shared" si="46"/>
        <v>#REF!</v>
      </c>
      <c r="B288" s="14" t="s">
        <v>209</v>
      </c>
      <c r="C288" s="340" t="s">
        <v>3663</v>
      </c>
      <c r="D288" s="90" t="s">
        <v>3459</v>
      </c>
      <c r="E288" s="14" t="s">
        <v>438</v>
      </c>
      <c r="F288" s="633">
        <v>719</v>
      </c>
      <c r="G288" s="15">
        <v>44844</v>
      </c>
      <c r="H288" s="536">
        <v>13814</v>
      </c>
      <c r="I288" s="340"/>
      <c r="J288" s="340"/>
      <c r="K288" s="510">
        <f t="shared" si="45"/>
        <v>13814</v>
      </c>
      <c r="L288" s="15">
        <v>44844</v>
      </c>
      <c r="M288" s="335">
        <v>2061.3768036529682</v>
      </c>
      <c r="N288" s="512">
        <f t="shared" si="47"/>
        <v>11752.623196347031</v>
      </c>
      <c r="O288" s="512">
        <f t="shared" si="38"/>
        <v>539</v>
      </c>
      <c r="P288" s="513">
        <v>3</v>
      </c>
      <c r="Q288" s="514">
        <f t="shared" si="39"/>
        <v>1.4767123287671233</v>
      </c>
      <c r="R288" s="514">
        <f t="shared" si="40"/>
        <v>1.5232876712328767</v>
      </c>
      <c r="S288" s="515">
        <f t="shared" si="41"/>
        <v>0.31666666666666665</v>
      </c>
      <c r="T288" s="516">
        <f t="shared" si="42"/>
        <v>4374.4333333333334</v>
      </c>
      <c r="U288" s="516">
        <f t="shared" si="43"/>
        <v>7378.1898630136975</v>
      </c>
      <c r="V288" s="517">
        <f t="shared" si="44"/>
        <v>691</v>
      </c>
      <c r="X288" s="335"/>
    </row>
    <row r="289" spans="1:24" ht="13.9">
      <c r="A289" s="340" t="e">
        <f t="shared" si="46"/>
        <v>#REF!</v>
      </c>
      <c r="B289" s="530" t="s">
        <v>209</v>
      </c>
      <c r="C289" s="340" t="s">
        <v>3663</v>
      </c>
      <c r="D289" s="90" t="s">
        <v>3459</v>
      </c>
      <c r="E289" s="530" t="s">
        <v>2858</v>
      </c>
      <c r="F289" s="629" t="s">
        <v>3431</v>
      </c>
      <c r="G289" s="623">
        <v>44931</v>
      </c>
      <c r="H289" s="536">
        <v>55900</v>
      </c>
      <c r="I289" s="340"/>
      <c r="J289" s="340"/>
      <c r="K289" s="510">
        <f t="shared" si="45"/>
        <v>55900</v>
      </c>
      <c r="L289" s="623">
        <v>44931</v>
      </c>
      <c r="M289" s="335">
        <v>4122.3059360730595</v>
      </c>
      <c r="N289" s="512">
        <f t="shared" si="47"/>
        <v>51777.694063926938</v>
      </c>
      <c r="O289" s="512">
        <f t="shared" si="38"/>
        <v>452</v>
      </c>
      <c r="P289" s="513">
        <v>3</v>
      </c>
      <c r="Q289" s="514">
        <f t="shared" si="39"/>
        <v>1.2383561643835617</v>
      </c>
      <c r="R289" s="514">
        <f t="shared" si="40"/>
        <v>1.7616438356164383</v>
      </c>
      <c r="S289" s="515">
        <f t="shared" si="41"/>
        <v>0.31666666666666665</v>
      </c>
      <c r="T289" s="516">
        <f t="shared" si="42"/>
        <v>17701.666666666664</v>
      </c>
      <c r="U289" s="516">
        <f t="shared" si="43"/>
        <v>34076.027397260274</v>
      </c>
      <c r="V289" s="517">
        <f t="shared" si="44"/>
        <v>2795</v>
      </c>
      <c r="X289" s="335"/>
    </row>
    <row r="290" spans="1:24" ht="13.9">
      <c r="A290" s="340" t="e">
        <f t="shared" si="46"/>
        <v>#REF!</v>
      </c>
      <c r="B290" s="530" t="s">
        <v>209</v>
      </c>
      <c r="C290" s="340" t="s">
        <v>3663</v>
      </c>
      <c r="D290" s="90" t="s">
        <v>3459</v>
      </c>
      <c r="E290" s="530" t="s">
        <v>414</v>
      </c>
      <c r="F290" s="629"/>
      <c r="G290" s="623">
        <v>44956</v>
      </c>
      <c r="H290" s="536">
        <v>16636</v>
      </c>
      <c r="I290" s="340"/>
      <c r="J290" s="340"/>
      <c r="K290" s="510">
        <f t="shared" si="45"/>
        <v>16636</v>
      </c>
      <c r="L290" s="623">
        <v>44956</v>
      </c>
      <c r="M290" s="335">
        <v>865.98356164383563</v>
      </c>
      <c r="N290" s="512">
        <f t="shared" si="47"/>
        <v>15770.016438356164</v>
      </c>
      <c r="O290" s="512">
        <f t="shared" si="38"/>
        <v>427</v>
      </c>
      <c r="P290" s="513">
        <v>3</v>
      </c>
      <c r="Q290" s="514">
        <f t="shared" si="39"/>
        <v>1.1698630136986301</v>
      </c>
      <c r="R290" s="514">
        <f t="shared" si="40"/>
        <v>1.8301369863013699</v>
      </c>
      <c r="S290" s="515">
        <f t="shared" si="41"/>
        <v>0.31666666666666665</v>
      </c>
      <c r="T290" s="516">
        <f t="shared" si="42"/>
        <v>5268.0666666666666</v>
      </c>
      <c r="U290" s="516">
        <f t="shared" si="43"/>
        <v>10501.949771689498</v>
      </c>
      <c r="V290" s="517">
        <f t="shared" si="44"/>
        <v>832</v>
      </c>
      <c r="X290" s="335"/>
    </row>
    <row r="291" spans="1:24" ht="13.9">
      <c r="A291" s="340" t="e">
        <f t="shared" si="46"/>
        <v>#REF!</v>
      </c>
      <c r="B291" s="14" t="s">
        <v>208</v>
      </c>
      <c r="C291" s="340" t="s">
        <v>3663</v>
      </c>
      <c r="D291" s="665" t="s">
        <v>3461</v>
      </c>
      <c r="E291" s="14" t="s">
        <v>216</v>
      </c>
      <c r="F291" s="633" t="s">
        <v>212</v>
      </c>
      <c r="G291" s="23">
        <v>44741</v>
      </c>
      <c r="H291" s="536">
        <v>114406.76000000001</v>
      </c>
      <c r="I291" s="340"/>
      <c r="J291" s="340"/>
      <c r="K291" s="510">
        <f t="shared" si="45"/>
        <v>114406.76000000001</v>
      </c>
      <c r="L291" s="15">
        <v>44741</v>
      </c>
      <c r="M291" s="335">
        <v>27295.67675799087</v>
      </c>
      <c r="N291" s="512">
        <f t="shared" si="47"/>
        <v>87111.083242009132</v>
      </c>
      <c r="O291" s="512">
        <f t="shared" si="38"/>
        <v>642</v>
      </c>
      <c r="P291" s="513">
        <v>3</v>
      </c>
      <c r="Q291" s="514">
        <f t="shared" si="39"/>
        <v>1.7589041095890412</v>
      </c>
      <c r="R291" s="514">
        <f t="shared" si="40"/>
        <v>1.2410958904109588</v>
      </c>
      <c r="S291" s="515">
        <f t="shared" si="41"/>
        <v>0.31666666666666665</v>
      </c>
      <c r="T291" s="516">
        <f t="shared" si="42"/>
        <v>36228.807333333338</v>
      </c>
      <c r="U291" s="516">
        <f t="shared" si="43"/>
        <v>50882.275908675794</v>
      </c>
      <c r="V291" s="517">
        <f t="shared" si="44"/>
        <v>5720</v>
      </c>
      <c r="X291" s="335"/>
    </row>
    <row r="292" spans="1:24" ht="13.9">
      <c r="A292" s="340" t="e">
        <f t="shared" si="46"/>
        <v>#REF!</v>
      </c>
      <c r="B292" s="14" t="s">
        <v>209</v>
      </c>
      <c r="C292" s="340" t="s">
        <v>3663</v>
      </c>
      <c r="D292" s="665" t="s">
        <v>3461</v>
      </c>
      <c r="E292" s="14" t="s">
        <v>217</v>
      </c>
      <c r="F292" s="633" t="s">
        <v>213</v>
      </c>
      <c r="G292" s="23">
        <v>44704</v>
      </c>
      <c r="H292" s="536">
        <v>16517</v>
      </c>
      <c r="I292" s="340"/>
      <c r="J292" s="340"/>
      <c r="K292" s="510">
        <f t="shared" si="45"/>
        <v>16517</v>
      </c>
      <c r="L292" s="15">
        <v>44712</v>
      </c>
      <c r="M292" s="335">
        <v>4356.2644748858447</v>
      </c>
      <c r="N292" s="512">
        <f t="shared" si="47"/>
        <v>12160.735525114156</v>
      </c>
      <c r="O292" s="512">
        <f t="shared" si="38"/>
        <v>671</v>
      </c>
      <c r="P292" s="513">
        <v>3</v>
      </c>
      <c r="Q292" s="514">
        <f t="shared" si="39"/>
        <v>1.8383561643835618</v>
      </c>
      <c r="R292" s="514">
        <f t="shared" si="40"/>
        <v>1.1616438356164382</v>
      </c>
      <c r="S292" s="515">
        <f t="shared" si="41"/>
        <v>0.31666666666666665</v>
      </c>
      <c r="T292" s="516">
        <f t="shared" si="42"/>
        <v>5230.3833333333332</v>
      </c>
      <c r="U292" s="516">
        <f t="shared" si="43"/>
        <v>6930.352191780823</v>
      </c>
      <c r="V292" s="517">
        <f t="shared" si="44"/>
        <v>826</v>
      </c>
      <c r="X292" s="335"/>
    </row>
    <row r="293" spans="1:24" ht="13.9">
      <c r="A293" s="340" t="e">
        <f t="shared" si="46"/>
        <v>#REF!</v>
      </c>
      <c r="B293" s="14" t="s">
        <v>209</v>
      </c>
      <c r="C293" s="340" t="s">
        <v>3663</v>
      </c>
      <c r="D293" s="665" t="s">
        <v>3461</v>
      </c>
      <c r="E293" s="14" t="s">
        <v>439</v>
      </c>
      <c r="F293" s="633">
        <v>1047</v>
      </c>
      <c r="G293" s="23">
        <v>44823</v>
      </c>
      <c r="H293" s="536">
        <v>135000</v>
      </c>
      <c r="I293" s="340"/>
      <c r="J293" s="340"/>
      <c r="K293" s="510">
        <f t="shared" si="45"/>
        <v>135000</v>
      </c>
      <c r="L293" s="15">
        <v>44823</v>
      </c>
      <c r="M293" s="335">
        <v>22604.794520547945</v>
      </c>
      <c r="N293" s="512">
        <f t="shared" si="47"/>
        <v>112395.20547945205</v>
      </c>
      <c r="O293" s="512">
        <f t="shared" si="38"/>
        <v>560</v>
      </c>
      <c r="P293" s="513">
        <v>3</v>
      </c>
      <c r="Q293" s="514">
        <f t="shared" si="39"/>
        <v>1.5342465753424657</v>
      </c>
      <c r="R293" s="514">
        <f t="shared" si="40"/>
        <v>1.4657534246575343</v>
      </c>
      <c r="S293" s="515">
        <f t="shared" si="41"/>
        <v>0.31666666666666665</v>
      </c>
      <c r="T293" s="516">
        <f t="shared" si="42"/>
        <v>42750</v>
      </c>
      <c r="U293" s="516">
        <f t="shared" si="43"/>
        <v>69645.205479452052</v>
      </c>
      <c r="V293" s="517">
        <f t="shared" si="44"/>
        <v>6750</v>
      </c>
      <c r="X293" s="335"/>
    </row>
    <row r="294" spans="1:24" ht="13.9">
      <c r="A294" s="340" t="e">
        <f t="shared" si="46"/>
        <v>#REF!</v>
      </c>
      <c r="B294" s="14" t="s">
        <v>209</v>
      </c>
      <c r="C294" s="340" t="s">
        <v>3663</v>
      </c>
      <c r="D294" s="665" t="s">
        <v>3461</v>
      </c>
      <c r="E294" s="14" t="s">
        <v>439</v>
      </c>
      <c r="F294" s="633">
        <v>1044</v>
      </c>
      <c r="G294" s="15">
        <v>44821</v>
      </c>
      <c r="H294" s="536">
        <v>149000</v>
      </c>
      <c r="I294" s="340"/>
      <c r="J294" s="340"/>
      <c r="K294" s="510">
        <f t="shared" si="45"/>
        <v>149000</v>
      </c>
      <c r="L294" s="15">
        <v>44915</v>
      </c>
      <c r="M294" s="335">
        <v>13056.210045662101</v>
      </c>
      <c r="N294" s="512">
        <f t="shared" si="47"/>
        <v>135943.7899543379</v>
      </c>
      <c r="O294" s="512">
        <f t="shared" si="38"/>
        <v>468</v>
      </c>
      <c r="P294" s="513">
        <v>3</v>
      </c>
      <c r="Q294" s="514">
        <f t="shared" si="39"/>
        <v>1.2821917808219179</v>
      </c>
      <c r="R294" s="514">
        <f t="shared" si="40"/>
        <v>1.7178082191780821</v>
      </c>
      <c r="S294" s="515">
        <f t="shared" si="41"/>
        <v>0.31666666666666665</v>
      </c>
      <c r="T294" s="516">
        <f t="shared" si="42"/>
        <v>47183.333333333328</v>
      </c>
      <c r="U294" s="516">
        <f t="shared" si="43"/>
        <v>88760.456621004574</v>
      </c>
      <c r="V294" s="517">
        <f t="shared" si="44"/>
        <v>7450</v>
      </c>
      <c r="X294" s="335"/>
    </row>
    <row r="295" spans="1:24" ht="13.9">
      <c r="A295" s="340" t="e">
        <f t="shared" si="46"/>
        <v>#REF!</v>
      </c>
      <c r="B295" s="14" t="s">
        <v>209</v>
      </c>
      <c r="C295" s="340" t="s">
        <v>3663</v>
      </c>
      <c r="D295" s="91" t="s">
        <v>18</v>
      </c>
      <c r="E295" s="14" t="s">
        <v>218</v>
      </c>
      <c r="F295" s="633" t="s">
        <v>214</v>
      </c>
      <c r="G295" s="23">
        <v>44710</v>
      </c>
      <c r="H295" s="536">
        <v>10169.49</v>
      </c>
      <c r="I295" s="340"/>
      <c r="J295" s="340"/>
      <c r="K295" s="510">
        <f t="shared" si="45"/>
        <v>10169.49</v>
      </c>
      <c r="L295" s="15">
        <v>44710</v>
      </c>
      <c r="M295" s="335">
        <v>2699.7906328767122</v>
      </c>
      <c r="N295" s="512">
        <f t="shared" si="47"/>
        <v>7469.6993671232876</v>
      </c>
      <c r="O295" s="512">
        <f t="shared" si="38"/>
        <v>673</v>
      </c>
      <c r="P295" s="513">
        <v>3</v>
      </c>
      <c r="Q295" s="514">
        <f t="shared" si="39"/>
        <v>1.8438356164383563</v>
      </c>
      <c r="R295" s="514">
        <f t="shared" si="40"/>
        <v>1.1561643835616437</v>
      </c>
      <c r="S295" s="515">
        <f t="shared" si="41"/>
        <v>0.31666666666666665</v>
      </c>
      <c r="T295" s="516">
        <f t="shared" si="42"/>
        <v>3220.3384999999998</v>
      </c>
      <c r="U295" s="516">
        <f t="shared" si="43"/>
        <v>4249.3608671232878</v>
      </c>
      <c r="V295" s="517">
        <f t="shared" si="44"/>
        <v>508</v>
      </c>
      <c r="X295" s="335"/>
    </row>
    <row r="296" spans="1:24" ht="13.9">
      <c r="A296" s="340" t="e">
        <f t="shared" si="46"/>
        <v>#REF!</v>
      </c>
      <c r="B296" s="14" t="s">
        <v>210</v>
      </c>
      <c r="C296" s="340" t="s">
        <v>3663</v>
      </c>
      <c r="D296" s="14" t="s">
        <v>29</v>
      </c>
      <c r="E296" s="14" t="s">
        <v>205</v>
      </c>
      <c r="F296" s="633">
        <v>459</v>
      </c>
      <c r="G296" s="23">
        <v>44722</v>
      </c>
      <c r="H296" s="536">
        <v>14550</v>
      </c>
      <c r="I296" s="340"/>
      <c r="J296" s="340"/>
      <c r="K296" s="510">
        <f t="shared" si="45"/>
        <v>14550</v>
      </c>
      <c r="L296" s="15">
        <v>44722</v>
      </c>
      <c r="M296" s="335">
        <v>3711.2465753424658</v>
      </c>
      <c r="N296" s="512">
        <f t="shared" si="47"/>
        <v>10838.753424657534</v>
      </c>
      <c r="O296" s="512">
        <f t="shared" si="38"/>
        <v>661</v>
      </c>
      <c r="P296" s="513">
        <v>3</v>
      </c>
      <c r="Q296" s="514">
        <f t="shared" si="39"/>
        <v>1.810958904109589</v>
      </c>
      <c r="R296" s="514">
        <f t="shared" si="40"/>
        <v>1.189041095890411</v>
      </c>
      <c r="S296" s="515">
        <f t="shared" si="41"/>
        <v>0.31666666666666665</v>
      </c>
      <c r="T296" s="516">
        <f t="shared" si="42"/>
        <v>4607.5</v>
      </c>
      <c r="U296" s="516">
        <f t="shared" si="43"/>
        <v>6231.2534246575342</v>
      </c>
      <c r="V296" s="517">
        <f t="shared" si="44"/>
        <v>728</v>
      </c>
      <c r="X296" s="335"/>
    </row>
    <row r="297" spans="1:24" ht="13.9">
      <c r="A297" s="340" t="e">
        <f t="shared" si="46"/>
        <v>#REF!</v>
      </c>
      <c r="B297" s="14" t="s">
        <v>210</v>
      </c>
      <c r="C297" s="340" t="s">
        <v>3663</v>
      </c>
      <c r="D297" s="14" t="s">
        <v>29</v>
      </c>
      <c r="E297" s="14" t="s">
        <v>205</v>
      </c>
      <c r="F297" s="633">
        <v>481</v>
      </c>
      <c r="G297" s="23">
        <v>44726</v>
      </c>
      <c r="H297" s="536">
        <v>10547</v>
      </c>
      <c r="I297" s="340"/>
      <c r="J297" s="340"/>
      <c r="K297" s="510">
        <f t="shared" si="45"/>
        <v>10547</v>
      </c>
      <c r="L297" s="15">
        <v>44726</v>
      </c>
      <c r="M297" s="335">
        <v>2653.6059360730592</v>
      </c>
      <c r="N297" s="512">
        <f t="shared" si="47"/>
        <v>7893.3940639269404</v>
      </c>
      <c r="O297" s="512">
        <f t="shared" si="38"/>
        <v>657</v>
      </c>
      <c r="P297" s="513">
        <v>3</v>
      </c>
      <c r="Q297" s="514">
        <f t="shared" si="39"/>
        <v>1.8</v>
      </c>
      <c r="R297" s="514">
        <f t="shared" si="40"/>
        <v>1.2</v>
      </c>
      <c r="S297" s="515">
        <f t="shared" si="41"/>
        <v>0.31666666666666665</v>
      </c>
      <c r="T297" s="516">
        <f t="shared" si="42"/>
        <v>3339.8833333333332</v>
      </c>
      <c r="U297" s="516">
        <f t="shared" si="43"/>
        <v>4553.5107305936071</v>
      </c>
      <c r="V297" s="517">
        <f t="shared" si="44"/>
        <v>527</v>
      </c>
      <c r="X297" s="335"/>
    </row>
    <row r="298" spans="1:24" ht="13.9">
      <c r="A298" s="340" t="e">
        <f t="shared" si="46"/>
        <v>#REF!</v>
      </c>
      <c r="B298" s="14" t="s">
        <v>209</v>
      </c>
      <c r="C298" s="340" t="s">
        <v>3663</v>
      </c>
      <c r="D298" s="14" t="s">
        <v>29</v>
      </c>
      <c r="E298" s="14" t="s">
        <v>441</v>
      </c>
      <c r="F298" s="633" t="s">
        <v>440</v>
      </c>
      <c r="G298" s="15">
        <v>44791</v>
      </c>
      <c r="H298" s="536">
        <v>17796.599999999999</v>
      </c>
      <c r="I298" s="340"/>
      <c r="J298" s="340"/>
      <c r="K298" s="510">
        <f t="shared" si="45"/>
        <v>17796.599999999999</v>
      </c>
      <c r="L298" s="15">
        <v>44800</v>
      </c>
      <c r="M298" s="335">
        <v>3335.0340821917807</v>
      </c>
      <c r="N298" s="512">
        <f t="shared" si="47"/>
        <v>14461.565917808217</v>
      </c>
      <c r="O298" s="512">
        <f t="shared" si="38"/>
        <v>583</v>
      </c>
      <c r="P298" s="513">
        <v>3</v>
      </c>
      <c r="Q298" s="514">
        <f t="shared" si="39"/>
        <v>1.5972602739726027</v>
      </c>
      <c r="R298" s="514">
        <f t="shared" si="40"/>
        <v>1.4027397260273973</v>
      </c>
      <c r="S298" s="515">
        <f t="shared" si="41"/>
        <v>0.31666666666666665</v>
      </c>
      <c r="T298" s="516">
        <f t="shared" si="42"/>
        <v>5635.5899999999992</v>
      </c>
      <c r="U298" s="516">
        <f t="shared" si="43"/>
        <v>8825.9759178082168</v>
      </c>
      <c r="V298" s="517">
        <f t="shared" si="44"/>
        <v>890</v>
      </c>
      <c r="X298" s="335"/>
    </row>
    <row r="299" spans="1:24" ht="13.9">
      <c r="A299" s="340" t="e">
        <f t="shared" si="46"/>
        <v>#REF!</v>
      </c>
      <c r="B299" s="14" t="s">
        <v>781</v>
      </c>
      <c r="C299" s="340" t="s">
        <v>3663</v>
      </c>
      <c r="D299" s="14" t="s">
        <v>29</v>
      </c>
      <c r="E299" s="14" t="s">
        <v>414</v>
      </c>
      <c r="F299" s="633"/>
      <c r="G299" s="15">
        <v>44853</v>
      </c>
      <c r="H299" s="536">
        <v>7450</v>
      </c>
      <c r="I299" s="340"/>
      <c r="J299" s="340"/>
      <c r="K299" s="510">
        <f t="shared" si="45"/>
        <v>7450</v>
      </c>
      <c r="L299" s="15">
        <v>44853</v>
      </c>
      <c r="M299" s="335">
        <v>1053.5456621004564</v>
      </c>
      <c r="N299" s="512">
        <f t="shared" si="47"/>
        <v>6396.454337899544</v>
      </c>
      <c r="O299" s="512">
        <f t="shared" si="38"/>
        <v>530</v>
      </c>
      <c r="P299" s="513">
        <v>3</v>
      </c>
      <c r="Q299" s="514">
        <f t="shared" si="39"/>
        <v>1.452054794520548</v>
      </c>
      <c r="R299" s="514">
        <f t="shared" si="40"/>
        <v>1.547945205479452</v>
      </c>
      <c r="S299" s="515">
        <f t="shared" si="41"/>
        <v>0.31666666666666665</v>
      </c>
      <c r="T299" s="516">
        <f t="shared" si="42"/>
        <v>2359.1666666666665</v>
      </c>
      <c r="U299" s="516">
        <f t="shared" si="43"/>
        <v>4037.2876712328775</v>
      </c>
      <c r="V299" s="517">
        <f t="shared" si="44"/>
        <v>373</v>
      </c>
      <c r="X299" s="335"/>
    </row>
    <row r="300" spans="1:24" ht="13.9">
      <c r="A300" s="340" t="e">
        <f t="shared" si="46"/>
        <v>#REF!</v>
      </c>
      <c r="B300" s="14" t="s">
        <v>781</v>
      </c>
      <c r="C300" s="340" t="s">
        <v>3663</v>
      </c>
      <c r="D300" s="14" t="s">
        <v>29</v>
      </c>
      <c r="E300" s="14" t="s">
        <v>414</v>
      </c>
      <c r="F300" s="633"/>
      <c r="G300" s="15">
        <v>44871</v>
      </c>
      <c r="H300" s="536">
        <v>10000</v>
      </c>
      <c r="I300" s="340"/>
      <c r="J300" s="340"/>
      <c r="K300" s="510">
        <f t="shared" si="45"/>
        <v>10000</v>
      </c>
      <c r="L300" s="15">
        <v>44871</v>
      </c>
      <c r="M300" s="335">
        <v>1257.9908675799086</v>
      </c>
      <c r="N300" s="512">
        <f t="shared" si="47"/>
        <v>8742.0091324200912</v>
      </c>
      <c r="O300" s="512">
        <f t="shared" si="38"/>
        <v>512</v>
      </c>
      <c r="P300" s="513">
        <v>3</v>
      </c>
      <c r="Q300" s="514">
        <f t="shared" si="39"/>
        <v>1.4027397260273973</v>
      </c>
      <c r="R300" s="514">
        <f t="shared" si="40"/>
        <v>1.5972602739726027</v>
      </c>
      <c r="S300" s="515">
        <f t="shared" si="41"/>
        <v>0.31666666666666665</v>
      </c>
      <c r="T300" s="516">
        <f t="shared" si="42"/>
        <v>3166.6666666666665</v>
      </c>
      <c r="U300" s="516">
        <f t="shared" si="43"/>
        <v>5575.3424657534251</v>
      </c>
      <c r="V300" s="517">
        <f t="shared" si="44"/>
        <v>500</v>
      </c>
      <c r="X300" s="335"/>
    </row>
    <row r="301" spans="1:24" ht="13.9">
      <c r="A301" s="340" t="e">
        <f t="shared" si="46"/>
        <v>#REF!</v>
      </c>
      <c r="B301" s="14" t="s">
        <v>781</v>
      </c>
      <c r="C301" s="340" t="s">
        <v>3663</v>
      </c>
      <c r="D301" s="14" t="s">
        <v>29</v>
      </c>
      <c r="E301" s="14" t="s">
        <v>414</v>
      </c>
      <c r="F301" s="633"/>
      <c r="G301" s="15">
        <v>44871</v>
      </c>
      <c r="H301" s="536">
        <v>1990</v>
      </c>
      <c r="I301" s="340"/>
      <c r="J301" s="340"/>
      <c r="K301" s="510">
        <f t="shared" si="45"/>
        <v>1990</v>
      </c>
      <c r="L301" s="15">
        <v>44871</v>
      </c>
      <c r="M301" s="335">
        <v>250.34018264840179</v>
      </c>
      <c r="N301" s="512">
        <f t="shared" si="47"/>
        <v>1739.6598173515981</v>
      </c>
      <c r="O301" s="512">
        <f t="shared" si="38"/>
        <v>512</v>
      </c>
      <c r="P301" s="513">
        <v>3</v>
      </c>
      <c r="Q301" s="514">
        <f t="shared" si="39"/>
        <v>1.4027397260273973</v>
      </c>
      <c r="R301" s="514">
        <f t="shared" si="40"/>
        <v>1.5972602739726027</v>
      </c>
      <c r="S301" s="515">
        <f t="shared" si="41"/>
        <v>0.31666666666666665</v>
      </c>
      <c r="T301" s="516">
        <f t="shared" si="42"/>
        <v>630.16666666666663</v>
      </c>
      <c r="U301" s="516">
        <f t="shared" si="43"/>
        <v>1109.4931506849316</v>
      </c>
      <c r="V301" s="517">
        <f t="shared" si="44"/>
        <v>100</v>
      </c>
      <c r="X301" s="335"/>
    </row>
    <row r="302" spans="1:24" ht="13.9">
      <c r="A302" s="340" t="e">
        <f t="shared" si="46"/>
        <v>#REF!</v>
      </c>
      <c r="B302" s="14" t="s">
        <v>781</v>
      </c>
      <c r="C302" s="340" t="s">
        <v>3663</v>
      </c>
      <c r="D302" s="14" t="s">
        <v>29</v>
      </c>
      <c r="E302" s="14" t="s">
        <v>414</v>
      </c>
      <c r="F302" s="633"/>
      <c r="G302" s="15">
        <v>44873</v>
      </c>
      <c r="H302" s="536">
        <v>10000</v>
      </c>
      <c r="I302" s="340"/>
      <c r="J302" s="340"/>
      <c r="K302" s="510">
        <f t="shared" si="45"/>
        <v>10000</v>
      </c>
      <c r="L302" s="15">
        <v>44873</v>
      </c>
      <c r="M302" s="335">
        <v>1240.6392694063927</v>
      </c>
      <c r="N302" s="512">
        <f t="shared" si="47"/>
        <v>8759.3607305936075</v>
      </c>
      <c r="O302" s="512">
        <f t="shared" si="38"/>
        <v>510</v>
      </c>
      <c r="P302" s="513">
        <v>3</v>
      </c>
      <c r="Q302" s="514">
        <f t="shared" si="39"/>
        <v>1.3972602739726028</v>
      </c>
      <c r="R302" s="514">
        <f t="shared" si="40"/>
        <v>1.6027397260273972</v>
      </c>
      <c r="S302" s="515">
        <f t="shared" si="41"/>
        <v>0.31666666666666665</v>
      </c>
      <c r="T302" s="516">
        <f t="shared" si="42"/>
        <v>3166.6666666666665</v>
      </c>
      <c r="U302" s="516">
        <f t="shared" si="43"/>
        <v>5592.6940639269415</v>
      </c>
      <c r="V302" s="517">
        <f t="shared" si="44"/>
        <v>500</v>
      </c>
      <c r="X302" s="335"/>
    </row>
    <row r="303" spans="1:24" ht="13.9">
      <c r="A303" s="340" t="e">
        <f t="shared" si="46"/>
        <v>#REF!</v>
      </c>
      <c r="B303" s="14" t="s">
        <v>781</v>
      </c>
      <c r="C303" s="340" t="s">
        <v>3663</v>
      </c>
      <c r="D303" s="14" t="s">
        <v>29</v>
      </c>
      <c r="E303" s="14" t="s">
        <v>414</v>
      </c>
      <c r="F303" s="633"/>
      <c r="G303" s="15">
        <v>44873</v>
      </c>
      <c r="H303" s="536">
        <v>1990</v>
      </c>
      <c r="I303" s="340"/>
      <c r="J303" s="340"/>
      <c r="K303" s="510">
        <f t="shared" si="45"/>
        <v>1990</v>
      </c>
      <c r="L303" s="15">
        <v>44873</v>
      </c>
      <c r="M303" s="335">
        <v>246.88721461187214</v>
      </c>
      <c r="N303" s="512">
        <f t="shared" si="47"/>
        <v>1743.1127853881278</v>
      </c>
      <c r="O303" s="512">
        <f t="shared" si="38"/>
        <v>510</v>
      </c>
      <c r="P303" s="513">
        <v>3</v>
      </c>
      <c r="Q303" s="514">
        <f t="shared" si="39"/>
        <v>1.3972602739726028</v>
      </c>
      <c r="R303" s="514">
        <f t="shared" si="40"/>
        <v>1.6027397260273972</v>
      </c>
      <c r="S303" s="515">
        <f t="shared" si="41"/>
        <v>0.31666666666666665</v>
      </c>
      <c r="T303" s="516">
        <f t="shared" si="42"/>
        <v>630.16666666666663</v>
      </c>
      <c r="U303" s="516">
        <f t="shared" si="43"/>
        <v>1112.9461187214611</v>
      </c>
      <c r="V303" s="517">
        <f t="shared" si="44"/>
        <v>100</v>
      </c>
      <c r="X303" s="335"/>
    </row>
    <row r="304" spans="1:24" ht="13.9">
      <c r="A304" s="340" t="e">
        <f t="shared" si="46"/>
        <v>#REF!</v>
      </c>
      <c r="B304" s="14" t="s">
        <v>436</v>
      </c>
      <c r="C304" s="340" t="s">
        <v>3663</v>
      </c>
      <c r="D304" s="14" t="s">
        <v>29</v>
      </c>
      <c r="E304" s="14" t="s">
        <v>441</v>
      </c>
      <c r="F304" s="633" t="s">
        <v>794</v>
      </c>
      <c r="G304" s="15">
        <v>44876</v>
      </c>
      <c r="H304" s="536">
        <v>4026</v>
      </c>
      <c r="I304" s="340"/>
      <c r="J304" s="340"/>
      <c r="K304" s="510">
        <f t="shared" si="45"/>
        <v>4026</v>
      </c>
      <c r="L304" s="15">
        <v>44876</v>
      </c>
      <c r="M304" s="335">
        <v>489.0027397260273</v>
      </c>
      <c r="N304" s="512">
        <f t="shared" si="47"/>
        <v>3536.9972602739726</v>
      </c>
      <c r="O304" s="512">
        <f t="shared" si="38"/>
        <v>507</v>
      </c>
      <c r="P304" s="513">
        <v>3</v>
      </c>
      <c r="Q304" s="514">
        <f t="shared" si="39"/>
        <v>1.3890410958904109</v>
      </c>
      <c r="R304" s="514">
        <f t="shared" si="40"/>
        <v>1.6109589041095891</v>
      </c>
      <c r="S304" s="515">
        <f t="shared" si="41"/>
        <v>0.31666666666666665</v>
      </c>
      <c r="T304" s="516">
        <f t="shared" si="42"/>
        <v>1274.8999999999999</v>
      </c>
      <c r="U304" s="516">
        <f t="shared" si="43"/>
        <v>2262.097260273973</v>
      </c>
      <c r="V304" s="517">
        <f t="shared" si="44"/>
        <v>201</v>
      </c>
      <c r="X304" s="335"/>
    </row>
    <row r="305" spans="1:24" ht="13.9">
      <c r="A305" s="340" t="e">
        <f t="shared" si="46"/>
        <v>#REF!</v>
      </c>
      <c r="B305" s="14" t="s">
        <v>782</v>
      </c>
      <c r="C305" s="340" t="s">
        <v>3663</v>
      </c>
      <c r="D305" s="14" t="s">
        <v>29</v>
      </c>
      <c r="E305" s="14" t="s">
        <v>441</v>
      </c>
      <c r="F305" s="633" t="s">
        <v>795</v>
      </c>
      <c r="G305" s="15">
        <v>44876</v>
      </c>
      <c r="H305" s="536">
        <v>1653</v>
      </c>
      <c r="I305" s="340"/>
      <c r="J305" s="340"/>
      <c r="K305" s="510">
        <f t="shared" si="45"/>
        <v>1653</v>
      </c>
      <c r="L305" s="15">
        <v>44876</v>
      </c>
      <c r="M305" s="335">
        <v>200.7753424657534</v>
      </c>
      <c r="N305" s="512">
        <f t="shared" si="47"/>
        <v>1452.2246575342465</v>
      </c>
      <c r="O305" s="512">
        <f t="shared" si="38"/>
        <v>507</v>
      </c>
      <c r="P305" s="513">
        <v>3</v>
      </c>
      <c r="Q305" s="514">
        <f t="shared" si="39"/>
        <v>1.3890410958904109</v>
      </c>
      <c r="R305" s="514">
        <f t="shared" si="40"/>
        <v>1.6109589041095891</v>
      </c>
      <c r="S305" s="515">
        <f t="shared" si="41"/>
        <v>0.31666666666666665</v>
      </c>
      <c r="T305" s="516">
        <f t="shared" si="42"/>
        <v>523.44999999999993</v>
      </c>
      <c r="U305" s="516">
        <f t="shared" si="43"/>
        <v>928.77465753424656</v>
      </c>
      <c r="V305" s="517">
        <f t="shared" si="44"/>
        <v>83</v>
      </c>
      <c r="X305" s="335"/>
    </row>
    <row r="306" spans="1:24" ht="13.9">
      <c r="A306" s="340" t="e">
        <f t="shared" si="46"/>
        <v>#REF!</v>
      </c>
      <c r="B306" s="14" t="s">
        <v>209</v>
      </c>
      <c r="C306" s="340" t="s">
        <v>3663</v>
      </c>
      <c r="D306" s="14" t="s">
        <v>29</v>
      </c>
      <c r="E306" s="14" t="s">
        <v>441</v>
      </c>
      <c r="F306" s="633" t="s">
        <v>795</v>
      </c>
      <c r="G306" s="15">
        <v>44876</v>
      </c>
      <c r="H306" s="536">
        <v>35593</v>
      </c>
      <c r="I306" s="340"/>
      <c r="J306" s="340"/>
      <c r="K306" s="510">
        <f t="shared" si="45"/>
        <v>35593</v>
      </c>
      <c r="L306" s="15">
        <v>44876</v>
      </c>
      <c r="M306" s="335">
        <v>4323.1680365296797</v>
      </c>
      <c r="N306" s="512">
        <f t="shared" si="47"/>
        <v>31269.831963470322</v>
      </c>
      <c r="O306" s="512">
        <f t="shared" si="38"/>
        <v>507</v>
      </c>
      <c r="P306" s="513">
        <v>3</v>
      </c>
      <c r="Q306" s="514">
        <f t="shared" si="39"/>
        <v>1.3890410958904109</v>
      </c>
      <c r="R306" s="514">
        <f t="shared" si="40"/>
        <v>1.6109589041095891</v>
      </c>
      <c r="S306" s="515">
        <f t="shared" si="41"/>
        <v>0.31666666666666665</v>
      </c>
      <c r="T306" s="516">
        <f t="shared" si="42"/>
        <v>11271.116666666667</v>
      </c>
      <c r="U306" s="516">
        <f t="shared" si="43"/>
        <v>19998.715296803653</v>
      </c>
      <c r="V306" s="517">
        <f t="shared" si="44"/>
        <v>1780</v>
      </c>
      <c r="X306" s="335"/>
    </row>
    <row r="307" spans="1:24" ht="13.9">
      <c r="A307" s="340" t="e">
        <f t="shared" si="46"/>
        <v>#REF!</v>
      </c>
      <c r="B307" s="14" t="s">
        <v>209</v>
      </c>
      <c r="C307" s="340" t="s">
        <v>3663</v>
      </c>
      <c r="D307" s="14" t="s">
        <v>29</v>
      </c>
      <c r="E307" s="14" t="s">
        <v>439</v>
      </c>
      <c r="F307" s="633">
        <v>1330</v>
      </c>
      <c r="G307" s="15">
        <v>44898</v>
      </c>
      <c r="H307" s="536">
        <v>135000</v>
      </c>
      <c r="I307" s="340"/>
      <c r="J307" s="340"/>
      <c r="K307" s="510">
        <f t="shared" si="45"/>
        <v>135000</v>
      </c>
      <c r="L307" s="15">
        <v>44898</v>
      </c>
      <c r="M307" s="335">
        <v>13820.547945205479</v>
      </c>
      <c r="N307" s="512">
        <f t="shared" si="47"/>
        <v>121179.45205479453</v>
      </c>
      <c r="O307" s="512">
        <f t="shared" si="38"/>
        <v>485</v>
      </c>
      <c r="P307" s="513">
        <v>3</v>
      </c>
      <c r="Q307" s="514">
        <f t="shared" si="39"/>
        <v>1.3287671232876712</v>
      </c>
      <c r="R307" s="514">
        <f t="shared" si="40"/>
        <v>1.6712328767123288</v>
      </c>
      <c r="S307" s="515">
        <f t="shared" si="41"/>
        <v>0.31666666666666665</v>
      </c>
      <c r="T307" s="516">
        <f t="shared" si="42"/>
        <v>42750</v>
      </c>
      <c r="U307" s="516">
        <f t="shared" si="43"/>
        <v>78429.452054794529</v>
      </c>
      <c r="V307" s="517">
        <f t="shared" si="44"/>
        <v>6750</v>
      </c>
      <c r="X307" s="335"/>
    </row>
    <row r="308" spans="1:24" ht="13.9">
      <c r="A308" s="340" t="e">
        <f t="shared" si="46"/>
        <v>#REF!</v>
      </c>
      <c r="B308" s="530" t="s">
        <v>209</v>
      </c>
      <c r="C308" s="340" t="s">
        <v>3663</v>
      </c>
      <c r="D308" s="530" t="s">
        <v>29</v>
      </c>
      <c r="E308" s="530" t="s">
        <v>439</v>
      </c>
      <c r="F308" s="629">
        <v>1516</v>
      </c>
      <c r="G308" s="620">
        <v>44945</v>
      </c>
      <c r="H308" s="536">
        <v>149000</v>
      </c>
      <c r="I308" s="340"/>
      <c r="J308" s="340"/>
      <c r="K308" s="510">
        <f t="shared" si="45"/>
        <v>149000</v>
      </c>
      <c r="L308" s="623">
        <v>44949</v>
      </c>
      <c r="M308" s="335">
        <v>8661.0502283105034</v>
      </c>
      <c r="N308" s="512">
        <f t="shared" si="47"/>
        <v>140338.94977168948</v>
      </c>
      <c r="O308" s="512">
        <f t="shared" si="38"/>
        <v>434</v>
      </c>
      <c r="P308" s="513">
        <v>3</v>
      </c>
      <c r="Q308" s="514">
        <f t="shared" si="39"/>
        <v>1.189041095890411</v>
      </c>
      <c r="R308" s="514">
        <f t="shared" si="40"/>
        <v>1.810958904109589</v>
      </c>
      <c r="S308" s="515">
        <f t="shared" si="41"/>
        <v>0.31666666666666665</v>
      </c>
      <c r="T308" s="516">
        <f t="shared" si="42"/>
        <v>47183.333333333328</v>
      </c>
      <c r="U308" s="516">
        <f t="shared" si="43"/>
        <v>93155.616438356155</v>
      </c>
      <c r="V308" s="517">
        <f t="shared" si="44"/>
        <v>7450</v>
      </c>
      <c r="X308" s="335"/>
    </row>
    <row r="309" spans="1:24" ht="13.9">
      <c r="A309" s="340" t="e">
        <f t="shared" si="46"/>
        <v>#REF!</v>
      </c>
      <c r="B309" s="14" t="s">
        <v>209</v>
      </c>
      <c r="C309" s="340" t="s">
        <v>3663</v>
      </c>
      <c r="D309" s="14" t="s">
        <v>29</v>
      </c>
      <c r="E309" s="14" t="s">
        <v>441</v>
      </c>
      <c r="F309" s="633" t="s">
        <v>795</v>
      </c>
      <c r="G309" s="15">
        <v>44980</v>
      </c>
      <c r="H309" s="536">
        <v>35593</v>
      </c>
      <c r="I309" s="340"/>
      <c r="J309" s="340"/>
      <c r="K309" s="510">
        <f t="shared" si="45"/>
        <v>35593</v>
      </c>
      <c r="L309" s="15">
        <v>44980</v>
      </c>
      <c r="M309" s="335">
        <v>1111.6717808219178</v>
      </c>
      <c r="N309" s="512">
        <f t="shared" si="47"/>
        <v>34481.328219178082</v>
      </c>
      <c r="O309" s="512">
        <f t="shared" si="38"/>
        <v>403</v>
      </c>
      <c r="P309" s="513">
        <v>3</v>
      </c>
      <c r="Q309" s="514">
        <f t="shared" si="39"/>
        <v>1.1041095890410959</v>
      </c>
      <c r="R309" s="514">
        <f t="shared" si="40"/>
        <v>1.8958904109589041</v>
      </c>
      <c r="S309" s="515">
        <f t="shared" si="41"/>
        <v>0.31666666666666665</v>
      </c>
      <c r="T309" s="516">
        <f t="shared" si="42"/>
        <v>11271.116666666667</v>
      </c>
      <c r="U309" s="516">
        <f t="shared" si="43"/>
        <v>23210.211552511413</v>
      </c>
      <c r="V309" s="517">
        <f t="shared" si="44"/>
        <v>1780</v>
      </c>
      <c r="X309" s="335"/>
    </row>
    <row r="310" spans="1:24" ht="13.9">
      <c r="A310" s="340" t="e">
        <f t="shared" si="46"/>
        <v>#REF!</v>
      </c>
      <c r="B310" s="14" t="s">
        <v>209</v>
      </c>
      <c r="C310" s="340" t="s">
        <v>3663</v>
      </c>
      <c r="D310" s="14" t="s">
        <v>19</v>
      </c>
      <c r="E310" s="14" t="s">
        <v>439</v>
      </c>
      <c r="F310" s="633">
        <v>1172</v>
      </c>
      <c r="G310" s="15">
        <v>44849</v>
      </c>
      <c r="H310" s="536">
        <v>135000</v>
      </c>
      <c r="I310" s="340"/>
      <c r="J310" s="340"/>
      <c r="K310" s="510">
        <f t="shared" si="45"/>
        <v>135000</v>
      </c>
      <c r="L310" s="15">
        <v>44849</v>
      </c>
      <c r="M310" s="335">
        <v>19559.589041095889</v>
      </c>
      <c r="N310" s="512">
        <f t="shared" si="47"/>
        <v>115440.4109589041</v>
      </c>
      <c r="O310" s="512">
        <f t="shared" si="38"/>
        <v>534</v>
      </c>
      <c r="P310" s="513">
        <v>3</v>
      </c>
      <c r="Q310" s="514">
        <f t="shared" si="39"/>
        <v>1.463013698630137</v>
      </c>
      <c r="R310" s="514">
        <f t="shared" si="40"/>
        <v>1.536986301369863</v>
      </c>
      <c r="S310" s="515">
        <f t="shared" si="41"/>
        <v>0.31666666666666665</v>
      </c>
      <c r="T310" s="516">
        <f t="shared" si="42"/>
        <v>42750</v>
      </c>
      <c r="U310" s="516">
        <f t="shared" si="43"/>
        <v>72690.410958904104</v>
      </c>
      <c r="V310" s="517">
        <f t="shared" si="44"/>
        <v>6750</v>
      </c>
      <c r="X310" s="335"/>
    </row>
    <row r="311" spans="1:24" ht="14.25">
      <c r="A311" s="340" t="e">
        <f t="shared" si="46"/>
        <v>#REF!</v>
      </c>
      <c r="B311" s="14" t="s">
        <v>3635</v>
      </c>
      <c r="C311" s="340" t="s">
        <v>3663</v>
      </c>
      <c r="D311" s="101" t="s">
        <v>19</v>
      </c>
      <c r="E311" s="14" t="s">
        <v>3634</v>
      </c>
      <c r="F311" s="633">
        <v>3495</v>
      </c>
      <c r="G311" s="15">
        <v>44937</v>
      </c>
      <c r="H311" s="536">
        <v>61387</v>
      </c>
      <c r="I311" s="340"/>
      <c r="J311" s="340"/>
      <c r="K311" s="510">
        <f t="shared" si="45"/>
        <v>61387</v>
      </c>
      <c r="L311" s="15">
        <v>44980</v>
      </c>
      <c r="M311" s="335">
        <v>1917.2926027397259</v>
      </c>
      <c r="N311" s="512">
        <f t="shared" si="47"/>
        <v>59469.707397260274</v>
      </c>
      <c r="O311" s="512">
        <f t="shared" si="38"/>
        <v>403</v>
      </c>
      <c r="P311" s="513">
        <v>3</v>
      </c>
      <c r="Q311" s="514">
        <f t="shared" si="39"/>
        <v>1.1041095890410959</v>
      </c>
      <c r="R311" s="514">
        <f t="shared" si="40"/>
        <v>1.8958904109589041</v>
      </c>
      <c r="S311" s="515">
        <f t="shared" si="41"/>
        <v>0.31666666666666665</v>
      </c>
      <c r="T311" s="516">
        <f t="shared" si="42"/>
        <v>19439.216666666667</v>
      </c>
      <c r="U311" s="516">
        <f t="shared" si="43"/>
        <v>40030.490730593607</v>
      </c>
      <c r="V311" s="517">
        <f t="shared" si="44"/>
        <v>3069</v>
      </c>
      <c r="X311" s="335"/>
    </row>
    <row r="312" spans="1:24" ht="13.9">
      <c r="A312" s="340" t="e">
        <f t="shared" si="46"/>
        <v>#REF!</v>
      </c>
      <c r="B312" s="14" t="s">
        <v>783</v>
      </c>
      <c r="C312" s="340" t="s">
        <v>3663</v>
      </c>
      <c r="D312" s="14" t="s">
        <v>21</v>
      </c>
      <c r="E312" s="14" t="s">
        <v>799</v>
      </c>
      <c r="F312" s="633" t="s">
        <v>796</v>
      </c>
      <c r="G312" s="15">
        <v>44891</v>
      </c>
      <c r="H312" s="536">
        <v>63898</v>
      </c>
      <c r="I312" s="340"/>
      <c r="J312" s="340"/>
      <c r="K312" s="510">
        <f t="shared" si="45"/>
        <v>63898</v>
      </c>
      <c r="L312" s="15">
        <v>44891</v>
      </c>
      <c r="M312" s="335">
        <v>6929.5776255707751</v>
      </c>
      <c r="N312" s="512">
        <f t="shared" si="47"/>
        <v>56968.422374429225</v>
      </c>
      <c r="O312" s="512">
        <f t="shared" si="38"/>
        <v>492</v>
      </c>
      <c r="P312" s="513">
        <v>3</v>
      </c>
      <c r="Q312" s="514">
        <f t="shared" si="39"/>
        <v>1.3479452054794521</v>
      </c>
      <c r="R312" s="514">
        <f t="shared" si="40"/>
        <v>1.6520547945205479</v>
      </c>
      <c r="S312" s="515">
        <f t="shared" si="41"/>
        <v>0.31666666666666665</v>
      </c>
      <c r="T312" s="516">
        <f t="shared" si="42"/>
        <v>20234.366666666665</v>
      </c>
      <c r="U312" s="516">
        <f t="shared" si="43"/>
        <v>36734.055707762556</v>
      </c>
      <c r="V312" s="517">
        <f t="shared" si="44"/>
        <v>3195</v>
      </c>
      <c r="X312" s="335"/>
    </row>
    <row r="313" spans="1:24" ht="13.9">
      <c r="A313" s="340" t="e">
        <f t="shared" si="46"/>
        <v>#REF!</v>
      </c>
      <c r="B313" s="530" t="s">
        <v>209</v>
      </c>
      <c r="C313" s="340" t="s">
        <v>3663</v>
      </c>
      <c r="D313" s="621" t="s">
        <v>879</v>
      </c>
      <c r="E313" s="530" t="s">
        <v>2858</v>
      </c>
      <c r="F313" s="629" t="s">
        <v>3430</v>
      </c>
      <c r="G313" s="620">
        <v>44931</v>
      </c>
      <c r="H313" s="536">
        <v>60985</v>
      </c>
      <c r="I313" s="340"/>
      <c r="J313" s="340"/>
      <c r="K313" s="510">
        <f t="shared" si="45"/>
        <v>60985</v>
      </c>
      <c r="L313" s="623">
        <v>44931</v>
      </c>
      <c r="M313" s="335">
        <v>4497.2956621004569</v>
      </c>
      <c r="N313" s="512">
        <f t="shared" si="47"/>
        <v>56487.704337899544</v>
      </c>
      <c r="O313" s="512">
        <f t="shared" si="38"/>
        <v>452</v>
      </c>
      <c r="P313" s="513">
        <v>3</v>
      </c>
      <c r="Q313" s="514">
        <f t="shared" si="39"/>
        <v>1.2383561643835617</v>
      </c>
      <c r="R313" s="514">
        <f t="shared" si="40"/>
        <v>1.7616438356164383</v>
      </c>
      <c r="S313" s="515">
        <f t="shared" si="41"/>
        <v>0.31666666666666665</v>
      </c>
      <c r="T313" s="516">
        <f t="shared" si="42"/>
        <v>19311.916666666664</v>
      </c>
      <c r="U313" s="516">
        <f t="shared" si="43"/>
        <v>37175.78767123288</v>
      </c>
      <c r="V313" s="517">
        <f t="shared" si="44"/>
        <v>3049</v>
      </c>
      <c r="X313" s="335"/>
    </row>
    <row r="314" spans="1:24" ht="13.9">
      <c r="A314" s="340" t="e">
        <f t="shared" si="46"/>
        <v>#REF!</v>
      </c>
      <c r="B314" s="530" t="s">
        <v>425</v>
      </c>
      <c r="C314" s="340" t="s">
        <v>3663</v>
      </c>
      <c r="D314" s="530" t="s">
        <v>880</v>
      </c>
      <c r="E314" s="530" t="s">
        <v>3608</v>
      </c>
      <c r="F314" s="530">
        <v>2492</v>
      </c>
      <c r="G314" s="623">
        <v>45014</v>
      </c>
      <c r="H314" s="536">
        <v>58898.36</v>
      </c>
      <c r="I314" s="340"/>
      <c r="J314" s="340"/>
      <c r="K314" s="510">
        <f t="shared" si="45"/>
        <v>58898.36</v>
      </c>
      <c r="L314" s="623">
        <v>45016</v>
      </c>
      <c r="M314" s="335">
        <v>0</v>
      </c>
      <c r="N314" s="512">
        <f t="shared" si="47"/>
        <v>58898.36</v>
      </c>
      <c r="O314" s="512">
        <f t="shared" si="38"/>
        <v>367</v>
      </c>
      <c r="P314" s="513">
        <v>3</v>
      </c>
      <c r="Q314" s="514">
        <f t="shared" si="39"/>
        <v>1.0054794520547945</v>
      </c>
      <c r="R314" s="514">
        <f t="shared" si="40"/>
        <v>1.9945205479452055</v>
      </c>
      <c r="S314" s="515">
        <f t="shared" si="41"/>
        <v>0.31666666666666665</v>
      </c>
      <c r="T314" s="516">
        <f t="shared" si="42"/>
        <v>18651.147333333334</v>
      </c>
      <c r="U314" s="516">
        <f t="shared" si="43"/>
        <v>40247.212666666666</v>
      </c>
      <c r="V314" s="517">
        <f t="shared" si="44"/>
        <v>2945</v>
      </c>
      <c r="X314" s="335"/>
    </row>
    <row r="315" spans="1:24" s="364" customFormat="1" ht="15" thickBot="1">
      <c r="A315" s="347"/>
      <c r="C315" s="550"/>
      <c r="D315" s="550"/>
      <c r="E315" s="550"/>
      <c r="F315" s="550"/>
      <c r="G315" s="550"/>
      <c r="H315" s="551">
        <f>SUM(H8:H314)</f>
        <v>16445110.500338983</v>
      </c>
      <c r="I315" s="551">
        <f>SUM(I8:I314)</f>
        <v>0</v>
      </c>
      <c r="J315" s="551">
        <f>SUM(J8:J314)</f>
        <v>0</v>
      </c>
      <c r="K315" s="551">
        <f>SUM(K8:K314)</f>
        <v>16445110.500338983</v>
      </c>
      <c r="L315" s="552" t="s">
        <v>24</v>
      </c>
      <c r="M315" s="551">
        <f>SUM(M8:M314)</f>
        <v>11222150.662137432</v>
      </c>
      <c r="N315" s="551">
        <f>SUM(N8:N314)</f>
        <v>5222959.8382015582</v>
      </c>
      <c r="O315" s="552" t="s">
        <v>24</v>
      </c>
      <c r="P315" s="552" t="s">
        <v>24</v>
      </c>
      <c r="Q315" s="552" t="s">
        <v>24</v>
      </c>
      <c r="R315" s="552" t="s">
        <v>24</v>
      </c>
      <c r="S315" s="552" t="s">
        <v>24</v>
      </c>
      <c r="T315" s="551">
        <f>SUM(T8:T314)</f>
        <v>2016823.5462740117</v>
      </c>
      <c r="U315" s="551">
        <f>SUM(U8:U314)</f>
        <v>3206136.2919275439</v>
      </c>
      <c r="V315" s="551">
        <f>SUM(V8:V314)</f>
        <v>822274</v>
      </c>
    </row>
    <row r="316" spans="1:24" ht="13.15" thickTop="1">
      <c r="F316" s="313"/>
    </row>
    <row r="317" spans="1:24">
      <c r="F317" s="313"/>
    </row>
    <row r="318" spans="1:24">
      <c r="F318" s="313"/>
    </row>
    <row r="319" spans="1:24">
      <c r="F319" s="313"/>
    </row>
    <row r="320" spans="1:24">
      <c r="F320" s="313"/>
    </row>
    <row r="321" spans="6:6">
      <c r="F321" s="313"/>
    </row>
    <row r="322" spans="6:6">
      <c r="F322" s="313"/>
    </row>
    <row r="323" spans="6:6">
      <c r="F323" s="313"/>
    </row>
    <row r="324" spans="6:6">
      <c r="F324" s="313"/>
    </row>
    <row r="325" spans="6:6">
      <c r="F325" s="313"/>
    </row>
    <row r="326" spans="6:6">
      <c r="F326" s="313"/>
    </row>
  </sheetData>
  <mergeCells count="23">
    <mergeCell ref="F4:F7"/>
    <mergeCell ref="A4:A7"/>
    <mergeCell ref="B4:B7"/>
    <mergeCell ref="C4:C7"/>
    <mergeCell ref="D4:D7"/>
    <mergeCell ref="E4:E7"/>
    <mergeCell ref="G4:G7"/>
    <mergeCell ref="H4:H7"/>
    <mergeCell ref="I4:J4"/>
    <mergeCell ref="K4:K7"/>
    <mergeCell ref="L4:L7"/>
    <mergeCell ref="T4:T7"/>
    <mergeCell ref="U4:U7"/>
    <mergeCell ref="V4:V7"/>
    <mergeCell ref="I5:I7"/>
    <mergeCell ref="J5:J7"/>
    <mergeCell ref="N4:N7"/>
    <mergeCell ref="O4:O7"/>
    <mergeCell ref="P4:P7"/>
    <mergeCell ref="Q4:Q7"/>
    <mergeCell ref="R4:R7"/>
    <mergeCell ref="S4:S7"/>
    <mergeCell ref="M4:M7"/>
  </mergeCells>
  <conditionalFormatting sqref="F314">
    <cfRule type="duplicateValues" dxfId="10" priority="1"/>
  </conditionalFormatting>
  <printOptions verticalCentered="1" gridLines="1"/>
  <pageMargins left="0.70866141732283472" right="0.70866141732283472" top="0.74803149606299213" bottom="0.74803149606299213" header="0.31496062992125984" footer="0.31496062992125984"/>
  <pageSetup scale="44" orientation="landscape" r:id="rId1"/>
  <rowBreaks count="2" manualBreakCount="2">
    <brk id="79" max="21" man="1"/>
    <brk id="137" max="21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1"/>
  <sheetViews>
    <sheetView topLeftCell="A2" workbookViewId="0">
      <selection activeCell="N21" sqref="N21"/>
    </sheetView>
  </sheetViews>
  <sheetFormatPr defaultColWidth="11.53125" defaultRowHeight="13.15"/>
  <cols>
    <col min="1" max="1" width="5.46484375" style="114" customWidth="1"/>
    <col min="2" max="2" width="24.46484375" style="114" customWidth="1"/>
    <col min="3" max="3" width="13.46484375" style="115" customWidth="1"/>
    <col min="4" max="4" width="10.1328125" style="115" bestFit="1" customWidth="1"/>
    <col min="5" max="5" width="9.46484375" style="115" bestFit="1" customWidth="1"/>
    <col min="6" max="6" width="13" style="115" customWidth="1"/>
    <col min="7" max="7" width="10" style="115" bestFit="1" customWidth="1"/>
    <col min="8" max="8" width="10.33203125" style="115" bestFit="1" customWidth="1"/>
    <col min="9" max="9" width="9.46484375" style="115" bestFit="1" customWidth="1"/>
    <col min="10" max="10" width="13.46484375" style="115" bestFit="1" customWidth="1"/>
    <col min="11" max="11" width="11" style="115" customWidth="1"/>
    <col min="12" max="12" width="11.46484375" style="115" customWidth="1"/>
    <col min="13" max="13" width="13.53125" style="115" bestFit="1" customWidth="1"/>
    <col min="14" max="14" width="12" style="115" bestFit="1" customWidth="1"/>
    <col min="15" max="15" width="13.53125" style="115" bestFit="1" customWidth="1"/>
    <col min="16" max="16384" width="11.53125" style="115"/>
  </cols>
  <sheetData>
    <row r="1" spans="1:13" ht="10.5" hidden="1" customHeight="1">
      <c r="F1" s="115" t="e">
        <f>+#REF!</f>
        <v>#REF!</v>
      </c>
    </row>
    <row r="2" spans="1:13" s="114" customFormat="1" ht="18.75" thickTop="1">
      <c r="A2" s="116" t="s">
        <v>882</v>
      </c>
      <c r="B2" s="117"/>
      <c r="C2" s="118"/>
      <c r="D2" s="118"/>
      <c r="E2" s="119"/>
      <c r="F2" s="119"/>
      <c r="G2" s="117"/>
      <c r="H2" s="117"/>
      <c r="I2" s="117"/>
      <c r="J2" s="117"/>
      <c r="K2" s="117"/>
      <c r="L2" s="120"/>
    </row>
    <row r="3" spans="1:13" s="114" customFormat="1" ht="13.9">
      <c r="A3" s="121" t="s">
        <v>883</v>
      </c>
      <c r="C3" s="122"/>
      <c r="D3" s="123"/>
      <c r="E3" s="123"/>
      <c r="F3" s="124"/>
      <c r="L3" s="125"/>
    </row>
    <row r="4" spans="1:13" s="114" customFormat="1" ht="13.9">
      <c r="A4" s="126" t="s">
        <v>884</v>
      </c>
      <c r="C4" s="122"/>
      <c r="D4" s="123"/>
      <c r="E4" s="123"/>
      <c r="F4" s="124"/>
      <c r="L4" s="125"/>
    </row>
    <row r="5" spans="1:13" s="114" customFormat="1" ht="13.9">
      <c r="A5" s="121" t="s">
        <v>885</v>
      </c>
      <c r="C5" s="122"/>
      <c r="D5" s="123"/>
      <c r="E5" s="123"/>
      <c r="F5" s="124"/>
      <c r="L5" s="125"/>
    </row>
    <row r="6" spans="1:13" s="114" customFormat="1" ht="15.75">
      <c r="A6" s="127" t="s">
        <v>886</v>
      </c>
      <c r="J6" s="114" t="s">
        <v>24</v>
      </c>
      <c r="K6" s="124" t="s">
        <v>24</v>
      </c>
      <c r="L6" s="128" t="s">
        <v>24</v>
      </c>
    </row>
    <row r="7" spans="1:13" s="114" customFormat="1" ht="15.75">
      <c r="A7" s="1190" t="s">
        <v>887</v>
      </c>
      <c r="B7" s="1192" t="s">
        <v>888</v>
      </c>
      <c r="C7" s="1194" t="s">
        <v>889</v>
      </c>
      <c r="D7" s="1195"/>
      <c r="E7" s="1195"/>
      <c r="F7" s="1196"/>
      <c r="G7" s="1194" t="s">
        <v>17</v>
      </c>
      <c r="H7" s="1195"/>
      <c r="I7" s="1195"/>
      <c r="J7" s="1196"/>
      <c r="K7" s="1194" t="s">
        <v>890</v>
      </c>
      <c r="L7" s="1197"/>
    </row>
    <row r="8" spans="1:13" s="114" customFormat="1" ht="23.25">
      <c r="A8" s="1191"/>
      <c r="B8" s="1193"/>
      <c r="C8" s="129" t="s">
        <v>3680</v>
      </c>
      <c r="D8" s="130" t="s">
        <v>891</v>
      </c>
      <c r="E8" s="130" t="s">
        <v>892</v>
      </c>
      <c r="F8" s="130" t="s">
        <v>3681</v>
      </c>
      <c r="G8" s="130" t="s">
        <v>3682</v>
      </c>
      <c r="H8" s="130" t="s">
        <v>893</v>
      </c>
      <c r="I8" s="130" t="s">
        <v>892</v>
      </c>
      <c r="J8" s="130" t="s">
        <v>3683</v>
      </c>
      <c r="K8" s="130" t="s">
        <v>3684</v>
      </c>
      <c r="L8" s="131" t="s">
        <v>1331</v>
      </c>
      <c r="M8" s="132"/>
    </row>
    <row r="9" spans="1:13" s="114" customFormat="1">
      <c r="A9" s="133" t="s">
        <v>24</v>
      </c>
      <c r="B9" s="134" t="s">
        <v>894</v>
      </c>
      <c r="C9" s="135"/>
      <c r="D9" s="136"/>
      <c r="E9" s="135"/>
      <c r="F9" s="137"/>
      <c r="G9" s="135"/>
      <c r="H9" s="136"/>
      <c r="I9" s="135"/>
      <c r="J9" s="137"/>
      <c r="K9" s="137"/>
      <c r="L9" s="138"/>
    </row>
    <row r="10" spans="1:13" s="114" customFormat="1">
      <c r="A10" s="133"/>
      <c r="B10" s="135" t="s">
        <v>33</v>
      </c>
      <c r="C10" s="135">
        <v>421.31</v>
      </c>
      <c r="D10" s="139">
        <f>+'Note 12 workings'!D11</f>
        <v>27.294499999999999</v>
      </c>
      <c r="E10" s="135"/>
      <c r="F10" s="140">
        <f t="shared" ref="F10:F17" si="0">+C10+D10-E10</f>
        <v>448.60450000000003</v>
      </c>
      <c r="G10" s="141">
        <f>+'Note 12 workings'!G11</f>
        <v>0</v>
      </c>
      <c r="H10" s="140">
        <f>+'Note 12 workings'!H11+'Note 12 workings'!I11</f>
        <v>0</v>
      </c>
      <c r="I10" s="141">
        <f>+'Note 12 workings'!J11</f>
        <v>0</v>
      </c>
      <c r="J10" s="140">
        <f>+G10+H10-I10</f>
        <v>0</v>
      </c>
      <c r="K10" s="142">
        <f>+F10-J10</f>
        <v>448.60450000000003</v>
      </c>
      <c r="L10" s="143">
        <f>+C10-G10</f>
        <v>421.31</v>
      </c>
    </row>
    <row r="11" spans="1:13">
      <c r="A11" s="144" t="s">
        <v>24</v>
      </c>
      <c r="B11" s="145" t="s">
        <v>895</v>
      </c>
      <c r="C11" s="141">
        <f>+'Note 12 workings'!C12</f>
        <v>930.34</v>
      </c>
      <c r="D11" s="140">
        <f>+'Note 12 workings'!D12</f>
        <v>56.054044767796604</v>
      </c>
      <c r="E11" s="140">
        <f>+'Note 12 workings'!E12</f>
        <v>0</v>
      </c>
      <c r="F11" s="140">
        <f t="shared" si="0"/>
        <v>986.39404476779669</v>
      </c>
      <c r="G11" s="141">
        <f>+'Note 12 workings'!G12</f>
        <v>538.72</v>
      </c>
      <c r="H11" s="140">
        <f>+'Note 12 workings'!H12+'Note 12 workings'!I12</f>
        <v>283.16079768590282</v>
      </c>
      <c r="I11" s="141">
        <f>+'Note 12 workings'!J12</f>
        <v>0</v>
      </c>
      <c r="J11" s="140">
        <f t="shared" ref="J11:J17" si="1">+G11+H11-I11</f>
        <v>821.88079768590285</v>
      </c>
      <c r="K11" s="142">
        <f>+F11-J11</f>
        <v>164.51324708189384</v>
      </c>
      <c r="L11" s="143">
        <f t="shared" ref="L11:L17" si="2">+C11-G11</f>
        <v>391.62</v>
      </c>
    </row>
    <row r="12" spans="1:13">
      <c r="A12" s="144" t="s">
        <v>24</v>
      </c>
      <c r="B12" s="145" t="s">
        <v>896</v>
      </c>
      <c r="C12" s="141">
        <f>+'Note 12 workings'!C13</f>
        <v>36529.31</v>
      </c>
      <c r="D12" s="140">
        <f>+'Note 12 workings'!D13</f>
        <v>7827.5878030000003</v>
      </c>
      <c r="E12" s="140">
        <f>+'Note 12 workings'!E13</f>
        <v>131.3888</v>
      </c>
      <c r="F12" s="140">
        <f t="shared" si="0"/>
        <v>44225.509002999999</v>
      </c>
      <c r="G12" s="141">
        <f>+'Note 12 workings'!G13</f>
        <v>9724.19</v>
      </c>
      <c r="H12" s="140">
        <f>+'Note 12 workings'!H13+'Note 12 workings'!I13</f>
        <v>4220.9284300141326</v>
      </c>
      <c r="I12" s="141">
        <f>+'Note 12 workings'!J13</f>
        <v>13.47189</v>
      </c>
      <c r="J12" s="140">
        <f>+G12+H12-I12</f>
        <v>13931.646540014131</v>
      </c>
      <c r="K12" s="142">
        <f t="shared" ref="K12:K17" si="3">+F12-J12</f>
        <v>30293.862462985868</v>
      </c>
      <c r="L12" s="143">
        <f t="shared" si="2"/>
        <v>26805.119999999995</v>
      </c>
    </row>
    <row r="13" spans="1:13">
      <c r="A13" s="144"/>
      <c r="B13" s="145" t="s">
        <v>897</v>
      </c>
      <c r="C13" s="141">
        <f>+'Note 12 workings'!C14</f>
        <v>5.81</v>
      </c>
      <c r="D13" s="140">
        <f>+'Note 12 workings'!D14</f>
        <v>1.1000000000000001</v>
      </c>
      <c r="E13" s="140">
        <f>+'Note 12 workings'!E14</f>
        <v>0</v>
      </c>
      <c r="F13" s="140">
        <f t="shared" si="0"/>
        <v>6.91</v>
      </c>
      <c r="G13" s="141">
        <f>+'Note 12 workings'!G14</f>
        <v>5.68</v>
      </c>
      <c r="H13" s="140">
        <f>+'Note 12 workings'!H14+'Note 12 workings'!I14</f>
        <v>0.44693319634703199</v>
      </c>
      <c r="I13" s="141">
        <f>+'Note 12 workings'!J14</f>
        <v>0</v>
      </c>
      <c r="J13" s="140">
        <f t="shared" si="1"/>
        <v>6.1269331963470322</v>
      </c>
      <c r="K13" s="142">
        <f t="shared" si="3"/>
        <v>0.78306680365296799</v>
      </c>
      <c r="L13" s="143">
        <f t="shared" si="2"/>
        <v>0.12999999999999989</v>
      </c>
    </row>
    <row r="14" spans="1:13">
      <c r="A14" s="144" t="s">
        <v>24</v>
      </c>
      <c r="B14" s="145" t="s">
        <v>898</v>
      </c>
      <c r="C14" s="141">
        <f>+'Note 12 workings'!C15</f>
        <v>189.11</v>
      </c>
      <c r="D14" s="140">
        <f>+'Note 12 workings'!D15</f>
        <v>14.096508542372883</v>
      </c>
      <c r="E14" s="140">
        <f>+'Note 12 workings'!E15</f>
        <v>0</v>
      </c>
      <c r="F14" s="140">
        <f t="shared" si="0"/>
        <v>203.20650854237289</v>
      </c>
      <c r="G14" s="141">
        <f>+'Note 12 workings'!G15</f>
        <v>138.9</v>
      </c>
      <c r="H14" s="140">
        <f>+'Note 12 workings'!H15+'Note 12 workings'!I15</f>
        <v>17.597414908224199</v>
      </c>
      <c r="I14" s="141">
        <f>+'Note 12 workings'!J15</f>
        <v>0</v>
      </c>
      <c r="J14" s="140">
        <f t="shared" si="1"/>
        <v>156.49741490822421</v>
      </c>
      <c r="K14" s="142">
        <f t="shared" si="3"/>
        <v>46.709093634148672</v>
      </c>
      <c r="L14" s="143">
        <f t="shared" si="2"/>
        <v>50.210000000000008</v>
      </c>
    </row>
    <row r="15" spans="1:13">
      <c r="A15" s="144" t="s">
        <v>24</v>
      </c>
      <c r="B15" s="145" t="s">
        <v>899</v>
      </c>
      <c r="C15" s="141">
        <f>+'Note 12 workings'!C16</f>
        <v>930.68</v>
      </c>
      <c r="D15" s="140">
        <f>+'Note 12 workings'!D16</f>
        <v>166.25545</v>
      </c>
      <c r="E15" s="140">
        <f>+'Note 12 workings'!E16</f>
        <v>1.8865099999999999</v>
      </c>
      <c r="F15" s="140">
        <f t="shared" si="0"/>
        <v>1095.0489399999999</v>
      </c>
      <c r="G15" s="141">
        <f>+'Note 12 workings'!G16</f>
        <v>421.71</v>
      </c>
      <c r="H15" s="140">
        <f>+'Note 12 workings'!H16+'Note 12 workings'!I16</f>
        <v>113.26476640618137</v>
      </c>
      <c r="I15" s="141">
        <f>+'Note 12 workings'!J16</f>
        <v>1.8865099999999999</v>
      </c>
      <c r="J15" s="140">
        <f t="shared" si="1"/>
        <v>533.08825640618124</v>
      </c>
      <c r="K15" s="142">
        <f t="shared" si="3"/>
        <v>561.96068359381866</v>
      </c>
      <c r="L15" s="143">
        <f t="shared" si="2"/>
        <v>508.96999999999997</v>
      </c>
    </row>
    <row r="16" spans="1:13">
      <c r="A16" s="144" t="s">
        <v>24</v>
      </c>
      <c r="B16" s="145" t="s">
        <v>36</v>
      </c>
      <c r="C16" s="141">
        <f>+'Note 12 workings'!C17</f>
        <v>193.23</v>
      </c>
      <c r="D16" s="140">
        <f>+'Note 12 workings'!D17</f>
        <v>34.954039467796612</v>
      </c>
      <c r="E16" s="140">
        <f>+'Note 12 workings'!E17</f>
        <v>0</v>
      </c>
      <c r="F16" s="140">
        <f t="shared" si="0"/>
        <v>228.18403946779659</v>
      </c>
      <c r="G16" s="141">
        <f>+'Note 12 workings'!G17</f>
        <v>161.79</v>
      </c>
      <c r="H16" s="140">
        <f>+'Note 12 workings'!H17+'Note 12 workings'!I17</f>
        <v>15.824227951374954</v>
      </c>
      <c r="I16" s="141">
        <f>+'Note 12 workings'!J17</f>
        <v>0</v>
      </c>
      <c r="J16" s="140">
        <f t="shared" si="1"/>
        <v>177.61422795137494</v>
      </c>
      <c r="K16" s="142">
        <f t="shared" si="3"/>
        <v>50.569811516421652</v>
      </c>
      <c r="L16" s="143">
        <f t="shared" si="2"/>
        <v>31.439999999999998</v>
      </c>
    </row>
    <row r="17" spans="1:12">
      <c r="A17" s="144" t="s">
        <v>24</v>
      </c>
      <c r="B17" s="145" t="s">
        <v>900</v>
      </c>
      <c r="C17" s="141">
        <f>+'Note 12 workings'!C18</f>
        <v>164.45</v>
      </c>
      <c r="D17" s="140">
        <f>+'Note 12 workings'!D18</f>
        <v>30.131128566101687</v>
      </c>
      <c r="E17" s="140">
        <v>0</v>
      </c>
      <c r="F17" s="140">
        <f t="shared" si="0"/>
        <v>194.58112856610168</v>
      </c>
      <c r="G17" s="141">
        <f>+'Note 12 workings'!G18</f>
        <v>112.22</v>
      </c>
      <c r="H17" s="140">
        <f>+'Note 12 workings'!H18+'Note 12 workings'!I18</f>
        <v>25.585225616824012</v>
      </c>
      <c r="I17" s="141">
        <v>0</v>
      </c>
      <c r="J17" s="140">
        <f t="shared" si="1"/>
        <v>137.805225616824</v>
      </c>
      <c r="K17" s="142">
        <f t="shared" si="3"/>
        <v>56.775902949277679</v>
      </c>
      <c r="L17" s="143">
        <f t="shared" si="2"/>
        <v>52.22999999999999</v>
      </c>
    </row>
    <row r="18" spans="1:12" ht="13.5" thickBot="1">
      <c r="A18" s="146"/>
      <c r="B18" s="147" t="s">
        <v>901</v>
      </c>
      <c r="C18" s="148">
        <f>SUM(C10:C17)</f>
        <v>39364.239999999998</v>
      </c>
      <c r="D18" s="148">
        <f t="shared" ref="D18:L18" si="4">SUM(D10:D17)</f>
        <v>8157.4734743440686</v>
      </c>
      <c r="E18" s="148">
        <f t="shared" si="4"/>
        <v>133.27530999999999</v>
      </c>
      <c r="F18" s="148">
        <f t="shared" si="4"/>
        <v>47388.438164344079</v>
      </c>
      <c r="G18" s="148">
        <f t="shared" si="4"/>
        <v>11103.21</v>
      </c>
      <c r="H18" s="148">
        <f t="shared" si="4"/>
        <v>4676.8077957789874</v>
      </c>
      <c r="I18" s="148">
        <f t="shared" si="4"/>
        <v>15.3584</v>
      </c>
      <c r="J18" s="148">
        <f t="shared" si="4"/>
        <v>15764.659395778986</v>
      </c>
      <c r="K18" s="148">
        <f>SUM(K10:K17)</f>
        <v>31623.77876856508</v>
      </c>
      <c r="L18" s="148">
        <f t="shared" si="4"/>
        <v>28261.029999999995</v>
      </c>
    </row>
    <row r="19" spans="1:12" ht="13.5" thickTop="1">
      <c r="J19" s="149" t="s">
        <v>24</v>
      </c>
      <c r="K19" s="149">
        <f>+K18-K10</f>
        <v>31175.174268565079</v>
      </c>
      <c r="L19" s="149">
        <f>+L18-L10</f>
        <v>27839.719999999994</v>
      </c>
    </row>
    <row r="20" spans="1:12">
      <c r="H20" s="149"/>
      <c r="J20" s="149" t="s">
        <v>24</v>
      </c>
      <c r="K20" s="149"/>
    </row>
    <row r="21" spans="1:12">
      <c r="K21" s="149"/>
    </row>
  </sheetData>
  <mergeCells count="5">
    <mergeCell ref="A7:A8"/>
    <mergeCell ref="B7:B8"/>
    <mergeCell ref="C7:F7"/>
    <mergeCell ref="G7:J7"/>
    <mergeCell ref="K7:L7"/>
  </mergeCells>
  <printOptions horizontalCentered="1" gridLines="1"/>
  <pageMargins left="7.874015748031496E-2" right="7.874015748031496E-2" top="0.51181102362204722" bottom="0.39370078740157483" header="0.27559055118110237" footer="0.19685039370078741"/>
  <pageSetup paperSize="9" firstPageNumber="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23"/>
  <sheetViews>
    <sheetView topLeftCell="F1" zoomScaleNormal="100" workbookViewId="0">
      <selection activeCell="R25" sqref="R25"/>
    </sheetView>
  </sheetViews>
  <sheetFormatPr defaultColWidth="8.6640625" defaultRowHeight="12.75"/>
  <cols>
    <col min="1" max="1" width="8.6640625" style="123"/>
    <col min="2" max="2" width="20.53125" style="123" customWidth="1"/>
    <col min="3" max="3" width="12.33203125" style="123" bestFit="1" customWidth="1"/>
    <col min="4" max="4" width="11.46484375" style="123" customWidth="1"/>
    <col min="5" max="5" width="14.6640625" style="123" customWidth="1"/>
    <col min="6" max="6" width="14.53125" style="123" customWidth="1"/>
    <col min="7" max="7" width="13.53125" style="123" bestFit="1" customWidth="1"/>
    <col min="8" max="9" width="12.53125" style="123" customWidth="1"/>
    <col min="10" max="10" width="14.53125" style="123" bestFit="1" customWidth="1"/>
    <col min="11" max="11" width="14.6640625" style="123" customWidth="1"/>
    <col min="12" max="12" width="13.53125" style="123" customWidth="1"/>
    <col min="13" max="13" width="14.33203125" style="123" customWidth="1"/>
    <col min="14" max="14" width="3.53125" style="123" customWidth="1"/>
    <col min="15" max="15" width="13.86328125" style="123" bestFit="1" customWidth="1"/>
    <col min="16" max="16" width="9.53125" style="123" bestFit="1" customWidth="1"/>
    <col min="17" max="17" width="10.19921875" style="123" bestFit="1" customWidth="1"/>
    <col min="18" max="16384" width="8.6640625" style="123"/>
  </cols>
  <sheetData>
    <row r="1" spans="1:17" ht="18.75" thickTop="1">
      <c r="A1" s="989" t="s">
        <v>882</v>
      </c>
      <c r="B1" s="990"/>
      <c r="C1" s="991"/>
      <c r="D1" s="991"/>
      <c r="E1" s="992"/>
      <c r="F1" s="992"/>
      <c r="G1" s="990"/>
      <c r="H1" s="990"/>
      <c r="I1" s="990"/>
      <c r="J1" s="990"/>
      <c r="K1" s="990"/>
      <c r="L1" s="990"/>
      <c r="M1" s="993"/>
    </row>
    <row r="2" spans="1:17" ht="13.9">
      <c r="A2" s="994" t="s">
        <v>903</v>
      </c>
      <c r="B2" s="150"/>
      <c r="C2" s="995"/>
      <c r="D2" s="151"/>
      <c r="E2" s="151"/>
      <c r="F2" s="996" t="s">
        <v>24</v>
      </c>
      <c r="G2" s="150"/>
      <c r="H2" s="150"/>
      <c r="I2" s="150"/>
      <c r="J2" s="150"/>
      <c r="K2" s="150"/>
      <c r="L2" s="150"/>
      <c r="M2" s="997"/>
    </row>
    <row r="3" spans="1:17" ht="13.9">
      <c r="A3" s="994" t="s">
        <v>885</v>
      </c>
      <c r="B3" s="150"/>
      <c r="C3" s="995"/>
      <c r="D3" s="151"/>
      <c r="E3" s="151"/>
      <c r="F3" s="996"/>
      <c r="G3" s="150"/>
      <c r="H3" s="150"/>
      <c r="I3" s="150"/>
      <c r="J3" s="150"/>
      <c r="K3" s="150"/>
      <c r="L3" s="150"/>
      <c r="M3" s="997"/>
    </row>
    <row r="4" spans="1:17" ht="15.75">
      <c r="A4" s="998" t="s">
        <v>904</v>
      </c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996" t="s">
        <v>905</v>
      </c>
      <c r="M4" s="999" t="s">
        <v>24</v>
      </c>
    </row>
    <row r="5" spans="1:17">
      <c r="A5" s="1000"/>
      <c r="M5" s="1001"/>
    </row>
    <row r="6" spans="1:17" ht="15.75">
      <c r="A6" s="1002" t="s">
        <v>3685</v>
      </c>
      <c r="M6" s="1001"/>
    </row>
    <row r="7" spans="1:17" ht="15.75">
      <c r="A7" s="1198" t="s">
        <v>887</v>
      </c>
      <c r="B7" s="1201" t="s">
        <v>888</v>
      </c>
      <c r="C7" s="1204" t="s">
        <v>906</v>
      </c>
      <c r="D7" s="1205"/>
      <c r="E7" s="1205"/>
      <c r="F7" s="1206"/>
      <c r="G7" s="1204" t="s">
        <v>17</v>
      </c>
      <c r="H7" s="1205"/>
      <c r="I7" s="1205"/>
      <c r="J7" s="1205"/>
      <c r="K7" s="1206"/>
      <c r="L7" s="1204" t="s">
        <v>890</v>
      </c>
      <c r="M7" s="1207"/>
    </row>
    <row r="8" spans="1:17" ht="15.75" customHeight="1">
      <c r="A8" s="1199"/>
      <c r="B8" s="1202"/>
      <c r="C8" s="1003"/>
      <c r="D8" s="1208" t="s">
        <v>891</v>
      </c>
      <c r="E8" s="1004" t="s">
        <v>892</v>
      </c>
      <c r="F8" s="1005"/>
      <c r="G8" s="1006"/>
      <c r="H8" s="1210" t="s">
        <v>893</v>
      </c>
      <c r="I8" s="1211"/>
      <c r="J8" s="1007" t="s">
        <v>892</v>
      </c>
      <c r="K8" s="1006"/>
      <c r="L8" s="1005"/>
      <c r="M8" s="1008"/>
    </row>
    <row r="9" spans="1:17">
      <c r="A9" s="1200"/>
      <c r="B9" s="1203"/>
      <c r="C9" s="1009" t="s">
        <v>3680</v>
      </c>
      <c r="D9" s="1209"/>
      <c r="E9" s="1010" t="s">
        <v>892</v>
      </c>
      <c r="F9" s="1010" t="s">
        <v>3681</v>
      </c>
      <c r="G9" s="1011" t="s">
        <v>3682</v>
      </c>
      <c r="H9" s="1012" t="s">
        <v>907</v>
      </c>
      <c r="I9" s="1013" t="s">
        <v>908</v>
      </c>
      <c r="J9" s="1014" t="s">
        <v>892</v>
      </c>
      <c r="K9" s="1010" t="s">
        <v>3683</v>
      </c>
      <c r="L9" s="1015" t="s">
        <v>3684</v>
      </c>
      <c r="M9" s="1016" t="s">
        <v>1331</v>
      </c>
    </row>
    <row r="10" spans="1:17" ht="13.15">
      <c r="A10" s="1017" t="s">
        <v>909</v>
      </c>
      <c r="B10" s="1018" t="s">
        <v>894</v>
      </c>
      <c r="C10" s="145"/>
      <c r="D10" s="1019"/>
      <c r="E10" s="145"/>
      <c r="F10" s="145"/>
      <c r="G10" s="1020"/>
      <c r="H10" s="1021"/>
      <c r="I10" s="1022"/>
      <c r="J10" s="1023"/>
      <c r="K10" s="145"/>
      <c r="L10" s="1024"/>
      <c r="M10" s="1025"/>
    </row>
    <row r="11" spans="1:17" ht="13.15">
      <c r="A11" s="1017"/>
      <c r="B11" s="1018" t="s">
        <v>33</v>
      </c>
      <c r="C11" s="145">
        <v>598.48</v>
      </c>
      <c r="D11" s="1034">
        <f>+'Add23-24'!R575/10^5</f>
        <v>27.294499999999999</v>
      </c>
      <c r="E11" s="1035"/>
      <c r="F11" s="1035">
        <f>+C11+D11-E11</f>
        <v>625.77449999999999</v>
      </c>
      <c r="G11" s="1036"/>
      <c r="H11" s="1037"/>
      <c r="I11" s="1038"/>
      <c r="J11" s="1039"/>
      <c r="K11" s="1035">
        <f>+G11+H11+I11-J11</f>
        <v>0</v>
      </c>
      <c r="L11" s="1040">
        <f>+F11-K11</f>
        <v>625.77449999999999</v>
      </c>
      <c r="M11" s="1044">
        <f>+C11-G11</f>
        <v>598.48</v>
      </c>
      <c r="O11" s="152">
        <f>+[85]CONBS!$H$15</f>
        <v>62577595</v>
      </c>
      <c r="P11" s="153">
        <f>+O11/10^5</f>
        <v>625.77594999999997</v>
      </c>
      <c r="Q11" s="154">
        <f>+P11-F11</f>
        <v>1.4499999999770807E-3</v>
      </c>
    </row>
    <row r="12" spans="1:17" ht="13.15">
      <c r="A12" s="1027" t="s">
        <v>24</v>
      </c>
      <c r="B12" s="145" t="s">
        <v>895</v>
      </c>
      <c r="C12" s="1026">
        <v>930.34</v>
      </c>
      <c r="D12" s="1034">
        <f>+'Add23-24'!Q575/10^5</f>
        <v>56.054044767796604</v>
      </c>
      <c r="E12" s="1035">
        <v>0</v>
      </c>
      <c r="F12" s="1035">
        <f t="shared" ref="F12:F18" si="0">+C12+D12-E12</f>
        <v>986.39404476779669</v>
      </c>
      <c r="G12" s="1036">
        <v>538.72</v>
      </c>
      <c r="H12" s="1041">
        <f>+summary!K7/10^5</f>
        <v>266.72285243298933</v>
      </c>
      <c r="I12" s="1038">
        <f>+'Add23-24'!S541/10^5</f>
        <v>16.437945252913511</v>
      </c>
      <c r="J12" s="1039">
        <v>0</v>
      </c>
      <c r="K12" s="1035">
        <f>+G12+H12+I12-J12</f>
        <v>821.88079768590296</v>
      </c>
      <c r="L12" s="1040">
        <f>+F12-K12</f>
        <v>164.51324708189372</v>
      </c>
      <c r="M12" s="1044">
        <f>+C12-G12</f>
        <v>391.62</v>
      </c>
      <c r="O12" s="152">
        <f>+[85]CONBS!$H$10</f>
        <v>98638202</v>
      </c>
      <c r="P12" s="153">
        <f t="shared" ref="P12:P18" si="1">+O12/10^5</f>
        <v>986.38202000000001</v>
      </c>
      <c r="Q12" s="154">
        <f>+P12-F12</f>
        <v>-1.2024767796674496E-2</v>
      </c>
    </row>
    <row r="13" spans="1:17" ht="13.15">
      <c r="A13" s="1027" t="s">
        <v>24</v>
      </c>
      <c r="B13" s="145" t="s">
        <v>896</v>
      </c>
      <c r="C13" s="1026">
        <v>36529.31</v>
      </c>
      <c r="D13" s="1034">
        <f>+'Add23-24'!J575/10^5</f>
        <v>7827.5878030000003</v>
      </c>
      <c r="E13" s="1035">
        <f>+'sold mc 24'!G13/10^5</f>
        <v>131.3888</v>
      </c>
      <c r="F13" s="1035">
        <f t="shared" si="0"/>
        <v>44225.509002999999</v>
      </c>
      <c r="G13" s="1036">
        <v>9724.19</v>
      </c>
      <c r="H13" s="1041">
        <f>+summary!K8/10^5</f>
        <v>3396.7787200141329</v>
      </c>
      <c r="I13" s="1038">
        <f>+'Add23-24'!S534/10^5</f>
        <v>824.14971000000003</v>
      </c>
      <c r="J13" s="1039">
        <f>+'sold mc 24'!H13/10^5</f>
        <v>13.47189</v>
      </c>
      <c r="K13" s="1035">
        <f t="shared" ref="K13:K18" si="2">+G13+H13+I13-J13</f>
        <v>13931.646540014133</v>
      </c>
      <c r="L13" s="1040">
        <f t="shared" ref="L13:L18" si="3">+F13-K13</f>
        <v>30293.862462985868</v>
      </c>
      <c r="M13" s="1044">
        <f t="shared" ref="M13:M18" si="4">+C13-G13</f>
        <v>26805.119999999995</v>
      </c>
      <c r="O13" s="152">
        <f>+[85]CONBS!$H$8</f>
        <v>4422550758</v>
      </c>
      <c r="P13" s="153">
        <f t="shared" si="1"/>
        <v>44225.507579999998</v>
      </c>
      <c r="Q13" s="154">
        <f t="shared" ref="Q13:Q18" si="5">+P13-F13</f>
        <v>-1.4230000015231781E-3</v>
      </c>
    </row>
    <row r="14" spans="1:17" ht="13.15">
      <c r="A14" s="1027"/>
      <c r="B14" s="145" t="s">
        <v>897</v>
      </c>
      <c r="C14" s="1026">
        <v>5.81</v>
      </c>
      <c r="D14" s="1034">
        <f>+'Add23-24'!O575/10^5</f>
        <v>1.1000000000000001</v>
      </c>
      <c r="E14" s="1035">
        <v>0</v>
      </c>
      <c r="F14" s="1035">
        <f t="shared" si="0"/>
        <v>6.91</v>
      </c>
      <c r="G14" s="1036">
        <v>5.68</v>
      </c>
      <c r="H14" s="1041">
        <f>+summary!K9/10^5</f>
        <v>0.12723000000000001</v>
      </c>
      <c r="I14" s="1038">
        <f>+'Add23-24'!S538/10^5</f>
        <v>0.31970319634703198</v>
      </c>
      <c r="J14" s="1039">
        <v>0</v>
      </c>
      <c r="K14" s="1035">
        <f t="shared" si="2"/>
        <v>6.1269331963470313</v>
      </c>
      <c r="L14" s="1040">
        <f t="shared" si="3"/>
        <v>0.78306680365296888</v>
      </c>
      <c r="M14" s="1044">
        <f t="shared" si="4"/>
        <v>0.12999999999999989</v>
      </c>
      <c r="O14" s="152">
        <f>+[85]CONBS!$H$11</f>
        <v>691065</v>
      </c>
      <c r="P14" s="153">
        <f t="shared" si="1"/>
        <v>6.9106500000000004</v>
      </c>
      <c r="Q14" s="154">
        <f t="shared" si="5"/>
        <v>6.5000000000026148E-4</v>
      </c>
    </row>
    <row r="15" spans="1:17" ht="13.15">
      <c r="A15" s="1027" t="s">
        <v>24</v>
      </c>
      <c r="B15" s="145" t="s">
        <v>898</v>
      </c>
      <c r="C15" s="1026">
        <v>189.11</v>
      </c>
      <c r="D15" s="1034">
        <f>+'Add23-24'!P575/10^5</f>
        <v>14.096508542372883</v>
      </c>
      <c r="E15" s="1035">
        <v>0</v>
      </c>
      <c r="F15" s="1035">
        <f t="shared" si="0"/>
        <v>203.20650854237289</v>
      </c>
      <c r="G15" s="1036">
        <v>138.9</v>
      </c>
      <c r="H15" s="1041">
        <f>+summary!K10/10^5</f>
        <v>16.892074740000005</v>
      </c>
      <c r="I15" s="1038">
        <f>+'Add23-24'!S539/10^5</f>
        <v>0.70534016822419321</v>
      </c>
      <c r="J15" s="1039">
        <v>0</v>
      </c>
      <c r="K15" s="1035">
        <f t="shared" si="2"/>
        <v>156.49741490822419</v>
      </c>
      <c r="L15" s="1040">
        <f t="shared" si="3"/>
        <v>46.709093634148701</v>
      </c>
      <c r="M15" s="1044">
        <f t="shared" si="4"/>
        <v>50.210000000000008</v>
      </c>
      <c r="O15" s="152">
        <f>+[85]CONBS!$H$12</f>
        <v>20320714</v>
      </c>
      <c r="P15" s="153">
        <f t="shared" si="1"/>
        <v>203.20714000000001</v>
      </c>
      <c r="Q15" s="154">
        <f t="shared" si="5"/>
        <v>6.3145762712224496E-4</v>
      </c>
    </row>
    <row r="16" spans="1:17" ht="13.15">
      <c r="A16" s="1027" t="s">
        <v>24</v>
      </c>
      <c r="B16" s="145" t="s">
        <v>899</v>
      </c>
      <c r="C16" s="1026">
        <v>930.68</v>
      </c>
      <c r="D16" s="1034">
        <f>+'Add23-24'!L575/10^5</f>
        <v>166.25545</v>
      </c>
      <c r="E16" s="1035">
        <f>+'sold mc 24'!G16/10^5</f>
        <v>1.8865099999999999</v>
      </c>
      <c r="F16" s="1035">
        <f t="shared" si="0"/>
        <v>1095.0489399999999</v>
      </c>
      <c r="G16" s="1036">
        <v>421.71</v>
      </c>
      <c r="H16" s="1041">
        <f>+summary!K11/10^5</f>
        <v>104.09655867374987</v>
      </c>
      <c r="I16" s="1038">
        <f>+'Add23-24'!S535/10^5</f>
        <v>9.1682077324315028</v>
      </c>
      <c r="J16" s="1039">
        <f>+'sold mc 24'!H16/10^5</f>
        <v>1.8865099999999999</v>
      </c>
      <c r="K16" s="1035">
        <f t="shared" si="2"/>
        <v>533.08825640618124</v>
      </c>
      <c r="L16" s="1040">
        <f t="shared" si="3"/>
        <v>561.96068359381866</v>
      </c>
      <c r="M16" s="1044">
        <f t="shared" si="4"/>
        <v>508.96999999999997</v>
      </c>
      <c r="O16" s="152">
        <f>+[85]CONBS!$H$14</f>
        <v>109505416</v>
      </c>
      <c r="P16" s="153">
        <f t="shared" si="1"/>
        <v>1095.0541599999999</v>
      </c>
      <c r="Q16" s="154">
        <f t="shared" si="5"/>
        <v>5.2200000000084401E-3</v>
      </c>
    </row>
    <row r="17" spans="1:18" ht="13.15">
      <c r="A17" s="1027" t="s">
        <v>24</v>
      </c>
      <c r="B17" s="145" t="s">
        <v>36</v>
      </c>
      <c r="C17" s="1026">
        <v>193.23</v>
      </c>
      <c r="D17" s="1034">
        <f>+'Add23-24'!M575/10^5</f>
        <v>34.954039467796612</v>
      </c>
      <c r="E17" s="1035">
        <v>0</v>
      </c>
      <c r="F17" s="1035">
        <f t="shared" si="0"/>
        <v>228.18403946779659</v>
      </c>
      <c r="G17" s="1036">
        <v>161.79</v>
      </c>
      <c r="H17" s="1041">
        <f>+summary!K12/10^5</f>
        <v>11.386798069337248</v>
      </c>
      <c r="I17" s="1038">
        <f>+'Add23-24'!S536/10^5</f>
        <v>4.4374298820377076</v>
      </c>
      <c r="J17" s="1039">
        <v>0</v>
      </c>
      <c r="K17" s="1035">
        <f t="shared" si="2"/>
        <v>177.61422795137497</v>
      </c>
      <c r="L17" s="1040">
        <f t="shared" si="3"/>
        <v>50.569811516421623</v>
      </c>
      <c r="M17" s="1044">
        <f t="shared" si="4"/>
        <v>31.439999999999998</v>
      </c>
      <c r="O17" s="152">
        <f>+[85]CONBS!$H$13</f>
        <v>22819394</v>
      </c>
      <c r="P17" s="153">
        <f t="shared" si="1"/>
        <v>228.19394</v>
      </c>
      <c r="Q17" s="154">
        <f t="shared" si="5"/>
        <v>9.9005322034031451E-3</v>
      </c>
    </row>
    <row r="18" spans="1:18" ht="13.15">
      <c r="A18" s="1027" t="s">
        <v>24</v>
      </c>
      <c r="B18" s="145" t="s">
        <v>900</v>
      </c>
      <c r="C18" s="1026">
        <v>164.45</v>
      </c>
      <c r="D18" s="1034">
        <f>+'Add23-24'!N575/10^5</f>
        <v>30.131128566101687</v>
      </c>
      <c r="E18" s="1035">
        <v>0</v>
      </c>
      <c r="F18" s="1035">
        <f t="shared" si="0"/>
        <v>194.58112856610168</v>
      </c>
      <c r="G18" s="1036">
        <v>112.22</v>
      </c>
      <c r="H18" s="1041">
        <f>+summary!K13/10^5</f>
        <v>20.168235462740117</v>
      </c>
      <c r="I18" s="1042">
        <f>+'Add23-24'!S537/10^5</f>
        <v>5.4169901540838925</v>
      </c>
      <c r="J18" s="1039">
        <v>0</v>
      </c>
      <c r="K18" s="1035">
        <f t="shared" si="2"/>
        <v>137.805225616824</v>
      </c>
      <c r="L18" s="1040">
        <f t="shared" si="3"/>
        <v>56.775902949277679</v>
      </c>
      <c r="M18" s="1044">
        <f t="shared" si="4"/>
        <v>52.22999999999999</v>
      </c>
      <c r="O18" s="152">
        <f>+[85]CONBS!$H$9</f>
        <v>19458050</v>
      </c>
      <c r="P18" s="153">
        <f t="shared" si="1"/>
        <v>194.5805</v>
      </c>
      <c r="Q18" s="154">
        <f t="shared" si="5"/>
        <v>-6.2856610168182669E-4</v>
      </c>
    </row>
    <row r="19" spans="1:18" ht="13.15">
      <c r="A19" s="1028"/>
      <c r="B19" s="1029" t="s">
        <v>910</v>
      </c>
      <c r="C19" s="1030">
        <f>SUM(C10:C18)</f>
        <v>39541.409999999996</v>
      </c>
      <c r="D19" s="1043">
        <f t="shared" ref="D19:M19" si="6">SUM(D10:D18)</f>
        <v>8157.4734743440686</v>
      </c>
      <c r="E19" s="1043">
        <f t="shared" si="6"/>
        <v>133.27530999999999</v>
      </c>
      <c r="F19" s="1043">
        <f t="shared" si="6"/>
        <v>47565.608164344078</v>
      </c>
      <c r="G19" s="1043">
        <f t="shared" si="6"/>
        <v>11103.21</v>
      </c>
      <c r="H19" s="1043">
        <f t="shared" si="6"/>
        <v>3816.1724693929496</v>
      </c>
      <c r="I19" s="1043">
        <f t="shared" si="6"/>
        <v>860.63532638603795</v>
      </c>
      <c r="J19" s="1043">
        <f t="shared" si="6"/>
        <v>15.3584</v>
      </c>
      <c r="K19" s="1043">
        <f t="shared" si="6"/>
        <v>15764.659395778988</v>
      </c>
      <c r="L19" s="1043">
        <f t="shared" si="6"/>
        <v>31800.948768565078</v>
      </c>
      <c r="M19" s="1045">
        <f t="shared" si="6"/>
        <v>28438.199999999993</v>
      </c>
      <c r="O19" s="155">
        <f>SUM(O11:O18)</f>
        <v>4756561194</v>
      </c>
      <c r="P19" s="153" t="s">
        <v>24</v>
      </c>
      <c r="Q19" s="156">
        <f>SUM(Q11:Q18)</f>
        <v>3.7756559306316717E-3</v>
      </c>
      <c r="R19" s="154">
        <f>+Q19-E19</f>
        <v>-133.27153434406935</v>
      </c>
    </row>
    <row r="20" spans="1:18" ht="13.5" thickBot="1">
      <c r="A20" s="1031"/>
      <c r="B20" s="1032" t="s">
        <v>902</v>
      </c>
      <c r="C20" s="157">
        <v>19412.11</v>
      </c>
      <c r="D20" s="157">
        <v>20506.599999999999</v>
      </c>
      <c r="E20" s="157">
        <v>377.28</v>
      </c>
      <c r="F20" s="1033">
        <f>+C20+D20-E20</f>
        <v>39541.43</v>
      </c>
      <c r="G20" s="157">
        <v>8811.27</v>
      </c>
      <c r="H20" s="157">
        <v>1534.69</v>
      </c>
      <c r="I20" s="157">
        <v>956.44</v>
      </c>
      <c r="J20" s="157">
        <v>199.21</v>
      </c>
      <c r="K20" s="157">
        <f>+G20+H20+I20-J20</f>
        <v>11103.190000000002</v>
      </c>
      <c r="L20" s="157">
        <f>+F20-K20</f>
        <v>28438.239999999998</v>
      </c>
      <c r="M20" s="1046">
        <f>+C20-G20</f>
        <v>10600.84</v>
      </c>
      <c r="O20" s="152" t="s">
        <v>24</v>
      </c>
    </row>
    <row r="21" spans="1:18" ht="13.15" thickTop="1">
      <c r="I21" s="158" t="s">
        <v>24</v>
      </c>
      <c r="K21" s="159" t="s">
        <v>24</v>
      </c>
      <c r="L21" s="159" t="s">
        <v>24</v>
      </c>
      <c r="O21" s="123">
        <f>+[85]CONBS!$H$16</f>
        <v>4756561194</v>
      </c>
    </row>
    <row r="22" spans="1:18">
      <c r="I22" s="123" t="s">
        <v>24</v>
      </c>
      <c r="O22" s="152">
        <f>+O19-O21</f>
        <v>0</v>
      </c>
    </row>
    <row r="23" spans="1:18">
      <c r="I23" s="158" t="s">
        <v>24</v>
      </c>
    </row>
  </sheetData>
  <mergeCells count="7">
    <mergeCell ref="A7:A9"/>
    <mergeCell ref="B7:B9"/>
    <mergeCell ref="C7:F7"/>
    <mergeCell ref="G7:K7"/>
    <mergeCell ref="L7:M7"/>
    <mergeCell ref="D8:D9"/>
    <mergeCell ref="H8:I8"/>
  </mergeCells>
  <hyperlinks>
    <hyperlink ref="H14" r:id="rId1" display="bekem 2018-19\Fixet Assets - Depreciation schedule- 2017-18 v.xlsx" xr:uid="{00000000-0004-0000-0A00-000002000000}"/>
    <hyperlink ref="H15" r:id="rId2" display="bekem 2018-19\Fixet Assets - Depreciation schedule- 2017-18 v.xlsx" xr:uid="{00000000-0004-0000-0A00-000003000000}"/>
    <hyperlink ref="H16" r:id="rId3" display="bekem 2018-19\Fixet Assets - Depreciation schedule- 2017-18 v.xlsx" xr:uid="{00000000-0004-0000-0A00-000004000000}"/>
    <hyperlink ref="H17" r:id="rId4" display="bekem 2018-19\Fixet Assets - Depreciation schedule- 2017-18 v.xlsx" xr:uid="{00000000-0004-0000-0A00-000005000000}"/>
    <hyperlink ref="H18" r:id="rId5" display="bekem 2018-19\Fixet Assets - Depreciation schedule- 2017-18 v.xlsx" xr:uid="{00000000-0004-0000-0A00-000006000000}"/>
    <hyperlink ref="H13" r:id="rId6" display="bekem 2018-19\Fixet Assets - Depreciation schedule- 2017-18 v.xlsx" xr:uid="{8975AA92-C2B0-47B4-BA30-16E9D7BD298E}"/>
    <hyperlink ref="H12" r:id="rId7" display="bekem 2018-19\Fixet Assets - Depreciation schedule- 2017-18 v.xlsx" xr:uid="{0F9AB614-7809-4F46-A6B1-0AA88A31BE93}"/>
  </hyperlinks>
  <pageMargins left="0.7" right="0.7" top="0.75" bottom="0.75" header="0.3" footer="0.3"/>
  <pageSetup paperSize="9" scale="60" orientation="landscape" r:id="rId8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347"/>
  <sheetViews>
    <sheetView zoomScaleNormal="100" workbookViewId="0">
      <pane ySplit="3" topLeftCell="A4" activePane="bottomLeft" state="frozen"/>
      <selection activeCell="C15" sqref="C15"/>
      <selection pane="bottomLeft" activeCell="G4" sqref="G4"/>
    </sheetView>
  </sheetViews>
  <sheetFormatPr defaultColWidth="8.6640625" defaultRowHeight="14.25"/>
  <cols>
    <col min="1" max="1" width="7.6640625" style="6" customWidth="1"/>
    <col min="2" max="2" width="35.46484375" style="6" customWidth="1"/>
    <col min="3" max="3" width="21.33203125" style="6" customWidth="1"/>
    <col min="4" max="4" width="20.53125" style="6" customWidth="1"/>
    <col min="5" max="5" width="13.46484375" style="6" bestFit="1" customWidth="1"/>
    <col min="6" max="6" width="9.46484375" style="6" bestFit="1" customWidth="1"/>
    <col min="7" max="7" width="40.46484375" style="6" bestFit="1" customWidth="1"/>
    <col min="8" max="8" width="14.53125" style="6" customWidth="1"/>
    <col min="9" max="9" width="13.6640625" style="6" customWidth="1"/>
    <col min="10" max="10" width="13.33203125" style="6" customWidth="1"/>
    <col min="11" max="11" width="13.46484375" style="6" customWidth="1"/>
    <col min="12" max="12" width="11.46484375" style="6" bestFit="1" customWidth="1"/>
    <col min="13" max="13" width="13.53125" style="6" customWidth="1"/>
    <col min="14" max="14" width="11.53125" style="6" bestFit="1" customWidth="1"/>
    <col min="15" max="15" width="13.46484375" style="6" bestFit="1" customWidth="1"/>
    <col min="16" max="16" width="12.46484375" style="6" customWidth="1"/>
    <col min="17" max="17" width="13.46484375" style="6" customWidth="1"/>
    <col min="18" max="18" width="13.53125" style="6" customWidth="1"/>
    <col min="19" max="19" width="13.33203125" style="6" customWidth="1"/>
    <col min="20" max="20" width="13.46484375" style="6" customWidth="1"/>
    <col min="21" max="21" width="12.53125" style="6" bestFit="1" customWidth="1"/>
    <col min="22" max="16384" width="8.6640625" style="6"/>
  </cols>
  <sheetData>
    <row r="1" spans="1:20" ht="23.25" customHeight="1">
      <c r="A1" s="1"/>
      <c r="B1" s="2" t="s">
        <v>0</v>
      </c>
      <c r="C1" s="1"/>
      <c r="D1" s="1"/>
      <c r="E1" s="1"/>
      <c r="F1" s="1"/>
      <c r="G1" s="1"/>
      <c r="H1" s="1"/>
      <c r="I1" s="3"/>
      <c r="J1" s="3"/>
      <c r="K1" s="3"/>
      <c r="L1" s="3"/>
      <c r="M1" s="3"/>
      <c r="N1" s="4">
        <v>44651</v>
      </c>
      <c r="O1" s="5"/>
      <c r="P1" s="5"/>
      <c r="Q1" s="5"/>
      <c r="R1" s="5"/>
      <c r="S1" s="5"/>
      <c r="T1" s="5"/>
    </row>
    <row r="2" spans="1:20" ht="23.25" customHeight="1">
      <c r="A2" s="1"/>
      <c r="B2" s="2" t="s">
        <v>1</v>
      </c>
      <c r="C2" s="1"/>
      <c r="D2" s="1"/>
      <c r="E2" s="1"/>
      <c r="F2" s="1"/>
      <c r="G2" s="1"/>
      <c r="H2" s="1"/>
      <c r="I2" s="3"/>
      <c r="J2" s="3"/>
      <c r="K2" s="3"/>
      <c r="L2" s="3"/>
      <c r="M2" s="3"/>
      <c r="N2" s="4"/>
      <c r="O2" s="5"/>
      <c r="P2" s="5"/>
      <c r="Q2" s="5"/>
      <c r="R2" s="5"/>
      <c r="S2" s="5"/>
      <c r="T2" s="5"/>
    </row>
    <row r="3" spans="1:20" ht="53.25" customHeight="1">
      <c r="A3" s="7"/>
      <c r="B3" s="8" t="s">
        <v>2</v>
      </c>
      <c r="C3" s="7" t="s">
        <v>3</v>
      </c>
      <c r="D3" s="7" t="s">
        <v>4</v>
      </c>
      <c r="E3" s="9" t="s">
        <v>5</v>
      </c>
      <c r="F3" s="7" t="s">
        <v>6</v>
      </c>
      <c r="G3" s="7" t="s">
        <v>7</v>
      </c>
      <c r="H3" s="7" t="s">
        <v>8</v>
      </c>
      <c r="I3" s="10" t="s">
        <v>9</v>
      </c>
      <c r="J3" s="10" t="s">
        <v>10</v>
      </c>
      <c r="K3" s="10" t="s">
        <v>11</v>
      </c>
      <c r="L3" s="10" t="s">
        <v>12</v>
      </c>
      <c r="M3" s="10" t="s">
        <v>13</v>
      </c>
      <c r="N3" s="7" t="s">
        <v>14</v>
      </c>
      <c r="O3" s="11" t="s">
        <v>15</v>
      </c>
      <c r="P3" s="11" t="s">
        <v>16</v>
      </c>
      <c r="Q3" s="11" t="s">
        <v>17</v>
      </c>
      <c r="R3" s="11" t="s">
        <v>911</v>
      </c>
      <c r="S3" s="12" t="s">
        <v>912</v>
      </c>
      <c r="T3" s="12" t="s">
        <v>913</v>
      </c>
    </row>
    <row r="4" spans="1:20" ht="14.65">
      <c r="A4" s="13">
        <v>1</v>
      </c>
      <c r="B4" s="14" t="s">
        <v>914</v>
      </c>
      <c r="C4" s="14" t="s">
        <v>18</v>
      </c>
      <c r="D4" s="14" t="s">
        <v>915</v>
      </c>
      <c r="E4" s="15">
        <v>44558</v>
      </c>
      <c r="F4" s="15">
        <v>44558</v>
      </c>
      <c r="G4" s="14" t="s">
        <v>916</v>
      </c>
      <c r="H4" s="15">
        <v>44558</v>
      </c>
      <c r="I4" s="16">
        <v>560000</v>
      </c>
      <c r="J4" s="16"/>
      <c r="K4" s="16"/>
      <c r="L4" s="16">
        <v>60000</v>
      </c>
      <c r="M4" s="16">
        <f>I4+J4-K4-L4</f>
        <v>500000</v>
      </c>
      <c r="N4" s="17">
        <f t="shared" ref="N4:N78" si="0">$N$1-H4</f>
        <v>93</v>
      </c>
      <c r="O4" s="18">
        <v>9</v>
      </c>
      <c r="P4" s="19">
        <f>+O4-(N4/365)</f>
        <v>8.7452054794520553</v>
      </c>
      <c r="Q4" s="20">
        <f>ROUND(+M4/(O4*365)*N4,0)</f>
        <v>14155</v>
      </c>
      <c r="R4" s="20">
        <f t="shared" ref="R4:R24" si="1">+M4-Q4</f>
        <v>485845</v>
      </c>
      <c r="S4" s="21">
        <f t="shared" ref="S4:S67" si="2">IF(H4&lt;=DATE(2021,9,30),M4,0)</f>
        <v>0</v>
      </c>
      <c r="T4" s="21">
        <f t="shared" ref="T4:T67" si="3">IF(H4&gt;DATE(2021,9,30),M4,0)</f>
        <v>500000</v>
      </c>
    </row>
    <row r="5" spans="1:20" ht="14.65">
      <c r="A5" s="13">
        <f>+A4+1</f>
        <v>2</v>
      </c>
      <c r="B5" s="14" t="s">
        <v>917</v>
      </c>
      <c r="C5" s="14" t="s">
        <v>18</v>
      </c>
      <c r="D5" s="14" t="s">
        <v>918</v>
      </c>
      <c r="E5" s="15">
        <v>44558</v>
      </c>
      <c r="F5" s="15">
        <v>44558</v>
      </c>
      <c r="G5" s="14" t="s">
        <v>916</v>
      </c>
      <c r="H5" s="15">
        <v>44558</v>
      </c>
      <c r="I5" s="16">
        <v>1298000</v>
      </c>
      <c r="J5" s="16"/>
      <c r="K5" s="16"/>
      <c r="L5" s="16">
        <v>198000</v>
      </c>
      <c r="M5" s="16">
        <f t="shared" ref="M5:M94" si="4">I5+J5-K5-L5</f>
        <v>1100000</v>
      </c>
      <c r="N5" s="17">
        <f t="shared" si="0"/>
        <v>93</v>
      </c>
      <c r="O5" s="18">
        <v>9</v>
      </c>
      <c r="P5" s="19">
        <f t="shared" ref="P5:P94" si="5">+O5-(N5/365)</f>
        <v>8.7452054794520553</v>
      </c>
      <c r="Q5" s="20">
        <f t="shared" ref="Q5:Q94" si="6">ROUND(+M5/(O5*365)*N5,0)</f>
        <v>31142</v>
      </c>
      <c r="R5" s="20">
        <f t="shared" si="1"/>
        <v>1068858</v>
      </c>
      <c r="S5" s="21">
        <f t="shared" si="2"/>
        <v>0</v>
      </c>
      <c r="T5" s="21">
        <f t="shared" si="3"/>
        <v>1100000</v>
      </c>
    </row>
    <row r="6" spans="1:20" ht="14.65">
      <c r="A6" s="13">
        <f t="shared" ref="A6:A69" si="7">+A5+1</f>
        <v>3</v>
      </c>
      <c r="B6" s="14" t="s">
        <v>919</v>
      </c>
      <c r="C6" s="14" t="s">
        <v>18</v>
      </c>
      <c r="D6" s="14" t="s">
        <v>920</v>
      </c>
      <c r="E6" s="15">
        <v>44558</v>
      </c>
      <c r="F6" s="15">
        <v>44558</v>
      </c>
      <c r="G6" s="14" t="s">
        <v>916</v>
      </c>
      <c r="H6" s="15">
        <v>44558</v>
      </c>
      <c r="I6" s="16">
        <v>8260000</v>
      </c>
      <c r="J6" s="16"/>
      <c r="K6" s="16"/>
      <c r="L6" s="16">
        <v>1260000</v>
      </c>
      <c r="M6" s="16">
        <f t="shared" si="4"/>
        <v>7000000</v>
      </c>
      <c r="N6" s="17">
        <f t="shared" si="0"/>
        <v>93</v>
      </c>
      <c r="O6" s="18">
        <v>9</v>
      </c>
      <c r="P6" s="19">
        <f t="shared" si="5"/>
        <v>8.7452054794520553</v>
      </c>
      <c r="Q6" s="20">
        <f t="shared" si="6"/>
        <v>198174</v>
      </c>
      <c r="R6" s="20">
        <f t="shared" si="1"/>
        <v>6801826</v>
      </c>
      <c r="S6" s="21">
        <f t="shared" si="2"/>
        <v>0</v>
      </c>
      <c r="T6" s="21">
        <f t="shared" si="3"/>
        <v>7000000</v>
      </c>
    </row>
    <row r="7" spans="1:20" ht="14.65">
      <c r="A7" s="13">
        <f t="shared" si="7"/>
        <v>4</v>
      </c>
      <c r="B7" s="14" t="s">
        <v>921</v>
      </c>
      <c r="C7" s="14" t="s">
        <v>18</v>
      </c>
      <c r="D7" s="14" t="s">
        <v>922</v>
      </c>
      <c r="E7" s="15">
        <v>44558</v>
      </c>
      <c r="F7" s="15">
        <v>44558</v>
      </c>
      <c r="G7" s="14" t="s">
        <v>916</v>
      </c>
      <c r="H7" s="15">
        <v>44558</v>
      </c>
      <c r="I7" s="16">
        <v>944000</v>
      </c>
      <c r="J7" s="16"/>
      <c r="K7" s="16"/>
      <c r="L7" s="16">
        <v>144000</v>
      </c>
      <c r="M7" s="16">
        <f t="shared" si="4"/>
        <v>800000</v>
      </c>
      <c r="N7" s="17">
        <f t="shared" si="0"/>
        <v>93</v>
      </c>
      <c r="O7" s="18">
        <v>9</v>
      </c>
      <c r="P7" s="19">
        <f t="shared" si="5"/>
        <v>8.7452054794520553</v>
      </c>
      <c r="Q7" s="20">
        <f t="shared" si="6"/>
        <v>22648</v>
      </c>
      <c r="R7" s="20">
        <f t="shared" si="1"/>
        <v>777352</v>
      </c>
      <c r="S7" s="21">
        <f t="shared" si="2"/>
        <v>0</v>
      </c>
      <c r="T7" s="21">
        <f t="shared" si="3"/>
        <v>800000</v>
      </c>
    </row>
    <row r="8" spans="1:20" ht="14.65">
      <c r="A8" s="13">
        <f t="shared" si="7"/>
        <v>5</v>
      </c>
      <c r="B8" s="14" t="s">
        <v>923</v>
      </c>
      <c r="C8" s="14" t="s">
        <v>18</v>
      </c>
      <c r="D8" s="14" t="s">
        <v>924</v>
      </c>
      <c r="E8" s="15">
        <v>44558</v>
      </c>
      <c r="F8" s="15">
        <v>44558</v>
      </c>
      <c r="G8" s="14" t="s">
        <v>916</v>
      </c>
      <c r="H8" s="15">
        <v>44558</v>
      </c>
      <c r="I8" s="16">
        <v>944000</v>
      </c>
      <c r="J8" s="16"/>
      <c r="K8" s="16"/>
      <c r="L8" s="16">
        <v>144000</v>
      </c>
      <c r="M8" s="16">
        <f t="shared" si="4"/>
        <v>800000</v>
      </c>
      <c r="N8" s="17">
        <f t="shared" si="0"/>
        <v>93</v>
      </c>
      <c r="O8" s="18">
        <v>9</v>
      </c>
      <c r="P8" s="19">
        <f t="shared" si="5"/>
        <v>8.7452054794520553</v>
      </c>
      <c r="Q8" s="20">
        <f t="shared" si="6"/>
        <v>22648</v>
      </c>
      <c r="R8" s="20">
        <f t="shared" si="1"/>
        <v>777352</v>
      </c>
      <c r="S8" s="21">
        <f t="shared" si="2"/>
        <v>0</v>
      </c>
      <c r="T8" s="21">
        <f t="shared" si="3"/>
        <v>800000</v>
      </c>
    </row>
    <row r="9" spans="1:20" ht="14.65">
      <c r="A9" s="13">
        <f t="shared" si="7"/>
        <v>6</v>
      </c>
      <c r="B9" s="14" t="s">
        <v>925</v>
      </c>
      <c r="C9" s="14" t="s">
        <v>18</v>
      </c>
      <c r="D9" s="14" t="s">
        <v>926</v>
      </c>
      <c r="E9" s="15">
        <v>44558</v>
      </c>
      <c r="F9" s="15">
        <v>44558</v>
      </c>
      <c r="G9" s="14" t="s">
        <v>916</v>
      </c>
      <c r="H9" s="15">
        <v>44558</v>
      </c>
      <c r="I9" s="16">
        <v>7552000</v>
      </c>
      <c r="J9" s="16"/>
      <c r="K9" s="16"/>
      <c r="L9" s="16">
        <v>1152000</v>
      </c>
      <c r="M9" s="16">
        <f t="shared" si="4"/>
        <v>6400000</v>
      </c>
      <c r="N9" s="17">
        <f t="shared" si="0"/>
        <v>93</v>
      </c>
      <c r="O9" s="18">
        <v>9</v>
      </c>
      <c r="P9" s="19">
        <f t="shared" si="5"/>
        <v>8.7452054794520553</v>
      </c>
      <c r="Q9" s="20">
        <f t="shared" si="6"/>
        <v>181187</v>
      </c>
      <c r="R9" s="20">
        <f t="shared" si="1"/>
        <v>6218813</v>
      </c>
      <c r="S9" s="21">
        <f t="shared" si="2"/>
        <v>0</v>
      </c>
      <c r="T9" s="21">
        <f t="shared" si="3"/>
        <v>6400000</v>
      </c>
    </row>
    <row r="10" spans="1:20" ht="14.65">
      <c r="A10" s="13">
        <f t="shared" si="7"/>
        <v>7</v>
      </c>
      <c r="B10" s="14" t="s">
        <v>927</v>
      </c>
      <c r="C10" s="14" t="s">
        <v>18</v>
      </c>
      <c r="D10" s="14" t="s">
        <v>928</v>
      </c>
      <c r="E10" s="15">
        <v>44558</v>
      </c>
      <c r="F10" s="15">
        <v>44558</v>
      </c>
      <c r="G10" s="14" t="s">
        <v>916</v>
      </c>
      <c r="H10" s="15">
        <v>44558</v>
      </c>
      <c r="I10" s="16">
        <v>4012000</v>
      </c>
      <c r="J10" s="16"/>
      <c r="K10" s="16"/>
      <c r="L10" s="16">
        <v>612000</v>
      </c>
      <c r="M10" s="16">
        <f t="shared" si="4"/>
        <v>3400000</v>
      </c>
      <c r="N10" s="17">
        <f t="shared" si="0"/>
        <v>93</v>
      </c>
      <c r="O10" s="18">
        <v>9</v>
      </c>
      <c r="P10" s="19">
        <f t="shared" si="5"/>
        <v>8.7452054794520553</v>
      </c>
      <c r="Q10" s="20">
        <f t="shared" si="6"/>
        <v>96256</v>
      </c>
      <c r="R10" s="20">
        <f t="shared" si="1"/>
        <v>3303744</v>
      </c>
      <c r="S10" s="21">
        <f t="shared" si="2"/>
        <v>0</v>
      </c>
      <c r="T10" s="21">
        <f t="shared" si="3"/>
        <v>3400000</v>
      </c>
    </row>
    <row r="11" spans="1:20" ht="14.65">
      <c r="A11" s="13">
        <f t="shared" si="7"/>
        <v>8</v>
      </c>
      <c r="B11" s="160" t="s">
        <v>929</v>
      </c>
      <c r="C11" s="160" t="s">
        <v>18</v>
      </c>
      <c r="D11" s="160" t="s">
        <v>930</v>
      </c>
      <c r="E11" s="161">
        <v>44558</v>
      </c>
      <c r="F11" s="161">
        <v>44558</v>
      </c>
      <c r="G11" s="160" t="s">
        <v>916</v>
      </c>
      <c r="H11" s="161">
        <v>44558</v>
      </c>
      <c r="I11" s="162">
        <v>944000</v>
      </c>
      <c r="J11" s="16"/>
      <c r="K11" s="16"/>
      <c r="L11" s="162">
        <v>144000</v>
      </c>
      <c r="M11" s="16">
        <f t="shared" si="4"/>
        <v>800000</v>
      </c>
      <c r="N11" s="17">
        <f t="shared" si="0"/>
        <v>93</v>
      </c>
      <c r="O11" s="18">
        <v>9</v>
      </c>
      <c r="P11" s="19">
        <f t="shared" si="5"/>
        <v>8.7452054794520553</v>
      </c>
      <c r="Q11" s="20">
        <f t="shared" si="6"/>
        <v>22648</v>
      </c>
      <c r="R11" s="20">
        <f t="shared" si="1"/>
        <v>777352</v>
      </c>
      <c r="S11" s="21">
        <f t="shared" si="2"/>
        <v>0</v>
      </c>
      <c r="T11" s="21">
        <f t="shared" si="3"/>
        <v>800000</v>
      </c>
    </row>
    <row r="12" spans="1:20" ht="14.65">
      <c r="A12" s="13">
        <f t="shared" si="7"/>
        <v>9</v>
      </c>
      <c r="B12" s="14" t="s">
        <v>931</v>
      </c>
      <c r="C12" s="14" t="s">
        <v>18</v>
      </c>
      <c r="D12" s="14" t="s">
        <v>932</v>
      </c>
      <c r="E12" s="15">
        <v>44558</v>
      </c>
      <c r="F12" s="15">
        <v>44558</v>
      </c>
      <c r="G12" s="14" t="s">
        <v>916</v>
      </c>
      <c r="H12" s="15">
        <v>44558</v>
      </c>
      <c r="I12" s="16">
        <v>590000</v>
      </c>
      <c r="J12" s="16"/>
      <c r="K12" s="16"/>
      <c r="L12" s="16">
        <v>90000</v>
      </c>
      <c r="M12" s="16">
        <f t="shared" si="4"/>
        <v>500000</v>
      </c>
      <c r="N12" s="17">
        <f t="shared" si="0"/>
        <v>93</v>
      </c>
      <c r="O12" s="18">
        <v>9</v>
      </c>
      <c r="P12" s="19">
        <f t="shared" si="5"/>
        <v>8.7452054794520553</v>
      </c>
      <c r="Q12" s="20">
        <f t="shared" si="6"/>
        <v>14155</v>
      </c>
      <c r="R12" s="20">
        <f t="shared" si="1"/>
        <v>485845</v>
      </c>
      <c r="S12" s="21">
        <f t="shared" si="2"/>
        <v>0</v>
      </c>
      <c r="T12" s="21">
        <f t="shared" si="3"/>
        <v>500000</v>
      </c>
    </row>
    <row r="13" spans="1:20" ht="14.65">
      <c r="A13" s="13">
        <f t="shared" si="7"/>
        <v>10</v>
      </c>
      <c r="B13" s="14" t="s">
        <v>933</v>
      </c>
      <c r="C13" s="14" t="s">
        <v>18</v>
      </c>
      <c r="D13" s="14" t="s">
        <v>934</v>
      </c>
      <c r="E13" s="15">
        <v>44558</v>
      </c>
      <c r="F13" s="15">
        <v>44558</v>
      </c>
      <c r="G13" s="14" t="s">
        <v>916</v>
      </c>
      <c r="H13" s="15">
        <v>44558</v>
      </c>
      <c r="I13" s="16">
        <v>2242000</v>
      </c>
      <c r="J13" s="16"/>
      <c r="K13" s="16"/>
      <c r="L13" s="16">
        <v>342000</v>
      </c>
      <c r="M13" s="16">
        <f t="shared" si="4"/>
        <v>1900000</v>
      </c>
      <c r="N13" s="17">
        <f t="shared" si="0"/>
        <v>93</v>
      </c>
      <c r="O13" s="18">
        <v>9</v>
      </c>
      <c r="P13" s="19">
        <f t="shared" si="5"/>
        <v>8.7452054794520553</v>
      </c>
      <c r="Q13" s="20">
        <f t="shared" si="6"/>
        <v>53790</v>
      </c>
      <c r="R13" s="20">
        <f t="shared" si="1"/>
        <v>1846210</v>
      </c>
      <c r="S13" s="21">
        <f t="shared" si="2"/>
        <v>0</v>
      </c>
      <c r="T13" s="21">
        <f t="shared" si="3"/>
        <v>1900000</v>
      </c>
    </row>
    <row r="14" spans="1:20" ht="14.65">
      <c r="A14" s="13">
        <f t="shared" si="7"/>
        <v>11</v>
      </c>
      <c r="B14" s="163" t="s">
        <v>935</v>
      </c>
      <c r="C14" s="163" t="s">
        <v>18</v>
      </c>
      <c r="D14" s="163" t="s">
        <v>936</v>
      </c>
      <c r="E14" s="164">
        <v>44558</v>
      </c>
      <c r="F14" s="164">
        <v>44558</v>
      </c>
      <c r="G14" s="163" t="s">
        <v>916</v>
      </c>
      <c r="H14" s="164">
        <v>44558</v>
      </c>
      <c r="I14" s="165">
        <v>1003000</v>
      </c>
      <c r="J14" s="16"/>
      <c r="K14" s="16"/>
      <c r="L14" s="165">
        <v>153000</v>
      </c>
      <c r="M14" s="16">
        <f t="shared" si="4"/>
        <v>850000</v>
      </c>
      <c r="N14" s="17">
        <f t="shared" si="0"/>
        <v>93</v>
      </c>
      <c r="O14" s="18">
        <v>9</v>
      </c>
      <c r="P14" s="19">
        <f t="shared" si="5"/>
        <v>8.7452054794520553</v>
      </c>
      <c r="Q14" s="20">
        <f t="shared" si="6"/>
        <v>24064</v>
      </c>
      <c r="R14" s="20">
        <f t="shared" si="1"/>
        <v>825936</v>
      </c>
      <c r="S14" s="21">
        <f t="shared" si="2"/>
        <v>0</v>
      </c>
      <c r="T14" s="21">
        <f t="shared" si="3"/>
        <v>850000</v>
      </c>
    </row>
    <row r="15" spans="1:20" ht="14.65">
      <c r="A15" s="13">
        <f t="shared" si="7"/>
        <v>12</v>
      </c>
      <c r="B15" s="14" t="s">
        <v>937</v>
      </c>
      <c r="C15" s="14" t="s">
        <v>18</v>
      </c>
      <c r="D15" s="14" t="s">
        <v>938</v>
      </c>
      <c r="E15" s="15">
        <v>44558</v>
      </c>
      <c r="F15" s="15">
        <v>44558</v>
      </c>
      <c r="G15" s="14" t="s">
        <v>916</v>
      </c>
      <c r="H15" s="15">
        <v>44558</v>
      </c>
      <c r="I15" s="16">
        <v>1121000</v>
      </c>
      <c r="J15" s="16"/>
      <c r="K15" s="16"/>
      <c r="L15" s="16">
        <v>171000</v>
      </c>
      <c r="M15" s="16">
        <f t="shared" si="4"/>
        <v>950000</v>
      </c>
      <c r="N15" s="17">
        <f t="shared" si="0"/>
        <v>93</v>
      </c>
      <c r="O15" s="18">
        <v>9</v>
      </c>
      <c r="P15" s="19">
        <f t="shared" si="5"/>
        <v>8.7452054794520553</v>
      </c>
      <c r="Q15" s="20">
        <f t="shared" si="6"/>
        <v>26895</v>
      </c>
      <c r="R15" s="20">
        <f t="shared" si="1"/>
        <v>923105</v>
      </c>
      <c r="S15" s="21">
        <f t="shared" si="2"/>
        <v>0</v>
      </c>
      <c r="T15" s="21">
        <f t="shared" si="3"/>
        <v>950000</v>
      </c>
    </row>
    <row r="16" spans="1:20" ht="14.65">
      <c r="A16" s="13">
        <f t="shared" si="7"/>
        <v>13</v>
      </c>
      <c r="B16" s="14" t="s">
        <v>939</v>
      </c>
      <c r="C16" s="14" t="s">
        <v>18</v>
      </c>
      <c r="D16" s="14" t="s">
        <v>940</v>
      </c>
      <c r="E16" s="15">
        <v>44558</v>
      </c>
      <c r="F16" s="15">
        <v>44558</v>
      </c>
      <c r="G16" s="14" t="s">
        <v>916</v>
      </c>
      <c r="H16" s="15">
        <v>44558</v>
      </c>
      <c r="I16" s="16">
        <v>2183000</v>
      </c>
      <c r="J16" s="16"/>
      <c r="K16" s="16"/>
      <c r="L16" s="16">
        <v>333000</v>
      </c>
      <c r="M16" s="16">
        <f t="shared" si="4"/>
        <v>1850000</v>
      </c>
      <c r="N16" s="17">
        <f t="shared" si="0"/>
        <v>93</v>
      </c>
      <c r="O16" s="18">
        <v>9</v>
      </c>
      <c r="P16" s="19">
        <f t="shared" si="5"/>
        <v>8.7452054794520553</v>
      </c>
      <c r="Q16" s="22">
        <f t="shared" si="6"/>
        <v>52374</v>
      </c>
      <c r="R16" s="22">
        <f t="shared" si="1"/>
        <v>1797626</v>
      </c>
      <c r="S16" s="21">
        <f t="shared" si="2"/>
        <v>0</v>
      </c>
      <c r="T16" s="21">
        <f t="shared" si="3"/>
        <v>1850000</v>
      </c>
    </row>
    <row r="17" spans="1:20" ht="14.65">
      <c r="A17" s="13">
        <f t="shared" si="7"/>
        <v>14</v>
      </c>
      <c r="B17" s="14" t="s">
        <v>941</v>
      </c>
      <c r="C17" s="14" t="s">
        <v>18</v>
      </c>
      <c r="D17" s="14" t="s">
        <v>942</v>
      </c>
      <c r="E17" s="15">
        <v>44558</v>
      </c>
      <c r="F17" s="15">
        <v>44558</v>
      </c>
      <c r="G17" s="14" t="s">
        <v>916</v>
      </c>
      <c r="H17" s="15">
        <v>44558</v>
      </c>
      <c r="I17" s="16">
        <v>1308000</v>
      </c>
      <c r="J17" s="16"/>
      <c r="K17" s="16"/>
      <c r="L17" s="16">
        <v>198000</v>
      </c>
      <c r="M17" s="16">
        <f t="shared" si="4"/>
        <v>1110000</v>
      </c>
      <c r="N17" s="17">
        <f t="shared" si="0"/>
        <v>93</v>
      </c>
      <c r="O17" s="18">
        <v>9</v>
      </c>
      <c r="P17" s="19">
        <f t="shared" si="5"/>
        <v>8.7452054794520553</v>
      </c>
      <c r="Q17" s="22">
        <f t="shared" si="6"/>
        <v>31425</v>
      </c>
      <c r="R17" s="22">
        <f t="shared" si="1"/>
        <v>1078575</v>
      </c>
      <c r="S17" s="21">
        <f t="shared" si="2"/>
        <v>0</v>
      </c>
      <c r="T17" s="21">
        <f t="shared" si="3"/>
        <v>1110000</v>
      </c>
    </row>
    <row r="18" spans="1:20" ht="14.65">
      <c r="A18" s="13">
        <f t="shared" si="7"/>
        <v>15</v>
      </c>
      <c r="B18" s="14" t="s">
        <v>943</v>
      </c>
      <c r="C18" s="14" t="s">
        <v>18</v>
      </c>
      <c r="D18" s="14" t="s">
        <v>944</v>
      </c>
      <c r="E18" s="15">
        <v>44558</v>
      </c>
      <c r="F18" s="15">
        <v>44558</v>
      </c>
      <c r="G18" s="14" t="s">
        <v>916</v>
      </c>
      <c r="H18" s="15">
        <v>44558</v>
      </c>
      <c r="I18" s="16">
        <v>94400</v>
      </c>
      <c r="J18" s="16"/>
      <c r="K18" s="16"/>
      <c r="L18" s="16">
        <v>14400</v>
      </c>
      <c r="M18" s="16">
        <f t="shared" si="4"/>
        <v>80000</v>
      </c>
      <c r="N18" s="17">
        <f t="shared" si="0"/>
        <v>93</v>
      </c>
      <c r="O18" s="18">
        <v>9</v>
      </c>
      <c r="P18" s="19">
        <f t="shared" si="5"/>
        <v>8.7452054794520553</v>
      </c>
      <c r="Q18" s="22">
        <f t="shared" si="6"/>
        <v>2265</v>
      </c>
      <c r="R18" s="22">
        <f t="shared" si="1"/>
        <v>77735</v>
      </c>
      <c r="S18" s="21">
        <f t="shared" si="2"/>
        <v>0</v>
      </c>
      <c r="T18" s="21">
        <f t="shared" si="3"/>
        <v>80000</v>
      </c>
    </row>
    <row r="19" spans="1:20" ht="14.65">
      <c r="A19" s="13">
        <f t="shared" si="7"/>
        <v>16</v>
      </c>
      <c r="B19" s="14" t="s">
        <v>945</v>
      </c>
      <c r="C19" s="14" t="s">
        <v>18</v>
      </c>
      <c r="D19" s="14" t="s">
        <v>946</v>
      </c>
      <c r="E19" s="15">
        <v>44558</v>
      </c>
      <c r="F19" s="15">
        <v>44558</v>
      </c>
      <c r="G19" s="14" t="s">
        <v>916</v>
      </c>
      <c r="H19" s="15">
        <v>44558</v>
      </c>
      <c r="I19" s="16">
        <v>177000</v>
      </c>
      <c r="J19" s="16"/>
      <c r="K19" s="16"/>
      <c r="L19" s="16">
        <v>27000</v>
      </c>
      <c r="M19" s="16">
        <f t="shared" si="4"/>
        <v>150000</v>
      </c>
      <c r="N19" s="17">
        <f t="shared" si="0"/>
        <v>93</v>
      </c>
      <c r="O19" s="18">
        <v>9</v>
      </c>
      <c r="P19" s="19">
        <f t="shared" si="5"/>
        <v>8.7452054794520553</v>
      </c>
      <c r="Q19" s="22">
        <f t="shared" si="6"/>
        <v>4247</v>
      </c>
      <c r="R19" s="22">
        <f t="shared" si="1"/>
        <v>145753</v>
      </c>
      <c r="S19" s="21">
        <f t="shared" si="2"/>
        <v>0</v>
      </c>
      <c r="T19" s="21">
        <f t="shared" si="3"/>
        <v>150000</v>
      </c>
    </row>
    <row r="20" spans="1:20" ht="14.65">
      <c r="A20" s="13">
        <f t="shared" si="7"/>
        <v>17</v>
      </c>
      <c r="B20" s="14" t="s">
        <v>945</v>
      </c>
      <c r="C20" s="14" t="s">
        <v>18</v>
      </c>
      <c r="D20" s="14" t="s">
        <v>947</v>
      </c>
      <c r="E20" s="15">
        <v>44558</v>
      </c>
      <c r="F20" s="15">
        <v>44558</v>
      </c>
      <c r="G20" s="14" t="s">
        <v>916</v>
      </c>
      <c r="H20" s="15">
        <v>44558</v>
      </c>
      <c r="I20" s="16">
        <v>188800</v>
      </c>
      <c r="J20" s="16"/>
      <c r="K20" s="16"/>
      <c r="L20" s="16">
        <v>28800</v>
      </c>
      <c r="M20" s="16">
        <f t="shared" si="4"/>
        <v>160000</v>
      </c>
      <c r="N20" s="17">
        <f t="shared" si="0"/>
        <v>93</v>
      </c>
      <c r="O20" s="18">
        <v>9</v>
      </c>
      <c r="P20" s="19">
        <f t="shared" si="5"/>
        <v>8.7452054794520553</v>
      </c>
      <c r="Q20" s="22">
        <f t="shared" si="6"/>
        <v>4530</v>
      </c>
      <c r="R20" s="22">
        <f t="shared" si="1"/>
        <v>155470</v>
      </c>
      <c r="S20" s="21">
        <f t="shared" si="2"/>
        <v>0</v>
      </c>
      <c r="T20" s="21">
        <f t="shared" si="3"/>
        <v>160000</v>
      </c>
    </row>
    <row r="21" spans="1:20" ht="14.65">
      <c r="A21" s="13">
        <f t="shared" si="7"/>
        <v>18</v>
      </c>
      <c r="B21" s="14" t="s">
        <v>945</v>
      </c>
      <c r="C21" s="14" t="s">
        <v>18</v>
      </c>
      <c r="D21" s="14" t="s">
        <v>948</v>
      </c>
      <c r="E21" s="15">
        <v>44558</v>
      </c>
      <c r="F21" s="15">
        <v>44558</v>
      </c>
      <c r="G21" s="14" t="s">
        <v>916</v>
      </c>
      <c r="H21" s="15">
        <v>44558</v>
      </c>
      <c r="I21" s="16">
        <v>354000</v>
      </c>
      <c r="J21" s="16"/>
      <c r="K21" s="16"/>
      <c r="L21" s="16">
        <v>54000</v>
      </c>
      <c r="M21" s="16">
        <f t="shared" si="4"/>
        <v>300000</v>
      </c>
      <c r="N21" s="17">
        <f t="shared" si="0"/>
        <v>93</v>
      </c>
      <c r="O21" s="18">
        <v>9</v>
      </c>
      <c r="P21" s="19">
        <f t="shared" si="5"/>
        <v>8.7452054794520553</v>
      </c>
      <c r="Q21" s="22">
        <f t="shared" si="6"/>
        <v>8493</v>
      </c>
      <c r="R21" s="22">
        <f t="shared" si="1"/>
        <v>291507</v>
      </c>
      <c r="S21" s="21">
        <f t="shared" si="2"/>
        <v>0</v>
      </c>
      <c r="T21" s="21">
        <f t="shared" si="3"/>
        <v>300000</v>
      </c>
    </row>
    <row r="22" spans="1:20" ht="14.65">
      <c r="A22" s="13">
        <f t="shared" si="7"/>
        <v>19</v>
      </c>
      <c r="B22" s="166" t="s">
        <v>945</v>
      </c>
      <c r="C22" s="14" t="s">
        <v>18</v>
      </c>
      <c r="D22" s="14" t="s">
        <v>949</v>
      </c>
      <c r="E22" s="15">
        <v>44558</v>
      </c>
      <c r="F22" s="15">
        <v>44558</v>
      </c>
      <c r="G22" s="14" t="s">
        <v>916</v>
      </c>
      <c r="H22" s="15">
        <v>44558</v>
      </c>
      <c r="I22" s="16">
        <v>295000</v>
      </c>
      <c r="J22" s="16"/>
      <c r="K22" s="16"/>
      <c r="L22" s="16">
        <v>45000</v>
      </c>
      <c r="M22" s="16">
        <f t="shared" si="4"/>
        <v>250000</v>
      </c>
      <c r="N22" s="17">
        <f t="shared" si="0"/>
        <v>93</v>
      </c>
      <c r="O22" s="18">
        <v>9</v>
      </c>
      <c r="P22" s="19">
        <f t="shared" si="5"/>
        <v>8.7452054794520553</v>
      </c>
      <c r="Q22" s="22">
        <f t="shared" si="6"/>
        <v>7078</v>
      </c>
      <c r="R22" s="22">
        <f t="shared" si="1"/>
        <v>242922</v>
      </c>
      <c r="S22" s="21">
        <f t="shared" si="2"/>
        <v>0</v>
      </c>
      <c r="T22" s="21">
        <f t="shared" si="3"/>
        <v>250000</v>
      </c>
    </row>
    <row r="23" spans="1:20" ht="14.65">
      <c r="A23" s="13">
        <f t="shared" si="7"/>
        <v>20</v>
      </c>
      <c r="B23" s="14" t="s">
        <v>945</v>
      </c>
      <c r="C23" s="14" t="s">
        <v>18</v>
      </c>
      <c r="D23" s="14" t="s">
        <v>950</v>
      </c>
      <c r="E23" s="15">
        <v>44558</v>
      </c>
      <c r="F23" s="15">
        <v>44558</v>
      </c>
      <c r="G23" s="14" t="s">
        <v>916</v>
      </c>
      <c r="H23" s="15">
        <v>44558</v>
      </c>
      <c r="I23" s="16">
        <v>177000</v>
      </c>
      <c r="J23" s="16"/>
      <c r="K23" s="16"/>
      <c r="L23" s="16">
        <v>27000</v>
      </c>
      <c r="M23" s="16">
        <f t="shared" si="4"/>
        <v>150000</v>
      </c>
      <c r="N23" s="17">
        <f t="shared" si="0"/>
        <v>93</v>
      </c>
      <c r="O23" s="18">
        <v>9</v>
      </c>
      <c r="P23" s="19">
        <f t="shared" si="5"/>
        <v>8.7452054794520553</v>
      </c>
      <c r="Q23" s="22">
        <f t="shared" si="6"/>
        <v>4247</v>
      </c>
      <c r="R23" s="22">
        <f t="shared" si="1"/>
        <v>145753</v>
      </c>
      <c r="S23" s="21">
        <f t="shared" si="2"/>
        <v>0</v>
      </c>
      <c r="T23" s="21">
        <f t="shared" si="3"/>
        <v>150000</v>
      </c>
    </row>
    <row r="24" spans="1:20" ht="14.65">
      <c r="A24" s="13">
        <f t="shared" si="7"/>
        <v>21</v>
      </c>
      <c r="B24" s="14" t="s">
        <v>945</v>
      </c>
      <c r="C24" s="14" t="s">
        <v>18</v>
      </c>
      <c r="D24" s="14" t="s">
        <v>951</v>
      </c>
      <c r="E24" s="15">
        <v>44558</v>
      </c>
      <c r="F24" s="15">
        <v>44558</v>
      </c>
      <c r="G24" s="14" t="s">
        <v>916</v>
      </c>
      <c r="H24" s="15">
        <v>44558</v>
      </c>
      <c r="I24" s="16">
        <v>188800</v>
      </c>
      <c r="J24" s="16"/>
      <c r="K24" s="16"/>
      <c r="L24" s="16">
        <v>28800</v>
      </c>
      <c r="M24" s="16">
        <f t="shared" si="4"/>
        <v>160000</v>
      </c>
      <c r="N24" s="17">
        <f t="shared" si="0"/>
        <v>93</v>
      </c>
      <c r="O24" s="18">
        <v>9</v>
      </c>
      <c r="P24" s="19">
        <f t="shared" si="5"/>
        <v>8.7452054794520553</v>
      </c>
      <c r="Q24" s="22">
        <f t="shared" si="6"/>
        <v>4530</v>
      </c>
      <c r="R24" s="22">
        <f t="shared" si="1"/>
        <v>155470</v>
      </c>
      <c r="S24" s="21">
        <f t="shared" si="2"/>
        <v>0</v>
      </c>
      <c r="T24" s="21">
        <f t="shared" si="3"/>
        <v>160000</v>
      </c>
    </row>
    <row r="25" spans="1:20" ht="14.65">
      <c r="A25" s="13">
        <f t="shared" si="7"/>
        <v>22</v>
      </c>
      <c r="B25" s="14" t="s">
        <v>952</v>
      </c>
      <c r="C25" s="14" t="s">
        <v>18</v>
      </c>
      <c r="D25" s="14" t="s">
        <v>953</v>
      </c>
      <c r="E25" s="15">
        <v>44558</v>
      </c>
      <c r="F25" s="15">
        <v>44558</v>
      </c>
      <c r="G25" s="14" t="s">
        <v>916</v>
      </c>
      <c r="H25" s="15">
        <v>44558</v>
      </c>
      <c r="I25" s="16">
        <v>70800</v>
      </c>
      <c r="J25" s="16"/>
      <c r="K25" s="16"/>
      <c r="L25" s="16">
        <v>10800</v>
      </c>
      <c r="M25" s="16">
        <f>I25+J25-K25-L25</f>
        <v>60000</v>
      </c>
      <c r="N25" s="17">
        <f>$N$1-H25</f>
        <v>93</v>
      </c>
      <c r="O25" s="18">
        <v>9</v>
      </c>
      <c r="P25" s="19">
        <f>+O25-(N25/365)</f>
        <v>8.7452054794520553</v>
      </c>
      <c r="Q25" s="22">
        <f>ROUND(+M25/(O25*365)*N25,0)</f>
        <v>1699</v>
      </c>
      <c r="R25" s="22">
        <f>+M25-Q25</f>
        <v>58301</v>
      </c>
      <c r="S25" s="21">
        <f t="shared" si="2"/>
        <v>0</v>
      </c>
      <c r="T25" s="21">
        <f t="shared" si="3"/>
        <v>60000</v>
      </c>
    </row>
    <row r="26" spans="1:20" ht="14.65">
      <c r="A26" s="13">
        <f t="shared" si="7"/>
        <v>23</v>
      </c>
      <c r="B26" s="14" t="s">
        <v>954</v>
      </c>
      <c r="C26" s="14" t="s">
        <v>18</v>
      </c>
      <c r="D26" s="14" t="s">
        <v>955</v>
      </c>
      <c r="E26" s="15">
        <v>44558</v>
      </c>
      <c r="F26" s="15">
        <v>44558</v>
      </c>
      <c r="G26" s="14" t="s">
        <v>916</v>
      </c>
      <c r="H26" s="15">
        <v>44558</v>
      </c>
      <c r="I26" s="16">
        <v>47200</v>
      </c>
      <c r="J26" s="16"/>
      <c r="K26" s="16"/>
      <c r="L26" s="16">
        <v>7200</v>
      </c>
      <c r="M26" s="16">
        <f>I26+J26-K26-L26</f>
        <v>40000</v>
      </c>
      <c r="N26" s="17">
        <f>$N$1-H26</f>
        <v>93</v>
      </c>
      <c r="O26" s="18">
        <v>9</v>
      </c>
      <c r="P26" s="19">
        <f>+O26-(N26/365)</f>
        <v>8.7452054794520553</v>
      </c>
      <c r="Q26" s="22">
        <f>ROUND(+M26/(O26*365)*N26,0)</f>
        <v>1132</v>
      </c>
      <c r="R26" s="22">
        <f>+M26-Q26</f>
        <v>38868</v>
      </c>
      <c r="S26" s="21">
        <f t="shared" si="2"/>
        <v>0</v>
      </c>
      <c r="T26" s="21">
        <f t="shared" si="3"/>
        <v>40000</v>
      </c>
    </row>
    <row r="27" spans="1:20" ht="14.65">
      <c r="A27" s="13">
        <f t="shared" si="7"/>
        <v>24</v>
      </c>
      <c r="B27" s="14" t="s">
        <v>954</v>
      </c>
      <c r="C27" s="14" t="s">
        <v>18</v>
      </c>
      <c r="D27" s="14" t="s">
        <v>956</v>
      </c>
      <c r="E27" s="15">
        <v>44558</v>
      </c>
      <c r="F27" s="15">
        <v>44558</v>
      </c>
      <c r="G27" s="14" t="s">
        <v>916</v>
      </c>
      <c r="H27" s="15">
        <v>44558</v>
      </c>
      <c r="I27" s="16">
        <v>448000</v>
      </c>
      <c r="J27" s="16"/>
      <c r="K27" s="16"/>
      <c r="L27" s="16">
        <v>98000</v>
      </c>
      <c r="M27" s="16">
        <f>I27+J27-K27-L27</f>
        <v>350000</v>
      </c>
      <c r="N27" s="17">
        <f>$N$1-H27</f>
        <v>93</v>
      </c>
      <c r="O27" s="18">
        <v>9</v>
      </c>
      <c r="P27" s="19">
        <f>+O27-(N27/365)</f>
        <v>8.7452054794520553</v>
      </c>
      <c r="Q27" s="22">
        <f>ROUND(+M27/(O27*365)*N27,0)</f>
        <v>9909</v>
      </c>
      <c r="R27" s="22">
        <f>+M27-Q27</f>
        <v>340091</v>
      </c>
      <c r="S27" s="21">
        <f t="shared" si="2"/>
        <v>0</v>
      </c>
      <c r="T27" s="21">
        <f t="shared" si="3"/>
        <v>350000</v>
      </c>
    </row>
    <row r="28" spans="1:20" ht="14.65">
      <c r="A28" s="13">
        <f t="shared" si="7"/>
        <v>25</v>
      </c>
      <c r="B28" s="14" t="s">
        <v>957</v>
      </c>
      <c r="C28" s="14" t="s">
        <v>18</v>
      </c>
      <c r="D28" s="14"/>
      <c r="E28" s="23">
        <v>44580</v>
      </c>
      <c r="F28" s="23">
        <v>44580</v>
      </c>
      <c r="G28" s="14" t="s">
        <v>958</v>
      </c>
      <c r="H28" s="23">
        <v>44580</v>
      </c>
      <c r="I28" s="16">
        <v>500000</v>
      </c>
      <c r="J28" s="16"/>
      <c r="K28" s="16"/>
      <c r="L28" s="16">
        <v>0</v>
      </c>
      <c r="M28" s="16">
        <f t="shared" si="4"/>
        <v>500000</v>
      </c>
      <c r="N28" s="17">
        <f t="shared" si="0"/>
        <v>71</v>
      </c>
      <c r="O28" s="18">
        <v>9</v>
      </c>
      <c r="P28" s="19">
        <f t="shared" si="5"/>
        <v>8.8054794520547937</v>
      </c>
      <c r="Q28" s="22">
        <f t="shared" si="6"/>
        <v>10807</v>
      </c>
      <c r="R28" s="22">
        <f t="shared" ref="R28:R91" si="8">+M28-Q28</f>
        <v>489193</v>
      </c>
      <c r="S28" s="21">
        <f t="shared" si="2"/>
        <v>0</v>
      </c>
      <c r="T28" s="21">
        <f t="shared" si="3"/>
        <v>500000</v>
      </c>
    </row>
    <row r="29" spans="1:20" ht="14.65">
      <c r="A29" s="13">
        <f t="shared" si="7"/>
        <v>26</v>
      </c>
      <c r="B29" s="14" t="s">
        <v>957</v>
      </c>
      <c r="C29" s="14" t="s">
        <v>18</v>
      </c>
      <c r="D29" s="14"/>
      <c r="E29" s="23">
        <v>44580</v>
      </c>
      <c r="F29" s="23">
        <v>44580</v>
      </c>
      <c r="G29" s="14" t="s">
        <v>959</v>
      </c>
      <c r="H29" s="23">
        <v>44580</v>
      </c>
      <c r="I29" s="16">
        <v>1600000</v>
      </c>
      <c r="J29" s="16"/>
      <c r="K29" s="16"/>
      <c r="L29" s="16">
        <v>0</v>
      </c>
      <c r="M29" s="16">
        <f t="shared" si="4"/>
        <v>1600000</v>
      </c>
      <c r="N29" s="17">
        <f t="shared" si="0"/>
        <v>71</v>
      </c>
      <c r="O29" s="18">
        <v>9</v>
      </c>
      <c r="P29" s="19">
        <f t="shared" si="5"/>
        <v>8.8054794520547937</v>
      </c>
      <c r="Q29" s="22">
        <f t="shared" si="6"/>
        <v>34581</v>
      </c>
      <c r="R29" s="22">
        <f t="shared" si="8"/>
        <v>1565419</v>
      </c>
      <c r="S29" s="21">
        <f t="shared" si="2"/>
        <v>0</v>
      </c>
      <c r="T29" s="21">
        <f t="shared" si="3"/>
        <v>1600000</v>
      </c>
    </row>
    <row r="30" spans="1:20" ht="14.65">
      <c r="A30" s="13">
        <f t="shared" si="7"/>
        <v>27</v>
      </c>
      <c r="B30" s="14" t="s">
        <v>583</v>
      </c>
      <c r="C30" s="14" t="s">
        <v>18</v>
      </c>
      <c r="D30" s="14" t="s">
        <v>960</v>
      </c>
      <c r="E30" s="15">
        <v>44558</v>
      </c>
      <c r="F30" s="15">
        <v>44558</v>
      </c>
      <c r="G30" s="14" t="s">
        <v>916</v>
      </c>
      <c r="H30" s="15">
        <v>44558</v>
      </c>
      <c r="I30" s="16">
        <v>67200</v>
      </c>
      <c r="J30" s="16"/>
      <c r="K30" s="16"/>
      <c r="L30" s="16">
        <v>7200</v>
      </c>
      <c r="M30" s="16">
        <f t="shared" si="4"/>
        <v>60000</v>
      </c>
      <c r="N30" s="17">
        <f t="shared" si="0"/>
        <v>93</v>
      </c>
      <c r="O30" s="18">
        <v>9</v>
      </c>
      <c r="P30" s="19">
        <f t="shared" si="5"/>
        <v>8.7452054794520553</v>
      </c>
      <c r="Q30" s="22">
        <f t="shared" si="6"/>
        <v>1699</v>
      </c>
      <c r="R30" s="22">
        <f t="shared" si="8"/>
        <v>58301</v>
      </c>
      <c r="S30" s="21">
        <f t="shared" si="2"/>
        <v>0</v>
      </c>
      <c r="T30" s="21">
        <f t="shared" si="3"/>
        <v>60000</v>
      </c>
    </row>
    <row r="31" spans="1:20" ht="14.65">
      <c r="A31" s="13">
        <f t="shared" si="7"/>
        <v>28</v>
      </c>
      <c r="B31" s="14" t="s">
        <v>945</v>
      </c>
      <c r="C31" s="14" t="s">
        <v>18</v>
      </c>
      <c r="D31" s="14" t="s">
        <v>961</v>
      </c>
      <c r="E31" s="15">
        <v>44558</v>
      </c>
      <c r="F31" s="15">
        <v>44558</v>
      </c>
      <c r="G31" s="14" t="s">
        <v>916</v>
      </c>
      <c r="H31" s="15">
        <v>44558</v>
      </c>
      <c r="I31" s="16">
        <v>141600</v>
      </c>
      <c r="J31" s="16"/>
      <c r="K31" s="16"/>
      <c r="L31" s="16">
        <v>21600</v>
      </c>
      <c r="M31" s="16">
        <f t="shared" si="4"/>
        <v>120000</v>
      </c>
      <c r="N31" s="17">
        <f t="shared" si="0"/>
        <v>93</v>
      </c>
      <c r="O31" s="18">
        <v>9</v>
      </c>
      <c r="P31" s="19">
        <f t="shared" si="5"/>
        <v>8.7452054794520553</v>
      </c>
      <c r="Q31" s="22">
        <f t="shared" si="6"/>
        <v>3397</v>
      </c>
      <c r="R31" s="22">
        <f t="shared" si="8"/>
        <v>116603</v>
      </c>
      <c r="S31" s="21">
        <f t="shared" si="2"/>
        <v>0</v>
      </c>
      <c r="T31" s="21">
        <f t="shared" si="3"/>
        <v>120000</v>
      </c>
    </row>
    <row r="32" spans="1:20" ht="14.65">
      <c r="A32" s="13">
        <f t="shared" si="7"/>
        <v>29</v>
      </c>
      <c r="B32" s="14" t="s">
        <v>326</v>
      </c>
      <c r="C32" s="14" t="s">
        <v>18</v>
      </c>
      <c r="D32" s="14" t="s">
        <v>962</v>
      </c>
      <c r="E32" s="15">
        <v>44558</v>
      </c>
      <c r="F32" s="15">
        <v>44558</v>
      </c>
      <c r="G32" s="14" t="s">
        <v>916</v>
      </c>
      <c r="H32" s="15">
        <v>44558</v>
      </c>
      <c r="I32" s="16">
        <v>188800</v>
      </c>
      <c r="J32" s="16"/>
      <c r="K32" s="16"/>
      <c r="L32" s="16">
        <v>28800</v>
      </c>
      <c r="M32" s="16">
        <f t="shared" si="4"/>
        <v>160000</v>
      </c>
      <c r="N32" s="17">
        <f t="shared" si="0"/>
        <v>93</v>
      </c>
      <c r="O32" s="18">
        <v>9</v>
      </c>
      <c r="P32" s="19">
        <f t="shared" si="5"/>
        <v>8.7452054794520553</v>
      </c>
      <c r="Q32" s="22">
        <f t="shared" si="6"/>
        <v>4530</v>
      </c>
      <c r="R32" s="22">
        <f t="shared" si="8"/>
        <v>155470</v>
      </c>
      <c r="S32" s="21">
        <f t="shared" si="2"/>
        <v>0</v>
      </c>
      <c r="T32" s="21">
        <f t="shared" si="3"/>
        <v>160000</v>
      </c>
    </row>
    <row r="33" spans="1:20" ht="14.65">
      <c r="A33" s="13">
        <f t="shared" si="7"/>
        <v>30</v>
      </c>
      <c r="B33" s="14" t="s">
        <v>578</v>
      </c>
      <c r="C33" s="14" t="s">
        <v>963</v>
      </c>
      <c r="D33" s="24" t="s">
        <v>964</v>
      </c>
      <c r="E33" s="25">
        <v>44357</v>
      </c>
      <c r="F33" s="25">
        <v>44357</v>
      </c>
      <c r="G33" s="14" t="s">
        <v>965</v>
      </c>
      <c r="H33" s="25">
        <v>44357</v>
      </c>
      <c r="I33" s="16">
        <v>2242000</v>
      </c>
      <c r="J33" s="16"/>
      <c r="K33" s="16"/>
      <c r="L33" s="16">
        <v>342000</v>
      </c>
      <c r="M33" s="16">
        <f t="shared" si="4"/>
        <v>1900000</v>
      </c>
      <c r="N33" s="17">
        <f t="shared" si="0"/>
        <v>294</v>
      </c>
      <c r="O33" s="18">
        <v>9</v>
      </c>
      <c r="P33" s="19">
        <f t="shared" si="5"/>
        <v>8.1945205479452063</v>
      </c>
      <c r="Q33" s="22">
        <f t="shared" si="6"/>
        <v>170046</v>
      </c>
      <c r="R33" s="22">
        <f t="shared" si="8"/>
        <v>1729954</v>
      </c>
      <c r="S33" s="21">
        <f t="shared" si="2"/>
        <v>1900000</v>
      </c>
      <c r="T33" s="21">
        <f t="shared" si="3"/>
        <v>0</v>
      </c>
    </row>
    <row r="34" spans="1:20" ht="14.65">
      <c r="A34" s="13">
        <f t="shared" si="7"/>
        <v>31</v>
      </c>
      <c r="B34" s="14" t="s">
        <v>966</v>
      </c>
      <c r="C34" s="14" t="s">
        <v>963</v>
      </c>
      <c r="D34" s="24" t="s">
        <v>967</v>
      </c>
      <c r="E34" s="25">
        <v>44357</v>
      </c>
      <c r="F34" s="25">
        <v>44357</v>
      </c>
      <c r="G34" s="14" t="s">
        <v>965</v>
      </c>
      <c r="H34" s="25">
        <v>44357</v>
      </c>
      <c r="I34" s="16">
        <v>4721180</v>
      </c>
      <c r="J34" s="16"/>
      <c r="K34" s="16"/>
      <c r="L34" s="16">
        <v>720180</v>
      </c>
      <c r="M34" s="16">
        <f t="shared" si="4"/>
        <v>4001000</v>
      </c>
      <c r="N34" s="17">
        <f t="shared" si="0"/>
        <v>294</v>
      </c>
      <c r="O34" s="18">
        <v>9</v>
      </c>
      <c r="P34" s="19">
        <f t="shared" si="5"/>
        <v>8.1945205479452063</v>
      </c>
      <c r="Q34" s="22">
        <f t="shared" si="6"/>
        <v>358080</v>
      </c>
      <c r="R34" s="22">
        <f t="shared" si="8"/>
        <v>3642920</v>
      </c>
      <c r="S34" s="21">
        <f t="shared" si="2"/>
        <v>4001000</v>
      </c>
      <c r="T34" s="21">
        <f t="shared" si="3"/>
        <v>0</v>
      </c>
    </row>
    <row r="35" spans="1:20" ht="14.65">
      <c r="A35" s="13">
        <f t="shared" si="7"/>
        <v>32</v>
      </c>
      <c r="B35" s="14" t="s">
        <v>966</v>
      </c>
      <c r="C35" s="14" t="s">
        <v>963</v>
      </c>
      <c r="D35" s="24">
        <v>405</v>
      </c>
      <c r="E35" s="23">
        <v>44394</v>
      </c>
      <c r="F35" s="23">
        <v>44394</v>
      </c>
      <c r="G35" s="14" t="s">
        <v>968</v>
      </c>
      <c r="H35" s="23">
        <v>44394</v>
      </c>
      <c r="I35" s="16">
        <v>88500</v>
      </c>
      <c r="J35" s="16"/>
      <c r="K35" s="16"/>
      <c r="L35" s="16">
        <v>13500</v>
      </c>
      <c r="M35" s="16">
        <f t="shared" si="4"/>
        <v>75000</v>
      </c>
      <c r="N35" s="17">
        <f t="shared" si="0"/>
        <v>257</v>
      </c>
      <c r="O35" s="18">
        <v>9</v>
      </c>
      <c r="P35" s="19">
        <f t="shared" si="5"/>
        <v>8.2958904109589042</v>
      </c>
      <c r="Q35" s="22">
        <f t="shared" si="6"/>
        <v>5868</v>
      </c>
      <c r="R35" s="22">
        <f t="shared" si="8"/>
        <v>69132</v>
      </c>
      <c r="S35" s="21">
        <f t="shared" si="2"/>
        <v>75000</v>
      </c>
      <c r="T35" s="21">
        <f t="shared" si="3"/>
        <v>0</v>
      </c>
    </row>
    <row r="36" spans="1:20" ht="14.65">
      <c r="A36" s="13">
        <f t="shared" si="7"/>
        <v>33</v>
      </c>
      <c r="B36" s="14" t="s">
        <v>966</v>
      </c>
      <c r="C36" s="14" t="s">
        <v>963</v>
      </c>
      <c r="D36" s="24" t="s">
        <v>969</v>
      </c>
      <c r="E36" s="25">
        <v>44412</v>
      </c>
      <c r="F36" s="25">
        <v>44412</v>
      </c>
      <c r="G36" s="14" t="s">
        <v>965</v>
      </c>
      <c r="H36" s="25">
        <v>44412</v>
      </c>
      <c r="I36" s="16">
        <v>47200</v>
      </c>
      <c r="J36" s="16"/>
      <c r="K36" s="16"/>
      <c r="L36" s="16">
        <v>7200</v>
      </c>
      <c r="M36" s="16">
        <f t="shared" si="4"/>
        <v>40000</v>
      </c>
      <c r="N36" s="17">
        <f t="shared" si="0"/>
        <v>239</v>
      </c>
      <c r="O36" s="18">
        <v>9</v>
      </c>
      <c r="P36" s="19">
        <f t="shared" si="5"/>
        <v>8.3452054794520549</v>
      </c>
      <c r="Q36" s="22">
        <f t="shared" si="6"/>
        <v>2910</v>
      </c>
      <c r="R36" s="22">
        <f t="shared" si="8"/>
        <v>37090</v>
      </c>
      <c r="S36" s="21">
        <f t="shared" si="2"/>
        <v>40000</v>
      </c>
      <c r="T36" s="21">
        <f t="shared" si="3"/>
        <v>0</v>
      </c>
    </row>
    <row r="37" spans="1:20" ht="14.65">
      <c r="A37" s="13">
        <f t="shared" si="7"/>
        <v>34</v>
      </c>
      <c r="B37" s="14" t="s">
        <v>970</v>
      </c>
      <c r="C37" s="14" t="s">
        <v>963</v>
      </c>
      <c r="D37" s="24" t="s">
        <v>971</v>
      </c>
      <c r="E37" s="25">
        <v>44519</v>
      </c>
      <c r="F37" s="25">
        <v>44519</v>
      </c>
      <c r="G37" s="14" t="s">
        <v>764</v>
      </c>
      <c r="H37" s="25">
        <v>44519</v>
      </c>
      <c r="I37" s="16">
        <v>619500</v>
      </c>
      <c r="J37" s="16"/>
      <c r="K37" s="16"/>
      <c r="L37" s="16">
        <v>94500</v>
      </c>
      <c r="M37" s="16">
        <f t="shared" si="4"/>
        <v>525000</v>
      </c>
      <c r="N37" s="17">
        <f t="shared" si="0"/>
        <v>132</v>
      </c>
      <c r="O37" s="18">
        <v>9</v>
      </c>
      <c r="P37" s="19">
        <f t="shared" si="5"/>
        <v>8.6383561643835609</v>
      </c>
      <c r="Q37" s="22">
        <f t="shared" si="6"/>
        <v>21096</v>
      </c>
      <c r="R37" s="22">
        <f t="shared" si="8"/>
        <v>503904</v>
      </c>
      <c r="S37" s="21">
        <f t="shared" si="2"/>
        <v>0</v>
      </c>
      <c r="T37" s="21">
        <f t="shared" si="3"/>
        <v>525000</v>
      </c>
    </row>
    <row r="38" spans="1:20" ht="14.65">
      <c r="A38" s="13">
        <f t="shared" si="7"/>
        <v>35</v>
      </c>
      <c r="B38" s="14" t="s">
        <v>972</v>
      </c>
      <c r="C38" s="14" t="s">
        <v>963</v>
      </c>
      <c r="D38" s="24" t="s">
        <v>973</v>
      </c>
      <c r="E38" s="25">
        <v>44513</v>
      </c>
      <c r="F38" s="25">
        <v>44513</v>
      </c>
      <c r="G38" s="14" t="s">
        <v>170</v>
      </c>
      <c r="H38" s="25">
        <v>44513</v>
      </c>
      <c r="I38" s="16">
        <v>5062500</v>
      </c>
      <c r="J38" s="16">
        <v>0</v>
      </c>
      <c r="K38" s="16"/>
      <c r="L38" s="16">
        <v>787500</v>
      </c>
      <c r="M38" s="16">
        <f>I38+J38-K38-L38</f>
        <v>4275000</v>
      </c>
      <c r="N38" s="17">
        <f>$N$1-H38</f>
        <v>138</v>
      </c>
      <c r="O38" s="18">
        <v>9</v>
      </c>
      <c r="P38" s="19">
        <f>+O38-(N38/365)</f>
        <v>8.6219178082191785</v>
      </c>
      <c r="Q38" s="22">
        <f>ROUND(+M38/(O38*365)*N38,0)</f>
        <v>179589</v>
      </c>
      <c r="R38" s="22">
        <f t="shared" si="8"/>
        <v>4095411</v>
      </c>
      <c r="S38" s="21">
        <f t="shared" si="2"/>
        <v>0</v>
      </c>
      <c r="T38" s="21">
        <f t="shared" si="3"/>
        <v>4275000</v>
      </c>
    </row>
    <row r="39" spans="1:20" ht="14.65">
      <c r="A39" s="13">
        <f t="shared" si="7"/>
        <v>36</v>
      </c>
      <c r="B39" s="14" t="s">
        <v>974</v>
      </c>
      <c r="C39" s="14" t="s">
        <v>963</v>
      </c>
      <c r="D39" s="24">
        <v>21220035</v>
      </c>
      <c r="E39" s="23">
        <v>44384</v>
      </c>
      <c r="F39" s="23">
        <v>44384</v>
      </c>
      <c r="G39" s="14" t="s">
        <v>975</v>
      </c>
      <c r="H39" s="23">
        <v>44384</v>
      </c>
      <c r="I39" s="16">
        <v>1003000</v>
      </c>
      <c r="J39" s="16"/>
      <c r="K39" s="16"/>
      <c r="L39" s="16">
        <v>153000</v>
      </c>
      <c r="M39" s="16">
        <f>I39+J39-K39-L39</f>
        <v>850000</v>
      </c>
      <c r="N39" s="17">
        <f>$N$1-H39</f>
        <v>267</v>
      </c>
      <c r="O39" s="18">
        <v>9</v>
      </c>
      <c r="P39" s="19">
        <f>+O39-(N39/365)</f>
        <v>8.2684931506849324</v>
      </c>
      <c r="Q39" s="22">
        <f>ROUND(+M39/(O39*365)*N39,0)</f>
        <v>69087</v>
      </c>
      <c r="R39" s="22">
        <f t="shared" si="8"/>
        <v>780913</v>
      </c>
      <c r="S39" s="21">
        <f t="shared" si="2"/>
        <v>850000</v>
      </c>
      <c r="T39" s="21">
        <f t="shared" si="3"/>
        <v>0</v>
      </c>
    </row>
    <row r="40" spans="1:20" ht="14.65">
      <c r="A40" s="13">
        <f t="shared" si="7"/>
        <v>37</v>
      </c>
      <c r="B40" s="14" t="s">
        <v>976</v>
      </c>
      <c r="C40" s="14" t="s">
        <v>963</v>
      </c>
      <c r="D40" s="24">
        <v>3106</v>
      </c>
      <c r="E40" s="23">
        <v>44615</v>
      </c>
      <c r="F40" s="23">
        <v>44620</v>
      </c>
      <c r="G40" s="14" t="s">
        <v>977</v>
      </c>
      <c r="H40" s="23">
        <v>44620</v>
      </c>
      <c r="I40" s="16">
        <v>184080</v>
      </c>
      <c r="J40" s="16"/>
      <c r="K40" s="16"/>
      <c r="L40" s="16">
        <v>28080</v>
      </c>
      <c r="M40" s="16">
        <f>I40+J40-K40-L40</f>
        <v>156000</v>
      </c>
      <c r="N40" s="17">
        <f>$N$1-H40</f>
        <v>31</v>
      </c>
      <c r="O40" s="18">
        <v>9</v>
      </c>
      <c r="P40" s="19">
        <f>+O40-(N40/365)</f>
        <v>8.9150684931506845</v>
      </c>
      <c r="Q40" s="22">
        <f>ROUND(+M40/(O40*365)*N40,0)</f>
        <v>1472</v>
      </c>
      <c r="R40" s="22">
        <f t="shared" si="8"/>
        <v>154528</v>
      </c>
      <c r="S40" s="21">
        <f t="shared" si="2"/>
        <v>0</v>
      </c>
      <c r="T40" s="21">
        <f t="shared" si="3"/>
        <v>156000</v>
      </c>
    </row>
    <row r="41" spans="1:20" ht="14.65">
      <c r="A41" s="13">
        <f t="shared" si="7"/>
        <v>38</v>
      </c>
      <c r="B41" s="14" t="s">
        <v>978</v>
      </c>
      <c r="C41" s="14" t="s">
        <v>979</v>
      </c>
      <c r="D41" s="24">
        <v>833039596</v>
      </c>
      <c r="E41" s="23" t="s">
        <v>980</v>
      </c>
      <c r="F41" s="23" t="s">
        <v>980</v>
      </c>
      <c r="G41" s="14" t="s">
        <v>981</v>
      </c>
      <c r="H41" s="23">
        <v>44644</v>
      </c>
      <c r="I41" s="16">
        <v>12744000</v>
      </c>
      <c r="J41" s="16"/>
      <c r="K41" s="16"/>
      <c r="L41" s="16">
        <v>1944000</v>
      </c>
      <c r="M41" s="16">
        <f>I41+J41-K41-L41</f>
        <v>10800000</v>
      </c>
      <c r="N41" s="17">
        <f>$N$1-H41</f>
        <v>7</v>
      </c>
      <c r="O41" s="18">
        <v>9</v>
      </c>
      <c r="P41" s="19">
        <f>+O41-(N41/365)</f>
        <v>8.9808219178082194</v>
      </c>
      <c r="Q41" s="22">
        <f>ROUND(+M41/(O41*365)*N41,0)</f>
        <v>23014</v>
      </c>
      <c r="R41" s="22">
        <f t="shared" si="8"/>
        <v>10776986</v>
      </c>
      <c r="S41" s="21">
        <f t="shared" si="2"/>
        <v>0</v>
      </c>
      <c r="T41" s="21">
        <f t="shared" si="3"/>
        <v>10800000</v>
      </c>
    </row>
    <row r="42" spans="1:20" ht="14.65">
      <c r="A42" s="13">
        <f t="shared" si="7"/>
        <v>39</v>
      </c>
      <c r="B42" s="14" t="s">
        <v>982</v>
      </c>
      <c r="C42" s="26" t="s">
        <v>19</v>
      </c>
      <c r="D42" s="14">
        <v>1012119479</v>
      </c>
      <c r="E42" s="15">
        <v>44574</v>
      </c>
      <c r="F42" s="15">
        <v>44581</v>
      </c>
      <c r="G42" s="14" t="s">
        <v>775</v>
      </c>
      <c r="H42" s="15">
        <v>44581</v>
      </c>
      <c r="I42" s="16">
        <v>7080000</v>
      </c>
      <c r="J42" s="16"/>
      <c r="K42" s="16"/>
      <c r="L42" s="16">
        <v>1080000</v>
      </c>
      <c r="M42" s="16">
        <f t="shared" si="4"/>
        <v>6000000</v>
      </c>
      <c r="N42" s="17">
        <f t="shared" si="0"/>
        <v>70</v>
      </c>
      <c r="O42" s="18">
        <v>9</v>
      </c>
      <c r="P42" s="19">
        <f t="shared" si="5"/>
        <v>8.8082191780821919</v>
      </c>
      <c r="Q42" s="22">
        <f t="shared" si="6"/>
        <v>127854</v>
      </c>
      <c r="R42" s="22">
        <f t="shared" si="8"/>
        <v>5872146</v>
      </c>
      <c r="S42" s="21">
        <f t="shared" si="2"/>
        <v>0</v>
      </c>
      <c r="T42" s="21">
        <f t="shared" si="3"/>
        <v>6000000</v>
      </c>
    </row>
    <row r="43" spans="1:20" ht="14.65">
      <c r="A43" s="13">
        <f t="shared" si="7"/>
        <v>40</v>
      </c>
      <c r="B43" s="14" t="s">
        <v>983</v>
      </c>
      <c r="C43" s="26" t="s">
        <v>19</v>
      </c>
      <c r="D43" s="14">
        <v>211</v>
      </c>
      <c r="E43" s="23">
        <v>44324</v>
      </c>
      <c r="F43" s="23">
        <v>44324</v>
      </c>
      <c r="G43" s="14" t="s">
        <v>984</v>
      </c>
      <c r="H43" s="23">
        <v>44324</v>
      </c>
      <c r="I43" s="16">
        <v>47301</v>
      </c>
      <c r="J43" s="16"/>
      <c r="K43" s="16"/>
      <c r="L43" s="16">
        <v>7216</v>
      </c>
      <c r="M43" s="16">
        <f t="shared" si="4"/>
        <v>40085</v>
      </c>
      <c r="N43" s="17">
        <f t="shared" si="0"/>
        <v>327</v>
      </c>
      <c r="O43" s="18">
        <v>9</v>
      </c>
      <c r="P43" s="19">
        <f t="shared" si="5"/>
        <v>8.1041095890410961</v>
      </c>
      <c r="Q43" s="22">
        <f t="shared" si="6"/>
        <v>3990</v>
      </c>
      <c r="R43" s="22">
        <f t="shared" si="8"/>
        <v>36095</v>
      </c>
      <c r="S43" s="21">
        <f t="shared" si="2"/>
        <v>40085</v>
      </c>
      <c r="T43" s="21">
        <f t="shared" si="3"/>
        <v>0</v>
      </c>
    </row>
    <row r="44" spans="1:20" ht="14.65">
      <c r="A44" s="13">
        <f t="shared" si="7"/>
        <v>41</v>
      </c>
      <c r="B44" s="14" t="s">
        <v>983</v>
      </c>
      <c r="C44" s="26" t="s">
        <v>19</v>
      </c>
      <c r="D44" s="14">
        <v>210</v>
      </c>
      <c r="E44" s="23">
        <v>44323</v>
      </c>
      <c r="F44" s="23">
        <v>44323</v>
      </c>
      <c r="G44" s="14" t="s">
        <v>984</v>
      </c>
      <c r="H44" s="23">
        <v>44323</v>
      </c>
      <c r="I44" s="16">
        <v>47301</v>
      </c>
      <c r="J44" s="16"/>
      <c r="K44" s="16"/>
      <c r="L44" s="16">
        <v>7216</v>
      </c>
      <c r="M44" s="16">
        <f t="shared" si="4"/>
        <v>40085</v>
      </c>
      <c r="N44" s="17">
        <f t="shared" si="0"/>
        <v>328</v>
      </c>
      <c r="O44" s="18">
        <v>9</v>
      </c>
      <c r="P44" s="19">
        <f t="shared" si="5"/>
        <v>8.1013698630136979</v>
      </c>
      <c r="Q44" s="22">
        <f t="shared" si="6"/>
        <v>4002</v>
      </c>
      <c r="R44" s="22">
        <f t="shared" si="8"/>
        <v>36083</v>
      </c>
      <c r="S44" s="21">
        <f t="shared" si="2"/>
        <v>40085</v>
      </c>
      <c r="T44" s="21">
        <f t="shared" si="3"/>
        <v>0</v>
      </c>
    </row>
    <row r="45" spans="1:20" ht="14.65">
      <c r="A45" s="13">
        <f t="shared" si="7"/>
        <v>42</v>
      </c>
      <c r="B45" s="14" t="s">
        <v>985</v>
      </c>
      <c r="C45" s="26" t="s">
        <v>19</v>
      </c>
      <c r="D45" s="14" t="s">
        <v>986</v>
      </c>
      <c r="E45" s="23">
        <v>44623</v>
      </c>
      <c r="F45" s="23">
        <v>44623</v>
      </c>
      <c r="G45" s="14" t="s">
        <v>987</v>
      </c>
      <c r="H45" s="23">
        <v>44623</v>
      </c>
      <c r="I45" s="16">
        <v>18300</v>
      </c>
      <c r="J45" s="16"/>
      <c r="K45" s="16"/>
      <c r="L45" s="16">
        <v>2792</v>
      </c>
      <c r="M45" s="16">
        <f t="shared" si="4"/>
        <v>15508</v>
      </c>
      <c r="N45" s="17">
        <f t="shared" si="0"/>
        <v>28</v>
      </c>
      <c r="O45" s="18">
        <v>9</v>
      </c>
      <c r="P45" s="19">
        <f t="shared" si="5"/>
        <v>8.9232876712328775</v>
      </c>
      <c r="Q45" s="22">
        <f t="shared" si="6"/>
        <v>132</v>
      </c>
      <c r="R45" s="22">
        <f t="shared" si="8"/>
        <v>15376</v>
      </c>
      <c r="S45" s="21">
        <f t="shared" si="2"/>
        <v>0</v>
      </c>
      <c r="T45" s="21">
        <f t="shared" si="3"/>
        <v>15508</v>
      </c>
    </row>
    <row r="46" spans="1:20" ht="15">
      <c r="A46" s="13">
        <f t="shared" si="7"/>
        <v>43</v>
      </c>
      <c r="B46" s="14" t="s">
        <v>982</v>
      </c>
      <c r="C46" s="167" t="s">
        <v>988</v>
      </c>
      <c r="D46" s="14">
        <v>1010211458</v>
      </c>
      <c r="E46" s="23">
        <v>44434</v>
      </c>
      <c r="F46" s="23">
        <v>44434</v>
      </c>
      <c r="G46" s="14" t="s">
        <v>989</v>
      </c>
      <c r="H46" s="23">
        <v>44434</v>
      </c>
      <c r="I46" s="16">
        <v>8260000</v>
      </c>
      <c r="J46" s="16"/>
      <c r="K46" s="16"/>
      <c r="L46" s="16">
        <v>1260000</v>
      </c>
      <c r="M46" s="16">
        <f t="shared" si="4"/>
        <v>7000000</v>
      </c>
      <c r="N46" s="17">
        <f t="shared" si="0"/>
        <v>217</v>
      </c>
      <c r="O46" s="18">
        <v>9</v>
      </c>
      <c r="P46" s="19">
        <f t="shared" si="5"/>
        <v>8.4054794520547951</v>
      </c>
      <c r="Q46" s="22">
        <f t="shared" si="6"/>
        <v>462405</v>
      </c>
      <c r="R46" s="22">
        <f t="shared" si="8"/>
        <v>6537595</v>
      </c>
      <c r="S46" s="21">
        <f t="shared" si="2"/>
        <v>7000000</v>
      </c>
      <c r="T46" s="21">
        <f t="shared" si="3"/>
        <v>0</v>
      </c>
    </row>
    <row r="47" spans="1:20" ht="14.65">
      <c r="A47" s="13">
        <f t="shared" si="7"/>
        <v>44</v>
      </c>
      <c r="B47" s="14" t="s">
        <v>983</v>
      </c>
      <c r="C47" s="14" t="s">
        <v>20</v>
      </c>
      <c r="D47" s="24">
        <v>192</v>
      </c>
      <c r="E47" s="25">
        <v>44560</v>
      </c>
      <c r="F47" s="25">
        <v>44560</v>
      </c>
      <c r="G47" s="14" t="s">
        <v>990</v>
      </c>
      <c r="H47" s="25">
        <v>44560</v>
      </c>
      <c r="I47" s="16">
        <v>143299</v>
      </c>
      <c r="J47" s="16"/>
      <c r="K47" s="16"/>
      <c r="L47" s="16">
        <v>21860</v>
      </c>
      <c r="M47" s="16">
        <f t="shared" si="4"/>
        <v>121439</v>
      </c>
      <c r="N47" s="17">
        <f t="shared" si="0"/>
        <v>91</v>
      </c>
      <c r="O47" s="18">
        <v>9</v>
      </c>
      <c r="P47" s="19">
        <f t="shared" si="5"/>
        <v>8.75068493150685</v>
      </c>
      <c r="Q47" s="22">
        <f t="shared" si="6"/>
        <v>3364</v>
      </c>
      <c r="R47" s="22">
        <f t="shared" si="8"/>
        <v>118075</v>
      </c>
      <c r="S47" s="21">
        <f t="shared" si="2"/>
        <v>0</v>
      </c>
      <c r="T47" s="21">
        <f t="shared" si="3"/>
        <v>121439</v>
      </c>
    </row>
    <row r="48" spans="1:20" ht="14.65">
      <c r="A48" s="13">
        <f t="shared" si="7"/>
        <v>45</v>
      </c>
      <c r="B48" s="14" t="s">
        <v>983</v>
      </c>
      <c r="C48" s="14" t="s">
        <v>20</v>
      </c>
      <c r="D48" s="24">
        <v>2836</v>
      </c>
      <c r="E48" s="25">
        <v>44592</v>
      </c>
      <c r="F48" s="25">
        <v>44592</v>
      </c>
      <c r="G48" s="14" t="s">
        <v>977</v>
      </c>
      <c r="H48" s="25">
        <v>44592</v>
      </c>
      <c r="I48" s="16">
        <v>368161</v>
      </c>
      <c r="J48" s="16"/>
      <c r="K48" s="16"/>
      <c r="L48" s="16">
        <v>56160</v>
      </c>
      <c r="M48" s="16">
        <f t="shared" si="4"/>
        <v>312001</v>
      </c>
      <c r="N48" s="17">
        <f t="shared" si="0"/>
        <v>59</v>
      </c>
      <c r="O48" s="18">
        <v>9</v>
      </c>
      <c r="P48" s="19">
        <f t="shared" si="5"/>
        <v>8.838356164383562</v>
      </c>
      <c r="Q48" s="22">
        <f t="shared" si="6"/>
        <v>5604</v>
      </c>
      <c r="R48" s="22">
        <f t="shared" si="8"/>
        <v>306397</v>
      </c>
      <c r="S48" s="21">
        <f t="shared" si="2"/>
        <v>0</v>
      </c>
      <c r="T48" s="21">
        <f t="shared" si="3"/>
        <v>312001</v>
      </c>
    </row>
    <row r="49" spans="1:20" ht="14.65">
      <c r="A49" s="13">
        <f t="shared" si="7"/>
        <v>46</v>
      </c>
      <c r="B49" s="14" t="s">
        <v>983</v>
      </c>
      <c r="C49" s="14" t="s">
        <v>20</v>
      </c>
      <c r="D49" s="24">
        <v>200</v>
      </c>
      <c r="E49" s="25">
        <v>44616</v>
      </c>
      <c r="F49" s="25">
        <v>44616</v>
      </c>
      <c r="G49" s="14" t="s">
        <v>977</v>
      </c>
      <c r="H49" s="25">
        <v>44616</v>
      </c>
      <c r="I49" s="16">
        <v>95532</v>
      </c>
      <c r="J49" s="16"/>
      <c r="K49" s="16"/>
      <c r="L49" s="16">
        <v>14572</v>
      </c>
      <c r="M49" s="16">
        <f t="shared" si="4"/>
        <v>80960</v>
      </c>
      <c r="N49" s="17">
        <f t="shared" si="0"/>
        <v>35</v>
      </c>
      <c r="O49" s="18">
        <v>9</v>
      </c>
      <c r="P49" s="19">
        <f t="shared" si="5"/>
        <v>8.9041095890410951</v>
      </c>
      <c r="Q49" s="22">
        <f t="shared" si="6"/>
        <v>863</v>
      </c>
      <c r="R49" s="22">
        <f t="shared" si="8"/>
        <v>80097</v>
      </c>
      <c r="S49" s="21">
        <f t="shared" si="2"/>
        <v>0</v>
      </c>
      <c r="T49" s="21">
        <f t="shared" si="3"/>
        <v>80960</v>
      </c>
    </row>
    <row r="50" spans="1:20" ht="14.65">
      <c r="A50" s="13">
        <f t="shared" si="7"/>
        <v>47</v>
      </c>
      <c r="B50" s="14" t="s">
        <v>307</v>
      </c>
      <c r="C50" s="26" t="s">
        <v>20</v>
      </c>
      <c r="D50" s="14">
        <v>1210000210</v>
      </c>
      <c r="E50" s="23">
        <v>44568</v>
      </c>
      <c r="F50" s="23">
        <v>44613</v>
      </c>
      <c r="G50" s="14" t="s">
        <v>775</v>
      </c>
      <c r="H50" s="23">
        <v>44613</v>
      </c>
      <c r="I50" s="16">
        <v>36580000</v>
      </c>
      <c r="J50" s="16"/>
      <c r="K50" s="16"/>
      <c r="L50" s="16">
        <v>5580000</v>
      </c>
      <c r="M50" s="16">
        <f t="shared" si="4"/>
        <v>31000000</v>
      </c>
      <c r="N50" s="17">
        <f t="shared" si="0"/>
        <v>38</v>
      </c>
      <c r="O50" s="18">
        <v>9</v>
      </c>
      <c r="P50" s="19">
        <f t="shared" si="5"/>
        <v>8.8958904109589039</v>
      </c>
      <c r="Q50" s="22">
        <f t="shared" si="6"/>
        <v>358600</v>
      </c>
      <c r="R50" s="22">
        <f t="shared" si="8"/>
        <v>30641400</v>
      </c>
      <c r="S50" s="21">
        <f t="shared" si="2"/>
        <v>0</v>
      </c>
      <c r="T50" s="21">
        <f t="shared" si="3"/>
        <v>31000000</v>
      </c>
    </row>
    <row r="51" spans="1:20" ht="14.65">
      <c r="A51" s="13">
        <f t="shared" si="7"/>
        <v>48</v>
      </c>
      <c r="B51" s="14" t="s">
        <v>583</v>
      </c>
      <c r="C51" s="26" t="s">
        <v>21</v>
      </c>
      <c r="D51" s="24" t="s">
        <v>991</v>
      </c>
      <c r="E51" s="23">
        <v>44504</v>
      </c>
      <c r="F51" s="23">
        <v>44504</v>
      </c>
      <c r="G51" s="14" t="s">
        <v>992</v>
      </c>
      <c r="H51" s="23">
        <v>44504</v>
      </c>
      <c r="I51" s="16">
        <v>1099999.96</v>
      </c>
      <c r="J51" s="16"/>
      <c r="K51" s="16"/>
      <c r="L51" s="16">
        <v>117857</v>
      </c>
      <c r="M51" s="16">
        <f t="shared" si="4"/>
        <v>982142.96</v>
      </c>
      <c r="N51" s="17">
        <f t="shared" si="0"/>
        <v>147</v>
      </c>
      <c r="O51" s="18">
        <v>9</v>
      </c>
      <c r="P51" s="19">
        <f t="shared" si="5"/>
        <v>8.5972602739726032</v>
      </c>
      <c r="Q51" s="22">
        <f t="shared" si="6"/>
        <v>43950</v>
      </c>
      <c r="R51" s="22">
        <f t="shared" si="8"/>
        <v>938192.96</v>
      </c>
      <c r="S51" s="21">
        <f t="shared" si="2"/>
        <v>0</v>
      </c>
      <c r="T51" s="21">
        <f t="shared" si="3"/>
        <v>982142.96</v>
      </c>
    </row>
    <row r="52" spans="1:20" ht="14.65">
      <c r="A52" s="13">
        <f t="shared" si="7"/>
        <v>49</v>
      </c>
      <c r="B52" s="14" t="s">
        <v>583</v>
      </c>
      <c r="C52" s="26" t="s">
        <v>21</v>
      </c>
      <c r="D52" s="24" t="s">
        <v>993</v>
      </c>
      <c r="E52" s="23">
        <v>44504</v>
      </c>
      <c r="F52" s="23">
        <v>44504</v>
      </c>
      <c r="G52" s="14" t="s">
        <v>992</v>
      </c>
      <c r="H52" s="23">
        <v>44504</v>
      </c>
      <c r="I52" s="16">
        <v>1099999.96</v>
      </c>
      <c r="J52" s="16"/>
      <c r="K52" s="16"/>
      <c r="L52" s="16">
        <v>117857</v>
      </c>
      <c r="M52" s="16">
        <f t="shared" si="4"/>
        <v>982142.96</v>
      </c>
      <c r="N52" s="17">
        <f t="shared" si="0"/>
        <v>147</v>
      </c>
      <c r="O52" s="18">
        <v>9</v>
      </c>
      <c r="P52" s="19">
        <f t="shared" si="5"/>
        <v>8.5972602739726032</v>
      </c>
      <c r="Q52" s="22">
        <f t="shared" si="6"/>
        <v>43950</v>
      </c>
      <c r="R52" s="22">
        <f t="shared" si="8"/>
        <v>938192.96</v>
      </c>
      <c r="S52" s="21">
        <f t="shared" si="2"/>
        <v>0</v>
      </c>
      <c r="T52" s="21">
        <f t="shared" si="3"/>
        <v>982142.96</v>
      </c>
    </row>
    <row r="53" spans="1:20" ht="14.65">
      <c r="A53" s="13">
        <f t="shared" si="7"/>
        <v>50</v>
      </c>
      <c r="B53" s="14" t="s">
        <v>982</v>
      </c>
      <c r="C53" s="26" t="s">
        <v>21</v>
      </c>
      <c r="D53" s="24" t="s">
        <v>994</v>
      </c>
      <c r="E53" s="23">
        <v>44517</v>
      </c>
      <c r="F53" s="23">
        <v>44517</v>
      </c>
      <c r="G53" s="14" t="s">
        <v>992</v>
      </c>
      <c r="H53" s="23">
        <v>44517</v>
      </c>
      <c r="I53" s="16">
        <v>135000</v>
      </c>
      <c r="J53" s="16"/>
      <c r="K53" s="16"/>
      <c r="L53" s="16">
        <v>14464</v>
      </c>
      <c r="M53" s="16">
        <f t="shared" si="4"/>
        <v>120536</v>
      </c>
      <c r="N53" s="17">
        <f t="shared" si="0"/>
        <v>134</v>
      </c>
      <c r="O53" s="18">
        <v>9</v>
      </c>
      <c r="P53" s="19">
        <f t="shared" si="5"/>
        <v>8.632876712328768</v>
      </c>
      <c r="Q53" s="22">
        <f t="shared" si="6"/>
        <v>4917</v>
      </c>
      <c r="R53" s="22">
        <f t="shared" si="8"/>
        <v>115619</v>
      </c>
      <c r="S53" s="21">
        <f t="shared" si="2"/>
        <v>0</v>
      </c>
      <c r="T53" s="21">
        <f t="shared" si="3"/>
        <v>120536</v>
      </c>
    </row>
    <row r="54" spans="1:20" ht="14.65">
      <c r="A54" s="13">
        <f t="shared" si="7"/>
        <v>51</v>
      </c>
      <c r="B54" s="14" t="s">
        <v>995</v>
      </c>
      <c r="C54" s="26" t="s">
        <v>21</v>
      </c>
      <c r="D54" s="24" t="s">
        <v>996</v>
      </c>
      <c r="E54" s="23">
        <v>44517</v>
      </c>
      <c r="F54" s="23">
        <v>44517</v>
      </c>
      <c r="G54" s="14" t="s">
        <v>992</v>
      </c>
      <c r="H54" s="23">
        <v>44517</v>
      </c>
      <c r="I54" s="16">
        <v>40000</v>
      </c>
      <c r="J54" s="16"/>
      <c r="K54" s="16"/>
      <c r="L54" s="16">
        <v>4286</v>
      </c>
      <c r="M54" s="16">
        <f t="shared" si="4"/>
        <v>35714</v>
      </c>
      <c r="N54" s="17">
        <f t="shared" si="0"/>
        <v>134</v>
      </c>
      <c r="O54" s="18">
        <v>9</v>
      </c>
      <c r="P54" s="19">
        <f t="shared" si="5"/>
        <v>8.632876712328768</v>
      </c>
      <c r="Q54" s="22">
        <f t="shared" si="6"/>
        <v>1457</v>
      </c>
      <c r="R54" s="22">
        <f t="shared" si="8"/>
        <v>34257</v>
      </c>
      <c r="S54" s="21">
        <f t="shared" si="2"/>
        <v>0</v>
      </c>
      <c r="T54" s="21">
        <f t="shared" si="3"/>
        <v>35714</v>
      </c>
    </row>
    <row r="55" spans="1:20" ht="14.65">
      <c r="A55" s="13">
        <f t="shared" si="7"/>
        <v>52</v>
      </c>
      <c r="B55" s="14" t="s">
        <v>982</v>
      </c>
      <c r="C55" s="26" t="s">
        <v>21</v>
      </c>
      <c r="D55" s="24" t="s">
        <v>997</v>
      </c>
      <c r="E55" s="23">
        <v>44517</v>
      </c>
      <c r="F55" s="23">
        <v>44517</v>
      </c>
      <c r="G55" s="14" t="s">
        <v>992</v>
      </c>
      <c r="H55" s="23">
        <v>44517</v>
      </c>
      <c r="I55" s="16">
        <v>135000</v>
      </c>
      <c r="J55" s="16"/>
      <c r="K55" s="16"/>
      <c r="L55" s="16">
        <v>14464</v>
      </c>
      <c r="M55" s="16">
        <f t="shared" si="4"/>
        <v>120536</v>
      </c>
      <c r="N55" s="17">
        <f t="shared" si="0"/>
        <v>134</v>
      </c>
      <c r="O55" s="18">
        <v>9</v>
      </c>
      <c r="P55" s="19">
        <f t="shared" si="5"/>
        <v>8.632876712328768</v>
      </c>
      <c r="Q55" s="22">
        <f t="shared" si="6"/>
        <v>4917</v>
      </c>
      <c r="R55" s="22">
        <f t="shared" si="8"/>
        <v>115619</v>
      </c>
      <c r="S55" s="21">
        <f t="shared" si="2"/>
        <v>0</v>
      </c>
      <c r="T55" s="21">
        <f t="shared" si="3"/>
        <v>120536</v>
      </c>
    </row>
    <row r="56" spans="1:20" ht="14.65">
      <c r="A56" s="13">
        <f t="shared" si="7"/>
        <v>53</v>
      </c>
      <c r="B56" s="14" t="s">
        <v>995</v>
      </c>
      <c r="C56" s="26" t="s">
        <v>21</v>
      </c>
      <c r="D56" s="24" t="s">
        <v>998</v>
      </c>
      <c r="E56" s="23">
        <v>44517</v>
      </c>
      <c r="F56" s="23">
        <v>44517</v>
      </c>
      <c r="G56" s="14" t="s">
        <v>992</v>
      </c>
      <c r="H56" s="23">
        <v>44517</v>
      </c>
      <c r="I56" s="16">
        <v>40000</v>
      </c>
      <c r="J56" s="16"/>
      <c r="K56" s="16"/>
      <c r="L56" s="16">
        <v>4286</v>
      </c>
      <c r="M56" s="16">
        <f t="shared" si="4"/>
        <v>35714</v>
      </c>
      <c r="N56" s="17">
        <f t="shared" si="0"/>
        <v>134</v>
      </c>
      <c r="O56" s="18">
        <v>9</v>
      </c>
      <c r="P56" s="19">
        <f t="shared" si="5"/>
        <v>8.632876712328768</v>
      </c>
      <c r="Q56" s="22">
        <f t="shared" si="6"/>
        <v>1457</v>
      </c>
      <c r="R56" s="22">
        <f t="shared" si="8"/>
        <v>34257</v>
      </c>
      <c r="S56" s="21">
        <f t="shared" si="2"/>
        <v>0</v>
      </c>
      <c r="T56" s="21">
        <f t="shared" si="3"/>
        <v>35714</v>
      </c>
    </row>
    <row r="57" spans="1:20" ht="14.65">
      <c r="A57" s="13">
        <f t="shared" si="7"/>
        <v>54</v>
      </c>
      <c r="B57" s="14" t="s">
        <v>972</v>
      </c>
      <c r="C57" s="26" t="s">
        <v>21</v>
      </c>
      <c r="D57" s="24" t="s">
        <v>999</v>
      </c>
      <c r="E57" s="23">
        <v>44510</v>
      </c>
      <c r="F57" s="25">
        <v>44512</v>
      </c>
      <c r="G57" s="168" t="s">
        <v>170</v>
      </c>
      <c r="H57" s="25">
        <v>44512</v>
      </c>
      <c r="I57" s="16">
        <v>5062500</v>
      </c>
      <c r="J57" s="16"/>
      <c r="K57" s="16"/>
      <c r="L57" s="16">
        <v>787500</v>
      </c>
      <c r="M57" s="16">
        <f t="shared" si="4"/>
        <v>4275000</v>
      </c>
      <c r="N57" s="17">
        <f t="shared" si="0"/>
        <v>139</v>
      </c>
      <c r="O57" s="18">
        <v>9</v>
      </c>
      <c r="P57" s="19">
        <f t="shared" si="5"/>
        <v>8.6191780821917803</v>
      </c>
      <c r="Q57" s="22">
        <f t="shared" si="6"/>
        <v>180890</v>
      </c>
      <c r="R57" s="22">
        <f t="shared" si="8"/>
        <v>4094110</v>
      </c>
      <c r="S57" s="21">
        <f t="shared" si="2"/>
        <v>0</v>
      </c>
      <c r="T57" s="21">
        <f t="shared" si="3"/>
        <v>4275000</v>
      </c>
    </row>
    <row r="58" spans="1:20" ht="14.65">
      <c r="A58" s="13">
        <f t="shared" si="7"/>
        <v>55</v>
      </c>
      <c r="B58" s="14" t="s">
        <v>972</v>
      </c>
      <c r="C58" s="26" t="s">
        <v>21</v>
      </c>
      <c r="D58" s="24" t="s">
        <v>1000</v>
      </c>
      <c r="E58" s="23">
        <v>44510</v>
      </c>
      <c r="F58" s="25">
        <v>44512</v>
      </c>
      <c r="G58" s="168" t="s">
        <v>170</v>
      </c>
      <c r="H58" s="25">
        <v>44512</v>
      </c>
      <c r="I58" s="16">
        <v>5062500</v>
      </c>
      <c r="J58" s="16"/>
      <c r="K58" s="16"/>
      <c r="L58" s="16">
        <v>787500</v>
      </c>
      <c r="M58" s="16">
        <f t="shared" si="4"/>
        <v>4275000</v>
      </c>
      <c r="N58" s="17">
        <f t="shared" si="0"/>
        <v>139</v>
      </c>
      <c r="O58" s="18">
        <v>9</v>
      </c>
      <c r="P58" s="19">
        <f t="shared" si="5"/>
        <v>8.6191780821917803</v>
      </c>
      <c r="Q58" s="22">
        <f t="shared" si="6"/>
        <v>180890</v>
      </c>
      <c r="R58" s="22">
        <f t="shared" si="8"/>
        <v>4094110</v>
      </c>
      <c r="S58" s="21">
        <f t="shared" si="2"/>
        <v>0</v>
      </c>
      <c r="T58" s="21">
        <f t="shared" si="3"/>
        <v>4275000</v>
      </c>
    </row>
    <row r="59" spans="1:20" ht="14.65">
      <c r="A59" s="13">
        <f t="shared" si="7"/>
        <v>56</v>
      </c>
      <c r="B59" s="14" t="s">
        <v>972</v>
      </c>
      <c r="C59" s="26" t="s">
        <v>21</v>
      </c>
      <c r="D59" s="24" t="s">
        <v>1001</v>
      </c>
      <c r="E59" s="23">
        <v>44510</v>
      </c>
      <c r="F59" s="25">
        <v>44512</v>
      </c>
      <c r="G59" s="168" t="s">
        <v>170</v>
      </c>
      <c r="H59" s="25">
        <v>44512</v>
      </c>
      <c r="I59" s="16">
        <v>5062500</v>
      </c>
      <c r="J59" s="16"/>
      <c r="K59" s="16"/>
      <c r="L59" s="16">
        <v>787500</v>
      </c>
      <c r="M59" s="16">
        <f t="shared" si="4"/>
        <v>4275000</v>
      </c>
      <c r="N59" s="17">
        <f t="shared" si="0"/>
        <v>139</v>
      </c>
      <c r="O59" s="18">
        <v>9</v>
      </c>
      <c r="P59" s="19">
        <f t="shared" si="5"/>
        <v>8.6191780821917803</v>
      </c>
      <c r="Q59" s="22">
        <f t="shared" si="6"/>
        <v>180890</v>
      </c>
      <c r="R59" s="22">
        <f t="shared" si="8"/>
        <v>4094110</v>
      </c>
      <c r="S59" s="21">
        <f t="shared" si="2"/>
        <v>0</v>
      </c>
      <c r="T59" s="21">
        <f t="shared" si="3"/>
        <v>4275000</v>
      </c>
    </row>
    <row r="60" spans="1:20" ht="14.65">
      <c r="A60" s="13">
        <f t="shared" si="7"/>
        <v>57</v>
      </c>
      <c r="B60" s="14" t="s">
        <v>972</v>
      </c>
      <c r="C60" s="26" t="s">
        <v>21</v>
      </c>
      <c r="D60" s="24" t="s">
        <v>1002</v>
      </c>
      <c r="E60" s="23">
        <v>44510</v>
      </c>
      <c r="F60" s="25">
        <v>44512</v>
      </c>
      <c r="G60" s="168" t="s">
        <v>170</v>
      </c>
      <c r="H60" s="25">
        <v>44512</v>
      </c>
      <c r="I60" s="16">
        <v>5062500</v>
      </c>
      <c r="J60" s="16"/>
      <c r="K60" s="16"/>
      <c r="L60" s="16">
        <v>787500</v>
      </c>
      <c r="M60" s="16">
        <f t="shared" si="4"/>
        <v>4275000</v>
      </c>
      <c r="N60" s="17">
        <f t="shared" si="0"/>
        <v>139</v>
      </c>
      <c r="O60" s="18">
        <v>9</v>
      </c>
      <c r="P60" s="19">
        <f t="shared" si="5"/>
        <v>8.6191780821917803</v>
      </c>
      <c r="Q60" s="22">
        <f t="shared" si="6"/>
        <v>180890</v>
      </c>
      <c r="R60" s="22">
        <f t="shared" si="8"/>
        <v>4094110</v>
      </c>
      <c r="S60" s="21">
        <f t="shared" si="2"/>
        <v>0</v>
      </c>
      <c r="T60" s="21">
        <f t="shared" si="3"/>
        <v>4275000</v>
      </c>
    </row>
    <row r="61" spans="1:20" ht="14.65">
      <c r="A61" s="13">
        <f t="shared" si="7"/>
        <v>58</v>
      </c>
      <c r="B61" s="14" t="s">
        <v>1003</v>
      </c>
      <c r="C61" s="26" t="s">
        <v>21</v>
      </c>
      <c r="D61" s="14">
        <v>124</v>
      </c>
      <c r="E61" s="15">
        <v>44526</v>
      </c>
      <c r="F61" s="15">
        <v>44526</v>
      </c>
      <c r="G61" s="14" t="s">
        <v>180</v>
      </c>
      <c r="H61" s="15">
        <v>44526</v>
      </c>
      <c r="I61" s="16">
        <v>599999.57000000007</v>
      </c>
      <c r="J61" s="16"/>
      <c r="K61" s="16"/>
      <c r="L61" s="16">
        <v>91525</v>
      </c>
      <c r="M61" s="16">
        <f t="shared" si="4"/>
        <v>508474.57000000007</v>
      </c>
      <c r="N61" s="17">
        <f t="shared" si="0"/>
        <v>125</v>
      </c>
      <c r="O61" s="18">
        <v>9</v>
      </c>
      <c r="P61" s="19">
        <f t="shared" si="5"/>
        <v>8.6575342465753433</v>
      </c>
      <c r="Q61" s="22">
        <f t="shared" si="6"/>
        <v>19348</v>
      </c>
      <c r="R61" s="22">
        <f t="shared" si="8"/>
        <v>489126.57000000007</v>
      </c>
      <c r="S61" s="21">
        <f t="shared" si="2"/>
        <v>0</v>
      </c>
      <c r="T61" s="21">
        <f t="shared" si="3"/>
        <v>508474.57000000007</v>
      </c>
    </row>
    <row r="62" spans="1:20" ht="14.65">
      <c r="A62" s="13">
        <f t="shared" si="7"/>
        <v>59</v>
      </c>
      <c r="B62" s="14" t="s">
        <v>1003</v>
      </c>
      <c r="C62" s="26" t="s">
        <v>21</v>
      </c>
      <c r="D62" s="14">
        <v>125</v>
      </c>
      <c r="E62" s="15">
        <v>44526</v>
      </c>
      <c r="F62" s="15">
        <v>44526</v>
      </c>
      <c r="G62" s="14" t="s">
        <v>180</v>
      </c>
      <c r="H62" s="15">
        <v>44526</v>
      </c>
      <c r="I62" s="16">
        <v>599999.57000000007</v>
      </c>
      <c r="J62" s="16"/>
      <c r="K62" s="16"/>
      <c r="L62" s="16">
        <v>91525</v>
      </c>
      <c r="M62" s="16">
        <f t="shared" si="4"/>
        <v>508474.57000000007</v>
      </c>
      <c r="N62" s="17">
        <f t="shared" si="0"/>
        <v>125</v>
      </c>
      <c r="O62" s="18">
        <v>9</v>
      </c>
      <c r="P62" s="19">
        <f t="shared" si="5"/>
        <v>8.6575342465753433</v>
      </c>
      <c r="Q62" s="22">
        <f t="shared" si="6"/>
        <v>19348</v>
      </c>
      <c r="R62" s="22">
        <f t="shared" si="8"/>
        <v>489126.57000000007</v>
      </c>
      <c r="S62" s="21">
        <f t="shared" si="2"/>
        <v>0</v>
      </c>
      <c r="T62" s="21">
        <f t="shared" si="3"/>
        <v>508474.57000000007</v>
      </c>
    </row>
    <row r="63" spans="1:20" ht="14.65">
      <c r="A63" s="13">
        <f t="shared" si="7"/>
        <v>60</v>
      </c>
      <c r="B63" s="14" t="s">
        <v>1003</v>
      </c>
      <c r="C63" s="26" t="s">
        <v>21</v>
      </c>
      <c r="D63" s="14">
        <v>137</v>
      </c>
      <c r="E63" s="15">
        <v>44543</v>
      </c>
      <c r="F63" s="15">
        <v>44543</v>
      </c>
      <c r="G63" s="14" t="s">
        <v>180</v>
      </c>
      <c r="H63" s="15">
        <v>44543</v>
      </c>
      <c r="I63" s="16">
        <v>599999.57000000007</v>
      </c>
      <c r="J63" s="16"/>
      <c r="K63" s="16"/>
      <c r="L63" s="16">
        <v>91525</v>
      </c>
      <c r="M63" s="16">
        <f t="shared" si="4"/>
        <v>508474.57000000007</v>
      </c>
      <c r="N63" s="17">
        <f t="shared" si="0"/>
        <v>108</v>
      </c>
      <c r="O63" s="18">
        <v>9</v>
      </c>
      <c r="P63" s="19">
        <f t="shared" si="5"/>
        <v>8.7041095890410958</v>
      </c>
      <c r="Q63" s="22">
        <f t="shared" si="6"/>
        <v>16717</v>
      </c>
      <c r="R63" s="22">
        <f t="shared" si="8"/>
        <v>491757.57000000007</v>
      </c>
      <c r="S63" s="21">
        <f t="shared" si="2"/>
        <v>0</v>
      </c>
      <c r="T63" s="21">
        <f t="shared" si="3"/>
        <v>508474.57000000007</v>
      </c>
    </row>
    <row r="64" spans="1:20" ht="14.65">
      <c r="A64" s="13">
        <f t="shared" si="7"/>
        <v>61</v>
      </c>
      <c r="B64" s="14" t="s">
        <v>1003</v>
      </c>
      <c r="C64" s="26" t="s">
        <v>21</v>
      </c>
      <c r="D64" s="24">
        <v>138</v>
      </c>
      <c r="E64" s="15">
        <v>44543</v>
      </c>
      <c r="F64" s="15">
        <v>44543</v>
      </c>
      <c r="G64" s="14" t="s">
        <v>180</v>
      </c>
      <c r="H64" s="15">
        <v>44543</v>
      </c>
      <c r="I64" s="16">
        <v>599999.57000000007</v>
      </c>
      <c r="J64" s="16"/>
      <c r="K64" s="16"/>
      <c r="L64" s="16">
        <v>91525</v>
      </c>
      <c r="M64" s="16">
        <f t="shared" si="4"/>
        <v>508474.57000000007</v>
      </c>
      <c r="N64" s="17">
        <f t="shared" si="0"/>
        <v>108</v>
      </c>
      <c r="O64" s="18">
        <v>9</v>
      </c>
      <c r="P64" s="19">
        <f t="shared" si="5"/>
        <v>8.7041095890410958</v>
      </c>
      <c r="Q64" s="22">
        <f t="shared" si="6"/>
        <v>16717</v>
      </c>
      <c r="R64" s="22">
        <f t="shared" si="8"/>
        <v>491757.57000000007</v>
      </c>
      <c r="S64" s="21">
        <f t="shared" si="2"/>
        <v>0</v>
      </c>
      <c r="T64" s="21">
        <f t="shared" si="3"/>
        <v>508474.57000000007</v>
      </c>
    </row>
    <row r="65" spans="1:20" ht="14.65">
      <c r="A65" s="13">
        <f t="shared" si="7"/>
        <v>62</v>
      </c>
      <c r="B65" s="14" t="s">
        <v>1004</v>
      </c>
      <c r="C65" s="26" t="s">
        <v>21</v>
      </c>
      <c r="D65" s="24">
        <v>1358</v>
      </c>
      <c r="E65" s="23">
        <v>44438</v>
      </c>
      <c r="F65" s="23">
        <v>44438</v>
      </c>
      <c r="G65" s="14" t="s">
        <v>977</v>
      </c>
      <c r="H65" s="23">
        <v>44438</v>
      </c>
      <c r="I65" s="16">
        <v>460200</v>
      </c>
      <c r="J65" s="16"/>
      <c r="K65" s="16"/>
      <c r="L65" s="16">
        <v>70200</v>
      </c>
      <c r="M65" s="16">
        <f t="shared" si="4"/>
        <v>390000</v>
      </c>
      <c r="N65" s="17">
        <f t="shared" si="0"/>
        <v>213</v>
      </c>
      <c r="O65" s="18">
        <v>9</v>
      </c>
      <c r="P65" s="19">
        <f t="shared" si="5"/>
        <v>8.4164383561643827</v>
      </c>
      <c r="Q65" s="22">
        <f t="shared" si="6"/>
        <v>25288</v>
      </c>
      <c r="R65" s="22">
        <f t="shared" si="8"/>
        <v>364712</v>
      </c>
      <c r="S65" s="21">
        <f t="shared" si="2"/>
        <v>390000</v>
      </c>
      <c r="T65" s="21">
        <f t="shared" si="3"/>
        <v>0</v>
      </c>
    </row>
    <row r="66" spans="1:20" ht="14.65">
      <c r="A66" s="13">
        <f t="shared" si="7"/>
        <v>63</v>
      </c>
      <c r="B66" s="14" t="s">
        <v>1005</v>
      </c>
      <c r="C66" s="26" t="s">
        <v>21</v>
      </c>
      <c r="D66" s="14" t="s">
        <v>1006</v>
      </c>
      <c r="E66" s="23">
        <v>44565</v>
      </c>
      <c r="F66" s="23">
        <v>44592</v>
      </c>
      <c r="G66" s="14" t="s">
        <v>407</v>
      </c>
      <c r="H66" s="23">
        <v>44592</v>
      </c>
      <c r="I66" s="16">
        <v>1370571</v>
      </c>
      <c r="J66" s="16"/>
      <c r="K66" s="16">
        <v>13570</v>
      </c>
      <c r="L66" s="16">
        <v>207000</v>
      </c>
      <c r="M66" s="16">
        <f t="shared" si="4"/>
        <v>1150001</v>
      </c>
      <c r="N66" s="17">
        <f t="shared" si="0"/>
        <v>59</v>
      </c>
      <c r="O66" s="18">
        <v>9</v>
      </c>
      <c r="P66" s="19">
        <f t="shared" si="5"/>
        <v>8.838356164383562</v>
      </c>
      <c r="Q66" s="22">
        <f t="shared" si="6"/>
        <v>20655</v>
      </c>
      <c r="R66" s="22">
        <f t="shared" si="8"/>
        <v>1129346</v>
      </c>
      <c r="S66" s="21">
        <f t="shared" si="2"/>
        <v>0</v>
      </c>
      <c r="T66" s="21">
        <f t="shared" si="3"/>
        <v>1150001</v>
      </c>
    </row>
    <row r="67" spans="1:20" ht="14.65">
      <c r="A67" s="13">
        <f t="shared" si="7"/>
        <v>64</v>
      </c>
      <c r="B67" s="14" t="s">
        <v>1007</v>
      </c>
      <c r="C67" s="26" t="s">
        <v>21</v>
      </c>
      <c r="D67" s="14">
        <v>2312</v>
      </c>
      <c r="E67" s="23">
        <v>44641</v>
      </c>
      <c r="F67" s="23">
        <v>44641</v>
      </c>
      <c r="G67" s="14" t="s">
        <v>1008</v>
      </c>
      <c r="H67" s="23">
        <v>44641</v>
      </c>
      <c r="I67" s="16">
        <v>68039</v>
      </c>
      <c r="J67" s="16"/>
      <c r="K67" s="16"/>
      <c r="L67" s="16">
        <v>10379</v>
      </c>
      <c r="M67" s="16">
        <f t="shared" si="4"/>
        <v>57660</v>
      </c>
      <c r="N67" s="17">
        <f t="shared" si="0"/>
        <v>10</v>
      </c>
      <c r="O67" s="18">
        <v>9</v>
      </c>
      <c r="P67" s="19">
        <f t="shared" si="5"/>
        <v>8.9726027397260282</v>
      </c>
      <c r="Q67" s="22">
        <f t="shared" si="6"/>
        <v>176</v>
      </c>
      <c r="R67" s="22">
        <f t="shared" si="8"/>
        <v>57484</v>
      </c>
      <c r="S67" s="21">
        <f t="shared" si="2"/>
        <v>0</v>
      </c>
      <c r="T67" s="21">
        <f t="shared" si="3"/>
        <v>57660</v>
      </c>
    </row>
    <row r="68" spans="1:20" ht="14.65">
      <c r="A68" s="13">
        <f t="shared" si="7"/>
        <v>65</v>
      </c>
      <c r="B68" s="14" t="s">
        <v>1009</v>
      </c>
      <c r="C68" s="26" t="s">
        <v>21</v>
      </c>
      <c r="D68" s="14">
        <v>2340</v>
      </c>
      <c r="E68" s="23">
        <v>44644</v>
      </c>
      <c r="F68" s="23">
        <v>44644</v>
      </c>
      <c r="G68" s="14" t="s">
        <v>1008</v>
      </c>
      <c r="H68" s="23">
        <v>44644</v>
      </c>
      <c r="I68" s="16">
        <v>15364</v>
      </c>
      <c r="J68" s="16"/>
      <c r="K68" s="16"/>
      <c r="L68" s="16">
        <v>2344</v>
      </c>
      <c r="M68" s="16">
        <f t="shared" si="4"/>
        <v>13020</v>
      </c>
      <c r="N68" s="17">
        <f t="shared" si="0"/>
        <v>7</v>
      </c>
      <c r="O68" s="18">
        <v>9</v>
      </c>
      <c r="P68" s="19">
        <f t="shared" si="5"/>
        <v>8.9808219178082194</v>
      </c>
      <c r="Q68" s="22">
        <f t="shared" si="6"/>
        <v>28</v>
      </c>
      <c r="R68" s="22">
        <f t="shared" si="8"/>
        <v>12992</v>
      </c>
      <c r="S68" s="21">
        <f t="shared" ref="S68:S132" si="9">IF(H68&lt;=DATE(2021,9,30),M68,0)</f>
        <v>0</v>
      </c>
      <c r="T68" s="21">
        <f t="shared" ref="T68:T132" si="10">IF(H68&gt;DATE(2021,9,30),M68,0)</f>
        <v>13020</v>
      </c>
    </row>
    <row r="69" spans="1:20" ht="14.65">
      <c r="A69" s="13">
        <f t="shared" si="7"/>
        <v>66</v>
      </c>
      <c r="B69" s="14" t="s">
        <v>1010</v>
      </c>
      <c r="C69" s="14" t="s">
        <v>22</v>
      </c>
      <c r="D69" s="14" t="s">
        <v>1011</v>
      </c>
      <c r="E69" s="15">
        <v>44540</v>
      </c>
      <c r="F69" s="15">
        <v>44540</v>
      </c>
      <c r="G69" s="14" t="s">
        <v>1012</v>
      </c>
      <c r="H69" s="15">
        <v>44540</v>
      </c>
      <c r="I69" s="16">
        <v>1805400</v>
      </c>
      <c r="J69" s="16"/>
      <c r="K69" s="16"/>
      <c r="L69" s="16">
        <v>275400</v>
      </c>
      <c r="M69" s="16">
        <f t="shared" si="4"/>
        <v>1530000</v>
      </c>
      <c r="N69" s="17">
        <f t="shared" si="0"/>
        <v>111</v>
      </c>
      <c r="O69" s="18">
        <v>9</v>
      </c>
      <c r="P69" s="19">
        <f t="shared" si="5"/>
        <v>8.6958904109589046</v>
      </c>
      <c r="Q69" s="22">
        <f t="shared" si="6"/>
        <v>51699</v>
      </c>
      <c r="R69" s="22">
        <f t="shared" si="8"/>
        <v>1478301</v>
      </c>
      <c r="S69" s="21">
        <f t="shared" si="9"/>
        <v>0</v>
      </c>
      <c r="T69" s="21">
        <f t="shared" si="10"/>
        <v>1530000</v>
      </c>
    </row>
    <row r="70" spans="1:20" ht="14.65">
      <c r="A70" s="13">
        <f t="shared" ref="A70:A133" si="11">+A69+1</f>
        <v>67</v>
      </c>
      <c r="B70" s="14" t="s">
        <v>1013</v>
      </c>
      <c r="C70" s="26" t="s">
        <v>22</v>
      </c>
      <c r="D70" s="14">
        <v>4577</v>
      </c>
      <c r="E70" s="15">
        <v>44631</v>
      </c>
      <c r="F70" s="15">
        <v>44651</v>
      </c>
      <c r="G70" s="14" t="s">
        <v>1014</v>
      </c>
      <c r="H70" s="15">
        <v>44651</v>
      </c>
      <c r="I70" s="16">
        <v>279955</v>
      </c>
      <c r="J70" s="16"/>
      <c r="K70" s="16"/>
      <c r="L70" s="16">
        <v>42705</v>
      </c>
      <c r="M70" s="16">
        <f t="shared" si="4"/>
        <v>237250</v>
      </c>
      <c r="N70" s="17">
        <f t="shared" si="0"/>
        <v>0</v>
      </c>
      <c r="O70" s="18">
        <v>9</v>
      </c>
      <c r="P70" s="19">
        <f t="shared" si="5"/>
        <v>9</v>
      </c>
      <c r="Q70" s="22">
        <f t="shared" si="6"/>
        <v>0</v>
      </c>
      <c r="R70" s="22">
        <f t="shared" si="8"/>
        <v>237250</v>
      </c>
      <c r="S70" s="21">
        <f t="shared" si="9"/>
        <v>0</v>
      </c>
      <c r="T70" s="21">
        <f t="shared" si="10"/>
        <v>237250</v>
      </c>
    </row>
    <row r="71" spans="1:20" ht="14.65">
      <c r="A71" s="13">
        <f t="shared" si="11"/>
        <v>68</v>
      </c>
      <c r="B71" s="14" t="s">
        <v>1015</v>
      </c>
      <c r="C71" s="14" t="s">
        <v>1016</v>
      </c>
      <c r="D71" s="14">
        <v>3144</v>
      </c>
      <c r="E71" s="15">
        <v>44618</v>
      </c>
      <c r="F71" s="15">
        <v>44620</v>
      </c>
      <c r="G71" s="14" t="s">
        <v>977</v>
      </c>
      <c r="H71" s="15">
        <v>44620</v>
      </c>
      <c r="I71" s="16">
        <v>429520</v>
      </c>
      <c r="J71" s="16"/>
      <c r="K71" s="16"/>
      <c r="L71" s="16">
        <v>65520</v>
      </c>
      <c r="M71" s="16">
        <f t="shared" si="4"/>
        <v>364000</v>
      </c>
      <c r="N71" s="17">
        <f t="shared" si="0"/>
        <v>31</v>
      </c>
      <c r="O71" s="18">
        <v>9</v>
      </c>
      <c r="P71" s="19">
        <f t="shared" si="5"/>
        <v>8.9150684931506845</v>
      </c>
      <c r="Q71" s="22">
        <f t="shared" si="6"/>
        <v>3435</v>
      </c>
      <c r="R71" s="22">
        <f t="shared" si="8"/>
        <v>360565</v>
      </c>
      <c r="S71" s="21">
        <f t="shared" si="9"/>
        <v>0</v>
      </c>
      <c r="T71" s="21">
        <f t="shared" si="10"/>
        <v>364000</v>
      </c>
    </row>
    <row r="72" spans="1:20" ht="14.65">
      <c r="A72" s="13">
        <f t="shared" si="11"/>
        <v>69</v>
      </c>
      <c r="B72" s="14" t="s">
        <v>1017</v>
      </c>
      <c r="C72" s="14" t="s">
        <v>1016</v>
      </c>
      <c r="D72" s="14">
        <v>3194</v>
      </c>
      <c r="E72" s="15">
        <v>44624</v>
      </c>
      <c r="F72" s="15">
        <v>44624</v>
      </c>
      <c r="G72" s="14" t="s">
        <v>977</v>
      </c>
      <c r="H72" s="15">
        <v>44624</v>
      </c>
      <c r="I72" s="16">
        <v>821280</v>
      </c>
      <c r="J72" s="16"/>
      <c r="K72" s="16"/>
      <c r="L72" s="16">
        <v>125280</v>
      </c>
      <c r="M72" s="16">
        <f t="shared" si="4"/>
        <v>696000</v>
      </c>
      <c r="N72" s="17">
        <f t="shared" si="0"/>
        <v>27</v>
      </c>
      <c r="O72" s="18">
        <v>9</v>
      </c>
      <c r="P72" s="19">
        <f t="shared" si="5"/>
        <v>8.9260273972602739</v>
      </c>
      <c r="Q72" s="22">
        <f t="shared" si="6"/>
        <v>5721</v>
      </c>
      <c r="R72" s="22">
        <f t="shared" si="8"/>
        <v>690279</v>
      </c>
      <c r="S72" s="21">
        <f t="shared" si="9"/>
        <v>0</v>
      </c>
      <c r="T72" s="21">
        <f t="shared" si="10"/>
        <v>696000</v>
      </c>
    </row>
    <row r="73" spans="1:20" ht="14.65">
      <c r="A73" s="13">
        <f t="shared" si="11"/>
        <v>70</v>
      </c>
      <c r="B73" s="14" t="s">
        <v>1018</v>
      </c>
      <c r="C73" s="14" t="s">
        <v>1016</v>
      </c>
      <c r="D73" s="14">
        <v>3284</v>
      </c>
      <c r="E73" s="15">
        <v>44631</v>
      </c>
      <c r="F73" s="15">
        <v>44631</v>
      </c>
      <c r="G73" s="14" t="s">
        <v>977</v>
      </c>
      <c r="H73" s="15">
        <v>44631</v>
      </c>
      <c r="I73" s="16">
        <f>180000+32400</f>
        <v>212400</v>
      </c>
      <c r="J73" s="16"/>
      <c r="K73" s="16"/>
      <c r="L73" s="16">
        <v>32400</v>
      </c>
      <c r="M73" s="16">
        <f t="shared" si="4"/>
        <v>180000</v>
      </c>
      <c r="N73" s="17">
        <f>$N$1-H73</f>
        <v>20</v>
      </c>
      <c r="O73" s="18">
        <v>9</v>
      </c>
      <c r="P73" s="19">
        <f>+O73-(N73/365)</f>
        <v>8.9452054794520546</v>
      </c>
      <c r="Q73" s="22">
        <f>ROUND(+M73/(O73*365)*N73,0)</f>
        <v>1096</v>
      </c>
      <c r="R73" s="22">
        <f t="shared" si="8"/>
        <v>178904</v>
      </c>
      <c r="S73" s="21">
        <f t="shared" si="9"/>
        <v>0</v>
      </c>
      <c r="T73" s="21">
        <f t="shared" si="10"/>
        <v>180000</v>
      </c>
    </row>
    <row r="74" spans="1:20" ht="14.65">
      <c r="A74" s="13">
        <f t="shared" si="11"/>
        <v>71</v>
      </c>
      <c r="B74" s="14" t="s">
        <v>1018</v>
      </c>
      <c r="C74" s="14" t="s">
        <v>1016</v>
      </c>
      <c r="D74" s="14">
        <v>3381</v>
      </c>
      <c r="E74" s="15">
        <v>44631</v>
      </c>
      <c r="F74" s="15">
        <v>44631</v>
      </c>
      <c r="G74" s="14" t="s">
        <v>977</v>
      </c>
      <c r="H74" s="15">
        <v>44631</v>
      </c>
      <c r="I74" s="16">
        <v>106200</v>
      </c>
      <c r="J74" s="16"/>
      <c r="K74" s="16"/>
      <c r="L74" s="16">
        <v>16200</v>
      </c>
      <c r="M74" s="16">
        <f>I74+J74-K74-L74</f>
        <v>90000</v>
      </c>
      <c r="N74" s="17">
        <f>$N$1-H74</f>
        <v>20</v>
      </c>
      <c r="O74" s="18">
        <v>9</v>
      </c>
      <c r="P74" s="19">
        <f>+O74-(N74/365)</f>
        <v>8.9452054794520546</v>
      </c>
      <c r="Q74" s="22">
        <f>ROUND(+M74/(O74*365)*N74,0)</f>
        <v>548</v>
      </c>
      <c r="R74" s="22">
        <f>+M74-Q74</f>
        <v>89452</v>
      </c>
      <c r="S74" s="21">
        <f t="shared" si="9"/>
        <v>0</v>
      </c>
      <c r="T74" s="21">
        <f t="shared" si="10"/>
        <v>90000</v>
      </c>
    </row>
    <row r="75" spans="1:20" ht="14.65">
      <c r="A75" s="13">
        <f t="shared" si="11"/>
        <v>72</v>
      </c>
      <c r="B75" s="14" t="s">
        <v>1019</v>
      </c>
      <c r="C75" s="14" t="s">
        <v>1016</v>
      </c>
      <c r="D75" s="14">
        <v>12100000340</v>
      </c>
      <c r="E75" s="15">
        <v>44640</v>
      </c>
      <c r="F75" s="15">
        <v>44640</v>
      </c>
      <c r="G75" s="14" t="s">
        <v>1020</v>
      </c>
      <c r="H75" s="15">
        <v>44640</v>
      </c>
      <c r="I75" s="16">
        <v>27140000</v>
      </c>
      <c r="J75" s="16"/>
      <c r="K75" s="16"/>
      <c r="L75" s="16">
        <v>4140000</v>
      </c>
      <c r="M75" s="16">
        <f t="shared" si="4"/>
        <v>23000000</v>
      </c>
      <c r="N75" s="17">
        <f>$N$1-H75</f>
        <v>11</v>
      </c>
      <c r="O75" s="18">
        <v>9</v>
      </c>
      <c r="P75" s="19">
        <f>+O75-(N75/365)</f>
        <v>8.9698630136986299</v>
      </c>
      <c r="Q75" s="22">
        <f>ROUND(+M75/(O75*365)*N75,0)</f>
        <v>77017</v>
      </c>
      <c r="R75" s="22">
        <f t="shared" si="8"/>
        <v>22922983</v>
      </c>
      <c r="S75" s="21">
        <f t="shared" si="9"/>
        <v>0</v>
      </c>
      <c r="T75" s="21">
        <f t="shared" si="10"/>
        <v>23000000</v>
      </c>
    </row>
    <row r="76" spans="1:20" ht="14.65">
      <c r="A76" s="13">
        <f t="shared" si="11"/>
        <v>73</v>
      </c>
      <c r="B76" s="14" t="s">
        <v>972</v>
      </c>
      <c r="C76" s="27" t="s">
        <v>23</v>
      </c>
      <c r="D76" s="14" t="s">
        <v>1021</v>
      </c>
      <c r="E76" s="23">
        <v>44438</v>
      </c>
      <c r="F76" s="15">
        <v>44469</v>
      </c>
      <c r="G76" s="14" t="s">
        <v>170</v>
      </c>
      <c r="H76" s="15">
        <v>44469</v>
      </c>
      <c r="I76" s="16">
        <v>4926500</v>
      </c>
      <c r="J76" s="16"/>
      <c r="K76" s="16"/>
      <c r="L76" s="16">
        <v>751500</v>
      </c>
      <c r="M76" s="28">
        <f t="shared" si="4"/>
        <v>4175000</v>
      </c>
      <c r="N76" s="17">
        <f t="shared" si="0"/>
        <v>182</v>
      </c>
      <c r="O76" s="18">
        <v>9</v>
      </c>
      <c r="P76" s="19">
        <f t="shared" si="5"/>
        <v>8.5013698630136982</v>
      </c>
      <c r="Q76" s="22">
        <f t="shared" si="6"/>
        <v>231309</v>
      </c>
      <c r="R76" s="22">
        <f t="shared" si="8"/>
        <v>3943691</v>
      </c>
      <c r="S76" s="21">
        <f t="shared" si="9"/>
        <v>4175000</v>
      </c>
      <c r="T76" s="21">
        <f t="shared" si="10"/>
        <v>0</v>
      </c>
    </row>
    <row r="77" spans="1:20" ht="14.65">
      <c r="A77" s="13">
        <f t="shared" si="11"/>
        <v>74</v>
      </c>
      <c r="B77" s="14" t="s">
        <v>972</v>
      </c>
      <c r="C77" s="27" t="s">
        <v>23</v>
      </c>
      <c r="D77" s="14" t="s">
        <v>1022</v>
      </c>
      <c r="E77" s="23">
        <v>44438</v>
      </c>
      <c r="F77" s="15">
        <v>44469</v>
      </c>
      <c r="G77" s="14" t="s">
        <v>170</v>
      </c>
      <c r="H77" s="15">
        <v>44469</v>
      </c>
      <c r="I77" s="16">
        <v>4926500</v>
      </c>
      <c r="J77" s="16"/>
      <c r="K77" s="16"/>
      <c r="L77" s="16">
        <v>751500</v>
      </c>
      <c r="M77" s="28">
        <f t="shared" si="4"/>
        <v>4175000</v>
      </c>
      <c r="N77" s="17">
        <f t="shared" si="0"/>
        <v>182</v>
      </c>
      <c r="O77" s="18">
        <v>9</v>
      </c>
      <c r="P77" s="19">
        <f t="shared" si="5"/>
        <v>8.5013698630136982</v>
      </c>
      <c r="Q77" s="22">
        <f t="shared" si="6"/>
        <v>231309</v>
      </c>
      <c r="R77" s="22">
        <f t="shared" si="8"/>
        <v>3943691</v>
      </c>
      <c r="S77" s="21">
        <f t="shared" si="9"/>
        <v>4175000</v>
      </c>
      <c r="T77" s="21">
        <f t="shared" si="10"/>
        <v>0</v>
      </c>
    </row>
    <row r="78" spans="1:20" ht="14.65">
      <c r="A78" s="13">
        <f t="shared" si="11"/>
        <v>75</v>
      </c>
      <c r="B78" s="14" t="s">
        <v>972</v>
      </c>
      <c r="C78" s="27" t="s">
        <v>23</v>
      </c>
      <c r="D78" s="14" t="s">
        <v>1023</v>
      </c>
      <c r="E78" s="23">
        <v>44438</v>
      </c>
      <c r="F78" s="15">
        <v>44469</v>
      </c>
      <c r="G78" s="14" t="s">
        <v>170</v>
      </c>
      <c r="H78" s="15">
        <v>44469</v>
      </c>
      <c r="I78" s="16">
        <v>4926500</v>
      </c>
      <c r="J78" s="16"/>
      <c r="K78" s="16"/>
      <c r="L78" s="16">
        <v>751500</v>
      </c>
      <c r="M78" s="28">
        <f t="shared" si="4"/>
        <v>4175000</v>
      </c>
      <c r="N78" s="17">
        <f t="shared" si="0"/>
        <v>182</v>
      </c>
      <c r="O78" s="18">
        <v>9</v>
      </c>
      <c r="P78" s="19">
        <f t="shared" si="5"/>
        <v>8.5013698630136982</v>
      </c>
      <c r="Q78" s="22">
        <f t="shared" si="6"/>
        <v>231309</v>
      </c>
      <c r="R78" s="22">
        <f t="shared" si="8"/>
        <v>3943691</v>
      </c>
      <c r="S78" s="21">
        <f t="shared" si="9"/>
        <v>4175000</v>
      </c>
      <c r="T78" s="21">
        <f t="shared" si="10"/>
        <v>0</v>
      </c>
    </row>
    <row r="79" spans="1:20" ht="14.65">
      <c r="A79" s="13">
        <f t="shared" si="11"/>
        <v>76</v>
      </c>
      <c r="B79" s="14" t="s">
        <v>972</v>
      </c>
      <c r="C79" s="27" t="s">
        <v>23</v>
      </c>
      <c r="D79" s="14" t="s">
        <v>1024</v>
      </c>
      <c r="E79" s="23">
        <v>44438</v>
      </c>
      <c r="F79" s="15">
        <v>44469</v>
      </c>
      <c r="G79" s="14" t="s">
        <v>170</v>
      </c>
      <c r="H79" s="15">
        <v>44469</v>
      </c>
      <c r="I79" s="16">
        <v>4926500</v>
      </c>
      <c r="J79" s="16"/>
      <c r="K79" s="16"/>
      <c r="L79" s="16">
        <v>751500</v>
      </c>
      <c r="M79" s="28">
        <f t="shared" si="4"/>
        <v>4175000</v>
      </c>
      <c r="N79" s="17">
        <f t="shared" ref="N79:N155" si="12">$N$1-H79</f>
        <v>182</v>
      </c>
      <c r="O79" s="18">
        <v>9</v>
      </c>
      <c r="P79" s="19">
        <f t="shared" si="5"/>
        <v>8.5013698630136982</v>
      </c>
      <c r="Q79" s="22">
        <f t="shared" si="6"/>
        <v>231309</v>
      </c>
      <c r="R79" s="22">
        <f t="shared" si="8"/>
        <v>3943691</v>
      </c>
      <c r="S79" s="21">
        <f t="shared" si="9"/>
        <v>4175000</v>
      </c>
      <c r="T79" s="21">
        <f t="shared" si="10"/>
        <v>0</v>
      </c>
    </row>
    <row r="80" spans="1:20" ht="14.65">
      <c r="A80" s="13">
        <f t="shared" si="11"/>
        <v>77</v>
      </c>
      <c r="B80" s="14" t="s">
        <v>972</v>
      </c>
      <c r="C80" s="27" t="s">
        <v>23</v>
      </c>
      <c r="D80" s="14" t="s">
        <v>1025</v>
      </c>
      <c r="E80" s="23">
        <v>44438</v>
      </c>
      <c r="F80" s="15">
        <v>44469</v>
      </c>
      <c r="G80" s="14" t="s">
        <v>170</v>
      </c>
      <c r="H80" s="15">
        <v>44469</v>
      </c>
      <c r="I80" s="16">
        <v>4926500</v>
      </c>
      <c r="J80" s="16"/>
      <c r="K80" s="16"/>
      <c r="L80" s="16">
        <v>751500</v>
      </c>
      <c r="M80" s="28">
        <f t="shared" si="4"/>
        <v>4175000</v>
      </c>
      <c r="N80" s="17">
        <f t="shared" si="12"/>
        <v>182</v>
      </c>
      <c r="O80" s="18">
        <v>9</v>
      </c>
      <c r="P80" s="19">
        <f t="shared" si="5"/>
        <v>8.5013698630136982</v>
      </c>
      <c r="Q80" s="22">
        <f t="shared" si="6"/>
        <v>231309</v>
      </c>
      <c r="R80" s="22">
        <f t="shared" si="8"/>
        <v>3943691</v>
      </c>
      <c r="S80" s="21">
        <f t="shared" si="9"/>
        <v>4175000</v>
      </c>
      <c r="T80" s="21">
        <f t="shared" si="10"/>
        <v>0</v>
      </c>
    </row>
    <row r="81" spans="1:20" ht="14.65">
      <c r="A81" s="13">
        <f t="shared" si="11"/>
        <v>78</v>
      </c>
      <c r="B81" s="14" t="s">
        <v>972</v>
      </c>
      <c r="C81" s="27" t="s">
        <v>23</v>
      </c>
      <c r="D81" s="14" t="s">
        <v>1026</v>
      </c>
      <c r="E81" s="23">
        <v>44438</v>
      </c>
      <c r="F81" s="15">
        <v>44469</v>
      </c>
      <c r="G81" s="14" t="s">
        <v>170</v>
      </c>
      <c r="H81" s="15">
        <v>44469</v>
      </c>
      <c r="I81" s="16">
        <v>4926500</v>
      </c>
      <c r="J81" s="16"/>
      <c r="K81" s="16"/>
      <c r="L81" s="16">
        <v>751500</v>
      </c>
      <c r="M81" s="28">
        <f t="shared" si="4"/>
        <v>4175000</v>
      </c>
      <c r="N81" s="17">
        <f t="shared" si="12"/>
        <v>182</v>
      </c>
      <c r="O81" s="18">
        <v>9</v>
      </c>
      <c r="P81" s="19">
        <f t="shared" si="5"/>
        <v>8.5013698630136982</v>
      </c>
      <c r="Q81" s="22">
        <f t="shared" si="6"/>
        <v>231309</v>
      </c>
      <c r="R81" s="22">
        <f t="shared" si="8"/>
        <v>3943691</v>
      </c>
      <c r="S81" s="21">
        <f t="shared" si="9"/>
        <v>4175000</v>
      </c>
      <c r="T81" s="21">
        <f t="shared" si="10"/>
        <v>0</v>
      </c>
    </row>
    <row r="82" spans="1:20" ht="14.65">
      <c r="A82" s="13">
        <f t="shared" si="11"/>
        <v>79</v>
      </c>
      <c r="B82" s="14" t="s">
        <v>972</v>
      </c>
      <c r="C82" s="27" t="s">
        <v>23</v>
      </c>
      <c r="D82" s="14" t="s">
        <v>1027</v>
      </c>
      <c r="E82" s="23">
        <v>44513</v>
      </c>
      <c r="F82" s="23">
        <v>44513</v>
      </c>
      <c r="G82" s="14" t="s">
        <v>170</v>
      </c>
      <c r="H82" s="23">
        <v>44513</v>
      </c>
      <c r="I82" s="16">
        <v>5026500</v>
      </c>
      <c r="J82" s="16">
        <v>0</v>
      </c>
      <c r="K82" s="16"/>
      <c r="L82" s="16">
        <v>751500</v>
      </c>
      <c r="M82" s="28">
        <f t="shared" si="4"/>
        <v>4275000</v>
      </c>
      <c r="N82" s="17">
        <f t="shared" si="12"/>
        <v>138</v>
      </c>
      <c r="O82" s="18">
        <v>9</v>
      </c>
      <c r="P82" s="19">
        <f t="shared" si="5"/>
        <v>8.6219178082191785</v>
      </c>
      <c r="Q82" s="22">
        <f t="shared" si="6"/>
        <v>179589</v>
      </c>
      <c r="R82" s="22">
        <f t="shared" si="8"/>
        <v>4095411</v>
      </c>
      <c r="S82" s="21">
        <f t="shared" si="9"/>
        <v>0</v>
      </c>
      <c r="T82" s="21">
        <f t="shared" si="10"/>
        <v>4275000</v>
      </c>
    </row>
    <row r="83" spans="1:20" ht="14.65">
      <c r="A83" s="13">
        <f t="shared" si="11"/>
        <v>80</v>
      </c>
      <c r="B83" s="14" t="s">
        <v>972</v>
      </c>
      <c r="C83" s="27" t="s">
        <v>23</v>
      </c>
      <c r="D83" s="14" t="s">
        <v>1028</v>
      </c>
      <c r="E83" s="23">
        <v>44567</v>
      </c>
      <c r="F83" s="23">
        <v>44581</v>
      </c>
      <c r="G83" s="14" t="s">
        <v>170</v>
      </c>
      <c r="H83" s="23">
        <v>44581</v>
      </c>
      <c r="I83" s="16">
        <v>5026500</v>
      </c>
      <c r="J83" s="16">
        <v>0</v>
      </c>
      <c r="K83" s="16"/>
      <c r="L83" s="16">
        <v>751500</v>
      </c>
      <c r="M83" s="28">
        <f t="shared" si="4"/>
        <v>4275000</v>
      </c>
      <c r="N83" s="17">
        <f t="shared" si="12"/>
        <v>70</v>
      </c>
      <c r="O83" s="18">
        <v>9</v>
      </c>
      <c r="P83" s="19">
        <f t="shared" si="5"/>
        <v>8.8082191780821919</v>
      </c>
      <c r="Q83" s="22">
        <f t="shared" si="6"/>
        <v>91096</v>
      </c>
      <c r="R83" s="22">
        <f t="shared" si="8"/>
        <v>4183904</v>
      </c>
      <c r="S83" s="21">
        <f t="shared" si="9"/>
        <v>0</v>
      </c>
      <c r="T83" s="21">
        <f t="shared" si="10"/>
        <v>4275000</v>
      </c>
    </row>
    <row r="84" spans="1:20" ht="14.65">
      <c r="A84" s="13">
        <f t="shared" si="11"/>
        <v>81</v>
      </c>
      <c r="B84" s="14" t="s">
        <v>972</v>
      </c>
      <c r="C84" s="27" t="s">
        <v>23</v>
      </c>
      <c r="D84" s="14" t="s">
        <v>1029</v>
      </c>
      <c r="E84" s="23">
        <v>44567</v>
      </c>
      <c r="F84" s="23">
        <v>44581</v>
      </c>
      <c r="G84" s="14" t="s">
        <v>170</v>
      </c>
      <c r="H84" s="23">
        <v>44581</v>
      </c>
      <c r="I84" s="16">
        <v>6844000</v>
      </c>
      <c r="J84" s="16">
        <v>0</v>
      </c>
      <c r="K84" s="16"/>
      <c r="L84" s="16">
        <v>1044000</v>
      </c>
      <c r="M84" s="28">
        <f t="shared" si="4"/>
        <v>5800000</v>
      </c>
      <c r="N84" s="17">
        <f t="shared" si="12"/>
        <v>70</v>
      </c>
      <c r="O84" s="18">
        <v>9</v>
      </c>
      <c r="P84" s="19">
        <f t="shared" si="5"/>
        <v>8.8082191780821919</v>
      </c>
      <c r="Q84" s="22">
        <f t="shared" si="6"/>
        <v>123592</v>
      </c>
      <c r="R84" s="22">
        <f t="shared" si="8"/>
        <v>5676408</v>
      </c>
      <c r="S84" s="21">
        <f t="shared" si="9"/>
        <v>0</v>
      </c>
      <c r="T84" s="21">
        <f t="shared" si="10"/>
        <v>5800000</v>
      </c>
    </row>
    <row r="85" spans="1:20" ht="14.65">
      <c r="A85" s="13">
        <f t="shared" si="11"/>
        <v>82</v>
      </c>
      <c r="B85" s="14" t="s">
        <v>972</v>
      </c>
      <c r="C85" s="27" t="s">
        <v>23</v>
      </c>
      <c r="D85" s="14" t="s">
        <v>1030</v>
      </c>
      <c r="E85" s="23">
        <v>44567</v>
      </c>
      <c r="F85" s="23">
        <v>44586</v>
      </c>
      <c r="G85" s="14" t="s">
        <v>170</v>
      </c>
      <c r="H85" s="23">
        <v>44586</v>
      </c>
      <c r="I85" s="16">
        <v>6844000</v>
      </c>
      <c r="J85" s="16">
        <v>0</v>
      </c>
      <c r="K85" s="16"/>
      <c r="L85" s="16">
        <v>1044000</v>
      </c>
      <c r="M85" s="28">
        <f t="shared" si="4"/>
        <v>5800000</v>
      </c>
      <c r="N85" s="17">
        <f t="shared" si="12"/>
        <v>65</v>
      </c>
      <c r="O85" s="18">
        <v>9</v>
      </c>
      <c r="P85" s="19">
        <f t="shared" si="5"/>
        <v>8.8219178082191778</v>
      </c>
      <c r="Q85" s="22">
        <f t="shared" si="6"/>
        <v>114764</v>
      </c>
      <c r="R85" s="22">
        <f t="shared" si="8"/>
        <v>5685236</v>
      </c>
      <c r="S85" s="21">
        <f t="shared" si="9"/>
        <v>0</v>
      </c>
      <c r="T85" s="21">
        <f t="shared" si="10"/>
        <v>5800000</v>
      </c>
    </row>
    <row r="86" spans="1:20" ht="14.65">
      <c r="A86" s="13">
        <f t="shared" si="11"/>
        <v>83</v>
      </c>
      <c r="B86" s="14" t="s">
        <v>972</v>
      </c>
      <c r="C86" s="27" t="s">
        <v>23</v>
      </c>
      <c r="D86" s="14" t="s">
        <v>1031</v>
      </c>
      <c r="E86" s="23">
        <v>44567</v>
      </c>
      <c r="F86" s="23">
        <v>44586</v>
      </c>
      <c r="G86" s="14" t="s">
        <v>170</v>
      </c>
      <c r="H86" s="23">
        <v>44586</v>
      </c>
      <c r="I86" s="16">
        <v>5062500</v>
      </c>
      <c r="J86" s="16">
        <v>0</v>
      </c>
      <c r="K86" s="16"/>
      <c r="L86" s="16">
        <v>787500</v>
      </c>
      <c r="M86" s="28">
        <f t="shared" si="4"/>
        <v>4275000</v>
      </c>
      <c r="N86" s="17">
        <f t="shared" si="12"/>
        <v>65</v>
      </c>
      <c r="O86" s="18">
        <v>9</v>
      </c>
      <c r="P86" s="19">
        <f t="shared" si="5"/>
        <v>8.8219178082191778</v>
      </c>
      <c r="Q86" s="22">
        <f t="shared" si="6"/>
        <v>84589</v>
      </c>
      <c r="R86" s="22">
        <f t="shared" si="8"/>
        <v>4190411</v>
      </c>
      <c r="S86" s="21">
        <f t="shared" si="9"/>
        <v>0</v>
      </c>
      <c r="T86" s="21">
        <f t="shared" si="10"/>
        <v>4275000</v>
      </c>
    </row>
    <row r="87" spans="1:20" ht="14.65">
      <c r="A87" s="13">
        <f t="shared" si="11"/>
        <v>84</v>
      </c>
      <c r="B87" s="14" t="s">
        <v>972</v>
      </c>
      <c r="C87" s="27" t="s">
        <v>23</v>
      </c>
      <c r="D87" s="14" t="s">
        <v>1032</v>
      </c>
      <c r="E87" s="23">
        <v>44567</v>
      </c>
      <c r="F87" s="23">
        <v>44586</v>
      </c>
      <c r="G87" s="14" t="s">
        <v>170</v>
      </c>
      <c r="H87" s="23">
        <v>44586</v>
      </c>
      <c r="I87" s="16">
        <v>5062500</v>
      </c>
      <c r="J87" s="16">
        <v>0</v>
      </c>
      <c r="K87" s="16"/>
      <c r="L87" s="16">
        <v>787500</v>
      </c>
      <c r="M87" s="28">
        <f t="shared" si="4"/>
        <v>4275000</v>
      </c>
      <c r="N87" s="17">
        <f t="shared" si="12"/>
        <v>65</v>
      </c>
      <c r="O87" s="18">
        <v>9</v>
      </c>
      <c r="P87" s="19">
        <f t="shared" si="5"/>
        <v>8.8219178082191778</v>
      </c>
      <c r="Q87" s="22">
        <f t="shared" si="6"/>
        <v>84589</v>
      </c>
      <c r="R87" s="22">
        <f t="shared" si="8"/>
        <v>4190411</v>
      </c>
      <c r="S87" s="21">
        <f t="shared" si="9"/>
        <v>0</v>
      </c>
      <c r="T87" s="21">
        <f t="shared" si="10"/>
        <v>4275000</v>
      </c>
    </row>
    <row r="88" spans="1:20" ht="14.65">
      <c r="A88" s="13">
        <f t="shared" si="11"/>
        <v>85</v>
      </c>
      <c r="B88" s="14" t="s">
        <v>972</v>
      </c>
      <c r="C88" s="27" t="s">
        <v>23</v>
      </c>
      <c r="D88" s="14" t="s">
        <v>1033</v>
      </c>
      <c r="E88" s="23">
        <v>44623</v>
      </c>
      <c r="F88" s="23">
        <v>44625</v>
      </c>
      <c r="G88" s="14" t="s">
        <v>170</v>
      </c>
      <c r="H88" s="23">
        <v>44625</v>
      </c>
      <c r="I88" s="16">
        <v>5062500</v>
      </c>
      <c r="J88" s="16"/>
      <c r="K88" s="16"/>
      <c r="L88" s="16">
        <v>787500</v>
      </c>
      <c r="M88" s="28">
        <f t="shared" si="4"/>
        <v>4275000</v>
      </c>
      <c r="N88" s="17">
        <f t="shared" si="12"/>
        <v>26</v>
      </c>
      <c r="O88" s="18">
        <v>9</v>
      </c>
      <c r="P88" s="19">
        <f t="shared" si="5"/>
        <v>8.9287671232876704</v>
      </c>
      <c r="Q88" s="22">
        <f t="shared" si="6"/>
        <v>33836</v>
      </c>
      <c r="R88" s="22">
        <f t="shared" si="8"/>
        <v>4241164</v>
      </c>
      <c r="S88" s="21">
        <f t="shared" si="9"/>
        <v>0</v>
      </c>
      <c r="T88" s="21">
        <f t="shared" si="10"/>
        <v>4275000</v>
      </c>
    </row>
    <row r="89" spans="1:20" ht="14.65">
      <c r="A89" s="13">
        <f t="shared" si="11"/>
        <v>86</v>
      </c>
      <c r="B89" s="14" t="s">
        <v>1034</v>
      </c>
      <c r="C89" s="27" t="s">
        <v>23</v>
      </c>
      <c r="D89" s="14" t="s">
        <v>1035</v>
      </c>
      <c r="E89" s="23">
        <v>44597</v>
      </c>
      <c r="F89" s="23">
        <v>44597</v>
      </c>
      <c r="G89" s="14" t="s">
        <v>170</v>
      </c>
      <c r="H89" s="23">
        <v>44597</v>
      </c>
      <c r="I89" s="16">
        <v>1357000</v>
      </c>
      <c r="J89" s="16"/>
      <c r="K89" s="16"/>
      <c r="L89" s="16">
        <v>207000</v>
      </c>
      <c r="M89" s="28">
        <f t="shared" si="4"/>
        <v>1150000</v>
      </c>
      <c r="N89" s="17">
        <f t="shared" si="12"/>
        <v>54</v>
      </c>
      <c r="O89" s="18">
        <v>9</v>
      </c>
      <c r="P89" s="19">
        <f t="shared" si="5"/>
        <v>8.8520547945205479</v>
      </c>
      <c r="Q89" s="22">
        <f t="shared" si="6"/>
        <v>18904</v>
      </c>
      <c r="R89" s="22">
        <f t="shared" si="8"/>
        <v>1131096</v>
      </c>
      <c r="S89" s="21">
        <f t="shared" si="9"/>
        <v>0</v>
      </c>
      <c r="T89" s="21">
        <f t="shared" si="10"/>
        <v>1150000</v>
      </c>
    </row>
    <row r="90" spans="1:20" ht="14.65">
      <c r="A90" s="13">
        <f t="shared" si="11"/>
        <v>87</v>
      </c>
      <c r="B90" s="14" t="s">
        <v>1036</v>
      </c>
      <c r="C90" s="27" t="s">
        <v>23</v>
      </c>
      <c r="D90" s="14" t="s">
        <v>1037</v>
      </c>
      <c r="E90" s="23">
        <v>44591</v>
      </c>
      <c r="F90" s="23">
        <v>44613</v>
      </c>
      <c r="G90" s="14" t="s">
        <v>1038</v>
      </c>
      <c r="H90" s="23">
        <v>44613</v>
      </c>
      <c r="I90" s="16">
        <v>1351999</v>
      </c>
      <c r="J90" s="16"/>
      <c r="K90" s="16">
        <v>13386</v>
      </c>
      <c r="L90" s="16">
        <v>292822</v>
      </c>
      <c r="M90" s="28">
        <f t="shared" si="4"/>
        <v>1045791</v>
      </c>
      <c r="N90" s="17">
        <f t="shared" si="12"/>
        <v>38</v>
      </c>
      <c r="O90" s="18">
        <v>9</v>
      </c>
      <c r="P90" s="19">
        <f t="shared" si="5"/>
        <v>8.8958904109589039</v>
      </c>
      <c r="Q90" s="22">
        <f t="shared" si="6"/>
        <v>12097</v>
      </c>
      <c r="R90" s="22">
        <f t="shared" si="8"/>
        <v>1033694</v>
      </c>
      <c r="S90" s="21">
        <f t="shared" si="9"/>
        <v>0</v>
      </c>
      <c r="T90" s="21">
        <f t="shared" si="10"/>
        <v>1045791</v>
      </c>
    </row>
    <row r="91" spans="1:20" ht="14.65">
      <c r="A91" s="13">
        <f t="shared" si="11"/>
        <v>88</v>
      </c>
      <c r="B91" s="14" t="s">
        <v>1036</v>
      </c>
      <c r="C91" s="27" t="s">
        <v>23</v>
      </c>
      <c r="D91" s="14" t="s">
        <v>1039</v>
      </c>
      <c r="E91" s="23">
        <v>44591</v>
      </c>
      <c r="F91" s="23">
        <v>44613</v>
      </c>
      <c r="G91" s="14" t="s">
        <v>1038</v>
      </c>
      <c r="H91" s="23">
        <v>44613</v>
      </c>
      <c r="I91" s="16">
        <v>1351999</v>
      </c>
      <c r="J91" s="16"/>
      <c r="K91" s="16">
        <v>13386</v>
      </c>
      <c r="L91" s="16">
        <v>292822</v>
      </c>
      <c r="M91" s="28">
        <f t="shared" si="4"/>
        <v>1045791</v>
      </c>
      <c r="N91" s="17">
        <f t="shared" si="12"/>
        <v>38</v>
      </c>
      <c r="O91" s="18">
        <v>9</v>
      </c>
      <c r="P91" s="19">
        <f t="shared" si="5"/>
        <v>8.8958904109589039</v>
      </c>
      <c r="Q91" s="22">
        <f t="shared" si="6"/>
        <v>12097</v>
      </c>
      <c r="R91" s="22">
        <f t="shared" si="8"/>
        <v>1033694</v>
      </c>
      <c r="S91" s="21">
        <f t="shared" si="9"/>
        <v>0</v>
      </c>
      <c r="T91" s="21">
        <f t="shared" si="10"/>
        <v>1045791</v>
      </c>
    </row>
    <row r="92" spans="1:20" ht="14.65">
      <c r="A92" s="13">
        <f t="shared" si="11"/>
        <v>89</v>
      </c>
      <c r="B92" s="14" t="s">
        <v>1036</v>
      </c>
      <c r="C92" s="27" t="s">
        <v>23</v>
      </c>
      <c r="D92" s="14" t="s">
        <v>1040</v>
      </c>
      <c r="E92" s="23">
        <v>44591</v>
      </c>
      <c r="F92" s="23">
        <v>44613</v>
      </c>
      <c r="G92" s="14" t="s">
        <v>1038</v>
      </c>
      <c r="H92" s="23">
        <v>44613</v>
      </c>
      <c r="I92" s="16">
        <v>1351999</v>
      </c>
      <c r="J92" s="16"/>
      <c r="K92" s="16">
        <v>13386</v>
      </c>
      <c r="L92" s="16">
        <v>292822</v>
      </c>
      <c r="M92" s="28">
        <f t="shared" si="4"/>
        <v>1045791</v>
      </c>
      <c r="N92" s="17">
        <f t="shared" si="12"/>
        <v>38</v>
      </c>
      <c r="O92" s="18">
        <v>9</v>
      </c>
      <c r="P92" s="19">
        <f t="shared" si="5"/>
        <v>8.8958904109589039</v>
      </c>
      <c r="Q92" s="22">
        <f t="shared" si="6"/>
        <v>12097</v>
      </c>
      <c r="R92" s="22">
        <f t="shared" ref="R92:R155" si="13">+M92-Q92</f>
        <v>1033694</v>
      </c>
      <c r="S92" s="21">
        <f t="shared" si="9"/>
        <v>0</v>
      </c>
      <c r="T92" s="21">
        <f t="shared" si="10"/>
        <v>1045791</v>
      </c>
    </row>
    <row r="93" spans="1:20" ht="14.65">
      <c r="A93" s="13">
        <f t="shared" si="11"/>
        <v>90</v>
      </c>
      <c r="B93" s="14" t="s">
        <v>1036</v>
      </c>
      <c r="C93" s="27" t="s">
        <v>23</v>
      </c>
      <c r="D93" s="14" t="s">
        <v>1041</v>
      </c>
      <c r="E93" s="23">
        <v>44591</v>
      </c>
      <c r="F93" s="23">
        <v>44613</v>
      </c>
      <c r="G93" s="14" t="s">
        <v>1038</v>
      </c>
      <c r="H93" s="23">
        <v>44613</v>
      </c>
      <c r="I93" s="16">
        <v>1351999</v>
      </c>
      <c r="J93" s="16"/>
      <c r="K93" s="16">
        <v>13386</v>
      </c>
      <c r="L93" s="16">
        <v>292822</v>
      </c>
      <c r="M93" s="28">
        <f t="shared" si="4"/>
        <v>1045791</v>
      </c>
      <c r="N93" s="17">
        <f t="shared" si="12"/>
        <v>38</v>
      </c>
      <c r="O93" s="18">
        <v>9</v>
      </c>
      <c r="P93" s="19">
        <f t="shared" si="5"/>
        <v>8.8958904109589039</v>
      </c>
      <c r="Q93" s="22">
        <f t="shared" si="6"/>
        <v>12097</v>
      </c>
      <c r="R93" s="22">
        <f t="shared" si="13"/>
        <v>1033694</v>
      </c>
      <c r="S93" s="21">
        <f t="shared" si="9"/>
        <v>0</v>
      </c>
      <c r="T93" s="21">
        <f t="shared" si="10"/>
        <v>1045791</v>
      </c>
    </row>
    <row r="94" spans="1:20" ht="14.65">
      <c r="A94" s="13">
        <f t="shared" si="11"/>
        <v>91</v>
      </c>
      <c r="B94" s="14" t="s">
        <v>1042</v>
      </c>
      <c r="C94" s="27" t="s">
        <v>23</v>
      </c>
      <c r="D94" s="14" t="s">
        <v>1043</v>
      </c>
      <c r="E94" s="23">
        <v>44583</v>
      </c>
      <c r="F94" s="23">
        <v>44613</v>
      </c>
      <c r="G94" s="14" t="s">
        <v>1038</v>
      </c>
      <c r="H94" s="23">
        <v>44643</v>
      </c>
      <c r="I94" s="16">
        <v>1460000</v>
      </c>
      <c r="J94" s="16"/>
      <c r="K94" s="16">
        <v>14455</v>
      </c>
      <c r="L94" s="16">
        <v>316213</v>
      </c>
      <c r="M94" s="28">
        <f t="shared" si="4"/>
        <v>1129332</v>
      </c>
      <c r="N94" s="17">
        <f t="shared" si="12"/>
        <v>8</v>
      </c>
      <c r="O94" s="18">
        <v>9</v>
      </c>
      <c r="P94" s="19">
        <f t="shared" si="5"/>
        <v>8.9780821917808211</v>
      </c>
      <c r="Q94" s="22">
        <f t="shared" si="6"/>
        <v>2750</v>
      </c>
      <c r="R94" s="22">
        <f t="shared" si="13"/>
        <v>1126582</v>
      </c>
      <c r="S94" s="21">
        <f t="shared" si="9"/>
        <v>0</v>
      </c>
      <c r="T94" s="21">
        <f t="shared" si="10"/>
        <v>1129332</v>
      </c>
    </row>
    <row r="95" spans="1:20" ht="14.65">
      <c r="A95" s="13">
        <f t="shared" si="11"/>
        <v>92</v>
      </c>
      <c r="B95" s="14" t="s">
        <v>1042</v>
      </c>
      <c r="C95" s="27" t="s">
        <v>23</v>
      </c>
      <c r="D95" s="14" t="s">
        <v>1044</v>
      </c>
      <c r="E95" s="23">
        <v>44583</v>
      </c>
      <c r="F95" s="23">
        <v>44613</v>
      </c>
      <c r="G95" s="14" t="s">
        <v>1038</v>
      </c>
      <c r="H95" s="23">
        <v>44643</v>
      </c>
      <c r="I95" s="16">
        <v>1460000</v>
      </c>
      <c r="J95" s="16"/>
      <c r="K95" s="16">
        <v>14455</v>
      </c>
      <c r="L95" s="16">
        <v>316213</v>
      </c>
      <c r="M95" s="28">
        <f t="shared" ref="M95:M155" si="14">I95+J95-K95-L95</f>
        <v>1129332</v>
      </c>
      <c r="N95" s="17">
        <f t="shared" si="12"/>
        <v>8</v>
      </c>
      <c r="O95" s="18">
        <v>9</v>
      </c>
      <c r="P95" s="19">
        <f t="shared" ref="P95:P155" si="15">+O95-(N95/365)</f>
        <v>8.9780821917808211</v>
      </c>
      <c r="Q95" s="22">
        <f t="shared" ref="Q95:Q155" si="16">ROUND(+M95/(O95*365)*N95,0)</f>
        <v>2750</v>
      </c>
      <c r="R95" s="22">
        <f t="shared" si="13"/>
        <v>1126582</v>
      </c>
      <c r="S95" s="21">
        <f t="shared" si="9"/>
        <v>0</v>
      </c>
      <c r="T95" s="21">
        <f t="shared" si="10"/>
        <v>1129332</v>
      </c>
    </row>
    <row r="96" spans="1:20" ht="14.65">
      <c r="A96" s="13">
        <f t="shared" si="11"/>
        <v>93</v>
      </c>
      <c r="B96" s="14" t="s">
        <v>1042</v>
      </c>
      <c r="C96" s="27" t="s">
        <v>23</v>
      </c>
      <c r="D96" s="14" t="s">
        <v>1045</v>
      </c>
      <c r="E96" s="23">
        <v>44583</v>
      </c>
      <c r="F96" s="23">
        <v>44613</v>
      </c>
      <c r="G96" s="14" t="s">
        <v>1038</v>
      </c>
      <c r="H96" s="23">
        <v>44643</v>
      </c>
      <c r="I96" s="16">
        <v>1460000</v>
      </c>
      <c r="J96" s="16"/>
      <c r="K96" s="16">
        <v>14455</v>
      </c>
      <c r="L96" s="16">
        <v>316213</v>
      </c>
      <c r="M96" s="28">
        <f t="shared" si="14"/>
        <v>1129332</v>
      </c>
      <c r="N96" s="17">
        <f t="shared" si="12"/>
        <v>8</v>
      </c>
      <c r="O96" s="18">
        <v>9</v>
      </c>
      <c r="P96" s="19">
        <f t="shared" si="15"/>
        <v>8.9780821917808211</v>
      </c>
      <c r="Q96" s="22">
        <f t="shared" si="16"/>
        <v>2750</v>
      </c>
      <c r="R96" s="22">
        <f t="shared" si="13"/>
        <v>1126582</v>
      </c>
      <c r="S96" s="21">
        <f t="shared" si="9"/>
        <v>0</v>
      </c>
      <c r="T96" s="21">
        <f t="shared" si="10"/>
        <v>1129332</v>
      </c>
    </row>
    <row r="97" spans="1:20" ht="14.65">
      <c r="A97" s="13">
        <f t="shared" si="11"/>
        <v>94</v>
      </c>
      <c r="B97" s="14" t="s">
        <v>1042</v>
      </c>
      <c r="C97" s="27" t="s">
        <v>23</v>
      </c>
      <c r="D97" s="14" t="s">
        <v>1046</v>
      </c>
      <c r="E97" s="23">
        <v>44583</v>
      </c>
      <c r="F97" s="23">
        <v>44613</v>
      </c>
      <c r="G97" s="14" t="s">
        <v>1038</v>
      </c>
      <c r="H97" s="23">
        <v>44643</v>
      </c>
      <c r="I97" s="16">
        <v>1460000</v>
      </c>
      <c r="J97" s="16"/>
      <c r="K97" s="16">
        <v>14455</v>
      </c>
      <c r="L97" s="16">
        <v>316213</v>
      </c>
      <c r="M97" s="28">
        <f t="shared" si="14"/>
        <v>1129332</v>
      </c>
      <c r="N97" s="17">
        <f t="shared" si="12"/>
        <v>8</v>
      </c>
      <c r="O97" s="18">
        <v>9</v>
      </c>
      <c r="P97" s="19">
        <f t="shared" si="15"/>
        <v>8.9780821917808211</v>
      </c>
      <c r="Q97" s="22">
        <f t="shared" si="16"/>
        <v>2750</v>
      </c>
      <c r="R97" s="22">
        <f t="shared" si="13"/>
        <v>1126582</v>
      </c>
      <c r="S97" s="21">
        <f t="shared" si="9"/>
        <v>0</v>
      </c>
      <c r="T97" s="21">
        <f t="shared" si="10"/>
        <v>1129332</v>
      </c>
    </row>
    <row r="98" spans="1:20" ht="14.65">
      <c r="A98" s="13">
        <f t="shared" si="11"/>
        <v>95</v>
      </c>
      <c r="B98" s="14" t="s">
        <v>1042</v>
      </c>
      <c r="C98" s="27" t="s">
        <v>23</v>
      </c>
      <c r="D98" s="14" t="s">
        <v>1047</v>
      </c>
      <c r="E98" s="23">
        <v>44583</v>
      </c>
      <c r="F98" s="23">
        <v>44613</v>
      </c>
      <c r="G98" s="14" t="s">
        <v>1038</v>
      </c>
      <c r="H98" s="23">
        <v>44643</v>
      </c>
      <c r="I98" s="16">
        <v>1460000</v>
      </c>
      <c r="J98" s="16"/>
      <c r="K98" s="16">
        <v>14455</v>
      </c>
      <c r="L98" s="16">
        <v>316213</v>
      </c>
      <c r="M98" s="28">
        <f t="shared" si="14"/>
        <v>1129332</v>
      </c>
      <c r="N98" s="17">
        <f t="shared" si="12"/>
        <v>8</v>
      </c>
      <c r="O98" s="18">
        <v>9</v>
      </c>
      <c r="P98" s="19">
        <f t="shared" si="15"/>
        <v>8.9780821917808211</v>
      </c>
      <c r="Q98" s="22">
        <f t="shared" si="16"/>
        <v>2750</v>
      </c>
      <c r="R98" s="22">
        <f t="shared" si="13"/>
        <v>1126582</v>
      </c>
      <c r="S98" s="21">
        <f t="shared" si="9"/>
        <v>0</v>
      </c>
      <c r="T98" s="21">
        <f t="shared" si="10"/>
        <v>1129332</v>
      </c>
    </row>
    <row r="99" spans="1:20" ht="14.65">
      <c r="A99" s="13">
        <f t="shared" si="11"/>
        <v>96</v>
      </c>
      <c r="B99" s="14" t="s">
        <v>1042</v>
      </c>
      <c r="C99" s="27" t="s">
        <v>23</v>
      </c>
      <c r="D99" s="14" t="s">
        <v>1048</v>
      </c>
      <c r="E99" s="23">
        <v>44583</v>
      </c>
      <c r="F99" s="23">
        <v>44613</v>
      </c>
      <c r="G99" s="14" t="s">
        <v>1038</v>
      </c>
      <c r="H99" s="23">
        <v>44643</v>
      </c>
      <c r="I99" s="16">
        <v>1460000</v>
      </c>
      <c r="J99" s="16"/>
      <c r="K99" s="16">
        <v>14455</v>
      </c>
      <c r="L99" s="16">
        <v>316213</v>
      </c>
      <c r="M99" s="28">
        <f t="shared" si="14"/>
        <v>1129332</v>
      </c>
      <c r="N99" s="17">
        <f t="shared" si="12"/>
        <v>8</v>
      </c>
      <c r="O99" s="18">
        <v>9</v>
      </c>
      <c r="P99" s="19">
        <f t="shared" si="15"/>
        <v>8.9780821917808211</v>
      </c>
      <c r="Q99" s="22">
        <f t="shared" si="16"/>
        <v>2750</v>
      </c>
      <c r="R99" s="22">
        <f t="shared" si="13"/>
        <v>1126582</v>
      </c>
      <c r="S99" s="21">
        <f t="shared" si="9"/>
        <v>0</v>
      </c>
      <c r="T99" s="21">
        <f t="shared" si="10"/>
        <v>1129332</v>
      </c>
    </row>
    <row r="100" spans="1:20" ht="14.65">
      <c r="A100" s="13">
        <f t="shared" si="11"/>
        <v>97</v>
      </c>
      <c r="B100" s="14" t="s">
        <v>1042</v>
      </c>
      <c r="C100" s="27" t="s">
        <v>23</v>
      </c>
      <c r="D100" s="14" t="s">
        <v>1049</v>
      </c>
      <c r="E100" s="23">
        <v>44583</v>
      </c>
      <c r="F100" s="23">
        <v>44613</v>
      </c>
      <c r="G100" s="14" t="s">
        <v>1038</v>
      </c>
      <c r="H100" s="23">
        <v>44643</v>
      </c>
      <c r="I100" s="16">
        <v>1460000</v>
      </c>
      <c r="J100" s="16"/>
      <c r="K100" s="16">
        <v>14455</v>
      </c>
      <c r="L100" s="16">
        <v>316213</v>
      </c>
      <c r="M100" s="28">
        <f t="shared" si="14"/>
        <v>1129332</v>
      </c>
      <c r="N100" s="17">
        <f t="shared" si="12"/>
        <v>8</v>
      </c>
      <c r="O100" s="18">
        <v>9</v>
      </c>
      <c r="P100" s="19">
        <f t="shared" si="15"/>
        <v>8.9780821917808211</v>
      </c>
      <c r="Q100" s="22">
        <f t="shared" si="16"/>
        <v>2750</v>
      </c>
      <c r="R100" s="22">
        <f t="shared" si="13"/>
        <v>1126582</v>
      </c>
      <c r="S100" s="21">
        <f t="shared" si="9"/>
        <v>0</v>
      </c>
      <c r="T100" s="21">
        <f t="shared" si="10"/>
        <v>1129332</v>
      </c>
    </row>
    <row r="101" spans="1:20" ht="14.65">
      <c r="A101" s="13">
        <f t="shared" si="11"/>
        <v>98</v>
      </c>
      <c r="B101" s="14" t="s">
        <v>1042</v>
      </c>
      <c r="C101" s="27" t="s">
        <v>23</v>
      </c>
      <c r="D101" s="14" t="s">
        <v>1050</v>
      </c>
      <c r="E101" s="23">
        <v>44583</v>
      </c>
      <c r="F101" s="23">
        <v>44613</v>
      </c>
      <c r="G101" s="14" t="s">
        <v>1038</v>
      </c>
      <c r="H101" s="23">
        <v>44643</v>
      </c>
      <c r="I101" s="16">
        <v>1460000</v>
      </c>
      <c r="J101" s="16"/>
      <c r="K101" s="16">
        <v>14455</v>
      </c>
      <c r="L101" s="16">
        <v>316213</v>
      </c>
      <c r="M101" s="28">
        <f t="shared" si="14"/>
        <v>1129332</v>
      </c>
      <c r="N101" s="17">
        <f t="shared" si="12"/>
        <v>8</v>
      </c>
      <c r="O101" s="18">
        <v>9</v>
      </c>
      <c r="P101" s="19">
        <f t="shared" si="15"/>
        <v>8.9780821917808211</v>
      </c>
      <c r="Q101" s="22">
        <f t="shared" si="16"/>
        <v>2750</v>
      </c>
      <c r="R101" s="22">
        <f t="shared" si="13"/>
        <v>1126582</v>
      </c>
      <c r="S101" s="21">
        <f t="shared" si="9"/>
        <v>0</v>
      </c>
      <c r="T101" s="21">
        <f t="shared" si="10"/>
        <v>1129332</v>
      </c>
    </row>
    <row r="102" spans="1:20" ht="14.65">
      <c r="A102" s="13">
        <f t="shared" si="11"/>
        <v>99</v>
      </c>
      <c r="B102" s="14" t="s">
        <v>1051</v>
      </c>
      <c r="C102" s="27" t="s">
        <v>23</v>
      </c>
      <c r="D102" s="14" t="s">
        <v>1052</v>
      </c>
      <c r="E102" s="23">
        <v>44643</v>
      </c>
      <c r="F102" s="23">
        <v>44651</v>
      </c>
      <c r="G102" s="27" t="s">
        <v>1053</v>
      </c>
      <c r="H102" s="23">
        <v>44643</v>
      </c>
      <c r="I102" s="16">
        <f>212400*8</f>
        <v>1699200</v>
      </c>
      <c r="J102" s="16"/>
      <c r="K102" s="16"/>
      <c r="L102" s="16">
        <f>32400*8</f>
        <v>259200</v>
      </c>
      <c r="M102" s="28">
        <f t="shared" si="14"/>
        <v>1440000</v>
      </c>
      <c r="N102" s="17">
        <f>$N$1-H102</f>
        <v>8</v>
      </c>
      <c r="O102" s="18">
        <v>9</v>
      </c>
      <c r="P102" s="19">
        <f t="shared" si="15"/>
        <v>8.9780821917808211</v>
      </c>
      <c r="Q102" s="22">
        <f t="shared" si="16"/>
        <v>3507</v>
      </c>
      <c r="R102" s="22">
        <f>+M102-Q102</f>
        <v>1436493</v>
      </c>
      <c r="S102" s="21">
        <f t="shared" si="9"/>
        <v>0</v>
      </c>
      <c r="T102" s="21">
        <f t="shared" si="10"/>
        <v>1440000</v>
      </c>
    </row>
    <row r="103" spans="1:20" ht="14.65">
      <c r="A103" s="13">
        <f t="shared" si="11"/>
        <v>100</v>
      </c>
      <c r="B103" s="14" t="s">
        <v>1054</v>
      </c>
      <c r="C103" s="27" t="s">
        <v>23</v>
      </c>
      <c r="D103" s="14">
        <v>4</v>
      </c>
      <c r="E103" s="23">
        <v>44603</v>
      </c>
      <c r="F103" s="23">
        <v>44607</v>
      </c>
      <c r="G103" s="14" t="s">
        <v>1055</v>
      </c>
      <c r="H103" s="23">
        <v>44607</v>
      </c>
      <c r="I103" s="16">
        <v>135700</v>
      </c>
      <c r="J103" s="16"/>
      <c r="K103" s="16"/>
      <c r="L103" s="16">
        <v>20700</v>
      </c>
      <c r="M103" s="28">
        <f t="shared" si="14"/>
        <v>115000</v>
      </c>
      <c r="N103" s="17">
        <f t="shared" si="12"/>
        <v>44</v>
      </c>
      <c r="O103" s="18">
        <v>9</v>
      </c>
      <c r="P103" s="19">
        <f t="shared" si="15"/>
        <v>8.8794520547945197</v>
      </c>
      <c r="Q103" s="22">
        <f t="shared" si="16"/>
        <v>1540</v>
      </c>
      <c r="R103" s="22">
        <f t="shared" si="13"/>
        <v>113460</v>
      </c>
      <c r="S103" s="21">
        <f t="shared" si="9"/>
        <v>0</v>
      </c>
      <c r="T103" s="21">
        <f t="shared" si="10"/>
        <v>115000</v>
      </c>
    </row>
    <row r="104" spans="1:20" ht="14.65">
      <c r="A104" s="13">
        <f t="shared" si="11"/>
        <v>101</v>
      </c>
      <c r="B104" s="14" t="s">
        <v>1054</v>
      </c>
      <c r="C104" s="27" t="s">
        <v>23</v>
      </c>
      <c r="D104" s="14">
        <v>3</v>
      </c>
      <c r="E104" s="23">
        <v>44560</v>
      </c>
      <c r="F104" s="23">
        <v>44607</v>
      </c>
      <c r="G104" s="14" t="s">
        <v>1055</v>
      </c>
      <c r="H104" s="23">
        <v>44607</v>
      </c>
      <c r="I104" s="16">
        <v>135700</v>
      </c>
      <c r="J104" s="16"/>
      <c r="K104" s="16"/>
      <c r="L104" s="16">
        <v>20700</v>
      </c>
      <c r="M104" s="28">
        <f t="shared" si="14"/>
        <v>115000</v>
      </c>
      <c r="N104" s="17">
        <f t="shared" si="12"/>
        <v>44</v>
      </c>
      <c r="O104" s="18">
        <v>9</v>
      </c>
      <c r="P104" s="19">
        <f t="shared" si="15"/>
        <v>8.8794520547945197</v>
      </c>
      <c r="Q104" s="22">
        <f t="shared" si="16"/>
        <v>1540</v>
      </c>
      <c r="R104" s="22">
        <f t="shared" si="13"/>
        <v>113460</v>
      </c>
      <c r="S104" s="21">
        <f t="shared" si="9"/>
        <v>0</v>
      </c>
      <c r="T104" s="21">
        <f t="shared" si="10"/>
        <v>115000</v>
      </c>
    </row>
    <row r="105" spans="1:20" ht="14.65">
      <c r="A105" s="13">
        <f t="shared" si="11"/>
        <v>102</v>
      </c>
      <c r="B105" s="14" t="s">
        <v>1056</v>
      </c>
      <c r="C105" s="27" t="s">
        <v>23</v>
      </c>
      <c r="D105" s="14">
        <v>212900090</v>
      </c>
      <c r="E105" s="23">
        <v>44614</v>
      </c>
      <c r="F105" s="23">
        <v>44620</v>
      </c>
      <c r="G105" s="14" t="s">
        <v>1057</v>
      </c>
      <c r="H105" s="23">
        <v>44620</v>
      </c>
      <c r="I105" s="16">
        <v>2979500</v>
      </c>
      <c r="J105" s="16"/>
      <c r="K105" s="16">
        <v>29500</v>
      </c>
      <c r="L105" s="16">
        <v>450000</v>
      </c>
      <c r="M105" s="28">
        <f t="shared" si="14"/>
        <v>2500000</v>
      </c>
      <c r="N105" s="17">
        <f t="shared" si="12"/>
        <v>31</v>
      </c>
      <c r="O105" s="18">
        <v>9</v>
      </c>
      <c r="P105" s="19">
        <f t="shared" si="15"/>
        <v>8.9150684931506845</v>
      </c>
      <c r="Q105" s="22">
        <f t="shared" si="16"/>
        <v>23592</v>
      </c>
      <c r="R105" s="22">
        <f t="shared" si="13"/>
        <v>2476408</v>
      </c>
      <c r="S105" s="21">
        <f t="shared" si="9"/>
        <v>0</v>
      </c>
      <c r="T105" s="21">
        <f t="shared" si="10"/>
        <v>2500000</v>
      </c>
    </row>
    <row r="106" spans="1:20" ht="14.65">
      <c r="A106" s="13">
        <f t="shared" si="11"/>
        <v>103</v>
      </c>
      <c r="B106" s="169" t="s">
        <v>324</v>
      </c>
      <c r="C106" s="27" t="s">
        <v>23</v>
      </c>
      <c r="D106" s="14">
        <v>1010212398</v>
      </c>
      <c r="E106" s="23">
        <v>44526</v>
      </c>
      <c r="F106" s="23">
        <v>44526</v>
      </c>
      <c r="G106" s="169" t="s">
        <v>989</v>
      </c>
      <c r="H106" s="23">
        <v>44526</v>
      </c>
      <c r="I106" s="16">
        <v>7687110</v>
      </c>
      <c r="J106" s="16">
        <v>581682</v>
      </c>
      <c r="K106" s="16">
        <v>76110</v>
      </c>
      <c r="L106" s="16">
        <v>1161000</v>
      </c>
      <c r="M106" s="28">
        <f t="shared" si="14"/>
        <v>7031682</v>
      </c>
      <c r="N106" s="17">
        <f t="shared" si="12"/>
        <v>125</v>
      </c>
      <c r="O106" s="18">
        <v>9</v>
      </c>
      <c r="P106" s="19">
        <f t="shared" si="15"/>
        <v>8.6575342465753433</v>
      </c>
      <c r="Q106" s="22">
        <f t="shared" si="16"/>
        <v>267568</v>
      </c>
      <c r="R106" s="22">
        <f t="shared" si="13"/>
        <v>6764114</v>
      </c>
      <c r="S106" s="21">
        <f t="shared" si="9"/>
        <v>0</v>
      </c>
      <c r="T106" s="21">
        <f t="shared" si="10"/>
        <v>7031682</v>
      </c>
    </row>
    <row r="107" spans="1:20" ht="14.65">
      <c r="A107" s="13">
        <f t="shared" si="11"/>
        <v>104</v>
      </c>
      <c r="B107" s="169" t="s">
        <v>324</v>
      </c>
      <c r="C107" s="27" t="s">
        <v>23</v>
      </c>
      <c r="D107" s="14">
        <v>1010212397</v>
      </c>
      <c r="E107" s="23">
        <v>44526</v>
      </c>
      <c r="F107" s="23">
        <v>44526</v>
      </c>
      <c r="G107" s="169" t="s">
        <v>989</v>
      </c>
      <c r="H107" s="23">
        <v>44526</v>
      </c>
      <c r="I107" s="16">
        <v>7687110</v>
      </c>
      <c r="J107" s="16">
        <v>581682</v>
      </c>
      <c r="K107" s="16">
        <v>76110</v>
      </c>
      <c r="L107" s="16">
        <v>1161000</v>
      </c>
      <c r="M107" s="28">
        <f t="shared" si="14"/>
        <v>7031682</v>
      </c>
      <c r="N107" s="17">
        <f t="shared" si="12"/>
        <v>125</v>
      </c>
      <c r="O107" s="18">
        <v>9</v>
      </c>
      <c r="P107" s="19">
        <f t="shared" si="15"/>
        <v>8.6575342465753433</v>
      </c>
      <c r="Q107" s="22">
        <f t="shared" si="16"/>
        <v>267568</v>
      </c>
      <c r="R107" s="22">
        <f t="shared" si="13"/>
        <v>6764114</v>
      </c>
      <c r="S107" s="21">
        <f t="shared" si="9"/>
        <v>0</v>
      </c>
      <c r="T107" s="21">
        <f t="shared" si="10"/>
        <v>7031682</v>
      </c>
    </row>
    <row r="108" spans="1:20" ht="14.65">
      <c r="A108" s="13">
        <f t="shared" si="11"/>
        <v>105</v>
      </c>
      <c r="B108" s="169" t="s">
        <v>324</v>
      </c>
      <c r="C108" s="27" t="s">
        <v>23</v>
      </c>
      <c r="D108" s="14">
        <v>1010212399</v>
      </c>
      <c r="E108" s="23">
        <v>44526</v>
      </c>
      <c r="F108" s="23">
        <v>44526</v>
      </c>
      <c r="G108" s="169" t="s">
        <v>989</v>
      </c>
      <c r="H108" s="23">
        <v>44526</v>
      </c>
      <c r="I108" s="16">
        <v>7687110</v>
      </c>
      <c r="J108" s="16">
        <v>581682</v>
      </c>
      <c r="K108" s="16">
        <v>76110</v>
      </c>
      <c r="L108" s="16">
        <v>1161000</v>
      </c>
      <c r="M108" s="28">
        <f t="shared" si="14"/>
        <v>7031682</v>
      </c>
      <c r="N108" s="17">
        <f t="shared" si="12"/>
        <v>125</v>
      </c>
      <c r="O108" s="18">
        <v>9</v>
      </c>
      <c r="P108" s="19">
        <f t="shared" si="15"/>
        <v>8.6575342465753433</v>
      </c>
      <c r="Q108" s="22">
        <f t="shared" si="16"/>
        <v>267568</v>
      </c>
      <c r="R108" s="22">
        <f t="shared" si="13"/>
        <v>6764114</v>
      </c>
      <c r="S108" s="21">
        <f t="shared" si="9"/>
        <v>0</v>
      </c>
      <c r="T108" s="21">
        <f t="shared" si="10"/>
        <v>7031682</v>
      </c>
    </row>
    <row r="109" spans="1:20" ht="14.65">
      <c r="A109" s="13">
        <f t="shared" si="11"/>
        <v>106</v>
      </c>
      <c r="B109" s="14" t="s">
        <v>583</v>
      </c>
      <c r="C109" s="27" t="s">
        <v>23</v>
      </c>
      <c r="D109" s="14">
        <v>183</v>
      </c>
      <c r="E109" s="23">
        <v>44616</v>
      </c>
      <c r="F109" s="23">
        <v>44616</v>
      </c>
      <c r="G109" s="14" t="s">
        <v>1058</v>
      </c>
      <c r="H109" s="23">
        <v>44616</v>
      </c>
      <c r="I109" s="16">
        <v>1145134</v>
      </c>
      <c r="J109" s="16"/>
      <c r="K109" s="16">
        <v>10134</v>
      </c>
      <c r="L109" s="16">
        <v>121608</v>
      </c>
      <c r="M109" s="28">
        <f t="shared" si="14"/>
        <v>1013392</v>
      </c>
      <c r="N109" s="17">
        <f t="shared" si="12"/>
        <v>35</v>
      </c>
      <c r="O109" s="18">
        <v>9</v>
      </c>
      <c r="P109" s="19">
        <f t="shared" si="15"/>
        <v>8.9041095890410951</v>
      </c>
      <c r="Q109" s="22">
        <f t="shared" si="16"/>
        <v>10797</v>
      </c>
      <c r="R109" s="22">
        <f t="shared" si="13"/>
        <v>1002595</v>
      </c>
      <c r="S109" s="21">
        <f t="shared" si="9"/>
        <v>0</v>
      </c>
      <c r="T109" s="21">
        <f t="shared" si="10"/>
        <v>1013392</v>
      </c>
    </row>
    <row r="110" spans="1:20" ht="14.65">
      <c r="A110" s="13">
        <f t="shared" si="11"/>
        <v>107</v>
      </c>
      <c r="B110" s="14" t="s">
        <v>583</v>
      </c>
      <c r="C110" s="27" t="s">
        <v>23</v>
      </c>
      <c r="D110" s="14">
        <v>182</v>
      </c>
      <c r="E110" s="23">
        <v>44616</v>
      </c>
      <c r="F110" s="23">
        <v>44616</v>
      </c>
      <c r="G110" s="14" t="s">
        <v>1058</v>
      </c>
      <c r="H110" s="23">
        <v>44616</v>
      </c>
      <c r="I110" s="16">
        <v>1145134</v>
      </c>
      <c r="J110" s="16"/>
      <c r="K110" s="16">
        <v>10134</v>
      </c>
      <c r="L110" s="16">
        <v>121608</v>
      </c>
      <c r="M110" s="28">
        <f t="shared" si="14"/>
        <v>1013392</v>
      </c>
      <c r="N110" s="17">
        <f t="shared" si="12"/>
        <v>35</v>
      </c>
      <c r="O110" s="18">
        <v>9</v>
      </c>
      <c r="P110" s="19">
        <f t="shared" si="15"/>
        <v>8.9041095890410951</v>
      </c>
      <c r="Q110" s="22">
        <f t="shared" si="16"/>
        <v>10797</v>
      </c>
      <c r="R110" s="22">
        <f t="shared" si="13"/>
        <v>1002595</v>
      </c>
      <c r="S110" s="21">
        <f t="shared" si="9"/>
        <v>0</v>
      </c>
      <c r="T110" s="21">
        <f t="shared" si="10"/>
        <v>1013392</v>
      </c>
    </row>
    <row r="111" spans="1:20" ht="14.65">
      <c r="A111" s="13">
        <f t="shared" si="11"/>
        <v>108</v>
      </c>
      <c r="B111" s="14" t="s">
        <v>957</v>
      </c>
      <c r="C111" s="27" t="s">
        <v>23</v>
      </c>
      <c r="D111" s="14" t="s">
        <v>1059</v>
      </c>
      <c r="E111" s="23">
        <v>44649</v>
      </c>
      <c r="F111" s="23">
        <v>44649</v>
      </c>
      <c r="G111" s="14" t="s">
        <v>1060</v>
      </c>
      <c r="H111" s="23">
        <v>44649</v>
      </c>
      <c r="I111" s="16">
        <v>3535000</v>
      </c>
      <c r="J111" s="16"/>
      <c r="K111" s="16">
        <v>49513</v>
      </c>
      <c r="L111" s="16">
        <v>762450</v>
      </c>
      <c r="M111" s="28">
        <f t="shared" si="14"/>
        <v>2723037</v>
      </c>
      <c r="N111" s="17">
        <f t="shared" si="12"/>
        <v>2</v>
      </c>
      <c r="O111" s="18">
        <v>9</v>
      </c>
      <c r="P111" s="19">
        <f t="shared" si="15"/>
        <v>8.9945205479452053</v>
      </c>
      <c r="Q111" s="22">
        <f t="shared" si="16"/>
        <v>1658</v>
      </c>
      <c r="R111" s="22">
        <f t="shared" si="13"/>
        <v>2721379</v>
      </c>
      <c r="S111" s="21">
        <f t="shared" si="9"/>
        <v>0</v>
      </c>
      <c r="T111" s="21">
        <f t="shared" si="10"/>
        <v>2723037</v>
      </c>
    </row>
    <row r="112" spans="1:20" ht="14.65">
      <c r="A112" s="13">
        <f t="shared" si="11"/>
        <v>109</v>
      </c>
      <c r="B112" s="14" t="s">
        <v>957</v>
      </c>
      <c r="C112" s="27" t="s">
        <v>23</v>
      </c>
      <c r="D112" s="14" t="s">
        <v>1061</v>
      </c>
      <c r="E112" s="23">
        <v>44649</v>
      </c>
      <c r="F112" s="23">
        <v>44649</v>
      </c>
      <c r="G112" s="14" t="s">
        <v>1060</v>
      </c>
      <c r="H112" s="23">
        <v>44649</v>
      </c>
      <c r="I112" s="16">
        <v>3535000</v>
      </c>
      <c r="J112" s="16"/>
      <c r="K112" s="16">
        <v>49513</v>
      </c>
      <c r="L112" s="16">
        <v>762450</v>
      </c>
      <c r="M112" s="28">
        <f t="shared" si="14"/>
        <v>2723037</v>
      </c>
      <c r="N112" s="17">
        <f t="shared" si="12"/>
        <v>2</v>
      </c>
      <c r="O112" s="18">
        <v>9</v>
      </c>
      <c r="P112" s="19">
        <f t="shared" si="15"/>
        <v>8.9945205479452053</v>
      </c>
      <c r="Q112" s="22">
        <f t="shared" si="16"/>
        <v>1658</v>
      </c>
      <c r="R112" s="22">
        <f t="shared" si="13"/>
        <v>2721379</v>
      </c>
      <c r="S112" s="21">
        <f t="shared" si="9"/>
        <v>0</v>
      </c>
      <c r="T112" s="21">
        <f t="shared" si="10"/>
        <v>2723037</v>
      </c>
    </row>
    <row r="113" spans="1:20" ht="14.65">
      <c r="A113" s="13">
        <f t="shared" si="11"/>
        <v>110</v>
      </c>
      <c r="B113" s="14" t="s">
        <v>957</v>
      </c>
      <c r="C113" s="27" t="s">
        <v>23</v>
      </c>
      <c r="D113" s="14" t="s">
        <v>1062</v>
      </c>
      <c r="E113" s="23">
        <v>44649</v>
      </c>
      <c r="F113" s="23">
        <v>44649</v>
      </c>
      <c r="G113" s="14" t="s">
        <v>1060</v>
      </c>
      <c r="H113" s="23">
        <v>44649</v>
      </c>
      <c r="I113" s="16">
        <v>3535000</v>
      </c>
      <c r="J113" s="16"/>
      <c r="K113" s="16">
        <v>49513</v>
      </c>
      <c r="L113" s="16">
        <v>762450</v>
      </c>
      <c r="M113" s="28">
        <f t="shared" si="14"/>
        <v>2723037</v>
      </c>
      <c r="N113" s="17">
        <f t="shared" si="12"/>
        <v>2</v>
      </c>
      <c r="O113" s="18">
        <v>9</v>
      </c>
      <c r="P113" s="19">
        <f t="shared" si="15"/>
        <v>8.9945205479452053</v>
      </c>
      <c r="Q113" s="22">
        <f t="shared" si="16"/>
        <v>1658</v>
      </c>
      <c r="R113" s="22">
        <f t="shared" si="13"/>
        <v>2721379</v>
      </c>
      <c r="S113" s="21">
        <f t="shared" si="9"/>
        <v>0</v>
      </c>
      <c r="T113" s="21">
        <f t="shared" si="10"/>
        <v>2723037</v>
      </c>
    </row>
    <row r="114" spans="1:20" ht="14.65">
      <c r="A114" s="13">
        <f t="shared" si="11"/>
        <v>111</v>
      </c>
      <c r="B114" s="14" t="s">
        <v>957</v>
      </c>
      <c r="C114" s="27" t="s">
        <v>23</v>
      </c>
      <c r="D114" s="14" t="s">
        <v>1063</v>
      </c>
      <c r="E114" s="23">
        <v>44649</v>
      </c>
      <c r="F114" s="23">
        <v>44649</v>
      </c>
      <c r="G114" s="14" t="s">
        <v>1060</v>
      </c>
      <c r="H114" s="23">
        <v>44649</v>
      </c>
      <c r="I114" s="16">
        <v>3535000</v>
      </c>
      <c r="J114" s="16"/>
      <c r="K114" s="16">
        <v>49513</v>
      </c>
      <c r="L114" s="16">
        <v>762450</v>
      </c>
      <c r="M114" s="28">
        <f t="shared" si="14"/>
        <v>2723037</v>
      </c>
      <c r="N114" s="17">
        <f t="shared" si="12"/>
        <v>2</v>
      </c>
      <c r="O114" s="18">
        <v>9</v>
      </c>
      <c r="P114" s="19">
        <f t="shared" si="15"/>
        <v>8.9945205479452053</v>
      </c>
      <c r="Q114" s="22">
        <f t="shared" si="16"/>
        <v>1658</v>
      </c>
      <c r="R114" s="22">
        <f t="shared" si="13"/>
        <v>2721379</v>
      </c>
      <c r="S114" s="21">
        <f t="shared" si="9"/>
        <v>0</v>
      </c>
      <c r="T114" s="21">
        <f t="shared" si="10"/>
        <v>2723037</v>
      </c>
    </row>
    <row r="115" spans="1:20" ht="14.65">
      <c r="A115" s="13">
        <f t="shared" si="11"/>
        <v>112</v>
      </c>
      <c r="B115" s="14" t="s">
        <v>957</v>
      </c>
      <c r="C115" s="27" t="s">
        <v>23</v>
      </c>
      <c r="D115" s="14" t="s">
        <v>1064</v>
      </c>
      <c r="E115" s="23">
        <v>44649</v>
      </c>
      <c r="F115" s="23">
        <v>44649</v>
      </c>
      <c r="G115" s="14" t="s">
        <v>1060</v>
      </c>
      <c r="H115" s="23">
        <v>44649</v>
      </c>
      <c r="I115" s="16">
        <v>3535000</v>
      </c>
      <c r="J115" s="16"/>
      <c r="K115" s="16">
        <v>49513</v>
      </c>
      <c r="L115" s="16">
        <v>762450</v>
      </c>
      <c r="M115" s="28">
        <f t="shared" si="14"/>
        <v>2723037</v>
      </c>
      <c r="N115" s="17">
        <f t="shared" si="12"/>
        <v>2</v>
      </c>
      <c r="O115" s="18">
        <v>9</v>
      </c>
      <c r="P115" s="19">
        <f t="shared" si="15"/>
        <v>8.9945205479452053</v>
      </c>
      <c r="Q115" s="22">
        <f t="shared" si="16"/>
        <v>1658</v>
      </c>
      <c r="R115" s="22">
        <f t="shared" si="13"/>
        <v>2721379</v>
      </c>
      <c r="S115" s="21">
        <f t="shared" si="9"/>
        <v>0</v>
      </c>
      <c r="T115" s="21">
        <f t="shared" si="10"/>
        <v>2723037</v>
      </c>
    </row>
    <row r="116" spans="1:20" ht="14.65">
      <c r="A116" s="13">
        <f t="shared" si="11"/>
        <v>113</v>
      </c>
      <c r="B116" s="14" t="s">
        <v>957</v>
      </c>
      <c r="C116" s="27" t="s">
        <v>23</v>
      </c>
      <c r="D116" s="14" t="s">
        <v>1065</v>
      </c>
      <c r="E116" s="23">
        <v>44649</v>
      </c>
      <c r="F116" s="23">
        <v>44649</v>
      </c>
      <c r="G116" s="14" t="s">
        <v>1060</v>
      </c>
      <c r="H116" s="23">
        <v>44649</v>
      </c>
      <c r="I116" s="16">
        <v>3535000</v>
      </c>
      <c r="J116" s="16"/>
      <c r="K116" s="16">
        <v>49513</v>
      </c>
      <c r="L116" s="16">
        <v>762450</v>
      </c>
      <c r="M116" s="28">
        <f t="shared" si="14"/>
        <v>2723037</v>
      </c>
      <c r="N116" s="17">
        <f t="shared" si="12"/>
        <v>2</v>
      </c>
      <c r="O116" s="18">
        <v>9</v>
      </c>
      <c r="P116" s="19">
        <f t="shared" si="15"/>
        <v>8.9945205479452053</v>
      </c>
      <c r="Q116" s="22">
        <f t="shared" si="16"/>
        <v>1658</v>
      </c>
      <c r="R116" s="22">
        <f t="shared" si="13"/>
        <v>2721379</v>
      </c>
      <c r="S116" s="21">
        <f t="shared" si="9"/>
        <v>0</v>
      </c>
      <c r="T116" s="21">
        <f t="shared" si="10"/>
        <v>2723037</v>
      </c>
    </row>
    <row r="117" spans="1:20" ht="14.65">
      <c r="A117" s="13">
        <f t="shared" si="11"/>
        <v>114</v>
      </c>
      <c r="B117" s="14" t="s">
        <v>957</v>
      </c>
      <c r="C117" s="27" t="s">
        <v>23</v>
      </c>
      <c r="D117" s="14" t="s">
        <v>1066</v>
      </c>
      <c r="E117" s="23">
        <v>44649</v>
      </c>
      <c r="F117" s="23">
        <v>44649</v>
      </c>
      <c r="G117" s="14" t="s">
        <v>1060</v>
      </c>
      <c r="H117" s="23">
        <v>44649</v>
      </c>
      <c r="I117" s="16">
        <v>3535000</v>
      </c>
      <c r="J117" s="16"/>
      <c r="K117" s="16">
        <v>49513</v>
      </c>
      <c r="L117" s="16">
        <v>762450</v>
      </c>
      <c r="M117" s="28">
        <f t="shared" si="14"/>
        <v>2723037</v>
      </c>
      <c r="N117" s="17">
        <f t="shared" si="12"/>
        <v>2</v>
      </c>
      <c r="O117" s="18">
        <v>9</v>
      </c>
      <c r="P117" s="19">
        <f t="shared" si="15"/>
        <v>8.9945205479452053</v>
      </c>
      <c r="Q117" s="22">
        <f t="shared" si="16"/>
        <v>1658</v>
      </c>
      <c r="R117" s="22">
        <f t="shared" si="13"/>
        <v>2721379</v>
      </c>
      <c r="S117" s="21">
        <f t="shared" si="9"/>
        <v>0</v>
      </c>
      <c r="T117" s="21">
        <f t="shared" si="10"/>
        <v>2723037</v>
      </c>
    </row>
    <row r="118" spans="1:20" ht="14.65">
      <c r="A118" s="13">
        <f t="shared" si="11"/>
        <v>115</v>
      </c>
      <c r="B118" s="14" t="s">
        <v>957</v>
      </c>
      <c r="C118" s="27" t="s">
        <v>23</v>
      </c>
      <c r="D118" s="14" t="s">
        <v>1067</v>
      </c>
      <c r="E118" s="23">
        <v>44649</v>
      </c>
      <c r="F118" s="23">
        <v>44649</v>
      </c>
      <c r="G118" s="14" t="s">
        <v>1060</v>
      </c>
      <c r="H118" s="23">
        <v>44649</v>
      </c>
      <c r="I118" s="16">
        <v>3535000</v>
      </c>
      <c r="J118" s="16"/>
      <c r="K118" s="16">
        <v>49513</v>
      </c>
      <c r="L118" s="16">
        <v>762450</v>
      </c>
      <c r="M118" s="28">
        <f t="shared" si="14"/>
        <v>2723037</v>
      </c>
      <c r="N118" s="17">
        <f t="shared" si="12"/>
        <v>2</v>
      </c>
      <c r="O118" s="18">
        <v>9</v>
      </c>
      <c r="P118" s="19">
        <f t="shared" si="15"/>
        <v>8.9945205479452053</v>
      </c>
      <c r="Q118" s="22">
        <f t="shared" si="16"/>
        <v>1658</v>
      </c>
      <c r="R118" s="22">
        <f t="shared" si="13"/>
        <v>2721379</v>
      </c>
      <c r="S118" s="21">
        <f t="shared" si="9"/>
        <v>0</v>
      </c>
      <c r="T118" s="21">
        <f t="shared" si="10"/>
        <v>2723037</v>
      </c>
    </row>
    <row r="119" spans="1:20" ht="14.65">
      <c r="A119" s="13">
        <f t="shared" si="11"/>
        <v>116</v>
      </c>
      <c r="B119" s="14" t="s">
        <v>957</v>
      </c>
      <c r="C119" s="27" t="s">
        <v>23</v>
      </c>
      <c r="D119" s="14" t="s">
        <v>1068</v>
      </c>
      <c r="E119" s="23">
        <v>44649</v>
      </c>
      <c r="F119" s="23">
        <v>44649</v>
      </c>
      <c r="G119" s="14" t="s">
        <v>1060</v>
      </c>
      <c r="H119" s="23">
        <v>44649</v>
      </c>
      <c r="I119" s="16">
        <v>3535000</v>
      </c>
      <c r="J119" s="16"/>
      <c r="K119" s="16">
        <v>49513</v>
      </c>
      <c r="L119" s="16">
        <v>762450</v>
      </c>
      <c r="M119" s="28">
        <f t="shared" si="14"/>
        <v>2723037</v>
      </c>
      <c r="N119" s="17">
        <f t="shared" si="12"/>
        <v>2</v>
      </c>
      <c r="O119" s="18">
        <v>9</v>
      </c>
      <c r="P119" s="19">
        <f t="shared" si="15"/>
        <v>8.9945205479452053</v>
      </c>
      <c r="Q119" s="22">
        <f t="shared" si="16"/>
        <v>1658</v>
      </c>
      <c r="R119" s="22">
        <f t="shared" si="13"/>
        <v>2721379</v>
      </c>
      <c r="S119" s="21">
        <f t="shared" si="9"/>
        <v>0</v>
      </c>
      <c r="T119" s="21">
        <f t="shared" si="10"/>
        <v>2723037</v>
      </c>
    </row>
    <row r="120" spans="1:20" ht="14.65">
      <c r="A120" s="13">
        <f t="shared" si="11"/>
        <v>117</v>
      </c>
      <c r="B120" s="14" t="s">
        <v>957</v>
      </c>
      <c r="C120" s="27" t="s">
        <v>23</v>
      </c>
      <c r="D120" s="14" t="s">
        <v>1069</v>
      </c>
      <c r="E120" s="23">
        <v>44649</v>
      </c>
      <c r="F120" s="23">
        <v>44649</v>
      </c>
      <c r="G120" s="14" t="s">
        <v>1060</v>
      </c>
      <c r="H120" s="23">
        <v>44649</v>
      </c>
      <c r="I120" s="16">
        <v>3535000</v>
      </c>
      <c r="J120" s="16"/>
      <c r="K120" s="16">
        <v>49513</v>
      </c>
      <c r="L120" s="16">
        <v>762450</v>
      </c>
      <c r="M120" s="28">
        <f t="shared" si="14"/>
        <v>2723037</v>
      </c>
      <c r="N120" s="17">
        <f t="shared" si="12"/>
        <v>2</v>
      </c>
      <c r="O120" s="18">
        <v>9</v>
      </c>
      <c r="P120" s="19">
        <f t="shared" si="15"/>
        <v>8.9945205479452053</v>
      </c>
      <c r="Q120" s="22">
        <f t="shared" si="16"/>
        <v>1658</v>
      </c>
      <c r="R120" s="22">
        <f t="shared" si="13"/>
        <v>2721379</v>
      </c>
      <c r="S120" s="21">
        <f t="shared" si="9"/>
        <v>0</v>
      </c>
      <c r="T120" s="21">
        <f t="shared" si="10"/>
        <v>2723037</v>
      </c>
    </row>
    <row r="121" spans="1:20" ht="14.65">
      <c r="A121" s="13">
        <f t="shared" si="11"/>
        <v>118</v>
      </c>
      <c r="B121" s="14" t="s">
        <v>957</v>
      </c>
      <c r="C121" s="27" t="s">
        <v>23</v>
      </c>
      <c r="D121" s="14" t="s">
        <v>1070</v>
      </c>
      <c r="E121" s="23">
        <v>44649</v>
      </c>
      <c r="F121" s="23">
        <v>44649</v>
      </c>
      <c r="G121" s="14" t="s">
        <v>1060</v>
      </c>
      <c r="H121" s="23">
        <v>44649</v>
      </c>
      <c r="I121" s="16">
        <v>3535000</v>
      </c>
      <c r="J121" s="16"/>
      <c r="K121" s="16">
        <v>49513</v>
      </c>
      <c r="L121" s="16">
        <v>762450</v>
      </c>
      <c r="M121" s="28">
        <f t="shared" si="14"/>
        <v>2723037</v>
      </c>
      <c r="N121" s="17">
        <f t="shared" si="12"/>
        <v>2</v>
      </c>
      <c r="O121" s="18">
        <v>9</v>
      </c>
      <c r="P121" s="19">
        <f t="shared" si="15"/>
        <v>8.9945205479452053</v>
      </c>
      <c r="Q121" s="22">
        <f t="shared" si="16"/>
        <v>1658</v>
      </c>
      <c r="R121" s="22">
        <f t="shared" si="13"/>
        <v>2721379</v>
      </c>
      <c r="S121" s="21">
        <f t="shared" si="9"/>
        <v>0</v>
      </c>
      <c r="T121" s="21">
        <f t="shared" si="10"/>
        <v>2723037</v>
      </c>
    </row>
    <row r="122" spans="1:20" ht="14.65">
      <c r="A122" s="13">
        <f t="shared" si="11"/>
        <v>119</v>
      </c>
      <c r="B122" s="14" t="s">
        <v>957</v>
      </c>
      <c r="C122" s="27" t="s">
        <v>23</v>
      </c>
      <c r="D122" s="14" t="s">
        <v>1071</v>
      </c>
      <c r="E122" s="23">
        <v>44649</v>
      </c>
      <c r="F122" s="23">
        <v>44649</v>
      </c>
      <c r="G122" s="14" t="s">
        <v>1060</v>
      </c>
      <c r="H122" s="23">
        <v>44649</v>
      </c>
      <c r="I122" s="16">
        <v>3535000</v>
      </c>
      <c r="J122" s="16"/>
      <c r="K122" s="16">
        <v>49513</v>
      </c>
      <c r="L122" s="16">
        <v>762450</v>
      </c>
      <c r="M122" s="28">
        <f t="shared" si="14"/>
        <v>2723037</v>
      </c>
      <c r="N122" s="17">
        <f t="shared" si="12"/>
        <v>2</v>
      </c>
      <c r="O122" s="18">
        <v>9</v>
      </c>
      <c r="P122" s="19">
        <f t="shared" si="15"/>
        <v>8.9945205479452053</v>
      </c>
      <c r="Q122" s="22">
        <f t="shared" si="16"/>
        <v>1658</v>
      </c>
      <c r="R122" s="22">
        <f t="shared" si="13"/>
        <v>2721379</v>
      </c>
      <c r="S122" s="21">
        <f t="shared" si="9"/>
        <v>0</v>
      </c>
      <c r="T122" s="21">
        <f t="shared" si="10"/>
        <v>2723037</v>
      </c>
    </row>
    <row r="123" spans="1:20" ht="14.65">
      <c r="A123" s="13">
        <f t="shared" si="11"/>
        <v>120</v>
      </c>
      <c r="B123" s="14" t="s">
        <v>957</v>
      </c>
      <c r="C123" s="27" t="s">
        <v>23</v>
      </c>
      <c r="D123" s="14" t="s">
        <v>1072</v>
      </c>
      <c r="E123" s="23">
        <v>44649</v>
      </c>
      <c r="F123" s="23">
        <v>44649</v>
      </c>
      <c r="G123" s="14" t="s">
        <v>1060</v>
      </c>
      <c r="H123" s="23">
        <v>44649</v>
      </c>
      <c r="I123" s="16">
        <v>3535000</v>
      </c>
      <c r="J123" s="16"/>
      <c r="K123" s="16">
        <v>49513</v>
      </c>
      <c r="L123" s="16">
        <v>762450</v>
      </c>
      <c r="M123" s="28">
        <f t="shared" si="14"/>
        <v>2723037</v>
      </c>
      <c r="N123" s="17">
        <f t="shared" si="12"/>
        <v>2</v>
      </c>
      <c r="O123" s="18">
        <v>9</v>
      </c>
      <c r="P123" s="19">
        <f t="shared" si="15"/>
        <v>8.9945205479452053</v>
      </c>
      <c r="Q123" s="22">
        <f t="shared" si="16"/>
        <v>1658</v>
      </c>
      <c r="R123" s="22">
        <f t="shared" si="13"/>
        <v>2721379</v>
      </c>
      <c r="S123" s="21">
        <f t="shared" si="9"/>
        <v>0</v>
      </c>
      <c r="T123" s="21">
        <f t="shared" si="10"/>
        <v>2723037</v>
      </c>
    </row>
    <row r="124" spans="1:20" ht="14.65">
      <c r="A124" s="13">
        <f t="shared" si="11"/>
        <v>121</v>
      </c>
      <c r="B124" s="14" t="s">
        <v>957</v>
      </c>
      <c r="C124" s="27" t="s">
        <v>23</v>
      </c>
      <c r="D124" s="14" t="s">
        <v>1073</v>
      </c>
      <c r="E124" s="23">
        <v>44649</v>
      </c>
      <c r="F124" s="23">
        <v>44649</v>
      </c>
      <c r="G124" s="14" t="s">
        <v>1060</v>
      </c>
      <c r="H124" s="23">
        <v>44649</v>
      </c>
      <c r="I124" s="16">
        <v>3535000</v>
      </c>
      <c r="J124" s="16"/>
      <c r="K124" s="16">
        <v>49513</v>
      </c>
      <c r="L124" s="16">
        <v>762450</v>
      </c>
      <c r="M124" s="28">
        <f t="shared" si="14"/>
        <v>2723037</v>
      </c>
      <c r="N124" s="17">
        <f t="shared" si="12"/>
        <v>2</v>
      </c>
      <c r="O124" s="18">
        <v>9</v>
      </c>
      <c r="P124" s="19">
        <f t="shared" si="15"/>
        <v>8.9945205479452053</v>
      </c>
      <c r="Q124" s="22">
        <f t="shared" si="16"/>
        <v>1658</v>
      </c>
      <c r="R124" s="22">
        <f t="shared" si="13"/>
        <v>2721379</v>
      </c>
      <c r="S124" s="21">
        <f t="shared" si="9"/>
        <v>0</v>
      </c>
      <c r="T124" s="21">
        <f t="shared" si="10"/>
        <v>2723037</v>
      </c>
    </row>
    <row r="125" spans="1:20" ht="14.65">
      <c r="A125" s="13">
        <f t="shared" si="11"/>
        <v>122</v>
      </c>
      <c r="B125" s="14" t="s">
        <v>957</v>
      </c>
      <c r="C125" s="27" t="s">
        <v>23</v>
      </c>
      <c r="D125" s="14" t="s">
        <v>1074</v>
      </c>
      <c r="E125" s="23">
        <v>44649</v>
      </c>
      <c r="F125" s="23">
        <v>44649</v>
      </c>
      <c r="G125" s="14" t="s">
        <v>1060</v>
      </c>
      <c r="H125" s="23">
        <v>44649</v>
      </c>
      <c r="I125" s="16">
        <v>3535000</v>
      </c>
      <c r="J125" s="16"/>
      <c r="K125" s="16">
        <v>49513</v>
      </c>
      <c r="L125" s="16">
        <v>762450</v>
      </c>
      <c r="M125" s="28">
        <f t="shared" si="14"/>
        <v>2723037</v>
      </c>
      <c r="N125" s="17">
        <f t="shared" si="12"/>
        <v>2</v>
      </c>
      <c r="O125" s="18">
        <v>9</v>
      </c>
      <c r="P125" s="19">
        <f t="shared" si="15"/>
        <v>8.9945205479452053</v>
      </c>
      <c r="Q125" s="22">
        <f t="shared" si="16"/>
        <v>1658</v>
      </c>
      <c r="R125" s="22">
        <f t="shared" si="13"/>
        <v>2721379</v>
      </c>
      <c r="S125" s="21">
        <f t="shared" si="9"/>
        <v>0</v>
      </c>
      <c r="T125" s="21">
        <f t="shared" si="10"/>
        <v>2723037</v>
      </c>
    </row>
    <row r="126" spans="1:20" ht="14.65">
      <c r="A126" s="13">
        <f t="shared" si="11"/>
        <v>123</v>
      </c>
      <c r="B126" s="14" t="s">
        <v>957</v>
      </c>
      <c r="C126" s="27" t="s">
        <v>23</v>
      </c>
      <c r="D126" s="14" t="s">
        <v>1075</v>
      </c>
      <c r="E126" s="23">
        <v>44649</v>
      </c>
      <c r="F126" s="23">
        <v>44649</v>
      </c>
      <c r="G126" s="14" t="s">
        <v>1060</v>
      </c>
      <c r="H126" s="23">
        <v>44649</v>
      </c>
      <c r="I126" s="16">
        <v>3535000</v>
      </c>
      <c r="J126" s="16"/>
      <c r="K126" s="16">
        <v>49513</v>
      </c>
      <c r="L126" s="16">
        <v>762450</v>
      </c>
      <c r="M126" s="28">
        <f t="shared" si="14"/>
        <v>2723037</v>
      </c>
      <c r="N126" s="17">
        <f t="shared" si="12"/>
        <v>2</v>
      </c>
      <c r="O126" s="18">
        <v>9</v>
      </c>
      <c r="P126" s="19">
        <f t="shared" si="15"/>
        <v>8.9945205479452053</v>
      </c>
      <c r="Q126" s="22">
        <f t="shared" si="16"/>
        <v>1658</v>
      </c>
      <c r="R126" s="22">
        <f t="shared" si="13"/>
        <v>2721379</v>
      </c>
      <c r="S126" s="21">
        <f t="shared" si="9"/>
        <v>0</v>
      </c>
      <c r="T126" s="21">
        <f t="shared" si="10"/>
        <v>2723037</v>
      </c>
    </row>
    <row r="127" spans="1:20" ht="14.65">
      <c r="A127" s="13">
        <f t="shared" si="11"/>
        <v>124</v>
      </c>
      <c r="B127" s="14" t="s">
        <v>957</v>
      </c>
      <c r="C127" s="27" t="s">
        <v>23</v>
      </c>
      <c r="D127" s="14" t="s">
        <v>1076</v>
      </c>
      <c r="E127" s="23">
        <v>44649</v>
      </c>
      <c r="F127" s="23">
        <v>44649</v>
      </c>
      <c r="G127" s="14" t="s">
        <v>1060</v>
      </c>
      <c r="H127" s="23">
        <v>44649</v>
      </c>
      <c r="I127" s="16">
        <v>3535000</v>
      </c>
      <c r="J127" s="16"/>
      <c r="K127" s="16">
        <v>49513</v>
      </c>
      <c r="L127" s="16">
        <v>762450</v>
      </c>
      <c r="M127" s="28">
        <f t="shared" si="14"/>
        <v>2723037</v>
      </c>
      <c r="N127" s="17">
        <f t="shared" si="12"/>
        <v>2</v>
      </c>
      <c r="O127" s="18">
        <v>9</v>
      </c>
      <c r="P127" s="19">
        <f t="shared" si="15"/>
        <v>8.9945205479452053</v>
      </c>
      <c r="Q127" s="22">
        <f t="shared" si="16"/>
        <v>1658</v>
      </c>
      <c r="R127" s="22">
        <f t="shared" si="13"/>
        <v>2721379</v>
      </c>
      <c r="S127" s="21">
        <f t="shared" si="9"/>
        <v>0</v>
      </c>
      <c r="T127" s="21">
        <f t="shared" si="10"/>
        <v>2723037</v>
      </c>
    </row>
    <row r="128" spans="1:20" ht="14.65">
      <c r="A128" s="13">
        <f t="shared" si="11"/>
        <v>125</v>
      </c>
      <c r="B128" s="14" t="s">
        <v>957</v>
      </c>
      <c r="C128" s="27" t="s">
        <v>23</v>
      </c>
      <c r="D128" s="14" t="s">
        <v>1077</v>
      </c>
      <c r="E128" s="23">
        <v>44649</v>
      </c>
      <c r="F128" s="23">
        <v>44649</v>
      </c>
      <c r="G128" s="14" t="s">
        <v>1060</v>
      </c>
      <c r="H128" s="23">
        <v>44649</v>
      </c>
      <c r="I128" s="16">
        <v>3535000</v>
      </c>
      <c r="J128" s="16"/>
      <c r="K128" s="16">
        <v>49513</v>
      </c>
      <c r="L128" s="16">
        <v>762450</v>
      </c>
      <c r="M128" s="28">
        <f t="shared" si="14"/>
        <v>2723037</v>
      </c>
      <c r="N128" s="17">
        <f t="shared" si="12"/>
        <v>2</v>
      </c>
      <c r="O128" s="18">
        <v>9</v>
      </c>
      <c r="P128" s="19">
        <f t="shared" si="15"/>
        <v>8.9945205479452053</v>
      </c>
      <c r="Q128" s="22">
        <f t="shared" si="16"/>
        <v>1658</v>
      </c>
      <c r="R128" s="22">
        <f t="shared" si="13"/>
        <v>2721379</v>
      </c>
      <c r="S128" s="21">
        <f t="shared" si="9"/>
        <v>0</v>
      </c>
      <c r="T128" s="21">
        <f t="shared" si="10"/>
        <v>2723037</v>
      </c>
    </row>
    <row r="129" spans="1:20" ht="14.65">
      <c r="A129" s="13">
        <f t="shared" si="11"/>
        <v>126</v>
      </c>
      <c r="B129" s="14" t="s">
        <v>957</v>
      </c>
      <c r="C129" s="27" t="s">
        <v>23</v>
      </c>
      <c r="D129" s="14" t="s">
        <v>1078</v>
      </c>
      <c r="E129" s="23">
        <v>44649</v>
      </c>
      <c r="F129" s="23">
        <v>44649</v>
      </c>
      <c r="G129" s="14" t="s">
        <v>1060</v>
      </c>
      <c r="H129" s="23">
        <v>44649</v>
      </c>
      <c r="I129" s="16">
        <v>3535000</v>
      </c>
      <c r="J129" s="16"/>
      <c r="K129" s="16">
        <v>49513</v>
      </c>
      <c r="L129" s="16">
        <v>762450</v>
      </c>
      <c r="M129" s="28">
        <f t="shared" si="14"/>
        <v>2723037</v>
      </c>
      <c r="N129" s="17">
        <f t="shared" si="12"/>
        <v>2</v>
      </c>
      <c r="O129" s="18">
        <v>9</v>
      </c>
      <c r="P129" s="19">
        <f t="shared" si="15"/>
        <v>8.9945205479452053</v>
      </c>
      <c r="Q129" s="22">
        <f t="shared" si="16"/>
        <v>1658</v>
      </c>
      <c r="R129" s="22">
        <f t="shared" si="13"/>
        <v>2721379</v>
      </c>
      <c r="S129" s="21">
        <f t="shared" si="9"/>
        <v>0</v>
      </c>
      <c r="T129" s="21">
        <f t="shared" si="10"/>
        <v>2723037</v>
      </c>
    </row>
    <row r="130" spans="1:20" ht="14.65">
      <c r="A130" s="13">
        <f t="shared" si="11"/>
        <v>127</v>
      </c>
      <c r="B130" s="14" t="s">
        <v>957</v>
      </c>
      <c r="C130" s="27" t="s">
        <v>23</v>
      </c>
      <c r="D130" s="14" t="s">
        <v>1079</v>
      </c>
      <c r="E130" s="23">
        <v>44649</v>
      </c>
      <c r="F130" s="23">
        <v>44649</v>
      </c>
      <c r="G130" s="14" t="s">
        <v>1060</v>
      </c>
      <c r="H130" s="23">
        <v>44649</v>
      </c>
      <c r="I130" s="16">
        <v>3535000</v>
      </c>
      <c r="J130" s="16"/>
      <c r="K130" s="16">
        <v>49513</v>
      </c>
      <c r="L130" s="16">
        <v>762450</v>
      </c>
      <c r="M130" s="28">
        <f t="shared" si="14"/>
        <v>2723037</v>
      </c>
      <c r="N130" s="17">
        <f t="shared" si="12"/>
        <v>2</v>
      </c>
      <c r="O130" s="18">
        <v>9</v>
      </c>
      <c r="P130" s="19">
        <f t="shared" si="15"/>
        <v>8.9945205479452053</v>
      </c>
      <c r="Q130" s="22">
        <f t="shared" si="16"/>
        <v>1658</v>
      </c>
      <c r="R130" s="22">
        <f t="shared" si="13"/>
        <v>2721379</v>
      </c>
      <c r="S130" s="21">
        <f t="shared" si="9"/>
        <v>0</v>
      </c>
      <c r="T130" s="21">
        <f t="shared" si="10"/>
        <v>2723037</v>
      </c>
    </row>
    <row r="131" spans="1:20" ht="14.65">
      <c r="A131" s="13">
        <f t="shared" si="11"/>
        <v>128</v>
      </c>
      <c r="B131" s="14" t="s">
        <v>1080</v>
      </c>
      <c r="C131" s="27" t="s">
        <v>23</v>
      </c>
      <c r="D131" s="14" t="s">
        <v>24</v>
      </c>
      <c r="E131" s="23">
        <v>44649</v>
      </c>
      <c r="F131" s="23">
        <v>44649</v>
      </c>
      <c r="G131" s="14" t="s">
        <v>1081</v>
      </c>
      <c r="H131" s="23">
        <v>44649</v>
      </c>
      <c r="I131" s="16">
        <v>4480000</v>
      </c>
      <c r="J131" s="16"/>
      <c r="K131" s="16">
        <v>0</v>
      </c>
      <c r="L131" s="16">
        <v>980000</v>
      </c>
      <c r="M131" s="28">
        <f>I131+J131-K131-L131</f>
        <v>3500000</v>
      </c>
      <c r="N131" s="17">
        <f t="shared" si="12"/>
        <v>2</v>
      </c>
      <c r="O131" s="18">
        <v>9</v>
      </c>
      <c r="P131" s="19">
        <f>+O131-(N131/365)</f>
        <v>8.9945205479452053</v>
      </c>
      <c r="Q131" s="22">
        <f>ROUND(+M131/(O131*365)*N131,0)</f>
        <v>2131</v>
      </c>
      <c r="R131" s="22">
        <f t="shared" si="13"/>
        <v>3497869</v>
      </c>
      <c r="S131" s="21">
        <f>IF(H131&lt;=DATE(2021,9,30),M131,0)</f>
        <v>0</v>
      </c>
      <c r="T131" s="21">
        <f>IF(H131&gt;DATE(2021,9,30),M131,0)</f>
        <v>3500000</v>
      </c>
    </row>
    <row r="132" spans="1:20" ht="14.65">
      <c r="A132" s="13">
        <f t="shared" si="11"/>
        <v>129</v>
      </c>
      <c r="B132" s="14" t="s">
        <v>1082</v>
      </c>
      <c r="C132" s="27" t="s">
        <v>23</v>
      </c>
      <c r="D132" s="14">
        <v>221801472</v>
      </c>
      <c r="E132" s="23">
        <v>44632</v>
      </c>
      <c r="F132" s="23">
        <v>44632</v>
      </c>
      <c r="G132" s="14" t="s">
        <v>1083</v>
      </c>
      <c r="H132" s="23">
        <v>44649</v>
      </c>
      <c r="I132" s="16">
        <v>792960</v>
      </c>
      <c r="J132" s="16"/>
      <c r="K132" s="16"/>
      <c r="L132" s="16">
        <v>120960</v>
      </c>
      <c r="M132" s="16">
        <f t="shared" si="14"/>
        <v>672000</v>
      </c>
      <c r="N132" s="17">
        <f t="shared" si="12"/>
        <v>2</v>
      </c>
      <c r="O132" s="18">
        <v>9</v>
      </c>
      <c r="P132" s="19">
        <f t="shared" si="15"/>
        <v>8.9945205479452053</v>
      </c>
      <c r="Q132" s="22">
        <f t="shared" si="16"/>
        <v>409</v>
      </c>
      <c r="R132" s="22">
        <f t="shared" si="13"/>
        <v>671591</v>
      </c>
      <c r="S132" s="21">
        <f t="shared" si="9"/>
        <v>0</v>
      </c>
      <c r="T132" s="21">
        <f t="shared" si="10"/>
        <v>672000</v>
      </c>
    </row>
    <row r="133" spans="1:20" ht="14.65">
      <c r="A133" s="13">
        <f t="shared" si="11"/>
        <v>130</v>
      </c>
      <c r="B133" s="14" t="s">
        <v>1082</v>
      </c>
      <c r="C133" s="27" t="s">
        <v>23</v>
      </c>
      <c r="D133" s="14" t="s">
        <v>24</v>
      </c>
      <c r="E133" s="23">
        <v>44632</v>
      </c>
      <c r="F133" s="23">
        <v>44632</v>
      </c>
      <c r="G133" s="14" t="s">
        <v>1083</v>
      </c>
      <c r="H133" s="23">
        <v>44649</v>
      </c>
      <c r="I133" s="16">
        <v>792960</v>
      </c>
      <c r="J133" s="16"/>
      <c r="K133" s="16"/>
      <c r="L133" s="16">
        <v>120960</v>
      </c>
      <c r="M133" s="16">
        <f>I133+J133-K133-L133</f>
        <v>672000</v>
      </c>
      <c r="N133" s="17">
        <f t="shared" si="12"/>
        <v>2</v>
      </c>
      <c r="O133" s="18">
        <v>9</v>
      </c>
      <c r="P133" s="19">
        <f>+O133-(N133/365)</f>
        <v>8.9945205479452053</v>
      </c>
      <c r="Q133" s="22">
        <f>ROUND(+M133/(O133*365)*N133,0)</f>
        <v>409</v>
      </c>
      <c r="R133" s="22">
        <f t="shared" si="13"/>
        <v>671591</v>
      </c>
      <c r="S133" s="21">
        <f>IF(H133&lt;=DATE(2021,9,30),M133,0)</f>
        <v>0</v>
      </c>
      <c r="T133" s="21">
        <f>IF(H133&gt;DATE(2021,9,30),M133,0)</f>
        <v>672000</v>
      </c>
    </row>
    <row r="134" spans="1:20" ht="14.65">
      <c r="A134" s="13">
        <f t="shared" ref="A134:A155" si="17">+A133+1</f>
        <v>131</v>
      </c>
      <c r="B134" s="14" t="s">
        <v>1082</v>
      </c>
      <c r="C134" s="27" t="s">
        <v>23</v>
      </c>
      <c r="D134" s="14" t="s">
        <v>24</v>
      </c>
      <c r="E134" s="23">
        <v>44632</v>
      </c>
      <c r="F134" s="23">
        <v>44632</v>
      </c>
      <c r="G134" s="14" t="s">
        <v>1083</v>
      </c>
      <c r="H134" s="23">
        <v>44649</v>
      </c>
      <c r="I134" s="16">
        <f>956000+172080</f>
        <v>1128080</v>
      </c>
      <c r="J134" s="16"/>
      <c r="K134" s="16"/>
      <c r="L134" s="16">
        <v>172080</v>
      </c>
      <c r="M134" s="16">
        <f>I134+J134-K134-L134</f>
        <v>956000</v>
      </c>
      <c r="N134" s="17">
        <f t="shared" si="12"/>
        <v>2</v>
      </c>
      <c r="O134" s="18">
        <v>9</v>
      </c>
      <c r="P134" s="19">
        <f>+O134-(N134/365)</f>
        <v>8.9945205479452053</v>
      </c>
      <c r="Q134" s="22">
        <f>ROUND(+M134/(O134*365)*N134,0)</f>
        <v>582</v>
      </c>
      <c r="R134" s="22">
        <f t="shared" si="13"/>
        <v>955418</v>
      </c>
      <c r="S134" s="21">
        <f>IF(H134&lt;=DATE(2021,9,30),M134,0)</f>
        <v>0</v>
      </c>
      <c r="T134" s="21">
        <f>IF(H134&gt;DATE(2021,9,30),M134,0)</f>
        <v>956000</v>
      </c>
    </row>
    <row r="135" spans="1:20" ht="14.65">
      <c r="A135" s="13">
        <f t="shared" si="17"/>
        <v>132</v>
      </c>
      <c r="B135" s="14" t="s">
        <v>1084</v>
      </c>
      <c r="C135" s="27" t="s">
        <v>23</v>
      </c>
      <c r="D135" s="14"/>
      <c r="E135" s="23">
        <v>44649</v>
      </c>
      <c r="F135" s="23">
        <v>44649</v>
      </c>
      <c r="G135" s="14" t="s">
        <v>1085</v>
      </c>
      <c r="H135" s="23">
        <v>44649</v>
      </c>
      <c r="I135" s="16">
        <v>3894000</v>
      </c>
      <c r="J135" s="16"/>
      <c r="K135" s="16"/>
      <c r="L135" s="16">
        <v>594000</v>
      </c>
      <c r="M135" s="16">
        <f t="shared" si="14"/>
        <v>3300000</v>
      </c>
      <c r="N135" s="17">
        <f t="shared" si="12"/>
        <v>2</v>
      </c>
      <c r="O135" s="18">
        <v>9</v>
      </c>
      <c r="P135" s="19">
        <f t="shared" si="15"/>
        <v>8.9945205479452053</v>
      </c>
      <c r="Q135" s="22">
        <f t="shared" si="16"/>
        <v>2009</v>
      </c>
      <c r="R135" s="22">
        <f t="shared" si="13"/>
        <v>3297991</v>
      </c>
      <c r="S135" s="21">
        <f t="shared" ref="S135:S155" si="18">IF(H135&lt;=DATE(2021,9,30),M135,0)</f>
        <v>0</v>
      </c>
      <c r="T135" s="21">
        <f t="shared" ref="T135:T155" si="19">IF(H135&gt;DATE(2021,9,30),M135,0)</f>
        <v>3300000</v>
      </c>
    </row>
    <row r="136" spans="1:20" ht="14.65">
      <c r="A136" s="13">
        <f t="shared" si="17"/>
        <v>133</v>
      </c>
      <c r="B136" s="14" t="s">
        <v>1084</v>
      </c>
      <c r="C136" s="27" t="s">
        <v>23</v>
      </c>
      <c r="D136" s="14"/>
      <c r="E136" s="23">
        <v>44649</v>
      </c>
      <c r="F136" s="23">
        <v>44649</v>
      </c>
      <c r="G136" s="14" t="s">
        <v>1085</v>
      </c>
      <c r="H136" s="23">
        <v>44649</v>
      </c>
      <c r="I136" s="16">
        <v>3894000</v>
      </c>
      <c r="J136" s="16"/>
      <c r="K136" s="16"/>
      <c r="L136" s="16">
        <v>594000</v>
      </c>
      <c r="M136" s="16">
        <f>I136+J136-K136-L136</f>
        <v>3300000</v>
      </c>
      <c r="N136" s="17">
        <f t="shared" si="12"/>
        <v>2</v>
      </c>
      <c r="O136" s="18">
        <v>9</v>
      </c>
      <c r="P136" s="19">
        <f>+O136-(N136/365)</f>
        <v>8.9945205479452053</v>
      </c>
      <c r="Q136" s="22">
        <f>ROUND(+M136/(O136*365)*N136,0)</f>
        <v>2009</v>
      </c>
      <c r="R136" s="22">
        <f t="shared" si="13"/>
        <v>3297991</v>
      </c>
      <c r="S136" s="21">
        <f>IF(H136&lt;=DATE(2021,9,30),M136,0)</f>
        <v>0</v>
      </c>
      <c r="T136" s="21">
        <f>IF(H136&gt;DATE(2021,9,30),M136,0)</f>
        <v>3300000</v>
      </c>
    </row>
    <row r="137" spans="1:20" ht="14.65">
      <c r="A137" s="13">
        <f t="shared" si="17"/>
        <v>134</v>
      </c>
      <c r="B137" s="14" t="s">
        <v>1086</v>
      </c>
      <c r="C137" s="27" t="s">
        <v>25</v>
      </c>
      <c r="D137" s="14">
        <v>208</v>
      </c>
      <c r="E137" s="23">
        <v>44632</v>
      </c>
      <c r="F137" s="23">
        <v>44632</v>
      </c>
      <c r="G137" s="14" t="s">
        <v>180</v>
      </c>
      <c r="H137" s="23">
        <v>44632</v>
      </c>
      <c r="I137" s="16">
        <v>525000</v>
      </c>
      <c r="J137" s="16"/>
      <c r="K137" s="16"/>
      <c r="L137" s="16">
        <v>80083</v>
      </c>
      <c r="M137" s="16">
        <f t="shared" si="14"/>
        <v>444917</v>
      </c>
      <c r="N137" s="17">
        <f t="shared" si="12"/>
        <v>19</v>
      </c>
      <c r="O137" s="18">
        <v>9</v>
      </c>
      <c r="P137" s="19">
        <f t="shared" si="15"/>
        <v>8.9479452054794528</v>
      </c>
      <c r="Q137" s="22">
        <f t="shared" si="16"/>
        <v>2573</v>
      </c>
      <c r="R137" s="22">
        <f t="shared" si="13"/>
        <v>442344</v>
      </c>
      <c r="S137" s="21">
        <f t="shared" si="18"/>
        <v>0</v>
      </c>
      <c r="T137" s="21">
        <f t="shared" si="19"/>
        <v>444917</v>
      </c>
    </row>
    <row r="138" spans="1:20" ht="14.65">
      <c r="A138" s="13">
        <f t="shared" si="17"/>
        <v>135</v>
      </c>
      <c r="B138" s="14" t="s">
        <v>1087</v>
      </c>
      <c r="C138" s="14" t="s">
        <v>26</v>
      </c>
      <c r="D138" s="14">
        <v>19</v>
      </c>
      <c r="E138" s="23">
        <v>44305</v>
      </c>
      <c r="F138" s="23">
        <v>44305</v>
      </c>
      <c r="G138" s="14" t="s">
        <v>1088</v>
      </c>
      <c r="H138" s="23">
        <v>44305</v>
      </c>
      <c r="I138" s="16">
        <v>1440000</v>
      </c>
      <c r="J138" s="16"/>
      <c r="K138" s="16"/>
      <c r="L138" s="16">
        <v>315000</v>
      </c>
      <c r="M138" s="16">
        <f t="shared" si="14"/>
        <v>1125000</v>
      </c>
      <c r="N138" s="17">
        <f t="shared" si="12"/>
        <v>346</v>
      </c>
      <c r="O138" s="18">
        <v>9</v>
      </c>
      <c r="P138" s="19">
        <f t="shared" si="15"/>
        <v>8.0520547945205472</v>
      </c>
      <c r="Q138" s="22">
        <f t="shared" si="16"/>
        <v>118493</v>
      </c>
      <c r="R138" s="22">
        <f t="shared" si="13"/>
        <v>1006507</v>
      </c>
      <c r="S138" s="21">
        <f t="shared" si="18"/>
        <v>1125000</v>
      </c>
      <c r="T138" s="21">
        <f t="shared" si="19"/>
        <v>0</v>
      </c>
    </row>
    <row r="139" spans="1:20" ht="14.65">
      <c r="A139" s="13">
        <f t="shared" si="17"/>
        <v>136</v>
      </c>
      <c r="B139" s="14" t="s">
        <v>1089</v>
      </c>
      <c r="C139" s="14" t="s">
        <v>27</v>
      </c>
      <c r="D139" s="14">
        <v>2</v>
      </c>
      <c r="E139" s="15">
        <v>44287</v>
      </c>
      <c r="F139" s="15">
        <v>44287</v>
      </c>
      <c r="G139" s="14" t="s">
        <v>977</v>
      </c>
      <c r="H139" s="15">
        <v>44287</v>
      </c>
      <c r="I139" s="16">
        <v>672600</v>
      </c>
      <c r="J139" s="16"/>
      <c r="K139" s="16"/>
      <c r="L139" s="16">
        <v>102600</v>
      </c>
      <c r="M139" s="16">
        <f t="shared" si="14"/>
        <v>570000</v>
      </c>
      <c r="N139" s="17">
        <f t="shared" si="12"/>
        <v>364</v>
      </c>
      <c r="O139" s="18">
        <v>9</v>
      </c>
      <c r="P139" s="19">
        <f t="shared" si="15"/>
        <v>8.0027397260273965</v>
      </c>
      <c r="Q139" s="22">
        <f t="shared" si="16"/>
        <v>63160</v>
      </c>
      <c r="R139" s="22">
        <f t="shared" si="13"/>
        <v>506840</v>
      </c>
      <c r="S139" s="21">
        <f t="shared" si="18"/>
        <v>570000</v>
      </c>
      <c r="T139" s="21">
        <f t="shared" si="19"/>
        <v>0</v>
      </c>
    </row>
    <row r="140" spans="1:20" ht="14.65">
      <c r="A140" s="13">
        <f t="shared" si="17"/>
        <v>137</v>
      </c>
      <c r="B140" s="14" t="s">
        <v>1089</v>
      </c>
      <c r="C140" s="14" t="s">
        <v>27</v>
      </c>
      <c r="D140" s="14">
        <v>647</v>
      </c>
      <c r="E140" s="15">
        <v>44365</v>
      </c>
      <c r="F140" s="15">
        <v>44365</v>
      </c>
      <c r="G140" s="14" t="s">
        <v>977</v>
      </c>
      <c r="H140" s="15">
        <v>44365</v>
      </c>
      <c r="I140" s="16">
        <v>336300</v>
      </c>
      <c r="J140" s="16"/>
      <c r="K140" s="16"/>
      <c r="L140" s="16">
        <v>51300</v>
      </c>
      <c r="M140" s="16">
        <f t="shared" si="14"/>
        <v>285000</v>
      </c>
      <c r="N140" s="17">
        <f t="shared" si="12"/>
        <v>286</v>
      </c>
      <c r="O140" s="18">
        <v>9</v>
      </c>
      <c r="P140" s="19">
        <f t="shared" si="15"/>
        <v>8.2164383561643834</v>
      </c>
      <c r="Q140" s="22">
        <f t="shared" si="16"/>
        <v>24813</v>
      </c>
      <c r="R140" s="22">
        <f t="shared" si="13"/>
        <v>260187</v>
      </c>
      <c r="S140" s="21">
        <f t="shared" si="18"/>
        <v>285000</v>
      </c>
      <c r="T140" s="21">
        <f t="shared" si="19"/>
        <v>0</v>
      </c>
    </row>
    <row r="141" spans="1:20" ht="14.65">
      <c r="A141" s="13">
        <f t="shared" si="17"/>
        <v>138</v>
      </c>
      <c r="B141" s="14" t="s">
        <v>1089</v>
      </c>
      <c r="C141" s="14" t="s">
        <v>27</v>
      </c>
      <c r="D141" s="14">
        <v>2919</v>
      </c>
      <c r="E141" s="15">
        <v>44600</v>
      </c>
      <c r="F141" s="15">
        <v>44600</v>
      </c>
      <c r="G141" s="14" t="s">
        <v>977</v>
      </c>
      <c r="H141" s="15">
        <v>44600</v>
      </c>
      <c r="I141" s="16">
        <v>1026600</v>
      </c>
      <c r="J141" s="16"/>
      <c r="K141" s="16"/>
      <c r="L141" s="16">
        <v>156600</v>
      </c>
      <c r="M141" s="16">
        <f t="shared" si="14"/>
        <v>870000</v>
      </c>
      <c r="N141" s="17">
        <f t="shared" si="12"/>
        <v>51</v>
      </c>
      <c r="O141" s="18">
        <v>9</v>
      </c>
      <c r="P141" s="19">
        <f t="shared" si="15"/>
        <v>8.8602739726027391</v>
      </c>
      <c r="Q141" s="22">
        <f t="shared" si="16"/>
        <v>13507</v>
      </c>
      <c r="R141" s="22">
        <f t="shared" si="13"/>
        <v>856493</v>
      </c>
      <c r="S141" s="21">
        <f t="shared" si="18"/>
        <v>0</v>
      </c>
      <c r="T141" s="21">
        <f t="shared" si="19"/>
        <v>870000</v>
      </c>
    </row>
    <row r="142" spans="1:20" ht="14.65">
      <c r="A142" s="13">
        <f t="shared" si="17"/>
        <v>139</v>
      </c>
      <c r="B142" s="14" t="s">
        <v>1089</v>
      </c>
      <c r="C142" s="14" t="s">
        <v>27</v>
      </c>
      <c r="D142" s="14">
        <v>3369</v>
      </c>
      <c r="E142" s="15">
        <v>44643</v>
      </c>
      <c r="F142" s="15">
        <v>44643</v>
      </c>
      <c r="G142" s="14" t="s">
        <v>977</v>
      </c>
      <c r="H142" s="15">
        <v>44643</v>
      </c>
      <c r="I142" s="16">
        <v>153400</v>
      </c>
      <c r="J142" s="16"/>
      <c r="K142" s="16"/>
      <c r="L142" s="16">
        <v>23400</v>
      </c>
      <c r="M142" s="16">
        <f t="shared" si="14"/>
        <v>130000</v>
      </c>
      <c r="N142" s="17">
        <f>$N$1-H142</f>
        <v>8</v>
      </c>
      <c r="O142" s="18">
        <v>9</v>
      </c>
      <c r="P142" s="19">
        <f t="shared" si="15"/>
        <v>8.9780821917808211</v>
      </c>
      <c r="Q142" s="22">
        <f t="shared" si="16"/>
        <v>317</v>
      </c>
      <c r="R142" s="22">
        <f>+M142-Q142</f>
        <v>129683</v>
      </c>
      <c r="S142" s="21">
        <f t="shared" si="18"/>
        <v>0</v>
      </c>
      <c r="T142" s="21">
        <f t="shared" si="19"/>
        <v>130000</v>
      </c>
    </row>
    <row r="143" spans="1:20" ht="14.65">
      <c r="A143" s="13">
        <f t="shared" si="17"/>
        <v>140</v>
      </c>
      <c r="B143" s="14" t="s">
        <v>1090</v>
      </c>
      <c r="C143" s="26" t="s">
        <v>28</v>
      </c>
      <c r="D143" s="24">
        <v>96</v>
      </c>
      <c r="E143" s="25">
        <v>44431</v>
      </c>
      <c r="F143" s="25">
        <v>44431</v>
      </c>
      <c r="G143" s="14" t="s">
        <v>1091</v>
      </c>
      <c r="H143" s="25">
        <v>44431</v>
      </c>
      <c r="I143" s="16">
        <v>82600</v>
      </c>
      <c r="J143" s="16"/>
      <c r="K143" s="16"/>
      <c r="L143" s="16">
        <v>12600</v>
      </c>
      <c r="M143" s="16">
        <f>I143+J143-K143-L143</f>
        <v>70000</v>
      </c>
      <c r="N143" s="17">
        <f>$N$1-H143</f>
        <v>220</v>
      </c>
      <c r="O143" s="18">
        <v>9</v>
      </c>
      <c r="P143" s="19">
        <f t="shared" si="15"/>
        <v>8.3972602739726021</v>
      </c>
      <c r="Q143" s="22">
        <f t="shared" si="16"/>
        <v>4688</v>
      </c>
      <c r="R143" s="22">
        <f t="shared" si="13"/>
        <v>65312</v>
      </c>
      <c r="S143" s="21">
        <f t="shared" si="18"/>
        <v>70000</v>
      </c>
      <c r="T143" s="21">
        <f t="shared" si="19"/>
        <v>0</v>
      </c>
    </row>
    <row r="144" spans="1:20" ht="14.65">
      <c r="A144" s="13">
        <f t="shared" si="17"/>
        <v>141</v>
      </c>
      <c r="B144" s="14" t="s">
        <v>1092</v>
      </c>
      <c r="C144" s="26" t="s">
        <v>28</v>
      </c>
      <c r="D144" s="14">
        <v>159</v>
      </c>
      <c r="E144" s="23">
        <v>44581</v>
      </c>
      <c r="F144" s="23">
        <v>44581</v>
      </c>
      <c r="G144" s="14" t="s">
        <v>180</v>
      </c>
      <c r="H144" s="23">
        <v>44581</v>
      </c>
      <c r="I144" s="16">
        <v>510000</v>
      </c>
      <c r="J144" s="16"/>
      <c r="K144" s="16"/>
      <c r="L144" s="16">
        <v>77795</v>
      </c>
      <c r="M144" s="16">
        <f>I144+J144-K144-L144</f>
        <v>432205</v>
      </c>
      <c r="N144" s="17">
        <f>$N$1-H144</f>
        <v>70</v>
      </c>
      <c r="O144" s="18">
        <v>9</v>
      </c>
      <c r="P144" s="19">
        <f t="shared" si="15"/>
        <v>8.8082191780821919</v>
      </c>
      <c r="Q144" s="22">
        <f t="shared" si="16"/>
        <v>9210</v>
      </c>
      <c r="R144" s="22">
        <f t="shared" si="13"/>
        <v>422995</v>
      </c>
      <c r="S144" s="21">
        <f t="shared" si="18"/>
        <v>0</v>
      </c>
      <c r="T144" s="21">
        <f t="shared" si="19"/>
        <v>432205</v>
      </c>
    </row>
    <row r="145" spans="1:20" ht="14.65">
      <c r="A145" s="13">
        <f t="shared" si="17"/>
        <v>142</v>
      </c>
      <c r="B145" s="14" t="s">
        <v>1093</v>
      </c>
      <c r="C145" s="26" t="s">
        <v>1094</v>
      </c>
      <c r="D145" s="14">
        <v>2120011541</v>
      </c>
      <c r="E145" s="23">
        <v>44588</v>
      </c>
      <c r="F145" s="23">
        <v>44593</v>
      </c>
      <c r="G145" s="14" t="s">
        <v>1095</v>
      </c>
      <c r="H145" s="23">
        <v>44593</v>
      </c>
      <c r="I145" s="16">
        <v>2950000</v>
      </c>
      <c r="J145" s="16">
        <v>203970</v>
      </c>
      <c r="K145" s="16"/>
      <c r="L145" s="16">
        <v>450000</v>
      </c>
      <c r="M145" s="16">
        <f t="shared" si="14"/>
        <v>2703970</v>
      </c>
      <c r="N145" s="17">
        <f t="shared" si="12"/>
        <v>58</v>
      </c>
      <c r="O145" s="18">
        <v>9</v>
      </c>
      <c r="P145" s="19">
        <f t="shared" si="15"/>
        <v>8.8410958904109584</v>
      </c>
      <c r="Q145" s="22">
        <f t="shared" si="16"/>
        <v>47741</v>
      </c>
      <c r="R145" s="22">
        <f t="shared" si="13"/>
        <v>2656229</v>
      </c>
      <c r="S145" s="21">
        <f t="shared" si="18"/>
        <v>0</v>
      </c>
      <c r="T145" s="21">
        <f t="shared" si="19"/>
        <v>2703970</v>
      </c>
    </row>
    <row r="146" spans="1:20" ht="14.65">
      <c r="A146" s="13">
        <f t="shared" si="17"/>
        <v>143</v>
      </c>
      <c r="B146" s="14" t="s">
        <v>1096</v>
      </c>
      <c r="C146" s="26" t="s">
        <v>1094</v>
      </c>
      <c r="D146" s="14">
        <v>833037394</v>
      </c>
      <c r="E146" s="23">
        <v>44592</v>
      </c>
      <c r="F146" s="23">
        <v>44613</v>
      </c>
      <c r="G146" s="14" t="s">
        <v>981</v>
      </c>
      <c r="H146" s="23">
        <v>44613</v>
      </c>
      <c r="I146" s="16">
        <v>4250070</v>
      </c>
      <c r="J146" s="16">
        <v>290150</v>
      </c>
      <c r="K146" s="16">
        <v>43071</v>
      </c>
      <c r="L146" s="16">
        <v>657000</v>
      </c>
      <c r="M146" s="16">
        <f t="shared" si="14"/>
        <v>3840149</v>
      </c>
      <c r="N146" s="17">
        <f t="shared" si="12"/>
        <v>38</v>
      </c>
      <c r="O146" s="18">
        <v>9</v>
      </c>
      <c r="P146" s="19">
        <f t="shared" si="15"/>
        <v>8.8958904109589039</v>
      </c>
      <c r="Q146" s="22">
        <f t="shared" si="16"/>
        <v>44422</v>
      </c>
      <c r="R146" s="22">
        <f t="shared" si="13"/>
        <v>3795727</v>
      </c>
      <c r="S146" s="21">
        <f t="shared" si="18"/>
        <v>0</v>
      </c>
      <c r="T146" s="21">
        <f t="shared" si="19"/>
        <v>3840149</v>
      </c>
    </row>
    <row r="147" spans="1:20" ht="14.65">
      <c r="A147" s="13">
        <f t="shared" si="17"/>
        <v>144</v>
      </c>
      <c r="B147" s="14" t="s">
        <v>978</v>
      </c>
      <c r="C147" s="26" t="s">
        <v>1094</v>
      </c>
      <c r="D147" s="24">
        <v>833039602</v>
      </c>
      <c r="E147" s="23">
        <v>44641</v>
      </c>
      <c r="F147" s="23">
        <v>44641</v>
      </c>
      <c r="G147" s="14" t="s">
        <v>981</v>
      </c>
      <c r="H147" s="23">
        <v>44644</v>
      </c>
      <c r="I147" s="16">
        <v>12744000</v>
      </c>
      <c r="J147" s="16"/>
      <c r="K147" s="16"/>
      <c r="L147" s="16">
        <v>1944000</v>
      </c>
      <c r="M147" s="16">
        <f t="shared" si="14"/>
        <v>10800000</v>
      </c>
      <c r="N147" s="17">
        <f t="shared" si="12"/>
        <v>7</v>
      </c>
      <c r="O147" s="18">
        <v>9</v>
      </c>
      <c r="P147" s="19">
        <f t="shared" si="15"/>
        <v>8.9808219178082194</v>
      </c>
      <c r="Q147" s="22">
        <f t="shared" si="16"/>
        <v>23014</v>
      </c>
      <c r="R147" s="22">
        <f t="shared" si="13"/>
        <v>10776986</v>
      </c>
      <c r="S147" s="21">
        <f t="shared" si="18"/>
        <v>0</v>
      </c>
      <c r="T147" s="21">
        <f t="shared" si="19"/>
        <v>10800000</v>
      </c>
    </row>
    <row r="148" spans="1:20" ht="14.65">
      <c r="A148" s="13">
        <f t="shared" si="17"/>
        <v>145</v>
      </c>
      <c r="B148" s="14" t="s">
        <v>1097</v>
      </c>
      <c r="C148" s="26" t="s">
        <v>1094</v>
      </c>
      <c r="D148" s="14" t="s">
        <v>1098</v>
      </c>
      <c r="E148" s="23">
        <v>44623</v>
      </c>
      <c r="F148" s="23">
        <v>44623</v>
      </c>
      <c r="G148" s="14" t="s">
        <v>170</v>
      </c>
      <c r="H148" s="23">
        <v>44623</v>
      </c>
      <c r="I148" s="16">
        <v>5162500</v>
      </c>
      <c r="J148" s="16"/>
      <c r="K148" s="16"/>
      <c r="L148" s="16">
        <v>787500</v>
      </c>
      <c r="M148" s="16">
        <f t="shared" si="14"/>
        <v>4375000</v>
      </c>
      <c r="N148" s="17">
        <f t="shared" si="12"/>
        <v>28</v>
      </c>
      <c r="O148" s="18">
        <v>9</v>
      </c>
      <c r="P148" s="19">
        <f t="shared" si="15"/>
        <v>8.9232876712328775</v>
      </c>
      <c r="Q148" s="22">
        <f t="shared" si="16"/>
        <v>37291</v>
      </c>
      <c r="R148" s="22">
        <f t="shared" si="13"/>
        <v>4337709</v>
      </c>
      <c r="S148" s="21">
        <f t="shared" si="18"/>
        <v>0</v>
      </c>
      <c r="T148" s="21">
        <f t="shared" si="19"/>
        <v>4375000</v>
      </c>
    </row>
    <row r="149" spans="1:20" ht="14.65">
      <c r="A149" s="13">
        <f t="shared" si="17"/>
        <v>146</v>
      </c>
      <c r="B149" s="14" t="s">
        <v>1099</v>
      </c>
      <c r="C149" s="26" t="s">
        <v>1094</v>
      </c>
      <c r="D149" s="14" t="s">
        <v>1100</v>
      </c>
      <c r="E149" s="23">
        <v>44648</v>
      </c>
      <c r="F149" s="23">
        <v>44648</v>
      </c>
      <c r="G149" s="14" t="s">
        <v>1101</v>
      </c>
      <c r="H149" s="23">
        <v>44648</v>
      </c>
      <c r="I149" s="16">
        <v>2581533</v>
      </c>
      <c r="J149" s="16"/>
      <c r="K149" s="16">
        <v>0</v>
      </c>
      <c r="L149" s="16">
        <v>393793</v>
      </c>
      <c r="M149" s="16">
        <f t="shared" si="14"/>
        <v>2187740</v>
      </c>
      <c r="N149" s="17">
        <f t="shared" si="12"/>
        <v>3</v>
      </c>
      <c r="O149" s="18">
        <v>9</v>
      </c>
      <c r="P149" s="19">
        <f t="shared" si="15"/>
        <v>8.9917808219178088</v>
      </c>
      <c r="Q149" s="22">
        <f t="shared" si="16"/>
        <v>1998</v>
      </c>
      <c r="R149" s="22">
        <f>+M149-Q149</f>
        <v>2185742</v>
      </c>
      <c r="S149" s="21">
        <f t="shared" si="18"/>
        <v>0</v>
      </c>
      <c r="T149" s="21">
        <f t="shared" si="19"/>
        <v>2187740</v>
      </c>
    </row>
    <row r="150" spans="1:20" ht="14.65">
      <c r="A150" s="13">
        <f t="shared" si="17"/>
        <v>147</v>
      </c>
      <c r="B150" s="14" t="s">
        <v>1102</v>
      </c>
      <c r="C150" s="26" t="s">
        <v>1094</v>
      </c>
      <c r="D150" s="14">
        <v>380</v>
      </c>
      <c r="E150" s="23">
        <v>44648</v>
      </c>
      <c r="F150" s="23">
        <v>44648</v>
      </c>
      <c r="G150" s="14" t="s">
        <v>1103</v>
      </c>
      <c r="H150" s="23">
        <v>44648</v>
      </c>
      <c r="I150" s="16">
        <v>461238</v>
      </c>
      <c r="J150" s="16"/>
      <c r="K150" s="16"/>
      <c r="L150" s="16">
        <v>70358</v>
      </c>
      <c r="M150" s="16">
        <f t="shared" si="14"/>
        <v>390880</v>
      </c>
      <c r="N150" s="17">
        <f t="shared" si="12"/>
        <v>3</v>
      </c>
      <c r="O150" s="18">
        <v>9</v>
      </c>
      <c r="P150" s="19">
        <f t="shared" si="15"/>
        <v>8.9917808219178088</v>
      </c>
      <c r="Q150" s="22">
        <f t="shared" si="16"/>
        <v>357</v>
      </c>
      <c r="R150" s="22">
        <f>+M150-Q150</f>
        <v>390523</v>
      </c>
      <c r="S150" s="21">
        <f t="shared" si="18"/>
        <v>0</v>
      </c>
      <c r="T150" s="21">
        <f t="shared" si="19"/>
        <v>390880</v>
      </c>
    </row>
    <row r="151" spans="1:20" ht="14.65">
      <c r="A151" s="13">
        <f t="shared" si="17"/>
        <v>148</v>
      </c>
      <c r="B151" s="14" t="s">
        <v>1104</v>
      </c>
      <c r="C151" s="26" t="s">
        <v>1094</v>
      </c>
      <c r="D151" s="14" t="s">
        <v>1105</v>
      </c>
      <c r="E151" s="23">
        <v>44648</v>
      </c>
      <c r="F151" s="23">
        <v>44648</v>
      </c>
      <c r="G151" s="14" t="s">
        <v>170</v>
      </c>
      <c r="H151" s="23">
        <v>44648</v>
      </c>
      <c r="I151" s="16">
        <f>1050000+189000</f>
        <v>1239000</v>
      </c>
      <c r="J151" s="16"/>
      <c r="K151" s="16">
        <v>0</v>
      </c>
      <c r="L151" s="16">
        <v>189000</v>
      </c>
      <c r="M151" s="16">
        <f t="shared" si="14"/>
        <v>1050000</v>
      </c>
      <c r="N151" s="17">
        <f t="shared" si="12"/>
        <v>3</v>
      </c>
      <c r="O151" s="18">
        <v>9</v>
      </c>
      <c r="P151" s="19">
        <f>+O151-(N151/365)</f>
        <v>8.9917808219178088</v>
      </c>
      <c r="Q151" s="22">
        <f>ROUND(+M151/(O151*365)*N151,0)</f>
        <v>959</v>
      </c>
      <c r="R151" s="22">
        <f>+M151-Q151</f>
        <v>1049041</v>
      </c>
      <c r="S151" s="21">
        <f>IF(H151&lt;=DATE(2021,9,30),M151,0)</f>
        <v>0</v>
      </c>
      <c r="T151" s="21">
        <f>IF(H151&gt;DATE(2021,9,30),M151,0)</f>
        <v>1050000</v>
      </c>
    </row>
    <row r="152" spans="1:20" ht="14.65">
      <c r="A152" s="13">
        <f t="shared" si="17"/>
        <v>149</v>
      </c>
      <c r="B152" s="14" t="s">
        <v>1106</v>
      </c>
      <c r="C152" s="27" t="s">
        <v>29</v>
      </c>
      <c r="D152" s="14">
        <v>357</v>
      </c>
      <c r="E152" s="23">
        <v>44634</v>
      </c>
      <c r="F152" s="23">
        <v>44634</v>
      </c>
      <c r="G152" s="14" t="s">
        <v>1103</v>
      </c>
      <c r="H152" s="23">
        <v>44634</v>
      </c>
      <c r="I152" s="16">
        <v>463581</v>
      </c>
      <c r="J152" s="16"/>
      <c r="K152" s="16"/>
      <c r="L152" s="16">
        <v>70716</v>
      </c>
      <c r="M152" s="16">
        <f t="shared" si="14"/>
        <v>392865</v>
      </c>
      <c r="N152" s="17">
        <f t="shared" si="12"/>
        <v>17</v>
      </c>
      <c r="O152" s="18">
        <v>9</v>
      </c>
      <c r="P152" s="19">
        <f t="shared" si="15"/>
        <v>8.9534246575342458</v>
      </c>
      <c r="Q152" s="22">
        <f t="shared" si="16"/>
        <v>2033</v>
      </c>
      <c r="R152" s="22">
        <f>+M152-Q152</f>
        <v>390832</v>
      </c>
      <c r="S152" s="21">
        <f t="shared" si="18"/>
        <v>0</v>
      </c>
      <c r="T152" s="21">
        <f t="shared" si="19"/>
        <v>392865</v>
      </c>
    </row>
    <row r="153" spans="1:20" ht="14.65">
      <c r="A153" s="13">
        <f t="shared" si="17"/>
        <v>150</v>
      </c>
      <c r="B153" s="14" t="s">
        <v>1107</v>
      </c>
      <c r="C153" s="26" t="s">
        <v>1108</v>
      </c>
      <c r="D153" s="14">
        <v>192</v>
      </c>
      <c r="E153" s="23">
        <v>44620</v>
      </c>
      <c r="F153" s="23">
        <v>44620</v>
      </c>
      <c r="G153" s="14" t="s">
        <v>180</v>
      </c>
      <c r="H153" s="23">
        <v>44620</v>
      </c>
      <c r="I153" s="16">
        <v>800000</v>
      </c>
      <c r="J153" s="16"/>
      <c r="K153" s="16"/>
      <c r="L153" s="16">
        <v>122034</v>
      </c>
      <c r="M153" s="16">
        <f t="shared" si="14"/>
        <v>677966</v>
      </c>
      <c r="N153" s="17">
        <f t="shared" si="12"/>
        <v>31</v>
      </c>
      <c r="O153" s="18">
        <v>9</v>
      </c>
      <c r="P153" s="19">
        <f t="shared" si="15"/>
        <v>8.9150684931506845</v>
      </c>
      <c r="Q153" s="22">
        <f t="shared" si="16"/>
        <v>6398</v>
      </c>
      <c r="R153" s="22">
        <f t="shared" si="13"/>
        <v>671568</v>
      </c>
      <c r="S153" s="21">
        <f t="shared" si="18"/>
        <v>0</v>
      </c>
      <c r="T153" s="21">
        <f t="shared" si="19"/>
        <v>677966</v>
      </c>
    </row>
    <row r="154" spans="1:20" ht="14.65">
      <c r="A154" s="13">
        <f t="shared" si="17"/>
        <v>151</v>
      </c>
      <c r="B154" s="14" t="s">
        <v>1107</v>
      </c>
      <c r="C154" s="26" t="s">
        <v>1108</v>
      </c>
      <c r="D154" s="14">
        <v>194</v>
      </c>
      <c r="E154" s="23">
        <v>44620</v>
      </c>
      <c r="F154" s="23">
        <v>44620</v>
      </c>
      <c r="G154" s="14" t="s">
        <v>180</v>
      </c>
      <c r="H154" s="23">
        <v>44620</v>
      </c>
      <c r="I154" s="16">
        <v>800000</v>
      </c>
      <c r="J154" s="16"/>
      <c r="K154" s="16"/>
      <c r="L154" s="16">
        <v>122034</v>
      </c>
      <c r="M154" s="16">
        <f t="shared" si="14"/>
        <v>677966</v>
      </c>
      <c r="N154" s="17">
        <f t="shared" si="12"/>
        <v>31</v>
      </c>
      <c r="O154" s="18">
        <v>9</v>
      </c>
      <c r="P154" s="19">
        <f t="shared" si="15"/>
        <v>8.9150684931506845</v>
      </c>
      <c r="Q154" s="22">
        <f t="shared" si="16"/>
        <v>6398</v>
      </c>
      <c r="R154" s="22">
        <f t="shared" si="13"/>
        <v>671568</v>
      </c>
      <c r="S154" s="21">
        <f t="shared" si="18"/>
        <v>0</v>
      </c>
      <c r="T154" s="21">
        <f t="shared" si="19"/>
        <v>677966</v>
      </c>
    </row>
    <row r="155" spans="1:20" ht="14.65">
      <c r="A155" s="13">
        <f t="shared" si="17"/>
        <v>152</v>
      </c>
      <c r="B155" s="14" t="s">
        <v>1107</v>
      </c>
      <c r="C155" s="26" t="s">
        <v>1108</v>
      </c>
      <c r="D155" s="14">
        <v>193</v>
      </c>
      <c r="E155" s="23">
        <v>44620</v>
      </c>
      <c r="F155" s="23">
        <v>44620</v>
      </c>
      <c r="G155" s="14" t="s">
        <v>180</v>
      </c>
      <c r="H155" s="23">
        <v>44620</v>
      </c>
      <c r="I155" s="16">
        <v>800000</v>
      </c>
      <c r="J155" s="16"/>
      <c r="K155" s="16"/>
      <c r="L155" s="16">
        <v>122034</v>
      </c>
      <c r="M155" s="16">
        <f t="shared" si="14"/>
        <v>677966</v>
      </c>
      <c r="N155" s="17">
        <f t="shared" si="12"/>
        <v>31</v>
      </c>
      <c r="O155" s="18">
        <v>9</v>
      </c>
      <c r="P155" s="19">
        <f t="shared" si="15"/>
        <v>8.9150684931506845</v>
      </c>
      <c r="Q155" s="22">
        <f t="shared" si="16"/>
        <v>6398</v>
      </c>
      <c r="R155" s="22">
        <f t="shared" si="13"/>
        <v>671568</v>
      </c>
      <c r="S155" s="21">
        <f t="shared" si="18"/>
        <v>0</v>
      </c>
      <c r="T155" s="21">
        <f t="shared" si="19"/>
        <v>677966</v>
      </c>
    </row>
    <row r="156" spans="1:20" ht="14.65">
      <c r="A156" s="13" t="s">
        <v>24</v>
      </c>
      <c r="B156" s="29" t="s">
        <v>30</v>
      </c>
      <c r="C156" s="26"/>
      <c r="D156" s="14"/>
      <c r="E156" s="23"/>
      <c r="F156" s="23"/>
      <c r="G156" s="14"/>
      <c r="H156" s="23"/>
      <c r="I156" s="30">
        <f>SUM(I4:I155)</f>
        <v>414674997.19999993</v>
      </c>
      <c r="J156" s="30">
        <f>SUM(J4:J155)</f>
        <v>2239166</v>
      </c>
      <c r="K156" s="30">
        <f>SUM(K4:K155)</f>
        <v>1494183</v>
      </c>
      <c r="L156" s="30">
        <f>SUM(L4:L155)</f>
        <v>68722273</v>
      </c>
      <c r="M156" s="30">
        <f>SUM(M4:M155)</f>
        <v>346697707.19999993</v>
      </c>
      <c r="N156" s="17"/>
      <c r="O156" s="18"/>
      <c r="P156" s="18"/>
      <c r="Q156" s="30">
        <f>SUM(Q4:Q155)</f>
        <v>7272839</v>
      </c>
      <c r="R156" s="30">
        <f>SUM(R4:R155)</f>
        <v>339424868.19999993</v>
      </c>
      <c r="S156" s="30">
        <f>SUM(S4:S155)</f>
        <v>41436170</v>
      </c>
      <c r="T156" s="30">
        <f>SUM(T4:T155)</f>
        <v>305261537.19999993</v>
      </c>
    </row>
    <row r="157" spans="1:20" ht="14.65">
      <c r="A157" s="13" t="s">
        <v>24</v>
      </c>
      <c r="B157" s="31" t="s">
        <v>31</v>
      </c>
      <c r="C157" s="26"/>
      <c r="D157" s="14"/>
      <c r="E157" s="23"/>
      <c r="F157" s="23"/>
      <c r="G157" s="14"/>
      <c r="H157" s="23"/>
      <c r="I157" s="16"/>
      <c r="J157" s="16"/>
      <c r="K157" s="16"/>
      <c r="L157" s="16"/>
      <c r="M157" s="16"/>
      <c r="N157" s="17"/>
      <c r="O157" s="18"/>
      <c r="P157" s="18"/>
      <c r="Q157" s="22"/>
      <c r="R157" s="22"/>
      <c r="S157" s="32"/>
      <c r="T157" s="32"/>
    </row>
    <row r="158" spans="1:20" ht="14.65">
      <c r="A158" s="13">
        <f>+A155+1</f>
        <v>153</v>
      </c>
      <c r="B158" s="14" t="s">
        <v>1109</v>
      </c>
      <c r="C158" s="14" t="s">
        <v>1110</v>
      </c>
      <c r="D158" s="14">
        <v>125</v>
      </c>
      <c r="E158" s="15">
        <v>44392</v>
      </c>
      <c r="F158" s="15">
        <v>44392</v>
      </c>
      <c r="G158" s="14" t="s">
        <v>1111</v>
      </c>
      <c r="H158" s="15">
        <v>44392</v>
      </c>
      <c r="I158" s="16">
        <v>44000</v>
      </c>
      <c r="J158" s="16"/>
      <c r="K158" s="16"/>
      <c r="L158" s="16">
        <v>6712</v>
      </c>
      <c r="M158" s="16">
        <f>I158+J158-K158-L158</f>
        <v>37288</v>
      </c>
      <c r="N158" s="17">
        <f t="shared" ref="N158:N174" si="20">$N$1-H158</f>
        <v>259</v>
      </c>
      <c r="O158" s="33">
        <v>3</v>
      </c>
      <c r="P158" s="19">
        <f>O158-(N158/365)</f>
        <v>2.2904109589041095</v>
      </c>
      <c r="Q158" s="32">
        <f>M158*95%/O158*N158/365</f>
        <v>8378.7327853881288</v>
      </c>
      <c r="R158" s="22">
        <f t="shared" ref="R158:R174" si="21">M158-Q158</f>
        <v>28909.267214611871</v>
      </c>
      <c r="S158" s="34">
        <f t="shared" ref="S158:S174" si="22">IF(H158&lt;=DATE(2021,9,30),M158,0)</f>
        <v>37288</v>
      </c>
      <c r="T158" s="34">
        <f t="shared" ref="T158:T174" si="23">IF(H158&gt;DATE(2021,9,30),M158,0)</f>
        <v>0</v>
      </c>
    </row>
    <row r="159" spans="1:20" ht="14.65">
      <c r="A159" s="13">
        <f>+A158+1</f>
        <v>154</v>
      </c>
      <c r="B159" s="14" t="s">
        <v>1112</v>
      </c>
      <c r="C159" s="14" t="s">
        <v>1110</v>
      </c>
      <c r="D159" s="14">
        <v>165</v>
      </c>
      <c r="E159" s="15">
        <v>44404</v>
      </c>
      <c r="F159" s="15">
        <v>44410</v>
      </c>
      <c r="G159" s="14" t="s">
        <v>1111</v>
      </c>
      <c r="H159" s="15">
        <v>44410</v>
      </c>
      <c r="I159" s="16">
        <v>56000</v>
      </c>
      <c r="J159" s="16"/>
      <c r="K159" s="16"/>
      <c r="L159" s="16">
        <v>8542</v>
      </c>
      <c r="M159" s="16">
        <f t="shared" ref="M159:M174" si="24">I159+J159-K159-L159</f>
        <v>47458</v>
      </c>
      <c r="N159" s="17">
        <f t="shared" si="20"/>
        <v>241</v>
      </c>
      <c r="O159" s="33">
        <v>3</v>
      </c>
      <c r="P159" s="19">
        <f t="shared" ref="P159:P174" si="25">O159-(N159/365)</f>
        <v>2.3397260273972602</v>
      </c>
      <c r="Q159" s="32">
        <f t="shared" ref="Q159:Q174" si="26">M159*95%/O159*N159/365</f>
        <v>9922.8393607305934</v>
      </c>
      <c r="R159" s="22">
        <f t="shared" si="21"/>
        <v>37535.160639269408</v>
      </c>
      <c r="S159" s="34">
        <f t="shared" si="22"/>
        <v>47458</v>
      </c>
      <c r="T159" s="34">
        <f t="shared" si="23"/>
        <v>0</v>
      </c>
    </row>
    <row r="160" spans="1:20" ht="14.65">
      <c r="A160" s="13">
        <f>+A159+1</f>
        <v>155</v>
      </c>
      <c r="B160" s="14" t="s">
        <v>1113</v>
      </c>
      <c r="C160" s="14" t="s">
        <v>26</v>
      </c>
      <c r="D160" s="14" t="s">
        <v>1114</v>
      </c>
      <c r="E160" s="15">
        <v>44306</v>
      </c>
      <c r="F160" s="15">
        <v>44306</v>
      </c>
      <c r="G160" s="14" t="s">
        <v>427</v>
      </c>
      <c r="H160" s="15">
        <v>44306</v>
      </c>
      <c r="I160" s="16">
        <v>37702</v>
      </c>
      <c r="J160" s="16"/>
      <c r="K160" s="16"/>
      <c r="L160" s="16">
        <v>5752</v>
      </c>
      <c r="M160" s="16">
        <f t="shared" si="24"/>
        <v>31950</v>
      </c>
      <c r="N160" s="17">
        <f t="shared" si="20"/>
        <v>345</v>
      </c>
      <c r="O160" s="33">
        <v>3</v>
      </c>
      <c r="P160" s="19">
        <f t="shared" si="25"/>
        <v>2.0547945205479454</v>
      </c>
      <c r="Q160" s="32">
        <f t="shared" si="26"/>
        <v>9563.1164383561645</v>
      </c>
      <c r="R160" s="22">
        <f t="shared" si="21"/>
        <v>22386.883561643837</v>
      </c>
      <c r="S160" s="34">
        <f t="shared" si="22"/>
        <v>31950</v>
      </c>
      <c r="T160" s="34">
        <f t="shared" si="23"/>
        <v>0</v>
      </c>
    </row>
    <row r="161" spans="1:20" ht="14.65">
      <c r="A161" s="13">
        <f>+A160+1</f>
        <v>156</v>
      </c>
      <c r="B161" s="14" t="s">
        <v>1112</v>
      </c>
      <c r="C161" s="14" t="s">
        <v>26</v>
      </c>
      <c r="D161" s="14" t="s">
        <v>1115</v>
      </c>
      <c r="E161" s="23">
        <v>44336</v>
      </c>
      <c r="F161" s="23">
        <v>44336</v>
      </c>
      <c r="G161" s="14" t="s">
        <v>427</v>
      </c>
      <c r="H161" s="23">
        <v>44336</v>
      </c>
      <c r="I161" s="16">
        <v>105789</v>
      </c>
      <c r="J161" s="16"/>
      <c r="K161" s="16"/>
      <c r="L161" s="16">
        <v>16138</v>
      </c>
      <c r="M161" s="16">
        <f t="shared" si="24"/>
        <v>89651</v>
      </c>
      <c r="N161" s="17">
        <f t="shared" si="20"/>
        <v>315</v>
      </c>
      <c r="O161" s="33">
        <v>3</v>
      </c>
      <c r="P161" s="19">
        <f t="shared" si="25"/>
        <v>2.1369863013698631</v>
      </c>
      <c r="Q161" s="32">
        <f t="shared" si="26"/>
        <v>24500.51301369863</v>
      </c>
      <c r="R161" s="22">
        <f t="shared" si="21"/>
        <v>65150.486986301374</v>
      </c>
      <c r="S161" s="34">
        <f t="shared" si="22"/>
        <v>89651</v>
      </c>
      <c r="T161" s="34">
        <f t="shared" si="23"/>
        <v>0</v>
      </c>
    </row>
    <row r="162" spans="1:20" ht="14.65">
      <c r="A162" s="13">
        <f>+A161+1</f>
        <v>157</v>
      </c>
      <c r="B162" s="14" t="s">
        <v>1113</v>
      </c>
      <c r="C162" s="14" t="s">
        <v>26</v>
      </c>
      <c r="D162" s="14" t="s">
        <v>1116</v>
      </c>
      <c r="E162" s="15">
        <v>44415</v>
      </c>
      <c r="F162" s="15">
        <v>44420</v>
      </c>
      <c r="G162" s="14" t="s">
        <v>427</v>
      </c>
      <c r="H162" s="15">
        <v>44420</v>
      </c>
      <c r="I162" s="16">
        <v>32392</v>
      </c>
      <c r="J162" s="16"/>
      <c r="K162" s="16"/>
      <c r="L162" s="16">
        <v>4942</v>
      </c>
      <c r="M162" s="16">
        <f t="shared" si="24"/>
        <v>27450</v>
      </c>
      <c r="N162" s="17">
        <f t="shared" si="20"/>
        <v>231</v>
      </c>
      <c r="O162" s="33">
        <v>3</v>
      </c>
      <c r="P162" s="19">
        <f t="shared" si="25"/>
        <v>2.3671232876712329</v>
      </c>
      <c r="Q162" s="32">
        <f t="shared" si="26"/>
        <v>5501.2808219178078</v>
      </c>
      <c r="R162" s="22">
        <f t="shared" si="21"/>
        <v>21948.719178082192</v>
      </c>
      <c r="S162" s="34">
        <f t="shared" si="22"/>
        <v>27450</v>
      </c>
      <c r="T162" s="34">
        <f t="shared" si="23"/>
        <v>0</v>
      </c>
    </row>
    <row r="163" spans="1:20" ht="14.65">
      <c r="A163" s="13">
        <f t="shared" ref="A163:A174" si="27">A162+1</f>
        <v>158</v>
      </c>
      <c r="B163" s="14" t="s">
        <v>1113</v>
      </c>
      <c r="C163" s="14" t="s">
        <v>26</v>
      </c>
      <c r="D163" s="14" t="s">
        <v>1117</v>
      </c>
      <c r="E163" s="23">
        <v>44443</v>
      </c>
      <c r="F163" s="23">
        <v>44443</v>
      </c>
      <c r="G163" s="14" t="s">
        <v>427</v>
      </c>
      <c r="H163" s="23">
        <v>44443</v>
      </c>
      <c r="I163" s="16">
        <v>44317</v>
      </c>
      <c r="J163" s="16"/>
      <c r="K163" s="16"/>
      <c r="L163" s="16">
        <v>6760</v>
      </c>
      <c r="M163" s="16">
        <f t="shared" si="24"/>
        <v>37557</v>
      </c>
      <c r="N163" s="17">
        <f t="shared" si="20"/>
        <v>208</v>
      </c>
      <c r="O163" s="33">
        <v>3</v>
      </c>
      <c r="P163" s="19">
        <f t="shared" si="25"/>
        <v>2.43013698630137</v>
      </c>
      <c r="Q163" s="32">
        <f t="shared" si="26"/>
        <v>6777.4093150684939</v>
      </c>
      <c r="R163" s="22">
        <f t="shared" si="21"/>
        <v>30779.590684931507</v>
      </c>
      <c r="S163" s="34">
        <f t="shared" si="22"/>
        <v>37557</v>
      </c>
      <c r="T163" s="34">
        <f t="shared" si="23"/>
        <v>0</v>
      </c>
    </row>
    <row r="164" spans="1:20" ht="14.65">
      <c r="A164" s="13">
        <f t="shared" si="27"/>
        <v>159</v>
      </c>
      <c r="B164" s="14" t="s">
        <v>1113</v>
      </c>
      <c r="C164" s="14" t="s">
        <v>26</v>
      </c>
      <c r="D164" s="14" t="s">
        <v>1118</v>
      </c>
      <c r="E164" s="23">
        <v>44560</v>
      </c>
      <c r="F164" s="23">
        <v>44560</v>
      </c>
      <c r="G164" s="14" t="s">
        <v>427</v>
      </c>
      <c r="H164" s="23">
        <v>44560</v>
      </c>
      <c r="I164" s="16">
        <v>31865</v>
      </c>
      <c r="J164" s="16"/>
      <c r="K164" s="16"/>
      <c r="L164" s="16">
        <v>4860</v>
      </c>
      <c r="M164" s="16">
        <f t="shared" si="24"/>
        <v>27005</v>
      </c>
      <c r="N164" s="17">
        <f t="shared" si="20"/>
        <v>91</v>
      </c>
      <c r="O164" s="33">
        <v>3</v>
      </c>
      <c r="P164" s="19">
        <f t="shared" si="25"/>
        <v>2.7506849315068491</v>
      </c>
      <c r="Q164" s="32">
        <f t="shared" si="26"/>
        <v>2132.0385844748857</v>
      </c>
      <c r="R164" s="22">
        <f t="shared" si="21"/>
        <v>24872.961415525115</v>
      </c>
      <c r="S164" s="34">
        <f t="shared" si="22"/>
        <v>0</v>
      </c>
      <c r="T164" s="34">
        <f t="shared" si="23"/>
        <v>27005</v>
      </c>
    </row>
    <row r="165" spans="1:20" ht="14.65">
      <c r="A165" s="13">
        <f t="shared" si="27"/>
        <v>160</v>
      </c>
      <c r="B165" s="14" t="s">
        <v>1113</v>
      </c>
      <c r="C165" s="14" t="s">
        <v>26</v>
      </c>
      <c r="D165" s="14" t="s">
        <v>1119</v>
      </c>
      <c r="E165" s="23">
        <v>44608</v>
      </c>
      <c r="F165" s="23">
        <v>44608</v>
      </c>
      <c r="G165" s="14" t="s">
        <v>427</v>
      </c>
      <c r="H165" s="23">
        <v>44608</v>
      </c>
      <c r="I165" s="16">
        <v>123723</v>
      </c>
      <c r="J165" s="16"/>
      <c r="K165" s="16"/>
      <c r="L165" s="16">
        <v>18872</v>
      </c>
      <c r="M165" s="16">
        <f t="shared" si="24"/>
        <v>104851</v>
      </c>
      <c r="N165" s="17">
        <f t="shared" si="20"/>
        <v>43</v>
      </c>
      <c r="O165" s="33">
        <v>3</v>
      </c>
      <c r="P165" s="19">
        <f t="shared" si="25"/>
        <v>2.882191780821918</v>
      </c>
      <c r="Q165" s="32">
        <f t="shared" si="26"/>
        <v>3911.5647031963472</v>
      </c>
      <c r="R165" s="22">
        <f t="shared" si="21"/>
        <v>100939.43529680365</v>
      </c>
      <c r="S165" s="34">
        <f t="shared" si="22"/>
        <v>0</v>
      </c>
      <c r="T165" s="34">
        <f t="shared" si="23"/>
        <v>104851</v>
      </c>
    </row>
    <row r="166" spans="1:20" ht="14.65">
      <c r="A166" s="13">
        <f>A165+1</f>
        <v>161</v>
      </c>
      <c r="B166" s="14" t="s">
        <v>1120</v>
      </c>
      <c r="C166" s="14" t="s">
        <v>26</v>
      </c>
      <c r="D166" s="14"/>
      <c r="E166" s="23">
        <v>44622</v>
      </c>
      <c r="F166" s="23">
        <v>44622</v>
      </c>
      <c r="G166" s="14" t="s">
        <v>427</v>
      </c>
      <c r="H166" s="23">
        <v>44622</v>
      </c>
      <c r="I166" s="16">
        <v>107500</v>
      </c>
      <c r="J166" s="16"/>
      <c r="K166" s="16"/>
      <c r="L166" s="16">
        <v>16398</v>
      </c>
      <c r="M166" s="16">
        <f t="shared" si="24"/>
        <v>91102</v>
      </c>
      <c r="N166" s="17">
        <f t="shared" si="20"/>
        <v>29</v>
      </c>
      <c r="O166" s="33">
        <v>3</v>
      </c>
      <c r="P166" s="19">
        <f t="shared" si="25"/>
        <v>2.9205479452054792</v>
      </c>
      <c r="Q166" s="32">
        <f t="shared" si="26"/>
        <v>2292.1096803652963</v>
      </c>
      <c r="R166" s="22">
        <f t="shared" si="21"/>
        <v>88809.890319634709</v>
      </c>
      <c r="S166" s="34">
        <f t="shared" si="22"/>
        <v>0</v>
      </c>
      <c r="T166" s="34">
        <f t="shared" si="23"/>
        <v>91102</v>
      </c>
    </row>
    <row r="167" spans="1:20" ht="14.65">
      <c r="A167" s="13">
        <f t="shared" si="27"/>
        <v>162</v>
      </c>
      <c r="B167" s="14" t="s">
        <v>1121</v>
      </c>
      <c r="C167" s="14" t="s">
        <v>26</v>
      </c>
      <c r="D167" s="14" t="s">
        <v>1122</v>
      </c>
      <c r="E167" s="23">
        <v>44636</v>
      </c>
      <c r="F167" s="23">
        <v>44636</v>
      </c>
      <c r="G167" s="14" t="s">
        <v>427</v>
      </c>
      <c r="H167" s="23">
        <v>44636</v>
      </c>
      <c r="I167" s="16">
        <v>67900</v>
      </c>
      <c r="J167" s="16"/>
      <c r="K167" s="16"/>
      <c r="L167" s="16">
        <v>10358</v>
      </c>
      <c r="M167" s="16">
        <f t="shared" si="24"/>
        <v>57542</v>
      </c>
      <c r="N167" s="17">
        <f t="shared" si="20"/>
        <v>15</v>
      </c>
      <c r="O167" s="33">
        <v>3</v>
      </c>
      <c r="P167" s="19">
        <f t="shared" si="25"/>
        <v>2.9589041095890409</v>
      </c>
      <c r="Q167" s="32">
        <f t="shared" si="26"/>
        <v>748.83424657534249</v>
      </c>
      <c r="R167" s="22">
        <f t="shared" si="21"/>
        <v>56793.165753424655</v>
      </c>
      <c r="S167" s="34">
        <f t="shared" si="22"/>
        <v>0</v>
      </c>
      <c r="T167" s="34">
        <f t="shared" si="23"/>
        <v>57542</v>
      </c>
    </row>
    <row r="168" spans="1:20" ht="14.65">
      <c r="A168" s="13">
        <f t="shared" si="27"/>
        <v>163</v>
      </c>
      <c r="B168" s="14" t="s">
        <v>209</v>
      </c>
      <c r="C168" s="14" t="s">
        <v>26</v>
      </c>
      <c r="D168" s="14" t="s">
        <v>1123</v>
      </c>
      <c r="E168" s="23">
        <v>44627</v>
      </c>
      <c r="F168" s="23">
        <v>44627</v>
      </c>
      <c r="G168" s="14" t="s">
        <v>427</v>
      </c>
      <c r="H168" s="23">
        <v>44627</v>
      </c>
      <c r="I168" s="16">
        <v>22700</v>
      </c>
      <c r="J168" s="16"/>
      <c r="K168" s="16"/>
      <c r="L168" s="16">
        <v>3462</v>
      </c>
      <c r="M168" s="16">
        <f t="shared" si="24"/>
        <v>19238</v>
      </c>
      <c r="N168" s="17">
        <f t="shared" si="20"/>
        <v>24</v>
      </c>
      <c r="O168" s="33">
        <v>3</v>
      </c>
      <c r="P168" s="19">
        <f t="shared" si="25"/>
        <v>2.9342465753424656</v>
      </c>
      <c r="Q168" s="32">
        <f t="shared" si="26"/>
        <v>400.57205479452051</v>
      </c>
      <c r="R168" s="22">
        <f t="shared" si="21"/>
        <v>18837.42794520548</v>
      </c>
      <c r="S168" s="34">
        <f t="shared" si="22"/>
        <v>0</v>
      </c>
      <c r="T168" s="34">
        <f t="shared" si="23"/>
        <v>19238</v>
      </c>
    </row>
    <row r="169" spans="1:20" ht="14.65">
      <c r="A169" s="13">
        <f t="shared" si="27"/>
        <v>164</v>
      </c>
      <c r="B169" s="14" t="s">
        <v>1109</v>
      </c>
      <c r="C169" s="26" t="s">
        <v>988</v>
      </c>
      <c r="D169" s="14" t="s">
        <v>1124</v>
      </c>
      <c r="E169" s="23">
        <v>44502</v>
      </c>
      <c r="F169" s="23">
        <v>44532</v>
      </c>
      <c r="G169" s="14" t="s">
        <v>435</v>
      </c>
      <c r="H169" s="23">
        <v>44532</v>
      </c>
      <c r="I169" s="16">
        <v>31299</v>
      </c>
      <c r="J169" s="16"/>
      <c r="K169" s="16"/>
      <c r="L169" s="16">
        <v>4774</v>
      </c>
      <c r="M169" s="16">
        <f t="shared" si="24"/>
        <v>26525</v>
      </c>
      <c r="N169" s="17">
        <f t="shared" si="20"/>
        <v>119</v>
      </c>
      <c r="O169" s="33">
        <v>3</v>
      </c>
      <c r="P169" s="19">
        <f t="shared" si="25"/>
        <v>2.6739726027397261</v>
      </c>
      <c r="Q169" s="32">
        <f t="shared" si="26"/>
        <v>2738.494292237443</v>
      </c>
      <c r="R169" s="22">
        <f t="shared" si="21"/>
        <v>23786.505707762557</v>
      </c>
      <c r="S169" s="34">
        <f t="shared" si="22"/>
        <v>0</v>
      </c>
      <c r="T169" s="34">
        <f t="shared" si="23"/>
        <v>26525</v>
      </c>
    </row>
    <row r="170" spans="1:20" ht="14.65">
      <c r="A170" s="13">
        <f t="shared" si="27"/>
        <v>165</v>
      </c>
      <c r="B170" s="14" t="s">
        <v>1125</v>
      </c>
      <c r="C170" s="26" t="s">
        <v>988</v>
      </c>
      <c r="D170" s="14" t="s">
        <v>1126</v>
      </c>
      <c r="E170" s="23">
        <v>44531</v>
      </c>
      <c r="F170" s="23">
        <v>44531</v>
      </c>
      <c r="G170" s="14" t="s">
        <v>435</v>
      </c>
      <c r="H170" s="23">
        <v>44531</v>
      </c>
      <c r="I170" s="16">
        <v>28001</v>
      </c>
      <c r="J170" s="16"/>
      <c r="K170" s="16"/>
      <c r="L170" s="16">
        <v>4272</v>
      </c>
      <c r="M170" s="16">
        <f t="shared" si="24"/>
        <v>23729</v>
      </c>
      <c r="N170" s="17">
        <f t="shared" si="20"/>
        <v>120</v>
      </c>
      <c r="O170" s="33">
        <v>3</v>
      </c>
      <c r="P170" s="19">
        <f t="shared" si="25"/>
        <v>2.6712328767123288</v>
      </c>
      <c r="Q170" s="32">
        <f t="shared" si="26"/>
        <v>2470.4164383561642</v>
      </c>
      <c r="R170" s="22">
        <f t="shared" si="21"/>
        <v>21258.583561643834</v>
      </c>
      <c r="S170" s="34">
        <f t="shared" si="22"/>
        <v>0</v>
      </c>
      <c r="T170" s="34">
        <f t="shared" si="23"/>
        <v>23729</v>
      </c>
    </row>
    <row r="171" spans="1:20" ht="14.65">
      <c r="A171" s="13">
        <f t="shared" si="27"/>
        <v>166</v>
      </c>
      <c r="B171" s="14" t="s">
        <v>1127</v>
      </c>
      <c r="C171" s="26" t="s">
        <v>988</v>
      </c>
      <c r="D171" s="14" t="s">
        <v>1126</v>
      </c>
      <c r="E171" s="23">
        <v>44531</v>
      </c>
      <c r="F171" s="23">
        <v>44531</v>
      </c>
      <c r="G171" s="14" t="s">
        <v>435</v>
      </c>
      <c r="H171" s="23">
        <v>44531</v>
      </c>
      <c r="I171" s="16">
        <v>8499</v>
      </c>
      <c r="J171" s="16"/>
      <c r="K171" s="16"/>
      <c r="L171" s="16">
        <v>1296</v>
      </c>
      <c r="M171" s="16">
        <f t="shared" si="24"/>
        <v>7203</v>
      </c>
      <c r="N171" s="17">
        <f t="shared" si="20"/>
        <v>120</v>
      </c>
      <c r="O171" s="33">
        <v>3</v>
      </c>
      <c r="P171" s="19">
        <f t="shared" si="25"/>
        <v>2.6712328767123288</v>
      </c>
      <c r="Q171" s="32">
        <f t="shared" si="26"/>
        <v>749.90136986301366</v>
      </c>
      <c r="R171" s="22">
        <f t="shared" si="21"/>
        <v>6453.0986301369867</v>
      </c>
      <c r="S171" s="34">
        <f t="shared" si="22"/>
        <v>0</v>
      </c>
      <c r="T171" s="34">
        <f t="shared" si="23"/>
        <v>7203</v>
      </c>
    </row>
    <row r="172" spans="1:20" ht="18.75" customHeight="1">
      <c r="A172" s="13">
        <f t="shared" si="27"/>
        <v>167</v>
      </c>
      <c r="B172" s="14" t="s">
        <v>1128</v>
      </c>
      <c r="C172" s="26" t="s">
        <v>988</v>
      </c>
      <c r="D172" s="14" t="s">
        <v>1126</v>
      </c>
      <c r="E172" s="23">
        <v>44531</v>
      </c>
      <c r="F172" s="23">
        <v>44531</v>
      </c>
      <c r="G172" s="14" t="s">
        <v>435</v>
      </c>
      <c r="H172" s="23">
        <v>44531</v>
      </c>
      <c r="I172" s="16">
        <v>13501</v>
      </c>
      <c r="J172" s="16"/>
      <c r="K172" s="16"/>
      <c r="L172" s="16">
        <v>2060</v>
      </c>
      <c r="M172" s="16">
        <f t="shared" si="24"/>
        <v>11441</v>
      </c>
      <c r="N172" s="17">
        <f t="shared" si="20"/>
        <v>120</v>
      </c>
      <c r="O172" s="33">
        <v>3</v>
      </c>
      <c r="P172" s="19">
        <f t="shared" si="25"/>
        <v>2.6712328767123288</v>
      </c>
      <c r="Q172" s="32">
        <f t="shared" si="26"/>
        <v>1191.1178082191782</v>
      </c>
      <c r="R172" s="22">
        <f t="shared" si="21"/>
        <v>10249.882191780822</v>
      </c>
      <c r="S172" s="34">
        <f t="shared" si="22"/>
        <v>0</v>
      </c>
      <c r="T172" s="34">
        <f t="shared" si="23"/>
        <v>11441</v>
      </c>
    </row>
    <row r="173" spans="1:20" ht="14.65">
      <c r="A173" s="13">
        <f t="shared" si="27"/>
        <v>168</v>
      </c>
      <c r="B173" s="14" t="s">
        <v>1109</v>
      </c>
      <c r="C173" s="27" t="s">
        <v>23</v>
      </c>
      <c r="D173" s="14" t="s">
        <v>1129</v>
      </c>
      <c r="E173" s="23">
        <v>44643</v>
      </c>
      <c r="F173" s="23">
        <v>44648</v>
      </c>
      <c r="G173" s="14" t="s">
        <v>1130</v>
      </c>
      <c r="H173" s="23">
        <v>44648</v>
      </c>
      <c r="I173" s="16">
        <v>94759</v>
      </c>
      <c r="J173" s="16"/>
      <c r="K173" s="16"/>
      <c r="L173" s="16">
        <v>14454</v>
      </c>
      <c r="M173" s="16">
        <f t="shared" si="24"/>
        <v>80305</v>
      </c>
      <c r="N173" s="17">
        <f t="shared" si="20"/>
        <v>3</v>
      </c>
      <c r="O173" s="33">
        <v>3</v>
      </c>
      <c r="P173" s="19">
        <f t="shared" si="25"/>
        <v>2.9917808219178084</v>
      </c>
      <c r="Q173" s="32">
        <f t="shared" si="26"/>
        <v>209.01301369863015</v>
      </c>
      <c r="R173" s="22">
        <f t="shared" si="21"/>
        <v>80095.986986301374</v>
      </c>
      <c r="S173" s="34">
        <f t="shared" si="22"/>
        <v>0</v>
      </c>
      <c r="T173" s="34">
        <f t="shared" si="23"/>
        <v>80305</v>
      </c>
    </row>
    <row r="174" spans="1:20" ht="14.65">
      <c r="A174" s="13">
        <f t="shared" si="27"/>
        <v>169</v>
      </c>
      <c r="B174" s="14" t="s">
        <v>209</v>
      </c>
      <c r="C174" s="26" t="s">
        <v>19</v>
      </c>
      <c r="D174" s="14">
        <v>11903</v>
      </c>
      <c r="E174" s="23">
        <v>44630</v>
      </c>
      <c r="F174" s="23">
        <v>44630</v>
      </c>
      <c r="G174" s="14" t="s">
        <v>1131</v>
      </c>
      <c r="H174" s="23">
        <v>44630</v>
      </c>
      <c r="I174" s="16">
        <v>13950</v>
      </c>
      <c r="J174" s="16"/>
      <c r="K174" s="16"/>
      <c r="L174" s="16">
        <v>2128</v>
      </c>
      <c r="M174" s="16">
        <f t="shared" si="24"/>
        <v>11822</v>
      </c>
      <c r="N174" s="17">
        <f t="shared" si="20"/>
        <v>21</v>
      </c>
      <c r="O174" s="33">
        <v>3</v>
      </c>
      <c r="P174" s="19">
        <f t="shared" si="25"/>
        <v>2.9424657534246577</v>
      </c>
      <c r="Q174" s="32">
        <f t="shared" si="26"/>
        <v>215.38712328767124</v>
      </c>
      <c r="R174" s="22">
        <f t="shared" si="21"/>
        <v>11606.612876712328</v>
      </c>
      <c r="S174" s="34">
        <f t="shared" si="22"/>
        <v>0</v>
      </c>
      <c r="T174" s="34">
        <f t="shared" si="23"/>
        <v>11822</v>
      </c>
    </row>
    <row r="175" spans="1:20" ht="14.65">
      <c r="A175" s="13" t="s">
        <v>24</v>
      </c>
      <c r="B175" s="29" t="s">
        <v>30</v>
      </c>
      <c r="C175" s="26"/>
      <c r="D175" s="14"/>
      <c r="E175" s="23"/>
      <c r="F175" s="23"/>
      <c r="G175" s="14"/>
      <c r="H175" s="23"/>
      <c r="I175" s="30">
        <f>SUM(I158:I174)</f>
        <v>863897</v>
      </c>
      <c r="J175" s="30">
        <f>SUM(J158:J174)</f>
        <v>0</v>
      </c>
      <c r="K175" s="30">
        <f>SUM(K158:K174)</f>
        <v>0</v>
      </c>
      <c r="L175" s="30">
        <f>SUM(L158:L174)</f>
        <v>131780</v>
      </c>
      <c r="M175" s="30">
        <f>SUM(M158:M174)</f>
        <v>732117</v>
      </c>
      <c r="N175" s="17"/>
      <c r="O175" s="33"/>
      <c r="P175" s="18"/>
      <c r="Q175" s="30">
        <f>SUM(Q158:Q174)</f>
        <v>81703.341050228293</v>
      </c>
      <c r="R175" s="30">
        <f>SUM(R158:R174)</f>
        <v>650413.65894977178</v>
      </c>
      <c r="S175" s="30">
        <f>SUM(S158:S174)</f>
        <v>271354</v>
      </c>
      <c r="T175" s="30">
        <f>SUM(T158:T174)</f>
        <v>460763</v>
      </c>
    </row>
    <row r="176" spans="1:20" ht="27" customHeight="1">
      <c r="A176" s="13"/>
      <c r="B176" s="31" t="s">
        <v>32</v>
      </c>
      <c r="C176" s="14"/>
      <c r="D176" s="14"/>
      <c r="E176" s="15"/>
      <c r="F176" s="15"/>
      <c r="G176" s="14"/>
      <c r="H176" s="15"/>
      <c r="I176" s="16"/>
      <c r="J176" s="16"/>
      <c r="K176" s="16"/>
      <c r="L176" s="16"/>
      <c r="M176" s="16"/>
      <c r="N176" s="17"/>
      <c r="O176" s="18"/>
      <c r="P176" s="18"/>
      <c r="Q176" s="22"/>
      <c r="R176" s="22"/>
      <c r="S176" s="32"/>
      <c r="T176" s="32"/>
    </row>
    <row r="177" spans="1:20" ht="14.65">
      <c r="A177" s="13">
        <f>+A174+1</f>
        <v>170</v>
      </c>
      <c r="B177" s="14" t="s">
        <v>1132</v>
      </c>
      <c r="C177" s="14" t="s">
        <v>26</v>
      </c>
      <c r="D177" s="14" t="s">
        <v>1133</v>
      </c>
      <c r="E177" s="15">
        <v>44467</v>
      </c>
      <c r="F177" s="15">
        <v>44467</v>
      </c>
      <c r="G177" s="14" t="s">
        <v>1134</v>
      </c>
      <c r="H177" s="15">
        <v>44467</v>
      </c>
      <c r="I177" s="16">
        <v>91084</v>
      </c>
      <c r="J177" s="16"/>
      <c r="K177" s="16"/>
      <c r="L177" s="16">
        <v>13894</v>
      </c>
      <c r="M177" s="16">
        <f t="shared" ref="M177:M184" si="28">I177+J177-K177-L177</f>
        <v>77190</v>
      </c>
      <c r="N177" s="17">
        <f t="shared" ref="N177:N184" si="29">$N$1-H177</f>
        <v>184</v>
      </c>
      <c r="O177" s="33">
        <v>8</v>
      </c>
      <c r="P177" s="19">
        <f t="shared" ref="P177:P184" si="30">O177-(N177/365)</f>
        <v>7.4958904109589044</v>
      </c>
      <c r="Q177" s="32">
        <f>M177*95%/O177*N177/365</f>
        <v>4620.8260273972601</v>
      </c>
      <c r="R177" s="22">
        <f t="shared" ref="R177:R184" si="31">M177-Q177</f>
        <v>72569.173972602744</v>
      </c>
      <c r="S177" s="34">
        <f t="shared" ref="S177:S184" si="32">IF(H177&lt;=DATE(2021,9,30),M177,0)</f>
        <v>77190</v>
      </c>
      <c r="T177" s="34">
        <f t="shared" ref="T177:T184" si="33">IF(H177&gt;DATE(2021,9,30),M177,0)</f>
        <v>0</v>
      </c>
    </row>
    <row r="178" spans="1:20" ht="14.65">
      <c r="A178" s="13">
        <f>A177+1</f>
        <v>171</v>
      </c>
      <c r="B178" s="14" t="s">
        <v>1135</v>
      </c>
      <c r="C178" s="14" t="s">
        <v>18</v>
      </c>
      <c r="D178" s="14" t="s">
        <v>1136</v>
      </c>
      <c r="E178" s="15">
        <v>44558</v>
      </c>
      <c r="F178" s="15">
        <v>44558</v>
      </c>
      <c r="G178" s="14" t="s">
        <v>916</v>
      </c>
      <c r="H178" s="15">
        <v>44558</v>
      </c>
      <c r="I178" s="16">
        <v>336000</v>
      </c>
      <c r="J178" s="16"/>
      <c r="K178" s="16"/>
      <c r="L178" s="16">
        <v>36000</v>
      </c>
      <c r="M178" s="16">
        <f t="shared" si="28"/>
        <v>300000</v>
      </c>
      <c r="N178" s="17">
        <f t="shared" si="29"/>
        <v>93</v>
      </c>
      <c r="O178" s="33">
        <v>8</v>
      </c>
      <c r="P178" s="19">
        <f t="shared" si="30"/>
        <v>7.7452054794520544</v>
      </c>
      <c r="Q178" s="32">
        <f t="shared" ref="Q178:Q184" si="34">M178*95%/O178*N178/365</f>
        <v>9077.0547945205471</v>
      </c>
      <c r="R178" s="22">
        <f t="shared" si="31"/>
        <v>290922.94520547945</v>
      </c>
      <c r="S178" s="34">
        <f t="shared" si="32"/>
        <v>0</v>
      </c>
      <c r="T178" s="34">
        <f t="shared" si="33"/>
        <v>300000</v>
      </c>
    </row>
    <row r="179" spans="1:20" ht="14.65">
      <c r="A179" s="13">
        <f t="shared" ref="A179:A184" si="35">A178+1</f>
        <v>172</v>
      </c>
      <c r="B179" s="14" t="s">
        <v>181</v>
      </c>
      <c r="C179" s="27" t="s">
        <v>23</v>
      </c>
      <c r="D179" s="14">
        <v>43</v>
      </c>
      <c r="E179" s="23">
        <v>44597</v>
      </c>
      <c r="F179" s="23">
        <v>44607</v>
      </c>
      <c r="G179" s="14" t="s">
        <v>197</v>
      </c>
      <c r="H179" s="23">
        <v>44607</v>
      </c>
      <c r="I179" s="16">
        <v>245440</v>
      </c>
      <c r="J179" s="16"/>
      <c r="K179" s="16"/>
      <c r="L179" s="16">
        <v>37440</v>
      </c>
      <c r="M179" s="16">
        <f t="shared" si="28"/>
        <v>208000</v>
      </c>
      <c r="N179" s="17">
        <f t="shared" si="29"/>
        <v>44</v>
      </c>
      <c r="O179" s="33">
        <v>8</v>
      </c>
      <c r="P179" s="19">
        <f t="shared" si="30"/>
        <v>7.8794520547945206</v>
      </c>
      <c r="Q179" s="32">
        <f t="shared" si="34"/>
        <v>2977.5342465753424</v>
      </c>
      <c r="R179" s="22">
        <f t="shared" si="31"/>
        <v>205022.46575342465</v>
      </c>
      <c r="S179" s="34">
        <f t="shared" si="32"/>
        <v>0</v>
      </c>
      <c r="T179" s="34">
        <f t="shared" si="33"/>
        <v>208000</v>
      </c>
    </row>
    <row r="180" spans="1:20" ht="14.65">
      <c r="A180" s="13">
        <f t="shared" si="35"/>
        <v>173</v>
      </c>
      <c r="B180" s="14" t="s">
        <v>1137</v>
      </c>
      <c r="C180" s="26" t="s">
        <v>1138</v>
      </c>
      <c r="D180" s="14">
        <v>33464</v>
      </c>
      <c r="E180" s="23">
        <v>44574</v>
      </c>
      <c r="F180" s="23">
        <v>44584</v>
      </c>
      <c r="G180" s="14" t="s">
        <v>1139</v>
      </c>
      <c r="H180" s="23">
        <v>44584</v>
      </c>
      <c r="I180" s="16">
        <v>42480</v>
      </c>
      <c r="J180" s="16"/>
      <c r="K180" s="16"/>
      <c r="L180" s="16">
        <v>6480</v>
      </c>
      <c r="M180" s="16">
        <f t="shared" si="28"/>
        <v>36000</v>
      </c>
      <c r="N180" s="17">
        <f t="shared" si="29"/>
        <v>67</v>
      </c>
      <c r="O180" s="33">
        <v>8</v>
      </c>
      <c r="P180" s="19">
        <f t="shared" si="30"/>
        <v>7.816438356164384</v>
      </c>
      <c r="Q180" s="32">
        <f t="shared" si="34"/>
        <v>784.72602739726028</v>
      </c>
      <c r="R180" s="22">
        <f t="shared" si="31"/>
        <v>35215.273972602743</v>
      </c>
      <c r="S180" s="34">
        <f t="shared" si="32"/>
        <v>0</v>
      </c>
      <c r="T180" s="34">
        <f t="shared" si="33"/>
        <v>36000</v>
      </c>
    </row>
    <row r="181" spans="1:20" ht="14.65">
      <c r="A181" s="13">
        <f t="shared" si="35"/>
        <v>174</v>
      </c>
      <c r="B181" s="14" t="s">
        <v>1137</v>
      </c>
      <c r="C181" s="26" t="s">
        <v>1138</v>
      </c>
      <c r="D181" s="14">
        <v>33465</v>
      </c>
      <c r="E181" s="23">
        <v>44574</v>
      </c>
      <c r="F181" s="23">
        <v>44584</v>
      </c>
      <c r="G181" s="14" t="s">
        <v>1139</v>
      </c>
      <c r="H181" s="23">
        <v>44584</v>
      </c>
      <c r="I181" s="16">
        <v>43450</v>
      </c>
      <c r="J181" s="16"/>
      <c r="K181" s="16"/>
      <c r="L181" s="16">
        <v>6628</v>
      </c>
      <c r="M181" s="16">
        <f t="shared" si="28"/>
        <v>36822</v>
      </c>
      <c r="N181" s="17">
        <f t="shared" si="29"/>
        <v>67</v>
      </c>
      <c r="O181" s="33">
        <v>8</v>
      </c>
      <c r="P181" s="19">
        <f t="shared" si="30"/>
        <v>7.816438356164384</v>
      </c>
      <c r="Q181" s="32">
        <f t="shared" si="34"/>
        <v>802.64393835616443</v>
      </c>
      <c r="R181" s="22">
        <f t="shared" si="31"/>
        <v>36019.356061643834</v>
      </c>
      <c r="S181" s="34">
        <f t="shared" si="32"/>
        <v>0</v>
      </c>
      <c r="T181" s="34">
        <f t="shared" si="33"/>
        <v>36822</v>
      </c>
    </row>
    <row r="182" spans="1:20" ht="14.65">
      <c r="A182" s="13">
        <f t="shared" si="35"/>
        <v>175</v>
      </c>
      <c r="B182" s="14" t="s">
        <v>804</v>
      </c>
      <c r="C182" s="26" t="s">
        <v>1138</v>
      </c>
      <c r="D182" s="14">
        <v>33469</v>
      </c>
      <c r="E182" s="23">
        <v>44578</v>
      </c>
      <c r="F182" s="23">
        <v>44597</v>
      </c>
      <c r="G182" s="14" t="s">
        <v>1139</v>
      </c>
      <c r="H182" s="23">
        <v>44597</v>
      </c>
      <c r="I182" s="16">
        <v>65844</v>
      </c>
      <c r="J182" s="16"/>
      <c r="K182" s="16"/>
      <c r="L182" s="16">
        <v>10044</v>
      </c>
      <c r="M182" s="16">
        <f t="shared" si="28"/>
        <v>55800</v>
      </c>
      <c r="N182" s="17">
        <f t="shared" si="29"/>
        <v>54</v>
      </c>
      <c r="O182" s="33">
        <v>8</v>
      </c>
      <c r="P182" s="19">
        <f t="shared" si="30"/>
        <v>7.8520547945205479</v>
      </c>
      <c r="Q182" s="32">
        <f t="shared" si="34"/>
        <v>980.32191780821915</v>
      </c>
      <c r="R182" s="22">
        <f t="shared" si="31"/>
        <v>54819.678082191778</v>
      </c>
      <c r="S182" s="34">
        <f t="shared" si="32"/>
        <v>0</v>
      </c>
      <c r="T182" s="34">
        <f t="shared" si="33"/>
        <v>55800</v>
      </c>
    </row>
    <row r="183" spans="1:20" ht="14.65">
      <c r="A183" s="13">
        <f t="shared" si="35"/>
        <v>176</v>
      </c>
      <c r="B183" s="14" t="s">
        <v>1140</v>
      </c>
      <c r="C183" s="26" t="s">
        <v>1138</v>
      </c>
      <c r="D183" s="14">
        <v>237</v>
      </c>
      <c r="E183" s="23">
        <v>44599</v>
      </c>
      <c r="F183" s="23">
        <v>44607</v>
      </c>
      <c r="G183" s="14" t="s">
        <v>1141</v>
      </c>
      <c r="H183" s="23">
        <v>44607</v>
      </c>
      <c r="I183" s="16">
        <v>102070</v>
      </c>
      <c r="J183" s="16"/>
      <c r="K183" s="16"/>
      <c r="L183" s="16">
        <v>15570</v>
      </c>
      <c r="M183" s="16">
        <f t="shared" si="28"/>
        <v>86500</v>
      </c>
      <c r="N183" s="17">
        <f t="shared" si="29"/>
        <v>44</v>
      </c>
      <c r="O183" s="33">
        <v>8</v>
      </c>
      <c r="P183" s="19">
        <f t="shared" si="30"/>
        <v>7.8794520547945206</v>
      </c>
      <c r="Q183" s="32">
        <f t="shared" si="34"/>
        <v>1238.2534246575342</v>
      </c>
      <c r="R183" s="22">
        <f t="shared" si="31"/>
        <v>85261.746575342462</v>
      </c>
      <c r="S183" s="34">
        <f t="shared" si="32"/>
        <v>0</v>
      </c>
      <c r="T183" s="34">
        <f t="shared" si="33"/>
        <v>86500</v>
      </c>
    </row>
    <row r="184" spans="1:20" ht="14.65">
      <c r="A184" s="13">
        <f t="shared" si="35"/>
        <v>177</v>
      </c>
      <c r="B184" s="14" t="s">
        <v>1142</v>
      </c>
      <c r="C184" s="14" t="s">
        <v>1016</v>
      </c>
      <c r="D184" s="14">
        <v>33582</v>
      </c>
      <c r="E184" s="23">
        <v>44629</v>
      </c>
      <c r="F184" s="23">
        <v>44636</v>
      </c>
      <c r="G184" s="14" t="s">
        <v>1139</v>
      </c>
      <c r="H184" s="23">
        <v>44636</v>
      </c>
      <c r="I184" s="16">
        <v>29850</v>
      </c>
      <c r="J184" s="16"/>
      <c r="K184" s="16"/>
      <c r="L184" s="16">
        <v>4554</v>
      </c>
      <c r="M184" s="16">
        <f t="shared" si="28"/>
        <v>25296</v>
      </c>
      <c r="N184" s="17">
        <f t="shared" si="29"/>
        <v>15</v>
      </c>
      <c r="O184" s="33">
        <v>8</v>
      </c>
      <c r="P184" s="19">
        <f t="shared" si="30"/>
        <v>7.9589041095890414</v>
      </c>
      <c r="Q184" s="32">
        <f t="shared" si="34"/>
        <v>123.44794520547943</v>
      </c>
      <c r="R184" s="22">
        <f t="shared" si="31"/>
        <v>25172.55205479452</v>
      </c>
      <c r="S184" s="34">
        <f t="shared" si="32"/>
        <v>0</v>
      </c>
      <c r="T184" s="34">
        <f t="shared" si="33"/>
        <v>25296</v>
      </c>
    </row>
    <row r="185" spans="1:20" ht="14.65">
      <c r="A185" s="13"/>
      <c r="B185" s="29" t="s">
        <v>30</v>
      </c>
      <c r="C185" s="26"/>
      <c r="D185" s="14"/>
      <c r="E185" s="23"/>
      <c r="F185" s="23"/>
      <c r="G185" s="14"/>
      <c r="H185" s="23"/>
      <c r="I185" s="30">
        <f>SUM(I177:I184)</f>
        <v>956218</v>
      </c>
      <c r="J185" s="30">
        <f>SUM(J177:J184)</f>
        <v>0</v>
      </c>
      <c r="K185" s="30">
        <f>SUM(K177:K184)</f>
        <v>0</v>
      </c>
      <c r="L185" s="30">
        <f>SUM(L177:L184)</f>
        <v>130610</v>
      </c>
      <c r="M185" s="30">
        <f>SUM(M177:M184)</f>
        <v>825608</v>
      </c>
      <c r="N185" s="17"/>
      <c r="O185" s="18"/>
      <c r="P185" s="18"/>
      <c r="Q185" s="30">
        <f>SUM(Q177:Q184)</f>
        <v>20604.808321917804</v>
      </c>
      <c r="R185" s="30">
        <f>SUM(R177:R184)</f>
        <v>805003.19167808222</v>
      </c>
      <c r="S185" s="30">
        <f>SUM(S177:S184)</f>
        <v>77190</v>
      </c>
      <c r="T185" s="30">
        <f>SUM(T177:T184)</f>
        <v>748418</v>
      </c>
    </row>
    <row r="186" spans="1:20" ht="22.5" customHeight="1">
      <c r="A186" s="13"/>
      <c r="B186" s="31" t="s">
        <v>33</v>
      </c>
      <c r="C186" s="26"/>
      <c r="D186" s="14"/>
      <c r="E186" s="23"/>
      <c r="F186" s="23"/>
      <c r="G186" s="14"/>
      <c r="H186" s="23"/>
      <c r="I186" s="16"/>
      <c r="J186" s="16"/>
      <c r="K186" s="16"/>
      <c r="L186" s="16"/>
      <c r="M186" s="16"/>
      <c r="N186" s="17"/>
      <c r="O186" s="18"/>
      <c r="P186" s="18"/>
      <c r="Q186" s="22"/>
      <c r="R186" s="22"/>
      <c r="S186" s="32"/>
      <c r="T186" s="32"/>
    </row>
    <row r="187" spans="1:20" ht="14.65">
      <c r="A187" s="13">
        <f>+A184+1</f>
        <v>178</v>
      </c>
      <c r="B187" s="14" t="s">
        <v>1143</v>
      </c>
      <c r="C187" s="14" t="s">
        <v>26</v>
      </c>
      <c r="D187" s="14"/>
      <c r="E187" s="23">
        <v>44473</v>
      </c>
      <c r="F187" s="23">
        <v>44473</v>
      </c>
      <c r="G187" s="14" t="s">
        <v>1144</v>
      </c>
      <c r="H187" s="23">
        <v>44473</v>
      </c>
      <c r="I187" s="16">
        <v>8674380</v>
      </c>
      <c r="J187" s="16">
        <v>658000</v>
      </c>
      <c r="K187" s="16"/>
      <c r="L187" s="16"/>
      <c r="M187" s="16">
        <f t="shared" ref="M187:M257" si="36">I187+J187-K187-L187</f>
        <v>9332380</v>
      </c>
      <c r="N187" s="17">
        <f t="shared" ref="N187:N257" si="37">$N$1-H187</f>
        <v>178</v>
      </c>
      <c r="O187" s="18"/>
      <c r="P187" s="18"/>
      <c r="Q187" s="22"/>
      <c r="R187" s="22">
        <f t="shared" ref="R187:R193" si="38">M187-Q187</f>
        <v>9332380</v>
      </c>
      <c r="S187" s="34">
        <f>IF(H187&lt;=DATE(2021,9,30),M187,0)</f>
        <v>0</v>
      </c>
      <c r="T187" s="34">
        <f t="shared" ref="T187:T193" si="39">IF(H187&gt;DATE(2021,9,30),M187,0)</f>
        <v>9332380</v>
      </c>
    </row>
    <row r="188" spans="1:20" ht="14.65">
      <c r="A188" s="13">
        <f t="shared" ref="A188:A193" si="40">A187+1</f>
        <v>179</v>
      </c>
      <c r="B188" s="14" t="s">
        <v>1143</v>
      </c>
      <c r="C188" s="14" t="s">
        <v>26</v>
      </c>
      <c r="D188" s="14"/>
      <c r="E188" s="23">
        <v>44474</v>
      </c>
      <c r="F188" s="23">
        <v>44474</v>
      </c>
      <c r="G188" s="14" t="s">
        <v>1144</v>
      </c>
      <c r="H188" s="23">
        <v>44474</v>
      </c>
      <c r="I188" s="16">
        <f>87620</f>
        <v>87620</v>
      </c>
      <c r="J188" s="16">
        <v>8000</v>
      </c>
      <c r="K188" s="16"/>
      <c r="L188" s="16"/>
      <c r="M188" s="16">
        <f t="shared" si="36"/>
        <v>95620</v>
      </c>
      <c r="N188" s="17">
        <f t="shared" si="37"/>
        <v>177</v>
      </c>
      <c r="O188" s="18"/>
      <c r="P188" s="18"/>
      <c r="Q188" s="22"/>
      <c r="R188" s="22">
        <f t="shared" si="38"/>
        <v>95620</v>
      </c>
      <c r="S188" s="34">
        <f>IF(H188&lt;=DATE(2021,9,30),M188,0)</f>
        <v>0</v>
      </c>
      <c r="T188" s="34">
        <f t="shared" si="39"/>
        <v>95620</v>
      </c>
    </row>
    <row r="189" spans="1:20" ht="14.65">
      <c r="A189" s="13">
        <f t="shared" si="40"/>
        <v>180</v>
      </c>
      <c r="B189" s="14" t="s">
        <v>1143</v>
      </c>
      <c r="C189" s="14" t="s">
        <v>26</v>
      </c>
      <c r="D189" s="14"/>
      <c r="E189" s="23">
        <v>44496</v>
      </c>
      <c r="F189" s="23">
        <v>44496</v>
      </c>
      <c r="G189" s="14" t="s">
        <v>959</v>
      </c>
      <c r="H189" s="23">
        <v>44496</v>
      </c>
      <c r="I189" s="16">
        <v>20875000</v>
      </c>
      <c r="J189" s="16">
        <v>1565925</v>
      </c>
      <c r="K189" s="16"/>
      <c r="L189" s="16"/>
      <c r="M189" s="16">
        <f t="shared" si="36"/>
        <v>22440925</v>
      </c>
      <c r="N189" s="17">
        <f t="shared" si="37"/>
        <v>155</v>
      </c>
      <c r="O189" s="18"/>
      <c r="P189" s="18"/>
      <c r="Q189" s="22"/>
      <c r="R189" s="22">
        <f t="shared" si="38"/>
        <v>22440925</v>
      </c>
      <c r="S189" s="34">
        <f>IF(H189&lt;=DATE(2021,9,30),M189,0)</f>
        <v>0</v>
      </c>
      <c r="T189" s="34">
        <f t="shared" si="39"/>
        <v>22440925</v>
      </c>
    </row>
    <row r="190" spans="1:20" ht="14.65">
      <c r="A190" s="13">
        <f t="shared" si="40"/>
        <v>181</v>
      </c>
      <c r="B190" s="14" t="s">
        <v>1143</v>
      </c>
      <c r="C190" s="14" t="s">
        <v>26</v>
      </c>
      <c r="D190" s="14"/>
      <c r="E190" s="23">
        <v>44496</v>
      </c>
      <c r="F190" s="23">
        <v>44496</v>
      </c>
      <c r="G190" s="14" t="s">
        <v>1145</v>
      </c>
      <c r="H190" s="23">
        <v>44496</v>
      </c>
      <c r="I190" s="16">
        <v>2820000</v>
      </c>
      <c r="J190" s="16">
        <v>211800</v>
      </c>
      <c r="K190" s="16"/>
      <c r="L190" s="16"/>
      <c r="M190" s="16">
        <f t="shared" si="36"/>
        <v>3031800</v>
      </c>
      <c r="N190" s="17">
        <f t="shared" si="37"/>
        <v>155</v>
      </c>
      <c r="O190" s="18"/>
      <c r="P190" s="18"/>
      <c r="Q190" s="22"/>
      <c r="R190" s="22">
        <f t="shared" si="38"/>
        <v>3031800</v>
      </c>
      <c r="S190" s="34">
        <f>IF(H190&lt;=DATE(2021,9,30),M190,0)</f>
        <v>0</v>
      </c>
      <c r="T190" s="34">
        <f t="shared" si="39"/>
        <v>3031800</v>
      </c>
    </row>
    <row r="191" spans="1:20" ht="14.65">
      <c r="A191" s="13">
        <f t="shared" si="40"/>
        <v>182</v>
      </c>
      <c r="B191" s="14" t="s">
        <v>1143</v>
      </c>
      <c r="C191" s="14" t="s">
        <v>26</v>
      </c>
      <c r="D191" s="14"/>
      <c r="E191" s="23">
        <v>44582</v>
      </c>
      <c r="F191" s="23">
        <v>44596</v>
      </c>
      <c r="G191" s="14" t="s">
        <v>1146</v>
      </c>
      <c r="H191" s="23">
        <v>44596</v>
      </c>
      <c r="I191" s="16">
        <v>2091175</v>
      </c>
      <c r="J191" s="16"/>
      <c r="K191" s="16"/>
      <c r="L191" s="16"/>
      <c r="M191" s="16">
        <f t="shared" si="36"/>
        <v>2091175</v>
      </c>
      <c r="N191" s="17">
        <f t="shared" si="37"/>
        <v>55</v>
      </c>
      <c r="O191" s="18"/>
      <c r="P191" s="18"/>
      <c r="Q191" s="22"/>
      <c r="R191" s="22">
        <f t="shared" si="38"/>
        <v>2091175</v>
      </c>
      <c r="S191" s="34"/>
      <c r="T191" s="34">
        <f t="shared" si="39"/>
        <v>2091175</v>
      </c>
    </row>
    <row r="192" spans="1:20" ht="14.65">
      <c r="A192" s="13">
        <f t="shared" si="40"/>
        <v>183</v>
      </c>
      <c r="B192" s="14" t="s">
        <v>1143</v>
      </c>
      <c r="C192" s="14" t="s">
        <v>26</v>
      </c>
      <c r="D192" s="14"/>
      <c r="E192" s="23">
        <v>44582</v>
      </c>
      <c r="F192" s="23">
        <v>44596</v>
      </c>
      <c r="G192" s="14" t="s">
        <v>959</v>
      </c>
      <c r="H192" s="23">
        <v>44596</v>
      </c>
      <c r="I192" s="16">
        <v>1042850</v>
      </c>
      <c r="J192" s="16"/>
      <c r="K192" s="16"/>
      <c r="L192" s="16"/>
      <c r="M192" s="16">
        <f t="shared" si="36"/>
        <v>1042850</v>
      </c>
      <c r="N192" s="17">
        <f t="shared" si="37"/>
        <v>55</v>
      </c>
      <c r="O192" s="18"/>
      <c r="P192" s="18"/>
      <c r="Q192" s="22"/>
      <c r="R192" s="22">
        <f t="shared" si="38"/>
        <v>1042850</v>
      </c>
      <c r="S192" s="34"/>
      <c r="T192" s="34">
        <f t="shared" si="39"/>
        <v>1042850</v>
      </c>
    </row>
    <row r="193" spans="1:20" ht="14.65">
      <c r="A193" s="13">
        <f t="shared" si="40"/>
        <v>184</v>
      </c>
      <c r="B193" s="14" t="s">
        <v>1143</v>
      </c>
      <c r="C193" s="14" t="s">
        <v>26</v>
      </c>
      <c r="D193" s="14"/>
      <c r="E193" s="23">
        <v>44629</v>
      </c>
      <c r="F193" s="23">
        <v>44629</v>
      </c>
      <c r="G193" s="14" t="s">
        <v>1147</v>
      </c>
      <c r="H193" s="23">
        <v>44629</v>
      </c>
      <c r="I193" s="16">
        <v>3810000</v>
      </c>
      <c r="J193" s="16">
        <v>286000</v>
      </c>
      <c r="K193" s="16"/>
      <c r="L193" s="16"/>
      <c r="M193" s="16">
        <f t="shared" si="36"/>
        <v>4096000</v>
      </c>
      <c r="N193" s="17">
        <f t="shared" si="37"/>
        <v>22</v>
      </c>
      <c r="O193" s="18"/>
      <c r="P193" s="18"/>
      <c r="Q193" s="22"/>
      <c r="R193" s="22">
        <f t="shared" si="38"/>
        <v>4096000</v>
      </c>
      <c r="S193" s="34"/>
      <c r="T193" s="34">
        <f t="shared" si="39"/>
        <v>4096000</v>
      </c>
    </row>
    <row r="194" spans="1:20" ht="14.65">
      <c r="A194" s="13"/>
      <c r="B194" s="14"/>
      <c r="C194" s="14"/>
      <c r="D194" s="14"/>
      <c r="E194" s="23"/>
      <c r="F194" s="23"/>
      <c r="G194" s="14"/>
      <c r="H194" s="23"/>
      <c r="I194" s="30">
        <f>SUM(I187:I193)</f>
        <v>39401025</v>
      </c>
      <c r="J194" s="30">
        <f>SUM(J187:J193)</f>
        <v>2729725</v>
      </c>
      <c r="K194" s="30">
        <f>SUM(K187:K193)</f>
        <v>0</v>
      </c>
      <c r="L194" s="30">
        <f>SUM(L187:L193)</f>
        <v>0</v>
      </c>
      <c r="M194" s="30">
        <f>SUM(M187:M193)</f>
        <v>42130750</v>
      </c>
      <c r="N194" s="35"/>
      <c r="O194" s="36"/>
      <c r="P194" s="36"/>
      <c r="Q194" s="30">
        <f>SUM(Q187:Q193)</f>
        <v>0</v>
      </c>
      <c r="R194" s="30">
        <f>SUM(R187:R193)</f>
        <v>42130750</v>
      </c>
      <c r="S194" s="30">
        <f>SUM(S187:S193)</f>
        <v>0</v>
      </c>
      <c r="T194" s="30">
        <f>SUM(T187:T193)</f>
        <v>42130750</v>
      </c>
    </row>
    <row r="195" spans="1:20" ht="14.65">
      <c r="A195" s="13"/>
      <c r="B195" s="31" t="s">
        <v>34</v>
      </c>
      <c r="C195" s="14"/>
      <c r="D195" s="14"/>
      <c r="E195" s="23"/>
      <c r="F195" s="23"/>
      <c r="G195" s="14"/>
      <c r="H195" s="23"/>
      <c r="I195" s="28"/>
      <c r="J195" s="28"/>
      <c r="K195" s="28"/>
      <c r="L195" s="28"/>
      <c r="M195" s="28"/>
      <c r="N195" s="17"/>
      <c r="O195" s="18"/>
      <c r="P195" s="18"/>
      <c r="Q195" s="28"/>
      <c r="R195" s="28"/>
      <c r="S195" s="28"/>
      <c r="T195" s="28"/>
    </row>
    <row r="196" spans="1:20" ht="14.65">
      <c r="A196" s="13">
        <f>A193+1</f>
        <v>185</v>
      </c>
      <c r="B196" s="14" t="s">
        <v>1148</v>
      </c>
      <c r="C196" s="14" t="s">
        <v>35</v>
      </c>
      <c r="D196" s="14" t="s">
        <v>1149</v>
      </c>
      <c r="E196" s="15">
        <v>44454</v>
      </c>
      <c r="F196" s="15">
        <v>44454</v>
      </c>
      <c r="G196" s="14" t="s">
        <v>1150</v>
      </c>
      <c r="H196" s="15">
        <v>44647</v>
      </c>
      <c r="I196" s="16">
        <f>50000+75000+62750+73200+21350+42700</f>
        <v>325000</v>
      </c>
      <c r="J196" s="16"/>
      <c r="K196" s="16"/>
      <c r="L196" s="16"/>
      <c r="M196" s="16">
        <f t="shared" si="36"/>
        <v>325000</v>
      </c>
      <c r="N196" s="17">
        <f t="shared" si="37"/>
        <v>4</v>
      </c>
      <c r="O196" s="33">
        <v>2</v>
      </c>
      <c r="P196" s="19">
        <f t="shared" ref="P196:P254" si="41">O196-(N196/365)</f>
        <v>1.989041095890411</v>
      </c>
      <c r="Q196" s="32">
        <f t="shared" ref="Q196:Q254" si="42">M196*95%/O196*N196/365</f>
        <v>1691.7808219178082</v>
      </c>
      <c r="R196" s="22">
        <f t="shared" ref="R196:R253" si="43">M196-Q196</f>
        <v>323308.21917808219</v>
      </c>
      <c r="S196" s="34">
        <f t="shared" ref="S196:S257" si="44">IF(H196&lt;=DATE(2021,9,30),M196,0)</f>
        <v>0</v>
      </c>
      <c r="T196" s="34">
        <f t="shared" ref="T196:T257" si="45">IF(H196&gt;DATE(2021,9,30),M196,0)</f>
        <v>325000</v>
      </c>
    </row>
    <row r="197" spans="1:20" ht="14.65">
      <c r="A197" s="13">
        <f>A194+1</f>
        <v>1</v>
      </c>
      <c r="B197" s="14" t="s">
        <v>819</v>
      </c>
      <c r="C197" s="14" t="s">
        <v>35</v>
      </c>
      <c r="D197" s="14">
        <v>2008023201</v>
      </c>
      <c r="E197" s="15">
        <v>44551</v>
      </c>
      <c r="F197" s="15">
        <v>44525</v>
      </c>
      <c r="G197" s="14" t="s">
        <v>257</v>
      </c>
      <c r="H197" s="15">
        <v>44647</v>
      </c>
      <c r="I197" s="16">
        <v>245692.49</v>
      </c>
      <c r="J197" s="16"/>
      <c r="K197" s="16"/>
      <c r="L197" s="16">
        <v>37478</v>
      </c>
      <c r="M197" s="16">
        <f t="shared" si="36"/>
        <v>208214.49</v>
      </c>
      <c r="N197" s="17">
        <f t="shared" si="37"/>
        <v>4</v>
      </c>
      <c r="O197" s="33">
        <v>2</v>
      </c>
      <c r="P197" s="19">
        <f t="shared" si="41"/>
        <v>1.989041095890411</v>
      </c>
      <c r="Q197" s="32">
        <f t="shared" si="42"/>
        <v>1083.8562493150685</v>
      </c>
      <c r="R197" s="22">
        <f t="shared" si="43"/>
        <v>207130.63375068491</v>
      </c>
      <c r="S197" s="34">
        <f t="shared" si="44"/>
        <v>0</v>
      </c>
      <c r="T197" s="34">
        <f t="shared" si="45"/>
        <v>208214.49</v>
      </c>
    </row>
    <row r="198" spans="1:20" ht="14.65">
      <c r="A198" s="13">
        <f t="shared" ref="A198:A255" si="46">A197+1</f>
        <v>2</v>
      </c>
      <c r="B198" s="14" t="s">
        <v>1151</v>
      </c>
      <c r="C198" s="14" t="s">
        <v>35</v>
      </c>
      <c r="D198" s="14">
        <v>276</v>
      </c>
      <c r="E198" s="15">
        <v>44552</v>
      </c>
      <c r="F198" s="15">
        <v>44552</v>
      </c>
      <c r="G198" s="14" t="s">
        <v>1152</v>
      </c>
      <c r="H198" s="15">
        <v>44647</v>
      </c>
      <c r="I198" s="16">
        <f>213108+215800</f>
        <v>428908</v>
      </c>
      <c r="J198" s="16"/>
      <c r="K198" s="16"/>
      <c r="L198" s="16">
        <v>32508</v>
      </c>
      <c r="M198" s="16">
        <f t="shared" si="36"/>
        <v>396400</v>
      </c>
      <c r="N198" s="17">
        <f t="shared" si="37"/>
        <v>4</v>
      </c>
      <c r="O198" s="33">
        <v>2</v>
      </c>
      <c r="P198" s="19">
        <f t="shared" si="41"/>
        <v>1.989041095890411</v>
      </c>
      <c r="Q198" s="32">
        <f t="shared" si="42"/>
        <v>2063.4520547945203</v>
      </c>
      <c r="R198" s="22">
        <f t="shared" si="43"/>
        <v>394336.54794520547</v>
      </c>
      <c r="S198" s="34">
        <f t="shared" si="44"/>
        <v>0</v>
      </c>
      <c r="T198" s="34">
        <f t="shared" si="45"/>
        <v>396400</v>
      </c>
    </row>
    <row r="199" spans="1:20" ht="14.65">
      <c r="A199" s="13">
        <f t="shared" si="46"/>
        <v>3</v>
      </c>
      <c r="B199" s="14" t="s">
        <v>819</v>
      </c>
      <c r="C199" s="14" t="s">
        <v>35</v>
      </c>
      <c r="D199" s="14">
        <v>2008023225</v>
      </c>
      <c r="E199" s="15">
        <v>44552</v>
      </c>
      <c r="F199" s="15">
        <v>44552</v>
      </c>
      <c r="G199" s="14" t="s">
        <v>257</v>
      </c>
      <c r="H199" s="15">
        <v>44647</v>
      </c>
      <c r="I199" s="16">
        <v>245693.49</v>
      </c>
      <c r="J199" s="16"/>
      <c r="K199" s="16"/>
      <c r="L199" s="16">
        <v>37479</v>
      </c>
      <c r="M199" s="16">
        <f t="shared" si="36"/>
        <v>208214.49</v>
      </c>
      <c r="N199" s="17">
        <f t="shared" si="37"/>
        <v>4</v>
      </c>
      <c r="O199" s="33">
        <v>2</v>
      </c>
      <c r="P199" s="19">
        <f t="shared" si="41"/>
        <v>1.989041095890411</v>
      </c>
      <c r="Q199" s="32">
        <f t="shared" si="42"/>
        <v>1083.8562493150685</v>
      </c>
      <c r="R199" s="22">
        <f t="shared" si="43"/>
        <v>207130.63375068491</v>
      </c>
      <c r="S199" s="34">
        <f t="shared" si="44"/>
        <v>0</v>
      </c>
      <c r="T199" s="34">
        <f t="shared" si="45"/>
        <v>208214.49</v>
      </c>
    </row>
    <row r="200" spans="1:20" ht="14.65">
      <c r="A200" s="13">
        <f t="shared" si="46"/>
        <v>4</v>
      </c>
      <c r="B200" s="14" t="s">
        <v>819</v>
      </c>
      <c r="C200" s="14" t="s">
        <v>35</v>
      </c>
      <c r="D200" s="14">
        <v>2008023307</v>
      </c>
      <c r="E200" s="15">
        <v>44558</v>
      </c>
      <c r="F200" s="15">
        <v>44561</v>
      </c>
      <c r="G200" s="14" t="s">
        <v>257</v>
      </c>
      <c r="H200" s="15">
        <v>44647</v>
      </c>
      <c r="I200" s="16">
        <v>252695</v>
      </c>
      <c r="J200" s="16"/>
      <c r="K200" s="16"/>
      <c r="L200" s="16">
        <v>38547</v>
      </c>
      <c r="M200" s="16">
        <f t="shared" si="36"/>
        <v>214148</v>
      </c>
      <c r="N200" s="17">
        <f t="shared" si="37"/>
        <v>4</v>
      </c>
      <c r="O200" s="33">
        <v>2</v>
      </c>
      <c r="P200" s="19">
        <f t="shared" si="41"/>
        <v>1.989041095890411</v>
      </c>
      <c r="Q200" s="32">
        <f t="shared" si="42"/>
        <v>1114.74301369863</v>
      </c>
      <c r="R200" s="22">
        <f t="shared" si="43"/>
        <v>213033.25698630136</v>
      </c>
      <c r="S200" s="34">
        <f t="shared" si="44"/>
        <v>0</v>
      </c>
      <c r="T200" s="34">
        <f t="shared" si="45"/>
        <v>214148</v>
      </c>
    </row>
    <row r="201" spans="1:20" ht="14.65">
      <c r="A201" s="13">
        <f t="shared" si="46"/>
        <v>5</v>
      </c>
      <c r="B201" s="14" t="s">
        <v>819</v>
      </c>
      <c r="C201" s="14" t="s">
        <v>35</v>
      </c>
      <c r="D201" s="14">
        <v>2008023309</v>
      </c>
      <c r="E201" s="15">
        <v>44558</v>
      </c>
      <c r="F201" s="15">
        <v>44561</v>
      </c>
      <c r="G201" s="14" t="s">
        <v>257</v>
      </c>
      <c r="H201" s="15">
        <v>44647</v>
      </c>
      <c r="I201" s="16">
        <v>251680</v>
      </c>
      <c r="J201" s="16"/>
      <c r="K201" s="16"/>
      <c r="L201" s="16">
        <v>38392</v>
      </c>
      <c r="M201" s="16">
        <f t="shared" si="36"/>
        <v>213288</v>
      </c>
      <c r="N201" s="17">
        <f t="shared" si="37"/>
        <v>4</v>
      </c>
      <c r="O201" s="33">
        <v>2</v>
      </c>
      <c r="P201" s="19">
        <f t="shared" si="41"/>
        <v>1.989041095890411</v>
      </c>
      <c r="Q201" s="32">
        <f t="shared" si="42"/>
        <v>1110.266301369863</v>
      </c>
      <c r="R201" s="22">
        <f t="shared" si="43"/>
        <v>212177.73369863012</v>
      </c>
      <c r="S201" s="34">
        <f t="shared" si="44"/>
        <v>0</v>
      </c>
      <c r="T201" s="34">
        <f t="shared" si="45"/>
        <v>213288</v>
      </c>
    </row>
    <row r="202" spans="1:20" ht="14.65">
      <c r="A202" s="13">
        <f t="shared" si="46"/>
        <v>6</v>
      </c>
      <c r="B202" s="14" t="s">
        <v>1153</v>
      </c>
      <c r="C202" s="14" t="s">
        <v>35</v>
      </c>
      <c r="D202" s="14">
        <v>6</v>
      </c>
      <c r="E202" s="15">
        <v>44573</v>
      </c>
      <c r="F202" s="15">
        <v>44573</v>
      </c>
      <c r="G202" s="14" t="s">
        <v>1154</v>
      </c>
      <c r="H202" s="15">
        <v>44647</v>
      </c>
      <c r="I202" s="16">
        <v>23350</v>
      </c>
      <c r="J202" s="16"/>
      <c r="K202" s="16"/>
      <c r="L202" s="16"/>
      <c r="M202" s="16">
        <f t="shared" si="36"/>
        <v>23350</v>
      </c>
      <c r="N202" s="17">
        <f t="shared" si="37"/>
        <v>4</v>
      </c>
      <c r="O202" s="33">
        <v>2</v>
      </c>
      <c r="P202" s="19">
        <f t="shared" si="41"/>
        <v>1.989041095890411</v>
      </c>
      <c r="Q202" s="32">
        <f t="shared" si="42"/>
        <v>121.54794520547945</v>
      </c>
      <c r="R202" s="22">
        <f t="shared" si="43"/>
        <v>23228.452054794521</v>
      </c>
      <c r="S202" s="34">
        <f t="shared" si="44"/>
        <v>0</v>
      </c>
      <c r="T202" s="34">
        <f t="shared" si="45"/>
        <v>23350</v>
      </c>
    </row>
    <row r="203" spans="1:20" ht="14.65">
      <c r="A203" s="13">
        <f t="shared" si="46"/>
        <v>7</v>
      </c>
      <c r="B203" s="14" t="s">
        <v>1155</v>
      </c>
      <c r="C203" s="14" t="s">
        <v>35</v>
      </c>
      <c r="D203" s="14">
        <v>7</v>
      </c>
      <c r="E203" s="15">
        <v>44584</v>
      </c>
      <c r="F203" s="15">
        <v>44584</v>
      </c>
      <c r="G203" s="14" t="s">
        <v>1154</v>
      </c>
      <c r="H203" s="15">
        <v>44647</v>
      </c>
      <c r="I203" s="16">
        <v>2000</v>
      </c>
      <c r="J203" s="16"/>
      <c r="K203" s="16"/>
      <c r="L203" s="16"/>
      <c r="M203" s="16">
        <f t="shared" si="36"/>
        <v>2000</v>
      </c>
      <c r="N203" s="17">
        <f t="shared" si="37"/>
        <v>4</v>
      </c>
      <c r="O203" s="33">
        <v>2</v>
      </c>
      <c r="P203" s="19">
        <f t="shared" si="41"/>
        <v>1.989041095890411</v>
      </c>
      <c r="Q203" s="32">
        <f t="shared" si="42"/>
        <v>10.41095890410959</v>
      </c>
      <c r="R203" s="22">
        <f t="shared" si="43"/>
        <v>1989.5890410958905</v>
      </c>
      <c r="S203" s="34">
        <f t="shared" si="44"/>
        <v>0</v>
      </c>
      <c r="T203" s="34">
        <f t="shared" si="45"/>
        <v>2000</v>
      </c>
    </row>
    <row r="204" spans="1:20" ht="14.65">
      <c r="A204" s="13">
        <f t="shared" si="46"/>
        <v>8</v>
      </c>
      <c r="B204" s="14" t="s">
        <v>1156</v>
      </c>
      <c r="C204" s="14" t="s">
        <v>35</v>
      </c>
      <c r="D204" s="14">
        <v>368</v>
      </c>
      <c r="E204" s="15">
        <v>44595</v>
      </c>
      <c r="F204" s="15">
        <v>44601</v>
      </c>
      <c r="G204" s="14" t="s">
        <v>1152</v>
      </c>
      <c r="H204" s="15">
        <v>44647</v>
      </c>
      <c r="I204" s="16">
        <v>41300</v>
      </c>
      <c r="J204" s="16"/>
      <c r="K204" s="16"/>
      <c r="L204" s="16">
        <v>6300</v>
      </c>
      <c r="M204" s="16">
        <f t="shared" si="36"/>
        <v>35000</v>
      </c>
      <c r="N204" s="17">
        <f t="shared" si="37"/>
        <v>4</v>
      </c>
      <c r="O204" s="33">
        <v>2</v>
      </c>
      <c r="P204" s="19">
        <f t="shared" si="41"/>
        <v>1.989041095890411</v>
      </c>
      <c r="Q204" s="32">
        <f t="shared" si="42"/>
        <v>182.1917808219178</v>
      </c>
      <c r="R204" s="22">
        <f t="shared" si="43"/>
        <v>34817.808219178085</v>
      </c>
      <c r="S204" s="34">
        <f t="shared" si="44"/>
        <v>0</v>
      </c>
      <c r="T204" s="34">
        <f t="shared" si="45"/>
        <v>35000</v>
      </c>
    </row>
    <row r="205" spans="1:20" ht="14.65">
      <c r="A205" s="13">
        <f t="shared" si="46"/>
        <v>9</v>
      </c>
      <c r="B205" s="14" t="s">
        <v>1157</v>
      </c>
      <c r="C205" s="14" t="s">
        <v>35</v>
      </c>
      <c r="D205" s="14" t="s">
        <v>1158</v>
      </c>
      <c r="E205" s="15">
        <v>44617</v>
      </c>
      <c r="F205" s="15">
        <v>44617</v>
      </c>
      <c r="G205" s="14" t="s">
        <v>1159</v>
      </c>
      <c r="H205" s="15">
        <v>44647</v>
      </c>
      <c r="I205" s="16">
        <v>102640</v>
      </c>
      <c r="J205" s="16"/>
      <c r="K205" s="16"/>
      <c r="L205" s="16">
        <v>15657</v>
      </c>
      <c r="M205" s="16">
        <f t="shared" si="36"/>
        <v>86983</v>
      </c>
      <c r="N205" s="17">
        <f t="shared" si="37"/>
        <v>4</v>
      </c>
      <c r="O205" s="33">
        <v>2</v>
      </c>
      <c r="P205" s="19">
        <f t="shared" si="41"/>
        <v>1.989041095890411</v>
      </c>
      <c r="Q205" s="32">
        <f t="shared" si="42"/>
        <v>452.78821917808216</v>
      </c>
      <c r="R205" s="22">
        <f t="shared" si="43"/>
        <v>86530.211780821919</v>
      </c>
      <c r="S205" s="34">
        <f t="shared" si="44"/>
        <v>0</v>
      </c>
      <c r="T205" s="34">
        <f t="shared" si="45"/>
        <v>86983</v>
      </c>
    </row>
    <row r="206" spans="1:20" ht="14.65">
      <c r="A206" s="13">
        <f t="shared" si="46"/>
        <v>10</v>
      </c>
      <c r="B206" s="14" t="s">
        <v>1160</v>
      </c>
      <c r="C206" s="14" t="s">
        <v>35</v>
      </c>
      <c r="D206" s="14" t="s">
        <v>1161</v>
      </c>
      <c r="E206" s="15">
        <v>44638</v>
      </c>
      <c r="F206" s="15">
        <v>44638</v>
      </c>
      <c r="G206" s="14" t="s">
        <v>1162</v>
      </c>
      <c r="H206" s="15">
        <v>44647</v>
      </c>
      <c r="I206" s="16">
        <v>133753</v>
      </c>
      <c r="J206" s="16"/>
      <c r="K206" s="16"/>
      <c r="L206" s="16">
        <v>20402</v>
      </c>
      <c r="M206" s="16">
        <f t="shared" si="36"/>
        <v>113351</v>
      </c>
      <c r="N206" s="17">
        <f t="shared" si="37"/>
        <v>4</v>
      </c>
      <c r="O206" s="33">
        <v>2</v>
      </c>
      <c r="P206" s="19">
        <f t="shared" si="41"/>
        <v>1.989041095890411</v>
      </c>
      <c r="Q206" s="32">
        <f t="shared" si="42"/>
        <v>590.04630136986304</v>
      </c>
      <c r="R206" s="22">
        <f t="shared" si="43"/>
        <v>112760.95369863014</v>
      </c>
      <c r="S206" s="34">
        <f t="shared" si="44"/>
        <v>0</v>
      </c>
      <c r="T206" s="34">
        <f t="shared" si="45"/>
        <v>113351</v>
      </c>
    </row>
    <row r="207" spans="1:20" ht="14.65">
      <c r="A207" s="13">
        <f t="shared" si="46"/>
        <v>11</v>
      </c>
      <c r="B207" s="14" t="s">
        <v>1163</v>
      </c>
      <c r="C207" s="14" t="s">
        <v>35</v>
      </c>
      <c r="D207" s="14" t="s">
        <v>1164</v>
      </c>
      <c r="E207" s="15">
        <v>44640</v>
      </c>
      <c r="F207" s="15">
        <v>44640</v>
      </c>
      <c r="G207" s="14" t="s">
        <v>1165</v>
      </c>
      <c r="H207" s="15">
        <v>44647</v>
      </c>
      <c r="I207" s="16">
        <v>84960</v>
      </c>
      <c r="J207" s="16"/>
      <c r="K207" s="16"/>
      <c r="L207" s="16">
        <v>12960</v>
      </c>
      <c r="M207" s="16">
        <f t="shared" si="36"/>
        <v>72000</v>
      </c>
      <c r="N207" s="17">
        <f t="shared" si="37"/>
        <v>4</v>
      </c>
      <c r="O207" s="33">
        <v>2</v>
      </c>
      <c r="P207" s="19">
        <f t="shared" si="41"/>
        <v>1.989041095890411</v>
      </c>
      <c r="Q207" s="32">
        <f t="shared" si="42"/>
        <v>374.79452054794518</v>
      </c>
      <c r="R207" s="22">
        <f t="shared" si="43"/>
        <v>71625.205479452052</v>
      </c>
      <c r="S207" s="34">
        <f t="shared" si="44"/>
        <v>0</v>
      </c>
      <c r="T207" s="34">
        <f t="shared" si="45"/>
        <v>72000</v>
      </c>
    </row>
    <row r="208" spans="1:20" ht="14.65">
      <c r="A208" s="13">
        <f t="shared" si="46"/>
        <v>12</v>
      </c>
      <c r="B208" s="14" t="s">
        <v>223</v>
      </c>
      <c r="C208" s="14" t="s">
        <v>35</v>
      </c>
      <c r="D208" s="14" t="s">
        <v>1166</v>
      </c>
      <c r="E208" s="15">
        <v>44647</v>
      </c>
      <c r="F208" s="15">
        <v>44647</v>
      </c>
      <c r="G208" s="14" t="s">
        <v>1154</v>
      </c>
      <c r="H208" s="15">
        <v>44647</v>
      </c>
      <c r="I208" s="16">
        <v>21350</v>
      </c>
      <c r="J208" s="16"/>
      <c r="K208" s="16"/>
      <c r="L208" s="16">
        <v>0</v>
      </c>
      <c r="M208" s="16">
        <f t="shared" si="36"/>
        <v>21350</v>
      </c>
      <c r="N208" s="17">
        <f t="shared" si="37"/>
        <v>4</v>
      </c>
      <c r="O208" s="33">
        <v>2</v>
      </c>
      <c r="P208" s="19">
        <f t="shared" si="41"/>
        <v>1.989041095890411</v>
      </c>
      <c r="Q208" s="32">
        <f t="shared" si="42"/>
        <v>111.13698630136986</v>
      </c>
      <c r="R208" s="22">
        <f t="shared" si="43"/>
        <v>21238.863013698628</v>
      </c>
      <c r="S208" s="34">
        <f t="shared" si="44"/>
        <v>0</v>
      </c>
      <c r="T208" s="34">
        <f t="shared" si="45"/>
        <v>21350</v>
      </c>
    </row>
    <row r="209" spans="1:20" ht="14.65">
      <c r="A209" s="13">
        <f t="shared" si="46"/>
        <v>13</v>
      </c>
      <c r="B209" s="14" t="s">
        <v>819</v>
      </c>
      <c r="C209" s="26" t="s">
        <v>28</v>
      </c>
      <c r="D209" s="14">
        <v>2008022945</v>
      </c>
      <c r="E209" s="23">
        <v>44531</v>
      </c>
      <c r="F209" s="23">
        <v>44531</v>
      </c>
      <c r="G209" s="14" t="s">
        <v>257</v>
      </c>
      <c r="H209" s="23">
        <v>44553</v>
      </c>
      <c r="I209" s="16">
        <v>217175.51</v>
      </c>
      <c r="J209" s="16"/>
      <c r="K209" s="16"/>
      <c r="L209" s="16">
        <v>33128</v>
      </c>
      <c r="M209" s="16">
        <f t="shared" si="36"/>
        <v>184047.51</v>
      </c>
      <c r="N209" s="17">
        <f t="shared" si="37"/>
        <v>98</v>
      </c>
      <c r="O209" s="33">
        <v>2</v>
      </c>
      <c r="P209" s="19">
        <f t="shared" si="41"/>
        <v>1.7315068493150685</v>
      </c>
      <c r="Q209" s="32">
        <f t="shared" si="42"/>
        <v>23472.36052191781</v>
      </c>
      <c r="R209" s="22">
        <f t="shared" si="43"/>
        <v>160575.1494780822</v>
      </c>
      <c r="S209" s="34">
        <f t="shared" si="44"/>
        <v>0</v>
      </c>
      <c r="T209" s="34">
        <f t="shared" si="45"/>
        <v>184047.51</v>
      </c>
    </row>
    <row r="210" spans="1:20" ht="14.65">
      <c r="A210" s="13">
        <f t="shared" si="46"/>
        <v>14</v>
      </c>
      <c r="B210" s="14" t="s">
        <v>1167</v>
      </c>
      <c r="C210" s="26" t="s">
        <v>28</v>
      </c>
      <c r="D210" s="14">
        <v>7</v>
      </c>
      <c r="E210" s="23">
        <v>44543</v>
      </c>
      <c r="F210" s="23">
        <v>44543</v>
      </c>
      <c r="G210" s="14" t="s">
        <v>1168</v>
      </c>
      <c r="H210" s="23">
        <v>44553</v>
      </c>
      <c r="I210" s="16">
        <v>26000</v>
      </c>
      <c r="J210" s="16"/>
      <c r="K210" s="16"/>
      <c r="L210" s="16"/>
      <c r="M210" s="16">
        <f t="shared" si="36"/>
        <v>26000</v>
      </c>
      <c r="N210" s="17">
        <f t="shared" si="37"/>
        <v>98</v>
      </c>
      <c r="O210" s="33">
        <v>2</v>
      </c>
      <c r="P210" s="19">
        <f t="shared" si="41"/>
        <v>1.7315068493150685</v>
      </c>
      <c r="Q210" s="32">
        <f t="shared" si="42"/>
        <v>3315.8904109589039</v>
      </c>
      <c r="R210" s="22">
        <f t="shared" si="43"/>
        <v>22684.109589041094</v>
      </c>
      <c r="S210" s="34">
        <f t="shared" si="44"/>
        <v>0</v>
      </c>
      <c r="T210" s="34">
        <f t="shared" si="45"/>
        <v>26000</v>
      </c>
    </row>
    <row r="211" spans="1:20" ht="14.65">
      <c r="A211" s="13">
        <f t="shared" si="46"/>
        <v>15</v>
      </c>
      <c r="B211" s="14" t="s">
        <v>819</v>
      </c>
      <c r="C211" s="26" t="s">
        <v>28</v>
      </c>
      <c r="D211" s="14">
        <v>2008022942</v>
      </c>
      <c r="E211" s="23">
        <v>44553</v>
      </c>
      <c r="F211" s="23">
        <v>44553</v>
      </c>
      <c r="G211" s="14" t="s">
        <v>257</v>
      </c>
      <c r="H211" s="23">
        <v>44553</v>
      </c>
      <c r="I211" s="16">
        <v>217175.51</v>
      </c>
      <c r="J211" s="16"/>
      <c r="K211" s="16"/>
      <c r="L211" s="16">
        <v>33128</v>
      </c>
      <c r="M211" s="16">
        <f t="shared" si="36"/>
        <v>184047.51</v>
      </c>
      <c r="N211" s="17">
        <f t="shared" si="37"/>
        <v>98</v>
      </c>
      <c r="O211" s="33">
        <v>2</v>
      </c>
      <c r="P211" s="19">
        <f t="shared" si="41"/>
        <v>1.7315068493150685</v>
      </c>
      <c r="Q211" s="32">
        <f t="shared" si="42"/>
        <v>23472.36052191781</v>
      </c>
      <c r="R211" s="22">
        <f t="shared" si="43"/>
        <v>160575.1494780822</v>
      </c>
      <c r="S211" s="34">
        <f t="shared" si="44"/>
        <v>0</v>
      </c>
      <c r="T211" s="34">
        <f t="shared" si="45"/>
        <v>184047.51</v>
      </c>
    </row>
    <row r="212" spans="1:20" ht="14.65">
      <c r="A212" s="13">
        <f t="shared" si="46"/>
        <v>16</v>
      </c>
      <c r="B212" s="14" t="s">
        <v>1169</v>
      </c>
      <c r="C212" s="26" t="s">
        <v>28</v>
      </c>
      <c r="D212" s="14">
        <v>6</v>
      </c>
      <c r="E212" s="23">
        <v>44555</v>
      </c>
      <c r="F212" s="23">
        <v>44555</v>
      </c>
      <c r="G212" s="14" t="s">
        <v>1170</v>
      </c>
      <c r="H212" s="23">
        <v>44553</v>
      </c>
      <c r="I212" s="16">
        <v>50001.46</v>
      </c>
      <c r="J212" s="16"/>
      <c r="K212" s="16"/>
      <c r="L212" s="16">
        <v>7628</v>
      </c>
      <c r="M212" s="16">
        <f t="shared" si="36"/>
        <v>42373.46</v>
      </c>
      <c r="N212" s="17">
        <f t="shared" si="37"/>
        <v>98</v>
      </c>
      <c r="O212" s="33">
        <v>2</v>
      </c>
      <c r="P212" s="19">
        <f t="shared" si="41"/>
        <v>1.7315068493150685</v>
      </c>
      <c r="Q212" s="32">
        <f t="shared" si="42"/>
        <v>5404.0672958904106</v>
      </c>
      <c r="R212" s="22">
        <f t="shared" si="43"/>
        <v>36969.392704109589</v>
      </c>
      <c r="S212" s="34">
        <f t="shared" si="44"/>
        <v>0</v>
      </c>
      <c r="T212" s="34">
        <f t="shared" si="45"/>
        <v>42373.46</v>
      </c>
    </row>
    <row r="213" spans="1:20" ht="14.65">
      <c r="A213" s="13">
        <f t="shared" si="46"/>
        <v>17</v>
      </c>
      <c r="B213" s="14" t="s">
        <v>1169</v>
      </c>
      <c r="C213" s="26" t="s">
        <v>28</v>
      </c>
      <c r="D213" s="14">
        <v>7</v>
      </c>
      <c r="E213" s="23">
        <v>44555</v>
      </c>
      <c r="F213" s="23">
        <v>44555</v>
      </c>
      <c r="G213" s="14" t="s">
        <v>1170</v>
      </c>
      <c r="H213" s="23">
        <v>44553</v>
      </c>
      <c r="I213" s="16">
        <v>50000.9</v>
      </c>
      <c r="J213" s="16"/>
      <c r="K213" s="16"/>
      <c r="L213" s="16">
        <v>7628</v>
      </c>
      <c r="M213" s="16">
        <f t="shared" si="36"/>
        <v>42372.9</v>
      </c>
      <c r="N213" s="17">
        <f t="shared" si="37"/>
        <v>98</v>
      </c>
      <c r="O213" s="33">
        <v>2</v>
      </c>
      <c r="P213" s="19">
        <f t="shared" si="41"/>
        <v>1.7315068493150685</v>
      </c>
      <c r="Q213" s="32">
        <f t="shared" si="42"/>
        <v>5403.995876712328</v>
      </c>
      <c r="R213" s="22">
        <f t="shared" si="43"/>
        <v>36968.904123287677</v>
      </c>
      <c r="S213" s="34">
        <f t="shared" si="44"/>
        <v>0</v>
      </c>
      <c r="T213" s="34">
        <f t="shared" si="45"/>
        <v>42372.9</v>
      </c>
    </row>
    <row r="214" spans="1:20" ht="14.65">
      <c r="A214" s="13">
        <f t="shared" si="46"/>
        <v>18</v>
      </c>
      <c r="B214" s="14" t="s">
        <v>1169</v>
      </c>
      <c r="C214" s="26" t="s">
        <v>28</v>
      </c>
      <c r="D214" s="14">
        <v>526</v>
      </c>
      <c r="E214" s="23">
        <v>44555</v>
      </c>
      <c r="F214" s="23">
        <v>44555</v>
      </c>
      <c r="G214" s="14" t="s">
        <v>1171</v>
      </c>
      <c r="H214" s="23">
        <v>44553</v>
      </c>
      <c r="I214" s="16">
        <v>59550.1</v>
      </c>
      <c r="J214" s="16"/>
      <c r="K214" s="16"/>
      <c r="L214" s="16">
        <v>9084</v>
      </c>
      <c r="M214" s="16">
        <f t="shared" si="36"/>
        <v>50466.1</v>
      </c>
      <c r="N214" s="17">
        <f t="shared" si="37"/>
        <v>98</v>
      </c>
      <c r="O214" s="33">
        <v>2</v>
      </c>
      <c r="P214" s="19">
        <f t="shared" si="41"/>
        <v>1.7315068493150685</v>
      </c>
      <c r="Q214" s="32">
        <f t="shared" si="42"/>
        <v>6436.1560410958909</v>
      </c>
      <c r="R214" s="22">
        <f t="shared" si="43"/>
        <v>44029.943958904107</v>
      </c>
      <c r="S214" s="34">
        <f t="shared" si="44"/>
        <v>0</v>
      </c>
      <c r="T214" s="34">
        <f t="shared" si="45"/>
        <v>50466.1</v>
      </c>
    </row>
    <row r="215" spans="1:20" ht="14.65">
      <c r="A215" s="13">
        <f t="shared" si="46"/>
        <v>19</v>
      </c>
      <c r="B215" s="14" t="s">
        <v>819</v>
      </c>
      <c r="C215" s="26" t="s">
        <v>28</v>
      </c>
      <c r="D215" s="14">
        <v>2008023011</v>
      </c>
      <c r="E215" s="23">
        <v>44537</v>
      </c>
      <c r="F215" s="23">
        <v>44558</v>
      </c>
      <c r="G215" s="14" t="s">
        <v>257</v>
      </c>
      <c r="H215" s="23">
        <v>44553</v>
      </c>
      <c r="I215" s="16">
        <v>223265.72</v>
      </c>
      <c r="J215" s="16"/>
      <c r="K215" s="16"/>
      <c r="L215" s="16">
        <v>34058</v>
      </c>
      <c r="M215" s="16">
        <f t="shared" si="36"/>
        <v>189207.72</v>
      </c>
      <c r="N215" s="17">
        <f t="shared" si="37"/>
        <v>98</v>
      </c>
      <c r="O215" s="33">
        <v>2</v>
      </c>
      <c r="P215" s="19">
        <f t="shared" si="41"/>
        <v>1.7315068493150685</v>
      </c>
      <c r="Q215" s="32">
        <f t="shared" si="42"/>
        <v>24130.464016438356</v>
      </c>
      <c r="R215" s="22">
        <f t="shared" si="43"/>
        <v>165077.25598356166</v>
      </c>
      <c r="S215" s="34">
        <f t="shared" si="44"/>
        <v>0</v>
      </c>
      <c r="T215" s="34">
        <f t="shared" si="45"/>
        <v>189207.72</v>
      </c>
    </row>
    <row r="216" spans="1:20" ht="14.65">
      <c r="A216" s="13">
        <f t="shared" si="46"/>
        <v>20</v>
      </c>
      <c r="B216" s="14" t="s">
        <v>819</v>
      </c>
      <c r="C216" s="26" t="s">
        <v>28</v>
      </c>
      <c r="D216" s="14">
        <v>2008022977</v>
      </c>
      <c r="E216" s="23">
        <v>44536</v>
      </c>
      <c r="F216" s="23">
        <v>44558</v>
      </c>
      <c r="G216" s="14" t="s">
        <v>257</v>
      </c>
      <c r="H216" s="23">
        <v>44553</v>
      </c>
      <c r="I216" s="16">
        <v>219205.58</v>
      </c>
      <c r="J216" s="16"/>
      <c r="K216" s="16"/>
      <c r="L216" s="16">
        <v>33438</v>
      </c>
      <c r="M216" s="16">
        <f t="shared" si="36"/>
        <v>185767.58</v>
      </c>
      <c r="N216" s="17">
        <f t="shared" si="37"/>
        <v>98</v>
      </c>
      <c r="O216" s="33">
        <v>2</v>
      </c>
      <c r="P216" s="19">
        <f t="shared" si="41"/>
        <v>1.7315068493150685</v>
      </c>
      <c r="Q216" s="32">
        <f t="shared" si="42"/>
        <v>23691.728353424656</v>
      </c>
      <c r="R216" s="22">
        <f t="shared" si="43"/>
        <v>162075.85164657532</v>
      </c>
      <c r="S216" s="34">
        <f t="shared" si="44"/>
        <v>0</v>
      </c>
      <c r="T216" s="34">
        <f t="shared" si="45"/>
        <v>185767.58</v>
      </c>
    </row>
    <row r="217" spans="1:20" ht="14.65">
      <c r="A217" s="13">
        <f t="shared" si="46"/>
        <v>21</v>
      </c>
      <c r="B217" s="14" t="s">
        <v>819</v>
      </c>
      <c r="C217" s="26" t="s">
        <v>28</v>
      </c>
      <c r="D217" s="14">
        <v>2008022980</v>
      </c>
      <c r="E217" s="23">
        <v>44536</v>
      </c>
      <c r="F217" s="23">
        <v>44558</v>
      </c>
      <c r="G217" s="14" t="s">
        <v>257</v>
      </c>
      <c r="H217" s="23">
        <v>44553</v>
      </c>
      <c r="I217" s="16">
        <v>219205.58</v>
      </c>
      <c r="J217" s="16"/>
      <c r="K217" s="16"/>
      <c r="L217" s="16">
        <v>33438</v>
      </c>
      <c r="M217" s="16">
        <f t="shared" si="36"/>
        <v>185767.58</v>
      </c>
      <c r="N217" s="17">
        <f t="shared" si="37"/>
        <v>98</v>
      </c>
      <c r="O217" s="33">
        <v>2</v>
      </c>
      <c r="P217" s="19">
        <f t="shared" si="41"/>
        <v>1.7315068493150685</v>
      </c>
      <c r="Q217" s="32">
        <f t="shared" si="42"/>
        <v>23691.728353424656</v>
      </c>
      <c r="R217" s="22">
        <f t="shared" si="43"/>
        <v>162075.85164657532</v>
      </c>
      <c r="S217" s="34">
        <f t="shared" si="44"/>
        <v>0</v>
      </c>
      <c r="T217" s="34">
        <f t="shared" si="45"/>
        <v>185767.58</v>
      </c>
    </row>
    <row r="218" spans="1:20" ht="14.65">
      <c r="A218" s="13">
        <f t="shared" si="46"/>
        <v>22</v>
      </c>
      <c r="B218" s="14" t="s">
        <v>1151</v>
      </c>
      <c r="C218" s="26" t="s">
        <v>28</v>
      </c>
      <c r="D218" s="14">
        <v>269</v>
      </c>
      <c r="E218" s="23">
        <v>44549</v>
      </c>
      <c r="F218" s="23">
        <v>44558</v>
      </c>
      <c r="G218" s="14" t="s">
        <v>495</v>
      </c>
      <c r="H218" s="23">
        <v>44553</v>
      </c>
      <c r="I218" s="16">
        <v>44840</v>
      </c>
      <c r="J218" s="16"/>
      <c r="K218" s="16"/>
      <c r="L218" s="16">
        <v>6840</v>
      </c>
      <c r="M218" s="16">
        <f t="shared" si="36"/>
        <v>38000</v>
      </c>
      <c r="N218" s="17">
        <f t="shared" si="37"/>
        <v>98</v>
      </c>
      <c r="O218" s="33">
        <v>2</v>
      </c>
      <c r="P218" s="19">
        <f t="shared" si="41"/>
        <v>1.7315068493150685</v>
      </c>
      <c r="Q218" s="32">
        <f t="shared" si="42"/>
        <v>4846.3013698630139</v>
      </c>
      <c r="R218" s="22">
        <f t="shared" si="43"/>
        <v>33153.698630136983</v>
      </c>
      <c r="S218" s="34">
        <f t="shared" si="44"/>
        <v>0</v>
      </c>
      <c r="T218" s="34">
        <f t="shared" si="45"/>
        <v>38000</v>
      </c>
    </row>
    <row r="219" spans="1:20" ht="14.65">
      <c r="A219" s="13">
        <f t="shared" si="46"/>
        <v>23</v>
      </c>
      <c r="B219" s="14" t="s">
        <v>1151</v>
      </c>
      <c r="C219" s="26" t="s">
        <v>28</v>
      </c>
      <c r="D219" s="14">
        <v>286</v>
      </c>
      <c r="E219" s="23">
        <v>44558</v>
      </c>
      <c r="F219" s="23">
        <v>44558</v>
      </c>
      <c r="G219" s="14" t="s">
        <v>495</v>
      </c>
      <c r="H219" s="23">
        <v>44553</v>
      </c>
      <c r="I219" s="16">
        <v>17878</v>
      </c>
      <c r="J219" s="16"/>
      <c r="K219" s="16"/>
      <c r="L219" s="16">
        <v>2728</v>
      </c>
      <c r="M219" s="16">
        <f t="shared" si="36"/>
        <v>15150</v>
      </c>
      <c r="N219" s="17">
        <f t="shared" si="37"/>
        <v>98</v>
      </c>
      <c r="O219" s="33">
        <v>2</v>
      </c>
      <c r="P219" s="19">
        <f t="shared" si="41"/>
        <v>1.7315068493150685</v>
      </c>
      <c r="Q219" s="32">
        <f t="shared" si="42"/>
        <v>1932.1438356164383</v>
      </c>
      <c r="R219" s="22">
        <f t="shared" si="43"/>
        <v>13217.856164383562</v>
      </c>
      <c r="S219" s="34">
        <f t="shared" si="44"/>
        <v>0</v>
      </c>
      <c r="T219" s="34">
        <f t="shared" si="45"/>
        <v>15150</v>
      </c>
    </row>
    <row r="220" spans="1:20" ht="14.65">
      <c r="A220" s="13">
        <f t="shared" si="46"/>
        <v>24</v>
      </c>
      <c r="B220" s="14" t="s">
        <v>1151</v>
      </c>
      <c r="C220" s="26" t="s">
        <v>28</v>
      </c>
      <c r="D220" s="14">
        <v>245</v>
      </c>
      <c r="E220" s="23">
        <v>44535</v>
      </c>
      <c r="F220" s="23">
        <v>44558</v>
      </c>
      <c r="G220" s="14" t="s">
        <v>495</v>
      </c>
      <c r="H220" s="23">
        <v>44553</v>
      </c>
      <c r="I220" s="16">
        <v>69177</v>
      </c>
      <c r="J220" s="16"/>
      <c r="K220" s="16"/>
      <c r="L220" s="16">
        <v>10552</v>
      </c>
      <c r="M220" s="16">
        <f t="shared" si="36"/>
        <v>58625</v>
      </c>
      <c r="N220" s="17">
        <f t="shared" si="37"/>
        <v>98</v>
      </c>
      <c r="O220" s="33">
        <v>2</v>
      </c>
      <c r="P220" s="19">
        <f t="shared" si="41"/>
        <v>1.7315068493150685</v>
      </c>
      <c r="Q220" s="32">
        <f t="shared" si="42"/>
        <v>7476.6952054794519</v>
      </c>
      <c r="R220" s="22">
        <f t="shared" si="43"/>
        <v>51148.304794520547</v>
      </c>
      <c r="S220" s="34">
        <f t="shared" si="44"/>
        <v>0</v>
      </c>
      <c r="T220" s="34">
        <f t="shared" si="45"/>
        <v>58625</v>
      </c>
    </row>
    <row r="221" spans="1:20" ht="14.65">
      <c r="A221" s="13">
        <f t="shared" si="46"/>
        <v>25</v>
      </c>
      <c r="B221" s="14" t="s">
        <v>819</v>
      </c>
      <c r="C221" s="26" t="s">
        <v>28</v>
      </c>
      <c r="D221" s="14">
        <v>2008023093</v>
      </c>
      <c r="E221" s="15">
        <v>44544</v>
      </c>
      <c r="F221" s="23">
        <v>44559</v>
      </c>
      <c r="G221" s="14" t="s">
        <v>257</v>
      </c>
      <c r="H221" s="23">
        <v>44553</v>
      </c>
      <c r="I221" s="16">
        <v>192820.66</v>
      </c>
      <c r="J221" s="16"/>
      <c r="K221" s="16"/>
      <c r="L221" s="16">
        <v>29414</v>
      </c>
      <c r="M221" s="16">
        <f t="shared" si="36"/>
        <v>163406.66</v>
      </c>
      <c r="N221" s="17">
        <f t="shared" si="37"/>
        <v>98</v>
      </c>
      <c r="O221" s="33">
        <v>2</v>
      </c>
      <c r="P221" s="19">
        <f t="shared" si="41"/>
        <v>1.7315068493150685</v>
      </c>
      <c r="Q221" s="32">
        <f t="shared" si="42"/>
        <v>20839.945268493149</v>
      </c>
      <c r="R221" s="22">
        <f t="shared" si="43"/>
        <v>142566.71473150686</v>
      </c>
      <c r="S221" s="34">
        <f t="shared" si="44"/>
        <v>0</v>
      </c>
      <c r="T221" s="34">
        <f t="shared" si="45"/>
        <v>163406.66</v>
      </c>
    </row>
    <row r="222" spans="1:20" ht="14.65">
      <c r="A222" s="13">
        <f t="shared" si="46"/>
        <v>26</v>
      </c>
      <c r="B222" s="14" t="s">
        <v>1172</v>
      </c>
      <c r="C222" s="26" t="s">
        <v>28</v>
      </c>
      <c r="D222" s="14">
        <v>346</v>
      </c>
      <c r="E222" s="15">
        <v>44586</v>
      </c>
      <c r="F222" s="15">
        <v>44592</v>
      </c>
      <c r="G222" s="14" t="s">
        <v>257</v>
      </c>
      <c r="H222" s="23">
        <v>44553</v>
      </c>
      <c r="I222" s="16">
        <v>37937</v>
      </c>
      <c r="J222" s="16"/>
      <c r="K222" s="16"/>
      <c r="L222" s="16">
        <v>5788</v>
      </c>
      <c r="M222" s="16">
        <f t="shared" si="36"/>
        <v>32149</v>
      </c>
      <c r="N222" s="17">
        <f t="shared" si="37"/>
        <v>98</v>
      </c>
      <c r="O222" s="33">
        <v>2</v>
      </c>
      <c r="P222" s="19">
        <f t="shared" si="41"/>
        <v>1.7315068493150685</v>
      </c>
      <c r="Q222" s="32">
        <f t="shared" si="42"/>
        <v>4100.0984931506846</v>
      </c>
      <c r="R222" s="22">
        <f t="shared" si="43"/>
        <v>28048.901506849317</v>
      </c>
      <c r="S222" s="34">
        <f t="shared" si="44"/>
        <v>0</v>
      </c>
      <c r="T222" s="34">
        <f t="shared" si="45"/>
        <v>32149</v>
      </c>
    </row>
    <row r="223" spans="1:20" ht="14.65">
      <c r="A223" s="13">
        <f t="shared" si="46"/>
        <v>27</v>
      </c>
      <c r="B223" s="14" t="s">
        <v>1172</v>
      </c>
      <c r="C223" s="26" t="s">
        <v>28</v>
      </c>
      <c r="D223" s="14">
        <v>328</v>
      </c>
      <c r="E223" s="15">
        <v>44579</v>
      </c>
      <c r="F223" s="15">
        <v>44592</v>
      </c>
      <c r="G223" s="14" t="s">
        <v>495</v>
      </c>
      <c r="H223" s="23">
        <v>44553</v>
      </c>
      <c r="I223" s="16">
        <v>225498</v>
      </c>
      <c r="J223" s="16"/>
      <c r="K223" s="16"/>
      <c r="L223" s="16">
        <v>34398</v>
      </c>
      <c r="M223" s="16">
        <f t="shared" si="36"/>
        <v>191100</v>
      </c>
      <c r="N223" s="17">
        <f t="shared" si="37"/>
        <v>98</v>
      </c>
      <c r="O223" s="33">
        <v>2</v>
      </c>
      <c r="P223" s="19">
        <f t="shared" si="41"/>
        <v>1.7315068493150685</v>
      </c>
      <c r="Q223" s="32">
        <f t="shared" si="42"/>
        <v>24371.794520547945</v>
      </c>
      <c r="R223" s="22">
        <f t="shared" si="43"/>
        <v>166728.20547945207</v>
      </c>
      <c r="S223" s="34">
        <f t="shared" si="44"/>
        <v>0</v>
      </c>
      <c r="T223" s="34">
        <f t="shared" si="45"/>
        <v>191100</v>
      </c>
    </row>
    <row r="224" spans="1:20" ht="14.65">
      <c r="A224" s="13">
        <f t="shared" si="46"/>
        <v>28</v>
      </c>
      <c r="B224" s="14" t="s">
        <v>819</v>
      </c>
      <c r="C224" s="26" t="s">
        <v>28</v>
      </c>
      <c r="D224" s="14">
        <v>2008023573</v>
      </c>
      <c r="E224" s="15">
        <v>44578</v>
      </c>
      <c r="F224" s="15">
        <v>44592</v>
      </c>
      <c r="G224" s="14" t="s">
        <v>257</v>
      </c>
      <c r="H224" s="23">
        <v>44553</v>
      </c>
      <c r="I224" s="16">
        <v>77737</v>
      </c>
      <c r="J224" s="16"/>
      <c r="K224" s="16"/>
      <c r="L224" s="16">
        <v>11858</v>
      </c>
      <c r="M224" s="16">
        <f t="shared" si="36"/>
        <v>65879</v>
      </c>
      <c r="N224" s="17">
        <f t="shared" si="37"/>
        <v>98</v>
      </c>
      <c r="O224" s="33">
        <v>2</v>
      </c>
      <c r="P224" s="19">
        <f t="shared" si="41"/>
        <v>1.7315068493150685</v>
      </c>
      <c r="Q224" s="32">
        <f t="shared" si="42"/>
        <v>8401.8286301369862</v>
      </c>
      <c r="R224" s="22">
        <f t="shared" si="43"/>
        <v>57477.171369863012</v>
      </c>
      <c r="S224" s="34">
        <f t="shared" si="44"/>
        <v>0</v>
      </c>
      <c r="T224" s="34">
        <f t="shared" si="45"/>
        <v>65879</v>
      </c>
    </row>
    <row r="225" spans="1:20" ht="14.65">
      <c r="A225" s="13">
        <f t="shared" si="46"/>
        <v>29</v>
      </c>
      <c r="B225" s="14" t="s">
        <v>1172</v>
      </c>
      <c r="C225" s="26" t="s">
        <v>28</v>
      </c>
      <c r="D225" s="14" t="s">
        <v>24</v>
      </c>
      <c r="E225" s="15">
        <v>44634</v>
      </c>
      <c r="F225" s="15">
        <v>44634</v>
      </c>
      <c r="G225" s="14" t="s">
        <v>495</v>
      </c>
      <c r="H225" s="15">
        <v>44634</v>
      </c>
      <c r="I225" s="16">
        <v>252075</v>
      </c>
      <c r="J225" s="16"/>
      <c r="K225" s="16"/>
      <c r="L225" s="16">
        <v>0</v>
      </c>
      <c r="M225" s="16">
        <f>I225+J225-K225-L225</f>
        <v>252075</v>
      </c>
      <c r="N225" s="17">
        <f>$N$1-H225</f>
        <v>17</v>
      </c>
      <c r="O225" s="33">
        <v>2</v>
      </c>
      <c r="P225" s="19">
        <f>O225-(N225/365)</f>
        <v>1.9534246575342467</v>
      </c>
      <c r="Q225" s="32">
        <f>M225*95%/O225*N225/365</f>
        <v>5576.7277397260277</v>
      </c>
      <c r="R225" s="22">
        <f>M225-Q225</f>
        <v>246498.27226027398</v>
      </c>
      <c r="S225" s="34">
        <f>IF(H225&lt;=DATE(2021,9,30),M225,0)</f>
        <v>0</v>
      </c>
      <c r="T225" s="34">
        <f>IF(H225&gt;DATE(2021,9,30),M225,0)</f>
        <v>252075</v>
      </c>
    </row>
    <row r="226" spans="1:20" ht="14.65">
      <c r="A226" s="13">
        <f>A224+1</f>
        <v>29</v>
      </c>
      <c r="B226" s="14" t="s">
        <v>1173</v>
      </c>
      <c r="C226" s="27" t="s">
        <v>23</v>
      </c>
      <c r="D226" s="14">
        <v>461</v>
      </c>
      <c r="E226" s="15">
        <v>44520</v>
      </c>
      <c r="F226" s="15">
        <v>44520</v>
      </c>
      <c r="G226" s="14" t="s">
        <v>1174</v>
      </c>
      <c r="H226" s="23">
        <v>44645</v>
      </c>
      <c r="I226" s="16">
        <v>28160</v>
      </c>
      <c r="J226" s="16"/>
      <c r="K226" s="16"/>
      <c r="L226" s="16">
        <v>0</v>
      </c>
      <c r="M226" s="16">
        <f t="shared" si="36"/>
        <v>28160</v>
      </c>
      <c r="N226" s="17">
        <f t="shared" si="37"/>
        <v>6</v>
      </c>
      <c r="O226" s="33">
        <v>2</v>
      </c>
      <c r="P226" s="19">
        <f t="shared" si="41"/>
        <v>1.9835616438356165</v>
      </c>
      <c r="Q226" s="32">
        <f t="shared" si="42"/>
        <v>219.87945205479451</v>
      </c>
      <c r="R226" s="22">
        <f t="shared" si="43"/>
        <v>27940.120547945204</v>
      </c>
      <c r="S226" s="34">
        <f t="shared" si="44"/>
        <v>0</v>
      </c>
      <c r="T226" s="34">
        <f t="shared" si="45"/>
        <v>28160</v>
      </c>
    </row>
    <row r="227" spans="1:20" ht="14.65">
      <c r="A227" s="13">
        <f t="shared" si="46"/>
        <v>30</v>
      </c>
      <c r="B227" s="14" t="s">
        <v>1175</v>
      </c>
      <c r="C227" s="27" t="s">
        <v>23</v>
      </c>
      <c r="D227" s="14">
        <v>1488</v>
      </c>
      <c r="E227" s="15">
        <v>44512</v>
      </c>
      <c r="F227" s="23">
        <v>44529</v>
      </c>
      <c r="G227" s="14" t="s">
        <v>527</v>
      </c>
      <c r="H227" s="23">
        <v>44645</v>
      </c>
      <c r="I227" s="16">
        <v>879749</v>
      </c>
      <c r="J227" s="16"/>
      <c r="K227" s="16"/>
      <c r="L227" s="16">
        <v>134199</v>
      </c>
      <c r="M227" s="16">
        <f t="shared" si="36"/>
        <v>745550</v>
      </c>
      <c r="N227" s="17">
        <f t="shared" si="37"/>
        <v>6</v>
      </c>
      <c r="O227" s="33">
        <v>2</v>
      </c>
      <c r="P227" s="19">
        <f t="shared" si="41"/>
        <v>1.9835616438356165</v>
      </c>
      <c r="Q227" s="32">
        <f t="shared" si="42"/>
        <v>5821.4178082191784</v>
      </c>
      <c r="R227" s="22">
        <f t="shared" si="43"/>
        <v>739728.58219178079</v>
      </c>
      <c r="S227" s="34">
        <f t="shared" si="44"/>
        <v>0</v>
      </c>
      <c r="T227" s="34">
        <f t="shared" si="45"/>
        <v>745550</v>
      </c>
    </row>
    <row r="228" spans="1:20" ht="14.65">
      <c r="A228" s="13">
        <f t="shared" si="46"/>
        <v>31</v>
      </c>
      <c r="B228" s="14" t="s">
        <v>1176</v>
      </c>
      <c r="C228" s="27" t="s">
        <v>23</v>
      </c>
      <c r="D228" s="14">
        <v>237</v>
      </c>
      <c r="E228" s="15">
        <v>44533</v>
      </c>
      <c r="F228" s="15">
        <v>44533</v>
      </c>
      <c r="G228" s="14" t="s">
        <v>1177</v>
      </c>
      <c r="H228" s="23">
        <v>44645</v>
      </c>
      <c r="I228" s="16">
        <v>94990</v>
      </c>
      <c r="J228" s="16"/>
      <c r="K228" s="16"/>
      <c r="L228" s="16">
        <v>14490</v>
      </c>
      <c r="M228" s="16">
        <f t="shared" si="36"/>
        <v>80500</v>
      </c>
      <c r="N228" s="17">
        <f t="shared" si="37"/>
        <v>6</v>
      </c>
      <c r="O228" s="33">
        <v>2</v>
      </c>
      <c r="P228" s="19">
        <f t="shared" si="41"/>
        <v>1.9835616438356165</v>
      </c>
      <c r="Q228" s="32">
        <f t="shared" si="42"/>
        <v>628.56164383561645</v>
      </c>
      <c r="R228" s="22">
        <f t="shared" si="43"/>
        <v>79871.438356164377</v>
      </c>
      <c r="S228" s="34">
        <f t="shared" si="44"/>
        <v>0</v>
      </c>
      <c r="T228" s="34">
        <f t="shared" si="45"/>
        <v>80500</v>
      </c>
    </row>
    <row r="229" spans="1:20" ht="14.65">
      <c r="A229" s="13">
        <f t="shared" si="46"/>
        <v>32</v>
      </c>
      <c r="B229" s="14" t="s">
        <v>819</v>
      </c>
      <c r="C229" s="27" t="s">
        <v>23</v>
      </c>
      <c r="D229" s="14">
        <v>2008023399</v>
      </c>
      <c r="E229" s="15">
        <v>44566</v>
      </c>
      <c r="F229" s="15">
        <v>44566</v>
      </c>
      <c r="G229" s="14" t="s">
        <v>257</v>
      </c>
      <c r="H229" s="23">
        <v>44645</v>
      </c>
      <c r="I229" s="16">
        <v>253694</v>
      </c>
      <c r="J229" s="16"/>
      <c r="K229" s="16"/>
      <c r="L229" s="16">
        <v>38699</v>
      </c>
      <c r="M229" s="16">
        <f t="shared" si="36"/>
        <v>214995</v>
      </c>
      <c r="N229" s="17">
        <f t="shared" si="37"/>
        <v>6</v>
      </c>
      <c r="O229" s="33">
        <v>2</v>
      </c>
      <c r="P229" s="19">
        <f t="shared" si="41"/>
        <v>1.9835616438356165</v>
      </c>
      <c r="Q229" s="32">
        <f t="shared" si="42"/>
        <v>1678.7280821917809</v>
      </c>
      <c r="R229" s="22">
        <f t="shared" si="43"/>
        <v>213316.27191780822</v>
      </c>
      <c r="S229" s="34">
        <f t="shared" si="44"/>
        <v>0</v>
      </c>
      <c r="T229" s="34">
        <f t="shared" si="45"/>
        <v>214995</v>
      </c>
    </row>
    <row r="230" spans="1:20" ht="14.65">
      <c r="A230" s="13">
        <f t="shared" si="46"/>
        <v>33</v>
      </c>
      <c r="B230" s="14" t="s">
        <v>819</v>
      </c>
      <c r="C230" s="27" t="s">
        <v>23</v>
      </c>
      <c r="D230" s="14">
        <v>2008023360</v>
      </c>
      <c r="E230" s="15">
        <v>44566</v>
      </c>
      <c r="F230" s="15">
        <v>44566</v>
      </c>
      <c r="G230" s="14" t="s">
        <v>257</v>
      </c>
      <c r="H230" s="23">
        <v>44645</v>
      </c>
      <c r="I230" s="16">
        <f>253694</f>
        <v>253694</v>
      </c>
      <c r="J230" s="16"/>
      <c r="K230" s="16"/>
      <c r="L230" s="16">
        <v>38699</v>
      </c>
      <c r="M230" s="16">
        <f t="shared" si="36"/>
        <v>214995</v>
      </c>
      <c r="N230" s="17">
        <f t="shared" si="37"/>
        <v>6</v>
      </c>
      <c r="O230" s="33">
        <v>2</v>
      </c>
      <c r="P230" s="19">
        <f t="shared" si="41"/>
        <v>1.9835616438356165</v>
      </c>
      <c r="Q230" s="32">
        <f t="shared" si="42"/>
        <v>1678.7280821917809</v>
      </c>
      <c r="R230" s="22">
        <f t="shared" si="43"/>
        <v>213316.27191780822</v>
      </c>
      <c r="S230" s="34">
        <f t="shared" si="44"/>
        <v>0</v>
      </c>
      <c r="T230" s="34">
        <f t="shared" si="45"/>
        <v>214995</v>
      </c>
    </row>
    <row r="231" spans="1:20" ht="14.65">
      <c r="A231" s="13">
        <f t="shared" si="46"/>
        <v>34</v>
      </c>
      <c r="B231" s="14" t="s">
        <v>1178</v>
      </c>
      <c r="C231" s="27" t="s">
        <v>23</v>
      </c>
      <c r="D231" s="14">
        <v>339</v>
      </c>
      <c r="E231" s="15">
        <v>44582</v>
      </c>
      <c r="F231" s="23">
        <v>44596</v>
      </c>
      <c r="G231" s="14" t="s">
        <v>1177</v>
      </c>
      <c r="H231" s="23">
        <v>44645</v>
      </c>
      <c r="I231" s="16">
        <v>623335</v>
      </c>
      <c r="J231" s="16"/>
      <c r="K231" s="16"/>
      <c r="L231" s="16">
        <v>95085</v>
      </c>
      <c r="M231" s="16">
        <f t="shared" si="36"/>
        <v>528250</v>
      </c>
      <c r="N231" s="17">
        <f t="shared" si="37"/>
        <v>6</v>
      </c>
      <c r="O231" s="33">
        <v>2</v>
      </c>
      <c r="P231" s="19">
        <f t="shared" si="41"/>
        <v>1.9835616438356165</v>
      </c>
      <c r="Q231" s="32">
        <f t="shared" si="42"/>
        <v>4124.6917808219177</v>
      </c>
      <c r="R231" s="22">
        <f t="shared" si="43"/>
        <v>524125.30821917806</v>
      </c>
      <c r="S231" s="34">
        <f t="shared" si="44"/>
        <v>0</v>
      </c>
      <c r="T231" s="34">
        <f t="shared" si="45"/>
        <v>528250</v>
      </c>
    </row>
    <row r="232" spans="1:20" ht="14.65">
      <c r="A232" s="13">
        <f t="shared" si="46"/>
        <v>35</v>
      </c>
      <c r="B232" s="14" t="s">
        <v>1179</v>
      </c>
      <c r="C232" s="27" t="s">
        <v>23</v>
      </c>
      <c r="D232" s="14">
        <v>590</v>
      </c>
      <c r="E232" s="15">
        <v>44596</v>
      </c>
      <c r="F232" s="23">
        <v>44596</v>
      </c>
      <c r="G232" s="14" t="s">
        <v>1174</v>
      </c>
      <c r="H232" s="23">
        <v>44645</v>
      </c>
      <c r="I232" s="16">
        <v>25200</v>
      </c>
      <c r="J232" s="16"/>
      <c r="K232" s="16"/>
      <c r="L232" s="16">
        <v>0</v>
      </c>
      <c r="M232" s="16">
        <f t="shared" si="36"/>
        <v>25200</v>
      </c>
      <c r="N232" s="17">
        <f t="shared" si="37"/>
        <v>6</v>
      </c>
      <c r="O232" s="33">
        <v>2</v>
      </c>
      <c r="P232" s="19">
        <f t="shared" si="41"/>
        <v>1.9835616438356165</v>
      </c>
      <c r="Q232" s="32">
        <f t="shared" si="42"/>
        <v>196.76712328767124</v>
      </c>
      <c r="R232" s="22">
        <f t="shared" si="43"/>
        <v>25003.232876712329</v>
      </c>
      <c r="S232" s="34">
        <f t="shared" si="44"/>
        <v>0</v>
      </c>
      <c r="T232" s="34">
        <f t="shared" si="45"/>
        <v>25200</v>
      </c>
    </row>
    <row r="233" spans="1:20" ht="14.65">
      <c r="A233" s="13">
        <f t="shared" si="46"/>
        <v>36</v>
      </c>
      <c r="B233" s="14" t="s">
        <v>1180</v>
      </c>
      <c r="C233" s="27" t="s">
        <v>23</v>
      </c>
      <c r="D233" s="14" t="s">
        <v>1181</v>
      </c>
      <c r="E233" s="15">
        <v>44597</v>
      </c>
      <c r="F233" s="15">
        <v>44597</v>
      </c>
      <c r="G233" s="14" t="s">
        <v>1182</v>
      </c>
      <c r="H233" s="23">
        <v>44645</v>
      </c>
      <c r="I233" s="16">
        <f>1306222-10233</f>
        <v>1295989</v>
      </c>
      <c r="J233" s="16"/>
      <c r="K233" s="16"/>
      <c r="L233" s="16">
        <v>199254</v>
      </c>
      <c r="M233" s="16">
        <f t="shared" si="36"/>
        <v>1096735</v>
      </c>
      <c r="N233" s="17">
        <f t="shared" si="37"/>
        <v>6</v>
      </c>
      <c r="O233" s="33">
        <v>2</v>
      </c>
      <c r="P233" s="19">
        <f t="shared" si="41"/>
        <v>1.9835616438356165</v>
      </c>
      <c r="Q233" s="32">
        <f t="shared" si="42"/>
        <v>8563.5472602739719</v>
      </c>
      <c r="R233" s="22">
        <f t="shared" si="43"/>
        <v>1088171.4527397261</v>
      </c>
      <c r="S233" s="34">
        <f t="shared" si="44"/>
        <v>0</v>
      </c>
      <c r="T233" s="34">
        <f t="shared" si="45"/>
        <v>1096735</v>
      </c>
    </row>
    <row r="234" spans="1:20" ht="14.65">
      <c r="A234" s="13">
        <f t="shared" si="46"/>
        <v>37</v>
      </c>
      <c r="B234" s="14" t="s">
        <v>819</v>
      </c>
      <c r="C234" s="27" t="s">
        <v>23</v>
      </c>
      <c r="D234" s="14">
        <v>2008023906</v>
      </c>
      <c r="E234" s="15">
        <v>44604</v>
      </c>
      <c r="F234" s="23">
        <v>44607</v>
      </c>
      <c r="G234" s="14" t="s">
        <v>257</v>
      </c>
      <c r="H234" s="23">
        <v>44645</v>
      </c>
      <c r="I234" s="16">
        <v>262200</v>
      </c>
      <c r="J234" s="16"/>
      <c r="K234" s="16"/>
      <c r="L234" s="16">
        <v>39996</v>
      </c>
      <c r="M234" s="16">
        <f t="shared" si="36"/>
        <v>222204</v>
      </c>
      <c r="N234" s="17">
        <f t="shared" si="37"/>
        <v>6</v>
      </c>
      <c r="O234" s="33">
        <v>2</v>
      </c>
      <c r="P234" s="19">
        <f t="shared" si="41"/>
        <v>1.9835616438356165</v>
      </c>
      <c r="Q234" s="32">
        <f t="shared" si="42"/>
        <v>1735.017534246575</v>
      </c>
      <c r="R234" s="22">
        <f t="shared" si="43"/>
        <v>220468.98246575342</v>
      </c>
      <c r="S234" s="34">
        <f t="shared" si="44"/>
        <v>0</v>
      </c>
      <c r="T234" s="34">
        <f t="shared" si="45"/>
        <v>222204</v>
      </c>
    </row>
    <row r="235" spans="1:20" ht="14.65">
      <c r="A235" s="13">
        <f t="shared" si="46"/>
        <v>38</v>
      </c>
      <c r="B235" s="14" t="s">
        <v>819</v>
      </c>
      <c r="C235" s="27" t="s">
        <v>23</v>
      </c>
      <c r="D235" s="14">
        <v>2008023955</v>
      </c>
      <c r="E235" s="15">
        <v>44608</v>
      </c>
      <c r="F235" s="15">
        <v>44608</v>
      </c>
      <c r="G235" s="14" t="s">
        <v>257</v>
      </c>
      <c r="H235" s="23">
        <v>44645</v>
      </c>
      <c r="I235" s="16">
        <v>245067</v>
      </c>
      <c r="J235" s="16"/>
      <c r="K235" s="16"/>
      <c r="L235" s="16">
        <v>37383</v>
      </c>
      <c r="M235" s="16">
        <f t="shared" si="36"/>
        <v>207684</v>
      </c>
      <c r="N235" s="17">
        <f t="shared" si="37"/>
        <v>6</v>
      </c>
      <c r="O235" s="33">
        <v>2</v>
      </c>
      <c r="P235" s="19">
        <f t="shared" si="41"/>
        <v>1.9835616438356165</v>
      </c>
      <c r="Q235" s="32">
        <f t="shared" si="42"/>
        <v>1621.6421917808216</v>
      </c>
      <c r="R235" s="22">
        <f t="shared" si="43"/>
        <v>206062.35780821918</v>
      </c>
      <c r="S235" s="34">
        <f t="shared" si="44"/>
        <v>0</v>
      </c>
      <c r="T235" s="34">
        <f t="shared" si="45"/>
        <v>207684</v>
      </c>
    </row>
    <row r="236" spans="1:20" ht="14.65">
      <c r="A236" s="13">
        <f t="shared" si="46"/>
        <v>39</v>
      </c>
      <c r="B236" s="14" t="s">
        <v>1183</v>
      </c>
      <c r="C236" s="27" t="s">
        <v>23</v>
      </c>
      <c r="D236" s="14">
        <v>384</v>
      </c>
      <c r="E236" s="15">
        <v>44606</v>
      </c>
      <c r="F236" s="23">
        <v>44621</v>
      </c>
      <c r="G236" s="14" t="s">
        <v>1177</v>
      </c>
      <c r="H236" s="23">
        <v>44645</v>
      </c>
      <c r="I236" s="16">
        <v>168829</v>
      </c>
      <c r="J236" s="16"/>
      <c r="K236" s="16"/>
      <c r="L236" s="16">
        <v>25753</v>
      </c>
      <c r="M236" s="16">
        <f t="shared" si="36"/>
        <v>143076</v>
      </c>
      <c r="N236" s="17">
        <f t="shared" si="37"/>
        <v>6</v>
      </c>
      <c r="O236" s="33">
        <v>2</v>
      </c>
      <c r="P236" s="19">
        <f t="shared" si="41"/>
        <v>1.9835616438356165</v>
      </c>
      <c r="Q236" s="32">
        <f t="shared" si="42"/>
        <v>1117.1687671232876</v>
      </c>
      <c r="R236" s="22">
        <f t="shared" si="43"/>
        <v>141958.83123287672</v>
      </c>
      <c r="S236" s="34">
        <f t="shared" si="44"/>
        <v>0</v>
      </c>
      <c r="T236" s="34">
        <f t="shared" si="45"/>
        <v>143076</v>
      </c>
    </row>
    <row r="237" spans="1:20" ht="14.65">
      <c r="A237" s="13">
        <f t="shared" si="46"/>
        <v>40</v>
      </c>
      <c r="B237" s="14" t="s">
        <v>1184</v>
      </c>
      <c r="C237" s="27" t="s">
        <v>23</v>
      </c>
      <c r="D237" s="14">
        <v>41</v>
      </c>
      <c r="E237" s="15">
        <v>44624</v>
      </c>
      <c r="F237" s="15">
        <v>44624</v>
      </c>
      <c r="G237" s="14" t="s">
        <v>1185</v>
      </c>
      <c r="H237" s="23">
        <v>44645</v>
      </c>
      <c r="I237" s="16">
        <v>18760</v>
      </c>
      <c r="J237" s="16"/>
      <c r="K237" s="16"/>
      <c r="L237" s="16">
        <v>2800</v>
      </c>
      <c r="M237" s="16">
        <f t="shared" si="36"/>
        <v>15960</v>
      </c>
      <c r="N237" s="17">
        <f t="shared" si="37"/>
        <v>6</v>
      </c>
      <c r="O237" s="33">
        <v>2</v>
      </c>
      <c r="P237" s="19">
        <f t="shared" si="41"/>
        <v>1.9835616438356165</v>
      </c>
      <c r="Q237" s="32">
        <f t="shared" si="42"/>
        <v>124.61917808219178</v>
      </c>
      <c r="R237" s="22">
        <f t="shared" si="43"/>
        <v>15835.380821917808</v>
      </c>
      <c r="S237" s="34">
        <f t="shared" si="44"/>
        <v>0</v>
      </c>
      <c r="T237" s="34">
        <f t="shared" si="45"/>
        <v>15960</v>
      </c>
    </row>
    <row r="238" spans="1:20" ht="14.65">
      <c r="A238" s="13">
        <f t="shared" si="46"/>
        <v>41</v>
      </c>
      <c r="B238" s="14" t="s">
        <v>1184</v>
      </c>
      <c r="C238" s="27" t="s">
        <v>23</v>
      </c>
      <c r="D238" s="14">
        <v>46</v>
      </c>
      <c r="E238" s="15">
        <v>44625</v>
      </c>
      <c r="F238" s="15">
        <v>44625</v>
      </c>
      <c r="G238" s="14" t="s">
        <v>1185</v>
      </c>
      <c r="H238" s="23">
        <v>44645</v>
      </c>
      <c r="I238" s="16">
        <v>282100</v>
      </c>
      <c r="J238" s="16"/>
      <c r="K238" s="16"/>
      <c r="L238" s="16">
        <v>43032</v>
      </c>
      <c r="M238" s="16">
        <f t="shared" si="36"/>
        <v>239068</v>
      </c>
      <c r="N238" s="17">
        <f t="shared" si="37"/>
        <v>6</v>
      </c>
      <c r="O238" s="33">
        <v>2</v>
      </c>
      <c r="P238" s="19">
        <f t="shared" si="41"/>
        <v>1.9835616438356165</v>
      </c>
      <c r="Q238" s="32">
        <f t="shared" si="42"/>
        <v>1866.6953424657531</v>
      </c>
      <c r="R238" s="22">
        <f t="shared" si="43"/>
        <v>237201.30465753426</v>
      </c>
      <c r="S238" s="34">
        <f t="shared" si="44"/>
        <v>0</v>
      </c>
      <c r="T238" s="34">
        <f t="shared" si="45"/>
        <v>239068</v>
      </c>
    </row>
    <row r="239" spans="1:20" ht="14.65">
      <c r="A239" s="13">
        <f t="shared" si="46"/>
        <v>42</v>
      </c>
      <c r="B239" s="14" t="s">
        <v>1186</v>
      </c>
      <c r="C239" s="27" t="s">
        <v>23</v>
      </c>
      <c r="D239" s="14" t="s">
        <v>1187</v>
      </c>
      <c r="E239" s="15">
        <v>44630</v>
      </c>
      <c r="F239" s="15">
        <v>44630</v>
      </c>
      <c r="G239" s="14" t="s">
        <v>1188</v>
      </c>
      <c r="H239" s="23">
        <v>44645</v>
      </c>
      <c r="I239" s="16">
        <v>132396</v>
      </c>
      <c r="J239" s="16"/>
      <c r="K239" s="16"/>
      <c r="L239" s="16">
        <v>20196</v>
      </c>
      <c r="M239" s="16">
        <f t="shared" si="36"/>
        <v>112200</v>
      </c>
      <c r="N239" s="17">
        <f t="shared" si="37"/>
        <v>6</v>
      </c>
      <c r="O239" s="33">
        <v>2</v>
      </c>
      <c r="P239" s="19">
        <f t="shared" si="41"/>
        <v>1.9835616438356165</v>
      </c>
      <c r="Q239" s="32">
        <f t="shared" si="42"/>
        <v>876.08219178082197</v>
      </c>
      <c r="R239" s="22">
        <f t="shared" si="43"/>
        <v>111323.91780821918</v>
      </c>
      <c r="S239" s="34">
        <f t="shared" si="44"/>
        <v>0</v>
      </c>
      <c r="T239" s="34">
        <f t="shared" si="45"/>
        <v>112200</v>
      </c>
    </row>
    <row r="240" spans="1:20" ht="14.65">
      <c r="A240" s="13">
        <f t="shared" si="46"/>
        <v>43</v>
      </c>
      <c r="B240" s="14" t="s">
        <v>1186</v>
      </c>
      <c r="C240" s="27" t="s">
        <v>23</v>
      </c>
      <c r="D240" s="14" t="s">
        <v>1189</v>
      </c>
      <c r="E240" s="15">
        <v>44630</v>
      </c>
      <c r="F240" s="15">
        <v>44630</v>
      </c>
      <c r="G240" s="14" t="s">
        <v>1188</v>
      </c>
      <c r="H240" s="23">
        <v>44645</v>
      </c>
      <c r="I240" s="16">
        <v>114130</v>
      </c>
      <c r="J240" s="16"/>
      <c r="K240" s="16"/>
      <c r="L240" s="16">
        <v>17410</v>
      </c>
      <c r="M240" s="16">
        <f t="shared" si="36"/>
        <v>96720</v>
      </c>
      <c r="N240" s="17">
        <f t="shared" si="37"/>
        <v>6</v>
      </c>
      <c r="O240" s="33">
        <v>2</v>
      </c>
      <c r="P240" s="19">
        <f t="shared" si="41"/>
        <v>1.9835616438356165</v>
      </c>
      <c r="Q240" s="32">
        <f t="shared" si="42"/>
        <v>755.21095890410959</v>
      </c>
      <c r="R240" s="22">
        <f t="shared" si="43"/>
        <v>95964.789041095893</v>
      </c>
      <c r="S240" s="34">
        <f t="shared" si="44"/>
        <v>0</v>
      </c>
      <c r="T240" s="34">
        <f t="shared" si="45"/>
        <v>96720</v>
      </c>
    </row>
    <row r="241" spans="1:20" ht="14.65">
      <c r="A241" s="13">
        <f t="shared" si="46"/>
        <v>44</v>
      </c>
      <c r="B241" s="14" t="s">
        <v>819</v>
      </c>
      <c r="C241" s="27" t="s">
        <v>23</v>
      </c>
      <c r="D241" s="14">
        <v>2008024292</v>
      </c>
      <c r="E241" s="15">
        <v>44632</v>
      </c>
      <c r="F241" s="15">
        <v>44645</v>
      </c>
      <c r="G241" s="14" t="s">
        <v>257</v>
      </c>
      <c r="H241" s="23">
        <v>44645</v>
      </c>
      <c r="I241" s="16">
        <v>264796</v>
      </c>
      <c r="J241" s="16"/>
      <c r="K241" s="16"/>
      <c r="L241" s="16">
        <v>40392</v>
      </c>
      <c r="M241" s="16">
        <f t="shared" si="36"/>
        <v>224404</v>
      </c>
      <c r="N241" s="17">
        <f t="shared" si="37"/>
        <v>6</v>
      </c>
      <c r="O241" s="33">
        <v>2</v>
      </c>
      <c r="P241" s="19">
        <f t="shared" si="41"/>
        <v>1.9835616438356165</v>
      </c>
      <c r="Q241" s="32">
        <f t="shared" si="42"/>
        <v>1752.195616438356</v>
      </c>
      <c r="R241" s="22">
        <f t="shared" si="43"/>
        <v>222651.80438356166</v>
      </c>
      <c r="S241" s="34">
        <f t="shared" si="44"/>
        <v>0</v>
      </c>
      <c r="T241" s="34">
        <f t="shared" si="45"/>
        <v>224404</v>
      </c>
    </row>
    <row r="242" spans="1:20" ht="14.65">
      <c r="A242" s="13">
        <f t="shared" si="46"/>
        <v>45</v>
      </c>
      <c r="B242" s="14" t="s">
        <v>819</v>
      </c>
      <c r="C242" s="27" t="s">
        <v>23</v>
      </c>
      <c r="D242" s="14">
        <v>2008024333</v>
      </c>
      <c r="E242" s="15">
        <v>44635</v>
      </c>
      <c r="F242" s="15">
        <v>44645</v>
      </c>
      <c r="G242" s="14" t="s">
        <v>257</v>
      </c>
      <c r="H242" s="23">
        <v>44645</v>
      </c>
      <c r="I242" s="16">
        <v>246105</v>
      </c>
      <c r="J242" s="16"/>
      <c r="K242" s="16"/>
      <c r="L242" s="16">
        <v>37541</v>
      </c>
      <c r="M242" s="16">
        <f t="shared" si="36"/>
        <v>208564</v>
      </c>
      <c r="N242" s="17">
        <f t="shared" si="37"/>
        <v>6</v>
      </c>
      <c r="O242" s="33">
        <v>2</v>
      </c>
      <c r="P242" s="19">
        <f t="shared" si="41"/>
        <v>1.9835616438356165</v>
      </c>
      <c r="Q242" s="32">
        <f t="shared" si="42"/>
        <v>1628.513424657534</v>
      </c>
      <c r="R242" s="22">
        <f t="shared" si="43"/>
        <v>206935.48657534245</v>
      </c>
      <c r="S242" s="34">
        <f t="shared" si="44"/>
        <v>0</v>
      </c>
      <c r="T242" s="34">
        <f t="shared" si="45"/>
        <v>208564</v>
      </c>
    </row>
    <row r="243" spans="1:20" ht="14.65">
      <c r="A243" s="13">
        <f t="shared" si="46"/>
        <v>46</v>
      </c>
      <c r="B243" s="14" t="s">
        <v>819</v>
      </c>
      <c r="C243" s="27" t="s">
        <v>23</v>
      </c>
      <c r="D243" s="14">
        <v>2008024289</v>
      </c>
      <c r="E243" s="15">
        <v>44632</v>
      </c>
      <c r="F243" s="15">
        <v>44645</v>
      </c>
      <c r="G243" s="14" t="s">
        <v>257</v>
      </c>
      <c r="H243" s="23">
        <v>44645</v>
      </c>
      <c r="I243" s="16">
        <v>264796</v>
      </c>
      <c r="J243" s="16"/>
      <c r="K243" s="16"/>
      <c r="L243" s="16">
        <v>40392</v>
      </c>
      <c r="M243" s="16">
        <f t="shared" si="36"/>
        <v>224404</v>
      </c>
      <c r="N243" s="17">
        <f t="shared" si="37"/>
        <v>6</v>
      </c>
      <c r="O243" s="33">
        <v>2</v>
      </c>
      <c r="P243" s="19">
        <f t="shared" si="41"/>
        <v>1.9835616438356165</v>
      </c>
      <c r="Q243" s="32">
        <f t="shared" si="42"/>
        <v>1752.195616438356</v>
      </c>
      <c r="R243" s="22">
        <f t="shared" si="43"/>
        <v>222651.80438356166</v>
      </c>
      <c r="S243" s="34">
        <f t="shared" si="44"/>
        <v>0</v>
      </c>
      <c r="T243" s="34">
        <f t="shared" si="45"/>
        <v>224404</v>
      </c>
    </row>
    <row r="244" spans="1:20" ht="14.65">
      <c r="A244" s="13">
        <f t="shared" si="46"/>
        <v>47</v>
      </c>
      <c r="B244" s="14" t="s">
        <v>819</v>
      </c>
      <c r="C244" s="27" t="s">
        <v>23</v>
      </c>
      <c r="D244" s="14"/>
      <c r="E244" s="23">
        <v>44645</v>
      </c>
      <c r="F244" s="23">
        <v>44645</v>
      </c>
      <c r="G244" s="14" t="s">
        <v>1190</v>
      </c>
      <c r="H244" s="23">
        <v>44645</v>
      </c>
      <c r="I244" s="16">
        <v>436385</v>
      </c>
      <c r="J244" s="16"/>
      <c r="K244" s="16"/>
      <c r="L244" s="16"/>
      <c r="M244" s="16">
        <f t="shared" si="36"/>
        <v>436385</v>
      </c>
      <c r="N244" s="17">
        <f>$N$1-H244</f>
        <v>6</v>
      </c>
      <c r="O244" s="33">
        <v>2</v>
      </c>
      <c r="P244" s="19">
        <f>O244-(N244/365)</f>
        <v>1.9835616438356165</v>
      </c>
      <c r="Q244" s="32">
        <f>M244*95%/O244*N244/365</f>
        <v>3407.389726027397</v>
      </c>
      <c r="R244" s="22">
        <f t="shared" si="43"/>
        <v>432977.61027397262</v>
      </c>
      <c r="S244" s="34">
        <f t="shared" si="44"/>
        <v>0</v>
      </c>
      <c r="T244" s="34">
        <f t="shared" si="45"/>
        <v>436385</v>
      </c>
    </row>
    <row r="245" spans="1:20" ht="14.65">
      <c r="A245" s="13">
        <f t="shared" si="46"/>
        <v>48</v>
      </c>
      <c r="B245" s="14" t="s">
        <v>1191</v>
      </c>
      <c r="C245" s="27" t="s">
        <v>25</v>
      </c>
      <c r="D245" s="14">
        <v>360</v>
      </c>
      <c r="E245" s="15">
        <v>44590</v>
      </c>
      <c r="F245" s="15">
        <v>44590</v>
      </c>
      <c r="G245" s="14" t="s">
        <v>1177</v>
      </c>
      <c r="H245" s="23">
        <v>44590</v>
      </c>
      <c r="I245" s="16">
        <v>27465</v>
      </c>
      <c r="J245" s="16"/>
      <c r="K245" s="16"/>
      <c r="L245" s="16">
        <v>4190</v>
      </c>
      <c r="M245" s="16">
        <f t="shared" si="36"/>
        <v>23275</v>
      </c>
      <c r="N245" s="17">
        <f t="shared" si="37"/>
        <v>61</v>
      </c>
      <c r="O245" s="33">
        <v>2</v>
      </c>
      <c r="P245" s="19">
        <f t="shared" si="41"/>
        <v>1.832876712328767</v>
      </c>
      <c r="Q245" s="32">
        <f t="shared" si="42"/>
        <v>1847.652397260274</v>
      </c>
      <c r="R245" s="22">
        <f t="shared" si="43"/>
        <v>21427.347602739726</v>
      </c>
      <c r="S245" s="34">
        <f t="shared" si="44"/>
        <v>0</v>
      </c>
      <c r="T245" s="34">
        <f t="shared" si="45"/>
        <v>23275</v>
      </c>
    </row>
    <row r="246" spans="1:20" ht="14.65">
      <c r="A246" s="13">
        <f t="shared" si="46"/>
        <v>49</v>
      </c>
      <c r="B246" s="14" t="s">
        <v>819</v>
      </c>
      <c r="C246" s="27" t="s">
        <v>25</v>
      </c>
      <c r="D246" s="14">
        <v>2008023796</v>
      </c>
      <c r="E246" s="15">
        <v>44595</v>
      </c>
      <c r="F246" s="15">
        <v>44607</v>
      </c>
      <c r="G246" s="14" t="s">
        <v>257</v>
      </c>
      <c r="H246" s="23">
        <v>44607</v>
      </c>
      <c r="I246" s="16">
        <v>233399</v>
      </c>
      <c r="J246" s="16"/>
      <c r="K246" s="16"/>
      <c r="L246" s="16">
        <v>35603</v>
      </c>
      <c r="M246" s="16">
        <f t="shared" si="36"/>
        <v>197796</v>
      </c>
      <c r="N246" s="17">
        <f t="shared" si="37"/>
        <v>44</v>
      </c>
      <c r="O246" s="33">
        <v>2</v>
      </c>
      <c r="P246" s="19">
        <f t="shared" si="41"/>
        <v>1.8794520547945206</v>
      </c>
      <c r="Q246" s="32">
        <f t="shared" si="42"/>
        <v>11325.85315068493</v>
      </c>
      <c r="R246" s="22">
        <f t="shared" si="43"/>
        <v>186470.14684931506</v>
      </c>
      <c r="S246" s="34">
        <f t="shared" si="44"/>
        <v>0</v>
      </c>
      <c r="T246" s="34">
        <f t="shared" si="45"/>
        <v>197796</v>
      </c>
    </row>
    <row r="247" spans="1:20" ht="14.65">
      <c r="A247" s="13">
        <f t="shared" si="46"/>
        <v>50</v>
      </c>
      <c r="B247" s="14" t="s">
        <v>819</v>
      </c>
      <c r="C247" s="27" t="s">
        <v>25</v>
      </c>
      <c r="D247" s="14">
        <v>2008024147</v>
      </c>
      <c r="E247" s="15">
        <v>44620</v>
      </c>
      <c r="F247" s="15">
        <v>44620</v>
      </c>
      <c r="G247" s="14" t="s">
        <v>257</v>
      </c>
      <c r="H247" s="23">
        <v>44620</v>
      </c>
      <c r="I247" s="16">
        <v>245066</v>
      </c>
      <c r="J247" s="16"/>
      <c r="K247" s="16"/>
      <c r="L247" s="16">
        <v>37383</v>
      </c>
      <c r="M247" s="16">
        <f t="shared" si="36"/>
        <v>207683</v>
      </c>
      <c r="N247" s="17">
        <f t="shared" si="37"/>
        <v>31</v>
      </c>
      <c r="O247" s="33">
        <v>2</v>
      </c>
      <c r="P247" s="19">
        <f t="shared" si="41"/>
        <v>1.9150684931506849</v>
      </c>
      <c r="Q247" s="32">
        <f t="shared" si="42"/>
        <v>8378.4443150684929</v>
      </c>
      <c r="R247" s="22">
        <f t="shared" si="43"/>
        <v>199304.55568493152</v>
      </c>
      <c r="S247" s="34">
        <f t="shared" si="44"/>
        <v>0</v>
      </c>
      <c r="T247" s="34">
        <f t="shared" si="45"/>
        <v>207683</v>
      </c>
    </row>
    <row r="248" spans="1:20" ht="14.65">
      <c r="A248" s="13">
        <f t="shared" si="46"/>
        <v>51</v>
      </c>
      <c r="B248" s="14" t="s">
        <v>819</v>
      </c>
      <c r="C248" s="27" t="s">
        <v>25</v>
      </c>
      <c r="D248" s="14">
        <v>2008024199</v>
      </c>
      <c r="E248" s="15">
        <v>44625</v>
      </c>
      <c r="F248" s="15">
        <v>44625</v>
      </c>
      <c r="G248" s="14" t="s">
        <v>257</v>
      </c>
      <c r="H248" s="23">
        <v>44625</v>
      </c>
      <c r="I248" s="16">
        <v>228452</v>
      </c>
      <c r="J248" s="16"/>
      <c r="K248" s="16"/>
      <c r="L248" s="16">
        <v>34848</v>
      </c>
      <c r="M248" s="16">
        <f t="shared" si="36"/>
        <v>193604</v>
      </c>
      <c r="N248" s="17">
        <f t="shared" si="37"/>
        <v>26</v>
      </c>
      <c r="O248" s="33">
        <v>2</v>
      </c>
      <c r="P248" s="19">
        <f t="shared" si="41"/>
        <v>1.9287671232876713</v>
      </c>
      <c r="Q248" s="32">
        <f t="shared" si="42"/>
        <v>6550.7106849315069</v>
      </c>
      <c r="R248" s="22">
        <f t="shared" si="43"/>
        <v>187053.28931506848</v>
      </c>
      <c r="S248" s="34">
        <f t="shared" si="44"/>
        <v>0</v>
      </c>
      <c r="T248" s="34">
        <f t="shared" si="45"/>
        <v>193604</v>
      </c>
    </row>
    <row r="249" spans="1:20" ht="14.65">
      <c r="A249" s="13">
        <f t="shared" si="46"/>
        <v>52</v>
      </c>
      <c r="B249" s="14" t="s">
        <v>819</v>
      </c>
      <c r="C249" s="27" t="s">
        <v>25</v>
      </c>
      <c r="D249" s="14">
        <v>2008054204</v>
      </c>
      <c r="E249" s="15">
        <v>44627</v>
      </c>
      <c r="F249" s="15">
        <v>44627</v>
      </c>
      <c r="G249" s="14" t="s">
        <v>257</v>
      </c>
      <c r="H249" s="23">
        <v>44627</v>
      </c>
      <c r="I249" s="16">
        <v>247143</v>
      </c>
      <c r="J249" s="16"/>
      <c r="K249" s="16"/>
      <c r="L249" s="16">
        <v>37700</v>
      </c>
      <c r="M249" s="16">
        <f t="shared" si="36"/>
        <v>209443</v>
      </c>
      <c r="N249" s="17">
        <f t="shared" si="37"/>
        <v>24</v>
      </c>
      <c r="O249" s="33">
        <v>2</v>
      </c>
      <c r="P249" s="19">
        <f t="shared" si="41"/>
        <v>1.9342465753424658</v>
      </c>
      <c r="Q249" s="32">
        <f t="shared" si="42"/>
        <v>6541.5073972602731</v>
      </c>
      <c r="R249" s="22">
        <f t="shared" si="43"/>
        <v>202901.49260273972</v>
      </c>
      <c r="S249" s="34">
        <f t="shared" si="44"/>
        <v>0</v>
      </c>
      <c r="T249" s="34">
        <f t="shared" si="45"/>
        <v>209443</v>
      </c>
    </row>
    <row r="250" spans="1:20" ht="14.65">
      <c r="A250" s="13">
        <f t="shared" si="46"/>
        <v>53</v>
      </c>
      <c r="B250" s="14" t="s">
        <v>819</v>
      </c>
      <c r="C250" s="27" t="s">
        <v>25</v>
      </c>
      <c r="D250" s="14">
        <v>2008024303</v>
      </c>
      <c r="E250" s="15">
        <v>44633</v>
      </c>
      <c r="F250" s="15">
        <v>44635</v>
      </c>
      <c r="G250" s="14" t="s">
        <v>257</v>
      </c>
      <c r="H250" s="23">
        <v>44635</v>
      </c>
      <c r="I250" s="16">
        <v>264796</v>
      </c>
      <c r="J250" s="16"/>
      <c r="K250" s="16"/>
      <c r="L250" s="16">
        <v>40394</v>
      </c>
      <c r="M250" s="16">
        <f t="shared" si="36"/>
        <v>224402</v>
      </c>
      <c r="N250" s="17">
        <f t="shared" si="37"/>
        <v>16</v>
      </c>
      <c r="O250" s="33">
        <v>2</v>
      </c>
      <c r="P250" s="19">
        <f t="shared" si="41"/>
        <v>1.9561643835616438</v>
      </c>
      <c r="Q250" s="32">
        <f t="shared" si="42"/>
        <v>4672.4799999999996</v>
      </c>
      <c r="R250" s="22">
        <f t="shared" si="43"/>
        <v>219729.52</v>
      </c>
      <c r="S250" s="34">
        <f t="shared" si="44"/>
        <v>0</v>
      </c>
      <c r="T250" s="34">
        <f t="shared" si="45"/>
        <v>224402</v>
      </c>
    </row>
    <row r="251" spans="1:20" ht="14.65">
      <c r="A251" s="13">
        <f t="shared" si="46"/>
        <v>54</v>
      </c>
      <c r="B251" s="14" t="s">
        <v>1183</v>
      </c>
      <c r="C251" s="27" t="s">
        <v>25</v>
      </c>
      <c r="D251" s="14">
        <v>431</v>
      </c>
      <c r="E251" s="15">
        <v>44630</v>
      </c>
      <c r="F251" s="15">
        <v>44635</v>
      </c>
      <c r="G251" s="14" t="s">
        <v>1177</v>
      </c>
      <c r="H251" s="23">
        <v>44635</v>
      </c>
      <c r="I251" s="16">
        <v>441851</v>
      </c>
      <c r="J251" s="16"/>
      <c r="K251" s="16"/>
      <c r="L251" s="16">
        <v>67401</v>
      </c>
      <c r="M251" s="16">
        <f t="shared" si="36"/>
        <v>374450</v>
      </c>
      <c r="N251" s="17">
        <f t="shared" si="37"/>
        <v>16</v>
      </c>
      <c r="O251" s="33">
        <v>2</v>
      </c>
      <c r="P251" s="19">
        <f t="shared" si="41"/>
        <v>1.9561643835616438</v>
      </c>
      <c r="Q251" s="32">
        <f t="shared" si="42"/>
        <v>7796.767123287671</v>
      </c>
      <c r="R251" s="22">
        <f t="shared" si="43"/>
        <v>366653.23287671234</v>
      </c>
      <c r="S251" s="34">
        <f t="shared" si="44"/>
        <v>0</v>
      </c>
      <c r="T251" s="34">
        <f t="shared" si="45"/>
        <v>374450</v>
      </c>
    </row>
    <row r="252" spans="1:20" ht="14.65">
      <c r="A252" s="13">
        <f t="shared" si="46"/>
        <v>55</v>
      </c>
      <c r="B252" s="14" t="s">
        <v>1180</v>
      </c>
      <c r="C252" s="26" t="s">
        <v>1138</v>
      </c>
      <c r="D252" s="14" t="s">
        <v>1192</v>
      </c>
      <c r="E252" s="15">
        <v>44602</v>
      </c>
      <c r="F252" s="15">
        <v>44602</v>
      </c>
      <c r="G252" s="14" t="s">
        <v>1182</v>
      </c>
      <c r="H252" s="23">
        <v>44602</v>
      </c>
      <c r="I252" s="16">
        <v>554942</v>
      </c>
      <c r="J252" s="16"/>
      <c r="K252" s="16"/>
      <c r="L252" s="16">
        <v>84652</v>
      </c>
      <c r="M252" s="16">
        <f t="shared" si="36"/>
        <v>470290</v>
      </c>
      <c r="N252" s="17">
        <f t="shared" si="37"/>
        <v>49</v>
      </c>
      <c r="O252" s="33">
        <v>2</v>
      </c>
      <c r="P252" s="19">
        <f t="shared" si="41"/>
        <v>1.8657534246575342</v>
      </c>
      <c r="Q252" s="32">
        <f t="shared" si="42"/>
        <v>29989.040410958904</v>
      </c>
      <c r="R252" s="22">
        <f t="shared" si="43"/>
        <v>440300.95958904107</v>
      </c>
      <c r="S252" s="34">
        <f t="shared" si="44"/>
        <v>0</v>
      </c>
      <c r="T252" s="34">
        <f t="shared" si="45"/>
        <v>470290</v>
      </c>
    </row>
    <row r="253" spans="1:20" ht="14.65">
      <c r="A253" s="13">
        <f t="shared" si="46"/>
        <v>56</v>
      </c>
      <c r="B253" s="14" t="s">
        <v>1180</v>
      </c>
      <c r="C253" s="26" t="s">
        <v>1138</v>
      </c>
      <c r="D253" s="14" t="s">
        <v>1193</v>
      </c>
      <c r="E253" s="15">
        <v>44602</v>
      </c>
      <c r="F253" s="15">
        <v>44602</v>
      </c>
      <c r="G253" s="14" t="s">
        <v>1182</v>
      </c>
      <c r="H253" s="23">
        <v>44602</v>
      </c>
      <c r="I253" s="16">
        <v>132790</v>
      </c>
      <c r="J253" s="16"/>
      <c r="K253" s="16"/>
      <c r="L253" s="16">
        <v>20256</v>
      </c>
      <c r="M253" s="16">
        <f t="shared" si="36"/>
        <v>112534</v>
      </c>
      <c r="N253" s="17">
        <f t="shared" si="37"/>
        <v>49</v>
      </c>
      <c r="O253" s="33">
        <v>2</v>
      </c>
      <c r="P253" s="19">
        <f t="shared" si="41"/>
        <v>1.8657534246575342</v>
      </c>
      <c r="Q253" s="32">
        <f t="shared" si="42"/>
        <v>7175.9694520547937</v>
      </c>
      <c r="R253" s="22">
        <f t="shared" si="43"/>
        <v>105358.03054794521</v>
      </c>
      <c r="S253" s="34">
        <f t="shared" si="44"/>
        <v>0</v>
      </c>
      <c r="T253" s="34">
        <f t="shared" si="45"/>
        <v>112534</v>
      </c>
    </row>
    <row r="254" spans="1:20" ht="14.65">
      <c r="A254" s="13">
        <f t="shared" si="46"/>
        <v>57</v>
      </c>
      <c r="B254" s="14" t="s">
        <v>819</v>
      </c>
      <c r="C254" s="26" t="s">
        <v>1138</v>
      </c>
      <c r="D254" s="14">
        <v>2008024133</v>
      </c>
      <c r="E254" s="15">
        <v>44620</v>
      </c>
      <c r="F254" s="15">
        <v>44620</v>
      </c>
      <c r="G254" s="14" t="s">
        <v>257</v>
      </c>
      <c r="H254" s="23">
        <v>44620</v>
      </c>
      <c r="I254" s="16">
        <v>58151</v>
      </c>
      <c r="J254" s="16"/>
      <c r="K254" s="16"/>
      <c r="L254" s="16">
        <v>8870</v>
      </c>
      <c r="M254" s="16">
        <f t="shared" si="36"/>
        <v>49281</v>
      </c>
      <c r="N254" s="17">
        <f t="shared" si="37"/>
        <v>31</v>
      </c>
      <c r="O254" s="33">
        <v>2</v>
      </c>
      <c r="P254" s="19">
        <f t="shared" si="41"/>
        <v>1.9150684931506849</v>
      </c>
      <c r="Q254" s="32">
        <f t="shared" si="42"/>
        <v>1988.1170547945205</v>
      </c>
      <c r="R254" s="22">
        <f>M254-Q254</f>
        <v>47292.882945205478</v>
      </c>
      <c r="S254" s="34">
        <f t="shared" si="44"/>
        <v>0</v>
      </c>
      <c r="T254" s="34">
        <f t="shared" si="45"/>
        <v>49281</v>
      </c>
    </row>
    <row r="255" spans="1:20" ht="14.65">
      <c r="A255" s="13">
        <f t="shared" si="46"/>
        <v>58</v>
      </c>
      <c r="B255" s="14" t="s">
        <v>1180</v>
      </c>
      <c r="C255" s="26" t="s">
        <v>1138</v>
      </c>
      <c r="D255" s="14" t="s">
        <v>1194</v>
      </c>
      <c r="E255" s="15">
        <v>44621</v>
      </c>
      <c r="F255" s="15">
        <v>44621</v>
      </c>
      <c r="G255" s="14" t="s">
        <v>1182</v>
      </c>
      <c r="H255" s="23">
        <v>44621</v>
      </c>
      <c r="I255" s="16">
        <v>72983</v>
      </c>
      <c r="J255" s="16"/>
      <c r="K255" s="16"/>
      <c r="L255" s="16">
        <v>11133</v>
      </c>
      <c r="M255" s="16">
        <f t="shared" si="36"/>
        <v>61850</v>
      </c>
      <c r="N255" s="17">
        <f t="shared" si="37"/>
        <v>30</v>
      </c>
      <c r="O255" s="33">
        <v>2</v>
      </c>
      <c r="P255" s="19">
        <f>O255-(N255/365)</f>
        <v>1.9178082191780823</v>
      </c>
      <c r="Q255" s="32">
        <f>M255*95%/O255*N255/365</f>
        <v>2414.6917808219177</v>
      </c>
      <c r="R255" s="22">
        <f>M255-Q255</f>
        <v>59435.308219178085</v>
      </c>
      <c r="S255" s="34">
        <f t="shared" si="44"/>
        <v>0</v>
      </c>
      <c r="T255" s="34">
        <f t="shared" si="45"/>
        <v>61850</v>
      </c>
    </row>
    <row r="256" spans="1:20" ht="14.65">
      <c r="A256" s="13">
        <f>A255+1</f>
        <v>59</v>
      </c>
      <c r="B256" s="14" t="s">
        <v>1180</v>
      </c>
      <c r="C256" s="26" t="s">
        <v>1138</v>
      </c>
      <c r="D256" s="14" t="s">
        <v>1195</v>
      </c>
      <c r="E256" s="15">
        <v>44630</v>
      </c>
      <c r="F256" s="15">
        <v>44643</v>
      </c>
      <c r="G256" s="14" t="s">
        <v>1182</v>
      </c>
      <c r="H256" s="23">
        <v>44643</v>
      </c>
      <c r="I256" s="16">
        <v>5099</v>
      </c>
      <c r="J256" s="16"/>
      <c r="K256" s="16"/>
      <c r="L256" s="16">
        <v>778</v>
      </c>
      <c r="M256" s="16">
        <f t="shared" si="36"/>
        <v>4321</v>
      </c>
      <c r="N256" s="17">
        <f t="shared" si="37"/>
        <v>8</v>
      </c>
      <c r="O256" s="33">
        <v>2</v>
      </c>
      <c r="P256" s="19">
        <f>O256-(N256/365)</f>
        <v>1.978082191780822</v>
      </c>
      <c r="Q256" s="32">
        <f>M256*95%/O256*N256/365</f>
        <v>44.985753424657531</v>
      </c>
      <c r="R256" s="22">
        <f>M256-Q256</f>
        <v>4276.0142465753424</v>
      </c>
      <c r="S256" s="34">
        <f t="shared" si="44"/>
        <v>0</v>
      </c>
      <c r="T256" s="34">
        <f t="shared" si="45"/>
        <v>4321</v>
      </c>
    </row>
    <row r="257" spans="1:20" ht="14.65">
      <c r="A257" s="13">
        <f>A256+1</f>
        <v>60</v>
      </c>
      <c r="B257" s="14" t="s">
        <v>1180</v>
      </c>
      <c r="C257" s="26" t="s">
        <v>1094</v>
      </c>
      <c r="D257" s="14" t="s">
        <v>1196</v>
      </c>
      <c r="E257" s="15">
        <v>44573</v>
      </c>
      <c r="F257" s="15">
        <v>44573</v>
      </c>
      <c r="G257" s="14" t="s">
        <v>1182</v>
      </c>
      <c r="H257" s="15">
        <v>44573</v>
      </c>
      <c r="I257" s="16">
        <v>1016240</v>
      </c>
      <c r="J257" s="16"/>
      <c r="K257" s="16"/>
      <c r="L257" s="16">
        <v>155019</v>
      </c>
      <c r="M257" s="16">
        <f t="shared" si="36"/>
        <v>861221</v>
      </c>
      <c r="N257" s="17">
        <f t="shared" si="37"/>
        <v>78</v>
      </c>
      <c r="O257" s="33">
        <v>2</v>
      </c>
      <c r="P257" s="19">
        <f>O257-(N257/365)</f>
        <v>1.7863013698630137</v>
      </c>
      <c r="Q257" s="32">
        <f>M257*95%/O257*N257/365</f>
        <v>87419.830273972591</v>
      </c>
      <c r="R257" s="22">
        <f>M257-Q257</f>
        <v>773801.16972602741</v>
      </c>
      <c r="S257" s="34">
        <f t="shared" si="44"/>
        <v>0</v>
      </c>
      <c r="T257" s="34">
        <f t="shared" si="45"/>
        <v>861221</v>
      </c>
    </row>
    <row r="258" spans="1:20" ht="14.65">
      <c r="A258" s="13"/>
      <c r="B258" s="14"/>
      <c r="C258" s="26"/>
      <c r="D258" s="14"/>
      <c r="E258" s="15"/>
      <c r="F258" s="15"/>
      <c r="G258" s="14"/>
      <c r="H258" s="15"/>
      <c r="I258" s="37">
        <f>SUM(I196:I257)</f>
        <v>13777317</v>
      </c>
      <c r="J258" s="37">
        <f>SUM(J196:J257)</f>
        <v>0</v>
      </c>
      <c r="K258" s="37">
        <f>SUM(K196:K257)</f>
        <v>0</v>
      </c>
      <c r="L258" s="37">
        <f>SUM(L196:L257)</f>
        <v>1896379</v>
      </c>
      <c r="M258" s="37">
        <f>SUM(M196:M257)</f>
        <v>11880938</v>
      </c>
      <c r="N258" s="35"/>
      <c r="O258" s="38"/>
      <c r="P258" s="39"/>
      <c r="Q258" s="37">
        <f>SUM(Q196:Q257)</f>
        <v>442250.25943287672</v>
      </c>
      <c r="R258" s="37">
        <f>SUM(R196:R257)</f>
        <v>11438687.740567125</v>
      </c>
      <c r="S258" s="37">
        <f>SUM(S196:S257)</f>
        <v>0</v>
      </c>
      <c r="T258" s="37">
        <f>SUM(T196:T257)</f>
        <v>11880938</v>
      </c>
    </row>
    <row r="259" spans="1:20" ht="24" customHeight="1">
      <c r="A259" s="13"/>
      <c r="B259" s="31" t="s">
        <v>36</v>
      </c>
      <c r="C259" s="26"/>
      <c r="D259" s="14"/>
      <c r="E259" s="15"/>
      <c r="F259" s="23"/>
      <c r="G259" s="14"/>
      <c r="H259" s="23"/>
      <c r="I259" s="16"/>
      <c r="J259" s="16"/>
      <c r="K259" s="16"/>
      <c r="L259" s="16"/>
      <c r="M259" s="16"/>
      <c r="N259" s="17"/>
      <c r="O259" s="18"/>
      <c r="P259" s="18"/>
      <c r="Q259" s="22"/>
      <c r="R259" s="22"/>
      <c r="S259" s="32"/>
      <c r="T259" s="32"/>
    </row>
    <row r="260" spans="1:20" ht="24" customHeight="1">
      <c r="A260" s="13">
        <f>A257+1</f>
        <v>61</v>
      </c>
      <c r="B260" s="14" t="s">
        <v>1197</v>
      </c>
      <c r="C260" s="14" t="s">
        <v>18</v>
      </c>
      <c r="D260" s="14" t="s">
        <v>1198</v>
      </c>
      <c r="E260" s="15">
        <v>44558</v>
      </c>
      <c r="F260" s="15">
        <v>44558</v>
      </c>
      <c r="G260" s="14" t="s">
        <v>916</v>
      </c>
      <c r="H260" s="15">
        <v>44558</v>
      </c>
      <c r="I260" s="16">
        <v>106200</v>
      </c>
      <c r="J260" s="16"/>
      <c r="K260" s="16"/>
      <c r="L260" s="16">
        <v>16200</v>
      </c>
      <c r="M260" s="16">
        <f t="shared" ref="M260:M270" si="47">I260+J260-K260-L260</f>
        <v>90000</v>
      </c>
      <c r="N260" s="17">
        <f t="shared" ref="N260:N270" si="48">$N$1-H260</f>
        <v>93</v>
      </c>
      <c r="O260" s="33">
        <v>5</v>
      </c>
      <c r="P260" s="19">
        <f>O260-(N260/365)</f>
        <v>4.7452054794520544</v>
      </c>
      <c r="Q260" s="32">
        <f t="shared" ref="Q260:Q270" si="49">M260*95%/O260*N260/365</f>
        <v>4356.9863013698632</v>
      </c>
      <c r="R260" s="22">
        <f t="shared" ref="R260:R270" si="50">M260-Q260</f>
        <v>85643.013698630137</v>
      </c>
      <c r="S260" s="34">
        <f t="shared" ref="S260:S270" si="51">IF(H260&lt;=DATE(2021,9,30),M260,0)</f>
        <v>0</v>
      </c>
      <c r="T260" s="34">
        <f t="shared" ref="T260:T270" si="52">IF(H260&gt;DATE(2021,9,30),M260,0)</f>
        <v>90000</v>
      </c>
    </row>
    <row r="261" spans="1:20" ht="14.65">
      <c r="A261" s="13">
        <f>A260+1</f>
        <v>62</v>
      </c>
      <c r="B261" s="14" t="s">
        <v>1199</v>
      </c>
      <c r="C261" s="26" t="s">
        <v>21</v>
      </c>
      <c r="D261" s="14" t="s">
        <v>1200</v>
      </c>
      <c r="E261" s="23">
        <v>44434</v>
      </c>
      <c r="F261" s="23">
        <v>44434</v>
      </c>
      <c r="G261" s="14" t="s">
        <v>1201</v>
      </c>
      <c r="H261" s="23">
        <v>44434</v>
      </c>
      <c r="I261" s="16">
        <v>221999.96</v>
      </c>
      <c r="J261" s="16"/>
      <c r="K261" s="16"/>
      <c r="L261" s="16">
        <v>47768</v>
      </c>
      <c r="M261" s="16">
        <f t="shared" si="47"/>
        <v>174231.96</v>
      </c>
      <c r="N261" s="17">
        <f t="shared" si="48"/>
        <v>217</v>
      </c>
      <c r="O261" s="33">
        <v>5</v>
      </c>
      <c r="P261" s="19">
        <f t="shared" ref="P261:P270" si="53">O261-(N261/365)</f>
        <v>4.4054794520547942</v>
      </c>
      <c r="Q261" s="32">
        <f t="shared" si="49"/>
        <v>19681.051262465753</v>
      </c>
      <c r="R261" s="22">
        <f t="shared" si="50"/>
        <v>154550.90873753425</v>
      </c>
      <c r="S261" s="34">
        <f t="shared" si="51"/>
        <v>174231.96</v>
      </c>
      <c r="T261" s="34">
        <f t="shared" si="52"/>
        <v>0</v>
      </c>
    </row>
    <row r="262" spans="1:20" ht="14.65">
      <c r="A262" s="13">
        <f>A261+1</f>
        <v>63</v>
      </c>
      <c r="B262" s="14" t="s">
        <v>1202</v>
      </c>
      <c r="C262" s="14" t="s">
        <v>26</v>
      </c>
      <c r="D262" s="14" t="s">
        <v>1203</v>
      </c>
      <c r="E262" s="23">
        <v>44512</v>
      </c>
      <c r="F262" s="23">
        <v>44512</v>
      </c>
      <c r="G262" s="14" t="s">
        <v>1204</v>
      </c>
      <c r="H262" s="23">
        <v>44512</v>
      </c>
      <c r="I262" s="16">
        <v>158800</v>
      </c>
      <c r="J262" s="16"/>
      <c r="K262" s="16"/>
      <c r="L262" s="16">
        <v>24224</v>
      </c>
      <c r="M262" s="16">
        <f t="shared" si="47"/>
        <v>134576</v>
      </c>
      <c r="N262" s="17">
        <f t="shared" si="48"/>
        <v>139</v>
      </c>
      <c r="O262" s="33">
        <v>5</v>
      </c>
      <c r="P262" s="19">
        <f t="shared" si="53"/>
        <v>4.6191780821917812</v>
      </c>
      <c r="Q262" s="32">
        <f t="shared" si="49"/>
        <v>9737.4031780821915</v>
      </c>
      <c r="R262" s="22">
        <f t="shared" si="50"/>
        <v>124838.5968219178</v>
      </c>
      <c r="S262" s="34">
        <f t="shared" si="51"/>
        <v>0</v>
      </c>
      <c r="T262" s="34">
        <f t="shared" si="52"/>
        <v>134576</v>
      </c>
    </row>
    <row r="263" spans="1:20" ht="14.65">
      <c r="A263" s="13">
        <f t="shared" ref="A263:A270" si="54">A262+1</f>
        <v>64</v>
      </c>
      <c r="B263" s="14" t="s">
        <v>1197</v>
      </c>
      <c r="C263" s="14" t="s">
        <v>26</v>
      </c>
      <c r="D263" s="14" t="s">
        <v>1205</v>
      </c>
      <c r="E263" s="23">
        <v>44616</v>
      </c>
      <c r="F263" s="23">
        <v>44643</v>
      </c>
      <c r="G263" s="14" t="s">
        <v>1206</v>
      </c>
      <c r="H263" s="23">
        <v>44643</v>
      </c>
      <c r="I263" s="40">
        <f>253648+182000</f>
        <v>435648</v>
      </c>
      <c r="J263" s="16"/>
      <c r="K263" s="16"/>
      <c r="L263" s="16">
        <v>56972</v>
      </c>
      <c r="M263" s="16">
        <f t="shared" si="47"/>
        <v>378676</v>
      </c>
      <c r="N263" s="17">
        <f t="shared" si="48"/>
        <v>8</v>
      </c>
      <c r="O263" s="33">
        <v>5</v>
      </c>
      <c r="P263" s="19">
        <f t="shared" si="53"/>
        <v>4.978082191780822</v>
      </c>
      <c r="Q263" s="32">
        <f t="shared" si="49"/>
        <v>1576.9521095890411</v>
      </c>
      <c r="R263" s="22">
        <f t="shared" si="50"/>
        <v>377099.04789041093</v>
      </c>
      <c r="S263" s="34">
        <f t="shared" si="51"/>
        <v>0</v>
      </c>
      <c r="T263" s="34">
        <f t="shared" si="52"/>
        <v>378676</v>
      </c>
    </row>
    <row r="264" spans="1:20" ht="14.65">
      <c r="A264" s="13">
        <f t="shared" si="54"/>
        <v>65</v>
      </c>
      <c r="B264" s="14" t="s">
        <v>1197</v>
      </c>
      <c r="C264" s="14" t="s">
        <v>26</v>
      </c>
      <c r="D264" s="14" t="s">
        <v>1205</v>
      </c>
      <c r="E264" s="23">
        <v>44616</v>
      </c>
      <c r="F264" s="23">
        <v>44643</v>
      </c>
      <c r="G264" s="14" t="s">
        <v>1206</v>
      </c>
      <c r="H264" s="23">
        <v>44643</v>
      </c>
      <c r="I264" s="16">
        <v>39800</v>
      </c>
      <c r="J264" s="16"/>
      <c r="K264" s="16"/>
      <c r="L264" s="16">
        <f>4353*2+40</f>
        <v>8746</v>
      </c>
      <c r="M264" s="16">
        <f t="shared" si="47"/>
        <v>31054</v>
      </c>
      <c r="N264" s="17">
        <f t="shared" si="48"/>
        <v>8</v>
      </c>
      <c r="O264" s="33">
        <v>5</v>
      </c>
      <c r="P264" s="19">
        <f t="shared" si="53"/>
        <v>4.978082191780822</v>
      </c>
      <c r="Q264" s="32">
        <f t="shared" si="49"/>
        <v>129.32076712328768</v>
      </c>
      <c r="R264" s="22">
        <f t="shared" si="50"/>
        <v>30924.679232876711</v>
      </c>
      <c r="S264" s="34">
        <f t="shared" si="51"/>
        <v>0</v>
      </c>
      <c r="T264" s="34">
        <f t="shared" si="52"/>
        <v>31054</v>
      </c>
    </row>
    <row r="265" spans="1:20" ht="15">
      <c r="A265" s="13">
        <f t="shared" si="54"/>
        <v>66</v>
      </c>
      <c r="B265" s="14" t="s">
        <v>1207</v>
      </c>
      <c r="C265" s="167" t="s">
        <v>988</v>
      </c>
      <c r="D265" s="24" t="s">
        <v>1208</v>
      </c>
      <c r="E265" s="23">
        <v>44300</v>
      </c>
      <c r="F265" s="23">
        <v>44300</v>
      </c>
      <c r="G265" s="14" t="s">
        <v>473</v>
      </c>
      <c r="H265" s="23">
        <v>44300</v>
      </c>
      <c r="I265" s="16">
        <v>43000</v>
      </c>
      <c r="J265" s="16"/>
      <c r="K265" s="16"/>
      <c r="L265" s="16">
        <f>4703+4703</f>
        <v>9406</v>
      </c>
      <c r="M265" s="16">
        <f t="shared" si="47"/>
        <v>33594</v>
      </c>
      <c r="N265" s="17">
        <f t="shared" si="48"/>
        <v>351</v>
      </c>
      <c r="O265" s="33">
        <v>5</v>
      </c>
      <c r="P265" s="19">
        <f t="shared" si="53"/>
        <v>4.0383561643835613</v>
      </c>
      <c r="Q265" s="32">
        <f t="shared" si="49"/>
        <v>6138.0379726027395</v>
      </c>
      <c r="R265" s="22">
        <f t="shared" si="50"/>
        <v>27455.962027397261</v>
      </c>
      <c r="S265" s="34">
        <f t="shared" si="51"/>
        <v>33594</v>
      </c>
      <c r="T265" s="34">
        <f t="shared" si="52"/>
        <v>0</v>
      </c>
    </row>
    <row r="266" spans="1:20" ht="15">
      <c r="A266" s="13">
        <f t="shared" si="54"/>
        <v>67</v>
      </c>
      <c r="B266" s="14" t="s">
        <v>474</v>
      </c>
      <c r="C266" s="167" t="s">
        <v>988</v>
      </c>
      <c r="D266" s="24" t="s">
        <v>1209</v>
      </c>
      <c r="E266" s="25">
        <v>44412</v>
      </c>
      <c r="F266" s="25">
        <v>44412</v>
      </c>
      <c r="G266" s="14" t="s">
        <v>1210</v>
      </c>
      <c r="H266" s="23">
        <v>44412</v>
      </c>
      <c r="I266" s="16">
        <f>37288+5688</f>
        <v>42976</v>
      </c>
      <c r="J266" s="16"/>
      <c r="K266" s="16"/>
      <c r="L266" s="16">
        <v>5688</v>
      </c>
      <c r="M266" s="16">
        <f t="shared" si="47"/>
        <v>37288</v>
      </c>
      <c r="N266" s="17">
        <f t="shared" si="48"/>
        <v>239</v>
      </c>
      <c r="O266" s="33">
        <v>5</v>
      </c>
      <c r="P266" s="19">
        <f t="shared" si="53"/>
        <v>4.3452054794520549</v>
      </c>
      <c r="Q266" s="32">
        <f t="shared" si="49"/>
        <v>4639.0358356164379</v>
      </c>
      <c r="R266" s="22">
        <f t="shared" si="50"/>
        <v>32648.964164383564</v>
      </c>
      <c r="S266" s="34">
        <f t="shared" si="51"/>
        <v>37288</v>
      </c>
      <c r="T266" s="34">
        <f t="shared" si="52"/>
        <v>0</v>
      </c>
    </row>
    <row r="267" spans="1:20" ht="15">
      <c r="A267" s="13">
        <f t="shared" si="54"/>
        <v>68</v>
      </c>
      <c r="B267" s="14" t="s">
        <v>1211</v>
      </c>
      <c r="C267" s="167" t="s">
        <v>988</v>
      </c>
      <c r="D267" s="24" t="s">
        <v>1209</v>
      </c>
      <c r="E267" s="25">
        <v>44412</v>
      </c>
      <c r="F267" s="25">
        <v>44412</v>
      </c>
      <c r="G267" s="14" t="s">
        <v>1210</v>
      </c>
      <c r="H267" s="23">
        <v>44412</v>
      </c>
      <c r="I267" s="16">
        <f>83203+24320</f>
        <v>107523</v>
      </c>
      <c r="J267" s="16"/>
      <c r="K267" s="16"/>
      <c r="L267" s="16">
        <v>24320</v>
      </c>
      <c r="M267" s="16">
        <f t="shared" si="47"/>
        <v>83203</v>
      </c>
      <c r="N267" s="17">
        <f t="shared" si="48"/>
        <v>239</v>
      </c>
      <c r="O267" s="33">
        <v>5</v>
      </c>
      <c r="P267" s="19">
        <f t="shared" si="53"/>
        <v>4.3452054794520549</v>
      </c>
      <c r="Q267" s="32">
        <f t="shared" si="49"/>
        <v>10351.365013698629</v>
      </c>
      <c r="R267" s="22">
        <f t="shared" si="50"/>
        <v>72851.634986301375</v>
      </c>
      <c r="S267" s="34">
        <f t="shared" si="51"/>
        <v>83203</v>
      </c>
      <c r="T267" s="34">
        <f t="shared" si="52"/>
        <v>0</v>
      </c>
    </row>
    <row r="268" spans="1:20" ht="15">
      <c r="A268" s="13">
        <f t="shared" si="54"/>
        <v>69</v>
      </c>
      <c r="B268" s="14" t="s">
        <v>1211</v>
      </c>
      <c r="C268" s="167" t="s">
        <v>988</v>
      </c>
      <c r="D268" s="24" t="s">
        <v>1212</v>
      </c>
      <c r="E268" s="25">
        <v>44412</v>
      </c>
      <c r="F268" s="25">
        <v>44412</v>
      </c>
      <c r="G268" s="14" t="s">
        <v>1210</v>
      </c>
      <c r="H268" s="23">
        <v>44413</v>
      </c>
      <c r="I268" s="16">
        <v>46500</v>
      </c>
      <c r="J268" s="16"/>
      <c r="K268" s="16"/>
      <c r="L268" s="16">
        <v>10172</v>
      </c>
      <c r="M268" s="16">
        <f t="shared" si="47"/>
        <v>36328</v>
      </c>
      <c r="N268" s="17">
        <f t="shared" si="48"/>
        <v>238</v>
      </c>
      <c r="O268" s="33">
        <v>5</v>
      </c>
      <c r="P268" s="19">
        <f t="shared" si="53"/>
        <v>4.3479452054794523</v>
      </c>
      <c r="Q268" s="32">
        <f t="shared" si="49"/>
        <v>4500.6908493150686</v>
      </c>
      <c r="R268" s="22">
        <f t="shared" si="50"/>
        <v>31827.309150684931</v>
      </c>
      <c r="S268" s="34">
        <f t="shared" si="51"/>
        <v>36328</v>
      </c>
      <c r="T268" s="34">
        <f t="shared" si="52"/>
        <v>0</v>
      </c>
    </row>
    <row r="269" spans="1:20" ht="14.65">
      <c r="A269" s="13">
        <f t="shared" si="54"/>
        <v>70</v>
      </c>
      <c r="B269" s="14" t="s">
        <v>474</v>
      </c>
      <c r="C269" s="14" t="s">
        <v>18</v>
      </c>
      <c r="D269" s="24" t="s">
        <v>24</v>
      </c>
      <c r="E269" s="23">
        <v>44625</v>
      </c>
      <c r="F269" s="23">
        <v>44625</v>
      </c>
      <c r="G269" s="14" t="s">
        <v>24</v>
      </c>
      <c r="H269" s="23">
        <v>44625</v>
      </c>
      <c r="I269" s="16">
        <v>13983</v>
      </c>
      <c r="J269" s="16"/>
      <c r="K269" s="16"/>
      <c r="L269" s="16">
        <v>0</v>
      </c>
      <c r="M269" s="16">
        <f>I269+J269-K269-L269</f>
        <v>13983</v>
      </c>
      <c r="N269" s="17">
        <f>$N$1-H269</f>
        <v>26</v>
      </c>
      <c r="O269" s="33">
        <v>5</v>
      </c>
      <c r="P269" s="19">
        <f>O269-(N269/365)</f>
        <v>4.9287671232876713</v>
      </c>
      <c r="Q269" s="32">
        <f>M269*95%/O269*N269/365</f>
        <v>189.24936986301367</v>
      </c>
      <c r="R269" s="22">
        <f>M269-Q269</f>
        <v>13793.750630136987</v>
      </c>
      <c r="S269" s="34">
        <f>IF(H269&lt;=DATE(2021,9,30),M269,0)</f>
        <v>0</v>
      </c>
      <c r="T269" s="34">
        <f>IF(H269&gt;DATE(2021,9,30),M269,0)</f>
        <v>13983</v>
      </c>
    </row>
    <row r="270" spans="1:20" ht="14.65">
      <c r="A270" s="13">
        <f t="shared" si="54"/>
        <v>71</v>
      </c>
      <c r="B270" s="14" t="s">
        <v>474</v>
      </c>
      <c r="C270" s="27" t="s">
        <v>23</v>
      </c>
      <c r="D270" s="24" t="s">
        <v>1213</v>
      </c>
      <c r="E270" s="23">
        <v>44536</v>
      </c>
      <c r="F270" s="23">
        <v>44536</v>
      </c>
      <c r="G270" s="14" t="s">
        <v>1214</v>
      </c>
      <c r="H270" s="25">
        <v>44536</v>
      </c>
      <c r="I270" s="16">
        <v>14800</v>
      </c>
      <c r="J270" s="16"/>
      <c r="K270" s="16"/>
      <c r="L270" s="16">
        <v>2256</v>
      </c>
      <c r="M270" s="16">
        <f t="shared" si="47"/>
        <v>12544</v>
      </c>
      <c r="N270" s="17">
        <f t="shared" si="48"/>
        <v>115</v>
      </c>
      <c r="O270" s="33">
        <v>5</v>
      </c>
      <c r="P270" s="19">
        <f t="shared" si="53"/>
        <v>4.6849315068493151</v>
      </c>
      <c r="Q270" s="32">
        <f t="shared" si="49"/>
        <v>750.92164383561635</v>
      </c>
      <c r="R270" s="22">
        <f t="shared" si="50"/>
        <v>11793.078356164384</v>
      </c>
      <c r="S270" s="34">
        <f t="shared" si="51"/>
        <v>0</v>
      </c>
      <c r="T270" s="34">
        <f t="shared" si="52"/>
        <v>12544</v>
      </c>
    </row>
    <row r="271" spans="1:20" ht="19.5" customHeight="1">
      <c r="A271" s="13"/>
      <c r="B271" s="29" t="s">
        <v>30</v>
      </c>
      <c r="C271" s="14"/>
      <c r="D271" s="24"/>
      <c r="E271" s="23"/>
      <c r="F271" s="25"/>
      <c r="G271" s="14"/>
      <c r="H271" s="25"/>
      <c r="I271" s="30">
        <f>SUM(I260:I270)</f>
        <v>1231229.96</v>
      </c>
      <c r="J271" s="30">
        <f>SUM(J260:J270)</f>
        <v>0</v>
      </c>
      <c r="K271" s="30">
        <f>SUM(K260:K270)</f>
        <v>0</v>
      </c>
      <c r="L271" s="30">
        <f>SUM(L260:L270)</f>
        <v>205752</v>
      </c>
      <c r="M271" s="30">
        <f>SUM(M260:M270)</f>
        <v>1025477.96</v>
      </c>
      <c r="N271" s="17"/>
      <c r="O271" s="18"/>
      <c r="P271" s="18"/>
      <c r="Q271" s="30">
        <f>SUM(Q260:Q270)</f>
        <v>62051.014303561642</v>
      </c>
      <c r="R271" s="30">
        <f>SUM(R260:R270)</f>
        <v>963426.94569643855</v>
      </c>
      <c r="S271" s="30">
        <f>SUM(S260:S270)</f>
        <v>364644.95999999996</v>
      </c>
      <c r="T271" s="30">
        <f>SUM(T260:T270)</f>
        <v>660833</v>
      </c>
    </row>
    <row r="272" spans="1:20" ht="24.75" customHeight="1">
      <c r="A272" s="13"/>
      <c r="B272" s="31" t="s">
        <v>37</v>
      </c>
      <c r="C272" s="14"/>
      <c r="D272" s="24"/>
      <c r="E272" s="23"/>
      <c r="F272" s="25"/>
      <c r="G272" s="14"/>
      <c r="H272" s="25"/>
      <c r="I272" s="16"/>
      <c r="J272" s="16"/>
      <c r="K272" s="16"/>
      <c r="L272" s="16"/>
      <c r="M272" s="16"/>
      <c r="N272" s="17"/>
      <c r="O272" s="18"/>
      <c r="P272" s="18"/>
      <c r="Q272" s="32"/>
      <c r="R272" s="22"/>
      <c r="S272" s="32"/>
      <c r="T272" s="32"/>
    </row>
    <row r="273" spans="1:20" ht="14.65">
      <c r="A273" s="13">
        <f>A270+1</f>
        <v>72</v>
      </c>
      <c r="B273" s="14" t="s">
        <v>1215</v>
      </c>
      <c r="C273" s="26" t="s">
        <v>26</v>
      </c>
      <c r="D273" s="14" t="s">
        <v>1216</v>
      </c>
      <c r="E273" s="23">
        <v>44582</v>
      </c>
      <c r="F273" s="15">
        <v>44501</v>
      </c>
      <c r="G273" s="14" t="s">
        <v>1217</v>
      </c>
      <c r="H273" s="15">
        <v>44501</v>
      </c>
      <c r="I273" s="16">
        <v>2177709</v>
      </c>
      <c r="J273" s="16"/>
      <c r="K273" s="16">
        <v>18190</v>
      </c>
      <c r="L273" s="16">
        <v>0</v>
      </c>
      <c r="M273" s="16">
        <f>I273+J273-K273-L273</f>
        <v>2159519</v>
      </c>
      <c r="N273" s="17">
        <f t="shared" ref="N273:N307" si="55">$N$1-H273</f>
        <v>150</v>
      </c>
      <c r="O273" s="33">
        <v>10</v>
      </c>
      <c r="P273" s="19">
        <f t="shared" ref="P273:P307" si="56">O273-(N273/365)</f>
        <v>9.5890410958904102</v>
      </c>
      <c r="Q273" s="32">
        <f t="shared" ref="Q273:Q307" si="57">M273*95%/O273*N273/365</f>
        <v>84309.98835616438</v>
      </c>
      <c r="R273" s="22">
        <f t="shared" ref="R273:R307" si="58">M273-Q273</f>
        <v>2075209.0116438356</v>
      </c>
      <c r="S273" s="34">
        <f>IF(H273&lt;=DATE(2021,9,30),M273,0)</f>
        <v>0</v>
      </c>
      <c r="T273" s="34">
        <f t="shared" ref="T273:T307" si="59">IF(H273&gt;DATE(2021,9,30),M273,0)</f>
        <v>2159519</v>
      </c>
    </row>
    <row r="274" spans="1:20" ht="14.65">
      <c r="A274" s="13">
        <f t="shared" ref="A274:A292" si="60">A273+1</f>
        <v>73</v>
      </c>
      <c r="B274" s="14" t="s">
        <v>1218</v>
      </c>
      <c r="C274" s="27" t="s">
        <v>23</v>
      </c>
      <c r="D274" s="14" t="s">
        <v>1219</v>
      </c>
      <c r="E274" s="23">
        <v>44435</v>
      </c>
      <c r="F274" s="15">
        <v>44501</v>
      </c>
      <c r="G274" s="14" t="s">
        <v>1220</v>
      </c>
      <c r="H274" s="15">
        <v>44501</v>
      </c>
      <c r="I274" s="16">
        <v>920393</v>
      </c>
      <c r="J274" s="16"/>
      <c r="K274" s="16"/>
      <c r="L274" s="16">
        <v>201336</v>
      </c>
      <c r="M274" s="16">
        <f t="shared" ref="M274:M307" si="61">I274+J274-K274-L274</f>
        <v>719057</v>
      </c>
      <c r="N274" s="17">
        <f t="shared" si="55"/>
        <v>150</v>
      </c>
      <c r="O274" s="33">
        <v>10</v>
      </c>
      <c r="P274" s="19">
        <f t="shared" si="56"/>
        <v>9.5890410958904102</v>
      </c>
      <c r="Q274" s="32">
        <f t="shared" si="57"/>
        <v>28072.773287671236</v>
      </c>
      <c r="R274" s="22">
        <f t="shared" si="58"/>
        <v>690984.22671232873</v>
      </c>
      <c r="S274" s="34">
        <f>IF(H274&lt;=DATE(2021,9,30),M274,0)</f>
        <v>0</v>
      </c>
      <c r="T274" s="34">
        <f t="shared" si="59"/>
        <v>719057</v>
      </c>
    </row>
    <row r="275" spans="1:20" ht="14.65">
      <c r="A275" s="13">
        <f t="shared" si="60"/>
        <v>74</v>
      </c>
      <c r="B275" s="14" t="s">
        <v>1218</v>
      </c>
      <c r="C275" s="27" t="s">
        <v>23</v>
      </c>
      <c r="D275" s="14" t="s">
        <v>1221</v>
      </c>
      <c r="E275" s="23">
        <v>44530</v>
      </c>
      <c r="F275" s="23">
        <v>44530</v>
      </c>
      <c r="G275" s="14" t="s">
        <v>1220</v>
      </c>
      <c r="H275" s="15">
        <v>44530</v>
      </c>
      <c r="I275" s="16">
        <v>935500</v>
      </c>
      <c r="J275" s="16"/>
      <c r="K275" s="16"/>
      <c r="L275" s="16">
        <v>204640</v>
      </c>
      <c r="M275" s="16">
        <f t="shared" si="61"/>
        <v>730860</v>
      </c>
      <c r="N275" s="17">
        <f t="shared" si="55"/>
        <v>121</v>
      </c>
      <c r="O275" s="33">
        <v>10</v>
      </c>
      <c r="P275" s="19">
        <f t="shared" si="56"/>
        <v>9.668493150684931</v>
      </c>
      <c r="Q275" s="32">
        <f t="shared" si="57"/>
        <v>23017.084109589039</v>
      </c>
      <c r="R275" s="22">
        <f t="shared" si="58"/>
        <v>707842.91589041101</v>
      </c>
      <c r="S275" s="34">
        <f>IF(H275&lt;=DATE(2021,9,30),M275,0)</f>
        <v>0</v>
      </c>
      <c r="T275" s="34">
        <f t="shared" si="59"/>
        <v>730860</v>
      </c>
    </row>
    <row r="276" spans="1:20" ht="14.65">
      <c r="A276" s="13">
        <f t="shared" si="60"/>
        <v>75</v>
      </c>
      <c r="B276" s="14" t="s">
        <v>1218</v>
      </c>
      <c r="C276" s="27" t="s">
        <v>23</v>
      </c>
      <c r="D276" s="14" t="s">
        <v>1222</v>
      </c>
      <c r="E276" s="23">
        <v>44597</v>
      </c>
      <c r="F276" s="15">
        <v>44597</v>
      </c>
      <c r="G276" s="14" t="s">
        <v>1220</v>
      </c>
      <c r="H276" s="15">
        <v>44597</v>
      </c>
      <c r="I276" s="16">
        <v>930001</v>
      </c>
      <c r="J276" s="16"/>
      <c r="K276" s="16"/>
      <c r="L276" s="16">
        <v>203438</v>
      </c>
      <c r="M276" s="16">
        <f t="shared" si="61"/>
        <v>726563</v>
      </c>
      <c r="N276" s="17">
        <f t="shared" si="55"/>
        <v>54</v>
      </c>
      <c r="O276" s="33">
        <v>10</v>
      </c>
      <c r="P276" s="19">
        <f t="shared" si="56"/>
        <v>9.8520547945205479</v>
      </c>
      <c r="Q276" s="32">
        <f t="shared" si="57"/>
        <v>10211.693671232877</v>
      </c>
      <c r="R276" s="22">
        <f t="shared" si="58"/>
        <v>716351.3063287671</v>
      </c>
      <c r="S276" s="34">
        <f>IF(H276&lt;=DATE(2021,9,30),M276,0)</f>
        <v>0</v>
      </c>
      <c r="T276" s="34">
        <f t="shared" si="59"/>
        <v>726563</v>
      </c>
    </row>
    <row r="277" spans="1:20" ht="14.65">
      <c r="A277" s="13">
        <f t="shared" si="60"/>
        <v>76</v>
      </c>
      <c r="B277" s="14" t="s">
        <v>1218</v>
      </c>
      <c r="C277" s="27" t="s">
        <v>23</v>
      </c>
      <c r="D277" s="14" t="s">
        <v>1223</v>
      </c>
      <c r="E277" s="23">
        <v>44597</v>
      </c>
      <c r="F277" s="15">
        <v>44597</v>
      </c>
      <c r="G277" s="14" t="s">
        <v>1220</v>
      </c>
      <c r="H277" s="15">
        <v>44597</v>
      </c>
      <c r="I277" s="16">
        <v>930002</v>
      </c>
      <c r="J277" s="16"/>
      <c r="K277" s="16"/>
      <c r="L277" s="16">
        <v>203438</v>
      </c>
      <c r="M277" s="16">
        <f t="shared" si="61"/>
        <v>726564</v>
      </c>
      <c r="N277" s="17">
        <f t="shared" si="55"/>
        <v>54</v>
      </c>
      <c r="O277" s="33">
        <v>10</v>
      </c>
      <c r="P277" s="19">
        <f t="shared" si="56"/>
        <v>9.8520547945205479</v>
      </c>
      <c r="Q277" s="32">
        <f t="shared" si="57"/>
        <v>10211.707726027396</v>
      </c>
      <c r="R277" s="22">
        <f t="shared" si="58"/>
        <v>716352.29227397265</v>
      </c>
      <c r="S277" s="34">
        <f>IF(H277&lt;=DATE(2021,9,30),M277,0)</f>
        <v>0</v>
      </c>
      <c r="T277" s="34">
        <f t="shared" si="59"/>
        <v>726564</v>
      </c>
    </row>
    <row r="278" spans="1:20" ht="14.65">
      <c r="A278" s="13">
        <f t="shared" si="60"/>
        <v>77</v>
      </c>
      <c r="B278" s="14" t="s">
        <v>1218</v>
      </c>
      <c r="C278" s="27" t="s">
        <v>23</v>
      </c>
      <c r="D278" s="14" t="s">
        <v>1224</v>
      </c>
      <c r="E278" s="23">
        <v>44597</v>
      </c>
      <c r="F278" s="15">
        <v>44597</v>
      </c>
      <c r="G278" s="14" t="s">
        <v>1220</v>
      </c>
      <c r="H278" s="15">
        <v>44597</v>
      </c>
      <c r="I278" s="16">
        <v>930002</v>
      </c>
      <c r="J278" s="16"/>
      <c r="K278" s="16"/>
      <c r="L278" s="16">
        <v>203438</v>
      </c>
      <c r="M278" s="16">
        <f t="shared" si="61"/>
        <v>726564</v>
      </c>
      <c r="N278" s="17">
        <f t="shared" si="55"/>
        <v>54</v>
      </c>
      <c r="O278" s="33">
        <v>10</v>
      </c>
      <c r="P278" s="19">
        <f t="shared" si="56"/>
        <v>9.8520547945205479</v>
      </c>
      <c r="Q278" s="32">
        <f t="shared" si="57"/>
        <v>10211.707726027396</v>
      </c>
      <c r="R278" s="22">
        <f t="shared" si="58"/>
        <v>716352.29227397265</v>
      </c>
      <c r="S278" s="34"/>
      <c r="T278" s="34">
        <f t="shared" si="59"/>
        <v>726564</v>
      </c>
    </row>
    <row r="279" spans="1:20" ht="14.65">
      <c r="A279" s="13">
        <f t="shared" si="60"/>
        <v>78</v>
      </c>
      <c r="B279" s="14" t="s">
        <v>1225</v>
      </c>
      <c r="C279" s="27" t="s">
        <v>23</v>
      </c>
      <c r="D279" s="14" t="s">
        <v>1226</v>
      </c>
      <c r="E279" s="23">
        <v>44599</v>
      </c>
      <c r="F279" s="15">
        <v>44607</v>
      </c>
      <c r="G279" s="14" t="s">
        <v>1220</v>
      </c>
      <c r="H279" s="15">
        <v>44607</v>
      </c>
      <c r="I279" s="16">
        <v>982415</v>
      </c>
      <c r="J279" s="16"/>
      <c r="K279" s="16"/>
      <c r="L279" s="16">
        <v>0</v>
      </c>
      <c r="M279" s="16">
        <f t="shared" si="61"/>
        <v>982415</v>
      </c>
      <c r="N279" s="17">
        <f t="shared" si="55"/>
        <v>44</v>
      </c>
      <c r="O279" s="33">
        <v>10</v>
      </c>
      <c r="P279" s="19">
        <f t="shared" si="56"/>
        <v>9.8794520547945197</v>
      </c>
      <c r="Q279" s="32">
        <f t="shared" si="57"/>
        <v>11250.670410958905</v>
      </c>
      <c r="R279" s="22">
        <f t="shared" si="58"/>
        <v>971164.32958904107</v>
      </c>
      <c r="S279" s="34"/>
      <c r="T279" s="34">
        <f t="shared" si="59"/>
        <v>982415</v>
      </c>
    </row>
    <row r="280" spans="1:20" ht="14.65">
      <c r="A280" s="13">
        <f t="shared" si="60"/>
        <v>79</v>
      </c>
      <c r="B280" s="14" t="s">
        <v>1225</v>
      </c>
      <c r="C280" s="27" t="s">
        <v>23</v>
      </c>
      <c r="D280" s="14" t="s">
        <v>1227</v>
      </c>
      <c r="E280" s="23">
        <v>44629</v>
      </c>
      <c r="F280" s="23">
        <v>44629</v>
      </c>
      <c r="G280" s="14" t="s">
        <v>1220</v>
      </c>
      <c r="H280" s="15">
        <v>44629</v>
      </c>
      <c r="I280" s="16">
        <v>982415</v>
      </c>
      <c r="J280" s="16"/>
      <c r="K280" s="16"/>
      <c r="L280" s="16">
        <v>0</v>
      </c>
      <c r="M280" s="16">
        <f t="shared" si="61"/>
        <v>982415</v>
      </c>
      <c r="N280" s="17">
        <f t="shared" si="55"/>
        <v>22</v>
      </c>
      <c r="O280" s="33">
        <v>10</v>
      </c>
      <c r="P280" s="19">
        <f t="shared" si="56"/>
        <v>9.9397260273972599</v>
      </c>
      <c r="Q280" s="32">
        <f t="shared" si="57"/>
        <v>5625.3352054794523</v>
      </c>
      <c r="R280" s="22">
        <f t="shared" si="58"/>
        <v>976789.66479452059</v>
      </c>
      <c r="S280" s="34"/>
      <c r="T280" s="34">
        <f t="shared" si="59"/>
        <v>982415</v>
      </c>
    </row>
    <row r="281" spans="1:20" ht="14.65">
      <c r="A281" s="13">
        <f t="shared" si="60"/>
        <v>80</v>
      </c>
      <c r="B281" s="14" t="s">
        <v>1228</v>
      </c>
      <c r="C281" s="27" t="s">
        <v>23</v>
      </c>
      <c r="D281" s="14" t="s">
        <v>1229</v>
      </c>
      <c r="E281" s="23">
        <v>44629</v>
      </c>
      <c r="F281" s="23">
        <v>44629</v>
      </c>
      <c r="G281" s="14" t="s">
        <v>292</v>
      </c>
      <c r="H281" s="15">
        <v>44629</v>
      </c>
      <c r="I281" s="16">
        <v>70920</v>
      </c>
      <c r="J281" s="16"/>
      <c r="K281" s="16"/>
      <c r="L281" s="16"/>
      <c r="M281" s="28">
        <f t="shared" si="61"/>
        <v>70920</v>
      </c>
      <c r="N281" s="17">
        <f>$N$1-H281</f>
        <v>22</v>
      </c>
      <c r="O281" s="33">
        <v>10</v>
      </c>
      <c r="P281" s="19">
        <f>O281-(N281/365)</f>
        <v>9.9397260273972599</v>
      </c>
      <c r="Q281" s="32">
        <f t="shared" si="57"/>
        <v>406.08986301369862</v>
      </c>
      <c r="R281" s="22">
        <f>M281-Q281</f>
        <v>70513.910136986306</v>
      </c>
      <c r="S281" s="34"/>
      <c r="T281" s="34">
        <f>IF(H281&gt;DATE(2021,9,30),M281,0)</f>
        <v>70920</v>
      </c>
    </row>
    <row r="282" spans="1:20" ht="14.65">
      <c r="A282" s="13">
        <f t="shared" si="60"/>
        <v>81</v>
      </c>
      <c r="B282" s="14" t="s">
        <v>1228</v>
      </c>
      <c r="C282" s="27" t="s">
        <v>23</v>
      </c>
      <c r="D282" s="14" t="s">
        <v>1230</v>
      </c>
      <c r="E282" s="23">
        <v>44629</v>
      </c>
      <c r="F282" s="23">
        <v>44629</v>
      </c>
      <c r="G282" s="14" t="s">
        <v>292</v>
      </c>
      <c r="H282" s="15">
        <v>44629</v>
      </c>
      <c r="I282" s="16">
        <v>70920</v>
      </c>
      <c r="J282" s="16"/>
      <c r="K282" s="16"/>
      <c r="L282" s="16"/>
      <c r="M282" s="28">
        <f t="shared" si="61"/>
        <v>70920</v>
      </c>
      <c r="N282" s="17">
        <f>$N$1-H282</f>
        <v>22</v>
      </c>
      <c r="O282" s="33">
        <v>10</v>
      </c>
      <c r="P282" s="19">
        <f>O282-(N282/365)</f>
        <v>9.9397260273972599</v>
      </c>
      <c r="Q282" s="32">
        <f t="shared" si="57"/>
        <v>406.08986301369862</v>
      </c>
      <c r="R282" s="22">
        <f>M282-Q282</f>
        <v>70513.910136986306</v>
      </c>
      <c r="S282" s="34"/>
      <c r="T282" s="34">
        <f>IF(H282&gt;DATE(2021,9,30),M282,0)</f>
        <v>70920</v>
      </c>
    </row>
    <row r="283" spans="1:20" ht="14.65">
      <c r="A283" s="13">
        <f t="shared" si="60"/>
        <v>82</v>
      </c>
      <c r="B283" s="14" t="s">
        <v>1231</v>
      </c>
      <c r="C283" s="27" t="s">
        <v>23</v>
      </c>
      <c r="D283" s="14" t="s">
        <v>1232</v>
      </c>
      <c r="E283" s="23">
        <v>44568</v>
      </c>
      <c r="F283" s="23">
        <v>44592</v>
      </c>
      <c r="G283" s="14" t="s">
        <v>292</v>
      </c>
      <c r="H283" s="23">
        <v>44592</v>
      </c>
      <c r="I283" s="16">
        <v>79200</v>
      </c>
      <c r="J283" s="16"/>
      <c r="K283" s="16"/>
      <c r="L283" s="16"/>
      <c r="M283" s="28">
        <f t="shared" si="61"/>
        <v>79200</v>
      </c>
      <c r="N283" s="17">
        <f t="shared" ref="N283:N289" si="62">$N$1-H283</f>
        <v>59</v>
      </c>
      <c r="O283" s="33">
        <v>10</v>
      </c>
      <c r="P283" s="19">
        <f t="shared" ref="P283:P288" si="63">O283-(N283/365)</f>
        <v>9.838356164383562</v>
      </c>
      <c r="Q283" s="32">
        <f t="shared" si="57"/>
        <v>1216.2082191780821</v>
      </c>
      <c r="R283" s="22">
        <f t="shared" ref="R283:R289" si="64">M283-Q283</f>
        <v>77983.791780821921</v>
      </c>
      <c r="S283" s="34">
        <f t="shared" ref="S283:S289" si="65">IF(H283&lt;=DATE(2021,9,30),M283,0)</f>
        <v>0</v>
      </c>
      <c r="T283" s="34">
        <f t="shared" ref="T283:T289" si="66">IF(H283&gt;DATE(2021,9,30),M283,0)</f>
        <v>79200</v>
      </c>
    </row>
    <row r="284" spans="1:20" ht="14.65">
      <c r="A284" s="13">
        <f t="shared" si="60"/>
        <v>83</v>
      </c>
      <c r="B284" s="14" t="s">
        <v>1231</v>
      </c>
      <c r="C284" s="27" t="s">
        <v>23</v>
      </c>
      <c r="D284" s="14" t="s">
        <v>1233</v>
      </c>
      <c r="E284" s="23">
        <v>44568</v>
      </c>
      <c r="F284" s="23">
        <v>44592</v>
      </c>
      <c r="G284" s="14" t="s">
        <v>292</v>
      </c>
      <c r="H284" s="23">
        <v>44592</v>
      </c>
      <c r="I284" s="16">
        <v>79200</v>
      </c>
      <c r="J284" s="16"/>
      <c r="K284" s="16"/>
      <c r="L284" s="16"/>
      <c r="M284" s="28">
        <f t="shared" si="61"/>
        <v>79200</v>
      </c>
      <c r="N284" s="17">
        <f t="shared" si="62"/>
        <v>59</v>
      </c>
      <c r="O284" s="33">
        <v>10</v>
      </c>
      <c r="P284" s="19">
        <f t="shared" si="63"/>
        <v>9.838356164383562</v>
      </c>
      <c r="Q284" s="32">
        <f t="shared" si="57"/>
        <v>1216.2082191780821</v>
      </c>
      <c r="R284" s="22">
        <f t="shared" si="64"/>
        <v>77983.791780821921</v>
      </c>
      <c r="S284" s="34">
        <f t="shared" si="65"/>
        <v>0</v>
      </c>
      <c r="T284" s="34">
        <f t="shared" si="66"/>
        <v>79200</v>
      </c>
    </row>
    <row r="285" spans="1:20" ht="14.65">
      <c r="A285" s="13">
        <f t="shared" si="60"/>
        <v>84</v>
      </c>
      <c r="B285" s="14" t="s">
        <v>1231</v>
      </c>
      <c r="C285" s="27" t="s">
        <v>23</v>
      </c>
      <c r="D285" s="14" t="s">
        <v>1234</v>
      </c>
      <c r="E285" s="23">
        <v>44568</v>
      </c>
      <c r="F285" s="23">
        <v>44592</v>
      </c>
      <c r="G285" s="14" t="s">
        <v>292</v>
      </c>
      <c r="H285" s="23">
        <v>44592</v>
      </c>
      <c r="I285" s="16">
        <v>79200</v>
      </c>
      <c r="J285" s="16"/>
      <c r="K285" s="16"/>
      <c r="L285" s="16"/>
      <c r="M285" s="28">
        <f t="shared" si="61"/>
        <v>79200</v>
      </c>
      <c r="N285" s="17">
        <f t="shared" si="62"/>
        <v>59</v>
      </c>
      <c r="O285" s="33">
        <v>10</v>
      </c>
      <c r="P285" s="19">
        <f t="shared" si="63"/>
        <v>9.838356164383562</v>
      </c>
      <c r="Q285" s="32">
        <f t="shared" si="57"/>
        <v>1216.2082191780821</v>
      </c>
      <c r="R285" s="22">
        <f t="shared" si="64"/>
        <v>77983.791780821921</v>
      </c>
      <c r="S285" s="34">
        <f t="shared" si="65"/>
        <v>0</v>
      </c>
      <c r="T285" s="34">
        <f t="shared" si="66"/>
        <v>79200</v>
      </c>
    </row>
    <row r="286" spans="1:20" ht="14.65">
      <c r="A286" s="13">
        <f t="shared" si="60"/>
        <v>85</v>
      </c>
      <c r="B286" s="14" t="s">
        <v>1231</v>
      </c>
      <c r="C286" s="27" t="s">
        <v>23</v>
      </c>
      <c r="D286" s="14" t="s">
        <v>1235</v>
      </c>
      <c r="E286" s="23">
        <v>44508</v>
      </c>
      <c r="F286" s="23">
        <v>44508</v>
      </c>
      <c r="G286" s="14" t="s">
        <v>292</v>
      </c>
      <c r="H286" s="23">
        <v>44508</v>
      </c>
      <c r="I286" s="16">
        <v>63400</v>
      </c>
      <c r="J286" s="16">
        <v>16618</v>
      </c>
      <c r="K286" s="16"/>
      <c r="L286" s="16"/>
      <c r="M286" s="28">
        <f t="shared" si="61"/>
        <v>80018</v>
      </c>
      <c r="N286" s="17">
        <f t="shared" si="62"/>
        <v>143</v>
      </c>
      <c r="O286" s="33">
        <v>10</v>
      </c>
      <c r="P286" s="19">
        <f t="shared" si="63"/>
        <v>9.6082191780821926</v>
      </c>
      <c r="Q286" s="32">
        <f t="shared" si="57"/>
        <v>2978.2041917808215</v>
      </c>
      <c r="R286" s="22">
        <f t="shared" si="64"/>
        <v>77039.795808219176</v>
      </c>
      <c r="S286" s="34">
        <f t="shared" si="65"/>
        <v>0</v>
      </c>
      <c r="T286" s="34">
        <f t="shared" si="66"/>
        <v>80018</v>
      </c>
    </row>
    <row r="287" spans="1:20" ht="14.65">
      <c r="A287" s="13">
        <f t="shared" si="60"/>
        <v>86</v>
      </c>
      <c r="B287" s="14" t="s">
        <v>1231</v>
      </c>
      <c r="C287" s="27" t="s">
        <v>23</v>
      </c>
      <c r="D287" s="14" t="s">
        <v>1236</v>
      </c>
      <c r="E287" s="23">
        <v>44508</v>
      </c>
      <c r="F287" s="23">
        <v>44508</v>
      </c>
      <c r="G287" s="14" t="s">
        <v>292</v>
      </c>
      <c r="H287" s="23">
        <v>44508</v>
      </c>
      <c r="I287" s="16">
        <v>63400</v>
      </c>
      <c r="J287" s="16">
        <v>16618</v>
      </c>
      <c r="K287" s="16"/>
      <c r="L287" s="16"/>
      <c r="M287" s="28">
        <f t="shared" si="61"/>
        <v>80018</v>
      </c>
      <c r="N287" s="17">
        <f t="shared" si="62"/>
        <v>143</v>
      </c>
      <c r="O287" s="33">
        <v>10</v>
      </c>
      <c r="P287" s="19">
        <f t="shared" si="63"/>
        <v>9.6082191780821926</v>
      </c>
      <c r="Q287" s="32">
        <f t="shared" si="57"/>
        <v>2978.2041917808215</v>
      </c>
      <c r="R287" s="22">
        <f t="shared" si="64"/>
        <v>77039.795808219176</v>
      </c>
      <c r="S287" s="34">
        <f t="shared" si="65"/>
        <v>0</v>
      </c>
      <c r="T287" s="34">
        <f t="shared" si="66"/>
        <v>80018</v>
      </c>
    </row>
    <row r="288" spans="1:20" ht="14.65">
      <c r="A288" s="13">
        <f t="shared" si="60"/>
        <v>87</v>
      </c>
      <c r="B288" s="14" t="s">
        <v>1231</v>
      </c>
      <c r="C288" s="27" t="s">
        <v>23</v>
      </c>
      <c r="D288" s="14" t="s">
        <v>1237</v>
      </c>
      <c r="E288" s="23">
        <v>44525</v>
      </c>
      <c r="F288" s="23">
        <v>44525</v>
      </c>
      <c r="G288" s="14" t="s">
        <v>292</v>
      </c>
      <c r="H288" s="23">
        <v>44525</v>
      </c>
      <c r="I288" s="16">
        <v>61900</v>
      </c>
      <c r="J288" s="16"/>
      <c r="K288" s="16"/>
      <c r="L288" s="16"/>
      <c r="M288" s="16">
        <f t="shared" si="61"/>
        <v>61900</v>
      </c>
      <c r="N288" s="17">
        <f t="shared" si="62"/>
        <v>126</v>
      </c>
      <c r="O288" s="33">
        <v>10</v>
      </c>
      <c r="P288" s="19">
        <f t="shared" si="63"/>
        <v>9.6547945205479451</v>
      </c>
      <c r="Q288" s="32">
        <f t="shared" si="57"/>
        <v>2029.9808219178083</v>
      </c>
      <c r="R288" s="22">
        <f t="shared" si="64"/>
        <v>59870.019178082192</v>
      </c>
      <c r="S288" s="34">
        <f t="shared" si="65"/>
        <v>0</v>
      </c>
      <c r="T288" s="34">
        <f t="shared" si="66"/>
        <v>61900</v>
      </c>
    </row>
    <row r="289" spans="1:20" ht="14.65">
      <c r="A289" s="13">
        <f t="shared" si="60"/>
        <v>88</v>
      </c>
      <c r="B289" s="14" t="s">
        <v>1231</v>
      </c>
      <c r="C289" s="27" t="s">
        <v>23</v>
      </c>
      <c r="D289" s="14" t="s">
        <v>1238</v>
      </c>
      <c r="E289" s="23">
        <v>44525</v>
      </c>
      <c r="F289" s="23">
        <v>44525</v>
      </c>
      <c r="G289" s="14" t="s">
        <v>292</v>
      </c>
      <c r="H289" s="15">
        <v>44354</v>
      </c>
      <c r="I289" s="16">
        <v>60675</v>
      </c>
      <c r="J289" s="16"/>
      <c r="K289" s="16"/>
      <c r="L289" s="16"/>
      <c r="M289" s="28">
        <f t="shared" si="61"/>
        <v>60675</v>
      </c>
      <c r="N289" s="17">
        <f t="shared" si="62"/>
        <v>297</v>
      </c>
      <c r="O289" s="33">
        <v>10</v>
      </c>
      <c r="P289" s="19">
        <f>O289-(N289/365)</f>
        <v>9.1863013698630134</v>
      </c>
      <c r="Q289" s="32">
        <f t="shared" si="57"/>
        <v>4690.260616438356</v>
      </c>
      <c r="R289" s="22">
        <f t="shared" si="64"/>
        <v>55984.739383561646</v>
      </c>
      <c r="S289" s="34">
        <f t="shared" si="65"/>
        <v>60675</v>
      </c>
      <c r="T289" s="34">
        <f t="shared" si="66"/>
        <v>0</v>
      </c>
    </row>
    <row r="290" spans="1:20" ht="14.65">
      <c r="A290" s="13">
        <f t="shared" si="60"/>
        <v>89</v>
      </c>
      <c r="B290" s="14" t="s">
        <v>1231</v>
      </c>
      <c r="C290" s="27" t="s">
        <v>23</v>
      </c>
      <c r="D290" s="14" t="s">
        <v>1239</v>
      </c>
      <c r="E290" s="15">
        <v>44354</v>
      </c>
      <c r="F290" s="15">
        <v>44354</v>
      </c>
      <c r="G290" s="14" t="s">
        <v>292</v>
      </c>
      <c r="H290" s="15">
        <v>44583</v>
      </c>
      <c r="I290" s="16">
        <v>63600</v>
      </c>
      <c r="J290" s="16"/>
      <c r="K290" s="16"/>
      <c r="L290" s="16"/>
      <c r="M290" s="28">
        <f t="shared" si="61"/>
        <v>63600</v>
      </c>
      <c r="N290" s="17">
        <f>$N$1-H290</f>
        <v>68</v>
      </c>
      <c r="O290" s="33">
        <v>10</v>
      </c>
      <c r="P290" s="19">
        <f>O290-(N290/365)</f>
        <v>9.8136986301369866</v>
      </c>
      <c r="Q290" s="32">
        <f t="shared" si="57"/>
        <v>1125.6328767123289</v>
      </c>
      <c r="R290" s="22">
        <f>M290-Q290</f>
        <v>62474.367123287673</v>
      </c>
      <c r="S290" s="34">
        <f>IF(H290&lt;=DATE(2021,9,30),M290,0)</f>
        <v>0</v>
      </c>
      <c r="T290" s="34">
        <f>IF(H290&gt;DATE(2021,9,30),M290,0)</f>
        <v>63600</v>
      </c>
    </row>
    <row r="291" spans="1:20" ht="14.65">
      <c r="A291" s="13">
        <f t="shared" si="60"/>
        <v>90</v>
      </c>
      <c r="B291" s="14" t="s">
        <v>1231</v>
      </c>
      <c r="C291" s="27" t="s">
        <v>23</v>
      </c>
      <c r="D291" s="14" t="s">
        <v>1240</v>
      </c>
      <c r="E291" s="15">
        <v>44583</v>
      </c>
      <c r="F291" s="15">
        <v>44583</v>
      </c>
      <c r="G291" s="14" t="s">
        <v>292</v>
      </c>
      <c r="H291" s="15">
        <v>44583</v>
      </c>
      <c r="I291" s="16">
        <v>63600</v>
      </c>
      <c r="J291" s="16"/>
      <c r="K291" s="16"/>
      <c r="L291" s="16"/>
      <c r="M291" s="28">
        <f t="shared" si="61"/>
        <v>63600</v>
      </c>
      <c r="N291" s="17">
        <f>$N$1-H291</f>
        <v>68</v>
      </c>
      <c r="O291" s="33">
        <v>10</v>
      </c>
      <c r="P291" s="19">
        <f>O291-(N291/365)</f>
        <v>9.8136986301369866</v>
      </c>
      <c r="Q291" s="32">
        <f t="shared" si="57"/>
        <v>1125.6328767123289</v>
      </c>
      <c r="R291" s="22">
        <f>M291-Q291</f>
        <v>62474.367123287673</v>
      </c>
      <c r="S291" s="34">
        <f>IF(H291&lt;=DATE(2021,9,30),M291,0)</f>
        <v>0</v>
      </c>
      <c r="T291" s="34">
        <f>IF(H291&gt;DATE(2021,9,30),M291,0)</f>
        <v>63600</v>
      </c>
    </row>
    <row r="292" spans="1:20" ht="14.65">
      <c r="A292" s="13">
        <f t="shared" si="60"/>
        <v>91</v>
      </c>
      <c r="B292" s="14" t="s">
        <v>1231</v>
      </c>
      <c r="C292" s="27" t="s">
        <v>23</v>
      </c>
      <c r="D292" s="14" t="s">
        <v>1241</v>
      </c>
      <c r="E292" s="15">
        <v>44583</v>
      </c>
      <c r="F292" s="15">
        <v>44583</v>
      </c>
      <c r="G292" s="14" t="s">
        <v>292</v>
      </c>
      <c r="H292" s="15">
        <v>44645</v>
      </c>
      <c r="I292" s="16">
        <v>56425</v>
      </c>
      <c r="J292" s="16"/>
      <c r="K292" s="16"/>
      <c r="L292" s="16"/>
      <c r="M292" s="28">
        <f t="shared" si="61"/>
        <v>56425</v>
      </c>
      <c r="N292" s="17">
        <f>$N$1-H292</f>
        <v>6</v>
      </c>
      <c r="O292" s="33">
        <v>10</v>
      </c>
      <c r="P292" s="19">
        <f>O292-(N292/365)</f>
        <v>9.9835616438356158</v>
      </c>
      <c r="Q292" s="32">
        <f t="shared" si="57"/>
        <v>88.115753424657541</v>
      </c>
      <c r="R292" s="22">
        <f>M292-Q292</f>
        <v>56336.884246575341</v>
      </c>
      <c r="S292" s="34">
        <f>IF(H292&lt;=DATE(2021,9,30),M292,0)</f>
        <v>0</v>
      </c>
      <c r="T292" s="34">
        <f>IF(H292&gt;DATE(2021,9,30),M292,0)</f>
        <v>56425</v>
      </c>
    </row>
    <row r="293" spans="1:20" ht="14.65">
      <c r="A293" s="13">
        <f>A280+1</f>
        <v>80</v>
      </c>
      <c r="B293" s="14" t="s">
        <v>1242</v>
      </c>
      <c r="C293" s="26" t="s">
        <v>19</v>
      </c>
      <c r="D293" s="14" t="s">
        <v>1243</v>
      </c>
      <c r="E293" s="23">
        <v>44412</v>
      </c>
      <c r="F293" s="23">
        <v>44412</v>
      </c>
      <c r="G293" s="14" t="s">
        <v>1244</v>
      </c>
      <c r="H293" s="23">
        <v>44412</v>
      </c>
      <c r="I293" s="16">
        <v>2429527</v>
      </c>
      <c r="J293" s="16"/>
      <c r="K293" s="16"/>
      <c r="L293" s="16">
        <v>370606</v>
      </c>
      <c r="M293" s="16">
        <f t="shared" si="61"/>
        <v>2058921</v>
      </c>
      <c r="N293" s="17">
        <f t="shared" si="55"/>
        <v>239</v>
      </c>
      <c r="O293" s="33">
        <v>10</v>
      </c>
      <c r="P293" s="19">
        <f t="shared" si="56"/>
        <v>9.3452054794520549</v>
      </c>
      <c r="Q293" s="32">
        <f t="shared" si="57"/>
        <v>128076.16795890412</v>
      </c>
      <c r="R293" s="22">
        <f t="shared" si="58"/>
        <v>1930844.8320410959</v>
      </c>
      <c r="S293" s="34">
        <f>IF(H293&lt;=DATE(2021,9,30),M293,0)</f>
        <v>2058921</v>
      </c>
      <c r="T293" s="34">
        <f t="shared" si="59"/>
        <v>0</v>
      </c>
    </row>
    <row r="294" spans="1:20" ht="14.65">
      <c r="A294" s="13">
        <f t="shared" ref="A294:A300" si="67">A281+1</f>
        <v>81</v>
      </c>
      <c r="B294" s="14" t="s">
        <v>1245</v>
      </c>
      <c r="C294" s="26" t="s">
        <v>19</v>
      </c>
      <c r="D294" s="14" t="s">
        <v>1246</v>
      </c>
      <c r="E294" s="23">
        <v>44641</v>
      </c>
      <c r="F294" s="23">
        <v>44641</v>
      </c>
      <c r="G294" s="14" t="s">
        <v>1244</v>
      </c>
      <c r="H294" s="23">
        <v>44641</v>
      </c>
      <c r="I294" s="16">
        <v>875520</v>
      </c>
      <c r="J294" s="16">
        <v>4162</v>
      </c>
      <c r="K294" s="16"/>
      <c r="L294" s="16">
        <v>191520</v>
      </c>
      <c r="M294" s="16">
        <f t="shared" si="61"/>
        <v>688162</v>
      </c>
      <c r="N294" s="17">
        <f t="shared" si="55"/>
        <v>10</v>
      </c>
      <c r="O294" s="33">
        <v>10</v>
      </c>
      <c r="P294" s="19">
        <f t="shared" si="56"/>
        <v>9.9726027397260282</v>
      </c>
      <c r="Q294" s="32">
        <f t="shared" si="57"/>
        <v>1791.1065753424659</v>
      </c>
      <c r="R294" s="22">
        <f t="shared" si="58"/>
        <v>686370.89342465752</v>
      </c>
      <c r="S294" s="34"/>
      <c r="T294" s="34">
        <f t="shared" si="59"/>
        <v>688162</v>
      </c>
    </row>
    <row r="295" spans="1:20" ht="14.65">
      <c r="A295" s="13">
        <f t="shared" si="67"/>
        <v>82</v>
      </c>
      <c r="B295" s="14" t="s">
        <v>1247</v>
      </c>
      <c r="C295" s="14" t="s">
        <v>26</v>
      </c>
      <c r="D295" s="14" t="s">
        <v>1248</v>
      </c>
      <c r="E295" s="23">
        <v>44280</v>
      </c>
      <c r="F295" s="15">
        <v>44288</v>
      </c>
      <c r="G295" s="14" t="s">
        <v>292</v>
      </c>
      <c r="H295" s="15">
        <v>44288</v>
      </c>
      <c r="I295" s="16">
        <v>72475.490000000005</v>
      </c>
      <c r="J295" s="16"/>
      <c r="K295" s="16"/>
      <c r="L295" s="16">
        <v>0</v>
      </c>
      <c r="M295" s="16">
        <f t="shared" si="61"/>
        <v>72475.490000000005</v>
      </c>
      <c r="N295" s="17">
        <f t="shared" si="55"/>
        <v>363</v>
      </c>
      <c r="O295" s="33">
        <v>10</v>
      </c>
      <c r="P295" s="19">
        <f t="shared" si="56"/>
        <v>9.0054794520547947</v>
      </c>
      <c r="Q295" s="32">
        <f t="shared" si="57"/>
        <v>6847.4445826027404</v>
      </c>
      <c r="R295" s="22">
        <f t="shared" si="58"/>
        <v>65628.045417397268</v>
      </c>
      <c r="S295" s="34">
        <f t="shared" ref="S295:S307" si="68">IF(H295&lt;=DATE(2021,9,30),M295,0)</f>
        <v>72475.490000000005</v>
      </c>
      <c r="T295" s="34">
        <f t="shared" si="59"/>
        <v>0</v>
      </c>
    </row>
    <row r="296" spans="1:20" ht="14.65">
      <c r="A296" s="13">
        <f t="shared" si="67"/>
        <v>83</v>
      </c>
      <c r="B296" s="14" t="s">
        <v>1249</v>
      </c>
      <c r="C296" s="27" t="s">
        <v>29</v>
      </c>
      <c r="D296" s="14">
        <v>20945</v>
      </c>
      <c r="E296" s="23">
        <v>44622</v>
      </c>
      <c r="F296" s="23">
        <v>44622</v>
      </c>
      <c r="G296" s="14" t="s">
        <v>1250</v>
      </c>
      <c r="H296" s="23">
        <v>44622</v>
      </c>
      <c r="I296" s="16">
        <v>62800</v>
      </c>
      <c r="J296" s="16"/>
      <c r="K296" s="16"/>
      <c r="L296" s="16"/>
      <c r="M296" s="16">
        <f>I296+J296-K296-L296</f>
        <v>62800</v>
      </c>
      <c r="N296" s="17">
        <f>$N$1-H296</f>
        <v>29</v>
      </c>
      <c r="O296" s="33">
        <v>10</v>
      </c>
      <c r="P296" s="19">
        <f>O296-(N296/365)</f>
        <v>9.9205479452054792</v>
      </c>
      <c r="Q296" s="32">
        <f t="shared" si="57"/>
        <v>474.0109589041096</v>
      </c>
      <c r="R296" s="22">
        <f t="shared" si="58"/>
        <v>62325.989041095891</v>
      </c>
      <c r="S296" s="34">
        <f t="shared" si="68"/>
        <v>0</v>
      </c>
      <c r="T296" s="34">
        <f t="shared" si="59"/>
        <v>62800</v>
      </c>
    </row>
    <row r="297" spans="1:20" ht="14.65">
      <c r="A297" s="13">
        <f t="shared" si="67"/>
        <v>84</v>
      </c>
      <c r="B297" s="14" t="s">
        <v>1228</v>
      </c>
      <c r="C297" s="14" t="s">
        <v>20</v>
      </c>
      <c r="D297" s="24" t="s">
        <v>1251</v>
      </c>
      <c r="E297" s="25">
        <v>44538</v>
      </c>
      <c r="F297" s="25">
        <v>44538</v>
      </c>
      <c r="G297" s="14" t="s">
        <v>1252</v>
      </c>
      <c r="H297" s="25">
        <v>44538</v>
      </c>
      <c r="I297" s="16">
        <v>94859</v>
      </c>
      <c r="J297" s="16"/>
      <c r="K297" s="16"/>
      <c r="L297" s="16"/>
      <c r="M297" s="16">
        <f t="shared" si="61"/>
        <v>94859</v>
      </c>
      <c r="N297" s="17">
        <f t="shared" si="55"/>
        <v>113</v>
      </c>
      <c r="O297" s="33">
        <v>10</v>
      </c>
      <c r="P297" s="19">
        <f t="shared" si="56"/>
        <v>9.6904109589041099</v>
      </c>
      <c r="Q297" s="32">
        <f t="shared" si="57"/>
        <v>2789.8941506849314</v>
      </c>
      <c r="R297" s="22">
        <f t="shared" si="58"/>
        <v>92069.105849315063</v>
      </c>
      <c r="S297" s="34">
        <f t="shared" si="68"/>
        <v>0</v>
      </c>
      <c r="T297" s="34">
        <f t="shared" si="59"/>
        <v>94859</v>
      </c>
    </row>
    <row r="298" spans="1:20" ht="14.65">
      <c r="A298" s="13">
        <f t="shared" si="67"/>
        <v>85</v>
      </c>
      <c r="B298" s="14" t="s">
        <v>1228</v>
      </c>
      <c r="C298" s="14" t="s">
        <v>20</v>
      </c>
      <c r="D298" s="24" t="s">
        <v>1253</v>
      </c>
      <c r="E298" s="25">
        <v>44538</v>
      </c>
      <c r="F298" s="25">
        <v>44538</v>
      </c>
      <c r="G298" s="14" t="s">
        <v>1252</v>
      </c>
      <c r="H298" s="25">
        <v>44538</v>
      </c>
      <c r="I298" s="16">
        <v>94859</v>
      </c>
      <c r="J298" s="16"/>
      <c r="K298" s="16"/>
      <c r="L298" s="16"/>
      <c r="M298" s="16">
        <f t="shared" si="61"/>
        <v>94859</v>
      </c>
      <c r="N298" s="17">
        <f t="shared" si="55"/>
        <v>113</v>
      </c>
      <c r="O298" s="33">
        <v>10</v>
      </c>
      <c r="P298" s="19">
        <f t="shared" si="56"/>
        <v>9.6904109589041099</v>
      </c>
      <c r="Q298" s="32">
        <f t="shared" si="57"/>
        <v>2789.8941506849314</v>
      </c>
      <c r="R298" s="22">
        <f t="shared" si="58"/>
        <v>92069.105849315063</v>
      </c>
      <c r="S298" s="34">
        <f t="shared" si="68"/>
        <v>0</v>
      </c>
      <c r="T298" s="34">
        <f t="shared" si="59"/>
        <v>94859</v>
      </c>
    </row>
    <row r="299" spans="1:20" ht="14.65">
      <c r="A299" s="13">
        <f t="shared" si="67"/>
        <v>86</v>
      </c>
      <c r="B299" s="14" t="s">
        <v>1254</v>
      </c>
      <c r="C299" s="14" t="s">
        <v>28</v>
      </c>
      <c r="D299" s="24" t="s">
        <v>1255</v>
      </c>
      <c r="E299" s="25">
        <v>44642</v>
      </c>
      <c r="F299" s="25">
        <v>44642</v>
      </c>
      <c r="G299" s="14" t="s">
        <v>1256</v>
      </c>
      <c r="H299" s="25">
        <v>44642</v>
      </c>
      <c r="I299" s="16">
        <v>871000</v>
      </c>
      <c r="J299" s="16"/>
      <c r="K299" s="16"/>
      <c r="L299" s="16">
        <v>190530</v>
      </c>
      <c r="M299" s="16">
        <f t="shared" si="61"/>
        <v>680470</v>
      </c>
      <c r="N299" s="17">
        <f>$N$1-H299</f>
        <v>9</v>
      </c>
      <c r="O299" s="33">
        <v>10</v>
      </c>
      <c r="P299" s="19">
        <f>O299-(N299/365)</f>
        <v>9.9753424657534246</v>
      </c>
      <c r="Q299" s="32">
        <f t="shared" si="57"/>
        <v>1593.9776712328767</v>
      </c>
      <c r="R299" s="22">
        <f>M299-Q299</f>
        <v>678876.02232876711</v>
      </c>
      <c r="S299" s="34">
        <f>IF(H299&lt;=DATE(2021,9,30),M299,0)</f>
        <v>0</v>
      </c>
      <c r="T299" s="34">
        <f>IF(H299&gt;DATE(2021,9,30),M299,0)</f>
        <v>680470</v>
      </c>
    </row>
    <row r="300" spans="1:20" ht="14.65">
      <c r="A300" s="13">
        <f t="shared" si="67"/>
        <v>87</v>
      </c>
      <c r="B300" s="14" t="s">
        <v>1228</v>
      </c>
      <c r="C300" s="26" t="s">
        <v>1094</v>
      </c>
      <c r="D300" s="24" t="s">
        <v>1257</v>
      </c>
      <c r="E300" s="25">
        <v>44574</v>
      </c>
      <c r="F300" s="25">
        <v>44574</v>
      </c>
      <c r="G300" s="14" t="s">
        <v>1258</v>
      </c>
      <c r="H300" s="25">
        <v>44574</v>
      </c>
      <c r="I300" s="16">
        <v>70920</v>
      </c>
      <c r="J300" s="16"/>
      <c r="K300" s="16"/>
      <c r="L300" s="16"/>
      <c r="M300" s="16">
        <f t="shared" si="61"/>
        <v>70920</v>
      </c>
      <c r="N300" s="17">
        <f>$N$1-H300</f>
        <v>77</v>
      </c>
      <c r="O300" s="33">
        <v>10</v>
      </c>
      <c r="P300" s="19">
        <f>O300-(N300/365)</f>
        <v>9.7890410958904113</v>
      </c>
      <c r="Q300" s="32">
        <f t="shared" si="57"/>
        <v>1421.3145205479452</v>
      </c>
      <c r="R300" s="22">
        <f>M300-Q300</f>
        <v>69498.685479452048</v>
      </c>
      <c r="S300" s="34">
        <f>IF(H300&lt;=DATE(2021,9,30),M300,0)</f>
        <v>0</v>
      </c>
      <c r="T300" s="34">
        <f>IF(H300&gt;DATE(2021,9,30),M300,0)</f>
        <v>70920</v>
      </c>
    </row>
    <row r="301" spans="1:20" ht="14.65">
      <c r="A301" s="13">
        <f t="shared" ref="A301:A307" si="69">A300+1</f>
        <v>88</v>
      </c>
      <c r="B301" s="14" t="s">
        <v>1228</v>
      </c>
      <c r="C301" s="26" t="s">
        <v>1094</v>
      </c>
      <c r="D301" s="24" t="s">
        <v>1259</v>
      </c>
      <c r="E301" s="25">
        <v>44574</v>
      </c>
      <c r="F301" s="25">
        <v>44574</v>
      </c>
      <c r="G301" s="14" t="s">
        <v>1258</v>
      </c>
      <c r="H301" s="25">
        <v>44574</v>
      </c>
      <c r="I301" s="16">
        <v>70920</v>
      </c>
      <c r="J301" s="16"/>
      <c r="K301" s="16"/>
      <c r="L301" s="16"/>
      <c r="M301" s="16">
        <f t="shared" si="61"/>
        <v>70920</v>
      </c>
      <c r="N301" s="17">
        <f>$N$1-H301</f>
        <v>77</v>
      </c>
      <c r="O301" s="33">
        <v>10</v>
      </c>
      <c r="P301" s="19">
        <f>O301-(N301/365)</f>
        <v>9.7890410958904113</v>
      </c>
      <c r="Q301" s="32">
        <f t="shared" si="57"/>
        <v>1421.3145205479452</v>
      </c>
      <c r="R301" s="22">
        <f>M301-Q301</f>
        <v>69498.685479452048</v>
      </c>
      <c r="S301" s="34">
        <f>IF(H301&lt;=DATE(2021,9,30),M301,0)</f>
        <v>0</v>
      </c>
      <c r="T301" s="34">
        <f>IF(H301&gt;DATE(2021,9,30),M301,0)</f>
        <v>70920</v>
      </c>
    </row>
    <row r="302" spans="1:20" ht="14.65">
      <c r="A302" s="13">
        <f t="shared" si="69"/>
        <v>89</v>
      </c>
      <c r="B302" s="14" t="s">
        <v>1254</v>
      </c>
      <c r="C302" s="26" t="s">
        <v>1094</v>
      </c>
      <c r="D302" s="24" t="s">
        <v>1260</v>
      </c>
      <c r="E302" s="25">
        <v>44575</v>
      </c>
      <c r="F302" s="25">
        <v>44575</v>
      </c>
      <c r="G302" s="14" t="s">
        <v>1261</v>
      </c>
      <c r="H302" s="25">
        <v>44575</v>
      </c>
      <c r="I302" s="16">
        <v>947500</v>
      </c>
      <c r="J302" s="16"/>
      <c r="K302" s="16"/>
      <c r="L302" s="16">
        <v>207265</v>
      </c>
      <c r="M302" s="16">
        <f t="shared" si="61"/>
        <v>740235</v>
      </c>
      <c r="N302" s="17">
        <f>$N$1-H302</f>
        <v>76</v>
      </c>
      <c r="O302" s="33">
        <v>10</v>
      </c>
      <c r="P302" s="19">
        <f>O302-(N302/365)</f>
        <v>9.7917808219178077</v>
      </c>
      <c r="Q302" s="32">
        <f t="shared" si="57"/>
        <v>14642.456712328767</v>
      </c>
      <c r="R302" s="22">
        <f>M302-Q302</f>
        <v>725592.54328767129</v>
      </c>
      <c r="S302" s="34">
        <f>IF(H302&lt;=DATE(2021,9,30),M302,0)</f>
        <v>0</v>
      </c>
      <c r="T302" s="34">
        <f>IF(H302&gt;DATE(2021,9,30),M302,0)</f>
        <v>740235</v>
      </c>
    </row>
    <row r="303" spans="1:20" ht="14.65">
      <c r="A303" s="13">
        <f t="shared" si="69"/>
        <v>90</v>
      </c>
      <c r="B303" s="14" t="s">
        <v>1228</v>
      </c>
      <c r="C303" s="14" t="s">
        <v>18</v>
      </c>
      <c r="D303" s="24" t="s">
        <v>1262</v>
      </c>
      <c r="E303" s="25">
        <v>44627</v>
      </c>
      <c r="F303" s="25">
        <v>44627</v>
      </c>
      <c r="G303" s="14" t="s">
        <v>1263</v>
      </c>
      <c r="H303" s="25">
        <v>44627</v>
      </c>
      <c r="I303" s="16">
        <v>85869</v>
      </c>
      <c r="J303" s="16"/>
      <c r="K303" s="16"/>
      <c r="L303" s="16"/>
      <c r="M303" s="16">
        <f t="shared" si="61"/>
        <v>85869</v>
      </c>
      <c r="N303" s="17">
        <f>$N$1-H303</f>
        <v>24</v>
      </c>
      <c r="O303" s="33">
        <v>10</v>
      </c>
      <c r="P303" s="19">
        <f>O303-(N303/365)</f>
        <v>9.9342465753424651</v>
      </c>
      <c r="Q303" s="32">
        <f t="shared" si="57"/>
        <v>536.38717808219178</v>
      </c>
      <c r="R303" s="22">
        <f>M303-Q303</f>
        <v>85332.612821917806</v>
      </c>
      <c r="S303" s="34">
        <f>IF(H303&lt;=DATE(2021,9,30),M303,0)</f>
        <v>0</v>
      </c>
      <c r="T303" s="34">
        <f>IF(H303&gt;DATE(2021,9,30),M303,0)</f>
        <v>85869</v>
      </c>
    </row>
    <row r="304" spans="1:20" ht="14.65">
      <c r="A304" s="13">
        <f t="shared" si="69"/>
        <v>91</v>
      </c>
      <c r="B304" s="14" t="s">
        <v>1228</v>
      </c>
      <c r="C304" s="14" t="s">
        <v>21</v>
      </c>
      <c r="D304" s="24" t="s">
        <v>1264</v>
      </c>
      <c r="E304" s="25">
        <v>44522</v>
      </c>
      <c r="F304" s="25">
        <v>44522</v>
      </c>
      <c r="G304" s="14" t="s">
        <v>1265</v>
      </c>
      <c r="H304" s="25">
        <v>44522</v>
      </c>
      <c r="I304" s="16">
        <v>95124</v>
      </c>
      <c r="J304" s="16"/>
      <c r="K304" s="16"/>
      <c r="L304" s="16"/>
      <c r="M304" s="16">
        <f t="shared" si="61"/>
        <v>95124</v>
      </c>
      <c r="N304" s="17">
        <f t="shared" si="55"/>
        <v>129</v>
      </c>
      <c r="O304" s="33">
        <v>10</v>
      </c>
      <c r="P304" s="19">
        <f t="shared" si="56"/>
        <v>9.6465753424657539</v>
      </c>
      <c r="Q304" s="32">
        <f t="shared" si="57"/>
        <v>3193.8208767123292</v>
      </c>
      <c r="R304" s="22">
        <f t="shared" si="58"/>
        <v>91930.179123287671</v>
      </c>
      <c r="S304" s="34">
        <f t="shared" si="68"/>
        <v>0</v>
      </c>
      <c r="T304" s="34">
        <f t="shared" si="59"/>
        <v>95124</v>
      </c>
    </row>
    <row r="305" spans="1:21" ht="14.65">
      <c r="A305" s="13">
        <f t="shared" si="69"/>
        <v>92</v>
      </c>
      <c r="B305" s="14" t="s">
        <v>1228</v>
      </c>
      <c r="C305" s="14" t="s">
        <v>21</v>
      </c>
      <c r="D305" s="24" t="s">
        <v>1266</v>
      </c>
      <c r="E305" s="25">
        <v>44522</v>
      </c>
      <c r="F305" s="25">
        <v>44522</v>
      </c>
      <c r="G305" s="14" t="s">
        <v>1265</v>
      </c>
      <c r="H305" s="25">
        <v>44522</v>
      </c>
      <c r="I305" s="16">
        <v>95124</v>
      </c>
      <c r="J305" s="16"/>
      <c r="K305" s="16"/>
      <c r="L305" s="16"/>
      <c r="M305" s="16">
        <f t="shared" si="61"/>
        <v>95124</v>
      </c>
      <c r="N305" s="17">
        <f t="shared" si="55"/>
        <v>129</v>
      </c>
      <c r="O305" s="33">
        <v>10</v>
      </c>
      <c r="P305" s="19">
        <f t="shared" si="56"/>
        <v>9.6465753424657539</v>
      </c>
      <c r="Q305" s="32">
        <f t="shared" si="57"/>
        <v>3193.8208767123292</v>
      </c>
      <c r="R305" s="22">
        <f t="shared" si="58"/>
        <v>91930.179123287671</v>
      </c>
      <c r="S305" s="34">
        <f t="shared" si="68"/>
        <v>0</v>
      </c>
      <c r="T305" s="34">
        <f t="shared" si="59"/>
        <v>95124</v>
      </c>
    </row>
    <row r="306" spans="1:21" ht="14.65">
      <c r="A306" s="13">
        <f t="shared" si="69"/>
        <v>93</v>
      </c>
      <c r="B306" s="14" t="s">
        <v>1228</v>
      </c>
      <c r="C306" s="14" t="s">
        <v>21</v>
      </c>
      <c r="D306" s="24" t="s">
        <v>1267</v>
      </c>
      <c r="E306" s="25">
        <v>44522</v>
      </c>
      <c r="F306" s="25">
        <v>44522</v>
      </c>
      <c r="G306" s="14" t="s">
        <v>1265</v>
      </c>
      <c r="H306" s="25">
        <v>44522</v>
      </c>
      <c r="I306" s="16">
        <v>95124</v>
      </c>
      <c r="J306" s="16"/>
      <c r="K306" s="16"/>
      <c r="L306" s="16"/>
      <c r="M306" s="16">
        <f t="shared" si="61"/>
        <v>95124</v>
      </c>
      <c r="N306" s="17">
        <f t="shared" si="55"/>
        <v>129</v>
      </c>
      <c r="O306" s="33">
        <v>10</v>
      </c>
      <c r="P306" s="19">
        <f t="shared" si="56"/>
        <v>9.6465753424657539</v>
      </c>
      <c r="Q306" s="32">
        <f t="shared" si="57"/>
        <v>3193.8208767123292</v>
      </c>
      <c r="R306" s="22">
        <f t="shared" si="58"/>
        <v>91930.179123287671</v>
      </c>
      <c r="S306" s="34">
        <f t="shared" si="68"/>
        <v>0</v>
      </c>
      <c r="T306" s="34">
        <f t="shared" si="59"/>
        <v>95124</v>
      </c>
    </row>
    <row r="307" spans="1:21" ht="14.65">
      <c r="A307" s="13">
        <f t="shared" si="69"/>
        <v>94</v>
      </c>
      <c r="B307" s="14" t="s">
        <v>1228</v>
      </c>
      <c r="C307" s="14" t="s">
        <v>21</v>
      </c>
      <c r="D307" s="24" t="s">
        <v>1268</v>
      </c>
      <c r="E307" s="25">
        <v>44522</v>
      </c>
      <c r="F307" s="25">
        <v>44522</v>
      </c>
      <c r="G307" s="14" t="s">
        <v>1265</v>
      </c>
      <c r="H307" s="25">
        <v>44522</v>
      </c>
      <c r="I307" s="16">
        <v>95124</v>
      </c>
      <c r="J307" s="16"/>
      <c r="K307" s="16"/>
      <c r="L307" s="16"/>
      <c r="M307" s="16">
        <f t="shared" si="61"/>
        <v>95124</v>
      </c>
      <c r="N307" s="17">
        <f t="shared" si="55"/>
        <v>129</v>
      </c>
      <c r="O307" s="33">
        <v>10</v>
      </c>
      <c r="P307" s="19">
        <f t="shared" si="56"/>
        <v>9.6465753424657539</v>
      </c>
      <c r="Q307" s="32">
        <f t="shared" si="57"/>
        <v>3193.8208767123292</v>
      </c>
      <c r="R307" s="22">
        <f t="shared" si="58"/>
        <v>91930.179123287671</v>
      </c>
      <c r="S307" s="34">
        <f t="shared" si="68"/>
        <v>0</v>
      </c>
      <c r="T307" s="34">
        <f t="shared" si="59"/>
        <v>95124</v>
      </c>
    </row>
    <row r="308" spans="1:21" ht="19.5" customHeight="1">
      <c r="A308" s="18"/>
      <c r="B308" s="29" t="s">
        <v>30</v>
      </c>
      <c r="C308" s="18"/>
      <c r="D308" s="18"/>
      <c r="E308" s="33"/>
      <c r="F308" s="33"/>
      <c r="G308" s="18"/>
      <c r="H308" s="18"/>
      <c r="I308" s="41">
        <f>SUM(I273:I307)</f>
        <v>15657622.49</v>
      </c>
      <c r="J308" s="41">
        <f>SUM(J273:J307)</f>
        <v>37398</v>
      </c>
      <c r="K308" s="41">
        <f>SUM(K273:K307)</f>
        <v>18190</v>
      </c>
      <c r="L308" s="41">
        <f>SUM(L273:L307)</f>
        <v>1976211</v>
      </c>
      <c r="M308" s="41">
        <f>SUM(M273:M307)</f>
        <v>13700619.49</v>
      </c>
      <c r="N308" s="18"/>
      <c r="O308" s="33"/>
      <c r="P308" s="18"/>
      <c r="Q308" s="41">
        <f>SUM(Q273:Q307)</f>
        <v>377547.04869219183</v>
      </c>
      <c r="R308" s="41">
        <f>SUM(R273:R307)</f>
        <v>13323072.441307811</v>
      </c>
      <c r="S308" s="41">
        <f>SUM(S273:S307)</f>
        <v>2192071.4900000002</v>
      </c>
      <c r="T308" s="41">
        <f>SUM(T273:T307)</f>
        <v>11508548</v>
      </c>
    </row>
    <row r="309" spans="1:21" ht="14.65">
      <c r="A309" s="42"/>
      <c r="B309" s="42"/>
      <c r="C309" s="42"/>
      <c r="D309" s="42"/>
      <c r="E309" s="42"/>
      <c r="F309" s="42"/>
      <c r="G309" s="42"/>
      <c r="H309" s="42"/>
      <c r="I309" s="43"/>
      <c r="J309" s="44"/>
      <c r="K309" s="44"/>
      <c r="L309" s="44"/>
      <c r="M309" s="44"/>
      <c r="N309" s="42"/>
      <c r="O309" s="42"/>
      <c r="P309" s="42"/>
      <c r="Q309" s="45"/>
      <c r="R309" s="45"/>
      <c r="S309" s="45"/>
      <c r="T309" s="45"/>
    </row>
    <row r="310" spans="1:21" ht="14.65" thickBot="1">
      <c r="G310" s="46" t="s">
        <v>1269</v>
      </c>
      <c r="I310" s="47"/>
      <c r="J310" s="47"/>
      <c r="K310" s="47"/>
      <c r="L310" s="47"/>
      <c r="M310" s="47"/>
      <c r="Q310" s="48"/>
      <c r="R310" s="48"/>
      <c r="S310" s="49"/>
      <c r="T310" s="49"/>
    </row>
    <row r="311" spans="1:21">
      <c r="G311" s="50" t="s">
        <v>2</v>
      </c>
      <c r="H311" s="170"/>
      <c r="I311" s="76">
        <f>+I156</f>
        <v>414674997.19999993</v>
      </c>
      <c r="J311" s="76">
        <f>+J156</f>
        <v>2239166</v>
      </c>
      <c r="K311" s="76">
        <f>+K156</f>
        <v>1494183</v>
      </c>
      <c r="L311" s="76">
        <f>+L156</f>
        <v>68722273</v>
      </c>
      <c r="M311" s="76">
        <f>+M156</f>
        <v>346697707.19999993</v>
      </c>
      <c r="N311" s="171" t="s">
        <v>24</v>
      </c>
      <c r="O311" s="172"/>
      <c r="P311" s="170"/>
      <c r="Q311" s="55">
        <f>+Q156</f>
        <v>7272839</v>
      </c>
      <c r="R311" s="56">
        <f>+R156</f>
        <v>339424868.19999993</v>
      </c>
      <c r="S311" s="56">
        <f>+S156</f>
        <v>41436170</v>
      </c>
      <c r="T311" s="56">
        <f>+T156</f>
        <v>305261537.19999993</v>
      </c>
      <c r="U311" s="57" t="s">
        <v>24</v>
      </c>
    </row>
    <row r="312" spans="1:21">
      <c r="G312" s="58" t="s">
        <v>37</v>
      </c>
      <c r="I312" s="48">
        <f>+I308</f>
        <v>15657622.49</v>
      </c>
      <c r="J312" s="48">
        <f>+J308</f>
        <v>37398</v>
      </c>
      <c r="K312" s="48">
        <f>+K308</f>
        <v>18190</v>
      </c>
      <c r="L312" s="48">
        <f>+L308</f>
        <v>1976211</v>
      </c>
      <c r="M312" s="48">
        <f>+M308</f>
        <v>13700619.49</v>
      </c>
      <c r="N312" s="59" t="s">
        <v>24</v>
      </c>
      <c r="O312" s="57"/>
      <c r="Q312" s="60">
        <f>+Q308</f>
        <v>377547.04869219183</v>
      </c>
      <c r="R312" s="61">
        <f>+R308</f>
        <v>13323072.441307811</v>
      </c>
      <c r="S312" s="61">
        <f>+S308</f>
        <v>2192071.4900000002</v>
      </c>
      <c r="T312" s="61">
        <f>+T308</f>
        <v>11508548</v>
      </c>
    </row>
    <row r="313" spans="1:21">
      <c r="G313" s="58" t="s">
        <v>36</v>
      </c>
      <c r="I313" s="48">
        <f>+I271</f>
        <v>1231229.96</v>
      </c>
      <c r="J313" s="48">
        <f>+J271</f>
        <v>0</v>
      </c>
      <c r="K313" s="48">
        <f>+K271</f>
        <v>0</v>
      </c>
      <c r="L313" s="48">
        <f>+L271</f>
        <v>205752</v>
      </c>
      <c r="M313" s="48">
        <f>+M271</f>
        <v>1025477.96</v>
      </c>
      <c r="N313" s="59" t="s">
        <v>24</v>
      </c>
      <c r="O313" s="57"/>
      <c r="Q313" s="60">
        <f>+Q271</f>
        <v>62051.014303561642</v>
      </c>
      <c r="R313" s="61">
        <f>+R271</f>
        <v>963426.94569643855</v>
      </c>
      <c r="S313" s="61">
        <f>+S271</f>
        <v>364644.95999999996</v>
      </c>
      <c r="T313" s="61">
        <f>+T271</f>
        <v>660833</v>
      </c>
    </row>
    <row r="314" spans="1:21">
      <c r="G314" s="58" t="s">
        <v>38</v>
      </c>
      <c r="I314" s="48">
        <f>+I175</f>
        <v>863897</v>
      </c>
      <c r="J314" s="48">
        <f>+J175</f>
        <v>0</v>
      </c>
      <c r="K314" s="48">
        <f>+K175</f>
        <v>0</v>
      </c>
      <c r="L314" s="48">
        <f>+L175</f>
        <v>131780</v>
      </c>
      <c r="M314" s="48">
        <f>+M175</f>
        <v>732117</v>
      </c>
      <c r="N314" s="59" t="s">
        <v>24</v>
      </c>
      <c r="O314" s="57"/>
      <c r="Q314" s="60">
        <f>+Q175</f>
        <v>81703.341050228293</v>
      </c>
      <c r="R314" s="61">
        <f>+R175</f>
        <v>650413.65894977178</v>
      </c>
      <c r="S314" s="61">
        <f>+S175</f>
        <v>271354</v>
      </c>
      <c r="T314" s="61">
        <f>+T175</f>
        <v>460763</v>
      </c>
    </row>
    <row r="315" spans="1:21">
      <c r="G315" s="58" t="s">
        <v>32</v>
      </c>
      <c r="I315" s="48">
        <f>+I185</f>
        <v>956218</v>
      </c>
      <c r="J315" s="48">
        <f>+J185</f>
        <v>0</v>
      </c>
      <c r="K315" s="48">
        <f>+K185</f>
        <v>0</v>
      </c>
      <c r="L315" s="48">
        <f>+L185</f>
        <v>130610</v>
      </c>
      <c r="M315" s="48">
        <f>+M185</f>
        <v>825608</v>
      </c>
      <c r="N315" s="59" t="s">
        <v>24</v>
      </c>
      <c r="O315" s="57"/>
      <c r="Q315" s="60">
        <f>+Q185</f>
        <v>20604.808321917804</v>
      </c>
      <c r="R315" s="61">
        <f>+R185</f>
        <v>805003.19167808222</v>
      </c>
      <c r="S315" s="61">
        <f>+S185</f>
        <v>77190</v>
      </c>
      <c r="T315" s="61">
        <f>+T185</f>
        <v>748418</v>
      </c>
    </row>
    <row r="316" spans="1:21">
      <c r="G316" s="58" t="s">
        <v>33</v>
      </c>
      <c r="I316" s="48">
        <f>+I194</f>
        <v>39401025</v>
      </c>
      <c r="J316" s="48">
        <f>+J194</f>
        <v>2729725</v>
      </c>
      <c r="K316" s="48">
        <f>+K194</f>
        <v>0</v>
      </c>
      <c r="L316" s="48">
        <f>+L194</f>
        <v>0</v>
      </c>
      <c r="M316" s="48">
        <f>+M194</f>
        <v>42130750</v>
      </c>
      <c r="N316" s="59"/>
      <c r="O316" s="57"/>
      <c r="Q316" s="60"/>
      <c r="R316" s="61"/>
      <c r="S316" s="61">
        <f>+M316</f>
        <v>42130750</v>
      </c>
      <c r="T316" s="61"/>
    </row>
    <row r="317" spans="1:21" ht="14.65" thickBot="1">
      <c r="G317" s="58" t="s">
        <v>39</v>
      </c>
      <c r="I317" s="48">
        <f>+I258</f>
        <v>13777317</v>
      </c>
      <c r="J317" s="48">
        <f>+J258</f>
        <v>0</v>
      </c>
      <c r="K317" s="48">
        <f>+K258</f>
        <v>0</v>
      </c>
      <c r="L317" s="48">
        <f>+L258</f>
        <v>1896379</v>
      </c>
      <c r="M317" s="48">
        <f>+M258</f>
        <v>11880938</v>
      </c>
      <c r="N317" s="59" t="s">
        <v>24</v>
      </c>
      <c r="O317" s="57"/>
      <c r="Q317" s="48">
        <f>+Q258</f>
        <v>442250.25943287672</v>
      </c>
      <c r="R317" s="48">
        <f>+R258</f>
        <v>11438687.740567125</v>
      </c>
      <c r="S317" s="48">
        <f>+S258</f>
        <v>0</v>
      </c>
      <c r="T317" s="48">
        <f>+T258</f>
        <v>11880938</v>
      </c>
    </row>
    <row r="318" spans="1:21" ht="14.65" thickBot="1">
      <c r="G318" s="62" t="s">
        <v>40</v>
      </c>
      <c r="H318" s="63"/>
      <c r="I318" s="64">
        <f t="shared" ref="I318:N318" si="70">SUM(I311:I317)</f>
        <v>486562306.64999992</v>
      </c>
      <c r="J318" s="65">
        <f t="shared" si="70"/>
        <v>5006289</v>
      </c>
      <c r="K318" s="65">
        <f t="shared" si="70"/>
        <v>1512373</v>
      </c>
      <c r="L318" s="65">
        <f t="shared" si="70"/>
        <v>73063005</v>
      </c>
      <c r="M318" s="65">
        <f t="shared" si="70"/>
        <v>416993217.64999992</v>
      </c>
      <c r="N318" s="66">
        <f t="shared" si="70"/>
        <v>0</v>
      </c>
      <c r="O318" s="66"/>
      <c r="P318" s="67"/>
      <c r="Q318" s="68">
        <f>SUM(Q311:Q317)</f>
        <v>8256995.4718007753</v>
      </c>
      <c r="R318" s="69">
        <f>SUM(R311:R317)</f>
        <v>366605472.17819917</v>
      </c>
      <c r="S318" s="69">
        <f>SUM(S311:S317)</f>
        <v>86472180.450000003</v>
      </c>
      <c r="T318" s="69">
        <f>SUM(T311:T317)</f>
        <v>330521037.19999993</v>
      </c>
    </row>
    <row r="319" spans="1:21" ht="15">
      <c r="G319" s="173" t="s">
        <v>0</v>
      </c>
      <c r="L319" s="70"/>
      <c r="N319" s="48"/>
      <c r="O319" s="48"/>
      <c r="P319" s="48"/>
      <c r="Q319" s="48"/>
      <c r="R319" s="48"/>
      <c r="S319" s="48"/>
      <c r="T319" s="48"/>
    </row>
    <row r="320" spans="1:21" ht="15.4" thickBot="1">
      <c r="G320" s="173" t="s">
        <v>1</v>
      </c>
      <c r="Q320" s="57"/>
      <c r="R320" s="57"/>
      <c r="S320" s="71"/>
      <c r="T320" s="71"/>
    </row>
    <row r="321" spans="6:20" ht="29.65" thickBot="1">
      <c r="G321" s="174" t="s">
        <v>41</v>
      </c>
      <c r="H321" s="175" t="s">
        <v>42</v>
      </c>
      <c r="I321" s="175" t="s">
        <v>43</v>
      </c>
      <c r="J321" s="175" t="s">
        <v>44</v>
      </c>
      <c r="K321" s="175" t="s">
        <v>45</v>
      </c>
      <c r="L321" s="175" t="s">
        <v>32</v>
      </c>
      <c r="M321" s="175" t="s">
        <v>39</v>
      </c>
      <c r="N321" s="176" t="s">
        <v>33</v>
      </c>
      <c r="O321" s="177" t="s">
        <v>40</v>
      </c>
      <c r="P321" s="178" t="s">
        <v>46</v>
      </c>
      <c r="Q321" s="57"/>
      <c r="R321" s="57"/>
      <c r="S321" s="71"/>
      <c r="T321" s="71"/>
    </row>
    <row r="322" spans="6:20" ht="14.65">
      <c r="F322" s="6">
        <v>1</v>
      </c>
      <c r="G322" s="167" t="s">
        <v>18</v>
      </c>
      <c r="H322" s="16">
        <f t="shared" ref="H322:H340" ca="1" si="71">SUMIF($C$4:$C$155,G322,($M$4:$M$146))</f>
        <v>32100000</v>
      </c>
      <c r="I322" s="16">
        <f t="shared" ref="I322:I340" si="72">SUMIF($C$273:$C$307,G322,($M$273:$M$307))</f>
        <v>85869</v>
      </c>
      <c r="J322" s="16">
        <f t="shared" ref="J322:J339" ca="1" si="73">SUMIF($C$260:$C$270,G322,($M$260:$M$264))</f>
        <v>103983</v>
      </c>
      <c r="K322" s="16">
        <f t="shared" ref="K322:K340" ca="1" si="74">SUMIF($C$158:$C$174,G322,($M$158:$M$172))</f>
        <v>0</v>
      </c>
      <c r="L322" s="16">
        <f t="shared" ref="L322:L339" ca="1" si="75">SUMIF($C$177:$C$184,G322,($M$177:$M$178))</f>
        <v>300000</v>
      </c>
      <c r="M322" s="16">
        <f t="shared" ref="M322:M333" ca="1" si="76">SUMIF($C$187:$C$257,G322,($M$187:$M$221))</f>
        <v>0</v>
      </c>
      <c r="N322" s="179">
        <f ca="1">SUMIF($C$177:$C$184,I322,($M$177:$M$178))</f>
        <v>0</v>
      </c>
      <c r="O322" s="180">
        <f t="shared" ref="O322:O330" ca="1" si="77">SUM(H322:N322)</f>
        <v>32589852</v>
      </c>
      <c r="P322" s="181">
        <v>32589852</v>
      </c>
      <c r="Q322" s="59">
        <f ca="1">+O322-P322</f>
        <v>0</v>
      </c>
      <c r="R322" s="57"/>
      <c r="S322" s="71"/>
      <c r="T322" s="71"/>
    </row>
    <row r="323" spans="6:20" ht="14.65">
      <c r="F323" s="6">
        <f>+F322+1</f>
        <v>2</v>
      </c>
      <c r="G323" s="167" t="s">
        <v>963</v>
      </c>
      <c r="H323" s="16">
        <f t="shared" ca="1" si="71"/>
        <v>11822000</v>
      </c>
      <c r="I323" s="16">
        <f t="shared" si="72"/>
        <v>0</v>
      </c>
      <c r="J323" s="16">
        <f t="shared" ca="1" si="73"/>
        <v>0</v>
      </c>
      <c r="K323" s="16">
        <f t="shared" ca="1" si="74"/>
        <v>0</v>
      </c>
      <c r="L323" s="16">
        <f t="shared" ca="1" si="75"/>
        <v>0</v>
      </c>
      <c r="M323" s="16">
        <f t="shared" ca="1" si="76"/>
        <v>0</v>
      </c>
      <c r="N323" s="179">
        <f t="shared" ref="N323:N333" si="78">SUMIF($C$25:$C$27,G323,($M$25:$M$27))</f>
        <v>0</v>
      </c>
      <c r="O323" s="182">
        <f t="shared" ca="1" si="77"/>
        <v>11822000</v>
      </c>
      <c r="P323" s="183">
        <v>11822000</v>
      </c>
      <c r="Q323" s="59">
        <f t="shared" ref="Q323:Q341" ca="1" si="79">+O323-P323</f>
        <v>0</v>
      </c>
      <c r="R323" s="57"/>
      <c r="S323" s="71"/>
      <c r="T323" s="71"/>
    </row>
    <row r="324" spans="6:20" ht="14.65">
      <c r="F324" s="6">
        <f t="shared" ref="F324:F340" si="80">+F323+1</f>
        <v>3</v>
      </c>
      <c r="G324" s="14" t="s">
        <v>979</v>
      </c>
      <c r="H324" s="16">
        <f t="shared" ca="1" si="71"/>
        <v>10800000</v>
      </c>
      <c r="I324" s="16">
        <f t="shared" si="72"/>
        <v>0</v>
      </c>
      <c r="J324" s="16">
        <f t="shared" ca="1" si="73"/>
        <v>0</v>
      </c>
      <c r="K324" s="16">
        <f t="shared" ca="1" si="74"/>
        <v>0</v>
      </c>
      <c r="L324" s="16">
        <f t="shared" ca="1" si="75"/>
        <v>0</v>
      </c>
      <c r="M324" s="16">
        <f t="shared" ca="1" si="76"/>
        <v>0</v>
      </c>
      <c r="N324" s="179">
        <f t="shared" si="78"/>
        <v>0</v>
      </c>
      <c r="O324" s="182">
        <f t="shared" ca="1" si="77"/>
        <v>10800000</v>
      </c>
      <c r="P324" s="183">
        <v>10800000</v>
      </c>
      <c r="Q324" s="59">
        <f t="shared" ca="1" si="79"/>
        <v>0</v>
      </c>
      <c r="R324" s="57"/>
      <c r="S324" s="71"/>
      <c r="T324" s="71"/>
    </row>
    <row r="325" spans="6:20" ht="14.65">
      <c r="F325" s="6">
        <f t="shared" si="80"/>
        <v>4</v>
      </c>
      <c r="G325" s="167" t="s">
        <v>19</v>
      </c>
      <c r="H325" s="16">
        <f t="shared" ca="1" si="71"/>
        <v>6095678</v>
      </c>
      <c r="I325" s="16">
        <f t="shared" si="72"/>
        <v>2747083</v>
      </c>
      <c r="J325" s="16">
        <f t="shared" ca="1" si="73"/>
        <v>0</v>
      </c>
      <c r="K325" s="16">
        <f t="shared" ca="1" si="74"/>
        <v>11822</v>
      </c>
      <c r="L325" s="16">
        <f t="shared" ca="1" si="75"/>
        <v>0</v>
      </c>
      <c r="M325" s="16">
        <f t="shared" ca="1" si="76"/>
        <v>0</v>
      </c>
      <c r="N325" s="179">
        <f t="shared" si="78"/>
        <v>0</v>
      </c>
      <c r="O325" s="182">
        <f t="shared" ca="1" si="77"/>
        <v>8854583</v>
      </c>
      <c r="P325" s="183">
        <v>8854583</v>
      </c>
      <c r="Q325" s="59">
        <f t="shared" ca="1" si="79"/>
        <v>0</v>
      </c>
      <c r="R325" s="57"/>
      <c r="S325" s="71"/>
      <c r="T325" s="71"/>
    </row>
    <row r="326" spans="6:20" ht="14.65">
      <c r="F326" s="6">
        <f t="shared" si="80"/>
        <v>5</v>
      </c>
      <c r="G326" s="167" t="s">
        <v>20</v>
      </c>
      <c r="H326" s="16">
        <f t="shared" ca="1" si="71"/>
        <v>31514400</v>
      </c>
      <c r="I326" s="16">
        <f t="shared" si="72"/>
        <v>189718</v>
      </c>
      <c r="J326" s="16">
        <f t="shared" ca="1" si="73"/>
        <v>0</v>
      </c>
      <c r="K326" s="16">
        <f t="shared" ca="1" si="74"/>
        <v>0</v>
      </c>
      <c r="L326" s="16">
        <f t="shared" ca="1" si="75"/>
        <v>0</v>
      </c>
      <c r="M326" s="16">
        <f t="shared" ca="1" si="76"/>
        <v>0</v>
      </c>
      <c r="N326" s="179">
        <f t="shared" si="78"/>
        <v>0</v>
      </c>
      <c r="O326" s="182">
        <f t="shared" ca="1" si="77"/>
        <v>31704118</v>
      </c>
      <c r="P326" s="183">
        <v>31704118</v>
      </c>
      <c r="Q326" s="59">
        <f t="shared" ca="1" si="79"/>
        <v>0</v>
      </c>
      <c r="R326" s="57"/>
      <c r="S326" s="71"/>
      <c r="T326" s="71"/>
    </row>
    <row r="327" spans="6:20" ht="14.65">
      <c r="F327" s="6">
        <f t="shared" si="80"/>
        <v>6</v>
      </c>
      <c r="G327" s="167" t="s">
        <v>21</v>
      </c>
      <c r="H327" s="16">
        <f t="shared" ca="1" si="71"/>
        <v>23021365.200000003</v>
      </c>
      <c r="I327" s="16">
        <f t="shared" si="72"/>
        <v>380496</v>
      </c>
      <c r="J327" s="16">
        <f t="shared" ca="1" si="73"/>
        <v>174231.96</v>
      </c>
      <c r="K327" s="16">
        <f t="shared" ca="1" si="74"/>
        <v>0</v>
      </c>
      <c r="L327" s="16">
        <f t="shared" ca="1" si="75"/>
        <v>0</v>
      </c>
      <c r="M327" s="16">
        <f t="shared" ca="1" si="76"/>
        <v>0</v>
      </c>
      <c r="N327" s="179">
        <f t="shared" si="78"/>
        <v>0</v>
      </c>
      <c r="O327" s="182">
        <f t="shared" ca="1" si="77"/>
        <v>23576093.160000004</v>
      </c>
      <c r="P327" s="183">
        <v>23576093</v>
      </c>
      <c r="Q327" s="59">
        <f t="shared" ca="1" si="79"/>
        <v>0.16000000387430191</v>
      </c>
      <c r="R327" s="57"/>
      <c r="S327" s="71"/>
      <c r="T327" s="71"/>
    </row>
    <row r="328" spans="6:20" ht="14.65">
      <c r="F328" s="6">
        <f t="shared" si="80"/>
        <v>7</v>
      </c>
      <c r="G328" s="167" t="s">
        <v>22</v>
      </c>
      <c r="H328" s="16">
        <f t="shared" ca="1" si="71"/>
        <v>1767250</v>
      </c>
      <c r="I328" s="16">
        <f t="shared" si="72"/>
        <v>0</v>
      </c>
      <c r="J328" s="16">
        <f t="shared" ca="1" si="73"/>
        <v>0</v>
      </c>
      <c r="K328" s="16">
        <f t="shared" ca="1" si="74"/>
        <v>0</v>
      </c>
      <c r="L328" s="16">
        <f t="shared" ca="1" si="75"/>
        <v>215122</v>
      </c>
      <c r="M328" s="16">
        <f t="shared" ca="1" si="76"/>
        <v>698276</v>
      </c>
      <c r="N328" s="179">
        <f t="shared" si="78"/>
        <v>0</v>
      </c>
      <c r="O328" s="182">
        <f t="shared" ca="1" si="77"/>
        <v>2680648</v>
      </c>
      <c r="P328" s="183">
        <v>2680648</v>
      </c>
      <c r="Q328" s="59">
        <f t="shared" ca="1" si="79"/>
        <v>0</v>
      </c>
      <c r="R328" s="57"/>
      <c r="S328" s="71"/>
      <c r="T328" s="71"/>
    </row>
    <row r="329" spans="6:20" ht="14.65">
      <c r="F329" s="6">
        <f t="shared" si="80"/>
        <v>8</v>
      </c>
      <c r="G329" s="167" t="s">
        <v>988</v>
      </c>
      <c r="H329" s="16">
        <f t="shared" ca="1" si="71"/>
        <v>7000000</v>
      </c>
      <c r="I329" s="16">
        <f t="shared" si="72"/>
        <v>0</v>
      </c>
      <c r="J329" s="16">
        <f t="shared" ca="1" si="73"/>
        <v>190413</v>
      </c>
      <c r="K329" s="16">
        <f t="shared" ca="1" si="74"/>
        <v>68898</v>
      </c>
      <c r="L329" s="16">
        <f t="shared" ca="1" si="75"/>
        <v>0</v>
      </c>
      <c r="M329" s="16">
        <f t="shared" ca="1" si="76"/>
        <v>0</v>
      </c>
      <c r="N329" s="179">
        <f t="shared" si="78"/>
        <v>0</v>
      </c>
      <c r="O329" s="182">
        <f t="shared" ca="1" si="77"/>
        <v>7259311</v>
      </c>
      <c r="P329" s="183">
        <v>7259311</v>
      </c>
      <c r="Q329" s="59">
        <f t="shared" ca="1" si="79"/>
        <v>0</v>
      </c>
      <c r="R329" s="57"/>
      <c r="S329" s="71"/>
      <c r="T329" s="71"/>
    </row>
    <row r="330" spans="6:20" ht="14.65">
      <c r="F330" s="6">
        <f t="shared" si="80"/>
        <v>9</v>
      </c>
      <c r="G330" s="167" t="s">
        <v>23</v>
      </c>
      <c r="H330" s="16">
        <f t="shared" ca="1" si="71"/>
        <v>166545390</v>
      </c>
      <c r="I330" s="16">
        <f t="shared" si="72"/>
        <v>6440114</v>
      </c>
      <c r="J330" s="16">
        <f t="shared" ca="1" si="73"/>
        <v>12544</v>
      </c>
      <c r="K330" s="16">
        <f t="shared" ca="1" si="74"/>
        <v>80305</v>
      </c>
      <c r="L330" s="16">
        <f t="shared" ca="1" si="75"/>
        <v>208000</v>
      </c>
      <c r="M330" s="16">
        <f t="shared" ca="1" si="76"/>
        <v>5065054</v>
      </c>
      <c r="N330" s="179">
        <f t="shared" si="78"/>
        <v>0</v>
      </c>
      <c r="O330" s="182">
        <f t="shared" ca="1" si="77"/>
        <v>178351407</v>
      </c>
      <c r="P330" s="183">
        <v>178351407</v>
      </c>
      <c r="Q330" s="59">
        <f t="shared" ca="1" si="79"/>
        <v>0</v>
      </c>
      <c r="R330" s="57"/>
      <c r="S330" s="71"/>
      <c r="T330" s="71"/>
    </row>
    <row r="331" spans="6:20" ht="14.65">
      <c r="F331" s="6">
        <f t="shared" si="80"/>
        <v>10</v>
      </c>
      <c r="G331" s="167" t="s">
        <v>25</v>
      </c>
      <c r="H331" s="16">
        <f t="shared" ca="1" si="71"/>
        <v>444917</v>
      </c>
      <c r="I331" s="16">
        <f t="shared" si="72"/>
        <v>0</v>
      </c>
      <c r="J331" s="16">
        <f t="shared" ca="1" si="73"/>
        <v>0</v>
      </c>
      <c r="K331" s="16">
        <f t="shared" ca="1" si="74"/>
        <v>0</v>
      </c>
      <c r="L331" s="16">
        <f t="shared" ca="1" si="75"/>
        <v>0</v>
      </c>
      <c r="M331" s="16">
        <f t="shared" ca="1" si="76"/>
        <v>1430653</v>
      </c>
      <c r="N331" s="179">
        <f t="shared" si="78"/>
        <v>0</v>
      </c>
      <c r="O331" s="182">
        <f ca="1">SUM(H331:N331)</f>
        <v>1875570</v>
      </c>
      <c r="P331" s="183">
        <v>1875570</v>
      </c>
      <c r="Q331" s="59">
        <f t="shared" ca="1" si="79"/>
        <v>0</v>
      </c>
      <c r="R331" s="57"/>
      <c r="S331" s="71"/>
      <c r="T331" s="71"/>
    </row>
    <row r="332" spans="6:20" ht="14.65">
      <c r="F332" s="6">
        <f t="shared" si="80"/>
        <v>11</v>
      </c>
      <c r="G332" s="26" t="s">
        <v>1108</v>
      </c>
      <c r="H332" s="16">
        <f t="shared" ca="1" si="71"/>
        <v>2033898</v>
      </c>
      <c r="I332" s="16">
        <f t="shared" si="72"/>
        <v>0</v>
      </c>
      <c r="J332" s="16">
        <f t="shared" ca="1" si="73"/>
        <v>0</v>
      </c>
      <c r="K332" s="16">
        <f t="shared" ca="1" si="74"/>
        <v>0</v>
      </c>
      <c r="L332" s="16">
        <f t="shared" ca="1" si="75"/>
        <v>0</v>
      </c>
      <c r="M332" s="16">
        <f t="shared" ca="1" si="76"/>
        <v>0</v>
      </c>
      <c r="N332" s="179">
        <f t="shared" si="78"/>
        <v>0</v>
      </c>
      <c r="O332" s="182">
        <f t="shared" ref="O332:O340" ca="1" si="81">SUM(H332:N332)</f>
        <v>2033898</v>
      </c>
      <c r="P332" s="183">
        <v>2033898</v>
      </c>
      <c r="Q332" s="59">
        <f t="shared" ca="1" si="79"/>
        <v>0</v>
      </c>
      <c r="R332" s="57"/>
      <c r="S332" s="71"/>
      <c r="T332" s="71"/>
    </row>
    <row r="333" spans="6:20" ht="14.65">
      <c r="F333" s="6">
        <f t="shared" si="80"/>
        <v>12</v>
      </c>
      <c r="G333" s="167" t="s">
        <v>28</v>
      </c>
      <c r="H333" s="16">
        <f t="shared" ca="1" si="71"/>
        <v>502205</v>
      </c>
      <c r="I333" s="16">
        <f t="shared" si="72"/>
        <v>680470</v>
      </c>
      <c r="J333" s="16">
        <f t="shared" ca="1" si="73"/>
        <v>0</v>
      </c>
      <c r="K333" s="16">
        <f t="shared" ca="1" si="74"/>
        <v>0</v>
      </c>
      <c r="L333" s="16">
        <f t="shared" ca="1" si="75"/>
        <v>0</v>
      </c>
      <c r="M333" s="16">
        <f t="shared" ca="1" si="76"/>
        <v>1906435.02</v>
      </c>
      <c r="N333" s="179">
        <f t="shared" si="78"/>
        <v>0</v>
      </c>
      <c r="O333" s="182">
        <f t="shared" ca="1" si="81"/>
        <v>3089110.02</v>
      </c>
      <c r="P333" s="183">
        <v>3089110</v>
      </c>
      <c r="Q333" s="59">
        <f t="shared" ca="1" si="79"/>
        <v>2.0000000018626451E-2</v>
      </c>
      <c r="R333" s="57"/>
      <c r="S333" s="71"/>
      <c r="T333" s="71"/>
    </row>
    <row r="334" spans="6:20" ht="14.65">
      <c r="F334" s="6">
        <f t="shared" si="80"/>
        <v>13</v>
      </c>
      <c r="G334" s="167" t="s">
        <v>26</v>
      </c>
      <c r="H334" s="16">
        <f t="shared" ca="1" si="71"/>
        <v>1125000</v>
      </c>
      <c r="I334" s="16">
        <f t="shared" si="72"/>
        <v>2231994.4900000002</v>
      </c>
      <c r="J334" s="16">
        <f t="shared" ca="1" si="73"/>
        <v>544306</v>
      </c>
      <c r="K334" s="16">
        <f t="shared" ca="1" si="74"/>
        <v>486346</v>
      </c>
      <c r="L334" s="16">
        <f t="shared" ca="1" si="75"/>
        <v>77190</v>
      </c>
      <c r="N334" s="179">
        <f ca="1">SUMIF($C$187:$C$257,G334,($M$187:$M$221))</f>
        <v>42130750</v>
      </c>
      <c r="O334" s="182">
        <f t="shared" ca="1" si="81"/>
        <v>46595586.490000002</v>
      </c>
      <c r="P334" s="183">
        <v>46595586</v>
      </c>
      <c r="Q334" s="59">
        <f t="shared" ca="1" si="79"/>
        <v>0.49000000208616257</v>
      </c>
      <c r="R334" s="57"/>
      <c r="S334" s="71"/>
      <c r="T334" s="71"/>
    </row>
    <row r="335" spans="6:20" ht="14.65">
      <c r="F335" s="6">
        <f t="shared" si="80"/>
        <v>14</v>
      </c>
      <c r="G335" s="167" t="s">
        <v>27</v>
      </c>
      <c r="H335" s="16">
        <f t="shared" ca="1" si="71"/>
        <v>1855000</v>
      </c>
      <c r="I335" s="16">
        <f t="shared" si="72"/>
        <v>0</v>
      </c>
      <c r="J335" s="16">
        <f t="shared" ca="1" si="73"/>
        <v>0</v>
      </c>
      <c r="K335" s="16">
        <f t="shared" ca="1" si="74"/>
        <v>0</v>
      </c>
      <c r="L335" s="16">
        <f t="shared" ca="1" si="75"/>
        <v>0</v>
      </c>
      <c r="M335" s="16">
        <f t="shared" ref="M335:M340" ca="1" si="82">SUMIF($C$187:$C$257,G335,($M$187:$M$221))</f>
        <v>0</v>
      </c>
      <c r="N335" s="179">
        <f>SUMIF($C$25:$C$27,G335,($M$25:$M$27))</f>
        <v>0</v>
      </c>
      <c r="O335" s="182">
        <f t="shared" ca="1" si="81"/>
        <v>1855000</v>
      </c>
      <c r="P335" s="183">
        <v>1855000</v>
      </c>
      <c r="Q335" s="59">
        <f t="shared" ca="1" si="79"/>
        <v>0</v>
      </c>
      <c r="R335" s="57"/>
      <c r="S335" s="71"/>
      <c r="T335" s="71"/>
    </row>
    <row r="336" spans="6:20" ht="14.65">
      <c r="F336" s="6">
        <f t="shared" si="80"/>
        <v>15</v>
      </c>
      <c r="G336" s="167" t="s">
        <v>1094</v>
      </c>
      <c r="H336" s="16">
        <f t="shared" ca="1" si="71"/>
        <v>25347739</v>
      </c>
      <c r="I336" s="16">
        <f t="shared" si="72"/>
        <v>882075</v>
      </c>
      <c r="J336" s="16">
        <f t="shared" ca="1" si="73"/>
        <v>0</v>
      </c>
      <c r="K336" s="16">
        <f t="shared" ca="1" si="74"/>
        <v>0</v>
      </c>
      <c r="L336" s="16">
        <f t="shared" ca="1" si="75"/>
        <v>0</v>
      </c>
      <c r="M336" s="16">
        <f t="shared" ca="1" si="82"/>
        <v>861221</v>
      </c>
      <c r="N336" s="179">
        <f>SUMIF($C$25:$C$27,G336,($M$25:$M$27))</f>
        <v>0</v>
      </c>
      <c r="O336" s="182">
        <f t="shared" ca="1" si="81"/>
        <v>27091035</v>
      </c>
      <c r="P336" s="183">
        <v>27091035</v>
      </c>
      <c r="Q336" s="59">
        <f t="shared" ca="1" si="79"/>
        <v>0</v>
      </c>
      <c r="R336" s="57"/>
      <c r="S336" s="57"/>
      <c r="T336" s="57"/>
    </row>
    <row r="337" spans="6:20" ht="14.65">
      <c r="F337" s="6">
        <f t="shared" si="80"/>
        <v>16</v>
      </c>
      <c r="G337" s="14" t="s">
        <v>1016</v>
      </c>
      <c r="H337" s="16">
        <f t="shared" ca="1" si="71"/>
        <v>24330000</v>
      </c>
      <c r="I337" s="16">
        <f t="shared" si="72"/>
        <v>0</v>
      </c>
      <c r="J337" s="16">
        <f t="shared" ca="1" si="73"/>
        <v>0</v>
      </c>
      <c r="K337" s="16">
        <f t="shared" ca="1" si="74"/>
        <v>0</v>
      </c>
      <c r="L337" s="16">
        <f t="shared" ca="1" si="75"/>
        <v>25296</v>
      </c>
      <c r="M337" s="16">
        <f t="shared" ca="1" si="82"/>
        <v>0</v>
      </c>
      <c r="N337" s="179">
        <f>SUMIF($C$25:$C$27,G337,($M$25:$M$27))</f>
        <v>0</v>
      </c>
      <c r="O337" s="182">
        <f t="shared" ca="1" si="81"/>
        <v>24355296</v>
      </c>
      <c r="P337" s="183">
        <v>24355296</v>
      </c>
      <c r="Q337" s="59">
        <f t="shared" ca="1" si="79"/>
        <v>0</v>
      </c>
      <c r="R337" s="57"/>
      <c r="S337" s="57"/>
      <c r="T337" s="57"/>
    </row>
    <row r="338" spans="6:20" ht="14.65">
      <c r="F338" s="6">
        <f t="shared" si="80"/>
        <v>17</v>
      </c>
      <c r="G338" s="167" t="s">
        <v>1110</v>
      </c>
      <c r="H338" s="16">
        <f t="shared" ca="1" si="71"/>
        <v>0</v>
      </c>
      <c r="I338" s="16">
        <f t="shared" si="72"/>
        <v>0</v>
      </c>
      <c r="J338" s="16">
        <f t="shared" ca="1" si="73"/>
        <v>0</v>
      </c>
      <c r="K338" s="16">
        <f t="shared" ca="1" si="74"/>
        <v>84746</v>
      </c>
      <c r="L338" s="16">
        <f t="shared" ca="1" si="75"/>
        <v>0</v>
      </c>
      <c r="M338" s="16">
        <f t="shared" ca="1" si="82"/>
        <v>0</v>
      </c>
      <c r="N338" s="179">
        <f>SUMIF($C$25:$C$27,G338,($M$25:$M$27))</f>
        <v>0</v>
      </c>
      <c r="O338" s="182">
        <f t="shared" ca="1" si="81"/>
        <v>84746</v>
      </c>
      <c r="P338" s="183">
        <v>84746</v>
      </c>
      <c r="Q338" s="59">
        <f t="shared" ca="1" si="79"/>
        <v>0</v>
      </c>
      <c r="R338" s="57"/>
      <c r="S338" s="57"/>
      <c r="T338" s="57"/>
    </row>
    <row r="339" spans="6:20" ht="14.65">
      <c r="F339" s="6">
        <f t="shared" si="80"/>
        <v>18</v>
      </c>
      <c r="G339" s="167" t="s">
        <v>35</v>
      </c>
      <c r="H339" s="16">
        <f t="shared" ca="1" si="71"/>
        <v>0</v>
      </c>
      <c r="I339" s="16">
        <f t="shared" si="72"/>
        <v>0</v>
      </c>
      <c r="J339" s="16">
        <f t="shared" ca="1" si="73"/>
        <v>0</v>
      </c>
      <c r="K339" s="16">
        <f t="shared" ca="1" si="74"/>
        <v>0</v>
      </c>
      <c r="L339" s="16">
        <f t="shared" ca="1" si="75"/>
        <v>0</v>
      </c>
      <c r="M339" s="16">
        <f t="shared" ca="1" si="82"/>
        <v>1919298.98</v>
      </c>
      <c r="N339" s="179">
        <f>SUMIF($C$25:$C$27,G339,($M$25:$M$27))</f>
        <v>0</v>
      </c>
      <c r="O339" s="182">
        <f t="shared" ca="1" si="81"/>
        <v>1919298.98</v>
      </c>
      <c r="P339" s="183">
        <v>1919299</v>
      </c>
      <c r="Q339" s="59">
        <f t="shared" ca="1" si="79"/>
        <v>-2.0000000018626451E-2</v>
      </c>
      <c r="R339" s="57"/>
      <c r="S339" s="57"/>
      <c r="T339" s="57"/>
    </row>
    <row r="340" spans="6:20" ht="14.65">
      <c r="F340" s="6">
        <f t="shared" si="80"/>
        <v>19</v>
      </c>
      <c r="G340" s="27" t="s">
        <v>29</v>
      </c>
      <c r="H340" s="16">
        <f t="shared" ca="1" si="71"/>
        <v>392865</v>
      </c>
      <c r="I340" s="16">
        <f t="shared" si="72"/>
        <v>62800</v>
      </c>
      <c r="J340" s="16"/>
      <c r="K340" s="16">
        <f t="shared" ca="1" si="74"/>
        <v>0</v>
      </c>
      <c r="L340" s="16"/>
      <c r="M340" s="16">
        <f t="shared" ca="1" si="82"/>
        <v>0</v>
      </c>
      <c r="N340" s="179"/>
      <c r="O340" s="182">
        <f t="shared" ca="1" si="81"/>
        <v>455665</v>
      </c>
      <c r="P340" s="183">
        <v>455665</v>
      </c>
      <c r="Q340" s="59">
        <f t="shared" ca="1" si="79"/>
        <v>0</v>
      </c>
      <c r="R340" s="57"/>
      <c r="S340" s="57"/>
      <c r="T340" s="57"/>
    </row>
    <row r="341" spans="6:20">
      <c r="G341" s="72" t="s">
        <v>30</v>
      </c>
      <c r="H341" s="16">
        <f t="shared" ref="H341:P341" ca="1" si="83">SUM(H322:H340)</f>
        <v>346697707.19999999</v>
      </c>
      <c r="I341" s="16">
        <f t="shared" si="83"/>
        <v>13700619.49</v>
      </c>
      <c r="J341" s="16">
        <f t="shared" ca="1" si="83"/>
        <v>1025477.96</v>
      </c>
      <c r="K341" s="16">
        <f t="shared" ca="1" si="83"/>
        <v>732117</v>
      </c>
      <c r="L341" s="16">
        <f t="shared" ca="1" si="83"/>
        <v>825608</v>
      </c>
      <c r="M341" s="16">
        <f t="shared" ca="1" si="83"/>
        <v>11880938</v>
      </c>
      <c r="N341" s="179">
        <f t="shared" ca="1" si="83"/>
        <v>42130750</v>
      </c>
      <c r="O341" s="184">
        <f t="shared" ca="1" si="83"/>
        <v>416993217.64999998</v>
      </c>
      <c r="P341" s="183">
        <f t="shared" si="83"/>
        <v>416993217</v>
      </c>
      <c r="Q341" s="59">
        <f t="shared" ca="1" si="79"/>
        <v>0.64999997615814209</v>
      </c>
      <c r="R341" s="57"/>
      <c r="S341" s="57"/>
      <c r="T341" s="57"/>
    </row>
    <row r="342" spans="6:20" ht="15" thickBot="1">
      <c r="G342" s="70" t="s">
        <v>47</v>
      </c>
      <c r="H342" s="16">
        <f>342347707+1050000+3300000</f>
        <v>346697707</v>
      </c>
      <c r="I342" s="16">
        <f>13314477+141842+244300</f>
        <v>13700619</v>
      </c>
      <c r="J342" s="16">
        <f>1025718-240</f>
        <v>1025478</v>
      </c>
      <c r="K342" s="16">
        <f>816863-84746</f>
        <v>732117</v>
      </c>
      <c r="L342" s="16">
        <v>825609</v>
      </c>
      <c r="M342" s="16">
        <v>11880941</v>
      </c>
      <c r="N342" s="179">
        <v>42130750</v>
      </c>
      <c r="O342" s="185">
        <f>SUM(H342:N342)</f>
        <v>416993221</v>
      </c>
      <c r="P342" s="183"/>
      <c r="Q342" s="59"/>
      <c r="R342" s="57"/>
      <c r="S342" s="57"/>
      <c r="T342" s="57"/>
    </row>
    <row r="343" spans="6:20">
      <c r="H343" s="57">
        <f ca="1">+H341-H342</f>
        <v>0.19999998807907104</v>
      </c>
      <c r="I343" s="57">
        <f t="shared" ref="I343:O343" si="84">+I341-I342</f>
        <v>0.49000000022351742</v>
      </c>
      <c r="J343" s="57">
        <f t="shared" ca="1" si="84"/>
        <v>-4.0000000037252903E-2</v>
      </c>
      <c r="K343" s="57">
        <f t="shared" ca="1" si="84"/>
        <v>0</v>
      </c>
      <c r="L343" s="57">
        <f t="shared" ca="1" si="84"/>
        <v>-1</v>
      </c>
      <c r="M343" s="57">
        <f t="shared" ca="1" si="84"/>
        <v>-3</v>
      </c>
      <c r="N343" s="57">
        <f t="shared" ca="1" si="84"/>
        <v>0</v>
      </c>
      <c r="O343" s="57">
        <f t="shared" ca="1" si="84"/>
        <v>-3.3500000238418579</v>
      </c>
      <c r="Q343" s="57"/>
      <c r="R343" s="57"/>
      <c r="S343" s="57"/>
      <c r="T343" s="57"/>
    </row>
    <row r="344" spans="6:20">
      <c r="H344" s="70" t="s">
        <v>24</v>
      </c>
      <c r="Q344" s="57"/>
      <c r="R344" s="57"/>
      <c r="S344" s="57"/>
      <c r="T344" s="57"/>
    </row>
    <row r="345" spans="6:20">
      <c r="H345" s="59">
        <v>61195256</v>
      </c>
      <c r="I345" s="6" t="s">
        <v>48</v>
      </c>
    </row>
    <row r="346" spans="6:20">
      <c r="H346" s="59" t="e">
        <f>+'sold mc 24'!#REF!</f>
        <v>#REF!</v>
      </c>
      <c r="I346" s="6" t="s">
        <v>49</v>
      </c>
    </row>
    <row r="347" spans="6:20">
      <c r="H347" s="57" t="e">
        <f>+H345-H346</f>
        <v>#REF!</v>
      </c>
      <c r="I347" s="6" t="s">
        <v>50</v>
      </c>
    </row>
  </sheetData>
  <printOptions gridLines="1"/>
  <pageMargins left="0.70866141732283472" right="0.70866141732283472" top="0.74803149606299213" bottom="0.74803149606299213" header="0.31496062992125984" footer="0.31496062992125984"/>
  <pageSetup paperSize="9" scale="59" orientation="landscape" r:id="rId1"/>
  <rowBreaks count="4" manualBreakCount="4">
    <brk id="57" max="20" man="1"/>
    <brk id="153" max="20" man="1"/>
    <brk id="195" max="20" man="1"/>
    <brk id="258" max="20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37"/>
  <sheetViews>
    <sheetView zoomScaleNormal="100" workbookViewId="0"/>
  </sheetViews>
  <sheetFormatPr defaultColWidth="8.6640625" defaultRowHeight="12.75"/>
  <cols>
    <col min="1" max="1" width="8.86328125" style="123" bestFit="1" customWidth="1"/>
    <col min="2" max="2" width="19.33203125" style="123" customWidth="1"/>
    <col min="3" max="3" width="8.86328125" style="123" bestFit="1" customWidth="1"/>
    <col min="4" max="4" width="18.53125" style="123" bestFit="1" customWidth="1"/>
    <col min="5" max="5" width="16.6640625" style="123" bestFit="1" customWidth="1"/>
    <col min="6" max="6" width="16.46484375" style="123" bestFit="1" customWidth="1"/>
    <col min="7" max="7" width="15.33203125" style="123" bestFit="1" customWidth="1"/>
    <col min="8" max="8" width="17.6640625" style="123" bestFit="1" customWidth="1"/>
    <col min="9" max="9" width="16.33203125" style="123" customWidth="1"/>
    <col min="10" max="10" width="15.6640625" style="123" bestFit="1" customWidth="1"/>
    <col min="11" max="16384" width="8.6640625" style="123"/>
  </cols>
  <sheetData>
    <row r="1" spans="1:10" ht="14.25">
      <c r="A1" s="186" t="s">
        <v>1270</v>
      </c>
      <c r="B1" s="187"/>
      <c r="C1" s="187"/>
      <c r="D1" s="187"/>
      <c r="E1" s="187"/>
      <c r="F1" s="187"/>
      <c r="G1" s="187"/>
      <c r="H1" s="187"/>
      <c r="I1" s="187"/>
      <c r="J1" s="187"/>
    </row>
    <row r="2" spans="1:10" ht="14.25">
      <c r="A2" s="187"/>
      <c r="B2" s="188"/>
      <c r="C2" s="187"/>
      <c r="D2" s="187"/>
      <c r="E2" s="187"/>
      <c r="F2" s="187"/>
      <c r="G2" s="187"/>
      <c r="H2" s="187"/>
      <c r="I2" s="187"/>
      <c r="J2" s="187"/>
    </row>
    <row r="3" spans="1:10" ht="14.25">
      <c r="A3" s="186" t="s">
        <v>1271</v>
      </c>
      <c r="B3" s="187"/>
      <c r="C3" s="187"/>
      <c r="D3" s="187"/>
      <c r="E3" s="187"/>
      <c r="F3" s="187"/>
      <c r="G3" s="187"/>
      <c r="H3" s="187"/>
      <c r="I3" s="187"/>
      <c r="J3" s="187"/>
    </row>
    <row r="4" spans="1:10" ht="16.899999999999999">
      <c r="A4" s="189" t="s">
        <v>3674</v>
      </c>
      <c r="B4" s="151"/>
      <c r="C4" s="190"/>
      <c r="D4" s="190"/>
      <c r="E4" s="190"/>
      <c r="F4" s="190"/>
      <c r="G4" s="190"/>
      <c r="H4" s="190"/>
      <c r="I4" s="190"/>
      <c r="J4" s="190"/>
    </row>
    <row r="5" spans="1:10" ht="13.9">
      <c r="A5" s="191" t="s">
        <v>1273</v>
      </c>
      <c r="B5" s="191"/>
      <c r="C5" s="191" t="s">
        <v>1274</v>
      </c>
      <c r="D5" s="191" t="s">
        <v>1275</v>
      </c>
      <c r="E5" s="1212" t="s">
        <v>1276</v>
      </c>
      <c r="F5" s="1213"/>
      <c r="G5" s="191"/>
      <c r="H5" s="191"/>
      <c r="I5" s="192" t="s">
        <v>1277</v>
      </c>
      <c r="J5" s="191" t="s">
        <v>1275</v>
      </c>
    </row>
    <row r="6" spans="1:10" ht="13.9">
      <c r="A6" s="193" t="s">
        <v>1278</v>
      </c>
      <c r="B6" s="193" t="s">
        <v>888</v>
      </c>
      <c r="C6" s="193" t="s">
        <v>1279</v>
      </c>
      <c r="D6" s="193" t="s">
        <v>4195</v>
      </c>
      <c r="E6" s="193" t="s">
        <v>3675</v>
      </c>
      <c r="F6" s="193" t="s">
        <v>3677</v>
      </c>
      <c r="G6" s="193" t="s">
        <v>1281</v>
      </c>
      <c r="H6" s="193" t="s">
        <v>40</v>
      </c>
      <c r="I6" s="194" t="s">
        <v>1282</v>
      </c>
      <c r="J6" s="193" t="s">
        <v>3679</v>
      </c>
    </row>
    <row r="7" spans="1:10" ht="13.9">
      <c r="A7" s="195"/>
      <c r="B7" s="195"/>
      <c r="C7" s="195"/>
      <c r="D7" s="195"/>
      <c r="E7" s="195" t="s">
        <v>3676</v>
      </c>
      <c r="F7" s="195" t="s">
        <v>3678</v>
      </c>
      <c r="G7" s="195"/>
      <c r="H7" s="195"/>
      <c r="I7" s="196"/>
      <c r="J7" s="195"/>
    </row>
    <row r="8" spans="1:10" ht="13.15">
      <c r="A8" s="197">
        <v>1</v>
      </c>
      <c r="B8" s="198" t="s">
        <v>1283</v>
      </c>
      <c r="C8" s="199">
        <v>0.15</v>
      </c>
      <c r="D8" s="200">
        <f t="shared" ref="D8:J8" si="0">+D18+D19+D21</f>
        <v>2619709253</v>
      </c>
      <c r="E8" s="200">
        <f>+E18+E19+E21</f>
        <v>672197754.18000007</v>
      </c>
      <c r="F8" s="200">
        <f t="shared" si="0"/>
        <v>130681975.06677973</v>
      </c>
      <c r="G8" s="200">
        <f t="shared" si="0"/>
        <v>9298880</v>
      </c>
      <c r="H8" s="200">
        <f t="shared" si="0"/>
        <v>3413290102.2467799</v>
      </c>
      <c r="I8" s="201">
        <f>+I18+I19+I21</f>
        <v>502889783.20700848</v>
      </c>
      <c r="J8" s="200">
        <f t="shared" si="0"/>
        <v>2910400319.0397711</v>
      </c>
    </row>
    <row r="9" spans="1:10" ht="13.15">
      <c r="A9" s="197">
        <v>3</v>
      </c>
      <c r="B9" s="202" t="s">
        <v>1284</v>
      </c>
      <c r="C9" s="199">
        <v>0.4</v>
      </c>
      <c r="D9" s="200">
        <f>+D20</f>
        <v>4607631</v>
      </c>
      <c r="E9" s="200">
        <f>+E20</f>
        <v>1639134.5966101694</v>
      </c>
      <c r="F9" s="200">
        <f>+F20</f>
        <v>1373978.26</v>
      </c>
      <c r="G9" s="200">
        <f>+G20</f>
        <v>0</v>
      </c>
      <c r="H9" s="200">
        <f>+D9+E9+F9-G9</f>
        <v>7620743.8566101696</v>
      </c>
      <c r="I9" s="201">
        <f>+I20</f>
        <v>2773501.8906440679</v>
      </c>
      <c r="J9" s="200">
        <f>+H9-I9</f>
        <v>4847241.9659661017</v>
      </c>
    </row>
    <row r="10" spans="1:10" ht="13.15">
      <c r="A10" s="197">
        <v>5</v>
      </c>
      <c r="B10" s="202" t="s">
        <v>1135</v>
      </c>
      <c r="C10" s="199">
        <v>0.1</v>
      </c>
      <c r="D10" s="200">
        <f>+D22+D24</f>
        <v>12637510</v>
      </c>
      <c r="E10" s="200">
        <f>+E22+E24</f>
        <v>74139.254237288143</v>
      </c>
      <c r="F10" s="200">
        <f>+F22+F24</f>
        <v>1445511.5999999999</v>
      </c>
      <c r="G10" s="200">
        <f>+G22+G24</f>
        <v>0</v>
      </c>
      <c r="H10" s="200">
        <f>+D10+E10+F10-G10</f>
        <v>14157160.854237288</v>
      </c>
      <c r="I10" s="201">
        <f>+I22+I24</f>
        <v>1343440.5054237291</v>
      </c>
      <c r="J10" s="200">
        <f>+H10-I10</f>
        <v>12813720.34881356</v>
      </c>
    </row>
    <row r="11" spans="1:10" ht="13.15">
      <c r="A11" s="197"/>
      <c r="B11" s="202" t="s">
        <v>1285</v>
      </c>
      <c r="C11" s="199">
        <v>0.1</v>
      </c>
      <c r="D11" s="200">
        <f>+D23</f>
        <v>1555404</v>
      </c>
      <c r="E11" s="200">
        <f>+E23</f>
        <v>0</v>
      </c>
      <c r="F11" s="200">
        <f>+F23</f>
        <v>0</v>
      </c>
      <c r="G11" s="200">
        <f>+G23</f>
        <v>0</v>
      </c>
      <c r="H11" s="200">
        <f>+D11+E11+F11-G11</f>
        <v>1555404</v>
      </c>
      <c r="I11" s="201">
        <f>+I23</f>
        <v>155540.4</v>
      </c>
      <c r="J11" s="200">
        <f>+H11-I11</f>
        <v>1399863.6</v>
      </c>
    </row>
    <row r="12" spans="1:10" ht="13.15">
      <c r="A12" s="197">
        <v>7</v>
      </c>
      <c r="B12" s="198" t="s">
        <v>1286</v>
      </c>
      <c r="C12" s="199">
        <v>0.4</v>
      </c>
      <c r="D12" s="200">
        <f>+D25</f>
        <v>37317895</v>
      </c>
      <c r="E12" s="200">
        <f>+E25</f>
        <v>3293026.4067796608</v>
      </c>
      <c r="F12" s="200">
        <f>+F25</f>
        <v>2312378.0699999998</v>
      </c>
      <c r="G12" s="200">
        <f>+G25</f>
        <v>0</v>
      </c>
      <c r="H12" s="200">
        <f>+D12+E12+F12-G12</f>
        <v>42923299.476779662</v>
      </c>
      <c r="I12" s="201">
        <f>+I25</f>
        <v>16706844.176711865</v>
      </c>
      <c r="J12" s="200">
        <f>+H12-I12</f>
        <v>26216455.300067797</v>
      </c>
    </row>
    <row r="13" spans="1:10" ht="13.5" thickBot="1">
      <c r="A13" s="203"/>
      <c r="B13" s="204" t="s">
        <v>40</v>
      </c>
      <c r="C13" s="205"/>
      <c r="D13" s="206">
        <f t="shared" ref="D13:J13" si="1">SUM(D8:D12)</f>
        <v>2675827693</v>
      </c>
      <c r="E13" s="206">
        <f t="shared" si="1"/>
        <v>677204054.4376272</v>
      </c>
      <c r="F13" s="206">
        <f t="shared" si="1"/>
        <v>135813842.99677974</v>
      </c>
      <c r="G13" s="206">
        <f t="shared" si="1"/>
        <v>9298880</v>
      </c>
      <c r="H13" s="206">
        <f t="shared" si="1"/>
        <v>3479546710.4344068</v>
      </c>
      <c r="I13" s="207">
        <f t="shared" si="1"/>
        <v>523869110.17978811</v>
      </c>
      <c r="J13" s="206">
        <f t="shared" si="1"/>
        <v>2955677600.2546186</v>
      </c>
    </row>
    <row r="14" spans="1:10" ht="14.25" thickTop="1">
      <c r="A14" s="208" t="s">
        <v>1272</v>
      </c>
      <c r="B14" s="151"/>
      <c r="C14" s="190"/>
      <c r="D14" s="190"/>
      <c r="E14" s="190"/>
      <c r="F14" s="209">
        <f>+F13+E13</f>
        <v>813017897.434407</v>
      </c>
      <c r="G14" s="190"/>
      <c r="H14" s="190"/>
      <c r="I14" s="210"/>
      <c r="J14" s="190"/>
    </row>
    <row r="15" spans="1:10" ht="13.9">
      <c r="A15" s="191" t="s">
        <v>1273</v>
      </c>
      <c r="B15" s="191"/>
      <c r="C15" s="191" t="s">
        <v>1274</v>
      </c>
      <c r="D15" s="191" t="s">
        <v>1275</v>
      </c>
      <c r="E15" s="1212" t="s">
        <v>1276</v>
      </c>
      <c r="F15" s="1213"/>
      <c r="G15" s="191"/>
      <c r="H15" s="191"/>
      <c r="I15" s="192" t="s">
        <v>1277</v>
      </c>
      <c r="J15" s="191" t="s">
        <v>1275</v>
      </c>
    </row>
    <row r="16" spans="1:10" ht="13.9">
      <c r="A16" s="193" t="s">
        <v>1278</v>
      </c>
      <c r="B16" s="193" t="s">
        <v>888</v>
      </c>
      <c r="C16" s="193" t="s">
        <v>1279</v>
      </c>
      <c r="D16" s="193" t="s">
        <v>1280</v>
      </c>
      <c r="E16" s="193" t="s">
        <v>3675</v>
      </c>
      <c r="F16" s="193" t="s">
        <v>3677</v>
      </c>
      <c r="G16" s="193" t="s">
        <v>1281</v>
      </c>
      <c r="H16" s="193" t="s">
        <v>40</v>
      </c>
      <c r="I16" s="194" t="s">
        <v>1282</v>
      </c>
      <c r="J16" s="193" t="s">
        <v>3679</v>
      </c>
    </row>
    <row r="17" spans="1:10" ht="13.9">
      <c r="A17" s="195"/>
      <c r="B17" s="195"/>
      <c r="C17" s="195"/>
      <c r="D17" s="195"/>
      <c r="E17" s="195" t="s">
        <v>3676</v>
      </c>
      <c r="F17" s="195" t="s">
        <v>3678</v>
      </c>
      <c r="G17" s="195"/>
      <c r="H17" s="195"/>
      <c r="I17" s="196"/>
      <c r="J17" s="195"/>
    </row>
    <row r="18" spans="1:10" ht="13.15">
      <c r="A18" s="197">
        <v>1</v>
      </c>
      <c r="B18" s="198" t="s">
        <v>2</v>
      </c>
      <c r="C18" s="199">
        <v>0.15</v>
      </c>
      <c r="D18" s="211">
        <v>2560263944</v>
      </c>
      <c r="E18" s="200">
        <f>+'Add23-24'!U534</f>
        <v>659349144.44000006</v>
      </c>
      <c r="F18" s="200">
        <f>+'Add23-24'!V534</f>
        <v>123409635.86000007</v>
      </c>
      <c r="G18" s="200">
        <f>+'sold mc 24'!J13</f>
        <v>9238880</v>
      </c>
      <c r="H18" s="200">
        <f t="shared" ref="H18:H25" si="2">+D18+E18+F18-G18</f>
        <v>3333783844.3000002</v>
      </c>
      <c r="I18" s="201">
        <f>(+((D18+E18)*C18)+(F18-G18)*(C18/2))</f>
        <v>491504769.95550001</v>
      </c>
      <c r="J18" s="200">
        <f t="shared" ref="J18:J25" si="3">+H18-I18</f>
        <v>2842279074.3445001</v>
      </c>
    </row>
    <row r="19" spans="1:10" ht="13.15">
      <c r="A19" s="197">
        <v>2</v>
      </c>
      <c r="B19" s="198" t="s">
        <v>36</v>
      </c>
      <c r="C19" s="199">
        <v>0.15</v>
      </c>
      <c r="D19" s="211">
        <v>8627055</v>
      </c>
      <c r="E19" s="200">
        <f>+'Add23-24'!U536</f>
        <v>1038118.74</v>
      </c>
      <c r="F19" s="200">
        <f>+'Add23-24'!V536</f>
        <v>2457285.2067796611</v>
      </c>
      <c r="G19" s="200">
        <v>0</v>
      </c>
      <c r="H19" s="200">
        <f t="shared" si="2"/>
        <v>12122458.946779661</v>
      </c>
      <c r="I19" s="201">
        <f t="shared" ref="I19:I25" si="4">(+((D19+E19-G19)*C19)+(F19*(C19/2)))</f>
        <v>1634072.4515084745</v>
      </c>
      <c r="J19" s="200">
        <f t="shared" si="3"/>
        <v>10488386.495271187</v>
      </c>
    </row>
    <row r="20" spans="1:10" ht="13.15">
      <c r="A20" s="197">
        <v>3</v>
      </c>
      <c r="B20" s="202" t="s">
        <v>1284</v>
      </c>
      <c r="C20" s="727">
        <v>0.4</v>
      </c>
      <c r="D20" s="211">
        <v>4607631</v>
      </c>
      <c r="E20" s="200">
        <f>+'Add23-24'!U537</f>
        <v>1639134.5966101694</v>
      </c>
      <c r="F20" s="200">
        <f>+'Add23-24'!V537</f>
        <v>1373978.26</v>
      </c>
      <c r="G20" s="200">
        <v>0</v>
      </c>
      <c r="H20" s="200">
        <f t="shared" si="2"/>
        <v>7620743.8566101696</v>
      </c>
      <c r="I20" s="201">
        <f t="shared" si="4"/>
        <v>2773501.8906440679</v>
      </c>
      <c r="J20" s="200">
        <f t="shared" si="3"/>
        <v>4847241.9659661017</v>
      </c>
    </row>
    <row r="21" spans="1:10" ht="13.15">
      <c r="A21" s="197">
        <v>4</v>
      </c>
      <c r="B21" s="202" t="s">
        <v>37</v>
      </c>
      <c r="C21" s="199">
        <v>0.15</v>
      </c>
      <c r="D21" s="211">
        <v>50818254</v>
      </c>
      <c r="E21" s="200">
        <f>+'Add23-24'!U535</f>
        <v>11810491</v>
      </c>
      <c r="F21" s="200">
        <f>+'Add23-24'!V535</f>
        <v>4815054</v>
      </c>
      <c r="G21" s="200">
        <f>+'sold mc 24'!J16</f>
        <v>60000</v>
      </c>
      <c r="H21" s="200">
        <f t="shared" si="2"/>
        <v>67383799</v>
      </c>
      <c r="I21" s="201">
        <f>(+((D21+E21)*C21)+(F21-G21)*(C21/2))</f>
        <v>9750940.8000000007</v>
      </c>
      <c r="J21" s="200">
        <f t="shared" si="3"/>
        <v>57632858.200000003</v>
      </c>
    </row>
    <row r="22" spans="1:10" ht="13.15">
      <c r="A22" s="197">
        <v>5</v>
      </c>
      <c r="B22" s="202" t="s">
        <v>1135</v>
      </c>
      <c r="C22" s="199">
        <v>0.1</v>
      </c>
      <c r="D22" s="211">
        <v>11502185</v>
      </c>
      <c r="E22" s="200">
        <f>+'Add23-24'!U539</f>
        <v>74139.254237288143</v>
      </c>
      <c r="F22" s="200">
        <f>+'Add23-24'!V539</f>
        <v>1335511.5999999999</v>
      </c>
      <c r="G22" s="200">
        <v>0</v>
      </c>
      <c r="H22" s="200">
        <f t="shared" si="2"/>
        <v>12911835.854237288</v>
      </c>
      <c r="I22" s="201">
        <f t="shared" si="4"/>
        <v>1224408.0054237291</v>
      </c>
      <c r="J22" s="200">
        <f t="shared" si="3"/>
        <v>11687427.84881356</v>
      </c>
    </row>
    <row r="23" spans="1:10" ht="13.15">
      <c r="A23" s="197">
        <v>6</v>
      </c>
      <c r="B23" s="202" t="s">
        <v>1287</v>
      </c>
      <c r="C23" s="199">
        <v>0.1</v>
      </c>
      <c r="D23" s="211">
        <v>1555404</v>
      </c>
      <c r="E23" s="200">
        <v>0</v>
      </c>
      <c r="F23" s="200">
        <v>0</v>
      </c>
      <c r="G23" s="200"/>
      <c r="H23" s="200">
        <f t="shared" si="2"/>
        <v>1555404</v>
      </c>
      <c r="I23" s="201">
        <f t="shared" si="4"/>
        <v>155540.4</v>
      </c>
      <c r="J23" s="200">
        <f t="shared" si="3"/>
        <v>1399863.6</v>
      </c>
    </row>
    <row r="24" spans="1:10" ht="13.15">
      <c r="A24" s="197">
        <v>7</v>
      </c>
      <c r="B24" s="202" t="s">
        <v>1288</v>
      </c>
      <c r="C24" s="199">
        <v>0.1</v>
      </c>
      <c r="D24" s="211">
        <v>1135325</v>
      </c>
      <c r="E24" s="200">
        <v>0</v>
      </c>
      <c r="F24" s="200">
        <f>+'Add23-24'!V538</f>
        <v>110000</v>
      </c>
      <c r="G24" s="200"/>
      <c r="H24" s="200">
        <f t="shared" si="2"/>
        <v>1245325</v>
      </c>
      <c r="I24" s="201">
        <f t="shared" si="4"/>
        <v>119032.5</v>
      </c>
      <c r="J24" s="200">
        <f t="shared" si="3"/>
        <v>1126292.5</v>
      </c>
    </row>
    <row r="25" spans="1:10" ht="13.15">
      <c r="A25" s="197">
        <v>9</v>
      </c>
      <c r="B25" s="198" t="s">
        <v>1286</v>
      </c>
      <c r="C25" s="199">
        <v>0.4</v>
      </c>
      <c r="D25" s="211">
        <v>37317895</v>
      </c>
      <c r="E25" s="200">
        <f>+'Add23-24'!U541</f>
        <v>3293026.4067796608</v>
      </c>
      <c r="F25" s="200">
        <f>+'Add23-24'!V541</f>
        <v>2312378.0699999998</v>
      </c>
      <c r="G25" s="200">
        <v>0</v>
      </c>
      <c r="H25" s="200">
        <f t="shared" si="2"/>
        <v>42923299.476779662</v>
      </c>
      <c r="I25" s="201">
        <f t="shared" si="4"/>
        <v>16706844.176711865</v>
      </c>
      <c r="J25" s="200">
        <f t="shared" si="3"/>
        <v>26216455.300067797</v>
      </c>
    </row>
    <row r="26" spans="1:10" ht="13.15">
      <c r="A26" s="212"/>
      <c r="B26" s="198" t="s">
        <v>33</v>
      </c>
      <c r="C26" s="213"/>
      <c r="D26" s="211"/>
      <c r="E26" s="200">
        <v>0</v>
      </c>
      <c r="F26" s="200"/>
      <c r="G26" s="200"/>
      <c r="H26" s="200">
        <f>+D26+E26+F26-G26</f>
        <v>0</v>
      </c>
      <c r="I26" s="201">
        <f>(+((D26+E26-G26)*C26)+(F26*(C26/2)))</f>
        <v>0</v>
      </c>
      <c r="J26" s="200">
        <f>+H26-I26</f>
        <v>0</v>
      </c>
    </row>
    <row r="27" spans="1:10" ht="13.5" thickBot="1">
      <c r="A27" s="214"/>
      <c r="B27" s="204" t="s">
        <v>40</v>
      </c>
      <c r="C27" s="215"/>
      <c r="D27" s="216">
        <f>SUM(D18:D26)</f>
        <v>2675827693</v>
      </c>
      <c r="E27" s="216">
        <f t="shared" ref="E27:J27" si="5">SUM(E18:E26)</f>
        <v>677204054.4376272</v>
      </c>
      <c r="F27" s="216">
        <f t="shared" si="5"/>
        <v>135813842.99677974</v>
      </c>
      <c r="G27" s="216">
        <f t="shared" si="5"/>
        <v>9298880</v>
      </c>
      <c r="H27" s="216">
        <f t="shared" si="5"/>
        <v>3479546710.4344068</v>
      </c>
      <c r="I27" s="216">
        <f t="shared" si="5"/>
        <v>523869110.17978811</v>
      </c>
      <c r="J27" s="216">
        <f t="shared" si="5"/>
        <v>2955677600.2546186</v>
      </c>
    </row>
    <row r="28" spans="1:10" ht="13.5" thickTop="1">
      <c r="A28" s="217"/>
      <c r="B28" s="217"/>
      <c r="C28" s="217"/>
      <c r="D28" s="218" t="s">
        <v>24</v>
      </c>
      <c r="E28" s="219">
        <f>+E27+F27</f>
        <v>813017897.434407</v>
      </c>
      <c r="F28" s="219">
        <f>+'Add23-24'!O542</f>
        <v>815747347.43440676</v>
      </c>
      <c r="G28" s="217"/>
      <c r="H28" s="217"/>
      <c r="I28" s="217"/>
      <c r="J28" s="217"/>
    </row>
    <row r="29" spans="1:10" ht="13.15">
      <c r="A29" s="217"/>
      <c r="B29" s="217"/>
      <c r="C29" s="217"/>
      <c r="D29" s="218"/>
      <c r="E29" s="219">
        <f>(+'Note 12 workings'!D19-'Note 12 workings'!D11)*10^5</f>
        <v>813017897.43440688</v>
      </c>
      <c r="F29" s="726">
        <f>+F28-E28</f>
        <v>2729449.9999997616</v>
      </c>
      <c r="G29" s="217" t="s">
        <v>3643</v>
      </c>
      <c r="H29" s="217"/>
      <c r="I29" s="217"/>
      <c r="J29" s="217"/>
    </row>
    <row r="30" spans="1:10" ht="13.15">
      <c r="A30" s="217"/>
      <c r="B30" s="217"/>
      <c r="C30" s="217"/>
      <c r="D30" s="218"/>
      <c r="E30" s="219">
        <f>+E28-E29</f>
        <v>0</v>
      </c>
      <c r="F30" s="219" t="s">
        <v>24</v>
      </c>
      <c r="G30" s="217"/>
      <c r="H30" s="217"/>
      <c r="I30" s="217"/>
      <c r="J30" s="217"/>
    </row>
    <row r="31" spans="1:10" ht="13.15">
      <c r="A31" s="217"/>
      <c r="B31" s="217"/>
      <c r="C31" s="217"/>
      <c r="D31" s="218"/>
      <c r="E31" s="219" t="s">
        <v>24</v>
      </c>
      <c r="F31" s="217"/>
      <c r="G31" s="217"/>
      <c r="H31" s="217"/>
      <c r="I31" s="217"/>
      <c r="J31" s="217"/>
    </row>
    <row r="32" spans="1:10" ht="13.15">
      <c r="A32" s="217"/>
      <c r="B32" s="217"/>
      <c r="C32" s="217"/>
      <c r="D32" s="218"/>
      <c r="E32" s="219" t="s">
        <v>24</v>
      </c>
      <c r="F32" s="217"/>
      <c r="G32" s="217"/>
      <c r="H32" s="217"/>
      <c r="I32" s="217"/>
      <c r="J32" s="217"/>
    </row>
    <row r="33" spans="1:10" ht="13.15">
      <c r="A33" s="217"/>
      <c r="B33" s="217"/>
      <c r="C33" s="217"/>
      <c r="D33" s="218"/>
      <c r="E33" s="217"/>
      <c r="F33" s="217"/>
      <c r="G33" s="217"/>
      <c r="H33" s="217"/>
      <c r="I33" s="217"/>
      <c r="J33" s="217"/>
    </row>
    <row r="34" spans="1:10" ht="13.15">
      <c r="A34" s="217"/>
      <c r="B34" s="217"/>
      <c r="C34" s="217"/>
      <c r="D34" s="218"/>
      <c r="E34" s="217"/>
      <c r="F34" s="217"/>
      <c r="G34" s="217"/>
      <c r="H34" s="217"/>
      <c r="I34" s="217"/>
      <c r="J34" s="217"/>
    </row>
    <row r="35" spans="1:10" ht="13.15">
      <c r="A35" s="217"/>
      <c r="B35" s="217"/>
      <c r="C35" s="217"/>
      <c r="D35" s="218"/>
      <c r="E35" s="217"/>
      <c r="F35" s="217"/>
      <c r="G35" s="217"/>
      <c r="H35" s="217"/>
      <c r="I35" s="217"/>
      <c r="J35" s="217"/>
    </row>
    <row r="36" spans="1:10" ht="13.15">
      <c r="A36" s="217"/>
      <c r="B36" s="217"/>
      <c r="C36" s="217"/>
      <c r="D36" s="218"/>
      <c r="E36" s="217"/>
      <c r="F36" s="217"/>
      <c r="G36" s="217"/>
      <c r="H36" s="217"/>
      <c r="I36" s="217"/>
      <c r="J36" s="217"/>
    </row>
    <row r="37" spans="1:10" ht="13.15">
      <c r="A37" s="217"/>
      <c r="B37" s="217"/>
      <c r="C37" s="217"/>
      <c r="D37" s="218"/>
      <c r="E37" s="217"/>
      <c r="F37" s="217"/>
      <c r="G37" s="217"/>
      <c r="H37" s="217"/>
      <c r="I37" s="217"/>
      <c r="J37" s="217"/>
    </row>
  </sheetData>
  <sheetProtection selectLockedCells="1" selectUnlockedCells="1"/>
  <mergeCells count="2">
    <mergeCell ref="E5:F5"/>
    <mergeCell ref="E15:F15"/>
  </mergeCells>
  <printOptions gridLines="1"/>
  <pageMargins left="0.7" right="0.7" top="0.75" bottom="0.75" header="0.3" footer="0.3"/>
  <pageSetup paperSize="9" scale="7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30"/>
  <sheetViews>
    <sheetView topLeftCell="B7" zoomScaleNormal="100" workbookViewId="0">
      <selection activeCell="E13" sqref="E13"/>
    </sheetView>
  </sheetViews>
  <sheetFormatPr defaultColWidth="8.6640625" defaultRowHeight="12.75"/>
  <cols>
    <col min="1" max="1" width="8.6640625" style="123"/>
    <col min="2" max="2" width="9.46484375" style="123" bestFit="1" customWidth="1"/>
    <col min="3" max="3" width="19.46484375" style="123" customWidth="1"/>
    <col min="4" max="4" width="14.46484375" style="123" bestFit="1" customWidth="1"/>
    <col min="5" max="5" width="16" style="123" bestFit="1" customWidth="1"/>
    <col min="6" max="6" width="10.53125" style="123" customWidth="1"/>
    <col min="7" max="7" width="18.46484375" style="123" customWidth="1"/>
    <col min="8" max="8" width="15.33203125" style="123" customWidth="1"/>
    <col min="9" max="9" width="12.53125" style="123" bestFit="1" customWidth="1"/>
    <col min="10" max="10" width="13" style="123" bestFit="1" customWidth="1"/>
    <col min="11" max="12" width="13" style="123" customWidth="1"/>
    <col min="13" max="13" width="15.53125" style="123" customWidth="1"/>
    <col min="14" max="14" width="9.53125" style="123" bestFit="1" customWidth="1"/>
    <col min="15" max="16384" width="8.6640625" style="123"/>
  </cols>
  <sheetData>
    <row r="1" spans="1:14" ht="14.65" thickBot="1">
      <c r="A1" s="220"/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</row>
    <row r="2" spans="1:14" ht="21.4">
      <c r="A2" s="220"/>
      <c r="B2" s="1214" t="s">
        <v>4199</v>
      </c>
      <c r="C2" s="1215"/>
      <c r="D2" s="1215"/>
      <c r="E2" s="1215"/>
      <c r="F2" s="1215"/>
      <c r="G2" s="1215"/>
      <c r="H2" s="1215"/>
      <c r="I2" s="1215"/>
      <c r="J2" s="1215"/>
      <c r="K2" s="1215"/>
      <c r="L2" s="1215"/>
      <c r="M2" s="1216"/>
    </row>
    <row r="3" spans="1:14" ht="26.25">
      <c r="A3" s="220"/>
      <c r="B3" s="1217" t="s">
        <v>1289</v>
      </c>
      <c r="C3" s="1219" t="s">
        <v>1290</v>
      </c>
      <c r="D3" s="645" t="s">
        <v>1291</v>
      </c>
      <c r="E3" s="645" t="s">
        <v>1292</v>
      </c>
      <c r="F3" s="645" t="s">
        <v>1293</v>
      </c>
      <c r="G3" s="1219" t="s">
        <v>1294</v>
      </c>
      <c r="H3" s="1222" t="s">
        <v>1295</v>
      </c>
      <c r="I3" s="1219" t="s">
        <v>1296</v>
      </c>
      <c r="J3" s="645" t="s">
        <v>1297</v>
      </c>
      <c r="K3" s="648" t="s">
        <v>12</v>
      </c>
      <c r="L3" s="1224" t="s">
        <v>1298</v>
      </c>
      <c r="M3" s="1225"/>
    </row>
    <row r="4" spans="1:14" ht="14.65" thickBot="1">
      <c r="A4" s="220"/>
      <c r="B4" s="1218"/>
      <c r="C4" s="1220"/>
      <c r="D4" s="646"/>
      <c r="E4" s="646"/>
      <c r="F4" s="647" t="s">
        <v>1299</v>
      </c>
      <c r="G4" s="1221"/>
      <c r="H4" s="1223"/>
      <c r="I4" s="1221"/>
      <c r="J4" s="647"/>
      <c r="K4" s="647"/>
      <c r="L4" s="645" t="s">
        <v>1300</v>
      </c>
      <c r="M4" s="221" t="s">
        <v>1301</v>
      </c>
    </row>
    <row r="5" spans="1:14" ht="14.65" thickBot="1">
      <c r="A5" s="220"/>
      <c r="B5" s="222">
        <v>1</v>
      </c>
      <c r="C5" s="706" t="s">
        <v>4206</v>
      </c>
      <c r="D5" s="707">
        <v>45024</v>
      </c>
      <c r="E5" s="708" t="s">
        <v>4200</v>
      </c>
      <c r="F5" s="712" t="s">
        <v>1302</v>
      </c>
      <c r="G5" s="709">
        <v>7000000</v>
      </c>
      <c r="H5" s="709">
        <f>953264</f>
        <v>953264</v>
      </c>
      <c r="I5" s="709">
        <f>G5-H5</f>
        <v>6046736</v>
      </c>
      <c r="J5" s="709">
        <v>4000000</v>
      </c>
      <c r="K5" s="709">
        <f>+J5*18%</f>
        <v>720000</v>
      </c>
      <c r="M5" s="710">
        <f>+I5-J5</f>
        <v>2046736</v>
      </c>
      <c r="N5" s="223" t="s">
        <v>24</v>
      </c>
    </row>
    <row r="6" spans="1:14" ht="14.65" thickBot="1">
      <c r="A6" s="220"/>
      <c r="B6" s="652"/>
      <c r="C6" s="706" t="s">
        <v>4206</v>
      </c>
      <c r="D6" s="707">
        <v>45098</v>
      </c>
      <c r="E6" s="708" t="s">
        <v>4200</v>
      </c>
      <c r="F6" s="712" t="s">
        <v>1302</v>
      </c>
      <c r="G6" s="709">
        <v>1600000</v>
      </c>
      <c r="H6" s="709">
        <f>214184+33329</f>
        <v>247513</v>
      </c>
      <c r="I6" s="709">
        <f>G6-H6</f>
        <v>1352487</v>
      </c>
      <c r="J6" s="709">
        <v>1000000</v>
      </c>
      <c r="K6" s="709">
        <f>+J6*18%</f>
        <v>180000</v>
      </c>
      <c r="M6" s="710">
        <f t="shared" ref="M6:M12" si="0">+I6-J6</f>
        <v>352487</v>
      </c>
      <c r="N6" s="223"/>
    </row>
    <row r="7" spans="1:14" ht="14.65" thickBot="1">
      <c r="A7" s="220"/>
      <c r="B7" s="652"/>
      <c r="C7" s="706" t="s">
        <v>4206</v>
      </c>
      <c r="D7" s="711"/>
      <c r="E7" s="708" t="s">
        <v>4201</v>
      </c>
      <c r="F7" s="712" t="s">
        <v>1302</v>
      </c>
      <c r="G7" s="709">
        <v>950000</v>
      </c>
      <c r="H7" s="709">
        <v>146412</v>
      </c>
      <c r="I7" s="709">
        <f>G7-H7</f>
        <v>803588</v>
      </c>
      <c r="J7" s="709">
        <v>650000</v>
      </c>
      <c r="K7" s="709">
        <f>+J7*18%</f>
        <v>117000</v>
      </c>
      <c r="M7" s="710">
        <f t="shared" si="0"/>
        <v>153588</v>
      </c>
      <c r="N7" s="223"/>
    </row>
    <row r="8" spans="1:14" ht="14.65" thickBot="1">
      <c r="A8" s="220"/>
      <c r="B8" s="652"/>
      <c r="C8" s="706" t="s">
        <v>4206</v>
      </c>
      <c r="D8" s="711"/>
      <c r="E8" s="708" t="s">
        <v>4203</v>
      </c>
      <c r="F8" s="712" t="s">
        <v>4236</v>
      </c>
      <c r="G8" s="709">
        <v>600000</v>
      </c>
      <c r="H8" s="709">
        <v>0</v>
      </c>
      <c r="I8" s="709">
        <f>G8-H8</f>
        <v>600000</v>
      </c>
      <c r="J8" s="709">
        <v>600000</v>
      </c>
      <c r="K8" s="709">
        <f t="shared" ref="K8:K12" si="1">+J8*18%</f>
        <v>108000</v>
      </c>
      <c r="M8" s="710">
        <f t="shared" si="0"/>
        <v>0</v>
      </c>
      <c r="N8" s="223"/>
    </row>
    <row r="9" spans="1:14" ht="14.65" thickBot="1">
      <c r="A9" s="220"/>
      <c r="B9" s="652"/>
      <c r="C9" s="706" t="s">
        <v>4206</v>
      </c>
      <c r="D9" s="711"/>
      <c r="E9" s="708" t="s">
        <v>4203</v>
      </c>
      <c r="F9" s="712" t="s">
        <v>4236</v>
      </c>
      <c r="G9" s="709">
        <v>2000000</v>
      </c>
      <c r="H9" s="709">
        <v>0</v>
      </c>
      <c r="I9" s="709">
        <f t="shared" ref="I9:I12" si="2">G9-H9</f>
        <v>2000000</v>
      </c>
      <c r="J9" s="709">
        <v>2000000</v>
      </c>
      <c r="K9" s="709">
        <f t="shared" si="1"/>
        <v>360000</v>
      </c>
      <c r="M9" s="710">
        <f t="shared" si="0"/>
        <v>0</v>
      </c>
      <c r="N9" s="223"/>
    </row>
    <row r="10" spans="1:14" ht="14.65" thickBot="1">
      <c r="A10" s="220"/>
      <c r="B10" s="945"/>
      <c r="C10" s="706" t="s">
        <v>4206</v>
      </c>
      <c r="D10" s="711"/>
      <c r="E10" s="936" t="s">
        <v>4205</v>
      </c>
      <c r="F10" s="712" t="s">
        <v>4237</v>
      </c>
      <c r="G10" s="709">
        <v>488880</v>
      </c>
      <c r="H10" s="709"/>
      <c r="I10" s="709">
        <f t="shared" si="2"/>
        <v>488880</v>
      </c>
      <c r="J10" s="709">
        <v>488880</v>
      </c>
      <c r="K10" s="709">
        <f t="shared" si="1"/>
        <v>87998.399999999994</v>
      </c>
      <c r="M10" s="710">
        <f t="shared" si="0"/>
        <v>0</v>
      </c>
      <c r="N10" s="223"/>
    </row>
    <row r="11" spans="1:14" ht="14.65" thickBot="1">
      <c r="A11" s="220"/>
      <c r="B11" s="938"/>
      <c r="C11" s="706" t="s">
        <v>4206</v>
      </c>
      <c r="D11" s="940"/>
      <c r="E11" s="941" t="s">
        <v>4202</v>
      </c>
      <c r="F11" s="939" t="s">
        <v>2069</v>
      </c>
      <c r="G11" s="709">
        <v>250000</v>
      </c>
      <c r="H11" s="709"/>
      <c r="I11" s="709">
        <f t="shared" si="2"/>
        <v>250000</v>
      </c>
      <c r="J11" s="709">
        <v>250000</v>
      </c>
      <c r="K11" s="709">
        <f t="shared" si="1"/>
        <v>45000</v>
      </c>
      <c r="L11" s="262"/>
      <c r="M11" s="710">
        <f t="shared" si="0"/>
        <v>0</v>
      </c>
      <c r="N11" s="223"/>
    </row>
    <row r="12" spans="1:14" ht="14.25">
      <c r="A12" s="220"/>
      <c r="B12" s="938"/>
      <c r="C12" s="706" t="s">
        <v>4206</v>
      </c>
      <c r="D12" s="940"/>
      <c r="E12" s="941" t="s">
        <v>4202</v>
      </c>
      <c r="F12" s="939" t="s">
        <v>2069</v>
      </c>
      <c r="G12" s="709">
        <v>250000</v>
      </c>
      <c r="H12" s="709"/>
      <c r="I12" s="709">
        <f t="shared" si="2"/>
        <v>250000</v>
      </c>
      <c r="J12" s="709">
        <f>+G12</f>
        <v>250000</v>
      </c>
      <c r="K12" s="709">
        <f t="shared" si="1"/>
        <v>45000</v>
      </c>
      <c r="L12" s="262"/>
      <c r="M12" s="710">
        <f t="shared" si="0"/>
        <v>0</v>
      </c>
      <c r="N12" s="223"/>
    </row>
    <row r="13" spans="1:14" ht="14.25">
      <c r="A13" s="220"/>
      <c r="B13" s="946"/>
      <c r="C13" s="947"/>
      <c r="D13" s="948"/>
      <c r="E13" s="949"/>
      <c r="F13" s="947"/>
      <c r="G13" s="713">
        <f t="shared" ref="G13:M13" si="3">SUM(G5:G12)</f>
        <v>13138880</v>
      </c>
      <c r="H13" s="713">
        <f t="shared" si="3"/>
        <v>1347189</v>
      </c>
      <c r="I13" s="713">
        <f t="shared" si="3"/>
        <v>11791691</v>
      </c>
      <c r="J13" s="713">
        <f t="shared" si="3"/>
        <v>9238880</v>
      </c>
      <c r="K13" s="713">
        <f t="shared" si="3"/>
        <v>1662998.4</v>
      </c>
      <c r="L13" s="713">
        <f t="shared" si="3"/>
        <v>0</v>
      </c>
      <c r="M13" s="713">
        <f t="shared" si="3"/>
        <v>2552811</v>
      </c>
      <c r="N13" s="223"/>
    </row>
    <row r="14" spans="1:14" ht="14.25">
      <c r="A14" s="220"/>
      <c r="B14" s="938"/>
      <c r="C14" s="939" t="s">
        <v>3641</v>
      </c>
      <c r="D14" s="940"/>
      <c r="E14" s="941"/>
      <c r="F14" s="939"/>
      <c r="G14" s="709"/>
      <c r="H14" s="709"/>
      <c r="I14" s="709"/>
      <c r="J14" s="709"/>
      <c r="K14" s="709"/>
      <c r="L14" s="262"/>
      <c r="M14" s="709"/>
      <c r="N14" s="223"/>
    </row>
    <row r="15" spans="1:14" ht="14.25">
      <c r="A15" s="220"/>
      <c r="B15" s="938"/>
      <c r="C15" s="927" t="s">
        <v>2345</v>
      </c>
      <c r="D15" s="940"/>
      <c r="E15" s="927" t="s">
        <v>4138</v>
      </c>
      <c r="F15" s="939" t="s">
        <v>2084</v>
      </c>
      <c r="G15" s="709">
        <f>+vehicles!J229</f>
        <v>188651</v>
      </c>
      <c r="H15" s="709">
        <f>+G15</f>
        <v>188651</v>
      </c>
      <c r="I15" s="709">
        <v>0</v>
      </c>
      <c r="J15" s="709">
        <v>60000</v>
      </c>
      <c r="K15" s="709">
        <v>0</v>
      </c>
      <c r="L15" s="950">
        <f>+J15-I15</f>
        <v>60000</v>
      </c>
      <c r="M15" s="710">
        <v>0</v>
      </c>
      <c r="N15" s="223"/>
    </row>
    <row r="16" spans="1:14" ht="14.65" thickBot="1">
      <c r="A16" s="220"/>
      <c r="B16" s="938"/>
      <c r="C16" s="953"/>
      <c r="D16" s="954"/>
      <c r="E16" s="955"/>
      <c r="F16" s="953"/>
      <c r="G16" s="956">
        <f>+G15</f>
        <v>188651</v>
      </c>
      <c r="H16" s="957">
        <f>SUM(H15)</f>
        <v>188651</v>
      </c>
      <c r="I16" s="957">
        <f t="shared" ref="I16:M16" si="4">SUM(I15)</f>
        <v>0</v>
      </c>
      <c r="J16" s="957">
        <f t="shared" si="4"/>
        <v>60000</v>
      </c>
      <c r="K16" s="957">
        <f t="shared" si="4"/>
        <v>0</v>
      </c>
      <c r="L16" s="957">
        <f t="shared" si="4"/>
        <v>60000</v>
      </c>
      <c r="M16" s="957">
        <f t="shared" si="4"/>
        <v>0</v>
      </c>
      <c r="N16" s="223"/>
    </row>
    <row r="17" spans="1:14" ht="14.65" thickTop="1">
      <c r="A17" s="220"/>
      <c r="B17" s="938"/>
      <c r="C17" s="935"/>
      <c r="D17" s="951"/>
      <c r="E17" s="936"/>
      <c r="F17" s="935"/>
      <c r="G17" s="937"/>
      <c r="H17" s="937"/>
      <c r="I17" s="937"/>
      <c r="J17" s="937"/>
      <c r="K17" s="937"/>
      <c r="L17" s="952"/>
      <c r="M17" s="937"/>
      <c r="N17" s="223"/>
    </row>
    <row r="18" spans="1:14" ht="14.25">
      <c r="A18" s="220"/>
      <c r="B18" s="938"/>
      <c r="C18" s="939"/>
      <c r="D18" s="940"/>
      <c r="E18" s="941"/>
      <c r="F18" s="939"/>
      <c r="G18" s="709"/>
      <c r="H18" s="709"/>
      <c r="I18" s="709"/>
      <c r="J18" s="709"/>
      <c r="K18" s="709"/>
      <c r="L18" s="262"/>
      <c r="M18" s="709"/>
      <c r="N18" s="223"/>
    </row>
    <row r="19" spans="1:14" ht="14.65" thickBot="1">
      <c r="A19" s="220"/>
      <c r="B19" s="553"/>
      <c r="C19" s="224" t="s">
        <v>40</v>
      </c>
      <c r="D19" s="225"/>
      <c r="E19" s="225"/>
      <c r="F19" s="225"/>
      <c r="G19" s="226">
        <f>+G13+G16</f>
        <v>13327531</v>
      </c>
      <c r="H19" s="226">
        <f t="shared" ref="H19:M19" si="5">+H13+H16</f>
        <v>1535840</v>
      </c>
      <c r="I19" s="226">
        <f t="shared" si="5"/>
        <v>11791691</v>
      </c>
      <c r="J19" s="226">
        <f t="shared" si="5"/>
        <v>9298880</v>
      </c>
      <c r="K19" s="226">
        <f t="shared" si="5"/>
        <v>1662998.4</v>
      </c>
      <c r="L19" s="226">
        <f t="shared" si="5"/>
        <v>60000</v>
      </c>
      <c r="M19" s="226">
        <f t="shared" si="5"/>
        <v>2552811</v>
      </c>
    </row>
    <row r="20" spans="1:14" ht="14.65" thickTop="1">
      <c r="A20" s="220"/>
      <c r="B20" s="220"/>
      <c r="C20" s="220"/>
      <c r="D20" s="227" t="s">
        <v>1303</v>
      </c>
      <c r="E20" s="228"/>
      <c r="F20" s="228"/>
      <c r="G20" s="229">
        <f>+G19</f>
        <v>13327531</v>
      </c>
      <c r="H20" s="230" t="s">
        <v>24</v>
      </c>
      <c r="I20" s="230"/>
      <c r="J20" s="230"/>
      <c r="K20" s="230"/>
      <c r="L20" s="230" t="s">
        <v>24</v>
      </c>
      <c r="M20" s="230" t="s">
        <v>24</v>
      </c>
    </row>
    <row r="21" spans="1:14" ht="14.25">
      <c r="A21" s="220"/>
      <c r="B21" s="220"/>
      <c r="C21" s="220"/>
      <c r="D21" s="231" t="s">
        <v>1304</v>
      </c>
      <c r="E21" s="220"/>
      <c r="F21" s="220"/>
      <c r="G21" s="232">
        <f>+H19</f>
        <v>1535840</v>
      </c>
      <c r="H21" s="230"/>
      <c r="I21" s="230"/>
      <c r="J21" s="230"/>
      <c r="K21" s="230"/>
      <c r="L21" s="230"/>
      <c r="M21" s="230"/>
    </row>
    <row r="22" spans="1:14" ht="14.25">
      <c r="A22" s="220"/>
      <c r="B22" s="220"/>
      <c r="C22" s="220"/>
      <c r="D22" s="231" t="s">
        <v>1305</v>
      </c>
      <c r="E22" s="220"/>
      <c r="F22" s="220"/>
      <c r="G22" s="232">
        <f>G20-G21</f>
        <v>11791691</v>
      </c>
      <c r="H22" s="230"/>
      <c r="I22" s="230"/>
      <c r="J22" s="230"/>
      <c r="K22" s="230"/>
      <c r="L22" s="230"/>
      <c r="M22" s="230"/>
    </row>
    <row r="23" spans="1:14" ht="14.25">
      <c r="A23" s="220"/>
      <c r="B23" s="220"/>
      <c r="C23" s="220"/>
      <c r="D23" s="231" t="s">
        <v>1306</v>
      </c>
      <c r="E23" s="220"/>
      <c r="F23" s="220"/>
      <c r="G23" s="232">
        <f>+J19</f>
        <v>9298880</v>
      </c>
      <c r="H23" s="230"/>
      <c r="I23" s="230"/>
      <c r="J23" s="230"/>
      <c r="K23" s="230"/>
      <c r="L23" s="230"/>
      <c r="M23" s="230"/>
    </row>
    <row r="24" spans="1:14" ht="14.25">
      <c r="A24" s="220"/>
      <c r="B24" s="220"/>
      <c r="C24" s="220"/>
      <c r="D24" s="231" t="s">
        <v>1307</v>
      </c>
      <c r="E24" s="220"/>
      <c r="F24" s="220"/>
      <c r="G24" s="232">
        <f>+G22-G23</f>
        <v>2492811</v>
      </c>
      <c r="H24" s="230"/>
      <c r="I24" s="230"/>
      <c r="J24" s="230"/>
      <c r="K24" s="230"/>
      <c r="L24" s="230"/>
      <c r="M24" s="230"/>
    </row>
    <row r="25" spans="1:14" ht="14.25">
      <c r="A25" s="220"/>
      <c r="B25" s="220"/>
      <c r="C25" s="220"/>
      <c r="D25" s="231"/>
      <c r="E25" s="220"/>
      <c r="F25" s="220"/>
      <c r="G25" s="232"/>
      <c r="H25" s="230"/>
      <c r="I25" s="230"/>
      <c r="J25" s="230"/>
      <c r="K25" s="230"/>
      <c r="L25" s="230"/>
      <c r="M25" s="230"/>
    </row>
    <row r="26" spans="1:14" ht="14.25">
      <c r="A26" s="220"/>
      <c r="B26" s="220"/>
      <c r="C26" s="220"/>
      <c r="D26" s="231" t="s">
        <v>1308</v>
      </c>
      <c r="E26" s="220"/>
      <c r="F26" s="220" t="s">
        <v>1309</v>
      </c>
      <c r="G26" s="232">
        <f>+L19</f>
        <v>60000</v>
      </c>
      <c r="H26" s="230">
        <v>0</v>
      </c>
      <c r="I26" s="230" t="s">
        <v>24</v>
      </c>
      <c r="J26" s="230"/>
      <c r="K26" s="230"/>
      <c r="L26" s="230"/>
      <c r="M26" s="230"/>
    </row>
    <row r="27" spans="1:14" ht="14.25">
      <c r="A27" s="220"/>
      <c r="B27" s="220"/>
      <c r="C27" s="220"/>
      <c r="D27" s="231" t="s">
        <v>1310</v>
      </c>
      <c r="E27" s="220"/>
      <c r="F27" s="220" t="s">
        <v>1309</v>
      </c>
      <c r="G27" s="232">
        <f>+M19</f>
        <v>2552811</v>
      </c>
      <c r="H27" s="230" t="s">
        <v>24</v>
      </c>
      <c r="I27" s="230" t="s">
        <v>24</v>
      </c>
      <c r="J27" s="230"/>
      <c r="K27" s="230"/>
      <c r="L27" s="230"/>
      <c r="M27" s="230"/>
    </row>
    <row r="28" spans="1:14" ht="14.65" thickBot="1">
      <c r="A28" s="220"/>
      <c r="B28" s="220"/>
      <c r="C28" s="220"/>
      <c r="D28" s="233" t="s">
        <v>1307</v>
      </c>
      <c r="E28" s="234"/>
      <c r="F28" s="234"/>
      <c r="G28" s="235">
        <f>+G26-G27</f>
        <v>-2492811</v>
      </c>
      <c r="H28" s="230" t="s">
        <v>24</v>
      </c>
      <c r="I28" s="230"/>
      <c r="J28" s="230"/>
      <c r="K28" s="230"/>
      <c r="L28" s="230"/>
      <c r="M28" s="230"/>
    </row>
    <row r="30" spans="1:14">
      <c r="E30" s="123" t="s">
        <v>24</v>
      </c>
    </row>
  </sheetData>
  <mergeCells count="7">
    <mergeCell ref="B2:M2"/>
    <mergeCell ref="B3:B4"/>
    <mergeCell ref="C3:C4"/>
    <mergeCell ref="G3:G4"/>
    <mergeCell ref="H3:H4"/>
    <mergeCell ref="I3:I4"/>
    <mergeCell ref="L3:M3"/>
  </mergeCells>
  <conditionalFormatting sqref="C15">
    <cfRule type="expression" dxfId="9" priority="2">
      <formula>$A15&lt;&gt;""</formula>
    </cfRule>
  </conditionalFormatting>
  <conditionalFormatting sqref="E15">
    <cfRule type="expression" dxfId="8" priority="1">
      <formula>$A15&lt;&gt;""</formula>
    </cfRule>
  </conditionalFormatting>
  <pageMargins left="0.70866141732283472" right="0.70866141732283472" top="0.74803149606299213" bottom="0.74803149606299213" header="0.31496062992125984" footer="0.31496062992125984"/>
  <pageSetup paperSize="9" scale="76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38"/>
  <sheetViews>
    <sheetView zoomScale="130" zoomScaleNormal="130" workbookViewId="0">
      <selection activeCell="A3" sqref="A3"/>
    </sheetView>
  </sheetViews>
  <sheetFormatPr defaultColWidth="8.6640625" defaultRowHeight="12.75"/>
  <cols>
    <col min="1" max="1" width="8.6640625" style="123"/>
    <col min="2" max="2" width="60.46484375" style="123" bestFit="1" customWidth="1"/>
    <col min="3" max="4" width="10" style="123" bestFit="1" customWidth="1"/>
    <col min="5" max="5" width="9.53125" style="123" bestFit="1" customWidth="1"/>
    <col min="6" max="6" width="12" style="123" bestFit="1" customWidth="1"/>
    <col min="7" max="7" width="10.33203125" style="123" customWidth="1"/>
    <col min="8" max="8" width="12.1328125" style="123" bestFit="1" customWidth="1"/>
    <col min="9" max="10" width="12.33203125" style="123" customWidth="1"/>
    <col min="11" max="16384" width="8.6640625" style="123"/>
  </cols>
  <sheetData>
    <row r="1" spans="1:10" ht="15.75">
      <c r="A1" s="151"/>
      <c r="B1" s="236" t="s">
        <v>1311</v>
      </c>
      <c r="C1" s="150"/>
      <c r="D1" s="150"/>
      <c r="E1" s="150"/>
      <c r="F1" s="237"/>
      <c r="G1" s="150"/>
      <c r="H1" s="150"/>
      <c r="I1" s="150"/>
      <c r="J1" s="150"/>
    </row>
    <row r="2" spans="1:10" ht="14.25">
      <c r="A2" s="151"/>
      <c r="B2" s="238" t="s">
        <v>24</v>
      </c>
      <c r="C2" s="150"/>
      <c r="D2" s="150"/>
      <c r="E2" s="150"/>
      <c r="F2" s="239"/>
      <c r="G2" s="150"/>
      <c r="H2" s="150"/>
      <c r="I2" s="150"/>
      <c r="J2" s="150"/>
    </row>
    <row r="3" spans="1:10" ht="15.75">
      <c r="A3" s="151"/>
      <c r="B3" s="240" t="s">
        <v>1312</v>
      </c>
      <c r="C3" s="150"/>
      <c r="D3" s="150"/>
      <c r="E3" s="150"/>
      <c r="F3" s="239"/>
      <c r="G3" s="150"/>
      <c r="H3" s="150"/>
      <c r="I3" s="150"/>
      <c r="J3" s="150"/>
    </row>
    <row r="4" spans="1:10" ht="15.75">
      <c r="A4" s="151"/>
      <c r="B4" s="650" t="s">
        <v>3672</v>
      </c>
      <c r="C4" s="150"/>
      <c r="D4" s="150"/>
      <c r="E4" s="150"/>
      <c r="F4" s="150"/>
      <c r="G4" s="150"/>
      <c r="H4" s="150"/>
      <c r="I4" s="150"/>
      <c r="J4" s="150"/>
    </row>
    <row r="5" spans="1:10" ht="65.650000000000006">
      <c r="A5" s="151"/>
      <c r="B5" s="241" t="s">
        <v>888</v>
      </c>
      <c r="C5" s="242" t="s">
        <v>1313</v>
      </c>
      <c r="D5" s="242" t="s">
        <v>1314</v>
      </c>
      <c r="E5" s="243" t="s">
        <v>1315</v>
      </c>
      <c r="F5" s="243" t="s">
        <v>3687</v>
      </c>
      <c r="G5" s="243" t="s">
        <v>3686</v>
      </c>
      <c r="H5" s="243" t="s">
        <v>1316</v>
      </c>
      <c r="I5" s="243" t="s">
        <v>1317</v>
      </c>
      <c r="J5" s="243" t="s">
        <v>4197</v>
      </c>
    </row>
    <row r="6" spans="1:10" ht="13.15">
      <c r="A6" s="151"/>
      <c r="B6" s="244" t="s">
        <v>4196</v>
      </c>
      <c r="C6" s="245">
        <f>+'IT DEp 24'!J13/10^5</f>
        <v>29556.776002546187</v>
      </c>
      <c r="D6" s="245">
        <f>+note12!K19</f>
        <v>31175.174268565079</v>
      </c>
      <c r="E6" s="245">
        <f>+D6-C6</f>
        <v>1618.3982660188922</v>
      </c>
      <c r="F6" s="245">
        <f>E6*25.168%</f>
        <v>407.31847559163481</v>
      </c>
      <c r="G6" s="245">
        <f>+J23</f>
        <v>270.15436960000034</v>
      </c>
      <c r="H6" s="246">
        <f>+F6-G6</f>
        <v>137.16410599163447</v>
      </c>
      <c r="I6" s="246">
        <v>0</v>
      </c>
      <c r="J6" s="246">
        <f>+G6+H6+I6</f>
        <v>407.31847559163481</v>
      </c>
    </row>
    <row r="7" spans="1:10" ht="13.15">
      <c r="A7" s="151"/>
      <c r="B7" s="244" t="s">
        <v>1318</v>
      </c>
      <c r="C7" s="245"/>
      <c r="D7" s="245">
        <v>0</v>
      </c>
      <c r="E7" s="245">
        <v>0</v>
      </c>
      <c r="F7" s="245">
        <v>0</v>
      </c>
      <c r="G7" s="245">
        <v>0</v>
      </c>
      <c r="H7" s="246">
        <f>+F7-G7</f>
        <v>0</v>
      </c>
      <c r="I7" s="246">
        <v>0</v>
      </c>
      <c r="J7" s="246">
        <f>+G7+H7+I7</f>
        <v>0</v>
      </c>
    </row>
    <row r="8" spans="1:10" ht="13.15">
      <c r="A8" s="151"/>
      <c r="B8" s="244"/>
      <c r="C8" s="247"/>
      <c r="D8" s="248" t="s">
        <v>24</v>
      </c>
      <c r="E8" s="248" t="s">
        <v>24</v>
      </c>
      <c r="F8" s="248">
        <f t="shared" ref="F8:I8" si="0">SUM(F6:F7)</f>
        <v>407.31847559163481</v>
      </c>
      <c r="G8" s="248">
        <f t="shared" si="0"/>
        <v>270.15436960000034</v>
      </c>
      <c r="H8" s="248">
        <f t="shared" si="0"/>
        <v>137.16410599163447</v>
      </c>
      <c r="I8" s="248">
        <f t="shared" si="0"/>
        <v>0</v>
      </c>
      <c r="J8" s="249">
        <f>+G8+H8+I8</f>
        <v>407.31847559163481</v>
      </c>
    </row>
    <row r="9" spans="1:10" ht="13.15">
      <c r="A9" s="151"/>
      <c r="B9" s="250" t="s">
        <v>1319</v>
      </c>
      <c r="C9" s="245"/>
      <c r="D9" s="245" t="s">
        <v>1320</v>
      </c>
      <c r="E9" s="245" t="s">
        <v>24</v>
      </c>
      <c r="F9" s="245" t="s">
        <v>24</v>
      </c>
      <c r="G9" s="245" t="s">
        <v>24</v>
      </c>
      <c r="H9" s="246" t="s">
        <v>24</v>
      </c>
      <c r="I9" s="246"/>
      <c r="J9" s="246"/>
    </row>
    <row r="10" spans="1:10" ht="13.15">
      <c r="A10" s="151"/>
      <c r="B10" s="250" t="s">
        <v>1321</v>
      </c>
      <c r="C10" s="245">
        <v>0</v>
      </c>
      <c r="D10" s="246">
        <f>228.92+50+100</f>
        <v>378.91999999999996</v>
      </c>
      <c r="E10" s="245">
        <f>+D10</f>
        <v>378.91999999999996</v>
      </c>
      <c r="F10" s="245">
        <f>E10*25.168%</f>
        <v>95.366585599999993</v>
      </c>
      <c r="G10" s="245">
        <f>+J27</f>
        <v>61.549092799999997</v>
      </c>
      <c r="H10" s="246">
        <f>+F10-G10</f>
        <v>33.817492799999997</v>
      </c>
      <c r="I10" s="246">
        <v>-12.1</v>
      </c>
      <c r="J10" s="246">
        <f>+G10+H10+I10</f>
        <v>83.266585599999999</v>
      </c>
    </row>
    <row r="11" spans="1:10" ht="13.15">
      <c r="A11" s="151"/>
      <c r="B11" s="250"/>
      <c r="C11" s="245"/>
      <c r="D11" s="246" t="s">
        <v>24</v>
      </c>
      <c r="E11" s="245" t="s">
        <v>24</v>
      </c>
      <c r="F11" s="245" t="s">
        <v>24</v>
      </c>
      <c r="G11" s="245" t="s">
        <v>24</v>
      </c>
      <c r="H11" s="246"/>
      <c r="I11" s="246" t="s">
        <v>24</v>
      </c>
      <c r="J11" s="246" t="s">
        <v>24</v>
      </c>
    </row>
    <row r="12" spans="1:10" ht="13.15">
      <c r="A12" s="151"/>
      <c r="B12" s="250" t="s">
        <v>1322</v>
      </c>
      <c r="C12" s="245"/>
      <c r="D12" s="246">
        <v>145.05000000000001</v>
      </c>
      <c r="E12" s="245">
        <f>+D12</f>
        <v>145.05000000000001</v>
      </c>
      <c r="F12" s="245">
        <f>E12*25.168%</f>
        <v>36.506184000000005</v>
      </c>
      <c r="G12" s="245">
        <f>+J29</f>
        <v>35.260000000000005</v>
      </c>
      <c r="H12" s="246">
        <f>+F12-G12</f>
        <v>1.2461839999999995</v>
      </c>
      <c r="I12" s="246"/>
      <c r="J12" s="246">
        <f>+G12+H12+I12</f>
        <v>36.506184000000005</v>
      </c>
    </row>
    <row r="13" spans="1:10" ht="13.15">
      <c r="A13" s="151"/>
      <c r="B13" s="244" t="s">
        <v>1323</v>
      </c>
      <c r="C13" s="251"/>
      <c r="D13" s="246">
        <v>84.66</v>
      </c>
      <c r="E13" s="245">
        <f>+D13</f>
        <v>84.66</v>
      </c>
      <c r="F13" s="245">
        <f>E13*25.168%</f>
        <v>21.307228800000001</v>
      </c>
      <c r="G13" s="245">
        <f>+J30</f>
        <v>12.475777600000001</v>
      </c>
      <c r="H13" s="246">
        <f>+F13-G13</f>
        <v>8.8314512000000001</v>
      </c>
      <c r="I13" s="246"/>
      <c r="J13" s="246">
        <f t="shared" ref="J13" si="1">+G13+H13+I13</f>
        <v>21.307228800000001</v>
      </c>
    </row>
    <row r="14" spans="1:10" ht="13.15">
      <c r="A14" s="151"/>
      <c r="B14" s="252" t="s">
        <v>1324</v>
      </c>
      <c r="C14" s="251"/>
      <c r="D14" s="251"/>
      <c r="E14" s="251"/>
      <c r="F14" s="251"/>
      <c r="G14" s="251"/>
      <c r="H14" s="253" t="s">
        <v>24</v>
      </c>
      <c r="I14" s="253"/>
      <c r="J14" s="253"/>
    </row>
    <row r="15" spans="1:10" ht="13.15">
      <c r="A15" s="151"/>
      <c r="B15" s="254" t="s">
        <v>1334</v>
      </c>
      <c r="C15" s="255"/>
      <c r="D15" s="255"/>
      <c r="E15" s="255"/>
      <c r="F15" s="256">
        <f>SUM(F10:F14)</f>
        <v>153.17999839999999</v>
      </c>
      <c r="G15" s="256">
        <f>SUM(G10:G14)</f>
        <v>109.2848704</v>
      </c>
      <c r="H15" s="256">
        <f t="shared" ref="H15:I15" si="2">SUM(H10:H14)</f>
        <v>43.895128</v>
      </c>
      <c r="I15" s="256">
        <f t="shared" si="2"/>
        <v>-12.1</v>
      </c>
      <c r="J15" s="249">
        <f t="shared" ref="J15" si="3">+G15+H15+I15</f>
        <v>141.07999839999999</v>
      </c>
    </row>
    <row r="16" spans="1:10" ht="13.15">
      <c r="A16" s="151"/>
      <c r="B16" s="257"/>
      <c r="C16" s="258"/>
      <c r="D16" s="258"/>
      <c r="E16" s="258"/>
      <c r="F16" s="259"/>
      <c r="G16" s="259"/>
      <c r="H16" s="259"/>
      <c r="I16" s="259"/>
      <c r="J16" s="260"/>
    </row>
    <row r="17" spans="1:10" ht="13.15">
      <c r="A17" s="151"/>
      <c r="B17" s="252" t="s">
        <v>1326</v>
      </c>
      <c r="C17" s="261"/>
      <c r="D17" s="261"/>
      <c r="E17" s="261"/>
      <c r="F17" s="253">
        <f>+F8-F15</f>
        <v>254.13847719163482</v>
      </c>
      <c r="G17" s="651">
        <f t="shared" ref="G17:I17" si="4">+G8-G15</f>
        <v>160.86949920000035</v>
      </c>
      <c r="H17" s="651">
        <f t="shared" si="4"/>
        <v>93.268977991634472</v>
      </c>
      <c r="I17" s="651">
        <f t="shared" si="4"/>
        <v>12.1</v>
      </c>
      <c r="J17" s="253">
        <f>+G17+H17+I17</f>
        <v>266.23847719163484</v>
      </c>
    </row>
    <row r="18" spans="1:10" ht="13.15">
      <c r="A18" s="151"/>
      <c r="B18" s="244"/>
      <c r="C18" s="251"/>
      <c r="D18" s="251"/>
      <c r="E18" s="251"/>
      <c r="F18" s="253"/>
      <c r="G18" s="253"/>
      <c r="H18" s="262"/>
      <c r="I18" s="262"/>
      <c r="J18" s="262"/>
    </row>
    <row r="19" spans="1:10" ht="13.15">
      <c r="A19" s="151"/>
      <c r="B19" s="244" t="s">
        <v>1327</v>
      </c>
      <c r="C19" s="251"/>
      <c r="D19" s="251"/>
      <c r="E19" s="251"/>
      <c r="F19" s="246" t="s">
        <v>24</v>
      </c>
      <c r="G19" s="251" t="s">
        <v>24</v>
      </c>
      <c r="H19" s="263" t="s">
        <v>1328</v>
      </c>
      <c r="I19" s="263" t="s">
        <v>1329</v>
      </c>
      <c r="J19" s="263" t="s">
        <v>1330</v>
      </c>
    </row>
    <row r="20" spans="1:10" ht="15.75">
      <c r="A20" s="151"/>
      <c r="B20" s="240"/>
      <c r="C20" s="150"/>
      <c r="D20" s="150"/>
      <c r="E20" s="150"/>
      <c r="F20" s="239"/>
      <c r="G20" s="150"/>
      <c r="H20" s="150">
        <f>+H17*10^5</f>
        <v>9326897.7991634477</v>
      </c>
      <c r="I20" s="150"/>
      <c r="J20" s="150"/>
    </row>
    <row r="21" spans="1:10" ht="14.25">
      <c r="A21" s="150"/>
      <c r="B21" s="649" t="s">
        <v>1332</v>
      </c>
      <c r="C21" s="150"/>
      <c r="D21" s="150"/>
      <c r="E21" s="150"/>
      <c r="F21" s="150"/>
      <c r="G21" s="150"/>
      <c r="H21" s="150"/>
      <c r="I21" s="150"/>
      <c r="J21" s="150"/>
    </row>
    <row r="22" spans="1:10" ht="65.650000000000006">
      <c r="A22" s="150"/>
      <c r="B22" s="241" t="s">
        <v>888</v>
      </c>
      <c r="C22" s="242" t="s">
        <v>1313</v>
      </c>
      <c r="D22" s="242" t="s">
        <v>1314</v>
      </c>
      <c r="E22" s="243" t="s">
        <v>1315</v>
      </c>
      <c r="F22" s="243" t="s">
        <v>1337</v>
      </c>
      <c r="G22" s="243" t="s">
        <v>1336</v>
      </c>
      <c r="H22" s="243" t="s">
        <v>1316</v>
      </c>
      <c r="I22" s="243" t="s">
        <v>1317</v>
      </c>
      <c r="J22" s="243" t="s">
        <v>1335</v>
      </c>
    </row>
    <row r="23" spans="1:10" ht="13.15">
      <c r="A23" s="150"/>
      <c r="B23" s="244" t="s">
        <v>1333</v>
      </c>
      <c r="C23" s="245">
        <v>26758.28</v>
      </c>
      <c r="D23" s="245">
        <v>27839.75</v>
      </c>
      <c r="E23" s="245">
        <f>+D23-C23</f>
        <v>1081.4700000000012</v>
      </c>
      <c r="F23" s="245">
        <f>E23*25.168%-2.03</f>
        <v>270.15436960000034</v>
      </c>
      <c r="G23" s="245">
        <v>13.34</v>
      </c>
      <c r="H23" s="246">
        <f>+F23-G23</f>
        <v>256.81436960000036</v>
      </c>
      <c r="I23" s="246">
        <v>0</v>
      </c>
      <c r="J23" s="246">
        <f>+G23+H23+I23</f>
        <v>270.15436960000034</v>
      </c>
    </row>
    <row r="24" spans="1:10" ht="13.15">
      <c r="A24" s="150"/>
      <c r="B24" s="244" t="s">
        <v>1318</v>
      </c>
      <c r="C24" s="245"/>
      <c r="D24" s="245">
        <v>0</v>
      </c>
      <c r="E24" s="245">
        <v>0</v>
      </c>
      <c r="F24" s="245">
        <v>0</v>
      </c>
      <c r="G24" s="245">
        <v>0</v>
      </c>
      <c r="H24" s="246">
        <f>+F24-G24</f>
        <v>0</v>
      </c>
      <c r="I24" s="246">
        <v>0</v>
      </c>
      <c r="J24" s="246">
        <f>+G24+H24+I24</f>
        <v>0</v>
      </c>
    </row>
    <row r="25" spans="1:10" ht="13.15">
      <c r="A25" s="150"/>
      <c r="B25" s="244"/>
      <c r="C25" s="247"/>
      <c r="D25" s="248" t="s">
        <v>24</v>
      </c>
      <c r="E25" s="248" t="s">
        <v>24</v>
      </c>
      <c r="F25" s="248">
        <f t="shared" ref="F25:I25" si="5">SUM(F23:F24)</f>
        <v>270.15436960000034</v>
      </c>
      <c r="G25" s="248">
        <f t="shared" si="5"/>
        <v>13.34</v>
      </c>
      <c r="H25" s="248">
        <f t="shared" si="5"/>
        <v>256.81436960000036</v>
      </c>
      <c r="I25" s="248">
        <f t="shared" si="5"/>
        <v>0</v>
      </c>
      <c r="J25" s="249">
        <f>+G25+H25+I25</f>
        <v>270.15436960000034</v>
      </c>
    </row>
    <row r="26" spans="1:10" ht="13.15">
      <c r="A26" s="150"/>
      <c r="B26" s="250" t="s">
        <v>1319</v>
      </c>
      <c r="C26" s="245"/>
      <c r="D26" s="245" t="s">
        <v>1320</v>
      </c>
      <c r="E26" s="245" t="s">
        <v>24</v>
      </c>
      <c r="F26" s="245" t="s">
        <v>24</v>
      </c>
      <c r="G26" s="245" t="s">
        <v>24</v>
      </c>
      <c r="H26" s="246" t="s">
        <v>24</v>
      </c>
      <c r="I26" s="246"/>
      <c r="J26" s="246"/>
    </row>
    <row r="27" spans="1:10" ht="13.15">
      <c r="A27" s="150"/>
      <c r="B27" s="250" t="s">
        <v>1321</v>
      </c>
      <c r="C27" s="245">
        <v>0</v>
      </c>
      <c r="D27" s="246">
        <f>228.92+51.79</f>
        <v>280.70999999999998</v>
      </c>
      <c r="E27" s="245">
        <f>+D27</f>
        <v>280.70999999999998</v>
      </c>
      <c r="F27" s="245">
        <f>E27*25.168%-0.01</f>
        <v>70.6390928</v>
      </c>
      <c r="G27" s="245">
        <v>64.86</v>
      </c>
      <c r="H27" s="246">
        <f>+F27-G27</f>
        <v>5.7790928000000008</v>
      </c>
      <c r="I27" s="246">
        <v>-9.09</v>
      </c>
      <c r="J27" s="246">
        <f>+G27+H27+I27</f>
        <v>61.549092799999997</v>
      </c>
    </row>
    <row r="28" spans="1:10" ht="13.15">
      <c r="A28" s="150"/>
      <c r="B28" s="250"/>
      <c r="C28" s="245"/>
      <c r="D28" s="246">
        <v>0</v>
      </c>
      <c r="E28" s="245">
        <v>0</v>
      </c>
      <c r="F28" s="245">
        <v>0</v>
      </c>
      <c r="G28" s="245">
        <v>0</v>
      </c>
      <c r="H28" s="246"/>
      <c r="I28" s="246">
        <v>0</v>
      </c>
      <c r="J28" s="246">
        <f>+G28+H28+I28</f>
        <v>0</v>
      </c>
    </row>
    <row r="29" spans="1:10" ht="13.15">
      <c r="A29" s="150"/>
      <c r="B29" s="250" t="s">
        <v>1322</v>
      </c>
      <c r="C29" s="245"/>
      <c r="D29" s="246">
        <v>140.1</v>
      </c>
      <c r="E29" s="245">
        <f>+D29</f>
        <v>140.1</v>
      </c>
      <c r="F29" s="245">
        <f>E29*25.168%</f>
        <v>35.260368</v>
      </c>
      <c r="G29" s="245">
        <v>32.770000000000003</v>
      </c>
      <c r="H29" s="246">
        <v>2.4900000000000002</v>
      </c>
      <c r="I29" s="246"/>
      <c r="J29" s="246">
        <f>+G29+H29+I29</f>
        <v>35.260000000000005</v>
      </c>
    </row>
    <row r="30" spans="1:10" ht="13.15">
      <c r="A30" s="150"/>
      <c r="B30" s="244" t="s">
        <v>3673</v>
      </c>
      <c r="C30" s="251"/>
      <c r="D30" s="251"/>
      <c r="E30" s="245">
        <v>49.57</v>
      </c>
      <c r="F30" s="245">
        <f>E30*25.168%</f>
        <v>12.475777600000001</v>
      </c>
      <c r="G30" s="245">
        <v>5.54</v>
      </c>
      <c r="H30" s="246">
        <f>+F30-G30</f>
        <v>6.9357776000000007</v>
      </c>
      <c r="I30" s="246"/>
      <c r="J30" s="246">
        <f t="shared" ref="J30:J34" si="6">+G30+H30+I30</f>
        <v>12.475777600000001</v>
      </c>
    </row>
    <row r="31" spans="1:10" ht="13.15">
      <c r="A31" s="150"/>
      <c r="B31" s="252" t="s">
        <v>1324</v>
      </c>
      <c r="C31" s="251"/>
      <c r="D31" s="251"/>
      <c r="E31" s="251"/>
      <c r="F31" s="251"/>
      <c r="G31" s="251"/>
      <c r="H31" s="253" t="s">
        <v>24</v>
      </c>
      <c r="I31" s="253"/>
      <c r="J31" s="253"/>
    </row>
    <row r="32" spans="1:10" ht="13.15">
      <c r="A32" s="150"/>
      <c r="B32" s="254" t="s">
        <v>1325</v>
      </c>
      <c r="C32" s="255"/>
      <c r="D32" s="255"/>
      <c r="E32" s="255"/>
      <c r="F32" s="256">
        <f>SUM(F27:F31)</f>
        <v>118.3752384</v>
      </c>
      <c r="G32" s="256">
        <f>SUM(G27:G31)</f>
        <v>103.17</v>
      </c>
      <c r="H32" s="256">
        <f t="shared" ref="H32:I32" si="7">SUM(H27:H31)</f>
        <v>15.204870400000001</v>
      </c>
      <c r="I32" s="256">
        <f t="shared" si="7"/>
        <v>-9.09</v>
      </c>
      <c r="J32" s="249">
        <f t="shared" si="6"/>
        <v>109.2848704</v>
      </c>
    </row>
    <row r="33" spans="1:10" ht="13.15">
      <c r="A33" s="150"/>
      <c r="B33" s="257"/>
      <c r="C33" s="258"/>
      <c r="D33" s="258"/>
      <c r="E33" s="258"/>
      <c r="F33" s="259"/>
      <c r="G33" s="259"/>
      <c r="H33" s="259"/>
      <c r="I33" s="259"/>
      <c r="J33" s="260"/>
    </row>
    <row r="34" spans="1:10" ht="13.15">
      <c r="A34" s="150"/>
      <c r="B34" s="252" t="s">
        <v>1326</v>
      </c>
      <c r="C34" s="261"/>
      <c r="D34" s="261"/>
      <c r="E34" s="261"/>
      <c r="F34" s="253">
        <f>+F25-F32</f>
        <v>151.77913120000034</v>
      </c>
      <c r="G34" s="651">
        <f t="shared" ref="G34:I34" si="8">+G25-G32</f>
        <v>-89.83</v>
      </c>
      <c r="H34" s="651">
        <f t="shared" si="8"/>
        <v>241.60949920000036</v>
      </c>
      <c r="I34" s="651">
        <f t="shared" si="8"/>
        <v>9.09</v>
      </c>
      <c r="J34" s="253">
        <f t="shared" si="6"/>
        <v>160.86949920000038</v>
      </c>
    </row>
    <row r="35" spans="1:10" ht="13.15">
      <c r="A35" s="150"/>
      <c r="B35" s="244"/>
      <c r="C35" s="251"/>
      <c r="D35" s="251"/>
      <c r="E35" s="251"/>
      <c r="F35" s="253"/>
      <c r="G35" s="253"/>
      <c r="H35" s="262"/>
      <c r="I35" s="262"/>
      <c r="J35" s="262"/>
    </row>
    <row r="36" spans="1:10" ht="13.15">
      <c r="A36" s="150"/>
      <c r="B36" s="244" t="s">
        <v>1327</v>
      </c>
      <c r="C36" s="251"/>
      <c r="D36" s="251"/>
      <c r="E36" s="251"/>
      <c r="F36" s="246" t="s">
        <v>24</v>
      </c>
      <c r="G36" s="251" t="s">
        <v>24</v>
      </c>
      <c r="H36" s="263" t="s">
        <v>1328</v>
      </c>
      <c r="I36" s="263" t="s">
        <v>1329</v>
      </c>
      <c r="J36" s="263" t="s">
        <v>1330</v>
      </c>
    </row>
    <row r="37" spans="1:10" ht="13.15">
      <c r="A37" s="150"/>
      <c r="B37" s="150"/>
      <c r="C37" s="150"/>
      <c r="D37" s="150"/>
      <c r="E37" s="150"/>
      <c r="F37" s="264"/>
      <c r="G37" s="265"/>
      <c r="H37" s="150"/>
      <c r="I37" s="150"/>
      <c r="J37" s="150"/>
    </row>
    <row r="38" spans="1:10">
      <c r="H38" s="158">
        <f>+H34-241.6</f>
        <v>9.4992000003628618E-3</v>
      </c>
    </row>
  </sheetData>
  <sheetProtection algorithmName="SHA-512" hashValue="8az2QeQMiKovenzOMe9a5mIfcctBtuf+C9rN/7mn9igAcb5flyjyDxd3nNfIJgLBvJV35N3HCXA/RjYEQFDtWw==" saltValue="QupV/f2Lj1hTRtulhmsKzA==" spinCount="100000" sheet="1" formatCells="0" formatColumns="0" formatRows="0" insertColumns="0" insertRows="0" insertHyperlinks="0" deleteColumns="0" deleteRows="0"/>
  <pageMargins left="0.7" right="0.7" top="0.75" bottom="0.75" header="0.3" footer="0.3"/>
  <pageSetup paperSize="9" scale="7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AF1088"/>
  <sheetViews>
    <sheetView showGridLines="0" zoomScaleNormal="100" zoomScaleSheetLayoutView="100" workbookViewId="0">
      <pane ySplit="3" topLeftCell="A176" activePane="bottomLeft" state="frozen"/>
      <selection activeCell="O20" sqref="O20"/>
      <selection pane="bottomLeft" activeCell="K179" sqref="K179"/>
    </sheetView>
  </sheetViews>
  <sheetFormatPr defaultColWidth="8.86328125" defaultRowHeight="14.25"/>
  <cols>
    <col min="1" max="1" width="8.86328125" style="6"/>
    <col min="2" max="2" width="7.86328125" style="6" customWidth="1"/>
    <col min="3" max="3" width="20.6640625" style="6" customWidth="1"/>
    <col min="4" max="4" width="18.33203125" style="6" customWidth="1"/>
    <col min="5" max="5" width="17.6640625" style="6" customWidth="1"/>
    <col min="6" max="6" width="13.33203125" style="6" bestFit="1" customWidth="1"/>
    <col min="7" max="7" width="12.53125" style="6" bestFit="1" customWidth="1"/>
    <col min="8" max="8" width="22.86328125" style="6" customWidth="1"/>
    <col min="9" max="9" width="14.6640625" style="6" customWidth="1"/>
    <col min="10" max="10" width="13.86328125" style="6" customWidth="1"/>
    <col min="11" max="11" width="13.1328125" style="6" customWidth="1"/>
    <col min="12" max="12" width="13.33203125" style="6" customWidth="1"/>
    <col min="13" max="13" width="12.33203125" style="6" bestFit="1" customWidth="1"/>
    <col min="14" max="14" width="13.6640625" style="6" customWidth="1"/>
    <col min="15" max="15" width="12.53125" style="6" bestFit="1" customWidth="1"/>
    <col min="16" max="16" width="13.86328125" style="6" bestFit="1" customWidth="1"/>
    <col min="17" max="17" width="12.6640625" style="6" bestFit="1" customWidth="1"/>
    <col min="18" max="18" width="13.46484375" style="6" customWidth="1"/>
    <col min="19" max="19" width="13.6640625" style="6" customWidth="1"/>
    <col min="20" max="20" width="13.1328125" style="6" customWidth="1"/>
    <col min="21" max="21" width="13.33203125" style="6" customWidth="1"/>
    <col min="22" max="22" width="12.6640625" style="6" bestFit="1" customWidth="1"/>
    <col min="23" max="16384" width="8.86328125" style="6"/>
  </cols>
  <sheetData>
    <row r="1" spans="2:32" ht="23.25" customHeight="1">
      <c r="B1" s="1"/>
      <c r="C1" s="2" t="s">
        <v>0</v>
      </c>
      <c r="D1" s="1"/>
      <c r="E1" s="1"/>
      <c r="F1" s="1"/>
      <c r="G1" s="1"/>
      <c r="H1" s="1"/>
      <c r="I1" s="1"/>
      <c r="J1" s="3"/>
      <c r="K1" s="3"/>
      <c r="L1" s="3"/>
      <c r="M1" s="3"/>
      <c r="N1" s="3"/>
      <c r="O1" s="73">
        <v>45016</v>
      </c>
      <c r="P1" s="5"/>
      <c r="Q1" s="5"/>
      <c r="R1" s="5"/>
      <c r="S1" s="5"/>
      <c r="T1" s="5"/>
      <c r="U1" s="5"/>
    </row>
    <row r="2" spans="2:32" ht="23.25" customHeight="1">
      <c r="B2" s="1"/>
      <c r="C2" s="2" t="s">
        <v>51</v>
      </c>
      <c r="D2" s="1"/>
      <c r="E2" s="1"/>
      <c r="F2" s="1"/>
      <c r="G2" s="1"/>
      <c r="H2" s="1"/>
      <c r="I2" s="1"/>
      <c r="J2" s="3"/>
      <c r="K2" s="3"/>
      <c r="L2" s="3"/>
      <c r="M2" s="3"/>
      <c r="N2" s="3"/>
      <c r="O2" s="4"/>
      <c r="P2" s="5"/>
      <c r="Q2" s="5"/>
      <c r="R2" s="5"/>
      <c r="S2" s="5"/>
      <c r="T2" s="5"/>
      <c r="U2" s="5"/>
    </row>
    <row r="3" spans="2:32" ht="53.25" customHeight="1">
      <c r="B3" s="7" t="s">
        <v>881</v>
      </c>
      <c r="C3" s="8" t="s">
        <v>2</v>
      </c>
      <c r="D3" s="7" t="s">
        <v>3</v>
      </c>
      <c r="E3" s="7" t="s">
        <v>4</v>
      </c>
      <c r="F3" s="9" t="s">
        <v>5</v>
      </c>
      <c r="G3" s="7" t="s">
        <v>6</v>
      </c>
      <c r="H3" s="7" t="s">
        <v>7</v>
      </c>
      <c r="I3" s="7" t="s">
        <v>8</v>
      </c>
      <c r="J3" s="10" t="s">
        <v>9</v>
      </c>
      <c r="K3" s="10" t="s">
        <v>10</v>
      </c>
      <c r="L3" s="10" t="s">
        <v>11</v>
      </c>
      <c r="M3" s="10" t="s">
        <v>12</v>
      </c>
      <c r="N3" s="10" t="s">
        <v>13</v>
      </c>
      <c r="O3" s="7" t="s">
        <v>14</v>
      </c>
      <c r="P3" s="11" t="s">
        <v>15</v>
      </c>
      <c r="Q3" s="11" t="s">
        <v>16</v>
      </c>
      <c r="R3" s="11" t="s">
        <v>17</v>
      </c>
      <c r="S3" s="11" t="s">
        <v>54</v>
      </c>
      <c r="T3" s="12" t="s">
        <v>53</v>
      </c>
      <c r="U3" s="12" t="s">
        <v>52</v>
      </c>
    </row>
    <row r="4" spans="2:32" ht="19.25" customHeight="1">
      <c r="B4" s="1228" t="s">
        <v>2</v>
      </c>
      <c r="C4" s="1229"/>
      <c r="D4" s="7"/>
      <c r="E4" s="7"/>
      <c r="F4" s="9"/>
      <c r="G4" s="7"/>
      <c r="H4" s="7"/>
      <c r="I4" s="7"/>
      <c r="J4" s="10"/>
      <c r="K4" s="10"/>
      <c r="L4" s="10"/>
      <c r="M4" s="10"/>
      <c r="N4" s="10"/>
      <c r="O4" s="7"/>
      <c r="P4" s="11"/>
      <c r="Q4" s="11"/>
      <c r="R4" s="11"/>
      <c r="S4" s="11"/>
      <c r="T4" s="12"/>
      <c r="U4" s="12"/>
    </row>
    <row r="5" spans="2:32" ht="14.65">
      <c r="B5" s="653">
        <v>1</v>
      </c>
      <c r="C5" s="654" t="s">
        <v>304</v>
      </c>
      <c r="D5" s="654" t="s">
        <v>35</v>
      </c>
      <c r="E5" s="655" t="s">
        <v>587</v>
      </c>
      <c r="F5" s="656">
        <v>44908</v>
      </c>
      <c r="G5" s="656">
        <v>44920</v>
      </c>
      <c r="H5" s="654" t="s">
        <v>403</v>
      </c>
      <c r="I5" s="657">
        <v>44920</v>
      </c>
      <c r="J5" s="658">
        <v>1586510</v>
      </c>
      <c r="K5" s="628"/>
      <c r="L5" s="628"/>
      <c r="M5" s="628">
        <v>242010</v>
      </c>
      <c r="N5" s="628">
        <f t="shared" ref="N5:N68" si="0">J5+K5-L5-M5</f>
        <v>1344500</v>
      </c>
      <c r="O5" s="659">
        <f t="shared" ref="O5:O19" si="1">$O$1-I5</f>
        <v>96</v>
      </c>
      <c r="P5" s="660">
        <v>9</v>
      </c>
      <c r="Q5" s="661">
        <f t="shared" ref="Q5:Q68" si="2">+P5-(O5/365)</f>
        <v>8.7369863013698623</v>
      </c>
      <c r="R5" s="662">
        <f t="shared" ref="R5:R68" si="3">ROUND(+N5/(P5*365)*O5,0)</f>
        <v>39291</v>
      </c>
      <c r="S5" s="662">
        <f t="shared" ref="S5:S68" si="4">+N5-R5</f>
        <v>1305209</v>
      </c>
      <c r="T5" s="663">
        <f t="shared" ref="T5:T19" si="5">IF(I5&lt;=DATE(2022,9,30),N5,0)</f>
        <v>0</v>
      </c>
      <c r="U5" s="663">
        <f t="shared" ref="U5:U68" si="6">IF(I5&gt;DATE(2022,9,30),N5,0)</f>
        <v>1344500</v>
      </c>
      <c r="V5" s="664"/>
      <c r="W5" s="664"/>
      <c r="X5" s="664"/>
      <c r="Y5" s="664"/>
      <c r="Z5" s="664"/>
      <c r="AA5" s="664"/>
      <c r="AB5" s="664"/>
      <c r="AC5" s="664"/>
      <c r="AD5" s="664"/>
      <c r="AE5" s="664"/>
      <c r="AF5" s="664"/>
    </row>
    <row r="6" spans="2:32" ht="14.65">
      <c r="B6" s="653">
        <f>+B5+1</f>
        <v>2</v>
      </c>
      <c r="C6" s="654" t="s">
        <v>560</v>
      </c>
      <c r="D6" s="654" t="s">
        <v>35</v>
      </c>
      <c r="E6" s="655">
        <v>256</v>
      </c>
      <c r="F6" s="656">
        <v>44890</v>
      </c>
      <c r="G6" s="656">
        <v>44900</v>
      </c>
      <c r="H6" s="654" t="s">
        <v>757</v>
      </c>
      <c r="I6" s="657">
        <v>44900</v>
      </c>
      <c r="J6" s="658">
        <v>484838</v>
      </c>
      <c r="K6" s="628"/>
      <c r="L6" s="628"/>
      <c r="M6" s="628">
        <v>73958</v>
      </c>
      <c r="N6" s="628">
        <f t="shared" si="0"/>
        <v>410880</v>
      </c>
      <c r="O6" s="659">
        <f t="shared" si="1"/>
        <v>116</v>
      </c>
      <c r="P6" s="660">
        <v>9</v>
      </c>
      <c r="Q6" s="661">
        <f t="shared" si="2"/>
        <v>8.6821917808219169</v>
      </c>
      <c r="R6" s="662">
        <f t="shared" si="3"/>
        <v>14509</v>
      </c>
      <c r="S6" s="662">
        <f t="shared" si="4"/>
        <v>396371</v>
      </c>
      <c r="T6" s="663">
        <f t="shared" si="5"/>
        <v>0</v>
      </c>
      <c r="U6" s="663">
        <f t="shared" si="6"/>
        <v>410880</v>
      </c>
      <c r="V6" s="664"/>
      <c r="W6" s="664"/>
      <c r="X6" s="664"/>
      <c r="Y6" s="664"/>
      <c r="Z6" s="664"/>
      <c r="AA6" s="664"/>
      <c r="AB6" s="664"/>
      <c r="AC6" s="664"/>
      <c r="AD6" s="664"/>
      <c r="AE6" s="664"/>
      <c r="AF6" s="664"/>
    </row>
    <row r="7" spans="2:32" ht="14.65">
      <c r="B7" s="653">
        <f>+B6+1</f>
        <v>3</v>
      </c>
      <c r="C7" s="654" t="s">
        <v>561</v>
      </c>
      <c r="D7" s="654" t="s">
        <v>35</v>
      </c>
      <c r="E7" s="655" t="s">
        <v>588</v>
      </c>
      <c r="F7" s="656">
        <v>44898</v>
      </c>
      <c r="G7" s="656">
        <v>44900</v>
      </c>
      <c r="H7" s="654" t="s">
        <v>758</v>
      </c>
      <c r="I7" s="657">
        <v>44900</v>
      </c>
      <c r="J7" s="658">
        <v>86795</v>
      </c>
      <c r="K7" s="628"/>
      <c r="L7" s="628"/>
      <c r="M7" s="628">
        <v>12760.62</v>
      </c>
      <c r="N7" s="628">
        <f t="shared" si="0"/>
        <v>74034.38</v>
      </c>
      <c r="O7" s="659">
        <f t="shared" si="1"/>
        <v>116</v>
      </c>
      <c r="P7" s="660">
        <v>9</v>
      </c>
      <c r="Q7" s="661">
        <f t="shared" si="2"/>
        <v>8.6821917808219169</v>
      </c>
      <c r="R7" s="662">
        <f t="shared" si="3"/>
        <v>2614</v>
      </c>
      <c r="S7" s="662">
        <f t="shared" si="4"/>
        <v>71420.38</v>
      </c>
      <c r="T7" s="663">
        <f t="shared" si="5"/>
        <v>0</v>
      </c>
      <c r="U7" s="663">
        <f t="shared" si="6"/>
        <v>74034.38</v>
      </c>
      <c r="V7" s="664"/>
      <c r="W7" s="664"/>
      <c r="X7" s="664"/>
      <c r="Y7" s="664"/>
      <c r="Z7" s="664"/>
      <c r="AA7" s="664"/>
      <c r="AB7" s="664"/>
      <c r="AC7" s="664"/>
      <c r="AD7" s="664"/>
      <c r="AE7" s="664"/>
      <c r="AF7" s="664"/>
    </row>
    <row r="8" spans="2:32" ht="14.65">
      <c r="B8" s="653">
        <f>+B7+1</f>
        <v>4</v>
      </c>
      <c r="C8" s="654" t="s">
        <v>561</v>
      </c>
      <c r="D8" s="654" t="s">
        <v>35</v>
      </c>
      <c r="E8" s="655">
        <v>2256</v>
      </c>
      <c r="F8" s="656">
        <v>44964</v>
      </c>
      <c r="G8" s="656">
        <v>44972</v>
      </c>
      <c r="H8" s="654" t="s">
        <v>757</v>
      </c>
      <c r="I8" s="657">
        <v>44964</v>
      </c>
      <c r="J8" s="658">
        <v>171336</v>
      </c>
      <c r="K8" s="628"/>
      <c r="L8" s="628"/>
      <c r="M8" s="628">
        <v>26136</v>
      </c>
      <c r="N8" s="628">
        <f t="shared" si="0"/>
        <v>145200</v>
      </c>
      <c r="O8" s="659">
        <f t="shared" si="1"/>
        <v>52</v>
      </c>
      <c r="P8" s="660">
        <v>9</v>
      </c>
      <c r="Q8" s="661">
        <f t="shared" si="2"/>
        <v>8.8575342465753426</v>
      </c>
      <c r="R8" s="662">
        <f t="shared" si="3"/>
        <v>2298</v>
      </c>
      <c r="S8" s="662">
        <f t="shared" si="4"/>
        <v>142902</v>
      </c>
      <c r="T8" s="663">
        <f t="shared" si="5"/>
        <v>0</v>
      </c>
      <c r="U8" s="663">
        <f t="shared" si="6"/>
        <v>145200</v>
      </c>
      <c r="V8" s="664"/>
      <c r="W8" s="664"/>
      <c r="X8" s="664"/>
      <c r="Y8" s="664"/>
      <c r="Z8" s="664"/>
      <c r="AA8" s="664"/>
      <c r="AB8" s="664"/>
      <c r="AC8" s="664"/>
      <c r="AD8" s="664"/>
      <c r="AE8" s="664"/>
      <c r="AF8" s="664"/>
    </row>
    <row r="9" spans="2:32" ht="14.65">
      <c r="B9" s="653">
        <f t="shared" ref="B9:B72" si="7">+B8+1</f>
        <v>5</v>
      </c>
      <c r="C9" s="665" t="s">
        <v>62</v>
      </c>
      <c r="D9" s="666" t="s">
        <v>3614</v>
      </c>
      <c r="E9" s="667" t="s">
        <v>88</v>
      </c>
      <c r="F9" s="657">
        <v>44741</v>
      </c>
      <c r="G9" s="657">
        <v>44741</v>
      </c>
      <c r="H9" s="665" t="s">
        <v>164</v>
      </c>
      <c r="I9" s="668">
        <v>44741</v>
      </c>
      <c r="J9" s="628">
        <v>3045049</v>
      </c>
      <c r="K9" s="628"/>
      <c r="L9" s="628">
        <v>30149</v>
      </c>
      <c r="M9" s="628">
        <v>459900</v>
      </c>
      <c r="N9" s="628">
        <f t="shared" si="0"/>
        <v>2555000</v>
      </c>
      <c r="O9" s="659">
        <f t="shared" si="1"/>
        <v>275</v>
      </c>
      <c r="P9" s="660">
        <v>9</v>
      </c>
      <c r="Q9" s="661">
        <f t="shared" si="2"/>
        <v>8.2465753424657535</v>
      </c>
      <c r="R9" s="662">
        <f t="shared" si="3"/>
        <v>213889</v>
      </c>
      <c r="S9" s="662">
        <f t="shared" si="4"/>
        <v>2341111</v>
      </c>
      <c r="T9" s="663">
        <f t="shared" si="5"/>
        <v>2555000</v>
      </c>
      <c r="U9" s="663">
        <f t="shared" si="6"/>
        <v>0</v>
      </c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</row>
    <row r="10" spans="2:32" ht="14.65">
      <c r="B10" s="653">
        <f t="shared" si="7"/>
        <v>6</v>
      </c>
      <c r="C10" s="665" t="s">
        <v>62</v>
      </c>
      <c r="D10" s="666" t="s">
        <v>3614</v>
      </c>
      <c r="E10" s="667" t="s">
        <v>89</v>
      </c>
      <c r="F10" s="657">
        <v>44741</v>
      </c>
      <c r="G10" s="657">
        <v>44741</v>
      </c>
      <c r="H10" s="665" t="s">
        <v>164</v>
      </c>
      <c r="I10" s="668">
        <v>44741</v>
      </c>
      <c r="J10" s="628">
        <v>3045049</v>
      </c>
      <c r="K10" s="628"/>
      <c r="L10" s="628">
        <v>30149</v>
      </c>
      <c r="M10" s="628">
        <v>459900</v>
      </c>
      <c r="N10" s="628">
        <f t="shared" si="0"/>
        <v>2555000</v>
      </c>
      <c r="O10" s="659">
        <f t="shared" si="1"/>
        <v>275</v>
      </c>
      <c r="P10" s="660">
        <v>9</v>
      </c>
      <c r="Q10" s="661">
        <f t="shared" si="2"/>
        <v>8.2465753424657535</v>
      </c>
      <c r="R10" s="662">
        <f t="shared" si="3"/>
        <v>213889</v>
      </c>
      <c r="S10" s="662">
        <f t="shared" si="4"/>
        <v>2341111</v>
      </c>
      <c r="T10" s="663">
        <f t="shared" si="5"/>
        <v>2555000</v>
      </c>
      <c r="U10" s="663">
        <f t="shared" si="6"/>
        <v>0</v>
      </c>
      <c r="V10" s="664"/>
      <c r="W10" s="664"/>
      <c r="X10" s="664"/>
      <c r="Y10" s="664"/>
      <c r="Z10" s="664"/>
      <c r="AA10" s="664"/>
      <c r="AB10" s="664"/>
      <c r="AC10" s="664"/>
      <c r="AD10" s="664"/>
      <c r="AE10" s="664"/>
      <c r="AF10" s="664"/>
    </row>
    <row r="11" spans="2:32" ht="14.65">
      <c r="B11" s="653">
        <f t="shared" si="7"/>
        <v>7</v>
      </c>
      <c r="C11" s="665" t="s">
        <v>62</v>
      </c>
      <c r="D11" s="666" t="s">
        <v>3614</v>
      </c>
      <c r="E11" s="667" t="s">
        <v>90</v>
      </c>
      <c r="F11" s="657">
        <v>44741</v>
      </c>
      <c r="G11" s="657">
        <v>44741</v>
      </c>
      <c r="H11" s="665" t="s">
        <v>164</v>
      </c>
      <c r="I11" s="668">
        <v>44741</v>
      </c>
      <c r="J11" s="628">
        <v>3045049</v>
      </c>
      <c r="K11" s="628"/>
      <c r="L11" s="628">
        <v>30149</v>
      </c>
      <c r="M11" s="628">
        <v>459900</v>
      </c>
      <c r="N11" s="628">
        <f t="shared" si="0"/>
        <v>2555000</v>
      </c>
      <c r="O11" s="659">
        <f t="shared" si="1"/>
        <v>275</v>
      </c>
      <c r="P11" s="660">
        <v>9</v>
      </c>
      <c r="Q11" s="661">
        <f t="shared" si="2"/>
        <v>8.2465753424657535</v>
      </c>
      <c r="R11" s="662">
        <f t="shared" si="3"/>
        <v>213889</v>
      </c>
      <c r="S11" s="662">
        <f t="shared" si="4"/>
        <v>2341111</v>
      </c>
      <c r="T11" s="663">
        <f t="shared" si="5"/>
        <v>2555000</v>
      </c>
      <c r="U11" s="663">
        <f t="shared" si="6"/>
        <v>0</v>
      </c>
      <c r="V11" s="664"/>
      <c r="W11" s="664"/>
      <c r="X11" s="664"/>
      <c r="Y11" s="664"/>
      <c r="Z11" s="664"/>
      <c r="AA11" s="664"/>
      <c r="AB11" s="664"/>
      <c r="AC11" s="664"/>
      <c r="AD11" s="664"/>
      <c r="AE11" s="664"/>
      <c r="AF11" s="664"/>
    </row>
    <row r="12" spans="2:32" ht="14.65">
      <c r="B12" s="653">
        <f t="shared" si="7"/>
        <v>8</v>
      </c>
      <c r="C12" s="669" t="s">
        <v>323</v>
      </c>
      <c r="D12" s="670" t="s">
        <v>3427</v>
      </c>
      <c r="E12" s="671" t="s">
        <v>3429</v>
      </c>
      <c r="F12" s="672">
        <v>44950</v>
      </c>
      <c r="G12" s="672">
        <v>44950</v>
      </c>
      <c r="H12" s="669" t="s">
        <v>170</v>
      </c>
      <c r="I12" s="672">
        <v>44950</v>
      </c>
      <c r="J12" s="627">
        <v>6844000</v>
      </c>
      <c r="K12" s="627"/>
      <c r="L12" s="627"/>
      <c r="M12" s="627">
        <v>1044000</v>
      </c>
      <c r="N12" s="627">
        <f t="shared" si="0"/>
        <v>5800000</v>
      </c>
      <c r="O12" s="659">
        <f t="shared" si="1"/>
        <v>66</v>
      </c>
      <c r="P12" s="673">
        <v>9</v>
      </c>
      <c r="Q12" s="674">
        <f t="shared" si="2"/>
        <v>8.8191780821917813</v>
      </c>
      <c r="R12" s="675">
        <f t="shared" si="3"/>
        <v>116530</v>
      </c>
      <c r="S12" s="675">
        <f t="shared" si="4"/>
        <v>5683470</v>
      </c>
      <c r="T12" s="676">
        <f t="shared" si="5"/>
        <v>0</v>
      </c>
      <c r="U12" s="676">
        <f t="shared" si="6"/>
        <v>5800000</v>
      </c>
      <c r="V12" s="664"/>
      <c r="W12" s="664"/>
      <c r="X12" s="664"/>
      <c r="Y12" s="664"/>
      <c r="Z12" s="664"/>
      <c r="AA12" s="664"/>
      <c r="AB12" s="664"/>
      <c r="AC12" s="664"/>
      <c r="AD12" s="664"/>
      <c r="AE12" s="664"/>
      <c r="AF12" s="664"/>
    </row>
    <row r="13" spans="2:32" ht="14.65">
      <c r="B13" s="653">
        <f t="shared" si="7"/>
        <v>9</v>
      </c>
      <c r="C13" s="669" t="s">
        <v>323</v>
      </c>
      <c r="D13" s="670" t="s">
        <v>3427</v>
      </c>
      <c r="E13" s="671" t="s">
        <v>3428</v>
      </c>
      <c r="F13" s="672">
        <v>44951</v>
      </c>
      <c r="G13" s="672">
        <v>44951</v>
      </c>
      <c r="H13" s="669" t="s">
        <v>170</v>
      </c>
      <c r="I13" s="672">
        <v>44951</v>
      </c>
      <c r="J13" s="627">
        <v>6844000</v>
      </c>
      <c r="K13" s="627"/>
      <c r="L13" s="627"/>
      <c r="M13" s="627">
        <v>1044000</v>
      </c>
      <c r="N13" s="627">
        <f t="shared" si="0"/>
        <v>5800000</v>
      </c>
      <c r="O13" s="659">
        <f t="shared" si="1"/>
        <v>65</v>
      </c>
      <c r="P13" s="673">
        <v>9</v>
      </c>
      <c r="Q13" s="674">
        <f t="shared" si="2"/>
        <v>8.8219178082191778</v>
      </c>
      <c r="R13" s="675">
        <f t="shared" si="3"/>
        <v>114764</v>
      </c>
      <c r="S13" s="675">
        <f t="shared" si="4"/>
        <v>5685236</v>
      </c>
      <c r="T13" s="676">
        <f t="shared" si="5"/>
        <v>0</v>
      </c>
      <c r="U13" s="676">
        <f t="shared" si="6"/>
        <v>5800000</v>
      </c>
      <c r="V13" s="664"/>
      <c r="W13" s="664"/>
      <c r="X13" s="664"/>
      <c r="Y13" s="664"/>
      <c r="Z13" s="664"/>
      <c r="AA13" s="664"/>
      <c r="AB13" s="664"/>
      <c r="AC13" s="664"/>
      <c r="AD13" s="664"/>
      <c r="AE13" s="664"/>
      <c r="AF13" s="664"/>
    </row>
    <row r="14" spans="2:32" ht="14.65">
      <c r="B14" s="653">
        <f t="shared" si="7"/>
        <v>10</v>
      </c>
      <c r="C14" s="669" t="s">
        <v>564</v>
      </c>
      <c r="D14" s="670" t="s">
        <v>3427</v>
      </c>
      <c r="E14" s="671" t="s">
        <v>3426</v>
      </c>
      <c r="F14" s="672">
        <v>44954</v>
      </c>
      <c r="G14" s="672">
        <v>44954</v>
      </c>
      <c r="H14" s="669" t="s">
        <v>3425</v>
      </c>
      <c r="I14" s="672">
        <v>44954</v>
      </c>
      <c r="J14" s="627">
        <v>31000</v>
      </c>
      <c r="K14" s="627"/>
      <c r="L14" s="627"/>
      <c r="M14" s="627">
        <v>4728.22</v>
      </c>
      <c r="N14" s="627">
        <f t="shared" si="0"/>
        <v>26271.78</v>
      </c>
      <c r="O14" s="659">
        <f t="shared" si="1"/>
        <v>62</v>
      </c>
      <c r="P14" s="673">
        <v>9</v>
      </c>
      <c r="Q14" s="674">
        <f t="shared" si="2"/>
        <v>8.830136986301369</v>
      </c>
      <c r="R14" s="675">
        <f t="shared" si="3"/>
        <v>496</v>
      </c>
      <c r="S14" s="675">
        <f t="shared" si="4"/>
        <v>25775.78</v>
      </c>
      <c r="T14" s="676">
        <f t="shared" si="5"/>
        <v>0</v>
      </c>
      <c r="U14" s="676">
        <f t="shared" si="6"/>
        <v>26271.78</v>
      </c>
      <c r="V14" s="664"/>
      <c r="W14" s="664"/>
      <c r="X14" s="664"/>
      <c r="Y14" s="664"/>
      <c r="Z14" s="664"/>
      <c r="AA14" s="664"/>
      <c r="AB14" s="664"/>
      <c r="AC14" s="664"/>
      <c r="AD14" s="664"/>
      <c r="AE14" s="664"/>
      <c r="AF14" s="664"/>
    </row>
    <row r="15" spans="2:32" ht="14.65">
      <c r="B15" s="653">
        <f t="shared" si="7"/>
        <v>11</v>
      </c>
      <c r="C15" s="670" t="s">
        <v>2358</v>
      </c>
      <c r="D15" s="670" t="s">
        <v>3427</v>
      </c>
      <c r="E15" s="677" t="s">
        <v>3456</v>
      </c>
      <c r="F15" s="678">
        <v>44926</v>
      </c>
      <c r="G15" s="678">
        <v>44941</v>
      </c>
      <c r="H15" s="670" t="s">
        <v>3455</v>
      </c>
      <c r="I15" s="672">
        <v>44941</v>
      </c>
      <c r="J15" s="679">
        <v>893999</v>
      </c>
      <c r="K15" s="627">
        <v>8749</v>
      </c>
      <c r="L15" s="627"/>
      <c r="M15" s="627">
        <v>195562</v>
      </c>
      <c r="N15" s="627">
        <f t="shared" si="0"/>
        <v>707186</v>
      </c>
      <c r="O15" s="659">
        <f t="shared" si="1"/>
        <v>75</v>
      </c>
      <c r="P15" s="660">
        <v>8</v>
      </c>
      <c r="Q15" s="674">
        <f t="shared" si="2"/>
        <v>7.7945205479452051</v>
      </c>
      <c r="R15" s="675">
        <f t="shared" si="3"/>
        <v>18164</v>
      </c>
      <c r="S15" s="675">
        <f t="shared" si="4"/>
        <v>689022</v>
      </c>
      <c r="T15" s="676">
        <f t="shared" si="5"/>
        <v>0</v>
      </c>
      <c r="U15" s="676">
        <f t="shared" si="6"/>
        <v>707186</v>
      </c>
      <c r="V15" s="664"/>
      <c r="W15" s="664"/>
      <c r="X15" s="664"/>
      <c r="Y15" s="664"/>
      <c r="Z15" s="664"/>
      <c r="AA15" s="664"/>
      <c r="AB15" s="664"/>
      <c r="AC15" s="664"/>
      <c r="AD15" s="664"/>
      <c r="AE15" s="664"/>
      <c r="AF15" s="664"/>
    </row>
    <row r="16" spans="2:32" ht="14.65">
      <c r="B16" s="653">
        <f t="shared" si="7"/>
        <v>12</v>
      </c>
      <c r="C16" s="670" t="s">
        <v>3524</v>
      </c>
      <c r="D16" s="670" t="s">
        <v>3427</v>
      </c>
      <c r="E16" s="680" t="s">
        <v>3523</v>
      </c>
      <c r="F16" s="678">
        <v>44971</v>
      </c>
      <c r="G16" s="678">
        <v>44971</v>
      </c>
      <c r="H16" s="670" t="s">
        <v>407</v>
      </c>
      <c r="I16" s="672">
        <v>44971</v>
      </c>
      <c r="J16" s="679">
        <v>5020015</v>
      </c>
      <c r="K16" s="627"/>
      <c r="L16" s="627">
        <v>5015</v>
      </c>
      <c r="M16" s="627">
        <v>765000</v>
      </c>
      <c r="N16" s="627">
        <f t="shared" si="0"/>
        <v>4250000</v>
      </c>
      <c r="O16" s="659">
        <f t="shared" si="1"/>
        <v>45</v>
      </c>
      <c r="P16" s="673">
        <v>9</v>
      </c>
      <c r="Q16" s="674">
        <f t="shared" si="2"/>
        <v>8.8767123287671232</v>
      </c>
      <c r="R16" s="675">
        <f t="shared" si="3"/>
        <v>58219</v>
      </c>
      <c r="S16" s="675">
        <f t="shared" si="4"/>
        <v>4191781</v>
      </c>
      <c r="T16" s="676">
        <f t="shared" si="5"/>
        <v>0</v>
      </c>
      <c r="U16" s="676">
        <f t="shared" si="6"/>
        <v>4250000</v>
      </c>
      <c r="V16" s="664"/>
      <c r="W16" s="664"/>
      <c r="X16" s="664"/>
      <c r="Y16" s="664"/>
      <c r="Z16" s="664"/>
      <c r="AA16" s="664"/>
      <c r="AB16" s="664"/>
      <c r="AC16" s="664"/>
      <c r="AD16" s="664"/>
      <c r="AE16" s="664"/>
      <c r="AF16" s="664"/>
    </row>
    <row r="17" spans="2:32" ht="14.65">
      <c r="B17" s="653">
        <f t="shared" si="7"/>
        <v>13</v>
      </c>
      <c r="C17" s="670" t="s">
        <v>326</v>
      </c>
      <c r="D17" s="670" t="s">
        <v>3427</v>
      </c>
      <c r="E17" s="680">
        <v>231801185</v>
      </c>
      <c r="F17" s="678">
        <v>44977</v>
      </c>
      <c r="G17" s="678">
        <v>44977</v>
      </c>
      <c r="H17" s="670" t="s">
        <v>419</v>
      </c>
      <c r="I17" s="672">
        <v>44977</v>
      </c>
      <c r="J17" s="679">
        <v>1357000</v>
      </c>
      <c r="K17" s="627"/>
      <c r="L17" s="627"/>
      <c r="M17" s="627">
        <v>207000</v>
      </c>
      <c r="N17" s="627">
        <f t="shared" si="0"/>
        <v>1150000</v>
      </c>
      <c r="O17" s="659">
        <f t="shared" si="1"/>
        <v>39</v>
      </c>
      <c r="P17" s="673">
        <v>9</v>
      </c>
      <c r="Q17" s="674">
        <f t="shared" si="2"/>
        <v>8.8931506849315074</v>
      </c>
      <c r="R17" s="675">
        <f t="shared" si="3"/>
        <v>13653</v>
      </c>
      <c r="S17" s="675">
        <f t="shared" si="4"/>
        <v>1136347</v>
      </c>
      <c r="T17" s="676">
        <f t="shared" si="5"/>
        <v>0</v>
      </c>
      <c r="U17" s="676">
        <f t="shared" si="6"/>
        <v>1150000</v>
      </c>
      <c r="V17" s="664"/>
      <c r="W17" s="664"/>
      <c r="X17" s="664"/>
      <c r="Y17" s="664"/>
      <c r="Z17" s="664"/>
      <c r="AA17" s="664"/>
      <c r="AB17" s="664"/>
      <c r="AC17" s="664"/>
      <c r="AD17" s="664"/>
      <c r="AE17" s="664"/>
      <c r="AF17" s="664"/>
    </row>
    <row r="18" spans="2:32" ht="14.65">
      <c r="B18" s="653">
        <f t="shared" si="7"/>
        <v>14</v>
      </c>
      <c r="C18" s="670" t="s">
        <v>3522</v>
      </c>
      <c r="D18" s="670" t="s">
        <v>3427</v>
      </c>
      <c r="E18" s="680"/>
      <c r="F18" s="678">
        <v>44982</v>
      </c>
      <c r="G18" s="678">
        <v>44982</v>
      </c>
      <c r="H18" s="670" t="s">
        <v>407</v>
      </c>
      <c r="I18" s="672">
        <v>44982</v>
      </c>
      <c r="J18" s="679">
        <v>26780</v>
      </c>
      <c r="K18" s="627"/>
      <c r="L18" s="627"/>
      <c r="M18" s="627"/>
      <c r="N18" s="627">
        <f t="shared" si="0"/>
        <v>26780</v>
      </c>
      <c r="O18" s="659">
        <f t="shared" si="1"/>
        <v>34</v>
      </c>
      <c r="P18" s="673">
        <v>9</v>
      </c>
      <c r="Q18" s="674">
        <f t="shared" si="2"/>
        <v>8.9068493150684933</v>
      </c>
      <c r="R18" s="675">
        <f t="shared" si="3"/>
        <v>277</v>
      </c>
      <c r="S18" s="675">
        <f t="shared" si="4"/>
        <v>26503</v>
      </c>
      <c r="T18" s="676">
        <f t="shared" si="5"/>
        <v>0</v>
      </c>
      <c r="U18" s="676">
        <f t="shared" si="6"/>
        <v>26780</v>
      </c>
      <c r="V18" s="664"/>
      <c r="W18" s="664"/>
      <c r="X18" s="664"/>
      <c r="Y18" s="664"/>
      <c r="Z18" s="664"/>
      <c r="AA18" s="664"/>
      <c r="AB18" s="664"/>
      <c r="AC18" s="664"/>
      <c r="AD18" s="664"/>
      <c r="AE18" s="664"/>
      <c r="AF18" s="664"/>
    </row>
    <row r="19" spans="2:32" ht="14.65">
      <c r="B19" s="653">
        <f t="shared" si="7"/>
        <v>15</v>
      </c>
      <c r="C19" s="670" t="s">
        <v>307</v>
      </c>
      <c r="D19" s="670" t="s">
        <v>3427</v>
      </c>
      <c r="E19" s="680" t="s">
        <v>3521</v>
      </c>
      <c r="F19" s="678">
        <v>44982</v>
      </c>
      <c r="G19" s="678">
        <v>44982</v>
      </c>
      <c r="H19" s="670" t="s">
        <v>407</v>
      </c>
      <c r="I19" s="672">
        <v>44982</v>
      </c>
      <c r="J19" s="679">
        <v>2341887</v>
      </c>
      <c r="K19" s="627"/>
      <c r="L19" s="627">
        <v>23187</v>
      </c>
      <c r="M19" s="627">
        <v>353700</v>
      </c>
      <c r="N19" s="627">
        <f t="shared" si="0"/>
        <v>1965000</v>
      </c>
      <c r="O19" s="659">
        <f t="shared" si="1"/>
        <v>34</v>
      </c>
      <c r="P19" s="673">
        <v>9</v>
      </c>
      <c r="Q19" s="674">
        <f t="shared" si="2"/>
        <v>8.9068493150684933</v>
      </c>
      <c r="R19" s="675">
        <f t="shared" si="3"/>
        <v>20338</v>
      </c>
      <c r="S19" s="675">
        <f t="shared" si="4"/>
        <v>1944662</v>
      </c>
      <c r="T19" s="676">
        <f t="shared" si="5"/>
        <v>0</v>
      </c>
      <c r="U19" s="676">
        <f t="shared" si="6"/>
        <v>1965000</v>
      </c>
      <c r="V19" s="664"/>
      <c r="W19" s="664"/>
      <c r="X19" s="664"/>
      <c r="Y19" s="664"/>
      <c r="Z19" s="664"/>
      <c r="AA19" s="664"/>
      <c r="AB19" s="664"/>
      <c r="AC19" s="664"/>
      <c r="AD19" s="664"/>
      <c r="AE19" s="664"/>
      <c r="AF19" s="664"/>
    </row>
    <row r="20" spans="2:32" ht="14.65">
      <c r="B20" s="653">
        <f t="shared" si="7"/>
        <v>16</v>
      </c>
      <c r="C20" s="669" t="s">
        <v>71</v>
      </c>
      <c r="D20" s="681" t="s">
        <v>3427</v>
      </c>
      <c r="E20" s="669" t="s">
        <v>3554</v>
      </c>
      <c r="F20" s="672">
        <v>44996</v>
      </c>
      <c r="G20" s="672">
        <v>45009</v>
      </c>
      <c r="H20" s="669" t="s">
        <v>766</v>
      </c>
      <c r="I20" s="672">
        <v>45009</v>
      </c>
      <c r="J20" s="627">
        <f>4430000-156250</f>
        <v>4273750</v>
      </c>
      <c r="K20" s="627"/>
      <c r="L20" s="627">
        <v>43861</v>
      </c>
      <c r="M20" s="627">
        <v>959467.88</v>
      </c>
      <c r="N20" s="627">
        <f t="shared" si="0"/>
        <v>3270421.12</v>
      </c>
      <c r="O20" s="682">
        <f>'[86]Add22-23'!$N$1-I20</f>
        <v>7</v>
      </c>
      <c r="P20" s="673">
        <v>9</v>
      </c>
      <c r="Q20" s="674">
        <f t="shared" si="2"/>
        <v>8.9808219178082194</v>
      </c>
      <c r="R20" s="675">
        <f t="shared" si="3"/>
        <v>6969</v>
      </c>
      <c r="S20" s="675">
        <f t="shared" si="4"/>
        <v>3263452.12</v>
      </c>
      <c r="T20" s="676"/>
      <c r="U20" s="676">
        <f t="shared" si="6"/>
        <v>3270421.12</v>
      </c>
      <c r="V20" s="664"/>
      <c r="W20" s="664"/>
      <c r="X20" s="664"/>
      <c r="Y20" s="664"/>
      <c r="Z20" s="664"/>
      <c r="AA20" s="664"/>
      <c r="AB20" s="664"/>
      <c r="AC20" s="664"/>
      <c r="AD20" s="664"/>
      <c r="AE20" s="664"/>
      <c r="AF20" s="664"/>
    </row>
    <row r="21" spans="2:32" ht="14.65">
      <c r="B21" s="653">
        <f t="shared" si="7"/>
        <v>17</v>
      </c>
      <c r="C21" s="669" t="s">
        <v>71</v>
      </c>
      <c r="D21" s="681" t="s">
        <v>3427</v>
      </c>
      <c r="E21" s="669" t="s">
        <v>3553</v>
      </c>
      <c r="F21" s="672">
        <v>44996</v>
      </c>
      <c r="G21" s="672">
        <v>45009</v>
      </c>
      <c r="H21" s="669" t="s">
        <v>766</v>
      </c>
      <c r="I21" s="672">
        <v>45009</v>
      </c>
      <c r="J21" s="627">
        <f>4430000-156250</f>
        <v>4273750</v>
      </c>
      <c r="K21" s="627"/>
      <c r="L21" s="627">
        <v>43861</v>
      </c>
      <c r="M21" s="627">
        <v>959467.88</v>
      </c>
      <c r="N21" s="627">
        <f t="shared" si="0"/>
        <v>3270421.12</v>
      </c>
      <c r="O21" s="682">
        <f>'[86]Add22-23'!$N$1-I21</f>
        <v>7</v>
      </c>
      <c r="P21" s="673">
        <v>9</v>
      </c>
      <c r="Q21" s="674">
        <f t="shared" si="2"/>
        <v>8.9808219178082194</v>
      </c>
      <c r="R21" s="675">
        <f t="shared" si="3"/>
        <v>6969</v>
      </c>
      <c r="S21" s="675">
        <f t="shared" si="4"/>
        <v>3263452.12</v>
      </c>
      <c r="T21" s="676"/>
      <c r="U21" s="676">
        <f t="shared" si="6"/>
        <v>3270421.12</v>
      </c>
      <c r="V21" s="664"/>
      <c r="W21" s="664"/>
      <c r="X21" s="664"/>
      <c r="Y21" s="664"/>
      <c r="Z21" s="664"/>
      <c r="AA21" s="664"/>
      <c r="AB21" s="664"/>
      <c r="AC21" s="664"/>
      <c r="AD21" s="664"/>
      <c r="AE21" s="664"/>
      <c r="AF21" s="664"/>
    </row>
    <row r="22" spans="2:32" ht="14.65">
      <c r="B22" s="653">
        <f t="shared" si="7"/>
        <v>18</v>
      </c>
      <c r="C22" s="669" t="s">
        <v>71</v>
      </c>
      <c r="D22" s="681" t="s">
        <v>3427</v>
      </c>
      <c r="E22" s="669" t="s">
        <v>3552</v>
      </c>
      <c r="F22" s="672">
        <v>44996</v>
      </c>
      <c r="G22" s="672">
        <v>45009</v>
      </c>
      <c r="H22" s="669" t="s">
        <v>766</v>
      </c>
      <c r="I22" s="672">
        <v>45009</v>
      </c>
      <c r="J22" s="627">
        <f>4430000-156250</f>
        <v>4273750</v>
      </c>
      <c r="K22" s="627"/>
      <c r="L22" s="627">
        <v>43861</v>
      </c>
      <c r="M22" s="627">
        <v>959467.88</v>
      </c>
      <c r="N22" s="627">
        <f t="shared" si="0"/>
        <v>3270421.12</v>
      </c>
      <c r="O22" s="682">
        <f>'[86]Add22-23'!$N$1-I22</f>
        <v>7</v>
      </c>
      <c r="P22" s="673">
        <v>9</v>
      </c>
      <c r="Q22" s="674">
        <f t="shared" si="2"/>
        <v>8.9808219178082194</v>
      </c>
      <c r="R22" s="675">
        <f t="shared" si="3"/>
        <v>6969</v>
      </c>
      <c r="S22" s="675">
        <f t="shared" si="4"/>
        <v>3263452.12</v>
      </c>
      <c r="T22" s="676"/>
      <c r="U22" s="676">
        <f t="shared" si="6"/>
        <v>3270421.12</v>
      </c>
      <c r="V22" s="664"/>
      <c r="W22" s="664"/>
      <c r="X22" s="664"/>
      <c r="Y22" s="664"/>
      <c r="Z22" s="664"/>
      <c r="AA22" s="664"/>
      <c r="AB22" s="664"/>
      <c r="AC22" s="664"/>
      <c r="AD22" s="664"/>
      <c r="AE22" s="664"/>
      <c r="AF22" s="664"/>
    </row>
    <row r="23" spans="2:32" ht="14.65">
      <c r="B23" s="653">
        <f t="shared" si="7"/>
        <v>19</v>
      </c>
      <c r="C23" s="669" t="s">
        <v>71</v>
      </c>
      <c r="D23" s="681" t="s">
        <v>3427</v>
      </c>
      <c r="E23" s="669" t="s">
        <v>3551</v>
      </c>
      <c r="F23" s="672">
        <v>44996</v>
      </c>
      <c r="G23" s="672">
        <v>45009</v>
      </c>
      <c r="H23" s="669" t="s">
        <v>766</v>
      </c>
      <c r="I23" s="672">
        <v>45009</v>
      </c>
      <c r="J23" s="627">
        <f>4430000-156250</f>
        <v>4273750</v>
      </c>
      <c r="K23" s="627"/>
      <c r="L23" s="627">
        <v>43861</v>
      </c>
      <c r="M23" s="627">
        <v>959467.88</v>
      </c>
      <c r="N23" s="627">
        <f t="shared" si="0"/>
        <v>3270421.12</v>
      </c>
      <c r="O23" s="682">
        <f>'[86]Add22-23'!$N$1-I23</f>
        <v>7</v>
      </c>
      <c r="P23" s="673">
        <v>9</v>
      </c>
      <c r="Q23" s="674">
        <f t="shared" si="2"/>
        <v>8.9808219178082194</v>
      </c>
      <c r="R23" s="675">
        <f t="shared" si="3"/>
        <v>6969</v>
      </c>
      <c r="S23" s="675">
        <f t="shared" si="4"/>
        <v>3263452.12</v>
      </c>
      <c r="T23" s="676"/>
      <c r="U23" s="676">
        <f t="shared" si="6"/>
        <v>3270421.12</v>
      </c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</row>
    <row r="24" spans="2:32" ht="14.65">
      <c r="B24" s="653">
        <f t="shared" si="7"/>
        <v>20</v>
      </c>
      <c r="C24" s="669" t="s">
        <v>71</v>
      </c>
      <c r="D24" s="681" t="s">
        <v>3427</v>
      </c>
      <c r="E24" s="669" t="s">
        <v>3550</v>
      </c>
      <c r="F24" s="672">
        <v>44996</v>
      </c>
      <c r="G24" s="672">
        <v>45009</v>
      </c>
      <c r="H24" s="669" t="s">
        <v>766</v>
      </c>
      <c r="I24" s="672">
        <v>45009</v>
      </c>
      <c r="J24" s="627">
        <f>4430000-156250</f>
        <v>4273750</v>
      </c>
      <c r="K24" s="627"/>
      <c r="L24" s="627">
        <v>43861</v>
      </c>
      <c r="M24" s="627">
        <v>959467.88</v>
      </c>
      <c r="N24" s="627">
        <f t="shared" si="0"/>
        <v>3270421.12</v>
      </c>
      <c r="O24" s="682">
        <f>'[86]Add22-23'!$N$1-I24</f>
        <v>7</v>
      </c>
      <c r="P24" s="673">
        <v>9</v>
      </c>
      <c r="Q24" s="674">
        <f t="shared" si="2"/>
        <v>8.9808219178082194</v>
      </c>
      <c r="R24" s="675">
        <f t="shared" si="3"/>
        <v>6969</v>
      </c>
      <c r="S24" s="675">
        <f t="shared" si="4"/>
        <v>3263452.12</v>
      </c>
      <c r="T24" s="676"/>
      <c r="U24" s="676">
        <f t="shared" si="6"/>
        <v>3270421.12</v>
      </c>
      <c r="V24" s="664"/>
      <c r="W24" s="664"/>
      <c r="X24" s="664"/>
      <c r="Y24" s="664"/>
      <c r="Z24" s="664"/>
      <c r="AA24" s="664"/>
      <c r="AB24" s="664"/>
      <c r="AC24" s="664"/>
      <c r="AD24" s="664"/>
      <c r="AE24" s="664"/>
      <c r="AF24" s="664"/>
    </row>
    <row r="25" spans="2:32" ht="14.65">
      <c r="B25" s="653">
        <f t="shared" si="7"/>
        <v>21</v>
      </c>
      <c r="C25" s="669" t="s">
        <v>71</v>
      </c>
      <c r="D25" s="681" t="s">
        <v>3427</v>
      </c>
      <c r="E25" s="669" t="s">
        <v>3618</v>
      </c>
      <c r="F25" s="672">
        <v>45013</v>
      </c>
      <c r="G25" s="672">
        <v>45016</v>
      </c>
      <c r="H25" s="669" t="s">
        <v>766</v>
      </c>
      <c r="I25" s="672">
        <v>45016</v>
      </c>
      <c r="J25" s="627">
        <v>1600000</v>
      </c>
      <c r="K25" s="627"/>
      <c r="L25" s="627">
        <v>17822</v>
      </c>
      <c r="M25" s="627">
        <f>389851-43750</f>
        <v>346101</v>
      </c>
      <c r="N25" s="627">
        <f t="shared" si="0"/>
        <v>1236077</v>
      </c>
      <c r="O25" s="682">
        <f>'[86]Add22-23'!$N$1-I25</f>
        <v>0</v>
      </c>
      <c r="P25" s="673">
        <v>9</v>
      </c>
      <c r="Q25" s="674">
        <f t="shared" si="2"/>
        <v>9</v>
      </c>
      <c r="R25" s="675">
        <f t="shared" si="3"/>
        <v>0</v>
      </c>
      <c r="S25" s="675">
        <f t="shared" si="4"/>
        <v>1236077</v>
      </c>
      <c r="T25" s="676"/>
      <c r="U25" s="676">
        <f t="shared" si="6"/>
        <v>1236077</v>
      </c>
      <c r="V25" s="664"/>
      <c r="W25" s="664"/>
      <c r="X25" s="664"/>
      <c r="Y25" s="664"/>
      <c r="Z25" s="664"/>
      <c r="AA25" s="664"/>
      <c r="AB25" s="664"/>
      <c r="AC25" s="664"/>
      <c r="AD25" s="664"/>
      <c r="AE25" s="664"/>
      <c r="AF25" s="664"/>
    </row>
    <row r="26" spans="2:32" ht="14.65">
      <c r="B26" s="653">
        <f t="shared" si="7"/>
        <v>22</v>
      </c>
      <c r="C26" s="665" t="s">
        <v>3458</v>
      </c>
      <c r="D26" s="666" t="s">
        <v>26</v>
      </c>
      <c r="E26" s="683" t="s">
        <v>79</v>
      </c>
      <c r="F26" s="657">
        <v>44662</v>
      </c>
      <c r="G26" s="657">
        <v>44662</v>
      </c>
      <c r="H26" s="665" t="s">
        <v>166</v>
      </c>
      <c r="I26" s="668">
        <v>44662</v>
      </c>
      <c r="J26" s="628">
        <v>19664700</v>
      </c>
      <c r="K26" s="628">
        <v>1476030</v>
      </c>
      <c r="L26" s="628">
        <v>194700</v>
      </c>
      <c r="M26" s="628">
        <v>2970000</v>
      </c>
      <c r="N26" s="628">
        <f t="shared" si="0"/>
        <v>17976030</v>
      </c>
      <c r="O26" s="659">
        <f t="shared" ref="O26:O46" si="8">$O$1-I26</f>
        <v>354</v>
      </c>
      <c r="P26" s="660">
        <v>9</v>
      </c>
      <c r="Q26" s="661">
        <f t="shared" si="2"/>
        <v>8.0301369863013701</v>
      </c>
      <c r="R26" s="662">
        <f t="shared" si="3"/>
        <v>1937143</v>
      </c>
      <c r="S26" s="662">
        <f t="shared" si="4"/>
        <v>16038887</v>
      </c>
      <c r="T26" s="663">
        <f t="shared" ref="T26:T46" si="9">IF(I26&lt;=DATE(2022,9,30),N26,0)</f>
        <v>17976030</v>
      </c>
      <c r="U26" s="663">
        <f t="shared" si="6"/>
        <v>0</v>
      </c>
      <c r="V26" s="664"/>
      <c r="W26" s="664"/>
      <c r="X26" s="664"/>
      <c r="Y26" s="664"/>
      <c r="Z26" s="664"/>
      <c r="AA26" s="664"/>
      <c r="AB26" s="664"/>
      <c r="AC26" s="664"/>
      <c r="AD26" s="664"/>
      <c r="AE26" s="664"/>
      <c r="AF26" s="664"/>
    </row>
    <row r="27" spans="2:32" ht="14.65">
      <c r="B27" s="653">
        <f t="shared" si="7"/>
        <v>23</v>
      </c>
      <c r="C27" s="684" t="s">
        <v>71</v>
      </c>
      <c r="D27" s="684" t="s">
        <v>26</v>
      </c>
      <c r="E27" s="685" t="s">
        <v>333</v>
      </c>
      <c r="F27" s="686">
        <v>44808</v>
      </c>
      <c r="G27" s="686">
        <v>44808</v>
      </c>
      <c r="H27" s="684" t="s">
        <v>402</v>
      </c>
      <c r="I27" s="657">
        <v>44808</v>
      </c>
      <c r="J27" s="628">
        <v>1195840</v>
      </c>
      <c r="K27" s="628"/>
      <c r="L27" s="628">
        <v>11840</v>
      </c>
      <c r="M27" s="628">
        <v>259000</v>
      </c>
      <c r="N27" s="628">
        <f t="shared" si="0"/>
        <v>925000</v>
      </c>
      <c r="O27" s="659">
        <f t="shared" si="8"/>
        <v>208</v>
      </c>
      <c r="P27" s="660">
        <v>9</v>
      </c>
      <c r="Q27" s="661">
        <f t="shared" si="2"/>
        <v>8.4301369863013704</v>
      </c>
      <c r="R27" s="662">
        <f t="shared" si="3"/>
        <v>58569</v>
      </c>
      <c r="S27" s="662">
        <f t="shared" si="4"/>
        <v>866431</v>
      </c>
      <c r="T27" s="663">
        <f t="shared" si="9"/>
        <v>925000</v>
      </c>
      <c r="U27" s="663">
        <f t="shared" si="6"/>
        <v>0</v>
      </c>
      <c r="V27" s="664"/>
      <c r="W27" s="664"/>
      <c r="X27" s="664"/>
      <c r="Y27" s="664"/>
      <c r="Z27" s="664"/>
      <c r="AA27" s="664"/>
      <c r="AB27" s="664"/>
      <c r="AC27" s="664"/>
      <c r="AD27" s="664"/>
      <c r="AE27" s="664"/>
      <c r="AF27" s="664"/>
    </row>
    <row r="28" spans="2:32" ht="14.65">
      <c r="B28" s="653">
        <f t="shared" si="7"/>
        <v>24</v>
      </c>
      <c r="C28" s="684" t="s">
        <v>71</v>
      </c>
      <c r="D28" s="684" t="s">
        <v>26</v>
      </c>
      <c r="E28" s="685" t="s">
        <v>334</v>
      </c>
      <c r="F28" s="686">
        <v>44808</v>
      </c>
      <c r="G28" s="686">
        <v>44808</v>
      </c>
      <c r="H28" s="684" t="s">
        <v>402</v>
      </c>
      <c r="I28" s="657">
        <v>44808</v>
      </c>
      <c r="J28" s="628">
        <v>1195840</v>
      </c>
      <c r="K28" s="628"/>
      <c r="L28" s="628">
        <v>11840</v>
      </c>
      <c r="M28" s="628">
        <v>259000</v>
      </c>
      <c r="N28" s="628">
        <f t="shared" si="0"/>
        <v>925000</v>
      </c>
      <c r="O28" s="659">
        <f t="shared" si="8"/>
        <v>208</v>
      </c>
      <c r="P28" s="660">
        <v>9</v>
      </c>
      <c r="Q28" s="661">
        <f t="shared" si="2"/>
        <v>8.4301369863013704</v>
      </c>
      <c r="R28" s="662">
        <f t="shared" si="3"/>
        <v>58569</v>
      </c>
      <c r="S28" s="662">
        <f t="shared" si="4"/>
        <v>866431</v>
      </c>
      <c r="T28" s="663">
        <f t="shared" si="9"/>
        <v>925000</v>
      </c>
      <c r="U28" s="663">
        <f t="shared" si="6"/>
        <v>0</v>
      </c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</row>
    <row r="29" spans="2:32" ht="14.65">
      <c r="B29" s="653">
        <f t="shared" si="7"/>
        <v>25</v>
      </c>
      <c r="C29" s="684" t="s">
        <v>71</v>
      </c>
      <c r="D29" s="684" t="s">
        <v>26</v>
      </c>
      <c r="E29" s="685" t="s">
        <v>335</v>
      </c>
      <c r="F29" s="686">
        <v>44808</v>
      </c>
      <c r="G29" s="686">
        <v>44808</v>
      </c>
      <c r="H29" s="684" t="s">
        <v>402</v>
      </c>
      <c r="I29" s="657">
        <v>44808</v>
      </c>
      <c r="J29" s="628">
        <v>1195840</v>
      </c>
      <c r="K29" s="628"/>
      <c r="L29" s="628">
        <v>11840</v>
      </c>
      <c r="M29" s="628">
        <v>259000</v>
      </c>
      <c r="N29" s="628">
        <f t="shared" si="0"/>
        <v>925000</v>
      </c>
      <c r="O29" s="659">
        <f t="shared" si="8"/>
        <v>208</v>
      </c>
      <c r="P29" s="660">
        <v>9</v>
      </c>
      <c r="Q29" s="661">
        <f t="shared" si="2"/>
        <v>8.4301369863013704</v>
      </c>
      <c r="R29" s="662">
        <f t="shared" si="3"/>
        <v>58569</v>
      </c>
      <c r="S29" s="662">
        <f t="shared" si="4"/>
        <v>866431</v>
      </c>
      <c r="T29" s="663">
        <f t="shared" si="9"/>
        <v>925000</v>
      </c>
      <c r="U29" s="663">
        <f t="shared" si="6"/>
        <v>0</v>
      </c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</row>
    <row r="30" spans="2:32" ht="14.65">
      <c r="B30" s="653">
        <f t="shared" si="7"/>
        <v>26</v>
      </c>
      <c r="C30" s="684" t="s">
        <v>71</v>
      </c>
      <c r="D30" s="684" t="s">
        <v>26</v>
      </c>
      <c r="E30" s="685" t="s">
        <v>336</v>
      </c>
      <c r="F30" s="686">
        <v>44808</v>
      </c>
      <c r="G30" s="686">
        <v>44808</v>
      </c>
      <c r="H30" s="684" t="s">
        <v>402</v>
      </c>
      <c r="I30" s="657">
        <v>44808</v>
      </c>
      <c r="J30" s="628">
        <v>1195840</v>
      </c>
      <c r="K30" s="628"/>
      <c r="L30" s="628">
        <v>11840</v>
      </c>
      <c r="M30" s="628">
        <v>259000</v>
      </c>
      <c r="N30" s="628">
        <f t="shared" si="0"/>
        <v>925000</v>
      </c>
      <c r="O30" s="659">
        <f t="shared" si="8"/>
        <v>208</v>
      </c>
      <c r="P30" s="660">
        <v>9</v>
      </c>
      <c r="Q30" s="661">
        <f t="shared" si="2"/>
        <v>8.4301369863013704</v>
      </c>
      <c r="R30" s="662">
        <f t="shared" si="3"/>
        <v>58569</v>
      </c>
      <c r="S30" s="662">
        <f t="shared" si="4"/>
        <v>866431</v>
      </c>
      <c r="T30" s="663">
        <f t="shared" si="9"/>
        <v>925000</v>
      </c>
      <c r="U30" s="663">
        <f t="shared" si="6"/>
        <v>0</v>
      </c>
      <c r="V30" s="664"/>
      <c r="W30" s="664"/>
      <c r="X30" s="664"/>
      <c r="Y30" s="664"/>
      <c r="Z30" s="664"/>
      <c r="AA30" s="664"/>
      <c r="AB30" s="664"/>
      <c r="AC30" s="664"/>
      <c r="AD30" s="664"/>
      <c r="AE30" s="664"/>
      <c r="AF30" s="664"/>
    </row>
    <row r="31" spans="2:32" ht="14.65">
      <c r="B31" s="653">
        <f t="shared" si="7"/>
        <v>27</v>
      </c>
      <c r="C31" s="684" t="s">
        <v>71</v>
      </c>
      <c r="D31" s="684" t="s">
        <v>26</v>
      </c>
      <c r="E31" s="685" t="s">
        <v>337</v>
      </c>
      <c r="F31" s="686">
        <v>44808</v>
      </c>
      <c r="G31" s="686">
        <v>44808</v>
      </c>
      <c r="H31" s="684" t="s">
        <v>402</v>
      </c>
      <c r="I31" s="657">
        <v>44808</v>
      </c>
      <c r="J31" s="628">
        <v>1195840</v>
      </c>
      <c r="K31" s="628"/>
      <c r="L31" s="628">
        <v>11840</v>
      </c>
      <c r="M31" s="628">
        <v>259000</v>
      </c>
      <c r="N31" s="628">
        <f t="shared" si="0"/>
        <v>925000</v>
      </c>
      <c r="O31" s="659">
        <f t="shared" si="8"/>
        <v>208</v>
      </c>
      <c r="P31" s="660">
        <v>9</v>
      </c>
      <c r="Q31" s="661">
        <f t="shared" si="2"/>
        <v>8.4301369863013704</v>
      </c>
      <c r="R31" s="662">
        <f t="shared" si="3"/>
        <v>58569</v>
      </c>
      <c r="S31" s="662">
        <f t="shared" si="4"/>
        <v>866431</v>
      </c>
      <c r="T31" s="663">
        <f t="shared" si="9"/>
        <v>925000</v>
      </c>
      <c r="U31" s="663">
        <f t="shared" si="6"/>
        <v>0</v>
      </c>
      <c r="V31" s="664"/>
      <c r="W31" s="664"/>
      <c r="X31" s="664"/>
      <c r="Y31" s="664"/>
      <c r="Z31" s="664"/>
      <c r="AA31" s="664"/>
      <c r="AB31" s="664"/>
      <c r="AC31" s="664"/>
      <c r="AD31" s="664"/>
      <c r="AE31" s="664"/>
      <c r="AF31" s="664"/>
    </row>
    <row r="32" spans="2:32" ht="14.65">
      <c r="B32" s="653">
        <f t="shared" si="7"/>
        <v>28</v>
      </c>
      <c r="C32" s="684" t="s">
        <v>71</v>
      </c>
      <c r="D32" s="684" t="s">
        <v>26</v>
      </c>
      <c r="E32" s="685" t="s">
        <v>338</v>
      </c>
      <c r="F32" s="686">
        <v>44808</v>
      </c>
      <c r="G32" s="686">
        <v>44808</v>
      </c>
      <c r="H32" s="684" t="s">
        <v>402</v>
      </c>
      <c r="I32" s="657">
        <v>44808</v>
      </c>
      <c r="J32" s="628">
        <v>1195840</v>
      </c>
      <c r="K32" s="628"/>
      <c r="L32" s="628">
        <v>11840</v>
      </c>
      <c r="M32" s="628">
        <v>259000</v>
      </c>
      <c r="N32" s="628">
        <f t="shared" si="0"/>
        <v>925000</v>
      </c>
      <c r="O32" s="659">
        <f t="shared" si="8"/>
        <v>208</v>
      </c>
      <c r="P32" s="660">
        <v>9</v>
      </c>
      <c r="Q32" s="661">
        <f t="shared" si="2"/>
        <v>8.4301369863013704</v>
      </c>
      <c r="R32" s="662">
        <f t="shared" si="3"/>
        <v>58569</v>
      </c>
      <c r="S32" s="662">
        <f t="shared" si="4"/>
        <v>866431</v>
      </c>
      <c r="T32" s="663">
        <f t="shared" si="9"/>
        <v>925000</v>
      </c>
      <c r="U32" s="663">
        <f t="shared" si="6"/>
        <v>0</v>
      </c>
      <c r="V32" s="664"/>
      <c r="W32" s="664"/>
      <c r="X32" s="664"/>
      <c r="Y32" s="664"/>
      <c r="Z32" s="664"/>
      <c r="AA32" s="664"/>
      <c r="AB32" s="664"/>
      <c r="AC32" s="664"/>
      <c r="AD32" s="664"/>
      <c r="AE32" s="664"/>
      <c r="AF32" s="664"/>
    </row>
    <row r="33" spans="2:32" ht="14.65">
      <c r="B33" s="653">
        <f t="shared" si="7"/>
        <v>29</v>
      </c>
      <c r="C33" s="684" t="s">
        <v>71</v>
      </c>
      <c r="D33" s="684" t="s">
        <v>26</v>
      </c>
      <c r="E33" s="685" t="s">
        <v>339</v>
      </c>
      <c r="F33" s="686">
        <v>44808</v>
      </c>
      <c r="G33" s="686">
        <v>44808</v>
      </c>
      <c r="H33" s="684" t="s">
        <v>402</v>
      </c>
      <c r="I33" s="657">
        <v>44808</v>
      </c>
      <c r="J33" s="628">
        <v>1195840</v>
      </c>
      <c r="K33" s="628"/>
      <c r="L33" s="628">
        <v>11840</v>
      </c>
      <c r="M33" s="628">
        <v>259000</v>
      </c>
      <c r="N33" s="628">
        <f t="shared" si="0"/>
        <v>925000</v>
      </c>
      <c r="O33" s="659">
        <f t="shared" si="8"/>
        <v>208</v>
      </c>
      <c r="P33" s="660">
        <v>9</v>
      </c>
      <c r="Q33" s="661">
        <f t="shared" si="2"/>
        <v>8.4301369863013704</v>
      </c>
      <c r="R33" s="662">
        <f t="shared" si="3"/>
        <v>58569</v>
      </c>
      <c r="S33" s="662">
        <f t="shared" si="4"/>
        <v>866431</v>
      </c>
      <c r="T33" s="663">
        <f t="shared" si="9"/>
        <v>925000</v>
      </c>
      <c r="U33" s="663">
        <f t="shared" si="6"/>
        <v>0</v>
      </c>
      <c r="V33" s="664"/>
      <c r="W33" s="664"/>
      <c r="X33" s="664"/>
      <c r="Y33" s="664"/>
      <c r="Z33" s="664"/>
      <c r="AA33" s="664"/>
      <c r="AB33" s="664"/>
      <c r="AC33" s="664"/>
      <c r="AD33" s="664"/>
      <c r="AE33" s="664"/>
      <c r="AF33" s="664"/>
    </row>
    <row r="34" spans="2:32" ht="14.65">
      <c r="B34" s="653">
        <f t="shared" si="7"/>
        <v>30</v>
      </c>
      <c r="C34" s="684" t="s">
        <v>71</v>
      </c>
      <c r="D34" s="684" t="s">
        <v>26</v>
      </c>
      <c r="E34" s="685" t="s">
        <v>340</v>
      </c>
      <c r="F34" s="686">
        <v>44808</v>
      </c>
      <c r="G34" s="686">
        <v>44808</v>
      </c>
      <c r="H34" s="684" t="s">
        <v>402</v>
      </c>
      <c r="I34" s="657">
        <v>44808</v>
      </c>
      <c r="J34" s="628">
        <v>1195840</v>
      </c>
      <c r="K34" s="628"/>
      <c r="L34" s="628">
        <v>11840</v>
      </c>
      <c r="M34" s="628">
        <v>259000</v>
      </c>
      <c r="N34" s="628">
        <f t="shared" si="0"/>
        <v>925000</v>
      </c>
      <c r="O34" s="659">
        <f t="shared" si="8"/>
        <v>208</v>
      </c>
      <c r="P34" s="660">
        <v>9</v>
      </c>
      <c r="Q34" s="661">
        <f t="shared" si="2"/>
        <v>8.4301369863013704</v>
      </c>
      <c r="R34" s="662">
        <f t="shared" si="3"/>
        <v>58569</v>
      </c>
      <c r="S34" s="662">
        <f t="shared" si="4"/>
        <v>866431</v>
      </c>
      <c r="T34" s="663">
        <f t="shared" si="9"/>
        <v>925000</v>
      </c>
      <c r="U34" s="663">
        <f t="shared" si="6"/>
        <v>0</v>
      </c>
      <c r="V34" s="664"/>
      <c r="W34" s="664"/>
      <c r="X34" s="664"/>
      <c r="Y34" s="664"/>
      <c r="Z34" s="664"/>
      <c r="AA34" s="664"/>
      <c r="AB34" s="664"/>
      <c r="AC34" s="664"/>
      <c r="AD34" s="664"/>
      <c r="AE34" s="664"/>
      <c r="AF34" s="664"/>
    </row>
    <row r="35" spans="2:32" ht="14.65">
      <c r="B35" s="653">
        <f t="shared" si="7"/>
        <v>31</v>
      </c>
      <c r="C35" s="684" t="s">
        <v>71</v>
      </c>
      <c r="D35" s="684" t="s">
        <v>26</v>
      </c>
      <c r="E35" s="685" t="s">
        <v>341</v>
      </c>
      <c r="F35" s="686">
        <v>44808</v>
      </c>
      <c r="G35" s="686">
        <v>44808</v>
      </c>
      <c r="H35" s="684" t="s">
        <v>402</v>
      </c>
      <c r="I35" s="657">
        <v>44808</v>
      </c>
      <c r="J35" s="628">
        <v>1195840</v>
      </c>
      <c r="K35" s="628"/>
      <c r="L35" s="628">
        <v>11840</v>
      </c>
      <c r="M35" s="628">
        <v>259000</v>
      </c>
      <c r="N35" s="628">
        <f t="shared" si="0"/>
        <v>925000</v>
      </c>
      <c r="O35" s="659">
        <f t="shared" si="8"/>
        <v>208</v>
      </c>
      <c r="P35" s="660">
        <v>9</v>
      </c>
      <c r="Q35" s="661">
        <f t="shared" si="2"/>
        <v>8.4301369863013704</v>
      </c>
      <c r="R35" s="662">
        <f t="shared" si="3"/>
        <v>58569</v>
      </c>
      <c r="S35" s="662">
        <f t="shared" si="4"/>
        <v>866431</v>
      </c>
      <c r="T35" s="663">
        <f t="shared" si="9"/>
        <v>925000</v>
      </c>
      <c r="U35" s="663">
        <f t="shared" si="6"/>
        <v>0</v>
      </c>
      <c r="V35" s="664"/>
      <c r="W35" s="664"/>
      <c r="X35" s="664"/>
      <c r="Y35" s="664"/>
      <c r="Z35" s="664"/>
      <c r="AA35" s="664"/>
      <c r="AB35" s="664"/>
      <c r="AC35" s="664"/>
      <c r="AD35" s="664"/>
      <c r="AE35" s="664"/>
      <c r="AF35" s="664"/>
    </row>
    <row r="36" spans="2:32" ht="14.65">
      <c r="B36" s="653">
        <f t="shared" si="7"/>
        <v>32</v>
      </c>
      <c r="C36" s="684" t="s">
        <v>71</v>
      </c>
      <c r="D36" s="684" t="s">
        <v>26</v>
      </c>
      <c r="E36" s="685" t="s">
        <v>342</v>
      </c>
      <c r="F36" s="686">
        <v>44808</v>
      </c>
      <c r="G36" s="686">
        <v>44808</v>
      </c>
      <c r="H36" s="684" t="s">
        <v>402</v>
      </c>
      <c r="I36" s="657">
        <v>44808</v>
      </c>
      <c r="J36" s="628">
        <v>1195840</v>
      </c>
      <c r="K36" s="628"/>
      <c r="L36" s="628">
        <v>11840</v>
      </c>
      <c r="M36" s="628">
        <v>259000</v>
      </c>
      <c r="N36" s="628">
        <f t="shared" si="0"/>
        <v>925000</v>
      </c>
      <c r="O36" s="659">
        <f t="shared" si="8"/>
        <v>208</v>
      </c>
      <c r="P36" s="660">
        <v>9</v>
      </c>
      <c r="Q36" s="661">
        <f t="shared" si="2"/>
        <v>8.4301369863013704</v>
      </c>
      <c r="R36" s="662">
        <f t="shared" si="3"/>
        <v>58569</v>
      </c>
      <c r="S36" s="662">
        <f t="shared" si="4"/>
        <v>866431</v>
      </c>
      <c r="T36" s="663">
        <f t="shared" si="9"/>
        <v>925000</v>
      </c>
      <c r="U36" s="663">
        <f t="shared" si="6"/>
        <v>0</v>
      </c>
      <c r="V36" s="664"/>
      <c r="W36" s="664"/>
      <c r="X36" s="664"/>
      <c r="Y36" s="664"/>
      <c r="Z36" s="664"/>
      <c r="AA36" s="664"/>
      <c r="AB36" s="664"/>
      <c r="AC36" s="664"/>
      <c r="AD36" s="664"/>
      <c r="AE36" s="664"/>
      <c r="AF36" s="664"/>
    </row>
    <row r="37" spans="2:32" ht="14.65">
      <c r="B37" s="653">
        <f t="shared" si="7"/>
        <v>33</v>
      </c>
      <c r="C37" s="684" t="s">
        <v>71</v>
      </c>
      <c r="D37" s="684" t="s">
        <v>26</v>
      </c>
      <c r="E37" s="685" t="s">
        <v>343</v>
      </c>
      <c r="F37" s="686">
        <v>44808</v>
      </c>
      <c r="G37" s="686">
        <v>44808</v>
      </c>
      <c r="H37" s="684" t="s">
        <v>402</v>
      </c>
      <c r="I37" s="657">
        <v>44808</v>
      </c>
      <c r="J37" s="628">
        <v>1195840</v>
      </c>
      <c r="K37" s="628"/>
      <c r="L37" s="628">
        <v>11840</v>
      </c>
      <c r="M37" s="628">
        <v>259000</v>
      </c>
      <c r="N37" s="628">
        <f t="shared" si="0"/>
        <v>925000</v>
      </c>
      <c r="O37" s="659">
        <f t="shared" si="8"/>
        <v>208</v>
      </c>
      <c r="P37" s="660">
        <v>9</v>
      </c>
      <c r="Q37" s="661">
        <f t="shared" si="2"/>
        <v>8.4301369863013704</v>
      </c>
      <c r="R37" s="662">
        <f t="shared" si="3"/>
        <v>58569</v>
      </c>
      <c r="S37" s="662">
        <f t="shared" si="4"/>
        <v>866431</v>
      </c>
      <c r="T37" s="663">
        <f t="shared" si="9"/>
        <v>925000</v>
      </c>
      <c r="U37" s="663">
        <f t="shared" si="6"/>
        <v>0</v>
      </c>
      <c r="V37" s="664"/>
      <c r="W37" s="664"/>
      <c r="X37" s="664"/>
      <c r="Y37" s="664"/>
      <c r="Z37" s="664"/>
      <c r="AA37" s="664"/>
      <c r="AB37" s="664"/>
      <c r="AC37" s="664"/>
      <c r="AD37" s="664"/>
      <c r="AE37" s="664"/>
      <c r="AF37" s="664"/>
    </row>
    <row r="38" spans="2:32" ht="14.65">
      <c r="B38" s="653">
        <f t="shared" si="7"/>
        <v>34</v>
      </c>
      <c r="C38" s="684" t="s">
        <v>71</v>
      </c>
      <c r="D38" s="684" t="s">
        <v>26</v>
      </c>
      <c r="E38" s="685" t="s">
        <v>344</v>
      </c>
      <c r="F38" s="686">
        <v>44808</v>
      </c>
      <c r="G38" s="686">
        <v>44808</v>
      </c>
      <c r="H38" s="684" t="s">
        <v>402</v>
      </c>
      <c r="I38" s="657">
        <v>44808</v>
      </c>
      <c r="J38" s="628">
        <v>1195840</v>
      </c>
      <c r="K38" s="628"/>
      <c r="L38" s="628">
        <v>11840</v>
      </c>
      <c r="M38" s="628">
        <v>259000</v>
      </c>
      <c r="N38" s="628">
        <f t="shared" si="0"/>
        <v>925000</v>
      </c>
      <c r="O38" s="659">
        <f t="shared" si="8"/>
        <v>208</v>
      </c>
      <c r="P38" s="660">
        <v>9</v>
      </c>
      <c r="Q38" s="661">
        <f t="shared" si="2"/>
        <v>8.4301369863013704</v>
      </c>
      <c r="R38" s="662">
        <f t="shared" si="3"/>
        <v>58569</v>
      </c>
      <c r="S38" s="662">
        <f t="shared" si="4"/>
        <v>866431</v>
      </c>
      <c r="T38" s="663">
        <f t="shared" si="9"/>
        <v>925000</v>
      </c>
      <c r="U38" s="663">
        <f t="shared" si="6"/>
        <v>0</v>
      </c>
      <c r="V38" s="664"/>
      <c r="W38" s="664"/>
      <c r="X38" s="664"/>
      <c r="Y38" s="664"/>
      <c r="Z38" s="664"/>
      <c r="AA38" s="664"/>
      <c r="AB38" s="664"/>
      <c r="AC38" s="664"/>
      <c r="AD38" s="664"/>
      <c r="AE38" s="664"/>
      <c r="AF38" s="664"/>
    </row>
    <row r="39" spans="2:32" ht="14.65">
      <c r="B39" s="653">
        <f t="shared" si="7"/>
        <v>35</v>
      </c>
      <c r="C39" s="669" t="s">
        <v>3423</v>
      </c>
      <c r="D39" s="670" t="s">
        <v>2474</v>
      </c>
      <c r="E39" s="671" t="s">
        <v>3424</v>
      </c>
      <c r="F39" s="672">
        <v>44902</v>
      </c>
      <c r="G39" s="672">
        <v>44947</v>
      </c>
      <c r="H39" s="669" t="s">
        <v>3421</v>
      </c>
      <c r="I39" s="672">
        <v>44947</v>
      </c>
      <c r="J39" s="627">
        <v>22420000</v>
      </c>
      <c r="K39" s="627"/>
      <c r="L39" s="627"/>
      <c r="M39" s="627">
        <v>3420000</v>
      </c>
      <c r="N39" s="627">
        <f t="shared" si="0"/>
        <v>19000000</v>
      </c>
      <c r="O39" s="659">
        <f t="shared" si="8"/>
        <v>69</v>
      </c>
      <c r="P39" s="673">
        <v>9</v>
      </c>
      <c r="Q39" s="674">
        <f t="shared" si="2"/>
        <v>8.8109589041095884</v>
      </c>
      <c r="R39" s="675">
        <f t="shared" si="3"/>
        <v>399087</v>
      </c>
      <c r="S39" s="675">
        <f t="shared" si="4"/>
        <v>18600913</v>
      </c>
      <c r="T39" s="676">
        <f t="shared" si="9"/>
        <v>0</v>
      </c>
      <c r="U39" s="676">
        <f t="shared" si="6"/>
        <v>19000000</v>
      </c>
      <c r="V39" s="664"/>
      <c r="W39" s="664"/>
      <c r="X39" s="664"/>
      <c r="Y39" s="664"/>
      <c r="Z39" s="664"/>
      <c r="AA39" s="664"/>
      <c r="AB39" s="664"/>
      <c r="AC39" s="664"/>
      <c r="AD39" s="664"/>
      <c r="AE39" s="664"/>
      <c r="AF39" s="664"/>
    </row>
    <row r="40" spans="2:32" ht="14.65">
      <c r="B40" s="653">
        <f t="shared" si="7"/>
        <v>36</v>
      </c>
      <c r="C40" s="669" t="s">
        <v>3423</v>
      </c>
      <c r="D40" s="670" t="s">
        <v>2474</v>
      </c>
      <c r="E40" s="671" t="s">
        <v>3422</v>
      </c>
      <c r="F40" s="672">
        <v>44903</v>
      </c>
      <c r="G40" s="672">
        <v>44947</v>
      </c>
      <c r="H40" s="669" t="s">
        <v>3421</v>
      </c>
      <c r="I40" s="672">
        <v>44947</v>
      </c>
      <c r="J40" s="627">
        <v>1180000</v>
      </c>
      <c r="K40" s="627"/>
      <c r="L40" s="627"/>
      <c r="M40" s="627">
        <v>180000</v>
      </c>
      <c r="N40" s="627">
        <f t="shared" si="0"/>
        <v>1000000</v>
      </c>
      <c r="O40" s="659">
        <f t="shared" si="8"/>
        <v>69</v>
      </c>
      <c r="P40" s="673">
        <v>9</v>
      </c>
      <c r="Q40" s="674">
        <f t="shared" si="2"/>
        <v>8.8109589041095884</v>
      </c>
      <c r="R40" s="675">
        <f t="shared" si="3"/>
        <v>21005</v>
      </c>
      <c r="S40" s="675">
        <f t="shared" si="4"/>
        <v>978995</v>
      </c>
      <c r="T40" s="676">
        <f t="shared" si="9"/>
        <v>0</v>
      </c>
      <c r="U40" s="676">
        <f t="shared" si="6"/>
        <v>1000000</v>
      </c>
      <c r="V40" s="664"/>
      <c r="W40" s="664"/>
      <c r="X40" s="664"/>
      <c r="Y40" s="664"/>
      <c r="Z40" s="664"/>
      <c r="AA40" s="664"/>
      <c r="AB40" s="664"/>
      <c r="AC40" s="664"/>
      <c r="AD40" s="664"/>
      <c r="AE40" s="664"/>
      <c r="AF40" s="664"/>
    </row>
    <row r="41" spans="2:32" ht="14.65">
      <c r="B41" s="653">
        <f t="shared" si="7"/>
        <v>37</v>
      </c>
      <c r="C41" s="670" t="s">
        <v>583</v>
      </c>
      <c r="D41" s="670" t="s">
        <v>2474</v>
      </c>
      <c r="E41" s="680" t="s">
        <v>3520</v>
      </c>
      <c r="F41" s="678">
        <v>44967</v>
      </c>
      <c r="G41" s="678">
        <v>44967</v>
      </c>
      <c r="H41" s="670" t="s">
        <v>3515</v>
      </c>
      <c r="I41" s="672">
        <v>44967</v>
      </c>
      <c r="J41" s="679">
        <v>490000</v>
      </c>
      <c r="K41" s="627"/>
      <c r="L41" s="627"/>
      <c r="M41" s="627"/>
      <c r="N41" s="627">
        <f t="shared" si="0"/>
        <v>490000</v>
      </c>
      <c r="O41" s="659">
        <f t="shared" si="8"/>
        <v>49</v>
      </c>
      <c r="P41" s="673">
        <v>9</v>
      </c>
      <c r="Q41" s="674">
        <f t="shared" si="2"/>
        <v>8.8657534246575338</v>
      </c>
      <c r="R41" s="675">
        <f t="shared" si="3"/>
        <v>7309</v>
      </c>
      <c r="S41" s="675">
        <f t="shared" si="4"/>
        <v>482691</v>
      </c>
      <c r="T41" s="676">
        <f t="shared" si="9"/>
        <v>0</v>
      </c>
      <c r="U41" s="676">
        <f t="shared" si="6"/>
        <v>490000</v>
      </c>
      <c r="V41" s="664"/>
      <c r="W41" s="664"/>
      <c r="X41" s="664"/>
      <c r="Y41" s="664"/>
      <c r="Z41" s="664"/>
      <c r="AA41" s="664"/>
      <c r="AB41" s="664"/>
      <c r="AC41" s="664"/>
      <c r="AD41" s="664"/>
      <c r="AE41" s="664"/>
      <c r="AF41" s="664"/>
    </row>
    <row r="42" spans="2:32" ht="14.65">
      <c r="B42" s="653">
        <f t="shared" si="7"/>
        <v>38</v>
      </c>
      <c r="C42" s="670" t="s">
        <v>583</v>
      </c>
      <c r="D42" s="670" t="s">
        <v>2474</v>
      </c>
      <c r="E42" s="680" t="s">
        <v>3519</v>
      </c>
      <c r="F42" s="678">
        <v>44967</v>
      </c>
      <c r="G42" s="678">
        <v>44967</v>
      </c>
      <c r="H42" s="670" t="s">
        <v>3515</v>
      </c>
      <c r="I42" s="672">
        <v>44967</v>
      </c>
      <c r="J42" s="679">
        <v>480000</v>
      </c>
      <c r="K42" s="627"/>
      <c r="L42" s="627"/>
      <c r="M42" s="627"/>
      <c r="N42" s="627">
        <f t="shared" si="0"/>
        <v>480000</v>
      </c>
      <c r="O42" s="659">
        <f t="shared" si="8"/>
        <v>49</v>
      </c>
      <c r="P42" s="673">
        <v>9</v>
      </c>
      <c r="Q42" s="674">
        <f t="shared" si="2"/>
        <v>8.8657534246575338</v>
      </c>
      <c r="R42" s="675">
        <f t="shared" si="3"/>
        <v>7160</v>
      </c>
      <c r="S42" s="675">
        <f t="shared" si="4"/>
        <v>472840</v>
      </c>
      <c r="T42" s="676">
        <f t="shared" si="9"/>
        <v>0</v>
      </c>
      <c r="U42" s="676">
        <f t="shared" si="6"/>
        <v>480000</v>
      </c>
      <c r="V42" s="664"/>
      <c r="W42" s="664"/>
      <c r="X42" s="664"/>
      <c r="Y42" s="664"/>
      <c r="Z42" s="664"/>
      <c r="AA42" s="664"/>
      <c r="AB42" s="664"/>
      <c r="AC42" s="664"/>
      <c r="AD42" s="664"/>
      <c r="AE42" s="664"/>
      <c r="AF42" s="664"/>
    </row>
    <row r="43" spans="2:32" ht="14.65">
      <c r="B43" s="653">
        <f t="shared" si="7"/>
        <v>39</v>
      </c>
      <c r="C43" s="670" t="s">
        <v>583</v>
      </c>
      <c r="D43" s="670" t="s">
        <v>2474</v>
      </c>
      <c r="E43" s="680" t="s">
        <v>3518</v>
      </c>
      <c r="F43" s="678">
        <v>44967</v>
      </c>
      <c r="G43" s="678">
        <v>44967</v>
      </c>
      <c r="H43" s="670" t="s">
        <v>3515</v>
      </c>
      <c r="I43" s="672">
        <v>44967</v>
      </c>
      <c r="J43" s="679">
        <v>500000</v>
      </c>
      <c r="K43" s="627"/>
      <c r="L43" s="627"/>
      <c r="M43" s="627"/>
      <c r="N43" s="627">
        <f t="shared" si="0"/>
        <v>500000</v>
      </c>
      <c r="O43" s="659">
        <f t="shared" si="8"/>
        <v>49</v>
      </c>
      <c r="P43" s="673">
        <v>9</v>
      </c>
      <c r="Q43" s="674">
        <f t="shared" si="2"/>
        <v>8.8657534246575338</v>
      </c>
      <c r="R43" s="675">
        <f t="shared" si="3"/>
        <v>7458</v>
      </c>
      <c r="S43" s="675">
        <f t="shared" si="4"/>
        <v>492542</v>
      </c>
      <c r="T43" s="676">
        <f t="shared" si="9"/>
        <v>0</v>
      </c>
      <c r="U43" s="676">
        <f t="shared" si="6"/>
        <v>500000</v>
      </c>
      <c r="V43" s="664"/>
      <c r="W43" s="664"/>
      <c r="X43" s="664"/>
      <c r="Y43" s="664"/>
      <c r="Z43" s="664"/>
      <c r="AA43" s="664"/>
      <c r="AB43" s="664"/>
      <c r="AC43" s="664"/>
      <c r="AD43" s="664"/>
      <c r="AE43" s="664"/>
      <c r="AF43" s="664"/>
    </row>
    <row r="44" spans="2:32" ht="14.65">
      <c r="B44" s="653">
        <f t="shared" si="7"/>
        <v>40</v>
      </c>
      <c r="C44" s="670" t="s">
        <v>583</v>
      </c>
      <c r="D44" s="670" t="s">
        <v>2474</v>
      </c>
      <c r="E44" s="680" t="s">
        <v>3517</v>
      </c>
      <c r="F44" s="678">
        <v>44967</v>
      </c>
      <c r="G44" s="678">
        <v>44967</v>
      </c>
      <c r="H44" s="670" t="s">
        <v>3515</v>
      </c>
      <c r="I44" s="672">
        <v>44967</v>
      </c>
      <c r="J44" s="679">
        <v>540000</v>
      </c>
      <c r="K44" s="627"/>
      <c r="L44" s="627"/>
      <c r="M44" s="627"/>
      <c r="N44" s="627">
        <f t="shared" si="0"/>
        <v>540000</v>
      </c>
      <c r="O44" s="659">
        <f t="shared" si="8"/>
        <v>49</v>
      </c>
      <c r="P44" s="673">
        <v>9</v>
      </c>
      <c r="Q44" s="674">
        <f t="shared" si="2"/>
        <v>8.8657534246575338</v>
      </c>
      <c r="R44" s="675">
        <f t="shared" si="3"/>
        <v>8055</v>
      </c>
      <c r="S44" s="675">
        <f t="shared" si="4"/>
        <v>531945</v>
      </c>
      <c r="T44" s="676">
        <f t="shared" si="9"/>
        <v>0</v>
      </c>
      <c r="U44" s="676">
        <f t="shared" si="6"/>
        <v>540000</v>
      </c>
      <c r="V44" s="664"/>
      <c r="W44" s="664"/>
      <c r="X44" s="664"/>
      <c r="Y44" s="664"/>
      <c r="Z44" s="664"/>
      <c r="AA44" s="664"/>
      <c r="AB44" s="664"/>
      <c r="AC44" s="664"/>
      <c r="AD44" s="664"/>
      <c r="AE44" s="664"/>
      <c r="AF44" s="664"/>
    </row>
    <row r="45" spans="2:32" ht="14.65">
      <c r="B45" s="653">
        <f t="shared" si="7"/>
        <v>41</v>
      </c>
      <c r="C45" s="670" t="s">
        <v>583</v>
      </c>
      <c r="D45" s="670" t="s">
        <v>2474</v>
      </c>
      <c r="E45" s="680" t="s">
        <v>3516</v>
      </c>
      <c r="F45" s="678">
        <v>44967</v>
      </c>
      <c r="G45" s="678">
        <v>44970</v>
      </c>
      <c r="H45" s="670" t="s">
        <v>3515</v>
      </c>
      <c r="I45" s="672">
        <v>44970</v>
      </c>
      <c r="J45" s="679">
        <v>500000</v>
      </c>
      <c r="K45" s="627"/>
      <c r="L45" s="627"/>
      <c r="M45" s="627"/>
      <c r="N45" s="627">
        <f t="shared" si="0"/>
        <v>500000</v>
      </c>
      <c r="O45" s="659">
        <f t="shared" si="8"/>
        <v>46</v>
      </c>
      <c r="P45" s="673">
        <v>9</v>
      </c>
      <c r="Q45" s="674">
        <f t="shared" si="2"/>
        <v>8.8739726027397268</v>
      </c>
      <c r="R45" s="675">
        <f t="shared" si="3"/>
        <v>7002</v>
      </c>
      <c r="S45" s="675">
        <f t="shared" si="4"/>
        <v>492998</v>
      </c>
      <c r="T45" s="676">
        <f t="shared" si="9"/>
        <v>0</v>
      </c>
      <c r="U45" s="676">
        <f t="shared" si="6"/>
        <v>500000</v>
      </c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</row>
    <row r="46" spans="2:32" ht="14.65">
      <c r="B46" s="653">
        <f t="shared" si="7"/>
        <v>42</v>
      </c>
      <c r="C46" s="670" t="s">
        <v>3616</v>
      </c>
      <c r="D46" s="670" t="s">
        <v>2474</v>
      </c>
      <c r="E46" s="680">
        <v>22</v>
      </c>
      <c r="F46" s="678">
        <v>44669</v>
      </c>
      <c r="G46" s="678">
        <v>44652</v>
      </c>
      <c r="H46" s="670" t="s">
        <v>3617</v>
      </c>
      <c r="I46" s="672">
        <v>44669</v>
      </c>
      <c r="J46" s="679">
        <v>170000</v>
      </c>
      <c r="K46" s="627"/>
      <c r="L46" s="627"/>
      <c r="M46" s="627">
        <v>25932</v>
      </c>
      <c r="N46" s="627">
        <f t="shared" si="0"/>
        <v>144068</v>
      </c>
      <c r="O46" s="659">
        <f t="shared" si="8"/>
        <v>347</v>
      </c>
      <c r="P46" s="673">
        <v>9</v>
      </c>
      <c r="Q46" s="674">
        <f t="shared" si="2"/>
        <v>8.0493150684931507</v>
      </c>
      <c r="R46" s="675">
        <f t="shared" si="3"/>
        <v>15218</v>
      </c>
      <c r="S46" s="675">
        <f t="shared" si="4"/>
        <v>128850</v>
      </c>
      <c r="T46" s="676">
        <f t="shared" si="9"/>
        <v>144068</v>
      </c>
      <c r="U46" s="676">
        <f t="shared" si="6"/>
        <v>0</v>
      </c>
      <c r="V46" s="664"/>
      <c r="W46" s="664"/>
      <c r="X46" s="664"/>
      <c r="Y46" s="664"/>
      <c r="Z46" s="664"/>
      <c r="AA46" s="664"/>
      <c r="AB46" s="664"/>
      <c r="AC46" s="664"/>
      <c r="AD46" s="664"/>
      <c r="AE46" s="664"/>
      <c r="AF46" s="664"/>
    </row>
    <row r="47" spans="2:32" ht="14.65">
      <c r="B47" s="653">
        <f t="shared" si="7"/>
        <v>43</v>
      </c>
      <c r="C47" s="669" t="s">
        <v>3560</v>
      </c>
      <c r="D47" s="670" t="s">
        <v>2474</v>
      </c>
      <c r="E47" s="669" t="s">
        <v>3561</v>
      </c>
      <c r="F47" s="672">
        <v>44651</v>
      </c>
      <c r="G47" s="672">
        <v>45008</v>
      </c>
      <c r="H47" s="669" t="s">
        <v>3557</v>
      </c>
      <c r="I47" s="672">
        <v>45008</v>
      </c>
      <c r="J47" s="627">
        <v>115000</v>
      </c>
      <c r="K47" s="627"/>
      <c r="L47" s="627"/>
      <c r="M47" s="627">
        <f>6160.68*2</f>
        <v>12321.36</v>
      </c>
      <c r="N47" s="627">
        <f t="shared" si="0"/>
        <v>102678.64</v>
      </c>
      <c r="O47" s="682">
        <f>'[86]Add22-23'!$N$1-I47</f>
        <v>8</v>
      </c>
      <c r="P47" s="673">
        <v>9</v>
      </c>
      <c r="Q47" s="674">
        <f t="shared" si="2"/>
        <v>8.9780821917808211</v>
      </c>
      <c r="R47" s="675">
        <f t="shared" si="3"/>
        <v>250</v>
      </c>
      <c r="S47" s="675">
        <f t="shared" si="4"/>
        <v>102428.64</v>
      </c>
      <c r="T47" s="676"/>
      <c r="U47" s="676">
        <f t="shared" si="6"/>
        <v>102678.64</v>
      </c>
      <c r="V47" s="664"/>
      <c r="W47" s="664"/>
      <c r="X47" s="664"/>
      <c r="Y47" s="664"/>
      <c r="Z47" s="664"/>
      <c r="AA47" s="664"/>
      <c r="AB47" s="664"/>
      <c r="AC47" s="664"/>
      <c r="AD47" s="664"/>
      <c r="AE47" s="664"/>
      <c r="AF47" s="664"/>
    </row>
    <row r="48" spans="2:32" ht="14.65">
      <c r="B48" s="653">
        <f t="shared" si="7"/>
        <v>44</v>
      </c>
      <c r="C48" s="669" t="s">
        <v>3560</v>
      </c>
      <c r="D48" s="670" t="s">
        <v>2474</v>
      </c>
      <c r="E48" s="669" t="s">
        <v>3559</v>
      </c>
      <c r="F48" s="672">
        <v>44651</v>
      </c>
      <c r="G48" s="672">
        <v>45008</v>
      </c>
      <c r="H48" s="669" t="s">
        <v>3557</v>
      </c>
      <c r="I48" s="672">
        <v>45008</v>
      </c>
      <c r="J48" s="627">
        <v>95000</v>
      </c>
      <c r="K48" s="627"/>
      <c r="L48" s="627"/>
      <c r="M48" s="627">
        <f>5089.26*2</f>
        <v>10178.52</v>
      </c>
      <c r="N48" s="627">
        <f t="shared" si="0"/>
        <v>84821.48</v>
      </c>
      <c r="O48" s="682">
        <f>'[86]Add22-23'!$N$1-I48</f>
        <v>8</v>
      </c>
      <c r="P48" s="673">
        <v>9</v>
      </c>
      <c r="Q48" s="674">
        <f t="shared" si="2"/>
        <v>8.9780821917808211</v>
      </c>
      <c r="R48" s="675">
        <f t="shared" si="3"/>
        <v>207</v>
      </c>
      <c r="S48" s="675">
        <f t="shared" si="4"/>
        <v>84614.48</v>
      </c>
      <c r="T48" s="676"/>
      <c r="U48" s="676">
        <f t="shared" si="6"/>
        <v>84821.48</v>
      </c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</row>
    <row r="49" spans="2:32" ht="14.65">
      <c r="B49" s="653">
        <f t="shared" si="7"/>
        <v>45</v>
      </c>
      <c r="C49" s="669" t="s">
        <v>583</v>
      </c>
      <c r="D49" s="670" t="s">
        <v>2474</v>
      </c>
      <c r="E49" s="669" t="s">
        <v>3558</v>
      </c>
      <c r="F49" s="672">
        <v>45004</v>
      </c>
      <c r="G49" s="672">
        <v>45008</v>
      </c>
      <c r="H49" s="669" t="s">
        <v>3557</v>
      </c>
      <c r="I49" s="672">
        <v>45008</v>
      </c>
      <c r="J49" s="627">
        <v>862500</v>
      </c>
      <c r="K49" s="627"/>
      <c r="L49" s="627"/>
      <c r="M49" s="627">
        <f>46205.34*2</f>
        <v>92410.68</v>
      </c>
      <c r="N49" s="627">
        <f t="shared" si="0"/>
        <v>770089.32000000007</v>
      </c>
      <c r="O49" s="682">
        <f>'[86]Add22-23'!$N$1-I49</f>
        <v>8</v>
      </c>
      <c r="P49" s="673">
        <v>9</v>
      </c>
      <c r="Q49" s="674">
        <f t="shared" si="2"/>
        <v>8.9780821917808211</v>
      </c>
      <c r="R49" s="675">
        <f t="shared" si="3"/>
        <v>1875</v>
      </c>
      <c r="S49" s="675">
        <f t="shared" si="4"/>
        <v>768214.32000000007</v>
      </c>
      <c r="T49" s="676"/>
      <c r="U49" s="676">
        <f t="shared" si="6"/>
        <v>770089.32000000007</v>
      </c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</row>
    <row r="50" spans="2:32" ht="14.65">
      <c r="B50" s="653">
        <f t="shared" si="7"/>
        <v>46</v>
      </c>
      <c r="C50" s="669" t="s">
        <v>71</v>
      </c>
      <c r="D50" s="670" t="s">
        <v>2474</v>
      </c>
      <c r="E50" s="669" t="s">
        <v>3556</v>
      </c>
      <c r="F50" s="672">
        <v>44897</v>
      </c>
      <c r="G50" s="672">
        <v>45015</v>
      </c>
      <c r="H50" s="669" t="s">
        <v>3377</v>
      </c>
      <c r="I50" s="672">
        <v>45015</v>
      </c>
      <c r="J50" s="627">
        <v>1195840</v>
      </c>
      <c r="K50" s="627"/>
      <c r="L50" s="627">
        <v>11840</v>
      </c>
      <c r="M50" s="627">
        <v>259000</v>
      </c>
      <c r="N50" s="627">
        <f t="shared" si="0"/>
        <v>925000</v>
      </c>
      <c r="O50" s="682">
        <f>'[86]Add22-23'!$N$1-I50</f>
        <v>1</v>
      </c>
      <c r="P50" s="673">
        <v>9</v>
      </c>
      <c r="Q50" s="674">
        <f t="shared" si="2"/>
        <v>8.9972602739726035</v>
      </c>
      <c r="R50" s="675">
        <f t="shared" si="3"/>
        <v>282</v>
      </c>
      <c r="S50" s="675">
        <f t="shared" si="4"/>
        <v>924718</v>
      </c>
      <c r="T50" s="676"/>
      <c r="U50" s="676">
        <f t="shared" si="6"/>
        <v>925000</v>
      </c>
      <c r="V50" s="664"/>
      <c r="W50" s="664"/>
      <c r="X50" s="664"/>
      <c r="Y50" s="664"/>
      <c r="Z50" s="664"/>
      <c r="AA50" s="664"/>
      <c r="AB50" s="664"/>
      <c r="AC50" s="664"/>
      <c r="AD50" s="664"/>
      <c r="AE50" s="664"/>
      <c r="AF50" s="664"/>
    </row>
    <row r="51" spans="2:32" ht="14.65">
      <c r="B51" s="653">
        <f t="shared" si="7"/>
        <v>47</v>
      </c>
      <c r="C51" s="669" t="s">
        <v>71</v>
      </c>
      <c r="D51" s="670" t="s">
        <v>2474</v>
      </c>
      <c r="E51" s="669" t="s">
        <v>3555</v>
      </c>
      <c r="F51" s="672">
        <v>44897</v>
      </c>
      <c r="G51" s="672">
        <v>45015</v>
      </c>
      <c r="H51" s="669" t="s">
        <v>3377</v>
      </c>
      <c r="I51" s="672">
        <v>45015</v>
      </c>
      <c r="J51" s="627">
        <v>1195840</v>
      </c>
      <c r="K51" s="627"/>
      <c r="L51" s="627">
        <v>11840</v>
      </c>
      <c r="M51" s="627">
        <v>259000</v>
      </c>
      <c r="N51" s="627">
        <f t="shared" si="0"/>
        <v>925000</v>
      </c>
      <c r="O51" s="682">
        <f>'[86]Add22-23'!$N$1-I51</f>
        <v>1</v>
      </c>
      <c r="P51" s="673">
        <v>9</v>
      </c>
      <c r="Q51" s="674">
        <f t="shared" si="2"/>
        <v>8.9972602739726035</v>
      </c>
      <c r="R51" s="675">
        <f t="shared" si="3"/>
        <v>282</v>
      </c>
      <c r="S51" s="675">
        <f t="shared" si="4"/>
        <v>924718</v>
      </c>
      <c r="T51" s="676"/>
      <c r="U51" s="676">
        <f t="shared" si="6"/>
        <v>925000</v>
      </c>
      <c r="V51" s="664"/>
      <c r="W51" s="664"/>
      <c r="X51" s="664"/>
      <c r="Y51" s="664"/>
      <c r="Z51" s="664"/>
      <c r="AA51" s="664"/>
      <c r="AB51" s="664"/>
      <c r="AC51" s="664"/>
      <c r="AD51" s="664"/>
      <c r="AE51" s="664"/>
      <c r="AF51" s="664"/>
    </row>
    <row r="52" spans="2:32" ht="14.65">
      <c r="B52" s="653">
        <f t="shared" si="7"/>
        <v>48</v>
      </c>
      <c r="C52" s="665" t="s">
        <v>61</v>
      </c>
      <c r="D52" s="666" t="s">
        <v>75</v>
      </c>
      <c r="E52" s="667" t="s">
        <v>82</v>
      </c>
      <c r="F52" s="657">
        <v>44655</v>
      </c>
      <c r="G52" s="657">
        <v>44655</v>
      </c>
      <c r="H52" s="665" t="s">
        <v>170</v>
      </c>
      <c r="I52" s="668">
        <v>44655</v>
      </c>
      <c r="J52" s="628">
        <v>6726000</v>
      </c>
      <c r="K52" s="628"/>
      <c r="L52" s="628"/>
      <c r="M52" s="628">
        <v>1026000</v>
      </c>
      <c r="N52" s="628">
        <f t="shared" si="0"/>
        <v>5700000</v>
      </c>
      <c r="O52" s="659">
        <f t="shared" ref="O52:O71" si="10">$O$1-I52</f>
        <v>361</v>
      </c>
      <c r="P52" s="660">
        <v>9</v>
      </c>
      <c r="Q52" s="661">
        <f t="shared" si="2"/>
        <v>8.0109589041095894</v>
      </c>
      <c r="R52" s="662">
        <f t="shared" si="3"/>
        <v>626393</v>
      </c>
      <c r="S52" s="662">
        <f t="shared" si="4"/>
        <v>5073607</v>
      </c>
      <c r="T52" s="663">
        <f t="shared" ref="T52:T71" si="11">IF(I52&lt;=DATE(2022,9,30),N52,0)</f>
        <v>5700000</v>
      </c>
      <c r="U52" s="663">
        <f t="shared" si="6"/>
        <v>0</v>
      </c>
      <c r="V52" s="664"/>
      <c r="W52" s="664"/>
      <c r="X52" s="664"/>
      <c r="Y52" s="664"/>
      <c r="Z52" s="664"/>
      <c r="AA52" s="664"/>
      <c r="AB52" s="664"/>
      <c r="AC52" s="664"/>
      <c r="AD52" s="664"/>
      <c r="AE52" s="664"/>
      <c r="AF52" s="664"/>
    </row>
    <row r="53" spans="2:32" ht="14.65">
      <c r="B53" s="653">
        <f t="shared" si="7"/>
        <v>49</v>
      </c>
      <c r="C53" s="665" t="s">
        <v>61</v>
      </c>
      <c r="D53" s="666" t="s">
        <v>75</v>
      </c>
      <c r="E53" s="667" t="s">
        <v>83</v>
      </c>
      <c r="F53" s="657">
        <v>44656</v>
      </c>
      <c r="G53" s="657">
        <v>44656</v>
      </c>
      <c r="H53" s="665" t="s">
        <v>170</v>
      </c>
      <c r="I53" s="668">
        <v>44656</v>
      </c>
      <c r="J53" s="628">
        <v>6726000</v>
      </c>
      <c r="K53" s="628"/>
      <c r="L53" s="628"/>
      <c r="M53" s="628">
        <v>1026000</v>
      </c>
      <c r="N53" s="628">
        <f t="shared" si="0"/>
        <v>5700000</v>
      </c>
      <c r="O53" s="659">
        <f t="shared" si="10"/>
        <v>360</v>
      </c>
      <c r="P53" s="660">
        <v>9</v>
      </c>
      <c r="Q53" s="661">
        <f t="shared" si="2"/>
        <v>8.0136986301369859</v>
      </c>
      <c r="R53" s="662">
        <f t="shared" si="3"/>
        <v>624658</v>
      </c>
      <c r="S53" s="662">
        <f t="shared" si="4"/>
        <v>5075342</v>
      </c>
      <c r="T53" s="663">
        <f t="shared" si="11"/>
        <v>5700000</v>
      </c>
      <c r="U53" s="663">
        <f t="shared" si="6"/>
        <v>0</v>
      </c>
      <c r="V53" s="664"/>
      <c r="W53" s="664"/>
      <c r="X53" s="664"/>
      <c r="Y53" s="664"/>
      <c r="Z53" s="664"/>
      <c r="AA53" s="664"/>
      <c r="AB53" s="664"/>
      <c r="AC53" s="664"/>
      <c r="AD53" s="664"/>
      <c r="AE53" s="664"/>
      <c r="AF53" s="664"/>
    </row>
    <row r="54" spans="2:32" ht="14.65">
      <c r="B54" s="653">
        <f t="shared" si="7"/>
        <v>50</v>
      </c>
      <c r="C54" s="665" t="s">
        <v>61</v>
      </c>
      <c r="D54" s="666" t="s">
        <v>75</v>
      </c>
      <c r="E54" s="667" t="s">
        <v>84</v>
      </c>
      <c r="F54" s="657">
        <v>44656</v>
      </c>
      <c r="G54" s="657">
        <v>44656</v>
      </c>
      <c r="H54" s="665" t="s">
        <v>170</v>
      </c>
      <c r="I54" s="668">
        <v>44656</v>
      </c>
      <c r="J54" s="628">
        <v>6726000</v>
      </c>
      <c r="K54" s="628"/>
      <c r="L54" s="628"/>
      <c r="M54" s="628">
        <v>1026000</v>
      </c>
      <c r="N54" s="628">
        <f t="shared" si="0"/>
        <v>5700000</v>
      </c>
      <c r="O54" s="659">
        <f t="shared" si="10"/>
        <v>360</v>
      </c>
      <c r="P54" s="660">
        <v>9</v>
      </c>
      <c r="Q54" s="661">
        <f t="shared" si="2"/>
        <v>8.0136986301369859</v>
      </c>
      <c r="R54" s="662">
        <f t="shared" si="3"/>
        <v>624658</v>
      </c>
      <c r="S54" s="662">
        <f t="shared" si="4"/>
        <v>5075342</v>
      </c>
      <c r="T54" s="663">
        <f t="shared" si="11"/>
        <v>5700000</v>
      </c>
      <c r="U54" s="663">
        <f t="shared" si="6"/>
        <v>0</v>
      </c>
      <c r="V54" s="664"/>
      <c r="W54" s="664"/>
      <c r="X54" s="664"/>
      <c r="Y54" s="664"/>
      <c r="Z54" s="664"/>
      <c r="AA54" s="664"/>
      <c r="AB54" s="664"/>
      <c r="AC54" s="664"/>
      <c r="AD54" s="664"/>
      <c r="AE54" s="664"/>
      <c r="AF54" s="664"/>
    </row>
    <row r="55" spans="2:32" ht="14.65">
      <c r="B55" s="653">
        <f t="shared" si="7"/>
        <v>51</v>
      </c>
      <c r="C55" s="665" t="s">
        <v>61</v>
      </c>
      <c r="D55" s="666" t="s">
        <v>75</v>
      </c>
      <c r="E55" s="667" t="s">
        <v>85</v>
      </c>
      <c r="F55" s="657">
        <v>44711</v>
      </c>
      <c r="G55" s="657">
        <v>44711</v>
      </c>
      <c r="H55" s="665" t="s">
        <v>170</v>
      </c>
      <c r="I55" s="668">
        <v>44711</v>
      </c>
      <c r="J55" s="628">
        <v>10620000</v>
      </c>
      <c r="K55" s="628"/>
      <c r="L55" s="628"/>
      <c r="M55" s="628">
        <v>1620000</v>
      </c>
      <c r="N55" s="628">
        <f t="shared" si="0"/>
        <v>9000000</v>
      </c>
      <c r="O55" s="659">
        <f t="shared" si="10"/>
        <v>305</v>
      </c>
      <c r="P55" s="660">
        <v>9</v>
      </c>
      <c r="Q55" s="661">
        <f t="shared" si="2"/>
        <v>8.1643835616438363</v>
      </c>
      <c r="R55" s="662">
        <f t="shared" si="3"/>
        <v>835616</v>
      </c>
      <c r="S55" s="662">
        <f t="shared" si="4"/>
        <v>8164384</v>
      </c>
      <c r="T55" s="663">
        <f t="shared" si="11"/>
        <v>9000000</v>
      </c>
      <c r="U55" s="663">
        <f t="shared" si="6"/>
        <v>0</v>
      </c>
      <c r="V55" s="664"/>
      <c r="W55" s="664"/>
      <c r="X55" s="664"/>
      <c r="Y55" s="664"/>
      <c r="Z55" s="664"/>
      <c r="AA55" s="664"/>
      <c r="AB55" s="664"/>
      <c r="AC55" s="664"/>
      <c r="AD55" s="664"/>
      <c r="AE55" s="664"/>
      <c r="AF55" s="664"/>
    </row>
    <row r="56" spans="2:32" ht="14.65">
      <c r="B56" s="653">
        <f t="shared" si="7"/>
        <v>52</v>
      </c>
      <c r="C56" s="665" t="s">
        <v>61</v>
      </c>
      <c r="D56" s="666" t="s">
        <v>75</v>
      </c>
      <c r="E56" s="667" t="s">
        <v>86</v>
      </c>
      <c r="F56" s="657">
        <v>44711</v>
      </c>
      <c r="G56" s="657">
        <v>44711</v>
      </c>
      <c r="H56" s="665" t="s">
        <v>170</v>
      </c>
      <c r="I56" s="668">
        <v>44711</v>
      </c>
      <c r="J56" s="628">
        <v>10620000</v>
      </c>
      <c r="K56" s="628"/>
      <c r="L56" s="628"/>
      <c r="M56" s="628">
        <v>1620000</v>
      </c>
      <c r="N56" s="628">
        <f t="shared" si="0"/>
        <v>9000000</v>
      </c>
      <c r="O56" s="659">
        <f t="shared" si="10"/>
        <v>305</v>
      </c>
      <c r="P56" s="660">
        <v>9</v>
      </c>
      <c r="Q56" s="661">
        <f t="shared" si="2"/>
        <v>8.1643835616438363</v>
      </c>
      <c r="R56" s="662">
        <f t="shared" si="3"/>
        <v>835616</v>
      </c>
      <c r="S56" s="662">
        <f t="shared" si="4"/>
        <v>8164384</v>
      </c>
      <c r="T56" s="663">
        <f t="shared" si="11"/>
        <v>9000000</v>
      </c>
      <c r="U56" s="663">
        <f t="shared" si="6"/>
        <v>0</v>
      </c>
      <c r="V56" s="664"/>
      <c r="W56" s="664"/>
      <c r="X56" s="664"/>
      <c r="Y56" s="664"/>
      <c r="Z56" s="664"/>
      <c r="AA56" s="664"/>
      <c r="AB56" s="664"/>
      <c r="AC56" s="664"/>
      <c r="AD56" s="664"/>
      <c r="AE56" s="664"/>
      <c r="AF56" s="664"/>
    </row>
    <row r="57" spans="2:32" ht="14.65">
      <c r="B57" s="653">
        <f t="shared" si="7"/>
        <v>53</v>
      </c>
      <c r="C57" s="665" t="s">
        <v>61</v>
      </c>
      <c r="D57" s="666" t="s">
        <v>75</v>
      </c>
      <c r="E57" s="667" t="s">
        <v>87</v>
      </c>
      <c r="F57" s="657">
        <v>44711</v>
      </c>
      <c r="G57" s="657">
        <v>44711</v>
      </c>
      <c r="H57" s="665" t="s">
        <v>170</v>
      </c>
      <c r="I57" s="668">
        <v>44711</v>
      </c>
      <c r="J57" s="628">
        <v>10620000</v>
      </c>
      <c r="K57" s="628"/>
      <c r="L57" s="628"/>
      <c r="M57" s="628">
        <v>1620000</v>
      </c>
      <c r="N57" s="628">
        <f t="shared" si="0"/>
        <v>9000000</v>
      </c>
      <c r="O57" s="659">
        <f t="shared" si="10"/>
        <v>305</v>
      </c>
      <c r="P57" s="660">
        <v>9</v>
      </c>
      <c r="Q57" s="661">
        <f t="shared" si="2"/>
        <v>8.1643835616438363</v>
      </c>
      <c r="R57" s="662">
        <f t="shared" si="3"/>
        <v>835616</v>
      </c>
      <c r="S57" s="662">
        <f t="shared" si="4"/>
        <v>8164384</v>
      </c>
      <c r="T57" s="663">
        <f t="shared" si="11"/>
        <v>9000000</v>
      </c>
      <c r="U57" s="663">
        <f t="shared" si="6"/>
        <v>0</v>
      </c>
      <c r="V57" s="664"/>
      <c r="W57" s="664"/>
      <c r="X57" s="664"/>
      <c r="Y57" s="664"/>
      <c r="Z57" s="664"/>
      <c r="AA57" s="664"/>
      <c r="AB57" s="664"/>
      <c r="AC57" s="664"/>
      <c r="AD57" s="664"/>
      <c r="AE57" s="664"/>
      <c r="AF57" s="664"/>
    </row>
    <row r="58" spans="2:32" ht="14.65">
      <c r="B58" s="653">
        <f t="shared" si="7"/>
        <v>54</v>
      </c>
      <c r="C58" s="665" t="s">
        <v>64</v>
      </c>
      <c r="D58" s="666" t="s">
        <v>75</v>
      </c>
      <c r="E58" s="667" t="s">
        <v>92</v>
      </c>
      <c r="F58" s="657">
        <v>44732</v>
      </c>
      <c r="G58" s="657">
        <v>44742</v>
      </c>
      <c r="H58" s="665" t="s">
        <v>172</v>
      </c>
      <c r="I58" s="668">
        <v>44742</v>
      </c>
      <c r="J58" s="628">
        <v>1347366.28</v>
      </c>
      <c r="K58" s="628"/>
      <c r="L58" s="628">
        <v>21925</v>
      </c>
      <c r="M58" s="628">
        <v>289940.28000000003</v>
      </c>
      <c r="N58" s="628">
        <f t="shared" si="0"/>
        <v>1035501</v>
      </c>
      <c r="O58" s="659">
        <f t="shared" si="10"/>
        <v>274</v>
      </c>
      <c r="P58" s="660">
        <v>9</v>
      </c>
      <c r="Q58" s="661">
        <f t="shared" si="2"/>
        <v>8.24931506849315</v>
      </c>
      <c r="R58" s="662">
        <f t="shared" si="3"/>
        <v>86371</v>
      </c>
      <c r="S58" s="662">
        <f t="shared" si="4"/>
        <v>949130</v>
      </c>
      <c r="T58" s="663">
        <f t="shared" si="11"/>
        <v>1035501</v>
      </c>
      <c r="U58" s="663">
        <f t="shared" si="6"/>
        <v>0</v>
      </c>
      <c r="V58" s="664"/>
      <c r="W58" s="664"/>
      <c r="X58" s="664"/>
      <c r="Y58" s="664"/>
      <c r="Z58" s="664"/>
      <c r="AA58" s="664"/>
      <c r="AB58" s="664"/>
      <c r="AC58" s="664"/>
      <c r="AD58" s="664"/>
      <c r="AE58" s="664"/>
      <c r="AF58" s="664"/>
    </row>
    <row r="59" spans="2:32" ht="14.65">
      <c r="B59" s="653">
        <f t="shared" si="7"/>
        <v>55</v>
      </c>
      <c r="C59" s="665" t="s">
        <v>64</v>
      </c>
      <c r="D59" s="666" t="s">
        <v>75</v>
      </c>
      <c r="E59" s="667" t="s">
        <v>93</v>
      </c>
      <c r="F59" s="657">
        <v>44732</v>
      </c>
      <c r="G59" s="657">
        <v>44742</v>
      </c>
      <c r="H59" s="665" t="s">
        <v>172</v>
      </c>
      <c r="I59" s="657">
        <v>44742</v>
      </c>
      <c r="J59" s="628">
        <v>1707985.96</v>
      </c>
      <c r="K59" s="628"/>
      <c r="L59" s="628">
        <v>23785</v>
      </c>
      <c r="M59" s="628">
        <v>368418.96</v>
      </c>
      <c r="N59" s="628">
        <f t="shared" si="0"/>
        <v>1315782</v>
      </c>
      <c r="O59" s="659">
        <f t="shared" si="10"/>
        <v>274</v>
      </c>
      <c r="P59" s="660">
        <v>9</v>
      </c>
      <c r="Q59" s="661">
        <f t="shared" si="2"/>
        <v>8.24931506849315</v>
      </c>
      <c r="R59" s="662">
        <f t="shared" si="3"/>
        <v>109749</v>
      </c>
      <c r="S59" s="662">
        <f t="shared" si="4"/>
        <v>1206033</v>
      </c>
      <c r="T59" s="663">
        <f t="shared" si="11"/>
        <v>1315782</v>
      </c>
      <c r="U59" s="663">
        <f t="shared" si="6"/>
        <v>0</v>
      </c>
      <c r="V59" s="664"/>
      <c r="W59" s="664"/>
      <c r="X59" s="664"/>
      <c r="Y59" s="664"/>
      <c r="Z59" s="664"/>
      <c r="AA59" s="664"/>
      <c r="AB59" s="664"/>
      <c r="AC59" s="664"/>
      <c r="AD59" s="664"/>
      <c r="AE59" s="664"/>
      <c r="AF59" s="664"/>
    </row>
    <row r="60" spans="2:32" ht="14.65">
      <c r="B60" s="653">
        <f t="shared" si="7"/>
        <v>56</v>
      </c>
      <c r="C60" s="665" t="s">
        <v>71</v>
      </c>
      <c r="D60" s="666" t="s">
        <v>75</v>
      </c>
      <c r="E60" s="667" t="s">
        <v>109</v>
      </c>
      <c r="F60" s="657">
        <v>44663</v>
      </c>
      <c r="G60" s="657">
        <v>44663</v>
      </c>
      <c r="H60" s="665" t="s">
        <v>172</v>
      </c>
      <c r="I60" s="687">
        <v>44663</v>
      </c>
      <c r="J60" s="688">
        <v>3534999.08</v>
      </c>
      <c r="K60" s="628"/>
      <c r="L60" s="628">
        <v>49513</v>
      </c>
      <c r="M60" s="628">
        <v>762450.08000000007</v>
      </c>
      <c r="N60" s="628">
        <f t="shared" si="0"/>
        <v>2723036</v>
      </c>
      <c r="O60" s="659">
        <f t="shared" si="10"/>
        <v>353</v>
      </c>
      <c r="P60" s="660">
        <v>9</v>
      </c>
      <c r="Q60" s="661">
        <f t="shared" si="2"/>
        <v>8.0328767123287665</v>
      </c>
      <c r="R60" s="662">
        <f t="shared" si="3"/>
        <v>292612</v>
      </c>
      <c r="S60" s="662">
        <f t="shared" si="4"/>
        <v>2430424</v>
      </c>
      <c r="T60" s="663">
        <f t="shared" si="11"/>
        <v>2723036</v>
      </c>
      <c r="U60" s="663">
        <f t="shared" si="6"/>
        <v>0</v>
      </c>
      <c r="V60" s="664"/>
      <c r="W60" s="664"/>
      <c r="X60" s="664"/>
      <c r="Y60" s="664"/>
      <c r="Z60" s="664"/>
      <c r="AA60" s="664"/>
      <c r="AB60" s="664"/>
      <c r="AC60" s="664"/>
      <c r="AD60" s="664"/>
      <c r="AE60" s="664"/>
      <c r="AF60" s="664"/>
    </row>
    <row r="61" spans="2:32" ht="14.65">
      <c r="B61" s="653">
        <f t="shared" si="7"/>
        <v>57</v>
      </c>
      <c r="C61" s="665" t="s">
        <v>71</v>
      </c>
      <c r="D61" s="666" t="s">
        <v>75</v>
      </c>
      <c r="E61" s="667" t="s">
        <v>110</v>
      </c>
      <c r="F61" s="657">
        <v>44663</v>
      </c>
      <c r="G61" s="657">
        <v>44663</v>
      </c>
      <c r="H61" s="665" t="s">
        <v>172</v>
      </c>
      <c r="I61" s="657">
        <v>44663</v>
      </c>
      <c r="J61" s="688">
        <v>3534999.08</v>
      </c>
      <c r="K61" s="628"/>
      <c r="L61" s="628">
        <v>49513</v>
      </c>
      <c r="M61" s="628">
        <v>762450.08000000007</v>
      </c>
      <c r="N61" s="628">
        <f t="shared" si="0"/>
        <v>2723036</v>
      </c>
      <c r="O61" s="659">
        <f t="shared" si="10"/>
        <v>353</v>
      </c>
      <c r="P61" s="660">
        <v>9</v>
      </c>
      <c r="Q61" s="661">
        <f t="shared" si="2"/>
        <v>8.0328767123287665</v>
      </c>
      <c r="R61" s="662">
        <f t="shared" si="3"/>
        <v>292612</v>
      </c>
      <c r="S61" s="662">
        <f t="shared" si="4"/>
        <v>2430424</v>
      </c>
      <c r="T61" s="663">
        <f t="shared" si="11"/>
        <v>2723036</v>
      </c>
      <c r="U61" s="663">
        <f t="shared" si="6"/>
        <v>0</v>
      </c>
      <c r="V61" s="664"/>
      <c r="W61" s="664"/>
      <c r="X61" s="664"/>
      <c r="Y61" s="664"/>
      <c r="Z61" s="664"/>
      <c r="AA61" s="664"/>
      <c r="AB61" s="664"/>
      <c r="AC61" s="664"/>
      <c r="AD61" s="664"/>
      <c r="AE61" s="664"/>
      <c r="AF61" s="664"/>
    </row>
    <row r="62" spans="2:32" ht="14.65">
      <c r="B62" s="653">
        <f t="shared" si="7"/>
        <v>58</v>
      </c>
      <c r="C62" s="665" t="s">
        <v>71</v>
      </c>
      <c r="D62" s="666" t="s">
        <v>75</v>
      </c>
      <c r="E62" s="667" t="s">
        <v>111</v>
      </c>
      <c r="F62" s="657">
        <v>44663</v>
      </c>
      <c r="G62" s="657">
        <v>44663</v>
      </c>
      <c r="H62" s="665" t="s">
        <v>172</v>
      </c>
      <c r="I62" s="657">
        <v>44663</v>
      </c>
      <c r="J62" s="688">
        <v>3534999.08</v>
      </c>
      <c r="K62" s="628"/>
      <c r="L62" s="628">
        <v>49513</v>
      </c>
      <c r="M62" s="628">
        <v>762450.08000000007</v>
      </c>
      <c r="N62" s="628">
        <f t="shared" si="0"/>
        <v>2723036</v>
      </c>
      <c r="O62" s="659">
        <f t="shared" si="10"/>
        <v>353</v>
      </c>
      <c r="P62" s="660">
        <v>9</v>
      </c>
      <c r="Q62" s="661">
        <f t="shared" si="2"/>
        <v>8.0328767123287665</v>
      </c>
      <c r="R62" s="662">
        <f t="shared" si="3"/>
        <v>292612</v>
      </c>
      <c r="S62" s="662">
        <f t="shared" si="4"/>
        <v>2430424</v>
      </c>
      <c r="T62" s="663">
        <f t="shared" si="11"/>
        <v>2723036</v>
      </c>
      <c r="U62" s="663">
        <f t="shared" si="6"/>
        <v>0</v>
      </c>
      <c r="V62" s="664"/>
      <c r="W62" s="664"/>
      <c r="X62" s="664"/>
      <c r="Y62" s="664"/>
      <c r="Z62" s="664"/>
      <c r="AA62" s="664"/>
      <c r="AB62" s="664"/>
      <c r="AC62" s="664"/>
      <c r="AD62" s="664"/>
      <c r="AE62" s="664"/>
      <c r="AF62" s="664"/>
    </row>
    <row r="63" spans="2:32" ht="14.65">
      <c r="B63" s="653">
        <f t="shared" si="7"/>
        <v>59</v>
      </c>
      <c r="C63" s="665" t="s">
        <v>71</v>
      </c>
      <c r="D63" s="666" t="s">
        <v>75</v>
      </c>
      <c r="E63" s="667" t="s">
        <v>112</v>
      </c>
      <c r="F63" s="657">
        <v>44663</v>
      </c>
      <c r="G63" s="657">
        <v>44663</v>
      </c>
      <c r="H63" s="665" t="s">
        <v>172</v>
      </c>
      <c r="I63" s="657">
        <v>44663</v>
      </c>
      <c r="J63" s="688">
        <v>3534999.08</v>
      </c>
      <c r="K63" s="628"/>
      <c r="L63" s="628">
        <v>49513</v>
      </c>
      <c r="M63" s="628">
        <v>762450.08000000007</v>
      </c>
      <c r="N63" s="628">
        <f t="shared" si="0"/>
        <v>2723036</v>
      </c>
      <c r="O63" s="659">
        <f t="shared" si="10"/>
        <v>353</v>
      </c>
      <c r="P63" s="660">
        <v>9</v>
      </c>
      <c r="Q63" s="661">
        <f t="shared" si="2"/>
        <v>8.0328767123287665</v>
      </c>
      <c r="R63" s="662">
        <f t="shared" si="3"/>
        <v>292612</v>
      </c>
      <c r="S63" s="662">
        <f t="shared" si="4"/>
        <v>2430424</v>
      </c>
      <c r="T63" s="663">
        <f t="shared" si="11"/>
        <v>2723036</v>
      </c>
      <c r="U63" s="663">
        <f t="shared" si="6"/>
        <v>0</v>
      </c>
      <c r="V63" s="664"/>
      <c r="W63" s="664"/>
      <c r="X63" s="664"/>
      <c r="Y63" s="664"/>
      <c r="Z63" s="664"/>
      <c r="AA63" s="664"/>
      <c r="AB63" s="664"/>
      <c r="AC63" s="664"/>
      <c r="AD63" s="664"/>
      <c r="AE63" s="664"/>
      <c r="AF63" s="664"/>
    </row>
    <row r="64" spans="2:32" ht="14.65">
      <c r="B64" s="653">
        <f t="shared" si="7"/>
        <v>60</v>
      </c>
      <c r="C64" s="665" t="s">
        <v>71</v>
      </c>
      <c r="D64" s="666" t="s">
        <v>75</v>
      </c>
      <c r="E64" s="667" t="s">
        <v>113</v>
      </c>
      <c r="F64" s="657">
        <v>44663</v>
      </c>
      <c r="G64" s="657">
        <v>44663</v>
      </c>
      <c r="H64" s="665" t="s">
        <v>172</v>
      </c>
      <c r="I64" s="657">
        <v>44663</v>
      </c>
      <c r="J64" s="688">
        <v>3534999.08</v>
      </c>
      <c r="K64" s="628"/>
      <c r="L64" s="628">
        <v>49513</v>
      </c>
      <c r="M64" s="628">
        <v>762450.08000000007</v>
      </c>
      <c r="N64" s="628">
        <f t="shared" si="0"/>
        <v>2723036</v>
      </c>
      <c r="O64" s="659">
        <f t="shared" si="10"/>
        <v>353</v>
      </c>
      <c r="P64" s="660">
        <v>9</v>
      </c>
      <c r="Q64" s="661">
        <f t="shared" si="2"/>
        <v>8.0328767123287665</v>
      </c>
      <c r="R64" s="662">
        <f t="shared" si="3"/>
        <v>292612</v>
      </c>
      <c r="S64" s="662">
        <f t="shared" si="4"/>
        <v>2430424</v>
      </c>
      <c r="T64" s="663">
        <f t="shared" si="11"/>
        <v>2723036</v>
      </c>
      <c r="U64" s="663">
        <f t="shared" si="6"/>
        <v>0</v>
      </c>
      <c r="V64" s="664"/>
      <c r="W64" s="664"/>
      <c r="X64" s="664"/>
      <c r="Y64" s="664"/>
      <c r="Z64" s="664"/>
      <c r="AA64" s="664"/>
      <c r="AB64" s="664"/>
      <c r="AC64" s="664"/>
      <c r="AD64" s="664"/>
      <c r="AE64" s="664"/>
      <c r="AF64" s="664"/>
    </row>
    <row r="65" spans="2:32" ht="14.65">
      <c r="B65" s="653">
        <f t="shared" si="7"/>
        <v>61</v>
      </c>
      <c r="C65" s="665" t="s">
        <v>71</v>
      </c>
      <c r="D65" s="666" t="s">
        <v>75</v>
      </c>
      <c r="E65" s="667" t="s">
        <v>114</v>
      </c>
      <c r="F65" s="657">
        <v>44663</v>
      </c>
      <c r="G65" s="657">
        <v>44663</v>
      </c>
      <c r="H65" s="665" t="s">
        <v>172</v>
      </c>
      <c r="I65" s="657">
        <v>44663</v>
      </c>
      <c r="J65" s="688">
        <v>3534999.08</v>
      </c>
      <c r="K65" s="628"/>
      <c r="L65" s="628">
        <v>49513</v>
      </c>
      <c r="M65" s="628">
        <v>762450.08000000007</v>
      </c>
      <c r="N65" s="628">
        <f t="shared" si="0"/>
        <v>2723036</v>
      </c>
      <c r="O65" s="659">
        <f t="shared" si="10"/>
        <v>353</v>
      </c>
      <c r="P65" s="660">
        <v>9</v>
      </c>
      <c r="Q65" s="661">
        <f t="shared" si="2"/>
        <v>8.0328767123287665</v>
      </c>
      <c r="R65" s="662">
        <f t="shared" si="3"/>
        <v>292612</v>
      </c>
      <c r="S65" s="662">
        <f t="shared" si="4"/>
        <v>2430424</v>
      </c>
      <c r="T65" s="663">
        <f t="shared" si="11"/>
        <v>2723036</v>
      </c>
      <c r="U65" s="663">
        <f t="shared" si="6"/>
        <v>0</v>
      </c>
      <c r="V65" s="664"/>
      <c r="W65" s="664"/>
      <c r="X65" s="664"/>
      <c r="Y65" s="664"/>
      <c r="Z65" s="664"/>
      <c r="AA65" s="664"/>
      <c r="AB65" s="664"/>
      <c r="AC65" s="664"/>
      <c r="AD65" s="664"/>
      <c r="AE65" s="664"/>
      <c r="AF65" s="664"/>
    </row>
    <row r="66" spans="2:32" ht="14.65">
      <c r="B66" s="653">
        <f t="shared" si="7"/>
        <v>62</v>
      </c>
      <c r="C66" s="665" t="s">
        <v>71</v>
      </c>
      <c r="D66" s="666" t="s">
        <v>75</v>
      </c>
      <c r="E66" s="667" t="s">
        <v>115</v>
      </c>
      <c r="F66" s="657">
        <v>44663</v>
      </c>
      <c r="G66" s="657">
        <v>44663</v>
      </c>
      <c r="H66" s="665" t="s">
        <v>172</v>
      </c>
      <c r="I66" s="657">
        <v>44663</v>
      </c>
      <c r="J66" s="688">
        <v>3534999.08</v>
      </c>
      <c r="K66" s="628"/>
      <c r="L66" s="628">
        <v>49513</v>
      </c>
      <c r="M66" s="628">
        <v>762450.08000000007</v>
      </c>
      <c r="N66" s="628">
        <f t="shared" si="0"/>
        <v>2723036</v>
      </c>
      <c r="O66" s="659">
        <f t="shared" si="10"/>
        <v>353</v>
      </c>
      <c r="P66" s="660">
        <v>9</v>
      </c>
      <c r="Q66" s="661">
        <f t="shared" si="2"/>
        <v>8.0328767123287665</v>
      </c>
      <c r="R66" s="662">
        <f t="shared" si="3"/>
        <v>292612</v>
      </c>
      <c r="S66" s="662">
        <f t="shared" si="4"/>
        <v>2430424</v>
      </c>
      <c r="T66" s="663">
        <f t="shared" si="11"/>
        <v>2723036</v>
      </c>
      <c r="U66" s="663">
        <f t="shared" si="6"/>
        <v>0</v>
      </c>
      <c r="V66" s="664"/>
      <c r="W66" s="664"/>
      <c r="X66" s="664"/>
      <c r="Y66" s="664"/>
      <c r="Z66" s="664"/>
      <c r="AA66" s="664"/>
      <c r="AB66" s="664"/>
      <c r="AC66" s="664"/>
      <c r="AD66" s="664"/>
      <c r="AE66" s="664"/>
      <c r="AF66" s="664"/>
    </row>
    <row r="67" spans="2:32" ht="14.65">
      <c r="B67" s="653">
        <f t="shared" si="7"/>
        <v>63</v>
      </c>
      <c r="C67" s="665" t="s">
        <v>71</v>
      </c>
      <c r="D67" s="666" t="s">
        <v>75</v>
      </c>
      <c r="E67" s="667" t="s">
        <v>116</v>
      </c>
      <c r="F67" s="657">
        <v>44663</v>
      </c>
      <c r="G67" s="657">
        <v>44663</v>
      </c>
      <c r="H67" s="665" t="s">
        <v>172</v>
      </c>
      <c r="I67" s="657">
        <v>44663</v>
      </c>
      <c r="J67" s="688">
        <v>3534999.08</v>
      </c>
      <c r="K67" s="628"/>
      <c r="L67" s="628">
        <v>49513</v>
      </c>
      <c r="M67" s="628">
        <v>762450.08000000007</v>
      </c>
      <c r="N67" s="628">
        <f t="shared" si="0"/>
        <v>2723036</v>
      </c>
      <c r="O67" s="659">
        <f t="shared" si="10"/>
        <v>353</v>
      </c>
      <c r="P67" s="660">
        <v>9</v>
      </c>
      <c r="Q67" s="661">
        <f t="shared" si="2"/>
        <v>8.0328767123287665</v>
      </c>
      <c r="R67" s="662">
        <f t="shared" si="3"/>
        <v>292612</v>
      </c>
      <c r="S67" s="662">
        <f t="shared" si="4"/>
        <v>2430424</v>
      </c>
      <c r="T67" s="663">
        <f t="shared" si="11"/>
        <v>2723036</v>
      </c>
      <c r="U67" s="663">
        <f t="shared" si="6"/>
        <v>0</v>
      </c>
      <c r="V67" s="664"/>
      <c r="W67" s="664"/>
      <c r="X67" s="664"/>
      <c r="Y67" s="664"/>
      <c r="Z67" s="664"/>
      <c r="AA67" s="664"/>
      <c r="AB67" s="664"/>
      <c r="AC67" s="664"/>
      <c r="AD67" s="664"/>
      <c r="AE67" s="664"/>
      <c r="AF67" s="664"/>
    </row>
    <row r="68" spans="2:32" ht="14.65">
      <c r="B68" s="653">
        <f t="shared" si="7"/>
        <v>64</v>
      </c>
      <c r="C68" s="665" t="s">
        <v>71</v>
      </c>
      <c r="D68" s="666" t="s">
        <v>75</v>
      </c>
      <c r="E68" s="667" t="s">
        <v>117</v>
      </c>
      <c r="F68" s="657">
        <v>44663</v>
      </c>
      <c r="G68" s="657">
        <v>44663</v>
      </c>
      <c r="H68" s="665" t="s">
        <v>172</v>
      </c>
      <c r="I68" s="687">
        <v>44663</v>
      </c>
      <c r="J68" s="688">
        <v>3534999.08</v>
      </c>
      <c r="K68" s="628"/>
      <c r="L68" s="628">
        <v>49513</v>
      </c>
      <c r="M68" s="628">
        <v>762450.08000000007</v>
      </c>
      <c r="N68" s="628">
        <f t="shared" si="0"/>
        <v>2723036</v>
      </c>
      <c r="O68" s="659">
        <f t="shared" si="10"/>
        <v>353</v>
      </c>
      <c r="P68" s="660">
        <v>9</v>
      </c>
      <c r="Q68" s="661">
        <f t="shared" si="2"/>
        <v>8.0328767123287665</v>
      </c>
      <c r="R68" s="662">
        <f t="shared" si="3"/>
        <v>292612</v>
      </c>
      <c r="S68" s="662">
        <f t="shared" si="4"/>
        <v>2430424</v>
      </c>
      <c r="T68" s="663">
        <f t="shared" si="11"/>
        <v>2723036</v>
      </c>
      <c r="U68" s="663">
        <f t="shared" si="6"/>
        <v>0</v>
      </c>
      <c r="V68" s="664"/>
      <c r="W68" s="664"/>
      <c r="X68" s="664"/>
      <c r="Y68" s="664"/>
      <c r="Z68" s="664"/>
      <c r="AA68" s="664"/>
      <c r="AB68" s="664"/>
      <c r="AC68" s="664"/>
      <c r="AD68" s="664"/>
      <c r="AE68" s="664"/>
      <c r="AF68" s="664"/>
    </row>
    <row r="69" spans="2:32" ht="14.65">
      <c r="B69" s="653">
        <f t="shared" si="7"/>
        <v>65</v>
      </c>
      <c r="C69" s="665" t="s">
        <v>71</v>
      </c>
      <c r="D69" s="666" t="s">
        <v>75</v>
      </c>
      <c r="E69" s="667" t="s">
        <v>118</v>
      </c>
      <c r="F69" s="657">
        <v>44663</v>
      </c>
      <c r="G69" s="657">
        <v>44663</v>
      </c>
      <c r="H69" s="665" t="s">
        <v>172</v>
      </c>
      <c r="I69" s="687">
        <v>44663</v>
      </c>
      <c r="J69" s="688">
        <v>3534999.08</v>
      </c>
      <c r="K69" s="628"/>
      <c r="L69" s="628">
        <v>49513</v>
      </c>
      <c r="M69" s="628">
        <v>762450.08000000007</v>
      </c>
      <c r="N69" s="628">
        <f t="shared" ref="N69:N132" si="12">J69+K69-L69-M69</f>
        <v>2723036</v>
      </c>
      <c r="O69" s="659">
        <f t="shared" si="10"/>
        <v>353</v>
      </c>
      <c r="P69" s="660">
        <v>9</v>
      </c>
      <c r="Q69" s="661">
        <f t="shared" ref="Q69:Q132" si="13">+P69-(O69/365)</f>
        <v>8.0328767123287665</v>
      </c>
      <c r="R69" s="662">
        <f t="shared" ref="R69:R132" si="14">ROUND(+N69/(P69*365)*O69,0)</f>
        <v>292612</v>
      </c>
      <c r="S69" s="662">
        <f t="shared" ref="S69:S132" si="15">+N69-R69</f>
        <v>2430424</v>
      </c>
      <c r="T69" s="663">
        <f t="shared" si="11"/>
        <v>2723036</v>
      </c>
      <c r="U69" s="663">
        <f t="shared" ref="U69:U132" si="16">IF(I69&gt;DATE(2022,9,30),N69,0)</f>
        <v>0</v>
      </c>
      <c r="V69" s="664"/>
      <c r="W69" s="664"/>
      <c r="X69" s="664"/>
      <c r="Y69" s="664"/>
      <c r="Z69" s="664"/>
      <c r="AA69" s="664"/>
      <c r="AB69" s="664"/>
      <c r="AC69" s="664"/>
      <c r="AD69" s="664"/>
      <c r="AE69" s="664"/>
      <c r="AF69" s="664"/>
    </row>
    <row r="70" spans="2:32" ht="14.65">
      <c r="B70" s="653">
        <f t="shared" si="7"/>
        <v>66</v>
      </c>
      <c r="C70" s="654" t="s">
        <v>323</v>
      </c>
      <c r="D70" s="684" t="s">
        <v>75</v>
      </c>
      <c r="E70" s="655" t="s">
        <v>589</v>
      </c>
      <c r="F70" s="656">
        <v>44869</v>
      </c>
      <c r="G70" s="656">
        <v>44869</v>
      </c>
      <c r="H70" s="654" t="s">
        <v>170</v>
      </c>
      <c r="I70" s="657">
        <v>44869</v>
      </c>
      <c r="J70" s="658">
        <v>6844000</v>
      </c>
      <c r="K70" s="628"/>
      <c r="L70" s="628"/>
      <c r="M70" s="628">
        <v>1044000</v>
      </c>
      <c r="N70" s="628">
        <f t="shared" si="12"/>
        <v>5800000</v>
      </c>
      <c r="O70" s="659">
        <f t="shared" si="10"/>
        <v>147</v>
      </c>
      <c r="P70" s="660">
        <v>9</v>
      </c>
      <c r="Q70" s="661">
        <f t="shared" si="13"/>
        <v>8.5972602739726032</v>
      </c>
      <c r="R70" s="662">
        <f t="shared" si="14"/>
        <v>259543</v>
      </c>
      <c r="S70" s="662">
        <f t="shared" si="15"/>
        <v>5540457</v>
      </c>
      <c r="T70" s="663">
        <f t="shared" si="11"/>
        <v>0</v>
      </c>
      <c r="U70" s="663">
        <f t="shared" si="16"/>
        <v>5800000</v>
      </c>
      <c r="V70" s="664"/>
      <c r="W70" s="664"/>
      <c r="X70" s="664"/>
      <c r="Y70" s="664"/>
      <c r="Z70" s="664"/>
      <c r="AA70" s="664"/>
      <c r="AB70" s="664"/>
      <c r="AC70" s="664"/>
      <c r="AD70" s="664"/>
      <c r="AE70" s="664"/>
      <c r="AF70" s="664"/>
    </row>
    <row r="71" spans="2:32" ht="14.65">
      <c r="B71" s="653">
        <f t="shared" si="7"/>
        <v>67</v>
      </c>
      <c r="C71" s="654" t="s">
        <v>323</v>
      </c>
      <c r="D71" s="684" t="s">
        <v>75</v>
      </c>
      <c r="E71" s="655" t="s">
        <v>590</v>
      </c>
      <c r="F71" s="656">
        <v>44869</v>
      </c>
      <c r="G71" s="656">
        <v>44869</v>
      </c>
      <c r="H71" s="654" t="s">
        <v>170</v>
      </c>
      <c r="I71" s="657">
        <v>44869</v>
      </c>
      <c r="J71" s="658">
        <v>6844000</v>
      </c>
      <c r="K71" s="628"/>
      <c r="L71" s="628"/>
      <c r="M71" s="628">
        <v>1044000</v>
      </c>
      <c r="N71" s="628">
        <f t="shared" si="12"/>
        <v>5800000</v>
      </c>
      <c r="O71" s="659">
        <f t="shared" si="10"/>
        <v>147</v>
      </c>
      <c r="P71" s="660">
        <v>9</v>
      </c>
      <c r="Q71" s="661">
        <f t="shared" si="13"/>
        <v>8.5972602739726032</v>
      </c>
      <c r="R71" s="662">
        <f t="shared" si="14"/>
        <v>259543</v>
      </c>
      <c r="S71" s="662">
        <f t="shared" si="15"/>
        <v>5540457</v>
      </c>
      <c r="T71" s="663">
        <f t="shared" si="11"/>
        <v>0</v>
      </c>
      <c r="U71" s="663">
        <f t="shared" si="16"/>
        <v>5800000</v>
      </c>
      <c r="V71" s="664"/>
      <c r="W71" s="664"/>
      <c r="X71" s="664"/>
      <c r="Y71" s="664"/>
      <c r="Z71" s="664"/>
      <c r="AA71" s="664"/>
      <c r="AB71" s="664"/>
      <c r="AC71" s="664"/>
      <c r="AD71" s="664"/>
      <c r="AE71" s="664"/>
      <c r="AF71" s="664"/>
    </row>
    <row r="72" spans="2:32" ht="14.65">
      <c r="B72" s="653">
        <f t="shared" si="7"/>
        <v>68</v>
      </c>
      <c r="C72" s="669" t="s">
        <v>1886</v>
      </c>
      <c r="D72" s="681" t="s">
        <v>75</v>
      </c>
      <c r="E72" s="669" t="s">
        <v>3607</v>
      </c>
      <c r="F72" s="672">
        <v>44964</v>
      </c>
      <c r="G72" s="672">
        <v>45016</v>
      </c>
      <c r="H72" s="669" t="s">
        <v>3594</v>
      </c>
      <c r="I72" s="672">
        <v>45016</v>
      </c>
      <c r="J72" s="627">
        <v>8142000</v>
      </c>
      <c r="K72" s="627"/>
      <c r="L72" s="627"/>
      <c r="M72" s="627">
        <v>1242000</v>
      </c>
      <c r="N72" s="627">
        <f t="shared" si="12"/>
        <v>6900000</v>
      </c>
      <c r="O72" s="682">
        <f>'[86]Add22-23'!$N$1-I72</f>
        <v>0</v>
      </c>
      <c r="P72" s="673">
        <v>9</v>
      </c>
      <c r="Q72" s="674">
        <f t="shared" si="13"/>
        <v>9</v>
      </c>
      <c r="R72" s="675">
        <f t="shared" si="14"/>
        <v>0</v>
      </c>
      <c r="S72" s="675">
        <f t="shared" si="15"/>
        <v>6900000</v>
      </c>
      <c r="T72" s="676"/>
      <c r="U72" s="676">
        <f t="shared" si="16"/>
        <v>6900000</v>
      </c>
      <c r="V72" s="664"/>
      <c r="W72" s="664"/>
      <c r="X72" s="664"/>
      <c r="Y72" s="664"/>
      <c r="Z72" s="664"/>
      <c r="AA72" s="664"/>
      <c r="AB72" s="664"/>
      <c r="AC72" s="664"/>
      <c r="AD72" s="664"/>
      <c r="AE72" s="664"/>
      <c r="AF72" s="664"/>
    </row>
    <row r="73" spans="2:32" ht="14.65">
      <c r="B73" s="653">
        <f t="shared" ref="B73:B136" si="17">+B72+1</f>
        <v>69</v>
      </c>
      <c r="C73" s="669" t="s">
        <v>1886</v>
      </c>
      <c r="D73" s="681" t="s">
        <v>75</v>
      </c>
      <c r="E73" s="669" t="s">
        <v>3606</v>
      </c>
      <c r="F73" s="672">
        <v>44967</v>
      </c>
      <c r="G73" s="672">
        <v>45016</v>
      </c>
      <c r="H73" s="669" t="s">
        <v>3594</v>
      </c>
      <c r="I73" s="672">
        <v>45016</v>
      </c>
      <c r="J73" s="627">
        <v>1652000</v>
      </c>
      <c r="K73" s="627"/>
      <c r="L73" s="627"/>
      <c r="M73" s="627">
        <v>252000</v>
      </c>
      <c r="N73" s="627">
        <f t="shared" si="12"/>
        <v>1400000</v>
      </c>
      <c r="O73" s="682">
        <f>'[86]Add22-23'!$N$1-I73</f>
        <v>0</v>
      </c>
      <c r="P73" s="673">
        <v>9</v>
      </c>
      <c r="Q73" s="674">
        <f t="shared" si="13"/>
        <v>9</v>
      </c>
      <c r="R73" s="675">
        <f t="shared" si="14"/>
        <v>0</v>
      </c>
      <c r="S73" s="675">
        <f t="shared" si="15"/>
        <v>1400000</v>
      </c>
      <c r="T73" s="676"/>
      <c r="U73" s="676">
        <f t="shared" si="16"/>
        <v>1400000</v>
      </c>
      <c r="V73" s="664"/>
      <c r="W73" s="664"/>
      <c r="X73" s="664"/>
      <c r="Y73" s="664"/>
      <c r="Z73" s="664"/>
      <c r="AA73" s="664"/>
      <c r="AB73" s="664"/>
      <c r="AC73" s="664"/>
      <c r="AD73" s="664"/>
      <c r="AE73" s="664"/>
      <c r="AF73" s="664"/>
    </row>
    <row r="74" spans="2:32" ht="14.65">
      <c r="B74" s="653">
        <f t="shared" si="17"/>
        <v>70</v>
      </c>
      <c r="C74" s="669" t="s">
        <v>1886</v>
      </c>
      <c r="D74" s="681" t="s">
        <v>75</v>
      </c>
      <c r="E74" s="669" t="s">
        <v>3605</v>
      </c>
      <c r="F74" s="672">
        <v>44968</v>
      </c>
      <c r="G74" s="672">
        <v>45016</v>
      </c>
      <c r="H74" s="669" t="s">
        <v>3594</v>
      </c>
      <c r="I74" s="672">
        <v>45016</v>
      </c>
      <c r="J74" s="627">
        <v>7552000</v>
      </c>
      <c r="K74" s="627"/>
      <c r="L74" s="627"/>
      <c r="M74" s="627">
        <v>1152000</v>
      </c>
      <c r="N74" s="627">
        <f t="shared" si="12"/>
        <v>6400000</v>
      </c>
      <c r="O74" s="682">
        <f>'[86]Add22-23'!$N$1-I74</f>
        <v>0</v>
      </c>
      <c r="P74" s="673">
        <v>9</v>
      </c>
      <c r="Q74" s="674">
        <f t="shared" si="13"/>
        <v>9</v>
      </c>
      <c r="R74" s="675">
        <f t="shared" si="14"/>
        <v>0</v>
      </c>
      <c r="S74" s="675">
        <f t="shared" si="15"/>
        <v>6400000</v>
      </c>
      <c r="T74" s="676"/>
      <c r="U74" s="676">
        <f t="shared" si="16"/>
        <v>6400000</v>
      </c>
      <c r="V74" s="664"/>
      <c r="W74" s="664"/>
      <c r="X74" s="664"/>
      <c r="Y74" s="664"/>
      <c r="Z74" s="664"/>
      <c r="AA74" s="664"/>
      <c r="AB74" s="664"/>
      <c r="AC74" s="664"/>
      <c r="AD74" s="664"/>
      <c r="AE74" s="664"/>
      <c r="AF74" s="664"/>
    </row>
    <row r="75" spans="2:32" ht="14.65">
      <c r="B75" s="653">
        <f t="shared" si="17"/>
        <v>71</v>
      </c>
      <c r="C75" s="669" t="s">
        <v>1886</v>
      </c>
      <c r="D75" s="681" t="s">
        <v>75</v>
      </c>
      <c r="E75" s="669" t="s">
        <v>3604</v>
      </c>
      <c r="F75" s="672">
        <v>44970</v>
      </c>
      <c r="G75" s="672">
        <v>45016</v>
      </c>
      <c r="H75" s="669" t="s">
        <v>3594</v>
      </c>
      <c r="I75" s="672">
        <v>45016</v>
      </c>
      <c r="J75" s="627">
        <v>5074000</v>
      </c>
      <c r="K75" s="627"/>
      <c r="L75" s="627"/>
      <c r="M75" s="627">
        <v>774000</v>
      </c>
      <c r="N75" s="627">
        <f t="shared" si="12"/>
        <v>4300000</v>
      </c>
      <c r="O75" s="682">
        <f>'[86]Add22-23'!$N$1-I75</f>
        <v>0</v>
      </c>
      <c r="P75" s="673">
        <v>9</v>
      </c>
      <c r="Q75" s="674">
        <f t="shared" si="13"/>
        <v>9</v>
      </c>
      <c r="R75" s="675">
        <f t="shared" si="14"/>
        <v>0</v>
      </c>
      <c r="S75" s="675">
        <f t="shared" si="15"/>
        <v>4300000</v>
      </c>
      <c r="T75" s="676"/>
      <c r="U75" s="676">
        <f t="shared" si="16"/>
        <v>4300000</v>
      </c>
      <c r="V75" s="664"/>
      <c r="W75" s="664"/>
      <c r="X75" s="664"/>
      <c r="Y75" s="664"/>
      <c r="Z75" s="664"/>
      <c r="AA75" s="664"/>
      <c r="AB75" s="664"/>
      <c r="AC75" s="664"/>
      <c r="AD75" s="664"/>
      <c r="AE75" s="664"/>
      <c r="AF75" s="664"/>
    </row>
    <row r="76" spans="2:32" ht="14.65">
      <c r="B76" s="653">
        <f t="shared" si="17"/>
        <v>72</v>
      </c>
      <c r="C76" s="669" t="s">
        <v>1886</v>
      </c>
      <c r="D76" s="681" t="s">
        <v>75</v>
      </c>
      <c r="E76" s="669" t="s">
        <v>3603</v>
      </c>
      <c r="F76" s="672">
        <v>44973</v>
      </c>
      <c r="G76" s="672">
        <v>45016</v>
      </c>
      <c r="H76" s="669" t="s">
        <v>3594</v>
      </c>
      <c r="I76" s="672">
        <v>45016</v>
      </c>
      <c r="J76" s="627">
        <v>1357000</v>
      </c>
      <c r="K76" s="627"/>
      <c r="L76" s="627"/>
      <c r="M76" s="627">
        <v>207000</v>
      </c>
      <c r="N76" s="627">
        <f t="shared" si="12"/>
        <v>1150000</v>
      </c>
      <c r="O76" s="682">
        <f>'[86]Add22-23'!$N$1-I76</f>
        <v>0</v>
      </c>
      <c r="P76" s="673">
        <v>9</v>
      </c>
      <c r="Q76" s="674">
        <f t="shared" si="13"/>
        <v>9</v>
      </c>
      <c r="R76" s="675">
        <f t="shared" si="14"/>
        <v>0</v>
      </c>
      <c r="S76" s="675">
        <f t="shared" si="15"/>
        <v>1150000</v>
      </c>
      <c r="T76" s="676"/>
      <c r="U76" s="676">
        <f t="shared" si="16"/>
        <v>1150000</v>
      </c>
      <c r="V76" s="664"/>
      <c r="W76" s="664"/>
      <c r="X76" s="664"/>
      <c r="Y76" s="664"/>
      <c r="Z76" s="664"/>
      <c r="AA76" s="664"/>
      <c r="AB76" s="664"/>
      <c r="AC76" s="664"/>
      <c r="AD76" s="664"/>
      <c r="AE76" s="664"/>
      <c r="AF76" s="664"/>
    </row>
    <row r="77" spans="2:32" ht="14.65">
      <c r="B77" s="653">
        <f t="shared" si="17"/>
        <v>73</v>
      </c>
      <c r="C77" s="669" t="s">
        <v>1886</v>
      </c>
      <c r="D77" s="681" t="s">
        <v>75</v>
      </c>
      <c r="E77" s="669" t="s">
        <v>3602</v>
      </c>
      <c r="F77" s="672">
        <v>45003</v>
      </c>
      <c r="G77" s="672">
        <v>45016</v>
      </c>
      <c r="H77" s="669" t="s">
        <v>3594</v>
      </c>
      <c r="I77" s="672">
        <v>45016</v>
      </c>
      <c r="J77" s="627">
        <v>944000</v>
      </c>
      <c r="K77" s="627"/>
      <c r="L77" s="627"/>
      <c r="M77" s="627">
        <v>144000</v>
      </c>
      <c r="N77" s="627">
        <f t="shared" si="12"/>
        <v>800000</v>
      </c>
      <c r="O77" s="682">
        <f>'[86]Add22-23'!$N$1-I77</f>
        <v>0</v>
      </c>
      <c r="P77" s="673">
        <v>9</v>
      </c>
      <c r="Q77" s="674">
        <f t="shared" si="13"/>
        <v>9</v>
      </c>
      <c r="R77" s="675">
        <f t="shared" si="14"/>
        <v>0</v>
      </c>
      <c r="S77" s="675">
        <f t="shared" si="15"/>
        <v>800000</v>
      </c>
      <c r="T77" s="676"/>
      <c r="U77" s="676">
        <f t="shared" si="16"/>
        <v>800000</v>
      </c>
      <c r="V77" s="664"/>
      <c r="W77" s="664"/>
      <c r="X77" s="664"/>
      <c r="Y77" s="664"/>
      <c r="Z77" s="664"/>
      <c r="AA77" s="664"/>
      <c r="AB77" s="664"/>
      <c r="AC77" s="664"/>
      <c r="AD77" s="664"/>
      <c r="AE77" s="664"/>
      <c r="AF77" s="664"/>
    </row>
    <row r="78" spans="2:32" ht="14.65">
      <c r="B78" s="653">
        <f t="shared" si="17"/>
        <v>74</v>
      </c>
      <c r="C78" s="669" t="s">
        <v>1886</v>
      </c>
      <c r="D78" s="681" t="s">
        <v>75</v>
      </c>
      <c r="E78" s="669" t="s">
        <v>3601</v>
      </c>
      <c r="F78" s="672">
        <v>45003</v>
      </c>
      <c r="G78" s="672">
        <v>45016</v>
      </c>
      <c r="H78" s="669" t="s">
        <v>3594</v>
      </c>
      <c r="I78" s="672">
        <v>45016</v>
      </c>
      <c r="J78" s="627">
        <v>826000</v>
      </c>
      <c r="K78" s="627"/>
      <c r="L78" s="627"/>
      <c r="M78" s="627">
        <v>126000</v>
      </c>
      <c r="N78" s="627">
        <f t="shared" si="12"/>
        <v>700000</v>
      </c>
      <c r="O78" s="682">
        <f>'[86]Add22-23'!$N$1-I78</f>
        <v>0</v>
      </c>
      <c r="P78" s="673">
        <v>9</v>
      </c>
      <c r="Q78" s="674">
        <f t="shared" si="13"/>
        <v>9</v>
      </c>
      <c r="R78" s="675">
        <f t="shared" si="14"/>
        <v>0</v>
      </c>
      <c r="S78" s="675">
        <f t="shared" si="15"/>
        <v>700000</v>
      </c>
      <c r="T78" s="676"/>
      <c r="U78" s="676">
        <f t="shared" si="16"/>
        <v>700000</v>
      </c>
      <c r="V78" s="664"/>
      <c r="W78" s="664"/>
      <c r="X78" s="664"/>
      <c r="Y78" s="664"/>
      <c r="Z78" s="664"/>
      <c r="AA78" s="664"/>
      <c r="AB78" s="664"/>
      <c r="AC78" s="664"/>
      <c r="AD78" s="664"/>
      <c r="AE78" s="664"/>
      <c r="AF78" s="664"/>
    </row>
    <row r="79" spans="2:32" ht="14.65">
      <c r="B79" s="653">
        <f t="shared" si="17"/>
        <v>75</v>
      </c>
      <c r="C79" s="669" t="s">
        <v>1886</v>
      </c>
      <c r="D79" s="681" t="s">
        <v>75</v>
      </c>
      <c r="E79" s="669" t="s">
        <v>3600</v>
      </c>
      <c r="F79" s="672">
        <v>45003</v>
      </c>
      <c r="G79" s="672">
        <v>45016</v>
      </c>
      <c r="H79" s="669" t="s">
        <v>3594</v>
      </c>
      <c r="I79" s="672">
        <v>45016</v>
      </c>
      <c r="J79" s="627">
        <v>3304000</v>
      </c>
      <c r="K79" s="627"/>
      <c r="L79" s="627"/>
      <c r="M79" s="627">
        <v>504000</v>
      </c>
      <c r="N79" s="627">
        <f t="shared" si="12"/>
        <v>2800000</v>
      </c>
      <c r="O79" s="682">
        <f>'[86]Add22-23'!$N$1-I79</f>
        <v>0</v>
      </c>
      <c r="P79" s="673">
        <v>9</v>
      </c>
      <c r="Q79" s="674">
        <f t="shared" si="13"/>
        <v>9</v>
      </c>
      <c r="R79" s="675">
        <f t="shared" si="14"/>
        <v>0</v>
      </c>
      <c r="S79" s="675">
        <f t="shared" si="15"/>
        <v>2800000</v>
      </c>
      <c r="T79" s="676"/>
      <c r="U79" s="676">
        <f t="shared" si="16"/>
        <v>2800000</v>
      </c>
      <c r="V79" s="664"/>
      <c r="W79" s="664"/>
      <c r="X79" s="664"/>
      <c r="Y79" s="664"/>
      <c r="Z79" s="664"/>
      <c r="AA79" s="664"/>
      <c r="AB79" s="664"/>
      <c r="AC79" s="664"/>
      <c r="AD79" s="664"/>
      <c r="AE79" s="664"/>
      <c r="AF79" s="664"/>
    </row>
    <row r="80" spans="2:32" ht="14.65">
      <c r="B80" s="653">
        <f t="shared" si="17"/>
        <v>76</v>
      </c>
      <c r="C80" s="669" t="s">
        <v>1886</v>
      </c>
      <c r="D80" s="681" t="s">
        <v>75</v>
      </c>
      <c r="E80" s="669" t="s">
        <v>3599</v>
      </c>
      <c r="F80" s="672">
        <v>45003</v>
      </c>
      <c r="G80" s="672">
        <v>45016</v>
      </c>
      <c r="H80" s="669" t="s">
        <v>3594</v>
      </c>
      <c r="I80" s="672">
        <v>45016</v>
      </c>
      <c r="J80" s="627">
        <v>4130000</v>
      </c>
      <c r="K80" s="627"/>
      <c r="L80" s="627"/>
      <c r="M80" s="627">
        <v>630000</v>
      </c>
      <c r="N80" s="627">
        <f t="shared" si="12"/>
        <v>3500000</v>
      </c>
      <c r="O80" s="682">
        <f>'[86]Add22-23'!$N$1-I80</f>
        <v>0</v>
      </c>
      <c r="P80" s="673">
        <v>9</v>
      </c>
      <c r="Q80" s="674">
        <f t="shared" si="13"/>
        <v>9</v>
      </c>
      <c r="R80" s="675">
        <f t="shared" si="14"/>
        <v>0</v>
      </c>
      <c r="S80" s="675">
        <f t="shared" si="15"/>
        <v>3500000</v>
      </c>
      <c r="T80" s="676"/>
      <c r="U80" s="676">
        <f t="shared" si="16"/>
        <v>3500000</v>
      </c>
      <c r="V80" s="664"/>
      <c r="W80" s="664"/>
      <c r="X80" s="664"/>
      <c r="Y80" s="664"/>
      <c r="Z80" s="664"/>
      <c r="AA80" s="664"/>
      <c r="AB80" s="664"/>
      <c r="AC80" s="664"/>
      <c r="AD80" s="664"/>
      <c r="AE80" s="664"/>
      <c r="AF80" s="664"/>
    </row>
    <row r="81" spans="2:32" ht="14.65">
      <c r="B81" s="653">
        <f t="shared" si="17"/>
        <v>77</v>
      </c>
      <c r="C81" s="669" t="s">
        <v>1886</v>
      </c>
      <c r="D81" s="681" t="s">
        <v>75</v>
      </c>
      <c r="E81" s="669" t="s">
        <v>3598</v>
      </c>
      <c r="F81" s="672">
        <v>45006</v>
      </c>
      <c r="G81" s="672">
        <v>45016</v>
      </c>
      <c r="H81" s="669" t="s">
        <v>3594</v>
      </c>
      <c r="I81" s="672">
        <v>45016</v>
      </c>
      <c r="J81" s="627">
        <v>2785846</v>
      </c>
      <c r="K81" s="627"/>
      <c r="L81" s="627"/>
      <c r="M81" s="627">
        <v>424960</v>
      </c>
      <c r="N81" s="627">
        <f t="shared" si="12"/>
        <v>2360886</v>
      </c>
      <c r="O81" s="682">
        <f>'[86]Add22-23'!$N$1-I81</f>
        <v>0</v>
      </c>
      <c r="P81" s="673">
        <v>9</v>
      </c>
      <c r="Q81" s="674">
        <f t="shared" si="13"/>
        <v>9</v>
      </c>
      <c r="R81" s="675">
        <f t="shared" si="14"/>
        <v>0</v>
      </c>
      <c r="S81" s="675">
        <f t="shared" si="15"/>
        <v>2360886</v>
      </c>
      <c r="T81" s="676"/>
      <c r="U81" s="676">
        <f t="shared" si="16"/>
        <v>2360886</v>
      </c>
      <c r="V81" s="664"/>
      <c r="W81" s="664"/>
      <c r="X81" s="664"/>
      <c r="Y81" s="664"/>
      <c r="Z81" s="664"/>
      <c r="AA81" s="664"/>
      <c r="AB81" s="664"/>
      <c r="AC81" s="664"/>
      <c r="AD81" s="664"/>
      <c r="AE81" s="664"/>
      <c r="AF81" s="664"/>
    </row>
    <row r="82" spans="2:32" ht="14.65">
      <c r="B82" s="653">
        <f t="shared" si="17"/>
        <v>78</v>
      </c>
      <c r="C82" s="669" t="s">
        <v>1886</v>
      </c>
      <c r="D82" s="681" t="s">
        <v>75</v>
      </c>
      <c r="E82" s="669" t="s">
        <v>3597</v>
      </c>
      <c r="F82" s="672">
        <v>45008</v>
      </c>
      <c r="G82" s="672">
        <v>45016</v>
      </c>
      <c r="H82" s="669" t="s">
        <v>3594</v>
      </c>
      <c r="I82" s="672">
        <v>45016</v>
      </c>
      <c r="J82" s="627">
        <v>1180000</v>
      </c>
      <c r="K82" s="627"/>
      <c r="L82" s="627"/>
      <c r="M82" s="627">
        <v>180000</v>
      </c>
      <c r="N82" s="627">
        <f t="shared" si="12"/>
        <v>1000000</v>
      </c>
      <c r="O82" s="682">
        <f>'[86]Add22-23'!$N$1-I82</f>
        <v>0</v>
      </c>
      <c r="P82" s="673">
        <v>9</v>
      </c>
      <c r="Q82" s="674">
        <f t="shared" si="13"/>
        <v>9</v>
      </c>
      <c r="R82" s="675">
        <f t="shared" si="14"/>
        <v>0</v>
      </c>
      <c r="S82" s="675">
        <f t="shared" si="15"/>
        <v>1000000</v>
      </c>
      <c r="T82" s="676"/>
      <c r="U82" s="676">
        <f t="shared" si="16"/>
        <v>1000000</v>
      </c>
      <c r="V82" s="664"/>
      <c r="W82" s="664"/>
      <c r="X82" s="664"/>
      <c r="Y82" s="664"/>
      <c r="Z82" s="664"/>
      <c r="AA82" s="664"/>
      <c r="AB82" s="664"/>
      <c r="AC82" s="664"/>
      <c r="AD82" s="664"/>
      <c r="AE82" s="664"/>
      <c r="AF82" s="664"/>
    </row>
    <row r="83" spans="2:32" ht="14.65">
      <c r="B83" s="653">
        <f t="shared" si="17"/>
        <v>79</v>
      </c>
      <c r="C83" s="669" t="s">
        <v>1886</v>
      </c>
      <c r="D83" s="681" t="s">
        <v>75</v>
      </c>
      <c r="E83" s="669" t="s">
        <v>3596</v>
      </c>
      <c r="F83" s="672">
        <v>45009</v>
      </c>
      <c r="G83" s="672">
        <v>45016</v>
      </c>
      <c r="H83" s="669" t="s">
        <v>3594</v>
      </c>
      <c r="I83" s="672">
        <v>45016</v>
      </c>
      <c r="J83" s="627">
        <v>1298000</v>
      </c>
      <c r="K83" s="627"/>
      <c r="L83" s="627"/>
      <c r="M83" s="627">
        <v>198000</v>
      </c>
      <c r="N83" s="627">
        <f t="shared" si="12"/>
        <v>1100000</v>
      </c>
      <c r="O83" s="682">
        <f>'[86]Add22-23'!$N$1-I83</f>
        <v>0</v>
      </c>
      <c r="P83" s="673">
        <v>9</v>
      </c>
      <c r="Q83" s="674">
        <f t="shared" si="13"/>
        <v>9</v>
      </c>
      <c r="R83" s="675">
        <f t="shared" si="14"/>
        <v>0</v>
      </c>
      <c r="S83" s="675">
        <f t="shared" si="15"/>
        <v>1100000</v>
      </c>
      <c r="T83" s="676"/>
      <c r="U83" s="676">
        <f t="shared" si="16"/>
        <v>1100000</v>
      </c>
      <c r="V83" s="664"/>
      <c r="W83" s="664"/>
      <c r="X83" s="664"/>
      <c r="Y83" s="664"/>
      <c r="Z83" s="664"/>
      <c r="AA83" s="664"/>
      <c r="AB83" s="664"/>
      <c r="AC83" s="664"/>
      <c r="AD83" s="664"/>
      <c r="AE83" s="664"/>
      <c r="AF83" s="664"/>
    </row>
    <row r="84" spans="2:32" ht="14.65">
      <c r="B84" s="653">
        <f t="shared" si="17"/>
        <v>80</v>
      </c>
      <c r="C84" s="669" t="s">
        <v>1886</v>
      </c>
      <c r="D84" s="681" t="s">
        <v>75</v>
      </c>
      <c r="E84" s="669" t="s">
        <v>3595</v>
      </c>
      <c r="F84" s="672">
        <v>45005</v>
      </c>
      <c r="G84" s="672">
        <v>45016</v>
      </c>
      <c r="H84" s="669" t="s">
        <v>3594</v>
      </c>
      <c r="I84" s="672">
        <v>45016</v>
      </c>
      <c r="J84" s="627">
        <v>708000</v>
      </c>
      <c r="K84" s="627"/>
      <c r="L84" s="627"/>
      <c r="M84" s="627">
        <v>108000</v>
      </c>
      <c r="N84" s="627">
        <f t="shared" si="12"/>
        <v>600000</v>
      </c>
      <c r="O84" s="682">
        <f>'[86]Add22-23'!$N$1-I84</f>
        <v>0</v>
      </c>
      <c r="P84" s="673">
        <v>9</v>
      </c>
      <c r="Q84" s="674">
        <f t="shared" si="13"/>
        <v>9</v>
      </c>
      <c r="R84" s="675">
        <f t="shared" si="14"/>
        <v>0</v>
      </c>
      <c r="S84" s="675">
        <f t="shared" si="15"/>
        <v>600000</v>
      </c>
      <c r="T84" s="676"/>
      <c r="U84" s="676">
        <f t="shared" si="16"/>
        <v>600000</v>
      </c>
      <c r="V84" s="664"/>
      <c r="W84" s="664"/>
      <c r="X84" s="664"/>
      <c r="Y84" s="664"/>
      <c r="Z84" s="664"/>
      <c r="AA84" s="664"/>
      <c r="AB84" s="664"/>
      <c r="AC84" s="664"/>
      <c r="AD84" s="664"/>
      <c r="AE84" s="664"/>
      <c r="AF84" s="664"/>
    </row>
    <row r="85" spans="2:32" ht="14.65">
      <c r="B85" s="653">
        <f t="shared" si="17"/>
        <v>81</v>
      </c>
      <c r="C85" s="665" t="s">
        <v>56</v>
      </c>
      <c r="D85" s="654" t="s">
        <v>3459</v>
      </c>
      <c r="E85" s="667">
        <v>11</v>
      </c>
      <c r="F85" s="668">
        <v>44656</v>
      </c>
      <c r="G85" s="668">
        <v>44656</v>
      </c>
      <c r="H85" s="665" t="s">
        <v>163</v>
      </c>
      <c r="I85" s="668">
        <v>44656</v>
      </c>
      <c r="J85" s="628">
        <v>731600</v>
      </c>
      <c r="K85" s="628">
        <v>0</v>
      </c>
      <c r="L85" s="628">
        <v>0</v>
      </c>
      <c r="M85" s="628">
        <v>111600</v>
      </c>
      <c r="N85" s="628">
        <f t="shared" si="12"/>
        <v>620000</v>
      </c>
      <c r="O85" s="659">
        <f t="shared" ref="O85:O148" si="18">$O$1-I85</f>
        <v>360</v>
      </c>
      <c r="P85" s="660">
        <v>5</v>
      </c>
      <c r="Q85" s="661">
        <f t="shared" si="13"/>
        <v>4.0136986301369859</v>
      </c>
      <c r="R85" s="662">
        <f t="shared" si="14"/>
        <v>122301</v>
      </c>
      <c r="S85" s="662">
        <f t="shared" si="15"/>
        <v>497699</v>
      </c>
      <c r="T85" s="663">
        <f t="shared" ref="T85:T116" si="19">IF(I85&lt;=DATE(2022,9,30),N85,0)</f>
        <v>620000</v>
      </c>
      <c r="U85" s="663">
        <f t="shared" si="16"/>
        <v>0</v>
      </c>
      <c r="V85" s="664"/>
      <c r="W85" s="664"/>
      <c r="X85" s="664"/>
      <c r="Y85" s="664"/>
      <c r="Z85" s="664"/>
      <c r="AA85" s="664"/>
      <c r="AB85" s="664"/>
      <c r="AC85" s="664"/>
      <c r="AD85" s="664"/>
      <c r="AE85" s="664"/>
      <c r="AF85" s="664"/>
    </row>
    <row r="86" spans="2:32" ht="14.65">
      <c r="B86" s="653">
        <f t="shared" si="17"/>
        <v>82</v>
      </c>
      <c r="C86" s="665" t="s">
        <v>56</v>
      </c>
      <c r="D86" s="654" t="s">
        <v>3459</v>
      </c>
      <c r="E86" s="683">
        <v>2</v>
      </c>
      <c r="F86" s="668">
        <v>44656</v>
      </c>
      <c r="G86" s="668">
        <v>44656</v>
      </c>
      <c r="H86" s="665" t="s">
        <v>163</v>
      </c>
      <c r="I86" s="668">
        <v>44656</v>
      </c>
      <c r="J86" s="628">
        <v>731600</v>
      </c>
      <c r="K86" s="628"/>
      <c r="L86" s="628"/>
      <c r="M86" s="628">
        <v>111600</v>
      </c>
      <c r="N86" s="628">
        <f t="shared" si="12"/>
        <v>620000</v>
      </c>
      <c r="O86" s="659">
        <f t="shared" si="18"/>
        <v>360</v>
      </c>
      <c r="P86" s="660">
        <v>5</v>
      </c>
      <c r="Q86" s="661">
        <f t="shared" si="13"/>
        <v>4.0136986301369859</v>
      </c>
      <c r="R86" s="662">
        <f t="shared" si="14"/>
        <v>122301</v>
      </c>
      <c r="S86" s="662">
        <f t="shared" si="15"/>
        <v>497699</v>
      </c>
      <c r="T86" s="663">
        <f t="shared" si="19"/>
        <v>620000</v>
      </c>
      <c r="U86" s="663">
        <f t="shared" si="16"/>
        <v>0</v>
      </c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</row>
    <row r="87" spans="2:32" ht="14.65">
      <c r="B87" s="653">
        <f t="shared" si="17"/>
        <v>83</v>
      </c>
      <c r="C87" s="665" t="s">
        <v>56</v>
      </c>
      <c r="D87" s="654" t="s">
        <v>3459</v>
      </c>
      <c r="E87" s="667">
        <v>3</v>
      </c>
      <c r="F87" s="668">
        <v>44656</v>
      </c>
      <c r="G87" s="668">
        <v>44656</v>
      </c>
      <c r="H87" s="665" t="s">
        <v>163</v>
      </c>
      <c r="I87" s="668">
        <v>44656</v>
      </c>
      <c r="J87" s="628">
        <v>731600</v>
      </c>
      <c r="K87" s="628"/>
      <c r="L87" s="628"/>
      <c r="M87" s="628">
        <v>111600</v>
      </c>
      <c r="N87" s="628">
        <f t="shared" si="12"/>
        <v>620000</v>
      </c>
      <c r="O87" s="659">
        <f t="shared" si="18"/>
        <v>360</v>
      </c>
      <c r="P87" s="660">
        <v>5</v>
      </c>
      <c r="Q87" s="661">
        <f t="shared" si="13"/>
        <v>4.0136986301369859</v>
      </c>
      <c r="R87" s="662">
        <f t="shared" si="14"/>
        <v>122301</v>
      </c>
      <c r="S87" s="662">
        <f t="shared" si="15"/>
        <v>497699</v>
      </c>
      <c r="T87" s="663">
        <f t="shared" si="19"/>
        <v>620000</v>
      </c>
      <c r="U87" s="663">
        <f t="shared" si="16"/>
        <v>0</v>
      </c>
      <c r="V87" s="664"/>
      <c r="W87" s="664"/>
      <c r="X87" s="664"/>
      <c r="Y87" s="664"/>
      <c r="Z87" s="664"/>
      <c r="AA87" s="664"/>
      <c r="AB87" s="664"/>
      <c r="AC87" s="664"/>
      <c r="AD87" s="664"/>
      <c r="AE87" s="664"/>
      <c r="AF87" s="664"/>
    </row>
    <row r="88" spans="2:32" ht="14.65">
      <c r="B88" s="653">
        <f t="shared" si="17"/>
        <v>84</v>
      </c>
      <c r="C88" s="665" t="s">
        <v>56</v>
      </c>
      <c r="D88" s="654" t="s">
        <v>3459</v>
      </c>
      <c r="E88" s="667">
        <v>4</v>
      </c>
      <c r="F88" s="668">
        <v>44656</v>
      </c>
      <c r="G88" s="668">
        <v>44656</v>
      </c>
      <c r="H88" s="665" t="s">
        <v>163</v>
      </c>
      <c r="I88" s="668">
        <v>44656</v>
      </c>
      <c r="J88" s="628">
        <v>731600</v>
      </c>
      <c r="K88" s="628"/>
      <c r="L88" s="628"/>
      <c r="M88" s="628">
        <v>111600</v>
      </c>
      <c r="N88" s="628">
        <f t="shared" si="12"/>
        <v>620000</v>
      </c>
      <c r="O88" s="659">
        <f t="shared" si="18"/>
        <v>360</v>
      </c>
      <c r="P88" s="660">
        <v>5</v>
      </c>
      <c r="Q88" s="661">
        <f t="shared" si="13"/>
        <v>4.0136986301369859</v>
      </c>
      <c r="R88" s="662">
        <f t="shared" si="14"/>
        <v>122301</v>
      </c>
      <c r="S88" s="662">
        <f t="shared" si="15"/>
        <v>497699</v>
      </c>
      <c r="T88" s="663">
        <f t="shared" si="19"/>
        <v>620000</v>
      </c>
      <c r="U88" s="663">
        <f t="shared" si="16"/>
        <v>0</v>
      </c>
      <c r="V88" s="664"/>
      <c r="W88" s="664"/>
      <c r="X88" s="664"/>
      <c r="Y88" s="664"/>
      <c r="Z88" s="664"/>
      <c r="AA88" s="664"/>
      <c r="AB88" s="664"/>
      <c r="AC88" s="664"/>
      <c r="AD88" s="664"/>
      <c r="AE88" s="664"/>
      <c r="AF88" s="664"/>
    </row>
    <row r="89" spans="2:32" ht="14.65">
      <c r="B89" s="653">
        <f t="shared" si="17"/>
        <v>85</v>
      </c>
      <c r="C89" s="665" t="s">
        <v>58</v>
      </c>
      <c r="D89" s="654" t="s">
        <v>3459</v>
      </c>
      <c r="E89" s="683" t="s">
        <v>77</v>
      </c>
      <c r="F89" s="657">
        <v>44726</v>
      </c>
      <c r="G89" s="657">
        <v>44726</v>
      </c>
      <c r="H89" s="665" t="s">
        <v>165</v>
      </c>
      <c r="I89" s="668">
        <v>44726</v>
      </c>
      <c r="J89" s="628">
        <v>5015000</v>
      </c>
      <c r="K89" s="628"/>
      <c r="L89" s="628"/>
      <c r="M89" s="628">
        <v>765000</v>
      </c>
      <c r="N89" s="628">
        <f t="shared" si="12"/>
        <v>4250000</v>
      </c>
      <c r="O89" s="659">
        <f t="shared" si="18"/>
        <v>290</v>
      </c>
      <c r="P89" s="660">
        <v>9</v>
      </c>
      <c r="Q89" s="661">
        <f t="shared" si="13"/>
        <v>8.205479452054794</v>
      </c>
      <c r="R89" s="662">
        <f t="shared" si="14"/>
        <v>375190</v>
      </c>
      <c r="S89" s="662">
        <f t="shared" si="15"/>
        <v>3874810</v>
      </c>
      <c r="T89" s="663">
        <f t="shared" si="19"/>
        <v>4250000</v>
      </c>
      <c r="U89" s="663">
        <f t="shared" si="16"/>
        <v>0</v>
      </c>
      <c r="V89" s="664"/>
      <c r="W89" s="664"/>
      <c r="X89" s="664"/>
      <c r="Y89" s="664"/>
      <c r="Z89" s="664"/>
      <c r="AA89" s="664"/>
      <c r="AB89" s="664"/>
      <c r="AC89" s="664"/>
      <c r="AD89" s="664"/>
      <c r="AE89" s="664"/>
      <c r="AF89" s="664"/>
    </row>
    <row r="90" spans="2:32" ht="14.65">
      <c r="B90" s="653">
        <f t="shared" si="17"/>
        <v>86</v>
      </c>
      <c r="C90" s="665" t="s">
        <v>65</v>
      </c>
      <c r="D90" s="654" t="s">
        <v>3459</v>
      </c>
      <c r="E90" s="683" t="s">
        <v>94</v>
      </c>
      <c r="F90" s="657">
        <v>44690</v>
      </c>
      <c r="G90" s="657">
        <v>44690</v>
      </c>
      <c r="H90" s="665" t="s">
        <v>173</v>
      </c>
      <c r="I90" s="657">
        <v>44690</v>
      </c>
      <c r="J90" s="628">
        <v>271400</v>
      </c>
      <c r="K90" s="628"/>
      <c r="L90" s="628"/>
      <c r="M90" s="628">
        <v>41400</v>
      </c>
      <c r="N90" s="628">
        <f t="shared" si="12"/>
        <v>230000</v>
      </c>
      <c r="O90" s="659">
        <f t="shared" si="18"/>
        <v>326</v>
      </c>
      <c r="P90" s="660">
        <v>9</v>
      </c>
      <c r="Q90" s="661">
        <f t="shared" si="13"/>
        <v>8.1068493150684926</v>
      </c>
      <c r="R90" s="662">
        <f t="shared" si="14"/>
        <v>22825</v>
      </c>
      <c r="S90" s="662">
        <f t="shared" si="15"/>
        <v>207175</v>
      </c>
      <c r="T90" s="663">
        <f t="shared" si="19"/>
        <v>230000</v>
      </c>
      <c r="U90" s="663">
        <f t="shared" si="16"/>
        <v>0</v>
      </c>
      <c r="V90" s="664"/>
      <c r="W90" s="664"/>
      <c r="X90" s="664"/>
      <c r="Y90" s="664"/>
      <c r="Z90" s="664"/>
      <c r="AA90" s="664"/>
      <c r="AB90" s="664"/>
      <c r="AC90" s="664"/>
      <c r="AD90" s="664"/>
      <c r="AE90" s="664"/>
      <c r="AF90" s="664"/>
    </row>
    <row r="91" spans="2:32" ht="14.65">
      <c r="B91" s="653">
        <f t="shared" si="17"/>
        <v>87</v>
      </c>
      <c r="C91" s="665" t="s">
        <v>65</v>
      </c>
      <c r="D91" s="654" t="s">
        <v>3459</v>
      </c>
      <c r="E91" s="683" t="s">
        <v>91</v>
      </c>
      <c r="F91" s="657">
        <v>44691</v>
      </c>
      <c r="G91" s="657">
        <v>44691</v>
      </c>
      <c r="H91" s="665" t="s">
        <v>173</v>
      </c>
      <c r="I91" s="668">
        <v>44691</v>
      </c>
      <c r="J91" s="628">
        <v>271400</v>
      </c>
      <c r="K91" s="628"/>
      <c r="L91" s="628"/>
      <c r="M91" s="628">
        <v>41400</v>
      </c>
      <c r="N91" s="628">
        <f t="shared" si="12"/>
        <v>230000</v>
      </c>
      <c r="O91" s="659">
        <f t="shared" si="18"/>
        <v>325</v>
      </c>
      <c r="P91" s="660">
        <v>9</v>
      </c>
      <c r="Q91" s="661">
        <f t="shared" si="13"/>
        <v>8.1095890410958908</v>
      </c>
      <c r="R91" s="662">
        <f t="shared" si="14"/>
        <v>22755</v>
      </c>
      <c r="S91" s="662">
        <f t="shared" si="15"/>
        <v>207245</v>
      </c>
      <c r="T91" s="663">
        <f t="shared" si="19"/>
        <v>230000</v>
      </c>
      <c r="U91" s="663">
        <f t="shared" si="16"/>
        <v>0</v>
      </c>
      <c r="V91" s="664"/>
      <c r="W91" s="664"/>
      <c r="X91" s="664"/>
      <c r="Y91" s="664"/>
      <c r="Z91" s="664"/>
      <c r="AA91" s="664"/>
      <c r="AB91" s="664"/>
      <c r="AC91" s="664"/>
      <c r="AD91" s="664"/>
      <c r="AE91" s="664"/>
      <c r="AF91" s="664"/>
    </row>
    <row r="92" spans="2:32" ht="14.65">
      <c r="B92" s="653">
        <f t="shared" si="17"/>
        <v>88</v>
      </c>
      <c r="C92" s="665" t="s">
        <v>66</v>
      </c>
      <c r="D92" s="654" t="s">
        <v>3459</v>
      </c>
      <c r="E92" s="667">
        <v>410</v>
      </c>
      <c r="F92" s="657">
        <v>44733</v>
      </c>
      <c r="G92" s="657">
        <v>44733</v>
      </c>
      <c r="H92" s="665" t="s">
        <v>174</v>
      </c>
      <c r="I92" s="668">
        <v>44733</v>
      </c>
      <c r="J92" s="628">
        <v>66080</v>
      </c>
      <c r="K92" s="628"/>
      <c r="L92" s="628"/>
      <c r="M92" s="628">
        <v>10080</v>
      </c>
      <c r="N92" s="628">
        <f t="shared" si="12"/>
        <v>56000</v>
      </c>
      <c r="O92" s="659">
        <f t="shared" si="18"/>
        <v>283</v>
      </c>
      <c r="P92" s="660">
        <v>9</v>
      </c>
      <c r="Q92" s="661">
        <f t="shared" si="13"/>
        <v>8.2246575342465746</v>
      </c>
      <c r="R92" s="662">
        <f t="shared" si="14"/>
        <v>4824</v>
      </c>
      <c r="S92" s="662">
        <f t="shared" si="15"/>
        <v>51176</v>
      </c>
      <c r="T92" s="663">
        <f t="shared" si="19"/>
        <v>56000</v>
      </c>
      <c r="U92" s="663">
        <f t="shared" si="16"/>
        <v>0</v>
      </c>
      <c r="V92" s="664"/>
      <c r="W92" s="664"/>
      <c r="X92" s="664"/>
      <c r="Y92" s="664"/>
      <c r="Z92" s="664"/>
      <c r="AA92" s="664"/>
      <c r="AB92" s="664"/>
      <c r="AC92" s="664"/>
      <c r="AD92" s="664"/>
      <c r="AE92" s="664"/>
      <c r="AF92" s="664"/>
    </row>
    <row r="93" spans="2:32" ht="14.65">
      <c r="B93" s="653">
        <f t="shared" si="17"/>
        <v>89</v>
      </c>
      <c r="C93" s="665" t="s">
        <v>68</v>
      </c>
      <c r="D93" s="654" t="s">
        <v>3459</v>
      </c>
      <c r="E93" s="667" t="s">
        <v>103</v>
      </c>
      <c r="F93" s="657">
        <v>44662</v>
      </c>
      <c r="G93" s="657">
        <v>44662</v>
      </c>
      <c r="H93" s="665" t="s">
        <v>175</v>
      </c>
      <c r="I93" s="657">
        <v>44662</v>
      </c>
      <c r="J93" s="628">
        <v>2777714.1</v>
      </c>
      <c r="K93" s="628"/>
      <c r="L93" s="628"/>
      <c r="M93" s="628">
        <v>423719.1</v>
      </c>
      <c r="N93" s="628">
        <f t="shared" si="12"/>
        <v>2353995</v>
      </c>
      <c r="O93" s="659">
        <f t="shared" si="18"/>
        <v>354</v>
      </c>
      <c r="P93" s="660">
        <v>9</v>
      </c>
      <c r="Q93" s="661">
        <f t="shared" si="13"/>
        <v>8.0301369863013701</v>
      </c>
      <c r="R93" s="662">
        <f t="shared" si="14"/>
        <v>253673</v>
      </c>
      <c r="S93" s="662">
        <f t="shared" si="15"/>
        <v>2100322</v>
      </c>
      <c r="T93" s="663">
        <f t="shared" si="19"/>
        <v>2353995</v>
      </c>
      <c r="U93" s="663">
        <f t="shared" si="16"/>
        <v>0</v>
      </c>
      <c r="V93" s="664"/>
      <c r="W93" s="664"/>
      <c r="X93" s="664"/>
      <c r="Y93" s="664"/>
      <c r="Z93" s="664"/>
      <c r="AA93" s="664"/>
      <c r="AB93" s="664"/>
      <c r="AC93" s="664"/>
      <c r="AD93" s="664"/>
      <c r="AE93" s="664"/>
      <c r="AF93" s="664"/>
    </row>
    <row r="94" spans="2:32" ht="14.65">
      <c r="B94" s="653">
        <f t="shared" si="17"/>
        <v>90</v>
      </c>
      <c r="C94" s="665" t="s">
        <v>68</v>
      </c>
      <c r="D94" s="654" t="s">
        <v>3459</v>
      </c>
      <c r="E94" s="667" t="s">
        <v>104</v>
      </c>
      <c r="F94" s="657">
        <v>44721</v>
      </c>
      <c r="G94" s="657">
        <v>44721</v>
      </c>
      <c r="H94" s="665" t="s">
        <v>175</v>
      </c>
      <c r="I94" s="657">
        <v>44721</v>
      </c>
      <c r="J94" s="628">
        <v>2758167.4</v>
      </c>
      <c r="K94" s="628"/>
      <c r="L94" s="628"/>
      <c r="M94" s="628">
        <v>420737.39999999997</v>
      </c>
      <c r="N94" s="628">
        <f t="shared" si="12"/>
        <v>2337430</v>
      </c>
      <c r="O94" s="659">
        <f t="shared" si="18"/>
        <v>295</v>
      </c>
      <c r="P94" s="660">
        <v>9</v>
      </c>
      <c r="Q94" s="661">
        <f t="shared" si="13"/>
        <v>8.1917808219178081</v>
      </c>
      <c r="R94" s="662">
        <f t="shared" si="14"/>
        <v>209906</v>
      </c>
      <c r="S94" s="662">
        <f t="shared" si="15"/>
        <v>2127524</v>
      </c>
      <c r="T94" s="663">
        <f t="shared" si="19"/>
        <v>2337430</v>
      </c>
      <c r="U94" s="663">
        <f t="shared" si="16"/>
        <v>0</v>
      </c>
      <c r="V94" s="664"/>
      <c r="W94" s="664"/>
      <c r="X94" s="664"/>
      <c r="Y94" s="664"/>
      <c r="Z94" s="664"/>
      <c r="AA94" s="664"/>
      <c r="AB94" s="664"/>
      <c r="AC94" s="664"/>
      <c r="AD94" s="664"/>
      <c r="AE94" s="664"/>
      <c r="AF94" s="664"/>
    </row>
    <row r="95" spans="2:32" ht="14.65">
      <c r="B95" s="653">
        <f t="shared" si="17"/>
        <v>91</v>
      </c>
      <c r="C95" s="665" t="s">
        <v>70</v>
      </c>
      <c r="D95" s="654" t="s">
        <v>3459</v>
      </c>
      <c r="E95" s="667" t="s">
        <v>106</v>
      </c>
      <c r="F95" s="657">
        <v>44704</v>
      </c>
      <c r="G95" s="657">
        <v>44712</v>
      </c>
      <c r="H95" s="665" t="s">
        <v>176</v>
      </c>
      <c r="I95" s="657">
        <v>44712</v>
      </c>
      <c r="J95" s="628">
        <v>113900.68</v>
      </c>
      <c r="K95" s="628"/>
      <c r="L95" s="628"/>
      <c r="M95" s="628">
        <v>17374.68</v>
      </c>
      <c r="N95" s="628">
        <f t="shared" si="12"/>
        <v>96526</v>
      </c>
      <c r="O95" s="659">
        <f t="shared" si="18"/>
        <v>304</v>
      </c>
      <c r="P95" s="660">
        <v>9</v>
      </c>
      <c r="Q95" s="661">
        <f t="shared" si="13"/>
        <v>8.1671232876712327</v>
      </c>
      <c r="R95" s="662">
        <f t="shared" si="14"/>
        <v>8933</v>
      </c>
      <c r="S95" s="662">
        <f t="shared" si="15"/>
        <v>87593</v>
      </c>
      <c r="T95" s="663">
        <f t="shared" si="19"/>
        <v>96526</v>
      </c>
      <c r="U95" s="663">
        <f t="shared" si="16"/>
        <v>0</v>
      </c>
      <c r="V95" s="664"/>
      <c r="W95" s="664"/>
      <c r="X95" s="664"/>
      <c r="Y95" s="664"/>
      <c r="Z95" s="664"/>
      <c r="AA95" s="664"/>
      <c r="AB95" s="664"/>
      <c r="AC95" s="664"/>
      <c r="AD95" s="664"/>
      <c r="AE95" s="664"/>
      <c r="AF95" s="664"/>
    </row>
    <row r="96" spans="2:32" ht="14.65">
      <c r="B96" s="653">
        <f t="shared" si="17"/>
        <v>92</v>
      </c>
      <c r="C96" s="665" t="s">
        <v>71</v>
      </c>
      <c r="D96" s="654" t="s">
        <v>3459</v>
      </c>
      <c r="E96" s="667" t="s">
        <v>119</v>
      </c>
      <c r="F96" s="657">
        <v>44658</v>
      </c>
      <c r="G96" s="657">
        <v>44658</v>
      </c>
      <c r="H96" s="665" t="s">
        <v>178</v>
      </c>
      <c r="I96" s="687">
        <v>44658</v>
      </c>
      <c r="J96" s="628">
        <v>3636000</v>
      </c>
      <c r="K96" s="628"/>
      <c r="L96" s="628">
        <v>36000</v>
      </c>
      <c r="M96" s="628">
        <v>787500.00000000012</v>
      </c>
      <c r="N96" s="628">
        <f t="shared" si="12"/>
        <v>2812500</v>
      </c>
      <c r="O96" s="659">
        <f t="shared" si="18"/>
        <v>358</v>
      </c>
      <c r="P96" s="660">
        <v>9</v>
      </c>
      <c r="Q96" s="661">
        <f t="shared" si="13"/>
        <v>8.0191780821917806</v>
      </c>
      <c r="R96" s="662">
        <f t="shared" si="14"/>
        <v>306507</v>
      </c>
      <c r="S96" s="662">
        <f t="shared" si="15"/>
        <v>2505993</v>
      </c>
      <c r="T96" s="663">
        <f t="shared" si="19"/>
        <v>2812500</v>
      </c>
      <c r="U96" s="663">
        <f t="shared" si="16"/>
        <v>0</v>
      </c>
      <c r="V96" s="664"/>
      <c r="W96" s="664"/>
      <c r="X96" s="664"/>
      <c r="Y96" s="664"/>
      <c r="Z96" s="664"/>
      <c r="AA96" s="664"/>
      <c r="AB96" s="664"/>
      <c r="AC96" s="664"/>
      <c r="AD96" s="664"/>
      <c r="AE96" s="664"/>
      <c r="AF96" s="664"/>
    </row>
    <row r="97" spans="2:32" ht="14.65">
      <c r="B97" s="653">
        <f t="shared" si="17"/>
        <v>93</v>
      </c>
      <c r="C97" s="665" t="s">
        <v>71</v>
      </c>
      <c r="D97" s="654" t="s">
        <v>3459</v>
      </c>
      <c r="E97" s="667" t="s">
        <v>120</v>
      </c>
      <c r="F97" s="657">
        <v>44658</v>
      </c>
      <c r="G97" s="657">
        <v>44658</v>
      </c>
      <c r="H97" s="665" t="s">
        <v>178</v>
      </c>
      <c r="I97" s="687">
        <v>44658</v>
      </c>
      <c r="J97" s="628">
        <v>3636000</v>
      </c>
      <c r="K97" s="628"/>
      <c r="L97" s="628">
        <v>36000</v>
      </c>
      <c r="M97" s="628">
        <v>787500.00000000012</v>
      </c>
      <c r="N97" s="628">
        <f t="shared" si="12"/>
        <v>2812500</v>
      </c>
      <c r="O97" s="659">
        <f t="shared" si="18"/>
        <v>358</v>
      </c>
      <c r="P97" s="660">
        <v>9</v>
      </c>
      <c r="Q97" s="661">
        <f t="shared" si="13"/>
        <v>8.0191780821917806</v>
      </c>
      <c r="R97" s="662">
        <f t="shared" si="14"/>
        <v>306507</v>
      </c>
      <c r="S97" s="662">
        <f t="shared" si="15"/>
        <v>2505993</v>
      </c>
      <c r="T97" s="663">
        <f t="shared" si="19"/>
        <v>2812500</v>
      </c>
      <c r="U97" s="663">
        <f t="shared" si="16"/>
        <v>0</v>
      </c>
      <c r="V97" s="664"/>
      <c r="W97" s="664"/>
      <c r="X97" s="664"/>
      <c r="Y97" s="664"/>
      <c r="Z97" s="664"/>
      <c r="AA97" s="664"/>
      <c r="AB97" s="664"/>
      <c r="AC97" s="664"/>
      <c r="AD97" s="664"/>
      <c r="AE97" s="664"/>
      <c r="AF97" s="664"/>
    </row>
    <row r="98" spans="2:32" ht="14.65">
      <c r="B98" s="653">
        <f t="shared" si="17"/>
        <v>94</v>
      </c>
      <c r="C98" s="665" t="s">
        <v>71</v>
      </c>
      <c r="D98" s="654" t="s">
        <v>3459</v>
      </c>
      <c r="E98" s="667" t="s">
        <v>121</v>
      </c>
      <c r="F98" s="657">
        <v>44658</v>
      </c>
      <c r="G98" s="657">
        <v>44658</v>
      </c>
      <c r="H98" s="665" t="s">
        <v>178</v>
      </c>
      <c r="I98" s="668">
        <v>44658</v>
      </c>
      <c r="J98" s="628">
        <v>3636000</v>
      </c>
      <c r="K98" s="628"/>
      <c r="L98" s="628">
        <v>36000</v>
      </c>
      <c r="M98" s="628">
        <v>787500.00000000012</v>
      </c>
      <c r="N98" s="628">
        <f t="shared" si="12"/>
        <v>2812500</v>
      </c>
      <c r="O98" s="659">
        <f t="shared" si="18"/>
        <v>358</v>
      </c>
      <c r="P98" s="660">
        <v>9</v>
      </c>
      <c r="Q98" s="661">
        <f t="shared" si="13"/>
        <v>8.0191780821917806</v>
      </c>
      <c r="R98" s="662">
        <f t="shared" si="14"/>
        <v>306507</v>
      </c>
      <c r="S98" s="662">
        <f t="shared" si="15"/>
        <v>2505993</v>
      </c>
      <c r="T98" s="663">
        <f t="shared" si="19"/>
        <v>2812500</v>
      </c>
      <c r="U98" s="663">
        <f t="shared" si="16"/>
        <v>0</v>
      </c>
      <c r="V98" s="664"/>
      <c r="W98" s="664"/>
      <c r="X98" s="664"/>
      <c r="Y98" s="664"/>
      <c r="Z98" s="664"/>
      <c r="AA98" s="664"/>
      <c r="AB98" s="664"/>
      <c r="AC98" s="664"/>
      <c r="AD98" s="664"/>
      <c r="AE98" s="664"/>
      <c r="AF98" s="664"/>
    </row>
    <row r="99" spans="2:32" ht="14.65">
      <c r="B99" s="653">
        <f t="shared" si="17"/>
        <v>95</v>
      </c>
      <c r="C99" s="665" t="s">
        <v>71</v>
      </c>
      <c r="D99" s="654" t="s">
        <v>3459</v>
      </c>
      <c r="E99" s="667" t="s">
        <v>122</v>
      </c>
      <c r="F99" s="657">
        <v>44658</v>
      </c>
      <c r="G99" s="657">
        <v>44658</v>
      </c>
      <c r="H99" s="665" t="s">
        <v>178</v>
      </c>
      <c r="I99" s="668">
        <v>44658</v>
      </c>
      <c r="J99" s="628">
        <v>3636000</v>
      </c>
      <c r="K99" s="628"/>
      <c r="L99" s="628">
        <v>36000</v>
      </c>
      <c r="M99" s="628">
        <v>787500.00000000012</v>
      </c>
      <c r="N99" s="628">
        <f t="shared" si="12"/>
        <v>2812500</v>
      </c>
      <c r="O99" s="659">
        <f t="shared" si="18"/>
        <v>358</v>
      </c>
      <c r="P99" s="660">
        <v>9</v>
      </c>
      <c r="Q99" s="661">
        <f t="shared" si="13"/>
        <v>8.0191780821917806</v>
      </c>
      <c r="R99" s="662">
        <f t="shared" si="14"/>
        <v>306507</v>
      </c>
      <c r="S99" s="662">
        <f t="shared" si="15"/>
        <v>2505993</v>
      </c>
      <c r="T99" s="663">
        <f t="shared" si="19"/>
        <v>2812500</v>
      </c>
      <c r="U99" s="663">
        <f t="shared" si="16"/>
        <v>0</v>
      </c>
      <c r="V99" s="664"/>
      <c r="W99" s="664"/>
      <c r="X99" s="664"/>
      <c r="Y99" s="664"/>
      <c r="Z99" s="664"/>
      <c r="AA99" s="664"/>
      <c r="AB99" s="664"/>
      <c r="AC99" s="664"/>
      <c r="AD99" s="664"/>
      <c r="AE99" s="664"/>
      <c r="AF99" s="664"/>
    </row>
    <row r="100" spans="2:32" ht="14.65">
      <c r="B100" s="653">
        <f t="shared" si="17"/>
        <v>96</v>
      </c>
      <c r="C100" s="665" t="s">
        <v>71</v>
      </c>
      <c r="D100" s="654" t="s">
        <v>3459</v>
      </c>
      <c r="E100" s="667" t="s">
        <v>123</v>
      </c>
      <c r="F100" s="657">
        <v>44658</v>
      </c>
      <c r="G100" s="657">
        <v>44658</v>
      </c>
      <c r="H100" s="665" t="s">
        <v>178</v>
      </c>
      <c r="I100" s="668">
        <v>44658</v>
      </c>
      <c r="J100" s="628">
        <v>3636000</v>
      </c>
      <c r="K100" s="628"/>
      <c r="L100" s="628">
        <v>36000</v>
      </c>
      <c r="M100" s="628">
        <v>787500.00000000012</v>
      </c>
      <c r="N100" s="628">
        <f t="shared" si="12"/>
        <v>2812500</v>
      </c>
      <c r="O100" s="659">
        <f t="shared" si="18"/>
        <v>358</v>
      </c>
      <c r="P100" s="660">
        <v>9</v>
      </c>
      <c r="Q100" s="661">
        <f t="shared" si="13"/>
        <v>8.0191780821917806</v>
      </c>
      <c r="R100" s="662">
        <f t="shared" si="14"/>
        <v>306507</v>
      </c>
      <c r="S100" s="662">
        <f t="shared" si="15"/>
        <v>2505993</v>
      </c>
      <c r="T100" s="663">
        <f t="shared" si="19"/>
        <v>2812500</v>
      </c>
      <c r="U100" s="663">
        <f t="shared" si="16"/>
        <v>0</v>
      </c>
      <c r="V100" s="664"/>
      <c r="W100" s="664"/>
      <c r="X100" s="664"/>
      <c r="Y100" s="664"/>
      <c r="Z100" s="664"/>
      <c r="AA100" s="664"/>
      <c r="AB100" s="664"/>
      <c r="AC100" s="664"/>
      <c r="AD100" s="664"/>
      <c r="AE100" s="664"/>
      <c r="AF100" s="664"/>
    </row>
    <row r="101" spans="2:32" ht="14.65">
      <c r="B101" s="653">
        <f t="shared" si="17"/>
        <v>97</v>
      </c>
      <c r="C101" s="665" t="s">
        <v>71</v>
      </c>
      <c r="D101" s="654" t="s">
        <v>3459</v>
      </c>
      <c r="E101" s="667" t="s">
        <v>124</v>
      </c>
      <c r="F101" s="657">
        <v>44658</v>
      </c>
      <c r="G101" s="657">
        <v>44658</v>
      </c>
      <c r="H101" s="665" t="s">
        <v>178</v>
      </c>
      <c r="I101" s="668">
        <v>44658</v>
      </c>
      <c r="J101" s="628">
        <v>3636000</v>
      </c>
      <c r="K101" s="628"/>
      <c r="L101" s="628">
        <v>36000</v>
      </c>
      <c r="M101" s="628">
        <v>787500.00000000012</v>
      </c>
      <c r="N101" s="628">
        <f t="shared" si="12"/>
        <v>2812500</v>
      </c>
      <c r="O101" s="659">
        <f t="shared" si="18"/>
        <v>358</v>
      </c>
      <c r="P101" s="660">
        <v>9</v>
      </c>
      <c r="Q101" s="661">
        <f t="shared" si="13"/>
        <v>8.0191780821917806</v>
      </c>
      <c r="R101" s="662">
        <f t="shared" si="14"/>
        <v>306507</v>
      </c>
      <c r="S101" s="662">
        <f t="shared" si="15"/>
        <v>2505993</v>
      </c>
      <c r="T101" s="663">
        <f t="shared" si="19"/>
        <v>2812500</v>
      </c>
      <c r="U101" s="663">
        <f t="shared" si="16"/>
        <v>0</v>
      </c>
      <c r="V101" s="664"/>
      <c r="W101" s="664"/>
      <c r="X101" s="664"/>
      <c r="Y101" s="664"/>
      <c r="Z101" s="664"/>
      <c r="AA101" s="664"/>
      <c r="AB101" s="664"/>
      <c r="AC101" s="664"/>
      <c r="AD101" s="664"/>
      <c r="AE101" s="664"/>
      <c r="AF101" s="664"/>
    </row>
    <row r="102" spans="2:32" ht="14.65">
      <c r="B102" s="653">
        <f t="shared" si="17"/>
        <v>98</v>
      </c>
      <c r="C102" s="665" t="s">
        <v>71</v>
      </c>
      <c r="D102" s="654" t="s">
        <v>3459</v>
      </c>
      <c r="E102" s="667" t="s">
        <v>125</v>
      </c>
      <c r="F102" s="657">
        <v>44658</v>
      </c>
      <c r="G102" s="657">
        <v>44658</v>
      </c>
      <c r="H102" s="665" t="s">
        <v>178</v>
      </c>
      <c r="I102" s="657">
        <v>44658</v>
      </c>
      <c r="J102" s="628">
        <v>3636000</v>
      </c>
      <c r="K102" s="628"/>
      <c r="L102" s="628">
        <v>36000</v>
      </c>
      <c r="M102" s="628">
        <v>787500.00000000012</v>
      </c>
      <c r="N102" s="628">
        <f t="shared" si="12"/>
        <v>2812500</v>
      </c>
      <c r="O102" s="659">
        <f t="shared" si="18"/>
        <v>358</v>
      </c>
      <c r="P102" s="660">
        <v>9</v>
      </c>
      <c r="Q102" s="661">
        <f t="shared" si="13"/>
        <v>8.0191780821917806</v>
      </c>
      <c r="R102" s="662">
        <f t="shared" si="14"/>
        <v>306507</v>
      </c>
      <c r="S102" s="662">
        <f t="shared" si="15"/>
        <v>2505993</v>
      </c>
      <c r="T102" s="663">
        <f t="shared" si="19"/>
        <v>2812500</v>
      </c>
      <c r="U102" s="663">
        <f t="shared" si="16"/>
        <v>0</v>
      </c>
      <c r="V102" s="664"/>
      <c r="W102" s="664"/>
      <c r="X102" s="664"/>
      <c r="Y102" s="664"/>
      <c r="Z102" s="664"/>
      <c r="AA102" s="664"/>
      <c r="AB102" s="664"/>
      <c r="AC102" s="664"/>
      <c r="AD102" s="664"/>
      <c r="AE102" s="664"/>
      <c r="AF102" s="664"/>
    </row>
    <row r="103" spans="2:32" ht="14.65">
      <c r="B103" s="653">
        <f t="shared" si="17"/>
        <v>99</v>
      </c>
      <c r="C103" s="665" t="s">
        <v>71</v>
      </c>
      <c r="D103" s="654" t="s">
        <v>3459</v>
      </c>
      <c r="E103" s="667" t="s">
        <v>126</v>
      </c>
      <c r="F103" s="657">
        <v>44658</v>
      </c>
      <c r="G103" s="657">
        <v>44658</v>
      </c>
      <c r="H103" s="665" t="s">
        <v>178</v>
      </c>
      <c r="I103" s="657">
        <v>44658</v>
      </c>
      <c r="J103" s="628">
        <v>3636000</v>
      </c>
      <c r="K103" s="628"/>
      <c r="L103" s="628">
        <v>36000</v>
      </c>
      <c r="M103" s="628">
        <v>787500.00000000012</v>
      </c>
      <c r="N103" s="628">
        <f t="shared" si="12"/>
        <v>2812500</v>
      </c>
      <c r="O103" s="659">
        <f t="shared" si="18"/>
        <v>358</v>
      </c>
      <c r="P103" s="660">
        <v>9</v>
      </c>
      <c r="Q103" s="661">
        <f t="shared" si="13"/>
        <v>8.0191780821917806</v>
      </c>
      <c r="R103" s="662">
        <f t="shared" si="14"/>
        <v>306507</v>
      </c>
      <c r="S103" s="662">
        <f t="shared" si="15"/>
        <v>2505993</v>
      </c>
      <c r="T103" s="663">
        <f t="shared" si="19"/>
        <v>2812500</v>
      </c>
      <c r="U103" s="663">
        <f t="shared" si="16"/>
        <v>0</v>
      </c>
      <c r="V103" s="664"/>
      <c r="W103" s="664"/>
      <c r="X103" s="664"/>
      <c r="Y103" s="664"/>
      <c r="Z103" s="664"/>
      <c r="AA103" s="664"/>
      <c r="AB103" s="664"/>
      <c r="AC103" s="664"/>
      <c r="AD103" s="664"/>
      <c r="AE103" s="664"/>
      <c r="AF103" s="664"/>
    </row>
    <row r="104" spans="2:32" ht="14.65">
      <c r="B104" s="653">
        <f t="shared" si="17"/>
        <v>100</v>
      </c>
      <c r="C104" s="665" t="s">
        <v>71</v>
      </c>
      <c r="D104" s="654" t="s">
        <v>3459</v>
      </c>
      <c r="E104" s="667" t="s">
        <v>127</v>
      </c>
      <c r="F104" s="657">
        <v>44658</v>
      </c>
      <c r="G104" s="657">
        <v>44658</v>
      </c>
      <c r="H104" s="665" t="s">
        <v>178</v>
      </c>
      <c r="I104" s="657">
        <v>44658</v>
      </c>
      <c r="J104" s="628">
        <v>3636000</v>
      </c>
      <c r="K104" s="628"/>
      <c r="L104" s="628">
        <v>36000</v>
      </c>
      <c r="M104" s="628">
        <v>787500.00000000012</v>
      </c>
      <c r="N104" s="628">
        <f t="shared" si="12"/>
        <v>2812500</v>
      </c>
      <c r="O104" s="659">
        <f t="shared" si="18"/>
        <v>358</v>
      </c>
      <c r="P104" s="660">
        <v>9</v>
      </c>
      <c r="Q104" s="661">
        <f t="shared" si="13"/>
        <v>8.0191780821917806</v>
      </c>
      <c r="R104" s="662">
        <f t="shared" si="14"/>
        <v>306507</v>
      </c>
      <c r="S104" s="662">
        <f t="shared" si="15"/>
        <v>2505993</v>
      </c>
      <c r="T104" s="663">
        <f t="shared" si="19"/>
        <v>2812500</v>
      </c>
      <c r="U104" s="663">
        <f t="shared" si="16"/>
        <v>0</v>
      </c>
      <c r="V104" s="664"/>
      <c r="W104" s="664"/>
      <c r="X104" s="664"/>
      <c r="Y104" s="664"/>
      <c r="Z104" s="664"/>
      <c r="AA104" s="664"/>
      <c r="AB104" s="664"/>
      <c r="AC104" s="664"/>
      <c r="AD104" s="664"/>
      <c r="AE104" s="664"/>
      <c r="AF104" s="664"/>
    </row>
    <row r="105" spans="2:32" ht="14.65">
      <c r="B105" s="653">
        <f t="shared" si="17"/>
        <v>101</v>
      </c>
      <c r="C105" s="665" t="s">
        <v>71</v>
      </c>
      <c r="D105" s="654" t="s">
        <v>3459</v>
      </c>
      <c r="E105" s="667" t="s">
        <v>128</v>
      </c>
      <c r="F105" s="657">
        <v>44658</v>
      </c>
      <c r="G105" s="657">
        <v>44658</v>
      </c>
      <c r="H105" s="665" t="s">
        <v>178</v>
      </c>
      <c r="I105" s="657">
        <v>44658</v>
      </c>
      <c r="J105" s="628">
        <v>3636000</v>
      </c>
      <c r="K105" s="628"/>
      <c r="L105" s="628">
        <v>36000</v>
      </c>
      <c r="M105" s="628">
        <v>787500.00000000012</v>
      </c>
      <c r="N105" s="628">
        <f t="shared" si="12"/>
        <v>2812500</v>
      </c>
      <c r="O105" s="659">
        <f t="shared" si="18"/>
        <v>358</v>
      </c>
      <c r="P105" s="660">
        <v>9</v>
      </c>
      <c r="Q105" s="661">
        <f t="shared" si="13"/>
        <v>8.0191780821917806</v>
      </c>
      <c r="R105" s="662">
        <f t="shared" si="14"/>
        <v>306507</v>
      </c>
      <c r="S105" s="662">
        <f t="shared" si="15"/>
        <v>2505993</v>
      </c>
      <c r="T105" s="663">
        <f t="shared" si="19"/>
        <v>2812500</v>
      </c>
      <c r="U105" s="663">
        <f t="shared" si="16"/>
        <v>0</v>
      </c>
      <c r="V105" s="664"/>
      <c r="W105" s="664"/>
      <c r="X105" s="664"/>
      <c r="Y105" s="664"/>
      <c r="Z105" s="664"/>
      <c r="AA105" s="664"/>
      <c r="AB105" s="664"/>
      <c r="AC105" s="664"/>
      <c r="AD105" s="664"/>
      <c r="AE105" s="664"/>
      <c r="AF105" s="664"/>
    </row>
    <row r="106" spans="2:32" ht="14.65">
      <c r="B106" s="653">
        <f t="shared" si="17"/>
        <v>102</v>
      </c>
      <c r="C106" s="665" t="s">
        <v>71</v>
      </c>
      <c r="D106" s="654" t="s">
        <v>3459</v>
      </c>
      <c r="E106" s="667" t="s">
        <v>129</v>
      </c>
      <c r="F106" s="657">
        <v>44658</v>
      </c>
      <c r="G106" s="657">
        <v>44658</v>
      </c>
      <c r="H106" s="665" t="s">
        <v>178</v>
      </c>
      <c r="I106" s="668">
        <v>44658</v>
      </c>
      <c r="J106" s="628">
        <v>3636000</v>
      </c>
      <c r="K106" s="628"/>
      <c r="L106" s="628">
        <v>36000</v>
      </c>
      <c r="M106" s="628">
        <v>787500.00000000012</v>
      </c>
      <c r="N106" s="628">
        <f t="shared" si="12"/>
        <v>2812500</v>
      </c>
      <c r="O106" s="659">
        <f t="shared" si="18"/>
        <v>358</v>
      </c>
      <c r="P106" s="660">
        <v>9</v>
      </c>
      <c r="Q106" s="661">
        <f t="shared" si="13"/>
        <v>8.0191780821917806</v>
      </c>
      <c r="R106" s="662">
        <f t="shared" si="14"/>
        <v>306507</v>
      </c>
      <c r="S106" s="662">
        <f t="shared" si="15"/>
        <v>2505993</v>
      </c>
      <c r="T106" s="663">
        <f t="shared" si="19"/>
        <v>2812500</v>
      </c>
      <c r="U106" s="663">
        <f t="shared" si="16"/>
        <v>0</v>
      </c>
      <c r="V106" s="664"/>
      <c r="W106" s="664"/>
      <c r="X106" s="664"/>
      <c r="Y106" s="664"/>
      <c r="Z106" s="664"/>
      <c r="AA106" s="664"/>
      <c r="AB106" s="664"/>
      <c r="AC106" s="664"/>
      <c r="AD106" s="664"/>
      <c r="AE106" s="664"/>
      <c r="AF106" s="664"/>
    </row>
    <row r="107" spans="2:32" ht="14.65">
      <c r="B107" s="653">
        <f t="shared" si="17"/>
        <v>103</v>
      </c>
      <c r="C107" s="665" t="s">
        <v>71</v>
      </c>
      <c r="D107" s="654" t="s">
        <v>3459</v>
      </c>
      <c r="E107" s="667" t="s">
        <v>130</v>
      </c>
      <c r="F107" s="657">
        <v>44658</v>
      </c>
      <c r="G107" s="657">
        <v>44658</v>
      </c>
      <c r="H107" s="665" t="s">
        <v>178</v>
      </c>
      <c r="I107" s="668">
        <v>44658</v>
      </c>
      <c r="J107" s="628">
        <v>3636000</v>
      </c>
      <c r="K107" s="628"/>
      <c r="L107" s="628">
        <v>36000</v>
      </c>
      <c r="M107" s="628">
        <v>787500.00000000012</v>
      </c>
      <c r="N107" s="628">
        <f t="shared" si="12"/>
        <v>2812500</v>
      </c>
      <c r="O107" s="659">
        <f t="shared" si="18"/>
        <v>358</v>
      </c>
      <c r="P107" s="660">
        <v>9</v>
      </c>
      <c r="Q107" s="661">
        <f t="shared" si="13"/>
        <v>8.0191780821917806</v>
      </c>
      <c r="R107" s="662">
        <f t="shared" si="14"/>
        <v>306507</v>
      </c>
      <c r="S107" s="662">
        <f t="shared" si="15"/>
        <v>2505993</v>
      </c>
      <c r="T107" s="663">
        <f t="shared" si="19"/>
        <v>2812500</v>
      </c>
      <c r="U107" s="663">
        <f t="shared" si="16"/>
        <v>0</v>
      </c>
      <c r="V107" s="664"/>
      <c r="W107" s="664"/>
      <c r="X107" s="664"/>
      <c r="Y107" s="664"/>
      <c r="Z107" s="664"/>
      <c r="AA107" s="664"/>
      <c r="AB107" s="664"/>
      <c r="AC107" s="664"/>
      <c r="AD107" s="664"/>
      <c r="AE107" s="664"/>
      <c r="AF107" s="664"/>
    </row>
    <row r="108" spans="2:32" ht="14.65">
      <c r="B108" s="653">
        <f t="shared" si="17"/>
        <v>104</v>
      </c>
      <c r="C108" s="665" t="s">
        <v>71</v>
      </c>
      <c r="D108" s="654" t="s">
        <v>3459</v>
      </c>
      <c r="E108" s="667" t="s">
        <v>131</v>
      </c>
      <c r="F108" s="657">
        <v>44658</v>
      </c>
      <c r="G108" s="657">
        <v>44658</v>
      </c>
      <c r="H108" s="665" t="s">
        <v>178</v>
      </c>
      <c r="I108" s="668">
        <v>44658</v>
      </c>
      <c r="J108" s="628">
        <v>3636000</v>
      </c>
      <c r="K108" s="628"/>
      <c r="L108" s="628">
        <v>36000</v>
      </c>
      <c r="M108" s="628">
        <v>787500.00000000012</v>
      </c>
      <c r="N108" s="628">
        <f t="shared" si="12"/>
        <v>2812500</v>
      </c>
      <c r="O108" s="659">
        <f t="shared" si="18"/>
        <v>358</v>
      </c>
      <c r="P108" s="660">
        <v>9</v>
      </c>
      <c r="Q108" s="661">
        <f t="shared" si="13"/>
        <v>8.0191780821917806</v>
      </c>
      <c r="R108" s="662">
        <f t="shared" si="14"/>
        <v>306507</v>
      </c>
      <c r="S108" s="662">
        <f t="shared" si="15"/>
        <v>2505993</v>
      </c>
      <c r="T108" s="663">
        <f t="shared" si="19"/>
        <v>2812500</v>
      </c>
      <c r="U108" s="663">
        <f t="shared" si="16"/>
        <v>0</v>
      </c>
      <c r="V108" s="664"/>
      <c r="W108" s="664"/>
      <c r="X108" s="664"/>
      <c r="Y108" s="664"/>
      <c r="Z108" s="664"/>
      <c r="AA108" s="664"/>
      <c r="AB108" s="664"/>
      <c r="AC108" s="664"/>
      <c r="AD108" s="664"/>
      <c r="AE108" s="664"/>
      <c r="AF108" s="664"/>
    </row>
    <row r="109" spans="2:32" ht="14.65">
      <c r="B109" s="653">
        <f t="shared" si="17"/>
        <v>105</v>
      </c>
      <c r="C109" s="665" t="s">
        <v>71</v>
      </c>
      <c r="D109" s="654" t="s">
        <v>3459</v>
      </c>
      <c r="E109" s="667" t="s">
        <v>132</v>
      </c>
      <c r="F109" s="657">
        <v>44658</v>
      </c>
      <c r="G109" s="657">
        <v>44658</v>
      </c>
      <c r="H109" s="665" t="s">
        <v>178</v>
      </c>
      <c r="I109" s="668">
        <v>44658</v>
      </c>
      <c r="J109" s="628">
        <v>3636000</v>
      </c>
      <c r="K109" s="628"/>
      <c r="L109" s="628">
        <v>36000</v>
      </c>
      <c r="M109" s="628">
        <v>787500.00000000012</v>
      </c>
      <c r="N109" s="628">
        <f t="shared" si="12"/>
        <v>2812500</v>
      </c>
      <c r="O109" s="659">
        <f t="shared" si="18"/>
        <v>358</v>
      </c>
      <c r="P109" s="660">
        <v>9</v>
      </c>
      <c r="Q109" s="661">
        <f t="shared" si="13"/>
        <v>8.0191780821917806</v>
      </c>
      <c r="R109" s="662">
        <f t="shared" si="14"/>
        <v>306507</v>
      </c>
      <c r="S109" s="662">
        <f t="shared" si="15"/>
        <v>2505993</v>
      </c>
      <c r="T109" s="663">
        <f t="shared" si="19"/>
        <v>2812500</v>
      </c>
      <c r="U109" s="663">
        <f t="shared" si="16"/>
        <v>0</v>
      </c>
      <c r="V109" s="664"/>
      <c r="W109" s="664"/>
      <c r="X109" s="664"/>
      <c r="Y109" s="664"/>
      <c r="Z109" s="664"/>
      <c r="AA109" s="664"/>
      <c r="AB109" s="664"/>
      <c r="AC109" s="664"/>
      <c r="AD109" s="664"/>
      <c r="AE109" s="664"/>
      <c r="AF109" s="664"/>
    </row>
    <row r="110" spans="2:32" ht="14.65">
      <c r="B110" s="653">
        <f t="shared" si="17"/>
        <v>106</v>
      </c>
      <c r="C110" s="665" t="s">
        <v>71</v>
      </c>
      <c r="D110" s="654" t="s">
        <v>3459</v>
      </c>
      <c r="E110" s="667" t="s">
        <v>133</v>
      </c>
      <c r="F110" s="657">
        <v>44658</v>
      </c>
      <c r="G110" s="657">
        <v>44658</v>
      </c>
      <c r="H110" s="665" t="s">
        <v>178</v>
      </c>
      <c r="I110" s="668">
        <v>44658</v>
      </c>
      <c r="J110" s="628">
        <v>3636000</v>
      </c>
      <c r="K110" s="628"/>
      <c r="L110" s="628">
        <v>36000</v>
      </c>
      <c r="M110" s="628">
        <v>787500.00000000012</v>
      </c>
      <c r="N110" s="628">
        <f t="shared" si="12"/>
        <v>2812500</v>
      </c>
      <c r="O110" s="659">
        <f t="shared" si="18"/>
        <v>358</v>
      </c>
      <c r="P110" s="660">
        <v>9</v>
      </c>
      <c r="Q110" s="661">
        <f t="shared" si="13"/>
        <v>8.0191780821917806</v>
      </c>
      <c r="R110" s="662">
        <f t="shared" si="14"/>
        <v>306507</v>
      </c>
      <c r="S110" s="662">
        <f t="shared" si="15"/>
        <v>2505993</v>
      </c>
      <c r="T110" s="663">
        <f t="shared" si="19"/>
        <v>2812500</v>
      </c>
      <c r="U110" s="663">
        <f t="shared" si="16"/>
        <v>0</v>
      </c>
      <c r="V110" s="664"/>
      <c r="W110" s="664"/>
      <c r="X110" s="664"/>
      <c r="Y110" s="664"/>
      <c r="Z110" s="664"/>
      <c r="AA110" s="664"/>
      <c r="AB110" s="664"/>
      <c r="AC110" s="664"/>
      <c r="AD110" s="664"/>
      <c r="AE110" s="664"/>
      <c r="AF110" s="664"/>
    </row>
    <row r="111" spans="2:32" ht="14.65">
      <c r="B111" s="653">
        <f t="shared" si="17"/>
        <v>107</v>
      </c>
      <c r="C111" s="665" t="s">
        <v>71</v>
      </c>
      <c r="D111" s="654" t="s">
        <v>3459</v>
      </c>
      <c r="E111" s="667" t="s">
        <v>134</v>
      </c>
      <c r="F111" s="657">
        <v>44690</v>
      </c>
      <c r="G111" s="657">
        <v>44690</v>
      </c>
      <c r="H111" s="665" t="s">
        <v>178</v>
      </c>
      <c r="I111" s="668">
        <v>44690</v>
      </c>
      <c r="J111" s="628">
        <v>3636000</v>
      </c>
      <c r="K111" s="628"/>
      <c r="L111" s="628">
        <v>36000</v>
      </c>
      <c r="M111" s="628">
        <v>787500.00000000012</v>
      </c>
      <c r="N111" s="628">
        <f t="shared" si="12"/>
        <v>2812500</v>
      </c>
      <c r="O111" s="659">
        <f t="shared" si="18"/>
        <v>326</v>
      </c>
      <c r="P111" s="660">
        <v>9</v>
      </c>
      <c r="Q111" s="661">
        <f t="shared" si="13"/>
        <v>8.1068493150684926</v>
      </c>
      <c r="R111" s="662">
        <f t="shared" si="14"/>
        <v>279110</v>
      </c>
      <c r="S111" s="662">
        <f t="shared" si="15"/>
        <v>2533390</v>
      </c>
      <c r="T111" s="663">
        <f t="shared" si="19"/>
        <v>2812500</v>
      </c>
      <c r="U111" s="663">
        <f t="shared" si="16"/>
        <v>0</v>
      </c>
      <c r="V111" s="664"/>
      <c r="W111" s="664"/>
      <c r="X111" s="664"/>
      <c r="Y111" s="664"/>
      <c r="Z111" s="664"/>
      <c r="AA111" s="664"/>
      <c r="AB111" s="664"/>
      <c r="AC111" s="664"/>
      <c r="AD111" s="664"/>
      <c r="AE111" s="664"/>
      <c r="AF111" s="664"/>
    </row>
    <row r="112" spans="2:32" ht="14.65">
      <c r="B112" s="653">
        <f t="shared" si="17"/>
        <v>108</v>
      </c>
      <c r="C112" s="665" t="s">
        <v>71</v>
      </c>
      <c r="D112" s="654" t="s">
        <v>3459</v>
      </c>
      <c r="E112" s="667" t="s">
        <v>135</v>
      </c>
      <c r="F112" s="657">
        <v>44690</v>
      </c>
      <c r="G112" s="657">
        <v>44690</v>
      </c>
      <c r="H112" s="665" t="s">
        <v>178</v>
      </c>
      <c r="I112" s="668">
        <v>44690</v>
      </c>
      <c r="J112" s="628">
        <v>3636000</v>
      </c>
      <c r="K112" s="628"/>
      <c r="L112" s="628">
        <v>36000</v>
      </c>
      <c r="M112" s="628">
        <v>787500.00000000012</v>
      </c>
      <c r="N112" s="628">
        <f t="shared" si="12"/>
        <v>2812500</v>
      </c>
      <c r="O112" s="659">
        <f t="shared" si="18"/>
        <v>326</v>
      </c>
      <c r="P112" s="660">
        <v>9</v>
      </c>
      <c r="Q112" s="661">
        <f t="shared" si="13"/>
        <v>8.1068493150684926</v>
      </c>
      <c r="R112" s="662">
        <f t="shared" si="14"/>
        <v>279110</v>
      </c>
      <c r="S112" s="662">
        <f t="shared" si="15"/>
        <v>2533390</v>
      </c>
      <c r="T112" s="663">
        <f t="shared" si="19"/>
        <v>2812500</v>
      </c>
      <c r="U112" s="663">
        <f t="shared" si="16"/>
        <v>0</v>
      </c>
      <c r="V112" s="664"/>
      <c r="W112" s="664"/>
      <c r="X112" s="664"/>
      <c r="Y112" s="664"/>
      <c r="Z112" s="664"/>
      <c r="AA112" s="664"/>
      <c r="AB112" s="664"/>
      <c r="AC112" s="664"/>
      <c r="AD112" s="664"/>
      <c r="AE112" s="664"/>
      <c r="AF112" s="664"/>
    </row>
    <row r="113" spans="2:32" ht="14.65">
      <c r="B113" s="653">
        <f t="shared" si="17"/>
        <v>109</v>
      </c>
      <c r="C113" s="665" t="s">
        <v>71</v>
      </c>
      <c r="D113" s="654" t="s">
        <v>3459</v>
      </c>
      <c r="E113" s="667" t="s">
        <v>136</v>
      </c>
      <c r="F113" s="657">
        <v>44690</v>
      </c>
      <c r="G113" s="657">
        <v>44690</v>
      </c>
      <c r="H113" s="665" t="s">
        <v>178</v>
      </c>
      <c r="I113" s="668">
        <v>44690</v>
      </c>
      <c r="J113" s="628">
        <v>3636000</v>
      </c>
      <c r="K113" s="628"/>
      <c r="L113" s="628">
        <v>36000</v>
      </c>
      <c r="M113" s="628">
        <v>787500.00000000012</v>
      </c>
      <c r="N113" s="628">
        <f t="shared" si="12"/>
        <v>2812500</v>
      </c>
      <c r="O113" s="659">
        <f t="shared" si="18"/>
        <v>326</v>
      </c>
      <c r="P113" s="660">
        <v>9</v>
      </c>
      <c r="Q113" s="661">
        <f t="shared" si="13"/>
        <v>8.1068493150684926</v>
      </c>
      <c r="R113" s="662">
        <f t="shared" si="14"/>
        <v>279110</v>
      </c>
      <c r="S113" s="662">
        <f t="shared" si="15"/>
        <v>2533390</v>
      </c>
      <c r="T113" s="663">
        <f t="shared" si="19"/>
        <v>2812500</v>
      </c>
      <c r="U113" s="663">
        <f t="shared" si="16"/>
        <v>0</v>
      </c>
      <c r="V113" s="664"/>
      <c r="W113" s="664"/>
      <c r="X113" s="664"/>
      <c r="Y113" s="664"/>
      <c r="Z113" s="664"/>
      <c r="AA113" s="664"/>
      <c r="AB113" s="664"/>
      <c r="AC113" s="664"/>
      <c r="AD113" s="664"/>
      <c r="AE113" s="664"/>
      <c r="AF113" s="664"/>
    </row>
    <row r="114" spans="2:32" ht="14.65">
      <c r="B114" s="653">
        <f t="shared" si="17"/>
        <v>110</v>
      </c>
      <c r="C114" s="665" t="s">
        <v>71</v>
      </c>
      <c r="D114" s="654" t="s">
        <v>3459</v>
      </c>
      <c r="E114" s="667" t="s">
        <v>137</v>
      </c>
      <c r="F114" s="657">
        <v>44690</v>
      </c>
      <c r="G114" s="657">
        <v>44690</v>
      </c>
      <c r="H114" s="665" t="s">
        <v>178</v>
      </c>
      <c r="I114" s="668">
        <v>44690</v>
      </c>
      <c r="J114" s="628">
        <v>3636000</v>
      </c>
      <c r="K114" s="628"/>
      <c r="L114" s="628">
        <v>36000</v>
      </c>
      <c r="M114" s="628">
        <v>787500.00000000012</v>
      </c>
      <c r="N114" s="628">
        <f t="shared" si="12"/>
        <v>2812500</v>
      </c>
      <c r="O114" s="659">
        <f t="shared" si="18"/>
        <v>326</v>
      </c>
      <c r="P114" s="660">
        <v>9</v>
      </c>
      <c r="Q114" s="661">
        <f t="shared" si="13"/>
        <v>8.1068493150684926</v>
      </c>
      <c r="R114" s="662">
        <f t="shared" si="14"/>
        <v>279110</v>
      </c>
      <c r="S114" s="662">
        <f t="shared" si="15"/>
        <v>2533390</v>
      </c>
      <c r="T114" s="663">
        <f t="shared" si="19"/>
        <v>2812500</v>
      </c>
      <c r="U114" s="663">
        <f t="shared" si="16"/>
        <v>0</v>
      </c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</row>
    <row r="115" spans="2:32" ht="14.65">
      <c r="B115" s="653">
        <f t="shared" si="17"/>
        <v>111</v>
      </c>
      <c r="C115" s="665" t="s">
        <v>71</v>
      </c>
      <c r="D115" s="654" t="s">
        <v>3459</v>
      </c>
      <c r="E115" s="667" t="s">
        <v>138</v>
      </c>
      <c r="F115" s="657">
        <v>44712</v>
      </c>
      <c r="G115" s="657">
        <v>44690</v>
      </c>
      <c r="H115" s="665" t="s">
        <v>178</v>
      </c>
      <c r="I115" s="668">
        <v>44712</v>
      </c>
      <c r="J115" s="628">
        <v>3636000</v>
      </c>
      <c r="K115" s="628"/>
      <c r="L115" s="628">
        <v>36000</v>
      </c>
      <c r="M115" s="628">
        <v>787500.00000000012</v>
      </c>
      <c r="N115" s="628">
        <f t="shared" si="12"/>
        <v>2812500</v>
      </c>
      <c r="O115" s="659">
        <f t="shared" si="18"/>
        <v>304</v>
      </c>
      <c r="P115" s="660">
        <v>9</v>
      </c>
      <c r="Q115" s="661">
        <f t="shared" si="13"/>
        <v>8.1671232876712327</v>
      </c>
      <c r="R115" s="662">
        <f t="shared" si="14"/>
        <v>260274</v>
      </c>
      <c r="S115" s="662">
        <f t="shared" si="15"/>
        <v>2552226</v>
      </c>
      <c r="T115" s="663">
        <f t="shared" si="19"/>
        <v>2812500</v>
      </c>
      <c r="U115" s="663">
        <f t="shared" si="16"/>
        <v>0</v>
      </c>
      <c r="V115" s="664"/>
      <c r="W115" s="664"/>
      <c r="X115" s="664"/>
      <c r="Y115" s="664"/>
      <c r="Z115" s="664"/>
      <c r="AA115" s="664"/>
      <c r="AB115" s="664"/>
      <c r="AC115" s="664"/>
      <c r="AD115" s="664"/>
      <c r="AE115" s="664"/>
      <c r="AF115" s="664"/>
    </row>
    <row r="116" spans="2:32" ht="14.65">
      <c r="B116" s="653">
        <f t="shared" si="17"/>
        <v>112</v>
      </c>
      <c r="C116" s="684" t="s">
        <v>304</v>
      </c>
      <c r="D116" s="654" t="s">
        <v>3459</v>
      </c>
      <c r="E116" s="685" t="s">
        <v>345</v>
      </c>
      <c r="F116" s="689">
        <v>44776</v>
      </c>
      <c r="G116" s="689">
        <v>44776</v>
      </c>
      <c r="H116" s="684" t="s">
        <v>403</v>
      </c>
      <c r="I116" s="657">
        <v>44776</v>
      </c>
      <c r="J116" s="628">
        <v>1408778.4</v>
      </c>
      <c r="K116" s="628"/>
      <c r="L116" s="628"/>
      <c r="M116" s="628">
        <v>214898.4</v>
      </c>
      <c r="N116" s="628">
        <f t="shared" si="12"/>
        <v>1193880</v>
      </c>
      <c r="O116" s="659">
        <f t="shared" si="18"/>
        <v>240</v>
      </c>
      <c r="P116" s="660">
        <v>9</v>
      </c>
      <c r="Q116" s="661">
        <f t="shared" si="13"/>
        <v>8.3424657534246585</v>
      </c>
      <c r="R116" s="662">
        <f t="shared" si="14"/>
        <v>87224</v>
      </c>
      <c r="S116" s="662">
        <f t="shared" si="15"/>
        <v>1106656</v>
      </c>
      <c r="T116" s="663">
        <f t="shared" si="19"/>
        <v>1193880</v>
      </c>
      <c r="U116" s="663">
        <f t="shared" si="16"/>
        <v>0</v>
      </c>
      <c r="V116" s="664"/>
      <c r="W116" s="664"/>
      <c r="X116" s="664"/>
      <c r="Y116" s="664"/>
      <c r="Z116" s="664"/>
      <c r="AA116" s="664"/>
      <c r="AB116" s="664"/>
      <c r="AC116" s="664"/>
      <c r="AD116" s="664"/>
      <c r="AE116" s="664"/>
      <c r="AF116" s="664"/>
    </row>
    <row r="117" spans="2:32" ht="14.65">
      <c r="B117" s="653">
        <f t="shared" si="17"/>
        <v>113</v>
      </c>
      <c r="C117" s="684" t="s">
        <v>305</v>
      </c>
      <c r="D117" s="654" t="s">
        <v>3459</v>
      </c>
      <c r="E117" s="685" t="s">
        <v>346</v>
      </c>
      <c r="F117" s="689">
        <v>44776</v>
      </c>
      <c r="G117" s="689">
        <v>44776</v>
      </c>
      <c r="H117" s="684" t="s">
        <v>403</v>
      </c>
      <c r="I117" s="657">
        <v>44776</v>
      </c>
      <c r="J117" s="628">
        <v>555827</v>
      </c>
      <c r="K117" s="628"/>
      <c r="L117" s="628"/>
      <c r="M117" s="628">
        <v>84787.199999999997</v>
      </c>
      <c r="N117" s="628">
        <f t="shared" si="12"/>
        <v>471039.8</v>
      </c>
      <c r="O117" s="659">
        <f t="shared" si="18"/>
        <v>240</v>
      </c>
      <c r="P117" s="660">
        <v>9</v>
      </c>
      <c r="Q117" s="661">
        <f t="shared" si="13"/>
        <v>8.3424657534246585</v>
      </c>
      <c r="R117" s="662">
        <f t="shared" si="14"/>
        <v>34414</v>
      </c>
      <c r="S117" s="662">
        <f t="shared" si="15"/>
        <v>436625.8</v>
      </c>
      <c r="T117" s="663">
        <f t="shared" ref="T117:T148" si="20">IF(I117&lt;=DATE(2022,9,30),N117,0)</f>
        <v>471039.8</v>
      </c>
      <c r="U117" s="663">
        <f t="shared" si="16"/>
        <v>0</v>
      </c>
      <c r="V117" s="664"/>
      <c r="W117" s="664"/>
      <c r="X117" s="664"/>
      <c r="Y117" s="664"/>
      <c r="Z117" s="664"/>
      <c r="AA117" s="664"/>
      <c r="AB117" s="664"/>
      <c r="AC117" s="664"/>
      <c r="AD117" s="664"/>
      <c r="AE117" s="664"/>
      <c r="AF117" s="664"/>
    </row>
    <row r="118" spans="2:32" ht="14.65">
      <c r="B118" s="653">
        <f t="shared" si="17"/>
        <v>114</v>
      </c>
      <c r="C118" s="684" t="s">
        <v>304</v>
      </c>
      <c r="D118" s="654" t="s">
        <v>3459</v>
      </c>
      <c r="E118" s="685" t="s">
        <v>347</v>
      </c>
      <c r="F118" s="686">
        <v>44777</v>
      </c>
      <c r="G118" s="686">
        <v>44777</v>
      </c>
      <c r="H118" s="684" t="s">
        <v>403</v>
      </c>
      <c r="I118" s="657">
        <v>44777</v>
      </c>
      <c r="J118" s="628">
        <v>1408778.4</v>
      </c>
      <c r="K118" s="628"/>
      <c r="L118" s="628"/>
      <c r="M118" s="628">
        <v>214898.4</v>
      </c>
      <c r="N118" s="628">
        <f t="shared" si="12"/>
        <v>1193880</v>
      </c>
      <c r="O118" s="659">
        <f t="shared" si="18"/>
        <v>239</v>
      </c>
      <c r="P118" s="660">
        <v>9</v>
      </c>
      <c r="Q118" s="661">
        <f t="shared" si="13"/>
        <v>8.3452054794520549</v>
      </c>
      <c r="R118" s="662">
        <f t="shared" si="14"/>
        <v>86861</v>
      </c>
      <c r="S118" s="662">
        <f t="shared" si="15"/>
        <v>1107019</v>
      </c>
      <c r="T118" s="663">
        <f t="shared" si="20"/>
        <v>1193880</v>
      </c>
      <c r="U118" s="663">
        <f t="shared" si="16"/>
        <v>0</v>
      </c>
      <c r="V118" s="664"/>
      <c r="W118" s="664"/>
      <c r="X118" s="664"/>
      <c r="Y118" s="664"/>
      <c r="Z118" s="664"/>
      <c r="AA118" s="664"/>
      <c r="AB118" s="664"/>
      <c r="AC118" s="664"/>
      <c r="AD118" s="664"/>
      <c r="AE118" s="664"/>
      <c r="AF118" s="664"/>
    </row>
    <row r="119" spans="2:32" ht="14.65">
      <c r="B119" s="653">
        <f t="shared" si="17"/>
        <v>115</v>
      </c>
      <c r="C119" s="684" t="s">
        <v>304</v>
      </c>
      <c r="D119" s="654" t="s">
        <v>3459</v>
      </c>
      <c r="E119" s="685" t="s">
        <v>348</v>
      </c>
      <c r="F119" s="686">
        <v>44780</v>
      </c>
      <c r="G119" s="686">
        <v>44777</v>
      </c>
      <c r="H119" s="684" t="s">
        <v>403</v>
      </c>
      <c r="I119" s="657">
        <v>44780</v>
      </c>
      <c r="J119" s="628">
        <v>1420578.4</v>
      </c>
      <c r="K119" s="628"/>
      <c r="L119" s="628"/>
      <c r="M119" s="628">
        <v>216698.4</v>
      </c>
      <c r="N119" s="628">
        <f t="shared" si="12"/>
        <v>1203880</v>
      </c>
      <c r="O119" s="659">
        <f t="shared" si="18"/>
        <v>236</v>
      </c>
      <c r="P119" s="660">
        <v>9</v>
      </c>
      <c r="Q119" s="661">
        <f t="shared" si="13"/>
        <v>8.3534246575342461</v>
      </c>
      <c r="R119" s="662">
        <f t="shared" si="14"/>
        <v>86489</v>
      </c>
      <c r="S119" s="662">
        <f t="shared" si="15"/>
        <v>1117391</v>
      </c>
      <c r="T119" s="663">
        <f t="shared" si="20"/>
        <v>1203880</v>
      </c>
      <c r="U119" s="663">
        <f t="shared" si="16"/>
        <v>0</v>
      </c>
      <c r="V119" s="664"/>
      <c r="W119" s="664"/>
      <c r="X119" s="664"/>
      <c r="Y119" s="664"/>
      <c r="Z119" s="664"/>
      <c r="AA119" s="664"/>
      <c r="AB119" s="664"/>
      <c r="AC119" s="664"/>
      <c r="AD119" s="664"/>
      <c r="AE119" s="664"/>
      <c r="AF119" s="664"/>
    </row>
    <row r="120" spans="2:32" ht="14.65">
      <c r="B120" s="653">
        <f t="shared" si="17"/>
        <v>116</v>
      </c>
      <c r="C120" s="684" t="s">
        <v>304</v>
      </c>
      <c r="D120" s="654" t="s">
        <v>3459</v>
      </c>
      <c r="E120" s="685" t="s">
        <v>349</v>
      </c>
      <c r="F120" s="686">
        <v>44814</v>
      </c>
      <c r="G120" s="686">
        <v>44817</v>
      </c>
      <c r="H120" s="684" t="s">
        <v>403</v>
      </c>
      <c r="I120" s="657">
        <v>44817</v>
      </c>
      <c r="J120" s="628">
        <v>1799948.4</v>
      </c>
      <c r="K120" s="628"/>
      <c r="L120" s="628"/>
      <c r="M120" s="628">
        <v>274568.40000000002</v>
      </c>
      <c r="N120" s="628">
        <f t="shared" si="12"/>
        <v>1525380</v>
      </c>
      <c r="O120" s="659">
        <f t="shared" si="18"/>
        <v>199</v>
      </c>
      <c r="P120" s="660">
        <v>9</v>
      </c>
      <c r="Q120" s="661">
        <f t="shared" si="13"/>
        <v>8.4547945205479458</v>
      </c>
      <c r="R120" s="662">
        <f t="shared" si="14"/>
        <v>92405</v>
      </c>
      <c r="S120" s="662">
        <f t="shared" si="15"/>
        <v>1432975</v>
      </c>
      <c r="T120" s="663">
        <f t="shared" si="20"/>
        <v>1525380</v>
      </c>
      <c r="U120" s="663">
        <f t="shared" si="16"/>
        <v>0</v>
      </c>
      <c r="V120" s="664"/>
      <c r="W120" s="664"/>
      <c r="X120" s="664"/>
      <c r="Y120" s="664"/>
      <c r="Z120" s="664"/>
      <c r="AA120" s="664"/>
      <c r="AB120" s="664"/>
      <c r="AC120" s="664"/>
      <c r="AD120" s="664"/>
      <c r="AE120" s="664"/>
      <c r="AF120" s="664"/>
    </row>
    <row r="121" spans="2:32" ht="14.65">
      <c r="B121" s="653">
        <f t="shared" si="17"/>
        <v>117</v>
      </c>
      <c r="C121" s="684" t="s">
        <v>306</v>
      </c>
      <c r="D121" s="654" t="s">
        <v>3459</v>
      </c>
      <c r="E121" s="685" t="s">
        <v>350</v>
      </c>
      <c r="F121" s="686">
        <v>44826</v>
      </c>
      <c r="G121" s="686">
        <v>44826</v>
      </c>
      <c r="H121" s="684" t="s">
        <v>404</v>
      </c>
      <c r="I121" s="657">
        <v>44826</v>
      </c>
      <c r="J121" s="628">
        <v>7080000</v>
      </c>
      <c r="K121" s="628"/>
      <c r="L121" s="628"/>
      <c r="M121" s="628">
        <v>1080000</v>
      </c>
      <c r="N121" s="628">
        <f t="shared" si="12"/>
        <v>6000000</v>
      </c>
      <c r="O121" s="659">
        <f t="shared" si="18"/>
        <v>190</v>
      </c>
      <c r="P121" s="660">
        <v>9</v>
      </c>
      <c r="Q121" s="661">
        <f t="shared" si="13"/>
        <v>8.4794520547945211</v>
      </c>
      <c r="R121" s="662">
        <f t="shared" si="14"/>
        <v>347032</v>
      </c>
      <c r="S121" s="662">
        <f t="shared" si="15"/>
        <v>5652968</v>
      </c>
      <c r="T121" s="663">
        <f t="shared" si="20"/>
        <v>6000000</v>
      </c>
      <c r="U121" s="663">
        <f t="shared" si="16"/>
        <v>0</v>
      </c>
      <c r="V121" s="664"/>
      <c r="W121" s="664"/>
      <c r="X121" s="664"/>
      <c r="Y121" s="664"/>
      <c r="Z121" s="664"/>
      <c r="AA121" s="664"/>
      <c r="AB121" s="664"/>
      <c r="AC121" s="664"/>
      <c r="AD121" s="664"/>
      <c r="AE121" s="664"/>
      <c r="AF121" s="664"/>
    </row>
    <row r="122" spans="2:32" ht="14.65">
      <c r="B122" s="653">
        <f t="shared" si="17"/>
        <v>118</v>
      </c>
      <c r="C122" s="684" t="s">
        <v>304</v>
      </c>
      <c r="D122" s="654" t="s">
        <v>3459</v>
      </c>
      <c r="E122" s="685" t="s">
        <v>351</v>
      </c>
      <c r="F122" s="686">
        <v>44805</v>
      </c>
      <c r="G122" s="686">
        <v>44805</v>
      </c>
      <c r="H122" s="684" t="s">
        <v>403</v>
      </c>
      <c r="I122" s="657">
        <v>44805</v>
      </c>
      <c r="J122" s="628">
        <v>1049468.3999999999</v>
      </c>
      <c r="K122" s="628"/>
      <c r="L122" s="628"/>
      <c r="M122" s="628">
        <v>160088.4</v>
      </c>
      <c r="N122" s="628">
        <f t="shared" si="12"/>
        <v>889379.99999999988</v>
      </c>
      <c r="O122" s="659">
        <f t="shared" si="18"/>
        <v>211</v>
      </c>
      <c r="P122" s="660">
        <v>9</v>
      </c>
      <c r="Q122" s="661">
        <f t="shared" si="13"/>
        <v>8.4219178082191775</v>
      </c>
      <c r="R122" s="662">
        <f t="shared" si="14"/>
        <v>57126</v>
      </c>
      <c r="S122" s="662">
        <f t="shared" si="15"/>
        <v>832253.99999999988</v>
      </c>
      <c r="T122" s="663">
        <f t="shared" si="20"/>
        <v>889379.99999999988</v>
      </c>
      <c r="U122" s="663">
        <f t="shared" si="16"/>
        <v>0</v>
      </c>
      <c r="V122" s="664"/>
      <c r="W122" s="664"/>
      <c r="X122" s="664"/>
      <c r="Y122" s="664"/>
      <c r="Z122" s="664"/>
      <c r="AA122" s="664"/>
      <c r="AB122" s="664"/>
      <c r="AC122" s="664"/>
      <c r="AD122" s="664"/>
      <c r="AE122" s="664"/>
      <c r="AF122" s="664"/>
    </row>
    <row r="123" spans="2:32" ht="14.65">
      <c r="B123" s="653">
        <f t="shared" si="17"/>
        <v>119</v>
      </c>
      <c r="C123" s="684" t="s">
        <v>307</v>
      </c>
      <c r="D123" s="654" t="s">
        <v>3459</v>
      </c>
      <c r="E123" s="685">
        <v>222900023</v>
      </c>
      <c r="F123" s="686">
        <v>44748</v>
      </c>
      <c r="G123" s="686">
        <v>44748</v>
      </c>
      <c r="H123" s="684" t="s">
        <v>405</v>
      </c>
      <c r="I123" s="657">
        <v>44748</v>
      </c>
      <c r="J123" s="628">
        <v>4945970</v>
      </c>
      <c r="K123" s="628"/>
      <c r="L123" s="628">
        <v>48970</v>
      </c>
      <c r="M123" s="628">
        <v>747000</v>
      </c>
      <c r="N123" s="628">
        <f t="shared" si="12"/>
        <v>4150000</v>
      </c>
      <c r="O123" s="659">
        <f t="shared" si="18"/>
        <v>268</v>
      </c>
      <c r="P123" s="660">
        <v>9</v>
      </c>
      <c r="Q123" s="661">
        <f t="shared" si="13"/>
        <v>8.2657534246575342</v>
      </c>
      <c r="R123" s="662">
        <f t="shared" si="14"/>
        <v>338569</v>
      </c>
      <c r="S123" s="662">
        <f t="shared" si="15"/>
        <v>3811431</v>
      </c>
      <c r="T123" s="663">
        <f t="shared" si="20"/>
        <v>4150000</v>
      </c>
      <c r="U123" s="663">
        <f t="shared" si="16"/>
        <v>0</v>
      </c>
      <c r="V123" s="664"/>
      <c r="W123" s="664"/>
      <c r="X123" s="664"/>
      <c r="Y123" s="664"/>
      <c r="Z123" s="664"/>
      <c r="AA123" s="664"/>
      <c r="AB123" s="664"/>
      <c r="AC123" s="664"/>
      <c r="AD123" s="664"/>
      <c r="AE123" s="664"/>
      <c r="AF123" s="664"/>
    </row>
    <row r="124" spans="2:32" ht="14.65">
      <c r="B124" s="653">
        <f t="shared" si="17"/>
        <v>120</v>
      </c>
      <c r="C124" s="684" t="s">
        <v>307</v>
      </c>
      <c r="D124" s="654" t="s">
        <v>3459</v>
      </c>
      <c r="E124" s="685" t="s">
        <v>352</v>
      </c>
      <c r="F124" s="686">
        <v>44748</v>
      </c>
      <c r="G124" s="686">
        <v>44748</v>
      </c>
      <c r="H124" s="684" t="s">
        <v>405</v>
      </c>
      <c r="I124" s="657">
        <v>44748</v>
      </c>
      <c r="J124" s="628">
        <v>4945970</v>
      </c>
      <c r="K124" s="628"/>
      <c r="L124" s="628">
        <v>48970</v>
      </c>
      <c r="M124" s="628">
        <v>747000</v>
      </c>
      <c r="N124" s="628">
        <f t="shared" si="12"/>
        <v>4150000</v>
      </c>
      <c r="O124" s="659">
        <f t="shared" si="18"/>
        <v>268</v>
      </c>
      <c r="P124" s="660">
        <v>9</v>
      </c>
      <c r="Q124" s="661">
        <f t="shared" si="13"/>
        <v>8.2657534246575342</v>
      </c>
      <c r="R124" s="662">
        <f t="shared" si="14"/>
        <v>338569</v>
      </c>
      <c r="S124" s="662">
        <f t="shared" si="15"/>
        <v>3811431</v>
      </c>
      <c r="T124" s="663">
        <f t="shared" si="20"/>
        <v>4150000</v>
      </c>
      <c r="U124" s="663">
        <f t="shared" si="16"/>
        <v>0</v>
      </c>
      <c r="V124" s="664"/>
      <c r="W124" s="664"/>
      <c r="X124" s="664"/>
      <c r="Y124" s="664"/>
      <c r="Z124" s="664"/>
      <c r="AA124" s="664"/>
      <c r="AB124" s="664"/>
      <c r="AC124" s="664"/>
      <c r="AD124" s="664"/>
      <c r="AE124" s="664"/>
      <c r="AF124" s="664"/>
    </row>
    <row r="125" spans="2:32" ht="14.65">
      <c r="B125" s="653">
        <f t="shared" si="17"/>
        <v>121</v>
      </c>
      <c r="C125" s="684" t="s">
        <v>308</v>
      </c>
      <c r="D125" s="654" t="s">
        <v>3459</v>
      </c>
      <c r="E125" s="685" t="s">
        <v>353</v>
      </c>
      <c r="F125" s="686">
        <v>44811</v>
      </c>
      <c r="G125" s="686">
        <v>44811</v>
      </c>
      <c r="H125" s="684" t="s">
        <v>170</v>
      </c>
      <c r="I125" s="657">
        <v>44811</v>
      </c>
      <c r="J125" s="628">
        <v>6844000</v>
      </c>
      <c r="K125" s="628"/>
      <c r="L125" s="628"/>
      <c r="M125" s="628">
        <v>1044000</v>
      </c>
      <c r="N125" s="628">
        <f t="shared" si="12"/>
        <v>5800000</v>
      </c>
      <c r="O125" s="659">
        <f t="shared" si="18"/>
        <v>205</v>
      </c>
      <c r="P125" s="660">
        <v>9</v>
      </c>
      <c r="Q125" s="661">
        <f t="shared" si="13"/>
        <v>8.4383561643835616</v>
      </c>
      <c r="R125" s="662">
        <f t="shared" si="14"/>
        <v>361948</v>
      </c>
      <c r="S125" s="662">
        <f t="shared" si="15"/>
        <v>5438052</v>
      </c>
      <c r="T125" s="663">
        <f t="shared" si="20"/>
        <v>5800000</v>
      </c>
      <c r="U125" s="663">
        <f t="shared" si="16"/>
        <v>0</v>
      </c>
      <c r="V125" s="664"/>
      <c r="W125" s="664"/>
      <c r="X125" s="664"/>
      <c r="Y125" s="664"/>
      <c r="Z125" s="664"/>
      <c r="AA125" s="664"/>
      <c r="AB125" s="664"/>
      <c r="AC125" s="664"/>
      <c r="AD125" s="664"/>
      <c r="AE125" s="664"/>
      <c r="AF125" s="664"/>
    </row>
    <row r="126" spans="2:32" ht="14.65">
      <c r="B126" s="653">
        <f t="shared" si="17"/>
        <v>122</v>
      </c>
      <c r="C126" s="684" t="s">
        <v>308</v>
      </c>
      <c r="D126" s="654" t="s">
        <v>3459</v>
      </c>
      <c r="E126" s="685" t="s">
        <v>354</v>
      </c>
      <c r="F126" s="686">
        <v>44811</v>
      </c>
      <c r="G126" s="686">
        <v>44811</v>
      </c>
      <c r="H126" s="684" t="s">
        <v>170</v>
      </c>
      <c r="I126" s="657">
        <v>44811</v>
      </c>
      <c r="J126" s="628">
        <v>6844000</v>
      </c>
      <c r="K126" s="628"/>
      <c r="L126" s="628"/>
      <c r="M126" s="628">
        <v>1044000</v>
      </c>
      <c r="N126" s="628">
        <f t="shared" si="12"/>
        <v>5800000</v>
      </c>
      <c r="O126" s="659">
        <f t="shared" si="18"/>
        <v>205</v>
      </c>
      <c r="P126" s="660">
        <v>9</v>
      </c>
      <c r="Q126" s="661">
        <f t="shared" si="13"/>
        <v>8.4383561643835616</v>
      </c>
      <c r="R126" s="662">
        <f t="shared" si="14"/>
        <v>361948</v>
      </c>
      <c r="S126" s="662">
        <f t="shared" si="15"/>
        <v>5438052</v>
      </c>
      <c r="T126" s="663">
        <f t="shared" si="20"/>
        <v>5800000</v>
      </c>
      <c r="U126" s="663">
        <f t="shared" si="16"/>
        <v>0</v>
      </c>
      <c r="V126" s="664"/>
      <c r="W126" s="664"/>
      <c r="X126" s="664"/>
      <c r="Y126" s="664"/>
      <c r="Z126" s="664"/>
      <c r="AA126" s="664"/>
      <c r="AB126" s="664"/>
      <c r="AC126" s="664"/>
      <c r="AD126" s="664"/>
      <c r="AE126" s="664"/>
      <c r="AF126" s="664"/>
    </row>
    <row r="127" spans="2:32" ht="14.65">
      <c r="B127" s="653">
        <f t="shared" si="17"/>
        <v>123</v>
      </c>
      <c r="C127" s="684" t="s">
        <v>308</v>
      </c>
      <c r="D127" s="654" t="s">
        <v>3459</v>
      </c>
      <c r="E127" s="685" t="s">
        <v>355</v>
      </c>
      <c r="F127" s="686">
        <v>44811</v>
      </c>
      <c r="G127" s="686">
        <v>44818</v>
      </c>
      <c r="H127" s="684" t="s">
        <v>170</v>
      </c>
      <c r="I127" s="657">
        <v>44818</v>
      </c>
      <c r="J127" s="628">
        <v>6844000</v>
      </c>
      <c r="K127" s="628"/>
      <c r="L127" s="628"/>
      <c r="M127" s="628">
        <v>1044000</v>
      </c>
      <c r="N127" s="628">
        <f t="shared" si="12"/>
        <v>5800000</v>
      </c>
      <c r="O127" s="659">
        <f t="shared" si="18"/>
        <v>198</v>
      </c>
      <c r="P127" s="660">
        <v>9</v>
      </c>
      <c r="Q127" s="661">
        <f t="shared" si="13"/>
        <v>8.4575342465753423</v>
      </c>
      <c r="R127" s="662">
        <f t="shared" si="14"/>
        <v>349589</v>
      </c>
      <c r="S127" s="662">
        <f t="shared" si="15"/>
        <v>5450411</v>
      </c>
      <c r="T127" s="663">
        <f t="shared" si="20"/>
        <v>5800000</v>
      </c>
      <c r="U127" s="663">
        <f t="shared" si="16"/>
        <v>0</v>
      </c>
      <c r="V127" s="664"/>
      <c r="W127" s="664"/>
      <c r="X127" s="664"/>
      <c r="Y127" s="664"/>
      <c r="Z127" s="664"/>
      <c r="AA127" s="664"/>
      <c r="AB127" s="664"/>
      <c r="AC127" s="664"/>
      <c r="AD127" s="664"/>
      <c r="AE127" s="664"/>
      <c r="AF127" s="664"/>
    </row>
    <row r="128" spans="2:32" ht="14.65">
      <c r="B128" s="653">
        <f t="shared" si="17"/>
        <v>124</v>
      </c>
      <c r="C128" s="684" t="s">
        <v>309</v>
      </c>
      <c r="D128" s="654" t="s">
        <v>3459</v>
      </c>
      <c r="E128" s="685" t="s">
        <v>356</v>
      </c>
      <c r="F128" s="686">
        <v>44818</v>
      </c>
      <c r="G128" s="686">
        <v>44832</v>
      </c>
      <c r="H128" s="684" t="s">
        <v>406</v>
      </c>
      <c r="I128" s="657">
        <v>44832</v>
      </c>
      <c r="J128" s="628">
        <v>2201207.4</v>
      </c>
      <c r="K128" s="628"/>
      <c r="L128" s="628"/>
      <c r="M128" s="628">
        <v>335777.4</v>
      </c>
      <c r="N128" s="628">
        <f t="shared" si="12"/>
        <v>1865430</v>
      </c>
      <c r="O128" s="659">
        <f t="shared" si="18"/>
        <v>184</v>
      </c>
      <c r="P128" s="660">
        <v>9</v>
      </c>
      <c r="Q128" s="661">
        <f t="shared" si="13"/>
        <v>8.4958904109589035</v>
      </c>
      <c r="R128" s="662">
        <f t="shared" si="14"/>
        <v>104487</v>
      </c>
      <c r="S128" s="662">
        <f t="shared" si="15"/>
        <v>1760943</v>
      </c>
      <c r="T128" s="663">
        <f t="shared" si="20"/>
        <v>1865430</v>
      </c>
      <c r="U128" s="663">
        <f t="shared" si="16"/>
        <v>0</v>
      </c>
      <c r="V128" s="664"/>
      <c r="W128" s="664"/>
      <c r="X128" s="664"/>
      <c r="Y128" s="664"/>
      <c r="Z128" s="664"/>
      <c r="AA128" s="664"/>
      <c r="AB128" s="664"/>
      <c r="AC128" s="664"/>
      <c r="AD128" s="664"/>
      <c r="AE128" s="664"/>
      <c r="AF128" s="664"/>
    </row>
    <row r="129" spans="2:32" ht="14.65">
      <c r="B129" s="653">
        <f t="shared" si="17"/>
        <v>125</v>
      </c>
      <c r="C129" s="684" t="s">
        <v>62</v>
      </c>
      <c r="D129" s="654" t="s">
        <v>3459</v>
      </c>
      <c r="E129" s="685" t="s">
        <v>357</v>
      </c>
      <c r="F129" s="686">
        <v>44827</v>
      </c>
      <c r="G129" s="686">
        <v>44827</v>
      </c>
      <c r="H129" s="684" t="s">
        <v>407</v>
      </c>
      <c r="I129" s="657">
        <v>44827</v>
      </c>
      <c r="J129" s="628">
        <v>3045049</v>
      </c>
      <c r="K129" s="628">
        <v>239650</v>
      </c>
      <c r="L129" s="628">
        <v>30149</v>
      </c>
      <c r="M129" s="628">
        <v>459900</v>
      </c>
      <c r="N129" s="628">
        <f t="shared" si="12"/>
        <v>2794650</v>
      </c>
      <c r="O129" s="659">
        <f t="shared" si="18"/>
        <v>189</v>
      </c>
      <c r="P129" s="660">
        <v>9</v>
      </c>
      <c r="Q129" s="661">
        <f t="shared" si="13"/>
        <v>8.4821917808219176</v>
      </c>
      <c r="R129" s="662">
        <f t="shared" si="14"/>
        <v>160788</v>
      </c>
      <c r="S129" s="662">
        <f t="shared" si="15"/>
        <v>2633862</v>
      </c>
      <c r="T129" s="663">
        <f t="shared" si="20"/>
        <v>2794650</v>
      </c>
      <c r="U129" s="663">
        <f t="shared" si="16"/>
        <v>0</v>
      </c>
      <c r="V129" s="664"/>
      <c r="W129" s="664"/>
      <c r="X129" s="664"/>
      <c r="Y129" s="664"/>
      <c r="Z129" s="664"/>
      <c r="AA129" s="664"/>
      <c r="AB129" s="664"/>
      <c r="AC129" s="664"/>
      <c r="AD129" s="664"/>
      <c r="AE129" s="664"/>
      <c r="AF129" s="664"/>
    </row>
    <row r="130" spans="2:32" ht="14.65">
      <c r="B130" s="653">
        <f t="shared" si="17"/>
        <v>126</v>
      </c>
      <c r="C130" s="684" t="s">
        <v>62</v>
      </c>
      <c r="D130" s="654" t="s">
        <v>3459</v>
      </c>
      <c r="E130" s="685" t="s">
        <v>358</v>
      </c>
      <c r="F130" s="686">
        <v>44827</v>
      </c>
      <c r="G130" s="686">
        <v>44827</v>
      </c>
      <c r="H130" s="684" t="s">
        <v>407</v>
      </c>
      <c r="I130" s="657">
        <v>44827</v>
      </c>
      <c r="J130" s="628">
        <v>3045049</v>
      </c>
      <c r="K130" s="628">
        <v>239650</v>
      </c>
      <c r="L130" s="628">
        <v>30149</v>
      </c>
      <c r="M130" s="628">
        <v>459900</v>
      </c>
      <c r="N130" s="628">
        <f t="shared" si="12"/>
        <v>2794650</v>
      </c>
      <c r="O130" s="659">
        <f t="shared" si="18"/>
        <v>189</v>
      </c>
      <c r="P130" s="660">
        <v>9</v>
      </c>
      <c r="Q130" s="661">
        <f t="shared" si="13"/>
        <v>8.4821917808219176</v>
      </c>
      <c r="R130" s="662">
        <f t="shared" si="14"/>
        <v>160788</v>
      </c>
      <c r="S130" s="662">
        <f t="shared" si="15"/>
        <v>2633862</v>
      </c>
      <c r="T130" s="663">
        <f t="shared" si="20"/>
        <v>2794650</v>
      </c>
      <c r="U130" s="663">
        <f t="shared" si="16"/>
        <v>0</v>
      </c>
      <c r="V130" s="664"/>
      <c r="W130" s="664"/>
      <c r="X130" s="664"/>
      <c r="Y130" s="664"/>
      <c r="Z130" s="664"/>
      <c r="AA130" s="664"/>
      <c r="AB130" s="664"/>
      <c r="AC130" s="664"/>
      <c r="AD130" s="664"/>
      <c r="AE130" s="664"/>
      <c r="AF130" s="664"/>
    </row>
    <row r="131" spans="2:32" ht="14.65">
      <c r="B131" s="653">
        <f t="shared" si="17"/>
        <v>127</v>
      </c>
      <c r="C131" s="684" t="s">
        <v>62</v>
      </c>
      <c r="D131" s="654" t="s">
        <v>3459</v>
      </c>
      <c r="E131" s="685" t="s">
        <v>359</v>
      </c>
      <c r="F131" s="686">
        <v>44827</v>
      </c>
      <c r="G131" s="686">
        <v>44827</v>
      </c>
      <c r="H131" s="684" t="s">
        <v>407</v>
      </c>
      <c r="I131" s="657">
        <v>44827</v>
      </c>
      <c r="J131" s="628">
        <v>3045049</v>
      </c>
      <c r="K131" s="628">
        <v>239650</v>
      </c>
      <c r="L131" s="628">
        <v>30149</v>
      </c>
      <c r="M131" s="628">
        <v>459900</v>
      </c>
      <c r="N131" s="628">
        <f t="shared" si="12"/>
        <v>2794650</v>
      </c>
      <c r="O131" s="659">
        <f t="shared" si="18"/>
        <v>189</v>
      </c>
      <c r="P131" s="660">
        <v>9</v>
      </c>
      <c r="Q131" s="661">
        <f t="shared" si="13"/>
        <v>8.4821917808219176</v>
      </c>
      <c r="R131" s="662">
        <f t="shared" si="14"/>
        <v>160788</v>
      </c>
      <c r="S131" s="662">
        <f t="shared" si="15"/>
        <v>2633862</v>
      </c>
      <c r="T131" s="663">
        <f t="shared" si="20"/>
        <v>2794650</v>
      </c>
      <c r="U131" s="663">
        <f t="shared" si="16"/>
        <v>0</v>
      </c>
      <c r="V131" s="664"/>
      <c r="W131" s="664"/>
      <c r="X131" s="664"/>
      <c r="Y131" s="664"/>
      <c r="Z131" s="664"/>
      <c r="AA131" s="664"/>
      <c r="AB131" s="664"/>
      <c r="AC131" s="664"/>
      <c r="AD131" s="664"/>
      <c r="AE131" s="664"/>
      <c r="AF131" s="664"/>
    </row>
    <row r="132" spans="2:32" ht="14.65">
      <c r="B132" s="653">
        <f t="shared" si="17"/>
        <v>128</v>
      </c>
      <c r="C132" s="684" t="s">
        <v>62</v>
      </c>
      <c r="D132" s="654" t="s">
        <v>3459</v>
      </c>
      <c r="E132" s="685" t="s">
        <v>360</v>
      </c>
      <c r="F132" s="686">
        <v>44827</v>
      </c>
      <c r="G132" s="686">
        <v>44827</v>
      </c>
      <c r="H132" s="684" t="s">
        <v>407</v>
      </c>
      <c r="I132" s="657">
        <v>44827</v>
      </c>
      <c r="J132" s="628">
        <v>3045049</v>
      </c>
      <c r="K132" s="628">
        <v>239650</v>
      </c>
      <c r="L132" s="628">
        <v>30149</v>
      </c>
      <c r="M132" s="628">
        <v>459900</v>
      </c>
      <c r="N132" s="628">
        <f t="shared" si="12"/>
        <v>2794650</v>
      </c>
      <c r="O132" s="659">
        <f t="shared" si="18"/>
        <v>189</v>
      </c>
      <c r="P132" s="660">
        <v>9</v>
      </c>
      <c r="Q132" s="661">
        <f t="shared" si="13"/>
        <v>8.4821917808219176</v>
      </c>
      <c r="R132" s="662">
        <f t="shared" si="14"/>
        <v>160788</v>
      </c>
      <c r="S132" s="662">
        <f t="shared" si="15"/>
        <v>2633862</v>
      </c>
      <c r="T132" s="663">
        <f t="shared" si="20"/>
        <v>2794650</v>
      </c>
      <c r="U132" s="663">
        <f t="shared" si="16"/>
        <v>0</v>
      </c>
      <c r="V132" s="664"/>
      <c r="W132" s="664"/>
      <c r="X132" s="664"/>
      <c r="Y132" s="664"/>
      <c r="Z132" s="664"/>
      <c r="AA132" s="664"/>
      <c r="AB132" s="664"/>
      <c r="AC132" s="664"/>
      <c r="AD132" s="664"/>
      <c r="AE132" s="664"/>
      <c r="AF132" s="664"/>
    </row>
    <row r="133" spans="2:32" ht="14.65">
      <c r="B133" s="653">
        <f t="shared" si="17"/>
        <v>129</v>
      </c>
      <c r="C133" s="684" t="s">
        <v>62</v>
      </c>
      <c r="D133" s="654" t="s">
        <v>3459</v>
      </c>
      <c r="E133" s="685" t="s">
        <v>361</v>
      </c>
      <c r="F133" s="686">
        <v>44827</v>
      </c>
      <c r="G133" s="686">
        <v>44827</v>
      </c>
      <c r="H133" s="684" t="s">
        <v>407</v>
      </c>
      <c r="I133" s="657">
        <v>44827</v>
      </c>
      <c r="J133" s="628">
        <v>3045049</v>
      </c>
      <c r="K133" s="628">
        <v>239650</v>
      </c>
      <c r="L133" s="628">
        <v>30149</v>
      </c>
      <c r="M133" s="628">
        <v>459900</v>
      </c>
      <c r="N133" s="628">
        <f t="shared" ref="N133:N196" si="21">J133+K133-L133-M133</f>
        <v>2794650</v>
      </c>
      <c r="O133" s="659">
        <f t="shared" si="18"/>
        <v>189</v>
      </c>
      <c r="P133" s="660">
        <v>9</v>
      </c>
      <c r="Q133" s="661">
        <f t="shared" ref="Q133:Q196" si="22">+P133-(O133/365)</f>
        <v>8.4821917808219176</v>
      </c>
      <c r="R133" s="662">
        <f t="shared" ref="R133:R196" si="23">ROUND(+N133/(P133*365)*O133,0)</f>
        <v>160788</v>
      </c>
      <c r="S133" s="662">
        <f t="shared" ref="S133:S196" si="24">+N133-R133</f>
        <v>2633862</v>
      </c>
      <c r="T133" s="663">
        <f t="shared" si="20"/>
        <v>2794650</v>
      </c>
      <c r="U133" s="663">
        <f t="shared" ref="U133:U196" si="25">IF(I133&gt;DATE(2022,9,30),N133,0)</f>
        <v>0</v>
      </c>
      <c r="V133" s="664"/>
      <c r="W133" s="664"/>
      <c r="X133" s="664"/>
      <c r="Y133" s="664"/>
      <c r="Z133" s="664"/>
      <c r="AA133" s="664"/>
      <c r="AB133" s="664"/>
      <c r="AC133" s="664"/>
      <c r="AD133" s="664"/>
      <c r="AE133" s="664"/>
      <c r="AF133" s="664"/>
    </row>
    <row r="134" spans="2:32" ht="14.65">
      <c r="B134" s="653">
        <f t="shared" si="17"/>
        <v>130</v>
      </c>
      <c r="C134" s="684" t="s">
        <v>62</v>
      </c>
      <c r="D134" s="654" t="s">
        <v>3459</v>
      </c>
      <c r="E134" s="685" t="s">
        <v>362</v>
      </c>
      <c r="F134" s="686">
        <v>44827</v>
      </c>
      <c r="G134" s="686">
        <v>44827</v>
      </c>
      <c r="H134" s="684" t="s">
        <v>407</v>
      </c>
      <c r="I134" s="657">
        <v>44827</v>
      </c>
      <c r="J134" s="628">
        <v>3045049</v>
      </c>
      <c r="K134" s="628">
        <v>239650</v>
      </c>
      <c r="L134" s="628">
        <v>30149</v>
      </c>
      <c r="M134" s="628">
        <v>459900</v>
      </c>
      <c r="N134" s="628">
        <f t="shared" si="21"/>
        <v>2794650</v>
      </c>
      <c r="O134" s="659">
        <f t="shared" si="18"/>
        <v>189</v>
      </c>
      <c r="P134" s="660">
        <v>9</v>
      </c>
      <c r="Q134" s="661">
        <f t="shared" si="22"/>
        <v>8.4821917808219176</v>
      </c>
      <c r="R134" s="662">
        <f t="shared" si="23"/>
        <v>160788</v>
      </c>
      <c r="S134" s="662">
        <f t="shared" si="24"/>
        <v>2633862</v>
      </c>
      <c r="T134" s="663">
        <f t="shared" si="20"/>
        <v>2794650</v>
      </c>
      <c r="U134" s="663">
        <f t="shared" si="25"/>
        <v>0</v>
      </c>
      <c r="V134" s="664"/>
      <c r="W134" s="664"/>
      <c r="X134" s="664"/>
      <c r="Y134" s="664"/>
      <c r="Z134" s="664"/>
      <c r="AA134" s="664"/>
      <c r="AB134" s="664"/>
      <c r="AC134" s="664"/>
      <c r="AD134" s="664"/>
      <c r="AE134" s="664"/>
      <c r="AF134" s="664"/>
    </row>
    <row r="135" spans="2:32" ht="14.65">
      <c r="B135" s="653">
        <f t="shared" si="17"/>
        <v>131</v>
      </c>
      <c r="C135" s="684" t="s">
        <v>62</v>
      </c>
      <c r="D135" s="654" t="s">
        <v>3459</v>
      </c>
      <c r="E135" s="685" t="s">
        <v>363</v>
      </c>
      <c r="F135" s="686">
        <v>44827</v>
      </c>
      <c r="G135" s="686">
        <v>44827</v>
      </c>
      <c r="H135" s="684" t="s">
        <v>407</v>
      </c>
      <c r="I135" s="657">
        <v>44827</v>
      </c>
      <c r="J135" s="628">
        <v>3045049</v>
      </c>
      <c r="K135" s="628">
        <v>239650</v>
      </c>
      <c r="L135" s="628">
        <v>30149</v>
      </c>
      <c r="M135" s="628">
        <v>459900</v>
      </c>
      <c r="N135" s="628">
        <f t="shared" si="21"/>
        <v>2794650</v>
      </c>
      <c r="O135" s="659">
        <f t="shared" si="18"/>
        <v>189</v>
      </c>
      <c r="P135" s="660">
        <v>9</v>
      </c>
      <c r="Q135" s="661">
        <f t="shared" si="22"/>
        <v>8.4821917808219176</v>
      </c>
      <c r="R135" s="662">
        <f t="shared" si="23"/>
        <v>160788</v>
      </c>
      <c r="S135" s="662">
        <f t="shared" si="24"/>
        <v>2633862</v>
      </c>
      <c r="T135" s="663">
        <f t="shared" si="20"/>
        <v>2794650</v>
      </c>
      <c r="U135" s="663">
        <f t="shared" si="25"/>
        <v>0</v>
      </c>
      <c r="V135" s="664"/>
      <c r="W135" s="664"/>
      <c r="X135" s="664"/>
      <c r="Y135" s="664"/>
      <c r="Z135" s="664"/>
      <c r="AA135" s="664"/>
      <c r="AB135" s="664"/>
      <c r="AC135" s="664"/>
      <c r="AD135" s="664"/>
      <c r="AE135" s="664"/>
      <c r="AF135" s="664"/>
    </row>
    <row r="136" spans="2:32" ht="14.65">
      <c r="B136" s="653">
        <f t="shared" si="17"/>
        <v>132</v>
      </c>
      <c r="C136" s="684" t="s">
        <v>310</v>
      </c>
      <c r="D136" s="654" t="s">
        <v>3459</v>
      </c>
      <c r="E136" s="685" t="s">
        <v>364</v>
      </c>
      <c r="F136" s="686">
        <v>44772</v>
      </c>
      <c r="G136" s="686">
        <v>44803</v>
      </c>
      <c r="H136" s="684" t="s">
        <v>408</v>
      </c>
      <c r="I136" s="657">
        <v>44803</v>
      </c>
      <c r="J136" s="628">
        <v>1026600</v>
      </c>
      <c r="K136" s="628"/>
      <c r="L136" s="628"/>
      <c r="M136" s="628">
        <v>156600</v>
      </c>
      <c r="N136" s="628">
        <f t="shared" si="21"/>
        <v>870000</v>
      </c>
      <c r="O136" s="659">
        <f t="shared" si="18"/>
        <v>213</v>
      </c>
      <c r="P136" s="660">
        <v>9</v>
      </c>
      <c r="Q136" s="661">
        <f t="shared" si="22"/>
        <v>8.4164383561643827</v>
      </c>
      <c r="R136" s="662">
        <f t="shared" si="23"/>
        <v>56411</v>
      </c>
      <c r="S136" s="662">
        <f t="shared" si="24"/>
        <v>813589</v>
      </c>
      <c r="T136" s="663">
        <f t="shared" si="20"/>
        <v>870000</v>
      </c>
      <c r="U136" s="663">
        <f t="shared" si="25"/>
        <v>0</v>
      </c>
      <c r="V136" s="664"/>
      <c r="W136" s="664"/>
      <c r="X136" s="664"/>
      <c r="Y136" s="664"/>
      <c r="Z136" s="664"/>
      <c r="AA136" s="664"/>
      <c r="AB136" s="664"/>
      <c r="AC136" s="664"/>
      <c r="AD136" s="664"/>
      <c r="AE136" s="664"/>
      <c r="AF136" s="664"/>
    </row>
    <row r="137" spans="2:32" ht="14.65">
      <c r="B137" s="653">
        <f t="shared" ref="B137:B200" si="26">+B136+1</f>
        <v>133</v>
      </c>
      <c r="C137" s="654" t="s">
        <v>562</v>
      </c>
      <c r="D137" s="654" t="s">
        <v>3459</v>
      </c>
      <c r="E137" s="655">
        <v>833051517</v>
      </c>
      <c r="F137" s="656">
        <v>44865</v>
      </c>
      <c r="G137" s="656">
        <v>44900</v>
      </c>
      <c r="H137" s="654" t="s">
        <v>759</v>
      </c>
      <c r="I137" s="657">
        <v>44900</v>
      </c>
      <c r="J137" s="658">
        <f>10620000-280000</f>
        <v>10340000</v>
      </c>
      <c r="K137" s="658">
        <f>1095045-40185</f>
        <v>1054860</v>
      </c>
      <c r="L137" s="628"/>
      <c r="M137" s="628">
        <v>1620000</v>
      </c>
      <c r="N137" s="628">
        <f t="shared" si="21"/>
        <v>9774860</v>
      </c>
      <c r="O137" s="659">
        <f t="shared" si="18"/>
        <v>116</v>
      </c>
      <c r="P137" s="660">
        <v>9</v>
      </c>
      <c r="Q137" s="661">
        <f t="shared" si="22"/>
        <v>8.6821917808219169</v>
      </c>
      <c r="R137" s="662">
        <f t="shared" si="23"/>
        <v>345170</v>
      </c>
      <c r="S137" s="662">
        <f t="shared" si="24"/>
        <v>9429690</v>
      </c>
      <c r="T137" s="663">
        <f t="shared" si="20"/>
        <v>0</v>
      </c>
      <c r="U137" s="663">
        <f t="shared" si="25"/>
        <v>9774860</v>
      </c>
      <c r="V137" s="664"/>
      <c r="W137" s="664"/>
      <c r="X137" s="664"/>
      <c r="Y137" s="664"/>
      <c r="Z137" s="664"/>
      <c r="AA137" s="664"/>
      <c r="AB137" s="664"/>
      <c r="AC137" s="664"/>
      <c r="AD137" s="664"/>
      <c r="AE137" s="664"/>
      <c r="AF137" s="664"/>
    </row>
    <row r="138" spans="2:32" ht="14.65">
      <c r="B138" s="653">
        <f t="shared" si="26"/>
        <v>134</v>
      </c>
      <c r="C138" s="654" t="s">
        <v>562</v>
      </c>
      <c r="D138" s="654" t="s">
        <v>3459</v>
      </c>
      <c r="E138" s="655">
        <v>833051236</v>
      </c>
      <c r="F138" s="656">
        <v>44863</v>
      </c>
      <c r="G138" s="656">
        <v>44900</v>
      </c>
      <c r="H138" s="654" t="s">
        <v>759</v>
      </c>
      <c r="I138" s="657">
        <v>44900</v>
      </c>
      <c r="J138" s="658">
        <f>10620000-280000</f>
        <v>10340000</v>
      </c>
      <c r="K138" s="658">
        <f>1095045-40185</f>
        <v>1054860</v>
      </c>
      <c r="L138" s="628"/>
      <c r="M138" s="628">
        <v>1620000</v>
      </c>
      <c r="N138" s="628">
        <f t="shared" si="21"/>
        <v>9774860</v>
      </c>
      <c r="O138" s="659">
        <f t="shared" si="18"/>
        <v>116</v>
      </c>
      <c r="P138" s="660">
        <v>9</v>
      </c>
      <c r="Q138" s="661">
        <f t="shared" si="22"/>
        <v>8.6821917808219169</v>
      </c>
      <c r="R138" s="662">
        <f t="shared" si="23"/>
        <v>345170</v>
      </c>
      <c r="S138" s="662">
        <f t="shared" si="24"/>
        <v>9429690</v>
      </c>
      <c r="T138" s="663">
        <f t="shared" si="20"/>
        <v>0</v>
      </c>
      <c r="U138" s="663">
        <f t="shared" si="25"/>
        <v>9774860</v>
      </c>
      <c r="V138" s="664"/>
      <c r="W138" s="664"/>
      <c r="X138" s="664"/>
      <c r="Y138" s="664"/>
      <c r="Z138" s="664"/>
      <c r="AA138" s="664"/>
      <c r="AB138" s="664"/>
      <c r="AC138" s="664"/>
      <c r="AD138" s="664"/>
      <c r="AE138" s="664"/>
      <c r="AF138" s="664"/>
    </row>
    <row r="139" spans="2:32" ht="14.65">
      <c r="B139" s="653">
        <f t="shared" si="26"/>
        <v>135</v>
      </c>
      <c r="C139" s="654" t="s">
        <v>563</v>
      </c>
      <c r="D139" s="654" t="s">
        <v>3459</v>
      </c>
      <c r="E139" s="655" t="s">
        <v>591</v>
      </c>
      <c r="F139" s="656">
        <v>44879</v>
      </c>
      <c r="G139" s="656">
        <v>44895</v>
      </c>
      <c r="H139" s="654" t="s">
        <v>407</v>
      </c>
      <c r="I139" s="657">
        <v>44895</v>
      </c>
      <c r="J139" s="658">
        <v>2145240</v>
      </c>
      <c r="K139" s="628">
        <f>172170+122000</f>
        <v>294170</v>
      </c>
      <c r="L139" s="628">
        <v>21240</v>
      </c>
      <c r="M139" s="628">
        <v>324000</v>
      </c>
      <c r="N139" s="628">
        <f t="shared" si="21"/>
        <v>2094170</v>
      </c>
      <c r="O139" s="659">
        <f t="shared" si="18"/>
        <v>121</v>
      </c>
      <c r="P139" s="660">
        <v>9</v>
      </c>
      <c r="Q139" s="661">
        <f t="shared" si="22"/>
        <v>8.668493150684931</v>
      </c>
      <c r="R139" s="662">
        <f t="shared" si="23"/>
        <v>77137</v>
      </c>
      <c r="S139" s="662">
        <f t="shared" si="24"/>
        <v>2017033</v>
      </c>
      <c r="T139" s="663">
        <f t="shared" si="20"/>
        <v>0</v>
      </c>
      <c r="U139" s="663">
        <f t="shared" si="25"/>
        <v>2094170</v>
      </c>
      <c r="V139" s="664"/>
      <c r="W139" s="664"/>
      <c r="X139" s="664"/>
      <c r="Y139" s="664"/>
      <c r="Z139" s="664"/>
      <c r="AA139" s="664"/>
      <c r="AB139" s="664"/>
      <c r="AC139" s="664"/>
      <c r="AD139" s="664"/>
      <c r="AE139" s="664"/>
      <c r="AF139" s="664"/>
    </row>
    <row r="140" spans="2:32" ht="14.65">
      <c r="B140" s="653">
        <f t="shared" si="26"/>
        <v>136</v>
      </c>
      <c r="C140" s="654" t="s">
        <v>563</v>
      </c>
      <c r="D140" s="654" t="s">
        <v>3459</v>
      </c>
      <c r="E140" s="655" t="s">
        <v>592</v>
      </c>
      <c r="F140" s="656">
        <v>44879</v>
      </c>
      <c r="G140" s="656">
        <v>44895</v>
      </c>
      <c r="H140" s="654" t="s">
        <v>407</v>
      </c>
      <c r="I140" s="657">
        <v>44895</v>
      </c>
      <c r="J140" s="658">
        <v>2145240</v>
      </c>
      <c r="K140" s="628">
        <f>172170+122000</f>
        <v>294170</v>
      </c>
      <c r="L140" s="628">
        <v>21240</v>
      </c>
      <c r="M140" s="628">
        <v>324000</v>
      </c>
      <c r="N140" s="628">
        <f t="shared" si="21"/>
        <v>2094170</v>
      </c>
      <c r="O140" s="659">
        <f t="shared" si="18"/>
        <v>121</v>
      </c>
      <c r="P140" s="660">
        <v>9</v>
      </c>
      <c r="Q140" s="661">
        <f t="shared" si="22"/>
        <v>8.668493150684931</v>
      </c>
      <c r="R140" s="662">
        <f t="shared" si="23"/>
        <v>77137</v>
      </c>
      <c r="S140" s="662">
        <f t="shared" si="24"/>
        <v>2017033</v>
      </c>
      <c r="T140" s="663">
        <f t="shared" si="20"/>
        <v>0</v>
      </c>
      <c r="U140" s="663">
        <f t="shared" si="25"/>
        <v>2094170</v>
      </c>
      <c r="V140" s="664"/>
      <c r="W140" s="664"/>
      <c r="X140" s="664"/>
      <c r="Y140" s="664"/>
      <c r="Z140" s="664"/>
      <c r="AA140" s="664"/>
      <c r="AB140" s="664"/>
      <c r="AC140" s="664"/>
      <c r="AD140" s="664"/>
      <c r="AE140" s="664"/>
      <c r="AF140" s="664"/>
    </row>
    <row r="141" spans="2:32" ht="14.65">
      <c r="B141" s="653">
        <f t="shared" si="26"/>
        <v>137</v>
      </c>
      <c r="C141" s="654" t="s">
        <v>563</v>
      </c>
      <c r="D141" s="654" t="s">
        <v>3459</v>
      </c>
      <c r="E141" s="655" t="s">
        <v>593</v>
      </c>
      <c r="F141" s="656">
        <v>44879</v>
      </c>
      <c r="G141" s="656">
        <v>44895</v>
      </c>
      <c r="H141" s="654" t="s">
        <v>407</v>
      </c>
      <c r="I141" s="657">
        <v>44895</v>
      </c>
      <c r="J141" s="658">
        <v>2145240</v>
      </c>
      <c r="K141" s="628">
        <f>172170+122000</f>
        <v>294170</v>
      </c>
      <c r="L141" s="628">
        <v>21240</v>
      </c>
      <c r="M141" s="628">
        <v>324000</v>
      </c>
      <c r="N141" s="628">
        <f t="shared" si="21"/>
        <v>2094170</v>
      </c>
      <c r="O141" s="659">
        <f t="shared" si="18"/>
        <v>121</v>
      </c>
      <c r="P141" s="660">
        <v>9</v>
      </c>
      <c r="Q141" s="661">
        <f t="shared" si="22"/>
        <v>8.668493150684931</v>
      </c>
      <c r="R141" s="662">
        <f t="shared" si="23"/>
        <v>77137</v>
      </c>
      <c r="S141" s="662">
        <f t="shared" si="24"/>
        <v>2017033</v>
      </c>
      <c r="T141" s="663">
        <f t="shared" si="20"/>
        <v>0</v>
      </c>
      <c r="U141" s="663">
        <f t="shared" si="25"/>
        <v>2094170</v>
      </c>
      <c r="V141" s="664"/>
      <c r="W141" s="664"/>
      <c r="X141" s="664"/>
      <c r="Y141" s="664"/>
      <c r="Z141" s="664"/>
      <c r="AA141" s="664"/>
      <c r="AB141" s="664"/>
      <c r="AC141" s="664"/>
      <c r="AD141" s="664"/>
      <c r="AE141" s="664"/>
      <c r="AF141" s="664"/>
    </row>
    <row r="142" spans="2:32" ht="14.65">
      <c r="B142" s="653">
        <f t="shared" si="26"/>
        <v>138</v>
      </c>
      <c r="C142" s="654" t="s">
        <v>563</v>
      </c>
      <c r="D142" s="654" t="s">
        <v>3459</v>
      </c>
      <c r="E142" s="655" t="s">
        <v>594</v>
      </c>
      <c r="F142" s="656">
        <v>44879</v>
      </c>
      <c r="G142" s="656">
        <v>44895</v>
      </c>
      <c r="H142" s="654" t="s">
        <v>407</v>
      </c>
      <c r="I142" s="657">
        <v>44895</v>
      </c>
      <c r="J142" s="658">
        <v>2145240</v>
      </c>
      <c r="K142" s="628">
        <f>172170+122000</f>
        <v>294170</v>
      </c>
      <c r="L142" s="628">
        <v>21240</v>
      </c>
      <c r="M142" s="628">
        <v>324000</v>
      </c>
      <c r="N142" s="628">
        <f t="shared" si="21"/>
        <v>2094170</v>
      </c>
      <c r="O142" s="659">
        <f t="shared" si="18"/>
        <v>121</v>
      </c>
      <c r="P142" s="660">
        <v>9</v>
      </c>
      <c r="Q142" s="661">
        <f t="shared" si="22"/>
        <v>8.668493150684931</v>
      </c>
      <c r="R142" s="662">
        <f t="shared" si="23"/>
        <v>77137</v>
      </c>
      <c r="S142" s="662">
        <f t="shared" si="24"/>
        <v>2017033</v>
      </c>
      <c r="T142" s="663">
        <f t="shared" si="20"/>
        <v>0</v>
      </c>
      <c r="U142" s="663">
        <f t="shared" si="25"/>
        <v>2094170</v>
      </c>
      <c r="V142" s="664"/>
      <c r="W142" s="664"/>
      <c r="X142" s="664"/>
      <c r="Y142" s="664"/>
      <c r="Z142" s="664"/>
      <c r="AA142" s="664"/>
      <c r="AB142" s="664"/>
      <c r="AC142" s="664"/>
      <c r="AD142" s="664"/>
      <c r="AE142" s="664"/>
      <c r="AF142" s="664"/>
    </row>
    <row r="143" spans="2:32" ht="14.65">
      <c r="B143" s="653">
        <f t="shared" si="26"/>
        <v>139</v>
      </c>
      <c r="C143" s="654" t="s">
        <v>564</v>
      </c>
      <c r="D143" s="654" t="s">
        <v>3459</v>
      </c>
      <c r="E143" s="655">
        <v>145</v>
      </c>
      <c r="F143" s="690">
        <v>44841</v>
      </c>
      <c r="G143" s="690">
        <v>44841</v>
      </c>
      <c r="H143" s="654" t="s">
        <v>180</v>
      </c>
      <c r="I143" s="657">
        <v>44841</v>
      </c>
      <c r="J143" s="658">
        <v>495000</v>
      </c>
      <c r="K143" s="628"/>
      <c r="L143" s="628"/>
      <c r="M143" s="628">
        <v>75508</v>
      </c>
      <c r="N143" s="628">
        <f t="shared" si="21"/>
        <v>419492</v>
      </c>
      <c r="O143" s="659">
        <f t="shared" si="18"/>
        <v>175</v>
      </c>
      <c r="P143" s="660">
        <v>9</v>
      </c>
      <c r="Q143" s="661">
        <f t="shared" si="22"/>
        <v>8.5205479452054789</v>
      </c>
      <c r="R143" s="662">
        <f t="shared" si="23"/>
        <v>22347</v>
      </c>
      <c r="S143" s="662">
        <f t="shared" si="24"/>
        <v>397145</v>
      </c>
      <c r="T143" s="663">
        <f t="shared" si="20"/>
        <v>0</v>
      </c>
      <c r="U143" s="663">
        <f t="shared" si="25"/>
        <v>419492</v>
      </c>
      <c r="V143" s="664"/>
      <c r="W143" s="664"/>
      <c r="X143" s="664"/>
      <c r="Y143" s="664"/>
      <c r="Z143" s="664"/>
      <c r="AA143" s="664"/>
      <c r="AB143" s="664"/>
      <c r="AC143" s="664"/>
      <c r="AD143" s="664"/>
      <c r="AE143" s="664"/>
      <c r="AF143" s="664"/>
    </row>
    <row r="144" spans="2:32" ht="14.65">
      <c r="B144" s="653">
        <f t="shared" si="26"/>
        <v>140</v>
      </c>
      <c r="C144" s="654" t="s">
        <v>564</v>
      </c>
      <c r="D144" s="654" t="s">
        <v>3459</v>
      </c>
      <c r="E144" s="655">
        <v>147</v>
      </c>
      <c r="F144" s="690">
        <v>44841</v>
      </c>
      <c r="G144" s="690">
        <v>44841</v>
      </c>
      <c r="H144" s="654" t="s">
        <v>180</v>
      </c>
      <c r="I144" s="657">
        <v>44841</v>
      </c>
      <c r="J144" s="658">
        <v>495000</v>
      </c>
      <c r="K144" s="628"/>
      <c r="L144" s="628"/>
      <c r="M144" s="628">
        <v>75508</v>
      </c>
      <c r="N144" s="628">
        <f t="shared" si="21"/>
        <v>419492</v>
      </c>
      <c r="O144" s="659">
        <f t="shared" si="18"/>
        <v>175</v>
      </c>
      <c r="P144" s="660">
        <v>9</v>
      </c>
      <c r="Q144" s="661">
        <f t="shared" si="22"/>
        <v>8.5205479452054789</v>
      </c>
      <c r="R144" s="662">
        <f t="shared" si="23"/>
        <v>22347</v>
      </c>
      <c r="S144" s="662">
        <f t="shared" si="24"/>
        <v>397145</v>
      </c>
      <c r="T144" s="663">
        <f t="shared" si="20"/>
        <v>0</v>
      </c>
      <c r="U144" s="663">
        <f t="shared" si="25"/>
        <v>419492</v>
      </c>
      <c r="V144" s="664"/>
      <c r="W144" s="664"/>
      <c r="X144" s="664"/>
      <c r="Y144" s="664"/>
      <c r="Z144" s="664"/>
      <c r="AA144" s="664"/>
      <c r="AB144" s="664"/>
      <c r="AC144" s="664"/>
      <c r="AD144" s="664"/>
      <c r="AE144" s="664"/>
      <c r="AF144" s="664"/>
    </row>
    <row r="145" spans="2:32" ht="14.65">
      <c r="B145" s="653">
        <f t="shared" si="26"/>
        <v>141</v>
      </c>
      <c r="C145" s="654" t="s">
        <v>564</v>
      </c>
      <c r="D145" s="654" t="s">
        <v>3459</v>
      </c>
      <c r="E145" s="655">
        <v>146</v>
      </c>
      <c r="F145" s="690">
        <v>44841</v>
      </c>
      <c r="G145" s="690">
        <v>44841</v>
      </c>
      <c r="H145" s="654" t="s">
        <v>180</v>
      </c>
      <c r="I145" s="657">
        <v>44841</v>
      </c>
      <c r="J145" s="658">
        <v>495000</v>
      </c>
      <c r="K145" s="628"/>
      <c r="L145" s="628"/>
      <c r="M145" s="628">
        <v>75508</v>
      </c>
      <c r="N145" s="628">
        <f t="shared" si="21"/>
        <v>419492</v>
      </c>
      <c r="O145" s="659">
        <f t="shared" si="18"/>
        <v>175</v>
      </c>
      <c r="P145" s="660">
        <v>9</v>
      </c>
      <c r="Q145" s="661">
        <f t="shared" si="22"/>
        <v>8.5205479452054789</v>
      </c>
      <c r="R145" s="662">
        <f t="shared" si="23"/>
        <v>22347</v>
      </c>
      <c r="S145" s="662">
        <f t="shared" si="24"/>
        <v>397145</v>
      </c>
      <c r="T145" s="663">
        <f t="shared" si="20"/>
        <v>0</v>
      </c>
      <c r="U145" s="663">
        <f t="shared" si="25"/>
        <v>419492</v>
      </c>
      <c r="V145" s="664"/>
      <c r="W145" s="664"/>
      <c r="X145" s="664"/>
      <c r="Y145" s="664"/>
      <c r="Z145" s="664"/>
      <c r="AA145" s="664"/>
      <c r="AB145" s="664"/>
      <c r="AC145" s="664"/>
      <c r="AD145" s="664"/>
      <c r="AE145" s="664"/>
      <c r="AF145" s="664"/>
    </row>
    <row r="146" spans="2:32" ht="14.65">
      <c r="B146" s="653">
        <f t="shared" si="26"/>
        <v>142</v>
      </c>
      <c r="C146" s="654" t="s">
        <v>564</v>
      </c>
      <c r="D146" s="654" t="s">
        <v>3459</v>
      </c>
      <c r="E146" s="655">
        <v>213</v>
      </c>
      <c r="F146" s="690">
        <v>44887</v>
      </c>
      <c r="G146" s="690">
        <v>44890</v>
      </c>
      <c r="H146" s="654" t="s">
        <v>180</v>
      </c>
      <c r="I146" s="657">
        <v>44890</v>
      </c>
      <c r="J146" s="658">
        <v>495000</v>
      </c>
      <c r="K146" s="628"/>
      <c r="L146" s="628"/>
      <c r="M146" s="628">
        <v>75508</v>
      </c>
      <c r="N146" s="628">
        <f t="shared" si="21"/>
        <v>419492</v>
      </c>
      <c r="O146" s="659">
        <f t="shared" si="18"/>
        <v>126</v>
      </c>
      <c r="P146" s="660">
        <v>9</v>
      </c>
      <c r="Q146" s="661">
        <f t="shared" si="22"/>
        <v>8.6547945205479451</v>
      </c>
      <c r="R146" s="662">
        <f t="shared" si="23"/>
        <v>16090</v>
      </c>
      <c r="S146" s="662">
        <f t="shared" si="24"/>
        <v>403402</v>
      </c>
      <c r="T146" s="663">
        <f t="shared" si="20"/>
        <v>0</v>
      </c>
      <c r="U146" s="663">
        <f t="shared" si="25"/>
        <v>419492</v>
      </c>
      <c r="V146" s="664"/>
      <c r="W146" s="664"/>
      <c r="X146" s="664"/>
      <c r="Y146" s="664"/>
      <c r="Z146" s="664"/>
      <c r="AA146" s="664"/>
      <c r="AB146" s="664"/>
      <c r="AC146" s="664"/>
      <c r="AD146" s="664"/>
      <c r="AE146" s="664"/>
      <c r="AF146" s="664"/>
    </row>
    <row r="147" spans="2:32" ht="14.65">
      <c r="B147" s="653">
        <f t="shared" si="26"/>
        <v>143</v>
      </c>
      <c r="C147" s="654" t="s">
        <v>564</v>
      </c>
      <c r="D147" s="654" t="s">
        <v>3459</v>
      </c>
      <c r="E147" s="655">
        <v>207</v>
      </c>
      <c r="F147" s="656">
        <v>44886</v>
      </c>
      <c r="G147" s="656">
        <v>44890</v>
      </c>
      <c r="H147" s="654" t="s">
        <v>180</v>
      </c>
      <c r="I147" s="657">
        <v>44890</v>
      </c>
      <c r="J147" s="658">
        <v>560000</v>
      </c>
      <c r="K147" s="628"/>
      <c r="L147" s="628"/>
      <c r="M147" s="628">
        <v>85423.73</v>
      </c>
      <c r="N147" s="628">
        <f t="shared" si="21"/>
        <v>474576.27</v>
      </c>
      <c r="O147" s="659">
        <f t="shared" si="18"/>
        <v>126</v>
      </c>
      <c r="P147" s="660">
        <v>9</v>
      </c>
      <c r="Q147" s="661">
        <f t="shared" si="22"/>
        <v>8.6547945205479451</v>
      </c>
      <c r="R147" s="662">
        <f t="shared" si="23"/>
        <v>18203</v>
      </c>
      <c r="S147" s="662">
        <f t="shared" si="24"/>
        <v>456373.27</v>
      </c>
      <c r="T147" s="663">
        <f t="shared" si="20"/>
        <v>0</v>
      </c>
      <c r="U147" s="663">
        <f t="shared" si="25"/>
        <v>474576.27</v>
      </c>
      <c r="V147" s="664"/>
      <c r="W147" s="664"/>
      <c r="X147" s="664"/>
      <c r="Y147" s="664"/>
      <c r="Z147" s="664"/>
      <c r="AA147" s="664"/>
      <c r="AB147" s="664"/>
      <c r="AC147" s="664"/>
      <c r="AD147" s="664"/>
      <c r="AE147" s="664"/>
      <c r="AF147" s="664"/>
    </row>
    <row r="148" spans="2:32" ht="14.65">
      <c r="B148" s="653">
        <f t="shared" si="26"/>
        <v>144</v>
      </c>
      <c r="C148" s="654" t="s">
        <v>564</v>
      </c>
      <c r="D148" s="654" t="s">
        <v>3459</v>
      </c>
      <c r="E148" s="655">
        <v>208</v>
      </c>
      <c r="F148" s="656">
        <v>44886</v>
      </c>
      <c r="G148" s="656">
        <v>44890</v>
      </c>
      <c r="H148" s="654" t="s">
        <v>180</v>
      </c>
      <c r="I148" s="657">
        <v>44890</v>
      </c>
      <c r="J148" s="658">
        <v>495000</v>
      </c>
      <c r="K148" s="628"/>
      <c r="L148" s="628"/>
      <c r="M148" s="628">
        <v>75508</v>
      </c>
      <c r="N148" s="628">
        <f t="shared" si="21"/>
        <v>419492</v>
      </c>
      <c r="O148" s="659">
        <f t="shared" si="18"/>
        <v>126</v>
      </c>
      <c r="P148" s="660">
        <v>9</v>
      </c>
      <c r="Q148" s="661">
        <f t="shared" si="22"/>
        <v>8.6547945205479451</v>
      </c>
      <c r="R148" s="662">
        <f t="shared" si="23"/>
        <v>16090</v>
      </c>
      <c r="S148" s="662">
        <f t="shared" si="24"/>
        <v>403402</v>
      </c>
      <c r="T148" s="663">
        <f t="shared" si="20"/>
        <v>0</v>
      </c>
      <c r="U148" s="663">
        <f t="shared" si="25"/>
        <v>419492</v>
      </c>
      <c r="V148" s="664"/>
      <c r="W148" s="664"/>
      <c r="X148" s="664"/>
      <c r="Y148" s="664"/>
      <c r="Z148" s="664"/>
      <c r="AA148" s="664"/>
      <c r="AB148" s="664"/>
      <c r="AC148" s="664"/>
      <c r="AD148" s="664"/>
      <c r="AE148" s="664"/>
      <c r="AF148" s="664"/>
    </row>
    <row r="149" spans="2:32" ht="14.65">
      <c r="B149" s="653">
        <f t="shared" si="26"/>
        <v>145</v>
      </c>
      <c r="C149" s="654" t="s">
        <v>564</v>
      </c>
      <c r="D149" s="654" t="s">
        <v>3459</v>
      </c>
      <c r="E149" s="655" t="s">
        <v>595</v>
      </c>
      <c r="F149" s="656">
        <v>44876</v>
      </c>
      <c r="G149" s="656">
        <v>44876</v>
      </c>
      <c r="H149" s="654" t="s">
        <v>760</v>
      </c>
      <c r="I149" s="657">
        <v>44876</v>
      </c>
      <c r="J149" s="658">
        <v>94500</v>
      </c>
      <c r="K149" s="628"/>
      <c r="L149" s="628"/>
      <c r="M149" s="628">
        <v>14416</v>
      </c>
      <c r="N149" s="628">
        <f t="shared" si="21"/>
        <v>80084</v>
      </c>
      <c r="O149" s="659">
        <f t="shared" ref="O149:O212" si="27">$O$1-I149</f>
        <v>140</v>
      </c>
      <c r="P149" s="660">
        <v>9</v>
      </c>
      <c r="Q149" s="661">
        <f t="shared" si="22"/>
        <v>8.6164383561643838</v>
      </c>
      <c r="R149" s="662">
        <f t="shared" si="23"/>
        <v>3413</v>
      </c>
      <c r="S149" s="662">
        <f t="shared" si="24"/>
        <v>76671</v>
      </c>
      <c r="T149" s="663">
        <f t="shared" ref="T149:T180" si="28">IF(I149&lt;=DATE(2022,9,30),N149,0)</f>
        <v>0</v>
      </c>
      <c r="U149" s="663">
        <f t="shared" si="25"/>
        <v>80084</v>
      </c>
      <c r="V149" s="664"/>
      <c r="W149" s="664"/>
      <c r="X149" s="664"/>
      <c r="Y149" s="664"/>
      <c r="Z149" s="664"/>
      <c r="AA149" s="664"/>
      <c r="AB149" s="664"/>
      <c r="AC149" s="664"/>
      <c r="AD149" s="664"/>
      <c r="AE149" s="664"/>
      <c r="AF149" s="664"/>
    </row>
    <row r="150" spans="2:32" ht="14.65">
      <c r="B150" s="653">
        <f t="shared" si="26"/>
        <v>146</v>
      </c>
      <c r="C150" s="654" t="s">
        <v>564</v>
      </c>
      <c r="D150" s="654" t="s">
        <v>3459</v>
      </c>
      <c r="E150" s="655" t="s">
        <v>596</v>
      </c>
      <c r="F150" s="656">
        <v>44883</v>
      </c>
      <c r="G150" s="656">
        <v>44891</v>
      </c>
      <c r="H150" s="654" t="s">
        <v>760</v>
      </c>
      <c r="I150" s="657">
        <v>44891</v>
      </c>
      <c r="J150" s="658">
        <v>183000</v>
      </c>
      <c r="K150" s="628"/>
      <c r="L150" s="628"/>
      <c r="M150" s="628">
        <v>27915.26</v>
      </c>
      <c r="N150" s="628">
        <f t="shared" si="21"/>
        <v>155084.74</v>
      </c>
      <c r="O150" s="659">
        <f t="shared" si="27"/>
        <v>125</v>
      </c>
      <c r="P150" s="660">
        <v>9</v>
      </c>
      <c r="Q150" s="661">
        <f t="shared" si="22"/>
        <v>8.6575342465753433</v>
      </c>
      <c r="R150" s="662">
        <f t="shared" si="23"/>
        <v>5901</v>
      </c>
      <c r="S150" s="662">
        <f t="shared" si="24"/>
        <v>149183.74</v>
      </c>
      <c r="T150" s="663">
        <f t="shared" si="28"/>
        <v>0</v>
      </c>
      <c r="U150" s="663">
        <f t="shared" si="25"/>
        <v>155084.74</v>
      </c>
      <c r="V150" s="664"/>
      <c r="W150" s="664"/>
      <c r="X150" s="664"/>
      <c r="Y150" s="664"/>
      <c r="Z150" s="664"/>
      <c r="AA150" s="664"/>
      <c r="AB150" s="664"/>
      <c r="AC150" s="664"/>
      <c r="AD150" s="664"/>
      <c r="AE150" s="664"/>
      <c r="AF150" s="664"/>
    </row>
    <row r="151" spans="2:32" ht="14.65">
      <c r="B151" s="653">
        <f t="shared" si="26"/>
        <v>147</v>
      </c>
      <c r="C151" s="654" t="s">
        <v>564</v>
      </c>
      <c r="D151" s="654" t="s">
        <v>3459</v>
      </c>
      <c r="E151" s="655" t="s">
        <v>597</v>
      </c>
      <c r="F151" s="656">
        <v>44889</v>
      </c>
      <c r="G151" s="656">
        <v>44893</v>
      </c>
      <c r="H151" s="654" t="s">
        <v>761</v>
      </c>
      <c r="I151" s="657">
        <v>44893</v>
      </c>
      <c r="J151" s="658">
        <v>3551800</v>
      </c>
      <c r="K151" s="628"/>
      <c r="L151" s="628"/>
      <c r="M151" s="628">
        <v>541800</v>
      </c>
      <c r="N151" s="628">
        <f t="shared" si="21"/>
        <v>3010000</v>
      </c>
      <c r="O151" s="659">
        <f t="shared" si="27"/>
        <v>123</v>
      </c>
      <c r="P151" s="660">
        <v>9</v>
      </c>
      <c r="Q151" s="661">
        <f t="shared" si="22"/>
        <v>8.6630136986301363</v>
      </c>
      <c r="R151" s="662">
        <f t="shared" si="23"/>
        <v>112703</v>
      </c>
      <c r="S151" s="662">
        <f t="shared" si="24"/>
        <v>2897297</v>
      </c>
      <c r="T151" s="663">
        <f t="shared" si="28"/>
        <v>0</v>
      </c>
      <c r="U151" s="663">
        <f t="shared" si="25"/>
        <v>3010000</v>
      </c>
      <c r="V151" s="664"/>
      <c r="W151" s="664"/>
      <c r="X151" s="664"/>
      <c r="Y151" s="664"/>
      <c r="Z151" s="664"/>
      <c r="AA151" s="664"/>
      <c r="AB151" s="664"/>
      <c r="AC151" s="664"/>
      <c r="AD151" s="664"/>
      <c r="AE151" s="664"/>
      <c r="AF151" s="664"/>
    </row>
    <row r="152" spans="2:32" ht="14.65">
      <c r="B152" s="653">
        <f t="shared" si="26"/>
        <v>148</v>
      </c>
      <c r="C152" s="654" t="s">
        <v>564</v>
      </c>
      <c r="D152" s="654" t="s">
        <v>3459</v>
      </c>
      <c r="E152" s="655">
        <v>212</v>
      </c>
      <c r="F152" s="656">
        <v>44887</v>
      </c>
      <c r="G152" s="656">
        <v>44896</v>
      </c>
      <c r="H152" s="654" t="s">
        <v>180</v>
      </c>
      <c r="I152" s="657">
        <v>44896</v>
      </c>
      <c r="J152" s="658">
        <v>560000</v>
      </c>
      <c r="K152" s="628"/>
      <c r="L152" s="628"/>
      <c r="M152" s="628">
        <v>85424</v>
      </c>
      <c r="N152" s="628">
        <f t="shared" si="21"/>
        <v>474576</v>
      </c>
      <c r="O152" s="659">
        <f t="shared" si="27"/>
        <v>120</v>
      </c>
      <c r="P152" s="660">
        <v>9</v>
      </c>
      <c r="Q152" s="661">
        <f t="shared" si="22"/>
        <v>8.6712328767123292</v>
      </c>
      <c r="R152" s="662">
        <f t="shared" si="23"/>
        <v>17336</v>
      </c>
      <c r="S152" s="662">
        <f t="shared" si="24"/>
        <v>457240</v>
      </c>
      <c r="T152" s="663">
        <f t="shared" si="28"/>
        <v>0</v>
      </c>
      <c r="U152" s="663">
        <f t="shared" si="25"/>
        <v>474576</v>
      </c>
      <c r="V152" s="664"/>
      <c r="W152" s="664"/>
      <c r="X152" s="664"/>
      <c r="Y152" s="664"/>
      <c r="Z152" s="664"/>
      <c r="AA152" s="664"/>
      <c r="AB152" s="664"/>
      <c r="AC152" s="664"/>
      <c r="AD152" s="664"/>
      <c r="AE152" s="664"/>
      <c r="AF152" s="664"/>
    </row>
    <row r="153" spans="2:32" ht="14.65">
      <c r="B153" s="653">
        <f t="shared" si="26"/>
        <v>149</v>
      </c>
      <c r="C153" s="654" t="s">
        <v>324</v>
      </c>
      <c r="D153" s="654" t="s">
        <v>3459</v>
      </c>
      <c r="E153" s="655" t="s">
        <v>598</v>
      </c>
      <c r="F153" s="656">
        <v>44884</v>
      </c>
      <c r="G153" s="656">
        <v>44884</v>
      </c>
      <c r="H153" s="654" t="s">
        <v>170</v>
      </c>
      <c r="I153" s="657">
        <v>44884</v>
      </c>
      <c r="J153" s="658">
        <v>7150800</v>
      </c>
      <c r="K153" s="628">
        <v>537355</v>
      </c>
      <c r="L153" s="628">
        <v>70800</v>
      </c>
      <c r="M153" s="628">
        <v>1080000</v>
      </c>
      <c r="N153" s="628">
        <f t="shared" si="21"/>
        <v>6537355</v>
      </c>
      <c r="O153" s="659">
        <f t="shared" si="27"/>
        <v>132</v>
      </c>
      <c r="P153" s="660">
        <v>9</v>
      </c>
      <c r="Q153" s="661">
        <f t="shared" si="22"/>
        <v>8.6383561643835609</v>
      </c>
      <c r="R153" s="662">
        <f t="shared" si="23"/>
        <v>262688</v>
      </c>
      <c r="S153" s="662">
        <f t="shared" si="24"/>
        <v>6274667</v>
      </c>
      <c r="T153" s="663">
        <f t="shared" si="28"/>
        <v>0</v>
      </c>
      <c r="U153" s="663">
        <f t="shared" si="25"/>
        <v>6537355</v>
      </c>
      <c r="V153" s="664"/>
      <c r="W153" s="664"/>
      <c r="X153" s="664"/>
      <c r="Y153" s="664"/>
      <c r="Z153" s="664"/>
      <c r="AA153" s="664"/>
      <c r="AB153" s="664"/>
      <c r="AC153" s="664"/>
      <c r="AD153" s="664"/>
      <c r="AE153" s="664"/>
      <c r="AF153" s="664"/>
    </row>
    <row r="154" spans="2:32" ht="14.65">
      <c r="B154" s="653">
        <f t="shared" si="26"/>
        <v>150</v>
      </c>
      <c r="C154" s="654" t="s">
        <v>324</v>
      </c>
      <c r="D154" s="654" t="s">
        <v>3459</v>
      </c>
      <c r="E154" s="655" t="s">
        <v>599</v>
      </c>
      <c r="F154" s="656">
        <v>44888</v>
      </c>
      <c r="G154" s="656">
        <v>44888</v>
      </c>
      <c r="H154" s="654" t="s">
        <v>170</v>
      </c>
      <c r="I154" s="657">
        <v>44888</v>
      </c>
      <c r="J154" s="658">
        <v>7150800</v>
      </c>
      <c r="K154" s="628">
        <v>537355</v>
      </c>
      <c r="L154" s="628">
        <v>70800</v>
      </c>
      <c r="M154" s="628">
        <v>1080000</v>
      </c>
      <c r="N154" s="628">
        <f t="shared" si="21"/>
        <v>6537355</v>
      </c>
      <c r="O154" s="659">
        <f t="shared" si="27"/>
        <v>128</v>
      </c>
      <c r="P154" s="660">
        <v>9</v>
      </c>
      <c r="Q154" s="661">
        <f t="shared" si="22"/>
        <v>8.6493150684931503</v>
      </c>
      <c r="R154" s="662">
        <f t="shared" si="23"/>
        <v>254728</v>
      </c>
      <c r="S154" s="662">
        <f t="shared" si="24"/>
        <v>6282627</v>
      </c>
      <c r="T154" s="663">
        <f t="shared" si="28"/>
        <v>0</v>
      </c>
      <c r="U154" s="663">
        <f t="shared" si="25"/>
        <v>6537355</v>
      </c>
      <c r="V154" s="664"/>
      <c r="W154" s="664"/>
      <c r="X154" s="664"/>
      <c r="Y154" s="664"/>
      <c r="Z154" s="664"/>
      <c r="AA154" s="664"/>
      <c r="AB154" s="664"/>
      <c r="AC154" s="664"/>
      <c r="AD154" s="664"/>
      <c r="AE154" s="664"/>
      <c r="AF154" s="664"/>
    </row>
    <row r="155" spans="2:32" ht="14.65">
      <c r="B155" s="653">
        <f t="shared" si="26"/>
        <v>151</v>
      </c>
      <c r="C155" s="654" t="s">
        <v>324</v>
      </c>
      <c r="D155" s="654" t="s">
        <v>3459</v>
      </c>
      <c r="E155" s="655" t="s">
        <v>600</v>
      </c>
      <c r="F155" s="656">
        <v>44889</v>
      </c>
      <c r="G155" s="656">
        <v>44889</v>
      </c>
      <c r="H155" s="654" t="s">
        <v>170</v>
      </c>
      <c r="I155" s="657">
        <v>44889</v>
      </c>
      <c r="J155" s="658">
        <v>7150800</v>
      </c>
      <c r="K155" s="628">
        <v>537355</v>
      </c>
      <c r="L155" s="628">
        <v>70800</v>
      </c>
      <c r="M155" s="628">
        <v>1080000</v>
      </c>
      <c r="N155" s="628">
        <f t="shared" si="21"/>
        <v>6537355</v>
      </c>
      <c r="O155" s="659">
        <f t="shared" si="27"/>
        <v>127</v>
      </c>
      <c r="P155" s="660">
        <v>9</v>
      </c>
      <c r="Q155" s="661">
        <f t="shared" si="22"/>
        <v>8.6520547945205486</v>
      </c>
      <c r="R155" s="662">
        <f t="shared" si="23"/>
        <v>252738</v>
      </c>
      <c r="S155" s="662">
        <f t="shared" si="24"/>
        <v>6284617</v>
      </c>
      <c r="T155" s="663">
        <f t="shared" si="28"/>
        <v>0</v>
      </c>
      <c r="U155" s="663">
        <f t="shared" si="25"/>
        <v>6537355</v>
      </c>
      <c r="V155" s="664"/>
      <c r="W155" s="664"/>
      <c r="X155" s="664"/>
      <c r="Y155" s="664"/>
      <c r="Z155" s="664"/>
      <c r="AA155" s="664"/>
      <c r="AB155" s="664"/>
      <c r="AC155" s="664"/>
      <c r="AD155" s="664"/>
      <c r="AE155" s="664"/>
      <c r="AF155" s="664"/>
    </row>
    <row r="156" spans="2:32" ht="14.65">
      <c r="B156" s="653">
        <f t="shared" si="26"/>
        <v>152</v>
      </c>
      <c r="C156" s="654" t="s">
        <v>565</v>
      </c>
      <c r="D156" s="654" t="s">
        <v>3459</v>
      </c>
      <c r="E156" s="655">
        <v>7272216670</v>
      </c>
      <c r="F156" s="656">
        <v>44889</v>
      </c>
      <c r="G156" s="656">
        <v>44891</v>
      </c>
      <c r="H156" s="654" t="s">
        <v>420</v>
      </c>
      <c r="I156" s="657">
        <v>44891</v>
      </c>
      <c r="J156" s="658">
        <v>13884470</v>
      </c>
      <c r="K156" s="628">
        <v>1042385</v>
      </c>
      <c r="L156" s="628">
        <v>137470</v>
      </c>
      <c r="M156" s="628">
        <v>2097000</v>
      </c>
      <c r="N156" s="628">
        <f t="shared" si="21"/>
        <v>12692385</v>
      </c>
      <c r="O156" s="659">
        <f t="shared" si="27"/>
        <v>125</v>
      </c>
      <c r="P156" s="660">
        <v>9</v>
      </c>
      <c r="Q156" s="661">
        <f t="shared" si="22"/>
        <v>8.6575342465753433</v>
      </c>
      <c r="R156" s="662">
        <f t="shared" si="23"/>
        <v>482967</v>
      </c>
      <c r="S156" s="662">
        <f t="shared" si="24"/>
        <v>12209418</v>
      </c>
      <c r="T156" s="663">
        <f t="shared" si="28"/>
        <v>0</v>
      </c>
      <c r="U156" s="663">
        <f t="shared" si="25"/>
        <v>12692385</v>
      </c>
      <c r="V156" s="664"/>
      <c r="W156" s="664"/>
      <c r="X156" s="664"/>
      <c r="Y156" s="664"/>
      <c r="Z156" s="664"/>
      <c r="AA156" s="664"/>
      <c r="AB156" s="664"/>
      <c r="AC156" s="664"/>
      <c r="AD156" s="664"/>
      <c r="AE156" s="664"/>
      <c r="AF156" s="664"/>
    </row>
    <row r="157" spans="2:32" ht="14.65">
      <c r="B157" s="653">
        <f t="shared" si="26"/>
        <v>153</v>
      </c>
      <c r="C157" s="654" t="s">
        <v>565</v>
      </c>
      <c r="D157" s="654" t="s">
        <v>3459</v>
      </c>
      <c r="E157" s="655">
        <v>7272216667</v>
      </c>
      <c r="F157" s="656">
        <v>44889</v>
      </c>
      <c r="G157" s="656">
        <v>44891</v>
      </c>
      <c r="H157" s="654" t="s">
        <v>420</v>
      </c>
      <c r="I157" s="657">
        <v>44891</v>
      </c>
      <c r="J157" s="658">
        <v>26755910</v>
      </c>
      <c r="K157" s="628">
        <v>2007745</v>
      </c>
      <c r="L157" s="628">
        <v>264910</v>
      </c>
      <c r="M157" s="628">
        <v>4041000</v>
      </c>
      <c r="N157" s="628">
        <f t="shared" si="21"/>
        <v>24457745</v>
      </c>
      <c r="O157" s="659">
        <f t="shared" si="27"/>
        <v>125</v>
      </c>
      <c r="P157" s="660">
        <v>9</v>
      </c>
      <c r="Q157" s="661">
        <f t="shared" si="22"/>
        <v>8.6575342465753433</v>
      </c>
      <c r="R157" s="662">
        <f t="shared" si="23"/>
        <v>930660</v>
      </c>
      <c r="S157" s="662">
        <f t="shared" si="24"/>
        <v>23527085</v>
      </c>
      <c r="T157" s="663">
        <f t="shared" si="28"/>
        <v>0</v>
      </c>
      <c r="U157" s="663">
        <f t="shared" si="25"/>
        <v>24457745</v>
      </c>
      <c r="V157" s="664"/>
      <c r="W157" s="664"/>
      <c r="X157" s="664"/>
      <c r="Y157" s="664"/>
      <c r="Z157" s="664"/>
      <c r="AA157" s="664"/>
      <c r="AB157" s="664"/>
      <c r="AC157" s="664"/>
      <c r="AD157" s="664"/>
      <c r="AE157" s="664"/>
      <c r="AF157" s="664"/>
    </row>
    <row r="158" spans="2:32" ht="14.65">
      <c r="B158" s="653">
        <f t="shared" si="26"/>
        <v>154</v>
      </c>
      <c r="C158" s="654" t="s">
        <v>566</v>
      </c>
      <c r="D158" s="654" t="s">
        <v>3459</v>
      </c>
      <c r="E158" s="655">
        <v>7272216726</v>
      </c>
      <c r="F158" s="656">
        <v>44889</v>
      </c>
      <c r="G158" s="656">
        <v>44889</v>
      </c>
      <c r="H158" s="654" t="s">
        <v>420</v>
      </c>
      <c r="I158" s="657">
        <v>44889</v>
      </c>
      <c r="J158" s="658">
        <v>3188065</v>
      </c>
      <c r="K158" s="627">
        <v>239255</v>
      </c>
      <c r="L158" s="628">
        <v>31565</v>
      </c>
      <c r="M158" s="628">
        <v>481500</v>
      </c>
      <c r="N158" s="628">
        <f t="shared" si="21"/>
        <v>2914255</v>
      </c>
      <c r="O158" s="659">
        <f t="shared" si="27"/>
        <v>127</v>
      </c>
      <c r="P158" s="660">
        <v>9</v>
      </c>
      <c r="Q158" s="661">
        <f t="shared" si="22"/>
        <v>8.6520547945205486</v>
      </c>
      <c r="R158" s="662">
        <f t="shared" si="23"/>
        <v>112667</v>
      </c>
      <c r="S158" s="662">
        <f t="shared" si="24"/>
        <v>2801588</v>
      </c>
      <c r="T158" s="663">
        <f t="shared" si="28"/>
        <v>0</v>
      </c>
      <c r="U158" s="663">
        <f t="shared" si="25"/>
        <v>2914255</v>
      </c>
      <c r="V158" s="664"/>
      <c r="W158" s="664"/>
      <c r="X158" s="664"/>
      <c r="Y158" s="664"/>
      <c r="Z158" s="664"/>
      <c r="AA158" s="664"/>
      <c r="AB158" s="664"/>
      <c r="AC158" s="664"/>
      <c r="AD158" s="664"/>
      <c r="AE158" s="664"/>
      <c r="AF158" s="664"/>
    </row>
    <row r="159" spans="2:32" ht="14.65">
      <c r="B159" s="653">
        <f t="shared" si="26"/>
        <v>155</v>
      </c>
      <c r="C159" s="654" t="s">
        <v>566</v>
      </c>
      <c r="D159" s="654" t="s">
        <v>3459</v>
      </c>
      <c r="E159" s="655">
        <v>7272216724</v>
      </c>
      <c r="F159" s="656">
        <v>44889</v>
      </c>
      <c r="G159" s="656">
        <v>44889</v>
      </c>
      <c r="H159" s="654" t="s">
        <v>420</v>
      </c>
      <c r="I159" s="657">
        <v>44889</v>
      </c>
      <c r="J159" s="658">
        <v>3188065</v>
      </c>
      <c r="K159" s="627">
        <v>239255</v>
      </c>
      <c r="L159" s="628">
        <v>31565</v>
      </c>
      <c r="M159" s="628">
        <v>481500</v>
      </c>
      <c r="N159" s="628">
        <f t="shared" si="21"/>
        <v>2914255</v>
      </c>
      <c r="O159" s="659">
        <f t="shared" si="27"/>
        <v>127</v>
      </c>
      <c r="P159" s="660">
        <v>9</v>
      </c>
      <c r="Q159" s="661">
        <f t="shared" si="22"/>
        <v>8.6520547945205486</v>
      </c>
      <c r="R159" s="662">
        <f t="shared" si="23"/>
        <v>112667</v>
      </c>
      <c r="S159" s="662">
        <f t="shared" si="24"/>
        <v>2801588</v>
      </c>
      <c r="T159" s="663">
        <f t="shared" si="28"/>
        <v>0</v>
      </c>
      <c r="U159" s="663">
        <f t="shared" si="25"/>
        <v>2914255</v>
      </c>
      <c r="V159" s="664"/>
      <c r="W159" s="664"/>
      <c r="X159" s="664"/>
      <c r="Y159" s="664"/>
      <c r="Z159" s="664"/>
      <c r="AA159" s="664"/>
      <c r="AB159" s="664"/>
      <c r="AC159" s="664"/>
      <c r="AD159" s="664"/>
      <c r="AE159" s="664"/>
      <c r="AF159" s="664"/>
    </row>
    <row r="160" spans="2:32" ht="14.65">
      <c r="B160" s="653">
        <f t="shared" si="26"/>
        <v>156</v>
      </c>
      <c r="C160" s="654" t="s">
        <v>566</v>
      </c>
      <c r="D160" s="654" t="s">
        <v>3459</v>
      </c>
      <c r="E160" s="655">
        <v>7272216725</v>
      </c>
      <c r="F160" s="656">
        <v>44889</v>
      </c>
      <c r="G160" s="656">
        <v>44889</v>
      </c>
      <c r="H160" s="654" t="s">
        <v>420</v>
      </c>
      <c r="I160" s="657">
        <v>44889</v>
      </c>
      <c r="J160" s="658">
        <v>3188065</v>
      </c>
      <c r="K160" s="627">
        <v>239255</v>
      </c>
      <c r="L160" s="628">
        <v>31565</v>
      </c>
      <c r="M160" s="628">
        <v>481500</v>
      </c>
      <c r="N160" s="628">
        <f t="shared" si="21"/>
        <v>2914255</v>
      </c>
      <c r="O160" s="659">
        <f t="shared" si="27"/>
        <v>127</v>
      </c>
      <c r="P160" s="660">
        <v>9</v>
      </c>
      <c r="Q160" s="661">
        <f t="shared" si="22"/>
        <v>8.6520547945205486</v>
      </c>
      <c r="R160" s="662">
        <f t="shared" si="23"/>
        <v>112667</v>
      </c>
      <c r="S160" s="662">
        <f t="shared" si="24"/>
        <v>2801588</v>
      </c>
      <c r="T160" s="663">
        <f t="shared" si="28"/>
        <v>0</v>
      </c>
      <c r="U160" s="663">
        <f t="shared" si="25"/>
        <v>2914255</v>
      </c>
      <c r="V160" s="664"/>
      <c r="W160" s="664"/>
      <c r="X160" s="664"/>
      <c r="Y160" s="664"/>
      <c r="Z160" s="664"/>
      <c r="AA160" s="664"/>
      <c r="AB160" s="664"/>
      <c r="AC160" s="664"/>
      <c r="AD160" s="664"/>
      <c r="AE160" s="664"/>
      <c r="AF160" s="664"/>
    </row>
    <row r="161" spans="2:32" ht="14.65">
      <c r="B161" s="653">
        <f t="shared" si="26"/>
        <v>157</v>
      </c>
      <c r="C161" s="654" t="s">
        <v>567</v>
      </c>
      <c r="D161" s="654" t="s">
        <v>3459</v>
      </c>
      <c r="E161" s="655" t="s">
        <v>601</v>
      </c>
      <c r="F161" s="656">
        <v>44890</v>
      </c>
      <c r="G161" s="656">
        <v>44890</v>
      </c>
      <c r="H161" s="654" t="s">
        <v>762</v>
      </c>
      <c r="I161" s="657">
        <v>44890</v>
      </c>
      <c r="J161" s="658">
        <v>6495310</v>
      </c>
      <c r="K161" s="628">
        <v>488800</v>
      </c>
      <c r="L161" s="628">
        <v>64310</v>
      </c>
      <c r="M161" s="628">
        <v>981000</v>
      </c>
      <c r="N161" s="628">
        <f t="shared" si="21"/>
        <v>5938800</v>
      </c>
      <c r="O161" s="659">
        <f t="shared" si="27"/>
        <v>126</v>
      </c>
      <c r="P161" s="660">
        <v>9</v>
      </c>
      <c r="Q161" s="661">
        <f t="shared" si="22"/>
        <v>8.6547945205479451</v>
      </c>
      <c r="R161" s="662">
        <f t="shared" si="23"/>
        <v>227790</v>
      </c>
      <c r="S161" s="662">
        <f t="shared" si="24"/>
        <v>5711010</v>
      </c>
      <c r="T161" s="663">
        <f t="shared" si="28"/>
        <v>0</v>
      </c>
      <c r="U161" s="663">
        <f t="shared" si="25"/>
        <v>5938800</v>
      </c>
      <c r="V161" s="664"/>
      <c r="W161" s="664"/>
      <c r="X161" s="664"/>
      <c r="Y161" s="664"/>
      <c r="Z161" s="664"/>
      <c r="AA161" s="664"/>
      <c r="AB161" s="664"/>
      <c r="AC161" s="664"/>
      <c r="AD161" s="664"/>
      <c r="AE161" s="664"/>
      <c r="AF161" s="664"/>
    </row>
    <row r="162" spans="2:32" ht="14.65">
      <c r="B162" s="653">
        <f t="shared" si="26"/>
        <v>158</v>
      </c>
      <c r="C162" s="654" t="s">
        <v>567</v>
      </c>
      <c r="D162" s="654" t="s">
        <v>3459</v>
      </c>
      <c r="E162" s="655" t="s">
        <v>602</v>
      </c>
      <c r="F162" s="656">
        <v>44890</v>
      </c>
      <c r="G162" s="656">
        <v>44890</v>
      </c>
      <c r="H162" s="654" t="s">
        <v>762</v>
      </c>
      <c r="I162" s="657">
        <v>44890</v>
      </c>
      <c r="J162" s="658">
        <v>6495310</v>
      </c>
      <c r="K162" s="628">
        <v>488800</v>
      </c>
      <c r="L162" s="628">
        <v>64310</v>
      </c>
      <c r="M162" s="628">
        <v>981000</v>
      </c>
      <c r="N162" s="628">
        <f t="shared" si="21"/>
        <v>5938800</v>
      </c>
      <c r="O162" s="659">
        <f t="shared" si="27"/>
        <v>126</v>
      </c>
      <c r="P162" s="660">
        <v>9</v>
      </c>
      <c r="Q162" s="661">
        <f t="shared" si="22"/>
        <v>8.6547945205479451</v>
      </c>
      <c r="R162" s="662">
        <f t="shared" si="23"/>
        <v>227790</v>
      </c>
      <c r="S162" s="662">
        <f t="shared" si="24"/>
        <v>5711010</v>
      </c>
      <c r="T162" s="663">
        <f t="shared" si="28"/>
        <v>0</v>
      </c>
      <c r="U162" s="663">
        <f t="shared" si="25"/>
        <v>5938800</v>
      </c>
      <c r="V162" s="664"/>
      <c r="W162" s="664"/>
      <c r="X162" s="664"/>
      <c r="Y162" s="664"/>
      <c r="Z162" s="664"/>
      <c r="AA162" s="664"/>
      <c r="AB162" s="664"/>
      <c r="AC162" s="664"/>
      <c r="AD162" s="664"/>
      <c r="AE162" s="664"/>
      <c r="AF162" s="664"/>
    </row>
    <row r="163" spans="2:32" ht="14.65">
      <c r="B163" s="653">
        <f t="shared" si="26"/>
        <v>159</v>
      </c>
      <c r="C163" s="654" t="s">
        <v>568</v>
      </c>
      <c r="D163" s="654" t="s">
        <v>3459</v>
      </c>
      <c r="E163" s="655" t="s">
        <v>603</v>
      </c>
      <c r="F163" s="656">
        <v>44859</v>
      </c>
      <c r="G163" s="656">
        <v>44865</v>
      </c>
      <c r="H163" s="654" t="s">
        <v>763</v>
      </c>
      <c r="I163" s="657">
        <v>44865</v>
      </c>
      <c r="J163" s="658">
        <v>235162</v>
      </c>
      <c r="K163" s="628"/>
      <c r="L163" s="628"/>
      <c r="M163" s="628">
        <v>35872</v>
      </c>
      <c r="N163" s="628">
        <f t="shared" si="21"/>
        <v>199290</v>
      </c>
      <c r="O163" s="659">
        <f t="shared" si="27"/>
        <v>151</v>
      </c>
      <c r="P163" s="660">
        <v>3</v>
      </c>
      <c r="Q163" s="661">
        <f t="shared" si="22"/>
        <v>2.5863013698630137</v>
      </c>
      <c r="R163" s="662">
        <f t="shared" si="23"/>
        <v>27482</v>
      </c>
      <c r="S163" s="662">
        <f t="shared" si="24"/>
        <v>171808</v>
      </c>
      <c r="T163" s="663">
        <f t="shared" si="28"/>
        <v>0</v>
      </c>
      <c r="U163" s="663">
        <f t="shared" si="25"/>
        <v>199290</v>
      </c>
      <c r="V163" s="664"/>
      <c r="W163" s="664"/>
      <c r="X163" s="664"/>
      <c r="Y163" s="664"/>
      <c r="Z163" s="664"/>
      <c r="AA163" s="664"/>
      <c r="AB163" s="664"/>
      <c r="AC163" s="664"/>
      <c r="AD163" s="664"/>
      <c r="AE163" s="664"/>
      <c r="AF163" s="664"/>
    </row>
    <row r="164" spans="2:32" ht="14.65">
      <c r="B164" s="653">
        <f t="shared" si="26"/>
        <v>160</v>
      </c>
      <c r="C164" s="654" t="s">
        <v>568</v>
      </c>
      <c r="D164" s="654" t="s">
        <v>3459</v>
      </c>
      <c r="E164" s="655" t="s">
        <v>604</v>
      </c>
      <c r="F164" s="656">
        <v>44859</v>
      </c>
      <c r="G164" s="656">
        <v>44865</v>
      </c>
      <c r="H164" s="654" t="s">
        <v>763</v>
      </c>
      <c r="I164" s="657">
        <v>44865</v>
      </c>
      <c r="J164" s="658">
        <v>662064</v>
      </c>
      <c r="K164" s="628"/>
      <c r="L164" s="628"/>
      <c r="M164" s="628">
        <v>100993</v>
      </c>
      <c r="N164" s="628">
        <f t="shared" si="21"/>
        <v>561071</v>
      </c>
      <c r="O164" s="659">
        <f t="shared" si="27"/>
        <v>151</v>
      </c>
      <c r="P164" s="660">
        <v>3</v>
      </c>
      <c r="Q164" s="661">
        <f t="shared" si="22"/>
        <v>2.5863013698630137</v>
      </c>
      <c r="R164" s="662">
        <f t="shared" si="23"/>
        <v>77371</v>
      </c>
      <c r="S164" s="662">
        <f t="shared" si="24"/>
        <v>483700</v>
      </c>
      <c r="T164" s="663">
        <f t="shared" si="28"/>
        <v>0</v>
      </c>
      <c r="U164" s="663">
        <f t="shared" si="25"/>
        <v>561071</v>
      </c>
      <c r="V164" s="664"/>
      <c r="W164" s="664"/>
      <c r="X164" s="664"/>
      <c r="Y164" s="664"/>
      <c r="Z164" s="664"/>
      <c r="AA164" s="664"/>
      <c r="AB164" s="664"/>
      <c r="AC164" s="664"/>
      <c r="AD164" s="664"/>
      <c r="AE164" s="664"/>
      <c r="AF164" s="664"/>
    </row>
    <row r="165" spans="2:32" ht="14.65">
      <c r="B165" s="653">
        <f t="shared" si="26"/>
        <v>161</v>
      </c>
      <c r="C165" s="654" t="s">
        <v>568</v>
      </c>
      <c r="D165" s="654" t="s">
        <v>3459</v>
      </c>
      <c r="E165" s="655" t="s">
        <v>605</v>
      </c>
      <c r="F165" s="656">
        <v>44849</v>
      </c>
      <c r="G165" s="656">
        <v>44865</v>
      </c>
      <c r="H165" s="654" t="s">
        <v>763</v>
      </c>
      <c r="I165" s="657">
        <v>44865</v>
      </c>
      <c r="J165" s="658">
        <v>1285421</v>
      </c>
      <c r="K165" s="628"/>
      <c r="L165" s="628"/>
      <c r="M165" s="628">
        <v>196081</v>
      </c>
      <c r="N165" s="628">
        <f t="shared" si="21"/>
        <v>1089340</v>
      </c>
      <c r="O165" s="659">
        <f t="shared" si="27"/>
        <v>151</v>
      </c>
      <c r="P165" s="660">
        <v>3</v>
      </c>
      <c r="Q165" s="661">
        <f t="shared" si="22"/>
        <v>2.5863013698630137</v>
      </c>
      <c r="R165" s="662">
        <f t="shared" si="23"/>
        <v>150219</v>
      </c>
      <c r="S165" s="662">
        <f t="shared" si="24"/>
        <v>939121</v>
      </c>
      <c r="T165" s="663">
        <f t="shared" si="28"/>
        <v>0</v>
      </c>
      <c r="U165" s="663">
        <f t="shared" si="25"/>
        <v>1089340</v>
      </c>
      <c r="V165" s="664"/>
      <c r="W165" s="664"/>
      <c r="X165" s="664"/>
      <c r="Y165" s="664"/>
      <c r="Z165" s="664"/>
      <c r="AA165" s="664"/>
      <c r="AB165" s="664"/>
      <c r="AC165" s="664"/>
      <c r="AD165" s="664"/>
      <c r="AE165" s="664"/>
      <c r="AF165" s="664"/>
    </row>
    <row r="166" spans="2:32" ht="14.65">
      <c r="B166" s="653">
        <f t="shared" si="26"/>
        <v>162</v>
      </c>
      <c r="C166" s="654" t="s">
        <v>568</v>
      </c>
      <c r="D166" s="654" t="s">
        <v>3459</v>
      </c>
      <c r="E166" s="655" t="s">
        <v>606</v>
      </c>
      <c r="F166" s="656">
        <v>44869</v>
      </c>
      <c r="G166" s="656">
        <v>44869</v>
      </c>
      <c r="H166" s="654" t="s">
        <v>763</v>
      </c>
      <c r="I166" s="657">
        <v>44869</v>
      </c>
      <c r="J166" s="658">
        <v>1109318</v>
      </c>
      <c r="K166" s="628"/>
      <c r="L166" s="628"/>
      <c r="M166" s="628">
        <v>169218</v>
      </c>
      <c r="N166" s="628">
        <f t="shared" si="21"/>
        <v>940100</v>
      </c>
      <c r="O166" s="659">
        <f t="shared" si="27"/>
        <v>147</v>
      </c>
      <c r="P166" s="660">
        <v>3</v>
      </c>
      <c r="Q166" s="661">
        <f t="shared" si="22"/>
        <v>2.5972602739726027</v>
      </c>
      <c r="R166" s="662">
        <f t="shared" si="23"/>
        <v>126205</v>
      </c>
      <c r="S166" s="662">
        <f t="shared" si="24"/>
        <v>813895</v>
      </c>
      <c r="T166" s="663">
        <f t="shared" si="28"/>
        <v>0</v>
      </c>
      <c r="U166" s="663">
        <f t="shared" si="25"/>
        <v>940100</v>
      </c>
      <c r="V166" s="664"/>
      <c r="W166" s="664"/>
      <c r="X166" s="664"/>
      <c r="Y166" s="664"/>
      <c r="Z166" s="664"/>
      <c r="AA166" s="664"/>
      <c r="AB166" s="664"/>
      <c r="AC166" s="664"/>
      <c r="AD166" s="664"/>
      <c r="AE166" s="664"/>
      <c r="AF166" s="664"/>
    </row>
    <row r="167" spans="2:32" ht="14.65">
      <c r="B167" s="653">
        <f t="shared" si="26"/>
        <v>163</v>
      </c>
      <c r="C167" s="654" t="s">
        <v>568</v>
      </c>
      <c r="D167" s="654" t="s">
        <v>3459</v>
      </c>
      <c r="E167" s="655" t="s">
        <v>607</v>
      </c>
      <c r="F167" s="656">
        <v>44854</v>
      </c>
      <c r="G167" s="656">
        <v>44870</v>
      </c>
      <c r="H167" s="654" t="s">
        <v>763</v>
      </c>
      <c r="I167" s="657">
        <v>44870</v>
      </c>
      <c r="J167" s="658">
        <v>693840</v>
      </c>
      <c r="K167" s="628"/>
      <c r="L167" s="628"/>
      <c r="M167" s="628">
        <v>105840</v>
      </c>
      <c r="N167" s="628">
        <f t="shared" si="21"/>
        <v>588000</v>
      </c>
      <c r="O167" s="659">
        <f t="shared" si="27"/>
        <v>146</v>
      </c>
      <c r="P167" s="660">
        <v>3</v>
      </c>
      <c r="Q167" s="661">
        <f t="shared" si="22"/>
        <v>2.6</v>
      </c>
      <c r="R167" s="662">
        <f t="shared" si="23"/>
        <v>78400</v>
      </c>
      <c r="S167" s="662">
        <f t="shared" si="24"/>
        <v>509600</v>
      </c>
      <c r="T167" s="663">
        <f t="shared" si="28"/>
        <v>0</v>
      </c>
      <c r="U167" s="663">
        <f t="shared" si="25"/>
        <v>588000</v>
      </c>
      <c r="V167" s="664"/>
      <c r="W167" s="664"/>
      <c r="X167" s="664"/>
      <c r="Y167" s="664"/>
      <c r="Z167" s="664"/>
      <c r="AA167" s="664"/>
      <c r="AB167" s="664"/>
      <c r="AC167" s="664"/>
      <c r="AD167" s="664"/>
      <c r="AE167" s="664"/>
      <c r="AF167" s="664"/>
    </row>
    <row r="168" spans="2:32" ht="14.65">
      <c r="B168" s="653">
        <f t="shared" si="26"/>
        <v>164</v>
      </c>
      <c r="C168" s="654" t="s">
        <v>568</v>
      </c>
      <c r="D168" s="654" t="s">
        <v>3459</v>
      </c>
      <c r="E168" s="655" t="s">
        <v>608</v>
      </c>
      <c r="F168" s="656">
        <v>44853</v>
      </c>
      <c r="G168" s="656">
        <v>44870</v>
      </c>
      <c r="H168" s="654" t="s">
        <v>763</v>
      </c>
      <c r="I168" s="657">
        <v>44870</v>
      </c>
      <c r="J168" s="658">
        <v>297360</v>
      </c>
      <c r="K168" s="628"/>
      <c r="L168" s="628"/>
      <c r="M168" s="628">
        <v>45360</v>
      </c>
      <c r="N168" s="628">
        <f t="shared" si="21"/>
        <v>252000</v>
      </c>
      <c r="O168" s="659">
        <f t="shared" si="27"/>
        <v>146</v>
      </c>
      <c r="P168" s="660">
        <v>3</v>
      </c>
      <c r="Q168" s="661">
        <f t="shared" si="22"/>
        <v>2.6</v>
      </c>
      <c r="R168" s="662">
        <f t="shared" si="23"/>
        <v>33600</v>
      </c>
      <c r="S168" s="662">
        <f t="shared" si="24"/>
        <v>218400</v>
      </c>
      <c r="T168" s="663">
        <f t="shared" si="28"/>
        <v>0</v>
      </c>
      <c r="U168" s="663">
        <f t="shared" si="25"/>
        <v>252000</v>
      </c>
      <c r="V168" s="664"/>
      <c r="W168" s="664"/>
      <c r="X168" s="664"/>
      <c r="Y168" s="664"/>
      <c r="Z168" s="664"/>
      <c r="AA168" s="664"/>
      <c r="AB168" s="664"/>
      <c r="AC168" s="664"/>
      <c r="AD168" s="664"/>
      <c r="AE168" s="664"/>
      <c r="AF168" s="664"/>
    </row>
    <row r="169" spans="2:32" ht="14.65">
      <c r="B169" s="653">
        <f t="shared" si="26"/>
        <v>165</v>
      </c>
      <c r="C169" s="654" t="s">
        <v>568</v>
      </c>
      <c r="D169" s="654" t="s">
        <v>3459</v>
      </c>
      <c r="E169" s="655" t="s">
        <v>609</v>
      </c>
      <c r="F169" s="656">
        <v>44854</v>
      </c>
      <c r="G169" s="656">
        <v>44870</v>
      </c>
      <c r="H169" s="654" t="s">
        <v>763</v>
      </c>
      <c r="I169" s="657">
        <v>44870</v>
      </c>
      <c r="J169" s="658">
        <v>527194</v>
      </c>
      <c r="K169" s="628"/>
      <c r="L169" s="628"/>
      <c r="M169" s="628">
        <v>80419</v>
      </c>
      <c r="N169" s="628">
        <f t="shared" si="21"/>
        <v>446775</v>
      </c>
      <c r="O169" s="659">
        <f t="shared" si="27"/>
        <v>146</v>
      </c>
      <c r="P169" s="660">
        <v>3</v>
      </c>
      <c r="Q169" s="661">
        <f t="shared" si="22"/>
        <v>2.6</v>
      </c>
      <c r="R169" s="662">
        <f t="shared" si="23"/>
        <v>59570</v>
      </c>
      <c r="S169" s="662">
        <f t="shared" si="24"/>
        <v>387205</v>
      </c>
      <c r="T169" s="663">
        <f t="shared" si="28"/>
        <v>0</v>
      </c>
      <c r="U169" s="663">
        <f t="shared" si="25"/>
        <v>446775</v>
      </c>
      <c r="V169" s="664"/>
      <c r="W169" s="664"/>
      <c r="X169" s="664"/>
      <c r="Y169" s="664"/>
      <c r="Z169" s="664"/>
      <c r="AA169" s="664"/>
      <c r="AB169" s="664"/>
      <c r="AC169" s="664"/>
      <c r="AD169" s="664"/>
      <c r="AE169" s="664"/>
      <c r="AF169" s="664"/>
    </row>
    <row r="170" spans="2:32" ht="14.65">
      <c r="B170" s="653">
        <f t="shared" si="26"/>
        <v>166</v>
      </c>
      <c r="C170" s="654" t="s">
        <v>568</v>
      </c>
      <c r="D170" s="654" t="s">
        <v>3459</v>
      </c>
      <c r="E170" s="655" t="s">
        <v>610</v>
      </c>
      <c r="F170" s="656">
        <v>44844</v>
      </c>
      <c r="G170" s="656">
        <v>44870</v>
      </c>
      <c r="H170" s="654" t="s">
        <v>763</v>
      </c>
      <c r="I170" s="657">
        <v>44870</v>
      </c>
      <c r="J170" s="658">
        <v>95981</v>
      </c>
      <c r="K170" s="628"/>
      <c r="L170" s="628"/>
      <c r="M170" s="628">
        <v>14641</v>
      </c>
      <c r="N170" s="628">
        <f t="shared" si="21"/>
        <v>81340</v>
      </c>
      <c r="O170" s="659">
        <f t="shared" si="27"/>
        <v>146</v>
      </c>
      <c r="P170" s="660">
        <v>3</v>
      </c>
      <c r="Q170" s="661">
        <f t="shared" si="22"/>
        <v>2.6</v>
      </c>
      <c r="R170" s="662">
        <f t="shared" si="23"/>
        <v>10845</v>
      </c>
      <c r="S170" s="662">
        <f t="shared" si="24"/>
        <v>70495</v>
      </c>
      <c r="T170" s="663">
        <f t="shared" si="28"/>
        <v>0</v>
      </c>
      <c r="U170" s="663">
        <f t="shared" si="25"/>
        <v>81340</v>
      </c>
      <c r="V170" s="664"/>
      <c r="W170" s="664"/>
      <c r="X170" s="664"/>
      <c r="Y170" s="664"/>
      <c r="Z170" s="664"/>
      <c r="AA170" s="664"/>
      <c r="AB170" s="664"/>
      <c r="AC170" s="664"/>
      <c r="AD170" s="664"/>
      <c r="AE170" s="664"/>
      <c r="AF170" s="664"/>
    </row>
    <row r="171" spans="2:32" ht="14.65">
      <c r="B171" s="653">
        <f t="shared" si="26"/>
        <v>167</v>
      </c>
      <c r="C171" s="654" t="s">
        <v>568</v>
      </c>
      <c r="D171" s="654" t="s">
        <v>3459</v>
      </c>
      <c r="E171" s="655" t="s">
        <v>611</v>
      </c>
      <c r="F171" s="656">
        <v>44842</v>
      </c>
      <c r="G171" s="656">
        <v>44870</v>
      </c>
      <c r="H171" s="654" t="s">
        <v>763</v>
      </c>
      <c r="I171" s="657">
        <v>44870</v>
      </c>
      <c r="J171" s="658">
        <v>577539</v>
      </c>
      <c r="K171" s="628"/>
      <c r="L171" s="628"/>
      <c r="M171" s="628">
        <v>88099</v>
      </c>
      <c r="N171" s="628">
        <f t="shared" si="21"/>
        <v>489440</v>
      </c>
      <c r="O171" s="659">
        <f t="shared" si="27"/>
        <v>146</v>
      </c>
      <c r="P171" s="660">
        <v>3</v>
      </c>
      <c r="Q171" s="661">
        <f t="shared" si="22"/>
        <v>2.6</v>
      </c>
      <c r="R171" s="662">
        <f t="shared" si="23"/>
        <v>65259</v>
      </c>
      <c r="S171" s="662">
        <f t="shared" si="24"/>
        <v>424181</v>
      </c>
      <c r="T171" s="663">
        <f t="shared" si="28"/>
        <v>0</v>
      </c>
      <c r="U171" s="663">
        <f t="shared" si="25"/>
        <v>489440</v>
      </c>
      <c r="V171" s="664"/>
      <c r="W171" s="664"/>
      <c r="X171" s="664"/>
      <c r="Y171" s="664"/>
      <c r="Z171" s="664"/>
      <c r="AA171" s="664"/>
      <c r="AB171" s="664"/>
      <c r="AC171" s="664"/>
      <c r="AD171" s="664"/>
      <c r="AE171" s="664"/>
      <c r="AF171" s="664"/>
    </row>
    <row r="172" spans="2:32" ht="14.65">
      <c r="B172" s="653">
        <f t="shared" si="26"/>
        <v>168</v>
      </c>
      <c r="C172" s="654" t="s">
        <v>568</v>
      </c>
      <c r="D172" s="654" t="s">
        <v>3459</v>
      </c>
      <c r="E172" s="655" t="s">
        <v>612</v>
      </c>
      <c r="F172" s="656">
        <v>44875</v>
      </c>
      <c r="G172" s="656">
        <v>44875</v>
      </c>
      <c r="H172" s="654" t="s">
        <v>763</v>
      </c>
      <c r="I172" s="657">
        <v>44875</v>
      </c>
      <c r="J172" s="658">
        <v>152773</v>
      </c>
      <c r="K172" s="628"/>
      <c r="L172" s="628"/>
      <c r="M172" s="628">
        <v>23304</v>
      </c>
      <c r="N172" s="628">
        <f t="shared" si="21"/>
        <v>129469</v>
      </c>
      <c r="O172" s="659">
        <f t="shared" si="27"/>
        <v>141</v>
      </c>
      <c r="P172" s="660">
        <v>3</v>
      </c>
      <c r="Q172" s="661">
        <f t="shared" si="22"/>
        <v>2.6136986301369864</v>
      </c>
      <c r="R172" s="662">
        <f t="shared" si="23"/>
        <v>16671</v>
      </c>
      <c r="S172" s="662">
        <f t="shared" si="24"/>
        <v>112798</v>
      </c>
      <c r="T172" s="663">
        <f t="shared" si="28"/>
        <v>0</v>
      </c>
      <c r="U172" s="663">
        <f t="shared" si="25"/>
        <v>129469</v>
      </c>
      <c r="V172" s="664"/>
      <c r="W172" s="664"/>
      <c r="X172" s="664"/>
      <c r="Y172" s="664"/>
      <c r="Z172" s="664"/>
      <c r="AA172" s="664"/>
      <c r="AB172" s="664"/>
      <c r="AC172" s="664"/>
      <c r="AD172" s="664"/>
      <c r="AE172" s="664"/>
      <c r="AF172" s="664"/>
    </row>
    <row r="173" spans="2:32" ht="14.65">
      <c r="B173" s="653">
        <f t="shared" si="26"/>
        <v>169</v>
      </c>
      <c r="C173" s="654" t="s">
        <v>568</v>
      </c>
      <c r="D173" s="654" t="s">
        <v>3459</v>
      </c>
      <c r="E173" s="655" t="s">
        <v>613</v>
      </c>
      <c r="F173" s="656">
        <v>44881</v>
      </c>
      <c r="G173" s="656">
        <v>44881</v>
      </c>
      <c r="H173" s="654" t="s">
        <v>763</v>
      </c>
      <c r="I173" s="657">
        <v>44881</v>
      </c>
      <c r="J173" s="658">
        <v>148975</v>
      </c>
      <c r="K173" s="628"/>
      <c r="L173" s="628"/>
      <c r="M173" s="628">
        <v>22725</v>
      </c>
      <c r="N173" s="628">
        <f t="shared" si="21"/>
        <v>126250</v>
      </c>
      <c r="O173" s="659">
        <f t="shared" si="27"/>
        <v>135</v>
      </c>
      <c r="P173" s="660">
        <v>3</v>
      </c>
      <c r="Q173" s="661">
        <f t="shared" si="22"/>
        <v>2.6301369863013697</v>
      </c>
      <c r="R173" s="662">
        <f t="shared" si="23"/>
        <v>15565</v>
      </c>
      <c r="S173" s="662">
        <f t="shared" si="24"/>
        <v>110685</v>
      </c>
      <c r="T173" s="663">
        <f t="shared" si="28"/>
        <v>0</v>
      </c>
      <c r="U173" s="663">
        <f t="shared" si="25"/>
        <v>126250</v>
      </c>
      <c r="V173" s="664"/>
      <c r="W173" s="664"/>
      <c r="X173" s="664"/>
      <c r="Y173" s="664"/>
      <c r="Z173" s="664"/>
      <c r="AA173" s="664"/>
      <c r="AB173" s="664"/>
      <c r="AC173" s="664"/>
      <c r="AD173" s="664"/>
      <c r="AE173" s="664"/>
      <c r="AF173" s="664"/>
    </row>
    <row r="174" spans="2:32" ht="14.65">
      <c r="B174" s="653">
        <f t="shared" si="26"/>
        <v>170</v>
      </c>
      <c r="C174" s="654" t="s">
        <v>568</v>
      </c>
      <c r="D174" s="654" t="s">
        <v>3459</v>
      </c>
      <c r="E174" s="655" t="s">
        <v>614</v>
      </c>
      <c r="F174" s="656">
        <v>44881</v>
      </c>
      <c r="G174" s="656">
        <v>44881</v>
      </c>
      <c r="H174" s="654" t="s">
        <v>763</v>
      </c>
      <c r="I174" s="657">
        <v>44881</v>
      </c>
      <c r="J174" s="658">
        <v>1417677</v>
      </c>
      <c r="K174" s="628"/>
      <c r="L174" s="628"/>
      <c r="M174" s="628">
        <v>216256</v>
      </c>
      <c r="N174" s="628">
        <f t="shared" si="21"/>
        <v>1201421</v>
      </c>
      <c r="O174" s="659">
        <f t="shared" si="27"/>
        <v>135</v>
      </c>
      <c r="P174" s="660">
        <v>3</v>
      </c>
      <c r="Q174" s="661">
        <f t="shared" si="22"/>
        <v>2.6301369863013697</v>
      </c>
      <c r="R174" s="662">
        <f t="shared" si="23"/>
        <v>148120</v>
      </c>
      <c r="S174" s="662">
        <f t="shared" si="24"/>
        <v>1053301</v>
      </c>
      <c r="T174" s="663">
        <f t="shared" si="28"/>
        <v>0</v>
      </c>
      <c r="U174" s="663">
        <f t="shared" si="25"/>
        <v>1201421</v>
      </c>
      <c r="V174" s="664"/>
      <c r="W174" s="664"/>
      <c r="X174" s="664"/>
      <c r="Y174" s="664"/>
      <c r="Z174" s="664"/>
      <c r="AA174" s="664"/>
      <c r="AB174" s="664"/>
      <c r="AC174" s="664"/>
      <c r="AD174" s="664"/>
      <c r="AE174" s="664"/>
      <c r="AF174" s="664"/>
    </row>
    <row r="175" spans="2:32" ht="14.65">
      <c r="B175" s="653">
        <f t="shared" si="26"/>
        <v>171</v>
      </c>
      <c r="C175" s="654" t="s">
        <v>568</v>
      </c>
      <c r="D175" s="654" t="s">
        <v>3459</v>
      </c>
      <c r="E175" s="655" t="s">
        <v>615</v>
      </c>
      <c r="F175" s="656">
        <v>44902</v>
      </c>
      <c r="G175" s="656">
        <v>44902</v>
      </c>
      <c r="H175" s="654" t="s">
        <v>763</v>
      </c>
      <c r="I175" s="657">
        <v>44902</v>
      </c>
      <c r="J175" s="658">
        <v>197414</v>
      </c>
      <c r="K175" s="628"/>
      <c r="L175" s="628"/>
      <c r="M175" s="628">
        <v>30114</v>
      </c>
      <c r="N175" s="628">
        <f t="shared" si="21"/>
        <v>167300</v>
      </c>
      <c r="O175" s="659">
        <f t="shared" si="27"/>
        <v>114</v>
      </c>
      <c r="P175" s="660">
        <v>3</v>
      </c>
      <c r="Q175" s="661">
        <f t="shared" si="22"/>
        <v>2.6876712328767125</v>
      </c>
      <c r="R175" s="662">
        <f t="shared" si="23"/>
        <v>17418</v>
      </c>
      <c r="S175" s="662">
        <f t="shared" si="24"/>
        <v>149882</v>
      </c>
      <c r="T175" s="663">
        <f t="shared" si="28"/>
        <v>0</v>
      </c>
      <c r="U175" s="663">
        <f t="shared" si="25"/>
        <v>167300</v>
      </c>
      <c r="V175" s="664"/>
      <c r="W175" s="664"/>
      <c r="X175" s="664"/>
      <c r="Y175" s="664"/>
      <c r="Z175" s="664"/>
      <c r="AA175" s="664"/>
      <c r="AB175" s="664"/>
      <c r="AC175" s="664"/>
      <c r="AD175" s="664"/>
      <c r="AE175" s="664"/>
      <c r="AF175" s="664"/>
    </row>
    <row r="176" spans="2:32" ht="14.65">
      <c r="B176" s="653">
        <f t="shared" si="26"/>
        <v>172</v>
      </c>
      <c r="C176" s="654" t="s">
        <v>568</v>
      </c>
      <c r="D176" s="654" t="s">
        <v>3459</v>
      </c>
      <c r="E176" s="655" t="s">
        <v>616</v>
      </c>
      <c r="F176" s="656">
        <v>44902</v>
      </c>
      <c r="G176" s="656">
        <v>44902</v>
      </c>
      <c r="H176" s="654" t="s">
        <v>763</v>
      </c>
      <c r="I176" s="657">
        <v>44902</v>
      </c>
      <c r="J176" s="658">
        <v>383924</v>
      </c>
      <c r="K176" s="628"/>
      <c r="L176" s="628"/>
      <c r="M176" s="628">
        <v>58564.800000000003</v>
      </c>
      <c r="N176" s="628">
        <f t="shared" si="21"/>
        <v>325359.2</v>
      </c>
      <c r="O176" s="659">
        <f t="shared" si="27"/>
        <v>114</v>
      </c>
      <c r="P176" s="660">
        <v>3</v>
      </c>
      <c r="Q176" s="661">
        <f t="shared" si="22"/>
        <v>2.6876712328767125</v>
      </c>
      <c r="R176" s="662">
        <f t="shared" si="23"/>
        <v>33873</v>
      </c>
      <c r="S176" s="662">
        <f t="shared" si="24"/>
        <v>291486.2</v>
      </c>
      <c r="T176" s="663">
        <f t="shared" si="28"/>
        <v>0</v>
      </c>
      <c r="U176" s="663">
        <f t="shared" si="25"/>
        <v>325359.2</v>
      </c>
      <c r="V176" s="664"/>
      <c r="W176" s="664"/>
      <c r="X176" s="664"/>
      <c r="Y176" s="664"/>
      <c r="Z176" s="664"/>
      <c r="AA176" s="664"/>
      <c r="AB176" s="664"/>
      <c r="AC176" s="664"/>
      <c r="AD176" s="664"/>
      <c r="AE176" s="664"/>
      <c r="AF176" s="664"/>
    </row>
    <row r="177" spans="2:32" ht="14.65">
      <c r="B177" s="653">
        <f t="shared" si="26"/>
        <v>173</v>
      </c>
      <c r="C177" s="654" t="s">
        <v>569</v>
      </c>
      <c r="D177" s="654" t="s">
        <v>3459</v>
      </c>
      <c r="E177" s="655" t="s">
        <v>617</v>
      </c>
      <c r="F177" s="656">
        <v>44830</v>
      </c>
      <c r="G177" s="656">
        <v>44844</v>
      </c>
      <c r="H177" s="654" t="s">
        <v>406</v>
      </c>
      <c r="I177" s="657">
        <v>44844</v>
      </c>
      <c r="J177" s="658">
        <v>2052713</v>
      </c>
      <c r="K177" s="628"/>
      <c r="L177" s="628"/>
      <c r="M177" s="628">
        <v>313126</v>
      </c>
      <c r="N177" s="628">
        <f t="shared" si="21"/>
        <v>1739587</v>
      </c>
      <c r="O177" s="659">
        <f t="shared" si="27"/>
        <v>172</v>
      </c>
      <c r="P177" s="660">
        <v>3</v>
      </c>
      <c r="Q177" s="661">
        <f t="shared" si="22"/>
        <v>2.5287671232876714</v>
      </c>
      <c r="R177" s="662">
        <f t="shared" si="23"/>
        <v>273250</v>
      </c>
      <c r="S177" s="662">
        <f t="shared" si="24"/>
        <v>1466337</v>
      </c>
      <c r="T177" s="663">
        <f t="shared" si="28"/>
        <v>0</v>
      </c>
      <c r="U177" s="663">
        <f t="shared" si="25"/>
        <v>1739587</v>
      </c>
      <c r="V177" s="664"/>
      <c r="W177" s="664"/>
      <c r="X177" s="664"/>
      <c r="Y177" s="664"/>
      <c r="Z177" s="664"/>
      <c r="AA177" s="664"/>
      <c r="AB177" s="664"/>
      <c r="AC177" s="664"/>
      <c r="AD177" s="664"/>
      <c r="AE177" s="664"/>
      <c r="AF177" s="664"/>
    </row>
    <row r="178" spans="2:32" ht="14.65">
      <c r="B178" s="653">
        <f t="shared" si="26"/>
        <v>174</v>
      </c>
      <c r="C178" s="654" t="s">
        <v>569</v>
      </c>
      <c r="D178" s="654" t="s">
        <v>3459</v>
      </c>
      <c r="E178" s="655" t="s">
        <v>618</v>
      </c>
      <c r="F178" s="656">
        <v>44847</v>
      </c>
      <c r="G178" s="656">
        <v>44870</v>
      </c>
      <c r="H178" s="654" t="s">
        <v>406</v>
      </c>
      <c r="I178" s="657">
        <v>44870</v>
      </c>
      <c r="J178" s="658">
        <v>2448604</v>
      </c>
      <c r="K178" s="628"/>
      <c r="L178" s="628"/>
      <c r="M178" s="628">
        <v>373515.84</v>
      </c>
      <c r="N178" s="628">
        <f t="shared" si="21"/>
        <v>2075088.16</v>
      </c>
      <c r="O178" s="659">
        <f t="shared" si="27"/>
        <v>146</v>
      </c>
      <c r="P178" s="660">
        <v>3</v>
      </c>
      <c r="Q178" s="661">
        <f t="shared" si="22"/>
        <v>2.6</v>
      </c>
      <c r="R178" s="662">
        <f t="shared" si="23"/>
        <v>276678</v>
      </c>
      <c r="S178" s="662">
        <f t="shared" si="24"/>
        <v>1798410.16</v>
      </c>
      <c r="T178" s="663">
        <f t="shared" si="28"/>
        <v>0</v>
      </c>
      <c r="U178" s="663">
        <f t="shared" si="25"/>
        <v>2075088.16</v>
      </c>
      <c r="V178" s="664"/>
      <c r="W178" s="664"/>
      <c r="X178" s="664"/>
      <c r="Y178" s="664"/>
      <c r="Z178" s="664"/>
      <c r="AA178" s="664"/>
      <c r="AB178" s="664"/>
      <c r="AC178" s="664"/>
      <c r="AD178" s="664"/>
      <c r="AE178" s="664"/>
      <c r="AF178" s="664"/>
    </row>
    <row r="179" spans="2:32" ht="14.65">
      <c r="B179" s="653">
        <f t="shared" si="26"/>
        <v>175</v>
      </c>
      <c r="C179" s="654" t="s">
        <v>569</v>
      </c>
      <c r="D179" s="654" t="s">
        <v>3459</v>
      </c>
      <c r="E179" s="655" t="s">
        <v>619</v>
      </c>
      <c r="F179" s="656">
        <v>44888</v>
      </c>
      <c r="G179" s="656">
        <v>44890</v>
      </c>
      <c r="H179" s="654" t="s">
        <v>406</v>
      </c>
      <c r="I179" s="657">
        <v>44890</v>
      </c>
      <c r="J179" s="658">
        <v>2578039</v>
      </c>
      <c r="K179" s="628"/>
      <c r="L179" s="628"/>
      <c r="M179" s="628">
        <v>393260</v>
      </c>
      <c r="N179" s="628">
        <f t="shared" si="21"/>
        <v>2184779</v>
      </c>
      <c r="O179" s="659">
        <f t="shared" si="27"/>
        <v>126</v>
      </c>
      <c r="P179" s="660">
        <v>3</v>
      </c>
      <c r="Q179" s="661">
        <f t="shared" si="22"/>
        <v>2.6547945205479451</v>
      </c>
      <c r="R179" s="662">
        <f t="shared" si="23"/>
        <v>251399</v>
      </c>
      <c r="S179" s="662">
        <f t="shared" si="24"/>
        <v>1933380</v>
      </c>
      <c r="T179" s="663">
        <f t="shared" si="28"/>
        <v>0</v>
      </c>
      <c r="U179" s="663">
        <f t="shared" si="25"/>
        <v>2184779</v>
      </c>
      <c r="V179" s="664"/>
      <c r="W179" s="664"/>
      <c r="X179" s="664"/>
      <c r="Y179" s="664"/>
      <c r="Z179" s="664"/>
      <c r="AA179" s="664"/>
      <c r="AB179" s="664"/>
      <c r="AC179" s="664"/>
      <c r="AD179" s="664"/>
      <c r="AE179" s="664"/>
      <c r="AF179" s="664"/>
    </row>
    <row r="180" spans="2:32" ht="14.65">
      <c r="B180" s="653">
        <f t="shared" si="26"/>
        <v>176</v>
      </c>
      <c r="C180" s="654" t="s">
        <v>569</v>
      </c>
      <c r="D180" s="654" t="s">
        <v>3459</v>
      </c>
      <c r="E180" s="655" t="s">
        <v>620</v>
      </c>
      <c r="F180" s="656">
        <v>44888</v>
      </c>
      <c r="G180" s="656">
        <v>44896</v>
      </c>
      <c r="H180" s="654" t="s">
        <v>406</v>
      </c>
      <c r="I180" s="657">
        <v>44896</v>
      </c>
      <c r="J180" s="658">
        <v>229019</v>
      </c>
      <c r="K180" s="628"/>
      <c r="L180" s="628"/>
      <c r="M180" s="628">
        <v>34935</v>
      </c>
      <c r="N180" s="628">
        <f t="shared" si="21"/>
        <v>194084</v>
      </c>
      <c r="O180" s="659">
        <f t="shared" si="27"/>
        <v>120</v>
      </c>
      <c r="P180" s="660">
        <v>3</v>
      </c>
      <c r="Q180" s="661">
        <f t="shared" si="22"/>
        <v>2.6712328767123288</v>
      </c>
      <c r="R180" s="662">
        <f t="shared" si="23"/>
        <v>21269</v>
      </c>
      <c r="S180" s="662">
        <f t="shared" si="24"/>
        <v>172815</v>
      </c>
      <c r="T180" s="663">
        <f t="shared" si="28"/>
        <v>0</v>
      </c>
      <c r="U180" s="663">
        <f t="shared" si="25"/>
        <v>194084</v>
      </c>
      <c r="V180" s="664"/>
      <c r="W180" s="664"/>
      <c r="X180" s="664"/>
      <c r="Y180" s="664"/>
      <c r="Z180" s="664"/>
      <c r="AA180" s="664"/>
      <c r="AB180" s="664"/>
      <c r="AC180" s="664"/>
      <c r="AD180" s="664"/>
      <c r="AE180" s="664"/>
      <c r="AF180" s="664"/>
    </row>
    <row r="181" spans="2:32" ht="14.65">
      <c r="B181" s="653">
        <f t="shared" si="26"/>
        <v>177</v>
      </c>
      <c r="C181" s="654" t="s">
        <v>327</v>
      </c>
      <c r="D181" s="654" t="s">
        <v>3459</v>
      </c>
      <c r="E181" s="655" t="s">
        <v>621</v>
      </c>
      <c r="F181" s="656">
        <v>44862</v>
      </c>
      <c r="G181" s="656">
        <v>44891</v>
      </c>
      <c r="H181" s="654" t="s">
        <v>764</v>
      </c>
      <c r="I181" s="657">
        <v>44891</v>
      </c>
      <c r="J181" s="658">
        <v>625400</v>
      </c>
      <c r="K181" s="628"/>
      <c r="L181" s="628"/>
      <c r="M181" s="628">
        <v>95400</v>
      </c>
      <c r="N181" s="628">
        <f t="shared" si="21"/>
        <v>530000</v>
      </c>
      <c r="O181" s="659">
        <f t="shared" si="27"/>
        <v>125</v>
      </c>
      <c r="P181" s="660">
        <v>9</v>
      </c>
      <c r="Q181" s="661">
        <f t="shared" si="22"/>
        <v>8.6575342465753433</v>
      </c>
      <c r="R181" s="662">
        <f t="shared" si="23"/>
        <v>20167</v>
      </c>
      <c r="S181" s="662">
        <f t="shared" si="24"/>
        <v>509833</v>
      </c>
      <c r="T181" s="663">
        <f t="shared" ref="T181:T212" si="29">IF(I181&lt;=DATE(2022,9,30),N181,0)</f>
        <v>0</v>
      </c>
      <c r="U181" s="663">
        <f t="shared" si="25"/>
        <v>530000</v>
      </c>
      <c r="V181" s="664"/>
      <c r="W181" s="664"/>
      <c r="X181" s="664"/>
      <c r="Y181" s="664"/>
      <c r="Z181" s="664"/>
      <c r="AA181" s="664"/>
      <c r="AB181" s="664"/>
      <c r="AC181" s="664"/>
      <c r="AD181" s="664"/>
      <c r="AE181" s="664"/>
      <c r="AF181" s="664"/>
    </row>
    <row r="182" spans="2:32" ht="14.65">
      <c r="B182" s="653">
        <f t="shared" si="26"/>
        <v>178</v>
      </c>
      <c r="C182" s="654" t="s">
        <v>327</v>
      </c>
      <c r="D182" s="654" t="s">
        <v>3459</v>
      </c>
      <c r="E182" s="655" t="s">
        <v>622</v>
      </c>
      <c r="F182" s="656">
        <v>44904</v>
      </c>
      <c r="G182" s="656">
        <v>44904</v>
      </c>
      <c r="H182" s="654" t="s">
        <v>764</v>
      </c>
      <c r="I182" s="657">
        <v>44904</v>
      </c>
      <c r="J182" s="658">
        <v>1310980</v>
      </c>
      <c r="K182" s="628">
        <v>0</v>
      </c>
      <c r="L182" s="628">
        <v>12980</v>
      </c>
      <c r="M182" s="628">
        <v>198000</v>
      </c>
      <c r="N182" s="628">
        <f t="shared" si="21"/>
        <v>1100000</v>
      </c>
      <c r="O182" s="659">
        <f t="shared" si="27"/>
        <v>112</v>
      </c>
      <c r="P182" s="660">
        <v>9</v>
      </c>
      <c r="Q182" s="661">
        <f t="shared" si="22"/>
        <v>8.6931506849315063</v>
      </c>
      <c r="R182" s="662">
        <f t="shared" si="23"/>
        <v>37504</v>
      </c>
      <c r="S182" s="662">
        <f t="shared" si="24"/>
        <v>1062496</v>
      </c>
      <c r="T182" s="663">
        <f t="shared" si="29"/>
        <v>0</v>
      </c>
      <c r="U182" s="663">
        <f t="shared" si="25"/>
        <v>1100000</v>
      </c>
      <c r="V182" s="664"/>
      <c r="W182" s="664"/>
      <c r="X182" s="664"/>
      <c r="Y182" s="664"/>
      <c r="Z182" s="664"/>
      <c r="AA182" s="664"/>
      <c r="AB182" s="664"/>
      <c r="AC182" s="664"/>
      <c r="AD182" s="664"/>
      <c r="AE182" s="664"/>
      <c r="AF182" s="664"/>
    </row>
    <row r="183" spans="2:32" ht="14.65">
      <c r="B183" s="653">
        <f t="shared" si="26"/>
        <v>179</v>
      </c>
      <c r="C183" s="654" t="s">
        <v>327</v>
      </c>
      <c r="D183" s="654" t="s">
        <v>3459</v>
      </c>
      <c r="E183" s="655" t="s">
        <v>623</v>
      </c>
      <c r="F183" s="656">
        <v>44904</v>
      </c>
      <c r="G183" s="656">
        <v>44904</v>
      </c>
      <c r="H183" s="654" t="s">
        <v>764</v>
      </c>
      <c r="I183" s="657">
        <v>44904</v>
      </c>
      <c r="J183" s="658">
        <v>1310980</v>
      </c>
      <c r="K183" s="628">
        <v>0</v>
      </c>
      <c r="L183" s="628">
        <v>12980</v>
      </c>
      <c r="M183" s="628">
        <v>198000</v>
      </c>
      <c r="N183" s="628">
        <f t="shared" si="21"/>
        <v>1100000</v>
      </c>
      <c r="O183" s="659">
        <f t="shared" si="27"/>
        <v>112</v>
      </c>
      <c r="P183" s="660">
        <v>9</v>
      </c>
      <c r="Q183" s="661">
        <f t="shared" si="22"/>
        <v>8.6931506849315063</v>
      </c>
      <c r="R183" s="662">
        <f t="shared" si="23"/>
        <v>37504</v>
      </c>
      <c r="S183" s="662">
        <f t="shared" si="24"/>
        <v>1062496</v>
      </c>
      <c r="T183" s="663">
        <f t="shared" si="29"/>
        <v>0</v>
      </c>
      <c r="U183" s="663">
        <f t="shared" si="25"/>
        <v>1100000</v>
      </c>
      <c r="V183" s="664"/>
      <c r="W183" s="664"/>
      <c r="X183" s="664"/>
      <c r="Y183" s="664"/>
      <c r="Z183" s="664"/>
      <c r="AA183" s="664"/>
      <c r="AB183" s="664"/>
      <c r="AC183" s="664"/>
      <c r="AD183" s="664"/>
      <c r="AE183" s="664"/>
      <c r="AF183" s="664"/>
    </row>
    <row r="184" spans="2:32" ht="14.65">
      <c r="B184" s="653">
        <f t="shared" si="26"/>
        <v>180</v>
      </c>
      <c r="C184" s="654" t="s">
        <v>570</v>
      </c>
      <c r="D184" s="654" t="s">
        <v>3459</v>
      </c>
      <c r="E184" s="655">
        <v>1878</v>
      </c>
      <c r="F184" s="656">
        <v>44915</v>
      </c>
      <c r="G184" s="656">
        <v>44924</v>
      </c>
      <c r="H184" s="654" t="s">
        <v>765</v>
      </c>
      <c r="I184" s="657">
        <v>44924</v>
      </c>
      <c r="J184" s="658">
        <v>180372</v>
      </c>
      <c r="K184" s="628"/>
      <c r="L184" s="628"/>
      <c r="M184" s="628">
        <v>27514</v>
      </c>
      <c r="N184" s="628">
        <f t="shared" si="21"/>
        <v>152858</v>
      </c>
      <c r="O184" s="659">
        <f t="shared" si="27"/>
        <v>92</v>
      </c>
      <c r="P184" s="660">
        <v>9</v>
      </c>
      <c r="Q184" s="661">
        <f t="shared" si="22"/>
        <v>8.7479452054794518</v>
      </c>
      <c r="R184" s="662">
        <f t="shared" si="23"/>
        <v>4281</v>
      </c>
      <c r="S184" s="662">
        <f t="shared" si="24"/>
        <v>148577</v>
      </c>
      <c r="T184" s="663">
        <f t="shared" si="29"/>
        <v>0</v>
      </c>
      <c r="U184" s="663">
        <f t="shared" si="25"/>
        <v>152858</v>
      </c>
      <c r="V184" s="664"/>
      <c r="W184" s="664"/>
      <c r="X184" s="664"/>
      <c r="Y184" s="664"/>
      <c r="Z184" s="664"/>
      <c r="AA184" s="664"/>
      <c r="AB184" s="664"/>
      <c r="AC184" s="664"/>
      <c r="AD184" s="664"/>
      <c r="AE184" s="664"/>
      <c r="AF184" s="664"/>
    </row>
    <row r="185" spans="2:32" ht="14.65">
      <c r="B185" s="653">
        <f t="shared" si="26"/>
        <v>181</v>
      </c>
      <c r="C185" s="654" t="s">
        <v>570</v>
      </c>
      <c r="D185" s="654" t="s">
        <v>3459</v>
      </c>
      <c r="E185" s="655">
        <v>1911</v>
      </c>
      <c r="F185" s="656">
        <v>44919</v>
      </c>
      <c r="G185" s="656">
        <v>44926</v>
      </c>
      <c r="H185" s="654" t="s">
        <v>765</v>
      </c>
      <c r="I185" s="657">
        <v>44926</v>
      </c>
      <c r="J185" s="658">
        <v>34739</v>
      </c>
      <c r="K185" s="628"/>
      <c r="L185" s="628"/>
      <c r="M185" s="628">
        <v>5299</v>
      </c>
      <c r="N185" s="628">
        <f t="shared" si="21"/>
        <v>29440</v>
      </c>
      <c r="O185" s="659">
        <f t="shared" si="27"/>
        <v>90</v>
      </c>
      <c r="P185" s="660">
        <v>9</v>
      </c>
      <c r="Q185" s="661">
        <f t="shared" si="22"/>
        <v>8.7534246575342465</v>
      </c>
      <c r="R185" s="662">
        <f t="shared" si="23"/>
        <v>807</v>
      </c>
      <c r="S185" s="662">
        <f t="shared" si="24"/>
        <v>28633</v>
      </c>
      <c r="T185" s="663">
        <f t="shared" si="29"/>
        <v>0</v>
      </c>
      <c r="U185" s="663">
        <f t="shared" si="25"/>
        <v>29440</v>
      </c>
      <c r="V185" s="664"/>
      <c r="W185" s="664"/>
      <c r="X185" s="664"/>
      <c r="Y185" s="664"/>
      <c r="Z185" s="664"/>
      <c r="AA185" s="664"/>
      <c r="AB185" s="664"/>
      <c r="AC185" s="664"/>
      <c r="AD185" s="664"/>
      <c r="AE185" s="664"/>
      <c r="AF185" s="664"/>
    </row>
    <row r="186" spans="2:32" ht="14.65">
      <c r="B186" s="653">
        <f t="shared" si="26"/>
        <v>182</v>
      </c>
      <c r="C186" s="654" t="s">
        <v>71</v>
      </c>
      <c r="D186" s="654" t="s">
        <v>3459</v>
      </c>
      <c r="E186" s="655" t="s">
        <v>624</v>
      </c>
      <c r="F186" s="656">
        <v>44862</v>
      </c>
      <c r="G186" s="656">
        <v>44862</v>
      </c>
      <c r="H186" s="654" t="s">
        <v>766</v>
      </c>
      <c r="I186" s="657">
        <v>44862</v>
      </c>
      <c r="J186" s="658">
        <v>3743750</v>
      </c>
      <c r="K186" s="628"/>
      <c r="L186" s="628">
        <v>38614</v>
      </c>
      <c r="M186" s="628">
        <v>844678</v>
      </c>
      <c r="N186" s="628">
        <f t="shared" si="21"/>
        <v>2860458</v>
      </c>
      <c r="O186" s="659">
        <f t="shared" si="27"/>
        <v>154</v>
      </c>
      <c r="P186" s="660">
        <v>9</v>
      </c>
      <c r="Q186" s="661">
        <f t="shared" si="22"/>
        <v>8.5780821917808225</v>
      </c>
      <c r="R186" s="662">
        <f t="shared" si="23"/>
        <v>134098</v>
      </c>
      <c r="S186" s="662">
        <f t="shared" si="24"/>
        <v>2726360</v>
      </c>
      <c r="T186" s="663">
        <f t="shared" si="29"/>
        <v>0</v>
      </c>
      <c r="U186" s="663">
        <f t="shared" si="25"/>
        <v>2860458</v>
      </c>
      <c r="V186" s="664"/>
      <c r="W186" s="664"/>
      <c r="X186" s="664"/>
      <c r="Y186" s="664"/>
      <c r="Z186" s="664"/>
      <c r="AA186" s="664"/>
      <c r="AB186" s="664"/>
      <c r="AC186" s="664"/>
      <c r="AD186" s="664"/>
      <c r="AE186" s="664"/>
      <c r="AF186" s="664"/>
    </row>
    <row r="187" spans="2:32" ht="14.65">
      <c r="B187" s="653">
        <f t="shared" si="26"/>
        <v>183</v>
      </c>
      <c r="C187" s="654" t="s">
        <v>71</v>
      </c>
      <c r="D187" s="654" t="s">
        <v>3459</v>
      </c>
      <c r="E187" s="655" t="s">
        <v>625</v>
      </c>
      <c r="F187" s="656">
        <v>44862</v>
      </c>
      <c r="G187" s="656">
        <v>44862</v>
      </c>
      <c r="H187" s="654" t="s">
        <v>766</v>
      </c>
      <c r="I187" s="657">
        <v>44862</v>
      </c>
      <c r="J187" s="658">
        <v>3743750</v>
      </c>
      <c r="K187" s="628"/>
      <c r="L187" s="628">
        <v>38614</v>
      </c>
      <c r="M187" s="628">
        <v>844678</v>
      </c>
      <c r="N187" s="628">
        <f t="shared" si="21"/>
        <v>2860458</v>
      </c>
      <c r="O187" s="659">
        <f t="shared" si="27"/>
        <v>154</v>
      </c>
      <c r="P187" s="660">
        <v>9</v>
      </c>
      <c r="Q187" s="661">
        <f t="shared" si="22"/>
        <v>8.5780821917808225</v>
      </c>
      <c r="R187" s="662">
        <f t="shared" si="23"/>
        <v>134098</v>
      </c>
      <c r="S187" s="662">
        <f t="shared" si="24"/>
        <v>2726360</v>
      </c>
      <c r="T187" s="663">
        <f t="shared" si="29"/>
        <v>0</v>
      </c>
      <c r="U187" s="663">
        <f t="shared" si="25"/>
        <v>2860458</v>
      </c>
      <c r="V187" s="664"/>
      <c r="W187" s="664"/>
      <c r="X187" s="664"/>
      <c r="Y187" s="664"/>
      <c r="Z187" s="664"/>
      <c r="AA187" s="664"/>
      <c r="AB187" s="664"/>
      <c r="AC187" s="664"/>
      <c r="AD187" s="664"/>
      <c r="AE187" s="664"/>
      <c r="AF187" s="664"/>
    </row>
    <row r="188" spans="2:32" ht="14.65">
      <c r="B188" s="653">
        <f t="shared" si="26"/>
        <v>184</v>
      </c>
      <c r="C188" s="654" t="s">
        <v>71</v>
      </c>
      <c r="D188" s="654" t="s">
        <v>3459</v>
      </c>
      <c r="E188" s="655" t="s">
        <v>626</v>
      </c>
      <c r="F188" s="656">
        <v>44862</v>
      </c>
      <c r="G188" s="656">
        <v>44862</v>
      </c>
      <c r="H188" s="654" t="s">
        <v>766</v>
      </c>
      <c r="I188" s="657">
        <v>44862</v>
      </c>
      <c r="J188" s="658">
        <v>3743750</v>
      </c>
      <c r="K188" s="628"/>
      <c r="L188" s="628">
        <v>38614</v>
      </c>
      <c r="M188" s="628">
        <v>844678</v>
      </c>
      <c r="N188" s="628">
        <f t="shared" si="21"/>
        <v>2860458</v>
      </c>
      <c r="O188" s="659">
        <f t="shared" si="27"/>
        <v>154</v>
      </c>
      <c r="P188" s="660">
        <v>9</v>
      </c>
      <c r="Q188" s="661">
        <f t="shared" si="22"/>
        <v>8.5780821917808225</v>
      </c>
      <c r="R188" s="662">
        <f t="shared" si="23"/>
        <v>134098</v>
      </c>
      <c r="S188" s="662">
        <f t="shared" si="24"/>
        <v>2726360</v>
      </c>
      <c r="T188" s="663">
        <f t="shared" si="29"/>
        <v>0</v>
      </c>
      <c r="U188" s="663">
        <f t="shared" si="25"/>
        <v>2860458</v>
      </c>
      <c r="V188" s="664"/>
      <c r="W188" s="664"/>
      <c r="X188" s="664"/>
      <c r="Y188" s="664"/>
      <c r="Z188" s="664"/>
      <c r="AA188" s="664"/>
      <c r="AB188" s="664"/>
      <c r="AC188" s="664"/>
      <c r="AD188" s="664"/>
      <c r="AE188" s="664"/>
      <c r="AF188" s="664"/>
    </row>
    <row r="189" spans="2:32" ht="14.65">
      <c r="B189" s="653">
        <f t="shared" si="26"/>
        <v>185</v>
      </c>
      <c r="C189" s="654" t="s">
        <v>71</v>
      </c>
      <c r="D189" s="654" t="s">
        <v>3459</v>
      </c>
      <c r="E189" s="655" t="s">
        <v>627</v>
      </c>
      <c r="F189" s="656">
        <v>44907</v>
      </c>
      <c r="G189" s="656">
        <v>44907</v>
      </c>
      <c r="H189" s="654" t="s">
        <v>766</v>
      </c>
      <c r="I189" s="657">
        <v>44907</v>
      </c>
      <c r="J189" s="658">
        <v>1893750</v>
      </c>
      <c r="K189" s="628"/>
      <c r="L189" s="628">
        <v>20297</v>
      </c>
      <c r="M189" s="628">
        <v>443998</v>
      </c>
      <c r="N189" s="628">
        <f t="shared" si="21"/>
        <v>1429455</v>
      </c>
      <c r="O189" s="659">
        <f t="shared" si="27"/>
        <v>109</v>
      </c>
      <c r="P189" s="660">
        <v>9</v>
      </c>
      <c r="Q189" s="661">
        <f t="shared" si="22"/>
        <v>8.7013698630136993</v>
      </c>
      <c r="R189" s="662">
        <f t="shared" si="23"/>
        <v>47431</v>
      </c>
      <c r="S189" s="662">
        <f t="shared" si="24"/>
        <v>1382024</v>
      </c>
      <c r="T189" s="663">
        <f t="shared" si="29"/>
        <v>0</v>
      </c>
      <c r="U189" s="663">
        <f t="shared" si="25"/>
        <v>1429455</v>
      </c>
      <c r="V189" s="664"/>
      <c r="W189" s="664"/>
      <c r="X189" s="664"/>
      <c r="Y189" s="664"/>
      <c r="Z189" s="664"/>
      <c r="AA189" s="664"/>
      <c r="AB189" s="664"/>
      <c r="AC189" s="664"/>
      <c r="AD189" s="664"/>
      <c r="AE189" s="664"/>
      <c r="AF189" s="664"/>
    </row>
    <row r="190" spans="2:32" ht="14.65">
      <c r="B190" s="653">
        <f t="shared" si="26"/>
        <v>186</v>
      </c>
      <c r="C190" s="654" t="s">
        <v>71</v>
      </c>
      <c r="D190" s="654" t="s">
        <v>3459</v>
      </c>
      <c r="E190" s="655" t="s">
        <v>628</v>
      </c>
      <c r="F190" s="656">
        <v>44907</v>
      </c>
      <c r="G190" s="656">
        <v>44907</v>
      </c>
      <c r="H190" s="654" t="s">
        <v>766</v>
      </c>
      <c r="I190" s="657">
        <v>44907</v>
      </c>
      <c r="J190" s="658">
        <v>1893750</v>
      </c>
      <c r="K190" s="628"/>
      <c r="L190" s="628">
        <v>20297</v>
      </c>
      <c r="M190" s="628">
        <v>443998</v>
      </c>
      <c r="N190" s="628">
        <f t="shared" si="21"/>
        <v>1429455</v>
      </c>
      <c r="O190" s="659">
        <f t="shared" si="27"/>
        <v>109</v>
      </c>
      <c r="P190" s="660">
        <v>9</v>
      </c>
      <c r="Q190" s="661">
        <f t="shared" si="22"/>
        <v>8.7013698630136993</v>
      </c>
      <c r="R190" s="662">
        <f t="shared" si="23"/>
        <v>47431</v>
      </c>
      <c r="S190" s="662">
        <f t="shared" si="24"/>
        <v>1382024</v>
      </c>
      <c r="T190" s="663">
        <f t="shared" si="29"/>
        <v>0</v>
      </c>
      <c r="U190" s="663">
        <f t="shared" si="25"/>
        <v>1429455</v>
      </c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</row>
    <row r="191" spans="2:32" ht="14.65">
      <c r="B191" s="653">
        <f t="shared" si="26"/>
        <v>187</v>
      </c>
      <c r="C191" s="654" t="s">
        <v>71</v>
      </c>
      <c r="D191" s="654" t="s">
        <v>3459</v>
      </c>
      <c r="E191" s="655" t="s">
        <v>629</v>
      </c>
      <c r="F191" s="656">
        <v>44907</v>
      </c>
      <c r="G191" s="656">
        <v>44907</v>
      </c>
      <c r="H191" s="654" t="s">
        <v>766</v>
      </c>
      <c r="I191" s="657">
        <v>44907</v>
      </c>
      <c r="J191" s="658">
        <v>1893750</v>
      </c>
      <c r="K191" s="628"/>
      <c r="L191" s="628">
        <v>20297</v>
      </c>
      <c r="M191" s="628">
        <v>443998</v>
      </c>
      <c r="N191" s="628">
        <f t="shared" si="21"/>
        <v>1429455</v>
      </c>
      <c r="O191" s="659">
        <f t="shared" si="27"/>
        <v>109</v>
      </c>
      <c r="P191" s="660">
        <v>9</v>
      </c>
      <c r="Q191" s="661">
        <f t="shared" si="22"/>
        <v>8.7013698630136993</v>
      </c>
      <c r="R191" s="662">
        <f t="shared" si="23"/>
        <v>47431</v>
      </c>
      <c r="S191" s="662">
        <f t="shared" si="24"/>
        <v>1382024</v>
      </c>
      <c r="T191" s="663">
        <f t="shared" si="29"/>
        <v>0</v>
      </c>
      <c r="U191" s="663">
        <f t="shared" si="25"/>
        <v>1429455</v>
      </c>
      <c r="V191" s="664"/>
      <c r="W191" s="664"/>
      <c r="X191" s="664"/>
      <c r="Y191" s="664"/>
      <c r="Z191" s="664"/>
      <c r="AA191" s="664"/>
      <c r="AB191" s="664"/>
      <c r="AC191" s="664"/>
      <c r="AD191" s="664"/>
      <c r="AE191" s="664"/>
      <c r="AF191" s="664"/>
    </row>
    <row r="192" spans="2:32" ht="14.65">
      <c r="B192" s="653">
        <f t="shared" si="26"/>
        <v>188</v>
      </c>
      <c r="C192" s="654" t="s">
        <v>71</v>
      </c>
      <c r="D192" s="654" t="s">
        <v>3459</v>
      </c>
      <c r="E192" s="655" t="s">
        <v>630</v>
      </c>
      <c r="F192" s="690">
        <v>44908</v>
      </c>
      <c r="G192" s="690">
        <v>44908</v>
      </c>
      <c r="H192" s="654" t="s">
        <v>766</v>
      </c>
      <c r="I192" s="657">
        <v>44908</v>
      </c>
      <c r="J192" s="691">
        <v>4273750</v>
      </c>
      <c r="K192" s="628"/>
      <c r="L192" s="628">
        <v>43861</v>
      </c>
      <c r="M192" s="628">
        <v>959468</v>
      </c>
      <c r="N192" s="628">
        <f t="shared" si="21"/>
        <v>3270421</v>
      </c>
      <c r="O192" s="659">
        <f t="shared" si="27"/>
        <v>108</v>
      </c>
      <c r="P192" s="660">
        <v>9</v>
      </c>
      <c r="Q192" s="661">
        <f t="shared" si="22"/>
        <v>8.7041095890410958</v>
      </c>
      <c r="R192" s="662">
        <f t="shared" si="23"/>
        <v>107521</v>
      </c>
      <c r="S192" s="662">
        <f t="shared" si="24"/>
        <v>3162900</v>
      </c>
      <c r="T192" s="663">
        <f t="shared" si="29"/>
        <v>0</v>
      </c>
      <c r="U192" s="663">
        <f t="shared" si="25"/>
        <v>3270421</v>
      </c>
      <c r="V192" s="664"/>
      <c r="W192" s="664"/>
      <c r="X192" s="664"/>
      <c r="Y192" s="664"/>
      <c r="Z192" s="664"/>
      <c r="AA192" s="664"/>
      <c r="AB192" s="664"/>
      <c r="AC192" s="664"/>
      <c r="AD192" s="664"/>
      <c r="AE192" s="664"/>
      <c r="AF192" s="664"/>
    </row>
    <row r="193" spans="2:32" ht="14.65">
      <c r="B193" s="653">
        <f t="shared" si="26"/>
        <v>189</v>
      </c>
      <c r="C193" s="654" t="s">
        <v>71</v>
      </c>
      <c r="D193" s="654" t="s">
        <v>3459</v>
      </c>
      <c r="E193" s="655" t="s">
        <v>631</v>
      </c>
      <c r="F193" s="690">
        <v>44908</v>
      </c>
      <c r="G193" s="690">
        <v>44908</v>
      </c>
      <c r="H193" s="654" t="s">
        <v>766</v>
      </c>
      <c r="I193" s="657">
        <v>44908</v>
      </c>
      <c r="J193" s="691">
        <v>4273750</v>
      </c>
      <c r="K193" s="628"/>
      <c r="L193" s="628">
        <v>43861</v>
      </c>
      <c r="M193" s="628">
        <v>959468</v>
      </c>
      <c r="N193" s="628">
        <f t="shared" si="21"/>
        <v>3270421</v>
      </c>
      <c r="O193" s="659">
        <f t="shared" si="27"/>
        <v>108</v>
      </c>
      <c r="P193" s="660">
        <v>9</v>
      </c>
      <c r="Q193" s="661">
        <f t="shared" si="22"/>
        <v>8.7041095890410958</v>
      </c>
      <c r="R193" s="662">
        <f t="shared" si="23"/>
        <v>107521</v>
      </c>
      <c r="S193" s="662">
        <f t="shared" si="24"/>
        <v>3162900</v>
      </c>
      <c r="T193" s="663">
        <f t="shared" si="29"/>
        <v>0</v>
      </c>
      <c r="U193" s="663">
        <f t="shared" si="25"/>
        <v>3270421</v>
      </c>
      <c r="V193" s="664"/>
      <c r="W193" s="664"/>
      <c r="X193" s="664"/>
      <c r="Y193" s="664"/>
      <c r="Z193" s="664"/>
      <c r="AA193" s="664"/>
      <c r="AB193" s="664"/>
      <c r="AC193" s="664"/>
      <c r="AD193" s="664"/>
      <c r="AE193" s="664"/>
      <c r="AF193" s="664"/>
    </row>
    <row r="194" spans="2:32" ht="14.65">
      <c r="B194" s="653">
        <f t="shared" si="26"/>
        <v>190</v>
      </c>
      <c r="C194" s="654" t="s">
        <v>71</v>
      </c>
      <c r="D194" s="654" t="s">
        <v>3459</v>
      </c>
      <c r="E194" s="655" t="s">
        <v>632</v>
      </c>
      <c r="F194" s="690">
        <v>44908</v>
      </c>
      <c r="G194" s="690">
        <v>44908</v>
      </c>
      <c r="H194" s="654" t="s">
        <v>766</v>
      </c>
      <c r="I194" s="657">
        <v>44908</v>
      </c>
      <c r="J194" s="691">
        <v>4273750</v>
      </c>
      <c r="K194" s="628"/>
      <c r="L194" s="628">
        <v>43861</v>
      </c>
      <c r="M194" s="628">
        <v>959468</v>
      </c>
      <c r="N194" s="628">
        <f t="shared" si="21"/>
        <v>3270421</v>
      </c>
      <c r="O194" s="659">
        <f t="shared" si="27"/>
        <v>108</v>
      </c>
      <c r="P194" s="660">
        <v>9</v>
      </c>
      <c r="Q194" s="661">
        <f t="shared" si="22"/>
        <v>8.7041095890410958</v>
      </c>
      <c r="R194" s="662">
        <f t="shared" si="23"/>
        <v>107521</v>
      </c>
      <c r="S194" s="662">
        <f t="shared" si="24"/>
        <v>3162900</v>
      </c>
      <c r="T194" s="663">
        <f t="shared" si="29"/>
        <v>0</v>
      </c>
      <c r="U194" s="663">
        <f t="shared" si="25"/>
        <v>3270421</v>
      </c>
      <c r="V194" s="664"/>
      <c r="W194" s="664"/>
      <c r="X194" s="664"/>
      <c r="Y194" s="664"/>
      <c r="Z194" s="664"/>
      <c r="AA194" s="664"/>
      <c r="AB194" s="664"/>
      <c r="AC194" s="664"/>
      <c r="AD194" s="664"/>
      <c r="AE194" s="664"/>
      <c r="AF194" s="664"/>
    </row>
    <row r="195" spans="2:32" ht="14.65">
      <c r="B195" s="653">
        <f t="shared" si="26"/>
        <v>191</v>
      </c>
      <c r="C195" s="654" t="s">
        <v>71</v>
      </c>
      <c r="D195" s="654" t="s">
        <v>3459</v>
      </c>
      <c r="E195" s="655" t="s">
        <v>633</v>
      </c>
      <c r="F195" s="690">
        <v>44908</v>
      </c>
      <c r="G195" s="690">
        <v>44908</v>
      </c>
      <c r="H195" s="654" t="s">
        <v>766</v>
      </c>
      <c r="I195" s="657">
        <v>44908</v>
      </c>
      <c r="J195" s="691">
        <v>4273750</v>
      </c>
      <c r="K195" s="628"/>
      <c r="L195" s="628">
        <v>43861</v>
      </c>
      <c r="M195" s="628">
        <v>959468</v>
      </c>
      <c r="N195" s="628">
        <f t="shared" si="21"/>
        <v>3270421</v>
      </c>
      <c r="O195" s="659">
        <f t="shared" si="27"/>
        <v>108</v>
      </c>
      <c r="P195" s="660">
        <v>9</v>
      </c>
      <c r="Q195" s="661">
        <f t="shared" si="22"/>
        <v>8.7041095890410958</v>
      </c>
      <c r="R195" s="662">
        <f t="shared" si="23"/>
        <v>107521</v>
      </c>
      <c r="S195" s="662">
        <f t="shared" si="24"/>
        <v>3162900</v>
      </c>
      <c r="T195" s="663">
        <f t="shared" si="29"/>
        <v>0</v>
      </c>
      <c r="U195" s="663">
        <f t="shared" si="25"/>
        <v>3270421</v>
      </c>
      <c r="V195" s="664"/>
      <c r="W195" s="664"/>
      <c r="X195" s="664"/>
      <c r="Y195" s="664"/>
      <c r="Z195" s="664"/>
      <c r="AA195" s="664"/>
      <c r="AB195" s="664"/>
      <c r="AC195" s="664"/>
      <c r="AD195" s="664"/>
      <c r="AE195" s="664"/>
      <c r="AF195" s="664"/>
    </row>
    <row r="196" spans="2:32" ht="14.65">
      <c r="B196" s="653">
        <f t="shared" si="26"/>
        <v>192</v>
      </c>
      <c r="C196" s="654" t="s">
        <v>71</v>
      </c>
      <c r="D196" s="654" t="s">
        <v>3459</v>
      </c>
      <c r="E196" s="655" t="s">
        <v>634</v>
      </c>
      <c r="F196" s="690">
        <v>44908</v>
      </c>
      <c r="G196" s="690">
        <v>44908</v>
      </c>
      <c r="H196" s="654" t="s">
        <v>766</v>
      </c>
      <c r="I196" s="657">
        <v>44908</v>
      </c>
      <c r="J196" s="691">
        <v>4273750</v>
      </c>
      <c r="K196" s="628"/>
      <c r="L196" s="628">
        <v>43861</v>
      </c>
      <c r="M196" s="628">
        <v>959468</v>
      </c>
      <c r="N196" s="628">
        <f t="shared" si="21"/>
        <v>3270421</v>
      </c>
      <c r="O196" s="659">
        <f t="shared" si="27"/>
        <v>108</v>
      </c>
      <c r="P196" s="660">
        <v>9</v>
      </c>
      <c r="Q196" s="661">
        <f t="shared" si="22"/>
        <v>8.7041095890410958</v>
      </c>
      <c r="R196" s="662">
        <f t="shared" si="23"/>
        <v>107521</v>
      </c>
      <c r="S196" s="662">
        <f t="shared" si="24"/>
        <v>3162900</v>
      </c>
      <c r="T196" s="663">
        <f t="shared" si="29"/>
        <v>0</v>
      </c>
      <c r="U196" s="663">
        <f t="shared" si="25"/>
        <v>3270421</v>
      </c>
      <c r="V196" s="664"/>
      <c r="W196" s="664"/>
      <c r="X196" s="664"/>
      <c r="Y196" s="664"/>
      <c r="Z196" s="664"/>
      <c r="AA196" s="664"/>
      <c r="AB196" s="664"/>
      <c r="AC196" s="664"/>
      <c r="AD196" s="664"/>
      <c r="AE196" s="664"/>
      <c r="AF196" s="664"/>
    </row>
    <row r="197" spans="2:32" ht="14.65">
      <c r="B197" s="653">
        <f t="shared" si="26"/>
        <v>193</v>
      </c>
      <c r="C197" s="654" t="s">
        <v>71</v>
      </c>
      <c r="D197" s="654" t="s">
        <v>3459</v>
      </c>
      <c r="E197" s="655" t="s">
        <v>635</v>
      </c>
      <c r="F197" s="690">
        <v>44908</v>
      </c>
      <c r="G197" s="690">
        <v>44908</v>
      </c>
      <c r="H197" s="654" t="s">
        <v>766</v>
      </c>
      <c r="I197" s="657">
        <v>44908</v>
      </c>
      <c r="J197" s="691">
        <v>4273750</v>
      </c>
      <c r="K197" s="628"/>
      <c r="L197" s="628">
        <v>43861</v>
      </c>
      <c r="M197" s="628">
        <v>959468</v>
      </c>
      <c r="N197" s="628">
        <f t="shared" ref="N197:N260" si="30">J197+K197-L197-M197</f>
        <v>3270421</v>
      </c>
      <c r="O197" s="659">
        <f t="shared" si="27"/>
        <v>108</v>
      </c>
      <c r="P197" s="660">
        <v>9</v>
      </c>
      <c r="Q197" s="661">
        <f t="shared" ref="Q197:Q260" si="31">+P197-(O197/365)</f>
        <v>8.7041095890410958</v>
      </c>
      <c r="R197" s="662">
        <f t="shared" ref="R197:R260" si="32">ROUND(+N197/(P197*365)*O197,0)</f>
        <v>107521</v>
      </c>
      <c r="S197" s="662">
        <f t="shared" ref="S197:S260" si="33">+N197-R197</f>
        <v>3162900</v>
      </c>
      <c r="T197" s="663">
        <f t="shared" si="29"/>
        <v>0</v>
      </c>
      <c r="U197" s="663">
        <f t="shared" ref="U197:U260" si="34">IF(I197&gt;DATE(2022,9,30),N197,0)</f>
        <v>3270421</v>
      </c>
      <c r="V197" s="664"/>
      <c r="W197" s="664"/>
      <c r="X197" s="664"/>
      <c r="Y197" s="664"/>
      <c r="Z197" s="664"/>
      <c r="AA197" s="664"/>
      <c r="AB197" s="664"/>
      <c r="AC197" s="664"/>
      <c r="AD197" s="664"/>
      <c r="AE197" s="664"/>
      <c r="AF197" s="664"/>
    </row>
    <row r="198" spans="2:32" ht="14.65">
      <c r="B198" s="653">
        <f t="shared" si="26"/>
        <v>194</v>
      </c>
      <c r="C198" s="654" t="s">
        <v>71</v>
      </c>
      <c r="D198" s="654" t="s">
        <v>3459</v>
      </c>
      <c r="E198" s="655" t="s">
        <v>636</v>
      </c>
      <c r="F198" s="690">
        <v>44908</v>
      </c>
      <c r="G198" s="690">
        <v>44908</v>
      </c>
      <c r="H198" s="654" t="s">
        <v>766</v>
      </c>
      <c r="I198" s="657">
        <v>44908</v>
      </c>
      <c r="J198" s="691">
        <v>4273750</v>
      </c>
      <c r="K198" s="628"/>
      <c r="L198" s="628">
        <v>43861</v>
      </c>
      <c r="M198" s="628">
        <v>959468</v>
      </c>
      <c r="N198" s="628">
        <f t="shared" si="30"/>
        <v>3270421</v>
      </c>
      <c r="O198" s="659">
        <f t="shared" si="27"/>
        <v>108</v>
      </c>
      <c r="P198" s="660">
        <v>9</v>
      </c>
      <c r="Q198" s="661">
        <f t="shared" si="31"/>
        <v>8.7041095890410958</v>
      </c>
      <c r="R198" s="662">
        <f t="shared" si="32"/>
        <v>107521</v>
      </c>
      <c r="S198" s="662">
        <f t="shared" si="33"/>
        <v>3162900</v>
      </c>
      <c r="T198" s="663">
        <f t="shared" si="29"/>
        <v>0</v>
      </c>
      <c r="U198" s="663">
        <f t="shared" si="34"/>
        <v>3270421</v>
      </c>
      <c r="V198" s="664"/>
      <c r="W198" s="664"/>
      <c r="X198" s="664"/>
      <c r="Y198" s="664"/>
      <c r="Z198" s="664"/>
      <c r="AA198" s="664"/>
      <c r="AB198" s="664"/>
      <c r="AC198" s="664"/>
      <c r="AD198" s="664"/>
      <c r="AE198" s="664"/>
      <c r="AF198" s="664"/>
    </row>
    <row r="199" spans="2:32" ht="14.65">
      <c r="B199" s="653">
        <f t="shared" si="26"/>
        <v>195</v>
      </c>
      <c r="C199" s="654" t="s">
        <v>71</v>
      </c>
      <c r="D199" s="654" t="s">
        <v>3459</v>
      </c>
      <c r="E199" s="655" t="s">
        <v>637</v>
      </c>
      <c r="F199" s="690">
        <v>44908</v>
      </c>
      <c r="G199" s="690">
        <v>44908</v>
      </c>
      <c r="H199" s="654" t="s">
        <v>766</v>
      </c>
      <c r="I199" s="657">
        <v>44908</v>
      </c>
      <c r="J199" s="691">
        <v>4273750</v>
      </c>
      <c r="K199" s="628"/>
      <c r="L199" s="628">
        <v>43861</v>
      </c>
      <c r="M199" s="628">
        <v>959468</v>
      </c>
      <c r="N199" s="628">
        <f t="shared" si="30"/>
        <v>3270421</v>
      </c>
      <c r="O199" s="659">
        <f t="shared" si="27"/>
        <v>108</v>
      </c>
      <c r="P199" s="660">
        <v>9</v>
      </c>
      <c r="Q199" s="661">
        <f t="shared" si="31"/>
        <v>8.7041095890410958</v>
      </c>
      <c r="R199" s="662">
        <f t="shared" si="32"/>
        <v>107521</v>
      </c>
      <c r="S199" s="662">
        <f t="shared" si="33"/>
        <v>3162900</v>
      </c>
      <c r="T199" s="663">
        <f t="shared" si="29"/>
        <v>0</v>
      </c>
      <c r="U199" s="663">
        <f t="shared" si="34"/>
        <v>3270421</v>
      </c>
      <c r="V199" s="664"/>
      <c r="W199" s="664"/>
      <c r="X199" s="664"/>
      <c r="Y199" s="664"/>
      <c r="Z199" s="664"/>
      <c r="AA199" s="664"/>
      <c r="AB199" s="664"/>
      <c r="AC199" s="664"/>
      <c r="AD199" s="664"/>
      <c r="AE199" s="664"/>
      <c r="AF199" s="664"/>
    </row>
    <row r="200" spans="2:32" ht="14.65">
      <c r="B200" s="653">
        <f t="shared" si="26"/>
        <v>196</v>
      </c>
      <c r="C200" s="654" t="s">
        <v>71</v>
      </c>
      <c r="D200" s="654" t="s">
        <v>3459</v>
      </c>
      <c r="E200" s="655" t="s">
        <v>638</v>
      </c>
      <c r="F200" s="690">
        <v>44908</v>
      </c>
      <c r="G200" s="690">
        <v>44908</v>
      </c>
      <c r="H200" s="654" t="s">
        <v>766</v>
      </c>
      <c r="I200" s="657">
        <v>44908</v>
      </c>
      <c r="J200" s="691">
        <v>4273750</v>
      </c>
      <c r="K200" s="628"/>
      <c r="L200" s="628">
        <v>43861</v>
      </c>
      <c r="M200" s="628">
        <v>959468</v>
      </c>
      <c r="N200" s="628">
        <f t="shared" si="30"/>
        <v>3270421</v>
      </c>
      <c r="O200" s="659">
        <f t="shared" si="27"/>
        <v>108</v>
      </c>
      <c r="P200" s="660">
        <v>9</v>
      </c>
      <c r="Q200" s="661">
        <f t="shared" si="31"/>
        <v>8.7041095890410958</v>
      </c>
      <c r="R200" s="662">
        <f t="shared" si="32"/>
        <v>107521</v>
      </c>
      <c r="S200" s="662">
        <f t="shared" si="33"/>
        <v>3162900</v>
      </c>
      <c r="T200" s="663">
        <f t="shared" si="29"/>
        <v>0</v>
      </c>
      <c r="U200" s="663">
        <f t="shared" si="34"/>
        <v>3270421</v>
      </c>
      <c r="V200" s="664"/>
      <c r="W200" s="664"/>
      <c r="X200" s="664"/>
      <c r="Y200" s="664"/>
      <c r="Z200" s="664"/>
      <c r="AA200" s="664"/>
      <c r="AB200" s="664"/>
      <c r="AC200" s="664"/>
      <c r="AD200" s="664"/>
      <c r="AE200" s="664"/>
      <c r="AF200" s="664"/>
    </row>
    <row r="201" spans="2:32" ht="14.65">
      <c r="B201" s="653">
        <f t="shared" ref="B201:B264" si="35">+B200+1</f>
        <v>197</v>
      </c>
      <c r="C201" s="654" t="s">
        <v>71</v>
      </c>
      <c r="D201" s="654" t="s">
        <v>3459</v>
      </c>
      <c r="E201" s="655" t="s">
        <v>639</v>
      </c>
      <c r="F201" s="690">
        <v>44908</v>
      </c>
      <c r="G201" s="690">
        <v>44908</v>
      </c>
      <c r="H201" s="654" t="s">
        <v>766</v>
      </c>
      <c r="I201" s="657">
        <v>44908</v>
      </c>
      <c r="J201" s="691">
        <v>4273750</v>
      </c>
      <c r="K201" s="628"/>
      <c r="L201" s="628">
        <v>43861</v>
      </c>
      <c r="M201" s="628">
        <v>959468</v>
      </c>
      <c r="N201" s="628">
        <f t="shared" si="30"/>
        <v>3270421</v>
      </c>
      <c r="O201" s="659">
        <f t="shared" si="27"/>
        <v>108</v>
      </c>
      <c r="P201" s="660">
        <v>9</v>
      </c>
      <c r="Q201" s="661">
        <f t="shared" si="31"/>
        <v>8.7041095890410958</v>
      </c>
      <c r="R201" s="662">
        <f t="shared" si="32"/>
        <v>107521</v>
      </c>
      <c r="S201" s="662">
        <f t="shared" si="33"/>
        <v>3162900</v>
      </c>
      <c r="T201" s="663">
        <f t="shared" si="29"/>
        <v>0</v>
      </c>
      <c r="U201" s="663">
        <f t="shared" si="34"/>
        <v>3270421</v>
      </c>
      <c r="V201" s="664"/>
      <c r="W201" s="664"/>
      <c r="X201" s="664"/>
      <c r="Y201" s="664"/>
      <c r="Z201" s="664"/>
      <c r="AA201" s="664"/>
      <c r="AB201" s="664"/>
      <c r="AC201" s="664"/>
      <c r="AD201" s="664"/>
      <c r="AE201" s="664"/>
      <c r="AF201" s="664"/>
    </row>
    <row r="202" spans="2:32" ht="14.65">
      <c r="B202" s="653">
        <f t="shared" si="35"/>
        <v>198</v>
      </c>
      <c r="C202" s="654" t="s">
        <v>71</v>
      </c>
      <c r="D202" s="654" t="s">
        <v>3459</v>
      </c>
      <c r="E202" s="655" t="s">
        <v>640</v>
      </c>
      <c r="F202" s="690">
        <v>44914</v>
      </c>
      <c r="G202" s="690">
        <v>44914</v>
      </c>
      <c r="H202" s="654" t="s">
        <v>766</v>
      </c>
      <c r="I202" s="657">
        <v>44914</v>
      </c>
      <c r="J202" s="691">
        <v>4273750</v>
      </c>
      <c r="K202" s="628"/>
      <c r="L202" s="628">
        <v>43861</v>
      </c>
      <c r="M202" s="628">
        <v>959468</v>
      </c>
      <c r="N202" s="628">
        <f t="shared" si="30"/>
        <v>3270421</v>
      </c>
      <c r="O202" s="659">
        <f t="shared" si="27"/>
        <v>102</v>
      </c>
      <c r="P202" s="660">
        <v>9</v>
      </c>
      <c r="Q202" s="661">
        <f t="shared" si="31"/>
        <v>8.7205479452054799</v>
      </c>
      <c r="R202" s="662">
        <f t="shared" si="32"/>
        <v>101547</v>
      </c>
      <c r="S202" s="662">
        <f t="shared" si="33"/>
        <v>3168874</v>
      </c>
      <c r="T202" s="663">
        <f t="shared" si="29"/>
        <v>0</v>
      </c>
      <c r="U202" s="663">
        <f t="shared" si="34"/>
        <v>3270421</v>
      </c>
      <c r="V202" s="664"/>
      <c r="W202" s="664"/>
      <c r="X202" s="664"/>
      <c r="Y202" s="664"/>
      <c r="Z202" s="664"/>
      <c r="AA202" s="664"/>
      <c r="AB202" s="664"/>
      <c r="AC202" s="664"/>
      <c r="AD202" s="664"/>
      <c r="AE202" s="664"/>
      <c r="AF202" s="664"/>
    </row>
    <row r="203" spans="2:32" ht="14.65">
      <c r="B203" s="653">
        <f t="shared" si="35"/>
        <v>199</v>
      </c>
      <c r="C203" s="654" t="s">
        <v>71</v>
      </c>
      <c r="D203" s="654" t="s">
        <v>3459</v>
      </c>
      <c r="E203" s="655" t="s">
        <v>641</v>
      </c>
      <c r="F203" s="690">
        <v>44914</v>
      </c>
      <c r="G203" s="690">
        <v>44914</v>
      </c>
      <c r="H203" s="654" t="s">
        <v>766</v>
      </c>
      <c r="I203" s="657">
        <v>44914</v>
      </c>
      <c r="J203" s="691">
        <v>4273750</v>
      </c>
      <c r="K203" s="628"/>
      <c r="L203" s="628">
        <v>43861</v>
      </c>
      <c r="M203" s="628">
        <v>959468</v>
      </c>
      <c r="N203" s="628">
        <f t="shared" si="30"/>
        <v>3270421</v>
      </c>
      <c r="O203" s="659">
        <f t="shared" si="27"/>
        <v>102</v>
      </c>
      <c r="P203" s="660">
        <v>9</v>
      </c>
      <c r="Q203" s="661">
        <f t="shared" si="31"/>
        <v>8.7205479452054799</v>
      </c>
      <c r="R203" s="662">
        <f t="shared" si="32"/>
        <v>101547</v>
      </c>
      <c r="S203" s="662">
        <f t="shared" si="33"/>
        <v>3168874</v>
      </c>
      <c r="T203" s="663">
        <f t="shared" si="29"/>
        <v>0</v>
      </c>
      <c r="U203" s="663">
        <f t="shared" si="34"/>
        <v>3270421</v>
      </c>
      <c r="V203" s="664"/>
      <c r="W203" s="664"/>
      <c r="X203" s="664"/>
      <c r="Y203" s="664"/>
      <c r="Z203" s="664"/>
      <c r="AA203" s="664"/>
      <c r="AB203" s="664"/>
      <c r="AC203" s="664"/>
      <c r="AD203" s="664"/>
      <c r="AE203" s="664"/>
      <c r="AF203" s="664"/>
    </row>
    <row r="204" spans="2:32" ht="14.65">
      <c r="B204" s="653">
        <f t="shared" si="35"/>
        <v>200</v>
      </c>
      <c r="C204" s="654" t="s">
        <v>71</v>
      </c>
      <c r="D204" s="654" t="s">
        <v>3459</v>
      </c>
      <c r="E204" s="655" t="s">
        <v>642</v>
      </c>
      <c r="F204" s="690">
        <v>44914</v>
      </c>
      <c r="G204" s="690">
        <v>44914</v>
      </c>
      <c r="H204" s="654" t="s">
        <v>766</v>
      </c>
      <c r="I204" s="657">
        <v>44914</v>
      </c>
      <c r="J204" s="691">
        <v>4273750</v>
      </c>
      <c r="K204" s="628"/>
      <c r="L204" s="628">
        <v>43861</v>
      </c>
      <c r="M204" s="628">
        <v>959468</v>
      </c>
      <c r="N204" s="628">
        <f t="shared" si="30"/>
        <v>3270421</v>
      </c>
      <c r="O204" s="659">
        <f t="shared" si="27"/>
        <v>102</v>
      </c>
      <c r="P204" s="660">
        <v>9</v>
      </c>
      <c r="Q204" s="661">
        <f t="shared" si="31"/>
        <v>8.7205479452054799</v>
      </c>
      <c r="R204" s="662">
        <f t="shared" si="32"/>
        <v>101547</v>
      </c>
      <c r="S204" s="662">
        <f t="shared" si="33"/>
        <v>3168874</v>
      </c>
      <c r="T204" s="663">
        <f t="shared" si="29"/>
        <v>0</v>
      </c>
      <c r="U204" s="663">
        <f t="shared" si="34"/>
        <v>3270421</v>
      </c>
      <c r="V204" s="664"/>
      <c r="W204" s="664"/>
      <c r="X204" s="664"/>
      <c r="Y204" s="664"/>
      <c r="Z204" s="664"/>
      <c r="AA204" s="664"/>
      <c r="AB204" s="664"/>
      <c r="AC204" s="664"/>
      <c r="AD204" s="664"/>
      <c r="AE204" s="664"/>
      <c r="AF204" s="664"/>
    </row>
    <row r="205" spans="2:32" ht="14.65">
      <c r="B205" s="653">
        <f t="shared" si="35"/>
        <v>201</v>
      </c>
      <c r="C205" s="654" t="s">
        <v>71</v>
      </c>
      <c r="D205" s="654" t="s">
        <v>3459</v>
      </c>
      <c r="E205" s="655" t="s">
        <v>643</v>
      </c>
      <c r="F205" s="690">
        <v>44914</v>
      </c>
      <c r="G205" s="690">
        <v>44914</v>
      </c>
      <c r="H205" s="654" t="s">
        <v>766</v>
      </c>
      <c r="I205" s="657">
        <v>44914</v>
      </c>
      <c r="J205" s="691">
        <v>4273750</v>
      </c>
      <c r="K205" s="628"/>
      <c r="L205" s="628">
        <v>43861</v>
      </c>
      <c r="M205" s="628">
        <v>959468</v>
      </c>
      <c r="N205" s="628">
        <f t="shared" si="30"/>
        <v>3270421</v>
      </c>
      <c r="O205" s="659">
        <f t="shared" si="27"/>
        <v>102</v>
      </c>
      <c r="P205" s="660">
        <v>9</v>
      </c>
      <c r="Q205" s="661">
        <f t="shared" si="31"/>
        <v>8.7205479452054799</v>
      </c>
      <c r="R205" s="662">
        <f t="shared" si="32"/>
        <v>101547</v>
      </c>
      <c r="S205" s="662">
        <f t="shared" si="33"/>
        <v>3168874</v>
      </c>
      <c r="T205" s="663">
        <f t="shared" si="29"/>
        <v>0</v>
      </c>
      <c r="U205" s="663">
        <f t="shared" si="34"/>
        <v>3270421</v>
      </c>
      <c r="V205" s="664"/>
      <c r="W205" s="664"/>
      <c r="X205" s="664"/>
      <c r="Y205" s="664"/>
      <c r="Z205" s="664"/>
      <c r="AA205" s="664"/>
      <c r="AB205" s="664"/>
      <c r="AC205" s="664"/>
      <c r="AD205" s="664"/>
      <c r="AE205" s="664"/>
      <c r="AF205" s="664"/>
    </row>
    <row r="206" spans="2:32" ht="14.65">
      <c r="B206" s="653">
        <f t="shared" si="35"/>
        <v>202</v>
      </c>
      <c r="C206" s="654" t="s">
        <v>71</v>
      </c>
      <c r="D206" s="654" t="s">
        <v>3459</v>
      </c>
      <c r="E206" s="655" t="s">
        <v>644</v>
      </c>
      <c r="F206" s="690">
        <v>44914</v>
      </c>
      <c r="G206" s="690">
        <v>44914</v>
      </c>
      <c r="H206" s="654" t="s">
        <v>766</v>
      </c>
      <c r="I206" s="657">
        <v>44914</v>
      </c>
      <c r="J206" s="691">
        <v>4273750</v>
      </c>
      <c r="K206" s="628"/>
      <c r="L206" s="628">
        <v>43861</v>
      </c>
      <c r="M206" s="628">
        <v>959468</v>
      </c>
      <c r="N206" s="628">
        <f t="shared" si="30"/>
        <v>3270421</v>
      </c>
      <c r="O206" s="659">
        <f t="shared" si="27"/>
        <v>102</v>
      </c>
      <c r="P206" s="660">
        <v>9</v>
      </c>
      <c r="Q206" s="661">
        <f t="shared" si="31"/>
        <v>8.7205479452054799</v>
      </c>
      <c r="R206" s="662">
        <f t="shared" si="32"/>
        <v>101547</v>
      </c>
      <c r="S206" s="662">
        <f t="shared" si="33"/>
        <v>3168874</v>
      </c>
      <c r="T206" s="663">
        <f t="shared" si="29"/>
        <v>0</v>
      </c>
      <c r="U206" s="663">
        <f t="shared" si="34"/>
        <v>3270421</v>
      </c>
      <c r="V206" s="664"/>
      <c r="W206" s="664"/>
      <c r="X206" s="664"/>
      <c r="Y206" s="664"/>
      <c r="Z206" s="664"/>
      <c r="AA206" s="664"/>
      <c r="AB206" s="664"/>
      <c r="AC206" s="664"/>
      <c r="AD206" s="664"/>
      <c r="AE206" s="664"/>
      <c r="AF206" s="664"/>
    </row>
    <row r="207" spans="2:32" ht="14.65">
      <c r="B207" s="653">
        <f t="shared" si="35"/>
        <v>203</v>
      </c>
      <c r="C207" s="654" t="s">
        <v>71</v>
      </c>
      <c r="D207" s="654" t="s">
        <v>3459</v>
      </c>
      <c r="E207" s="655" t="s">
        <v>645</v>
      </c>
      <c r="F207" s="690">
        <v>44914</v>
      </c>
      <c r="G207" s="690">
        <v>44914</v>
      </c>
      <c r="H207" s="654" t="s">
        <v>766</v>
      </c>
      <c r="I207" s="657">
        <v>44914</v>
      </c>
      <c r="J207" s="691">
        <v>4273750</v>
      </c>
      <c r="K207" s="628"/>
      <c r="L207" s="628">
        <v>43861</v>
      </c>
      <c r="M207" s="628">
        <v>959468</v>
      </c>
      <c r="N207" s="628">
        <f t="shared" si="30"/>
        <v>3270421</v>
      </c>
      <c r="O207" s="659">
        <f t="shared" si="27"/>
        <v>102</v>
      </c>
      <c r="P207" s="660">
        <v>9</v>
      </c>
      <c r="Q207" s="661">
        <f t="shared" si="31"/>
        <v>8.7205479452054799</v>
      </c>
      <c r="R207" s="662">
        <f t="shared" si="32"/>
        <v>101547</v>
      </c>
      <c r="S207" s="662">
        <f t="shared" si="33"/>
        <v>3168874</v>
      </c>
      <c r="T207" s="663">
        <f t="shared" si="29"/>
        <v>0</v>
      </c>
      <c r="U207" s="663">
        <f t="shared" si="34"/>
        <v>3270421</v>
      </c>
      <c r="V207" s="664"/>
      <c r="W207" s="664"/>
      <c r="X207" s="664"/>
      <c r="Y207" s="664"/>
      <c r="Z207" s="664"/>
      <c r="AA207" s="664"/>
      <c r="AB207" s="664"/>
      <c r="AC207" s="664"/>
      <c r="AD207" s="664"/>
      <c r="AE207" s="664"/>
      <c r="AF207" s="664"/>
    </row>
    <row r="208" spans="2:32" ht="14.65">
      <c r="B208" s="653">
        <f t="shared" si="35"/>
        <v>204</v>
      </c>
      <c r="C208" s="654" t="s">
        <v>71</v>
      </c>
      <c r="D208" s="654" t="s">
        <v>3459</v>
      </c>
      <c r="E208" s="655" t="s">
        <v>646</v>
      </c>
      <c r="F208" s="656">
        <v>44925</v>
      </c>
      <c r="G208" s="656">
        <v>44925</v>
      </c>
      <c r="H208" s="654" t="s">
        <v>402</v>
      </c>
      <c r="I208" s="657">
        <v>44925</v>
      </c>
      <c r="J208" s="658">
        <v>13574400</v>
      </c>
      <c r="K208" s="628"/>
      <c r="L208" s="628">
        <v>134400</v>
      </c>
      <c r="M208" s="628">
        <v>2940000</v>
      </c>
      <c r="N208" s="628">
        <f t="shared" si="30"/>
        <v>10500000</v>
      </c>
      <c r="O208" s="659">
        <f t="shared" si="27"/>
        <v>91</v>
      </c>
      <c r="P208" s="660">
        <v>9</v>
      </c>
      <c r="Q208" s="661">
        <f t="shared" si="31"/>
        <v>8.75068493150685</v>
      </c>
      <c r="R208" s="662">
        <f t="shared" si="32"/>
        <v>290868</v>
      </c>
      <c r="S208" s="662">
        <f t="shared" si="33"/>
        <v>10209132</v>
      </c>
      <c r="T208" s="663">
        <f t="shared" si="29"/>
        <v>0</v>
      </c>
      <c r="U208" s="663">
        <f t="shared" si="34"/>
        <v>10500000</v>
      </c>
      <c r="V208" s="664"/>
      <c r="W208" s="664"/>
      <c r="X208" s="664"/>
      <c r="Y208" s="664"/>
      <c r="Z208" s="664"/>
      <c r="AA208" s="664"/>
      <c r="AB208" s="664"/>
      <c r="AC208" s="664"/>
      <c r="AD208" s="664"/>
      <c r="AE208" s="664"/>
      <c r="AF208" s="664"/>
    </row>
    <row r="209" spans="2:32" ht="14.65">
      <c r="B209" s="653">
        <f t="shared" si="35"/>
        <v>205</v>
      </c>
      <c r="C209" s="654" t="s">
        <v>71</v>
      </c>
      <c r="D209" s="654" t="s">
        <v>3459</v>
      </c>
      <c r="E209" s="655" t="s">
        <v>647</v>
      </c>
      <c r="F209" s="656">
        <v>44925</v>
      </c>
      <c r="G209" s="656">
        <v>44925</v>
      </c>
      <c r="H209" s="654" t="s">
        <v>402</v>
      </c>
      <c r="I209" s="657">
        <v>44925</v>
      </c>
      <c r="J209" s="658">
        <v>13574400</v>
      </c>
      <c r="K209" s="628"/>
      <c r="L209" s="628">
        <v>134400</v>
      </c>
      <c r="M209" s="628">
        <v>2940000</v>
      </c>
      <c r="N209" s="628">
        <f t="shared" si="30"/>
        <v>10500000</v>
      </c>
      <c r="O209" s="659">
        <f t="shared" si="27"/>
        <v>91</v>
      </c>
      <c r="P209" s="660">
        <v>9</v>
      </c>
      <c r="Q209" s="661">
        <f t="shared" si="31"/>
        <v>8.75068493150685</v>
      </c>
      <c r="R209" s="662">
        <f t="shared" si="32"/>
        <v>290868</v>
      </c>
      <c r="S209" s="662">
        <f t="shared" si="33"/>
        <v>10209132</v>
      </c>
      <c r="T209" s="663">
        <f t="shared" si="29"/>
        <v>0</v>
      </c>
      <c r="U209" s="663">
        <f t="shared" si="34"/>
        <v>10500000</v>
      </c>
      <c r="V209" s="664"/>
      <c r="W209" s="664"/>
      <c r="X209" s="664"/>
      <c r="Y209" s="664"/>
      <c r="Z209" s="664"/>
      <c r="AA209" s="664"/>
      <c r="AB209" s="664"/>
      <c r="AC209" s="664"/>
      <c r="AD209" s="664"/>
      <c r="AE209" s="664"/>
      <c r="AF209" s="664"/>
    </row>
    <row r="210" spans="2:32" ht="14.65">
      <c r="B210" s="653">
        <f t="shared" si="35"/>
        <v>206</v>
      </c>
      <c r="C210" s="654" t="s">
        <v>71</v>
      </c>
      <c r="D210" s="654" t="s">
        <v>3459</v>
      </c>
      <c r="E210" s="655" t="s">
        <v>648</v>
      </c>
      <c r="F210" s="656">
        <v>44925</v>
      </c>
      <c r="G210" s="656">
        <v>44925</v>
      </c>
      <c r="H210" s="654" t="s">
        <v>402</v>
      </c>
      <c r="I210" s="657">
        <v>44925</v>
      </c>
      <c r="J210" s="658">
        <v>13574400</v>
      </c>
      <c r="K210" s="628"/>
      <c r="L210" s="628">
        <v>134400</v>
      </c>
      <c r="M210" s="628">
        <v>2940000</v>
      </c>
      <c r="N210" s="628">
        <f t="shared" si="30"/>
        <v>10500000</v>
      </c>
      <c r="O210" s="659">
        <f t="shared" si="27"/>
        <v>91</v>
      </c>
      <c r="P210" s="660">
        <v>9</v>
      </c>
      <c r="Q210" s="661">
        <f t="shared" si="31"/>
        <v>8.75068493150685</v>
      </c>
      <c r="R210" s="662">
        <f t="shared" si="32"/>
        <v>290868</v>
      </c>
      <c r="S210" s="662">
        <f t="shared" si="33"/>
        <v>10209132</v>
      </c>
      <c r="T210" s="663">
        <f t="shared" si="29"/>
        <v>0</v>
      </c>
      <c r="U210" s="663">
        <f t="shared" si="34"/>
        <v>10500000</v>
      </c>
      <c r="V210" s="664"/>
      <c r="W210" s="664"/>
      <c r="X210" s="664"/>
      <c r="Y210" s="664"/>
      <c r="Z210" s="664"/>
      <c r="AA210" s="664"/>
      <c r="AB210" s="664"/>
      <c r="AC210" s="664"/>
      <c r="AD210" s="664"/>
      <c r="AE210" s="664"/>
      <c r="AF210" s="664"/>
    </row>
    <row r="211" spans="2:32" ht="14.65">
      <c r="B211" s="653">
        <f t="shared" si="35"/>
        <v>207</v>
      </c>
      <c r="C211" s="654" t="s">
        <v>71</v>
      </c>
      <c r="D211" s="654" t="s">
        <v>3459</v>
      </c>
      <c r="E211" s="655" t="s">
        <v>649</v>
      </c>
      <c r="F211" s="656">
        <v>44925</v>
      </c>
      <c r="G211" s="656">
        <v>44925</v>
      </c>
      <c r="H211" s="654" t="s">
        <v>402</v>
      </c>
      <c r="I211" s="657">
        <v>44925</v>
      </c>
      <c r="J211" s="658">
        <v>13574400</v>
      </c>
      <c r="K211" s="628"/>
      <c r="L211" s="628">
        <v>134400</v>
      </c>
      <c r="M211" s="628">
        <v>2940000</v>
      </c>
      <c r="N211" s="628">
        <f t="shared" si="30"/>
        <v>10500000</v>
      </c>
      <c r="O211" s="659">
        <f t="shared" si="27"/>
        <v>91</v>
      </c>
      <c r="P211" s="660">
        <v>9</v>
      </c>
      <c r="Q211" s="661">
        <f t="shared" si="31"/>
        <v>8.75068493150685</v>
      </c>
      <c r="R211" s="662">
        <f t="shared" si="32"/>
        <v>290868</v>
      </c>
      <c r="S211" s="662">
        <f t="shared" si="33"/>
        <v>10209132</v>
      </c>
      <c r="T211" s="663">
        <f t="shared" si="29"/>
        <v>0</v>
      </c>
      <c r="U211" s="663">
        <f t="shared" si="34"/>
        <v>10500000</v>
      </c>
      <c r="V211" s="664"/>
      <c r="W211" s="664"/>
      <c r="X211" s="664"/>
      <c r="Y211" s="664"/>
      <c r="Z211" s="664"/>
      <c r="AA211" s="664"/>
      <c r="AB211" s="664"/>
      <c r="AC211" s="664"/>
      <c r="AD211" s="664"/>
      <c r="AE211" s="664"/>
      <c r="AF211" s="664"/>
    </row>
    <row r="212" spans="2:32" ht="14.65">
      <c r="B212" s="653">
        <f t="shared" si="35"/>
        <v>208</v>
      </c>
      <c r="C212" s="654" t="s">
        <v>71</v>
      </c>
      <c r="D212" s="654" t="s">
        <v>3459</v>
      </c>
      <c r="E212" s="655" t="s">
        <v>650</v>
      </c>
      <c r="F212" s="656">
        <v>44922</v>
      </c>
      <c r="G212" s="656">
        <v>44926</v>
      </c>
      <c r="H212" s="654" t="s">
        <v>178</v>
      </c>
      <c r="I212" s="657">
        <v>44926</v>
      </c>
      <c r="J212" s="658">
        <v>4242000</v>
      </c>
      <c r="K212" s="628"/>
      <c r="L212" s="628">
        <v>42000</v>
      </c>
      <c r="M212" s="628">
        <v>918750</v>
      </c>
      <c r="N212" s="628">
        <f t="shared" si="30"/>
        <v>3281250</v>
      </c>
      <c r="O212" s="659">
        <f t="shared" si="27"/>
        <v>90</v>
      </c>
      <c r="P212" s="660">
        <v>9</v>
      </c>
      <c r="Q212" s="661">
        <f t="shared" si="31"/>
        <v>8.7534246575342465</v>
      </c>
      <c r="R212" s="662">
        <f t="shared" si="32"/>
        <v>89897</v>
      </c>
      <c r="S212" s="662">
        <f t="shared" si="33"/>
        <v>3191353</v>
      </c>
      <c r="T212" s="663">
        <f t="shared" si="29"/>
        <v>0</v>
      </c>
      <c r="U212" s="663">
        <f t="shared" si="34"/>
        <v>3281250</v>
      </c>
      <c r="V212" s="664"/>
      <c r="W212" s="664"/>
      <c r="X212" s="664"/>
      <c r="Y212" s="664"/>
      <c r="Z212" s="664"/>
      <c r="AA212" s="664"/>
      <c r="AB212" s="664"/>
      <c r="AC212" s="664"/>
      <c r="AD212" s="664"/>
      <c r="AE212" s="664"/>
      <c r="AF212" s="664"/>
    </row>
    <row r="213" spans="2:32" ht="14.65">
      <c r="B213" s="653">
        <f t="shared" si="35"/>
        <v>209</v>
      </c>
      <c r="C213" s="654" t="s">
        <v>71</v>
      </c>
      <c r="D213" s="654" t="s">
        <v>3459</v>
      </c>
      <c r="E213" s="655" t="s">
        <v>651</v>
      </c>
      <c r="F213" s="656">
        <v>44922</v>
      </c>
      <c r="G213" s="656">
        <v>44926</v>
      </c>
      <c r="H213" s="654" t="s">
        <v>178</v>
      </c>
      <c r="I213" s="657">
        <v>44926</v>
      </c>
      <c r="J213" s="658">
        <v>4242000</v>
      </c>
      <c r="K213" s="628"/>
      <c r="L213" s="628">
        <v>42000</v>
      </c>
      <c r="M213" s="628">
        <v>918750</v>
      </c>
      <c r="N213" s="628">
        <f t="shared" si="30"/>
        <v>3281250</v>
      </c>
      <c r="O213" s="659">
        <f t="shared" ref="O213:O276" si="36">$O$1-I213</f>
        <v>90</v>
      </c>
      <c r="P213" s="660">
        <v>9</v>
      </c>
      <c r="Q213" s="661">
        <f t="shared" si="31"/>
        <v>8.7534246575342465</v>
      </c>
      <c r="R213" s="662">
        <f t="shared" si="32"/>
        <v>89897</v>
      </c>
      <c r="S213" s="662">
        <f t="shared" si="33"/>
        <v>3191353</v>
      </c>
      <c r="T213" s="663">
        <f t="shared" ref="T213:T244" si="37">IF(I213&lt;=DATE(2022,9,30),N213,0)</f>
        <v>0</v>
      </c>
      <c r="U213" s="663">
        <f t="shared" si="34"/>
        <v>3281250</v>
      </c>
      <c r="V213" s="664"/>
      <c r="W213" s="664"/>
      <c r="X213" s="664"/>
      <c r="Y213" s="664"/>
      <c r="Z213" s="664"/>
      <c r="AA213" s="664"/>
      <c r="AB213" s="664"/>
      <c r="AC213" s="664"/>
      <c r="AD213" s="664"/>
      <c r="AE213" s="664"/>
      <c r="AF213" s="664"/>
    </row>
    <row r="214" spans="2:32" ht="14.65">
      <c r="B214" s="653">
        <f t="shared" si="35"/>
        <v>210</v>
      </c>
      <c r="C214" s="654" t="s">
        <v>71</v>
      </c>
      <c r="D214" s="654" t="s">
        <v>3459</v>
      </c>
      <c r="E214" s="655" t="s">
        <v>652</v>
      </c>
      <c r="F214" s="656">
        <v>44922</v>
      </c>
      <c r="G214" s="656">
        <v>44926</v>
      </c>
      <c r="H214" s="654" t="s">
        <v>178</v>
      </c>
      <c r="I214" s="657">
        <v>44926</v>
      </c>
      <c r="J214" s="658">
        <v>4242000</v>
      </c>
      <c r="K214" s="628"/>
      <c r="L214" s="628">
        <v>42000</v>
      </c>
      <c r="M214" s="628">
        <v>918750</v>
      </c>
      <c r="N214" s="628">
        <f t="shared" si="30"/>
        <v>3281250</v>
      </c>
      <c r="O214" s="659">
        <f t="shared" si="36"/>
        <v>90</v>
      </c>
      <c r="P214" s="660">
        <v>9</v>
      </c>
      <c r="Q214" s="661">
        <f t="shared" si="31"/>
        <v>8.7534246575342465</v>
      </c>
      <c r="R214" s="662">
        <f t="shared" si="32"/>
        <v>89897</v>
      </c>
      <c r="S214" s="662">
        <f t="shared" si="33"/>
        <v>3191353</v>
      </c>
      <c r="T214" s="663">
        <f t="shared" si="37"/>
        <v>0</v>
      </c>
      <c r="U214" s="663">
        <f t="shared" si="34"/>
        <v>3281250</v>
      </c>
      <c r="V214" s="664"/>
      <c r="W214" s="664"/>
      <c r="X214" s="664"/>
      <c r="Y214" s="664"/>
      <c r="Z214" s="664"/>
      <c r="AA214" s="664"/>
      <c r="AB214" s="664"/>
      <c r="AC214" s="664"/>
      <c r="AD214" s="664"/>
      <c r="AE214" s="664"/>
      <c r="AF214" s="664"/>
    </row>
    <row r="215" spans="2:32" ht="14.65">
      <c r="B215" s="653">
        <f t="shared" si="35"/>
        <v>211</v>
      </c>
      <c r="C215" s="654" t="s">
        <v>71</v>
      </c>
      <c r="D215" s="654" t="s">
        <v>3459</v>
      </c>
      <c r="E215" s="655" t="s">
        <v>653</v>
      </c>
      <c r="F215" s="656">
        <v>44922</v>
      </c>
      <c r="G215" s="656">
        <v>44926</v>
      </c>
      <c r="H215" s="654" t="s">
        <v>178</v>
      </c>
      <c r="I215" s="657">
        <v>44926</v>
      </c>
      <c r="J215" s="658">
        <v>4242000</v>
      </c>
      <c r="K215" s="628"/>
      <c r="L215" s="628">
        <v>42000</v>
      </c>
      <c r="M215" s="628">
        <v>918750</v>
      </c>
      <c r="N215" s="628">
        <f t="shared" si="30"/>
        <v>3281250</v>
      </c>
      <c r="O215" s="659">
        <f t="shared" si="36"/>
        <v>90</v>
      </c>
      <c r="P215" s="660">
        <v>9</v>
      </c>
      <c r="Q215" s="661">
        <f t="shared" si="31"/>
        <v>8.7534246575342465</v>
      </c>
      <c r="R215" s="662">
        <f t="shared" si="32"/>
        <v>89897</v>
      </c>
      <c r="S215" s="662">
        <f t="shared" si="33"/>
        <v>3191353</v>
      </c>
      <c r="T215" s="663">
        <f t="shared" si="37"/>
        <v>0</v>
      </c>
      <c r="U215" s="663">
        <f t="shared" si="34"/>
        <v>3281250</v>
      </c>
      <c r="V215" s="664"/>
      <c r="W215" s="664"/>
      <c r="X215" s="664"/>
      <c r="Y215" s="664"/>
      <c r="Z215" s="664"/>
      <c r="AA215" s="664"/>
      <c r="AB215" s="664"/>
      <c r="AC215" s="664"/>
      <c r="AD215" s="664"/>
      <c r="AE215" s="664"/>
      <c r="AF215" s="664"/>
    </row>
    <row r="216" spans="2:32" ht="14.65">
      <c r="B216" s="653">
        <f t="shared" si="35"/>
        <v>212</v>
      </c>
      <c r="C216" s="654" t="s">
        <v>71</v>
      </c>
      <c r="D216" s="654" t="s">
        <v>3459</v>
      </c>
      <c r="E216" s="655" t="s">
        <v>654</v>
      </c>
      <c r="F216" s="656">
        <v>44922</v>
      </c>
      <c r="G216" s="656">
        <v>44926</v>
      </c>
      <c r="H216" s="654" t="s">
        <v>178</v>
      </c>
      <c r="I216" s="657">
        <v>44926</v>
      </c>
      <c r="J216" s="658">
        <v>4242000</v>
      </c>
      <c r="K216" s="628"/>
      <c r="L216" s="628">
        <v>42000</v>
      </c>
      <c r="M216" s="628">
        <v>918750</v>
      </c>
      <c r="N216" s="628">
        <f t="shared" si="30"/>
        <v>3281250</v>
      </c>
      <c r="O216" s="659">
        <f t="shared" si="36"/>
        <v>90</v>
      </c>
      <c r="P216" s="660">
        <v>9</v>
      </c>
      <c r="Q216" s="661">
        <f t="shared" si="31"/>
        <v>8.7534246575342465</v>
      </c>
      <c r="R216" s="662">
        <f t="shared" si="32"/>
        <v>89897</v>
      </c>
      <c r="S216" s="662">
        <f t="shared" si="33"/>
        <v>3191353</v>
      </c>
      <c r="T216" s="663">
        <f t="shared" si="37"/>
        <v>0</v>
      </c>
      <c r="U216" s="663">
        <f t="shared" si="34"/>
        <v>3281250</v>
      </c>
      <c r="V216" s="664"/>
      <c r="W216" s="664"/>
      <c r="X216" s="664"/>
      <c r="Y216" s="664"/>
      <c r="Z216" s="664"/>
      <c r="AA216" s="664"/>
      <c r="AB216" s="664"/>
      <c r="AC216" s="664"/>
      <c r="AD216" s="664"/>
      <c r="AE216" s="664"/>
      <c r="AF216" s="664"/>
    </row>
    <row r="217" spans="2:32" ht="14.65">
      <c r="B217" s="653">
        <f t="shared" si="35"/>
        <v>213</v>
      </c>
      <c r="C217" s="654" t="s">
        <v>71</v>
      </c>
      <c r="D217" s="654" t="s">
        <v>3459</v>
      </c>
      <c r="E217" s="655" t="s">
        <v>655</v>
      </c>
      <c r="F217" s="656">
        <v>44922</v>
      </c>
      <c r="G217" s="656">
        <v>44926</v>
      </c>
      <c r="H217" s="654" t="s">
        <v>178</v>
      </c>
      <c r="I217" s="657">
        <v>44926</v>
      </c>
      <c r="J217" s="658">
        <v>4242000</v>
      </c>
      <c r="K217" s="628"/>
      <c r="L217" s="628">
        <v>42000</v>
      </c>
      <c r="M217" s="628">
        <v>918750</v>
      </c>
      <c r="N217" s="628">
        <f t="shared" si="30"/>
        <v>3281250</v>
      </c>
      <c r="O217" s="659">
        <f t="shared" si="36"/>
        <v>90</v>
      </c>
      <c r="P217" s="660">
        <v>9</v>
      </c>
      <c r="Q217" s="661">
        <f t="shared" si="31"/>
        <v>8.7534246575342465</v>
      </c>
      <c r="R217" s="662">
        <f t="shared" si="32"/>
        <v>89897</v>
      </c>
      <c r="S217" s="662">
        <f t="shared" si="33"/>
        <v>3191353</v>
      </c>
      <c r="T217" s="663">
        <f t="shared" si="37"/>
        <v>0</v>
      </c>
      <c r="U217" s="663">
        <f t="shared" si="34"/>
        <v>3281250</v>
      </c>
      <c r="V217" s="664"/>
      <c r="W217" s="664"/>
      <c r="X217" s="664"/>
      <c r="Y217" s="664"/>
      <c r="Z217" s="664"/>
      <c r="AA217" s="664"/>
      <c r="AB217" s="664"/>
      <c r="AC217" s="664"/>
      <c r="AD217" s="664"/>
      <c r="AE217" s="664"/>
      <c r="AF217" s="664"/>
    </row>
    <row r="218" spans="2:32" ht="14.65">
      <c r="B218" s="653">
        <f t="shared" si="35"/>
        <v>214</v>
      </c>
      <c r="C218" s="654" t="s">
        <v>71</v>
      </c>
      <c r="D218" s="654" t="s">
        <v>3459</v>
      </c>
      <c r="E218" s="655" t="s">
        <v>656</v>
      </c>
      <c r="F218" s="656">
        <v>44922</v>
      </c>
      <c r="G218" s="656">
        <v>44926</v>
      </c>
      <c r="H218" s="654" t="s">
        <v>178</v>
      </c>
      <c r="I218" s="657">
        <v>44926</v>
      </c>
      <c r="J218" s="658">
        <v>4242000</v>
      </c>
      <c r="K218" s="628"/>
      <c r="L218" s="628">
        <v>42000</v>
      </c>
      <c r="M218" s="628">
        <v>918750</v>
      </c>
      <c r="N218" s="628">
        <f t="shared" si="30"/>
        <v>3281250</v>
      </c>
      <c r="O218" s="659">
        <f t="shared" si="36"/>
        <v>90</v>
      </c>
      <c r="P218" s="660">
        <v>9</v>
      </c>
      <c r="Q218" s="661">
        <f t="shared" si="31"/>
        <v>8.7534246575342465</v>
      </c>
      <c r="R218" s="662">
        <f t="shared" si="32"/>
        <v>89897</v>
      </c>
      <c r="S218" s="662">
        <f t="shared" si="33"/>
        <v>3191353</v>
      </c>
      <c r="T218" s="663">
        <f t="shared" si="37"/>
        <v>0</v>
      </c>
      <c r="U218" s="663">
        <f t="shared" si="34"/>
        <v>3281250</v>
      </c>
      <c r="V218" s="664"/>
      <c r="W218" s="664"/>
      <c r="X218" s="664"/>
      <c r="Y218" s="664"/>
      <c r="Z218" s="664"/>
      <c r="AA218" s="664"/>
      <c r="AB218" s="664"/>
      <c r="AC218" s="664"/>
      <c r="AD218" s="664"/>
      <c r="AE218" s="664"/>
      <c r="AF218" s="664"/>
    </row>
    <row r="219" spans="2:32" ht="14.65">
      <c r="B219" s="653">
        <f t="shared" si="35"/>
        <v>215</v>
      </c>
      <c r="C219" s="654" t="s">
        <v>71</v>
      </c>
      <c r="D219" s="654" t="s">
        <v>3459</v>
      </c>
      <c r="E219" s="655" t="s">
        <v>657</v>
      </c>
      <c r="F219" s="656">
        <v>44922</v>
      </c>
      <c r="G219" s="656">
        <v>44926</v>
      </c>
      <c r="H219" s="654" t="s">
        <v>178</v>
      </c>
      <c r="I219" s="657">
        <v>44926</v>
      </c>
      <c r="J219" s="658">
        <v>4242000</v>
      </c>
      <c r="K219" s="628"/>
      <c r="L219" s="628">
        <v>42000</v>
      </c>
      <c r="M219" s="628">
        <v>918750</v>
      </c>
      <c r="N219" s="628">
        <f t="shared" si="30"/>
        <v>3281250</v>
      </c>
      <c r="O219" s="659">
        <f t="shared" si="36"/>
        <v>90</v>
      </c>
      <c r="P219" s="660">
        <v>9</v>
      </c>
      <c r="Q219" s="661">
        <f t="shared" si="31"/>
        <v>8.7534246575342465</v>
      </c>
      <c r="R219" s="662">
        <f t="shared" si="32"/>
        <v>89897</v>
      </c>
      <c r="S219" s="662">
        <f t="shared" si="33"/>
        <v>3191353</v>
      </c>
      <c r="T219" s="663">
        <f t="shared" si="37"/>
        <v>0</v>
      </c>
      <c r="U219" s="663">
        <f t="shared" si="34"/>
        <v>3281250</v>
      </c>
      <c r="V219" s="664"/>
      <c r="W219" s="664"/>
      <c r="X219" s="664"/>
      <c r="Y219" s="664"/>
      <c r="Z219" s="664"/>
      <c r="AA219" s="664"/>
      <c r="AB219" s="664"/>
      <c r="AC219" s="664"/>
      <c r="AD219" s="664"/>
      <c r="AE219" s="664"/>
      <c r="AF219" s="664"/>
    </row>
    <row r="220" spans="2:32" ht="14.65">
      <c r="B220" s="653">
        <f t="shared" si="35"/>
        <v>216</v>
      </c>
      <c r="C220" s="654" t="s">
        <v>71</v>
      </c>
      <c r="D220" s="654" t="s">
        <v>3459</v>
      </c>
      <c r="E220" s="655" t="s">
        <v>658</v>
      </c>
      <c r="F220" s="656">
        <v>44922</v>
      </c>
      <c r="G220" s="656">
        <v>44926</v>
      </c>
      <c r="H220" s="654" t="s">
        <v>178</v>
      </c>
      <c r="I220" s="657">
        <v>44926</v>
      </c>
      <c r="J220" s="658">
        <v>4242000</v>
      </c>
      <c r="K220" s="628"/>
      <c r="L220" s="628">
        <v>42000</v>
      </c>
      <c r="M220" s="628">
        <v>918750</v>
      </c>
      <c r="N220" s="628">
        <f t="shared" si="30"/>
        <v>3281250</v>
      </c>
      <c r="O220" s="659">
        <f t="shared" si="36"/>
        <v>90</v>
      </c>
      <c r="P220" s="660">
        <v>9</v>
      </c>
      <c r="Q220" s="661">
        <f t="shared" si="31"/>
        <v>8.7534246575342465</v>
      </c>
      <c r="R220" s="662">
        <f t="shared" si="32"/>
        <v>89897</v>
      </c>
      <c r="S220" s="662">
        <f t="shared" si="33"/>
        <v>3191353</v>
      </c>
      <c r="T220" s="663">
        <f t="shared" si="37"/>
        <v>0</v>
      </c>
      <c r="U220" s="663">
        <f t="shared" si="34"/>
        <v>3281250</v>
      </c>
      <c r="V220" s="664"/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</row>
    <row r="221" spans="2:32" ht="14.65">
      <c r="B221" s="653">
        <f t="shared" si="35"/>
        <v>217</v>
      </c>
      <c r="C221" s="654" t="s">
        <v>71</v>
      </c>
      <c r="D221" s="654" t="s">
        <v>3459</v>
      </c>
      <c r="E221" s="655" t="s">
        <v>659</v>
      </c>
      <c r="F221" s="656">
        <v>44922</v>
      </c>
      <c r="G221" s="656">
        <v>44926</v>
      </c>
      <c r="H221" s="654" t="s">
        <v>178</v>
      </c>
      <c r="I221" s="657">
        <v>44926</v>
      </c>
      <c r="J221" s="658">
        <v>4242000</v>
      </c>
      <c r="K221" s="628"/>
      <c r="L221" s="628">
        <v>42000</v>
      </c>
      <c r="M221" s="628">
        <v>918750</v>
      </c>
      <c r="N221" s="628">
        <f t="shared" si="30"/>
        <v>3281250</v>
      </c>
      <c r="O221" s="659">
        <f t="shared" si="36"/>
        <v>90</v>
      </c>
      <c r="P221" s="660">
        <v>9</v>
      </c>
      <c r="Q221" s="661">
        <f t="shared" si="31"/>
        <v>8.7534246575342465</v>
      </c>
      <c r="R221" s="662">
        <f t="shared" si="32"/>
        <v>89897</v>
      </c>
      <c r="S221" s="662">
        <f t="shared" si="33"/>
        <v>3191353</v>
      </c>
      <c r="T221" s="663">
        <f t="shared" si="37"/>
        <v>0</v>
      </c>
      <c r="U221" s="663">
        <f t="shared" si="34"/>
        <v>3281250</v>
      </c>
      <c r="V221" s="664"/>
      <c r="W221" s="664"/>
      <c r="X221" s="664"/>
      <c r="Y221" s="664"/>
      <c r="Z221" s="664"/>
      <c r="AA221" s="664"/>
      <c r="AB221" s="664"/>
      <c r="AC221" s="664"/>
      <c r="AD221" s="664"/>
      <c r="AE221" s="664"/>
      <c r="AF221" s="664"/>
    </row>
    <row r="222" spans="2:32" ht="14.65">
      <c r="B222" s="653">
        <f t="shared" si="35"/>
        <v>218</v>
      </c>
      <c r="C222" s="654" t="s">
        <v>71</v>
      </c>
      <c r="D222" s="654" t="s">
        <v>3459</v>
      </c>
      <c r="E222" s="655" t="s">
        <v>660</v>
      </c>
      <c r="F222" s="656">
        <v>44925</v>
      </c>
      <c r="G222" s="656">
        <v>44926</v>
      </c>
      <c r="H222" s="654" t="s">
        <v>402</v>
      </c>
      <c r="I222" s="657">
        <v>44926</v>
      </c>
      <c r="J222" s="658">
        <v>13574400</v>
      </c>
      <c r="K222" s="628"/>
      <c r="L222" s="628">
        <v>134400</v>
      </c>
      <c r="M222" s="628">
        <v>2940000</v>
      </c>
      <c r="N222" s="628">
        <f t="shared" si="30"/>
        <v>10500000</v>
      </c>
      <c r="O222" s="659">
        <f t="shared" si="36"/>
        <v>90</v>
      </c>
      <c r="P222" s="660">
        <v>9</v>
      </c>
      <c r="Q222" s="661">
        <f t="shared" si="31"/>
        <v>8.7534246575342465</v>
      </c>
      <c r="R222" s="662">
        <f t="shared" si="32"/>
        <v>287671</v>
      </c>
      <c r="S222" s="662">
        <f t="shared" si="33"/>
        <v>10212329</v>
      </c>
      <c r="T222" s="663">
        <f t="shared" si="37"/>
        <v>0</v>
      </c>
      <c r="U222" s="663">
        <f t="shared" si="34"/>
        <v>10500000</v>
      </c>
      <c r="V222" s="664"/>
      <c r="W222" s="664"/>
      <c r="X222" s="664"/>
      <c r="Y222" s="664"/>
      <c r="Z222" s="664"/>
      <c r="AA222" s="664"/>
      <c r="AB222" s="664"/>
      <c r="AC222" s="664"/>
      <c r="AD222" s="664"/>
      <c r="AE222" s="664"/>
      <c r="AF222" s="664"/>
    </row>
    <row r="223" spans="2:32" ht="14.65">
      <c r="B223" s="653">
        <f t="shared" si="35"/>
        <v>219</v>
      </c>
      <c r="C223" s="654" t="s">
        <v>71</v>
      </c>
      <c r="D223" s="654" t="s">
        <v>3459</v>
      </c>
      <c r="E223" s="655" t="s">
        <v>661</v>
      </c>
      <c r="F223" s="656">
        <v>44925</v>
      </c>
      <c r="G223" s="656">
        <v>44926</v>
      </c>
      <c r="H223" s="654" t="s">
        <v>402</v>
      </c>
      <c r="I223" s="657">
        <v>44926</v>
      </c>
      <c r="J223" s="658">
        <v>13574400</v>
      </c>
      <c r="K223" s="628"/>
      <c r="L223" s="628">
        <v>134400</v>
      </c>
      <c r="M223" s="628">
        <v>2940000</v>
      </c>
      <c r="N223" s="628">
        <f t="shared" si="30"/>
        <v>10500000</v>
      </c>
      <c r="O223" s="659">
        <f t="shared" si="36"/>
        <v>90</v>
      </c>
      <c r="P223" s="660">
        <v>9</v>
      </c>
      <c r="Q223" s="661">
        <f t="shared" si="31"/>
        <v>8.7534246575342465</v>
      </c>
      <c r="R223" s="662">
        <f t="shared" si="32"/>
        <v>287671</v>
      </c>
      <c r="S223" s="662">
        <f t="shared" si="33"/>
        <v>10212329</v>
      </c>
      <c r="T223" s="663">
        <f t="shared" si="37"/>
        <v>0</v>
      </c>
      <c r="U223" s="663">
        <f t="shared" si="34"/>
        <v>10500000</v>
      </c>
      <c r="V223" s="664"/>
      <c r="W223" s="664"/>
      <c r="X223" s="664"/>
      <c r="Y223" s="664"/>
      <c r="Z223" s="664"/>
      <c r="AA223" s="664"/>
      <c r="AB223" s="664"/>
      <c r="AC223" s="664"/>
      <c r="AD223" s="664"/>
      <c r="AE223" s="664"/>
      <c r="AF223" s="664"/>
    </row>
    <row r="224" spans="2:32" ht="14.65">
      <c r="B224" s="653">
        <f t="shared" si="35"/>
        <v>220</v>
      </c>
      <c r="C224" s="654" t="s">
        <v>71</v>
      </c>
      <c r="D224" s="654" t="s">
        <v>3459</v>
      </c>
      <c r="E224" s="655" t="s">
        <v>662</v>
      </c>
      <c r="F224" s="656">
        <v>44925</v>
      </c>
      <c r="G224" s="656">
        <v>44926</v>
      </c>
      <c r="H224" s="654" t="s">
        <v>402</v>
      </c>
      <c r="I224" s="657">
        <v>44926</v>
      </c>
      <c r="J224" s="658">
        <v>13574400</v>
      </c>
      <c r="K224" s="628"/>
      <c r="L224" s="628">
        <v>134400</v>
      </c>
      <c r="M224" s="628">
        <v>2940000</v>
      </c>
      <c r="N224" s="628">
        <f t="shared" si="30"/>
        <v>10500000</v>
      </c>
      <c r="O224" s="659">
        <f t="shared" si="36"/>
        <v>90</v>
      </c>
      <c r="P224" s="660">
        <v>9</v>
      </c>
      <c r="Q224" s="661">
        <f t="shared" si="31"/>
        <v>8.7534246575342465</v>
      </c>
      <c r="R224" s="662">
        <f t="shared" si="32"/>
        <v>287671</v>
      </c>
      <c r="S224" s="662">
        <f t="shared" si="33"/>
        <v>10212329</v>
      </c>
      <c r="T224" s="663">
        <f t="shared" si="37"/>
        <v>0</v>
      </c>
      <c r="U224" s="663">
        <f t="shared" si="34"/>
        <v>10500000</v>
      </c>
      <c r="V224" s="664"/>
      <c r="W224" s="664"/>
      <c r="X224" s="664"/>
      <c r="Y224" s="664"/>
      <c r="Z224" s="664"/>
      <c r="AA224" s="664"/>
      <c r="AB224" s="664"/>
      <c r="AC224" s="664"/>
      <c r="AD224" s="664"/>
      <c r="AE224" s="664"/>
      <c r="AF224" s="664"/>
    </row>
    <row r="225" spans="2:32" ht="14.65">
      <c r="B225" s="653">
        <f t="shared" si="35"/>
        <v>221</v>
      </c>
      <c r="C225" s="654" t="s">
        <v>71</v>
      </c>
      <c r="D225" s="654" t="s">
        <v>3459</v>
      </c>
      <c r="E225" s="655" t="s">
        <v>663</v>
      </c>
      <c r="F225" s="656">
        <v>44925</v>
      </c>
      <c r="G225" s="656">
        <v>44926</v>
      </c>
      <c r="H225" s="654" t="s">
        <v>402</v>
      </c>
      <c r="I225" s="657">
        <v>44926</v>
      </c>
      <c r="J225" s="658">
        <v>13574400</v>
      </c>
      <c r="K225" s="628"/>
      <c r="L225" s="628">
        <v>134400</v>
      </c>
      <c r="M225" s="628">
        <v>2940000</v>
      </c>
      <c r="N225" s="628">
        <f t="shared" si="30"/>
        <v>10500000</v>
      </c>
      <c r="O225" s="659">
        <f t="shared" si="36"/>
        <v>90</v>
      </c>
      <c r="P225" s="660">
        <v>9</v>
      </c>
      <c r="Q225" s="661">
        <f t="shared" si="31"/>
        <v>8.7534246575342465</v>
      </c>
      <c r="R225" s="662">
        <f t="shared" si="32"/>
        <v>287671</v>
      </c>
      <c r="S225" s="662">
        <f t="shared" si="33"/>
        <v>10212329</v>
      </c>
      <c r="T225" s="663">
        <f t="shared" si="37"/>
        <v>0</v>
      </c>
      <c r="U225" s="663">
        <f t="shared" si="34"/>
        <v>10500000</v>
      </c>
      <c r="V225" s="664"/>
      <c r="W225" s="664"/>
      <c r="X225" s="664"/>
      <c r="Y225" s="664"/>
      <c r="Z225" s="664"/>
      <c r="AA225" s="664"/>
      <c r="AB225" s="664"/>
      <c r="AC225" s="664"/>
      <c r="AD225" s="664"/>
      <c r="AE225" s="664"/>
      <c r="AF225" s="664"/>
    </row>
    <row r="226" spans="2:32" ht="14.65">
      <c r="B226" s="653">
        <f t="shared" si="35"/>
        <v>222</v>
      </c>
      <c r="C226" s="654" t="s">
        <v>71</v>
      </c>
      <c r="D226" s="654" t="s">
        <v>3459</v>
      </c>
      <c r="E226" s="655" t="s">
        <v>664</v>
      </c>
      <c r="F226" s="656">
        <v>44925</v>
      </c>
      <c r="G226" s="656">
        <v>44926</v>
      </c>
      <c r="H226" s="654" t="s">
        <v>402</v>
      </c>
      <c r="I226" s="657">
        <v>44926</v>
      </c>
      <c r="J226" s="658">
        <v>13574400</v>
      </c>
      <c r="K226" s="628"/>
      <c r="L226" s="628">
        <v>134400</v>
      </c>
      <c r="M226" s="628">
        <v>2940000</v>
      </c>
      <c r="N226" s="628">
        <f t="shared" si="30"/>
        <v>10500000</v>
      </c>
      <c r="O226" s="659">
        <f t="shared" si="36"/>
        <v>90</v>
      </c>
      <c r="P226" s="660">
        <v>9</v>
      </c>
      <c r="Q226" s="661">
        <f t="shared" si="31"/>
        <v>8.7534246575342465</v>
      </c>
      <c r="R226" s="662">
        <f t="shared" si="32"/>
        <v>287671</v>
      </c>
      <c r="S226" s="662">
        <f t="shared" si="33"/>
        <v>10212329</v>
      </c>
      <c r="T226" s="663">
        <f t="shared" si="37"/>
        <v>0</v>
      </c>
      <c r="U226" s="663">
        <f t="shared" si="34"/>
        <v>10500000</v>
      </c>
      <c r="V226" s="664"/>
      <c r="W226" s="664"/>
      <c r="X226" s="664"/>
      <c r="Y226" s="664"/>
      <c r="Z226" s="664"/>
      <c r="AA226" s="664"/>
      <c r="AB226" s="664"/>
      <c r="AC226" s="664"/>
      <c r="AD226" s="664"/>
      <c r="AE226" s="664"/>
      <c r="AF226" s="664"/>
    </row>
    <row r="227" spans="2:32" ht="14.65">
      <c r="B227" s="653">
        <f t="shared" si="35"/>
        <v>223</v>
      </c>
      <c r="C227" s="670" t="s">
        <v>1884</v>
      </c>
      <c r="D227" s="654" t="s">
        <v>3459</v>
      </c>
      <c r="E227" s="677">
        <v>222900030</v>
      </c>
      <c r="F227" s="678">
        <v>44784</v>
      </c>
      <c r="G227" s="678">
        <v>44945</v>
      </c>
      <c r="H227" s="670" t="s">
        <v>3420</v>
      </c>
      <c r="I227" s="672">
        <v>44945</v>
      </c>
      <c r="J227" s="679">
        <v>3056967</v>
      </c>
      <c r="K227" s="627">
        <v>1004990</v>
      </c>
      <c r="L227" s="627">
        <v>30267</v>
      </c>
      <c r="M227" s="627">
        <v>461700</v>
      </c>
      <c r="N227" s="627">
        <f t="shared" si="30"/>
        <v>3569990</v>
      </c>
      <c r="O227" s="659">
        <f t="shared" si="36"/>
        <v>71</v>
      </c>
      <c r="P227" s="673">
        <v>9</v>
      </c>
      <c r="Q227" s="674">
        <f t="shared" si="31"/>
        <v>8.8054794520547937</v>
      </c>
      <c r="R227" s="675">
        <f t="shared" si="32"/>
        <v>77160</v>
      </c>
      <c r="S227" s="675">
        <f t="shared" si="33"/>
        <v>3492830</v>
      </c>
      <c r="T227" s="676">
        <f t="shared" si="37"/>
        <v>0</v>
      </c>
      <c r="U227" s="676">
        <f t="shared" si="34"/>
        <v>3569990</v>
      </c>
      <c r="V227" s="664"/>
      <c r="W227" s="664"/>
      <c r="X227" s="664"/>
      <c r="Y227" s="664"/>
      <c r="Z227" s="664"/>
      <c r="AA227" s="664"/>
      <c r="AB227" s="664"/>
      <c r="AC227" s="664"/>
      <c r="AD227" s="664"/>
      <c r="AE227" s="664"/>
      <c r="AF227" s="664"/>
    </row>
    <row r="228" spans="2:32" ht="14.65">
      <c r="B228" s="653">
        <f t="shared" si="35"/>
        <v>224</v>
      </c>
      <c r="C228" s="670" t="s">
        <v>315</v>
      </c>
      <c r="D228" s="654" t="s">
        <v>3459</v>
      </c>
      <c r="E228" s="677" t="s">
        <v>3419</v>
      </c>
      <c r="F228" s="678">
        <v>44883</v>
      </c>
      <c r="G228" s="678">
        <v>44945</v>
      </c>
      <c r="H228" s="670" t="s">
        <v>410</v>
      </c>
      <c r="I228" s="672">
        <v>44945</v>
      </c>
      <c r="J228" s="679">
        <f>30444000-16505</f>
        <v>30427495</v>
      </c>
      <c r="K228" s="627"/>
      <c r="L228" s="627"/>
      <c r="M228" s="627">
        <v>4644000</v>
      </c>
      <c r="N228" s="627">
        <f t="shared" si="30"/>
        <v>25783495</v>
      </c>
      <c r="O228" s="659">
        <f t="shared" si="36"/>
        <v>71</v>
      </c>
      <c r="P228" s="673">
        <v>9</v>
      </c>
      <c r="Q228" s="674">
        <f t="shared" si="31"/>
        <v>8.8054794520547937</v>
      </c>
      <c r="R228" s="675">
        <f t="shared" si="32"/>
        <v>557269</v>
      </c>
      <c r="S228" s="675">
        <f t="shared" si="33"/>
        <v>25226226</v>
      </c>
      <c r="T228" s="676">
        <f t="shared" si="37"/>
        <v>0</v>
      </c>
      <c r="U228" s="676">
        <f t="shared" si="34"/>
        <v>25783495</v>
      </c>
      <c r="V228" s="664"/>
      <c r="W228" s="664"/>
      <c r="X228" s="664"/>
      <c r="Y228" s="664"/>
      <c r="Z228" s="664"/>
      <c r="AA228" s="664"/>
      <c r="AB228" s="664"/>
      <c r="AC228" s="664"/>
      <c r="AD228" s="664"/>
      <c r="AE228" s="664"/>
      <c r="AF228" s="664"/>
    </row>
    <row r="229" spans="2:32" ht="14.65">
      <c r="B229" s="653">
        <f t="shared" si="35"/>
        <v>225</v>
      </c>
      <c r="C229" s="669" t="s">
        <v>3340</v>
      </c>
      <c r="D229" s="654" t="s">
        <v>3459</v>
      </c>
      <c r="E229" s="671" t="s">
        <v>3418</v>
      </c>
      <c r="F229" s="672">
        <v>44929</v>
      </c>
      <c r="G229" s="672">
        <v>44931</v>
      </c>
      <c r="H229" s="669" t="s">
        <v>763</v>
      </c>
      <c r="I229" s="672">
        <v>44931</v>
      </c>
      <c r="J229" s="627">
        <v>463138</v>
      </c>
      <c r="K229" s="627"/>
      <c r="L229" s="627"/>
      <c r="M229" s="627">
        <v>70648</v>
      </c>
      <c r="N229" s="627">
        <f t="shared" si="30"/>
        <v>392490</v>
      </c>
      <c r="O229" s="659">
        <f t="shared" si="36"/>
        <v>85</v>
      </c>
      <c r="P229" s="673">
        <v>3</v>
      </c>
      <c r="Q229" s="674">
        <f t="shared" si="31"/>
        <v>2.7671232876712328</v>
      </c>
      <c r="R229" s="675">
        <f t="shared" si="32"/>
        <v>30467</v>
      </c>
      <c r="S229" s="675">
        <f t="shared" si="33"/>
        <v>362023</v>
      </c>
      <c r="T229" s="676">
        <f t="shared" si="37"/>
        <v>0</v>
      </c>
      <c r="U229" s="676">
        <f t="shared" si="34"/>
        <v>392490</v>
      </c>
      <c r="V229" s="664"/>
      <c r="W229" s="664"/>
      <c r="X229" s="664"/>
      <c r="Y229" s="664"/>
      <c r="Z229" s="664"/>
      <c r="AA229" s="664"/>
      <c r="AB229" s="664"/>
      <c r="AC229" s="664"/>
      <c r="AD229" s="664"/>
      <c r="AE229" s="664"/>
      <c r="AF229" s="664"/>
    </row>
    <row r="230" spans="2:32" ht="14.65">
      <c r="B230" s="653">
        <f t="shared" si="35"/>
        <v>226</v>
      </c>
      <c r="C230" s="669" t="s">
        <v>3340</v>
      </c>
      <c r="D230" s="654" t="s">
        <v>3459</v>
      </c>
      <c r="E230" s="671" t="s">
        <v>3417</v>
      </c>
      <c r="F230" s="672">
        <v>44929</v>
      </c>
      <c r="G230" s="672">
        <v>44931</v>
      </c>
      <c r="H230" s="669" t="s">
        <v>763</v>
      </c>
      <c r="I230" s="672">
        <v>44931</v>
      </c>
      <c r="J230" s="627">
        <v>292899</v>
      </c>
      <c r="K230" s="627"/>
      <c r="L230" s="627"/>
      <c r="M230" s="627">
        <v>44680</v>
      </c>
      <c r="N230" s="627">
        <f t="shared" si="30"/>
        <v>248219</v>
      </c>
      <c r="O230" s="659">
        <f t="shared" si="36"/>
        <v>85</v>
      </c>
      <c r="P230" s="673">
        <v>3</v>
      </c>
      <c r="Q230" s="674">
        <f t="shared" si="31"/>
        <v>2.7671232876712328</v>
      </c>
      <c r="R230" s="675">
        <f t="shared" si="32"/>
        <v>19268</v>
      </c>
      <c r="S230" s="675">
        <f t="shared" si="33"/>
        <v>228951</v>
      </c>
      <c r="T230" s="676">
        <f t="shared" si="37"/>
        <v>0</v>
      </c>
      <c r="U230" s="676">
        <f t="shared" si="34"/>
        <v>248219</v>
      </c>
      <c r="V230" s="664"/>
      <c r="W230" s="664"/>
      <c r="X230" s="664"/>
      <c r="Y230" s="664"/>
      <c r="Z230" s="664"/>
      <c r="AA230" s="664"/>
      <c r="AB230" s="664"/>
      <c r="AC230" s="664"/>
      <c r="AD230" s="664"/>
      <c r="AE230" s="664"/>
      <c r="AF230" s="664"/>
    </row>
    <row r="231" spans="2:32" ht="14.65">
      <c r="B231" s="653">
        <f t="shared" si="35"/>
        <v>227</v>
      </c>
      <c r="C231" s="669" t="s">
        <v>3340</v>
      </c>
      <c r="D231" s="654" t="s">
        <v>3459</v>
      </c>
      <c r="E231" s="671" t="s">
        <v>3416</v>
      </c>
      <c r="F231" s="672">
        <v>44929</v>
      </c>
      <c r="G231" s="672">
        <v>44931</v>
      </c>
      <c r="H231" s="669" t="s">
        <v>763</v>
      </c>
      <c r="I231" s="672">
        <v>44931</v>
      </c>
      <c r="J231" s="627">
        <v>903892</v>
      </c>
      <c r="K231" s="627"/>
      <c r="L231" s="627"/>
      <c r="M231" s="627">
        <v>137882</v>
      </c>
      <c r="N231" s="627">
        <f t="shared" si="30"/>
        <v>766010</v>
      </c>
      <c r="O231" s="659">
        <f t="shared" si="36"/>
        <v>85</v>
      </c>
      <c r="P231" s="673">
        <v>3</v>
      </c>
      <c r="Q231" s="674">
        <f t="shared" si="31"/>
        <v>2.7671232876712328</v>
      </c>
      <c r="R231" s="675">
        <f t="shared" si="32"/>
        <v>59462</v>
      </c>
      <c r="S231" s="675">
        <f t="shared" si="33"/>
        <v>706548</v>
      </c>
      <c r="T231" s="676">
        <f t="shared" si="37"/>
        <v>0</v>
      </c>
      <c r="U231" s="676">
        <f t="shared" si="34"/>
        <v>766010</v>
      </c>
      <c r="V231" s="664"/>
      <c r="W231" s="664"/>
      <c r="X231" s="664"/>
      <c r="Y231" s="664"/>
      <c r="Z231" s="664"/>
      <c r="AA231" s="664"/>
      <c r="AB231" s="664"/>
      <c r="AC231" s="664"/>
      <c r="AD231" s="664"/>
      <c r="AE231" s="664"/>
      <c r="AF231" s="664"/>
    </row>
    <row r="232" spans="2:32" ht="14.65">
      <c r="B232" s="653">
        <f t="shared" si="35"/>
        <v>228</v>
      </c>
      <c r="C232" s="669" t="s">
        <v>3340</v>
      </c>
      <c r="D232" s="654" t="s">
        <v>3459</v>
      </c>
      <c r="E232" s="671" t="s">
        <v>3415</v>
      </c>
      <c r="F232" s="672">
        <v>44930</v>
      </c>
      <c r="G232" s="672">
        <v>44932</v>
      </c>
      <c r="H232" s="669" t="s">
        <v>763</v>
      </c>
      <c r="I232" s="672">
        <v>44932</v>
      </c>
      <c r="J232" s="627">
        <v>1250564</v>
      </c>
      <c r="K232" s="627"/>
      <c r="L232" s="627"/>
      <c r="M232" s="627">
        <v>190764</v>
      </c>
      <c r="N232" s="627">
        <f t="shared" si="30"/>
        <v>1059800</v>
      </c>
      <c r="O232" s="659">
        <f t="shared" si="36"/>
        <v>84</v>
      </c>
      <c r="P232" s="673">
        <v>3</v>
      </c>
      <c r="Q232" s="674">
        <f t="shared" si="31"/>
        <v>2.7698630136986302</v>
      </c>
      <c r="R232" s="675">
        <f t="shared" si="32"/>
        <v>81300</v>
      </c>
      <c r="S232" s="675">
        <f t="shared" si="33"/>
        <v>978500</v>
      </c>
      <c r="T232" s="676">
        <f t="shared" si="37"/>
        <v>0</v>
      </c>
      <c r="U232" s="676">
        <f t="shared" si="34"/>
        <v>1059800</v>
      </c>
      <c r="V232" s="664"/>
      <c r="W232" s="664"/>
      <c r="X232" s="664"/>
      <c r="Y232" s="664"/>
      <c r="Z232" s="664"/>
      <c r="AA232" s="664"/>
      <c r="AB232" s="664"/>
      <c r="AC232" s="664"/>
      <c r="AD232" s="664"/>
      <c r="AE232" s="664"/>
      <c r="AF232" s="664"/>
    </row>
    <row r="233" spans="2:32" ht="14.65">
      <c r="B233" s="653">
        <f t="shared" si="35"/>
        <v>229</v>
      </c>
      <c r="C233" s="669" t="s">
        <v>3340</v>
      </c>
      <c r="D233" s="654" t="s">
        <v>3459</v>
      </c>
      <c r="E233" s="671" t="s">
        <v>3414</v>
      </c>
      <c r="F233" s="672">
        <v>44930</v>
      </c>
      <c r="G233" s="672">
        <v>44932</v>
      </c>
      <c r="H233" s="669" t="s">
        <v>763</v>
      </c>
      <c r="I233" s="672">
        <v>44932</v>
      </c>
      <c r="J233" s="627">
        <v>398132</v>
      </c>
      <c r="K233" s="627"/>
      <c r="L233" s="627"/>
      <c r="M233" s="627">
        <v>60732</v>
      </c>
      <c r="N233" s="627">
        <f t="shared" si="30"/>
        <v>337400</v>
      </c>
      <c r="O233" s="659">
        <f t="shared" si="36"/>
        <v>84</v>
      </c>
      <c r="P233" s="673">
        <v>3</v>
      </c>
      <c r="Q233" s="674">
        <f t="shared" si="31"/>
        <v>2.7698630136986302</v>
      </c>
      <c r="R233" s="675">
        <f t="shared" si="32"/>
        <v>25883</v>
      </c>
      <c r="S233" s="675">
        <f t="shared" si="33"/>
        <v>311517</v>
      </c>
      <c r="T233" s="676">
        <f t="shared" si="37"/>
        <v>0</v>
      </c>
      <c r="U233" s="676">
        <f t="shared" si="34"/>
        <v>337400</v>
      </c>
      <c r="V233" s="664"/>
      <c r="W233" s="664"/>
      <c r="X233" s="664"/>
      <c r="Y233" s="664"/>
      <c r="Z233" s="664"/>
      <c r="AA233" s="664"/>
      <c r="AB233" s="664"/>
      <c r="AC233" s="664"/>
      <c r="AD233" s="664"/>
      <c r="AE233" s="664"/>
      <c r="AF233" s="664"/>
    </row>
    <row r="234" spans="2:32" ht="14.65">
      <c r="B234" s="653">
        <f t="shared" si="35"/>
        <v>230</v>
      </c>
      <c r="C234" s="669" t="s">
        <v>3340</v>
      </c>
      <c r="D234" s="654" t="s">
        <v>3459</v>
      </c>
      <c r="E234" s="671" t="s">
        <v>3413</v>
      </c>
      <c r="F234" s="672">
        <v>44932</v>
      </c>
      <c r="G234" s="672">
        <v>44934</v>
      </c>
      <c r="H234" s="669" t="s">
        <v>763</v>
      </c>
      <c r="I234" s="672">
        <v>44934</v>
      </c>
      <c r="J234" s="627">
        <v>279424</v>
      </c>
      <c r="K234" s="627"/>
      <c r="L234" s="627"/>
      <c r="M234" s="627">
        <v>42624</v>
      </c>
      <c r="N234" s="627">
        <f t="shared" si="30"/>
        <v>236800</v>
      </c>
      <c r="O234" s="659">
        <f t="shared" si="36"/>
        <v>82</v>
      </c>
      <c r="P234" s="673">
        <v>3</v>
      </c>
      <c r="Q234" s="674">
        <f t="shared" si="31"/>
        <v>2.7753424657534245</v>
      </c>
      <c r="R234" s="675">
        <f t="shared" si="32"/>
        <v>17733</v>
      </c>
      <c r="S234" s="675">
        <f t="shared" si="33"/>
        <v>219067</v>
      </c>
      <c r="T234" s="676">
        <f t="shared" si="37"/>
        <v>0</v>
      </c>
      <c r="U234" s="676">
        <f t="shared" si="34"/>
        <v>236800</v>
      </c>
      <c r="V234" s="664"/>
      <c r="W234" s="664"/>
      <c r="X234" s="664"/>
      <c r="Y234" s="664"/>
      <c r="Z234" s="664"/>
      <c r="AA234" s="664"/>
      <c r="AB234" s="664"/>
      <c r="AC234" s="664"/>
      <c r="AD234" s="664"/>
      <c r="AE234" s="664"/>
      <c r="AF234" s="664"/>
    </row>
    <row r="235" spans="2:32" ht="14.65">
      <c r="B235" s="653">
        <f t="shared" si="35"/>
        <v>231</v>
      </c>
      <c r="C235" s="669" t="s">
        <v>3340</v>
      </c>
      <c r="D235" s="654" t="s">
        <v>3459</v>
      </c>
      <c r="E235" s="671" t="s">
        <v>3412</v>
      </c>
      <c r="F235" s="672">
        <v>44932</v>
      </c>
      <c r="G235" s="672">
        <v>44934</v>
      </c>
      <c r="H235" s="669" t="s">
        <v>763</v>
      </c>
      <c r="I235" s="672">
        <v>44934</v>
      </c>
      <c r="J235" s="627">
        <v>1676697</v>
      </c>
      <c r="K235" s="627"/>
      <c r="L235" s="627"/>
      <c r="M235" s="627">
        <v>255767</v>
      </c>
      <c r="N235" s="627">
        <f t="shared" si="30"/>
        <v>1420930</v>
      </c>
      <c r="O235" s="659">
        <f t="shared" si="36"/>
        <v>82</v>
      </c>
      <c r="P235" s="673">
        <v>3</v>
      </c>
      <c r="Q235" s="674">
        <f t="shared" si="31"/>
        <v>2.7753424657534245</v>
      </c>
      <c r="R235" s="675">
        <f t="shared" si="32"/>
        <v>106408</v>
      </c>
      <c r="S235" s="675">
        <f t="shared" si="33"/>
        <v>1314522</v>
      </c>
      <c r="T235" s="676">
        <f t="shared" si="37"/>
        <v>0</v>
      </c>
      <c r="U235" s="676">
        <f t="shared" si="34"/>
        <v>1420930</v>
      </c>
      <c r="V235" s="664"/>
      <c r="W235" s="664"/>
      <c r="X235" s="664"/>
      <c r="Y235" s="664"/>
      <c r="Z235" s="664"/>
      <c r="AA235" s="664"/>
      <c r="AB235" s="664"/>
      <c r="AC235" s="664"/>
      <c r="AD235" s="664"/>
      <c r="AE235" s="664"/>
      <c r="AF235" s="664"/>
    </row>
    <row r="236" spans="2:32" ht="14.65">
      <c r="B236" s="653">
        <f t="shared" si="35"/>
        <v>232</v>
      </c>
      <c r="C236" s="669" t="s">
        <v>3340</v>
      </c>
      <c r="D236" s="654" t="s">
        <v>3459</v>
      </c>
      <c r="E236" s="671" t="s">
        <v>3411</v>
      </c>
      <c r="F236" s="672">
        <v>44932</v>
      </c>
      <c r="G236" s="672">
        <v>44934</v>
      </c>
      <c r="H236" s="669" t="s">
        <v>763</v>
      </c>
      <c r="I236" s="672">
        <v>44934</v>
      </c>
      <c r="J236" s="627">
        <v>193697</v>
      </c>
      <c r="K236" s="627"/>
      <c r="L236" s="627"/>
      <c r="M236" s="627">
        <v>29547</v>
      </c>
      <c r="N236" s="627">
        <f t="shared" si="30"/>
        <v>164150</v>
      </c>
      <c r="O236" s="659">
        <f t="shared" si="36"/>
        <v>82</v>
      </c>
      <c r="P236" s="673">
        <v>3</v>
      </c>
      <c r="Q236" s="674">
        <f t="shared" si="31"/>
        <v>2.7753424657534245</v>
      </c>
      <c r="R236" s="675">
        <f t="shared" si="32"/>
        <v>12293</v>
      </c>
      <c r="S236" s="675">
        <f t="shared" si="33"/>
        <v>151857</v>
      </c>
      <c r="T236" s="676">
        <f t="shared" si="37"/>
        <v>0</v>
      </c>
      <c r="U236" s="676">
        <f t="shared" si="34"/>
        <v>164150</v>
      </c>
      <c r="V236" s="664"/>
      <c r="W236" s="664"/>
      <c r="X236" s="664"/>
      <c r="Y236" s="664"/>
      <c r="Z236" s="664"/>
      <c r="AA236" s="664"/>
      <c r="AB236" s="664"/>
      <c r="AC236" s="664"/>
      <c r="AD236" s="664"/>
      <c r="AE236" s="664"/>
      <c r="AF236" s="664"/>
    </row>
    <row r="237" spans="2:32" ht="14.65">
      <c r="B237" s="653">
        <f t="shared" si="35"/>
        <v>233</v>
      </c>
      <c r="C237" s="669" t="s">
        <v>3380</v>
      </c>
      <c r="D237" s="654" t="s">
        <v>3459</v>
      </c>
      <c r="E237" s="671" t="s">
        <v>3410</v>
      </c>
      <c r="F237" s="672">
        <v>44931</v>
      </c>
      <c r="G237" s="672">
        <v>44932</v>
      </c>
      <c r="H237" s="669" t="s">
        <v>406</v>
      </c>
      <c r="I237" s="672">
        <v>44932</v>
      </c>
      <c r="J237" s="627">
        <v>815858</v>
      </c>
      <c r="K237" s="627"/>
      <c r="L237" s="627"/>
      <c r="M237" s="627">
        <v>124453</v>
      </c>
      <c r="N237" s="627">
        <f t="shared" si="30"/>
        <v>691405</v>
      </c>
      <c r="O237" s="659">
        <f t="shared" si="36"/>
        <v>84</v>
      </c>
      <c r="P237" s="673">
        <v>3</v>
      </c>
      <c r="Q237" s="674">
        <f t="shared" si="31"/>
        <v>2.7698630136986302</v>
      </c>
      <c r="R237" s="675">
        <f t="shared" si="32"/>
        <v>53039</v>
      </c>
      <c r="S237" s="675">
        <f t="shared" si="33"/>
        <v>638366</v>
      </c>
      <c r="T237" s="676">
        <f t="shared" si="37"/>
        <v>0</v>
      </c>
      <c r="U237" s="676">
        <f t="shared" si="34"/>
        <v>691405</v>
      </c>
      <c r="V237" s="664"/>
      <c r="W237" s="664"/>
      <c r="X237" s="664"/>
      <c r="Y237" s="664"/>
      <c r="Z237" s="664"/>
      <c r="AA237" s="664"/>
      <c r="AB237" s="664"/>
      <c r="AC237" s="664"/>
      <c r="AD237" s="664"/>
      <c r="AE237" s="664"/>
      <c r="AF237" s="664"/>
    </row>
    <row r="238" spans="2:32" ht="14.65">
      <c r="B238" s="653">
        <f t="shared" si="35"/>
        <v>234</v>
      </c>
      <c r="C238" s="669" t="s">
        <v>3380</v>
      </c>
      <c r="D238" s="654" t="s">
        <v>3459</v>
      </c>
      <c r="E238" s="671" t="s">
        <v>3409</v>
      </c>
      <c r="F238" s="672">
        <v>44911</v>
      </c>
      <c r="G238" s="672">
        <v>44933</v>
      </c>
      <c r="H238" s="669" t="s">
        <v>406</v>
      </c>
      <c r="I238" s="672">
        <v>44933</v>
      </c>
      <c r="J238" s="627">
        <v>422054</v>
      </c>
      <c r="K238" s="627"/>
      <c r="L238" s="627"/>
      <c r="M238" s="627">
        <v>64381</v>
      </c>
      <c r="N238" s="627">
        <f t="shared" si="30"/>
        <v>357673</v>
      </c>
      <c r="O238" s="659">
        <f t="shared" si="36"/>
        <v>83</v>
      </c>
      <c r="P238" s="673">
        <v>3</v>
      </c>
      <c r="Q238" s="674">
        <f t="shared" si="31"/>
        <v>2.7726027397260276</v>
      </c>
      <c r="R238" s="675">
        <f t="shared" si="32"/>
        <v>27111</v>
      </c>
      <c r="S238" s="675">
        <f t="shared" si="33"/>
        <v>330562</v>
      </c>
      <c r="T238" s="676">
        <f t="shared" si="37"/>
        <v>0</v>
      </c>
      <c r="U238" s="676">
        <f t="shared" si="34"/>
        <v>357673</v>
      </c>
      <c r="V238" s="664"/>
      <c r="W238" s="664"/>
      <c r="X238" s="664"/>
      <c r="Y238" s="664"/>
      <c r="Z238" s="664"/>
      <c r="AA238" s="664"/>
      <c r="AB238" s="664"/>
      <c r="AC238" s="664"/>
      <c r="AD238" s="664"/>
      <c r="AE238" s="664"/>
      <c r="AF238" s="664"/>
    </row>
    <row r="239" spans="2:32" ht="14.65">
      <c r="B239" s="653">
        <f t="shared" si="35"/>
        <v>235</v>
      </c>
      <c r="C239" s="669" t="s">
        <v>3380</v>
      </c>
      <c r="D239" s="654" t="s">
        <v>3459</v>
      </c>
      <c r="E239" s="671" t="s">
        <v>3408</v>
      </c>
      <c r="F239" s="672">
        <v>44925</v>
      </c>
      <c r="G239" s="672">
        <v>44933</v>
      </c>
      <c r="H239" s="669" t="s">
        <v>406</v>
      </c>
      <c r="I239" s="672">
        <v>44933</v>
      </c>
      <c r="J239" s="627">
        <v>663570</v>
      </c>
      <c r="K239" s="627"/>
      <c r="L239" s="627"/>
      <c r="M239" s="627">
        <v>101223</v>
      </c>
      <c r="N239" s="627">
        <f t="shared" si="30"/>
        <v>562347</v>
      </c>
      <c r="O239" s="659">
        <f t="shared" si="36"/>
        <v>83</v>
      </c>
      <c r="P239" s="673">
        <v>3</v>
      </c>
      <c r="Q239" s="674">
        <f t="shared" si="31"/>
        <v>2.7726027397260276</v>
      </c>
      <c r="R239" s="675">
        <f t="shared" si="32"/>
        <v>42625</v>
      </c>
      <c r="S239" s="675">
        <f t="shared" si="33"/>
        <v>519722</v>
      </c>
      <c r="T239" s="676">
        <f t="shared" si="37"/>
        <v>0</v>
      </c>
      <c r="U239" s="676">
        <f t="shared" si="34"/>
        <v>562347</v>
      </c>
      <c r="V239" s="664"/>
      <c r="W239" s="664"/>
      <c r="X239" s="664"/>
      <c r="Y239" s="664"/>
      <c r="Z239" s="664"/>
      <c r="AA239" s="664"/>
      <c r="AB239" s="664"/>
      <c r="AC239" s="664"/>
      <c r="AD239" s="664"/>
      <c r="AE239" s="664"/>
      <c r="AF239" s="664"/>
    </row>
    <row r="240" spans="2:32" ht="14.65">
      <c r="B240" s="653">
        <f t="shared" si="35"/>
        <v>236</v>
      </c>
      <c r="C240" s="669" t="s">
        <v>3380</v>
      </c>
      <c r="D240" s="654" t="s">
        <v>3459</v>
      </c>
      <c r="E240" s="671" t="s">
        <v>3407</v>
      </c>
      <c r="F240" s="672">
        <v>44920</v>
      </c>
      <c r="G240" s="672">
        <v>44934</v>
      </c>
      <c r="H240" s="669" t="s">
        <v>406</v>
      </c>
      <c r="I240" s="692">
        <v>44934</v>
      </c>
      <c r="J240" s="627">
        <v>2246773</v>
      </c>
      <c r="K240" s="627"/>
      <c r="L240" s="627"/>
      <c r="M240" s="627">
        <v>342728</v>
      </c>
      <c r="N240" s="627">
        <f t="shared" si="30"/>
        <v>1904045</v>
      </c>
      <c r="O240" s="659">
        <f t="shared" si="36"/>
        <v>82</v>
      </c>
      <c r="P240" s="673">
        <v>3</v>
      </c>
      <c r="Q240" s="674">
        <f t="shared" si="31"/>
        <v>2.7753424657534245</v>
      </c>
      <c r="R240" s="675">
        <f t="shared" si="32"/>
        <v>142586</v>
      </c>
      <c r="S240" s="675">
        <f t="shared" si="33"/>
        <v>1761459</v>
      </c>
      <c r="T240" s="676">
        <f t="shared" si="37"/>
        <v>0</v>
      </c>
      <c r="U240" s="676">
        <f t="shared" si="34"/>
        <v>1904045</v>
      </c>
      <c r="V240" s="664"/>
      <c r="W240" s="664"/>
      <c r="X240" s="664"/>
      <c r="Y240" s="664"/>
      <c r="Z240" s="664"/>
      <c r="AA240" s="664"/>
      <c r="AB240" s="664"/>
      <c r="AC240" s="664"/>
      <c r="AD240" s="664"/>
      <c r="AE240" s="664"/>
      <c r="AF240" s="664"/>
    </row>
    <row r="241" spans="2:32" ht="14.65">
      <c r="B241" s="653">
        <f t="shared" si="35"/>
        <v>237</v>
      </c>
      <c r="C241" s="669" t="s">
        <v>71</v>
      </c>
      <c r="D241" s="654" t="s">
        <v>3459</v>
      </c>
      <c r="E241" s="671" t="s">
        <v>3406</v>
      </c>
      <c r="F241" s="672">
        <v>44931</v>
      </c>
      <c r="G241" s="672">
        <v>44942</v>
      </c>
      <c r="H241" s="669" t="s">
        <v>766</v>
      </c>
      <c r="I241" s="693">
        <v>44942</v>
      </c>
      <c r="J241" s="627">
        <v>4273750</v>
      </c>
      <c r="K241" s="627"/>
      <c r="L241" s="627">
        <v>43861</v>
      </c>
      <c r="M241" s="627">
        <v>959468</v>
      </c>
      <c r="N241" s="627">
        <f t="shared" si="30"/>
        <v>3270421</v>
      </c>
      <c r="O241" s="659">
        <f t="shared" si="36"/>
        <v>74</v>
      </c>
      <c r="P241" s="673">
        <v>9</v>
      </c>
      <c r="Q241" s="674">
        <f t="shared" si="31"/>
        <v>8.7972602739726025</v>
      </c>
      <c r="R241" s="675">
        <f t="shared" si="32"/>
        <v>73672</v>
      </c>
      <c r="S241" s="675">
        <f t="shared" si="33"/>
        <v>3196749</v>
      </c>
      <c r="T241" s="676">
        <f t="shared" si="37"/>
        <v>0</v>
      </c>
      <c r="U241" s="676">
        <f t="shared" si="34"/>
        <v>3270421</v>
      </c>
      <c r="V241" s="664"/>
      <c r="W241" s="664"/>
      <c r="X241" s="664"/>
      <c r="Y241" s="664"/>
      <c r="Z241" s="664"/>
      <c r="AA241" s="664"/>
      <c r="AB241" s="664"/>
      <c r="AC241" s="664"/>
      <c r="AD241" s="664"/>
      <c r="AE241" s="664"/>
      <c r="AF241" s="664"/>
    </row>
    <row r="242" spans="2:32" ht="14.65">
      <c r="B242" s="653">
        <f t="shared" si="35"/>
        <v>238</v>
      </c>
      <c r="C242" s="669" t="s">
        <v>71</v>
      </c>
      <c r="D242" s="654" t="s">
        <v>3459</v>
      </c>
      <c r="E242" s="671" t="s">
        <v>3405</v>
      </c>
      <c r="F242" s="672">
        <v>44931</v>
      </c>
      <c r="G242" s="672">
        <v>44942</v>
      </c>
      <c r="H242" s="669" t="s">
        <v>766</v>
      </c>
      <c r="I242" s="672">
        <v>44942</v>
      </c>
      <c r="J242" s="627">
        <v>4273750</v>
      </c>
      <c r="K242" s="627"/>
      <c r="L242" s="627">
        <v>43861</v>
      </c>
      <c r="M242" s="627">
        <v>959468</v>
      </c>
      <c r="N242" s="627">
        <f t="shared" si="30"/>
        <v>3270421</v>
      </c>
      <c r="O242" s="659">
        <f t="shared" si="36"/>
        <v>74</v>
      </c>
      <c r="P242" s="673">
        <v>9</v>
      </c>
      <c r="Q242" s="674">
        <f t="shared" si="31"/>
        <v>8.7972602739726025</v>
      </c>
      <c r="R242" s="675">
        <f t="shared" si="32"/>
        <v>73672</v>
      </c>
      <c r="S242" s="675">
        <f t="shared" si="33"/>
        <v>3196749</v>
      </c>
      <c r="T242" s="676">
        <f t="shared" si="37"/>
        <v>0</v>
      </c>
      <c r="U242" s="676">
        <f t="shared" si="34"/>
        <v>3270421</v>
      </c>
      <c r="V242" s="664"/>
      <c r="W242" s="664"/>
      <c r="X242" s="664"/>
      <c r="Y242" s="664"/>
      <c r="Z242" s="664"/>
      <c r="AA242" s="664"/>
      <c r="AB242" s="664"/>
      <c r="AC242" s="664"/>
      <c r="AD242" s="664"/>
      <c r="AE242" s="664"/>
      <c r="AF242" s="664"/>
    </row>
    <row r="243" spans="2:32" ht="14.65">
      <c r="B243" s="653">
        <f t="shared" si="35"/>
        <v>239</v>
      </c>
      <c r="C243" s="669" t="s">
        <v>71</v>
      </c>
      <c r="D243" s="654" t="s">
        <v>3459</v>
      </c>
      <c r="E243" s="671" t="s">
        <v>3404</v>
      </c>
      <c r="F243" s="672">
        <v>44931</v>
      </c>
      <c r="G243" s="672">
        <v>44942</v>
      </c>
      <c r="H243" s="669" t="s">
        <v>766</v>
      </c>
      <c r="I243" s="672">
        <v>44942</v>
      </c>
      <c r="J243" s="627">
        <v>4273750</v>
      </c>
      <c r="K243" s="627"/>
      <c r="L243" s="627">
        <v>43861</v>
      </c>
      <c r="M243" s="627">
        <v>959468</v>
      </c>
      <c r="N243" s="627">
        <f t="shared" si="30"/>
        <v>3270421</v>
      </c>
      <c r="O243" s="659">
        <f t="shared" si="36"/>
        <v>74</v>
      </c>
      <c r="P243" s="673">
        <v>9</v>
      </c>
      <c r="Q243" s="674">
        <f t="shared" si="31"/>
        <v>8.7972602739726025</v>
      </c>
      <c r="R243" s="675">
        <f t="shared" si="32"/>
        <v>73672</v>
      </c>
      <c r="S243" s="675">
        <f t="shared" si="33"/>
        <v>3196749</v>
      </c>
      <c r="T243" s="676">
        <f t="shared" si="37"/>
        <v>0</v>
      </c>
      <c r="U243" s="676">
        <f t="shared" si="34"/>
        <v>3270421</v>
      </c>
      <c r="V243" s="664"/>
      <c r="W243" s="664"/>
      <c r="X243" s="664"/>
      <c r="Y243" s="664"/>
      <c r="Z243" s="664"/>
      <c r="AA243" s="664"/>
      <c r="AB243" s="664"/>
      <c r="AC243" s="664"/>
      <c r="AD243" s="664"/>
      <c r="AE243" s="664"/>
      <c r="AF243" s="664"/>
    </row>
    <row r="244" spans="2:32" ht="14.65">
      <c r="B244" s="653">
        <f t="shared" si="35"/>
        <v>240</v>
      </c>
      <c r="C244" s="669" t="s">
        <v>71</v>
      </c>
      <c r="D244" s="654" t="s">
        <v>3459</v>
      </c>
      <c r="E244" s="671" t="s">
        <v>3403</v>
      </c>
      <c r="F244" s="672">
        <v>44931</v>
      </c>
      <c r="G244" s="672">
        <v>44942</v>
      </c>
      <c r="H244" s="669" t="s">
        <v>766</v>
      </c>
      <c r="I244" s="672">
        <v>44942</v>
      </c>
      <c r="J244" s="627">
        <v>4273750</v>
      </c>
      <c r="K244" s="627"/>
      <c r="L244" s="627">
        <v>43861</v>
      </c>
      <c r="M244" s="627">
        <v>959468</v>
      </c>
      <c r="N244" s="627">
        <f t="shared" si="30"/>
        <v>3270421</v>
      </c>
      <c r="O244" s="659">
        <f t="shared" si="36"/>
        <v>74</v>
      </c>
      <c r="P244" s="673">
        <v>9</v>
      </c>
      <c r="Q244" s="674">
        <f t="shared" si="31"/>
        <v>8.7972602739726025</v>
      </c>
      <c r="R244" s="675">
        <f t="shared" si="32"/>
        <v>73672</v>
      </c>
      <c r="S244" s="675">
        <f t="shared" si="33"/>
        <v>3196749</v>
      </c>
      <c r="T244" s="676">
        <f t="shared" si="37"/>
        <v>0</v>
      </c>
      <c r="U244" s="676">
        <f t="shared" si="34"/>
        <v>3270421</v>
      </c>
      <c r="V244" s="664"/>
      <c r="W244" s="664"/>
      <c r="X244" s="664"/>
      <c r="Y244" s="664"/>
      <c r="Z244" s="664"/>
      <c r="AA244" s="664"/>
      <c r="AB244" s="664"/>
      <c r="AC244" s="664"/>
      <c r="AD244" s="664"/>
      <c r="AE244" s="664"/>
      <c r="AF244" s="664"/>
    </row>
    <row r="245" spans="2:32" ht="14.65">
      <c r="B245" s="653">
        <f t="shared" si="35"/>
        <v>241</v>
      </c>
      <c r="C245" s="669" t="s">
        <v>71</v>
      </c>
      <c r="D245" s="654" t="s">
        <v>3459</v>
      </c>
      <c r="E245" s="671" t="s">
        <v>3402</v>
      </c>
      <c r="F245" s="672">
        <v>44931</v>
      </c>
      <c r="G245" s="672">
        <v>44942</v>
      </c>
      <c r="H245" s="669" t="s">
        <v>766</v>
      </c>
      <c r="I245" s="672">
        <v>44942</v>
      </c>
      <c r="J245" s="627">
        <v>4273750</v>
      </c>
      <c r="K245" s="627"/>
      <c r="L245" s="627">
        <v>43861</v>
      </c>
      <c r="M245" s="627">
        <v>959468</v>
      </c>
      <c r="N245" s="627">
        <f t="shared" si="30"/>
        <v>3270421</v>
      </c>
      <c r="O245" s="659">
        <f t="shared" si="36"/>
        <v>74</v>
      </c>
      <c r="P245" s="673">
        <v>9</v>
      </c>
      <c r="Q245" s="674">
        <f t="shared" si="31"/>
        <v>8.7972602739726025</v>
      </c>
      <c r="R245" s="675">
        <f t="shared" si="32"/>
        <v>73672</v>
      </c>
      <c r="S245" s="675">
        <f t="shared" si="33"/>
        <v>3196749</v>
      </c>
      <c r="T245" s="676">
        <f t="shared" ref="T245:T276" si="38">IF(I245&lt;=DATE(2022,9,30),N245,0)</f>
        <v>0</v>
      </c>
      <c r="U245" s="676">
        <f t="shared" si="34"/>
        <v>3270421</v>
      </c>
      <c r="V245" s="664"/>
      <c r="W245" s="664"/>
      <c r="X245" s="664"/>
      <c r="Y245" s="664"/>
      <c r="Z245" s="664"/>
      <c r="AA245" s="664"/>
      <c r="AB245" s="664"/>
      <c r="AC245" s="664"/>
      <c r="AD245" s="664"/>
      <c r="AE245" s="664"/>
      <c r="AF245" s="664"/>
    </row>
    <row r="246" spans="2:32" ht="14.65">
      <c r="B246" s="653">
        <f t="shared" si="35"/>
        <v>242</v>
      </c>
      <c r="C246" s="669" t="s">
        <v>71</v>
      </c>
      <c r="D246" s="654" t="s">
        <v>3459</v>
      </c>
      <c r="E246" s="671" t="s">
        <v>3401</v>
      </c>
      <c r="F246" s="672">
        <v>44931</v>
      </c>
      <c r="G246" s="672">
        <v>44942</v>
      </c>
      <c r="H246" s="669" t="s">
        <v>766</v>
      </c>
      <c r="I246" s="672">
        <v>44942</v>
      </c>
      <c r="J246" s="627">
        <v>4273750</v>
      </c>
      <c r="K246" s="627"/>
      <c r="L246" s="627">
        <v>43861</v>
      </c>
      <c r="M246" s="627">
        <v>959468</v>
      </c>
      <c r="N246" s="627">
        <f t="shared" si="30"/>
        <v>3270421</v>
      </c>
      <c r="O246" s="659">
        <f t="shared" si="36"/>
        <v>74</v>
      </c>
      <c r="P246" s="673">
        <v>9</v>
      </c>
      <c r="Q246" s="674">
        <f t="shared" si="31"/>
        <v>8.7972602739726025</v>
      </c>
      <c r="R246" s="675">
        <f t="shared" si="32"/>
        <v>73672</v>
      </c>
      <c r="S246" s="675">
        <f t="shared" si="33"/>
        <v>3196749</v>
      </c>
      <c r="T246" s="676">
        <f t="shared" si="38"/>
        <v>0</v>
      </c>
      <c r="U246" s="676">
        <f t="shared" si="34"/>
        <v>3270421</v>
      </c>
      <c r="V246" s="664"/>
      <c r="W246" s="664"/>
      <c r="X246" s="664"/>
      <c r="Y246" s="664"/>
      <c r="Z246" s="664"/>
      <c r="AA246" s="664"/>
      <c r="AB246" s="664"/>
      <c r="AC246" s="664"/>
      <c r="AD246" s="664"/>
      <c r="AE246" s="664"/>
      <c r="AF246" s="664"/>
    </row>
    <row r="247" spans="2:32" ht="14.65">
      <c r="B247" s="653">
        <f t="shared" si="35"/>
        <v>243</v>
      </c>
      <c r="C247" s="669" t="s">
        <v>71</v>
      </c>
      <c r="D247" s="654" t="s">
        <v>3459</v>
      </c>
      <c r="E247" s="671" t="s">
        <v>3400</v>
      </c>
      <c r="F247" s="672">
        <v>44931</v>
      </c>
      <c r="G247" s="672">
        <v>44942</v>
      </c>
      <c r="H247" s="669" t="s">
        <v>766</v>
      </c>
      <c r="I247" s="672">
        <v>44942</v>
      </c>
      <c r="J247" s="627">
        <v>4273750</v>
      </c>
      <c r="K247" s="627"/>
      <c r="L247" s="627">
        <v>43861</v>
      </c>
      <c r="M247" s="627">
        <v>959468</v>
      </c>
      <c r="N247" s="627">
        <f t="shared" si="30"/>
        <v>3270421</v>
      </c>
      <c r="O247" s="659">
        <f t="shared" si="36"/>
        <v>74</v>
      </c>
      <c r="P247" s="673">
        <v>9</v>
      </c>
      <c r="Q247" s="674">
        <f t="shared" si="31"/>
        <v>8.7972602739726025</v>
      </c>
      <c r="R247" s="675">
        <f t="shared" si="32"/>
        <v>73672</v>
      </c>
      <c r="S247" s="675">
        <f t="shared" si="33"/>
        <v>3196749</v>
      </c>
      <c r="T247" s="676">
        <f t="shared" si="38"/>
        <v>0</v>
      </c>
      <c r="U247" s="676">
        <f t="shared" si="34"/>
        <v>3270421</v>
      </c>
      <c r="V247" s="664"/>
      <c r="W247" s="664"/>
      <c r="X247" s="664"/>
      <c r="Y247" s="664"/>
      <c r="Z247" s="664"/>
      <c r="AA247" s="664"/>
      <c r="AB247" s="664"/>
      <c r="AC247" s="664"/>
      <c r="AD247" s="664"/>
      <c r="AE247" s="664"/>
      <c r="AF247" s="664"/>
    </row>
    <row r="248" spans="2:32" ht="14.65">
      <c r="B248" s="653">
        <f t="shared" si="35"/>
        <v>244</v>
      </c>
      <c r="C248" s="669" t="s">
        <v>71</v>
      </c>
      <c r="D248" s="654" t="s">
        <v>3459</v>
      </c>
      <c r="E248" s="671" t="s">
        <v>3399</v>
      </c>
      <c r="F248" s="672">
        <v>44931</v>
      </c>
      <c r="G248" s="672">
        <v>44942</v>
      </c>
      <c r="H248" s="669" t="s">
        <v>766</v>
      </c>
      <c r="I248" s="672">
        <v>44942</v>
      </c>
      <c r="J248" s="627">
        <v>4273750</v>
      </c>
      <c r="K248" s="627"/>
      <c r="L248" s="627">
        <v>43861</v>
      </c>
      <c r="M248" s="627">
        <v>959468</v>
      </c>
      <c r="N248" s="627">
        <f t="shared" si="30"/>
        <v>3270421</v>
      </c>
      <c r="O248" s="659">
        <f t="shared" si="36"/>
        <v>74</v>
      </c>
      <c r="P248" s="673">
        <v>9</v>
      </c>
      <c r="Q248" s="674">
        <f t="shared" si="31"/>
        <v>8.7972602739726025</v>
      </c>
      <c r="R248" s="675">
        <f t="shared" si="32"/>
        <v>73672</v>
      </c>
      <c r="S248" s="675">
        <f t="shared" si="33"/>
        <v>3196749</v>
      </c>
      <c r="T248" s="676">
        <f t="shared" si="38"/>
        <v>0</v>
      </c>
      <c r="U248" s="676">
        <f t="shared" si="34"/>
        <v>3270421</v>
      </c>
      <c r="V248" s="664"/>
      <c r="W248" s="664"/>
      <c r="X248" s="664"/>
      <c r="Y248" s="664"/>
      <c r="Z248" s="664"/>
      <c r="AA248" s="664"/>
      <c r="AB248" s="664"/>
      <c r="AC248" s="664"/>
      <c r="AD248" s="664"/>
      <c r="AE248" s="664"/>
      <c r="AF248" s="664"/>
    </row>
    <row r="249" spans="2:32" ht="14.65">
      <c r="B249" s="653">
        <f t="shared" si="35"/>
        <v>245</v>
      </c>
      <c r="C249" s="669" t="s">
        <v>71</v>
      </c>
      <c r="D249" s="654" t="s">
        <v>3459</v>
      </c>
      <c r="E249" s="671" t="s">
        <v>3398</v>
      </c>
      <c r="F249" s="672">
        <v>44931</v>
      </c>
      <c r="G249" s="672">
        <v>44942</v>
      </c>
      <c r="H249" s="669" t="s">
        <v>766</v>
      </c>
      <c r="I249" s="693">
        <v>44942</v>
      </c>
      <c r="J249" s="627">
        <v>4273750</v>
      </c>
      <c r="K249" s="627"/>
      <c r="L249" s="627">
        <v>43861</v>
      </c>
      <c r="M249" s="627">
        <v>959468</v>
      </c>
      <c r="N249" s="627">
        <f t="shared" si="30"/>
        <v>3270421</v>
      </c>
      <c r="O249" s="659">
        <f t="shared" si="36"/>
        <v>74</v>
      </c>
      <c r="P249" s="673">
        <v>9</v>
      </c>
      <c r="Q249" s="674">
        <f t="shared" si="31"/>
        <v>8.7972602739726025</v>
      </c>
      <c r="R249" s="675">
        <f t="shared" si="32"/>
        <v>73672</v>
      </c>
      <c r="S249" s="675">
        <f t="shared" si="33"/>
        <v>3196749</v>
      </c>
      <c r="T249" s="676">
        <f t="shared" si="38"/>
        <v>0</v>
      </c>
      <c r="U249" s="676">
        <f t="shared" si="34"/>
        <v>3270421</v>
      </c>
      <c r="V249" s="664"/>
      <c r="W249" s="664"/>
      <c r="X249" s="664"/>
      <c r="Y249" s="664"/>
      <c r="Z249" s="664"/>
      <c r="AA249" s="664"/>
      <c r="AB249" s="664"/>
      <c r="AC249" s="664"/>
      <c r="AD249" s="664"/>
      <c r="AE249" s="664"/>
      <c r="AF249" s="664"/>
    </row>
    <row r="250" spans="2:32" ht="14.65">
      <c r="B250" s="653">
        <f t="shared" si="35"/>
        <v>246</v>
      </c>
      <c r="C250" s="669" t="s">
        <v>71</v>
      </c>
      <c r="D250" s="654" t="s">
        <v>3459</v>
      </c>
      <c r="E250" s="671" t="s">
        <v>3397</v>
      </c>
      <c r="F250" s="672">
        <v>44931</v>
      </c>
      <c r="G250" s="672">
        <v>44942</v>
      </c>
      <c r="H250" s="669" t="s">
        <v>766</v>
      </c>
      <c r="I250" s="693">
        <v>44942</v>
      </c>
      <c r="J250" s="627">
        <v>4273750</v>
      </c>
      <c r="K250" s="627"/>
      <c r="L250" s="627">
        <v>43861</v>
      </c>
      <c r="M250" s="627">
        <v>959468</v>
      </c>
      <c r="N250" s="627">
        <f t="shared" si="30"/>
        <v>3270421</v>
      </c>
      <c r="O250" s="659">
        <f t="shared" si="36"/>
        <v>74</v>
      </c>
      <c r="P250" s="673">
        <v>9</v>
      </c>
      <c r="Q250" s="674">
        <f t="shared" si="31"/>
        <v>8.7972602739726025</v>
      </c>
      <c r="R250" s="675">
        <f t="shared" si="32"/>
        <v>73672</v>
      </c>
      <c r="S250" s="675">
        <f t="shared" si="33"/>
        <v>3196749</v>
      </c>
      <c r="T250" s="676">
        <f t="shared" si="38"/>
        <v>0</v>
      </c>
      <c r="U250" s="676">
        <f t="shared" si="34"/>
        <v>3270421</v>
      </c>
      <c r="V250" s="664"/>
      <c r="W250" s="664"/>
      <c r="X250" s="664"/>
      <c r="Y250" s="664"/>
      <c r="Z250" s="664"/>
      <c r="AA250" s="664"/>
      <c r="AB250" s="664"/>
      <c r="AC250" s="664"/>
      <c r="AD250" s="664"/>
      <c r="AE250" s="664"/>
      <c r="AF250" s="664"/>
    </row>
    <row r="251" spans="2:32" ht="14.65">
      <c r="B251" s="653">
        <f t="shared" si="35"/>
        <v>247</v>
      </c>
      <c r="C251" s="669" t="s">
        <v>71</v>
      </c>
      <c r="D251" s="654" t="s">
        <v>3459</v>
      </c>
      <c r="E251" s="671" t="s">
        <v>3396</v>
      </c>
      <c r="F251" s="692">
        <v>44931</v>
      </c>
      <c r="G251" s="692">
        <v>44942</v>
      </c>
      <c r="H251" s="669" t="s">
        <v>766</v>
      </c>
      <c r="I251" s="672">
        <v>44942</v>
      </c>
      <c r="J251" s="627">
        <v>4273750</v>
      </c>
      <c r="K251" s="627"/>
      <c r="L251" s="627">
        <v>43861</v>
      </c>
      <c r="M251" s="627">
        <v>959468</v>
      </c>
      <c r="N251" s="627">
        <f t="shared" si="30"/>
        <v>3270421</v>
      </c>
      <c r="O251" s="659">
        <f t="shared" si="36"/>
        <v>74</v>
      </c>
      <c r="P251" s="673">
        <v>9</v>
      </c>
      <c r="Q251" s="674">
        <f t="shared" si="31"/>
        <v>8.7972602739726025</v>
      </c>
      <c r="R251" s="675">
        <f t="shared" si="32"/>
        <v>73672</v>
      </c>
      <c r="S251" s="675">
        <f t="shared" si="33"/>
        <v>3196749</v>
      </c>
      <c r="T251" s="676">
        <f t="shared" si="38"/>
        <v>0</v>
      </c>
      <c r="U251" s="676">
        <f t="shared" si="34"/>
        <v>3270421</v>
      </c>
      <c r="V251" s="664"/>
      <c r="W251" s="664"/>
      <c r="X251" s="664"/>
      <c r="Y251" s="664"/>
      <c r="Z251" s="664"/>
      <c r="AA251" s="664"/>
      <c r="AB251" s="664"/>
      <c r="AC251" s="664"/>
      <c r="AD251" s="664"/>
      <c r="AE251" s="664"/>
      <c r="AF251" s="664"/>
    </row>
    <row r="252" spans="2:32" ht="14.65">
      <c r="B252" s="653">
        <f t="shared" si="35"/>
        <v>248</v>
      </c>
      <c r="C252" s="669" t="s">
        <v>71</v>
      </c>
      <c r="D252" s="654" t="s">
        <v>3459</v>
      </c>
      <c r="E252" s="671" t="s">
        <v>3395</v>
      </c>
      <c r="F252" s="692">
        <v>44931</v>
      </c>
      <c r="G252" s="692">
        <v>44942</v>
      </c>
      <c r="H252" s="669" t="s">
        <v>766</v>
      </c>
      <c r="I252" s="672">
        <v>44942</v>
      </c>
      <c r="J252" s="627">
        <v>4273750</v>
      </c>
      <c r="K252" s="627"/>
      <c r="L252" s="627">
        <v>43861</v>
      </c>
      <c r="M252" s="627">
        <v>959468</v>
      </c>
      <c r="N252" s="627">
        <f t="shared" si="30"/>
        <v>3270421</v>
      </c>
      <c r="O252" s="659">
        <f t="shared" si="36"/>
        <v>74</v>
      </c>
      <c r="P252" s="673">
        <v>9</v>
      </c>
      <c r="Q252" s="674">
        <f t="shared" si="31"/>
        <v>8.7972602739726025</v>
      </c>
      <c r="R252" s="675">
        <f t="shared" si="32"/>
        <v>73672</v>
      </c>
      <c r="S252" s="675">
        <f t="shared" si="33"/>
        <v>3196749</v>
      </c>
      <c r="T252" s="676">
        <f t="shared" si="38"/>
        <v>0</v>
      </c>
      <c r="U252" s="676">
        <f t="shared" si="34"/>
        <v>3270421</v>
      </c>
      <c r="V252" s="664"/>
      <c r="W252" s="664"/>
      <c r="X252" s="664"/>
      <c r="Y252" s="664"/>
      <c r="Z252" s="664"/>
      <c r="AA252" s="664"/>
      <c r="AB252" s="664"/>
      <c r="AC252" s="664"/>
      <c r="AD252" s="664"/>
      <c r="AE252" s="664"/>
      <c r="AF252" s="664"/>
    </row>
    <row r="253" spans="2:32" ht="14.65">
      <c r="B253" s="653">
        <f t="shared" si="35"/>
        <v>249</v>
      </c>
      <c r="C253" s="669" t="s">
        <v>71</v>
      </c>
      <c r="D253" s="654" t="s">
        <v>3459</v>
      </c>
      <c r="E253" s="671" t="s">
        <v>3394</v>
      </c>
      <c r="F253" s="692">
        <v>44931</v>
      </c>
      <c r="G253" s="692">
        <v>44942</v>
      </c>
      <c r="H253" s="669" t="s">
        <v>766</v>
      </c>
      <c r="I253" s="672">
        <v>44942</v>
      </c>
      <c r="J253" s="627">
        <v>4273750</v>
      </c>
      <c r="K253" s="627"/>
      <c r="L253" s="627">
        <v>43861</v>
      </c>
      <c r="M253" s="627">
        <v>959468</v>
      </c>
      <c r="N253" s="627">
        <f t="shared" si="30"/>
        <v>3270421</v>
      </c>
      <c r="O253" s="659">
        <f t="shared" si="36"/>
        <v>74</v>
      </c>
      <c r="P253" s="673">
        <v>9</v>
      </c>
      <c r="Q253" s="674">
        <f t="shared" si="31"/>
        <v>8.7972602739726025</v>
      </c>
      <c r="R253" s="675">
        <f t="shared" si="32"/>
        <v>73672</v>
      </c>
      <c r="S253" s="675">
        <f t="shared" si="33"/>
        <v>3196749</v>
      </c>
      <c r="T253" s="676">
        <f t="shared" si="38"/>
        <v>0</v>
      </c>
      <c r="U253" s="676">
        <f t="shared" si="34"/>
        <v>3270421</v>
      </c>
      <c r="V253" s="664"/>
      <c r="W253" s="664"/>
      <c r="X253" s="664"/>
      <c r="Y253" s="664"/>
      <c r="Z253" s="664"/>
      <c r="AA253" s="664"/>
      <c r="AB253" s="664"/>
      <c r="AC253" s="664"/>
      <c r="AD253" s="664"/>
      <c r="AE253" s="664"/>
      <c r="AF253" s="664"/>
    </row>
    <row r="254" spans="2:32" ht="14.65">
      <c r="B254" s="653">
        <f t="shared" si="35"/>
        <v>250</v>
      </c>
      <c r="C254" s="670" t="s">
        <v>71</v>
      </c>
      <c r="D254" s="654" t="s">
        <v>3459</v>
      </c>
      <c r="E254" s="677" t="s">
        <v>3393</v>
      </c>
      <c r="F254" s="678">
        <v>44931</v>
      </c>
      <c r="G254" s="678">
        <v>44942</v>
      </c>
      <c r="H254" s="670" t="s">
        <v>766</v>
      </c>
      <c r="I254" s="672">
        <v>44942</v>
      </c>
      <c r="J254" s="679">
        <v>4273750</v>
      </c>
      <c r="K254" s="627"/>
      <c r="L254" s="627">
        <v>43861</v>
      </c>
      <c r="M254" s="627">
        <v>959468</v>
      </c>
      <c r="N254" s="627">
        <f t="shared" si="30"/>
        <v>3270421</v>
      </c>
      <c r="O254" s="659">
        <f t="shared" si="36"/>
        <v>74</v>
      </c>
      <c r="P254" s="673">
        <v>9</v>
      </c>
      <c r="Q254" s="674">
        <f t="shared" si="31"/>
        <v>8.7972602739726025</v>
      </c>
      <c r="R254" s="675">
        <f t="shared" si="32"/>
        <v>73672</v>
      </c>
      <c r="S254" s="675">
        <f t="shared" si="33"/>
        <v>3196749</v>
      </c>
      <c r="T254" s="676">
        <f t="shared" si="38"/>
        <v>0</v>
      </c>
      <c r="U254" s="676">
        <f t="shared" si="34"/>
        <v>3270421</v>
      </c>
      <c r="V254" s="664"/>
      <c r="W254" s="664"/>
      <c r="X254" s="664"/>
      <c r="Y254" s="664"/>
      <c r="Z254" s="664"/>
      <c r="AA254" s="664"/>
      <c r="AB254" s="664"/>
      <c r="AC254" s="664"/>
      <c r="AD254" s="664"/>
      <c r="AE254" s="664"/>
      <c r="AF254" s="664"/>
    </row>
    <row r="255" spans="2:32" ht="14.65">
      <c r="B255" s="653">
        <f t="shared" si="35"/>
        <v>251</v>
      </c>
      <c r="C255" s="669" t="s">
        <v>3392</v>
      </c>
      <c r="D255" s="654" t="s">
        <v>3459</v>
      </c>
      <c r="E255" s="671" t="s">
        <v>3391</v>
      </c>
      <c r="F255" s="672">
        <v>44890</v>
      </c>
      <c r="G255" s="672">
        <v>44942</v>
      </c>
      <c r="H255" s="669" t="s">
        <v>410</v>
      </c>
      <c r="I255" s="672">
        <v>44942</v>
      </c>
      <c r="J255" s="627">
        <f>3658000-42373</f>
        <v>3615627</v>
      </c>
      <c r="K255" s="627"/>
      <c r="L255" s="627"/>
      <c r="M255" s="627">
        <v>550373</v>
      </c>
      <c r="N255" s="627">
        <f t="shared" si="30"/>
        <v>3065254</v>
      </c>
      <c r="O255" s="659">
        <f t="shared" si="36"/>
        <v>74</v>
      </c>
      <c r="P255" s="673">
        <v>9</v>
      </c>
      <c r="Q255" s="674">
        <f t="shared" si="31"/>
        <v>8.7972602739726025</v>
      </c>
      <c r="R255" s="675">
        <f t="shared" si="32"/>
        <v>69050</v>
      </c>
      <c r="S255" s="675">
        <f t="shared" si="33"/>
        <v>2996204</v>
      </c>
      <c r="T255" s="676">
        <f t="shared" si="38"/>
        <v>0</v>
      </c>
      <c r="U255" s="676">
        <f t="shared" si="34"/>
        <v>3065254</v>
      </c>
      <c r="V255" s="664"/>
      <c r="W255" s="664"/>
      <c r="X255" s="664"/>
      <c r="Y255" s="664"/>
      <c r="Z255" s="664"/>
      <c r="AA255" s="664"/>
      <c r="AB255" s="664"/>
      <c r="AC255" s="664"/>
      <c r="AD255" s="664"/>
      <c r="AE255" s="664"/>
      <c r="AF255" s="664"/>
    </row>
    <row r="256" spans="2:32" ht="14.65">
      <c r="B256" s="653">
        <f t="shared" si="35"/>
        <v>252</v>
      </c>
      <c r="C256" s="670" t="s">
        <v>323</v>
      </c>
      <c r="D256" s="654" t="s">
        <v>3459</v>
      </c>
      <c r="E256" s="677" t="s">
        <v>3390</v>
      </c>
      <c r="F256" s="678">
        <v>44939</v>
      </c>
      <c r="G256" s="678">
        <v>44939</v>
      </c>
      <c r="H256" s="670" t="s">
        <v>170</v>
      </c>
      <c r="I256" s="672">
        <v>44939</v>
      </c>
      <c r="J256" s="679">
        <v>6844000</v>
      </c>
      <c r="K256" s="627"/>
      <c r="L256" s="627"/>
      <c r="M256" s="627">
        <v>1044000</v>
      </c>
      <c r="N256" s="627">
        <f t="shared" si="30"/>
        <v>5800000</v>
      </c>
      <c r="O256" s="659">
        <f t="shared" si="36"/>
        <v>77</v>
      </c>
      <c r="P256" s="673">
        <v>9</v>
      </c>
      <c r="Q256" s="674">
        <f t="shared" si="31"/>
        <v>8.7890410958904113</v>
      </c>
      <c r="R256" s="675">
        <f t="shared" si="32"/>
        <v>135951</v>
      </c>
      <c r="S256" s="675">
        <f t="shared" si="33"/>
        <v>5664049</v>
      </c>
      <c r="T256" s="676">
        <f t="shared" si="38"/>
        <v>0</v>
      </c>
      <c r="U256" s="676">
        <f t="shared" si="34"/>
        <v>5800000</v>
      </c>
      <c r="V256" s="664"/>
      <c r="W256" s="664"/>
      <c r="X256" s="664"/>
      <c r="Y256" s="664"/>
      <c r="Z256" s="664"/>
      <c r="AA256" s="664"/>
      <c r="AB256" s="664"/>
      <c r="AC256" s="664"/>
      <c r="AD256" s="664"/>
      <c r="AE256" s="664"/>
      <c r="AF256" s="664"/>
    </row>
    <row r="257" spans="2:32" ht="14.65">
      <c r="B257" s="653">
        <f t="shared" si="35"/>
        <v>253</v>
      </c>
      <c r="C257" s="670" t="s">
        <v>323</v>
      </c>
      <c r="D257" s="654" t="s">
        <v>3459</v>
      </c>
      <c r="E257" s="677" t="s">
        <v>3389</v>
      </c>
      <c r="F257" s="678">
        <v>44951</v>
      </c>
      <c r="G257" s="678">
        <v>44951</v>
      </c>
      <c r="H257" s="670" t="s">
        <v>170</v>
      </c>
      <c r="I257" s="672">
        <v>44951</v>
      </c>
      <c r="J257" s="679">
        <v>10620000</v>
      </c>
      <c r="K257" s="627"/>
      <c r="L257" s="627"/>
      <c r="M257" s="627">
        <v>1620000</v>
      </c>
      <c r="N257" s="627">
        <f t="shared" si="30"/>
        <v>9000000</v>
      </c>
      <c r="O257" s="659">
        <f t="shared" si="36"/>
        <v>65</v>
      </c>
      <c r="P257" s="673">
        <v>9</v>
      </c>
      <c r="Q257" s="674">
        <f t="shared" si="31"/>
        <v>8.8219178082191778</v>
      </c>
      <c r="R257" s="675">
        <f t="shared" si="32"/>
        <v>178082</v>
      </c>
      <c r="S257" s="675">
        <f t="shared" si="33"/>
        <v>8821918</v>
      </c>
      <c r="T257" s="676">
        <f t="shared" si="38"/>
        <v>0</v>
      </c>
      <c r="U257" s="676">
        <f t="shared" si="34"/>
        <v>9000000</v>
      </c>
      <c r="V257" s="664"/>
      <c r="W257" s="664"/>
      <c r="X257" s="664"/>
      <c r="Y257" s="664"/>
      <c r="Z257" s="664"/>
      <c r="AA257" s="664"/>
      <c r="AB257" s="664"/>
      <c r="AC257" s="664"/>
      <c r="AD257" s="664"/>
      <c r="AE257" s="664"/>
      <c r="AF257" s="664"/>
    </row>
    <row r="258" spans="2:32" ht="14.65">
      <c r="B258" s="653">
        <f t="shared" si="35"/>
        <v>254</v>
      </c>
      <c r="C258" s="670" t="s">
        <v>324</v>
      </c>
      <c r="D258" s="654" t="s">
        <v>3459</v>
      </c>
      <c r="E258" s="677" t="s">
        <v>3388</v>
      </c>
      <c r="F258" s="678">
        <v>44939</v>
      </c>
      <c r="G258" s="678">
        <v>44939</v>
      </c>
      <c r="H258" s="670" t="s">
        <v>170</v>
      </c>
      <c r="I258" s="672">
        <v>44939</v>
      </c>
      <c r="J258" s="679">
        <v>7150800</v>
      </c>
      <c r="K258" s="627">
        <v>537330</v>
      </c>
      <c r="L258" s="627">
        <v>70800</v>
      </c>
      <c r="M258" s="627">
        <v>1080000</v>
      </c>
      <c r="N258" s="627">
        <f t="shared" si="30"/>
        <v>6537330</v>
      </c>
      <c r="O258" s="659">
        <f t="shared" si="36"/>
        <v>77</v>
      </c>
      <c r="P258" s="673">
        <v>9</v>
      </c>
      <c r="Q258" s="674">
        <f t="shared" si="31"/>
        <v>8.7890410958904113</v>
      </c>
      <c r="R258" s="675">
        <f t="shared" si="32"/>
        <v>153234</v>
      </c>
      <c r="S258" s="675">
        <f t="shared" si="33"/>
        <v>6384096</v>
      </c>
      <c r="T258" s="676">
        <f t="shared" si="38"/>
        <v>0</v>
      </c>
      <c r="U258" s="676">
        <f t="shared" si="34"/>
        <v>6537330</v>
      </c>
      <c r="V258" s="664"/>
      <c r="W258" s="664"/>
      <c r="X258" s="664"/>
      <c r="Y258" s="664"/>
      <c r="Z258" s="664"/>
      <c r="AA258" s="664"/>
      <c r="AB258" s="664"/>
      <c r="AC258" s="664"/>
      <c r="AD258" s="664"/>
      <c r="AE258" s="664"/>
      <c r="AF258" s="664"/>
    </row>
    <row r="259" spans="2:32" ht="14.65">
      <c r="B259" s="653">
        <f t="shared" si="35"/>
        <v>255</v>
      </c>
      <c r="C259" s="670" t="s">
        <v>324</v>
      </c>
      <c r="D259" s="654" t="s">
        <v>3459</v>
      </c>
      <c r="E259" s="677" t="s">
        <v>3387</v>
      </c>
      <c r="F259" s="678">
        <v>44943</v>
      </c>
      <c r="G259" s="678">
        <v>44939</v>
      </c>
      <c r="H259" s="670" t="s">
        <v>170</v>
      </c>
      <c r="I259" s="672">
        <v>44943</v>
      </c>
      <c r="J259" s="679">
        <v>7150800</v>
      </c>
      <c r="K259" s="627">
        <v>537330</v>
      </c>
      <c r="L259" s="627">
        <v>70800</v>
      </c>
      <c r="M259" s="627">
        <v>1080000</v>
      </c>
      <c r="N259" s="627">
        <f t="shared" si="30"/>
        <v>6537330</v>
      </c>
      <c r="O259" s="659">
        <f t="shared" si="36"/>
        <v>73</v>
      </c>
      <c r="P259" s="673">
        <v>9</v>
      </c>
      <c r="Q259" s="674">
        <f t="shared" si="31"/>
        <v>8.8000000000000007</v>
      </c>
      <c r="R259" s="675">
        <f t="shared" si="32"/>
        <v>145274</v>
      </c>
      <c r="S259" s="675">
        <f t="shared" si="33"/>
        <v>6392056</v>
      </c>
      <c r="T259" s="676">
        <f t="shared" si="38"/>
        <v>0</v>
      </c>
      <c r="U259" s="676">
        <f t="shared" si="34"/>
        <v>6537330</v>
      </c>
      <c r="V259" s="664"/>
      <c r="W259" s="664"/>
      <c r="X259" s="664"/>
      <c r="Y259" s="664"/>
      <c r="Z259" s="664"/>
      <c r="AA259" s="664"/>
      <c r="AB259" s="664"/>
      <c r="AC259" s="664"/>
      <c r="AD259" s="664"/>
      <c r="AE259" s="664"/>
      <c r="AF259" s="664"/>
    </row>
    <row r="260" spans="2:32" ht="14.65">
      <c r="B260" s="653">
        <f t="shared" si="35"/>
        <v>256</v>
      </c>
      <c r="C260" s="670" t="s">
        <v>568</v>
      </c>
      <c r="D260" s="654" t="s">
        <v>3459</v>
      </c>
      <c r="E260" s="677" t="s">
        <v>3386</v>
      </c>
      <c r="F260" s="678">
        <v>44917</v>
      </c>
      <c r="G260" s="678">
        <v>44957</v>
      </c>
      <c r="H260" s="670" t="s">
        <v>3382</v>
      </c>
      <c r="I260" s="672">
        <v>44957</v>
      </c>
      <c r="J260" s="679">
        <v>38940</v>
      </c>
      <c r="K260" s="627"/>
      <c r="L260" s="627"/>
      <c r="M260" s="627">
        <v>5940</v>
      </c>
      <c r="N260" s="627">
        <f t="shared" si="30"/>
        <v>33000</v>
      </c>
      <c r="O260" s="659">
        <f t="shared" si="36"/>
        <v>59</v>
      </c>
      <c r="P260" s="673">
        <v>3</v>
      </c>
      <c r="Q260" s="674">
        <f t="shared" si="31"/>
        <v>2.8383561643835615</v>
      </c>
      <c r="R260" s="675">
        <f t="shared" si="32"/>
        <v>1778</v>
      </c>
      <c r="S260" s="675">
        <f t="shared" si="33"/>
        <v>31222</v>
      </c>
      <c r="T260" s="676">
        <f t="shared" si="38"/>
        <v>0</v>
      </c>
      <c r="U260" s="676">
        <f t="shared" si="34"/>
        <v>33000</v>
      </c>
      <c r="V260" s="664"/>
      <c r="W260" s="664"/>
      <c r="X260" s="664"/>
      <c r="Y260" s="664"/>
      <c r="Z260" s="664"/>
      <c r="AA260" s="664"/>
      <c r="AB260" s="664"/>
      <c r="AC260" s="664"/>
      <c r="AD260" s="664"/>
      <c r="AE260" s="664"/>
      <c r="AF260" s="664"/>
    </row>
    <row r="261" spans="2:32" ht="14.65">
      <c r="B261" s="653">
        <f t="shared" si="35"/>
        <v>257</v>
      </c>
      <c r="C261" s="670" t="s">
        <v>568</v>
      </c>
      <c r="D261" s="654" t="s">
        <v>3459</v>
      </c>
      <c r="E261" s="677" t="s">
        <v>3385</v>
      </c>
      <c r="F261" s="678">
        <v>44931</v>
      </c>
      <c r="G261" s="678">
        <v>44957</v>
      </c>
      <c r="H261" s="670" t="s">
        <v>3382</v>
      </c>
      <c r="I261" s="672">
        <v>44957</v>
      </c>
      <c r="J261" s="679">
        <v>85550</v>
      </c>
      <c r="K261" s="627"/>
      <c r="L261" s="627"/>
      <c r="M261" s="627">
        <v>13050</v>
      </c>
      <c r="N261" s="627">
        <f t="shared" ref="N261:N324" si="39">J261+K261-L261-M261</f>
        <v>72500</v>
      </c>
      <c r="O261" s="659">
        <f t="shared" si="36"/>
        <v>59</v>
      </c>
      <c r="P261" s="673">
        <v>3</v>
      </c>
      <c r="Q261" s="674">
        <f t="shared" ref="Q261:Q324" si="40">+P261-(O261/365)</f>
        <v>2.8383561643835615</v>
      </c>
      <c r="R261" s="675">
        <f t="shared" ref="R261:R324" si="41">ROUND(+N261/(P261*365)*O261,0)</f>
        <v>3906</v>
      </c>
      <c r="S261" s="675">
        <f t="shared" ref="S261:S324" si="42">+N261-R261</f>
        <v>68594</v>
      </c>
      <c r="T261" s="676">
        <f t="shared" si="38"/>
        <v>0</v>
      </c>
      <c r="U261" s="676">
        <f t="shared" ref="U261:U324" si="43">IF(I261&gt;DATE(2022,9,30),N261,0)</f>
        <v>72500</v>
      </c>
      <c r="V261" s="664"/>
      <c r="W261" s="664"/>
      <c r="X261" s="664"/>
      <c r="Y261" s="664"/>
      <c r="Z261" s="664"/>
      <c r="AA261" s="664"/>
      <c r="AB261" s="664"/>
      <c r="AC261" s="664"/>
      <c r="AD261" s="664"/>
      <c r="AE261" s="664"/>
      <c r="AF261" s="664"/>
    </row>
    <row r="262" spans="2:32" ht="14.65">
      <c r="B262" s="653">
        <f t="shared" si="35"/>
        <v>258</v>
      </c>
      <c r="C262" s="670" t="s">
        <v>568</v>
      </c>
      <c r="D262" s="654" t="s">
        <v>3459</v>
      </c>
      <c r="E262" s="677" t="s">
        <v>3384</v>
      </c>
      <c r="F262" s="678">
        <v>44938</v>
      </c>
      <c r="G262" s="678">
        <v>44957</v>
      </c>
      <c r="H262" s="670" t="s">
        <v>3382</v>
      </c>
      <c r="I262" s="672">
        <v>44957</v>
      </c>
      <c r="J262" s="679">
        <v>38940</v>
      </c>
      <c r="K262" s="627"/>
      <c r="L262" s="627"/>
      <c r="M262" s="627">
        <v>5940</v>
      </c>
      <c r="N262" s="627">
        <f t="shared" si="39"/>
        <v>33000</v>
      </c>
      <c r="O262" s="659">
        <f t="shared" si="36"/>
        <v>59</v>
      </c>
      <c r="P262" s="673">
        <v>3</v>
      </c>
      <c r="Q262" s="674">
        <f t="shared" si="40"/>
        <v>2.8383561643835615</v>
      </c>
      <c r="R262" s="675">
        <f t="shared" si="41"/>
        <v>1778</v>
      </c>
      <c r="S262" s="675">
        <f t="shared" si="42"/>
        <v>31222</v>
      </c>
      <c r="T262" s="676">
        <f t="shared" si="38"/>
        <v>0</v>
      </c>
      <c r="U262" s="676">
        <f t="shared" si="43"/>
        <v>33000</v>
      </c>
      <c r="V262" s="664"/>
      <c r="W262" s="664"/>
      <c r="X262" s="664"/>
      <c r="Y262" s="664"/>
      <c r="Z262" s="664"/>
      <c r="AA262" s="664"/>
      <c r="AB262" s="664"/>
      <c r="AC262" s="664"/>
      <c r="AD262" s="664"/>
      <c r="AE262" s="664"/>
      <c r="AF262" s="664"/>
    </row>
    <row r="263" spans="2:32" ht="14.65">
      <c r="B263" s="653">
        <f t="shared" si="35"/>
        <v>259</v>
      </c>
      <c r="C263" s="670" t="s">
        <v>568</v>
      </c>
      <c r="D263" s="654" t="s">
        <v>3459</v>
      </c>
      <c r="E263" s="677" t="s">
        <v>3383</v>
      </c>
      <c r="F263" s="694">
        <v>44931</v>
      </c>
      <c r="G263" s="694">
        <v>44957</v>
      </c>
      <c r="H263" s="670" t="s">
        <v>3382</v>
      </c>
      <c r="I263" s="672">
        <v>44957</v>
      </c>
      <c r="J263" s="679">
        <v>34585</v>
      </c>
      <c r="K263" s="627"/>
      <c r="L263" s="627"/>
      <c r="M263" s="627">
        <v>5236.74</v>
      </c>
      <c r="N263" s="627">
        <f t="shared" si="39"/>
        <v>29348.260000000002</v>
      </c>
      <c r="O263" s="659">
        <f t="shared" si="36"/>
        <v>59</v>
      </c>
      <c r="P263" s="673">
        <v>3</v>
      </c>
      <c r="Q263" s="674">
        <f t="shared" si="40"/>
        <v>2.8383561643835615</v>
      </c>
      <c r="R263" s="675">
        <f t="shared" si="41"/>
        <v>1581</v>
      </c>
      <c r="S263" s="675">
        <f t="shared" si="42"/>
        <v>27767.260000000002</v>
      </c>
      <c r="T263" s="676">
        <f t="shared" si="38"/>
        <v>0</v>
      </c>
      <c r="U263" s="676">
        <f t="shared" si="43"/>
        <v>29348.260000000002</v>
      </c>
      <c r="V263" s="664"/>
      <c r="W263" s="664"/>
      <c r="X263" s="664"/>
      <c r="Y263" s="664"/>
      <c r="Z263" s="664"/>
      <c r="AA263" s="664"/>
      <c r="AB263" s="664"/>
      <c r="AC263" s="664"/>
      <c r="AD263" s="664"/>
      <c r="AE263" s="664"/>
      <c r="AF263" s="664"/>
    </row>
    <row r="264" spans="2:32" ht="14.65">
      <c r="B264" s="653">
        <f t="shared" si="35"/>
        <v>260</v>
      </c>
      <c r="C264" s="670" t="s">
        <v>3380</v>
      </c>
      <c r="D264" s="654" t="s">
        <v>3459</v>
      </c>
      <c r="E264" s="677" t="s">
        <v>3381</v>
      </c>
      <c r="F264" s="694">
        <v>44938</v>
      </c>
      <c r="G264" s="694">
        <v>44940</v>
      </c>
      <c r="H264" s="670" t="s">
        <v>406</v>
      </c>
      <c r="I264" s="672">
        <v>44940</v>
      </c>
      <c r="J264" s="679">
        <v>2227663</v>
      </c>
      <c r="K264" s="627"/>
      <c r="L264" s="627"/>
      <c r="M264" s="627">
        <v>339813</v>
      </c>
      <c r="N264" s="627">
        <f t="shared" si="39"/>
        <v>1887850</v>
      </c>
      <c r="O264" s="659">
        <f t="shared" si="36"/>
        <v>76</v>
      </c>
      <c r="P264" s="673">
        <v>3</v>
      </c>
      <c r="Q264" s="674">
        <f t="shared" si="40"/>
        <v>2.7917808219178082</v>
      </c>
      <c r="R264" s="675">
        <f t="shared" si="41"/>
        <v>131029</v>
      </c>
      <c r="S264" s="675">
        <f t="shared" si="42"/>
        <v>1756821</v>
      </c>
      <c r="T264" s="676">
        <f t="shared" si="38"/>
        <v>0</v>
      </c>
      <c r="U264" s="676">
        <f t="shared" si="43"/>
        <v>1887850</v>
      </c>
      <c r="V264" s="664"/>
      <c r="W264" s="664"/>
      <c r="X264" s="664"/>
      <c r="Y264" s="664"/>
      <c r="Z264" s="664"/>
      <c r="AA264" s="664"/>
      <c r="AB264" s="664"/>
      <c r="AC264" s="664"/>
      <c r="AD264" s="664"/>
      <c r="AE264" s="664"/>
      <c r="AF264" s="664"/>
    </row>
    <row r="265" spans="2:32" ht="14.65">
      <c r="B265" s="653">
        <f t="shared" ref="B265:B328" si="44">+B264+1</f>
        <v>261</v>
      </c>
      <c r="C265" s="670" t="s">
        <v>3380</v>
      </c>
      <c r="D265" s="654" t="s">
        <v>3459</v>
      </c>
      <c r="E265" s="677" t="s">
        <v>3379</v>
      </c>
      <c r="F265" s="694">
        <v>44942</v>
      </c>
      <c r="G265" s="694">
        <v>44942</v>
      </c>
      <c r="H265" s="670" t="s">
        <v>406</v>
      </c>
      <c r="I265" s="672">
        <v>44942</v>
      </c>
      <c r="J265" s="679">
        <v>249467</v>
      </c>
      <c r="K265" s="627"/>
      <c r="L265" s="627"/>
      <c r="M265" s="627">
        <v>38054</v>
      </c>
      <c r="N265" s="627">
        <f t="shared" si="39"/>
        <v>211413</v>
      </c>
      <c r="O265" s="659">
        <f t="shared" si="36"/>
        <v>74</v>
      </c>
      <c r="P265" s="673">
        <v>3</v>
      </c>
      <c r="Q265" s="674">
        <f t="shared" si="40"/>
        <v>2.7972602739726029</v>
      </c>
      <c r="R265" s="675">
        <f t="shared" si="41"/>
        <v>14287</v>
      </c>
      <c r="S265" s="675">
        <f t="shared" si="42"/>
        <v>197126</v>
      </c>
      <c r="T265" s="676">
        <f t="shared" si="38"/>
        <v>0</v>
      </c>
      <c r="U265" s="676">
        <f t="shared" si="43"/>
        <v>211413</v>
      </c>
      <c r="V265" s="664"/>
      <c r="W265" s="664"/>
      <c r="X265" s="664"/>
      <c r="Y265" s="664"/>
      <c r="Z265" s="664"/>
      <c r="AA265" s="664"/>
      <c r="AB265" s="664"/>
      <c r="AC265" s="664"/>
      <c r="AD265" s="664"/>
      <c r="AE265" s="664"/>
      <c r="AF265" s="664"/>
    </row>
    <row r="266" spans="2:32" ht="14.65">
      <c r="B266" s="653">
        <f t="shared" si="44"/>
        <v>262</v>
      </c>
      <c r="C266" s="670" t="s">
        <v>71</v>
      </c>
      <c r="D266" s="654" t="s">
        <v>3459</v>
      </c>
      <c r="E266" s="677" t="s">
        <v>3378</v>
      </c>
      <c r="F266" s="678">
        <v>44925</v>
      </c>
      <c r="G266" s="678">
        <v>44957</v>
      </c>
      <c r="H266" s="670" t="s">
        <v>3377</v>
      </c>
      <c r="I266" s="672">
        <v>44957</v>
      </c>
      <c r="J266" s="679">
        <v>13574400</v>
      </c>
      <c r="K266" s="627">
        <v>112410</v>
      </c>
      <c r="L266" s="627">
        <v>134400</v>
      </c>
      <c r="M266" s="627">
        <v>2940000</v>
      </c>
      <c r="N266" s="627">
        <f t="shared" si="39"/>
        <v>10612410</v>
      </c>
      <c r="O266" s="659">
        <f t="shared" si="36"/>
        <v>59</v>
      </c>
      <c r="P266" s="673">
        <v>9</v>
      </c>
      <c r="Q266" s="674">
        <f t="shared" si="40"/>
        <v>8.838356164383562</v>
      </c>
      <c r="R266" s="675">
        <f t="shared" si="41"/>
        <v>190603</v>
      </c>
      <c r="S266" s="675">
        <f t="shared" si="42"/>
        <v>10421807</v>
      </c>
      <c r="T266" s="676">
        <f t="shared" si="38"/>
        <v>0</v>
      </c>
      <c r="U266" s="676">
        <f t="shared" si="43"/>
        <v>10612410</v>
      </c>
      <c r="V266" s="664"/>
      <c r="W266" s="664"/>
      <c r="X266" s="664"/>
      <c r="Y266" s="664"/>
      <c r="Z266" s="664"/>
      <c r="AA266" s="664"/>
      <c r="AB266" s="664"/>
      <c r="AC266" s="664"/>
      <c r="AD266" s="664"/>
      <c r="AE266" s="664"/>
      <c r="AF266" s="664"/>
    </row>
    <row r="267" spans="2:32" ht="14.65">
      <c r="B267" s="653">
        <f t="shared" si="44"/>
        <v>263</v>
      </c>
      <c r="C267" s="670" t="s">
        <v>3514</v>
      </c>
      <c r="D267" s="670" t="s">
        <v>3459</v>
      </c>
      <c r="E267" s="680">
        <v>10212834</v>
      </c>
      <c r="F267" s="678">
        <v>44951</v>
      </c>
      <c r="G267" s="678">
        <v>44958</v>
      </c>
      <c r="H267" s="670" t="s">
        <v>3347</v>
      </c>
      <c r="I267" s="672">
        <v>44958</v>
      </c>
      <c r="J267" s="679">
        <v>700000</v>
      </c>
      <c r="K267" s="627"/>
      <c r="L267" s="627"/>
      <c r="M267" s="627">
        <v>75000</v>
      </c>
      <c r="N267" s="627">
        <f t="shared" si="39"/>
        <v>625000</v>
      </c>
      <c r="O267" s="659">
        <f t="shared" si="36"/>
        <v>58</v>
      </c>
      <c r="P267" s="673">
        <v>9</v>
      </c>
      <c r="Q267" s="674">
        <f t="shared" si="40"/>
        <v>8.8410958904109584</v>
      </c>
      <c r="R267" s="675">
        <f t="shared" si="41"/>
        <v>11035</v>
      </c>
      <c r="S267" s="675">
        <f t="shared" si="42"/>
        <v>613965</v>
      </c>
      <c r="T267" s="676">
        <f t="shared" si="38"/>
        <v>0</v>
      </c>
      <c r="U267" s="676">
        <f t="shared" si="43"/>
        <v>625000</v>
      </c>
      <c r="V267" s="664"/>
      <c r="W267" s="664"/>
      <c r="X267" s="664"/>
      <c r="Y267" s="664"/>
      <c r="Z267" s="664"/>
      <c r="AA267" s="664"/>
      <c r="AB267" s="664"/>
      <c r="AC267" s="664"/>
      <c r="AD267" s="664"/>
      <c r="AE267" s="664"/>
      <c r="AF267" s="664"/>
    </row>
    <row r="268" spans="2:32" ht="14.65">
      <c r="B268" s="653">
        <f t="shared" si="44"/>
        <v>264</v>
      </c>
      <c r="C268" s="670" t="s">
        <v>3514</v>
      </c>
      <c r="D268" s="670" t="s">
        <v>3459</v>
      </c>
      <c r="E268" s="680">
        <v>10212834</v>
      </c>
      <c r="F268" s="678">
        <v>44951</v>
      </c>
      <c r="G268" s="678">
        <v>44958</v>
      </c>
      <c r="H268" s="670" t="s">
        <v>3347</v>
      </c>
      <c r="I268" s="672">
        <v>44958</v>
      </c>
      <c r="J268" s="679">
        <v>700000</v>
      </c>
      <c r="K268" s="627"/>
      <c r="L268" s="627"/>
      <c r="M268" s="627">
        <v>75000</v>
      </c>
      <c r="N268" s="627">
        <f t="shared" si="39"/>
        <v>625000</v>
      </c>
      <c r="O268" s="659">
        <f t="shared" si="36"/>
        <v>58</v>
      </c>
      <c r="P268" s="673">
        <v>9</v>
      </c>
      <c r="Q268" s="674">
        <f t="shared" si="40"/>
        <v>8.8410958904109584</v>
      </c>
      <c r="R268" s="675">
        <f t="shared" si="41"/>
        <v>11035</v>
      </c>
      <c r="S268" s="675">
        <f t="shared" si="42"/>
        <v>613965</v>
      </c>
      <c r="T268" s="676">
        <f t="shared" si="38"/>
        <v>0</v>
      </c>
      <c r="U268" s="676">
        <f t="shared" si="43"/>
        <v>625000</v>
      </c>
      <c r="V268" s="664"/>
      <c r="W268" s="664"/>
      <c r="X268" s="664"/>
      <c r="Y268" s="664"/>
      <c r="Z268" s="664"/>
      <c r="AA268" s="664"/>
      <c r="AB268" s="664"/>
      <c r="AC268" s="664"/>
      <c r="AD268" s="664"/>
      <c r="AE268" s="664"/>
      <c r="AF268" s="664"/>
    </row>
    <row r="269" spans="2:32" ht="14.65">
      <c r="B269" s="653">
        <f t="shared" si="44"/>
        <v>265</v>
      </c>
      <c r="C269" s="670" t="s">
        <v>568</v>
      </c>
      <c r="D269" s="670" t="s">
        <v>3459</v>
      </c>
      <c r="E269" s="680" t="s">
        <v>3513</v>
      </c>
      <c r="F269" s="678">
        <v>44959</v>
      </c>
      <c r="G269" s="678">
        <v>44968</v>
      </c>
      <c r="H269" s="670" t="s">
        <v>763</v>
      </c>
      <c r="I269" s="672">
        <v>44968</v>
      </c>
      <c r="J269" s="679">
        <v>1176200</v>
      </c>
      <c r="K269" s="627"/>
      <c r="L269" s="627"/>
      <c r="M269" s="627">
        <v>179420</v>
      </c>
      <c r="N269" s="627">
        <f t="shared" si="39"/>
        <v>996780</v>
      </c>
      <c r="O269" s="659">
        <f t="shared" si="36"/>
        <v>48</v>
      </c>
      <c r="P269" s="673">
        <v>3</v>
      </c>
      <c r="Q269" s="674">
        <f t="shared" si="40"/>
        <v>2.8684931506849316</v>
      </c>
      <c r="R269" s="675">
        <f t="shared" si="41"/>
        <v>43694</v>
      </c>
      <c r="S269" s="675">
        <f t="shared" si="42"/>
        <v>953086</v>
      </c>
      <c r="T269" s="676">
        <f t="shared" si="38"/>
        <v>0</v>
      </c>
      <c r="U269" s="676">
        <f t="shared" si="43"/>
        <v>996780</v>
      </c>
      <c r="V269" s="664"/>
      <c r="W269" s="664"/>
      <c r="X269" s="664"/>
      <c r="Y269" s="664"/>
      <c r="Z269" s="664"/>
      <c r="AA269" s="664"/>
      <c r="AB269" s="664"/>
      <c r="AC269" s="664"/>
      <c r="AD269" s="664"/>
      <c r="AE269" s="664"/>
      <c r="AF269" s="664"/>
    </row>
    <row r="270" spans="2:32" ht="14.65">
      <c r="B270" s="653">
        <f t="shared" si="44"/>
        <v>266</v>
      </c>
      <c r="C270" s="670" t="s">
        <v>568</v>
      </c>
      <c r="D270" s="670" t="s">
        <v>3459</v>
      </c>
      <c r="E270" s="680" t="s">
        <v>3512</v>
      </c>
      <c r="F270" s="678">
        <v>44959</v>
      </c>
      <c r="G270" s="678">
        <v>44968</v>
      </c>
      <c r="H270" s="670" t="s">
        <v>763</v>
      </c>
      <c r="I270" s="672">
        <v>44968</v>
      </c>
      <c r="J270" s="679">
        <v>188012</v>
      </c>
      <c r="K270" s="627"/>
      <c r="L270" s="627"/>
      <c r="M270" s="627">
        <v>28680</v>
      </c>
      <c r="N270" s="627">
        <f t="shared" si="39"/>
        <v>159332</v>
      </c>
      <c r="O270" s="659">
        <f t="shared" si="36"/>
        <v>48</v>
      </c>
      <c r="P270" s="673">
        <v>3</v>
      </c>
      <c r="Q270" s="674">
        <f t="shared" si="40"/>
        <v>2.8684931506849316</v>
      </c>
      <c r="R270" s="675">
        <f t="shared" si="41"/>
        <v>6984</v>
      </c>
      <c r="S270" s="675">
        <f t="shared" si="42"/>
        <v>152348</v>
      </c>
      <c r="T270" s="676">
        <f t="shared" si="38"/>
        <v>0</v>
      </c>
      <c r="U270" s="676">
        <f t="shared" si="43"/>
        <v>159332</v>
      </c>
      <c r="V270" s="664"/>
      <c r="W270" s="664"/>
      <c r="X270" s="664"/>
      <c r="Y270" s="664"/>
      <c r="Z270" s="664"/>
      <c r="AA270" s="664"/>
      <c r="AB270" s="664"/>
      <c r="AC270" s="664"/>
      <c r="AD270" s="664"/>
      <c r="AE270" s="664"/>
      <c r="AF270" s="664"/>
    </row>
    <row r="271" spans="2:32" ht="14.65">
      <c r="B271" s="653">
        <f t="shared" si="44"/>
        <v>267</v>
      </c>
      <c r="C271" s="670" t="s">
        <v>568</v>
      </c>
      <c r="D271" s="670" t="s">
        <v>3459</v>
      </c>
      <c r="E271" s="680" t="s">
        <v>3511</v>
      </c>
      <c r="F271" s="678">
        <v>44951</v>
      </c>
      <c r="G271" s="678">
        <v>44968</v>
      </c>
      <c r="H271" s="670" t="s">
        <v>3382</v>
      </c>
      <c r="I271" s="672">
        <v>44968</v>
      </c>
      <c r="J271" s="679">
        <v>85550</v>
      </c>
      <c r="K271" s="627"/>
      <c r="L271" s="627"/>
      <c r="M271" s="627">
        <v>13050</v>
      </c>
      <c r="N271" s="627">
        <f t="shared" si="39"/>
        <v>72500</v>
      </c>
      <c r="O271" s="659">
        <f t="shared" si="36"/>
        <v>48</v>
      </c>
      <c r="P271" s="673">
        <v>3</v>
      </c>
      <c r="Q271" s="674">
        <f t="shared" si="40"/>
        <v>2.8684931506849316</v>
      </c>
      <c r="R271" s="675">
        <f t="shared" si="41"/>
        <v>3178</v>
      </c>
      <c r="S271" s="675">
        <f t="shared" si="42"/>
        <v>69322</v>
      </c>
      <c r="T271" s="676">
        <f t="shared" si="38"/>
        <v>0</v>
      </c>
      <c r="U271" s="676">
        <f t="shared" si="43"/>
        <v>72500</v>
      </c>
      <c r="V271" s="664"/>
      <c r="W271" s="664"/>
      <c r="X271" s="664"/>
      <c r="Y271" s="664"/>
      <c r="Z271" s="664"/>
      <c r="AA271" s="664"/>
      <c r="AB271" s="664"/>
      <c r="AC271" s="664"/>
      <c r="AD271" s="664"/>
      <c r="AE271" s="664"/>
      <c r="AF271" s="664"/>
    </row>
    <row r="272" spans="2:32" ht="14.65">
      <c r="B272" s="653">
        <f t="shared" si="44"/>
        <v>268</v>
      </c>
      <c r="C272" s="670" t="s">
        <v>568</v>
      </c>
      <c r="D272" s="670" t="s">
        <v>3459</v>
      </c>
      <c r="E272" s="680" t="s">
        <v>3510</v>
      </c>
      <c r="F272" s="678">
        <v>44959</v>
      </c>
      <c r="G272" s="678">
        <v>44970</v>
      </c>
      <c r="H272" s="670" t="s">
        <v>763</v>
      </c>
      <c r="I272" s="672">
        <v>44970</v>
      </c>
      <c r="J272" s="679">
        <v>217120</v>
      </c>
      <c r="K272" s="627"/>
      <c r="L272" s="627"/>
      <c r="M272" s="627">
        <v>33120</v>
      </c>
      <c r="N272" s="627">
        <f t="shared" si="39"/>
        <v>184000</v>
      </c>
      <c r="O272" s="659">
        <f t="shared" si="36"/>
        <v>46</v>
      </c>
      <c r="P272" s="673">
        <v>3</v>
      </c>
      <c r="Q272" s="674">
        <f t="shared" si="40"/>
        <v>2.8739726027397259</v>
      </c>
      <c r="R272" s="675">
        <f t="shared" si="41"/>
        <v>7730</v>
      </c>
      <c r="S272" s="675">
        <f t="shared" si="42"/>
        <v>176270</v>
      </c>
      <c r="T272" s="676">
        <f t="shared" si="38"/>
        <v>0</v>
      </c>
      <c r="U272" s="676">
        <f t="shared" si="43"/>
        <v>184000</v>
      </c>
      <c r="V272" s="664"/>
      <c r="W272" s="664"/>
      <c r="X272" s="664"/>
      <c r="Y272" s="664"/>
      <c r="Z272" s="664"/>
      <c r="AA272" s="664"/>
      <c r="AB272" s="664"/>
      <c r="AC272" s="664"/>
      <c r="AD272" s="664"/>
      <c r="AE272" s="664"/>
      <c r="AF272" s="664"/>
    </row>
    <row r="273" spans="2:32" ht="14.65">
      <c r="B273" s="653">
        <f t="shared" si="44"/>
        <v>269</v>
      </c>
      <c r="C273" s="670" t="s">
        <v>3380</v>
      </c>
      <c r="D273" s="670" t="s">
        <v>3459</v>
      </c>
      <c r="E273" s="680" t="s">
        <v>3509</v>
      </c>
      <c r="F273" s="678">
        <v>44947</v>
      </c>
      <c r="G273" s="678">
        <v>44970</v>
      </c>
      <c r="H273" s="670" t="s">
        <v>406</v>
      </c>
      <c r="I273" s="672">
        <v>44970</v>
      </c>
      <c r="J273" s="679">
        <v>851293</v>
      </c>
      <c r="K273" s="627"/>
      <c r="L273" s="627"/>
      <c r="M273" s="627">
        <v>129858</v>
      </c>
      <c r="N273" s="627">
        <f t="shared" si="39"/>
        <v>721435</v>
      </c>
      <c r="O273" s="659">
        <f t="shared" si="36"/>
        <v>46</v>
      </c>
      <c r="P273" s="673">
        <v>3</v>
      </c>
      <c r="Q273" s="674">
        <f t="shared" si="40"/>
        <v>2.8739726027397259</v>
      </c>
      <c r="R273" s="675">
        <f t="shared" si="41"/>
        <v>30307</v>
      </c>
      <c r="S273" s="675">
        <f t="shared" si="42"/>
        <v>691128</v>
      </c>
      <c r="T273" s="676">
        <f t="shared" si="38"/>
        <v>0</v>
      </c>
      <c r="U273" s="676">
        <f t="shared" si="43"/>
        <v>721435</v>
      </c>
      <c r="V273" s="664"/>
      <c r="W273" s="664"/>
      <c r="X273" s="664"/>
      <c r="Y273" s="664"/>
      <c r="Z273" s="664"/>
      <c r="AA273" s="664"/>
      <c r="AB273" s="664"/>
      <c r="AC273" s="664"/>
      <c r="AD273" s="664"/>
      <c r="AE273" s="664"/>
      <c r="AF273" s="664"/>
    </row>
    <row r="274" spans="2:32" ht="14.65">
      <c r="B274" s="653">
        <f t="shared" si="44"/>
        <v>270</v>
      </c>
      <c r="C274" s="670" t="s">
        <v>3380</v>
      </c>
      <c r="D274" s="670" t="s">
        <v>3459</v>
      </c>
      <c r="E274" s="680" t="s">
        <v>3508</v>
      </c>
      <c r="F274" s="678">
        <v>44951</v>
      </c>
      <c r="G274" s="678">
        <v>44970</v>
      </c>
      <c r="H274" s="670" t="s">
        <v>406</v>
      </c>
      <c r="I274" s="672">
        <v>44970</v>
      </c>
      <c r="J274" s="679">
        <v>524782</v>
      </c>
      <c r="K274" s="627"/>
      <c r="L274" s="627"/>
      <c r="M274" s="627">
        <v>80051</v>
      </c>
      <c r="N274" s="627">
        <f t="shared" si="39"/>
        <v>444731</v>
      </c>
      <c r="O274" s="659">
        <f t="shared" si="36"/>
        <v>46</v>
      </c>
      <c r="P274" s="673">
        <v>3</v>
      </c>
      <c r="Q274" s="674">
        <f t="shared" si="40"/>
        <v>2.8739726027397259</v>
      </c>
      <c r="R274" s="675">
        <f t="shared" si="41"/>
        <v>18683</v>
      </c>
      <c r="S274" s="675">
        <f t="shared" si="42"/>
        <v>426048</v>
      </c>
      <c r="T274" s="676">
        <f t="shared" si="38"/>
        <v>0</v>
      </c>
      <c r="U274" s="676">
        <f t="shared" si="43"/>
        <v>444731</v>
      </c>
      <c r="V274" s="664"/>
      <c r="W274" s="664"/>
      <c r="X274" s="664"/>
      <c r="Y274" s="664"/>
      <c r="Z274" s="664"/>
      <c r="AA274" s="664"/>
      <c r="AB274" s="664"/>
      <c r="AC274" s="664"/>
      <c r="AD274" s="664"/>
      <c r="AE274" s="664"/>
      <c r="AF274" s="664"/>
    </row>
    <row r="275" spans="2:32" ht="14.65">
      <c r="B275" s="653">
        <f t="shared" si="44"/>
        <v>271</v>
      </c>
      <c r="C275" s="670" t="s">
        <v>3380</v>
      </c>
      <c r="D275" s="670" t="s">
        <v>3459</v>
      </c>
      <c r="E275" s="680" t="s">
        <v>3507</v>
      </c>
      <c r="F275" s="678">
        <v>44958</v>
      </c>
      <c r="G275" s="678">
        <v>44970</v>
      </c>
      <c r="H275" s="670" t="s">
        <v>406</v>
      </c>
      <c r="I275" s="672">
        <v>44970</v>
      </c>
      <c r="J275" s="679">
        <v>1195917</v>
      </c>
      <c r="K275" s="627"/>
      <c r="L275" s="627"/>
      <c r="M275" s="627">
        <v>187767</v>
      </c>
      <c r="N275" s="627">
        <f t="shared" si="39"/>
        <v>1008150</v>
      </c>
      <c r="O275" s="659">
        <f t="shared" si="36"/>
        <v>46</v>
      </c>
      <c r="P275" s="673">
        <v>3</v>
      </c>
      <c r="Q275" s="674">
        <f t="shared" si="40"/>
        <v>2.8739726027397259</v>
      </c>
      <c r="R275" s="675">
        <f t="shared" si="41"/>
        <v>42352</v>
      </c>
      <c r="S275" s="675">
        <f t="shared" si="42"/>
        <v>965798</v>
      </c>
      <c r="T275" s="676">
        <f t="shared" si="38"/>
        <v>0</v>
      </c>
      <c r="U275" s="676">
        <f t="shared" si="43"/>
        <v>1008150</v>
      </c>
      <c r="V275" s="664"/>
      <c r="W275" s="664"/>
      <c r="X275" s="664"/>
      <c r="Y275" s="664"/>
      <c r="Z275" s="664"/>
      <c r="AA275" s="664"/>
      <c r="AB275" s="664"/>
      <c r="AC275" s="664"/>
      <c r="AD275" s="664"/>
      <c r="AE275" s="664"/>
      <c r="AF275" s="664"/>
    </row>
    <row r="276" spans="2:32" ht="14.65">
      <c r="B276" s="653">
        <f t="shared" si="44"/>
        <v>272</v>
      </c>
      <c r="C276" s="670" t="s">
        <v>3380</v>
      </c>
      <c r="D276" s="670" t="s">
        <v>3459</v>
      </c>
      <c r="E276" s="680" t="s">
        <v>3506</v>
      </c>
      <c r="F276" s="678">
        <v>44965</v>
      </c>
      <c r="G276" s="678">
        <v>44970</v>
      </c>
      <c r="H276" s="670" t="s">
        <v>406</v>
      </c>
      <c r="I276" s="672">
        <v>44970</v>
      </c>
      <c r="J276" s="679">
        <v>1187930</v>
      </c>
      <c r="K276" s="627"/>
      <c r="L276" s="627"/>
      <c r="M276" s="627">
        <v>181210</v>
      </c>
      <c r="N276" s="627">
        <f t="shared" si="39"/>
        <v>1006720</v>
      </c>
      <c r="O276" s="659">
        <f t="shared" si="36"/>
        <v>46</v>
      </c>
      <c r="P276" s="673">
        <v>3</v>
      </c>
      <c r="Q276" s="674">
        <f t="shared" si="40"/>
        <v>2.8739726027397259</v>
      </c>
      <c r="R276" s="675">
        <f t="shared" si="41"/>
        <v>42291</v>
      </c>
      <c r="S276" s="675">
        <f t="shared" si="42"/>
        <v>964429</v>
      </c>
      <c r="T276" s="676">
        <f t="shared" si="38"/>
        <v>0</v>
      </c>
      <c r="U276" s="676">
        <f t="shared" si="43"/>
        <v>1006720</v>
      </c>
      <c r="V276" s="664"/>
      <c r="W276" s="664"/>
      <c r="X276" s="664"/>
      <c r="Y276" s="664"/>
      <c r="Z276" s="664"/>
      <c r="AA276" s="664"/>
      <c r="AB276" s="664"/>
      <c r="AC276" s="664"/>
      <c r="AD276" s="664"/>
      <c r="AE276" s="664"/>
      <c r="AF276" s="664"/>
    </row>
    <row r="277" spans="2:32" ht="14.65">
      <c r="B277" s="653">
        <f t="shared" si="44"/>
        <v>273</v>
      </c>
      <c r="C277" s="669" t="s">
        <v>583</v>
      </c>
      <c r="D277" s="670" t="s">
        <v>3459</v>
      </c>
      <c r="E277" s="669" t="s">
        <v>3505</v>
      </c>
      <c r="F277" s="672">
        <v>44963</v>
      </c>
      <c r="G277" s="672">
        <v>44979</v>
      </c>
      <c r="H277" s="669" t="s">
        <v>410</v>
      </c>
      <c r="I277" s="672">
        <v>44979</v>
      </c>
      <c r="J277" s="627">
        <v>342200</v>
      </c>
      <c r="K277" s="627"/>
      <c r="L277" s="627"/>
      <c r="M277" s="627">
        <v>52200</v>
      </c>
      <c r="N277" s="627">
        <f t="shared" si="39"/>
        <v>290000</v>
      </c>
      <c r="O277" s="659">
        <f t="shared" ref="O277:O286" si="45">$O$1-I277</f>
        <v>37</v>
      </c>
      <c r="P277" s="673">
        <v>9</v>
      </c>
      <c r="Q277" s="674">
        <f t="shared" si="40"/>
        <v>8.8986301369863021</v>
      </c>
      <c r="R277" s="675">
        <f t="shared" si="41"/>
        <v>3266</v>
      </c>
      <c r="S277" s="675">
        <f t="shared" si="42"/>
        <v>286734</v>
      </c>
      <c r="T277" s="676">
        <f t="shared" ref="T277:T282" si="46">IF(I277&lt;=DATE(2022,9,30),N277,0)</f>
        <v>0</v>
      </c>
      <c r="U277" s="676">
        <f t="shared" si="43"/>
        <v>290000</v>
      </c>
      <c r="V277" s="664"/>
      <c r="W277" s="664"/>
      <c r="X277" s="664"/>
      <c r="Y277" s="664"/>
      <c r="Z277" s="664"/>
      <c r="AA277" s="664"/>
      <c r="AB277" s="664"/>
      <c r="AC277" s="664"/>
      <c r="AD277" s="664"/>
      <c r="AE277" s="664"/>
      <c r="AF277" s="664"/>
    </row>
    <row r="278" spans="2:32" ht="14.65">
      <c r="B278" s="653">
        <f t="shared" si="44"/>
        <v>274</v>
      </c>
      <c r="C278" s="669" t="s">
        <v>583</v>
      </c>
      <c r="D278" s="670" t="s">
        <v>3459</v>
      </c>
      <c r="E278" s="669" t="s">
        <v>3504</v>
      </c>
      <c r="F278" s="672">
        <v>44963</v>
      </c>
      <c r="G278" s="672">
        <v>44979</v>
      </c>
      <c r="H278" s="669" t="s">
        <v>410</v>
      </c>
      <c r="I278" s="672">
        <v>44979</v>
      </c>
      <c r="J278" s="627">
        <v>342200</v>
      </c>
      <c r="K278" s="627"/>
      <c r="L278" s="627"/>
      <c r="M278" s="627">
        <v>52200</v>
      </c>
      <c r="N278" s="627">
        <f t="shared" si="39"/>
        <v>290000</v>
      </c>
      <c r="O278" s="659">
        <f t="shared" si="45"/>
        <v>37</v>
      </c>
      <c r="P278" s="673">
        <v>9</v>
      </c>
      <c r="Q278" s="674">
        <f t="shared" si="40"/>
        <v>8.8986301369863021</v>
      </c>
      <c r="R278" s="675">
        <f t="shared" si="41"/>
        <v>3266</v>
      </c>
      <c r="S278" s="675">
        <f t="shared" si="42"/>
        <v>286734</v>
      </c>
      <c r="T278" s="676">
        <f t="shared" si="46"/>
        <v>0</v>
      </c>
      <c r="U278" s="676">
        <f t="shared" si="43"/>
        <v>290000</v>
      </c>
      <c r="V278" s="664"/>
      <c r="W278" s="664"/>
      <c r="X278" s="664"/>
      <c r="Y278" s="664"/>
      <c r="Z278" s="664"/>
      <c r="AA278" s="664"/>
      <c r="AB278" s="664"/>
      <c r="AC278" s="664"/>
      <c r="AD278" s="664"/>
      <c r="AE278" s="664"/>
      <c r="AF278" s="664"/>
    </row>
    <row r="279" spans="2:32" ht="14.65">
      <c r="B279" s="653">
        <f t="shared" si="44"/>
        <v>275</v>
      </c>
      <c r="C279" s="669" t="s">
        <v>3503</v>
      </c>
      <c r="D279" s="670" t="s">
        <v>3459</v>
      </c>
      <c r="E279" s="669" t="s">
        <v>3502</v>
      </c>
      <c r="F279" s="672">
        <v>44973</v>
      </c>
      <c r="G279" s="672">
        <v>44982</v>
      </c>
      <c r="H279" s="669" t="s">
        <v>408</v>
      </c>
      <c r="I279" s="672">
        <v>44982</v>
      </c>
      <c r="J279" s="627">
        <v>354000</v>
      </c>
      <c r="K279" s="627"/>
      <c r="L279" s="627"/>
      <c r="M279" s="627">
        <v>54000</v>
      </c>
      <c r="N279" s="627">
        <f t="shared" si="39"/>
        <v>300000</v>
      </c>
      <c r="O279" s="659">
        <f t="shared" si="45"/>
        <v>34</v>
      </c>
      <c r="P279" s="673">
        <v>9</v>
      </c>
      <c r="Q279" s="674">
        <f t="shared" si="40"/>
        <v>8.9068493150684933</v>
      </c>
      <c r="R279" s="675">
        <f t="shared" si="41"/>
        <v>3105</v>
      </c>
      <c r="S279" s="675">
        <f t="shared" si="42"/>
        <v>296895</v>
      </c>
      <c r="T279" s="676">
        <f t="shared" si="46"/>
        <v>0</v>
      </c>
      <c r="U279" s="676">
        <f t="shared" si="43"/>
        <v>300000</v>
      </c>
      <c r="V279" s="664"/>
      <c r="W279" s="664"/>
      <c r="X279" s="664"/>
      <c r="Y279" s="664"/>
      <c r="Z279" s="664"/>
      <c r="AA279" s="664"/>
      <c r="AB279" s="664"/>
      <c r="AC279" s="664"/>
      <c r="AD279" s="664"/>
      <c r="AE279" s="664"/>
      <c r="AF279" s="664"/>
    </row>
    <row r="280" spans="2:32" ht="14.65">
      <c r="B280" s="653">
        <f t="shared" si="44"/>
        <v>276</v>
      </c>
      <c r="C280" s="669" t="s">
        <v>3380</v>
      </c>
      <c r="D280" s="670" t="s">
        <v>3459</v>
      </c>
      <c r="E280" s="669" t="s">
        <v>3501</v>
      </c>
      <c r="F280" s="672">
        <v>44972</v>
      </c>
      <c r="G280" s="672">
        <v>44984</v>
      </c>
      <c r="H280" s="669" t="s">
        <v>406</v>
      </c>
      <c r="I280" s="672">
        <v>44984</v>
      </c>
      <c r="J280" s="627">
        <v>907821</v>
      </c>
      <c r="K280" s="627"/>
      <c r="L280" s="627"/>
      <c r="M280" s="627">
        <v>138481.20000000001</v>
      </c>
      <c r="N280" s="627">
        <f t="shared" si="39"/>
        <v>769339.8</v>
      </c>
      <c r="O280" s="659">
        <f t="shared" si="45"/>
        <v>32</v>
      </c>
      <c r="P280" s="673">
        <v>3</v>
      </c>
      <c r="Q280" s="674">
        <f t="shared" si="40"/>
        <v>2.9123287671232876</v>
      </c>
      <c r="R280" s="675">
        <f t="shared" si="41"/>
        <v>22483</v>
      </c>
      <c r="S280" s="675">
        <f t="shared" si="42"/>
        <v>746856.8</v>
      </c>
      <c r="T280" s="676">
        <f t="shared" si="46"/>
        <v>0</v>
      </c>
      <c r="U280" s="676">
        <f t="shared" si="43"/>
        <v>769339.8</v>
      </c>
      <c r="V280" s="664"/>
      <c r="W280" s="664"/>
      <c r="X280" s="664"/>
      <c r="Y280" s="664"/>
      <c r="Z280" s="664"/>
      <c r="AA280" s="664"/>
      <c r="AB280" s="664"/>
      <c r="AC280" s="664"/>
      <c r="AD280" s="664"/>
      <c r="AE280" s="664"/>
      <c r="AF280" s="664"/>
    </row>
    <row r="281" spans="2:32" ht="14.65">
      <c r="B281" s="653">
        <f t="shared" si="44"/>
        <v>277</v>
      </c>
      <c r="C281" s="669" t="s">
        <v>568</v>
      </c>
      <c r="D281" s="670" t="s">
        <v>3459</v>
      </c>
      <c r="E281" s="669" t="s">
        <v>3500</v>
      </c>
      <c r="F281" s="672">
        <v>44968</v>
      </c>
      <c r="G281" s="672">
        <v>44984</v>
      </c>
      <c r="H281" s="669" t="s">
        <v>763</v>
      </c>
      <c r="I281" s="672">
        <v>44984</v>
      </c>
      <c r="J281" s="627">
        <v>1429244</v>
      </c>
      <c r="K281" s="627"/>
      <c r="L281" s="627"/>
      <c r="M281" s="627">
        <v>218020</v>
      </c>
      <c r="N281" s="627">
        <f t="shared" si="39"/>
        <v>1211224</v>
      </c>
      <c r="O281" s="659">
        <f t="shared" si="45"/>
        <v>32</v>
      </c>
      <c r="P281" s="673">
        <v>3</v>
      </c>
      <c r="Q281" s="674">
        <f t="shared" si="40"/>
        <v>2.9123287671232876</v>
      </c>
      <c r="R281" s="675">
        <f t="shared" si="41"/>
        <v>35397</v>
      </c>
      <c r="S281" s="675">
        <f t="shared" si="42"/>
        <v>1175827</v>
      </c>
      <c r="T281" s="676">
        <f t="shared" si="46"/>
        <v>0</v>
      </c>
      <c r="U281" s="676">
        <f t="shared" si="43"/>
        <v>1211224</v>
      </c>
      <c r="V281" s="664"/>
      <c r="W281" s="664"/>
      <c r="X281" s="664"/>
      <c r="Y281" s="664"/>
      <c r="Z281" s="664"/>
      <c r="AA281" s="664"/>
      <c r="AB281" s="664"/>
      <c r="AC281" s="664"/>
      <c r="AD281" s="664"/>
      <c r="AE281" s="664"/>
      <c r="AF281" s="664"/>
    </row>
    <row r="282" spans="2:32" ht="14.65">
      <c r="B282" s="653">
        <f t="shared" si="44"/>
        <v>278</v>
      </c>
      <c r="C282" s="669" t="s">
        <v>568</v>
      </c>
      <c r="D282" s="670" t="s">
        <v>3459</v>
      </c>
      <c r="E282" s="669" t="s">
        <v>3499</v>
      </c>
      <c r="F282" s="672">
        <v>44968</v>
      </c>
      <c r="G282" s="672">
        <v>44984</v>
      </c>
      <c r="H282" s="669" t="s">
        <v>763</v>
      </c>
      <c r="I282" s="672">
        <v>44984</v>
      </c>
      <c r="J282" s="627">
        <v>171973</v>
      </c>
      <c r="K282" s="627"/>
      <c r="L282" s="627"/>
      <c r="M282" s="627">
        <v>26233</v>
      </c>
      <c r="N282" s="627">
        <f t="shared" si="39"/>
        <v>145740</v>
      </c>
      <c r="O282" s="659">
        <f t="shared" si="45"/>
        <v>32</v>
      </c>
      <c r="P282" s="673">
        <v>3</v>
      </c>
      <c r="Q282" s="674">
        <f t="shared" si="40"/>
        <v>2.9123287671232876</v>
      </c>
      <c r="R282" s="675">
        <f t="shared" si="41"/>
        <v>4259</v>
      </c>
      <c r="S282" s="675">
        <f t="shared" si="42"/>
        <v>141481</v>
      </c>
      <c r="T282" s="676">
        <f t="shared" si="46"/>
        <v>0</v>
      </c>
      <c r="U282" s="676">
        <f t="shared" si="43"/>
        <v>145740</v>
      </c>
      <c r="V282" s="664"/>
      <c r="W282" s="664"/>
      <c r="X282" s="664"/>
      <c r="Y282" s="664"/>
      <c r="Z282" s="664"/>
      <c r="AA282" s="664"/>
      <c r="AB282" s="664"/>
      <c r="AC282" s="664"/>
      <c r="AD282" s="664"/>
      <c r="AE282" s="664"/>
      <c r="AF282" s="664"/>
    </row>
    <row r="283" spans="2:32" ht="14.65">
      <c r="B283" s="653">
        <f t="shared" si="44"/>
        <v>279</v>
      </c>
      <c r="C283" s="669" t="s">
        <v>3541</v>
      </c>
      <c r="D283" s="670" t="s">
        <v>3459</v>
      </c>
      <c r="E283" s="669" t="s">
        <v>3542</v>
      </c>
      <c r="F283" s="672">
        <v>44974</v>
      </c>
      <c r="G283" s="672">
        <v>44987</v>
      </c>
      <c r="H283" s="669" t="s">
        <v>410</v>
      </c>
      <c r="I283" s="672">
        <v>44987</v>
      </c>
      <c r="J283" s="627">
        <f>991200-101694</f>
        <v>889506</v>
      </c>
      <c r="K283" s="627"/>
      <c r="L283" s="627"/>
      <c r="M283" s="627">
        <v>151200</v>
      </c>
      <c r="N283" s="627">
        <f t="shared" si="39"/>
        <v>738306</v>
      </c>
      <c r="O283" s="682">
        <f t="shared" si="45"/>
        <v>29</v>
      </c>
      <c r="P283" s="673">
        <v>9</v>
      </c>
      <c r="Q283" s="674">
        <f t="shared" si="40"/>
        <v>8.9205479452054792</v>
      </c>
      <c r="R283" s="675">
        <f t="shared" si="41"/>
        <v>6518</v>
      </c>
      <c r="S283" s="675">
        <f t="shared" si="42"/>
        <v>731788</v>
      </c>
      <c r="T283" s="676"/>
      <c r="U283" s="676">
        <f t="shared" si="43"/>
        <v>738306</v>
      </c>
      <c r="V283" s="664"/>
      <c r="W283" s="664"/>
      <c r="X283" s="664"/>
      <c r="Y283" s="664"/>
      <c r="Z283" s="664"/>
      <c r="AA283" s="664"/>
      <c r="AB283" s="664"/>
      <c r="AC283" s="664"/>
      <c r="AD283" s="664"/>
      <c r="AE283" s="664"/>
      <c r="AF283" s="664"/>
    </row>
    <row r="284" spans="2:32" ht="14.65">
      <c r="B284" s="653">
        <f t="shared" si="44"/>
        <v>280</v>
      </c>
      <c r="C284" s="669" t="s">
        <v>71</v>
      </c>
      <c r="D284" s="670" t="s">
        <v>3459</v>
      </c>
      <c r="E284" s="669" t="s">
        <v>3543</v>
      </c>
      <c r="F284" s="672">
        <v>44989</v>
      </c>
      <c r="G284" s="672">
        <v>44989</v>
      </c>
      <c r="H284" s="669" t="s">
        <v>766</v>
      </c>
      <c r="I284" s="672">
        <v>44989</v>
      </c>
      <c r="J284" s="627">
        <v>1893750</v>
      </c>
      <c r="K284" s="627"/>
      <c r="L284" s="627">
        <v>20297</v>
      </c>
      <c r="M284" s="627">
        <v>443998</v>
      </c>
      <c r="N284" s="627">
        <f t="shared" si="39"/>
        <v>1429455</v>
      </c>
      <c r="O284" s="682">
        <f t="shared" si="45"/>
        <v>27</v>
      </c>
      <c r="P284" s="673">
        <v>9</v>
      </c>
      <c r="Q284" s="674">
        <f t="shared" si="40"/>
        <v>8.9260273972602739</v>
      </c>
      <c r="R284" s="675">
        <f t="shared" si="41"/>
        <v>11749</v>
      </c>
      <c r="S284" s="675">
        <f t="shared" si="42"/>
        <v>1417706</v>
      </c>
      <c r="T284" s="676"/>
      <c r="U284" s="676">
        <f t="shared" si="43"/>
        <v>1429455</v>
      </c>
      <c r="V284" s="664"/>
      <c r="W284" s="664"/>
      <c r="X284" s="664"/>
      <c r="Y284" s="664"/>
      <c r="Z284" s="664"/>
      <c r="AA284" s="664"/>
      <c r="AB284" s="664"/>
      <c r="AC284" s="664"/>
      <c r="AD284" s="664"/>
      <c r="AE284" s="664"/>
      <c r="AF284" s="664"/>
    </row>
    <row r="285" spans="2:32" ht="14.65">
      <c r="B285" s="653">
        <f t="shared" si="44"/>
        <v>281</v>
      </c>
      <c r="C285" s="669" t="s">
        <v>3544</v>
      </c>
      <c r="D285" s="670" t="s">
        <v>3459</v>
      </c>
      <c r="E285" s="669" t="s">
        <v>3470</v>
      </c>
      <c r="F285" s="672">
        <v>44978</v>
      </c>
      <c r="G285" s="672">
        <v>44991</v>
      </c>
      <c r="H285" s="669" t="s">
        <v>410</v>
      </c>
      <c r="I285" s="672">
        <v>44991</v>
      </c>
      <c r="J285" s="627">
        <v>342200</v>
      </c>
      <c r="K285" s="627"/>
      <c r="L285" s="627"/>
      <c r="M285" s="627">
        <v>52200</v>
      </c>
      <c r="N285" s="627">
        <f t="shared" si="39"/>
        <v>290000</v>
      </c>
      <c r="O285" s="682">
        <f t="shared" si="45"/>
        <v>25</v>
      </c>
      <c r="P285" s="673">
        <v>9</v>
      </c>
      <c r="Q285" s="674">
        <f t="shared" si="40"/>
        <v>8.9315068493150687</v>
      </c>
      <c r="R285" s="675">
        <f t="shared" si="41"/>
        <v>2207</v>
      </c>
      <c r="S285" s="675">
        <f t="shared" si="42"/>
        <v>287793</v>
      </c>
      <c r="T285" s="676"/>
      <c r="U285" s="676">
        <f t="shared" si="43"/>
        <v>290000</v>
      </c>
      <c r="V285" s="664"/>
      <c r="W285" s="664"/>
      <c r="X285" s="664"/>
      <c r="Y285" s="664"/>
      <c r="Z285" s="664"/>
      <c r="AA285" s="664"/>
      <c r="AB285" s="664"/>
      <c r="AC285" s="664"/>
      <c r="AD285" s="664"/>
      <c r="AE285" s="664"/>
      <c r="AF285" s="664"/>
    </row>
    <row r="286" spans="2:32" ht="14.65">
      <c r="B286" s="653">
        <f t="shared" si="44"/>
        <v>282</v>
      </c>
      <c r="C286" s="669" t="s">
        <v>570</v>
      </c>
      <c r="D286" s="670" t="s">
        <v>3459</v>
      </c>
      <c r="E286" s="669">
        <v>2198</v>
      </c>
      <c r="F286" s="672">
        <v>44957</v>
      </c>
      <c r="G286" s="672">
        <v>44985</v>
      </c>
      <c r="H286" s="669" t="s">
        <v>765</v>
      </c>
      <c r="I286" s="672">
        <v>44985</v>
      </c>
      <c r="J286" s="627">
        <v>171336</v>
      </c>
      <c r="K286" s="627"/>
      <c r="L286" s="627"/>
      <c r="M286" s="627">
        <v>26136</v>
      </c>
      <c r="N286" s="627">
        <f t="shared" si="39"/>
        <v>145200</v>
      </c>
      <c r="O286" s="682">
        <f t="shared" si="45"/>
        <v>31</v>
      </c>
      <c r="P286" s="673">
        <v>9</v>
      </c>
      <c r="Q286" s="674">
        <f t="shared" si="40"/>
        <v>8.9150684931506845</v>
      </c>
      <c r="R286" s="675">
        <f t="shared" si="41"/>
        <v>1370</v>
      </c>
      <c r="S286" s="675">
        <f t="shared" si="42"/>
        <v>143830</v>
      </c>
      <c r="T286" s="676"/>
      <c r="U286" s="676">
        <f t="shared" si="43"/>
        <v>145200</v>
      </c>
      <c r="V286" s="664"/>
      <c r="W286" s="664"/>
      <c r="X286" s="664"/>
      <c r="Y286" s="664"/>
      <c r="Z286" s="664"/>
      <c r="AA286" s="664"/>
      <c r="AB286" s="664"/>
      <c r="AC286" s="664"/>
      <c r="AD286" s="664"/>
      <c r="AE286" s="664"/>
      <c r="AF286" s="664"/>
    </row>
    <row r="287" spans="2:32" ht="14.65">
      <c r="B287" s="653">
        <f t="shared" si="44"/>
        <v>283</v>
      </c>
      <c r="C287" s="669" t="s">
        <v>62</v>
      </c>
      <c r="D287" s="670" t="s">
        <v>3459</v>
      </c>
      <c r="E287" s="669">
        <v>7272225573</v>
      </c>
      <c r="F287" s="672">
        <v>44991</v>
      </c>
      <c r="G287" s="672">
        <v>45013</v>
      </c>
      <c r="H287" s="669" t="s">
        <v>3575</v>
      </c>
      <c r="I287" s="672">
        <v>45013</v>
      </c>
      <c r="J287" s="627">
        <v>3217860</v>
      </c>
      <c r="K287" s="627"/>
      <c r="L287" s="627">
        <v>31860</v>
      </c>
      <c r="M287" s="627">
        <v>486000</v>
      </c>
      <c r="N287" s="627">
        <f t="shared" si="39"/>
        <v>2700000</v>
      </c>
      <c r="O287" s="682">
        <f>'[86]Add22-23'!$N$1-I287</f>
        <v>3</v>
      </c>
      <c r="P287" s="673">
        <v>9</v>
      </c>
      <c r="Q287" s="674">
        <f t="shared" si="40"/>
        <v>8.9917808219178088</v>
      </c>
      <c r="R287" s="675">
        <f t="shared" si="41"/>
        <v>2466</v>
      </c>
      <c r="S287" s="675">
        <f t="shared" si="42"/>
        <v>2697534</v>
      </c>
      <c r="T287" s="676"/>
      <c r="U287" s="676">
        <f t="shared" si="43"/>
        <v>2700000</v>
      </c>
      <c r="V287" s="664"/>
      <c r="W287" s="664"/>
      <c r="X287" s="664"/>
      <c r="Y287" s="664"/>
      <c r="Z287" s="664"/>
      <c r="AA287" s="664"/>
      <c r="AB287" s="664"/>
      <c r="AC287" s="664"/>
      <c r="AD287" s="664"/>
      <c r="AE287" s="664"/>
      <c r="AF287" s="664"/>
    </row>
    <row r="288" spans="2:32" ht="14.65">
      <c r="B288" s="653">
        <f t="shared" si="44"/>
        <v>284</v>
      </c>
      <c r="C288" s="669" t="s">
        <v>62</v>
      </c>
      <c r="D288" s="670" t="s">
        <v>3459</v>
      </c>
      <c r="E288" s="669">
        <v>7272225572</v>
      </c>
      <c r="F288" s="672">
        <v>44991</v>
      </c>
      <c r="G288" s="672">
        <v>45013</v>
      </c>
      <c r="H288" s="669" t="s">
        <v>3575</v>
      </c>
      <c r="I288" s="672">
        <v>45013</v>
      </c>
      <c r="J288" s="627">
        <v>3217860</v>
      </c>
      <c r="K288" s="627"/>
      <c r="L288" s="627">
        <v>31860</v>
      </c>
      <c r="M288" s="627">
        <v>486000</v>
      </c>
      <c r="N288" s="627">
        <f t="shared" si="39"/>
        <v>2700000</v>
      </c>
      <c r="O288" s="682">
        <f>'[86]Add22-23'!$N$1-I288</f>
        <v>3</v>
      </c>
      <c r="P288" s="673">
        <v>9</v>
      </c>
      <c r="Q288" s="674">
        <f t="shared" si="40"/>
        <v>8.9917808219178088</v>
      </c>
      <c r="R288" s="675">
        <f t="shared" si="41"/>
        <v>2466</v>
      </c>
      <c r="S288" s="675">
        <f t="shared" si="42"/>
        <v>2697534</v>
      </c>
      <c r="T288" s="676"/>
      <c r="U288" s="676">
        <f t="shared" si="43"/>
        <v>2700000</v>
      </c>
      <c r="V288" s="664"/>
      <c r="W288" s="664"/>
      <c r="X288" s="664"/>
      <c r="Y288" s="664"/>
      <c r="Z288" s="664"/>
      <c r="AA288" s="664"/>
      <c r="AB288" s="664"/>
      <c r="AC288" s="664"/>
      <c r="AD288" s="664"/>
      <c r="AE288" s="664"/>
      <c r="AF288" s="664"/>
    </row>
    <row r="289" spans="2:32" ht="14.65">
      <c r="B289" s="653">
        <f t="shared" si="44"/>
        <v>285</v>
      </c>
      <c r="C289" s="669" t="s">
        <v>585</v>
      </c>
      <c r="D289" s="670" t="s">
        <v>3459</v>
      </c>
      <c r="E289" s="669" t="s">
        <v>3574</v>
      </c>
      <c r="F289" s="672">
        <v>44987</v>
      </c>
      <c r="G289" s="672">
        <v>45008</v>
      </c>
      <c r="H289" s="669" t="s">
        <v>3573</v>
      </c>
      <c r="I289" s="672">
        <v>45008</v>
      </c>
      <c r="J289" s="627">
        <v>6197360</v>
      </c>
      <c r="K289" s="627">
        <v>474470</v>
      </c>
      <c r="L289" s="627">
        <v>61360</v>
      </c>
      <c r="M289" s="627">
        <f>468000*2</f>
        <v>936000</v>
      </c>
      <c r="N289" s="627">
        <f t="shared" si="39"/>
        <v>5674470</v>
      </c>
      <c r="O289" s="682">
        <f>'[86]Add22-23'!$N$1-I289</f>
        <v>8</v>
      </c>
      <c r="P289" s="673">
        <v>9</v>
      </c>
      <c r="Q289" s="674">
        <f t="shared" si="40"/>
        <v>8.9780821917808211</v>
      </c>
      <c r="R289" s="675">
        <f t="shared" si="41"/>
        <v>13819</v>
      </c>
      <c r="S289" s="675">
        <f t="shared" si="42"/>
        <v>5660651</v>
      </c>
      <c r="T289" s="676"/>
      <c r="U289" s="676">
        <f t="shared" si="43"/>
        <v>5674470</v>
      </c>
      <c r="V289" s="664"/>
      <c r="W289" s="664"/>
      <c r="X289" s="664"/>
      <c r="Y289" s="664"/>
      <c r="Z289" s="664"/>
      <c r="AA289" s="664"/>
      <c r="AB289" s="664"/>
      <c r="AC289" s="664"/>
      <c r="AD289" s="664"/>
      <c r="AE289" s="664"/>
      <c r="AF289" s="664"/>
    </row>
    <row r="290" spans="2:32" ht="14.65">
      <c r="B290" s="653">
        <f t="shared" si="44"/>
        <v>286</v>
      </c>
      <c r="C290" s="669" t="s">
        <v>324</v>
      </c>
      <c r="D290" s="670" t="s">
        <v>3459</v>
      </c>
      <c r="E290" s="669" t="s">
        <v>3572</v>
      </c>
      <c r="F290" s="672">
        <v>44985</v>
      </c>
      <c r="G290" s="672">
        <v>45005</v>
      </c>
      <c r="H290" s="669" t="s">
        <v>170</v>
      </c>
      <c r="I290" s="672">
        <v>45005</v>
      </c>
      <c r="J290" s="627">
        <v>7150800</v>
      </c>
      <c r="K290" s="627"/>
      <c r="L290" s="627">
        <v>70800</v>
      </c>
      <c r="M290" s="627">
        <v>1080000</v>
      </c>
      <c r="N290" s="627">
        <f t="shared" si="39"/>
        <v>6000000</v>
      </c>
      <c r="O290" s="682">
        <f>'[86]Add22-23'!$N$1-I290</f>
        <v>11</v>
      </c>
      <c r="P290" s="673">
        <v>9</v>
      </c>
      <c r="Q290" s="674">
        <f t="shared" si="40"/>
        <v>8.9698630136986299</v>
      </c>
      <c r="R290" s="675">
        <f t="shared" si="41"/>
        <v>20091</v>
      </c>
      <c r="S290" s="675">
        <f t="shared" si="42"/>
        <v>5979909</v>
      </c>
      <c r="T290" s="676"/>
      <c r="U290" s="676">
        <f t="shared" si="43"/>
        <v>6000000</v>
      </c>
      <c r="V290" s="664"/>
      <c r="W290" s="664"/>
      <c r="X290" s="664"/>
      <c r="Y290" s="664"/>
      <c r="Z290" s="664"/>
      <c r="AA290" s="664"/>
      <c r="AB290" s="664"/>
      <c r="AC290" s="664"/>
      <c r="AD290" s="664"/>
      <c r="AE290" s="664"/>
      <c r="AF290" s="664"/>
    </row>
    <row r="291" spans="2:32" ht="14.65">
      <c r="B291" s="653">
        <f t="shared" si="44"/>
        <v>287</v>
      </c>
      <c r="C291" s="669" t="s">
        <v>324</v>
      </c>
      <c r="D291" s="670" t="s">
        <v>3459</v>
      </c>
      <c r="E291" s="669" t="s">
        <v>3571</v>
      </c>
      <c r="F291" s="672">
        <v>44985</v>
      </c>
      <c r="G291" s="672">
        <v>45005</v>
      </c>
      <c r="H291" s="669" t="s">
        <v>170</v>
      </c>
      <c r="I291" s="672">
        <v>45005</v>
      </c>
      <c r="J291" s="627">
        <v>7150800</v>
      </c>
      <c r="K291" s="627"/>
      <c r="L291" s="627">
        <v>70800</v>
      </c>
      <c r="M291" s="627">
        <v>1080000</v>
      </c>
      <c r="N291" s="627">
        <f t="shared" si="39"/>
        <v>6000000</v>
      </c>
      <c r="O291" s="682">
        <f>'[86]Add22-23'!$N$1-I291</f>
        <v>11</v>
      </c>
      <c r="P291" s="673">
        <v>9</v>
      </c>
      <c r="Q291" s="674">
        <f t="shared" si="40"/>
        <v>8.9698630136986299</v>
      </c>
      <c r="R291" s="675">
        <f t="shared" si="41"/>
        <v>20091</v>
      </c>
      <c r="S291" s="675">
        <f t="shared" si="42"/>
        <v>5979909</v>
      </c>
      <c r="T291" s="676"/>
      <c r="U291" s="676">
        <f t="shared" si="43"/>
        <v>6000000</v>
      </c>
      <c r="V291" s="664"/>
      <c r="W291" s="664"/>
      <c r="X291" s="664"/>
      <c r="Y291" s="664"/>
      <c r="Z291" s="664"/>
      <c r="AA291" s="664"/>
      <c r="AB291" s="664"/>
      <c r="AC291" s="664"/>
      <c r="AD291" s="664"/>
      <c r="AE291" s="664"/>
      <c r="AF291" s="664"/>
    </row>
    <row r="292" spans="2:32" ht="14.65">
      <c r="B292" s="653">
        <f t="shared" si="44"/>
        <v>288</v>
      </c>
      <c r="C292" s="669" t="s">
        <v>309</v>
      </c>
      <c r="D292" s="670" t="s">
        <v>3459</v>
      </c>
      <c r="E292" s="669" t="s">
        <v>3570</v>
      </c>
      <c r="F292" s="672">
        <v>44987</v>
      </c>
      <c r="G292" s="672">
        <v>45005</v>
      </c>
      <c r="H292" s="669" t="s">
        <v>406</v>
      </c>
      <c r="I292" s="672">
        <v>45005</v>
      </c>
      <c r="J292" s="627">
        <v>953603</v>
      </c>
      <c r="K292" s="627"/>
      <c r="L292" s="627"/>
      <c r="M292" s="627">
        <v>145465</v>
      </c>
      <c r="N292" s="627">
        <f t="shared" si="39"/>
        <v>808138</v>
      </c>
      <c r="O292" s="682">
        <f>'[86]Add22-23'!$N$1-I292</f>
        <v>11</v>
      </c>
      <c r="P292" s="673">
        <v>3</v>
      </c>
      <c r="Q292" s="674">
        <f t="shared" si="40"/>
        <v>2.9698630136986299</v>
      </c>
      <c r="R292" s="675">
        <f t="shared" si="41"/>
        <v>8118</v>
      </c>
      <c r="S292" s="675">
        <f t="shared" si="42"/>
        <v>800020</v>
      </c>
      <c r="T292" s="676"/>
      <c r="U292" s="676">
        <f t="shared" si="43"/>
        <v>808138</v>
      </c>
      <c r="V292" s="664"/>
      <c r="W292" s="664"/>
      <c r="X292" s="664"/>
      <c r="Y292" s="664"/>
      <c r="Z292" s="664"/>
      <c r="AA292" s="664"/>
      <c r="AB292" s="664"/>
      <c r="AC292" s="664"/>
      <c r="AD292" s="664"/>
      <c r="AE292" s="664"/>
      <c r="AF292" s="664"/>
    </row>
    <row r="293" spans="2:32" ht="14.65">
      <c r="B293" s="653">
        <f t="shared" si="44"/>
        <v>289</v>
      </c>
      <c r="C293" s="669" t="s">
        <v>309</v>
      </c>
      <c r="D293" s="670" t="s">
        <v>3459</v>
      </c>
      <c r="E293" s="669" t="s">
        <v>3569</v>
      </c>
      <c r="F293" s="672">
        <v>44995</v>
      </c>
      <c r="G293" s="672">
        <v>45005</v>
      </c>
      <c r="H293" s="669" t="s">
        <v>406</v>
      </c>
      <c r="I293" s="672">
        <v>45005</v>
      </c>
      <c r="J293" s="627">
        <v>992275</v>
      </c>
      <c r="K293" s="627"/>
      <c r="L293" s="627"/>
      <c r="M293" s="627">
        <v>151363.98000000001</v>
      </c>
      <c r="N293" s="627">
        <f t="shared" si="39"/>
        <v>840911.02</v>
      </c>
      <c r="O293" s="682">
        <f>'[86]Add22-23'!$N$1-I293</f>
        <v>11</v>
      </c>
      <c r="P293" s="673">
        <v>3</v>
      </c>
      <c r="Q293" s="674">
        <f t="shared" si="40"/>
        <v>2.9698630136986299</v>
      </c>
      <c r="R293" s="675">
        <f t="shared" si="41"/>
        <v>8448</v>
      </c>
      <c r="S293" s="675">
        <f t="shared" si="42"/>
        <v>832463.02</v>
      </c>
      <c r="T293" s="676"/>
      <c r="U293" s="676">
        <f t="shared" si="43"/>
        <v>840911.02</v>
      </c>
      <c r="V293" s="664"/>
      <c r="W293" s="664"/>
      <c r="X293" s="664"/>
      <c r="Y293" s="664"/>
      <c r="Z293" s="664"/>
      <c r="AA293" s="664"/>
      <c r="AB293" s="664"/>
      <c r="AC293" s="664"/>
      <c r="AD293" s="664"/>
      <c r="AE293" s="664"/>
      <c r="AF293" s="664"/>
    </row>
    <row r="294" spans="2:32" ht="14.65">
      <c r="B294" s="653">
        <f t="shared" si="44"/>
        <v>290</v>
      </c>
      <c r="C294" s="669" t="s">
        <v>309</v>
      </c>
      <c r="D294" s="670" t="s">
        <v>3459</v>
      </c>
      <c r="E294" s="669" t="s">
        <v>3568</v>
      </c>
      <c r="F294" s="672">
        <v>44996</v>
      </c>
      <c r="G294" s="672">
        <v>45005</v>
      </c>
      <c r="H294" s="669" t="s">
        <v>406</v>
      </c>
      <c r="I294" s="672">
        <v>45005</v>
      </c>
      <c r="J294" s="627">
        <v>1114826</v>
      </c>
      <c r="K294" s="627"/>
      <c r="L294" s="627"/>
      <c r="M294" s="627">
        <v>170058.15</v>
      </c>
      <c r="N294" s="627">
        <f t="shared" si="39"/>
        <v>944767.85</v>
      </c>
      <c r="O294" s="682">
        <f>'[86]Add22-23'!$N$1-I294</f>
        <v>11</v>
      </c>
      <c r="P294" s="673">
        <v>3</v>
      </c>
      <c r="Q294" s="674">
        <f t="shared" si="40"/>
        <v>2.9698630136986299</v>
      </c>
      <c r="R294" s="675">
        <f t="shared" si="41"/>
        <v>9491</v>
      </c>
      <c r="S294" s="675">
        <f t="shared" si="42"/>
        <v>935276.85</v>
      </c>
      <c r="T294" s="676"/>
      <c r="U294" s="676">
        <f t="shared" si="43"/>
        <v>944767.85</v>
      </c>
      <c r="V294" s="664"/>
      <c r="W294" s="664"/>
      <c r="X294" s="664"/>
      <c r="Y294" s="664"/>
      <c r="Z294" s="664"/>
      <c r="AA294" s="664"/>
      <c r="AB294" s="664"/>
      <c r="AC294" s="664"/>
      <c r="AD294" s="664"/>
      <c r="AE294" s="664"/>
      <c r="AF294" s="664"/>
    </row>
    <row r="295" spans="2:32" ht="14.65">
      <c r="B295" s="653">
        <f t="shared" si="44"/>
        <v>291</v>
      </c>
      <c r="C295" s="669" t="s">
        <v>309</v>
      </c>
      <c r="D295" s="670" t="s">
        <v>3459</v>
      </c>
      <c r="E295" s="669" t="s">
        <v>3567</v>
      </c>
      <c r="F295" s="672">
        <v>45002</v>
      </c>
      <c r="G295" s="672">
        <v>45005</v>
      </c>
      <c r="H295" s="669" t="s">
        <v>406</v>
      </c>
      <c r="I295" s="672">
        <v>45005</v>
      </c>
      <c r="J295" s="627">
        <v>703269</v>
      </c>
      <c r="K295" s="627"/>
      <c r="L295" s="627"/>
      <c r="M295" s="627">
        <v>107278</v>
      </c>
      <c r="N295" s="627">
        <f t="shared" si="39"/>
        <v>595991</v>
      </c>
      <c r="O295" s="682">
        <f>'[86]Add22-23'!$N$1-I295</f>
        <v>11</v>
      </c>
      <c r="P295" s="673">
        <v>3</v>
      </c>
      <c r="Q295" s="674">
        <f t="shared" si="40"/>
        <v>2.9698630136986299</v>
      </c>
      <c r="R295" s="675">
        <f t="shared" si="41"/>
        <v>5987</v>
      </c>
      <c r="S295" s="675">
        <f t="shared" si="42"/>
        <v>590004</v>
      </c>
      <c r="T295" s="676"/>
      <c r="U295" s="676">
        <f t="shared" si="43"/>
        <v>595991</v>
      </c>
      <c r="V295" s="664"/>
      <c r="W295" s="664"/>
      <c r="X295" s="664"/>
      <c r="Y295" s="664"/>
      <c r="Z295" s="664"/>
      <c r="AA295" s="664"/>
      <c r="AB295" s="664"/>
      <c r="AC295" s="664"/>
      <c r="AD295" s="664"/>
      <c r="AE295" s="664"/>
      <c r="AF295" s="664"/>
    </row>
    <row r="296" spans="2:32" ht="14.65">
      <c r="B296" s="653">
        <f t="shared" si="44"/>
        <v>292</v>
      </c>
      <c r="C296" s="669" t="s">
        <v>3563</v>
      </c>
      <c r="D296" s="670" t="s">
        <v>3459</v>
      </c>
      <c r="E296" s="669" t="s">
        <v>3566</v>
      </c>
      <c r="F296" s="672">
        <v>44988</v>
      </c>
      <c r="G296" s="672">
        <v>45009</v>
      </c>
      <c r="H296" s="669" t="s">
        <v>407</v>
      </c>
      <c r="I296" s="672">
        <v>45009</v>
      </c>
      <c r="J296" s="627">
        <v>2350230</v>
      </c>
      <c r="K296" s="627">
        <v>187540</v>
      </c>
      <c r="L296" s="627">
        <v>23270</v>
      </c>
      <c r="M296" s="627">
        <f>177480*2</f>
        <v>354960</v>
      </c>
      <c r="N296" s="627">
        <f t="shared" si="39"/>
        <v>2159540</v>
      </c>
      <c r="O296" s="682">
        <f>'[86]Add22-23'!$N$1-I296</f>
        <v>7</v>
      </c>
      <c r="P296" s="673">
        <v>9</v>
      </c>
      <c r="Q296" s="674">
        <f t="shared" si="40"/>
        <v>8.9808219178082194</v>
      </c>
      <c r="R296" s="675">
        <f t="shared" si="41"/>
        <v>4602</v>
      </c>
      <c r="S296" s="675">
        <f t="shared" si="42"/>
        <v>2154938</v>
      </c>
      <c r="T296" s="676"/>
      <c r="U296" s="676">
        <f t="shared" si="43"/>
        <v>2159540</v>
      </c>
      <c r="V296" s="664"/>
      <c r="W296" s="664"/>
      <c r="X296" s="664"/>
      <c r="Y296" s="664"/>
      <c r="Z296" s="664"/>
      <c r="AA296" s="664"/>
      <c r="AB296" s="664"/>
      <c r="AC296" s="664"/>
      <c r="AD296" s="664"/>
      <c r="AE296" s="664"/>
      <c r="AF296" s="664"/>
    </row>
    <row r="297" spans="2:32" ht="14.65">
      <c r="B297" s="653">
        <f t="shared" si="44"/>
        <v>293</v>
      </c>
      <c r="C297" s="669" t="s">
        <v>3563</v>
      </c>
      <c r="D297" s="670" t="s">
        <v>3459</v>
      </c>
      <c r="E297" s="669" t="s">
        <v>3565</v>
      </c>
      <c r="F297" s="672">
        <v>44988</v>
      </c>
      <c r="G297" s="672">
        <v>45009</v>
      </c>
      <c r="H297" s="669" t="s">
        <v>407</v>
      </c>
      <c r="I297" s="672">
        <v>45009</v>
      </c>
      <c r="J297" s="627">
        <v>2350230</v>
      </c>
      <c r="K297" s="627">
        <v>187540</v>
      </c>
      <c r="L297" s="627">
        <v>23270</v>
      </c>
      <c r="M297" s="627">
        <f>177480*2</f>
        <v>354960</v>
      </c>
      <c r="N297" s="627">
        <f t="shared" si="39"/>
        <v>2159540</v>
      </c>
      <c r="O297" s="682">
        <f>'[86]Add22-23'!$N$1-I297</f>
        <v>7</v>
      </c>
      <c r="P297" s="673">
        <v>9</v>
      </c>
      <c r="Q297" s="674">
        <f t="shared" si="40"/>
        <v>8.9808219178082194</v>
      </c>
      <c r="R297" s="675">
        <f t="shared" si="41"/>
        <v>4602</v>
      </c>
      <c r="S297" s="675">
        <f t="shared" si="42"/>
        <v>2154938</v>
      </c>
      <c r="T297" s="676"/>
      <c r="U297" s="676">
        <f t="shared" si="43"/>
        <v>2159540</v>
      </c>
      <c r="V297" s="664"/>
      <c r="W297" s="664"/>
      <c r="X297" s="664"/>
      <c r="Y297" s="664"/>
      <c r="Z297" s="664"/>
      <c r="AA297" s="664"/>
      <c r="AB297" s="664"/>
      <c r="AC297" s="664"/>
      <c r="AD297" s="664"/>
      <c r="AE297" s="664"/>
      <c r="AF297" s="664"/>
    </row>
    <row r="298" spans="2:32" ht="14.65">
      <c r="B298" s="653">
        <f t="shared" si="44"/>
        <v>294</v>
      </c>
      <c r="C298" s="669" t="s">
        <v>3563</v>
      </c>
      <c r="D298" s="670" t="s">
        <v>3459</v>
      </c>
      <c r="E298" s="669" t="s">
        <v>3564</v>
      </c>
      <c r="F298" s="672">
        <v>44988</v>
      </c>
      <c r="G298" s="672">
        <v>45009</v>
      </c>
      <c r="H298" s="669" t="s">
        <v>407</v>
      </c>
      <c r="I298" s="672">
        <v>45009</v>
      </c>
      <c r="J298" s="627">
        <v>2350230</v>
      </c>
      <c r="K298" s="627">
        <v>187540</v>
      </c>
      <c r="L298" s="627">
        <v>23270</v>
      </c>
      <c r="M298" s="627">
        <f>177480*2</f>
        <v>354960</v>
      </c>
      <c r="N298" s="627">
        <f t="shared" si="39"/>
        <v>2159540</v>
      </c>
      <c r="O298" s="682">
        <f>'[86]Add22-23'!$N$1-I298</f>
        <v>7</v>
      </c>
      <c r="P298" s="673">
        <v>9</v>
      </c>
      <c r="Q298" s="674">
        <f t="shared" si="40"/>
        <v>8.9808219178082194</v>
      </c>
      <c r="R298" s="675">
        <f t="shared" si="41"/>
        <v>4602</v>
      </c>
      <c r="S298" s="675">
        <f t="shared" si="42"/>
        <v>2154938</v>
      </c>
      <c r="T298" s="676"/>
      <c r="U298" s="676">
        <f t="shared" si="43"/>
        <v>2159540</v>
      </c>
      <c r="V298" s="664"/>
      <c r="W298" s="664"/>
      <c r="X298" s="664"/>
      <c r="Y298" s="664"/>
      <c r="Z298" s="664"/>
      <c r="AA298" s="664"/>
      <c r="AB298" s="664"/>
      <c r="AC298" s="664"/>
      <c r="AD298" s="664"/>
      <c r="AE298" s="664"/>
      <c r="AF298" s="664"/>
    </row>
    <row r="299" spans="2:32" ht="14.65">
      <c r="B299" s="653">
        <f t="shared" si="44"/>
        <v>295</v>
      </c>
      <c r="C299" s="669" t="s">
        <v>3563</v>
      </c>
      <c r="D299" s="670" t="s">
        <v>3459</v>
      </c>
      <c r="E299" s="669" t="s">
        <v>3562</v>
      </c>
      <c r="F299" s="672">
        <v>45010</v>
      </c>
      <c r="G299" s="672">
        <v>45015</v>
      </c>
      <c r="H299" s="669" t="s">
        <v>407</v>
      </c>
      <c r="I299" s="672">
        <v>45015</v>
      </c>
      <c r="J299" s="627">
        <v>2350230</v>
      </c>
      <c r="K299" s="627">
        <v>187540</v>
      </c>
      <c r="L299" s="627">
        <v>23270</v>
      </c>
      <c r="M299" s="627">
        <f>177480*2</f>
        <v>354960</v>
      </c>
      <c r="N299" s="627">
        <f t="shared" si="39"/>
        <v>2159540</v>
      </c>
      <c r="O299" s="682">
        <f>'[86]Add22-23'!$N$1-I299</f>
        <v>1</v>
      </c>
      <c r="P299" s="673">
        <v>9</v>
      </c>
      <c r="Q299" s="674">
        <f t="shared" si="40"/>
        <v>8.9972602739726035</v>
      </c>
      <c r="R299" s="675">
        <f t="shared" si="41"/>
        <v>657</v>
      </c>
      <c r="S299" s="675">
        <f t="shared" si="42"/>
        <v>2158883</v>
      </c>
      <c r="T299" s="676"/>
      <c r="U299" s="676">
        <f t="shared" si="43"/>
        <v>2159540</v>
      </c>
      <c r="V299" s="664"/>
      <c r="W299" s="664"/>
      <c r="X299" s="664"/>
      <c r="Y299" s="664"/>
      <c r="Z299" s="664"/>
      <c r="AA299" s="664"/>
      <c r="AB299" s="664"/>
      <c r="AC299" s="664"/>
      <c r="AD299" s="664"/>
      <c r="AE299" s="664"/>
      <c r="AF299" s="664"/>
    </row>
    <row r="300" spans="2:32" ht="14.65">
      <c r="B300" s="653">
        <f t="shared" si="44"/>
        <v>296</v>
      </c>
      <c r="C300" s="669" t="s">
        <v>577</v>
      </c>
      <c r="D300" s="670" t="s">
        <v>3459</v>
      </c>
      <c r="E300" s="669"/>
      <c r="F300" s="672">
        <v>45016</v>
      </c>
      <c r="G300" s="672">
        <v>45016</v>
      </c>
      <c r="H300" s="669" t="s">
        <v>774</v>
      </c>
      <c r="I300" s="672">
        <v>45016</v>
      </c>
      <c r="J300" s="627">
        <v>165200</v>
      </c>
      <c r="K300" s="627"/>
      <c r="L300" s="627"/>
      <c r="M300" s="627">
        <v>25200</v>
      </c>
      <c r="N300" s="627">
        <f t="shared" si="39"/>
        <v>140000</v>
      </c>
      <c r="O300" s="682">
        <f>'[86]Add22-23'!$N$1-I300</f>
        <v>0</v>
      </c>
      <c r="P300" s="673">
        <v>9</v>
      </c>
      <c r="Q300" s="674">
        <f t="shared" si="40"/>
        <v>9</v>
      </c>
      <c r="R300" s="675">
        <f t="shared" si="41"/>
        <v>0</v>
      </c>
      <c r="S300" s="675">
        <f t="shared" si="42"/>
        <v>140000</v>
      </c>
      <c r="T300" s="676"/>
      <c r="U300" s="676">
        <f t="shared" si="43"/>
        <v>140000</v>
      </c>
      <c r="V300" s="664"/>
      <c r="W300" s="664"/>
      <c r="X300" s="664"/>
      <c r="Y300" s="664"/>
      <c r="Z300" s="664"/>
      <c r="AA300" s="664"/>
      <c r="AB300" s="664"/>
      <c r="AC300" s="664"/>
      <c r="AD300" s="664"/>
      <c r="AE300" s="664"/>
      <c r="AF300" s="664"/>
    </row>
    <row r="301" spans="2:32" ht="14.65">
      <c r="B301" s="653">
        <f t="shared" si="44"/>
        <v>297</v>
      </c>
      <c r="C301" s="669" t="s">
        <v>309</v>
      </c>
      <c r="D301" s="670" t="s">
        <v>3459</v>
      </c>
      <c r="E301" s="669"/>
      <c r="F301" s="672">
        <v>45016</v>
      </c>
      <c r="G301" s="672">
        <v>45016</v>
      </c>
      <c r="H301" s="669" t="s">
        <v>3627</v>
      </c>
      <c r="I301" s="672">
        <v>45016</v>
      </c>
      <c r="J301" s="627">
        <f>613858+521+304288+258+424700+360+789812+670+1279007+1085</f>
        <v>3414559</v>
      </c>
      <c r="K301" s="627"/>
      <c r="L301" s="627"/>
      <c r="M301" s="627">
        <f>93719+46456+64840+120582+195268</f>
        <v>520865</v>
      </c>
      <c r="N301" s="627">
        <f t="shared" si="39"/>
        <v>2893694</v>
      </c>
      <c r="O301" s="682">
        <f>'[86]Add22-23'!$N$1-I301</f>
        <v>0</v>
      </c>
      <c r="P301" s="673">
        <v>9</v>
      </c>
      <c r="Q301" s="674">
        <f t="shared" si="40"/>
        <v>9</v>
      </c>
      <c r="R301" s="675">
        <f t="shared" si="41"/>
        <v>0</v>
      </c>
      <c r="S301" s="675">
        <f t="shared" si="42"/>
        <v>2893694</v>
      </c>
      <c r="T301" s="676"/>
      <c r="U301" s="676">
        <f t="shared" si="43"/>
        <v>2893694</v>
      </c>
      <c r="V301" s="664"/>
      <c r="W301" s="664"/>
      <c r="X301" s="664"/>
      <c r="Y301" s="664"/>
      <c r="Z301" s="664"/>
      <c r="AA301" s="664"/>
      <c r="AB301" s="664"/>
      <c r="AC301" s="664"/>
      <c r="AD301" s="664"/>
      <c r="AE301" s="664"/>
      <c r="AF301" s="664"/>
    </row>
    <row r="302" spans="2:32" ht="14.65">
      <c r="B302" s="653">
        <f t="shared" si="44"/>
        <v>298</v>
      </c>
      <c r="C302" s="669" t="s">
        <v>309</v>
      </c>
      <c r="D302" s="670" t="s">
        <v>3459</v>
      </c>
      <c r="E302" s="669"/>
      <c r="F302" s="672">
        <v>45016</v>
      </c>
      <c r="G302" s="672">
        <v>45016</v>
      </c>
      <c r="H302" s="669" t="s">
        <v>3627</v>
      </c>
      <c r="I302" s="672">
        <v>45016</v>
      </c>
      <c r="J302" s="627">
        <v>814441</v>
      </c>
      <c r="K302" s="627"/>
      <c r="L302" s="627"/>
      <c r="M302" s="627">
        <v>124237</v>
      </c>
      <c r="N302" s="627">
        <f t="shared" si="39"/>
        <v>690204</v>
      </c>
      <c r="O302" s="682">
        <f>'[86]Add22-23'!$N$1-I302</f>
        <v>0</v>
      </c>
      <c r="P302" s="673">
        <v>3</v>
      </c>
      <c r="Q302" s="674">
        <f t="shared" si="40"/>
        <v>3</v>
      </c>
      <c r="R302" s="675">
        <f t="shared" si="41"/>
        <v>0</v>
      </c>
      <c r="S302" s="675">
        <f t="shared" si="42"/>
        <v>690204</v>
      </c>
      <c r="T302" s="676"/>
      <c r="U302" s="676">
        <f t="shared" si="43"/>
        <v>690204</v>
      </c>
      <c r="V302" s="664"/>
      <c r="W302" s="664"/>
      <c r="X302" s="664"/>
      <c r="Y302" s="664"/>
      <c r="Z302" s="664"/>
      <c r="AA302" s="664"/>
      <c r="AB302" s="664"/>
      <c r="AC302" s="664"/>
      <c r="AD302" s="664"/>
      <c r="AE302" s="664"/>
      <c r="AF302" s="664"/>
    </row>
    <row r="303" spans="2:32" ht="14.65">
      <c r="B303" s="653">
        <f t="shared" si="44"/>
        <v>299</v>
      </c>
      <c r="C303" s="665" t="s">
        <v>58</v>
      </c>
      <c r="D303" s="654" t="s">
        <v>3460</v>
      </c>
      <c r="E303" s="683" t="s">
        <v>78</v>
      </c>
      <c r="F303" s="657">
        <v>44713</v>
      </c>
      <c r="G303" s="657">
        <v>44722</v>
      </c>
      <c r="H303" s="665" t="s">
        <v>165</v>
      </c>
      <c r="I303" s="668">
        <v>44722</v>
      </c>
      <c r="J303" s="628">
        <v>5015000</v>
      </c>
      <c r="K303" s="628"/>
      <c r="L303" s="628"/>
      <c r="M303" s="628">
        <v>765000</v>
      </c>
      <c r="N303" s="628">
        <f t="shared" si="39"/>
        <v>4250000</v>
      </c>
      <c r="O303" s="659">
        <f t="shared" ref="O303:O334" si="47">$O$1-I303</f>
        <v>294</v>
      </c>
      <c r="P303" s="660">
        <v>9</v>
      </c>
      <c r="Q303" s="661">
        <f t="shared" si="40"/>
        <v>8.1945205479452063</v>
      </c>
      <c r="R303" s="662">
        <f t="shared" si="41"/>
        <v>380365</v>
      </c>
      <c r="S303" s="662">
        <f t="shared" si="42"/>
        <v>3869635</v>
      </c>
      <c r="T303" s="663">
        <f t="shared" ref="T303:T334" si="48">IF(I303&lt;=DATE(2022,9,30),N303,0)</f>
        <v>4250000</v>
      </c>
      <c r="U303" s="663">
        <f t="shared" si="43"/>
        <v>0</v>
      </c>
      <c r="V303" s="664"/>
      <c r="W303" s="664"/>
      <c r="X303" s="664"/>
      <c r="Y303" s="664"/>
      <c r="Z303" s="664"/>
      <c r="AA303" s="664"/>
      <c r="AB303" s="664"/>
      <c r="AC303" s="664"/>
      <c r="AD303" s="664"/>
      <c r="AE303" s="664"/>
      <c r="AF303" s="664"/>
    </row>
    <row r="304" spans="2:32" ht="14.65">
      <c r="B304" s="653">
        <f t="shared" si="44"/>
        <v>300</v>
      </c>
      <c r="C304" s="665" t="s">
        <v>59</v>
      </c>
      <c r="D304" s="654" t="s">
        <v>3460</v>
      </c>
      <c r="E304" s="667" t="s">
        <v>80</v>
      </c>
      <c r="F304" s="657">
        <v>44722</v>
      </c>
      <c r="G304" s="657">
        <v>44742</v>
      </c>
      <c r="H304" s="665" t="s">
        <v>167</v>
      </c>
      <c r="I304" s="668">
        <v>44742</v>
      </c>
      <c r="J304" s="628">
        <v>40988692</v>
      </c>
      <c r="K304" s="628"/>
      <c r="L304" s="628">
        <v>29712</v>
      </c>
      <c r="M304" s="628">
        <v>6247980</v>
      </c>
      <c r="N304" s="628">
        <f t="shared" si="39"/>
        <v>34711000</v>
      </c>
      <c r="O304" s="659">
        <f t="shared" si="47"/>
        <v>274</v>
      </c>
      <c r="P304" s="660">
        <v>9</v>
      </c>
      <c r="Q304" s="661">
        <f t="shared" si="40"/>
        <v>8.24931506849315</v>
      </c>
      <c r="R304" s="662">
        <f t="shared" si="41"/>
        <v>2895225</v>
      </c>
      <c r="S304" s="662">
        <f t="shared" si="42"/>
        <v>31815775</v>
      </c>
      <c r="T304" s="663">
        <f t="shared" si="48"/>
        <v>34711000</v>
      </c>
      <c r="U304" s="663">
        <f t="shared" si="43"/>
        <v>0</v>
      </c>
      <c r="V304" s="664"/>
      <c r="W304" s="664"/>
      <c r="X304" s="664"/>
      <c r="Y304" s="664"/>
      <c r="Z304" s="664"/>
      <c r="AA304" s="664"/>
      <c r="AB304" s="664"/>
      <c r="AC304" s="664"/>
      <c r="AD304" s="664"/>
      <c r="AE304" s="664"/>
      <c r="AF304" s="664"/>
    </row>
    <row r="305" spans="2:32" ht="14.65">
      <c r="B305" s="653">
        <f t="shared" si="44"/>
        <v>301</v>
      </c>
      <c r="C305" s="665" t="s">
        <v>70</v>
      </c>
      <c r="D305" s="654" t="s">
        <v>3460</v>
      </c>
      <c r="E305" s="683" t="s">
        <v>107</v>
      </c>
      <c r="F305" s="657">
        <v>44655</v>
      </c>
      <c r="G305" s="657">
        <v>44655</v>
      </c>
      <c r="H305" s="665" t="s">
        <v>177</v>
      </c>
      <c r="I305" s="657">
        <v>44655</v>
      </c>
      <c r="J305" s="628">
        <v>144715.20000000001</v>
      </c>
      <c r="K305" s="628"/>
      <c r="L305" s="628"/>
      <c r="M305" s="628">
        <v>22075.200000000001</v>
      </c>
      <c r="N305" s="628">
        <f t="shared" si="39"/>
        <v>122640.00000000001</v>
      </c>
      <c r="O305" s="659">
        <f t="shared" si="47"/>
        <v>361</v>
      </c>
      <c r="P305" s="660">
        <v>9</v>
      </c>
      <c r="Q305" s="661">
        <f t="shared" si="40"/>
        <v>8.0109589041095894</v>
      </c>
      <c r="R305" s="662">
        <f t="shared" si="41"/>
        <v>13477</v>
      </c>
      <c r="S305" s="662">
        <f t="shared" si="42"/>
        <v>109163.00000000001</v>
      </c>
      <c r="T305" s="663">
        <f t="shared" si="48"/>
        <v>122640.00000000001</v>
      </c>
      <c r="U305" s="663">
        <f t="shared" si="43"/>
        <v>0</v>
      </c>
      <c r="V305" s="664"/>
      <c r="W305" s="664"/>
      <c r="X305" s="664"/>
      <c r="Y305" s="664"/>
      <c r="Z305" s="664"/>
      <c r="AA305" s="664"/>
      <c r="AB305" s="664"/>
      <c r="AC305" s="664"/>
      <c r="AD305" s="664"/>
      <c r="AE305" s="664"/>
      <c r="AF305" s="664"/>
    </row>
    <row r="306" spans="2:32" ht="14.65">
      <c r="B306" s="653">
        <f t="shared" si="44"/>
        <v>302</v>
      </c>
      <c r="C306" s="665" t="s">
        <v>70</v>
      </c>
      <c r="D306" s="654" t="s">
        <v>3460</v>
      </c>
      <c r="E306" s="667" t="s">
        <v>108</v>
      </c>
      <c r="F306" s="657">
        <v>44658</v>
      </c>
      <c r="G306" s="657">
        <v>44668</v>
      </c>
      <c r="H306" s="665" t="s">
        <v>176</v>
      </c>
      <c r="I306" s="657">
        <v>44668</v>
      </c>
      <c r="J306" s="628">
        <v>526047.54</v>
      </c>
      <c r="K306" s="628"/>
      <c r="L306" s="628"/>
      <c r="M306" s="628">
        <v>80244.539999999994</v>
      </c>
      <c r="N306" s="628">
        <f t="shared" si="39"/>
        <v>445803.00000000006</v>
      </c>
      <c r="O306" s="659">
        <f t="shared" si="47"/>
        <v>348</v>
      </c>
      <c r="P306" s="660">
        <v>9</v>
      </c>
      <c r="Q306" s="661">
        <f t="shared" si="40"/>
        <v>8.0465753424657542</v>
      </c>
      <c r="R306" s="662">
        <f t="shared" si="41"/>
        <v>47227</v>
      </c>
      <c r="S306" s="662">
        <f t="shared" si="42"/>
        <v>398576.00000000006</v>
      </c>
      <c r="T306" s="663">
        <f t="shared" si="48"/>
        <v>445803.00000000006</v>
      </c>
      <c r="U306" s="663">
        <f t="shared" si="43"/>
        <v>0</v>
      </c>
      <c r="V306" s="664"/>
      <c r="W306" s="664"/>
      <c r="X306" s="664"/>
      <c r="Y306" s="664"/>
      <c r="Z306" s="664"/>
      <c r="AA306" s="664"/>
      <c r="AB306" s="664"/>
      <c r="AC306" s="664"/>
      <c r="AD306" s="664"/>
      <c r="AE306" s="664"/>
      <c r="AF306" s="664"/>
    </row>
    <row r="307" spans="2:32" ht="14.65">
      <c r="B307" s="653">
        <f t="shared" si="44"/>
        <v>303</v>
      </c>
      <c r="C307" s="684" t="s">
        <v>311</v>
      </c>
      <c r="D307" s="654" t="s">
        <v>3460</v>
      </c>
      <c r="E307" s="685" t="s">
        <v>365</v>
      </c>
      <c r="F307" s="686">
        <v>44808</v>
      </c>
      <c r="G307" s="686">
        <v>44829</v>
      </c>
      <c r="H307" s="684" t="s">
        <v>403</v>
      </c>
      <c r="I307" s="657">
        <v>44829</v>
      </c>
      <c r="J307" s="628">
        <v>1424709</v>
      </c>
      <c r="K307" s="628"/>
      <c r="L307" s="628"/>
      <c r="M307" s="628">
        <v>217328.4</v>
      </c>
      <c r="N307" s="628">
        <f t="shared" si="39"/>
        <v>1207380.6000000001</v>
      </c>
      <c r="O307" s="659">
        <f t="shared" si="47"/>
        <v>187</v>
      </c>
      <c r="P307" s="660">
        <v>9</v>
      </c>
      <c r="Q307" s="661">
        <f t="shared" si="40"/>
        <v>8.4876712328767123</v>
      </c>
      <c r="R307" s="662">
        <f t="shared" si="41"/>
        <v>68731</v>
      </c>
      <c r="S307" s="662">
        <f t="shared" si="42"/>
        <v>1138649.6000000001</v>
      </c>
      <c r="T307" s="663">
        <f t="shared" si="48"/>
        <v>1207380.6000000001</v>
      </c>
      <c r="U307" s="663">
        <f t="shared" si="43"/>
        <v>0</v>
      </c>
      <c r="V307" s="664"/>
      <c r="W307" s="664"/>
      <c r="X307" s="664"/>
      <c r="Y307" s="664"/>
      <c r="Z307" s="664"/>
      <c r="AA307" s="664"/>
      <c r="AB307" s="664"/>
      <c r="AC307" s="664"/>
      <c r="AD307" s="664"/>
      <c r="AE307" s="664"/>
      <c r="AF307" s="664"/>
    </row>
    <row r="308" spans="2:32" ht="14.65">
      <c r="B308" s="653">
        <f t="shared" si="44"/>
        <v>304</v>
      </c>
      <c r="C308" s="684" t="s">
        <v>312</v>
      </c>
      <c r="D308" s="654" t="s">
        <v>3460</v>
      </c>
      <c r="E308" s="685" t="s">
        <v>366</v>
      </c>
      <c r="F308" s="686">
        <v>44722</v>
      </c>
      <c r="G308" s="686">
        <v>44773</v>
      </c>
      <c r="H308" s="684" t="s">
        <v>409</v>
      </c>
      <c r="I308" s="657">
        <v>44773</v>
      </c>
      <c r="J308" s="628">
        <v>1327500</v>
      </c>
      <c r="K308" s="628"/>
      <c r="L308" s="628"/>
      <c r="M308" s="628">
        <v>202500</v>
      </c>
      <c r="N308" s="628">
        <f t="shared" si="39"/>
        <v>1125000</v>
      </c>
      <c r="O308" s="659">
        <f t="shared" si="47"/>
        <v>243</v>
      </c>
      <c r="P308" s="660">
        <v>9</v>
      </c>
      <c r="Q308" s="661">
        <f t="shared" si="40"/>
        <v>8.3342465753424655</v>
      </c>
      <c r="R308" s="662">
        <f t="shared" si="41"/>
        <v>83219</v>
      </c>
      <c r="S308" s="662">
        <f t="shared" si="42"/>
        <v>1041781</v>
      </c>
      <c r="T308" s="663">
        <f t="shared" si="48"/>
        <v>1125000</v>
      </c>
      <c r="U308" s="663">
        <f t="shared" si="43"/>
        <v>0</v>
      </c>
      <c r="V308" s="664"/>
      <c r="W308" s="664"/>
      <c r="X308" s="664"/>
      <c r="Y308" s="664"/>
      <c r="Z308" s="664"/>
      <c r="AA308" s="664"/>
      <c r="AB308" s="664"/>
      <c r="AC308" s="664"/>
      <c r="AD308" s="664"/>
      <c r="AE308" s="664"/>
      <c r="AF308" s="664"/>
    </row>
    <row r="309" spans="2:32" ht="14.65">
      <c r="B309" s="653">
        <f t="shared" si="44"/>
        <v>305</v>
      </c>
      <c r="C309" s="684" t="s">
        <v>312</v>
      </c>
      <c r="D309" s="654" t="s">
        <v>3460</v>
      </c>
      <c r="E309" s="685" t="s">
        <v>367</v>
      </c>
      <c r="F309" s="686">
        <v>44728</v>
      </c>
      <c r="G309" s="686">
        <v>44773</v>
      </c>
      <c r="H309" s="684" t="s">
        <v>409</v>
      </c>
      <c r="I309" s="657">
        <v>44773</v>
      </c>
      <c r="J309" s="628">
        <v>47200</v>
      </c>
      <c r="K309" s="628"/>
      <c r="L309" s="628"/>
      <c r="M309" s="628">
        <v>7200</v>
      </c>
      <c r="N309" s="628">
        <f t="shared" si="39"/>
        <v>40000</v>
      </c>
      <c r="O309" s="659">
        <f t="shared" si="47"/>
        <v>243</v>
      </c>
      <c r="P309" s="660">
        <v>9</v>
      </c>
      <c r="Q309" s="661">
        <f t="shared" si="40"/>
        <v>8.3342465753424655</v>
      </c>
      <c r="R309" s="662">
        <f t="shared" si="41"/>
        <v>2959</v>
      </c>
      <c r="S309" s="662">
        <f t="shared" si="42"/>
        <v>37041</v>
      </c>
      <c r="T309" s="663">
        <f t="shared" si="48"/>
        <v>40000</v>
      </c>
      <c r="U309" s="663">
        <f t="shared" si="43"/>
        <v>0</v>
      </c>
      <c r="V309" s="664"/>
      <c r="W309" s="664"/>
      <c r="X309" s="664"/>
      <c r="Y309" s="664"/>
      <c r="Z309" s="664"/>
      <c r="AA309" s="664"/>
      <c r="AB309" s="664"/>
      <c r="AC309" s="664"/>
      <c r="AD309" s="664"/>
      <c r="AE309" s="664"/>
      <c r="AF309" s="664"/>
    </row>
    <row r="310" spans="2:32" ht="14.65">
      <c r="B310" s="653">
        <f t="shared" si="44"/>
        <v>306</v>
      </c>
      <c r="C310" s="684" t="s">
        <v>312</v>
      </c>
      <c r="D310" s="654" t="s">
        <v>3460</v>
      </c>
      <c r="E310" s="685" t="s">
        <v>368</v>
      </c>
      <c r="F310" s="686">
        <v>44734</v>
      </c>
      <c r="G310" s="686">
        <v>44773</v>
      </c>
      <c r="H310" s="684" t="s">
        <v>409</v>
      </c>
      <c r="I310" s="657">
        <v>44773</v>
      </c>
      <c r="J310" s="628">
        <v>11505</v>
      </c>
      <c r="K310" s="628"/>
      <c r="L310" s="628"/>
      <c r="M310" s="628">
        <v>1755.01</v>
      </c>
      <c r="N310" s="628">
        <f t="shared" si="39"/>
        <v>9749.99</v>
      </c>
      <c r="O310" s="659">
        <f t="shared" si="47"/>
        <v>243</v>
      </c>
      <c r="P310" s="660">
        <v>9</v>
      </c>
      <c r="Q310" s="661">
        <f t="shared" si="40"/>
        <v>8.3342465753424655</v>
      </c>
      <c r="R310" s="662">
        <f t="shared" si="41"/>
        <v>721</v>
      </c>
      <c r="S310" s="662">
        <f t="shared" si="42"/>
        <v>9028.99</v>
      </c>
      <c r="T310" s="663">
        <f t="shared" si="48"/>
        <v>9749.99</v>
      </c>
      <c r="U310" s="663">
        <f t="shared" si="43"/>
        <v>0</v>
      </c>
      <c r="V310" s="664"/>
      <c r="W310" s="664"/>
      <c r="X310" s="664"/>
      <c r="Y310" s="664"/>
      <c r="Z310" s="664"/>
      <c r="AA310" s="664"/>
      <c r="AB310" s="664"/>
      <c r="AC310" s="664"/>
      <c r="AD310" s="664"/>
      <c r="AE310" s="664"/>
      <c r="AF310" s="664"/>
    </row>
    <row r="311" spans="2:32" ht="14.65">
      <c r="B311" s="653">
        <f t="shared" si="44"/>
        <v>307</v>
      </c>
      <c r="C311" s="684" t="s">
        <v>312</v>
      </c>
      <c r="D311" s="654" t="s">
        <v>3460</v>
      </c>
      <c r="E311" s="685" t="s">
        <v>369</v>
      </c>
      <c r="F311" s="686">
        <v>44718</v>
      </c>
      <c r="G311" s="686">
        <v>44773</v>
      </c>
      <c r="H311" s="684" t="s">
        <v>409</v>
      </c>
      <c r="I311" s="657">
        <v>44773</v>
      </c>
      <c r="J311" s="628">
        <v>1361720</v>
      </c>
      <c r="K311" s="628"/>
      <c r="L311" s="628"/>
      <c r="M311" s="628">
        <v>207720</v>
      </c>
      <c r="N311" s="628">
        <f t="shared" si="39"/>
        <v>1154000</v>
      </c>
      <c r="O311" s="659">
        <f t="shared" si="47"/>
        <v>243</v>
      </c>
      <c r="P311" s="660">
        <v>9</v>
      </c>
      <c r="Q311" s="661">
        <f t="shared" si="40"/>
        <v>8.3342465753424655</v>
      </c>
      <c r="R311" s="662">
        <f t="shared" si="41"/>
        <v>85364</v>
      </c>
      <c r="S311" s="662">
        <f t="shared" si="42"/>
        <v>1068636</v>
      </c>
      <c r="T311" s="663">
        <f t="shared" si="48"/>
        <v>1154000</v>
      </c>
      <c r="U311" s="663">
        <f t="shared" si="43"/>
        <v>0</v>
      </c>
      <c r="V311" s="664"/>
      <c r="W311" s="664"/>
      <c r="X311" s="664"/>
      <c r="Y311" s="664"/>
      <c r="Z311" s="664"/>
      <c r="AA311" s="664"/>
      <c r="AB311" s="664"/>
      <c r="AC311" s="664"/>
      <c r="AD311" s="664"/>
      <c r="AE311" s="664"/>
      <c r="AF311" s="664"/>
    </row>
    <row r="312" spans="2:32" ht="14.65">
      <c r="B312" s="653">
        <f t="shared" si="44"/>
        <v>308</v>
      </c>
      <c r="C312" s="684" t="s">
        <v>312</v>
      </c>
      <c r="D312" s="654" t="s">
        <v>3460</v>
      </c>
      <c r="E312" s="685" t="s">
        <v>370</v>
      </c>
      <c r="F312" s="686">
        <v>44734</v>
      </c>
      <c r="G312" s="686">
        <v>44797</v>
      </c>
      <c r="H312" s="684" t="s">
        <v>409</v>
      </c>
      <c r="I312" s="657">
        <v>44797</v>
      </c>
      <c r="J312" s="628">
        <v>65195.37</v>
      </c>
      <c r="K312" s="628"/>
      <c r="L312" s="628"/>
      <c r="M312" s="628">
        <v>9945.06</v>
      </c>
      <c r="N312" s="628">
        <f t="shared" si="39"/>
        <v>55250.310000000005</v>
      </c>
      <c r="O312" s="659">
        <f t="shared" si="47"/>
        <v>219</v>
      </c>
      <c r="P312" s="660">
        <v>9</v>
      </c>
      <c r="Q312" s="661">
        <f t="shared" si="40"/>
        <v>8.4</v>
      </c>
      <c r="R312" s="662">
        <f t="shared" si="41"/>
        <v>3683</v>
      </c>
      <c r="S312" s="662">
        <f t="shared" si="42"/>
        <v>51567.310000000005</v>
      </c>
      <c r="T312" s="663">
        <f t="shared" si="48"/>
        <v>55250.310000000005</v>
      </c>
      <c r="U312" s="663">
        <f t="shared" si="43"/>
        <v>0</v>
      </c>
      <c r="V312" s="664"/>
      <c r="W312" s="664"/>
      <c r="X312" s="664"/>
      <c r="Y312" s="664"/>
      <c r="Z312" s="664"/>
      <c r="AA312" s="664"/>
      <c r="AB312" s="664"/>
      <c r="AC312" s="664"/>
      <c r="AD312" s="664"/>
      <c r="AE312" s="664"/>
      <c r="AF312" s="664"/>
    </row>
    <row r="313" spans="2:32" ht="14.65">
      <c r="B313" s="653">
        <f t="shared" si="44"/>
        <v>309</v>
      </c>
      <c r="C313" s="684" t="s">
        <v>312</v>
      </c>
      <c r="D313" s="654" t="s">
        <v>3460</v>
      </c>
      <c r="E313" s="685" t="s">
        <v>371</v>
      </c>
      <c r="F313" s="686">
        <v>44732</v>
      </c>
      <c r="G313" s="686">
        <v>44797</v>
      </c>
      <c r="H313" s="684" t="s">
        <v>409</v>
      </c>
      <c r="I313" s="657">
        <v>44797</v>
      </c>
      <c r="J313" s="628">
        <v>607681.98</v>
      </c>
      <c r="K313" s="628"/>
      <c r="L313" s="628"/>
      <c r="M313" s="628">
        <v>92697.3</v>
      </c>
      <c r="N313" s="628">
        <f t="shared" si="39"/>
        <v>514984.68</v>
      </c>
      <c r="O313" s="659">
        <f t="shared" si="47"/>
        <v>219</v>
      </c>
      <c r="P313" s="660">
        <v>9</v>
      </c>
      <c r="Q313" s="661">
        <f t="shared" si="40"/>
        <v>8.4</v>
      </c>
      <c r="R313" s="662">
        <f t="shared" si="41"/>
        <v>34332</v>
      </c>
      <c r="S313" s="662">
        <f t="shared" si="42"/>
        <v>480652.68</v>
      </c>
      <c r="T313" s="663">
        <f t="shared" si="48"/>
        <v>514984.68</v>
      </c>
      <c r="U313" s="663">
        <f t="shared" si="43"/>
        <v>0</v>
      </c>
      <c r="V313" s="664"/>
      <c r="W313" s="664"/>
      <c r="X313" s="664"/>
      <c r="Y313" s="664"/>
      <c r="Z313" s="664"/>
      <c r="AA313" s="664"/>
      <c r="AB313" s="664"/>
      <c r="AC313" s="664"/>
      <c r="AD313" s="664"/>
      <c r="AE313" s="664"/>
      <c r="AF313" s="664"/>
    </row>
    <row r="314" spans="2:32" ht="14.65">
      <c r="B314" s="653">
        <f t="shared" si="44"/>
        <v>310</v>
      </c>
      <c r="C314" s="684" t="s">
        <v>312</v>
      </c>
      <c r="D314" s="654" t="s">
        <v>3460</v>
      </c>
      <c r="E314" s="685" t="s">
        <v>372</v>
      </c>
      <c r="F314" s="686">
        <v>44732</v>
      </c>
      <c r="G314" s="686">
        <v>44797</v>
      </c>
      <c r="H314" s="684" t="s">
        <v>409</v>
      </c>
      <c r="I314" s="657">
        <v>44797</v>
      </c>
      <c r="J314" s="628">
        <v>607682</v>
      </c>
      <c r="K314" s="628"/>
      <c r="L314" s="628"/>
      <c r="M314" s="628">
        <v>92697</v>
      </c>
      <c r="N314" s="628">
        <f t="shared" si="39"/>
        <v>514985</v>
      </c>
      <c r="O314" s="659">
        <f t="shared" si="47"/>
        <v>219</v>
      </c>
      <c r="P314" s="660">
        <v>9</v>
      </c>
      <c r="Q314" s="661">
        <f t="shared" si="40"/>
        <v>8.4</v>
      </c>
      <c r="R314" s="662">
        <f t="shared" si="41"/>
        <v>34332</v>
      </c>
      <c r="S314" s="662">
        <f t="shared" si="42"/>
        <v>480653</v>
      </c>
      <c r="T314" s="663">
        <f t="shared" si="48"/>
        <v>514985</v>
      </c>
      <c r="U314" s="663">
        <f t="shared" si="43"/>
        <v>0</v>
      </c>
      <c r="V314" s="664"/>
      <c r="W314" s="664"/>
      <c r="X314" s="664"/>
      <c r="Y314" s="664"/>
      <c r="Z314" s="664"/>
      <c r="AA314" s="664"/>
      <c r="AB314" s="664"/>
      <c r="AC314" s="664"/>
      <c r="AD314" s="664"/>
      <c r="AE314" s="664"/>
      <c r="AF314" s="664"/>
    </row>
    <row r="315" spans="2:32" ht="14.65">
      <c r="B315" s="653">
        <f t="shared" si="44"/>
        <v>311</v>
      </c>
      <c r="C315" s="684" t="s">
        <v>313</v>
      </c>
      <c r="D315" s="654" t="s">
        <v>3460</v>
      </c>
      <c r="E315" s="685">
        <v>127</v>
      </c>
      <c r="F315" s="686">
        <v>44813</v>
      </c>
      <c r="G315" s="686">
        <v>44813</v>
      </c>
      <c r="H315" s="684" t="s">
        <v>180</v>
      </c>
      <c r="I315" s="657">
        <v>44813</v>
      </c>
      <c r="J315" s="628">
        <v>560000</v>
      </c>
      <c r="K315" s="628"/>
      <c r="L315" s="628"/>
      <c r="M315" s="628">
        <v>85423.73</v>
      </c>
      <c r="N315" s="628">
        <f t="shared" si="39"/>
        <v>474576.27</v>
      </c>
      <c r="O315" s="659">
        <f t="shared" si="47"/>
        <v>203</v>
      </c>
      <c r="P315" s="660">
        <v>9</v>
      </c>
      <c r="Q315" s="661">
        <f t="shared" si="40"/>
        <v>8.4438356164383563</v>
      </c>
      <c r="R315" s="662">
        <f t="shared" si="41"/>
        <v>29327</v>
      </c>
      <c r="S315" s="662">
        <f t="shared" si="42"/>
        <v>445249.27</v>
      </c>
      <c r="T315" s="663">
        <f t="shared" si="48"/>
        <v>474576.27</v>
      </c>
      <c r="U315" s="663">
        <f t="shared" si="43"/>
        <v>0</v>
      </c>
      <c r="V315" s="664"/>
      <c r="W315" s="664"/>
      <c r="X315" s="664"/>
      <c r="Y315" s="664"/>
      <c r="Z315" s="664"/>
      <c r="AA315" s="664"/>
      <c r="AB315" s="664"/>
      <c r="AC315" s="664"/>
      <c r="AD315" s="664"/>
      <c r="AE315" s="664"/>
      <c r="AF315" s="664"/>
    </row>
    <row r="316" spans="2:32" ht="14.65">
      <c r="B316" s="653">
        <f t="shared" si="44"/>
        <v>312</v>
      </c>
      <c r="C316" s="684" t="s">
        <v>313</v>
      </c>
      <c r="D316" s="654" t="s">
        <v>3460</v>
      </c>
      <c r="E316" s="685">
        <v>128</v>
      </c>
      <c r="F316" s="686">
        <v>44813</v>
      </c>
      <c r="G316" s="686">
        <v>44813</v>
      </c>
      <c r="H316" s="684" t="s">
        <v>180</v>
      </c>
      <c r="I316" s="657">
        <v>44813</v>
      </c>
      <c r="J316" s="628">
        <v>560000</v>
      </c>
      <c r="K316" s="628"/>
      <c r="L316" s="628"/>
      <c r="M316" s="628">
        <v>85423.73</v>
      </c>
      <c r="N316" s="628">
        <f t="shared" si="39"/>
        <v>474576.27</v>
      </c>
      <c r="O316" s="659">
        <f t="shared" si="47"/>
        <v>203</v>
      </c>
      <c r="P316" s="660">
        <v>9</v>
      </c>
      <c r="Q316" s="661">
        <f t="shared" si="40"/>
        <v>8.4438356164383563</v>
      </c>
      <c r="R316" s="662">
        <f t="shared" si="41"/>
        <v>29327</v>
      </c>
      <c r="S316" s="662">
        <f t="shared" si="42"/>
        <v>445249.27</v>
      </c>
      <c r="T316" s="663">
        <f t="shared" si="48"/>
        <v>474576.27</v>
      </c>
      <c r="U316" s="663">
        <f t="shared" si="43"/>
        <v>0</v>
      </c>
      <c r="V316" s="664"/>
      <c r="W316" s="664"/>
      <c r="X316" s="664"/>
      <c r="Y316" s="664"/>
      <c r="Z316" s="664"/>
      <c r="AA316" s="664"/>
      <c r="AB316" s="664"/>
      <c r="AC316" s="664"/>
      <c r="AD316" s="664"/>
      <c r="AE316" s="664"/>
      <c r="AF316" s="664"/>
    </row>
    <row r="317" spans="2:32" ht="14.65">
      <c r="B317" s="653">
        <f t="shared" si="44"/>
        <v>313</v>
      </c>
      <c r="C317" s="684" t="s">
        <v>314</v>
      </c>
      <c r="D317" s="654" t="s">
        <v>3460</v>
      </c>
      <c r="E317" s="685">
        <v>141</v>
      </c>
      <c r="F317" s="686">
        <v>44834</v>
      </c>
      <c r="G317" s="686">
        <v>44834</v>
      </c>
      <c r="H317" s="684" t="s">
        <v>180</v>
      </c>
      <c r="I317" s="657">
        <v>44834</v>
      </c>
      <c r="J317" s="628">
        <v>495000</v>
      </c>
      <c r="K317" s="628"/>
      <c r="L317" s="628"/>
      <c r="M317" s="628">
        <v>75508.479999999996</v>
      </c>
      <c r="N317" s="628">
        <f t="shared" si="39"/>
        <v>419491.52</v>
      </c>
      <c r="O317" s="659">
        <f t="shared" si="47"/>
        <v>182</v>
      </c>
      <c r="P317" s="660">
        <v>9</v>
      </c>
      <c r="Q317" s="661">
        <f t="shared" si="40"/>
        <v>8.5013698630136982</v>
      </c>
      <c r="R317" s="662">
        <f t="shared" si="41"/>
        <v>23241</v>
      </c>
      <c r="S317" s="662">
        <f t="shared" si="42"/>
        <v>396250.52</v>
      </c>
      <c r="T317" s="663">
        <f t="shared" si="48"/>
        <v>419491.52</v>
      </c>
      <c r="U317" s="663">
        <f t="shared" si="43"/>
        <v>0</v>
      </c>
      <c r="V317" s="664"/>
      <c r="W317" s="664"/>
      <c r="X317" s="664"/>
      <c r="Y317" s="664"/>
      <c r="Z317" s="664"/>
      <c r="AA317" s="664"/>
      <c r="AB317" s="664"/>
      <c r="AC317" s="664"/>
      <c r="AD317" s="664"/>
      <c r="AE317" s="664"/>
      <c r="AF317" s="664"/>
    </row>
    <row r="318" spans="2:32" ht="14.65">
      <c r="B318" s="653">
        <f t="shared" si="44"/>
        <v>314</v>
      </c>
      <c r="C318" s="684" t="s">
        <v>314</v>
      </c>
      <c r="D318" s="654" t="s">
        <v>3460</v>
      </c>
      <c r="E318" s="685">
        <v>142</v>
      </c>
      <c r="F318" s="686">
        <v>44834</v>
      </c>
      <c r="G318" s="686">
        <v>44834</v>
      </c>
      <c r="H318" s="684" t="s">
        <v>180</v>
      </c>
      <c r="I318" s="657">
        <v>44834</v>
      </c>
      <c r="J318" s="628">
        <v>495000</v>
      </c>
      <c r="K318" s="628"/>
      <c r="L318" s="628"/>
      <c r="M318" s="628">
        <v>75508.479999999996</v>
      </c>
      <c r="N318" s="628">
        <f t="shared" si="39"/>
        <v>419491.52</v>
      </c>
      <c r="O318" s="659">
        <f t="shared" si="47"/>
        <v>182</v>
      </c>
      <c r="P318" s="660">
        <v>9</v>
      </c>
      <c r="Q318" s="661">
        <f t="shared" si="40"/>
        <v>8.5013698630136982</v>
      </c>
      <c r="R318" s="662">
        <f t="shared" si="41"/>
        <v>23241</v>
      </c>
      <c r="S318" s="662">
        <f t="shared" si="42"/>
        <v>396250.52</v>
      </c>
      <c r="T318" s="663">
        <f t="shared" si="48"/>
        <v>419491.52</v>
      </c>
      <c r="U318" s="663">
        <f t="shared" si="43"/>
        <v>0</v>
      </c>
      <c r="V318" s="664"/>
      <c r="W318" s="664"/>
      <c r="X318" s="664"/>
      <c r="Y318" s="664"/>
      <c r="Z318" s="664"/>
      <c r="AA318" s="664"/>
      <c r="AB318" s="664"/>
      <c r="AC318" s="664"/>
      <c r="AD318" s="664"/>
      <c r="AE318" s="664"/>
      <c r="AF318" s="664"/>
    </row>
    <row r="319" spans="2:32" ht="14.65">
      <c r="B319" s="653">
        <f t="shared" si="44"/>
        <v>315</v>
      </c>
      <c r="C319" s="684" t="s">
        <v>314</v>
      </c>
      <c r="D319" s="654" t="s">
        <v>3460</v>
      </c>
      <c r="E319" s="685">
        <v>143</v>
      </c>
      <c r="F319" s="686">
        <v>44834</v>
      </c>
      <c r="G319" s="686">
        <v>44834</v>
      </c>
      <c r="H319" s="684" t="s">
        <v>180</v>
      </c>
      <c r="I319" s="657">
        <v>44834</v>
      </c>
      <c r="J319" s="628">
        <v>495000</v>
      </c>
      <c r="K319" s="628"/>
      <c r="L319" s="628"/>
      <c r="M319" s="628">
        <v>75508.479999999996</v>
      </c>
      <c r="N319" s="628">
        <f t="shared" si="39"/>
        <v>419491.52</v>
      </c>
      <c r="O319" s="659">
        <f t="shared" si="47"/>
        <v>182</v>
      </c>
      <c r="P319" s="660">
        <v>9</v>
      </c>
      <c r="Q319" s="661">
        <f t="shared" si="40"/>
        <v>8.5013698630136982</v>
      </c>
      <c r="R319" s="662">
        <f t="shared" si="41"/>
        <v>23241</v>
      </c>
      <c r="S319" s="662">
        <f t="shared" si="42"/>
        <v>396250.52</v>
      </c>
      <c r="T319" s="663">
        <f t="shared" si="48"/>
        <v>419491.52</v>
      </c>
      <c r="U319" s="663">
        <f t="shared" si="43"/>
        <v>0</v>
      </c>
      <c r="V319" s="664"/>
      <c r="W319" s="664"/>
      <c r="X319" s="664"/>
      <c r="Y319" s="664"/>
      <c r="Z319" s="664"/>
      <c r="AA319" s="664"/>
      <c r="AB319" s="664"/>
      <c r="AC319" s="664"/>
      <c r="AD319" s="664"/>
      <c r="AE319" s="664"/>
      <c r="AF319" s="664"/>
    </row>
    <row r="320" spans="2:32" ht="14.65">
      <c r="B320" s="653">
        <f t="shared" si="44"/>
        <v>316</v>
      </c>
      <c r="C320" s="684" t="s">
        <v>315</v>
      </c>
      <c r="D320" s="654" t="s">
        <v>3460</v>
      </c>
      <c r="E320" s="685" t="s">
        <v>373</v>
      </c>
      <c r="F320" s="686">
        <v>44728</v>
      </c>
      <c r="G320" s="686">
        <v>44773</v>
      </c>
      <c r="H320" s="684" t="s">
        <v>410</v>
      </c>
      <c r="I320" s="657">
        <v>44773</v>
      </c>
      <c r="J320" s="628">
        <v>30444000</v>
      </c>
      <c r="K320" s="628"/>
      <c r="L320" s="628"/>
      <c r="M320" s="628">
        <v>4644000</v>
      </c>
      <c r="N320" s="628">
        <f t="shared" si="39"/>
        <v>25800000</v>
      </c>
      <c r="O320" s="659">
        <f t="shared" si="47"/>
        <v>243</v>
      </c>
      <c r="P320" s="660">
        <v>9</v>
      </c>
      <c r="Q320" s="661">
        <f t="shared" si="40"/>
        <v>8.3342465753424655</v>
      </c>
      <c r="R320" s="662">
        <f t="shared" si="41"/>
        <v>1908493</v>
      </c>
      <c r="S320" s="662">
        <f t="shared" si="42"/>
        <v>23891507</v>
      </c>
      <c r="T320" s="663">
        <f t="shared" si="48"/>
        <v>25800000</v>
      </c>
      <c r="U320" s="663">
        <f t="shared" si="43"/>
        <v>0</v>
      </c>
      <c r="V320" s="664"/>
      <c r="W320" s="664"/>
      <c r="X320" s="664"/>
      <c r="Y320" s="664"/>
      <c r="Z320" s="664"/>
      <c r="AA320" s="664"/>
      <c r="AB320" s="664"/>
      <c r="AC320" s="664"/>
      <c r="AD320" s="664"/>
      <c r="AE320" s="664"/>
      <c r="AF320" s="664"/>
    </row>
    <row r="321" spans="2:32" ht="14.65">
      <c r="B321" s="653">
        <f t="shared" si="44"/>
        <v>317</v>
      </c>
      <c r="C321" s="684" t="s">
        <v>316</v>
      </c>
      <c r="D321" s="654" t="s">
        <v>3460</v>
      </c>
      <c r="E321" s="685" t="s">
        <v>374</v>
      </c>
      <c r="F321" s="686">
        <v>44771</v>
      </c>
      <c r="G321" s="686">
        <v>44798</v>
      </c>
      <c r="H321" s="684" t="s">
        <v>410</v>
      </c>
      <c r="I321" s="657">
        <v>44798</v>
      </c>
      <c r="J321" s="628">
        <v>993272</v>
      </c>
      <c r="K321" s="628"/>
      <c r="L321" s="628"/>
      <c r="M321" s="628">
        <v>151516</v>
      </c>
      <c r="N321" s="628">
        <f t="shared" si="39"/>
        <v>841756</v>
      </c>
      <c r="O321" s="659">
        <f t="shared" si="47"/>
        <v>218</v>
      </c>
      <c r="P321" s="660">
        <v>9</v>
      </c>
      <c r="Q321" s="661">
        <f t="shared" si="40"/>
        <v>8.4027397260273968</v>
      </c>
      <c r="R321" s="662">
        <f t="shared" si="41"/>
        <v>55861</v>
      </c>
      <c r="S321" s="662">
        <f t="shared" si="42"/>
        <v>785895</v>
      </c>
      <c r="T321" s="663">
        <f t="shared" si="48"/>
        <v>841756</v>
      </c>
      <c r="U321" s="663">
        <f t="shared" si="43"/>
        <v>0</v>
      </c>
      <c r="V321" s="664"/>
      <c r="W321" s="664"/>
      <c r="X321" s="664"/>
      <c r="Y321" s="664"/>
      <c r="Z321" s="664"/>
      <c r="AA321" s="664"/>
      <c r="AB321" s="664"/>
      <c r="AC321" s="664"/>
      <c r="AD321" s="664"/>
      <c r="AE321" s="664"/>
      <c r="AF321" s="664"/>
    </row>
    <row r="322" spans="2:32" ht="14.65">
      <c r="B322" s="653">
        <f t="shared" si="44"/>
        <v>318</v>
      </c>
      <c r="C322" s="684" t="s">
        <v>302</v>
      </c>
      <c r="D322" s="654" t="s">
        <v>3460</v>
      </c>
      <c r="E322" s="685" t="s">
        <v>375</v>
      </c>
      <c r="F322" s="686">
        <v>44760</v>
      </c>
      <c r="G322" s="686">
        <v>44797</v>
      </c>
      <c r="H322" s="684" t="s">
        <v>170</v>
      </c>
      <c r="I322" s="657">
        <v>44797</v>
      </c>
      <c r="J322" s="628">
        <v>1268500</v>
      </c>
      <c r="K322" s="628"/>
      <c r="L322" s="628"/>
      <c r="M322" s="628">
        <v>193500</v>
      </c>
      <c r="N322" s="628">
        <f t="shared" si="39"/>
        <v>1075000</v>
      </c>
      <c r="O322" s="659">
        <f t="shared" si="47"/>
        <v>219</v>
      </c>
      <c r="P322" s="660">
        <v>9</v>
      </c>
      <c r="Q322" s="661">
        <f t="shared" si="40"/>
        <v>8.4</v>
      </c>
      <c r="R322" s="662">
        <f t="shared" si="41"/>
        <v>71667</v>
      </c>
      <c r="S322" s="662">
        <f t="shared" si="42"/>
        <v>1003333</v>
      </c>
      <c r="T322" s="663">
        <f t="shared" si="48"/>
        <v>1075000</v>
      </c>
      <c r="U322" s="663">
        <f t="shared" si="43"/>
        <v>0</v>
      </c>
      <c r="V322" s="664"/>
      <c r="W322" s="664"/>
      <c r="X322" s="664"/>
      <c r="Y322" s="664"/>
      <c r="Z322" s="664"/>
      <c r="AA322" s="664"/>
      <c r="AB322" s="664"/>
      <c r="AC322" s="664"/>
      <c r="AD322" s="664"/>
      <c r="AE322" s="664"/>
      <c r="AF322" s="664"/>
    </row>
    <row r="323" spans="2:32" ht="14.65">
      <c r="B323" s="653">
        <f t="shared" si="44"/>
        <v>319</v>
      </c>
      <c r="C323" s="654" t="s">
        <v>571</v>
      </c>
      <c r="D323" s="654" t="s">
        <v>3460</v>
      </c>
      <c r="E323" s="655" t="s">
        <v>665</v>
      </c>
      <c r="F323" s="656">
        <v>44890</v>
      </c>
      <c r="G323" s="656">
        <v>44902</v>
      </c>
      <c r="H323" s="654" t="s">
        <v>410</v>
      </c>
      <c r="I323" s="657">
        <v>44902</v>
      </c>
      <c r="J323" s="658">
        <v>991200</v>
      </c>
      <c r="K323" s="628"/>
      <c r="L323" s="628"/>
      <c r="M323" s="628">
        <v>151200</v>
      </c>
      <c r="N323" s="628">
        <f t="shared" si="39"/>
        <v>840000</v>
      </c>
      <c r="O323" s="659">
        <f t="shared" si="47"/>
        <v>114</v>
      </c>
      <c r="P323" s="660">
        <v>9</v>
      </c>
      <c r="Q323" s="661">
        <f t="shared" si="40"/>
        <v>8.6876712328767116</v>
      </c>
      <c r="R323" s="662">
        <f t="shared" si="41"/>
        <v>29151</v>
      </c>
      <c r="S323" s="662">
        <f t="shared" si="42"/>
        <v>810849</v>
      </c>
      <c r="T323" s="663">
        <f t="shared" si="48"/>
        <v>0</v>
      </c>
      <c r="U323" s="663">
        <f t="shared" si="43"/>
        <v>840000</v>
      </c>
      <c r="V323" s="664"/>
      <c r="W323" s="664"/>
      <c r="X323" s="664"/>
      <c r="Y323" s="664"/>
      <c r="Z323" s="664"/>
      <c r="AA323" s="664"/>
      <c r="AB323" s="664"/>
      <c r="AC323" s="664"/>
      <c r="AD323" s="664"/>
      <c r="AE323" s="664"/>
      <c r="AF323" s="664"/>
    </row>
    <row r="324" spans="2:32" ht="14.65">
      <c r="B324" s="653">
        <f t="shared" si="44"/>
        <v>320</v>
      </c>
      <c r="C324" s="654" t="s">
        <v>571</v>
      </c>
      <c r="D324" s="654" t="s">
        <v>3460</v>
      </c>
      <c r="E324" s="655" t="s">
        <v>666</v>
      </c>
      <c r="F324" s="656">
        <v>44890</v>
      </c>
      <c r="G324" s="656">
        <v>44904</v>
      </c>
      <c r="H324" s="654" t="s">
        <v>410</v>
      </c>
      <c r="I324" s="657">
        <v>44904</v>
      </c>
      <c r="J324" s="658">
        <v>991200</v>
      </c>
      <c r="K324" s="628"/>
      <c r="L324" s="628"/>
      <c r="M324" s="628">
        <v>151200</v>
      </c>
      <c r="N324" s="628">
        <f t="shared" si="39"/>
        <v>840000</v>
      </c>
      <c r="O324" s="659">
        <f t="shared" si="47"/>
        <v>112</v>
      </c>
      <c r="P324" s="660">
        <v>9</v>
      </c>
      <c r="Q324" s="661">
        <f t="shared" si="40"/>
        <v>8.6931506849315063</v>
      </c>
      <c r="R324" s="662">
        <f t="shared" si="41"/>
        <v>28639</v>
      </c>
      <c r="S324" s="662">
        <f t="shared" si="42"/>
        <v>811361</v>
      </c>
      <c r="T324" s="663">
        <f t="shared" si="48"/>
        <v>0</v>
      </c>
      <c r="U324" s="663">
        <f t="shared" si="43"/>
        <v>840000</v>
      </c>
      <c r="V324" s="664"/>
      <c r="W324" s="664"/>
      <c r="X324" s="664"/>
      <c r="Y324" s="664"/>
      <c r="Z324" s="664"/>
      <c r="AA324" s="664"/>
      <c r="AB324" s="664"/>
      <c r="AC324" s="664"/>
      <c r="AD324" s="664"/>
      <c r="AE324" s="664"/>
      <c r="AF324" s="664"/>
    </row>
    <row r="325" spans="2:32" ht="14.65">
      <c r="B325" s="653">
        <f t="shared" si="44"/>
        <v>321</v>
      </c>
      <c r="C325" s="654" t="s">
        <v>562</v>
      </c>
      <c r="D325" s="654" t="s">
        <v>3460</v>
      </c>
      <c r="E325" s="655">
        <v>833051515</v>
      </c>
      <c r="F325" s="656">
        <v>44865</v>
      </c>
      <c r="G325" s="656">
        <v>44892</v>
      </c>
      <c r="H325" s="654" t="s">
        <v>759</v>
      </c>
      <c r="I325" s="657">
        <v>44892</v>
      </c>
      <c r="J325" s="658">
        <v>10340000</v>
      </c>
      <c r="K325" s="658">
        <v>1111800</v>
      </c>
      <c r="L325" s="628"/>
      <c r="M325" s="628">
        <v>1620000</v>
      </c>
      <c r="N325" s="628">
        <f t="shared" ref="N325:N388" si="49">J325+K325-L325-M325</f>
        <v>9831800</v>
      </c>
      <c r="O325" s="659">
        <f t="shared" si="47"/>
        <v>124</v>
      </c>
      <c r="P325" s="660">
        <v>9</v>
      </c>
      <c r="Q325" s="661">
        <f t="shared" ref="Q325:Q367" si="50">+P325-(O325/365)</f>
        <v>8.6602739726027398</v>
      </c>
      <c r="R325" s="662">
        <f t="shared" ref="R325:R367" si="51">ROUND(+N325/(P325*365)*O325,0)</f>
        <v>371124</v>
      </c>
      <c r="S325" s="662">
        <f t="shared" ref="S325:S367" si="52">+N325-R325</f>
        <v>9460676</v>
      </c>
      <c r="T325" s="663">
        <f t="shared" si="48"/>
        <v>0</v>
      </c>
      <c r="U325" s="663">
        <f t="shared" ref="U325:U367" si="53">IF(I325&gt;DATE(2022,9,30),N325,0)</f>
        <v>9831800</v>
      </c>
      <c r="V325" s="664"/>
      <c r="W325" s="664"/>
      <c r="X325" s="664"/>
      <c r="Y325" s="664"/>
      <c r="Z325" s="664"/>
      <c r="AA325" s="664"/>
      <c r="AB325" s="664"/>
      <c r="AC325" s="664"/>
      <c r="AD325" s="664"/>
      <c r="AE325" s="664"/>
      <c r="AF325" s="664"/>
    </row>
    <row r="326" spans="2:32" ht="14.65">
      <c r="B326" s="653">
        <f t="shared" si="44"/>
        <v>322</v>
      </c>
      <c r="C326" s="654" t="s">
        <v>572</v>
      </c>
      <c r="D326" s="654" t="s">
        <v>3460</v>
      </c>
      <c r="E326" s="655" t="s">
        <v>667</v>
      </c>
      <c r="F326" s="656">
        <v>44844</v>
      </c>
      <c r="G326" s="656">
        <v>44844</v>
      </c>
      <c r="H326" s="654" t="s">
        <v>767</v>
      </c>
      <c r="I326" s="657">
        <v>44844</v>
      </c>
      <c r="J326" s="658">
        <v>7080000</v>
      </c>
      <c r="K326" s="628"/>
      <c r="L326" s="628"/>
      <c r="M326" s="628">
        <v>1080000</v>
      </c>
      <c r="N326" s="628">
        <f t="shared" si="49"/>
        <v>6000000</v>
      </c>
      <c r="O326" s="659">
        <f t="shared" si="47"/>
        <v>172</v>
      </c>
      <c r="P326" s="660">
        <v>9</v>
      </c>
      <c r="Q326" s="661">
        <f t="shared" si="50"/>
        <v>8.5287671232876718</v>
      </c>
      <c r="R326" s="662">
        <f t="shared" si="51"/>
        <v>314155</v>
      </c>
      <c r="S326" s="662">
        <f t="shared" si="52"/>
        <v>5685845</v>
      </c>
      <c r="T326" s="663">
        <f t="shared" si="48"/>
        <v>0</v>
      </c>
      <c r="U326" s="663">
        <f t="shared" si="53"/>
        <v>6000000</v>
      </c>
      <c r="V326" s="664"/>
      <c r="W326" s="664"/>
      <c r="X326" s="664"/>
      <c r="Y326" s="664"/>
      <c r="Z326" s="664"/>
      <c r="AA326" s="664"/>
      <c r="AB326" s="664"/>
      <c r="AC326" s="664"/>
      <c r="AD326" s="664"/>
      <c r="AE326" s="664"/>
      <c r="AF326" s="664"/>
    </row>
    <row r="327" spans="2:32" ht="14.65">
      <c r="B327" s="653">
        <f t="shared" si="44"/>
        <v>323</v>
      </c>
      <c r="C327" s="654" t="s">
        <v>572</v>
      </c>
      <c r="D327" s="654" t="s">
        <v>3460</v>
      </c>
      <c r="E327" s="655" t="s">
        <v>668</v>
      </c>
      <c r="F327" s="656">
        <v>44917</v>
      </c>
      <c r="G327" s="656">
        <v>44917</v>
      </c>
      <c r="H327" s="654" t="s">
        <v>767</v>
      </c>
      <c r="I327" s="657">
        <v>44917</v>
      </c>
      <c r="J327" s="658">
        <v>1184867</v>
      </c>
      <c r="K327" s="628"/>
      <c r="L327" s="628"/>
      <c r="M327" s="628">
        <v>180742</v>
      </c>
      <c r="N327" s="628">
        <f t="shared" si="49"/>
        <v>1004125</v>
      </c>
      <c r="O327" s="659">
        <f t="shared" si="47"/>
        <v>99</v>
      </c>
      <c r="P327" s="660">
        <v>9</v>
      </c>
      <c r="Q327" s="661">
        <f t="shared" si="50"/>
        <v>8.7287671232876711</v>
      </c>
      <c r="R327" s="662">
        <f t="shared" si="51"/>
        <v>30261</v>
      </c>
      <c r="S327" s="662">
        <f t="shared" si="52"/>
        <v>973864</v>
      </c>
      <c r="T327" s="663">
        <f t="shared" si="48"/>
        <v>0</v>
      </c>
      <c r="U327" s="663">
        <f t="shared" si="53"/>
        <v>1004125</v>
      </c>
      <c r="V327" s="664"/>
      <c r="W327" s="664"/>
      <c r="X327" s="664"/>
      <c r="Y327" s="664"/>
      <c r="Z327" s="664"/>
      <c r="AA327" s="664"/>
      <c r="AB327" s="664"/>
      <c r="AC327" s="664"/>
      <c r="AD327" s="664"/>
      <c r="AE327" s="664"/>
      <c r="AF327" s="664"/>
    </row>
    <row r="328" spans="2:32" ht="14.65">
      <c r="B328" s="653">
        <f t="shared" si="44"/>
        <v>324</v>
      </c>
      <c r="C328" s="654" t="s">
        <v>323</v>
      </c>
      <c r="D328" s="654" t="s">
        <v>3460</v>
      </c>
      <c r="E328" s="655" t="s">
        <v>669</v>
      </c>
      <c r="F328" s="656">
        <v>44891</v>
      </c>
      <c r="G328" s="656">
        <v>44891</v>
      </c>
      <c r="H328" s="654" t="s">
        <v>170</v>
      </c>
      <c r="I328" s="657">
        <v>44891</v>
      </c>
      <c r="J328" s="658">
        <v>6844000</v>
      </c>
      <c r="K328" s="628"/>
      <c r="L328" s="628"/>
      <c r="M328" s="628">
        <v>1044000</v>
      </c>
      <c r="N328" s="628">
        <f t="shared" si="49"/>
        <v>5800000</v>
      </c>
      <c r="O328" s="659">
        <f t="shared" si="47"/>
        <v>125</v>
      </c>
      <c r="P328" s="660">
        <v>9</v>
      </c>
      <c r="Q328" s="661">
        <f t="shared" si="50"/>
        <v>8.6575342465753433</v>
      </c>
      <c r="R328" s="662">
        <f t="shared" si="51"/>
        <v>220700</v>
      </c>
      <c r="S328" s="662">
        <f t="shared" si="52"/>
        <v>5579300</v>
      </c>
      <c r="T328" s="663">
        <f t="shared" si="48"/>
        <v>0</v>
      </c>
      <c r="U328" s="663">
        <f t="shared" si="53"/>
        <v>5800000</v>
      </c>
      <c r="V328" s="664"/>
      <c r="W328" s="664"/>
      <c r="X328" s="664"/>
      <c r="Y328" s="664"/>
      <c r="Z328" s="664"/>
      <c r="AA328" s="664"/>
      <c r="AB328" s="664"/>
      <c r="AC328" s="664"/>
      <c r="AD328" s="664"/>
      <c r="AE328" s="664"/>
      <c r="AF328" s="664"/>
    </row>
    <row r="329" spans="2:32" ht="14.65">
      <c r="B329" s="653">
        <f t="shared" ref="B329:B392" si="54">+B328+1</f>
        <v>325</v>
      </c>
      <c r="C329" s="654" t="s">
        <v>323</v>
      </c>
      <c r="D329" s="654" t="s">
        <v>3460</v>
      </c>
      <c r="E329" s="655" t="s">
        <v>670</v>
      </c>
      <c r="F329" s="656">
        <v>44891</v>
      </c>
      <c r="G329" s="656">
        <v>44891</v>
      </c>
      <c r="H329" s="654" t="s">
        <v>170</v>
      </c>
      <c r="I329" s="657">
        <v>44891</v>
      </c>
      <c r="J329" s="658">
        <v>10620000</v>
      </c>
      <c r="K329" s="628"/>
      <c r="L329" s="628"/>
      <c r="M329" s="628">
        <v>1620000</v>
      </c>
      <c r="N329" s="628">
        <f t="shared" si="49"/>
        <v>9000000</v>
      </c>
      <c r="O329" s="659">
        <f t="shared" si="47"/>
        <v>125</v>
      </c>
      <c r="P329" s="660">
        <v>9</v>
      </c>
      <c r="Q329" s="661">
        <f t="shared" si="50"/>
        <v>8.6575342465753433</v>
      </c>
      <c r="R329" s="662">
        <f t="shared" si="51"/>
        <v>342466</v>
      </c>
      <c r="S329" s="662">
        <f t="shared" si="52"/>
        <v>8657534</v>
      </c>
      <c r="T329" s="663">
        <f t="shared" si="48"/>
        <v>0</v>
      </c>
      <c r="U329" s="663">
        <f t="shared" si="53"/>
        <v>9000000</v>
      </c>
      <c r="V329" s="664"/>
      <c r="W329" s="664"/>
      <c r="X329" s="664"/>
      <c r="Y329" s="664"/>
      <c r="Z329" s="664"/>
      <c r="AA329" s="664"/>
      <c r="AB329" s="664"/>
      <c r="AC329" s="664"/>
      <c r="AD329" s="664"/>
      <c r="AE329" s="664"/>
      <c r="AF329" s="664"/>
    </row>
    <row r="330" spans="2:32" ht="14.65">
      <c r="B330" s="653">
        <f t="shared" si="54"/>
        <v>326</v>
      </c>
      <c r="C330" s="654" t="s">
        <v>323</v>
      </c>
      <c r="D330" s="654" t="s">
        <v>3460</v>
      </c>
      <c r="E330" s="655" t="s">
        <v>671</v>
      </c>
      <c r="F330" s="656">
        <v>44891</v>
      </c>
      <c r="G330" s="656">
        <v>44891</v>
      </c>
      <c r="H330" s="654" t="s">
        <v>170</v>
      </c>
      <c r="I330" s="657">
        <v>44891</v>
      </c>
      <c r="J330" s="658">
        <v>6844000</v>
      </c>
      <c r="K330" s="628"/>
      <c r="L330" s="628"/>
      <c r="M330" s="628">
        <v>1044000</v>
      </c>
      <c r="N330" s="628">
        <f t="shared" si="49"/>
        <v>5800000</v>
      </c>
      <c r="O330" s="659">
        <f t="shared" si="47"/>
        <v>125</v>
      </c>
      <c r="P330" s="660">
        <v>9</v>
      </c>
      <c r="Q330" s="661">
        <f t="shared" si="50"/>
        <v>8.6575342465753433</v>
      </c>
      <c r="R330" s="662">
        <f t="shared" si="51"/>
        <v>220700</v>
      </c>
      <c r="S330" s="662">
        <f t="shared" si="52"/>
        <v>5579300</v>
      </c>
      <c r="T330" s="663">
        <f t="shared" si="48"/>
        <v>0</v>
      </c>
      <c r="U330" s="663">
        <f t="shared" si="53"/>
        <v>5800000</v>
      </c>
      <c r="V330" s="664"/>
      <c r="W330" s="664"/>
      <c r="X330" s="664"/>
      <c r="Y330" s="664"/>
      <c r="Z330" s="664"/>
      <c r="AA330" s="664"/>
      <c r="AB330" s="664"/>
      <c r="AC330" s="664"/>
      <c r="AD330" s="664"/>
      <c r="AE330" s="664"/>
      <c r="AF330" s="664"/>
    </row>
    <row r="331" spans="2:32" ht="14.65">
      <c r="B331" s="653">
        <f t="shared" si="54"/>
        <v>327</v>
      </c>
      <c r="C331" s="654" t="s">
        <v>323</v>
      </c>
      <c r="D331" s="654" t="s">
        <v>3460</v>
      </c>
      <c r="E331" s="655" t="s">
        <v>672</v>
      </c>
      <c r="F331" s="656">
        <v>44891</v>
      </c>
      <c r="G331" s="656">
        <v>44891</v>
      </c>
      <c r="H331" s="654" t="s">
        <v>170</v>
      </c>
      <c r="I331" s="657">
        <v>44891</v>
      </c>
      <c r="J331" s="658">
        <v>10620000</v>
      </c>
      <c r="K331" s="628"/>
      <c r="L331" s="628"/>
      <c r="M331" s="628">
        <v>1620000</v>
      </c>
      <c r="N331" s="628">
        <f t="shared" si="49"/>
        <v>9000000</v>
      </c>
      <c r="O331" s="659">
        <f t="shared" si="47"/>
        <v>125</v>
      </c>
      <c r="P331" s="660">
        <v>9</v>
      </c>
      <c r="Q331" s="661">
        <f t="shared" si="50"/>
        <v>8.6575342465753433</v>
      </c>
      <c r="R331" s="662">
        <f t="shared" si="51"/>
        <v>342466</v>
      </c>
      <c r="S331" s="662">
        <f t="shared" si="52"/>
        <v>8657534</v>
      </c>
      <c r="T331" s="663">
        <f t="shared" si="48"/>
        <v>0</v>
      </c>
      <c r="U331" s="663">
        <f t="shared" si="53"/>
        <v>9000000</v>
      </c>
      <c r="V331" s="664"/>
      <c r="W331" s="664"/>
      <c r="X331" s="664"/>
      <c r="Y331" s="664"/>
      <c r="Z331" s="664"/>
      <c r="AA331" s="664"/>
      <c r="AB331" s="664"/>
      <c r="AC331" s="664"/>
      <c r="AD331" s="664"/>
      <c r="AE331" s="664"/>
      <c r="AF331" s="664"/>
    </row>
    <row r="332" spans="2:32" ht="14.65">
      <c r="B332" s="653">
        <f t="shared" si="54"/>
        <v>328</v>
      </c>
      <c r="C332" s="654" t="s">
        <v>564</v>
      </c>
      <c r="D332" s="654" t="s">
        <v>3460</v>
      </c>
      <c r="E332" s="655">
        <v>2403</v>
      </c>
      <c r="F332" s="656">
        <v>44841</v>
      </c>
      <c r="G332" s="656">
        <v>44844</v>
      </c>
      <c r="H332" s="654" t="s">
        <v>768</v>
      </c>
      <c r="I332" s="657">
        <v>44844</v>
      </c>
      <c r="J332" s="691">
        <v>134520</v>
      </c>
      <c r="K332" s="628"/>
      <c r="L332" s="628"/>
      <c r="M332" s="628">
        <v>20520</v>
      </c>
      <c r="N332" s="628">
        <f t="shared" si="49"/>
        <v>114000</v>
      </c>
      <c r="O332" s="659">
        <f t="shared" si="47"/>
        <v>172</v>
      </c>
      <c r="P332" s="660">
        <v>9</v>
      </c>
      <c r="Q332" s="661">
        <f t="shared" si="50"/>
        <v>8.5287671232876718</v>
      </c>
      <c r="R332" s="662">
        <f t="shared" si="51"/>
        <v>5969</v>
      </c>
      <c r="S332" s="662">
        <f t="shared" si="52"/>
        <v>108031</v>
      </c>
      <c r="T332" s="663">
        <f t="shared" si="48"/>
        <v>0</v>
      </c>
      <c r="U332" s="663">
        <f t="shared" si="53"/>
        <v>114000</v>
      </c>
      <c r="V332" s="664"/>
      <c r="W332" s="664"/>
      <c r="X332" s="664"/>
      <c r="Y332" s="664"/>
      <c r="Z332" s="664"/>
      <c r="AA332" s="664"/>
      <c r="AB332" s="664"/>
      <c r="AC332" s="664"/>
      <c r="AD332" s="664"/>
      <c r="AE332" s="664"/>
      <c r="AF332" s="664"/>
    </row>
    <row r="333" spans="2:32" ht="14.65">
      <c r="B333" s="653">
        <f t="shared" si="54"/>
        <v>329</v>
      </c>
      <c r="C333" s="654" t="s">
        <v>564</v>
      </c>
      <c r="D333" s="654" t="s">
        <v>3460</v>
      </c>
      <c r="E333" s="655" t="s">
        <v>673</v>
      </c>
      <c r="F333" s="656">
        <v>44887</v>
      </c>
      <c r="G333" s="656">
        <v>44907</v>
      </c>
      <c r="H333" s="654" t="s">
        <v>761</v>
      </c>
      <c r="I333" s="657">
        <v>44907</v>
      </c>
      <c r="J333" s="691">
        <v>3551800</v>
      </c>
      <c r="K333" s="628"/>
      <c r="L333" s="628"/>
      <c r="M333" s="628">
        <v>541800</v>
      </c>
      <c r="N333" s="628">
        <f t="shared" si="49"/>
        <v>3010000</v>
      </c>
      <c r="O333" s="659">
        <f t="shared" si="47"/>
        <v>109</v>
      </c>
      <c r="P333" s="660">
        <v>9</v>
      </c>
      <c r="Q333" s="661">
        <f t="shared" si="50"/>
        <v>8.7013698630136993</v>
      </c>
      <c r="R333" s="662">
        <f t="shared" si="51"/>
        <v>99875</v>
      </c>
      <c r="S333" s="662">
        <f t="shared" si="52"/>
        <v>2910125</v>
      </c>
      <c r="T333" s="663">
        <f t="shared" si="48"/>
        <v>0</v>
      </c>
      <c r="U333" s="663">
        <f t="shared" si="53"/>
        <v>3010000</v>
      </c>
      <c r="V333" s="664"/>
      <c r="W333" s="664"/>
      <c r="X333" s="664"/>
      <c r="Y333" s="664"/>
      <c r="Z333" s="664"/>
      <c r="AA333" s="664"/>
      <c r="AB333" s="664"/>
      <c r="AC333" s="664"/>
      <c r="AD333" s="664"/>
      <c r="AE333" s="664"/>
      <c r="AF333" s="664"/>
    </row>
    <row r="334" spans="2:32" ht="14.65">
      <c r="B334" s="653">
        <f t="shared" si="54"/>
        <v>330</v>
      </c>
      <c r="C334" s="654" t="s">
        <v>565</v>
      </c>
      <c r="D334" s="654" t="s">
        <v>3460</v>
      </c>
      <c r="E334" s="655">
        <v>7272216669</v>
      </c>
      <c r="F334" s="656">
        <v>44889</v>
      </c>
      <c r="G334" s="656">
        <v>44895</v>
      </c>
      <c r="H334" s="654" t="s">
        <v>420</v>
      </c>
      <c r="I334" s="657">
        <v>44895</v>
      </c>
      <c r="J334" s="691">
        <v>13884470</v>
      </c>
      <c r="K334" s="628">
        <v>1042385</v>
      </c>
      <c r="L334" s="628">
        <v>137470</v>
      </c>
      <c r="M334" s="628">
        <v>2097000</v>
      </c>
      <c r="N334" s="628">
        <f t="shared" si="49"/>
        <v>12692385</v>
      </c>
      <c r="O334" s="659">
        <f t="shared" si="47"/>
        <v>121</v>
      </c>
      <c r="P334" s="660">
        <v>9</v>
      </c>
      <c r="Q334" s="661">
        <f t="shared" si="50"/>
        <v>8.668493150684931</v>
      </c>
      <c r="R334" s="662">
        <f t="shared" si="51"/>
        <v>467513</v>
      </c>
      <c r="S334" s="662">
        <f t="shared" si="52"/>
        <v>12224872</v>
      </c>
      <c r="T334" s="663">
        <f t="shared" si="48"/>
        <v>0</v>
      </c>
      <c r="U334" s="663">
        <f t="shared" si="53"/>
        <v>12692385</v>
      </c>
      <c r="V334" s="664"/>
      <c r="W334" s="664"/>
      <c r="X334" s="664"/>
      <c r="Y334" s="664"/>
      <c r="Z334" s="664"/>
      <c r="AA334" s="664"/>
      <c r="AB334" s="664"/>
      <c r="AC334" s="664"/>
      <c r="AD334" s="664"/>
      <c r="AE334" s="664"/>
      <c r="AF334" s="664"/>
    </row>
    <row r="335" spans="2:32" ht="14.65">
      <c r="B335" s="653">
        <f t="shared" si="54"/>
        <v>331</v>
      </c>
      <c r="C335" s="654" t="s">
        <v>568</v>
      </c>
      <c r="D335" s="654" t="s">
        <v>3460</v>
      </c>
      <c r="E335" s="655" t="s">
        <v>674</v>
      </c>
      <c r="F335" s="656">
        <v>44863</v>
      </c>
      <c r="G335" s="656">
        <v>44865</v>
      </c>
      <c r="H335" s="654" t="s">
        <v>763</v>
      </c>
      <c r="I335" s="657">
        <v>44865</v>
      </c>
      <c r="J335" s="691">
        <v>1565749</v>
      </c>
      <c r="K335" s="628"/>
      <c r="L335" s="628"/>
      <c r="M335" s="628">
        <v>238843</v>
      </c>
      <c r="N335" s="628">
        <f t="shared" si="49"/>
        <v>1326906</v>
      </c>
      <c r="O335" s="659">
        <f t="shared" ref="O335:O367" si="55">$O$1-I335</f>
        <v>151</v>
      </c>
      <c r="P335" s="660">
        <v>3</v>
      </c>
      <c r="Q335" s="661">
        <f t="shared" si="50"/>
        <v>2.5863013698630137</v>
      </c>
      <c r="R335" s="662">
        <f t="shared" si="51"/>
        <v>182980</v>
      </c>
      <c r="S335" s="662">
        <f t="shared" si="52"/>
        <v>1143926</v>
      </c>
      <c r="T335" s="663">
        <f t="shared" ref="T335:T367" si="56">IF(I335&lt;=DATE(2022,9,30),N335,0)</f>
        <v>0</v>
      </c>
      <c r="U335" s="663">
        <f t="shared" si="53"/>
        <v>1326906</v>
      </c>
      <c r="V335" s="664"/>
      <c r="W335" s="664"/>
      <c r="X335" s="664"/>
      <c r="Y335" s="664"/>
      <c r="Z335" s="664"/>
      <c r="AA335" s="664"/>
      <c r="AB335" s="664"/>
      <c r="AC335" s="664"/>
      <c r="AD335" s="664"/>
      <c r="AE335" s="664"/>
      <c r="AF335" s="664"/>
    </row>
    <row r="336" spans="2:32" ht="14.65">
      <c r="B336" s="653">
        <f t="shared" si="54"/>
        <v>332</v>
      </c>
      <c r="C336" s="654" t="s">
        <v>568</v>
      </c>
      <c r="D336" s="654" t="s">
        <v>3460</v>
      </c>
      <c r="E336" s="655" t="s">
        <v>675</v>
      </c>
      <c r="F336" s="656">
        <v>44863</v>
      </c>
      <c r="G336" s="656">
        <v>44865</v>
      </c>
      <c r="H336" s="654" t="s">
        <v>763</v>
      </c>
      <c r="I336" s="657">
        <v>44865</v>
      </c>
      <c r="J336" s="691">
        <v>46339</v>
      </c>
      <c r="K336" s="628"/>
      <c r="L336" s="628"/>
      <c r="M336" s="628">
        <v>7068.6</v>
      </c>
      <c r="N336" s="628">
        <f t="shared" si="49"/>
        <v>39270.400000000001</v>
      </c>
      <c r="O336" s="659">
        <f t="shared" si="55"/>
        <v>151</v>
      </c>
      <c r="P336" s="660">
        <v>3</v>
      </c>
      <c r="Q336" s="661">
        <f t="shared" si="50"/>
        <v>2.5863013698630137</v>
      </c>
      <c r="R336" s="662">
        <f t="shared" si="51"/>
        <v>5415</v>
      </c>
      <c r="S336" s="662">
        <f t="shared" si="52"/>
        <v>33855.4</v>
      </c>
      <c r="T336" s="663">
        <f t="shared" si="56"/>
        <v>0</v>
      </c>
      <c r="U336" s="663">
        <f t="shared" si="53"/>
        <v>39270.400000000001</v>
      </c>
      <c r="V336" s="664"/>
      <c r="W336" s="664"/>
      <c r="X336" s="664"/>
      <c r="Y336" s="664"/>
      <c r="Z336" s="664"/>
      <c r="AA336" s="664"/>
      <c r="AB336" s="664"/>
      <c r="AC336" s="664"/>
      <c r="AD336" s="664"/>
      <c r="AE336" s="664"/>
      <c r="AF336" s="664"/>
    </row>
    <row r="337" spans="2:32" ht="14.65">
      <c r="B337" s="653">
        <f t="shared" si="54"/>
        <v>333</v>
      </c>
      <c r="C337" s="654" t="s">
        <v>568</v>
      </c>
      <c r="D337" s="654" t="s">
        <v>3460</v>
      </c>
      <c r="E337" s="655" t="s">
        <v>676</v>
      </c>
      <c r="F337" s="656">
        <v>44870</v>
      </c>
      <c r="G337" s="656">
        <v>44870</v>
      </c>
      <c r="H337" s="654" t="s">
        <v>763</v>
      </c>
      <c r="I337" s="657">
        <v>44870</v>
      </c>
      <c r="J337" s="691">
        <v>498078</v>
      </c>
      <c r="K337" s="628"/>
      <c r="L337" s="628"/>
      <c r="M337" s="628">
        <v>75978</v>
      </c>
      <c r="N337" s="628">
        <f t="shared" si="49"/>
        <v>422100</v>
      </c>
      <c r="O337" s="659">
        <f t="shared" si="55"/>
        <v>146</v>
      </c>
      <c r="P337" s="660">
        <v>3</v>
      </c>
      <c r="Q337" s="661">
        <f t="shared" si="50"/>
        <v>2.6</v>
      </c>
      <c r="R337" s="662">
        <f t="shared" si="51"/>
        <v>56280</v>
      </c>
      <c r="S337" s="662">
        <f t="shared" si="52"/>
        <v>365820</v>
      </c>
      <c r="T337" s="663">
        <f t="shared" si="56"/>
        <v>0</v>
      </c>
      <c r="U337" s="663">
        <f t="shared" si="53"/>
        <v>422100</v>
      </c>
      <c r="V337" s="664"/>
      <c r="W337" s="664"/>
      <c r="X337" s="664"/>
      <c r="Y337" s="664"/>
      <c r="Z337" s="664"/>
      <c r="AA337" s="664"/>
      <c r="AB337" s="664"/>
      <c r="AC337" s="664"/>
      <c r="AD337" s="664"/>
      <c r="AE337" s="664"/>
      <c r="AF337" s="664"/>
    </row>
    <row r="338" spans="2:32" ht="14.65">
      <c r="B338" s="653">
        <f t="shared" si="54"/>
        <v>334</v>
      </c>
      <c r="C338" s="654" t="s">
        <v>568</v>
      </c>
      <c r="D338" s="654" t="s">
        <v>3460</v>
      </c>
      <c r="E338" s="655" t="s">
        <v>677</v>
      </c>
      <c r="F338" s="656">
        <v>44861</v>
      </c>
      <c r="G338" s="656">
        <v>44870</v>
      </c>
      <c r="H338" s="654" t="s">
        <v>763</v>
      </c>
      <c r="I338" s="657">
        <v>44870</v>
      </c>
      <c r="J338" s="691">
        <v>720107</v>
      </c>
      <c r="K338" s="628"/>
      <c r="L338" s="628"/>
      <c r="M338" s="628">
        <v>109846.8</v>
      </c>
      <c r="N338" s="628">
        <f t="shared" si="49"/>
        <v>610260.19999999995</v>
      </c>
      <c r="O338" s="659">
        <f t="shared" si="55"/>
        <v>146</v>
      </c>
      <c r="P338" s="660">
        <v>3</v>
      </c>
      <c r="Q338" s="661">
        <f t="shared" si="50"/>
        <v>2.6</v>
      </c>
      <c r="R338" s="662">
        <f t="shared" si="51"/>
        <v>81368</v>
      </c>
      <c r="S338" s="662">
        <f t="shared" si="52"/>
        <v>528892.19999999995</v>
      </c>
      <c r="T338" s="663">
        <f t="shared" si="56"/>
        <v>0</v>
      </c>
      <c r="U338" s="663">
        <f t="shared" si="53"/>
        <v>610260.19999999995</v>
      </c>
      <c r="V338" s="664"/>
      <c r="W338" s="664"/>
      <c r="X338" s="664"/>
      <c r="Y338" s="664"/>
      <c r="Z338" s="664"/>
      <c r="AA338" s="664"/>
      <c r="AB338" s="664"/>
      <c r="AC338" s="664"/>
      <c r="AD338" s="664"/>
      <c r="AE338" s="664"/>
      <c r="AF338" s="664"/>
    </row>
    <row r="339" spans="2:32" ht="14.65">
      <c r="B339" s="653">
        <f t="shared" si="54"/>
        <v>335</v>
      </c>
      <c r="C339" s="654" t="s">
        <v>568</v>
      </c>
      <c r="D339" s="654" t="s">
        <v>3460</v>
      </c>
      <c r="E339" s="655" t="s">
        <v>678</v>
      </c>
      <c r="F339" s="656">
        <v>44876</v>
      </c>
      <c r="G339" s="656">
        <v>44876</v>
      </c>
      <c r="H339" s="654" t="s">
        <v>763</v>
      </c>
      <c r="I339" s="657">
        <v>44876</v>
      </c>
      <c r="J339" s="691">
        <v>95981</v>
      </c>
      <c r="K339" s="628"/>
      <c r="L339" s="628"/>
      <c r="M339" s="628">
        <v>14641</v>
      </c>
      <c r="N339" s="628">
        <f t="shared" si="49"/>
        <v>81340</v>
      </c>
      <c r="O339" s="659">
        <f t="shared" si="55"/>
        <v>140</v>
      </c>
      <c r="P339" s="660">
        <v>3</v>
      </c>
      <c r="Q339" s="661">
        <f t="shared" si="50"/>
        <v>2.6164383561643838</v>
      </c>
      <c r="R339" s="662">
        <f t="shared" si="51"/>
        <v>10400</v>
      </c>
      <c r="S339" s="662">
        <f t="shared" si="52"/>
        <v>70940</v>
      </c>
      <c r="T339" s="663">
        <f t="shared" si="56"/>
        <v>0</v>
      </c>
      <c r="U339" s="663">
        <f t="shared" si="53"/>
        <v>81340</v>
      </c>
      <c r="V339" s="664"/>
      <c r="W339" s="664"/>
      <c r="X339" s="664"/>
      <c r="Y339" s="664"/>
      <c r="Z339" s="664"/>
      <c r="AA339" s="664"/>
      <c r="AB339" s="664"/>
      <c r="AC339" s="664"/>
      <c r="AD339" s="664"/>
      <c r="AE339" s="664"/>
      <c r="AF339" s="664"/>
    </row>
    <row r="340" spans="2:32" ht="14.65">
      <c r="B340" s="653">
        <f t="shared" si="54"/>
        <v>336</v>
      </c>
      <c r="C340" s="654" t="s">
        <v>573</v>
      </c>
      <c r="D340" s="654" t="s">
        <v>3460</v>
      </c>
      <c r="E340" s="655" t="s">
        <v>679</v>
      </c>
      <c r="F340" s="656">
        <v>44875</v>
      </c>
      <c r="G340" s="656">
        <v>44885</v>
      </c>
      <c r="H340" s="654" t="s">
        <v>764</v>
      </c>
      <c r="I340" s="657">
        <v>44885</v>
      </c>
      <c r="J340" s="691">
        <v>625400</v>
      </c>
      <c r="K340" s="628"/>
      <c r="L340" s="628"/>
      <c r="M340" s="628">
        <v>95400</v>
      </c>
      <c r="N340" s="628">
        <f t="shared" si="49"/>
        <v>530000</v>
      </c>
      <c r="O340" s="659">
        <f t="shared" si="55"/>
        <v>131</v>
      </c>
      <c r="P340" s="660">
        <v>9</v>
      </c>
      <c r="Q340" s="661">
        <f t="shared" si="50"/>
        <v>8.6410958904109592</v>
      </c>
      <c r="R340" s="662">
        <f t="shared" si="51"/>
        <v>21135</v>
      </c>
      <c r="S340" s="662">
        <f t="shared" si="52"/>
        <v>508865</v>
      </c>
      <c r="T340" s="663">
        <f t="shared" si="56"/>
        <v>0</v>
      </c>
      <c r="U340" s="663">
        <f t="shared" si="53"/>
        <v>530000</v>
      </c>
      <c r="V340" s="664"/>
      <c r="W340" s="664"/>
      <c r="X340" s="664"/>
      <c r="Y340" s="664"/>
      <c r="Z340" s="664"/>
      <c r="AA340" s="664"/>
      <c r="AB340" s="664"/>
      <c r="AC340" s="664"/>
      <c r="AD340" s="664"/>
      <c r="AE340" s="664"/>
      <c r="AF340" s="664"/>
    </row>
    <row r="341" spans="2:32" ht="14.65">
      <c r="B341" s="653">
        <f t="shared" si="54"/>
        <v>337</v>
      </c>
      <c r="C341" s="654" t="s">
        <v>573</v>
      </c>
      <c r="D341" s="654" t="s">
        <v>3460</v>
      </c>
      <c r="E341" s="655">
        <v>7272216723</v>
      </c>
      <c r="F341" s="656">
        <v>44889</v>
      </c>
      <c r="G341" s="656">
        <v>44895</v>
      </c>
      <c r="H341" s="654" t="s">
        <v>420</v>
      </c>
      <c r="I341" s="657">
        <v>44895</v>
      </c>
      <c r="J341" s="691">
        <v>3188065</v>
      </c>
      <c r="K341" s="628">
        <v>239255</v>
      </c>
      <c r="L341" s="628">
        <v>31565</v>
      </c>
      <c r="M341" s="628">
        <v>481500</v>
      </c>
      <c r="N341" s="628">
        <f t="shared" si="49"/>
        <v>2914255</v>
      </c>
      <c r="O341" s="659">
        <f t="shared" si="55"/>
        <v>121</v>
      </c>
      <c r="P341" s="660">
        <v>9</v>
      </c>
      <c r="Q341" s="661">
        <f t="shared" si="50"/>
        <v>8.668493150684931</v>
      </c>
      <c r="R341" s="662">
        <f t="shared" si="51"/>
        <v>107344</v>
      </c>
      <c r="S341" s="662">
        <f t="shared" si="52"/>
        <v>2806911</v>
      </c>
      <c r="T341" s="663">
        <f t="shared" si="56"/>
        <v>0</v>
      </c>
      <c r="U341" s="663">
        <f t="shared" si="53"/>
        <v>2914255</v>
      </c>
      <c r="V341" s="664"/>
      <c r="W341" s="664"/>
      <c r="X341" s="664"/>
      <c r="Y341" s="664"/>
      <c r="Z341" s="664"/>
      <c r="AA341" s="664"/>
      <c r="AB341" s="664"/>
      <c r="AC341" s="664"/>
      <c r="AD341" s="664"/>
      <c r="AE341" s="664"/>
      <c r="AF341" s="664"/>
    </row>
    <row r="342" spans="2:32" ht="14.65">
      <c r="B342" s="653">
        <f t="shared" si="54"/>
        <v>338</v>
      </c>
      <c r="C342" s="670" t="s">
        <v>323</v>
      </c>
      <c r="D342" s="654" t="s">
        <v>3460</v>
      </c>
      <c r="E342" s="677" t="s">
        <v>3376</v>
      </c>
      <c r="F342" s="678">
        <v>44950</v>
      </c>
      <c r="G342" s="678">
        <v>44954</v>
      </c>
      <c r="H342" s="670" t="s">
        <v>170</v>
      </c>
      <c r="I342" s="672">
        <v>44954</v>
      </c>
      <c r="J342" s="679">
        <v>10620000</v>
      </c>
      <c r="K342" s="627"/>
      <c r="L342" s="627"/>
      <c r="M342" s="627">
        <v>1620000</v>
      </c>
      <c r="N342" s="627">
        <f t="shared" si="49"/>
        <v>9000000</v>
      </c>
      <c r="O342" s="659">
        <f t="shared" si="55"/>
        <v>62</v>
      </c>
      <c r="P342" s="673">
        <v>9</v>
      </c>
      <c r="Q342" s="674">
        <f t="shared" si="50"/>
        <v>8.830136986301369</v>
      </c>
      <c r="R342" s="675">
        <f t="shared" si="51"/>
        <v>169863</v>
      </c>
      <c r="S342" s="675">
        <f t="shared" si="52"/>
        <v>8830137</v>
      </c>
      <c r="T342" s="676">
        <f t="shared" si="56"/>
        <v>0</v>
      </c>
      <c r="U342" s="676">
        <f t="shared" si="53"/>
        <v>9000000</v>
      </c>
      <c r="V342" s="664"/>
      <c r="W342" s="664"/>
      <c r="X342" s="664"/>
      <c r="Y342" s="664"/>
      <c r="Z342" s="664"/>
      <c r="AA342" s="664"/>
      <c r="AB342" s="664"/>
      <c r="AC342" s="664"/>
      <c r="AD342" s="664"/>
      <c r="AE342" s="664"/>
      <c r="AF342" s="664"/>
    </row>
    <row r="343" spans="2:32" ht="14.65">
      <c r="B343" s="653">
        <f t="shared" si="54"/>
        <v>339</v>
      </c>
      <c r="C343" s="669" t="s">
        <v>568</v>
      </c>
      <c r="D343" s="681" t="s">
        <v>3460</v>
      </c>
      <c r="E343" s="669" t="s">
        <v>3498</v>
      </c>
      <c r="F343" s="672">
        <v>44966</v>
      </c>
      <c r="G343" s="672">
        <v>44977</v>
      </c>
      <c r="H343" s="669" t="s">
        <v>763</v>
      </c>
      <c r="I343" s="672">
        <v>44977</v>
      </c>
      <c r="J343" s="627">
        <v>1871642</v>
      </c>
      <c r="K343" s="627"/>
      <c r="L343" s="627"/>
      <c r="M343" s="627">
        <v>285505</v>
      </c>
      <c r="N343" s="627">
        <f t="shared" si="49"/>
        <v>1586137</v>
      </c>
      <c r="O343" s="659">
        <f t="shared" si="55"/>
        <v>39</v>
      </c>
      <c r="P343" s="673">
        <v>3</v>
      </c>
      <c r="Q343" s="674">
        <f t="shared" si="50"/>
        <v>2.893150684931507</v>
      </c>
      <c r="R343" s="675">
        <f t="shared" si="51"/>
        <v>56493</v>
      </c>
      <c r="S343" s="675">
        <f t="shared" si="52"/>
        <v>1529644</v>
      </c>
      <c r="T343" s="676">
        <f t="shared" si="56"/>
        <v>0</v>
      </c>
      <c r="U343" s="676">
        <f t="shared" si="53"/>
        <v>1586137</v>
      </c>
      <c r="V343" s="664"/>
      <c r="W343" s="664"/>
      <c r="X343" s="664"/>
      <c r="Y343" s="664"/>
      <c r="Z343" s="664"/>
      <c r="AA343" s="664"/>
      <c r="AB343" s="664"/>
      <c r="AC343" s="664"/>
      <c r="AD343" s="664"/>
      <c r="AE343" s="664"/>
      <c r="AF343" s="664"/>
    </row>
    <row r="344" spans="2:32" ht="14.65">
      <c r="B344" s="653">
        <f t="shared" si="54"/>
        <v>340</v>
      </c>
      <c r="C344" s="669" t="s">
        <v>568</v>
      </c>
      <c r="D344" s="681" t="s">
        <v>3460</v>
      </c>
      <c r="E344" s="669" t="s">
        <v>3497</v>
      </c>
      <c r="F344" s="672">
        <v>44966</v>
      </c>
      <c r="G344" s="672">
        <v>44977</v>
      </c>
      <c r="H344" s="669" t="s">
        <v>763</v>
      </c>
      <c r="I344" s="672">
        <v>44977</v>
      </c>
      <c r="J344" s="627">
        <v>75909</v>
      </c>
      <c r="K344" s="627"/>
      <c r="L344" s="627"/>
      <c r="M344" s="627">
        <v>11579</v>
      </c>
      <c r="N344" s="627">
        <f t="shared" si="49"/>
        <v>64330</v>
      </c>
      <c r="O344" s="659">
        <f t="shared" si="55"/>
        <v>39</v>
      </c>
      <c r="P344" s="673">
        <v>3</v>
      </c>
      <c r="Q344" s="674">
        <f t="shared" si="50"/>
        <v>2.893150684931507</v>
      </c>
      <c r="R344" s="675">
        <f t="shared" si="51"/>
        <v>2291</v>
      </c>
      <c r="S344" s="675">
        <f t="shared" si="52"/>
        <v>62039</v>
      </c>
      <c r="T344" s="676">
        <f t="shared" si="56"/>
        <v>0</v>
      </c>
      <c r="U344" s="676">
        <f t="shared" si="53"/>
        <v>64330</v>
      </c>
      <c r="V344" s="664"/>
      <c r="W344" s="664"/>
      <c r="X344" s="664"/>
      <c r="Y344" s="664"/>
      <c r="Z344" s="664"/>
      <c r="AA344" s="664"/>
      <c r="AB344" s="664"/>
      <c r="AC344" s="664"/>
      <c r="AD344" s="664"/>
      <c r="AE344" s="664"/>
      <c r="AF344" s="664"/>
    </row>
    <row r="345" spans="2:32" ht="14.65">
      <c r="B345" s="653">
        <f t="shared" si="54"/>
        <v>341</v>
      </c>
      <c r="C345" s="665" t="s">
        <v>60</v>
      </c>
      <c r="D345" s="666" t="s">
        <v>22</v>
      </c>
      <c r="E345" s="667">
        <v>4610</v>
      </c>
      <c r="F345" s="657">
        <v>44669</v>
      </c>
      <c r="G345" s="657">
        <v>44669</v>
      </c>
      <c r="H345" s="665" t="s">
        <v>168</v>
      </c>
      <c r="I345" s="668">
        <v>44669</v>
      </c>
      <c r="J345" s="628">
        <v>135062.79999999999</v>
      </c>
      <c r="K345" s="628"/>
      <c r="L345" s="628"/>
      <c r="M345" s="628">
        <v>20602.8</v>
      </c>
      <c r="N345" s="628">
        <f t="shared" si="49"/>
        <v>114459.99999999999</v>
      </c>
      <c r="O345" s="659">
        <f t="shared" si="55"/>
        <v>347</v>
      </c>
      <c r="P345" s="660">
        <v>9</v>
      </c>
      <c r="Q345" s="661">
        <f t="shared" si="50"/>
        <v>8.0493150684931507</v>
      </c>
      <c r="R345" s="662">
        <f t="shared" si="51"/>
        <v>12091</v>
      </c>
      <c r="S345" s="662">
        <f t="shared" si="52"/>
        <v>102368.99999999999</v>
      </c>
      <c r="T345" s="663">
        <f t="shared" si="56"/>
        <v>114459.99999999999</v>
      </c>
      <c r="U345" s="663">
        <f t="shared" si="53"/>
        <v>0</v>
      </c>
      <c r="V345" s="664"/>
      <c r="W345" s="664"/>
      <c r="X345" s="664"/>
      <c r="Y345" s="664"/>
      <c r="Z345" s="664"/>
      <c r="AA345" s="664"/>
      <c r="AB345" s="664"/>
      <c r="AC345" s="664"/>
      <c r="AD345" s="664"/>
      <c r="AE345" s="664"/>
      <c r="AF345" s="664"/>
    </row>
    <row r="346" spans="2:32" ht="14.65">
      <c r="B346" s="653">
        <f t="shared" si="54"/>
        <v>342</v>
      </c>
      <c r="C346" s="684" t="s">
        <v>317</v>
      </c>
      <c r="D346" s="695" t="s">
        <v>22</v>
      </c>
      <c r="E346" s="685">
        <v>121</v>
      </c>
      <c r="F346" s="686">
        <v>44795</v>
      </c>
      <c r="G346" s="686">
        <v>44795</v>
      </c>
      <c r="H346" s="684" t="s">
        <v>411</v>
      </c>
      <c r="I346" s="657">
        <v>44795</v>
      </c>
      <c r="J346" s="628">
        <v>531000</v>
      </c>
      <c r="K346" s="628"/>
      <c r="L346" s="628"/>
      <c r="M346" s="628">
        <v>81000</v>
      </c>
      <c r="N346" s="628">
        <f t="shared" si="49"/>
        <v>450000</v>
      </c>
      <c r="O346" s="659">
        <f t="shared" si="55"/>
        <v>221</v>
      </c>
      <c r="P346" s="660">
        <v>9</v>
      </c>
      <c r="Q346" s="661">
        <f t="shared" si="50"/>
        <v>8.3945205479452056</v>
      </c>
      <c r="R346" s="662">
        <f t="shared" si="51"/>
        <v>30274</v>
      </c>
      <c r="S346" s="662">
        <f t="shared" si="52"/>
        <v>419726</v>
      </c>
      <c r="T346" s="663">
        <f t="shared" si="56"/>
        <v>450000</v>
      </c>
      <c r="U346" s="663">
        <f t="shared" si="53"/>
        <v>0</v>
      </c>
      <c r="V346" s="664"/>
      <c r="W346" s="664"/>
      <c r="X346" s="664"/>
      <c r="Y346" s="664"/>
      <c r="Z346" s="664"/>
      <c r="AA346" s="664"/>
      <c r="AB346" s="664"/>
      <c r="AC346" s="664"/>
      <c r="AD346" s="664"/>
      <c r="AE346" s="664"/>
      <c r="AF346" s="664"/>
    </row>
    <row r="347" spans="2:32" ht="14.65">
      <c r="B347" s="653">
        <f t="shared" si="54"/>
        <v>343</v>
      </c>
      <c r="C347" s="684" t="s">
        <v>318</v>
      </c>
      <c r="D347" s="695" t="s">
        <v>22</v>
      </c>
      <c r="E347" s="685">
        <v>118</v>
      </c>
      <c r="F347" s="686">
        <v>44793</v>
      </c>
      <c r="G347" s="686">
        <v>44793</v>
      </c>
      <c r="H347" s="684" t="s">
        <v>411</v>
      </c>
      <c r="I347" s="657">
        <v>44793</v>
      </c>
      <c r="J347" s="628">
        <v>590000</v>
      </c>
      <c r="K347" s="628"/>
      <c r="L347" s="628"/>
      <c r="M347" s="628">
        <v>90000</v>
      </c>
      <c r="N347" s="628">
        <f t="shared" si="49"/>
        <v>500000</v>
      </c>
      <c r="O347" s="659">
        <f t="shared" si="55"/>
        <v>223</v>
      </c>
      <c r="P347" s="660">
        <v>9</v>
      </c>
      <c r="Q347" s="661">
        <f t="shared" si="50"/>
        <v>8.3890410958904109</v>
      </c>
      <c r="R347" s="662">
        <f t="shared" si="51"/>
        <v>33942</v>
      </c>
      <c r="S347" s="662">
        <f t="shared" si="52"/>
        <v>466058</v>
      </c>
      <c r="T347" s="663">
        <f t="shared" si="56"/>
        <v>500000</v>
      </c>
      <c r="U347" s="663">
        <f t="shared" si="53"/>
        <v>0</v>
      </c>
      <c r="V347" s="664"/>
      <c r="W347" s="664"/>
      <c r="X347" s="664"/>
      <c r="Y347" s="664"/>
      <c r="Z347" s="664"/>
      <c r="AA347" s="664"/>
      <c r="AB347" s="664"/>
      <c r="AC347" s="664"/>
      <c r="AD347" s="664"/>
      <c r="AE347" s="664"/>
      <c r="AF347" s="664"/>
    </row>
    <row r="348" spans="2:32" ht="14.65">
      <c r="B348" s="653">
        <f t="shared" si="54"/>
        <v>344</v>
      </c>
      <c r="C348" s="684" t="s">
        <v>309</v>
      </c>
      <c r="D348" s="695" t="s">
        <v>22</v>
      </c>
      <c r="E348" s="685" t="s">
        <v>376</v>
      </c>
      <c r="F348" s="686">
        <v>44778</v>
      </c>
      <c r="G348" s="686">
        <v>44812</v>
      </c>
      <c r="H348" s="684" t="s">
        <v>412</v>
      </c>
      <c r="I348" s="657">
        <v>44812</v>
      </c>
      <c r="J348" s="628">
        <v>137575</v>
      </c>
      <c r="K348" s="628"/>
      <c r="L348" s="628"/>
      <c r="M348" s="628">
        <v>20986</v>
      </c>
      <c r="N348" s="628">
        <f t="shared" si="49"/>
        <v>116589</v>
      </c>
      <c r="O348" s="659">
        <f t="shared" si="55"/>
        <v>204</v>
      </c>
      <c r="P348" s="660">
        <v>9</v>
      </c>
      <c r="Q348" s="661">
        <f t="shared" si="50"/>
        <v>8.4410958904109581</v>
      </c>
      <c r="R348" s="662">
        <f t="shared" si="51"/>
        <v>7240</v>
      </c>
      <c r="S348" s="662">
        <f t="shared" si="52"/>
        <v>109349</v>
      </c>
      <c r="T348" s="663">
        <f t="shared" si="56"/>
        <v>116589</v>
      </c>
      <c r="U348" s="663">
        <f t="shared" si="53"/>
        <v>0</v>
      </c>
      <c r="V348" s="664"/>
      <c r="W348" s="664"/>
      <c r="X348" s="664"/>
      <c r="Y348" s="664"/>
      <c r="Z348" s="664"/>
      <c r="AA348" s="664"/>
      <c r="AB348" s="664"/>
      <c r="AC348" s="664"/>
      <c r="AD348" s="664"/>
      <c r="AE348" s="664"/>
      <c r="AF348" s="664"/>
    </row>
    <row r="349" spans="2:32" ht="14.65">
      <c r="B349" s="653">
        <f t="shared" si="54"/>
        <v>345</v>
      </c>
      <c r="C349" s="684" t="s">
        <v>309</v>
      </c>
      <c r="D349" s="695" t="s">
        <v>22</v>
      </c>
      <c r="E349" s="685">
        <v>247</v>
      </c>
      <c r="F349" s="686">
        <v>44793</v>
      </c>
      <c r="G349" s="686">
        <v>44812</v>
      </c>
      <c r="H349" s="684" t="s">
        <v>413</v>
      </c>
      <c r="I349" s="657">
        <v>44812</v>
      </c>
      <c r="J349" s="628">
        <v>267860</v>
      </c>
      <c r="K349" s="628"/>
      <c r="L349" s="628"/>
      <c r="M349" s="628">
        <v>40860</v>
      </c>
      <c r="N349" s="628">
        <f t="shared" si="49"/>
        <v>227000</v>
      </c>
      <c r="O349" s="659">
        <f t="shared" si="55"/>
        <v>204</v>
      </c>
      <c r="P349" s="660">
        <v>9</v>
      </c>
      <c r="Q349" s="661">
        <f t="shared" si="50"/>
        <v>8.4410958904109581</v>
      </c>
      <c r="R349" s="662">
        <f t="shared" si="51"/>
        <v>14097</v>
      </c>
      <c r="S349" s="662">
        <f t="shared" si="52"/>
        <v>212903</v>
      </c>
      <c r="T349" s="663">
        <f t="shared" si="56"/>
        <v>227000</v>
      </c>
      <c r="U349" s="663">
        <f t="shared" si="53"/>
        <v>0</v>
      </c>
      <c r="V349" s="664"/>
      <c r="W349" s="664"/>
      <c r="X349" s="664"/>
      <c r="Y349" s="664"/>
      <c r="Z349" s="664"/>
      <c r="AA349" s="664"/>
      <c r="AB349" s="664"/>
      <c r="AC349" s="664"/>
      <c r="AD349" s="664"/>
      <c r="AE349" s="664"/>
      <c r="AF349" s="664"/>
    </row>
    <row r="350" spans="2:32" ht="14.65">
      <c r="B350" s="653">
        <f t="shared" si="54"/>
        <v>346</v>
      </c>
      <c r="C350" s="654" t="s">
        <v>332</v>
      </c>
      <c r="D350" s="684" t="s">
        <v>22</v>
      </c>
      <c r="E350" s="655">
        <v>2621</v>
      </c>
      <c r="F350" s="656">
        <v>44891</v>
      </c>
      <c r="G350" s="656">
        <v>44895</v>
      </c>
      <c r="H350" s="654" t="s">
        <v>418</v>
      </c>
      <c r="I350" s="657">
        <v>44895</v>
      </c>
      <c r="J350" s="691">
        <v>182900</v>
      </c>
      <c r="K350" s="628"/>
      <c r="L350" s="628"/>
      <c r="M350" s="628">
        <v>27900</v>
      </c>
      <c r="N350" s="628">
        <f t="shared" si="49"/>
        <v>155000</v>
      </c>
      <c r="O350" s="659">
        <f t="shared" si="55"/>
        <v>121</v>
      </c>
      <c r="P350" s="660">
        <v>9</v>
      </c>
      <c r="Q350" s="661">
        <f t="shared" si="50"/>
        <v>8.668493150684931</v>
      </c>
      <c r="R350" s="662">
        <f t="shared" si="51"/>
        <v>5709</v>
      </c>
      <c r="S350" s="662">
        <f t="shared" si="52"/>
        <v>149291</v>
      </c>
      <c r="T350" s="663">
        <f t="shared" si="56"/>
        <v>0</v>
      </c>
      <c r="U350" s="663">
        <f t="shared" si="53"/>
        <v>155000</v>
      </c>
      <c r="V350" s="664"/>
      <c r="W350" s="664"/>
      <c r="X350" s="664"/>
      <c r="Y350" s="664"/>
      <c r="Z350" s="664"/>
      <c r="AA350" s="664"/>
      <c r="AB350" s="664"/>
      <c r="AC350" s="664"/>
      <c r="AD350" s="664"/>
      <c r="AE350" s="664"/>
      <c r="AF350" s="664"/>
    </row>
    <row r="351" spans="2:32" ht="14.65">
      <c r="B351" s="653">
        <f t="shared" si="54"/>
        <v>347</v>
      </c>
      <c r="C351" s="654" t="s">
        <v>332</v>
      </c>
      <c r="D351" s="684" t="s">
        <v>22</v>
      </c>
      <c r="E351" s="655">
        <v>2620</v>
      </c>
      <c r="F351" s="656">
        <v>44891</v>
      </c>
      <c r="G351" s="656">
        <v>44895</v>
      </c>
      <c r="H351" s="654" t="s">
        <v>418</v>
      </c>
      <c r="I351" s="657">
        <v>44895</v>
      </c>
      <c r="J351" s="691">
        <v>182900</v>
      </c>
      <c r="K351" s="628"/>
      <c r="L351" s="628"/>
      <c r="M351" s="628">
        <v>27900</v>
      </c>
      <c r="N351" s="628">
        <f t="shared" si="49"/>
        <v>155000</v>
      </c>
      <c r="O351" s="659">
        <f t="shared" si="55"/>
        <v>121</v>
      </c>
      <c r="P351" s="660">
        <v>9</v>
      </c>
      <c r="Q351" s="661">
        <f t="shared" si="50"/>
        <v>8.668493150684931</v>
      </c>
      <c r="R351" s="662">
        <f t="shared" si="51"/>
        <v>5709</v>
      </c>
      <c r="S351" s="662">
        <f t="shared" si="52"/>
        <v>149291</v>
      </c>
      <c r="T351" s="663">
        <f t="shared" si="56"/>
        <v>0</v>
      </c>
      <c r="U351" s="663">
        <f t="shared" si="53"/>
        <v>155000</v>
      </c>
      <c r="V351" s="664"/>
      <c r="W351" s="664"/>
      <c r="X351" s="664"/>
      <c r="Y351" s="664"/>
      <c r="Z351" s="664"/>
      <c r="AA351" s="664"/>
      <c r="AB351" s="664"/>
      <c r="AC351" s="664"/>
      <c r="AD351" s="664"/>
      <c r="AE351" s="664"/>
      <c r="AF351" s="664"/>
    </row>
    <row r="352" spans="2:32" ht="14.65">
      <c r="B352" s="653">
        <f t="shared" si="54"/>
        <v>348</v>
      </c>
      <c r="C352" s="654" t="s">
        <v>574</v>
      </c>
      <c r="D352" s="684" t="s">
        <v>22</v>
      </c>
      <c r="E352" s="655">
        <v>21</v>
      </c>
      <c r="F352" s="656">
        <v>44852</v>
      </c>
      <c r="G352" s="656">
        <v>44864</v>
      </c>
      <c r="H352" s="654" t="s">
        <v>769</v>
      </c>
      <c r="I352" s="657">
        <v>44864</v>
      </c>
      <c r="J352" s="691">
        <v>183295</v>
      </c>
      <c r="K352" s="628"/>
      <c r="L352" s="628"/>
      <c r="M352" s="628">
        <v>27960.22</v>
      </c>
      <c r="N352" s="628">
        <f t="shared" si="49"/>
        <v>155334.78</v>
      </c>
      <c r="O352" s="659">
        <f t="shared" si="55"/>
        <v>152</v>
      </c>
      <c r="P352" s="660">
        <v>9</v>
      </c>
      <c r="Q352" s="661">
        <f t="shared" si="50"/>
        <v>8.5835616438356173</v>
      </c>
      <c r="R352" s="662">
        <f t="shared" si="51"/>
        <v>7187</v>
      </c>
      <c r="S352" s="662">
        <f t="shared" si="52"/>
        <v>148147.78</v>
      </c>
      <c r="T352" s="663">
        <f t="shared" si="56"/>
        <v>0</v>
      </c>
      <c r="U352" s="663">
        <f t="shared" si="53"/>
        <v>155334.78</v>
      </c>
      <c r="V352" s="664"/>
      <c r="W352" s="664"/>
      <c r="X352" s="664"/>
      <c r="Y352" s="664"/>
      <c r="Z352" s="664"/>
      <c r="AA352" s="664"/>
      <c r="AB352" s="664"/>
      <c r="AC352" s="664"/>
      <c r="AD352" s="664"/>
      <c r="AE352" s="664"/>
      <c r="AF352" s="664"/>
    </row>
    <row r="353" spans="2:32" ht="14.65">
      <c r="B353" s="653">
        <f t="shared" si="54"/>
        <v>349</v>
      </c>
      <c r="C353" s="654" t="s">
        <v>60</v>
      </c>
      <c r="D353" s="684" t="s">
        <v>22</v>
      </c>
      <c r="E353" s="655">
        <v>176</v>
      </c>
      <c r="F353" s="656">
        <v>44848</v>
      </c>
      <c r="G353" s="656">
        <v>44865</v>
      </c>
      <c r="H353" s="654" t="s">
        <v>770</v>
      </c>
      <c r="I353" s="657">
        <v>44865</v>
      </c>
      <c r="J353" s="691">
        <v>501500</v>
      </c>
      <c r="K353" s="628"/>
      <c r="L353" s="628"/>
      <c r="M353" s="628">
        <v>76500</v>
      </c>
      <c r="N353" s="628">
        <f t="shared" si="49"/>
        <v>425000</v>
      </c>
      <c r="O353" s="659">
        <f t="shared" si="55"/>
        <v>151</v>
      </c>
      <c r="P353" s="660">
        <v>9</v>
      </c>
      <c r="Q353" s="661">
        <f t="shared" si="50"/>
        <v>8.5863013698630137</v>
      </c>
      <c r="R353" s="662">
        <f t="shared" si="51"/>
        <v>19536</v>
      </c>
      <c r="S353" s="662">
        <f t="shared" si="52"/>
        <v>405464</v>
      </c>
      <c r="T353" s="663">
        <f t="shared" si="56"/>
        <v>0</v>
      </c>
      <c r="U353" s="663">
        <f t="shared" si="53"/>
        <v>425000</v>
      </c>
      <c r="V353" s="664"/>
      <c r="W353" s="664"/>
      <c r="X353" s="664"/>
      <c r="Y353" s="664"/>
      <c r="Z353" s="664"/>
      <c r="AA353" s="664"/>
      <c r="AB353" s="664"/>
      <c r="AC353" s="664"/>
      <c r="AD353" s="664"/>
      <c r="AE353" s="664"/>
      <c r="AF353" s="664"/>
    </row>
    <row r="354" spans="2:32" ht="14.65">
      <c r="B354" s="653">
        <f t="shared" si="54"/>
        <v>350</v>
      </c>
      <c r="C354" s="654" t="s">
        <v>60</v>
      </c>
      <c r="D354" s="684" t="s">
        <v>22</v>
      </c>
      <c r="E354" s="655">
        <v>175</v>
      </c>
      <c r="F354" s="656">
        <v>44848</v>
      </c>
      <c r="G354" s="656">
        <v>44865</v>
      </c>
      <c r="H354" s="654" t="s">
        <v>770</v>
      </c>
      <c r="I354" s="657">
        <v>44865</v>
      </c>
      <c r="J354" s="691">
        <v>501500</v>
      </c>
      <c r="K354" s="628"/>
      <c r="L354" s="628"/>
      <c r="M354" s="628">
        <v>76500</v>
      </c>
      <c r="N354" s="628">
        <f t="shared" si="49"/>
        <v>425000</v>
      </c>
      <c r="O354" s="659">
        <f t="shared" si="55"/>
        <v>151</v>
      </c>
      <c r="P354" s="660">
        <v>9</v>
      </c>
      <c r="Q354" s="661">
        <f t="shared" si="50"/>
        <v>8.5863013698630137</v>
      </c>
      <c r="R354" s="662">
        <f t="shared" si="51"/>
        <v>19536</v>
      </c>
      <c r="S354" s="662">
        <f t="shared" si="52"/>
        <v>405464</v>
      </c>
      <c r="T354" s="663">
        <f t="shared" si="56"/>
        <v>0</v>
      </c>
      <c r="U354" s="663">
        <f t="shared" si="53"/>
        <v>425000</v>
      </c>
      <c r="V354" s="664"/>
      <c r="W354" s="664"/>
      <c r="X354" s="664"/>
      <c r="Y354" s="664"/>
      <c r="Z354" s="664"/>
      <c r="AA354" s="664"/>
      <c r="AB354" s="664"/>
      <c r="AC354" s="664"/>
      <c r="AD354" s="664"/>
      <c r="AE354" s="664"/>
      <c r="AF354" s="664"/>
    </row>
    <row r="355" spans="2:32" ht="14.65">
      <c r="B355" s="653">
        <f t="shared" si="54"/>
        <v>351</v>
      </c>
      <c r="C355" s="654" t="s">
        <v>60</v>
      </c>
      <c r="D355" s="684" t="s">
        <v>22</v>
      </c>
      <c r="E355" s="655" t="s">
        <v>680</v>
      </c>
      <c r="F355" s="656">
        <v>44894</v>
      </c>
      <c r="G355" s="656">
        <v>44895</v>
      </c>
      <c r="H355" s="654" t="s">
        <v>771</v>
      </c>
      <c r="I355" s="657">
        <v>44895</v>
      </c>
      <c r="J355" s="691">
        <v>533360</v>
      </c>
      <c r="K355" s="628"/>
      <c r="L355" s="628"/>
      <c r="M355" s="628">
        <v>81360</v>
      </c>
      <c r="N355" s="628">
        <f t="shared" si="49"/>
        <v>452000</v>
      </c>
      <c r="O355" s="659">
        <f t="shared" si="55"/>
        <v>121</v>
      </c>
      <c r="P355" s="660">
        <v>9</v>
      </c>
      <c r="Q355" s="661">
        <f t="shared" si="50"/>
        <v>8.668493150684931</v>
      </c>
      <c r="R355" s="662">
        <f t="shared" si="51"/>
        <v>16649</v>
      </c>
      <c r="S355" s="662">
        <f t="shared" si="52"/>
        <v>435351</v>
      </c>
      <c r="T355" s="663">
        <f t="shared" si="56"/>
        <v>0</v>
      </c>
      <c r="U355" s="663">
        <f t="shared" si="53"/>
        <v>452000</v>
      </c>
      <c r="V355" s="664"/>
      <c r="W355" s="664"/>
      <c r="X355" s="664"/>
      <c r="Y355" s="664"/>
      <c r="Z355" s="664"/>
      <c r="AA355" s="664"/>
      <c r="AB355" s="664"/>
      <c r="AC355" s="664"/>
      <c r="AD355" s="664"/>
      <c r="AE355" s="664"/>
      <c r="AF355" s="664"/>
    </row>
    <row r="356" spans="2:32" ht="14.65">
      <c r="B356" s="653">
        <f t="shared" si="54"/>
        <v>352</v>
      </c>
      <c r="C356" s="654" t="s">
        <v>60</v>
      </c>
      <c r="D356" s="684" t="s">
        <v>22</v>
      </c>
      <c r="E356" s="655" t="s">
        <v>681</v>
      </c>
      <c r="F356" s="656">
        <v>44907</v>
      </c>
      <c r="G356" s="656">
        <v>44926</v>
      </c>
      <c r="H356" s="654" t="s">
        <v>771</v>
      </c>
      <c r="I356" s="657">
        <v>44926</v>
      </c>
      <c r="J356" s="691">
        <v>133340</v>
      </c>
      <c r="K356" s="628"/>
      <c r="L356" s="628"/>
      <c r="M356" s="628">
        <v>20340</v>
      </c>
      <c r="N356" s="628">
        <f t="shared" si="49"/>
        <v>113000</v>
      </c>
      <c r="O356" s="659">
        <f t="shared" si="55"/>
        <v>90</v>
      </c>
      <c r="P356" s="660">
        <v>9</v>
      </c>
      <c r="Q356" s="661">
        <f t="shared" si="50"/>
        <v>8.7534246575342465</v>
      </c>
      <c r="R356" s="662">
        <f t="shared" si="51"/>
        <v>3096</v>
      </c>
      <c r="S356" s="662">
        <f t="shared" si="52"/>
        <v>109904</v>
      </c>
      <c r="T356" s="663">
        <f t="shared" si="56"/>
        <v>0</v>
      </c>
      <c r="U356" s="663">
        <f t="shared" si="53"/>
        <v>113000</v>
      </c>
      <c r="V356" s="664"/>
      <c r="W356" s="664"/>
      <c r="X356" s="664"/>
      <c r="Y356" s="664"/>
      <c r="Z356" s="664"/>
      <c r="AA356" s="664"/>
      <c r="AB356" s="664"/>
      <c r="AC356" s="664"/>
      <c r="AD356" s="664"/>
      <c r="AE356" s="664"/>
      <c r="AF356" s="664"/>
    </row>
    <row r="357" spans="2:32" ht="14.65">
      <c r="B357" s="653">
        <f t="shared" si="54"/>
        <v>353</v>
      </c>
      <c r="C357" s="654" t="s">
        <v>60</v>
      </c>
      <c r="D357" s="684" t="s">
        <v>22</v>
      </c>
      <c r="E357" s="655" t="s">
        <v>682</v>
      </c>
      <c r="F357" s="656">
        <v>44907</v>
      </c>
      <c r="G357" s="656">
        <v>44926</v>
      </c>
      <c r="H357" s="654" t="s">
        <v>771</v>
      </c>
      <c r="I357" s="657">
        <v>44926</v>
      </c>
      <c r="J357" s="691">
        <v>549880</v>
      </c>
      <c r="K357" s="628"/>
      <c r="L357" s="628"/>
      <c r="M357" s="628">
        <v>83880</v>
      </c>
      <c r="N357" s="628">
        <f t="shared" si="49"/>
        <v>466000</v>
      </c>
      <c r="O357" s="659">
        <f t="shared" si="55"/>
        <v>90</v>
      </c>
      <c r="P357" s="660">
        <v>9</v>
      </c>
      <c r="Q357" s="661">
        <f t="shared" si="50"/>
        <v>8.7534246575342465</v>
      </c>
      <c r="R357" s="662">
        <f t="shared" si="51"/>
        <v>12767</v>
      </c>
      <c r="S357" s="662">
        <f t="shared" si="52"/>
        <v>453233</v>
      </c>
      <c r="T357" s="663">
        <f t="shared" si="56"/>
        <v>0</v>
      </c>
      <c r="U357" s="663">
        <f t="shared" si="53"/>
        <v>466000</v>
      </c>
      <c r="V357" s="664"/>
      <c r="W357" s="664"/>
      <c r="X357" s="664"/>
      <c r="Y357" s="664"/>
      <c r="Z357" s="664"/>
      <c r="AA357" s="664"/>
      <c r="AB357" s="664"/>
      <c r="AC357" s="664"/>
      <c r="AD357" s="664"/>
      <c r="AE357" s="664"/>
      <c r="AF357" s="664"/>
    </row>
    <row r="358" spans="2:32" ht="14.65">
      <c r="B358" s="653">
        <f t="shared" si="54"/>
        <v>354</v>
      </c>
      <c r="C358" s="654" t="s">
        <v>318</v>
      </c>
      <c r="D358" s="684" t="s">
        <v>22</v>
      </c>
      <c r="E358" s="655" t="s">
        <v>683</v>
      </c>
      <c r="F358" s="656">
        <v>44824</v>
      </c>
      <c r="G358" s="656">
        <v>44835</v>
      </c>
      <c r="H358" s="654" t="s">
        <v>772</v>
      </c>
      <c r="I358" s="657">
        <v>44835</v>
      </c>
      <c r="J358" s="691">
        <v>1215400</v>
      </c>
      <c r="K358" s="628"/>
      <c r="L358" s="628"/>
      <c r="M358" s="628">
        <v>185400</v>
      </c>
      <c r="N358" s="628">
        <f t="shared" si="49"/>
        <v>1030000</v>
      </c>
      <c r="O358" s="659">
        <f t="shared" si="55"/>
        <v>181</v>
      </c>
      <c r="P358" s="660">
        <v>9</v>
      </c>
      <c r="Q358" s="661">
        <f t="shared" si="50"/>
        <v>8.5041095890410965</v>
      </c>
      <c r="R358" s="662">
        <f t="shared" si="51"/>
        <v>56752</v>
      </c>
      <c r="S358" s="662">
        <f t="shared" si="52"/>
        <v>973248</v>
      </c>
      <c r="T358" s="663">
        <f t="shared" si="56"/>
        <v>0</v>
      </c>
      <c r="U358" s="663">
        <f t="shared" si="53"/>
        <v>1030000</v>
      </c>
      <c r="V358" s="664"/>
      <c r="W358" s="664"/>
      <c r="X358" s="664"/>
      <c r="Y358" s="664"/>
      <c r="Z358" s="664"/>
      <c r="AA358" s="664"/>
      <c r="AB358" s="664"/>
      <c r="AC358" s="664"/>
      <c r="AD358" s="664"/>
      <c r="AE358" s="664"/>
      <c r="AF358" s="664"/>
    </row>
    <row r="359" spans="2:32" ht="14.65">
      <c r="B359" s="653">
        <f t="shared" si="54"/>
        <v>355</v>
      </c>
      <c r="C359" s="654" t="s">
        <v>568</v>
      </c>
      <c r="D359" s="684" t="s">
        <v>22</v>
      </c>
      <c r="E359" s="655">
        <v>301</v>
      </c>
      <c r="F359" s="656">
        <v>44821</v>
      </c>
      <c r="G359" s="656">
        <v>44835</v>
      </c>
      <c r="H359" s="654" t="s">
        <v>413</v>
      </c>
      <c r="I359" s="657">
        <v>44835</v>
      </c>
      <c r="J359" s="691">
        <v>88500</v>
      </c>
      <c r="K359" s="628"/>
      <c r="L359" s="628"/>
      <c r="M359" s="628">
        <v>13500</v>
      </c>
      <c r="N359" s="628">
        <f t="shared" si="49"/>
        <v>75000</v>
      </c>
      <c r="O359" s="659">
        <f t="shared" si="55"/>
        <v>181</v>
      </c>
      <c r="P359" s="660">
        <v>3</v>
      </c>
      <c r="Q359" s="661">
        <f t="shared" si="50"/>
        <v>2.504109589041096</v>
      </c>
      <c r="R359" s="662">
        <f t="shared" si="51"/>
        <v>12397</v>
      </c>
      <c r="S359" s="662">
        <f t="shared" si="52"/>
        <v>62603</v>
      </c>
      <c r="T359" s="663">
        <f t="shared" si="56"/>
        <v>0</v>
      </c>
      <c r="U359" s="663">
        <f t="shared" si="53"/>
        <v>75000</v>
      </c>
      <c r="V359" s="664"/>
      <c r="W359" s="664"/>
      <c r="X359" s="664"/>
      <c r="Y359" s="664"/>
      <c r="Z359" s="664"/>
      <c r="AA359" s="664"/>
      <c r="AB359" s="664"/>
      <c r="AC359" s="664"/>
      <c r="AD359" s="664"/>
      <c r="AE359" s="664"/>
      <c r="AF359" s="664"/>
    </row>
    <row r="360" spans="2:32" ht="14.65">
      <c r="B360" s="653">
        <f t="shared" si="54"/>
        <v>356</v>
      </c>
      <c r="C360" s="654" t="s">
        <v>568</v>
      </c>
      <c r="D360" s="684" t="s">
        <v>22</v>
      </c>
      <c r="E360" s="655">
        <v>327</v>
      </c>
      <c r="F360" s="656">
        <v>44834</v>
      </c>
      <c r="G360" s="656">
        <v>44835</v>
      </c>
      <c r="H360" s="654" t="s">
        <v>413</v>
      </c>
      <c r="I360" s="657">
        <v>44835</v>
      </c>
      <c r="J360" s="691">
        <v>99120</v>
      </c>
      <c r="K360" s="628"/>
      <c r="L360" s="628"/>
      <c r="M360" s="628">
        <v>15120</v>
      </c>
      <c r="N360" s="628">
        <f t="shared" si="49"/>
        <v>84000</v>
      </c>
      <c r="O360" s="659">
        <f t="shared" si="55"/>
        <v>181</v>
      </c>
      <c r="P360" s="660">
        <v>3</v>
      </c>
      <c r="Q360" s="661">
        <f t="shared" si="50"/>
        <v>2.504109589041096</v>
      </c>
      <c r="R360" s="662">
        <f t="shared" si="51"/>
        <v>13885</v>
      </c>
      <c r="S360" s="662">
        <f t="shared" si="52"/>
        <v>70115</v>
      </c>
      <c r="T360" s="663">
        <f t="shared" si="56"/>
        <v>0</v>
      </c>
      <c r="U360" s="663">
        <f t="shared" si="53"/>
        <v>84000</v>
      </c>
      <c r="V360" s="664"/>
      <c r="W360" s="664"/>
      <c r="X360" s="664"/>
      <c r="Y360" s="664"/>
      <c r="Z360" s="664"/>
      <c r="AA360" s="664"/>
      <c r="AB360" s="664"/>
      <c r="AC360" s="664"/>
      <c r="AD360" s="664"/>
      <c r="AE360" s="664"/>
      <c r="AF360" s="664"/>
    </row>
    <row r="361" spans="2:32" ht="14.65">
      <c r="B361" s="653">
        <f t="shared" si="54"/>
        <v>357</v>
      </c>
      <c r="C361" s="654" t="s">
        <v>568</v>
      </c>
      <c r="D361" s="684" t="s">
        <v>22</v>
      </c>
      <c r="E361" s="655">
        <v>355</v>
      </c>
      <c r="F361" s="656">
        <v>44874</v>
      </c>
      <c r="G361" s="656">
        <v>44895</v>
      </c>
      <c r="H361" s="654" t="s">
        <v>413</v>
      </c>
      <c r="I361" s="657">
        <v>44895</v>
      </c>
      <c r="J361" s="691">
        <v>116820</v>
      </c>
      <c r="K361" s="628"/>
      <c r="L361" s="628"/>
      <c r="M361" s="628">
        <v>17820</v>
      </c>
      <c r="N361" s="628">
        <f t="shared" si="49"/>
        <v>99000</v>
      </c>
      <c r="O361" s="659">
        <f t="shared" si="55"/>
        <v>121</v>
      </c>
      <c r="P361" s="660">
        <v>3</v>
      </c>
      <c r="Q361" s="661">
        <f t="shared" si="50"/>
        <v>2.6684931506849314</v>
      </c>
      <c r="R361" s="662">
        <f t="shared" si="51"/>
        <v>10940</v>
      </c>
      <c r="S361" s="662">
        <f t="shared" si="52"/>
        <v>88060</v>
      </c>
      <c r="T361" s="663">
        <f t="shared" si="56"/>
        <v>0</v>
      </c>
      <c r="U361" s="663">
        <f t="shared" si="53"/>
        <v>99000</v>
      </c>
      <c r="V361" s="664"/>
      <c r="W361" s="664"/>
      <c r="X361" s="664"/>
      <c r="Y361" s="664"/>
      <c r="Z361" s="664"/>
      <c r="AA361" s="664"/>
      <c r="AB361" s="664"/>
      <c r="AC361" s="664"/>
      <c r="AD361" s="664"/>
      <c r="AE361" s="664"/>
      <c r="AF361" s="664"/>
    </row>
    <row r="362" spans="2:32" ht="14.65">
      <c r="B362" s="653">
        <f t="shared" si="54"/>
        <v>358</v>
      </c>
      <c r="C362" s="654" t="s">
        <v>568</v>
      </c>
      <c r="D362" s="684" t="s">
        <v>22</v>
      </c>
      <c r="E362" s="655">
        <v>381</v>
      </c>
      <c r="F362" s="656">
        <v>44895</v>
      </c>
      <c r="G362" s="656">
        <v>44895</v>
      </c>
      <c r="H362" s="654" t="s">
        <v>413</v>
      </c>
      <c r="I362" s="657">
        <v>44895</v>
      </c>
      <c r="J362" s="691">
        <v>25606</v>
      </c>
      <c r="K362" s="628"/>
      <c r="L362" s="628"/>
      <c r="M362" s="628">
        <v>3906</v>
      </c>
      <c r="N362" s="628">
        <f t="shared" si="49"/>
        <v>21700</v>
      </c>
      <c r="O362" s="659">
        <f t="shared" si="55"/>
        <v>121</v>
      </c>
      <c r="P362" s="660">
        <v>3</v>
      </c>
      <c r="Q362" s="661">
        <f t="shared" si="50"/>
        <v>2.6684931506849314</v>
      </c>
      <c r="R362" s="662">
        <f t="shared" si="51"/>
        <v>2398</v>
      </c>
      <c r="S362" s="662">
        <f t="shared" si="52"/>
        <v>19302</v>
      </c>
      <c r="T362" s="663">
        <f t="shared" si="56"/>
        <v>0</v>
      </c>
      <c r="U362" s="663">
        <f t="shared" si="53"/>
        <v>21700</v>
      </c>
      <c r="V362" s="664"/>
      <c r="W362" s="664"/>
      <c r="X362" s="664"/>
      <c r="Y362" s="664"/>
      <c r="Z362" s="664"/>
      <c r="AA362" s="664"/>
      <c r="AB362" s="664"/>
      <c r="AC362" s="664"/>
      <c r="AD362" s="664"/>
      <c r="AE362" s="664"/>
      <c r="AF362" s="664"/>
    </row>
    <row r="363" spans="2:32" ht="14.65">
      <c r="B363" s="653">
        <f t="shared" si="54"/>
        <v>359</v>
      </c>
      <c r="C363" s="654" t="s">
        <v>568</v>
      </c>
      <c r="D363" s="684" t="s">
        <v>22</v>
      </c>
      <c r="E363" s="655">
        <v>412</v>
      </c>
      <c r="F363" s="656">
        <v>44919</v>
      </c>
      <c r="G363" s="656">
        <v>44926</v>
      </c>
      <c r="H363" s="654" t="s">
        <v>413</v>
      </c>
      <c r="I363" s="657">
        <v>44926</v>
      </c>
      <c r="J363" s="691">
        <v>155406</v>
      </c>
      <c r="K363" s="628"/>
      <c r="L363" s="628"/>
      <c r="M363" s="628">
        <v>23706</v>
      </c>
      <c r="N363" s="628">
        <f t="shared" si="49"/>
        <v>131700</v>
      </c>
      <c r="O363" s="659">
        <f t="shared" si="55"/>
        <v>90</v>
      </c>
      <c r="P363" s="660">
        <v>3</v>
      </c>
      <c r="Q363" s="661">
        <f t="shared" si="50"/>
        <v>2.7534246575342465</v>
      </c>
      <c r="R363" s="662">
        <f t="shared" si="51"/>
        <v>10825</v>
      </c>
      <c r="S363" s="662">
        <f t="shared" si="52"/>
        <v>120875</v>
      </c>
      <c r="T363" s="663">
        <f t="shared" si="56"/>
        <v>0</v>
      </c>
      <c r="U363" s="663">
        <f t="shared" si="53"/>
        <v>131700</v>
      </c>
      <c r="V363" s="664"/>
      <c r="W363" s="664"/>
      <c r="X363" s="664"/>
      <c r="Y363" s="664"/>
      <c r="Z363" s="664"/>
      <c r="AA363" s="664"/>
      <c r="AB363" s="664"/>
      <c r="AC363" s="664"/>
      <c r="AD363" s="664"/>
      <c r="AE363" s="664"/>
      <c r="AF363" s="664"/>
    </row>
    <row r="364" spans="2:32" ht="14.65">
      <c r="B364" s="653">
        <f t="shared" si="54"/>
        <v>360</v>
      </c>
      <c r="C364" s="654" t="s">
        <v>568</v>
      </c>
      <c r="D364" s="684" t="s">
        <v>22</v>
      </c>
      <c r="E364" s="655">
        <v>413</v>
      </c>
      <c r="F364" s="656">
        <v>44919</v>
      </c>
      <c r="G364" s="656">
        <v>44926</v>
      </c>
      <c r="H364" s="654" t="s">
        <v>413</v>
      </c>
      <c r="I364" s="657">
        <v>44926</v>
      </c>
      <c r="J364" s="691">
        <v>18054</v>
      </c>
      <c r="K364" s="628"/>
      <c r="L364" s="628"/>
      <c r="M364" s="628">
        <v>2754</v>
      </c>
      <c r="N364" s="628">
        <f t="shared" si="49"/>
        <v>15300</v>
      </c>
      <c r="O364" s="659">
        <f t="shared" si="55"/>
        <v>90</v>
      </c>
      <c r="P364" s="660">
        <v>3</v>
      </c>
      <c r="Q364" s="661">
        <f t="shared" si="50"/>
        <v>2.7534246575342465</v>
      </c>
      <c r="R364" s="662">
        <f t="shared" si="51"/>
        <v>1258</v>
      </c>
      <c r="S364" s="662">
        <f t="shared" si="52"/>
        <v>14042</v>
      </c>
      <c r="T364" s="663">
        <f t="shared" si="56"/>
        <v>0</v>
      </c>
      <c r="U364" s="663">
        <f t="shared" si="53"/>
        <v>15300</v>
      </c>
      <c r="V364" s="664"/>
      <c r="W364" s="664"/>
      <c r="X364" s="664"/>
      <c r="Y364" s="664"/>
      <c r="Z364" s="664"/>
      <c r="AA364" s="664"/>
      <c r="AB364" s="664"/>
      <c r="AC364" s="664"/>
      <c r="AD364" s="664"/>
      <c r="AE364" s="664"/>
      <c r="AF364" s="664"/>
    </row>
    <row r="365" spans="2:32" ht="14.65">
      <c r="B365" s="653">
        <f t="shared" si="54"/>
        <v>361</v>
      </c>
      <c r="C365" s="654" t="s">
        <v>320</v>
      </c>
      <c r="D365" s="684" t="s">
        <v>22</v>
      </c>
      <c r="E365" s="655">
        <v>628</v>
      </c>
      <c r="F365" s="656">
        <v>44862</v>
      </c>
      <c r="G365" s="656">
        <v>44865</v>
      </c>
      <c r="H365" s="654" t="s">
        <v>773</v>
      </c>
      <c r="I365" s="657">
        <v>44865</v>
      </c>
      <c r="J365" s="691">
        <v>982350</v>
      </c>
      <c r="K365" s="628"/>
      <c r="L365" s="628"/>
      <c r="M365" s="628">
        <v>149850</v>
      </c>
      <c r="N365" s="628">
        <f t="shared" si="49"/>
        <v>832500</v>
      </c>
      <c r="O365" s="659">
        <f t="shared" si="55"/>
        <v>151</v>
      </c>
      <c r="P365" s="660">
        <v>3</v>
      </c>
      <c r="Q365" s="661">
        <f t="shared" si="50"/>
        <v>2.5863013698630137</v>
      </c>
      <c r="R365" s="662">
        <f t="shared" si="51"/>
        <v>114801</v>
      </c>
      <c r="S365" s="662">
        <f t="shared" si="52"/>
        <v>717699</v>
      </c>
      <c r="T365" s="663">
        <f t="shared" si="56"/>
        <v>0</v>
      </c>
      <c r="U365" s="663">
        <f t="shared" si="53"/>
        <v>832500</v>
      </c>
      <c r="V365" s="664"/>
      <c r="W365" s="664"/>
      <c r="X365" s="664"/>
      <c r="Y365" s="664"/>
      <c r="Z365" s="664"/>
      <c r="AA365" s="664"/>
      <c r="AB365" s="664"/>
      <c r="AC365" s="664"/>
      <c r="AD365" s="664"/>
      <c r="AE365" s="664"/>
      <c r="AF365" s="664"/>
    </row>
    <row r="366" spans="2:32" ht="14.65">
      <c r="B366" s="653">
        <f t="shared" si="54"/>
        <v>362</v>
      </c>
      <c r="C366" s="669" t="s">
        <v>60</v>
      </c>
      <c r="D366" s="681" t="s">
        <v>22</v>
      </c>
      <c r="E366" s="669" t="s">
        <v>3496</v>
      </c>
      <c r="F366" s="672">
        <v>44956</v>
      </c>
      <c r="G366" s="672">
        <v>44972</v>
      </c>
      <c r="H366" s="669" t="s">
        <v>3495</v>
      </c>
      <c r="I366" s="672">
        <v>44972</v>
      </c>
      <c r="J366" s="627">
        <v>824820</v>
      </c>
      <c r="K366" s="627"/>
      <c r="L366" s="627"/>
      <c r="M366" s="627">
        <v>125820</v>
      </c>
      <c r="N366" s="627">
        <f t="shared" si="49"/>
        <v>699000</v>
      </c>
      <c r="O366" s="659">
        <f t="shared" si="55"/>
        <v>44</v>
      </c>
      <c r="P366" s="673">
        <v>9</v>
      </c>
      <c r="Q366" s="674">
        <f t="shared" si="50"/>
        <v>8.8794520547945197</v>
      </c>
      <c r="R366" s="675">
        <f t="shared" si="51"/>
        <v>9363</v>
      </c>
      <c r="S366" s="675">
        <f t="shared" si="52"/>
        <v>689637</v>
      </c>
      <c r="T366" s="676">
        <f t="shared" si="56"/>
        <v>0</v>
      </c>
      <c r="U366" s="676">
        <f t="shared" si="53"/>
        <v>699000</v>
      </c>
      <c r="V366" s="664"/>
      <c r="W366" s="664"/>
      <c r="X366" s="664"/>
      <c r="Y366" s="664"/>
      <c r="Z366" s="664"/>
      <c r="AA366" s="664"/>
      <c r="AB366" s="664"/>
      <c r="AC366" s="664"/>
      <c r="AD366" s="664"/>
      <c r="AE366" s="664"/>
      <c r="AF366" s="664"/>
    </row>
    <row r="367" spans="2:32" ht="14.65">
      <c r="B367" s="653">
        <f t="shared" si="54"/>
        <v>363</v>
      </c>
      <c r="C367" s="669" t="s">
        <v>3380</v>
      </c>
      <c r="D367" s="681" t="s">
        <v>22</v>
      </c>
      <c r="E367" s="669">
        <v>457</v>
      </c>
      <c r="F367" s="672">
        <v>44966</v>
      </c>
      <c r="G367" s="672">
        <v>44984</v>
      </c>
      <c r="H367" s="669" t="s">
        <v>413</v>
      </c>
      <c r="I367" s="672">
        <v>44984</v>
      </c>
      <c r="J367" s="627">
        <v>436600</v>
      </c>
      <c r="K367" s="627"/>
      <c r="L367" s="627"/>
      <c r="M367" s="627">
        <v>66600</v>
      </c>
      <c r="N367" s="627">
        <f t="shared" si="49"/>
        <v>370000</v>
      </c>
      <c r="O367" s="659">
        <f t="shared" si="55"/>
        <v>32</v>
      </c>
      <c r="P367" s="660">
        <v>3</v>
      </c>
      <c r="Q367" s="674">
        <f t="shared" si="50"/>
        <v>2.9123287671232876</v>
      </c>
      <c r="R367" s="675">
        <f t="shared" si="51"/>
        <v>10813</v>
      </c>
      <c r="S367" s="675">
        <f t="shared" si="52"/>
        <v>359187</v>
      </c>
      <c r="T367" s="676">
        <f t="shared" si="56"/>
        <v>0</v>
      </c>
      <c r="U367" s="676">
        <f t="shared" si="53"/>
        <v>370000</v>
      </c>
      <c r="V367" s="664"/>
      <c r="W367" s="664"/>
      <c r="X367" s="664"/>
      <c r="Y367" s="664"/>
      <c r="Z367" s="664"/>
      <c r="AA367" s="664"/>
      <c r="AB367" s="664"/>
      <c r="AC367" s="664"/>
      <c r="AD367" s="664"/>
      <c r="AE367" s="664"/>
      <c r="AF367" s="664"/>
    </row>
    <row r="368" spans="2:32" ht="14.65">
      <c r="B368" s="653">
        <f t="shared" si="54"/>
        <v>364</v>
      </c>
      <c r="C368" s="669" t="s">
        <v>60</v>
      </c>
      <c r="D368" s="681" t="s">
        <v>22</v>
      </c>
      <c r="E368" s="669">
        <v>4751</v>
      </c>
      <c r="F368" s="672">
        <v>45012</v>
      </c>
      <c r="G368" s="672">
        <v>45016</v>
      </c>
      <c r="H368" s="669" t="s">
        <v>3495</v>
      </c>
      <c r="I368" s="672">
        <v>45016</v>
      </c>
      <c r="J368" s="627">
        <v>141600</v>
      </c>
      <c r="K368" s="627"/>
      <c r="L368" s="627"/>
      <c r="M368" s="627">
        <v>21600</v>
      </c>
      <c r="N368" s="627">
        <f t="shared" si="49"/>
        <v>120000</v>
      </c>
      <c r="O368" s="659">
        <f t="shared" ref="O368:O374" si="57">$O$1-I368</f>
        <v>0</v>
      </c>
      <c r="P368" s="660">
        <v>3</v>
      </c>
      <c r="Q368" s="674">
        <f t="shared" ref="Q368:Q374" si="58">+P368-(O368/365)</f>
        <v>3</v>
      </c>
      <c r="R368" s="675">
        <f t="shared" ref="R368:R374" si="59">ROUND(+N368/(P368*365)*O368,0)</f>
        <v>0</v>
      </c>
      <c r="S368" s="675">
        <f t="shared" ref="S368:S374" si="60">+N368-R368</f>
        <v>120000</v>
      </c>
      <c r="T368" s="676">
        <f t="shared" ref="T368:T374" si="61">IF(I368&lt;=DATE(2022,9,30),N368,0)</f>
        <v>0</v>
      </c>
      <c r="U368" s="676">
        <f t="shared" ref="U368:U374" si="62">IF(I368&gt;DATE(2022,9,30),N368,0)</f>
        <v>120000</v>
      </c>
      <c r="V368" s="664"/>
      <c r="W368" s="664"/>
      <c r="X368" s="664"/>
      <c r="Y368" s="664"/>
      <c r="Z368" s="664"/>
      <c r="AA368" s="664"/>
      <c r="AB368" s="664"/>
      <c r="AC368" s="664"/>
      <c r="AD368" s="664"/>
      <c r="AE368" s="664"/>
      <c r="AF368" s="664"/>
    </row>
    <row r="369" spans="2:32" ht="14.65">
      <c r="B369" s="653">
        <f t="shared" si="54"/>
        <v>365</v>
      </c>
      <c r="C369" s="669" t="s">
        <v>60</v>
      </c>
      <c r="D369" s="681" t="s">
        <v>22</v>
      </c>
      <c r="E369" s="669">
        <v>4742</v>
      </c>
      <c r="F369" s="672">
        <v>45008</v>
      </c>
      <c r="G369" s="672">
        <v>45016</v>
      </c>
      <c r="H369" s="669" t="s">
        <v>3495</v>
      </c>
      <c r="I369" s="672">
        <v>45016</v>
      </c>
      <c r="J369" s="627">
        <v>549880</v>
      </c>
      <c r="K369" s="627"/>
      <c r="L369" s="627"/>
      <c r="M369" s="627">
        <v>83880</v>
      </c>
      <c r="N369" s="627">
        <f t="shared" si="49"/>
        <v>466000</v>
      </c>
      <c r="O369" s="659">
        <f t="shared" si="57"/>
        <v>0</v>
      </c>
      <c r="P369" s="660">
        <v>3</v>
      </c>
      <c r="Q369" s="674">
        <f t="shared" si="58"/>
        <v>3</v>
      </c>
      <c r="R369" s="675">
        <f t="shared" si="59"/>
        <v>0</v>
      </c>
      <c r="S369" s="675">
        <f t="shared" si="60"/>
        <v>466000</v>
      </c>
      <c r="T369" s="676">
        <f t="shared" si="61"/>
        <v>0</v>
      </c>
      <c r="U369" s="676">
        <f t="shared" si="62"/>
        <v>466000</v>
      </c>
      <c r="V369" s="664"/>
      <c r="W369" s="664"/>
      <c r="X369" s="664"/>
      <c r="Y369" s="664"/>
      <c r="Z369" s="664"/>
      <c r="AA369" s="664"/>
      <c r="AB369" s="664"/>
      <c r="AC369" s="664"/>
      <c r="AD369" s="664"/>
      <c r="AE369" s="664"/>
      <c r="AF369" s="664"/>
    </row>
    <row r="370" spans="2:32" ht="14.65">
      <c r="B370" s="653">
        <f t="shared" si="54"/>
        <v>366</v>
      </c>
      <c r="C370" s="669" t="s">
        <v>3380</v>
      </c>
      <c r="D370" s="681" t="s">
        <v>22</v>
      </c>
      <c r="E370" s="669">
        <v>433</v>
      </c>
      <c r="F370" s="672">
        <v>45016</v>
      </c>
      <c r="G370" s="672">
        <v>45016</v>
      </c>
      <c r="H370" s="669" t="s">
        <v>413</v>
      </c>
      <c r="I370" s="672">
        <v>44986</v>
      </c>
      <c r="J370" s="627">
        <v>74340</v>
      </c>
      <c r="K370" s="627"/>
      <c r="L370" s="627"/>
      <c r="M370" s="627">
        <v>11340</v>
      </c>
      <c r="N370" s="627">
        <f t="shared" si="49"/>
        <v>63000</v>
      </c>
      <c r="O370" s="659">
        <f t="shared" si="57"/>
        <v>30</v>
      </c>
      <c r="P370" s="660">
        <v>3</v>
      </c>
      <c r="Q370" s="674">
        <f t="shared" si="58"/>
        <v>2.9178082191780823</v>
      </c>
      <c r="R370" s="675">
        <f t="shared" si="59"/>
        <v>1726</v>
      </c>
      <c r="S370" s="675">
        <f t="shared" si="60"/>
        <v>61274</v>
      </c>
      <c r="T370" s="676">
        <f t="shared" si="61"/>
        <v>0</v>
      </c>
      <c r="U370" s="676">
        <f t="shared" si="62"/>
        <v>63000</v>
      </c>
      <c r="V370" s="664"/>
      <c r="W370" s="664"/>
      <c r="X370" s="664"/>
      <c r="Y370" s="664"/>
      <c r="Z370" s="664"/>
      <c r="AA370" s="664"/>
      <c r="AB370" s="664"/>
      <c r="AC370" s="664"/>
      <c r="AD370" s="664"/>
      <c r="AE370" s="664"/>
      <c r="AF370" s="664"/>
    </row>
    <row r="371" spans="2:32" ht="14.65">
      <c r="B371" s="653">
        <f t="shared" si="54"/>
        <v>367</v>
      </c>
      <c r="C371" s="669" t="s">
        <v>3380</v>
      </c>
      <c r="D371" s="681" t="s">
        <v>22</v>
      </c>
      <c r="E371" s="669">
        <v>434</v>
      </c>
      <c r="F371" s="672">
        <v>44933</v>
      </c>
      <c r="G371" s="672">
        <v>45016</v>
      </c>
      <c r="H371" s="669" t="s">
        <v>413</v>
      </c>
      <c r="I371" s="672">
        <v>44986</v>
      </c>
      <c r="J371" s="627">
        <v>19234</v>
      </c>
      <c r="K371" s="627"/>
      <c r="L371" s="627"/>
      <c r="M371" s="627">
        <v>2934</v>
      </c>
      <c r="N371" s="627">
        <f t="shared" si="49"/>
        <v>16300</v>
      </c>
      <c r="O371" s="659">
        <f t="shared" si="57"/>
        <v>30</v>
      </c>
      <c r="P371" s="660">
        <v>3</v>
      </c>
      <c r="Q371" s="674">
        <f t="shared" si="58"/>
        <v>2.9178082191780823</v>
      </c>
      <c r="R371" s="675">
        <f t="shared" si="59"/>
        <v>447</v>
      </c>
      <c r="S371" s="675">
        <f t="shared" si="60"/>
        <v>15853</v>
      </c>
      <c r="T371" s="676">
        <f t="shared" si="61"/>
        <v>0</v>
      </c>
      <c r="U371" s="676">
        <f t="shared" si="62"/>
        <v>16300</v>
      </c>
      <c r="V371" s="664"/>
      <c r="W371" s="664"/>
      <c r="X371" s="664"/>
      <c r="Y371" s="664"/>
      <c r="Z371" s="664"/>
      <c r="AA371" s="664"/>
      <c r="AB371" s="664"/>
      <c r="AC371" s="664"/>
      <c r="AD371" s="664"/>
      <c r="AE371" s="664"/>
      <c r="AF371" s="664"/>
    </row>
    <row r="372" spans="2:32" ht="14.65">
      <c r="B372" s="653">
        <f t="shared" si="54"/>
        <v>368</v>
      </c>
      <c r="C372" s="669" t="s">
        <v>3380</v>
      </c>
      <c r="D372" s="681" t="s">
        <v>22</v>
      </c>
      <c r="E372" s="669">
        <v>479</v>
      </c>
      <c r="F372" s="672">
        <v>45002</v>
      </c>
      <c r="G372" s="672">
        <v>45016</v>
      </c>
      <c r="H372" s="669" t="s">
        <v>413</v>
      </c>
      <c r="I372" s="672">
        <v>45002</v>
      </c>
      <c r="J372" s="627">
        <v>290988</v>
      </c>
      <c r="K372" s="627"/>
      <c r="L372" s="627"/>
      <c r="M372" s="627">
        <v>44388</v>
      </c>
      <c r="N372" s="627">
        <f t="shared" si="49"/>
        <v>246600</v>
      </c>
      <c r="O372" s="659">
        <f t="shared" si="57"/>
        <v>14</v>
      </c>
      <c r="P372" s="660">
        <v>3</v>
      </c>
      <c r="Q372" s="674">
        <f t="shared" si="58"/>
        <v>2.9616438356164383</v>
      </c>
      <c r="R372" s="675">
        <f t="shared" si="59"/>
        <v>3153</v>
      </c>
      <c r="S372" s="675">
        <f t="shared" si="60"/>
        <v>243447</v>
      </c>
      <c r="T372" s="676">
        <f t="shared" si="61"/>
        <v>0</v>
      </c>
      <c r="U372" s="676">
        <f t="shared" si="62"/>
        <v>246600</v>
      </c>
      <c r="V372" s="664"/>
      <c r="W372" s="664"/>
      <c r="X372" s="664"/>
      <c r="Y372" s="664"/>
      <c r="Z372" s="664"/>
      <c r="AA372" s="664"/>
      <c r="AB372" s="664"/>
      <c r="AC372" s="664"/>
      <c r="AD372" s="664"/>
      <c r="AE372" s="664"/>
      <c r="AF372" s="664"/>
    </row>
    <row r="373" spans="2:32" ht="14.65">
      <c r="B373" s="653">
        <f t="shared" si="54"/>
        <v>369</v>
      </c>
      <c r="C373" s="669" t="s">
        <v>3380</v>
      </c>
      <c r="D373" s="681" t="s">
        <v>22</v>
      </c>
      <c r="E373" s="669">
        <v>485</v>
      </c>
      <c r="F373" s="672">
        <v>45010</v>
      </c>
      <c r="G373" s="672">
        <v>45016</v>
      </c>
      <c r="H373" s="669" t="s">
        <v>413</v>
      </c>
      <c r="I373" s="672">
        <v>45010</v>
      </c>
      <c r="J373" s="627">
        <v>9877</v>
      </c>
      <c r="K373" s="627"/>
      <c r="L373" s="627"/>
      <c r="M373" s="627">
        <v>1506</v>
      </c>
      <c r="N373" s="627">
        <f t="shared" si="49"/>
        <v>8371</v>
      </c>
      <c r="O373" s="659">
        <f t="shared" si="57"/>
        <v>6</v>
      </c>
      <c r="P373" s="660">
        <v>3</v>
      </c>
      <c r="Q373" s="674">
        <f t="shared" si="58"/>
        <v>2.9835616438356163</v>
      </c>
      <c r="R373" s="675">
        <f t="shared" si="59"/>
        <v>46</v>
      </c>
      <c r="S373" s="675">
        <f t="shared" si="60"/>
        <v>8325</v>
      </c>
      <c r="T373" s="676">
        <f t="shared" si="61"/>
        <v>0</v>
      </c>
      <c r="U373" s="676">
        <f t="shared" si="62"/>
        <v>8371</v>
      </c>
      <c r="V373" s="664"/>
      <c r="W373" s="664"/>
      <c r="X373" s="664"/>
      <c r="Y373" s="664"/>
      <c r="Z373" s="664"/>
      <c r="AA373" s="664"/>
      <c r="AB373" s="664"/>
      <c r="AC373" s="664"/>
      <c r="AD373" s="664"/>
      <c r="AE373" s="664"/>
      <c r="AF373" s="664"/>
    </row>
    <row r="374" spans="2:32" ht="14.65">
      <c r="B374" s="653">
        <f t="shared" si="54"/>
        <v>370</v>
      </c>
      <c r="C374" s="669" t="s">
        <v>3380</v>
      </c>
      <c r="D374" s="681" t="s">
        <v>22</v>
      </c>
      <c r="E374" s="669">
        <v>490</v>
      </c>
      <c r="F374" s="672">
        <v>45013</v>
      </c>
      <c r="G374" s="672">
        <v>45016</v>
      </c>
      <c r="H374" s="669" t="s">
        <v>413</v>
      </c>
      <c r="I374" s="672">
        <v>45016</v>
      </c>
      <c r="J374" s="627">
        <v>30527</v>
      </c>
      <c r="K374" s="627"/>
      <c r="L374" s="627"/>
      <c r="M374" s="627">
        <v>4656</v>
      </c>
      <c r="N374" s="627">
        <f t="shared" si="49"/>
        <v>25871</v>
      </c>
      <c r="O374" s="659">
        <f t="shared" si="57"/>
        <v>0</v>
      </c>
      <c r="P374" s="660">
        <v>3</v>
      </c>
      <c r="Q374" s="674">
        <f t="shared" si="58"/>
        <v>3</v>
      </c>
      <c r="R374" s="675">
        <f t="shared" si="59"/>
        <v>0</v>
      </c>
      <c r="S374" s="675">
        <f t="shared" si="60"/>
        <v>25871</v>
      </c>
      <c r="T374" s="676">
        <f t="shared" si="61"/>
        <v>0</v>
      </c>
      <c r="U374" s="676">
        <f t="shared" si="62"/>
        <v>25871</v>
      </c>
      <c r="V374" s="664"/>
      <c r="W374" s="664"/>
      <c r="X374" s="664"/>
      <c r="Y374" s="664"/>
      <c r="Z374" s="664"/>
      <c r="AA374" s="664"/>
      <c r="AB374" s="664"/>
      <c r="AC374" s="664"/>
      <c r="AD374" s="664"/>
      <c r="AE374" s="664"/>
      <c r="AF374" s="664"/>
    </row>
    <row r="375" spans="2:32" ht="14.65">
      <c r="B375" s="653">
        <f t="shared" si="54"/>
        <v>371</v>
      </c>
      <c r="C375" s="665" t="s">
        <v>70</v>
      </c>
      <c r="D375" s="665" t="s">
        <v>3461</v>
      </c>
      <c r="E375" s="667">
        <v>57</v>
      </c>
      <c r="F375" s="657">
        <v>44660</v>
      </c>
      <c r="G375" s="657">
        <v>44660</v>
      </c>
      <c r="H375" s="665" t="s">
        <v>177</v>
      </c>
      <c r="I375" s="657">
        <v>44660</v>
      </c>
      <c r="J375" s="628">
        <v>173696</v>
      </c>
      <c r="K375" s="628"/>
      <c r="L375" s="628"/>
      <c r="M375" s="628">
        <v>26496</v>
      </c>
      <c r="N375" s="628">
        <f t="shared" si="49"/>
        <v>147200</v>
      </c>
      <c r="O375" s="659">
        <f t="shared" ref="O375:O438" si="63">$O$1-I375</f>
        <v>356</v>
      </c>
      <c r="P375" s="660">
        <v>9</v>
      </c>
      <c r="Q375" s="661">
        <f t="shared" ref="Q375:Q406" si="64">+P375-(O375/365)</f>
        <v>8.0246575342465754</v>
      </c>
      <c r="R375" s="662">
        <f t="shared" ref="R375:R406" si="65">ROUND(+N375/(P375*365)*O375,0)</f>
        <v>15952</v>
      </c>
      <c r="S375" s="662">
        <f t="shared" ref="S375:S406" si="66">+N375-R375</f>
        <v>131248</v>
      </c>
      <c r="T375" s="663">
        <f t="shared" ref="T375:T438" si="67">IF(I375&lt;=DATE(2022,9,30),N375,0)</f>
        <v>147200</v>
      </c>
      <c r="U375" s="663">
        <f t="shared" ref="U375:U438" si="68">IF(I375&gt;DATE(2022,9,30),N375,0)</f>
        <v>0</v>
      </c>
      <c r="V375" s="664"/>
      <c r="W375" s="664"/>
      <c r="X375" s="664"/>
      <c r="Y375" s="664"/>
      <c r="Z375" s="664"/>
      <c r="AA375" s="664"/>
      <c r="AB375" s="664"/>
      <c r="AC375" s="664"/>
      <c r="AD375" s="664"/>
      <c r="AE375" s="664"/>
      <c r="AF375" s="664"/>
    </row>
    <row r="376" spans="2:32" ht="14.65">
      <c r="B376" s="653">
        <f t="shared" si="54"/>
        <v>372</v>
      </c>
      <c r="C376" s="665" t="s">
        <v>71</v>
      </c>
      <c r="D376" s="665" t="s">
        <v>3461</v>
      </c>
      <c r="E376" s="667" t="s">
        <v>139</v>
      </c>
      <c r="F376" s="657">
        <v>44663</v>
      </c>
      <c r="G376" s="657">
        <v>44663</v>
      </c>
      <c r="H376" s="665" t="s">
        <v>172</v>
      </c>
      <c r="I376" s="668">
        <v>44663</v>
      </c>
      <c r="J376" s="628">
        <v>3534999.08</v>
      </c>
      <c r="K376" s="628"/>
      <c r="L376" s="628">
        <v>49513</v>
      </c>
      <c r="M376" s="628">
        <v>762450.08000000007</v>
      </c>
      <c r="N376" s="628">
        <f t="shared" si="49"/>
        <v>2723036</v>
      </c>
      <c r="O376" s="659">
        <f t="shared" si="63"/>
        <v>353</v>
      </c>
      <c r="P376" s="660">
        <v>9</v>
      </c>
      <c r="Q376" s="661">
        <f t="shared" si="64"/>
        <v>8.0328767123287665</v>
      </c>
      <c r="R376" s="662">
        <f t="shared" si="65"/>
        <v>292612</v>
      </c>
      <c r="S376" s="662">
        <f t="shared" si="66"/>
        <v>2430424</v>
      </c>
      <c r="T376" s="663">
        <f t="shared" si="67"/>
        <v>2723036</v>
      </c>
      <c r="U376" s="663">
        <f t="shared" si="68"/>
        <v>0</v>
      </c>
      <c r="V376" s="664"/>
      <c r="W376" s="664"/>
      <c r="X376" s="664"/>
      <c r="Y376" s="664"/>
      <c r="Z376" s="664"/>
      <c r="AA376" s="664"/>
      <c r="AB376" s="664"/>
      <c r="AC376" s="664"/>
      <c r="AD376" s="664"/>
      <c r="AE376" s="664"/>
      <c r="AF376" s="664"/>
    </row>
    <row r="377" spans="2:32" ht="14.65">
      <c r="B377" s="653">
        <f t="shared" si="54"/>
        <v>373</v>
      </c>
      <c r="C377" s="665" t="s">
        <v>71</v>
      </c>
      <c r="D377" s="665" t="s">
        <v>3461</v>
      </c>
      <c r="E377" s="667" t="s">
        <v>140</v>
      </c>
      <c r="F377" s="657">
        <v>44663</v>
      </c>
      <c r="G377" s="657">
        <v>44663</v>
      </c>
      <c r="H377" s="665" t="s">
        <v>172</v>
      </c>
      <c r="I377" s="668">
        <v>44663</v>
      </c>
      <c r="J377" s="628">
        <v>3534999.08</v>
      </c>
      <c r="K377" s="628"/>
      <c r="L377" s="628">
        <v>49513</v>
      </c>
      <c r="M377" s="628">
        <v>762450.08000000007</v>
      </c>
      <c r="N377" s="628">
        <f t="shared" si="49"/>
        <v>2723036</v>
      </c>
      <c r="O377" s="659">
        <f t="shared" si="63"/>
        <v>353</v>
      </c>
      <c r="P377" s="660">
        <v>9</v>
      </c>
      <c r="Q377" s="661">
        <f t="shared" si="64"/>
        <v>8.0328767123287665</v>
      </c>
      <c r="R377" s="662">
        <f t="shared" si="65"/>
        <v>292612</v>
      </c>
      <c r="S377" s="662">
        <f t="shared" si="66"/>
        <v>2430424</v>
      </c>
      <c r="T377" s="663">
        <f t="shared" si="67"/>
        <v>2723036</v>
      </c>
      <c r="U377" s="663">
        <f t="shared" si="68"/>
        <v>0</v>
      </c>
      <c r="V377" s="664"/>
      <c r="W377" s="664"/>
      <c r="X377" s="664"/>
      <c r="Y377" s="664"/>
      <c r="Z377" s="664"/>
      <c r="AA377" s="664"/>
      <c r="AB377" s="664"/>
      <c r="AC377" s="664"/>
      <c r="AD377" s="664"/>
      <c r="AE377" s="664"/>
      <c r="AF377" s="664"/>
    </row>
    <row r="378" spans="2:32" ht="14.65">
      <c r="B378" s="653">
        <f t="shared" si="54"/>
        <v>374</v>
      </c>
      <c r="C378" s="684" t="s">
        <v>319</v>
      </c>
      <c r="D378" s="665" t="s">
        <v>3461</v>
      </c>
      <c r="E378" s="685" t="s">
        <v>377</v>
      </c>
      <c r="F378" s="686">
        <v>44753</v>
      </c>
      <c r="G378" s="686">
        <v>44753</v>
      </c>
      <c r="H378" s="684" t="s">
        <v>407</v>
      </c>
      <c r="I378" s="657">
        <v>44753</v>
      </c>
      <c r="J378" s="628">
        <v>3980612</v>
      </c>
      <c r="K378" s="628">
        <v>265109</v>
      </c>
      <c r="L378" s="628">
        <v>39412</v>
      </c>
      <c r="M378" s="628">
        <v>601200</v>
      </c>
      <c r="N378" s="628">
        <f t="shared" si="49"/>
        <v>3605109</v>
      </c>
      <c r="O378" s="659">
        <f t="shared" si="63"/>
        <v>263</v>
      </c>
      <c r="P378" s="660">
        <v>9</v>
      </c>
      <c r="Q378" s="661">
        <f t="shared" si="64"/>
        <v>8.2794520547945201</v>
      </c>
      <c r="R378" s="662">
        <f t="shared" si="65"/>
        <v>288628</v>
      </c>
      <c r="S378" s="662">
        <f t="shared" si="66"/>
        <v>3316481</v>
      </c>
      <c r="T378" s="663">
        <f t="shared" si="67"/>
        <v>3605109</v>
      </c>
      <c r="U378" s="663">
        <f t="shared" si="68"/>
        <v>0</v>
      </c>
      <c r="V378" s="664"/>
      <c r="W378" s="664"/>
      <c r="X378" s="664"/>
      <c r="Y378" s="664"/>
      <c r="Z378" s="664"/>
      <c r="AA378" s="664"/>
      <c r="AB378" s="664"/>
      <c r="AC378" s="664"/>
      <c r="AD378" s="664"/>
      <c r="AE378" s="664"/>
      <c r="AF378" s="664"/>
    </row>
    <row r="379" spans="2:32" ht="14.65">
      <c r="B379" s="653">
        <f t="shared" si="54"/>
        <v>375</v>
      </c>
      <c r="C379" s="684" t="s">
        <v>319</v>
      </c>
      <c r="D379" s="665" t="s">
        <v>3461</v>
      </c>
      <c r="E379" s="685" t="s">
        <v>378</v>
      </c>
      <c r="F379" s="686">
        <v>44824</v>
      </c>
      <c r="G379" s="686">
        <v>44824</v>
      </c>
      <c r="H379" s="684" t="s">
        <v>407</v>
      </c>
      <c r="I379" s="657">
        <v>44824</v>
      </c>
      <c r="J379" s="628">
        <v>3980612</v>
      </c>
      <c r="K379" s="628">
        <v>265109</v>
      </c>
      <c r="L379" s="628">
        <v>39412</v>
      </c>
      <c r="M379" s="628">
        <v>601200</v>
      </c>
      <c r="N379" s="628">
        <f t="shared" si="49"/>
        <v>3605109</v>
      </c>
      <c r="O379" s="659">
        <f t="shared" si="63"/>
        <v>192</v>
      </c>
      <c r="P379" s="660">
        <v>9</v>
      </c>
      <c r="Q379" s="661">
        <f t="shared" si="64"/>
        <v>8.4739726027397264</v>
      </c>
      <c r="R379" s="662">
        <f t="shared" si="65"/>
        <v>210710</v>
      </c>
      <c r="S379" s="662">
        <f t="shared" si="66"/>
        <v>3394399</v>
      </c>
      <c r="T379" s="663">
        <f t="shared" si="67"/>
        <v>3605109</v>
      </c>
      <c r="U379" s="663">
        <f t="shared" si="68"/>
        <v>0</v>
      </c>
      <c r="V379" s="664"/>
      <c r="W379" s="664"/>
      <c r="X379" s="664"/>
      <c r="Y379" s="664"/>
      <c r="Z379" s="664"/>
      <c r="AA379" s="664"/>
      <c r="AB379" s="664"/>
      <c r="AC379" s="664"/>
      <c r="AD379" s="664"/>
      <c r="AE379" s="664"/>
      <c r="AF379" s="664"/>
    </row>
    <row r="380" spans="2:32" ht="14.65">
      <c r="B380" s="653">
        <f t="shared" si="54"/>
        <v>376</v>
      </c>
      <c r="C380" s="684" t="s">
        <v>302</v>
      </c>
      <c r="D380" s="665" t="s">
        <v>3461</v>
      </c>
      <c r="E380" s="685" t="s">
        <v>379</v>
      </c>
      <c r="F380" s="686">
        <v>44803</v>
      </c>
      <c r="G380" s="686">
        <v>44803</v>
      </c>
      <c r="H380" s="684" t="s">
        <v>175</v>
      </c>
      <c r="I380" s="657">
        <v>44803</v>
      </c>
      <c r="J380" s="628">
        <v>218910</v>
      </c>
      <c r="K380" s="628"/>
      <c r="L380" s="628"/>
      <c r="M380" s="628">
        <v>33393.019999999997</v>
      </c>
      <c r="N380" s="628">
        <f t="shared" si="49"/>
        <v>185516.98</v>
      </c>
      <c r="O380" s="659">
        <f t="shared" si="63"/>
        <v>213</v>
      </c>
      <c r="P380" s="660">
        <v>9</v>
      </c>
      <c r="Q380" s="661">
        <f t="shared" si="64"/>
        <v>8.4164383561643827</v>
      </c>
      <c r="R380" s="662">
        <f t="shared" si="65"/>
        <v>12029</v>
      </c>
      <c r="S380" s="662">
        <f t="shared" si="66"/>
        <v>173487.98</v>
      </c>
      <c r="T380" s="663">
        <f t="shared" si="67"/>
        <v>185516.98</v>
      </c>
      <c r="U380" s="663">
        <f t="shared" si="68"/>
        <v>0</v>
      </c>
      <c r="V380" s="664"/>
      <c r="W380" s="664"/>
      <c r="X380" s="664"/>
      <c r="Y380" s="664"/>
      <c r="Z380" s="664"/>
      <c r="AA380" s="664"/>
      <c r="AB380" s="664"/>
      <c r="AC380" s="664"/>
      <c r="AD380" s="664"/>
      <c r="AE380" s="664"/>
      <c r="AF380" s="664"/>
    </row>
    <row r="381" spans="2:32" ht="14.65">
      <c r="B381" s="653">
        <f t="shared" si="54"/>
        <v>377</v>
      </c>
      <c r="C381" s="654" t="s">
        <v>564</v>
      </c>
      <c r="D381" s="654" t="s">
        <v>586</v>
      </c>
      <c r="E381" s="655" t="s">
        <v>684</v>
      </c>
      <c r="F381" s="656">
        <v>44897</v>
      </c>
      <c r="G381" s="656">
        <v>44897</v>
      </c>
      <c r="H381" s="654" t="s">
        <v>761</v>
      </c>
      <c r="I381" s="657">
        <v>44897</v>
      </c>
      <c r="J381" s="691">
        <v>3551800</v>
      </c>
      <c r="K381" s="628"/>
      <c r="L381" s="628"/>
      <c r="M381" s="628">
        <v>541800</v>
      </c>
      <c r="N381" s="628">
        <f t="shared" si="49"/>
        <v>3010000</v>
      </c>
      <c r="O381" s="659">
        <f t="shared" si="63"/>
        <v>119</v>
      </c>
      <c r="P381" s="660">
        <v>9</v>
      </c>
      <c r="Q381" s="661">
        <f t="shared" si="64"/>
        <v>8.6739726027397257</v>
      </c>
      <c r="R381" s="662">
        <f t="shared" si="65"/>
        <v>109038</v>
      </c>
      <c r="S381" s="662">
        <f t="shared" si="66"/>
        <v>2900962</v>
      </c>
      <c r="T381" s="663">
        <f t="shared" si="67"/>
        <v>0</v>
      </c>
      <c r="U381" s="663">
        <f t="shared" si="68"/>
        <v>3010000</v>
      </c>
      <c r="V381" s="664"/>
      <c r="W381" s="664"/>
      <c r="X381" s="664"/>
      <c r="Y381" s="664"/>
      <c r="Z381" s="664"/>
      <c r="AA381" s="664"/>
      <c r="AB381" s="664"/>
      <c r="AC381" s="664"/>
      <c r="AD381" s="664"/>
      <c r="AE381" s="664"/>
      <c r="AF381" s="664"/>
    </row>
    <row r="382" spans="2:32" ht="14.65">
      <c r="B382" s="653">
        <f t="shared" si="54"/>
        <v>378</v>
      </c>
      <c r="C382" s="669" t="s">
        <v>326</v>
      </c>
      <c r="D382" s="670" t="s">
        <v>586</v>
      </c>
      <c r="E382" s="671">
        <v>231801013</v>
      </c>
      <c r="F382" s="672">
        <v>44945</v>
      </c>
      <c r="G382" s="672">
        <v>44945</v>
      </c>
      <c r="H382" s="669" t="s">
        <v>419</v>
      </c>
      <c r="I382" s="672">
        <v>44945</v>
      </c>
      <c r="J382" s="627">
        <v>1357000</v>
      </c>
      <c r="K382" s="627"/>
      <c r="L382" s="627"/>
      <c r="M382" s="627">
        <v>207000</v>
      </c>
      <c r="N382" s="627">
        <f t="shared" si="49"/>
        <v>1150000</v>
      </c>
      <c r="O382" s="659">
        <f t="shared" si="63"/>
        <v>71</v>
      </c>
      <c r="P382" s="673">
        <v>9</v>
      </c>
      <c r="Q382" s="674">
        <f t="shared" si="64"/>
        <v>8.8054794520547937</v>
      </c>
      <c r="R382" s="675">
        <f t="shared" si="65"/>
        <v>24855</v>
      </c>
      <c r="S382" s="675">
        <f t="shared" si="66"/>
        <v>1125145</v>
      </c>
      <c r="T382" s="676">
        <f t="shared" si="67"/>
        <v>0</v>
      </c>
      <c r="U382" s="676">
        <f t="shared" si="68"/>
        <v>1150000</v>
      </c>
      <c r="V382" s="664"/>
      <c r="W382" s="664"/>
      <c r="X382" s="664"/>
      <c r="Y382" s="664"/>
      <c r="Z382" s="664"/>
      <c r="AA382" s="664"/>
      <c r="AB382" s="664"/>
      <c r="AC382" s="664"/>
      <c r="AD382" s="664"/>
      <c r="AE382" s="664"/>
      <c r="AF382" s="664"/>
    </row>
    <row r="383" spans="2:32" ht="14.65">
      <c r="B383" s="653">
        <f t="shared" si="54"/>
        <v>379</v>
      </c>
      <c r="C383" s="669" t="s">
        <v>1283</v>
      </c>
      <c r="D383" s="681" t="s">
        <v>586</v>
      </c>
      <c r="E383" s="669" t="s">
        <v>3494</v>
      </c>
      <c r="F383" s="672">
        <v>44938</v>
      </c>
      <c r="G383" s="672">
        <v>44977</v>
      </c>
      <c r="H383" s="669" t="s">
        <v>3493</v>
      </c>
      <c r="I383" s="672">
        <v>44977</v>
      </c>
      <c r="J383" s="627">
        <v>264674</v>
      </c>
      <c r="K383" s="627"/>
      <c r="L383" s="627"/>
      <c r="M383" s="627">
        <v>40374</v>
      </c>
      <c r="N383" s="627">
        <f t="shared" si="49"/>
        <v>224300</v>
      </c>
      <c r="O383" s="659">
        <f t="shared" si="63"/>
        <v>39</v>
      </c>
      <c r="P383" s="673">
        <v>9</v>
      </c>
      <c r="Q383" s="674">
        <f t="shared" si="64"/>
        <v>8.8931506849315074</v>
      </c>
      <c r="R383" s="675">
        <f t="shared" si="65"/>
        <v>2663</v>
      </c>
      <c r="S383" s="675">
        <f t="shared" si="66"/>
        <v>221637</v>
      </c>
      <c r="T383" s="676">
        <f t="shared" si="67"/>
        <v>0</v>
      </c>
      <c r="U383" s="676">
        <f t="shared" si="68"/>
        <v>224300</v>
      </c>
      <c r="V383" s="664"/>
      <c r="W383" s="664"/>
      <c r="X383" s="664"/>
      <c r="Y383" s="664"/>
      <c r="Z383" s="664"/>
      <c r="AA383" s="664"/>
      <c r="AB383" s="664"/>
      <c r="AC383" s="664"/>
      <c r="AD383" s="664"/>
      <c r="AE383" s="664"/>
      <c r="AF383" s="664"/>
    </row>
    <row r="384" spans="2:32" ht="14.65">
      <c r="B384" s="653">
        <f t="shared" si="54"/>
        <v>380</v>
      </c>
      <c r="C384" s="684" t="s">
        <v>302</v>
      </c>
      <c r="D384" s="654" t="s">
        <v>18</v>
      </c>
      <c r="E384" s="685" t="s">
        <v>380</v>
      </c>
      <c r="F384" s="689">
        <v>44779</v>
      </c>
      <c r="G384" s="689">
        <v>44801</v>
      </c>
      <c r="H384" s="684" t="s">
        <v>170</v>
      </c>
      <c r="I384" s="657">
        <v>44801</v>
      </c>
      <c r="J384" s="628">
        <v>1298000</v>
      </c>
      <c r="K384" s="628"/>
      <c r="L384" s="628"/>
      <c r="M384" s="628">
        <v>198000</v>
      </c>
      <c r="N384" s="628">
        <f t="shared" si="49"/>
        <v>1100000</v>
      </c>
      <c r="O384" s="659">
        <f t="shared" si="63"/>
        <v>215</v>
      </c>
      <c r="P384" s="660">
        <v>9</v>
      </c>
      <c r="Q384" s="661">
        <f t="shared" si="64"/>
        <v>8.4109589041095898</v>
      </c>
      <c r="R384" s="662">
        <f t="shared" si="65"/>
        <v>71994</v>
      </c>
      <c r="S384" s="662">
        <f t="shared" si="66"/>
        <v>1028006</v>
      </c>
      <c r="T384" s="663">
        <f t="shared" si="67"/>
        <v>1100000</v>
      </c>
      <c r="U384" s="663">
        <f t="shared" si="68"/>
        <v>0</v>
      </c>
      <c r="V384" s="664"/>
      <c r="W384" s="664"/>
      <c r="X384" s="664"/>
      <c r="Y384" s="664"/>
      <c r="Z384" s="664"/>
      <c r="AA384" s="664"/>
      <c r="AB384" s="664"/>
      <c r="AC384" s="664"/>
      <c r="AD384" s="664"/>
      <c r="AE384" s="664"/>
      <c r="AF384" s="664"/>
    </row>
    <row r="385" spans="2:32" ht="14.65">
      <c r="B385" s="653">
        <f t="shared" si="54"/>
        <v>381</v>
      </c>
      <c r="C385" s="654" t="s">
        <v>575</v>
      </c>
      <c r="D385" s="654" t="s">
        <v>18</v>
      </c>
      <c r="E385" s="655">
        <v>81040244</v>
      </c>
      <c r="F385" s="656">
        <v>44882</v>
      </c>
      <c r="G385" s="656">
        <v>44909</v>
      </c>
      <c r="H385" s="654" t="s">
        <v>759</v>
      </c>
      <c r="I385" s="657">
        <v>44909</v>
      </c>
      <c r="J385" s="691">
        <v>1032500</v>
      </c>
      <c r="K385" s="628"/>
      <c r="L385" s="628"/>
      <c r="M385" s="628">
        <v>157500</v>
      </c>
      <c r="N385" s="628">
        <f t="shared" si="49"/>
        <v>875000</v>
      </c>
      <c r="O385" s="659">
        <f t="shared" si="63"/>
        <v>107</v>
      </c>
      <c r="P385" s="660">
        <v>9</v>
      </c>
      <c r="Q385" s="661">
        <f t="shared" si="64"/>
        <v>8.7068493150684922</v>
      </c>
      <c r="R385" s="662">
        <f t="shared" si="65"/>
        <v>28501</v>
      </c>
      <c r="S385" s="662">
        <f t="shared" si="66"/>
        <v>846499</v>
      </c>
      <c r="T385" s="663">
        <f t="shared" si="67"/>
        <v>0</v>
      </c>
      <c r="U385" s="663">
        <f t="shared" si="68"/>
        <v>875000</v>
      </c>
      <c r="V385" s="664"/>
      <c r="W385" s="664"/>
      <c r="X385" s="664"/>
      <c r="Y385" s="664"/>
      <c r="Z385" s="664"/>
      <c r="AA385" s="664"/>
      <c r="AB385" s="664"/>
      <c r="AC385" s="664"/>
      <c r="AD385" s="664"/>
      <c r="AE385" s="664"/>
      <c r="AF385" s="664"/>
    </row>
    <row r="386" spans="2:32" ht="14.65">
      <c r="B386" s="653">
        <f t="shared" si="54"/>
        <v>382</v>
      </c>
      <c r="C386" s="654" t="s">
        <v>575</v>
      </c>
      <c r="D386" s="654" t="s">
        <v>18</v>
      </c>
      <c r="E386" s="655">
        <v>81040245</v>
      </c>
      <c r="F386" s="656">
        <v>44882</v>
      </c>
      <c r="G386" s="656">
        <v>44909</v>
      </c>
      <c r="H386" s="654" t="s">
        <v>759</v>
      </c>
      <c r="I386" s="657">
        <v>44909</v>
      </c>
      <c r="J386" s="691">
        <v>1032500</v>
      </c>
      <c r="K386" s="628"/>
      <c r="L386" s="628"/>
      <c r="M386" s="628">
        <v>157500</v>
      </c>
      <c r="N386" s="628">
        <f t="shared" si="49"/>
        <v>875000</v>
      </c>
      <c r="O386" s="659">
        <f t="shared" si="63"/>
        <v>107</v>
      </c>
      <c r="P386" s="660">
        <v>9</v>
      </c>
      <c r="Q386" s="661">
        <f t="shared" si="64"/>
        <v>8.7068493150684922</v>
      </c>
      <c r="R386" s="662">
        <f t="shared" si="65"/>
        <v>28501</v>
      </c>
      <c r="S386" s="662">
        <f t="shared" si="66"/>
        <v>846499</v>
      </c>
      <c r="T386" s="663">
        <f t="shared" si="67"/>
        <v>0</v>
      </c>
      <c r="U386" s="663">
        <f t="shared" si="68"/>
        <v>875000</v>
      </c>
      <c r="V386" s="664"/>
      <c r="W386" s="664"/>
      <c r="X386" s="664"/>
      <c r="Y386" s="664"/>
      <c r="Z386" s="664"/>
      <c r="AA386" s="664"/>
      <c r="AB386" s="664"/>
      <c r="AC386" s="664"/>
      <c r="AD386" s="664"/>
      <c r="AE386" s="664"/>
      <c r="AF386" s="664"/>
    </row>
    <row r="387" spans="2:32" ht="14.65">
      <c r="B387" s="653">
        <f t="shared" si="54"/>
        <v>383</v>
      </c>
      <c r="C387" s="654" t="s">
        <v>323</v>
      </c>
      <c r="D387" s="654" t="s">
        <v>18</v>
      </c>
      <c r="E387" s="655" t="s">
        <v>685</v>
      </c>
      <c r="F387" s="656">
        <v>44869</v>
      </c>
      <c r="G387" s="656">
        <v>44869</v>
      </c>
      <c r="H387" s="654" t="s">
        <v>170</v>
      </c>
      <c r="I387" s="657">
        <v>44869</v>
      </c>
      <c r="J387" s="691">
        <v>6844000</v>
      </c>
      <c r="K387" s="628"/>
      <c r="L387" s="628"/>
      <c r="M387" s="628">
        <v>1044000</v>
      </c>
      <c r="N387" s="628">
        <f t="shared" si="49"/>
        <v>5800000</v>
      </c>
      <c r="O387" s="659">
        <f t="shared" si="63"/>
        <v>147</v>
      </c>
      <c r="P387" s="660">
        <v>9</v>
      </c>
      <c r="Q387" s="661">
        <f t="shared" si="64"/>
        <v>8.5972602739726032</v>
      </c>
      <c r="R387" s="662">
        <f t="shared" si="65"/>
        <v>259543</v>
      </c>
      <c r="S387" s="662">
        <f t="shared" si="66"/>
        <v>5540457</v>
      </c>
      <c r="T387" s="663">
        <f t="shared" si="67"/>
        <v>0</v>
      </c>
      <c r="U387" s="663">
        <f t="shared" si="68"/>
        <v>5800000</v>
      </c>
      <c r="V387" s="664"/>
      <c r="W387" s="664"/>
      <c r="X387" s="664"/>
      <c r="Y387" s="664"/>
      <c r="Z387" s="664"/>
      <c r="AA387" s="664"/>
      <c r="AB387" s="664"/>
      <c r="AC387" s="664"/>
      <c r="AD387" s="664"/>
      <c r="AE387" s="664"/>
      <c r="AF387" s="664"/>
    </row>
    <row r="388" spans="2:32" ht="15.75" customHeight="1">
      <c r="B388" s="653">
        <f t="shared" si="54"/>
        <v>384</v>
      </c>
      <c r="C388" s="654" t="s">
        <v>323</v>
      </c>
      <c r="D388" s="654" t="s">
        <v>18</v>
      </c>
      <c r="E388" s="655" t="s">
        <v>686</v>
      </c>
      <c r="F388" s="656">
        <v>44869</v>
      </c>
      <c r="G388" s="656">
        <v>44869</v>
      </c>
      <c r="H388" s="654" t="s">
        <v>170</v>
      </c>
      <c r="I388" s="657">
        <v>44869</v>
      </c>
      <c r="J388" s="691">
        <v>6844000</v>
      </c>
      <c r="K388" s="628"/>
      <c r="L388" s="628"/>
      <c r="M388" s="628">
        <v>1044000</v>
      </c>
      <c r="N388" s="628">
        <f t="shared" si="49"/>
        <v>5800000</v>
      </c>
      <c r="O388" s="659">
        <f t="shared" si="63"/>
        <v>147</v>
      </c>
      <c r="P388" s="660">
        <v>9</v>
      </c>
      <c r="Q388" s="661">
        <f t="shared" si="64"/>
        <v>8.5972602739726032</v>
      </c>
      <c r="R388" s="662">
        <f t="shared" si="65"/>
        <v>259543</v>
      </c>
      <c r="S388" s="662">
        <f t="shared" si="66"/>
        <v>5540457</v>
      </c>
      <c r="T388" s="663">
        <f t="shared" si="67"/>
        <v>0</v>
      </c>
      <c r="U388" s="663">
        <f t="shared" si="68"/>
        <v>5800000</v>
      </c>
      <c r="V388" s="664"/>
      <c r="W388" s="664"/>
      <c r="X388" s="664"/>
      <c r="Y388" s="664"/>
      <c r="Z388" s="664"/>
      <c r="AA388" s="664"/>
      <c r="AB388" s="664"/>
      <c r="AC388" s="664"/>
      <c r="AD388" s="664"/>
      <c r="AE388" s="664"/>
      <c r="AF388" s="664"/>
    </row>
    <row r="389" spans="2:32" ht="15.75" customHeight="1">
      <c r="B389" s="653">
        <f t="shared" si="54"/>
        <v>385</v>
      </c>
      <c r="C389" s="654" t="s">
        <v>564</v>
      </c>
      <c r="D389" s="654" t="s">
        <v>18</v>
      </c>
      <c r="E389" s="655" t="s">
        <v>687</v>
      </c>
      <c r="F389" s="656">
        <v>44887</v>
      </c>
      <c r="G389" s="656">
        <v>44887</v>
      </c>
      <c r="H389" s="654" t="s">
        <v>761</v>
      </c>
      <c r="I389" s="657">
        <v>44887</v>
      </c>
      <c r="J389" s="691">
        <v>3551800</v>
      </c>
      <c r="K389" s="628"/>
      <c r="L389" s="628"/>
      <c r="M389" s="628">
        <v>541800</v>
      </c>
      <c r="N389" s="628">
        <f t="shared" ref="N389:N452" si="69">J389+K389-L389-M389</f>
        <v>3010000</v>
      </c>
      <c r="O389" s="659">
        <f t="shared" si="63"/>
        <v>129</v>
      </c>
      <c r="P389" s="660">
        <v>9</v>
      </c>
      <c r="Q389" s="661">
        <f t="shared" si="64"/>
        <v>8.6465753424657539</v>
      </c>
      <c r="R389" s="662">
        <f t="shared" si="65"/>
        <v>118201</v>
      </c>
      <c r="S389" s="662">
        <f t="shared" si="66"/>
        <v>2891799</v>
      </c>
      <c r="T389" s="663">
        <f t="shared" si="67"/>
        <v>0</v>
      </c>
      <c r="U389" s="663">
        <f t="shared" si="68"/>
        <v>3010000</v>
      </c>
      <c r="V389" s="664"/>
      <c r="W389" s="664"/>
      <c r="X389" s="664"/>
      <c r="Y389" s="664"/>
      <c r="Z389" s="664"/>
      <c r="AA389" s="664"/>
      <c r="AB389" s="664"/>
      <c r="AC389" s="664"/>
      <c r="AD389" s="664"/>
      <c r="AE389" s="664"/>
      <c r="AF389" s="664"/>
    </row>
    <row r="390" spans="2:32" ht="15.75" customHeight="1">
      <c r="B390" s="653">
        <f t="shared" si="54"/>
        <v>386</v>
      </c>
      <c r="C390" s="654" t="s">
        <v>575</v>
      </c>
      <c r="D390" s="696" t="s">
        <v>27</v>
      </c>
      <c r="E390" s="655">
        <v>81040903</v>
      </c>
      <c r="F390" s="656">
        <v>44925</v>
      </c>
      <c r="G390" s="656">
        <v>44926</v>
      </c>
      <c r="H390" s="654" t="s">
        <v>759</v>
      </c>
      <c r="I390" s="657">
        <v>44926</v>
      </c>
      <c r="J390" s="691">
        <v>1032500</v>
      </c>
      <c r="K390" s="628"/>
      <c r="L390" s="628"/>
      <c r="M390" s="628">
        <v>157500</v>
      </c>
      <c r="N390" s="628">
        <f t="shared" si="69"/>
        <v>875000</v>
      </c>
      <c r="O390" s="659">
        <f t="shared" si="63"/>
        <v>90</v>
      </c>
      <c r="P390" s="660">
        <v>9</v>
      </c>
      <c r="Q390" s="661">
        <f t="shared" si="64"/>
        <v>8.7534246575342465</v>
      </c>
      <c r="R390" s="662">
        <f t="shared" si="65"/>
        <v>23973</v>
      </c>
      <c r="S390" s="662">
        <f t="shared" si="66"/>
        <v>851027</v>
      </c>
      <c r="T390" s="663">
        <f t="shared" si="67"/>
        <v>0</v>
      </c>
      <c r="U390" s="663">
        <f t="shared" si="68"/>
        <v>875000</v>
      </c>
      <c r="V390" s="664"/>
      <c r="W390" s="664"/>
      <c r="X390" s="664"/>
      <c r="Y390" s="664"/>
      <c r="Z390" s="664"/>
      <c r="AA390" s="664"/>
      <c r="AB390" s="664"/>
      <c r="AC390" s="664"/>
      <c r="AD390" s="664"/>
      <c r="AE390" s="664"/>
      <c r="AF390" s="664"/>
    </row>
    <row r="391" spans="2:32" ht="15.75" customHeight="1">
      <c r="B391" s="653">
        <f t="shared" si="54"/>
        <v>387</v>
      </c>
      <c r="C391" s="654" t="s">
        <v>575</v>
      </c>
      <c r="D391" s="696" t="s">
        <v>27</v>
      </c>
      <c r="E391" s="655">
        <v>81040912</v>
      </c>
      <c r="F391" s="656">
        <v>44925</v>
      </c>
      <c r="G391" s="656">
        <v>44926</v>
      </c>
      <c r="H391" s="654" t="s">
        <v>759</v>
      </c>
      <c r="I391" s="657">
        <v>44926</v>
      </c>
      <c r="J391" s="691">
        <v>1032500</v>
      </c>
      <c r="K391" s="628"/>
      <c r="L391" s="628"/>
      <c r="M391" s="628">
        <v>157500</v>
      </c>
      <c r="N391" s="628">
        <f t="shared" si="69"/>
        <v>875000</v>
      </c>
      <c r="O391" s="659">
        <f t="shared" si="63"/>
        <v>90</v>
      </c>
      <c r="P391" s="660">
        <v>9</v>
      </c>
      <c r="Q391" s="661">
        <f t="shared" si="64"/>
        <v>8.7534246575342465</v>
      </c>
      <c r="R391" s="662">
        <f t="shared" si="65"/>
        <v>23973</v>
      </c>
      <c r="S391" s="662">
        <f t="shared" si="66"/>
        <v>851027</v>
      </c>
      <c r="T391" s="663">
        <f t="shared" si="67"/>
        <v>0</v>
      </c>
      <c r="U391" s="663">
        <f t="shared" si="68"/>
        <v>875000</v>
      </c>
      <c r="V391" s="664"/>
      <c r="W391" s="664"/>
      <c r="X391" s="664"/>
      <c r="Y391" s="664"/>
      <c r="Z391" s="664"/>
      <c r="AA391" s="664"/>
      <c r="AB391" s="664"/>
      <c r="AC391" s="664"/>
      <c r="AD391" s="664"/>
      <c r="AE391" s="664"/>
      <c r="AF391" s="664"/>
    </row>
    <row r="392" spans="2:32" ht="15.75" customHeight="1">
      <c r="B392" s="653">
        <f t="shared" si="54"/>
        <v>388</v>
      </c>
      <c r="C392" s="654" t="s">
        <v>575</v>
      </c>
      <c r="D392" s="696" t="s">
        <v>27</v>
      </c>
      <c r="E392" s="655">
        <v>81040911</v>
      </c>
      <c r="F392" s="656">
        <v>44925</v>
      </c>
      <c r="G392" s="656">
        <v>44926</v>
      </c>
      <c r="H392" s="654" t="s">
        <v>759</v>
      </c>
      <c r="I392" s="657">
        <v>44926</v>
      </c>
      <c r="J392" s="691">
        <v>1032500</v>
      </c>
      <c r="K392" s="628"/>
      <c r="L392" s="628"/>
      <c r="M392" s="628">
        <v>157500</v>
      </c>
      <c r="N392" s="628">
        <f t="shared" si="69"/>
        <v>875000</v>
      </c>
      <c r="O392" s="659">
        <f t="shared" si="63"/>
        <v>90</v>
      </c>
      <c r="P392" s="660">
        <v>9</v>
      </c>
      <c r="Q392" s="661">
        <f t="shared" si="64"/>
        <v>8.7534246575342465</v>
      </c>
      <c r="R392" s="662">
        <f t="shared" si="65"/>
        <v>23973</v>
      </c>
      <c r="S392" s="662">
        <f t="shared" si="66"/>
        <v>851027</v>
      </c>
      <c r="T392" s="663">
        <f t="shared" si="67"/>
        <v>0</v>
      </c>
      <c r="U392" s="663">
        <f t="shared" si="68"/>
        <v>875000</v>
      </c>
      <c r="V392" s="664"/>
      <c r="W392" s="664"/>
      <c r="X392" s="664"/>
      <c r="Y392" s="664"/>
      <c r="Z392" s="664"/>
      <c r="AA392" s="664"/>
      <c r="AB392" s="664"/>
      <c r="AC392" s="664"/>
      <c r="AD392" s="664"/>
      <c r="AE392" s="664"/>
      <c r="AF392" s="664"/>
    </row>
    <row r="393" spans="2:32" ht="15.75" customHeight="1">
      <c r="B393" s="653">
        <f t="shared" ref="B393:B456" si="70">+B392+1</f>
        <v>389</v>
      </c>
      <c r="C393" s="654" t="s">
        <v>575</v>
      </c>
      <c r="D393" s="696" t="s">
        <v>27</v>
      </c>
      <c r="E393" s="655">
        <v>81040923</v>
      </c>
      <c r="F393" s="656">
        <v>44925</v>
      </c>
      <c r="G393" s="656">
        <v>44926</v>
      </c>
      <c r="H393" s="654" t="s">
        <v>759</v>
      </c>
      <c r="I393" s="657">
        <v>44926</v>
      </c>
      <c r="J393" s="691">
        <v>1032500</v>
      </c>
      <c r="K393" s="628"/>
      <c r="L393" s="628"/>
      <c r="M393" s="628">
        <v>157500</v>
      </c>
      <c r="N393" s="628">
        <f t="shared" si="69"/>
        <v>875000</v>
      </c>
      <c r="O393" s="659">
        <f t="shared" si="63"/>
        <v>90</v>
      </c>
      <c r="P393" s="660">
        <v>9</v>
      </c>
      <c r="Q393" s="661">
        <f t="shared" si="64"/>
        <v>8.7534246575342465</v>
      </c>
      <c r="R393" s="662">
        <f t="shared" si="65"/>
        <v>23973</v>
      </c>
      <c r="S393" s="662">
        <f t="shared" si="66"/>
        <v>851027</v>
      </c>
      <c r="T393" s="663">
        <f t="shared" si="67"/>
        <v>0</v>
      </c>
      <c r="U393" s="663">
        <f t="shared" si="68"/>
        <v>875000</v>
      </c>
      <c r="V393" s="664"/>
      <c r="W393" s="664"/>
      <c r="X393" s="664"/>
      <c r="Y393" s="664"/>
      <c r="Z393" s="664"/>
      <c r="AA393" s="664"/>
      <c r="AB393" s="664"/>
      <c r="AC393" s="664"/>
      <c r="AD393" s="664"/>
      <c r="AE393" s="664"/>
      <c r="AF393" s="664"/>
    </row>
    <row r="394" spans="2:32" ht="15.75" customHeight="1">
      <c r="B394" s="653">
        <f t="shared" si="70"/>
        <v>390</v>
      </c>
      <c r="C394" s="654" t="s">
        <v>575</v>
      </c>
      <c r="D394" s="696" t="s">
        <v>27</v>
      </c>
      <c r="E394" s="655">
        <v>81040907</v>
      </c>
      <c r="F394" s="656">
        <v>44925</v>
      </c>
      <c r="G394" s="656">
        <v>44926</v>
      </c>
      <c r="H394" s="654" t="s">
        <v>759</v>
      </c>
      <c r="I394" s="657">
        <v>44926</v>
      </c>
      <c r="J394" s="691">
        <v>1032500</v>
      </c>
      <c r="K394" s="628"/>
      <c r="L394" s="628"/>
      <c r="M394" s="628">
        <v>157500</v>
      </c>
      <c r="N394" s="628">
        <f t="shared" si="69"/>
        <v>875000</v>
      </c>
      <c r="O394" s="659">
        <f t="shared" si="63"/>
        <v>90</v>
      </c>
      <c r="P394" s="660">
        <v>9</v>
      </c>
      <c r="Q394" s="661">
        <f t="shared" si="64"/>
        <v>8.7534246575342465</v>
      </c>
      <c r="R394" s="662">
        <f t="shared" si="65"/>
        <v>23973</v>
      </c>
      <c r="S394" s="662">
        <f t="shared" si="66"/>
        <v>851027</v>
      </c>
      <c r="T394" s="663">
        <f t="shared" si="67"/>
        <v>0</v>
      </c>
      <c r="U394" s="663">
        <f t="shared" si="68"/>
        <v>875000</v>
      </c>
      <c r="V394" s="664"/>
      <c r="W394" s="664"/>
      <c r="X394" s="664"/>
      <c r="Y394" s="664"/>
      <c r="Z394" s="664"/>
      <c r="AA394" s="664"/>
      <c r="AB394" s="664"/>
      <c r="AC394" s="664"/>
      <c r="AD394" s="664"/>
      <c r="AE394" s="664"/>
      <c r="AF394" s="664"/>
    </row>
    <row r="395" spans="2:32" ht="15.75" customHeight="1">
      <c r="B395" s="653">
        <f t="shared" si="70"/>
        <v>391</v>
      </c>
      <c r="C395" s="669" t="s">
        <v>575</v>
      </c>
      <c r="D395" s="681" t="s">
        <v>27</v>
      </c>
      <c r="E395" s="669">
        <v>81041355</v>
      </c>
      <c r="F395" s="672">
        <v>44957</v>
      </c>
      <c r="G395" s="672">
        <v>44958</v>
      </c>
      <c r="H395" s="669" t="s">
        <v>3347</v>
      </c>
      <c r="I395" s="672">
        <v>44958</v>
      </c>
      <c r="J395" s="627">
        <v>1032500</v>
      </c>
      <c r="K395" s="627"/>
      <c r="L395" s="627"/>
      <c r="M395" s="627">
        <v>157500</v>
      </c>
      <c r="N395" s="627">
        <f t="shared" si="69"/>
        <v>875000</v>
      </c>
      <c r="O395" s="659">
        <f t="shared" si="63"/>
        <v>58</v>
      </c>
      <c r="P395" s="673">
        <v>9</v>
      </c>
      <c r="Q395" s="674">
        <f t="shared" si="64"/>
        <v>8.8410958904109584</v>
      </c>
      <c r="R395" s="675">
        <f t="shared" si="65"/>
        <v>15449</v>
      </c>
      <c r="S395" s="675">
        <f t="shared" si="66"/>
        <v>859551</v>
      </c>
      <c r="T395" s="676">
        <f t="shared" si="67"/>
        <v>0</v>
      </c>
      <c r="U395" s="676">
        <f t="shared" si="68"/>
        <v>875000</v>
      </c>
      <c r="V395" s="664"/>
      <c r="W395" s="664"/>
      <c r="X395" s="664"/>
      <c r="Y395" s="664"/>
      <c r="Z395" s="664"/>
      <c r="AA395" s="664"/>
      <c r="AB395" s="664"/>
      <c r="AC395" s="664"/>
      <c r="AD395" s="664"/>
      <c r="AE395" s="664"/>
      <c r="AF395" s="664"/>
    </row>
    <row r="396" spans="2:32" ht="14.65">
      <c r="B396" s="653">
        <f t="shared" si="70"/>
        <v>392</v>
      </c>
      <c r="C396" s="669" t="s">
        <v>575</v>
      </c>
      <c r="D396" s="681" t="s">
        <v>27</v>
      </c>
      <c r="E396" s="669">
        <v>81041354</v>
      </c>
      <c r="F396" s="672">
        <v>44957</v>
      </c>
      <c r="G396" s="672">
        <v>44958</v>
      </c>
      <c r="H396" s="669" t="s">
        <v>3347</v>
      </c>
      <c r="I396" s="672">
        <v>44958</v>
      </c>
      <c r="J396" s="627">
        <v>1032500</v>
      </c>
      <c r="K396" s="627"/>
      <c r="L396" s="627"/>
      <c r="M396" s="627">
        <v>157500</v>
      </c>
      <c r="N396" s="627">
        <f t="shared" si="69"/>
        <v>875000</v>
      </c>
      <c r="O396" s="659">
        <f t="shared" si="63"/>
        <v>58</v>
      </c>
      <c r="P396" s="673">
        <v>9</v>
      </c>
      <c r="Q396" s="674">
        <f t="shared" si="64"/>
        <v>8.8410958904109584</v>
      </c>
      <c r="R396" s="675">
        <f t="shared" si="65"/>
        <v>15449</v>
      </c>
      <c r="S396" s="675">
        <f t="shared" si="66"/>
        <v>859551</v>
      </c>
      <c r="T396" s="676">
        <f t="shared" si="67"/>
        <v>0</v>
      </c>
      <c r="U396" s="676">
        <f t="shared" si="68"/>
        <v>875000</v>
      </c>
      <c r="V396" s="664"/>
      <c r="W396" s="664"/>
      <c r="X396" s="664"/>
      <c r="Y396" s="664"/>
      <c r="Z396" s="664"/>
      <c r="AA396" s="664"/>
      <c r="AB396" s="664"/>
      <c r="AC396" s="664"/>
      <c r="AD396" s="664"/>
      <c r="AE396" s="664"/>
      <c r="AF396" s="664"/>
    </row>
    <row r="397" spans="2:32" ht="14.65">
      <c r="B397" s="653">
        <f t="shared" si="70"/>
        <v>393</v>
      </c>
      <c r="C397" s="669" t="s">
        <v>575</v>
      </c>
      <c r="D397" s="681" t="s">
        <v>27</v>
      </c>
      <c r="E397" s="669">
        <v>81041353</v>
      </c>
      <c r="F397" s="672">
        <v>44957</v>
      </c>
      <c r="G397" s="672">
        <v>44968</v>
      </c>
      <c r="H397" s="669" t="s">
        <v>3347</v>
      </c>
      <c r="I397" s="672">
        <v>44968</v>
      </c>
      <c r="J397" s="627">
        <v>1032500</v>
      </c>
      <c r="K397" s="627"/>
      <c r="L397" s="627"/>
      <c r="M397" s="627">
        <v>157500</v>
      </c>
      <c r="N397" s="627">
        <f t="shared" si="69"/>
        <v>875000</v>
      </c>
      <c r="O397" s="659">
        <f t="shared" si="63"/>
        <v>48</v>
      </c>
      <c r="P397" s="673">
        <v>9</v>
      </c>
      <c r="Q397" s="674">
        <f t="shared" si="64"/>
        <v>8.868493150684932</v>
      </c>
      <c r="R397" s="675">
        <f t="shared" si="65"/>
        <v>12785</v>
      </c>
      <c r="S397" s="675">
        <f t="shared" si="66"/>
        <v>862215</v>
      </c>
      <c r="T397" s="676">
        <f t="shared" si="67"/>
        <v>0</v>
      </c>
      <c r="U397" s="676">
        <f t="shared" si="68"/>
        <v>875000</v>
      </c>
      <c r="V397" s="664"/>
      <c r="W397" s="664"/>
      <c r="X397" s="664"/>
      <c r="Y397" s="664"/>
      <c r="Z397" s="664"/>
      <c r="AA397" s="664"/>
      <c r="AB397" s="664"/>
      <c r="AC397" s="664"/>
      <c r="AD397" s="664"/>
      <c r="AE397" s="664"/>
      <c r="AF397" s="664"/>
    </row>
    <row r="398" spans="2:32" ht="14.65">
      <c r="B398" s="653">
        <f t="shared" si="70"/>
        <v>394</v>
      </c>
      <c r="C398" s="669" t="s">
        <v>575</v>
      </c>
      <c r="D398" s="681" t="s">
        <v>27</v>
      </c>
      <c r="E398" s="669">
        <v>81041352</v>
      </c>
      <c r="F398" s="672">
        <v>44957</v>
      </c>
      <c r="G398" s="672">
        <v>44968</v>
      </c>
      <c r="H398" s="669" t="s">
        <v>3347</v>
      </c>
      <c r="I398" s="672">
        <v>44968</v>
      </c>
      <c r="J398" s="627">
        <v>1032500</v>
      </c>
      <c r="K398" s="627"/>
      <c r="L398" s="627"/>
      <c r="M398" s="627">
        <v>157500</v>
      </c>
      <c r="N398" s="627">
        <f t="shared" si="69"/>
        <v>875000</v>
      </c>
      <c r="O398" s="659">
        <f t="shared" si="63"/>
        <v>48</v>
      </c>
      <c r="P398" s="673">
        <v>9</v>
      </c>
      <c r="Q398" s="674">
        <f t="shared" si="64"/>
        <v>8.868493150684932</v>
      </c>
      <c r="R398" s="675">
        <f t="shared" si="65"/>
        <v>12785</v>
      </c>
      <c r="S398" s="675">
        <f t="shared" si="66"/>
        <v>862215</v>
      </c>
      <c r="T398" s="676">
        <f t="shared" si="67"/>
        <v>0</v>
      </c>
      <c r="U398" s="676">
        <f t="shared" si="68"/>
        <v>875000</v>
      </c>
      <c r="V398" s="664"/>
      <c r="W398" s="664"/>
      <c r="X398" s="664"/>
      <c r="Y398" s="664"/>
      <c r="Z398" s="664"/>
      <c r="AA398" s="664"/>
      <c r="AB398" s="664"/>
      <c r="AC398" s="664"/>
      <c r="AD398" s="664"/>
      <c r="AE398" s="664"/>
      <c r="AF398" s="664"/>
    </row>
    <row r="399" spans="2:32" ht="14.65">
      <c r="B399" s="653">
        <f t="shared" si="70"/>
        <v>395</v>
      </c>
      <c r="C399" s="665" t="s">
        <v>67</v>
      </c>
      <c r="D399" s="666" t="s">
        <v>29</v>
      </c>
      <c r="E399" s="667" t="s">
        <v>95</v>
      </c>
      <c r="F399" s="657">
        <v>44732</v>
      </c>
      <c r="G399" s="657">
        <v>44742</v>
      </c>
      <c r="H399" s="665" t="s">
        <v>172</v>
      </c>
      <c r="I399" s="668">
        <v>44742</v>
      </c>
      <c r="J399" s="628">
        <v>1535249.96</v>
      </c>
      <c r="K399" s="628">
        <v>220000</v>
      </c>
      <c r="L399" s="628">
        <v>23785</v>
      </c>
      <c r="M399" s="628">
        <v>330632.96000000002</v>
      </c>
      <c r="N399" s="628">
        <f t="shared" si="69"/>
        <v>1400832</v>
      </c>
      <c r="O399" s="659">
        <f t="shared" si="63"/>
        <v>274</v>
      </c>
      <c r="P399" s="660">
        <v>9</v>
      </c>
      <c r="Q399" s="661">
        <f t="shared" si="64"/>
        <v>8.24931506849315</v>
      </c>
      <c r="R399" s="662">
        <f t="shared" si="65"/>
        <v>116843</v>
      </c>
      <c r="S399" s="662">
        <f t="shared" si="66"/>
        <v>1283989</v>
      </c>
      <c r="T399" s="663">
        <f t="shared" si="67"/>
        <v>1400832</v>
      </c>
      <c r="U399" s="663">
        <f t="shared" si="68"/>
        <v>0</v>
      </c>
      <c r="V399" s="664"/>
      <c r="W399" s="664"/>
      <c r="X399" s="664"/>
      <c r="Y399" s="664"/>
      <c r="Z399" s="664"/>
      <c r="AA399" s="664"/>
      <c r="AB399" s="664"/>
      <c r="AC399" s="664"/>
      <c r="AD399" s="664"/>
      <c r="AE399" s="664"/>
      <c r="AF399" s="664"/>
    </row>
    <row r="400" spans="2:32" ht="14.65">
      <c r="B400" s="653">
        <f t="shared" si="70"/>
        <v>396</v>
      </c>
      <c r="C400" s="665" t="s">
        <v>67</v>
      </c>
      <c r="D400" s="666" t="s">
        <v>29</v>
      </c>
      <c r="E400" s="667" t="s">
        <v>96</v>
      </c>
      <c r="F400" s="657">
        <v>44732</v>
      </c>
      <c r="G400" s="657">
        <v>44742</v>
      </c>
      <c r="H400" s="665" t="s">
        <v>172</v>
      </c>
      <c r="I400" s="687">
        <v>44742</v>
      </c>
      <c r="J400" s="628">
        <v>1535249.96</v>
      </c>
      <c r="K400" s="628">
        <v>220000</v>
      </c>
      <c r="L400" s="628">
        <v>23785</v>
      </c>
      <c r="M400" s="628">
        <v>330632.96000000002</v>
      </c>
      <c r="N400" s="628">
        <f t="shared" si="69"/>
        <v>1400832</v>
      </c>
      <c r="O400" s="659">
        <f t="shared" si="63"/>
        <v>274</v>
      </c>
      <c r="P400" s="660">
        <v>9</v>
      </c>
      <c r="Q400" s="661">
        <f t="shared" si="64"/>
        <v>8.24931506849315</v>
      </c>
      <c r="R400" s="662">
        <f t="shared" si="65"/>
        <v>116843</v>
      </c>
      <c r="S400" s="662">
        <f t="shared" si="66"/>
        <v>1283989</v>
      </c>
      <c r="T400" s="663">
        <f t="shared" si="67"/>
        <v>1400832</v>
      </c>
      <c r="U400" s="663">
        <f t="shared" si="68"/>
        <v>0</v>
      </c>
      <c r="V400" s="664"/>
      <c r="W400" s="664"/>
      <c r="X400" s="664"/>
      <c r="Y400" s="664"/>
      <c r="Z400" s="664"/>
      <c r="AA400" s="664"/>
      <c r="AB400" s="664"/>
      <c r="AC400" s="664"/>
      <c r="AD400" s="664"/>
      <c r="AE400" s="664"/>
      <c r="AF400" s="664"/>
    </row>
    <row r="401" spans="2:32" ht="14.65">
      <c r="B401" s="653">
        <f t="shared" si="70"/>
        <v>397</v>
      </c>
      <c r="C401" s="665" t="s">
        <v>67</v>
      </c>
      <c r="D401" s="666" t="s">
        <v>29</v>
      </c>
      <c r="E401" s="667" t="s">
        <v>97</v>
      </c>
      <c r="F401" s="657">
        <v>44732</v>
      </c>
      <c r="G401" s="657">
        <v>44742</v>
      </c>
      <c r="H401" s="665" t="s">
        <v>172</v>
      </c>
      <c r="I401" s="687">
        <v>44742</v>
      </c>
      <c r="J401" s="628">
        <v>1535249.96</v>
      </c>
      <c r="K401" s="628">
        <v>220000</v>
      </c>
      <c r="L401" s="628">
        <v>23785</v>
      </c>
      <c r="M401" s="628">
        <v>330632.96000000002</v>
      </c>
      <c r="N401" s="628">
        <f t="shared" si="69"/>
        <v>1400832</v>
      </c>
      <c r="O401" s="659">
        <f t="shared" si="63"/>
        <v>274</v>
      </c>
      <c r="P401" s="660">
        <v>9</v>
      </c>
      <c r="Q401" s="661">
        <f t="shared" si="64"/>
        <v>8.24931506849315</v>
      </c>
      <c r="R401" s="662">
        <f t="shared" si="65"/>
        <v>116843</v>
      </c>
      <c r="S401" s="662">
        <f t="shared" si="66"/>
        <v>1283989</v>
      </c>
      <c r="T401" s="663">
        <f t="shared" si="67"/>
        <v>1400832</v>
      </c>
      <c r="U401" s="663">
        <f t="shared" si="68"/>
        <v>0</v>
      </c>
      <c r="V401" s="664"/>
      <c r="W401" s="664"/>
      <c r="X401" s="664"/>
      <c r="Y401" s="664"/>
      <c r="Z401" s="664"/>
      <c r="AA401" s="664"/>
      <c r="AB401" s="664"/>
      <c r="AC401" s="664"/>
      <c r="AD401" s="664"/>
      <c r="AE401" s="664"/>
      <c r="AF401" s="664"/>
    </row>
    <row r="402" spans="2:32" ht="14.65">
      <c r="B402" s="653">
        <f t="shared" si="70"/>
        <v>398</v>
      </c>
      <c r="C402" s="665" t="s">
        <v>67</v>
      </c>
      <c r="D402" s="666" t="s">
        <v>29</v>
      </c>
      <c r="E402" s="667" t="s">
        <v>98</v>
      </c>
      <c r="F402" s="657">
        <v>44732</v>
      </c>
      <c r="G402" s="657">
        <v>44742</v>
      </c>
      <c r="H402" s="665" t="s">
        <v>172</v>
      </c>
      <c r="I402" s="657">
        <v>44742</v>
      </c>
      <c r="J402" s="628">
        <v>1535249.96</v>
      </c>
      <c r="K402" s="628">
        <v>220000</v>
      </c>
      <c r="L402" s="628">
        <v>23785</v>
      </c>
      <c r="M402" s="628">
        <v>330632.96000000002</v>
      </c>
      <c r="N402" s="628">
        <f t="shared" si="69"/>
        <v>1400832</v>
      </c>
      <c r="O402" s="659">
        <f t="shared" si="63"/>
        <v>274</v>
      </c>
      <c r="P402" s="660">
        <v>9</v>
      </c>
      <c r="Q402" s="661">
        <f t="shared" si="64"/>
        <v>8.24931506849315</v>
      </c>
      <c r="R402" s="662">
        <f t="shared" si="65"/>
        <v>116843</v>
      </c>
      <c r="S402" s="662">
        <f t="shared" si="66"/>
        <v>1283989</v>
      </c>
      <c r="T402" s="663">
        <f t="shared" si="67"/>
        <v>1400832</v>
      </c>
      <c r="U402" s="663">
        <f t="shared" si="68"/>
        <v>0</v>
      </c>
      <c r="V402" s="664"/>
      <c r="W402" s="664"/>
      <c r="X402" s="664"/>
      <c r="Y402" s="664"/>
      <c r="Z402" s="664"/>
      <c r="AA402" s="664"/>
      <c r="AB402" s="664"/>
      <c r="AC402" s="664"/>
      <c r="AD402" s="664"/>
      <c r="AE402" s="664"/>
      <c r="AF402" s="664"/>
    </row>
    <row r="403" spans="2:32" ht="14.65">
      <c r="B403" s="653">
        <f t="shared" si="70"/>
        <v>399</v>
      </c>
      <c r="C403" s="665" t="s">
        <v>67</v>
      </c>
      <c r="D403" s="666" t="s">
        <v>29</v>
      </c>
      <c r="E403" s="667" t="s">
        <v>99</v>
      </c>
      <c r="F403" s="657">
        <v>44732</v>
      </c>
      <c r="G403" s="657">
        <v>44742</v>
      </c>
      <c r="H403" s="665" t="s">
        <v>172</v>
      </c>
      <c r="I403" s="687">
        <v>44742</v>
      </c>
      <c r="J403" s="628">
        <v>1535249.96</v>
      </c>
      <c r="K403" s="628">
        <v>220000</v>
      </c>
      <c r="L403" s="628">
        <v>23785</v>
      </c>
      <c r="M403" s="628">
        <v>330632.96000000002</v>
      </c>
      <c r="N403" s="628">
        <f t="shared" si="69"/>
        <v>1400832</v>
      </c>
      <c r="O403" s="659">
        <f t="shared" si="63"/>
        <v>274</v>
      </c>
      <c r="P403" s="660">
        <v>9</v>
      </c>
      <c r="Q403" s="661">
        <f t="shared" si="64"/>
        <v>8.24931506849315</v>
      </c>
      <c r="R403" s="662">
        <f t="shared" si="65"/>
        <v>116843</v>
      </c>
      <c r="S403" s="662">
        <f t="shared" si="66"/>
        <v>1283989</v>
      </c>
      <c r="T403" s="663">
        <f t="shared" si="67"/>
        <v>1400832</v>
      </c>
      <c r="U403" s="663">
        <f t="shared" si="68"/>
        <v>0</v>
      </c>
      <c r="V403" s="664"/>
      <c r="W403" s="664"/>
      <c r="X403" s="664"/>
      <c r="Y403" s="664"/>
      <c r="Z403" s="664"/>
      <c r="AA403" s="664"/>
      <c r="AB403" s="664"/>
      <c r="AC403" s="664"/>
      <c r="AD403" s="664"/>
      <c r="AE403" s="664"/>
      <c r="AF403" s="664"/>
    </row>
    <row r="404" spans="2:32" ht="14.65">
      <c r="B404" s="653">
        <f t="shared" si="70"/>
        <v>400</v>
      </c>
      <c r="C404" s="665" t="s">
        <v>67</v>
      </c>
      <c r="D404" s="666" t="s">
        <v>29</v>
      </c>
      <c r="E404" s="667" t="s">
        <v>100</v>
      </c>
      <c r="F404" s="657">
        <v>44732</v>
      </c>
      <c r="G404" s="657">
        <v>44742</v>
      </c>
      <c r="H404" s="665" t="s">
        <v>172</v>
      </c>
      <c r="I404" s="687">
        <v>44742</v>
      </c>
      <c r="J404" s="628">
        <v>1535249.96</v>
      </c>
      <c r="K404" s="628">
        <v>220000</v>
      </c>
      <c r="L404" s="628">
        <v>23785</v>
      </c>
      <c r="M404" s="628">
        <v>330632.96000000002</v>
      </c>
      <c r="N404" s="628">
        <f t="shared" si="69"/>
        <v>1400832</v>
      </c>
      <c r="O404" s="659">
        <f t="shared" si="63"/>
        <v>274</v>
      </c>
      <c r="P404" s="660">
        <v>9</v>
      </c>
      <c r="Q404" s="661">
        <f t="shared" si="64"/>
        <v>8.24931506849315</v>
      </c>
      <c r="R404" s="662">
        <f t="shared" si="65"/>
        <v>116843</v>
      </c>
      <c r="S404" s="662">
        <f t="shared" si="66"/>
        <v>1283989</v>
      </c>
      <c r="T404" s="663">
        <f t="shared" si="67"/>
        <v>1400832</v>
      </c>
      <c r="U404" s="663">
        <f t="shared" si="68"/>
        <v>0</v>
      </c>
      <c r="V404" s="664"/>
      <c r="W404" s="664"/>
      <c r="X404" s="664"/>
      <c r="Y404" s="664"/>
      <c r="Z404" s="664"/>
      <c r="AA404" s="664"/>
      <c r="AB404" s="664"/>
      <c r="AC404" s="664"/>
      <c r="AD404" s="664"/>
      <c r="AE404" s="664"/>
      <c r="AF404" s="664"/>
    </row>
    <row r="405" spans="2:32" ht="15.75" customHeight="1">
      <c r="B405" s="653">
        <f t="shared" si="70"/>
        <v>401</v>
      </c>
      <c r="C405" s="665" t="s">
        <v>67</v>
      </c>
      <c r="D405" s="666" t="s">
        <v>29</v>
      </c>
      <c r="E405" s="667" t="s">
        <v>101</v>
      </c>
      <c r="F405" s="657">
        <v>44732</v>
      </c>
      <c r="G405" s="657">
        <v>44742</v>
      </c>
      <c r="H405" s="665" t="s">
        <v>172</v>
      </c>
      <c r="I405" s="687">
        <v>44742</v>
      </c>
      <c r="J405" s="628">
        <v>1520101</v>
      </c>
      <c r="K405" s="628"/>
      <c r="L405" s="628">
        <v>21925</v>
      </c>
      <c r="M405" s="628">
        <v>327726.00000000006</v>
      </c>
      <c r="N405" s="628">
        <f t="shared" si="69"/>
        <v>1170450</v>
      </c>
      <c r="O405" s="659">
        <f t="shared" si="63"/>
        <v>274</v>
      </c>
      <c r="P405" s="660">
        <v>9</v>
      </c>
      <c r="Q405" s="661">
        <f t="shared" si="64"/>
        <v>8.24931506849315</v>
      </c>
      <c r="R405" s="662">
        <f t="shared" si="65"/>
        <v>97627</v>
      </c>
      <c r="S405" s="662">
        <f t="shared" si="66"/>
        <v>1072823</v>
      </c>
      <c r="T405" s="663">
        <f t="shared" si="67"/>
        <v>1170450</v>
      </c>
      <c r="U405" s="663">
        <f t="shared" si="68"/>
        <v>0</v>
      </c>
      <c r="V405" s="664"/>
      <c r="W405" s="664"/>
      <c r="X405" s="664"/>
      <c r="Y405" s="664"/>
      <c r="Z405" s="664"/>
      <c r="AA405" s="664"/>
      <c r="AB405" s="664"/>
      <c r="AC405" s="664"/>
      <c r="AD405" s="664"/>
      <c r="AE405" s="664"/>
      <c r="AF405" s="664"/>
    </row>
    <row r="406" spans="2:32" ht="15.75" customHeight="1">
      <c r="B406" s="653">
        <f t="shared" si="70"/>
        <v>402</v>
      </c>
      <c r="C406" s="665" t="s">
        <v>67</v>
      </c>
      <c r="D406" s="666" t="s">
        <v>29</v>
      </c>
      <c r="E406" s="667" t="s">
        <v>102</v>
      </c>
      <c r="F406" s="657">
        <v>44732</v>
      </c>
      <c r="G406" s="657">
        <v>44742</v>
      </c>
      <c r="H406" s="665" t="s">
        <v>172</v>
      </c>
      <c r="I406" s="657">
        <v>44742</v>
      </c>
      <c r="J406" s="628">
        <v>1520101</v>
      </c>
      <c r="K406" s="628"/>
      <c r="L406" s="628">
        <v>21925</v>
      </c>
      <c r="M406" s="628">
        <v>327726.00000000006</v>
      </c>
      <c r="N406" s="628">
        <f t="shared" si="69"/>
        <v>1170450</v>
      </c>
      <c r="O406" s="659">
        <f t="shared" si="63"/>
        <v>274</v>
      </c>
      <c r="P406" s="660">
        <v>9</v>
      </c>
      <c r="Q406" s="661">
        <f t="shared" si="64"/>
        <v>8.24931506849315</v>
      </c>
      <c r="R406" s="662">
        <f t="shared" si="65"/>
        <v>97627</v>
      </c>
      <c r="S406" s="662">
        <f t="shared" si="66"/>
        <v>1072823</v>
      </c>
      <c r="T406" s="663">
        <f t="shared" si="67"/>
        <v>1170450</v>
      </c>
      <c r="U406" s="663">
        <f t="shared" si="68"/>
        <v>0</v>
      </c>
      <c r="V406" s="664"/>
      <c r="W406" s="664"/>
      <c r="X406" s="664"/>
      <c r="Y406" s="664"/>
      <c r="Z406" s="664"/>
      <c r="AA406" s="664"/>
      <c r="AB406" s="664"/>
      <c r="AC406" s="664"/>
      <c r="AD406" s="664"/>
      <c r="AE406" s="664"/>
      <c r="AF406" s="664"/>
    </row>
    <row r="407" spans="2:32" ht="14.65">
      <c r="B407" s="653">
        <f t="shared" si="70"/>
        <v>403</v>
      </c>
      <c r="C407" s="665" t="s">
        <v>69</v>
      </c>
      <c r="D407" s="666" t="s">
        <v>29</v>
      </c>
      <c r="E407" s="667" t="s">
        <v>105</v>
      </c>
      <c r="F407" s="657">
        <v>44735</v>
      </c>
      <c r="G407" s="657">
        <v>44735</v>
      </c>
      <c r="H407" s="665" t="s">
        <v>170</v>
      </c>
      <c r="I407" s="668">
        <v>44735</v>
      </c>
      <c r="J407" s="628">
        <v>1268500</v>
      </c>
      <c r="K407" s="628"/>
      <c r="L407" s="628"/>
      <c r="M407" s="628">
        <v>193500</v>
      </c>
      <c r="N407" s="628">
        <f t="shared" si="69"/>
        <v>1075000</v>
      </c>
      <c r="O407" s="659">
        <f t="shared" si="63"/>
        <v>281</v>
      </c>
      <c r="P407" s="660">
        <v>9</v>
      </c>
      <c r="Q407" s="661">
        <f t="shared" ref="Q407:Q438" si="71">+P407-(O407/365)</f>
        <v>8.2301369863013694</v>
      </c>
      <c r="R407" s="662">
        <f t="shared" ref="R407:R438" si="72">ROUND(+N407/(P407*365)*O407,0)</f>
        <v>91956</v>
      </c>
      <c r="S407" s="662">
        <f t="shared" ref="S407:S438" si="73">+N407-R407</f>
        <v>983044</v>
      </c>
      <c r="T407" s="663">
        <f t="shared" si="67"/>
        <v>1075000</v>
      </c>
      <c r="U407" s="663">
        <f t="shared" si="68"/>
        <v>0</v>
      </c>
      <c r="V407" s="664"/>
      <c r="W407" s="664"/>
      <c r="X407" s="664"/>
      <c r="Y407" s="664"/>
      <c r="Z407" s="664"/>
      <c r="AA407" s="664"/>
      <c r="AB407" s="664"/>
      <c r="AC407" s="664"/>
      <c r="AD407" s="664"/>
      <c r="AE407" s="664"/>
      <c r="AF407" s="664"/>
    </row>
    <row r="408" spans="2:32" ht="14.65">
      <c r="B408" s="653">
        <f t="shared" si="70"/>
        <v>404</v>
      </c>
      <c r="C408" s="665" t="s">
        <v>72</v>
      </c>
      <c r="D408" s="666" t="s">
        <v>29</v>
      </c>
      <c r="E408" s="683" t="s">
        <v>161</v>
      </c>
      <c r="F408" s="657">
        <v>44688</v>
      </c>
      <c r="G408" s="657">
        <v>44688</v>
      </c>
      <c r="H408" s="665" t="s">
        <v>180</v>
      </c>
      <c r="I408" s="657">
        <v>44688</v>
      </c>
      <c r="J408" s="628">
        <v>559999.67999999993</v>
      </c>
      <c r="K408" s="628"/>
      <c r="L408" s="628"/>
      <c r="M408" s="628">
        <v>85423.679999999993</v>
      </c>
      <c r="N408" s="628">
        <f t="shared" si="69"/>
        <v>474575.99999999994</v>
      </c>
      <c r="O408" s="659">
        <f t="shared" si="63"/>
        <v>328</v>
      </c>
      <c r="P408" s="660">
        <v>9</v>
      </c>
      <c r="Q408" s="661">
        <f t="shared" si="71"/>
        <v>8.1013698630136979</v>
      </c>
      <c r="R408" s="662">
        <f t="shared" si="72"/>
        <v>47385</v>
      </c>
      <c r="S408" s="662">
        <f t="shared" si="73"/>
        <v>427190.99999999994</v>
      </c>
      <c r="T408" s="663">
        <f t="shared" si="67"/>
        <v>474575.99999999994</v>
      </c>
      <c r="U408" s="663">
        <f t="shared" si="68"/>
        <v>0</v>
      </c>
      <c r="V408" s="664"/>
      <c r="W408" s="664"/>
      <c r="X408" s="664"/>
      <c r="Y408" s="664"/>
      <c r="Z408" s="664"/>
      <c r="AA408" s="664"/>
      <c r="AB408" s="664"/>
      <c r="AC408" s="664"/>
      <c r="AD408" s="664"/>
      <c r="AE408" s="664"/>
      <c r="AF408" s="664"/>
    </row>
    <row r="409" spans="2:32" ht="14.65">
      <c r="B409" s="653">
        <f t="shared" si="70"/>
        <v>405</v>
      </c>
      <c r="C409" s="684" t="s">
        <v>320</v>
      </c>
      <c r="D409" s="695" t="s">
        <v>29</v>
      </c>
      <c r="E409" s="685">
        <v>59</v>
      </c>
      <c r="F409" s="689">
        <v>44754</v>
      </c>
      <c r="G409" s="689">
        <v>44754</v>
      </c>
      <c r="H409" s="684" t="s">
        <v>415</v>
      </c>
      <c r="I409" s="657">
        <v>44754</v>
      </c>
      <c r="J409" s="628">
        <v>16500</v>
      </c>
      <c r="K409" s="628"/>
      <c r="L409" s="628"/>
      <c r="M409" s="628">
        <v>2516.94</v>
      </c>
      <c r="N409" s="628">
        <f t="shared" si="69"/>
        <v>13983.06</v>
      </c>
      <c r="O409" s="659">
        <f t="shared" si="63"/>
        <v>262</v>
      </c>
      <c r="P409" s="660">
        <v>9</v>
      </c>
      <c r="Q409" s="661">
        <f t="shared" si="71"/>
        <v>8.2821917808219183</v>
      </c>
      <c r="R409" s="662">
        <f t="shared" si="72"/>
        <v>1115</v>
      </c>
      <c r="S409" s="662">
        <f t="shared" si="73"/>
        <v>12868.06</v>
      </c>
      <c r="T409" s="663">
        <f t="shared" si="67"/>
        <v>13983.06</v>
      </c>
      <c r="U409" s="663">
        <f t="shared" si="68"/>
        <v>0</v>
      </c>
      <c r="V409" s="664"/>
      <c r="W409" s="664"/>
      <c r="X409" s="664"/>
      <c r="Y409" s="664"/>
      <c r="Z409" s="664"/>
      <c r="AA409" s="664"/>
      <c r="AB409" s="664"/>
      <c r="AC409" s="664"/>
      <c r="AD409" s="664"/>
      <c r="AE409" s="664"/>
      <c r="AF409" s="664"/>
    </row>
    <row r="410" spans="2:32" ht="14.65">
      <c r="B410" s="653">
        <f t="shared" si="70"/>
        <v>406</v>
      </c>
      <c r="C410" s="684" t="s">
        <v>321</v>
      </c>
      <c r="D410" s="695" t="s">
        <v>29</v>
      </c>
      <c r="E410" s="685">
        <v>90</v>
      </c>
      <c r="F410" s="689">
        <v>44765</v>
      </c>
      <c r="G410" s="689">
        <v>44765</v>
      </c>
      <c r="H410" s="684" t="s">
        <v>180</v>
      </c>
      <c r="I410" s="657">
        <v>44765</v>
      </c>
      <c r="J410" s="628">
        <v>560000</v>
      </c>
      <c r="K410" s="628"/>
      <c r="L410" s="628"/>
      <c r="M410" s="628">
        <v>85423.73</v>
      </c>
      <c r="N410" s="628">
        <f t="shared" si="69"/>
        <v>474576.27</v>
      </c>
      <c r="O410" s="659">
        <f t="shared" si="63"/>
        <v>251</v>
      </c>
      <c r="P410" s="660">
        <v>9</v>
      </c>
      <c r="Q410" s="661">
        <f t="shared" si="71"/>
        <v>8.3123287671232884</v>
      </c>
      <c r="R410" s="662">
        <f t="shared" si="72"/>
        <v>36261</v>
      </c>
      <c r="S410" s="662">
        <f t="shared" si="73"/>
        <v>438315.27</v>
      </c>
      <c r="T410" s="663">
        <f t="shared" si="67"/>
        <v>474576.27</v>
      </c>
      <c r="U410" s="663">
        <f t="shared" si="68"/>
        <v>0</v>
      </c>
      <c r="V410" s="664"/>
      <c r="W410" s="664"/>
      <c r="X410" s="664"/>
      <c r="Y410" s="664"/>
      <c r="Z410" s="664"/>
      <c r="AA410" s="664"/>
      <c r="AB410" s="664"/>
      <c r="AC410" s="664"/>
      <c r="AD410" s="664"/>
      <c r="AE410" s="664"/>
      <c r="AF410" s="664"/>
    </row>
    <row r="411" spans="2:32" ht="14.65">
      <c r="B411" s="653">
        <f t="shared" si="70"/>
        <v>407</v>
      </c>
      <c r="C411" s="684" t="s">
        <v>308</v>
      </c>
      <c r="D411" s="695" t="s">
        <v>29</v>
      </c>
      <c r="E411" s="685" t="s">
        <v>381</v>
      </c>
      <c r="F411" s="689">
        <v>44793</v>
      </c>
      <c r="G411" s="689">
        <v>44793</v>
      </c>
      <c r="H411" s="684" t="s">
        <v>416</v>
      </c>
      <c r="I411" s="657">
        <v>44793</v>
      </c>
      <c r="J411" s="628">
        <v>6844000</v>
      </c>
      <c r="K411" s="628"/>
      <c r="L411" s="628"/>
      <c r="M411" s="628">
        <v>1044000</v>
      </c>
      <c r="N411" s="628">
        <f t="shared" si="69"/>
        <v>5800000</v>
      </c>
      <c r="O411" s="659">
        <f t="shared" si="63"/>
        <v>223</v>
      </c>
      <c r="P411" s="660">
        <v>9</v>
      </c>
      <c r="Q411" s="661">
        <f t="shared" si="71"/>
        <v>8.3890410958904109</v>
      </c>
      <c r="R411" s="662">
        <f t="shared" si="72"/>
        <v>393729</v>
      </c>
      <c r="S411" s="662">
        <f t="shared" si="73"/>
        <v>5406271</v>
      </c>
      <c r="T411" s="663">
        <f t="shared" si="67"/>
        <v>5800000</v>
      </c>
      <c r="U411" s="663">
        <f t="shared" si="68"/>
        <v>0</v>
      </c>
      <c r="V411" s="664"/>
      <c r="W411" s="664"/>
      <c r="X411" s="664"/>
      <c r="Y411" s="664"/>
      <c r="Z411" s="664"/>
      <c r="AA411" s="664"/>
      <c r="AB411" s="664"/>
      <c r="AC411" s="664"/>
      <c r="AD411" s="664"/>
      <c r="AE411" s="664"/>
      <c r="AF411" s="664"/>
    </row>
    <row r="412" spans="2:32" ht="14.65">
      <c r="B412" s="653">
        <f t="shared" si="70"/>
        <v>408</v>
      </c>
      <c r="C412" s="684" t="s">
        <v>308</v>
      </c>
      <c r="D412" s="695" t="s">
        <v>29</v>
      </c>
      <c r="E412" s="685" t="s">
        <v>382</v>
      </c>
      <c r="F412" s="689">
        <v>44786</v>
      </c>
      <c r="G412" s="689">
        <v>44793</v>
      </c>
      <c r="H412" s="684" t="s">
        <v>416</v>
      </c>
      <c r="I412" s="657">
        <v>44793</v>
      </c>
      <c r="J412" s="628">
        <v>6844000</v>
      </c>
      <c r="K412" s="628"/>
      <c r="L412" s="628"/>
      <c r="M412" s="628">
        <v>1044000</v>
      </c>
      <c r="N412" s="628">
        <f t="shared" si="69"/>
        <v>5800000</v>
      </c>
      <c r="O412" s="659">
        <f t="shared" si="63"/>
        <v>223</v>
      </c>
      <c r="P412" s="660">
        <v>9</v>
      </c>
      <c r="Q412" s="661">
        <f t="shared" si="71"/>
        <v>8.3890410958904109</v>
      </c>
      <c r="R412" s="662">
        <f t="shared" si="72"/>
        <v>393729</v>
      </c>
      <c r="S412" s="662">
        <f t="shared" si="73"/>
        <v>5406271</v>
      </c>
      <c r="T412" s="663">
        <f t="shared" si="67"/>
        <v>5800000</v>
      </c>
      <c r="U412" s="663">
        <f t="shared" si="68"/>
        <v>0</v>
      </c>
      <c r="V412" s="664"/>
      <c r="W412" s="664"/>
      <c r="X412" s="664"/>
      <c r="Y412" s="664"/>
      <c r="Z412" s="664"/>
      <c r="AA412" s="664"/>
      <c r="AB412" s="664"/>
      <c r="AC412" s="664"/>
      <c r="AD412" s="664"/>
      <c r="AE412" s="664"/>
      <c r="AF412" s="664"/>
    </row>
    <row r="413" spans="2:32" ht="14.65">
      <c r="B413" s="653">
        <f t="shared" si="70"/>
        <v>409</v>
      </c>
      <c r="C413" s="684" t="s">
        <v>308</v>
      </c>
      <c r="D413" s="695" t="s">
        <v>29</v>
      </c>
      <c r="E413" s="685" t="s">
        <v>383</v>
      </c>
      <c r="F413" s="689">
        <v>44786</v>
      </c>
      <c r="G413" s="686">
        <v>44793</v>
      </c>
      <c r="H413" s="684" t="s">
        <v>416</v>
      </c>
      <c r="I413" s="657">
        <v>44793</v>
      </c>
      <c r="J413" s="628">
        <v>6844000</v>
      </c>
      <c r="K413" s="628"/>
      <c r="L413" s="628"/>
      <c r="M413" s="628">
        <v>1044000</v>
      </c>
      <c r="N413" s="628">
        <f t="shared" si="69"/>
        <v>5800000</v>
      </c>
      <c r="O413" s="659">
        <f t="shared" si="63"/>
        <v>223</v>
      </c>
      <c r="P413" s="660">
        <v>9</v>
      </c>
      <c r="Q413" s="661">
        <f t="shared" si="71"/>
        <v>8.3890410958904109</v>
      </c>
      <c r="R413" s="662">
        <f t="shared" si="72"/>
        <v>393729</v>
      </c>
      <c r="S413" s="662">
        <f t="shared" si="73"/>
        <v>5406271</v>
      </c>
      <c r="T413" s="663">
        <f t="shared" si="67"/>
        <v>5800000</v>
      </c>
      <c r="U413" s="663">
        <f t="shared" si="68"/>
        <v>0</v>
      </c>
      <c r="V413" s="664"/>
      <c r="W413" s="664"/>
      <c r="X413" s="664"/>
      <c r="Y413" s="664"/>
      <c r="Z413" s="664"/>
      <c r="AA413" s="664"/>
      <c r="AB413" s="664"/>
      <c r="AC413" s="664"/>
      <c r="AD413" s="664"/>
      <c r="AE413" s="664"/>
      <c r="AF413" s="664"/>
    </row>
    <row r="414" spans="2:32" ht="14.65">
      <c r="B414" s="653">
        <f t="shared" si="70"/>
        <v>410</v>
      </c>
      <c r="C414" s="684" t="s">
        <v>308</v>
      </c>
      <c r="D414" s="695" t="s">
        <v>29</v>
      </c>
      <c r="E414" s="685" t="s">
        <v>384</v>
      </c>
      <c r="F414" s="689">
        <v>44786</v>
      </c>
      <c r="G414" s="686">
        <v>44793</v>
      </c>
      <c r="H414" s="684" t="s">
        <v>416</v>
      </c>
      <c r="I414" s="657">
        <v>44793</v>
      </c>
      <c r="J414" s="628">
        <v>6844000</v>
      </c>
      <c r="K414" s="628"/>
      <c r="L414" s="628"/>
      <c r="M414" s="628">
        <v>1044000</v>
      </c>
      <c r="N414" s="628">
        <f t="shared" si="69"/>
        <v>5800000</v>
      </c>
      <c r="O414" s="659">
        <f t="shared" si="63"/>
        <v>223</v>
      </c>
      <c r="P414" s="660">
        <v>9</v>
      </c>
      <c r="Q414" s="661">
        <f t="shared" si="71"/>
        <v>8.3890410958904109</v>
      </c>
      <c r="R414" s="662">
        <f t="shared" si="72"/>
        <v>393729</v>
      </c>
      <c r="S414" s="662">
        <f t="shared" si="73"/>
        <v>5406271</v>
      </c>
      <c r="T414" s="663">
        <f t="shared" si="67"/>
        <v>5800000</v>
      </c>
      <c r="U414" s="663">
        <f t="shared" si="68"/>
        <v>0</v>
      </c>
      <c r="V414" s="664"/>
      <c r="W414" s="664"/>
      <c r="X414" s="664"/>
      <c r="Y414" s="664"/>
      <c r="Z414" s="664"/>
      <c r="AA414" s="664"/>
      <c r="AB414" s="664"/>
      <c r="AC414" s="664"/>
      <c r="AD414" s="664"/>
      <c r="AE414" s="664"/>
      <c r="AF414" s="664"/>
    </row>
    <row r="415" spans="2:32" ht="14.65">
      <c r="B415" s="653">
        <f t="shared" si="70"/>
        <v>411</v>
      </c>
      <c r="C415" s="684" t="s">
        <v>322</v>
      </c>
      <c r="D415" s="695" t="s">
        <v>29</v>
      </c>
      <c r="E415" s="685" t="s">
        <v>385</v>
      </c>
      <c r="F415" s="686">
        <v>44785</v>
      </c>
      <c r="G415" s="686">
        <v>44798</v>
      </c>
      <c r="H415" s="684" t="s">
        <v>417</v>
      </c>
      <c r="I415" s="657">
        <v>44798</v>
      </c>
      <c r="J415" s="628">
        <v>3056967</v>
      </c>
      <c r="K415" s="628">
        <v>9499</v>
      </c>
      <c r="L415" s="628">
        <v>30267</v>
      </c>
      <c r="M415" s="628">
        <v>461700</v>
      </c>
      <c r="N415" s="628">
        <f t="shared" si="69"/>
        <v>2574499</v>
      </c>
      <c r="O415" s="659">
        <f t="shared" si="63"/>
        <v>218</v>
      </c>
      <c r="P415" s="660">
        <v>9</v>
      </c>
      <c r="Q415" s="661">
        <f t="shared" si="71"/>
        <v>8.4027397260273968</v>
      </c>
      <c r="R415" s="662">
        <f t="shared" si="72"/>
        <v>170850</v>
      </c>
      <c r="S415" s="662">
        <f t="shared" si="73"/>
        <v>2403649</v>
      </c>
      <c r="T415" s="663">
        <f t="shared" si="67"/>
        <v>2574499</v>
      </c>
      <c r="U415" s="663">
        <f t="shared" si="68"/>
        <v>0</v>
      </c>
      <c r="V415" s="664"/>
      <c r="W415" s="664"/>
      <c r="X415" s="664"/>
      <c r="Y415" s="664"/>
      <c r="Z415" s="664"/>
      <c r="AA415" s="664"/>
      <c r="AB415" s="664"/>
      <c r="AC415" s="664"/>
      <c r="AD415" s="664"/>
      <c r="AE415" s="664"/>
      <c r="AF415" s="664"/>
    </row>
    <row r="416" spans="2:32" ht="16.5" customHeight="1">
      <c r="B416" s="653">
        <f t="shared" si="70"/>
        <v>412</v>
      </c>
      <c r="C416" s="684" t="s">
        <v>323</v>
      </c>
      <c r="D416" s="695" t="s">
        <v>29</v>
      </c>
      <c r="E416" s="685" t="s">
        <v>386</v>
      </c>
      <c r="F416" s="686">
        <v>44793</v>
      </c>
      <c r="G416" s="686">
        <v>44799</v>
      </c>
      <c r="H416" s="684" t="s">
        <v>416</v>
      </c>
      <c r="I416" s="657">
        <v>44799</v>
      </c>
      <c r="J416" s="628">
        <v>6844000</v>
      </c>
      <c r="K416" s="628"/>
      <c r="L416" s="628"/>
      <c r="M416" s="628">
        <v>1044000</v>
      </c>
      <c r="N416" s="628">
        <f t="shared" si="69"/>
        <v>5800000</v>
      </c>
      <c r="O416" s="659">
        <f t="shared" si="63"/>
        <v>217</v>
      </c>
      <c r="P416" s="660">
        <v>9</v>
      </c>
      <c r="Q416" s="661">
        <f t="shared" si="71"/>
        <v>8.4054794520547951</v>
      </c>
      <c r="R416" s="662">
        <f t="shared" si="72"/>
        <v>383135</v>
      </c>
      <c r="S416" s="662">
        <f t="shared" si="73"/>
        <v>5416865</v>
      </c>
      <c r="T416" s="663">
        <f t="shared" si="67"/>
        <v>5800000</v>
      </c>
      <c r="U416" s="663">
        <f t="shared" si="68"/>
        <v>0</v>
      </c>
      <c r="V416" s="664"/>
      <c r="W416" s="664"/>
      <c r="X416" s="664"/>
      <c r="Y416" s="664"/>
      <c r="Z416" s="664"/>
      <c r="AA416" s="664"/>
      <c r="AB416" s="664"/>
      <c r="AC416" s="664"/>
      <c r="AD416" s="664"/>
      <c r="AE416" s="664"/>
      <c r="AF416" s="664"/>
    </row>
    <row r="417" spans="2:32" ht="16.5" customHeight="1">
      <c r="B417" s="653">
        <f t="shared" si="70"/>
        <v>413</v>
      </c>
      <c r="C417" s="684" t="s">
        <v>324</v>
      </c>
      <c r="D417" s="695" t="s">
        <v>29</v>
      </c>
      <c r="E417" s="685" t="s">
        <v>387</v>
      </c>
      <c r="F417" s="686">
        <v>44791</v>
      </c>
      <c r="G417" s="686">
        <v>44799</v>
      </c>
      <c r="H417" s="684" t="s">
        <v>416</v>
      </c>
      <c r="I417" s="657">
        <v>44799</v>
      </c>
      <c r="J417" s="628">
        <v>7150800</v>
      </c>
      <c r="K417" s="628"/>
      <c r="L417" s="628">
        <v>70800</v>
      </c>
      <c r="M417" s="628">
        <v>1080000</v>
      </c>
      <c r="N417" s="628">
        <f t="shared" si="69"/>
        <v>6000000</v>
      </c>
      <c r="O417" s="659">
        <f t="shared" si="63"/>
        <v>217</v>
      </c>
      <c r="P417" s="660">
        <v>9</v>
      </c>
      <c r="Q417" s="661">
        <f t="shared" si="71"/>
        <v>8.4054794520547951</v>
      </c>
      <c r="R417" s="662">
        <f t="shared" si="72"/>
        <v>396347</v>
      </c>
      <c r="S417" s="662">
        <f t="shared" si="73"/>
        <v>5603653</v>
      </c>
      <c r="T417" s="663">
        <f t="shared" si="67"/>
        <v>6000000</v>
      </c>
      <c r="U417" s="663">
        <f t="shared" si="68"/>
        <v>0</v>
      </c>
      <c r="V417" s="664"/>
      <c r="W417" s="664"/>
      <c r="X417" s="664"/>
      <c r="Y417" s="664"/>
      <c r="Z417" s="664"/>
      <c r="AA417" s="664"/>
      <c r="AB417" s="664"/>
      <c r="AC417" s="664"/>
      <c r="AD417" s="664"/>
      <c r="AE417" s="664"/>
      <c r="AF417" s="664"/>
    </row>
    <row r="418" spans="2:32" ht="16.5" customHeight="1">
      <c r="B418" s="653">
        <f t="shared" si="70"/>
        <v>414</v>
      </c>
      <c r="C418" s="684" t="s">
        <v>324</v>
      </c>
      <c r="D418" s="695" t="s">
        <v>29</v>
      </c>
      <c r="E418" s="685" t="s">
        <v>388</v>
      </c>
      <c r="F418" s="686">
        <v>44791</v>
      </c>
      <c r="G418" s="686">
        <v>44799</v>
      </c>
      <c r="H418" s="684" t="s">
        <v>416</v>
      </c>
      <c r="I418" s="657">
        <v>44799</v>
      </c>
      <c r="J418" s="628">
        <v>7150800</v>
      </c>
      <c r="K418" s="628"/>
      <c r="L418" s="628">
        <v>70800</v>
      </c>
      <c r="M418" s="628">
        <v>1080000</v>
      </c>
      <c r="N418" s="628">
        <f t="shared" si="69"/>
        <v>6000000</v>
      </c>
      <c r="O418" s="659">
        <f t="shared" si="63"/>
        <v>217</v>
      </c>
      <c r="P418" s="660">
        <v>9</v>
      </c>
      <c r="Q418" s="661">
        <f t="shared" si="71"/>
        <v>8.4054794520547951</v>
      </c>
      <c r="R418" s="662">
        <f t="shared" si="72"/>
        <v>396347</v>
      </c>
      <c r="S418" s="662">
        <f t="shared" si="73"/>
        <v>5603653</v>
      </c>
      <c r="T418" s="663">
        <f t="shared" si="67"/>
        <v>6000000</v>
      </c>
      <c r="U418" s="663">
        <f t="shared" si="68"/>
        <v>0</v>
      </c>
      <c r="V418" s="664"/>
      <c r="W418" s="664"/>
      <c r="X418" s="664"/>
      <c r="Y418" s="664"/>
      <c r="Z418" s="664"/>
      <c r="AA418" s="664"/>
      <c r="AB418" s="664"/>
      <c r="AC418" s="664"/>
      <c r="AD418" s="664"/>
      <c r="AE418" s="664"/>
      <c r="AF418" s="664"/>
    </row>
    <row r="419" spans="2:32" ht="16.5" customHeight="1">
      <c r="B419" s="653">
        <f t="shared" si="70"/>
        <v>415</v>
      </c>
      <c r="C419" s="684" t="s">
        <v>324</v>
      </c>
      <c r="D419" s="695" t="s">
        <v>29</v>
      </c>
      <c r="E419" s="685" t="s">
        <v>389</v>
      </c>
      <c r="F419" s="686">
        <v>44791</v>
      </c>
      <c r="G419" s="686">
        <v>44799</v>
      </c>
      <c r="H419" s="684" t="s">
        <v>416</v>
      </c>
      <c r="I419" s="657">
        <v>44799</v>
      </c>
      <c r="J419" s="628">
        <v>7150800</v>
      </c>
      <c r="K419" s="628"/>
      <c r="L419" s="628">
        <v>70800</v>
      </c>
      <c r="M419" s="628">
        <v>1080000</v>
      </c>
      <c r="N419" s="628">
        <f t="shared" si="69"/>
        <v>6000000</v>
      </c>
      <c r="O419" s="659">
        <f t="shared" si="63"/>
        <v>217</v>
      </c>
      <c r="P419" s="660">
        <v>9</v>
      </c>
      <c r="Q419" s="661">
        <f t="shared" si="71"/>
        <v>8.4054794520547951</v>
      </c>
      <c r="R419" s="662">
        <f t="shared" si="72"/>
        <v>396347</v>
      </c>
      <c r="S419" s="662">
        <f t="shared" si="73"/>
        <v>5603653</v>
      </c>
      <c r="T419" s="663">
        <f t="shared" si="67"/>
        <v>6000000</v>
      </c>
      <c r="U419" s="663">
        <f t="shared" si="68"/>
        <v>0</v>
      </c>
      <c r="V419" s="664"/>
      <c r="W419" s="664"/>
      <c r="X419" s="664"/>
      <c r="Y419" s="664"/>
      <c r="Z419" s="664"/>
      <c r="AA419" s="664"/>
      <c r="AB419" s="664"/>
      <c r="AC419" s="664"/>
      <c r="AD419" s="664"/>
      <c r="AE419" s="664"/>
      <c r="AF419" s="664"/>
    </row>
    <row r="420" spans="2:32" ht="16.5" customHeight="1">
      <c r="B420" s="653">
        <f t="shared" si="70"/>
        <v>416</v>
      </c>
      <c r="C420" s="684" t="s">
        <v>323</v>
      </c>
      <c r="D420" s="695" t="s">
        <v>29</v>
      </c>
      <c r="E420" s="685" t="s">
        <v>390</v>
      </c>
      <c r="F420" s="686">
        <v>44792</v>
      </c>
      <c r="G420" s="686">
        <v>44799</v>
      </c>
      <c r="H420" s="684" t="s">
        <v>416</v>
      </c>
      <c r="I420" s="657">
        <v>44799</v>
      </c>
      <c r="J420" s="628">
        <v>6844000</v>
      </c>
      <c r="K420" s="628"/>
      <c r="L420" s="628"/>
      <c r="M420" s="628">
        <v>1044000</v>
      </c>
      <c r="N420" s="628">
        <f t="shared" si="69"/>
        <v>5800000</v>
      </c>
      <c r="O420" s="659">
        <f t="shared" si="63"/>
        <v>217</v>
      </c>
      <c r="P420" s="660">
        <v>9</v>
      </c>
      <c r="Q420" s="661">
        <f t="shared" si="71"/>
        <v>8.4054794520547951</v>
      </c>
      <c r="R420" s="662">
        <f t="shared" si="72"/>
        <v>383135</v>
      </c>
      <c r="S420" s="662">
        <f t="shared" si="73"/>
        <v>5416865</v>
      </c>
      <c r="T420" s="663">
        <f t="shared" si="67"/>
        <v>5800000</v>
      </c>
      <c r="U420" s="663">
        <f t="shared" si="68"/>
        <v>0</v>
      </c>
      <c r="V420" s="664"/>
      <c r="W420" s="664"/>
      <c r="X420" s="664"/>
      <c r="Y420" s="664"/>
      <c r="Z420" s="664"/>
      <c r="AA420" s="664"/>
      <c r="AB420" s="664"/>
      <c r="AC420" s="664"/>
      <c r="AD420" s="664"/>
      <c r="AE420" s="664"/>
      <c r="AF420" s="664"/>
    </row>
    <row r="421" spans="2:32" ht="16.5" customHeight="1">
      <c r="B421" s="653">
        <f t="shared" si="70"/>
        <v>417</v>
      </c>
      <c r="C421" s="684" t="s">
        <v>323</v>
      </c>
      <c r="D421" s="695" t="s">
        <v>29</v>
      </c>
      <c r="E421" s="685" t="s">
        <v>391</v>
      </c>
      <c r="F421" s="686">
        <v>44799</v>
      </c>
      <c r="G421" s="686">
        <v>44799</v>
      </c>
      <c r="H421" s="684" t="s">
        <v>416</v>
      </c>
      <c r="I421" s="657">
        <v>44799</v>
      </c>
      <c r="J421" s="628">
        <v>6844000</v>
      </c>
      <c r="K421" s="628"/>
      <c r="L421" s="628"/>
      <c r="M421" s="628">
        <v>1044000</v>
      </c>
      <c r="N421" s="628">
        <f t="shared" si="69"/>
        <v>5800000</v>
      </c>
      <c r="O421" s="659">
        <f t="shared" si="63"/>
        <v>217</v>
      </c>
      <c r="P421" s="660">
        <v>9</v>
      </c>
      <c r="Q421" s="661">
        <f t="shared" si="71"/>
        <v>8.4054794520547951</v>
      </c>
      <c r="R421" s="662">
        <f t="shared" si="72"/>
        <v>383135</v>
      </c>
      <c r="S421" s="662">
        <f t="shared" si="73"/>
        <v>5416865</v>
      </c>
      <c r="T421" s="663">
        <f t="shared" si="67"/>
        <v>5800000</v>
      </c>
      <c r="U421" s="663">
        <f t="shared" si="68"/>
        <v>0</v>
      </c>
      <c r="V421" s="664"/>
      <c r="W421" s="664"/>
      <c r="X421" s="664"/>
      <c r="Y421" s="664"/>
      <c r="Z421" s="664"/>
      <c r="AA421" s="664"/>
      <c r="AB421" s="664"/>
      <c r="AC421" s="664"/>
      <c r="AD421" s="664"/>
      <c r="AE421" s="664"/>
      <c r="AF421" s="664"/>
    </row>
    <row r="422" spans="2:32" ht="16.5" customHeight="1">
      <c r="B422" s="653">
        <f t="shared" si="70"/>
        <v>418</v>
      </c>
      <c r="C422" s="684" t="s">
        <v>323</v>
      </c>
      <c r="D422" s="695" t="s">
        <v>29</v>
      </c>
      <c r="E422" s="685" t="s">
        <v>392</v>
      </c>
      <c r="F422" s="686">
        <v>44792</v>
      </c>
      <c r="G422" s="686">
        <v>44799</v>
      </c>
      <c r="H422" s="684" t="s">
        <v>416</v>
      </c>
      <c r="I422" s="657">
        <v>44799</v>
      </c>
      <c r="J422" s="628">
        <v>6844000</v>
      </c>
      <c r="K422" s="628"/>
      <c r="L422" s="628"/>
      <c r="M422" s="628">
        <v>1044000</v>
      </c>
      <c r="N422" s="628">
        <f t="shared" si="69"/>
        <v>5800000</v>
      </c>
      <c r="O422" s="659">
        <f t="shared" si="63"/>
        <v>217</v>
      </c>
      <c r="P422" s="660">
        <v>9</v>
      </c>
      <c r="Q422" s="661">
        <f t="shared" si="71"/>
        <v>8.4054794520547951</v>
      </c>
      <c r="R422" s="662">
        <f t="shared" si="72"/>
        <v>383135</v>
      </c>
      <c r="S422" s="662">
        <f t="shared" si="73"/>
        <v>5416865</v>
      </c>
      <c r="T422" s="663">
        <f t="shared" si="67"/>
        <v>5800000</v>
      </c>
      <c r="U422" s="663">
        <f t="shared" si="68"/>
        <v>0</v>
      </c>
      <c r="V422" s="664"/>
      <c r="W422" s="664"/>
      <c r="X422" s="664"/>
      <c r="Y422" s="664"/>
      <c r="Z422" s="664"/>
      <c r="AA422" s="664"/>
      <c r="AB422" s="664"/>
      <c r="AC422" s="664"/>
      <c r="AD422" s="664"/>
      <c r="AE422" s="664"/>
      <c r="AF422" s="664"/>
    </row>
    <row r="423" spans="2:32" ht="16.5" customHeight="1">
      <c r="B423" s="653">
        <f t="shared" si="70"/>
        <v>419</v>
      </c>
      <c r="C423" s="684" t="s">
        <v>323</v>
      </c>
      <c r="D423" s="695" t="s">
        <v>29</v>
      </c>
      <c r="E423" s="685" t="s">
        <v>393</v>
      </c>
      <c r="F423" s="686">
        <v>44792</v>
      </c>
      <c r="G423" s="686">
        <v>44799</v>
      </c>
      <c r="H423" s="684" t="s">
        <v>416</v>
      </c>
      <c r="I423" s="657">
        <v>44799</v>
      </c>
      <c r="J423" s="628">
        <v>6844000</v>
      </c>
      <c r="K423" s="628"/>
      <c r="L423" s="628"/>
      <c r="M423" s="628">
        <v>1044000</v>
      </c>
      <c r="N423" s="628">
        <f t="shared" si="69"/>
        <v>5800000</v>
      </c>
      <c r="O423" s="659">
        <f t="shared" si="63"/>
        <v>217</v>
      </c>
      <c r="P423" s="660">
        <v>9</v>
      </c>
      <c r="Q423" s="661">
        <f t="shared" si="71"/>
        <v>8.4054794520547951</v>
      </c>
      <c r="R423" s="662">
        <f t="shared" si="72"/>
        <v>383135</v>
      </c>
      <c r="S423" s="662">
        <f t="shared" si="73"/>
        <v>5416865</v>
      </c>
      <c r="T423" s="663">
        <f t="shared" si="67"/>
        <v>5800000</v>
      </c>
      <c r="U423" s="663">
        <f t="shared" si="68"/>
        <v>0</v>
      </c>
      <c r="V423" s="664"/>
      <c r="W423" s="664"/>
      <c r="X423" s="664"/>
      <c r="Y423" s="664"/>
      <c r="Z423" s="664"/>
      <c r="AA423" s="664"/>
      <c r="AB423" s="664"/>
      <c r="AC423" s="664"/>
      <c r="AD423" s="664"/>
      <c r="AE423" s="664"/>
      <c r="AF423" s="664"/>
    </row>
    <row r="424" spans="2:32" ht="14.65">
      <c r="B424" s="653">
        <f t="shared" si="70"/>
        <v>420</v>
      </c>
      <c r="C424" s="684" t="s">
        <v>321</v>
      </c>
      <c r="D424" s="695" t="s">
        <v>29</v>
      </c>
      <c r="E424" s="685">
        <v>114</v>
      </c>
      <c r="F424" s="686">
        <v>44797</v>
      </c>
      <c r="G424" s="686">
        <v>44800</v>
      </c>
      <c r="H424" s="684" t="s">
        <v>180</v>
      </c>
      <c r="I424" s="657">
        <v>44800</v>
      </c>
      <c r="J424" s="628">
        <v>560000</v>
      </c>
      <c r="K424" s="628"/>
      <c r="L424" s="628"/>
      <c r="M424" s="628">
        <v>85423.73</v>
      </c>
      <c r="N424" s="628">
        <f t="shared" si="69"/>
        <v>474576.27</v>
      </c>
      <c r="O424" s="659">
        <f t="shared" si="63"/>
        <v>216</v>
      </c>
      <c r="P424" s="660">
        <v>9</v>
      </c>
      <c r="Q424" s="661">
        <f t="shared" si="71"/>
        <v>8.4082191780821915</v>
      </c>
      <c r="R424" s="662">
        <f t="shared" si="72"/>
        <v>31205</v>
      </c>
      <c r="S424" s="662">
        <f t="shared" si="73"/>
        <v>443371.27</v>
      </c>
      <c r="T424" s="663">
        <f t="shared" si="67"/>
        <v>474576.27</v>
      </c>
      <c r="U424" s="663">
        <f t="shared" si="68"/>
        <v>0</v>
      </c>
      <c r="V424" s="664"/>
      <c r="W424" s="664"/>
      <c r="X424" s="664"/>
      <c r="Y424" s="664"/>
      <c r="Z424" s="664"/>
      <c r="AA424" s="664"/>
      <c r="AB424" s="664"/>
      <c r="AC424" s="664"/>
      <c r="AD424" s="664"/>
      <c r="AE424" s="664"/>
      <c r="AF424" s="664"/>
    </row>
    <row r="425" spans="2:32" ht="14.65">
      <c r="B425" s="653">
        <f t="shared" si="70"/>
        <v>421</v>
      </c>
      <c r="C425" s="684" t="s">
        <v>325</v>
      </c>
      <c r="D425" s="695" t="s">
        <v>29</v>
      </c>
      <c r="E425" s="685">
        <v>1583</v>
      </c>
      <c r="F425" s="686">
        <v>44798</v>
      </c>
      <c r="G425" s="686">
        <v>44803</v>
      </c>
      <c r="H425" s="684" t="s">
        <v>418</v>
      </c>
      <c r="I425" s="657">
        <v>44803</v>
      </c>
      <c r="J425" s="628">
        <v>244260</v>
      </c>
      <c r="K425" s="628"/>
      <c r="L425" s="628"/>
      <c r="M425" s="628">
        <v>37260</v>
      </c>
      <c r="N425" s="628">
        <f t="shared" si="69"/>
        <v>207000</v>
      </c>
      <c r="O425" s="659">
        <f t="shared" si="63"/>
        <v>213</v>
      </c>
      <c r="P425" s="660">
        <v>9</v>
      </c>
      <c r="Q425" s="661">
        <f t="shared" si="71"/>
        <v>8.4164383561643827</v>
      </c>
      <c r="R425" s="662">
        <f t="shared" si="72"/>
        <v>13422</v>
      </c>
      <c r="S425" s="662">
        <f t="shared" si="73"/>
        <v>193578</v>
      </c>
      <c r="T425" s="663">
        <f t="shared" si="67"/>
        <v>207000</v>
      </c>
      <c r="U425" s="663">
        <f t="shared" si="68"/>
        <v>0</v>
      </c>
      <c r="V425" s="664"/>
      <c r="W425" s="664"/>
      <c r="X425" s="664"/>
      <c r="Y425" s="664"/>
      <c r="Z425" s="664"/>
      <c r="AA425" s="664"/>
      <c r="AB425" s="664"/>
      <c r="AC425" s="664"/>
      <c r="AD425" s="664"/>
      <c r="AE425" s="664"/>
      <c r="AF425" s="664"/>
    </row>
    <row r="426" spans="2:32" ht="14.65">
      <c r="B426" s="653">
        <f t="shared" si="70"/>
        <v>422</v>
      </c>
      <c r="C426" s="684" t="s">
        <v>323</v>
      </c>
      <c r="D426" s="695" t="s">
        <v>29</v>
      </c>
      <c r="E426" s="685" t="s">
        <v>394</v>
      </c>
      <c r="F426" s="686">
        <v>44803</v>
      </c>
      <c r="G426" s="686">
        <v>44803</v>
      </c>
      <c r="H426" s="684" t="s">
        <v>416</v>
      </c>
      <c r="I426" s="657">
        <v>44803</v>
      </c>
      <c r="J426" s="628">
        <v>6844000</v>
      </c>
      <c r="K426" s="628"/>
      <c r="L426" s="628"/>
      <c r="M426" s="628">
        <v>1044000</v>
      </c>
      <c r="N426" s="628">
        <f t="shared" si="69"/>
        <v>5800000</v>
      </c>
      <c r="O426" s="659">
        <f t="shared" si="63"/>
        <v>213</v>
      </c>
      <c r="P426" s="660">
        <v>9</v>
      </c>
      <c r="Q426" s="661">
        <f t="shared" si="71"/>
        <v>8.4164383561643827</v>
      </c>
      <c r="R426" s="662">
        <f t="shared" si="72"/>
        <v>376073</v>
      </c>
      <c r="S426" s="662">
        <f t="shared" si="73"/>
        <v>5423927</v>
      </c>
      <c r="T426" s="663">
        <f t="shared" si="67"/>
        <v>5800000</v>
      </c>
      <c r="U426" s="663">
        <f t="shared" si="68"/>
        <v>0</v>
      </c>
      <c r="V426" s="664"/>
      <c r="W426" s="664"/>
      <c r="X426" s="664"/>
      <c r="Y426" s="664"/>
      <c r="Z426" s="664"/>
      <c r="AA426" s="664"/>
      <c r="AB426" s="664"/>
      <c r="AC426" s="664"/>
      <c r="AD426" s="664"/>
      <c r="AE426" s="664"/>
      <c r="AF426" s="664"/>
    </row>
    <row r="427" spans="2:32" ht="16.5" customHeight="1">
      <c r="B427" s="653">
        <f t="shared" si="70"/>
        <v>423</v>
      </c>
      <c r="C427" s="684" t="s">
        <v>326</v>
      </c>
      <c r="D427" s="695" t="s">
        <v>29</v>
      </c>
      <c r="E427" s="685">
        <v>231800481</v>
      </c>
      <c r="F427" s="686">
        <v>44804</v>
      </c>
      <c r="G427" s="686">
        <v>44805</v>
      </c>
      <c r="H427" s="684" t="s">
        <v>419</v>
      </c>
      <c r="I427" s="657">
        <v>44805</v>
      </c>
      <c r="J427" s="628">
        <v>1357000</v>
      </c>
      <c r="K427" s="628"/>
      <c r="L427" s="628"/>
      <c r="M427" s="628">
        <v>207000</v>
      </c>
      <c r="N427" s="628">
        <f t="shared" si="69"/>
        <v>1150000</v>
      </c>
      <c r="O427" s="659">
        <f t="shared" si="63"/>
        <v>211</v>
      </c>
      <c r="P427" s="660">
        <v>9</v>
      </c>
      <c r="Q427" s="661">
        <f t="shared" si="71"/>
        <v>8.4219178082191775</v>
      </c>
      <c r="R427" s="662">
        <f t="shared" si="72"/>
        <v>73866</v>
      </c>
      <c r="S427" s="662">
        <f t="shared" si="73"/>
        <v>1076134</v>
      </c>
      <c r="T427" s="663">
        <f t="shared" si="67"/>
        <v>1150000</v>
      </c>
      <c r="U427" s="663">
        <f t="shared" si="68"/>
        <v>0</v>
      </c>
      <c r="V427" s="664"/>
      <c r="W427" s="664"/>
      <c r="X427" s="664"/>
      <c r="Y427" s="664"/>
      <c r="Z427" s="664"/>
      <c r="AA427" s="664"/>
      <c r="AB427" s="664"/>
      <c r="AC427" s="664"/>
      <c r="AD427" s="664"/>
      <c r="AE427" s="664"/>
      <c r="AF427" s="664"/>
    </row>
    <row r="428" spans="2:32" ht="16.5" customHeight="1">
      <c r="B428" s="653">
        <f t="shared" si="70"/>
        <v>424</v>
      </c>
      <c r="C428" s="684" t="s">
        <v>326</v>
      </c>
      <c r="D428" s="695" t="s">
        <v>29</v>
      </c>
      <c r="E428" s="685">
        <v>231800482</v>
      </c>
      <c r="F428" s="686">
        <v>44804</v>
      </c>
      <c r="G428" s="686">
        <v>44805</v>
      </c>
      <c r="H428" s="684" t="s">
        <v>419</v>
      </c>
      <c r="I428" s="657">
        <v>44805</v>
      </c>
      <c r="J428" s="628">
        <v>1357000</v>
      </c>
      <c r="K428" s="628"/>
      <c r="L428" s="628"/>
      <c r="M428" s="628">
        <v>207000</v>
      </c>
      <c r="N428" s="628">
        <f t="shared" si="69"/>
        <v>1150000</v>
      </c>
      <c r="O428" s="659">
        <f t="shared" si="63"/>
        <v>211</v>
      </c>
      <c r="P428" s="660">
        <v>9</v>
      </c>
      <c r="Q428" s="661">
        <f t="shared" si="71"/>
        <v>8.4219178082191775</v>
      </c>
      <c r="R428" s="662">
        <f t="shared" si="72"/>
        <v>73866</v>
      </c>
      <c r="S428" s="662">
        <f t="shared" si="73"/>
        <v>1076134</v>
      </c>
      <c r="T428" s="663">
        <f t="shared" si="67"/>
        <v>1150000</v>
      </c>
      <c r="U428" s="663">
        <f t="shared" si="68"/>
        <v>0</v>
      </c>
      <c r="V428" s="664"/>
      <c r="W428" s="664"/>
      <c r="X428" s="664"/>
      <c r="Y428" s="664"/>
      <c r="Z428" s="664"/>
      <c r="AA428" s="664"/>
      <c r="AB428" s="664"/>
      <c r="AC428" s="664"/>
      <c r="AD428" s="664"/>
      <c r="AE428" s="664"/>
      <c r="AF428" s="664"/>
    </row>
    <row r="429" spans="2:32" ht="16.5" customHeight="1">
      <c r="B429" s="653">
        <f t="shared" si="70"/>
        <v>425</v>
      </c>
      <c r="C429" s="684" t="s">
        <v>323</v>
      </c>
      <c r="D429" s="695" t="s">
        <v>29</v>
      </c>
      <c r="E429" s="685" t="s">
        <v>395</v>
      </c>
      <c r="F429" s="686">
        <v>44811</v>
      </c>
      <c r="G429" s="686">
        <v>44811</v>
      </c>
      <c r="H429" s="684" t="s">
        <v>416</v>
      </c>
      <c r="I429" s="657">
        <v>44811</v>
      </c>
      <c r="J429" s="628">
        <v>10620000</v>
      </c>
      <c r="K429" s="628"/>
      <c r="L429" s="628"/>
      <c r="M429" s="628">
        <v>1620000</v>
      </c>
      <c r="N429" s="628">
        <f t="shared" si="69"/>
        <v>9000000</v>
      </c>
      <c r="O429" s="659">
        <f t="shared" si="63"/>
        <v>205</v>
      </c>
      <c r="P429" s="660">
        <v>9</v>
      </c>
      <c r="Q429" s="661">
        <f t="shared" si="71"/>
        <v>8.4383561643835616</v>
      </c>
      <c r="R429" s="662">
        <f t="shared" si="72"/>
        <v>561644</v>
      </c>
      <c r="S429" s="662">
        <f t="shared" si="73"/>
        <v>8438356</v>
      </c>
      <c r="T429" s="663">
        <f t="shared" si="67"/>
        <v>9000000</v>
      </c>
      <c r="U429" s="663">
        <f t="shared" si="68"/>
        <v>0</v>
      </c>
      <c r="V429" s="664"/>
      <c r="W429" s="664"/>
      <c r="X429" s="664"/>
      <c r="Y429" s="664"/>
      <c r="Z429" s="664"/>
      <c r="AA429" s="664"/>
      <c r="AB429" s="664"/>
      <c r="AC429" s="664"/>
      <c r="AD429" s="664"/>
      <c r="AE429" s="664"/>
      <c r="AF429" s="664"/>
    </row>
    <row r="430" spans="2:32" ht="16.5" customHeight="1">
      <c r="B430" s="653">
        <f t="shared" si="70"/>
        <v>426</v>
      </c>
      <c r="C430" s="684" t="s">
        <v>323</v>
      </c>
      <c r="D430" s="695" t="s">
        <v>29</v>
      </c>
      <c r="E430" s="685" t="s">
        <v>396</v>
      </c>
      <c r="F430" s="686">
        <v>44811</v>
      </c>
      <c r="G430" s="686">
        <v>44811</v>
      </c>
      <c r="H430" s="684" t="s">
        <v>416</v>
      </c>
      <c r="I430" s="657">
        <v>44811</v>
      </c>
      <c r="J430" s="628">
        <v>10620000</v>
      </c>
      <c r="K430" s="628"/>
      <c r="L430" s="628"/>
      <c r="M430" s="628">
        <v>1620000</v>
      </c>
      <c r="N430" s="628">
        <f t="shared" si="69"/>
        <v>9000000</v>
      </c>
      <c r="O430" s="659">
        <f t="shared" si="63"/>
        <v>205</v>
      </c>
      <c r="P430" s="660">
        <v>9</v>
      </c>
      <c r="Q430" s="661">
        <f t="shared" si="71"/>
        <v>8.4383561643835616</v>
      </c>
      <c r="R430" s="662">
        <f t="shared" si="72"/>
        <v>561644</v>
      </c>
      <c r="S430" s="662">
        <f t="shared" si="73"/>
        <v>8438356</v>
      </c>
      <c r="T430" s="663">
        <f t="shared" si="67"/>
        <v>9000000</v>
      </c>
      <c r="U430" s="663">
        <f t="shared" si="68"/>
        <v>0</v>
      </c>
      <c r="V430" s="664"/>
      <c r="W430" s="664"/>
      <c r="X430" s="664"/>
      <c r="Y430" s="664"/>
      <c r="Z430" s="664"/>
      <c r="AA430" s="664"/>
      <c r="AB430" s="664"/>
      <c r="AC430" s="664"/>
      <c r="AD430" s="664"/>
      <c r="AE430" s="664"/>
      <c r="AF430" s="664"/>
    </row>
    <row r="431" spans="2:32" ht="16.5" customHeight="1">
      <c r="B431" s="653">
        <f t="shared" si="70"/>
        <v>427</v>
      </c>
      <c r="C431" s="684" t="s">
        <v>323</v>
      </c>
      <c r="D431" s="695" t="s">
        <v>29</v>
      </c>
      <c r="E431" s="685" t="s">
        <v>397</v>
      </c>
      <c r="F431" s="686">
        <v>44811</v>
      </c>
      <c r="G431" s="686">
        <v>44811</v>
      </c>
      <c r="H431" s="684" t="s">
        <v>416</v>
      </c>
      <c r="I431" s="657">
        <v>44811</v>
      </c>
      <c r="J431" s="628">
        <v>10620000</v>
      </c>
      <c r="K431" s="628"/>
      <c r="L431" s="628"/>
      <c r="M431" s="628">
        <v>1620000</v>
      </c>
      <c r="N431" s="628">
        <f t="shared" si="69"/>
        <v>9000000</v>
      </c>
      <c r="O431" s="659">
        <f t="shared" si="63"/>
        <v>205</v>
      </c>
      <c r="P431" s="660">
        <v>9</v>
      </c>
      <c r="Q431" s="661">
        <f t="shared" si="71"/>
        <v>8.4383561643835616</v>
      </c>
      <c r="R431" s="662">
        <f t="shared" si="72"/>
        <v>561644</v>
      </c>
      <c r="S431" s="662">
        <f t="shared" si="73"/>
        <v>8438356</v>
      </c>
      <c r="T431" s="663">
        <f t="shared" si="67"/>
        <v>9000000</v>
      </c>
      <c r="U431" s="663">
        <f t="shared" si="68"/>
        <v>0</v>
      </c>
      <c r="V431" s="664"/>
      <c r="W431" s="664"/>
      <c r="X431" s="664"/>
      <c r="Y431" s="664"/>
      <c r="Z431" s="664"/>
      <c r="AA431" s="664"/>
      <c r="AB431" s="664"/>
      <c r="AC431" s="664"/>
      <c r="AD431" s="664"/>
      <c r="AE431" s="664"/>
      <c r="AF431" s="664"/>
    </row>
    <row r="432" spans="2:32" ht="16.5" customHeight="1">
      <c r="B432" s="653">
        <f t="shared" si="70"/>
        <v>428</v>
      </c>
      <c r="C432" s="684" t="s">
        <v>327</v>
      </c>
      <c r="D432" s="695" t="s">
        <v>29</v>
      </c>
      <c r="E432" s="685">
        <v>7272212218</v>
      </c>
      <c r="F432" s="686">
        <v>44818</v>
      </c>
      <c r="G432" s="686">
        <v>44818</v>
      </c>
      <c r="H432" s="684" t="s">
        <v>420</v>
      </c>
      <c r="I432" s="657">
        <v>44818</v>
      </c>
      <c r="J432" s="628">
        <v>3217860</v>
      </c>
      <c r="K432" s="628"/>
      <c r="L432" s="628">
        <v>31860</v>
      </c>
      <c r="M432" s="628">
        <v>486000</v>
      </c>
      <c r="N432" s="628">
        <f t="shared" si="69"/>
        <v>2700000</v>
      </c>
      <c r="O432" s="659">
        <f t="shared" si="63"/>
        <v>198</v>
      </c>
      <c r="P432" s="660">
        <v>9</v>
      </c>
      <c r="Q432" s="661">
        <f t="shared" si="71"/>
        <v>8.4575342465753423</v>
      </c>
      <c r="R432" s="662">
        <f t="shared" si="72"/>
        <v>162740</v>
      </c>
      <c r="S432" s="662">
        <f t="shared" si="73"/>
        <v>2537260</v>
      </c>
      <c r="T432" s="663">
        <f t="shared" si="67"/>
        <v>2700000</v>
      </c>
      <c r="U432" s="663">
        <f t="shared" si="68"/>
        <v>0</v>
      </c>
      <c r="V432" s="664"/>
      <c r="W432" s="664"/>
      <c r="X432" s="664"/>
      <c r="Y432" s="664"/>
      <c r="Z432" s="664"/>
      <c r="AA432" s="664"/>
      <c r="AB432" s="664"/>
      <c r="AC432" s="664"/>
      <c r="AD432" s="664"/>
      <c r="AE432" s="664"/>
      <c r="AF432" s="664"/>
    </row>
    <row r="433" spans="2:32" ht="16.5" customHeight="1">
      <c r="B433" s="653">
        <f t="shared" si="70"/>
        <v>429</v>
      </c>
      <c r="C433" s="684" t="s">
        <v>327</v>
      </c>
      <c r="D433" s="695" t="s">
        <v>29</v>
      </c>
      <c r="E433" s="685">
        <v>7272212219</v>
      </c>
      <c r="F433" s="686">
        <v>44818</v>
      </c>
      <c r="G433" s="686">
        <v>44818</v>
      </c>
      <c r="H433" s="684" t="s">
        <v>420</v>
      </c>
      <c r="I433" s="657">
        <v>44818</v>
      </c>
      <c r="J433" s="628">
        <v>3217860</v>
      </c>
      <c r="K433" s="628"/>
      <c r="L433" s="628">
        <v>31860</v>
      </c>
      <c r="M433" s="628">
        <v>486000</v>
      </c>
      <c r="N433" s="628">
        <f t="shared" si="69"/>
        <v>2700000</v>
      </c>
      <c r="O433" s="659">
        <f t="shared" si="63"/>
        <v>198</v>
      </c>
      <c r="P433" s="660">
        <v>9</v>
      </c>
      <c r="Q433" s="661">
        <f t="shared" si="71"/>
        <v>8.4575342465753423</v>
      </c>
      <c r="R433" s="662">
        <f t="shared" si="72"/>
        <v>162740</v>
      </c>
      <c r="S433" s="662">
        <f t="shared" si="73"/>
        <v>2537260</v>
      </c>
      <c r="T433" s="663">
        <f t="shared" si="67"/>
        <v>2700000</v>
      </c>
      <c r="U433" s="663">
        <f t="shared" si="68"/>
        <v>0</v>
      </c>
      <c r="V433" s="664"/>
      <c r="W433" s="664"/>
      <c r="X433" s="664"/>
      <c r="Y433" s="664"/>
      <c r="Z433" s="664"/>
      <c r="AA433" s="664"/>
      <c r="AB433" s="664"/>
      <c r="AC433" s="664"/>
      <c r="AD433" s="664"/>
      <c r="AE433" s="664"/>
      <c r="AF433" s="664"/>
    </row>
    <row r="434" spans="2:32" ht="16.5" customHeight="1">
      <c r="B434" s="653">
        <f t="shared" si="70"/>
        <v>430</v>
      </c>
      <c r="C434" s="684" t="s">
        <v>327</v>
      </c>
      <c r="D434" s="695" t="s">
        <v>29</v>
      </c>
      <c r="E434" s="685">
        <v>7272212215</v>
      </c>
      <c r="F434" s="686">
        <v>44818</v>
      </c>
      <c r="G434" s="686">
        <v>44818</v>
      </c>
      <c r="H434" s="684" t="s">
        <v>420</v>
      </c>
      <c r="I434" s="657">
        <v>44818</v>
      </c>
      <c r="J434" s="628">
        <v>3217860</v>
      </c>
      <c r="K434" s="628"/>
      <c r="L434" s="628">
        <v>31860</v>
      </c>
      <c r="M434" s="628">
        <v>486000</v>
      </c>
      <c r="N434" s="628">
        <f t="shared" si="69"/>
        <v>2700000</v>
      </c>
      <c r="O434" s="659">
        <f t="shared" si="63"/>
        <v>198</v>
      </c>
      <c r="P434" s="660">
        <v>9</v>
      </c>
      <c r="Q434" s="661">
        <f t="shared" si="71"/>
        <v>8.4575342465753423</v>
      </c>
      <c r="R434" s="662">
        <f t="shared" si="72"/>
        <v>162740</v>
      </c>
      <c r="S434" s="662">
        <f t="shared" si="73"/>
        <v>2537260</v>
      </c>
      <c r="T434" s="663">
        <f t="shared" si="67"/>
        <v>2700000</v>
      </c>
      <c r="U434" s="663">
        <f t="shared" si="68"/>
        <v>0</v>
      </c>
      <c r="V434" s="664"/>
      <c r="W434" s="664"/>
      <c r="X434" s="664"/>
      <c r="Y434" s="664"/>
      <c r="Z434" s="664"/>
      <c r="AA434" s="664"/>
      <c r="AB434" s="664"/>
      <c r="AC434" s="664"/>
      <c r="AD434" s="664"/>
      <c r="AE434" s="664"/>
      <c r="AF434" s="664"/>
    </row>
    <row r="435" spans="2:32" ht="16.5" customHeight="1">
      <c r="B435" s="653">
        <f t="shared" si="70"/>
        <v>431</v>
      </c>
      <c r="C435" s="684" t="s">
        <v>327</v>
      </c>
      <c r="D435" s="695" t="s">
        <v>29</v>
      </c>
      <c r="E435" s="685">
        <v>7272212217</v>
      </c>
      <c r="F435" s="686">
        <v>44818</v>
      </c>
      <c r="G435" s="686">
        <v>44818</v>
      </c>
      <c r="H435" s="684" t="s">
        <v>420</v>
      </c>
      <c r="I435" s="657">
        <v>44818</v>
      </c>
      <c r="J435" s="628">
        <v>3217860</v>
      </c>
      <c r="K435" s="628"/>
      <c r="L435" s="628">
        <v>31860</v>
      </c>
      <c r="M435" s="628">
        <v>486000</v>
      </c>
      <c r="N435" s="628">
        <f t="shared" si="69"/>
        <v>2700000</v>
      </c>
      <c r="O435" s="659">
        <f t="shared" si="63"/>
        <v>198</v>
      </c>
      <c r="P435" s="660">
        <v>9</v>
      </c>
      <c r="Q435" s="661">
        <f t="shared" si="71"/>
        <v>8.4575342465753423</v>
      </c>
      <c r="R435" s="662">
        <f t="shared" si="72"/>
        <v>162740</v>
      </c>
      <c r="S435" s="662">
        <f t="shared" si="73"/>
        <v>2537260</v>
      </c>
      <c r="T435" s="663">
        <f t="shared" si="67"/>
        <v>2700000</v>
      </c>
      <c r="U435" s="663">
        <f t="shared" si="68"/>
        <v>0</v>
      </c>
      <c r="V435" s="664"/>
      <c r="W435" s="664"/>
      <c r="X435" s="664"/>
      <c r="Y435" s="664"/>
      <c r="Z435" s="664"/>
      <c r="AA435" s="664"/>
      <c r="AB435" s="664"/>
      <c r="AC435" s="664"/>
      <c r="AD435" s="664"/>
      <c r="AE435" s="664"/>
      <c r="AF435" s="664"/>
    </row>
    <row r="436" spans="2:32" ht="16.5" customHeight="1">
      <c r="B436" s="653">
        <f t="shared" si="70"/>
        <v>432</v>
      </c>
      <c r="C436" s="684" t="s">
        <v>327</v>
      </c>
      <c r="D436" s="695" t="s">
        <v>29</v>
      </c>
      <c r="E436" s="685">
        <v>7272212216</v>
      </c>
      <c r="F436" s="686">
        <v>44818</v>
      </c>
      <c r="G436" s="686">
        <v>44818</v>
      </c>
      <c r="H436" s="684" t="s">
        <v>420</v>
      </c>
      <c r="I436" s="657">
        <v>44818</v>
      </c>
      <c r="J436" s="628">
        <v>3217860</v>
      </c>
      <c r="K436" s="628">
        <v>33967</v>
      </c>
      <c r="L436" s="628">
        <v>31860</v>
      </c>
      <c r="M436" s="628">
        <v>486000</v>
      </c>
      <c r="N436" s="628">
        <f t="shared" si="69"/>
        <v>2733967</v>
      </c>
      <c r="O436" s="659">
        <f t="shared" si="63"/>
        <v>198</v>
      </c>
      <c r="P436" s="660">
        <v>9</v>
      </c>
      <c r="Q436" s="661">
        <f t="shared" si="71"/>
        <v>8.4575342465753423</v>
      </c>
      <c r="R436" s="662">
        <f t="shared" si="72"/>
        <v>164787</v>
      </c>
      <c r="S436" s="662">
        <f t="shared" si="73"/>
        <v>2569180</v>
      </c>
      <c r="T436" s="663">
        <f t="shared" si="67"/>
        <v>2733967</v>
      </c>
      <c r="U436" s="663">
        <f t="shared" si="68"/>
        <v>0</v>
      </c>
      <c r="V436" s="664"/>
      <c r="W436" s="664"/>
      <c r="X436" s="664"/>
      <c r="Y436" s="664"/>
      <c r="Z436" s="664"/>
      <c r="AA436" s="664"/>
      <c r="AB436" s="664"/>
      <c r="AC436" s="664"/>
      <c r="AD436" s="664"/>
      <c r="AE436" s="664"/>
      <c r="AF436" s="664"/>
    </row>
    <row r="437" spans="2:32" ht="16.5" customHeight="1">
      <c r="B437" s="653">
        <f t="shared" si="70"/>
        <v>433</v>
      </c>
      <c r="C437" s="684" t="s">
        <v>327</v>
      </c>
      <c r="D437" s="695" t="s">
        <v>29</v>
      </c>
      <c r="E437" s="685">
        <v>7272212214</v>
      </c>
      <c r="F437" s="686">
        <v>44818</v>
      </c>
      <c r="G437" s="686">
        <v>44818</v>
      </c>
      <c r="H437" s="684" t="s">
        <v>420</v>
      </c>
      <c r="I437" s="657">
        <v>44818</v>
      </c>
      <c r="J437" s="628">
        <v>3217860</v>
      </c>
      <c r="K437" s="628">
        <v>33967</v>
      </c>
      <c r="L437" s="628">
        <v>31860</v>
      </c>
      <c r="M437" s="628">
        <v>486000</v>
      </c>
      <c r="N437" s="628">
        <f t="shared" si="69"/>
        <v>2733967</v>
      </c>
      <c r="O437" s="659">
        <f t="shared" si="63"/>
        <v>198</v>
      </c>
      <c r="P437" s="660">
        <v>9</v>
      </c>
      <c r="Q437" s="661">
        <f t="shared" si="71"/>
        <v>8.4575342465753423</v>
      </c>
      <c r="R437" s="662">
        <f t="shared" si="72"/>
        <v>164787</v>
      </c>
      <c r="S437" s="662">
        <f t="shared" si="73"/>
        <v>2569180</v>
      </c>
      <c r="T437" s="663">
        <f t="shared" si="67"/>
        <v>2733967</v>
      </c>
      <c r="U437" s="663">
        <f t="shared" si="68"/>
        <v>0</v>
      </c>
      <c r="V437" s="664"/>
      <c r="W437" s="664"/>
      <c r="X437" s="664"/>
      <c r="Y437" s="664"/>
      <c r="Z437" s="664"/>
      <c r="AA437" s="664"/>
      <c r="AB437" s="664"/>
      <c r="AC437" s="664"/>
      <c r="AD437" s="664"/>
      <c r="AE437" s="664"/>
      <c r="AF437" s="664"/>
    </row>
    <row r="438" spans="2:32" ht="16.5" customHeight="1">
      <c r="B438" s="653">
        <f t="shared" si="70"/>
        <v>434</v>
      </c>
      <c r="C438" s="684" t="s">
        <v>328</v>
      </c>
      <c r="D438" s="695" t="s">
        <v>29</v>
      </c>
      <c r="E438" s="685">
        <v>183</v>
      </c>
      <c r="F438" s="686">
        <v>44826</v>
      </c>
      <c r="G438" s="686">
        <v>44834</v>
      </c>
      <c r="H438" s="684" t="s">
        <v>421</v>
      </c>
      <c r="I438" s="657">
        <v>44834</v>
      </c>
      <c r="J438" s="628">
        <v>484838</v>
      </c>
      <c r="K438" s="628"/>
      <c r="L438" s="628"/>
      <c r="M438" s="628">
        <v>73958</v>
      </c>
      <c r="N438" s="628">
        <f t="shared" si="69"/>
        <v>410880</v>
      </c>
      <c r="O438" s="659">
        <f t="shared" si="63"/>
        <v>182</v>
      </c>
      <c r="P438" s="660">
        <v>9</v>
      </c>
      <c r="Q438" s="661">
        <f t="shared" si="71"/>
        <v>8.5013698630136982</v>
      </c>
      <c r="R438" s="662">
        <f t="shared" si="72"/>
        <v>22764</v>
      </c>
      <c r="S438" s="662">
        <f t="shared" si="73"/>
        <v>388116</v>
      </c>
      <c r="T438" s="663">
        <f t="shared" si="67"/>
        <v>410880</v>
      </c>
      <c r="U438" s="663">
        <f t="shared" si="68"/>
        <v>0</v>
      </c>
      <c r="V438" s="664"/>
      <c r="W438" s="664"/>
      <c r="X438" s="664"/>
      <c r="Y438" s="664"/>
      <c r="Z438" s="664"/>
      <c r="AA438" s="664"/>
      <c r="AB438" s="664"/>
      <c r="AC438" s="664"/>
      <c r="AD438" s="664"/>
      <c r="AE438" s="664"/>
      <c r="AF438" s="664"/>
    </row>
    <row r="439" spans="2:32" ht="16.5" customHeight="1">
      <c r="B439" s="653">
        <f t="shared" si="70"/>
        <v>435</v>
      </c>
      <c r="C439" s="684" t="s">
        <v>329</v>
      </c>
      <c r="D439" s="695" t="s">
        <v>29</v>
      </c>
      <c r="E439" s="685">
        <v>108</v>
      </c>
      <c r="F439" s="686">
        <v>44821</v>
      </c>
      <c r="G439" s="686">
        <v>44834</v>
      </c>
      <c r="H439" s="684" t="s">
        <v>163</v>
      </c>
      <c r="I439" s="657">
        <v>44834</v>
      </c>
      <c r="J439" s="628">
        <v>731600</v>
      </c>
      <c r="K439" s="628"/>
      <c r="L439" s="628"/>
      <c r="M439" s="628">
        <v>111600</v>
      </c>
      <c r="N439" s="628">
        <f t="shared" si="69"/>
        <v>620000</v>
      </c>
      <c r="O439" s="659">
        <f t="shared" ref="O439:O502" si="74">$O$1-I439</f>
        <v>182</v>
      </c>
      <c r="P439" s="660">
        <v>9</v>
      </c>
      <c r="Q439" s="661">
        <f t="shared" ref="Q439:Q470" si="75">+P439-(O439/365)</f>
        <v>8.5013698630136982</v>
      </c>
      <c r="R439" s="662">
        <f t="shared" ref="R439:R470" si="76">ROUND(+N439/(P439*365)*O439,0)</f>
        <v>34350</v>
      </c>
      <c r="S439" s="662">
        <f t="shared" ref="S439:S470" si="77">+N439-R439</f>
        <v>585650</v>
      </c>
      <c r="T439" s="663">
        <f t="shared" ref="T439:T502" si="78">IF(I439&lt;=DATE(2022,9,30),N439,0)</f>
        <v>620000</v>
      </c>
      <c r="U439" s="663">
        <f t="shared" ref="U439:U502" si="79">IF(I439&gt;DATE(2022,9,30),N439,0)</f>
        <v>0</v>
      </c>
      <c r="V439" s="664"/>
      <c r="W439" s="664"/>
      <c r="X439" s="664"/>
      <c r="Y439" s="664"/>
      <c r="Z439" s="664"/>
      <c r="AA439" s="664"/>
      <c r="AB439" s="664"/>
      <c r="AC439" s="664"/>
      <c r="AD439" s="664"/>
      <c r="AE439" s="664"/>
      <c r="AF439" s="664"/>
    </row>
    <row r="440" spans="2:32" ht="16.5" customHeight="1">
      <c r="B440" s="653">
        <f t="shared" si="70"/>
        <v>436</v>
      </c>
      <c r="C440" s="684" t="s">
        <v>330</v>
      </c>
      <c r="D440" s="695" t="s">
        <v>29</v>
      </c>
      <c r="E440" s="685" t="s">
        <v>398</v>
      </c>
      <c r="F440" s="686">
        <v>44834</v>
      </c>
      <c r="G440" s="686">
        <v>44834</v>
      </c>
      <c r="H440" s="684" t="s">
        <v>422</v>
      </c>
      <c r="I440" s="657">
        <v>44834</v>
      </c>
      <c r="J440" s="628">
        <v>1090000</v>
      </c>
      <c r="K440" s="628"/>
      <c r="L440" s="628"/>
      <c r="M440" s="628">
        <v>116786</v>
      </c>
      <c r="N440" s="628">
        <f t="shared" si="69"/>
        <v>973214</v>
      </c>
      <c r="O440" s="659">
        <f t="shared" si="74"/>
        <v>182</v>
      </c>
      <c r="P440" s="660">
        <v>9</v>
      </c>
      <c r="Q440" s="661">
        <f t="shared" si="75"/>
        <v>8.5013698630136982</v>
      </c>
      <c r="R440" s="662">
        <f t="shared" si="76"/>
        <v>53919</v>
      </c>
      <c r="S440" s="662">
        <f t="shared" si="77"/>
        <v>919295</v>
      </c>
      <c r="T440" s="663">
        <f t="shared" si="78"/>
        <v>973214</v>
      </c>
      <c r="U440" s="663">
        <f t="shared" si="79"/>
        <v>0</v>
      </c>
      <c r="V440" s="664"/>
      <c r="W440" s="664"/>
      <c r="X440" s="664"/>
      <c r="Y440" s="664"/>
      <c r="Z440" s="664"/>
      <c r="AA440" s="664"/>
      <c r="AB440" s="664"/>
      <c r="AC440" s="664"/>
      <c r="AD440" s="664"/>
      <c r="AE440" s="664"/>
      <c r="AF440" s="664"/>
    </row>
    <row r="441" spans="2:32" ht="16.5" customHeight="1">
      <c r="B441" s="653">
        <f t="shared" si="70"/>
        <v>437</v>
      </c>
      <c r="C441" s="684" t="s">
        <v>330</v>
      </c>
      <c r="D441" s="695" t="s">
        <v>29</v>
      </c>
      <c r="E441" s="685" t="s">
        <v>399</v>
      </c>
      <c r="F441" s="686">
        <v>44834</v>
      </c>
      <c r="G441" s="686">
        <v>44834</v>
      </c>
      <c r="H441" s="684" t="s">
        <v>422</v>
      </c>
      <c r="I441" s="657">
        <v>44834</v>
      </c>
      <c r="J441" s="628">
        <v>1090000</v>
      </c>
      <c r="K441" s="628"/>
      <c r="L441" s="628"/>
      <c r="M441" s="628">
        <v>116786</v>
      </c>
      <c r="N441" s="628">
        <f t="shared" si="69"/>
        <v>973214</v>
      </c>
      <c r="O441" s="659">
        <f t="shared" si="74"/>
        <v>182</v>
      </c>
      <c r="P441" s="660">
        <v>9</v>
      </c>
      <c r="Q441" s="661">
        <f t="shared" si="75"/>
        <v>8.5013698630136982</v>
      </c>
      <c r="R441" s="662">
        <f t="shared" si="76"/>
        <v>53919</v>
      </c>
      <c r="S441" s="662">
        <f t="shared" si="77"/>
        <v>919295</v>
      </c>
      <c r="T441" s="663">
        <f t="shared" si="78"/>
        <v>973214</v>
      </c>
      <c r="U441" s="663">
        <f t="shared" si="79"/>
        <v>0</v>
      </c>
      <c r="V441" s="664"/>
      <c r="W441" s="664"/>
      <c r="X441" s="664"/>
      <c r="Y441" s="664"/>
      <c r="Z441" s="664"/>
      <c r="AA441" s="664"/>
      <c r="AB441" s="664"/>
      <c r="AC441" s="664"/>
      <c r="AD441" s="664"/>
      <c r="AE441" s="664"/>
      <c r="AF441" s="664"/>
    </row>
    <row r="442" spans="2:32" ht="16.5" customHeight="1">
      <c r="B442" s="653">
        <f t="shared" si="70"/>
        <v>438</v>
      </c>
      <c r="C442" s="654" t="s">
        <v>576</v>
      </c>
      <c r="D442" s="684" t="s">
        <v>29</v>
      </c>
      <c r="E442" s="655" t="s">
        <v>688</v>
      </c>
      <c r="F442" s="656">
        <v>44917</v>
      </c>
      <c r="G442" s="656">
        <v>44917</v>
      </c>
      <c r="H442" s="654" t="s">
        <v>774</v>
      </c>
      <c r="I442" s="657">
        <v>44917</v>
      </c>
      <c r="J442" s="691">
        <f>(450000*118/100)-0</f>
        <v>531000</v>
      </c>
      <c r="K442" s="628"/>
      <c r="L442" s="628"/>
      <c r="M442" s="628">
        <v>81000</v>
      </c>
      <c r="N442" s="628">
        <f t="shared" si="69"/>
        <v>450000</v>
      </c>
      <c r="O442" s="659">
        <f t="shared" si="74"/>
        <v>99</v>
      </c>
      <c r="P442" s="660">
        <v>9</v>
      </c>
      <c r="Q442" s="661">
        <f t="shared" si="75"/>
        <v>8.7287671232876711</v>
      </c>
      <c r="R442" s="662">
        <f t="shared" si="76"/>
        <v>13562</v>
      </c>
      <c r="S442" s="662">
        <f t="shared" si="77"/>
        <v>436438</v>
      </c>
      <c r="T442" s="663">
        <f t="shared" si="78"/>
        <v>0</v>
      </c>
      <c r="U442" s="663">
        <f t="shared" si="79"/>
        <v>450000</v>
      </c>
      <c r="V442" s="664"/>
      <c r="W442" s="664"/>
      <c r="X442" s="664"/>
      <c r="Y442" s="664"/>
      <c r="Z442" s="664"/>
      <c r="AA442" s="664"/>
      <c r="AB442" s="664"/>
      <c r="AC442" s="664"/>
      <c r="AD442" s="664"/>
      <c r="AE442" s="664"/>
      <c r="AF442" s="664"/>
    </row>
    <row r="443" spans="2:32" ht="16.5" customHeight="1">
      <c r="B443" s="653">
        <f t="shared" si="70"/>
        <v>439</v>
      </c>
      <c r="C443" s="654" t="s">
        <v>577</v>
      </c>
      <c r="D443" s="684" t="s">
        <v>29</v>
      </c>
      <c r="E443" s="655" t="s">
        <v>688</v>
      </c>
      <c r="F443" s="656">
        <v>44917</v>
      </c>
      <c r="G443" s="656">
        <v>44917</v>
      </c>
      <c r="H443" s="654" t="s">
        <v>774</v>
      </c>
      <c r="I443" s="657">
        <v>44917</v>
      </c>
      <c r="J443" s="691">
        <f>(420000*118/100)-0</f>
        <v>495600</v>
      </c>
      <c r="K443" s="628"/>
      <c r="L443" s="628"/>
      <c r="M443" s="628">
        <v>75600</v>
      </c>
      <c r="N443" s="628">
        <f t="shared" si="69"/>
        <v>420000</v>
      </c>
      <c r="O443" s="659">
        <f t="shared" si="74"/>
        <v>99</v>
      </c>
      <c r="P443" s="660">
        <v>9</v>
      </c>
      <c r="Q443" s="661">
        <f t="shared" si="75"/>
        <v>8.7287671232876711</v>
      </c>
      <c r="R443" s="662">
        <f t="shared" si="76"/>
        <v>12658</v>
      </c>
      <c r="S443" s="662">
        <f t="shared" si="77"/>
        <v>407342</v>
      </c>
      <c r="T443" s="663">
        <f t="shared" si="78"/>
        <v>0</v>
      </c>
      <c r="U443" s="663">
        <f t="shared" si="79"/>
        <v>420000</v>
      </c>
      <c r="V443" s="664"/>
      <c r="W443" s="664"/>
      <c r="X443" s="664"/>
      <c r="Y443" s="664"/>
      <c r="Z443" s="664"/>
      <c r="AA443" s="664"/>
      <c r="AB443" s="664"/>
      <c r="AC443" s="664"/>
      <c r="AD443" s="664"/>
      <c r="AE443" s="664"/>
      <c r="AF443" s="664"/>
    </row>
    <row r="444" spans="2:32" ht="16.5" customHeight="1">
      <c r="B444" s="653">
        <f t="shared" si="70"/>
        <v>440</v>
      </c>
      <c r="C444" s="654" t="s">
        <v>304</v>
      </c>
      <c r="D444" s="684" t="s">
        <v>29</v>
      </c>
      <c r="E444" s="655" t="s">
        <v>689</v>
      </c>
      <c r="F444" s="656">
        <v>44846</v>
      </c>
      <c r="G444" s="656">
        <v>44846</v>
      </c>
      <c r="H444" s="654" t="s">
        <v>403</v>
      </c>
      <c r="I444" s="657">
        <v>44846</v>
      </c>
      <c r="J444" s="691">
        <v>1307440</v>
      </c>
      <c r="K444" s="628"/>
      <c r="L444" s="628"/>
      <c r="M444" s="628">
        <v>199440</v>
      </c>
      <c r="N444" s="628">
        <f t="shared" si="69"/>
        <v>1108000</v>
      </c>
      <c r="O444" s="659">
        <f t="shared" si="74"/>
        <v>170</v>
      </c>
      <c r="P444" s="660">
        <v>9</v>
      </c>
      <c r="Q444" s="661">
        <f t="shared" si="75"/>
        <v>8.5342465753424666</v>
      </c>
      <c r="R444" s="662">
        <f t="shared" si="76"/>
        <v>57339</v>
      </c>
      <c r="S444" s="662">
        <f t="shared" si="77"/>
        <v>1050661</v>
      </c>
      <c r="T444" s="663">
        <f t="shared" si="78"/>
        <v>0</v>
      </c>
      <c r="U444" s="663">
        <f t="shared" si="79"/>
        <v>1108000</v>
      </c>
      <c r="V444" s="664"/>
      <c r="W444" s="664"/>
      <c r="X444" s="664"/>
      <c r="Y444" s="664"/>
      <c r="Z444" s="664"/>
      <c r="AA444" s="664"/>
      <c r="AB444" s="664"/>
      <c r="AC444" s="664"/>
      <c r="AD444" s="664"/>
      <c r="AE444" s="664"/>
      <c r="AF444" s="664"/>
    </row>
    <row r="445" spans="2:32" ht="16.5" customHeight="1">
      <c r="B445" s="653">
        <f t="shared" si="70"/>
        <v>441</v>
      </c>
      <c r="C445" s="654" t="s">
        <v>304</v>
      </c>
      <c r="D445" s="684" t="s">
        <v>29</v>
      </c>
      <c r="E445" s="655" t="s">
        <v>690</v>
      </c>
      <c r="F445" s="690">
        <v>44856</v>
      </c>
      <c r="G445" s="690">
        <v>44856</v>
      </c>
      <c r="H445" s="654" t="s">
        <v>403</v>
      </c>
      <c r="I445" s="657">
        <v>44856</v>
      </c>
      <c r="J445" s="691">
        <v>1262010</v>
      </c>
      <c r="K445" s="628"/>
      <c r="L445" s="628"/>
      <c r="M445" s="628">
        <v>192510</v>
      </c>
      <c r="N445" s="628">
        <f t="shared" si="69"/>
        <v>1069500</v>
      </c>
      <c r="O445" s="659">
        <f t="shared" si="74"/>
        <v>160</v>
      </c>
      <c r="P445" s="660">
        <v>9</v>
      </c>
      <c r="Q445" s="661">
        <f t="shared" si="75"/>
        <v>8.5616438356164384</v>
      </c>
      <c r="R445" s="662">
        <f t="shared" si="76"/>
        <v>52091</v>
      </c>
      <c r="S445" s="662">
        <f t="shared" si="77"/>
        <v>1017409</v>
      </c>
      <c r="T445" s="663">
        <f t="shared" si="78"/>
        <v>0</v>
      </c>
      <c r="U445" s="663">
        <f t="shared" si="79"/>
        <v>1069500</v>
      </c>
      <c r="V445" s="664"/>
      <c r="W445" s="664"/>
      <c r="X445" s="664"/>
      <c r="Y445" s="664"/>
      <c r="Z445" s="664"/>
      <c r="AA445" s="664"/>
      <c r="AB445" s="664"/>
      <c r="AC445" s="664"/>
      <c r="AD445" s="664"/>
      <c r="AE445" s="664"/>
      <c r="AF445" s="664"/>
    </row>
    <row r="446" spans="2:32" ht="16.5" customHeight="1">
      <c r="B446" s="653">
        <f t="shared" si="70"/>
        <v>442</v>
      </c>
      <c r="C446" s="654" t="s">
        <v>304</v>
      </c>
      <c r="D446" s="684" t="s">
        <v>29</v>
      </c>
      <c r="E446" s="655" t="s">
        <v>691</v>
      </c>
      <c r="F446" s="690">
        <v>44861</v>
      </c>
      <c r="G446" s="690">
        <v>44865</v>
      </c>
      <c r="H446" s="654" t="s">
        <v>403</v>
      </c>
      <c r="I446" s="657">
        <v>44865</v>
      </c>
      <c r="J446" s="691">
        <v>1300950</v>
      </c>
      <c r="K446" s="628"/>
      <c r="L446" s="628"/>
      <c r="M446" s="628">
        <v>198450</v>
      </c>
      <c r="N446" s="628">
        <f t="shared" si="69"/>
        <v>1102500</v>
      </c>
      <c r="O446" s="659">
        <f t="shared" si="74"/>
        <v>151</v>
      </c>
      <c r="P446" s="660">
        <v>9</v>
      </c>
      <c r="Q446" s="661">
        <f t="shared" si="75"/>
        <v>8.5863013698630137</v>
      </c>
      <c r="R446" s="662">
        <f t="shared" si="76"/>
        <v>50678</v>
      </c>
      <c r="S446" s="662">
        <f t="shared" si="77"/>
        <v>1051822</v>
      </c>
      <c r="T446" s="663">
        <f t="shared" si="78"/>
        <v>0</v>
      </c>
      <c r="U446" s="663">
        <f t="shared" si="79"/>
        <v>1102500</v>
      </c>
      <c r="V446" s="664"/>
      <c r="W446" s="664"/>
      <c r="X446" s="664"/>
      <c r="Y446" s="664"/>
      <c r="Z446" s="664"/>
      <c r="AA446" s="664"/>
      <c r="AB446" s="664"/>
      <c r="AC446" s="664"/>
      <c r="AD446" s="664"/>
      <c r="AE446" s="664"/>
      <c r="AF446" s="664"/>
    </row>
    <row r="447" spans="2:32" ht="16.5" customHeight="1">
      <c r="B447" s="653">
        <f t="shared" si="70"/>
        <v>443</v>
      </c>
      <c r="C447" s="654" t="s">
        <v>578</v>
      </c>
      <c r="D447" s="684" t="s">
        <v>29</v>
      </c>
      <c r="E447" s="655" t="s">
        <v>692</v>
      </c>
      <c r="F447" s="690">
        <v>44868</v>
      </c>
      <c r="G447" s="690">
        <v>44868</v>
      </c>
      <c r="H447" s="654" t="s">
        <v>407</v>
      </c>
      <c r="I447" s="657">
        <v>44868</v>
      </c>
      <c r="J447" s="691">
        <v>5020015</v>
      </c>
      <c r="K447" s="628"/>
      <c r="L447" s="628">
        <v>5015</v>
      </c>
      <c r="M447" s="628">
        <v>765000</v>
      </c>
      <c r="N447" s="628">
        <f t="shared" si="69"/>
        <v>4250000</v>
      </c>
      <c r="O447" s="659">
        <f t="shared" si="74"/>
        <v>148</v>
      </c>
      <c r="P447" s="660">
        <v>9</v>
      </c>
      <c r="Q447" s="661">
        <f t="shared" si="75"/>
        <v>8.5945205479452049</v>
      </c>
      <c r="R447" s="662">
        <f t="shared" si="76"/>
        <v>191476</v>
      </c>
      <c r="S447" s="662">
        <f t="shared" si="77"/>
        <v>4058524</v>
      </c>
      <c r="T447" s="663">
        <f t="shared" si="78"/>
        <v>0</v>
      </c>
      <c r="U447" s="663">
        <f t="shared" si="79"/>
        <v>4250000</v>
      </c>
      <c r="V447" s="664"/>
      <c r="W447" s="664"/>
      <c r="X447" s="664"/>
      <c r="Y447" s="664"/>
      <c r="Z447" s="664"/>
      <c r="AA447" s="664"/>
      <c r="AB447" s="664"/>
      <c r="AC447" s="664"/>
      <c r="AD447" s="664"/>
      <c r="AE447" s="664"/>
      <c r="AF447" s="664"/>
    </row>
    <row r="448" spans="2:32" ht="16.5" customHeight="1">
      <c r="B448" s="653">
        <f t="shared" si="70"/>
        <v>444</v>
      </c>
      <c r="C448" s="654" t="s">
        <v>304</v>
      </c>
      <c r="D448" s="684" t="s">
        <v>29</v>
      </c>
      <c r="E448" s="655" t="s">
        <v>693</v>
      </c>
      <c r="F448" s="690">
        <v>44891</v>
      </c>
      <c r="G448" s="690">
        <v>44894</v>
      </c>
      <c r="H448" s="654" t="s">
        <v>403</v>
      </c>
      <c r="I448" s="657">
        <v>44894</v>
      </c>
      <c r="J448" s="691">
        <v>1100940</v>
      </c>
      <c r="K448" s="628"/>
      <c r="L448" s="628"/>
      <c r="M448" s="628">
        <v>167940</v>
      </c>
      <c r="N448" s="628">
        <f t="shared" si="69"/>
        <v>933000</v>
      </c>
      <c r="O448" s="659">
        <f t="shared" si="74"/>
        <v>122</v>
      </c>
      <c r="P448" s="660">
        <v>9</v>
      </c>
      <c r="Q448" s="661">
        <f t="shared" si="75"/>
        <v>8.6657534246575345</v>
      </c>
      <c r="R448" s="662">
        <f t="shared" si="76"/>
        <v>34650</v>
      </c>
      <c r="S448" s="662">
        <f t="shared" si="77"/>
        <v>898350</v>
      </c>
      <c r="T448" s="663">
        <f t="shared" si="78"/>
        <v>0</v>
      </c>
      <c r="U448" s="663">
        <f t="shared" si="79"/>
        <v>933000</v>
      </c>
      <c r="V448" s="664"/>
      <c r="W448" s="664"/>
      <c r="X448" s="664"/>
      <c r="Y448" s="664"/>
      <c r="Z448" s="664"/>
      <c r="AA448" s="664"/>
      <c r="AB448" s="664"/>
      <c r="AC448" s="664"/>
      <c r="AD448" s="664"/>
      <c r="AE448" s="664"/>
      <c r="AF448" s="664"/>
    </row>
    <row r="449" spans="2:32" ht="16.5" customHeight="1">
      <c r="B449" s="653">
        <f t="shared" si="70"/>
        <v>445</v>
      </c>
      <c r="C449" s="654" t="s">
        <v>304</v>
      </c>
      <c r="D449" s="684" t="s">
        <v>29</v>
      </c>
      <c r="E449" s="655" t="s">
        <v>694</v>
      </c>
      <c r="F449" s="690">
        <v>44890</v>
      </c>
      <c r="G449" s="690">
        <v>44894</v>
      </c>
      <c r="H449" s="654" t="s">
        <v>403</v>
      </c>
      <c r="I449" s="657">
        <v>44894</v>
      </c>
      <c r="J449" s="691">
        <v>1582380</v>
      </c>
      <c r="K449" s="628"/>
      <c r="L449" s="628"/>
      <c r="M449" s="628">
        <v>241380</v>
      </c>
      <c r="N449" s="628">
        <f t="shared" si="69"/>
        <v>1341000</v>
      </c>
      <c r="O449" s="659">
        <f t="shared" si="74"/>
        <v>122</v>
      </c>
      <c r="P449" s="660">
        <v>9</v>
      </c>
      <c r="Q449" s="661">
        <f t="shared" si="75"/>
        <v>8.6657534246575345</v>
      </c>
      <c r="R449" s="662">
        <f t="shared" si="76"/>
        <v>49803</v>
      </c>
      <c r="S449" s="662">
        <f t="shared" si="77"/>
        <v>1291197</v>
      </c>
      <c r="T449" s="663">
        <f t="shared" si="78"/>
        <v>0</v>
      </c>
      <c r="U449" s="663">
        <f t="shared" si="79"/>
        <v>1341000</v>
      </c>
      <c r="V449" s="664"/>
      <c r="W449" s="664"/>
      <c r="X449" s="664"/>
      <c r="Y449" s="664"/>
      <c r="Z449" s="664"/>
      <c r="AA449" s="664"/>
      <c r="AB449" s="664"/>
      <c r="AC449" s="664"/>
      <c r="AD449" s="664"/>
      <c r="AE449" s="664"/>
      <c r="AF449" s="664"/>
    </row>
    <row r="450" spans="2:32" ht="16.5" customHeight="1">
      <c r="B450" s="653">
        <f t="shared" si="70"/>
        <v>446</v>
      </c>
      <c r="C450" s="654" t="s">
        <v>304</v>
      </c>
      <c r="D450" s="684" t="s">
        <v>29</v>
      </c>
      <c r="E450" s="655" t="s">
        <v>695</v>
      </c>
      <c r="F450" s="690">
        <v>44899</v>
      </c>
      <c r="G450" s="690">
        <v>44899</v>
      </c>
      <c r="H450" s="654" t="s">
        <v>403</v>
      </c>
      <c r="I450" s="657">
        <v>44899</v>
      </c>
      <c r="J450" s="691">
        <v>1487980</v>
      </c>
      <c r="K450" s="628"/>
      <c r="L450" s="628"/>
      <c r="M450" s="628">
        <v>226980</v>
      </c>
      <c r="N450" s="628">
        <f t="shared" si="69"/>
        <v>1261000</v>
      </c>
      <c r="O450" s="659">
        <f t="shared" si="74"/>
        <v>117</v>
      </c>
      <c r="P450" s="660">
        <v>9</v>
      </c>
      <c r="Q450" s="661">
        <f t="shared" si="75"/>
        <v>8.6794520547945204</v>
      </c>
      <c r="R450" s="662">
        <f t="shared" si="76"/>
        <v>44912</v>
      </c>
      <c r="S450" s="662">
        <f t="shared" si="77"/>
        <v>1216088</v>
      </c>
      <c r="T450" s="663">
        <f t="shared" si="78"/>
        <v>0</v>
      </c>
      <c r="U450" s="663">
        <f t="shared" si="79"/>
        <v>1261000</v>
      </c>
      <c r="V450" s="664"/>
      <c r="W450" s="664"/>
      <c r="X450" s="664"/>
      <c r="Y450" s="664"/>
      <c r="Z450" s="664"/>
      <c r="AA450" s="664"/>
      <c r="AB450" s="664"/>
      <c r="AC450" s="664"/>
      <c r="AD450" s="664"/>
      <c r="AE450" s="664"/>
      <c r="AF450" s="664"/>
    </row>
    <row r="451" spans="2:32" ht="16.5" customHeight="1">
      <c r="B451" s="653">
        <f t="shared" si="70"/>
        <v>447</v>
      </c>
      <c r="C451" s="654" t="s">
        <v>562</v>
      </c>
      <c r="D451" s="684" t="s">
        <v>29</v>
      </c>
      <c r="E451" s="655">
        <v>833051235</v>
      </c>
      <c r="F451" s="690">
        <v>44863</v>
      </c>
      <c r="G451" s="690">
        <v>44863</v>
      </c>
      <c r="H451" s="654" t="s">
        <v>759</v>
      </c>
      <c r="I451" s="657">
        <v>44863</v>
      </c>
      <c r="J451" s="691">
        <v>10340000</v>
      </c>
      <c r="K451" s="628">
        <v>7975</v>
      </c>
      <c r="L451" s="628"/>
      <c r="M451" s="628">
        <v>1620000</v>
      </c>
      <c r="N451" s="628">
        <f t="shared" si="69"/>
        <v>8727975</v>
      </c>
      <c r="O451" s="659">
        <f t="shared" si="74"/>
        <v>153</v>
      </c>
      <c r="P451" s="660">
        <v>9</v>
      </c>
      <c r="Q451" s="661">
        <f t="shared" si="75"/>
        <v>8.580821917808219</v>
      </c>
      <c r="R451" s="662">
        <f t="shared" si="76"/>
        <v>406508</v>
      </c>
      <c r="S451" s="662">
        <f t="shared" si="77"/>
        <v>8321467</v>
      </c>
      <c r="T451" s="663">
        <f t="shared" si="78"/>
        <v>0</v>
      </c>
      <c r="U451" s="663">
        <f t="shared" si="79"/>
        <v>8727975</v>
      </c>
      <c r="V451" s="664"/>
      <c r="W451" s="664"/>
      <c r="X451" s="664"/>
      <c r="Y451" s="664"/>
      <c r="Z451" s="664"/>
      <c r="AA451" s="664"/>
      <c r="AB451" s="664"/>
      <c r="AC451" s="664"/>
      <c r="AD451" s="664"/>
      <c r="AE451" s="664"/>
      <c r="AF451" s="664"/>
    </row>
    <row r="452" spans="2:32" ht="16.5" customHeight="1">
      <c r="B452" s="653">
        <f t="shared" si="70"/>
        <v>448</v>
      </c>
      <c r="C452" s="654" t="s">
        <v>562</v>
      </c>
      <c r="D452" s="684" t="s">
        <v>29</v>
      </c>
      <c r="E452" s="655">
        <v>833051234</v>
      </c>
      <c r="F452" s="690">
        <v>44863</v>
      </c>
      <c r="G452" s="690">
        <v>44863</v>
      </c>
      <c r="H452" s="654" t="s">
        <v>759</v>
      </c>
      <c r="I452" s="657">
        <v>44863</v>
      </c>
      <c r="J452" s="691">
        <v>10340000</v>
      </c>
      <c r="K452" s="628">
        <v>7975</v>
      </c>
      <c r="L452" s="628"/>
      <c r="M452" s="628">
        <v>1620000</v>
      </c>
      <c r="N452" s="628">
        <f t="shared" si="69"/>
        <v>8727975</v>
      </c>
      <c r="O452" s="659">
        <f t="shared" si="74"/>
        <v>153</v>
      </c>
      <c r="P452" s="660">
        <v>9</v>
      </c>
      <c r="Q452" s="661">
        <f t="shared" si="75"/>
        <v>8.580821917808219</v>
      </c>
      <c r="R452" s="662">
        <f t="shared" si="76"/>
        <v>406508</v>
      </c>
      <c r="S452" s="662">
        <f t="shared" si="77"/>
        <v>8321467</v>
      </c>
      <c r="T452" s="663">
        <f t="shared" si="78"/>
        <v>0</v>
      </c>
      <c r="U452" s="663">
        <f t="shared" si="79"/>
        <v>8727975</v>
      </c>
      <c r="V452" s="664"/>
      <c r="W452" s="664"/>
      <c r="X452" s="664"/>
      <c r="Y452" s="664"/>
      <c r="Z452" s="664"/>
      <c r="AA452" s="664"/>
      <c r="AB452" s="664"/>
      <c r="AC452" s="664"/>
      <c r="AD452" s="664"/>
      <c r="AE452" s="664"/>
      <c r="AF452" s="664"/>
    </row>
    <row r="453" spans="2:32" ht="16.5" customHeight="1">
      <c r="B453" s="653">
        <f t="shared" si="70"/>
        <v>449</v>
      </c>
      <c r="C453" s="654" t="s">
        <v>562</v>
      </c>
      <c r="D453" s="684" t="s">
        <v>29</v>
      </c>
      <c r="E453" s="655">
        <v>833051179</v>
      </c>
      <c r="F453" s="690">
        <v>44863</v>
      </c>
      <c r="G453" s="690">
        <v>44863</v>
      </c>
      <c r="H453" s="654" t="s">
        <v>759</v>
      </c>
      <c r="I453" s="657">
        <v>44863</v>
      </c>
      <c r="J453" s="691">
        <v>10340000</v>
      </c>
      <c r="K453" s="628">
        <v>7975</v>
      </c>
      <c r="L453" s="628"/>
      <c r="M453" s="628">
        <v>1620000</v>
      </c>
      <c r="N453" s="628">
        <f t="shared" ref="N453:N516" si="80">J453+K453-L453-M453</f>
        <v>8727975</v>
      </c>
      <c r="O453" s="659">
        <f t="shared" si="74"/>
        <v>153</v>
      </c>
      <c r="P453" s="660">
        <v>9</v>
      </c>
      <c r="Q453" s="661">
        <f t="shared" si="75"/>
        <v>8.580821917808219</v>
      </c>
      <c r="R453" s="662">
        <f t="shared" si="76"/>
        <v>406508</v>
      </c>
      <c r="S453" s="662">
        <f t="shared" si="77"/>
        <v>8321467</v>
      </c>
      <c r="T453" s="663">
        <f t="shared" si="78"/>
        <v>0</v>
      </c>
      <c r="U453" s="663">
        <f t="shared" si="79"/>
        <v>8727975</v>
      </c>
      <c r="V453" s="664"/>
      <c r="W453" s="664"/>
      <c r="X453" s="664"/>
      <c r="Y453" s="664"/>
      <c r="Z453" s="664"/>
      <c r="AA453" s="664"/>
      <c r="AB453" s="664"/>
      <c r="AC453" s="664"/>
      <c r="AD453" s="664"/>
      <c r="AE453" s="664"/>
      <c r="AF453" s="664"/>
    </row>
    <row r="454" spans="2:32" ht="16.5" customHeight="1">
      <c r="B454" s="653">
        <f t="shared" si="70"/>
        <v>450</v>
      </c>
      <c r="C454" s="654" t="s">
        <v>579</v>
      </c>
      <c r="D454" s="684" t="s">
        <v>29</v>
      </c>
      <c r="E454" s="655" t="s">
        <v>696</v>
      </c>
      <c r="F454" s="690">
        <v>44873</v>
      </c>
      <c r="G454" s="690">
        <v>44873</v>
      </c>
      <c r="H454" s="654" t="s">
        <v>407</v>
      </c>
      <c r="I454" s="657">
        <v>44873</v>
      </c>
      <c r="J454" s="691">
        <v>177000</v>
      </c>
      <c r="K454" s="628"/>
      <c r="L454" s="628"/>
      <c r="M454" s="628">
        <v>27000</v>
      </c>
      <c r="N454" s="628">
        <f t="shared" si="80"/>
        <v>150000</v>
      </c>
      <c r="O454" s="659">
        <f t="shared" si="74"/>
        <v>143</v>
      </c>
      <c r="P454" s="660">
        <v>9</v>
      </c>
      <c r="Q454" s="661">
        <f t="shared" si="75"/>
        <v>8.6082191780821926</v>
      </c>
      <c r="R454" s="662">
        <f t="shared" si="76"/>
        <v>6530</v>
      </c>
      <c r="S454" s="662">
        <f t="shared" si="77"/>
        <v>143470</v>
      </c>
      <c r="T454" s="663">
        <f t="shared" si="78"/>
        <v>0</v>
      </c>
      <c r="U454" s="663">
        <f t="shared" si="79"/>
        <v>150000</v>
      </c>
      <c r="V454" s="664"/>
      <c r="W454" s="664"/>
      <c r="X454" s="664"/>
      <c r="Y454" s="664"/>
      <c r="Z454" s="664"/>
      <c r="AA454" s="664"/>
      <c r="AB454" s="664"/>
      <c r="AC454" s="664"/>
      <c r="AD454" s="664"/>
      <c r="AE454" s="664"/>
      <c r="AF454" s="664"/>
    </row>
    <row r="455" spans="2:32" ht="16.5" customHeight="1">
      <c r="B455" s="653">
        <f t="shared" si="70"/>
        <v>451</v>
      </c>
      <c r="C455" s="654" t="s">
        <v>579</v>
      </c>
      <c r="D455" s="684" t="s">
        <v>29</v>
      </c>
      <c r="E455" s="655" t="s">
        <v>697</v>
      </c>
      <c r="F455" s="690">
        <v>44873</v>
      </c>
      <c r="G455" s="690">
        <v>44873</v>
      </c>
      <c r="H455" s="654" t="s">
        <v>407</v>
      </c>
      <c r="I455" s="657">
        <v>44873</v>
      </c>
      <c r="J455" s="691">
        <v>177000</v>
      </c>
      <c r="K455" s="628"/>
      <c r="L455" s="628"/>
      <c r="M455" s="628">
        <v>27000</v>
      </c>
      <c r="N455" s="628">
        <f t="shared" si="80"/>
        <v>150000</v>
      </c>
      <c r="O455" s="659">
        <f t="shared" si="74"/>
        <v>143</v>
      </c>
      <c r="P455" s="660">
        <v>9</v>
      </c>
      <c r="Q455" s="661">
        <f t="shared" si="75"/>
        <v>8.6082191780821926</v>
      </c>
      <c r="R455" s="662">
        <f t="shared" si="76"/>
        <v>6530</v>
      </c>
      <c r="S455" s="662">
        <f t="shared" si="77"/>
        <v>143470</v>
      </c>
      <c r="T455" s="663">
        <f t="shared" si="78"/>
        <v>0</v>
      </c>
      <c r="U455" s="663">
        <f t="shared" si="79"/>
        <v>150000</v>
      </c>
      <c r="V455" s="664"/>
      <c r="W455" s="664"/>
      <c r="X455" s="664"/>
      <c r="Y455" s="664"/>
      <c r="Z455" s="664"/>
      <c r="AA455" s="664"/>
      <c r="AB455" s="664"/>
      <c r="AC455" s="664"/>
      <c r="AD455" s="664"/>
      <c r="AE455" s="664"/>
      <c r="AF455" s="664"/>
    </row>
    <row r="456" spans="2:32" ht="16.5" customHeight="1">
      <c r="B456" s="653">
        <f t="shared" si="70"/>
        <v>452</v>
      </c>
      <c r="C456" s="654" t="s">
        <v>563</v>
      </c>
      <c r="D456" s="684" t="s">
        <v>29</v>
      </c>
      <c r="E456" s="655" t="s">
        <v>698</v>
      </c>
      <c r="F456" s="690">
        <v>44833</v>
      </c>
      <c r="G456" s="690">
        <v>44873</v>
      </c>
      <c r="H456" s="654" t="s">
        <v>407</v>
      </c>
      <c r="I456" s="657">
        <v>44873</v>
      </c>
      <c r="J456" s="691">
        <v>2103527</v>
      </c>
      <c r="K456" s="628"/>
      <c r="L456" s="628">
        <v>20827</v>
      </c>
      <c r="M456" s="628">
        <v>317700</v>
      </c>
      <c r="N456" s="628">
        <f t="shared" si="80"/>
        <v>1765000</v>
      </c>
      <c r="O456" s="659">
        <f t="shared" si="74"/>
        <v>143</v>
      </c>
      <c r="P456" s="660">
        <v>9</v>
      </c>
      <c r="Q456" s="661">
        <f t="shared" si="75"/>
        <v>8.6082191780821926</v>
      </c>
      <c r="R456" s="662">
        <f t="shared" si="76"/>
        <v>76833</v>
      </c>
      <c r="S456" s="662">
        <f t="shared" si="77"/>
        <v>1688167</v>
      </c>
      <c r="T456" s="663">
        <f t="shared" si="78"/>
        <v>0</v>
      </c>
      <c r="U456" s="663">
        <f t="shared" si="79"/>
        <v>1765000</v>
      </c>
      <c r="V456" s="664"/>
      <c r="W456" s="664"/>
      <c r="X456" s="664"/>
      <c r="Y456" s="664"/>
      <c r="Z456" s="664"/>
      <c r="AA456" s="664"/>
      <c r="AB456" s="664"/>
      <c r="AC456" s="664"/>
      <c r="AD456" s="664"/>
      <c r="AE456" s="664"/>
      <c r="AF456" s="664"/>
    </row>
    <row r="457" spans="2:32" ht="16.5" customHeight="1">
      <c r="B457" s="653">
        <f t="shared" ref="B457:B520" si="81">+B456+1</f>
        <v>453</v>
      </c>
      <c r="C457" s="654" t="s">
        <v>563</v>
      </c>
      <c r="D457" s="684" t="s">
        <v>29</v>
      </c>
      <c r="E457" s="655" t="s">
        <v>699</v>
      </c>
      <c r="F457" s="690">
        <v>44833</v>
      </c>
      <c r="G457" s="690">
        <v>44873</v>
      </c>
      <c r="H457" s="654" t="s">
        <v>407</v>
      </c>
      <c r="I457" s="657">
        <v>44873</v>
      </c>
      <c r="J457" s="691">
        <v>2103527</v>
      </c>
      <c r="K457" s="628"/>
      <c r="L457" s="628">
        <v>20827</v>
      </c>
      <c r="M457" s="628">
        <v>317700</v>
      </c>
      <c r="N457" s="628">
        <f t="shared" si="80"/>
        <v>1765000</v>
      </c>
      <c r="O457" s="659">
        <f t="shared" si="74"/>
        <v>143</v>
      </c>
      <c r="P457" s="660">
        <v>9</v>
      </c>
      <c r="Q457" s="661">
        <f t="shared" si="75"/>
        <v>8.6082191780821926</v>
      </c>
      <c r="R457" s="662">
        <f t="shared" si="76"/>
        <v>76833</v>
      </c>
      <c r="S457" s="662">
        <f t="shared" si="77"/>
        <v>1688167</v>
      </c>
      <c r="T457" s="663">
        <f t="shared" si="78"/>
        <v>0</v>
      </c>
      <c r="U457" s="663">
        <f t="shared" si="79"/>
        <v>1765000</v>
      </c>
      <c r="V457" s="664"/>
      <c r="W457" s="664"/>
      <c r="X457" s="664"/>
      <c r="Y457" s="664"/>
      <c r="Z457" s="664"/>
      <c r="AA457" s="664"/>
      <c r="AB457" s="664"/>
      <c r="AC457" s="664"/>
      <c r="AD457" s="664"/>
      <c r="AE457" s="664"/>
      <c r="AF457" s="664"/>
    </row>
    <row r="458" spans="2:32" ht="16.5" customHeight="1">
      <c r="B458" s="653">
        <f t="shared" si="81"/>
        <v>454</v>
      </c>
      <c r="C458" s="654" t="s">
        <v>580</v>
      </c>
      <c r="D458" s="684" t="s">
        <v>29</v>
      </c>
      <c r="E458" s="655">
        <v>2114200082</v>
      </c>
      <c r="F458" s="690">
        <v>44874</v>
      </c>
      <c r="G458" s="690">
        <v>44893</v>
      </c>
      <c r="H458" s="654" t="s">
        <v>775</v>
      </c>
      <c r="I458" s="657">
        <v>44893</v>
      </c>
      <c r="J458" s="691">
        <v>27411400</v>
      </c>
      <c r="K458" s="628">
        <v>97090</v>
      </c>
      <c r="L458" s="628">
        <v>271400</v>
      </c>
      <c r="M458" s="628">
        <v>4140000</v>
      </c>
      <c r="N458" s="628">
        <f t="shared" si="80"/>
        <v>23097090</v>
      </c>
      <c r="O458" s="659">
        <f t="shared" si="74"/>
        <v>123</v>
      </c>
      <c r="P458" s="660">
        <v>9</v>
      </c>
      <c r="Q458" s="661">
        <f t="shared" si="75"/>
        <v>8.6630136986301363</v>
      </c>
      <c r="R458" s="662">
        <f t="shared" si="76"/>
        <v>864823</v>
      </c>
      <c r="S458" s="662">
        <f t="shared" si="77"/>
        <v>22232267</v>
      </c>
      <c r="T458" s="663">
        <f t="shared" si="78"/>
        <v>0</v>
      </c>
      <c r="U458" s="663">
        <f t="shared" si="79"/>
        <v>23097090</v>
      </c>
      <c r="V458" s="664"/>
      <c r="W458" s="664"/>
      <c r="X458" s="664"/>
      <c r="Y458" s="664"/>
      <c r="Z458" s="664"/>
      <c r="AA458" s="664"/>
      <c r="AB458" s="664"/>
      <c r="AC458" s="664"/>
      <c r="AD458" s="664"/>
      <c r="AE458" s="664"/>
      <c r="AF458" s="664"/>
    </row>
    <row r="459" spans="2:32" ht="16.5" customHeight="1">
      <c r="B459" s="653">
        <f t="shared" si="81"/>
        <v>455</v>
      </c>
      <c r="C459" s="654" t="s">
        <v>563</v>
      </c>
      <c r="D459" s="684" t="s">
        <v>29</v>
      </c>
      <c r="E459" s="655" t="s">
        <v>700</v>
      </c>
      <c r="F459" s="690">
        <v>44914</v>
      </c>
      <c r="G459" s="690">
        <v>44914</v>
      </c>
      <c r="H459" s="654" t="s">
        <v>407</v>
      </c>
      <c r="I459" s="657">
        <v>44914</v>
      </c>
      <c r="J459" s="691">
        <v>2282297</v>
      </c>
      <c r="K459" s="628">
        <v>26215</v>
      </c>
      <c r="L459" s="628">
        <v>22597</v>
      </c>
      <c r="M459" s="628">
        <v>344700</v>
      </c>
      <c r="N459" s="628">
        <f t="shared" si="80"/>
        <v>1941215</v>
      </c>
      <c r="O459" s="659">
        <f t="shared" si="74"/>
        <v>102</v>
      </c>
      <c r="P459" s="660">
        <v>9</v>
      </c>
      <c r="Q459" s="661">
        <f t="shared" si="75"/>
        <v>8.7205479452054799</v>
      </c>
      <c r="R459" s="662">
        <f t="shared" si="76"/>
        <v>60275</v>
      </c>
      <c r="S459" s="662">
        <f t="shared" si="77"/>
        <v>1880940</v>
      </c>
      <c r="T459" s="663">
        <f t="shared" si="78"/>
        <v>0</v>
      </c>
      <c r="U459" s="663">
        <f t="shared" si="79"/>
        <v>1941215</v>
      </c>
      <c r="V459" s="664"/>
      <c r="W459" s="664"/>
      <c r="X459" s="664"/>
      <c r="Y459" s="664"/>
      <c r="Z459" s="664"/>
      <c r="AA459" s="664"/>
      <c r="AB459" s="664"/>
      <c r="AC459" s="664"/>
      <c r="AD459" s="664"/>
      <c r="AE459" s="664"/>
      <c r="AF459" s="664"/>
    </row>
    <row r="460" spans="2:32" ht="16.5" customHeight="1">
      <c r="B460" s="653">
        <f t="shared" si="81"/>
        <v>456</v>
      </c>
      <c r="C460" s="654" t="s">
        <v>563</v>
      </c>
      <c r="D460" s="684" t="s">
        <v>29</v>
      </c>
      <c r="E460" s="655" t="s">
        <v>701</v>
      </c>
      <c r="F460" s="690">
        <v>44914</v>
      </c>
      <c r="G460" s="690">
        <v>44914</v>
      </c>
      <c r="H460" s="654" t="s">
        <v>407</v>
      </c>
      <c r="I460" s="657">
        <v>44914</v>
      </c>
      <c r="J460" s="691">
        <v>2282297</v>
      </c>
      <c r="K460" s="628">
        <v>26215</v>
      </c>
      <c r="L460" s="628">
        <v>22597</v>
      </c>
      <c r="M460" s="628">
        <v>344700</v>
      </c>
      <c r="N460" s="628">
        <f t="shared" si="80"/>
        <v>1941215</v>
      </c>
      <c r="O460" s="659">
        <f t="shared" si="74"/>
        <v>102</v>
      </c>
      <c r="P460" s="660">
        <v>9</v>
      </c>
      <c r="Q460" s="661">
        <f t="shared" si="75"/>
        <v>8.7205479452054799</v>
      </c>
      <c r="R460" s="662">
        <f t="shared" si="76"/>
        <v>60275</v>
      </c>
      <c r="S460" s="662">
        <f t="shared" si="77"/>
        <v>1880940</v>
      </c>
      <c r="T460" s="663">
        <f t="shared" si="78"/>
        <v>0</v>
      </c>
      <c r="U460" s="663">
        <f t="shared" si="79"/>
        <v>1941215</v>
      </c>
      <c r="V460" s="664"/>
      <c r="W460" s="664"/>
      <c r="X460" s="664"/>
      <c r="Y460" s="664"/>
      <c r="Z460" s="664"/>
      <c r="AA460" s="664"/>
      <c r="AB460" s="664"/>
      <c r="AC460" s="664"/>
      <c r="AD460" s="664"/>
      <c r="AE460" s="664"/>
      <c r="AF460" s="664"/>
    </row>
    <row r="461" spans="2:32" ht="16.5" customHeight="1">
      <c r="B461" s="653">
        <f t="shared" si="81"/>
        <v>457</v>
      </c>
      <c r="C461" s="654" t="s">
        <v>563</v>
      </c>
      <c r="D461" s="684" t="s">
        <v>29</v>
      </c>
      <c r="E461" s="655" t="s">
        <v>702</v>
      </c>
      <c r="F461" s="690">
        <v>44914</v>
      </c>
      <c r="G461" s="690">
        <v>44914</v>
      </c>
      <c r="H461" s="654" t="s">
        <v>407</v>
      </c>
      <c r="I461" s="657">
        <v>44914</v>
      </c>
      <c r="J461" s="691">
        <v>2282297</v>
      </c>
      <c r="K461" s="628">
        <v>26215</v>
      </c>
      <c r="L461" s="628">
        <v>22597</v>
      </c>
      <c r="M461" s="628">
        <v>344700</v>
      </c>
      <c r="N461" s="628">
        <f t="shared" si="80"/>
        <v>1941215</v>
      </c>
      <c r="O461" s="659">
        <f t="shared" si="74"/>
        <v>102</v>
      </c>
      <c r="P461" s="660">
        <v>9</v>
      </c>
      <c r="Q461" s="661">
        <f t="shared" si="75"/>
        <v>8.7205479452054799</v>
      </c>
      <c r="R461" s="662">
        <f t="shared" si="76"/>
        <v>60275</v>
      </c>
      <c r="S461" s="662">
        <f t="shared" si="77"/>
        <v>1880940</v>
      </c>
      <c r="T461" s="663">
        <f t="shared" si="78"/>
        <v>0</v>
      </c>
      <c r="U461" s="663">
        <f t="shared" si="79"/>
        <v>1941215</v>
      </c>
      <c r="V461" s="664"/>
      <c r="W461" s="664"/>
      <c r="X461" s="664"/>
      <c r="Y461" s="664"/>
      <c r="Z461" s="664"/>
      <c r="AA461" s="664"/>
      <c r="AB461" s="664"/>
      <c r="AC461" s="664"/>
      <c r="AD461" s="664"/>
      <c r="AE461" s="664"/>
      <c r="AF461" s="664"/>
    </row>
    <row r="462" spans="2:32" ht="16.5" customHeight="1">
      <c r="B462" s="653">
        <f t="shared" si="81"/>
        <v>458</v>
      </c>
      <c r="C462" s="654" t="s">
        <v>563</v>
      </c>
      <c r="D462" s="684" t="s">
        <v>29</v>
      </c>
      <c r="E462" s="655" t="s">
        <v>703</v>
      </c>
      <c r="F462" s="690">
        <v>44914</v>
      </c>
      <c r="G462" s="690">
        <v>44914</v>
      </c>
      <c r="H462" s="654" t="s">
        <v>407</v>
      </c>
      <c r="I462" s="657">
        <v>44914</v>
      </c>
      <c r="J462" s="691">
        <v>2282297</v>
      </c>
      <c r="K462" s="628">
        <v>26215</v>
      </c>
      <c r="L462" s="628">
        <v>22597</v>
      </c>
      <c r="M462" s="628">
        <v>344700</v>
      </c>
      <c r="N462" s="628">
        <f t="shared" si="80"/>
        <v>1941215</v>
      </c>
      <c r="O462" s="659">
        <f t="shared" si="74"/>
        <v>102</v>
      </c>
      <c r="P462" s="660">
        <v>9</v>
      </c>
      <c r="Q462" s="661">
        <f t="shared" si="75"/>
        <v>8.7205479452054799</v>
      </c>
      <c r="R462" s="662">
        <f t="shared" si="76"/>
        <v>60275</v>
      </c>
      <c r="S462" s="662">
        <f t="shared" si="77"/>
        <v>1880940</v>
      </c>
      <c r="T462" s="663">
        <f t="shared" si="78"/>
        <v>0</v>
      </c>
      <c r="U462" s="663">
        <f t="shared" si="79"/>
        <v>1941215</v>
      </c>
      <c r="V462" s="664"/>
      <c r="W462" s="664"/>
      <c r="X462" s="664"/>
      <c r="Y462" s="664"/>
      <c r="Z462" s="664"/>
      <c r="AA462" s="664"/>
      <c r="AB462" s="664"/>
      <c r="AC462" s="664"/>
      <c r="AD462" s="664"/>
      <c r="AE462" s="664"/>
      <c r="AF462" s="664"/>
    </row>
    <row r="463" spans="2:32" ht="16.5" customHeight="1">
      <c r="B463" s="653">
        <f t="shared" si="81"/>
        <v>459</v>
      </c>
      <c r="C463" s="654" t="s">
        <v>581</v>
      </c>
      <c r="D463" s="684" t="s">
        <v>29</v>
      </c>
      <c r="E463" s="655" t="s">
        <v>704</v>
      </c>
      <c r="F463" s="690">
        <v>44859</v>
      </c>
      <c r="G463" s="656">
        <v>44859</v>
      </c>
      <c r="H463" s="654" t="s">
        <v>766</v>
      </c>
      <c r="I463" s="657">
        <v>44859</v>
      </c>
      <c r="J463" s="691">
        <v>1818750</v>
      </c>
      <c r="K463" s="628"/>
      <c r="L463" s="628">
        <v>19554</v>
      </c>
      <c r="M463" s="628">
        <v>427754</v>
      </c>
      <c r="N463" s="628">
        <f t="shared" si="80"/>
        <v>1371442</v>
      </c>
      <c r="O463" s="659">
        <f t="shared" si="74"/>
        <v>157</v>
      </c>
      <c r="P463" s="660">
        <v>9</v>
      </c>
      <c r="Q463" s="661">
        <f t="shared" si="75"/>
        <v>8.5698630136986296</v>
      </c>
      <c r="R463" s="662">
        <f t="shared" si="76"/>
        <v>65545</v>
      </c>
      <c r="S463" s="662">
        <f t="shared" si="77"/>
        <v>1305897</v>
      </c>
      <c r="T463" s="663">
        <f t="shared" si="78"/>
        <v>0</v>
      </c>
      <c r="U463" s="663">
        <f t="shared" si="79"/>
        <v>1371442</v>
      </c>
      <c r="V463" s="664"/>
      <c r="W463" s="664"/>
      <c r="X463" s="664"/>
      <c r="Y463" s="664"/>
      <c r="Z463" s="664"/>
      <c r="AA463" s="664"/>
      <c r="AB463" s="664"/>
      <c r="AC463" s="664"/>
      <c r="AD463" s="664"/>
      <c r="AE463" s="664"/>
      <c r="AF463" s="664"/>
    </row>
    <row r="464" spans="2:32" ht="16.5" customHeight="1">
      <c r="B464" s="653">
        <f t="shared" si="81"/>
        <v>460</v>
      </c>
      <c r="C464" s="654" t="s">
        <v>581</v>
      </c>
      <c r="D464" s="684" t="s">
        <v>29</v>
      </c>
      <c r="E464" s="655" t="s">
        <v>705</v>
      </c>
      <c r="F464" s="690">
        <v>44859</v>
      </c>
      <c r="G464" s="656">
        <v>44859</v>
      </c>
      <c r="H464" s="654" t="s">
        <v>766</v>
      </c>
      <c r="I464" s="657">
        <v>44859</v>
      </c>
      <c r="J464" s="691">
        <v>1743750</v>
      </c>
      <c r="K464" s="628"/>
      <c r="L464" s="628">
        <v>18812</v>
      </c>
      <c r="M464" s="628">
        <v>411510</v>
      </c>
      <c r="N464" s="628">
        <f t="shared" si="80"/>
        <v>1313428</v>
      </c>
      <c r="O464" s="659">
        <f t="shared" si="74"/>
        <v>157</v>
      </c>
      <c r="P464" s="660">
        <v>9</v>
      </c>
      <c r="Q464" s="661">
        <f t="shared" si="75"/>
        <v>8.5698630136986296</v>
      </c>
      <c r="R464" s="662">
        <f t="shared" si="76"/>
        <v>62773</v>
      </c>
      <c r="S464" s="662">
        <f t="shared" si="77"/>
        <v>1250655</v>
      </c>
      <c r="T464" s="663">
        <f t="shared" si="78"/>
        <v>0</v>
      </c>
      <c r="U464" s="663">
        <f t="shared" si="79"/>
        <v>1313428</v>
      </c>
      <c r="V464" s="664"/>
      <c r="W464" s="664"/>
      <c r="X464" s="664"/>
      <c r="Y464" s="664"/>
      <c r="Z464" s="664"/>
      <c r="AA464" s="664"/>
      <c r="AB464" s="664"/>
      <c r="AC464" s="664"/>
      <c r="AD464" s="664"/>
      <c r="AE464" s="664"/>
      <c r="AF464" s="664"/>
    </row>
    <row r="465" spans="2:32" ht="16.5" customHeight="1">
      <c r="B465" s="653">
        <f t="shared" si="81"/>
        <v>461</v>
      </c>
      <c r="C465" s="654" t="s">
        <v>581</v>
      </c>
      <c r="D465" s="684" t="s">
        <v>29</v>
      </c>
      <c r="E465" s="655" t="s">
        <v>706</v>
      </c>
      <c r="F465" s="690">
        <v>44859</v>
      </c>
      <c r="G465" s="656">
        <v>44859</v>
      </c>
      <c r="H465" s="654" t="s">
        <v>766</v>
      </c>
      <c r="I465" s="657">
        <v>44859</v>
      </c>
      <c r="J465" s="691">
        <v>1743750</v>
      </c>
      <c r="K465" s="628"/>
      <c r="L465" s="628">
        <v>18812</v>
      </c>
      <c r="M465" s="628">
        <v>411510</v>
      </c>
      <c r="N465" s="628">
        <f t="shared" si="80"/>
        <v>1313428</v>
      </c>
      <c r="O465" s="659">
        <f t="shared" si="74"/>
        <v>157</v>
      </c>
      <c r="P465" s="660">
        <v>9</v>
      </c>
      <c r="Q465" s="661">
        <f t="shared" si="75"/>
        <v>8.5698630136986296</v>
      </c>
      <c r="R465" s="662">
        <f t="shared" si="76"/>
        <v>62773</v>
      </c>
      <c r="S465" s="662">
        <f t="shared" si="77"/>
        <v>1250655</v>
      </c>
      <c r="T465" s="663">
        <f t="shared" si="78"/>
        <v>0</v>
      </c>
      <c r="U465" s="663">
        <f t="shared" si="79"/>
        <v>1313428</v>
      </c>
      <c r="V465" s="664"/>
      <c r="W465" s="664"/>
      <c r="X465" s="664"/>
      <c r="Y465" s="664"/>
      <c r="Z465" s="664"/>
      <c r="AA465" s="664"/>
      <c r="AB465" s="664"/>
      <c r="AC465" s="664"/>
      <c r="AD465" s="664"/>
      <c r="AE465" s="664"/>
      <c r="AF465" s="664"/>
    </row>
    <row r="466" spans="2:32" ht="16.5" customHeight="1">
      <c r="B466" s="653">
        <f t="shared" si="81"/>
        <v>462</v>
      </c>
      <c r="C466" s="654" t="s">
        <v>581</v>
      </c>
      <c r="D466" s="684" t="s">
        <v>29</v>
      </c>
      <c r="E466" s="655" t="s">
        <v>707</v>
      </c>
      <c r="F466" s="690">
        <v>44859</v>
      </c>
      <c r="G466" s="656">
        <v>44859</v>
      </c>
      <c r="H466" s="654" t="s">
        <v>766</v>
      </c>
      <c r="I466" s="657">
        <v>44859</v>
      </c>
      <c r="J466" s="691">
        <v>1818750</v>
      </c>
      <c r="K466" s="628"/>
      <c r="L466" s="628">
        <v>19554</v>
      </c>
      <c r="M466" s="628">
        <v>427754</v>
      </c>
      <c r="N466" s="628">
        <f t="shared" si="80"/>
        <v>1371442</v>
      </c>
      <c r="O466" s="659">
        <f t="shared" si="74"/>
        <v>157</v>
      </c>
      <c r="P466" s="660">
        <v>9</v>
      </c>
      <c r="Q466" s="661">
        <f t="shared" si="75"/>
        <v>8.5698630136986296</v>
      </c>
      <c r="R466" s="662">
        <f t="shared" si="76"/>
        <v>65545</v>
      </c>
      <c r="S466" s="662">
        <f t="shared" si="77"/>
        <v>1305897</v>
      </c>
      <c r="T466" s="663">
        <f t="shared" si="78"/>
        <v>0</v>
      </c>
      <c r="U466" s="663">
        <f t="shared" si="79"/>
        <v>1371442</v>
      </c>
      <c r="V466" s="664"/>
      <c r="W466" s="664"/>
      <c r="X466" s="664"/>
      <c r="Y466" s="664"/>
      <c r="Z466" s="664"/>
      <c r="AA466" s="664"/>
      <c r="AB466" s="664"/>
      <c r="AC466" s="664"/>
      <c r="AD466" s="664"/>
      <c r="AE466" s="664"/>
      <c r="AF466" s="664"/>
    </row>
    <row r="467" spans="2:32" ht="16.5" customHeight="1">
      <c r="B467" s="653">
        <f t="shared" si="81"/>
        <v>463</v>
      </c>
      <c r="C467" s="654" t="s">
        <v>301</v>
      </c>
      <c r="D467" s="684" t="s">
        <v>29</v>
      </c>
      <c r="E467" s="655">
        <v>109</v>
      </c>
      <c r="F467" s="656">
        <v>44824</v>
      </c>
      <c r="G467" s="690">
        <v>44865</v>
      </c>
      <c r="H467" s="654" t="s">
        <v>163</v>
      </c>
      <c r="I467" s="657">
        <v>44865</v>
      </c>
      <c r="J467" s="691">
        <v>731600</v>
      </c>
      <c r="K467" s="628"/>
      <c r="L467" s="628"/>
      <c r="M467" s="628">
        <v>111600</v>
      </c>
      <c r="N467" s="628">
        <f t="shared" si="80"/>
        <v>620000</v>
      </c>
      <c r="O467" s="659">
        <f t="shared" si="74"/>
        <v>151</v>
      </c>
      <c r="P467" s="660">
        <v>9</v>
      </c>
      <c r="Q467" s="661">
        <f t="shared" si="75"/>
        <v>8.5863013698630137</v>
      </c>
      <c r="R467" s="662">
        <f t="shared" si="76"/>
        <v>28499</v>
      </c>
      <c r="S467" s="662">
        <f t="shared" si="77"/>
        <v>591501</v>
      </c>
      <c r="T467" s="663">
        <f t="shared" si="78"/>
        <v>0</v>
      </c>
      <c r="U467" s="663">
        <f t="shared" si="79"/>
        <v>620000</v>
      </c>
      <c r="V467" s="664"/>
      <c r="W467" s="664"/>
      <c r="X467" s="664"/>
      <c r="Y467" s="664"/>
      <c r="Z467" s="664"/>
      <c r="AA467" s="664"/>
      <c r="AB467" s="664"/>
      <c r="AC467" s="664"/>
      <c r="AD467" s="664"/>
      <c r="AE467" s="664"/>
      <c r="AF467" s="664"/>
    </row>
    <row r="468" spans="2:32" ht="16.5" customHeight="1">
      <c r="B468" s="653">
        <f t="shared" si="81"/>
        <v>464</v>
      </c>
      <c r="C468" s="654" t="s">
        <v>323</v>
      </c>
      <c r="D468" s="684" t="s">
        <v>29</v>
      </c>
      <c r="E468" s="655" t="s">
        <v>708</v>
      </c>
      <c r="F468" s="690">
        <v>44870</v>
      </c>
      <c r="G468" s="690">
        <v>44871</v>
      </c>
      <c r="H468" s="654" t="s">
        <v>170</v>
      </c>
      <c r="I468" s="657">
        <v>44871</v>
      </c>
      <c r="J468" s="691">
        <v>10620000</v>
      </c>
      <c r="K468" s="628"/>
      <c r="L468" s="628"/>
      <c r="M468" s="628">
        <v>1620000</v>
      </c>
      <c r="N468" s="628">
        <f t="shared" si="80"/>
        <v>9000000</v>
      </c>
      <c r="O468" s="659">
        <f t="shared" si="74"/>
        <v>145</v>
      </c>
      <c r="P468" s="660">
        <v>9</v>
      </c>
      <c r="Q468" s="661">
        <f t="shared" si="75"/>
        <v>8.6027397260273979</v>
      </c>
      <c r="R468" s="662">
        <f t="shared" si="76"/>
        <v>397260</v>
      </c>
      <c r="S468" s="662">
        <f t="shared" si="77"/>
        <v>8602740</v>
      </c>
      <c r="T468" s="663">
        <f t="shared" si="78"/>
        <v>0</v>
      </c>
      <c r="U468" s="663">
        <f t="shared" si="79"/>
        <v>9000000</v>
      </c>
      <c r="V468" s="664"/>
      <c r="W468" s="664"/>
      <c r="X468" s="664"/>
      <c r="Y468" s="664"/>
      <c r="Z468" s="664"/>
      <c r="AA468" s="664"/>
      <c r="AB468" s="664"/>
      <c r="AC468" s="664"/>
      <c r="AD468" s="664"/>
      <c r="AE468" s="664"/>
      <c r="AF468" s="664"/>
    </row>
    <row r="469" spans="2:32" ht="16.5" customHeight="1">
      <c r="B469" s="653">
        <f t="shared" si="81"/>
        <v>465</v>
      </c>
      <c r="C469" s="654" t="s">
        <v>564</v>
      </c>
      <c r="D469" s="684" t="s">
        <v>29</v>
      </c>
      <c r="E469" s="655">
        <v>201</v>
      </c>
      <c r="F469" s="690">
        <v>44880</v>
      </c>
      <c r="G469" s="690">
        <v>44883</v>
      </c>
      <c r="H469" s="654" t="s">
        <v>180</v>
      </c>
      <c r="I469" s="657">
        <v>44883</v>
      </c>
      <c r="J469" s="691">
        <v>495000</v>
      </c>
      <c r="K469" s="628"/>
      <c r="L469" s="628"/>
      <c r="M469" s="628">
        <v>75509</v>
      </c>
      <c r="N469" s="628">
        <f t="shared" si="80"/>
        <v>419491</v>
      </c>
      <c r="O469" s="659">
        <f t="shared" si="74"/>
        <v>133</v>
      </c>
      <c r="P469" s="660">
        <v>9</v>
      </c>
      <c r="Q469" s="661">
        <f t="shared" si="75"/>
        <v>8.6356164383561644</v>
      </c>
      <c r="R469" s="662">
        <f t="shared" si="76"/>
        <v>16984</v>
      </c>
      <c r="S469" s="662">
        <f t="shared" si="77"/>
        <v>402507</v>
      </c>
      <c r="T469" s="663">
        <f t="shared" si="78"/>
        <v>0</v>
      </c>
      <c r="U469" s="663">
        <f t="shared" si="79"/>
        <v>419491</v>
      </c>
      <c r="V469" s="664"/>
      <c r="W469" s="664"/>
      <c r="X469" s="664"/>
      <c r="Y469" s="664"/>
      <c r="Z469" s="664"/>
      <c r="AA469" s="664"/>
      <c r="AB469" s="664"/>
      <c r="AC469" s="664"/>
      <c r="AD469" s="664"/>
      <c r="AE469" s="664"/>
      <c r="AF469" s="664"/>
    </row>
    <row r="470" spans="2:32" ht="16.5" customHeight="1">
      <c r="B470" s="653">
        <f t="shared" si="81"/>
        <v>466</v>
      </c>
      <c r="C470" s="654" t="s">
        <v>564</v>
      </c>
      <c r="D470" s="684" t="s">
        <v>29</v>
      </c>
      <c r="E470" s="655">
        <v>202</v>
      </c>
      <c r="F470" s="690">
        <v>44880</v>
      </c>
      <c r="G470" s="690">
        <v>44883</v>
      </c>
      <c r="H470" s="654" t="s">
        <v>180</v>
      </c>
      <c r="I470" s="657">
        <v>44883</v>
      </c>
      <c r="J470" s="691">
        <v>560000</v>
      </c>
      <c r="K470" s="628"/>
      <c r="L470" s="628"/>
      <c r="M470" s="628">
        <v>85424</v>
      </c>
      <c r="N470" s="628">
        <f t="shared" si="80"/>
        <v>474576</v>
      </c>
      <c r="O470" s="659">
        <f t="shared" si="74"/>
        <v>133</v>
      </c>
      <c r="P470" s="660">
        <v>9</v>
      </c>
      <c r="Q470" s="661">
        <f t="shared" si="75"/>
        <v>8.6356164383561644</v>
      </c>
      <c r="R470" s="662">
        <f t="shared" si="76"/>
        <v>19214</v>
      </c>
      <c r="S470" s="662">
        <f t="shared" si="77"/>
        <v>455362</v>
      </c>
      <c r="T470" s="663">
        <f t="shared" si="78"/>
        <v>0</v>
      </c>
      <c r="U470" s="663">
        <f t="shared" si="79"/>
        <v>474576</v>
      </c>
      <c r="V470" s="664"/>
      <c r="W470" s="664"/>
      <c r="X470" s="664"/>
      <c r="Y470" s="664"/>
      <c r="Z470" s="664"/>
      <c r="AA470" s="664"/>
      <c r="AB470" s="664"/>
      <c r="AC470" s="664"/>
      <c r="AD470" s="664"/>
      <c r="AE470" s="664"/>
      <c r="AF470" s="664"/>
    </row>
    <row r="471" spans="2:32" ht="16.5" customHeight="1">
      <c r="B471" s="653">
        <f t="shared" si="81"/>
        <v>467</v>
      </c>
      <c r="C471" s="654" t="s">
        <v>564</v>
      </c>
      <c r="D471" s="684" t="s">
        <v>29</v>
      </c>
      <c r="E471" s="655">
        <v>203</v>
      </c>
      <c r="F471" s="690">
        <v>44880</v>
      </c>
      <c r="G471" s="690">
        <v>44883</v>
      </c>
      <c r="H471" s="654" t="s">
        <v>180</v>
      </c>
      <c r="I471" s="657">
        <v>44883</v>
      </c>
      <c r="J471" s="691">
        <v>560000</v>
      </c>
      <c r="K471" s="628"/>
      <c r="L471" s="628"/>
      <c r="M471" s="628">
        <v>85424</v>
      </c>
      <c r="N471" s="628">
        <f t="shared" si="80"/>
        <v>474576</v>
      </c>
      <c r="O471" s="659">
        <f t="shared" si="74"/>
        <v>133</v>
      </c>
      <c r="P471" s="660">
        <v>9</v>
      </c>
      <c r="Q471" s="661">
        <f t="shared" ref="Q471:Q502" si="82">+P471-(O471/365)</f>
        <v>8.6356164383561644</v>
      </c>
      <c r="R471" s="662">
        <f t="shared" ref="R471:R502" si="83">ROUND(+N471/(P471*365)*O471,0)</f>
        <v>19214</v>
      </c>
      <c r="S471" s="662">
        <f t="shared" ref="S471:S502" si="84">+N471-R471</f>
        <v>455362</v>
      </c>
      <c r="T471" s="663">
        <f t="shared" si="78"/>
        <v>0</v>
      </c>
      <c r="U471" s="663">
        <f t="shared" si="79"/>
        <v>474576</v>
      </c>
      <c r="V471" s="664"/>
      <c r="W471" s="664"/>
      <c r="X471" s="664"/>
      <c r="Y471" s="664"/>
      <c r="Z471" s="664"/>
      <c r="AA471" s="664"/>
      <c r="AB471" s="664"/>
      <c r="AC471" s="664"/>
      <c r="AD471" s="664"/>
      <c r="AE471" s="664"/>
      <c r="AF471" s="664"/>
    </row>
    <row r="472" spans="2:32" ht="16.5" customHeight="1">
      <c r="B472" s="653">
        <f t="shared" si="81"/>
        <v>468</v>
      </c>
      <c r="C472" s="654" t="s">
        <v>564</v>
      </c>
      <c r="D472" s="684" t="s">
        <v>29</v>
      </c>
      <c r="E472" s="655">
        <v>204</v>
      </c>
      <c r="F472" s="690">
        <v>44880</v>
      </c>
      <c r="G472" s="690">
        <v>44883</v>
      </c>
      <c r="H472" s="654" t="s">
        <v>180</v>
      </c>
      <c r="I472" s="657">
        <v>44883</v>
      </c>
      <c r="J472" s="691">
        <v>495000</v>
      </c>
      <c r="K472" s="628"/>
      <c r="L472" s="628"/>
      <c r="M472" s="628">
        <v>75509</v>
      </c>
      <c r="N472" s="628">
        <f t="shared" si="80"/>
        <v>419491</v>
      </c>
      <c r="O472" s="659">
        <f t="shared" si="74"/>
        <v>133</v>
      </c>
      <c r="P472" s="660">
        <v>9</v>
      </c>
      <c r="Q472" s="661">
        <f t="shared" si="82"/>
        <v>8.6356164383561644</v>
      </c>
      <c r="R472" s="662">
        <f t="shared" si="83"/>
        <v>16984</v>
      </c>
      <c r="S472" s="662">
        <f t="shared" si="84"/>
        <v>402507</v>
      </c>
      <c r="T472" s="663">
        <f t="shared" si="78"/>
        <v>0</v>
      </c>
      <c r="U472" s="663">
        <f t="shared" si="79"/>
        <v>419491</v>
      </c>
      <c r="V472" s="664"/>
      <c r="W472" s="664"/>
      <c r="X472" s="664"/>
      <c r="Y472" s="664"/>
      <c r="Z472" s="664"/>
      <c r="AA472" s="664"/>
      <c r="AB472" s="664"/>
      <c r="AC472" s="664"/>
      <c r="AD472" s="664"/>
      <c r="AE472" s="664"/>
      <c r="AF472" s="664"/>
    </row>
    <row r="473" spans="2:32" ht="16.5" customHeight="1">
      <c r="B473" s="653">
        <f t="shared" si="81"/>
        <v>469</v>
      </c>
      <c r="C473" s="654" t="s">
        <v>565</v>
      </c>
      <c r="D473" s="684" t="s">
        <v>29</v>
      </c>
      <c r="E473" s="655">
        <v>7272217269</v>
      </c>
      <c r="F473" s="690">
        <v>44895</v>
      </c>
      <c r="G473" s="690">
        <v>44895</v>
      </c>
      <c r="H473" s="654" t="s">
        <v>420</v>
      </c>
      <c r="I473" s="657">
        <v>44895</v>
      </c>
      <c r="J473" s="691">
        <v>13884470</v>
      </c>
      <c r="K473" s="628"/>
      <c r="L473" s="628">
        <v>137470</v>
      </c>
      <c r="M473" s="628">
        <v>2097000</v>
      </c>
      <c r="N473" s="628">
        <f t="shared" si="80"/>
        <v>11650000</v>
      </c>
      <c r="O473" s="659">
        <f t="shared" si="74"/>
        <v>121</v>
      </c>
      <c r="P473" s="660">
        <v>9</v>
      </c>
      <c r="Q473" s="661">
        <f t="shared" si="82"/>
        <v>8.668493150684931</v>
      </c>
      <c r="R473" s="662">
        <f t="shared" si="83"/>
        <v>429117</v>
      </c>
      <c r="S473" s="662">
        <f t="shared" si="84"/>
        <v>11220883</v>
      </c>
      <c r="T473" s="663">
        <f t="shared" si="78"/>
        <v>0</v>
      </c>
      <c r="U473" s="663">
        <f t="shared" si="79"/>
        <v>11650000</v>
      </c>
      <c r="V473" s="664"/>
      <c r="W473" s="664"/>
      <c r="X473" s="664"/>
      <c r="Y473" s="664"/>
      <c r="Z473" s="664"/>
      <c r="AA473" s="664"/>
      <c r="AB473" s="664"/>
      <c r="AC473" s="664"/>
      <c r="AD473" s="664"/>
      <c r="AE473" s="664"/>
      <c r="AF473" s="664"/>
    </row>
    <row r="474" spans="2:32" ht="16.5" customHeight="1">
      <c r="B474" s="653">
        <f t="shared" si="81"/>
        <v>470</v>
      </c>
      <c r="C474" s="654" t="s">
        <v>565</v>
      </c>
      <c r="D474" s="684" t="s">
        <v>29</v>
      </c>
      <c r="E474" s="655">
        <v>7272218809</v>
      </c>
      <c r="F474" s="690">
        <v>44915</v>
      </c>
      <c r="G474" s="690">
        <v>44915</v>
      </c>
      <c r="H474" s="654" t="s">
        <v>420</v>
      </c>
      <c r="I474" s="657">
        <v>44915</v>
      </c>
      <c r="J474" s="691">
        <v>35158100</v>
      </c>
      <c r="K474" s="628"/>
      <c r="L474" s="628">
        <v>348100</v>
      </c>
      <c r="M474" s="628">
        <v>5310000</v>
      </c>
      <c r="N474" s="628">
        <f t="shared" si="80"/>
        <v>29500000</v>
      </c>
      <c r="O474" s="659">
        <f t="shared" si="74"/>
        <v>101</v>
      </c>
      <c r="P474" s="660">
        <v>9</v>
      </c>
      <c r="Q474" s="661">
        <f t="shared" si="82"/>
        <v>8.7232876712328764</v>
      </c>
      <c r="R474" s="662">
        <f t="shared" si="83"/>
        <v>907002</v>
      </c>
      <c r="S474" s="662">
        <f t="shared" si="84"/>
        <v>28592998</v>
      </c>
      <c r="T474" s="663">
        <f t="shared" si="78"/>
        <v>0</v>
      </c>
      <c r="U474" s="663">
        <f t="shared" si="79"/>
        <v>29500000</v>
      </c>
      <c r="V474" s="664"/>
      <c r="W474" s="664"/>
      <c r="X474" s="664"/>
      <c r="Y474" s="664"/>
      <c r="Z474" s="664"/>
      <c r="AA474" s="664"/>
      <c r="AB474" s="664"/>
      <c r="AC474" s="664"/>
      <c r="AD474" s="664"/>
      <c r="AE474" s="664"/>
      <c r="AF474" s="664"/>
    </row>
    <row r="475" spans="2:32" ht="16.5" customHeight="1">
      <c r="B475" s="653">
        <f t="shared" si="81"/>
        <v>471</v>
      </c>
      <c r="C475" s="654" t="s">
        <v>302</v>
      </c>
      <c r="D475" s="684" t="s">
        <v>29</v>
      </c>
      <c r="E475" s="655" t="s">
        <v>708</v>
      </c>
      <c r="F475" s="690">
        <v>44870</v>
      </c>
      <c r="G475" s="690">
        <v>44871</v>
      </c>
      <c r="H475" s="654" t="s">
        <v>170</v>
      </c>
      <c r="I475" s="657">
        <v>44871</v>
      </c>
      <c r="J475" s="691">
        <v>1268500</v>
      </c>
      <c r="K475" s="628"/>
      <c r="L475" s="628"/>
      <c r="M475" s="628">
        <v>193500</v>
      </c>
      <c r="N475" s="628">
        <f t="shared" si="80"/>
        <v>1075000</v>
      </c>
      <c r="O475" s="659">
        <f t="shared" si="74"/>
        <v>145</v>
      </c>
      <c r="P475" s="660">
        <v>9</v>
      </c>
      <c r="Q475" s="661">
        <f t="shared" si="82"/>
        <v>8.6027397260273979</v>
      </c>
      <c r="R475" s="662">
        <f t="shared" si="83"/>
        <v>47451</v>
      </c>
      <c r="S475" s="662">
        <f t="shared" si="84"/>
        <v>1027549</v>
      </c>
      <c r="T475" s="663">
        <f t="shared" si="78"/>
        <v>0</v>
      </c>
      <c r="U475" s="663">
        <f t="shared" si="79"/>
        <v>1075000</v>
      </c>
      <c r="V475" s="664"/>
      <c r="W475" s="664"/>
      <c r="X475" s="664"/>
      <c r="Y475" s="664"/>
      <c r="Z475" s="664"/>
      <c r="AA475" s="664"/>
      <c r="AB475" s="664"/>
      <c r="AC475" s="664"/>
      <c r="AD475" s="664"/>
      <c r="AE475" s="664"/>
      <c r="AF475" s="664"/>
    </row>
    <row r="476" spans="2:32" ht="16.5" customHeight="1">
      <c r="B476" s="653">
        <f t="shared" si="81"/>
        <v>472</v>
      </c>
      <c r="C476" s="654" t="s">
        <v>582</v>
      </c>
      <c r="D476" s="684" t="s">
        <v>29</v>
      </c>
      <c r="E476" s="655" t="s">
        <v>709</v>
      </c>
      <c r="F476" s="690">
        <v>44891</v>
      </c>
      <c r="G476" s="690">
        <v>44891</v>
      </c>
      <c r="H476" s="654" t="s">
        <v>762</v>
      </c>
      <c r="I476" s="657">
        <v>44891</v>
      </c>
      <c r="J476" s="691">
        <v>6495310</v>
      </c>
      <c r="K476" s="628">
        <v>0</v>
      </c>
      <c r="L476" s="628">
        <v>64310</v>
      </c>
      <c r="M476" s="628">
        <v>981000</v>
      </c>
      <c r="N476" s="628">
        <f t="shared" si="80"/>
        <v>5450000</v>
      </c>
      <c r="O476" s="659">
        <f t="shared" si="74"/>
        <v>125</v>
      </c>
      <c r="P476" s="660">
        <v>9</v>
      </c>
      <c r="Q476" s="661">
        <f t="shared" si="82"/>
        <v>8.6575342465753433</v>
      </c>
      <c r="R476" s="662">
        <f t="shared" si="83"/>
        <v>207382</v>
      </c>
      <c r="S476" s="662">
        <f t="shared" si="84"/>
        <v>5242618</v>
      </c>
      <c r="T476" s="663">
        <f t="shared" si="78"/>
        <v>0</v>
      </c>
      <c r="U476" s="663">
        <f t="shared" si="79"/>
        <v>5450000</v>
      </c>
      <c r="V476" s="664"/>
      <c r="W476" s="664"/>
      <c r="X476" s="664"/>
      <c r="Y476" s="664"/>
      <c r="Z476" s="664"/>
      <c r="AA476" s="664"/>
      <c r="AB476" s="664"/>
      <c r="AC476" s="664"/>
      <c r="AD476" s="664"/>
      <c r="AE476" s="664"/>
      <c r="AF476" s="664"/>
    </row>
    <row r="477" spans="2:32" ht="16.5" customHeight="1">
      <c r="B477" s="653">
        <f t="shared" si="81"/>
        <v>473</v>
      </c>
      <c r="C477" s="654" t="s">
        <v>582</v>
      </c>
      <c r="D477" s="684" t="s">
        <v>29</v>
      </c>
      <c r="E477" s="655" t="s">
        <v>710</v>
      </c>
      <c r="F477" s="690">
        <v>44907</v>
      </c>
      <c r="G477" s="690">
        <v>44907</v>
      </c>
      <c r="H477" s="654" t="s">
        <v>776</v>
      </c>
      <c r="I477" s="657">
        <v>44907</v>
      </c>
      <c r="J477" s="691">
        <v>1310980</v>
      </c>
      <c r="K477" s="628"/>
      <c r="L477" s="628">
        <v>12980</v>
      </c>
      <c r="M477" s="628">
        <v>198000</v>
      </c>
      <c r="N477" s="628">
        <f t="shared" si="80"/>
        <v>1100000</v>
      </c>
      <c r="O477" s="659">
        <f t="shared" si="74"/>
        <v>109</v>
      </c>
      <c r="P477" s="660">
        <v>9</v>
      </c>
      <c r="Q477" s="661">
        <f t="shared" si="82"/>
        <v>8.7013698630136993</v>
      </c>
      <c r="R477" s="662">
        <f t="shared" si="83"/>
        <v>36499</v>
      </c>
      <c r="S477" s="662">
        <f t="shared" si="84"/>
        <v>1063501</v>
      </c>
      <c r="T477" s="663">
        <f t="shared" si="78"/>
        <v>0</v>
      </c>
      <c r="U477" s="663">
        <f t="shared" si="79"/>
        <v>1100000</v>
      </c>
      <c r="V477" s="664"/>
      <c r="W477" s="664"/>
      <c r="X477" s="664"/>
      <c r="Y477" s="664"/>
      <c r="Z477" s="664"/>
      <c r="AA477" s="664"/>
      <c r="AB477" s="664"/>
      <c r="AC477" s="664"/>
      <c r="AD477" s="664"/>
      <c r="AE477" s="664"/>
      <c r="AF477" s="664"/>
    </row>
    <row r="478" spans="2:32" ht="16.5" customHeight="1">
      <c r="B478" s="653">
        <f t="shared" si="81"/>
        <v>474</v>
      </c>
      <c r="C478" s="654" t="s">
        <v>582</v>
      </c>
      <c r="D478" s="684" t="s">
        <v>29</v>
      </c>
      <c r="E478" s="655" t="s">
        <v>711</v>
      </c>
      <c r="F478" s="690">
        <v>44901</v>
      </c>
      <c r="G478" s="690">
        <v>44915</v>
      </c>
      <c r="H478" s="654" t="s">
        <v>764</v>
      </c>
      <c r="I478" s="657">
        <v>44915</v>
      </c>
      <c r="J478" s="691">
        <v>625400</v>
      </c>
      <c r="K478" s="628">
        <v>0</v>
      </c>
      <c r="L478" s="628"/>
      <c r="M478" s="628">
        <v>95400</v>
      </c>
      <c r="N478" s="628">
        <f t="shared" si="80"/>
        <v>530000</v>
      </c>
      <c r="O478" s="659">
        <f t="shared" si="74"/>
        <v>101</v>
      </c>
      <c r="P478" s="660">
        <v>9</v>
      </c>
      <c r="Q478" s="661">
        <f t="shared" si="82"/>
        <v>8.7232876712328764</v>
      </c>
      <c r="R478" s="662">
        <f t="shared" si="83"/>
        <v>16295</v>
      </c>
      <c r="S478" s="662">
        <f t="shared" si="84"/>
        <v>513705</v>
      </c>
      <c r="T478" s="663">
        <f t="shared" si="78"/>
        <v>0</v>
      </c>
      <c r="U478" s="663">
        <f t="shared" si="79"/>
        <v>530000</v>
      </c>
      <c r="V478" s="664"/>
      <c r="W478" s="664"/>
      <c r="X478" s="664"/>
      <c r="Y478" s="664"/>
      <c r="Z478" s="664"/>
      <c r="AA478" s="664"/>
      <c r="AB478" s="664"/>
      <c r="AC478" s="664"/>
      <c r="AD478" s="664"/>
      <c r="AE478" s="664"/>
      <c r="AF478" s="664"/>
    </row>
    <row r="479" spans="2:32" ht="16.5" customHeight="1">
      <c r="B479" s="653">
        <f t="shared" si="81"/>
        <v>475</v>
      </c>
      <c r="C479" s="654" t="s">
        <v>568</v>
      </c>
      <c r="D479" s="684" t="s">
        <v>29</v>
      </c>
      <c r="E479" s="655" t="s">
        <v>712</v>
      </c>
      <c r="F479" s="690">
        <v>44895</v>
      </c>
      <c r="G479" s="690">
        <v>44901</v>
      </c>
      <c r="H479" s="654" t="s">
        <v>763</v>
      </c>
      <c r="I479" s="657">
        <v>44901</v>
      </c>
      <c r="J479" s="691">
        <v>1588400</v>
      </c>
      <c r="K479" s="628"/>
      <c r="L479" s="628"/>
      <c r="M479" s="628">
        <v>242299</v>
      </c>
      <c r="N479" s="628">
        <f t="shared" si="80"/>
        <v>1346101</v>
      </c>
      <c r="O479" s="659">
        <f t="shared" si="74"/>
        <v>115</v>
      </c>
      <c r="P479" s="660">
        <v>3</v>
      </c>
      <c r="Q479" s="661">
        <f t="shared" si="82"/>
        <v>2.6849315068493151</v>
      </c>
      <c r="R479" s="662">
        <f t="shared" si="83"/>
        <v>141371</v>
      </c>
      <c r="S479" s="662">
        <f t="shared" si="84"/>
        <v>1204730</v>
      </c>
      <c r="T479" s="663">
        <f t="shared" si="78"/>
        <v>0</v>
      </c>
      <c r="U479" s="663">
        <f t="shared" si="79"/>
        <v>1346101</v>
      </c>
      <c r="V479" s="664"/>
      <c r="W479" s="664"/>
      <c r="X479" s="664"/>
      <c r="Y479" s="664"/>
      <c r="Z479" s="664"/>
      <c r="AA479" s="664"/>
      <c r="AB479" s="664"/>
      <c r="AC479" s="664"/>
      <c r="AD479" s="664"/>
      <c r="AE479" s="664"/>
      <c r="AF479" s="664"/>
    </row>
    <row r="480" spans="2:32" ht="16.5" customHeight="1">
      <c r="B480" s="653">
        <f t="shared" si="81"/>
        <v>476</v>
      </c>
      <c r="C480" s="654" t="s">
        <v>568</v>
      </c>
      <c r="D480" s="684" t="s">
        <v>29</v>
      </c>
      <c r="E480" s="655" t="s">
        <v>713</v>
      </c>
      <c r="F480" s="690">
        <v>44905</v>
      </c>
      <c r="G480" s="690">
        <v>44905</v>
      </c>
      <c r="H480" s="654" t="s">
        <v>763</v>
      </c>
      <c r="I480" s="657">
        <v>44905</v>
      </c>
      <c r="J480" s="691">
        <v>2017918</v>
      </c>
      <c r="K480" s="628"/>
      <c r="L480" s="628"/>
      <c r="M480" s="628">
        <v>307818</v>
      </c>
      <c r="N480" s="628">
        <f t="shared" si="80"/>
        <v>1710100</v>
      </c>
      <c r="O480" s="659">
        <f t="shared" si="74"/>
        <v>111</v>
      </c>
      <c r="P480" s="660">
        <v>3</v>
      </c>
      <c r="Q480" s="661">
        <f t="shared" si="82"/>
        <v>2.6958904109589041</v>
      </c>
      <c r="R480" s="662">
        <f t="shared" si="83"/>
        <v>173353</v>
      </c>
      <c r="S480" s="662">
        <f t="shared" si="84"/>
        <v>1536747</v>
      </c>
      <c r="T480" s="663">
        <f t="shared" si="78"/>
        <v>0</v>
      </c>
      <c r="U480" s="663">
        <f t="shared" si="79"/>
        <v>1710100</v>
      </c>
      <c r="V480" s="664"/>
      <c r="W480" s="664"/>
      <c r="X480" s="664"/>
      <c r="Y480" s="664"/>
      <c r="Z480" s="664"/>
      <c r="AA480" s="664"/>
      <c r="AB480" s="664"/>
      <c r="AC480" s="664"/>
      <c r="AD480" s="664"/>
      <c r="AE480" s="664"/>
      <c r="AF480" s="664"/>
    </row>
    <row r="481" spans="2:32" ht="16.5" customHeight="1">
      <c r="B481" s="653">
        <f t="shared" si="81"/>
        <v>477</v>
      </c>
      <c r="C481" s="654" t="s">
        <v>568</v>
      </c>
      <c r="D481" s="684" t="s">
        <v>29</v>
      </c>
      <c r="E481" s="655" t="s">
        <v>714</v>
      </c>
      <c r="F481" s="690">
        <v>44912</v>
      </c>
      <c r="G481" s="690">
        <v>44912</v>
      </c>
      <c r="H481" s="654" t="s">
        <v>763</v>
      </c>
      <c r="I481" s="657">
        <v>44912</v>
      </c>
      <c r="J481" s="691">
        <v>1107832</v>
      </c>
      <c r="K481" s="628"/>
      <c r="L481" s="628"/>
      <c r="M481" s="628">
        <v>168992</v>
      </c>
      <c r="N481" s="628">
        <f t="shared" si="80"/>
        <v>938840</v>
      </c>
      <c r="O481" s="659">
        <f t="shared" si="74"/>
        <v>104</v>
      </c>
      <c r="P481" s="660">
        <v>3</v>
      </c>
      <c r="Q481" s="661">
        <f t="shared" si="82"/>
        <v>2.7150684931506848</v>
      </c>
      <c r="R481" s="662">
        <f t="shared" si="83"/>
        <v>89168</v>
      </c>
      <c r="S481" s="662">
        <f t="shared" si="84"/>
        <v>849672</v>
      </c>
      <c r="T481" s="663">
        <f t="shared" si="78"/>
        <v>0</v>
      </c>
      <c r="U481" s="663">
        <f t="shared" si="79"/>
        <v>938840</v>
      </c>
      <c r="V481" s="664"/>
      <c r="W481" s="664"/>
      <c r="X481" s="664"/>
      <c r="Y481" s="664"/>
      <c r="Z481" s="664"/>
      <c r="AA481" s="664"/>
      <c r="AB481" s="664"/>
      <c r="AC481" s="664"/>
      <c r="AD481" s="664"/>
      <c r="AE481" s="664"/>
      <c r="AF481" s="664"/>
    </row>
    <row r="482" spans="2:32" ht="16.5" customHeight="1">
      <c r="B482" s="653">
        <f t="shared" si="81"/>
        <v>478</v>
      </c>
      <c r="C482" s="654" t="s">
        <v>568</v>
      </c>
      <c r="D482" s="684" t="s">
        <v>29</v>
      </c>
      <c r="E482" s="655" t="s">
        <v>715</v>
      </c>
      <c r="F482" s="690">
        <v>44912</v>
      </c>
      <c r="G482" s="690">
        <v>44912</v>
      </c>
      <c r="H482" s="654" t="s">
        <v>763</v>
      </c>
      <c r="I482" s="657">
        <v>44912</v>
      </c>
      <c r="J482" s="691">
        <v>929712</v>
      </c>
      <c r="K482" s="628"/>
      <c r="L482" s="628"/>
      <c r="M482" s="628">
        <v>141821</v>
      </c>
      <c r="N482" s="628">
        <f t="shared" si="80"/>
        <v>787891</v>
      </c>
      <c r="O482" s="659">
        <f t="shared" si="74"/>
        <v>104</v>
      </c>
      <c r="P482" s="660">
        <v>3</v>
      </c>
      <c r="Q482" s="661">
        <f t="shared" si="82"/>
        <v>2.7150684931506848</v>
      </c>
      <c r="R482" s="662">
        <f t="shared" si="83"/>
        <v>74832</v>
      </c>
      <c r="S482" s="662">
        <f t="shared" si="84"/>
        <v>713059</v>
      </c>
      <c r="T482" s="663">
        <f t="shared" si="78"/>
        <v>0</v>
      </c>
      <c r="U482" s="663">
        <f t="shared" si="79"/>
        <v>787891</v>
      </c>
      <c r="V482" s="664"/>
      <c r="W482" s="664"/>
      <c r="X482" s="664"/>
      <c r="Y482" s="664"/>
      <c r="Z482" s="664"/>
      <c r="AA482" s="664"/>
      <c r="AB482" s="664"/>
      <c r="AC482" s="664"/>
      <c r="AD482" s="664"/>
      <c r="AE482" s="664"/>
      <c r="AF482" s="664"/>
    </row>
    <row r="483" spans="2:32" ht="16.5" customHeight="1">
      <c r="B483" s="653">
        <f t="shared" si="81"/>
        <v>479</v>
      </c>
      <c r="C483" s="654" t="s">
        <v>568</v>
      </c>
      <c r="D483" s="684" t="s">
        <v>29</v>
      </c>
      <c r="E483" s="655" t="s">
        <v>716</v>
      </c>
      <c r="F483" s="690">
        <v>44923</v>
      </c>
      <c r="G483" s="690">
        <v>44923</v>
      </c>
      <c r="H483" s="654" t="s">
        <v>763</v>
      </c>
      <c r="I483" s="657">
        <v>44923</v>
      </c>
      <c r="J483" s="691">
        <v>870934</v>
      </c>
      <c r="K483" s="628"/>
      <c r="L483" s="628"/>
      <c r="M483" s="628">
        <v>132855</v>
      </c>
      <c r="N483" s="628">
        <f t="shared" si="80"/>
        <v>738079</v>
      </c>
      <c r="O483" s="659">
        <f t="shared" si="74"/>
        <v>93</v>
      </c>
      <c r="P483" s="660">
        <v>3</v>
      </c>
      <c r="Q483" s="661">
        <f t="shared" si="82"/>
        <v>2.7452054794520548</v>
      </c>
      <c r="R483" s="662">
        <f t="shared" si="83"/>
        <v>62686</v>
      </c>
      <c r="S483" s="662">
        <f t="shared" si="84"/>
        <v>675393</v>
      </c>
      <c r="T483" s="663">
        <f t="shared" si="78"/>
        <v>0</v>
      </c>
      <c r="U483" s="663">
        <f t="shared" si="79"/>
        <v>738079</v>
      </c>
      <c r="V483" s="664"/>
      <c r="W483" s="664"/>
      <c r="X483" s="664"/>
      <c r="Y483" s="664"/>
      <c r="Z483" s="664"/>
      <c r="AA483" s="664"/>
      <c r="AB483" s="664"/>
      <c r="AC483" s="664"/>
      <c r="AD483" s="664"/>
      <c r="AE483" s="664"/>
      <c r="AF483" s="664"/>
    </row>
    <row r="484" spans="2:32" ht="16.5" customHeight="1">
      <c r="B484" s="653">
        <f t="shared" si="81"/>
        <v>480</v>
      </c>
      <c r="C484" s="654" t="s">
        <v>568</v>
      </c>
      <c r="D484" s="684" t="s">
        <v>29</v>
      </c>
      <c r="E484" s="655" t="s">
        <v>717</v>
      </c>
      <c r="F484" s="690">
        <v>44923</v>
      </c>
      <c r="G484" s="690">
        <v>44923</v>
      </c>
      <c r="H484" s="654" t="s">
        <v>763</v>
      </c>
      <c r="I484" s="657">
        <v>44923</v>
      </c>
      <c r="J484" s="691">
        <v>1171730</v>
      </c>
      <c r="K484" s="628"/>
      <c r="L484" s="628"/>
      <c r="M484" s="628">
        <v>178739</v>
      </c>
      <c r="N484" s="628">
        <f t="shared" si="80"/>
        <v>992991</v>
      </c>
      <c r="O484" s="659">
        <f t="shared" si="74"/>
        <v>93</v>
      </c>
      <c r="P484" s="660">
        <v>3</v>
      </c>
      <c r="Q484" s="661">
        <f t="shared" si="82"/>
        <v>2.7452054794520548</v>
      </c>
      <c r="R484" s="662">
        <f t="shared" si="83"/>
        <v>84336</v>
      </c>
      <c r="S484" s="662">
        <f t="shared" si="84"/>
        <v>908655</v>
      </c>
      <c r="T484" s="663">
        <f t="shared" si="78"/>
        <v>0</v>
      </c>
      <c r="U484" s="663">
        <f t="shared" si="79"/>
        <v>992991</v>
      </c>
      <c r="V484" s="664"/>
      <c r="W484" s="664"/>
      <c r="X484" s="664"/>
      <c r="Y484" s="664"/>
      <c r="Z484" s="664"/>
      <c r="AA484" s="664"/>
      <c r="AB484" s="664"/>
      <c r="AC484" s="664"/>
      <c r="AD484" s="664"/>
      <c r="AE484" s="664"/>
      <c r="AF484" s="664"/>
    </row>
    <row r="485" spans="2:32" ht="16.5" customHeight="1">
      <c r="B485" s="653">
        <f t="shared" si="81"/>
        <v>481</v>
      </c>
      <c r="C485" s="654" t="s">
        <v>569</v>
      </c>
      <c r="D485" s="684" t="s">
        <v>29</v>
      </c>
      <c r="E485" s="655" t="s">
        <v>718</v>
      </c>
      <c r="F485" s="690">
        <v>44856</v>
      </c>
      <c r="G485" s="690">
        <v>44856</v>
      </c>
      <c r="H485" s="654" t="s">
        <v>406</v>
      </c>
      <c r="I485" s="657">
        <v>44856</v>
      </c>
      <c r="J485" s="691">
        <v>2113460</v>
      </c>
      <c r="K485" s="628"/>
      <c r="L485" s="628"/>
      <c r="M485" s="628">
        <v>322392.24</v>
      </c>
      <c r="N485" s="628">
        <f t="shared" si="80"/>
        <v>1791067.76</v>
      </c>
      <c r="O485" s="659">
        <f t="shared" si="74"/>
        <v>160</v>
      </c>
      <c r="P485" s="660">
        <v>3</v>
      </c>
      <c r="Q485" s="661">
        <f t="shared" si="82"/>
        <v>2.5616438356164384</v>
      </c>
      <c r="R485" s="662">
        <f t="shared" si="83"/>
        <v>261709</v>
      </c>
      <c r="S485" s="662">
        <f t="shared" si="84"/>
        <v>1529358.76</v>
      </c>
      <c r="T485" s="663">
        <f t="shared" si="78"/>
        <v>0</v>
      </c>
      <c r="U485" s="663">
        <f t="shared" si="79"/>
        <v>1791067.76</v>
      </c>
      <c r="V485" s="664"/>
      <c r="W485" s="664"/>
      <c r="X485" s="664"/>
      <c r="Y485" s="664"/>
      <c r="Z485" s="664"/>
      <c r="AA485" s="664"/>
      <c r="AB485" s="664"/>
      <c r="AC485" s="664"/>
      <c r="AD485" s="664"/>
      <c r="AE485" s="664"/>
      <c r="AF485" s="664"/>
    </row>
    <row r="486" spans="2:32" ht="16.5" customHeight="1">
      <c r="B486" s="653">
        <f t="shared" si="81"/>
        <v>482</v>
      </c>
      <c r="C486" s="654" t="s">
        <v>573</v>
      </c>
      <c r="D486" s="684" t="s">
        <v>29</v>
      </c>
      <c r="E486" s="655">
        <v>7272216590</v>
      </c>
      <c r="F486" s="690">
        <v>44888</v>
      </c>
      <c r="G486" s="690">
        <v>44893</v>
      </c>
      <c r="H486" s="654" t="s">
        <v>420</v>
      </c>
      <c r="I486" s="657">
        <v>44893</v>
      </c>
      <c r="J486" s="691">
        <v>3188065</v>
      </c>
      <c r="K486" s="628"/>
      <c r="L486" s="628">
        <v>31565</v>
      </c>
      <c r="M486" s="628">
        <v>481500</v>
      </c>
      <c r="N486" s="628">
        <f t="shared" si="80"/>
        <v>2675000</v>
      </c>
      <c r="O486" s="659">
        <f t="shared" si="74"/>
        <v>123</v>
      </c>
      <c r="P486" s="660">
        <v>9</v>
      </c>
      <c r="Q486" s="661">
        <f t="shared" si="82"/>
        <v>8.6630136986301363</v>
      </c>
      <c r="R486" s="662">
        <f t="shared" si="83"/>
        <v>100160</v>
      </c>
      <c r="S486" s="662">
        <f t="shared" si="84"/>
        <v>2574840</v>
      </c>
      <c r="T486" s="663">
        <f t="shared" si="78"/>
        <v>0</v>
      </c>
      <c r="U486" s="663">
        <f t="shared" si="79"/>
        <v>2675000</v>
      </c>
      <c r="V486" s="664"/>
      <c r="W486" s="664"/>
      <c r="X486" s="664"/>
      <c r="Y486" s="664"/>
      <c r="Z486" s="664"/>
      <c r="AA486" s="664"/>
      <c r="AB486" s="664"/>
      <c r="AC486" s="664"/>
      <c r="AD486" s="664"/>
      <c r="AE486" s="664"/>
      <c r="AF486" s="664"/>
    </row>
    <row r="487" spans="2:32" ht="16.5" customHeight="1">
      <c r="B487" s="653">
        <f t="shared" si="81"/>
        <v>483</v>
      </c>
      <c r="C487" s="654" t="s">
        <v>573</v>
      </c>
      <c r="D487" s="684" t="s">
        <v>29</v>
      </c>
      <c r="E487" s="655">
        <v>7272216589</v>
      </c>
      <c r="F487" s="690">
        <v>44888</v>
      </c>
      <c r="G487" s="690">
        <v>44893</v>
      </c>
      <c r="H487" s="654" t="s">
        <v>420</v>
      </c>
      <c r="I487" s="657">
        <v>44893</v>
      </c>
      <c r="J487" s="691">
        <v>3188065</v>
      </c>
      <c r="K487" s="628"/>
      <c r="L487" s="628">
        <v>31565</v>
      </c>
      <c r="M487" s="628">
        <v>481500</v>
      </c>
      <c r="N487" s="628">
        <f t="shared" si="80"/>
        <v>2675000</v>
      </c>
      <c r="O487" s="659">
        <f t="shared" si="74"/>
        <v>123</v>
      </c>
      <c r="P487" s="660">
        <v>9</v>
      </c>
      <c r="Q487" s="661">
        <f t="shared" si="82"/>
        <v>8.6630136986301363</v>
      </c>
      <c r="R487" s="662">
        <f t="shared" si="83"/>
        <v>100160</v>
      </c>
      <c r="S487" s="662">
        <f t="shared" si="84"/>
        <v>2574840</v>
      </c>
      <c r="T487" s="663">
        <f t="shared" si="78"/>
        <v>0</v>
      </c>
      <c r="U487" s="663">
        <f t="shared" si="79"/>
        <v>2675000</v>
      </c>
      <c r="V487" s="664"/>
      <c r="W487" s="664"/>
      <c r="X487" s="664"/>
      <c r="Y487" s="664"/>
      <c r="Z487" s="664"/>
      <c r="AA487" s="664"/>
      <c r="AB487" s="664"/>
      <c r="AC487" s="664"/>
      <c r="AD487" s="664"/>
      <c r="AE487" s="664"/>
      <c r="AF487" s="664"/>
    </row>
    <row r="488" spans="2:32" ht="16.5" customHeight="1">
      <c r="B488" s="653">
        <f t="shared" si="81"/>
        <v>484</v>
      </c>
      <c r="C488" s="654" t="s">
        <v>570</v>
      </c>
      <c r="D488" s="684" t="s">
        <v>29</v>
      </c>
      <c r="E488" s="655">
        <v>1915</v>
      </c>
      <c r="F488" s="690">
        <v>44919</v>
      </c>
      <c r="G488" s="690">
        <v>44919</v>
      </c>
      <c r="H488" s="654" t="s">
        <v>765</v>
      </c>
      <c r="I488" s="657">
        <v>44919</v>
      </c>
      <c r="J488" s="691">
        <v>19975</v>
      </c>
      <c r="K488" s="628"/>
      <c r="L488" s="628"/>
      <c r="M488" s="628">
        <v>3048</v>
      </c>
      <c r="N488" s="628">
        <f t="shared" si="80"/>
        <v>16927</v>
      </c>
      <c r="O488" s="659">
        <f t="shared" si="74"/>
        <v>97</v>
      </c>
      <c r="P488" s="660">
        <v>9</v>
      </c>
      <c r="Q488" s="661">
        <f t="shared" si="82"/>
        <v>8.7342465753424658</v>
      </c>
      <c r="R488" s="662">
        <f t="shared" si="83"/>
        <v>500</v>
      </c>
      <c r="S488" s="662">
        <f t="shared" si="84"/>
        <v>16427</v>
      </c>
      <c r="T488" s="663">
        <f t="shared" si="78"/>
        <v>0</v>
      </c>
      <c r="U488" s="663">
        <f t="shared" si="79"/>
        <v>16927</v>
      </c>
      <c r="V488" s="664"/>
      <c r="W488" s="664"/>
      <c r="X488" s="664"/>
      <c r="Y488" s="664"/>
      <c r="Z488" s="664"/>
      <c r="AA488" s="664"/>
      <c r="AB488" s="664"/>
      <c r="AC488" s="664"/>
      <c r="AD488" s="664"/>
      <c r="AE488" s="664"/>
      <c r="AF488" s="664"/>
    </row>
    <row r="489" spans="2:32" ht="16.5" customHeight="1">
      <c r="B489" s="653">
        <f t="shared" si="81"/>
        <v>485</v>
      </c>
      <c r="C489" s="654" t="s">
        <v>71</v>
      </c>
      <c r="D489" s="684" t="s">
        <v>29</v>
      </c>
      <c r="E489" s="655" t="s">
        <v>719</v>
      </c>
      <c r="F489" s="690">
        <v>44859</v>
      </c>
      <c r="G489" s="690">
        <v>44859</v>
      </c>
      <c r="H489" s="654" t="s">
        <v>766</v>
      </c>
      <c r="I489" s="657">
        <v>44859</v>
      </c>
      <c r="J489" s="691">
        <v>3743750</v>
      </c>
      <c r="K489" s="628"/>
      <c r="L489" s="628">
        <v>38614</v>
      </c>
      <c r="M489" s="628">
        <f>844679-45</f>
        <v>844634</v>
      </c>
      <c r="N489" s="628">
        <f t="shared" si="80"/>
        <v>2860502</v>
      </c>
      <c r="O489" s="659">
        <f t="shared" si="74"/>
        <v>157</v>
      </c>
      <c r="P489" s="660">
        <v>9</v>
      </c>
      <c r="Q489" s="661">
        <f t="shared" si="82"/>
        <v>8.5698630136986296</v>
      </c>
      <c r="R489" s="662">
        <f t="shared" si="83"/>
        <v>136712</v>
      </c>
      <c r="S489" s="662">
        <f t="shared" si="84"/>
        <v>2723790</v>
      </c>
      <c r="T489" s="663">
        <f t="shared" si="78"/>
        <v>0</v>
      </c>
      <c r="U489" s="663">
        <f t="shared" si="79"/>
        <v>2860502</v>
      </c>
      <c r="V489" s="664"/>
      <c r="W489" s="664"/>
      <c r="X489" s="664"/>
      <c r="Y489" s="664"/>
      <c r="Z489" s="664"/>
      <c r="AA489" s="664"/>
      <c r="AB489" s="664"/>
      <c r="AC489" s="664"/>
      <c r="AD489" s="664"/>
      <c r="AE489" s="664"/>
      <c r="AF489" s="664"/>
    </row>
    <row r="490" spans="2:32" ht="16.5" customHeight="1">
      <c r="B490" s="653">
        <f t="shared" si="81"/>
        <v>486</v>
      </c>
      <c r="C490" s="654" t="s">
        <v>71</v>
      </c>
      <c r="D490" s="684" t="s">
        <v>29</v>
      </c>
      <c r="E490" s="655" t="s">
        <v>720</v>
      </c>
      <c r="F490" s="690">
        <v>44859</v>
      </c>
      <c r="G490" s="690">
        <v>44859</v>
      </c>
      <c r="H490" s="654" t="s">
        <v>766</v>
      </c>
      <c r="I490" s="657">
        <v>44859</v>
      </c>
      <c r="J490" s="691">
        <v>3743750</v>
      </c>
      <c r="K490" s="628"/>
      <c r="L490" s="628">
        <v>38614</v>
      </c>
      <c r="M490" s="628">
        <v>844679</v>
      </c>
      <c r="N490" s="628">
        <f t="shared" si="80"/>
        <v>2860457</v>
      </c>
      <c r="O490" s="659">
        <f t="shared" si="74"/>
        <v>157</v>
      </c>
      <c r="P490" s="660">
        <v>9</v>
      </c>
      <c r="Q490" s="661">
        <f t="shared" si="82"/>
        <v>8.5698630136986296</v>
      </c>
      <c r="R490" s="662">
        <f t="shared" si="83"/>
        <v>136710</v>
      </c>
      <c r="S490" s="662">
        <f t="shared" si="84"/>
        <v>2723747</v>
      </c>
      <c r="T490" s="663">
        <f t="shared" si="78"/>
        <v>0</v>
      </c>
      <c r="U490" s="663">
        <f t="shared" si="79"/>
        <v>2860457</v>
      </c>
      <c r="V490" s="664"/>
      <c r="W490" s="664"/>
      <c r="X490" s="664"/>
      <c r="Y490" s="664"/>
      <c r="Z490" s="664"/>
      <c r="AA490" s="664"/>
      <c r="AB490" s="664"/>
      <c r="AC490" s="664"/>
      <c r="AD490" s="664"/>
      <c r="AE490" s="664"/>
      <c r="AF490" s="664"/>
    </row>
    <row r="491" spans="2:32" ht="16.5" customHeight="1">
      <c r="B491" s="653">
        <f t="shared" si="81"/>
        <v>487</v>
      </c>
      <c r="C491" s="654" t="s">
        <v>71</v>
      </c>
      <c r="D491" s="684" t="s">
        <v>29</v>
      </c>
      <c r="E491" s="655" t="s">
        <v>721</v>
      </c>
      <c r="F491" s="690">
        <v>44859</v>
      </c>
      <c r="G491" s="690">
        <v>44859</v>
      </c>
      <c r="H491" s="654" t="s">
        <v>766</v>
      </c>
      <c r="I491" s="657">
        <v>44859</v>
      </c>
      <c r="J491" s="691">
        <v>3743750</v>
      </c>
      <c r="K491" s="628"/>
      <c r="L491" s="628">
        <v>38614</v>
      </c>
      <c r="M491" s="628">
        <v>844679</v>
      </c>
      <c r="N491" s="628">
        <f t="shared" si="80"/>
        <v>2860457</v>
      </c>
      <c r="O491" s="659">
        <f t="shared" si="74"/>
        <v>157</v>
      </c>
      <c r="P491" s="660">
        <v>9</v>
      </c>
      <c r="Q491" s="661">
        <f t="shared" si="82"/>
        <v>8.5698630136986296</v>
      </c>
      <c r="R491" s="662">
        <f t="shared" si="83"/>
        <v>136710</v>
      </c>
      <c r="S491" s="662">
        <f t="shared" si="84"/>
        <v>2723747</v>
      </c>
      <c r="T491" s="663">
        <f t="shared" si="78"/>
        <v>0</v>
      </c>
      <c r="U491" s="663">
        <f t="shared" si="79"/>
        <v>2860457</v>
      </c>
      <c r="V491" s="664"/>
      <c r="W491" s="664"/>
      <c r="X491" s="664"/>
      <c r="Y491" s="664"/>
      <c r="Z491" s="664"/>
      <c r="AA491" s="664"/>
      <c r="AB491" s="664"/>
      <c r="AC491" s="664"/>
      <c r="AD491" s="664"/>
      <c r="AE491" s="664"/>
      <c r="AF491" s="664"/>
    </row>
    <row r="492" spans="2:32" ht="16.5" customHeight="1">
      <c r="B492" s="653">
        <f t="shared" si="81"/>
        <v>488</v>
      </c>
      <c r="C492" s="654" t="s">
        <v>71</v>
      </c>
      <c r="D492" s="684" t="s">
        <v>29</v>
      </c>
      <c r="E492" s="655" t="s">
        <v>722</v>
      </c>
      <c r="F492" s="690">
        <v>44902</v>
      </c>
      <c r="G492" s="690">
        <v>44902</v>
      </c>
      <c r="H492" s="654" t="s">
        <v>766</v>
      </c>
      <c r="I492" s="657">
        <v>44902</v>
      </c>
      <c r="J492" s="691">
        <v>1893750</v>
      </c>
      <c r="K492" s="628"/>
      <c r="L492" s="628">
        <v>20297</v>
      </c>
      <c r="M492" s="628">
        <v>443998</v>
      </c>
      <c r="N492" s="628">
        <f t="shared" si="80"/>
        <v>1429455</v>
      </c>
      <c r="O492" s="659">
        <f t="shared" si="74"/>
        <v>114</v>
      </c>
      <c r="P492" s="660">
        <v>9</v>
      </c>
      <c r="Q492" s="661">
        <f t="shared" si="82"/>
        <v>8.6876712328767116</v>
      </c>
      <c r="R492" s="662">
        <f t="shared" si="83"/>
        <v>49607</v>
      </c>
      <c r="S492" s="662">
        <f t="shared" si="84"/>
        <v>1379848</v>
      </c>
      <c r="T492" s="663">
        <f t="shared" si="78"/>
        <v>0</v>
      </c>
      <c r="U492" s="663">
        <f t="shared" si="79"/>
        <v>1429455</v>
      </c>
      <c r="V492" s="664"/>
      <c r="W492" s="664"/>
      <c r="X492" s="664"/>
      <c r="Y492" s="664"/>
      <c r="Z492" s="664"/>
      <c r="AA492" s="664"/>
      <c r="AB492" s="664"/>
      <c r="AC492" s="664"/>
      <c r="AD492" s="664"/>
      <c r="AE492" s="664"/>
      <c r="AF492" s="664"/>
    </row>
    <row r="493" spans="2:32" ht="16.5" customHeight="1">
      <c r="B493" s="653">
        <f t="shared" si="81"/>
        <v>489</v>
      </c>
      <c r="C493" s="654" t="s">
        <v>71</v>
      </c>
      <c r="D493" s="684" t="s">
        <v>29</v>
      </c>
      <c r="E493" s="655" t="s">
        <v>723</v>
      </c>
      <c r="F493" s="690">
        <v>44902</v>
      </c>
      <c r="G493" s="690">
        <v>44902</v>
      </c>
      <c r="H493" s="654" t="s">
        <v>766</v>
      </c>
      <c r="I493" s="657">
        <v>44902</v>
      </c>
      <c r="J493" s="691">
        <v>1893750</v>
      </c>
      <c r="K493" s="628"/>
      <c r="L493" s="628">
        <v>20297</v>
      </c>
      <c r="M493" s="628">
        <v>443998</v>
      </c>
      <c r="N493" s="628">
        <f t="shared" si="80"/>
        <v>1429455</v>
      </c>
      <c r="O493" s="659">
        <f t="shared" si="74"/>
        <v>114</v>
      </c>
      <c r="P493" s="660">
        <v>9</v>
      </c>
      <c r="Q493" s="661">
        <f t="shared" si="82"/>
        <v>8.6876712328767116</v>
      </c>
      <c r="R493" s="662">
        <f t="shared" si="83"/>
        <v>49607</v>
      </c>
      <c r="S493" s="662">
        <f t="shared" si="84"/>
        <v>1379848</v>
      </c>
      <c r="T493" s="663">
        <f t="shared" si="78"/>
        <v>0</v>
      </c>
      <c r="U493" s="663">
        <f t="shared" si="79"/>
        <v>1429455</v>
      </c>
      <c r="V493" s="664"/>
      <c r="W493" s="664"/>
      <c r="X493" s="664"/>
      <c r="Y493" s="664"/>
      <c r="Z493" s="664"/>
      <c r="AA493" s="664"/>
      <c r="AB493" s="664"/>
      <c r="AC493" s="664"/>
      <c r="AD493" s="664"/>
      <c r="AE493" s="664"/>
      <c r="AF493" s="664"/>
    </row>
    <row r="494" spans="2:32" ht="16.5" customHeight="1">
      <c r="B494" s="653">
        <f t="shared" si="81"/>
        <v>490</v>
      </c>
      <c r="C494" s="654" t="s">
        <v>71</v>
      </c>
      <c r="D494" s="684" t="s">
        <v>29</v>
      </c>
      <c r="E494" s="655" t="s">
        <v>724</v>
      </c>
      <c r="F494" s="656">
        <v>44908</v>
      </c>
      <c r="G494" s="656">
        <v>44908</v>
      </c>
      <c r="H494" s="654" t="s">
        <v>766</v>
      </c>
      <c r="I494" s="657">
        <v>44908</v>
      </c>
      <c r="J494" s="691">
        <v>4273750</v>
      </c>
      <c r="K494" s="628"/>
      <c r="L494" s="628">
        <v>43861</v>
      </c>
      <c r="M494" s="628">
        <v>959468</v>
      </c>
      <c r="N494" s="628">
        <f t="shared" si="80"/>
        <v>3270421</v>
      </c>
      <c r="O494" s="659">
        <f t="shared" si="74"/>
        <v>108</v>
      </c>
      <c r="P494" s="660">
        <v>9</v>
      </c>
      <c r="Q494" s="661">
        <f t="shared" si="82"/>
        <v>8.7041095890410958</v>
      </c>
      <c r="R494" s="662">
        <f t="shared" si="83"/>
        <v>107521</v>
      </c>
      <c r="S494" s="662">
        <f t="shared" si="84"/>
        <v>3162900</v>
      </c>
      <c r="T494" s="663">
        <f t="shared" si="78"/>
        <v>0</v>
      </c>
      <c r="U494" s="663">
        <f t="shared" si="79"/>
        <v>3270421</v>
      </c>
      <c r="V494" s="664"/>
      <c r="W494" s="664"/>
      <c r="X494" s="664"/>
      <c r="Y494" s="664"/>
      <c r="Z494" s="664"/>
      <c r="AA494" s="664"/>
      <c r="AB494" s="664"/>
      <c r="AC494" s="664"/>
      <c r="AD494" s="664"/>
      <c r="AE494" s="664"/>
      <c r="AF494" s="664"/>
    </row>
    <row r="495" spans="2:32" ht="16.5" customHeight="1">
      <c r="B495" s="653">
        <f t="shared" si="81"/>
        <v>491</v>
      </c>
      <c r="C495" s="654" t="s">
        <v>71</v>
      </c>
      <c r="D495" s="684" t="s">
        <v>29</v>
      </c>
      <c r="E495" s="655" t="s">
        <v>725</v>
      </c>
      <c r="F495" s="656">
        <v>44908</v>
      </c>
      <c r="G495" s="656">
        <v>44908</v>
      </c>
      <c r="H495" s="654" t="s">
        <v>766</v>
      </c>
      <c r="I495" s="657">
        <v>44908</v>
      </c>
      <c r="J495" s="691">
        <v>4273750</v>
      </c>
      <c r="K495" s="628"/>
      <c r="L495" s="628">
        <v>43861</v>
      </c>
      <c r="M495" s="628">
        <v>959468</v>
      </c>
      <c r="N495" s="628">
        <f t="shared" si="80"/>
        <v>3270421</v>
      </c>
      <c r="O495" s="659">
        <f t="shared" si="74"/>
        <v>108</v>
      </c>
      <c r="P495" s="660">
        <v>9</v>
      </c>
      <c r="Q495" s="661">
        <f t="shared" si="82"/>
        <v>8.7041095890410958</v>
      </c>
      <c r="R495" s="662">
        <f t="shared" si="83"/>
        <v>107521</v>
      </c>
      <c r="S495" s="662">
        <f t="shared" si="84"/>
        <v>3162900</v>
      </c>
      <c r="T495" s="663">
        <f t="shared" si="78"/>
        <v>0</v>
      </c>
      <c r="U495" s="663">
        <f t="shared" si="79"/>
        <v>3270421</v>
      </c>
      <c r="V495" s="664"/>
      <c r="W495" s="664"/>
      <c r="X495" s="664"/>
      <c r="Y495" s="664"/>
      <c r="Z495" s="664"/>
      <c r="AA495" s="664"/>
      <c r="AB495" s="664"/>
      <c r="AC495" s="664"/>
      <c r="AD495" s="664"/>
      <c r="AE495" s="664"/>
      <c r="AF495" s="664"/>
    </row>
    <row r="496" spans="2:32" ht="16.5" customHeight="1">
      <c r="B496" s="653">
        <f t="shared" si="81"/>
        <v>492</v>
      </c>
      <c r="C496" s="654" t="s">
        <v>71</v>
      </c>
      <c r="D496" s="684" t="s">
        <v>29</v>
      </c>
      <c r="E496" s="655" t="s">
        <v>726</v>
      </c>
      <c r="F496" s="656">
        <v>44908</v>
      </c>
      <c r="G496" s="656">
        <v>44908</v>
      </c>
      <c r="H496" s="654" t="s">
        <v>766</v>
      </c>
      <c r="I496" s="657">
        <v>44908</v>
      </c>
      <c r="J496" s="691">
        <v>4273750</v>
      </c>
      <c r="K496" s="628"/>
      <c r="L496" s="628">
        <v>43861</v>
      </c>
      <c r="M496" s="628">
        <v>959468</v>
      </c>
      <c r="N496" s="628">
        <f t="shared" si="80"/>
        <v>3270421</v>
      </c>
      <c r="O496" s="659">
        <f t="shared" si="74"/>
        <v>108</v>
      </c>
      <c r="P496" s="660">
        <v>9</v>
      </c>
      <c r="Q496" s="661">
        <f t="shared" si="82"/>
        <v>8.7041095890410958</v>
      </c>
      <c r="R496" s="662">
        <f t="shared" si="83"/>
        <v>107521</v>
      </c>
      <c r="S496" s="662">
        <f t="shared" si="84"/>
        <v>3162900</v>
      </c>
      <c r="T496" s="663">
        <f t="shared" si="78"/>
        <v>0</v>
      </c>
      <c r="U496" s="663">
        <f t="shared" si="79"/>
        <v>3270421</v>
      </c>
      <c r="V496" s="664"/>
      <c r="W496" s="664"/>
      <c r="X496" s="664"/>
      <c r="Y496" s="664"/>
      <c r="Z496" s="664"/>
      <c r="AA496" s="664"/>
      <c r="AB496" s="664"/>
      <c r="AC496" s="664"/>
      <c r="AD496" s="664"/>
      <c r="AE496" s="664"/>
      <c r="AF496" s="664"/>
    </row>
    <row r="497" spans="2:32" ht="16.5" customHeight="1">
      <c r="B497" s="653">
        <f t="shared" si="81"/>
        <v>493</v>
      </c>
      <c r="C497" s="654" t="s">
        <v>71</v>
      </c>
      <c r="D497" s="684" t="s">
        <v>29</v>
      </c>
      <c r="E497" s="655" t="s">
        <v>727</v>
      </c>
      <c r="F497" s="656">
        <v>44908</v>
      </c>
      <c r="G497" s="656">
        <v>44908</v>
      </c>
      <c r="H497" s="654" t="s">
        <v>766</v>
      </c>
      <c r="I497" s="657">
        <v>44908</v>
      </c>
      <c r="J497" s="691">
        <v>4273750</v>
      </c>
      <c r="K497" s="628"/>
      <c r="L497" s="628">
        <v>43861</v>
      </c>
      <c r="M497" s="628">
        <v>959468</v>
      </c>
      <c r="N497" s="628">
        <f t="shared" si="80"/>
        <v>3270421</v>
      </c>
      <c r="O497" s="659">
        <f t="shared" si="74"/>
        <v>108</v>
      </c>
      <c r="P497" s="660">
        <v>9</v>
      </c>
      <c r="Q497" s="661">
        <f t="shared" si="82"/>
        <v>8.7041095890410958</v>
      </c>
      <c r="R497" s="662">
        <f t="shared" si="83"/>
        <v>107521</v>
      </c>
      <c r="S497" s="662">
        <f t="shared" si="84"/>
        <v>3162900</v>
      </c>
      <c r="T497" s="663">
        <f t="shared" si="78"/>
        <v>0</v>
      </c>
      <c r="U497" s="663">
        <f t="shared" si="79"/>
        <v>3270421</v>
      </c>
      <c r="V497" s="664"/>
      <c r="W497" s="664"/>
      <c r="X497" s="664"/>
      <c r="Y497" s="664"/>
      <c r="Z497" s="664"/>
      <c r="AA497" s="664"/>
      <c r="AB497" s="664"/>
      <c r="AC497" s="664"/>
      <c r="AD497" s="664"/>
      <c r="AE497" s="664"/>
      <c r="AF497" s="664"/>
    </row>
    <row r="498" spans="2:32" ht="16.5" customHeight="1">
      <c r="B498" s="653">
        <f t="shared" si="81"/>
        <v>494</v>
      </c>
      <c r="C498" s="654" t="s">
        <v>71</v>
      </c>
      <c r="D498" s="684" t="s">
        <v>29</v>
      </c>
      <c r="E498" s="655" t="s">
        <v>728</v>
      </c>
      <c r="F498" s="656">
        <v>44908</v>
      </c>
      <c r="G498" s="656">
        <v>44908</v>
      </c>
      <c r="H498" s="654" t="s">
        <v>766</v>
      </c>
      <c r="I498" s="657">
        <v>44908</v>
      </c>
      <c r="J498" s="691">
        <v>4273750</v>
      </c>
      <c r="K498" s="628"/>
      <c r="L498" s="628">
        <v>43861</v>
      </c>
      <c r="M498" s="628">
        <v>959468</v>
      </c>
      <c r="N498" s="628">
        <f t="shared" si="80"/>
        <v>3270421</v>
      </c>
      <c r="O498" s="659">
        <f t="shared" si="74"/>
        <v>108</v>
      </c>
      <c r="P498" s="660">
        <v>9</v>
      </c>
      <c r="Q498" s="661">
        <f t="shared" si="82"/>
        <v>8.7041095890410958</v>
      </c>
      <c r="R498" s="662">
        <f t="shared" si="83"/>
        <v>107521</v>
      </c>
      <c r="S498" s="662">
        <f t="shared" si="84"/>
        <v>3162900</v>
      </c>
      <c r="T498" s="663">
        <f t="shared" si="78"/>
        <v>0</v>
      </c>
      <c r="U498" s="663">
        <f t="shared" si="79"/>
        <v>3270421</v>
      </c>
      <c r="V498" s="664"/>
      <c r="W498" s="664"/>
      <c r="X498" s="664"/>
      <c r="Y498" s="664"/>
      <c r="Z498" s="664"/>
      <c r="AA498" s="664"/>
      <c r="AB498" s="664"/>
      <c r="AC498" s="664"/>
      <c r="AD498" s="664"/>
      <c r="AE498" s="664"/>
      <c r="AF498" s="664"/>
    </row>
    <row r="499" spans="2:32" ht="16.5" customHeight="1">
      <c r="B499" s="653">
        <f t="shared" si="81"/>
        <v>495</v>
      </c>
      <c r="C499" s="654" t="s">
        <v>71</v>
      </c>
      <c r="D499" s="684" t="s">
        <v>29</v>
      </c>
      <c r="E499" s="655" t="s">
        <v>729</v>
      </c>
      <c r="F499" s="656">
        <v>44908</v>
      </c>
      <c r="G499" s="656">
        <v>44908</v>
      </c>
      <c r="H499" s="654" t="s">
        <v>766</v>
      </c>
      <c r="I499" s="657">
        <v>44908</v>
      </c>
      <c r="J499" s="691">
        <v>4273750</v>
      </c>
      <c r="K499" s="628"/>
      <c r="L499" s="628">
        <v>43861</v>
      </c>
      <c r="M499" s="628">
        <v>959468</v>
      </c>
      <c r="N499" s="628">
        <f t="shared" si="80"/>
        <v>3270421</v>
      </c>
      <c r="O499" s="659">
        <f t="shared" si="74"/>
        <v>108</v>
      </c>
      <c r="P499" s="660">
        <v>9</v>
      </c>
      <c r="Q499" s="661">
        <f t="shared" si="82"/>
        <v>8.7041095890410958</v>
      </c>
      <c r="R499" s="662">
        <f t="shared" si="83"/>
        <v>107521</v>
      </c>
      <c r="S499" s="662">
        <f t="shared" si="84"/>
        <v>3162900</v>
      </c>
      <c r="T499" s="663">
        <f t="shared" si="78"/>
        <v>0</v>
      </c>
      <c r="U499" s="663">
        <f t="shared" si="79"/>
        <v>3270421</v>
      </c>
      <c r="V499" s="664"/>
      <c r="W499" s="664"/>
      <c r="X499" s="664"/>
      <c r="Y499" s="664"/>
      <c r="Z499" s="664"/>
      <c r="AA499" s="664"/>
      <c r="AB499" s="664"/>
      <c r="AC499" s="664"/>
      <c r="AD499" s="664"/>
      <c r="AE499" s="664"/>
      <c r="AF499" s="664"/>
    </row>
    <row r="500" spans="2:32" ht="16.5" customHeight="1">
      <c r="B500" s="653">
        <f t="shared" si="81"/>
        <v>496</v>
      </c>
      <c r="C500" s="654" t="s">
        <v>71</v>
      </c>
      <c r="D500" s="684" t="s">
        <v>29</v>
      </c>
      <c r="E500" s="655" t="s">
        <v>730</v>
      </c>
      <c r="F500" s="656">
        <v>44908</v>
      </c>
      <c r="G500" s="656">
        <v>44908</v>
      </c>
      <c r="H500" s="654" t="s">
        <v>766</v>
      </c>
      <c r="I500" s="657">
        <v>44908</v>
      </c>
      <c r="J500" s="691">
        <v>4273750</v>
      </c>
      <c r="K500" s="628"/>
      <c r="L500" s="628">
        <v>43861</v>
      </c>
      <c r="M500" s="628">
        <v>959468</v>
      </c>
      <c r="N500" s="628">
        <f t="shared" si="80"/>
        <v>3270421</v>
      </c>
      <c r="O500" s="659">
        <f t="shared" si="74"/>
        <v>108</v>
      </c>
      <c r="P500" s="660">
        <v>9</v>
      </c>
      <c r="Q500" s="661">
        <f t="shared" si="82"/>
        <v>8.7041095890410958</v>
      </c>
      <c r="R500" s="662">
        <f t="shared" si="83"/>
        <v>107521</v>
      </c>
      <c r="S500" s="662">
        <f t="shared" si="84"/>
        <v>3162900</v>
      </c>
      <c r="T500" s="663">
        <f t="shared" si="78"/>
        <v>0</v>
      </c>
      <c r="U500" s="663">
        <f t="shared" si="79"/>
        <v>3270421</v>
      </c>
      <c r="V500" s="664"/>
      <c r="W500" s="664"/>
      <c r="X500" s="664"/>
      <c r="Y500" s="664"/>
      <c r="Z500" s="664"/>
      <c r="AA500" s="664"/>
      <c r="AB500" s="664"/>
      <c r="AC500" s="664"/>
      <c r="AD500" s="664"/>
      <c r="AE500" s="664"/>
      <c r="AF500" s="664"/>
    </row>
    <row r="501" spans="2:32" ht="16.5" customHeight="1">
      <c r="B501" s="653">
        <f t="shared" si="81"/>
        <v>497</v>
      </c>
      <c r="C501" s="654" t="s">
        <v>71</v>
      </c>
      <c r="D501" s="684" t="s">
        <v>29</v>
      </c>
      <c r="E501" s="655" t="s">
        <v>731</v>
      </c>
      <c r="F501" s="656">
        <v>44908</v>
      </c>
      <c r="G501" s="656">
        <v>44908</v>
      </c>
      <c r="H501" s="654" t="s">
        <v>766</v>
      </c>
      <c r="I501" s="657">
        <v>44908</v>
      </c>
      <c r="J501" s="691">
        <v>4273750</v>
      </c>
      <c r="K501" s="628"/>
      <c r="L501" s="628">
        <v>43861</v>
      </c>
      <c r="M501" s="628">
        <v>959468</v>
      </c>
      <c r="N501" s="628">
        <f t="shared" si="80"/>
        <v>3270421</v>
      </c>
      <c r="O501" s="659">
        <f t="shared" si="74"/>
        <v>108</v>
      </c>
      <c r="P501" s="660">
        <v>9</v>
      </c>
      <c r="Q501" s="661">
        <f t="shared" si="82"/>
        <v>8.7041095890410958</v>
      </c>
      <c r="R501" s="662">
        <f t="shared" si="83"/>
        <v>107521</v>
      </c>
      <c r="S501" s="662">
        <f t="shared" si="84"/>
        <v>3162900</v>
      </c>
      <c r="T501" s="663">
        <f t="shared" si="78"/>
        <v>0</v>
      </c>
      <c r="U501" s="663">
        <f t="shared" si="79"/>
        <v>3270421</v>
      </c>
      <c r="V501" s="664"/>
      <c r="W501" s="664"/>
      <c r="X501" s="664"/>
      <c r="Y501" s="664"/>
      <c r="Z501" s="664"/>
      <c r="AA501" s="664"/>
      <c r="AB501" s="664"/>
      <c r="AC501" s="664"/>
      <c r="AD501" s="664"/>
      <c r="AE501" s="664"/>
      <c r="AF501" s="664"/>
    </row>
    <row r="502" spans="2:32" ht="16.5" customHeight="1">
      <c r="B502" s="653">
        <f t="shared" si="81"/>
        <v>498</v>
      </c>
      <c r="C502" s="654" t="s">
        <v>71</v>
      </c>
      <c r="D502" s="684" t="s">
        <v>29</v>
      </c>
      <c r="E502" s="655" t="s">
        <v>732</v>
      </c>
      <c r="F502" s="656">
        <v>44908</v>
      </c>
      <c r="G502" s="656">
        <v>44908</v>
      </c>
      <c r="H502" s="654" t="s">
        <v>766</v>
      </c>
      <c r="I502" s="657">
        <v>44908</v>
      </c>
      <c r="J502" s="691">
        <v>4273750</v>
      </c>
      <c r="K502" s="628"/>
      <c r="L502" s="628">
        <v>43861</v>
      </c>
      <c r="M502" s="628">
        <v>959468</v>
      </c>
      <c r="N502" s="628">
        <f t="shared" si="80"/>
        <v>3270421</v>
      </c>
      <c r="O502" s="659">
        <f t="shared" si="74"/>
        <v>108</v>
      </c>
      <c r="P502" s="660">
        <v>9</v>
      </c>
      <c r="Q502" s="661">
        <f t="shared" si="82"/>
        <v>8.7041095890410958</v>
      </c>
      <c r="R502" s="662">
        <f t="shared" si="83"/>
        <v>107521</v>
      </c>
      <c r="S502" s="662">
        <f t="shared" si="84"/>
        <v>3162900</v>
      </c>
      <c r="T502" s="663">
        <f t="shared" si="78"/>
        <v>0</v>
      </c>
      <c r="U502" s="663">
        <f t="shared" si="79"/>
        <v>3270421</v>
      </c>
      <c r="V502" s="664"/>
      <c r="W502" s="664"/>
      <c r="X502" s="664"/>
      <c r="Y502" s="664"/>
      <c r="Z502" s="664"/>
      <c r="AA502" s="664"/>
      <c r="AB502" s="664"/>
      <c r="AC502" s="664"/>
      <c r="AD502" s="664"/>
      <c r="AE502" s="664"/>
      <c r="AF502" s="664"/>
    </row>
    <row r="503" spans="2:32" ht="16.5" customHeight="1">
      <c r="B503" s="653">
        <f t="shared" si="81"/>
        <v>499</v>
      </c>
      <c r="C503" s="654" t="s">
        <v>71</v>
      </c>
      <c r="D503" s="684" t="s">
        <v>29</v>
      </c>
      <c r="E503" s="655" t="s">
        <v>733</v>
      </c>
      <c r="F503" s="656">
        <v>44910</v>
      </c>
      <c r="G503" s="656">
        <v>44910</v>
      </c>
      <c r="H503" s="654" t="s">
        <v>766</v>
      </c>
      <c r="I503" s="657">
        <v>44910</v>
      </c>
      <c r="J503" s="691">
        <v>4273750</v>
      </c>
      <c r="K503" s="628"/>
      <c r="L503" s="628">
        <v>43861</v>
      </c>
      <c r="M503" s="628">
        <v>959468</v>
      </c>
      <c r="N503" s="628">
        <f t="shared" si="80"/>
        <v>3270421</v>
      </c>
      <c r="O503" s="659">
        <f t="shared" ref="O503:O566" si="85">$O$1-I503</f>
        <v>106</v>
      </c>
      <c r="P503" s="660">
        <v>9</v>
      </c>
      <c r="Q503" s="661">
        <f t="shared" ref="Q503:Q534" si="86">+P503-(O503/365)</f>
        <v>8.7095890410958905</v>
      </c>
      <c r="R503" s="662">
        <f t="shared" ref="R503:R534" si="87">ROUND(+N503/(P503*365)*O503,0)</f>
        <v>105530</v>
      </c>
      <c r="S503" s="662">
        <f t="shared" ref="S503:S534" si="88">+N503-R503</f>
        <v>3164891</v>
      </c>
      <c r="T503" s="663">
        <f t="shared" ref="T503:T566" si="89">IF(I503&lt;=DATE(2022,9,30),N503,0)</f>
        <v>0</v>
      </c>
      <c r="U503" s="663">
        <f t="shared" ref="U503:U566" si="90">IF(I503&gt;DATE(2022,9,30),N503,0)</f>
        <v>3270421</v>
      </c>
      <c r="V503" s="664"/>
      <c r="W503" s="664"/>
      <c r="X503" s="664"/>
      <c r="Y503" s="664"/>
      <c r="Z503" s="664"/>
      <c r="AA503" s="664"/>
      <c r="AB503" s="664"/>
      <c r="AC503" s="664"/>
      <c r="AD503" s="664"/>
      <c r="AE503" s="664"/>
      <c r="AF503" s="664"/>
    </row>
    <row r="504" spans="2:32" ht="16.5" customHeight="1">
      <c r="B504" s="653">
        <f t="shared" si="81"/>
        <v>500</v>
      </c>
      <c r="C504" s="654" t="s">
        <v>71</v>
      </c>
      <c r="D504" s="684" t="s">
        <v>29</v>
      </c>
      <c r="E504" s="655" t="s">
        <v>734</v>
      </c>
      <c r="F504" s="656">
        <v>44922</v>
      </c>
      <c r="G504" s="656">
        <v>44922</v>
      </c>
      <c r="H504" s="654" t="s">
        <v>766</v>
      </c>
      <c r="I504" s="657">
        <v>44922</v>
      </c>
      <c r="J504" s="691">
        <v>4273750</v>
      </c>
      <c r="K504" s="628"/>
      <c r="L504" s="628">
        <v>43861</v>
      </c>
      <c r="M504" s="628">
        <v>959468</v>
      </c>
      <c r="N504" s="628">
        <f t="shared" si="80"/>
        <v>3270421</v>
      </c>
      <c r="O504" s="659">
        <f t="shared" si="85"/>
        <v>94</v>
      </c>
      <c r="P504" s="660">
        <v>9</v>
      </c>
      <c r="Q504" s="661">
        <f t="shared" si="86"/>
        <v>8.742465753424657</v>
      </c>
      <c r="R504" s="662">
        <f t="shared" si="87"/>
        <v>93583</v>
      </c>
      <c r="S504" s="662">
        <f t="shared" si="88"/>
        <v>3176838</v>
      </c>
      <c r="T504" s="663">
        <f t="shared" si="89"/>
        <v>0</v>
      </c>
      <c r="U504" s="663">
        <f t="shared" si="90"/>
        <v>3270421</v>
      </c>
      <c r="V504" s="664"/>
      <c r="W504" s="664"/>
      <c r="X504" s="664"/>
      <c r="Y504" s="664"/>
      <c r="Z504" s="664"/>
      <c r="AA504" s="664"/>
      <c r="AB504" s="664"/>
      <c r="AC504" s="664"/>
      <c r="AD504" s="664"/>
      <c r="AE504" s="664"/>
      <c r="AF504" s="664"/>
    </row>
    <row r="505" spans="2:32" ht="16.5" customHeight="1">
      <c r="B505" s="653">
        <f t="shared" si="81"/>
        <v>501</v>
      </c>
      <c r="C505" s="654" t="s">
        <v>71</v>
      </c>
      <c r="D505" s="684" t="s">
        <v>29</v>
      </c>
      <c r="E505" s="655" t="s">
        <v>735</v>
      </c>
      <c r="F505" s="656">
        <v>44922</v>
      </c>
      <c r="G505" s="656">
        <v>44922</v>
      </c>
      <c r="H505" s="654" t="s">
        <v>766</v>
      </c>
      <c r="I505" s="657">
        <v>44922</v>
      </c>
      <c r="J505" s="691">
        <v>4273750</v>
      </c>
      <c r="K505" s="628"/>
      <c r="L505" s="628">
        <v>43861</v>
      </c>
      <c r="M505" s="628">
        <v>959468</v>
      </c>
      <c r="N505" s="628">
        <f t="shared" si="80"/>
        <v>3270421</v>
      </c>
      <c r="O505" s="659">
        <f t="shared" si="85"/>
        <v>94</v>
      </c>
      <c r="P505" s="660">
        <v>9</v>
      </c>
      <c r="Q505" s="661">
        <f t="shared" si="86"/>
        <v>8.742465753424657</v>
      </c>
      <c r="R505" s="662">
        <f t="shared" si="87"/>
        <v>93583</v>
      </c>
      <c r="S505" s="662">
        <f t="shared" si="88"/>
        <v>3176838</v>
      </c>
      <c r="T505" s="663">
        <f t="shared" si="89"/>
        <v>0</v>
      </c>
      <c r="U505" s="663">
        <f t="shared" si="90"/>
        <v>3270421</v>
      </c>
      <c r="V505" s="664"/>
      <c r="W505" s="664"/>
      <c r="X505" s="664"/>
      <c r="Y505" s="664"/>
      <c r="Z505" s="664"/>
      <c r="AA505" s="664"/>
      <c r="AB505" s="664"/>
      <c r="AC505" s="664"/>
      <c r="AD505" s="664"/>
      <c r="AE505" s="664"/>
      <c r="AF505" s="664"/>
    </row>
    <row r="506" spans="2:32" ht="16.5" customHeight="1">
      <c r="B506" s="653">
        <f t="shared" si="81"/>
        <v>502</v>
      </c>
      <c r="C506" s="654" t="s">
        <v>71</v>
      </c>
      <c r="D506" s="684" t="s">
        <v>29</v>
      </c>
      <c r="E506" s="655" t="s">
        <v>736</v>
      </c>
      <c r="F506" s="656">
        <v>44922</v>
      </c>
      <c r="G506" s="656">
        <v>44922</v>
      </c>
      <c r="H506" s="654" t="s">
        <v>766</v>
      </c>
      <c r="I506" s="657">
        <v>44922</v>
      </c>
      <c r="J506" s="691">
        <v>4273750</v>
      </c>
      <c r="K506" s="628"/>
      <c r="L506" s="628">
        <v>43861</v>
      </c>
      <c r="M506" s="628">
        <v>959468</v>
      </c>
      <c r="N506" s="628">
        <f t="shared" si="80"/>
        <v>3270421</v>
      </c>
      <c r="O506" s="659">
        <f t="shared" si="85"/>
        <v>94</v>
      </c>
      <c r="P506" s="660">
        <v>9</v>
      </c>
      <c r="Q506" s="661">
        <f t="shared" si="86"/>
        <v>8.742465753424657</v>
      </c>
      <c r="R506" s="662">
        <f t="shared" si="87"/>
        <v>93583</v>
      </c>
      <c r="S506" s="662">
        <f t="shared" si="88"/>
        <v>3176838</v>
      </c>
      <c r="T506" s="663">
        <f t="shared" si="89"/>
        <v>0</v>
      </c>
      <c r="U506" s="663">
        <f t="shared" si="90"/>
        <v>3270421</v>
      </c>
      <c r="V506" s="664"/>
      <c r="W506" s="664"/>
      <c r="X506" s="664"/>
      <c r="Y506" s="664"/>
      <c r="Z506" s="664"/>
      <c r="AA506" s="664"/>
      <c r="AB506" s="664"/>
      <c r="AC506" s="664"/>
      <c r="AD506" s="664"/>
      <c r="AE506" s="664"/>
      <c r="AF506" s="664"/>
    </row>
    <row r="507" spans="2:32" ht="16.5" customHeight="1">
      <c r="B507" s="653">
        <f t="shared" si="81"/>
        <v>503</v>
      </c>
      <c r="C507" s="654" t="s">
        <v>584</v>
      </c>
      <c r="D507" s="684" t="s">
        <v>29</v>
      </c>
      <c r="E507" s="655" t="s">
        <v>737</v>
      </c>
      <c r="F507" s="656">
        <v>44859</v>
      </c>
      <c r="G507" s="656">
        <v>44859</v>
      </c>
      <c r="H507" s="654" t="s">
        <v>766</v>
      </c>
      <c r="I507" s="657">
        <v>44859</v>
      </c>
      <c r="J507" s="691">
        <v>3655508.47</v>
      </c>
      <c r="K507" s="628"/>
      <c r="L507" s="628">
        <v>37871</v>
      </c>
      <c r="M507" s="628">
        <v>577698</v>
      </c>
      <c r="N507" s="628">
        <f t="shared" si="80"/>
        <v>3039939.47</v>
      </c>
      <c r="O507" s="659">
        <f t="shared" si="85"/>
        <v>157</v>
      </c>
      <c r="P507" s="660">
        <v>9</v>
      </c>
      <c r="Q507" s="661">
        <f t="shared" si="86"/>
        <v>8.5698630136986296</v>
      </c>
      <c r="R507" s="662">
        <f t="shared" si="87"/>
        <v>145288</v>
      </c>
      <c r="S507" s="662">
        <f t="shared" si="88"/>
        <v>2894651.47</v>
      </c>
      <c r="T507" s="663">
        <f t="shared" si="89"/>
        <v>0</v>
      </c>
      <c r="U507" s="663">
        <f t="shared" si="90"/>
        <v>3039939.47</v>
      </c>
      <c r="V507" s="664"/>
      <c r="W507" s="664"/>
      <c r="X507" s="664"/>
      <c r="Y507" s="664"/>
      <c r="Z507" s="664"/>
      <c r="AA507" s="664"/>
      <c r="AB507" s="664"/>
      <c r="AC507" s="664"/>
      <c r="AD507" s="664"/>
      <c r="AE507" s="664"/>
      <c r="AF507" s="664"/>
    </row>
    <row r="508" spans="2:32" ht="16.5" customHeight="1">
      <c r="B508" s="653">
        <f t="shared" si="81"/>
        <v>504</v>
      </c>
      <c r="C508" s="654" t="s">
        <v>584</v>
      </c>
      <c r="D508" s="684" t="s">
        <v>29</v>
      </c>
      <c r="E508" s="655" t="s">
        <v>738</v>
      </c>
      <c r="F508" s="656">
        <v>44859</v>
      </c>
      <c r="G508" s="656">
        <v>44859</v>
      </c>
      <c r="H508" s="654" t="s">
        <v>766</v>
      </c>
      <c r="I508" s="657">
        <v>44859</v>
      </c>
      <c r="J508" s="691">
        <v>3655508.47</v>
      </c>
      <c r="K508" s="628"/>
      <c r="L508" s="628">
        <v>37871</v>
      </c>
      <c r="M508" s="628">
        <v>577698</v>
      </c>
      <c r="N508" s="628">
        <f t="shared" si="80"/>
        <v>3039939.47</v>
      </c>
      <c r="O508" s="659">
        <f t="shared" si="85"/>
        <v>157</v>
      </c>
      <c r="P508" s="660">
        <v>9</v>
      </c>
      <c r="Q508" s="661">
        <f t="shared" si="86"/>
        <v>8.5698630136986296</v>
      </c>
      <c r="R508" s="662">
        <f t="shared" si="87"/>
        <v>145288</v>
      </c>
      <c r="S508" s="662">
        <f t="shared" si="88"/>
        <v>2894651.47</v>
      </c>
      <c r="T508" s="663">
        <f t="shared" si="89"/>
        <v>0</v>
      </c>
      <c r="U508" s="663">
        <f t="shared" si="90"/>
        <v>3039939.47</v>
      </c>
      <c r="V508" s="664"/>
      <c r="W508" s="664"/>
      <c r="X508" s="664"/>
      <c r="Y508" s="664"/>
      <c r="Z508" s="664"/>
      <c r="AA508" s="664"/>
      <c r="AB508" s="664"/>
      <c r="AC508" s="664"/>
      <c r="AD508" s="664"/>
      <c r="AE508" s="664"/>
      <c r="AF508" s="664"/>
    </row>
    <row r="509" spans="2:32" ht="16.5" customHeight="1">
      <c r="B509" s="653">
        <f t="shared" si="81"/>
        <v>505</v>
      </c>
      <c r="C509" s="654" t="s">
        <v>584</v>
      </c>
      <c r="D509" s="684" t="s">
        <v>29</v>
      </c>
      <c r="E509" s="655" t="s">
        <v>739</v>
      </c>
      <c r="F509" s="656">
        <v>44859</v>
      </c>
      <c r="G509" s="656">
        <v>44859</v>
      </c>
      <c r="H509" s="654" t="s">
        <v>766</v>
      </c>
      <c r="I509" s="657">
        <v>44859</v>
      </c>
      <c r="J509" s="691">
        <v>3655508.47</v>
      </c>
      <c r="K509" s="628"/>
      <c r="L509" s="628">
        <v>37871</v>
      </c>
      <c r="M509" s="628">
        <v>577698</v>
      </c>
      <c r="N509" s="628">
        <f t="shared" si="80"/>
        <v>3039939.47</v>
      </c>
      <c r="O509" s="659">
        <f t="shared" si="85"/>
        <v>157</v>
      </c>
      <c r="P509" s="660">
        <v>9</v>
      </c>
      <c r="Q509" s="661">
        <f t="shared" si="86"/>
        <v>8.5698630136986296</v>
      </c>
      <c r="R509" s="662">
        <f t="shared" si="87"/>
        <v>145288</v>
      </c>
      <c r="S509" s="662">
        <f t="shared" si="88"/>
        <v>2894651.47</v>
      </c>
      <c r="T509" s="663">
        <f t="shared" si="89"/>
        <v>0</v>
      </c>
      <c r="U509" s="663">
        <f t="shared" si="90"/>
        <v>3039939.47</v>
      </c>
      <c r="V509" s="664"/>
      <c r="W509" s="664"/>
      <c r="X509" s="664"/>
      <c r="Y509" s="664"/>
      <c r="Z509" s="664"/>
      <c r="AA509" s="664"/>
      <c r="AB509" s="664"/>
      <c r="AC509" s="664"/>
      <c r="AD509" s="664"/>
      <c r="AE509" s="664"/>
      <c r="AF509" s="664"/>
    </row>
    <row r="510" spans="2:32" ht="16.5" customHeight="1">
      <c r="B510" s="653">
        <f t="shared" si="81"/>
        <v>506</v>
      </c>
      <c r="C510" s="654" t="s">
        <v>584</v>
      </c>
      <c r="D510" s="684" t="s">
        <v>29</v>
      </c>
      <c r="E510" s="655" t="s">
        <v>740</v>
      </c>
      <c r="F510" s="656">
        <v>44859</v>
      </c>
      <c r="G510" s="656">
        <v>44859</v>
      </c>
      <c r="H510" s="654" t="s">
        <v>766</v>
      </c>
      <c r="I510" s="657">
        <v>44859</v>
      </c>
      <c r="J510" s="691">
        <v>3655508.47</v>
      </c>
      <c r="K510" s="628"/>
      <c r="L510" s="628">
        <v>37871</v>
      </c>
      <c r="M510" s="628">
        <v>577698</v>
      </c>
      <c r="N510" s="628">
        <f t="shared" si="80"/>
        <v>3039939.47</v>
      </c>
      <c r="O510" s="659">
        <f t="shared" si="85"/>
        <v>157</v>
      </c>
      <c r="P510" s="660">
        <v>9</v>
      </c>
      <c r="Q510" s="661">
        <f t="shared" si="86"/>
        <v>8.5698630136986296</v>
      </c>
      <c r="R510" s="662">
        <f t="shared" si="87"/>
        <v>145288</v>
      </c>
      <c r="S510" s="662">
        <f t="shared" si="88"/>
        <v>2894651.47</v>
      </c>
      <c r="T510" s="663">
        <f t="shared" si="89"/>
        <v>0</v>
      </c>
      <c r="U510" s="663">
        <f t="shared" si="90"/>
        <v>3039939.47</v>
      </c>
      <c r="V510" s="664"/>
      <c r="W510" s="664"/>
      <c r="X510" s="664"/>
      <c r="Y510" s="664"/>
      <c r="Z510" s="664"/>
      <c r="AA510" s="664"/>
      <c r="AB510" s="664"/>
      <c r="AC510" s="664"/>
      <c r="AD510" s="664"/>
      <c r="AE510" s="664"/>
      <c r="AF510" s="664"/>
    </row>
    <row r="511" spans="2:32" ht="16.5" customHeight="1">
      <c r="B511" s="653">
        <f t="shared" si="81"/>
        <v>507</v>
      </c>
      <c r="C511" s="654" t="s">
        <v>584</v>
      </c>
      <c r="D511" s="684" t="s">
        <v>29</v>
      </c>
      <c r="E511" s="655" t="s">
        <v>741</v>
      </c>
      <c r="F511" s="656">
        <v>44859</v>
      </c>
      <c r="G511" s="656">
        <v>44859</v>
      </c>
      <c r="H511" s="654" t="s">
        <v>766</v>
      </c>
      <c r="I511" s="657">
        <v>44859</v>
      </c>
      <c r="J511" s="691">
        <v>3655508.47</v>
      </c>
      <c r="K511" s="628"/>
      <c r="L511" s="628">
        <v>37871</v>
      </c>
      <c r="M511" s="628">
        <v>577698</v>
      </c>
      <c r="N511" s="628">
        <f t="shared" si="80"/>
        <v>3039939.47</v>
      </c>
      <c r="O511" s="659">
        <f t="shared" si="85"/>
        <v>157</v>
      </c>
      <c r="P511" s="660">
        <v>9</v>
      </c>
      <c r="Q511" s="661">
        <f t="shared" si="86"/>
        <v>8.5698630136986296</v>
      </c>
      <c r="R511" s="662">
        <f t="shared" si="87"/>
        <v>145288</v>
      </c>
      <c r="S511" s="662">
        <f t="shared" si="88"/>
        <v>2894651.47</v>
      </c>
      <c r="T511" s="663">
        <f t="shared" si="89"/>
        <v>0</v>
      </c>
      <c r="U511" s="663">
        <f t="shared" si="90"/>
        <v>3039939.47</v>
      </c>
      <c r="V511" s="664"/>
      <c r="W511" s="664"/>
      <c r="X511" s="664"/>
      <c r="Y511" s="664"/>
      <c r="Z511" s="664"/>
      <c r="AA511" s="664"/>
      <c r="AB511" s="664"/>
      <c r="AC511" s="664"/>
      <c r="AD511" s="664"/>
      <c r="AE511" s="664"/>
      <c r="AF511" s="664"/>
    </row>
    <row r="512" spans="2:32" ht="16.5" customHeight="1">
      <c r="B512" s="653">
        <f t="shared" si="81"/>
        <v>508</v>
      </c>
      <c r="C512" s="654" t="s">
        <v>584</v>
      </c>
      <c r="D512" s="684" t="s">
        <v>29</v>
      </c>
      <c r="E512" s="655" t="s">
        <v>742</v>
      </c>
      <c r="F512" s="656">
        <v>44859</v>
      </c>
      <c r="G512" s="656">
        <v>44859</v>
      </c>
      <c r="H512" s="654" t="s">
        <v>766</v>
      </c>
      <c r="I512" s="657">
        <v>44859</v>
      </c>
      <c r="J512" s="691">
        <v>3655508.47</v>
      </c>
      <c r="K512" s="628"/>
      <c r="L512" s="628">
        <v>37871</v>
      </c>
      <c r="M512" s="628">
        <v>577698</v>
      </c>
      <c r="N512" s="628">
        <f t="shared" si="80"/>
        <v>3039939.47</v>
      </c>
      <c r="O512" s="659">
        <f t="shared" si="85"/>
        <v>157</v>
      </c>
      <c r="P512" s="660">
        <v>9</v>
      </c>
      <c r="Q512" s="661">
        <f t="shared" si="86"/>
        <v>8.5698630136986296</v>
      </c>
      <c r="R512" s="662">
        <f t="shared" si="87"/>
        <v>145288</v>
      </c>
      <c r="S512" s="662">
        <f t="shared" si="88"/>
        <v>2894651.47</v>
      </c>
      <c r="T512" s="663">
        <f t="shared" si="89"/>
        <v>0</v>
      </c>
      <c r="U512" s="663">
        <f t="shared" si="90"/>
        <v>3039939.47</v>
      </c>
      <c r="V512" s="664"/>
      <c r="W512" s="664"/>
      <c r="X512" s="664"/>
      <c r="Y512" s="664"/>
      <c r="Z512" s="664"/>
      <c r="AA512" s="664"/>
      <c r="AB512" s="664"/>
      <c r="AC512" s="664"/>
      <c r="AD512" s="664"/>
      <c r="AE512" s="664"/>
      <c r="AF512" s="664"/>
    </row>
    <row r="513" spans="2:32" ht="16.5" customHeight="1">
      <c r="B513" s="653">
        <f t="shared" si="81"/>
        <v>509</v>
      </c>
      <c r="C513" s="654" t="s">
        <v>584</v>
      </c>
      <c r="D513" s="684" t="s">
        <v>29</v>
      </c>
      <c r="E513" s="655" t="s">
        <v>743</v>
      </c>
      <c r="F513" s="656">
        <v>44859</v>
      </c>
      <c r="G513" s="656">
        <v>44859</v>
      </c>
      <c r="H513" s="654" t="s">
        <v>766</v>
      </c>
      <c r="I513" s="657">
        <v>44859</v>
      </c>
      <c r="J513" s="691">
        <v>3655508.47</v>
      </c>
      <c r="K513" s="628"/>
      <c r="L513" s="628">
        <v>37871</v>
      </c>
      <c r="M513" s="628">
        <v>577698</v>
      </c>
      <c r="N513" s="628">
        <f t="shared" si="80"/>
        <v>3039939.47</v>
      </c>
      <c r="O513" s="659">
        <f t="shared" si="85"/>
        <v>157</v>
      </c>
      <c r="P513" s="660">
        <v>9</v>
      </c>
      <c r="Q513" s="661">
        <f t="shared" si="86"/>
        <v>8.5698630136986296</v>
      </c>
      <c r="R513" s="662">
        <f t="shared" si="87"/>
        <v>145288</v>
      </c>
      <c r="S513" s="662">
        <f t="shared" si="88"/>
        <v>2894651.47</v>
      </c>
      <c r="T513" s="663">
        <f t="shared" si="89"/>
        <v>0</v>
      </c>
      <c r="U513" s="663">
        <f t="shared" si="90"/>
        <v>3039939.47</v>
      </c>
      <c r="V513" s="664"/>
      <c r="W513" s="664"/>
      <c r="X513" s="664"/>
      <c r="Y513" s="664"/>
      <c r="Z513" s="664"/>
      <c r="AA513" s="664"/>
      <c r="AB513" s="664"/>
      <c r="AC513" s="664"/>
      <c r="AD513" s="664"/>
      <c r="AE513" s="664"/>
      <c r="AF513" s="664"/>
    </row>
    <row r="514" spans="2:32" ht="16.5" customHeight="1">
      <c r="B514" s="653">
        <f t="shared" si="81"/>
        <v>510</v>
      </c>
      <c r="C514" s="654" t="s">
        <v>584</v>
      </c>
      <c r="D514" s="684" t="s">
        <v>29</v>
      </c>
      <c r="E514" s="655" t="s">
        <v>744</v>
      </c>
      <c r="F514" s="656">
        <v>44859</v>
      </c>
      <c r="G514" s="656">
        <v>44859</v>
      </c>
      <c r="H514" s="654" t="s">
        <v>766</v>
      </c>
      <c r="I514" s="657">
        <v>44859</v>
      </c>
      <c r="J514" s="691">
        <v>3655508.47</v>
      </c>
      <c r="K514" s="628"/>
      <c r="L514" s="628">
        <v>37871</v>
      </c>
      <c r="M514" s="628">
        <v>577698</v>
      </c>
      <c r="N514" s="628">
        <f t="shared" si="80"/>
        <v>3039939.47</v>
      </c>
      <c r="O514" s="659">
        <f t="shared" si="85"/>
        <v>157</v>
      </c>
      <c r="P514" s="660">
        <v>9</v>
      </c>
      <c r="Q514" s="661">
        <f t="shared" si="86"/>
        <v>8.5698630136986296</v>
      </c>
      <c r="R514" s="662">
        <f t="shared" si="87"/>
        <v>145288</v>
      </c>
      <c r="S514" s="662">
        <f t="shared" si="88"/>
        <v>2894651.47</v>
      </c>
      <c r="T514" s="663">
        <f t="shared" si="89"/>
        <v>0</v>
      </c>
      <c r="U514" s="663">
        <f t="shared" si="90"/>
        <v>3039939.47</v>
      </c>
      <c r="V514" s="664"/>
      <c r="W514" s="664"/>
      <c r="X514" s="664"/>
      <c r="Y514" s="664"/>
      <c r="Z514" s="664"/>
      <c r="AA514" s="664"/>
      <c r="AB514" s="664"/>
      <c r="AC514" s="664"/>
      <c r="AD514" s="664"/>
      <c r="AE514" s="664"/>
      <c r="AF514" s="664"/>
    </row>
    <row r="515" spans="2:32" ht="16.5" customHeight="1">
      <c r="B515" s="653">
        <f t="shared" si="81"/>
        <v>511</v>
      </c>
      <c r="C515" s="654" t="s">
        <v>584</v>
      </c>
      <c r="D515" s="684" t="s">
        <v>29</v>
      </c>
      <c r="E515" s="697" t="s">
        <v>745</v>
      </c>
      <c r="F515" s="656">
        <v>44910</v>
      </c>
      <c r="G515" s="656">
        <v>44910</v>
      </c>
      <c r="H515" s="654" t="s">
        <v>766</v>
      </c>
      <c r="I515" s="657">
        <v>44910</v>
      </c>
      <c r="J515" s="691">
        <v>3693758.47</v>
      </c>
      <c r="K515" s="628"/>
      <c r="L515" s="628">
        <v>38250</v>
      </c>
      <c r="M515" s="628">
        <v>583475</v>
      </c>
      <c r="N515" s="628">
        <f t="shared" si="80"/>
        <v>3072033.47</v>
      </c>
      <c r="O515" s="659">
        <f t="shared" si="85"/>
        <v>106</v>
      </c>
      <c r="P515" s="660">
        <v>9</v>
      </c>
      <c r="Q515" s="661">
        <f t="shared" si="86"/>
        <v>8.7095890410958905</v>
      </c>
      <c r="R515" s="662">
        <f t="shared" si="87"/>
        <v>99128</v>
      </c>
      <c r="S515" s="662">
        <f t="shared" si="88"/>
        <v>2972905.47</v>
      </c>
      <c r="T515" s="663">
        <f t="shared" si="89"/>
        <v>0</v>
      </c>
      <c r="U515" s="663">
        <f t="shared" si="90"/>
        <v>3072033.47</v>
      </c>
      <c r="V515" s="664"/>
      <c r="W515" s="664"/>
      <c r="X515" s="664"/>
      <c r="Y515" s="664"/>
      <c r="Z515" s="664"/>
      <c r="AA515" s="664"/>
      <c r="AB515" s="664"/>
      <c r="AC515" s="664"/>
      <c r="AD515" s="664"/>
      <c r="AE515" s="664"/>
      <c r="AF515" s="664"/>
    </row>
    <row r="516" spans="2:32" ht="16.5" customHeight="1">
      <c r="B516" s="653">
        <f t="shared" si="81"/>
        <v>512</v>
      </c>
      <c r="C516" s="654" t="s">
        <v>584</v>
      </c>
      <c r="D516" s="684" t="s">
        <v>29</v>
      </c>
      <c r="E516" s="697" t="s">
        <v>746</v>
      </c>
      <c r="F516" s="656">
        <v>44910</v>
      </c>
      <c r="G516" s="656">
        <v>44910</v>
      </c>
      <c r="H516" s="654" t="s">
        <v>766</v>
      </c>
      <c r="I516" s="657">
        <v>44910</v>
      </c>
      <c r="J516" s="691">
        <v>3693758.47</v>
      </c>
      <c r="K516" s="628"/>
      <c r="L516" s="628">
        <v>38250</v>
      </c>
      <c r="M516" s="628">
        <v>583475</v>
      </c>
      <c r="N516" s="628">
        <f t="shared" si="80"/>
        <v>3072033.47</v>
      </c>
      <c r="O516" s="659">
        <f t="shared" si="85"/>
        <v>106</v>
      </c>
      <c r="P516" s="660">
        <v>9</v>
      </c>
      <c r="Q516" s="661">
        <f t="shared" si="86"/>
        <v>8.7095890410958905</v>
      </c>
      <c r="R516" s="662">
        <f t="shared" si="87"/>
        <v>99128</v>
      </c>
      <c r="S516" s="662">
        <f t="shared" si="88"/>
        <v>2972905.47</v>
      </c>
      <c r="T516" s="663">
        <f t="shared" si="89"/>
        <v>0</v>
      </c>
      <c r="U516" s="663">
        <f t="shared" si="90"/>
        <v>3072033.47</v>
      </c>
      <c r="V516" s="664"/>
      <c r="W516" s="664"/>
      <c r="X516" s="664"/>
      <c r="Y516" s="664"/>
      <c r="Z516" s="664"/>
      <c r="AA516" s="664"/>
      <c r="AB516" s="664"/>
      <c r="AC516" s="664"/>
      <c r="AD516" s="664"/>
      <c r="AE516" s="664"/>
      <c r="AF516" s="664"/>
    </row>
    <row r="517" spans="2:32" ht="16.5" customHeight="1">
      <c r="B517" s="653">
        <f t="shared" si="81"/>
        <v>513</v>
      </c>
      <c r="C517" s="654" t="s">
        <v>584</v>
      </c>
      <c r="D517" s="684" t="s">
        <v>29</v>
      </c>
      <c r="E517" s="697" t="s">
        <v>747</v>
      </c>
      <c r="F517" s="656">
        <v>44910</v>
      </c>
      <c r="G517" s="656">
        <v>44910</v>
      </c>
      <c r="H517" s="654" t="s">
        <v>766</v>
      </c>
      <c r="I517" s="657">
        <v>44910</v>
      </c>
      <c r="J517" s="691">
        <v>3693758.47</v>
      </c>
      <c r="K517" s="628"/>
      <c r="L517" s="628">
        <v>38250</v>
      </c>
      <c r="M517" s="628">
        <v>583475</v>
      </c>
      <c r="N517" s="628">
        <f t="shared" ref="N517:N580" si="91">J517+K517-L517-M517</f>
        <v>3072033.47</v>
      </c>
      <c r="O517" s="659">
        <f t="shared" si="85"/>
        <v>106</v>
      </c>
      <c r="P517" s="660">
        <v>9</v>
      </c>
      <c r="Q517" s="661">
        <f t="shared" si="86"/>
        <v>8.7095890410958905</v>
      </c>
      <c r="R517" s="662">
        <f t="shared" si="87"/>
        <v>99128</v>
      </c>
      <c r="S517" s="662">
        <f t="shared" si="88"/>
        <v>2972905.47</v>
      </c>
      <c r="T517" s="663">
        <f t="shared" si="89"/>
        <v>0</v>
      </c>
      <c r="U517" s="663">
        <f t="shared" si="90"/>
        <v>3072033.47</v>
      </c>
      <c r="V517" s="664"/>
      <c r="W517" s="664"/>
      <c r="X517" s="664"/>
      <c r="Y517" s="664"/>
      <c r="Z517" s="664"/>
      <c r="AA517" s="664"/>
      <c r="AB517" s="664"/>
      <c r="AC517" s="664"/>
      <c r="AD517" s="664"/>
      <c r="AE517" s="664"/>
      <c r="AF517" s="664"/>
    </row>
    <row r="518" spans="2:32" ht="16.5" customHeight="1">
      <c r="B518" s="653">
        <f t="shared" si="81"/>
        <v>514</v>
      </c>
      <c r="C518" s="654" t="s">
        <v>584</v>
      </c>
      <c r="D518" s="684" t="s">
        <v>29</v>
      </c>
      <c r="E518" s="697" t="s">
        <v>747</v>
      </c>
      <c r="F518" s="656">
        <v>44910</v>
      </c>
      <c r="G518" s="656">
        <v>44910</v>
      </c>
      <c r="H518" s="654" t="s">
        <v>766</v>
      </c>
      <c r="I518" s="657">
        <v>44910</v>
      </c>
      <c r="J518" s="691">
        <v>3693758.47</v>
      </c>
      <c r="K518" s="628"/>
      <c r="L518" s="628">
        <v>38250</v>
      </c>
      <c r="M518" s="628">
        <v>583475</v>
      </c>
      <c r="N518" s="628">
        <f t="shared" si="91"/>
        <v>3072033.47</v>
      </c>
      <c r="O518" s="659">
        <f t="shared" si="85"/>
        <v>106</v>
      </c>
      <c r="P518" s="660">
        <v>9</v>
      </c>
      <c r="Q518" s="661">
        <f t="shared" si="86"/>
        <v>8.7095890410958905</v>
      </c>
      <c r="R518" s="662">
        <f t="shared" si="87"/>
        <v>99128</v>
      </c>
      <c r="S518" s="662">
        <f t="shared" si="88"/>
        <v>2972905.47</v>
      </c>
      <c r="T518" s="663">
        <f t="shared" si="89"/>
        <v>0</v>
      </c>
      <c r="U518" s="663">
        <f t="shared" si="90"/>
        <v>3072033.47</v>
      </c>
      <c r="V518" s="664"/>
      <c r="W518" s="664"/>
      <c r="X518" s="664"/>
      <c r="Y518" s="664"/>
      <c r="Z518" s="664"/>
      <c r="AA518" s="664"/>
      <c r="AB518" s="664"/>
      <c r="AC518" s="664"/>
      <c r="AD518" s="664"/>
      <c r="AE518" s="664"/>
      <c r="AF518" s="664"/>
    </row>
    <row r="519" spans="2:32" ht="16.5" customHeight="1">
      <c r="B519" s="653">
        <f t="shared" si="81"/>
        <v>515</v>
      </c>
      <c r="C519" s="654" t="s">
        <v>303</v>
      </c>
      <c r="D519" s="684" t="s">
        <v>29</v>
      </c>
      <c r="E519" s="697" t="s">
        <v>748</v>
      </c>
      <c r="F519" s="656">
        <v>44866</v>
      </c>
      <c r="G519" s="656">
        <v>44874</v>
      </c>
      <c r="H519" s="699" t="s">
        <v>422</v>
      </c>
      <c r="I519" s="657">
        <v>44874</v>
      </c>
      <c r="J519" s="691">
        <v>165200</v>
      </c>
      <c r="K519" s="628">
        <v>0</v>
      </c>
      <c r="L519" s="628"/>
      <c r="M519" s="628">
        <v>25200</v>
      </c>
      <c r="N519" s="628">
        <f t="shared" si="91"/>
        <v>140000</v>
      </c>
      <c r="O519" s="659">
        <f t="shared" si="85"/>
        <v>142</v>
      </c>
      <c r="P519" s="660">
        <v>9</v>
      </c>
      <c r="Q519" s="661">
        <f t="shared" si="86"/>
        <v>8.6109589041095891</v>
      </c>
      <c r="R519" s="662">
        <f t="shared" si="87"/>
        <v>6052</v>
      </c>
      <c r="S519" s="662">
        <f t="shared" si="88"/>
        <v>133948</v>
      </c>
      <c r="T519" s="663">
        <f t="shared" si="89"/>
        <v>0</v>
      </c>
      <c r="U519" s="663">
        <f t="shared" si="90"/>
        <v>140000</v>
      </c>
      <c r="V519" s="664"/>
      <c r="W519" s="664"/>
      <c r="X519" s="664"/>
      <c r="Y519" s="664"/>
      <c r="Z519" s="664"/>
      <c r="AA519" s="664"/>
      <c r="AB519" s="664"/>
      <c r="AC519" s="664"/>
      <c r="AD519" s="664"/>
      <c r="AE519" s="664"/>
      <c r="AF519" s="664"/>
    </row>
    <row r="520" spans="2:32" ht="16.5" customHeight="1">
      <c r="B520" s="653">
        <f t="shared" si="81"/>
        <v>516</v>
      </c>
      <c r="C520" s="654" t="s">
        <v>303</v>
      </c>
      <c r="D520" s="684" t="s">
        <v>29</v>
      </c>
      <c r="E520" s="697" t="s">
        <v>749</v>
      </c>
      <c r="F520" s="656">
        <v>44866</v>
      </c>
      <c r="G520" s="656">
        <v>44874</v>
      </c>
      <c r="H520" s="699" t="s">
        <v>422</v>
      </c>
      <c r="I520" s="657">
        <v>44874</v>
      </c>
      <c r="J520" s="691">
        <v>165200</v>
      </c>
      <c r="K520" s="628">
        <v>0</v>
      </c>
      <c r="L520" s="628"/>
      <c r="M520" s="628">
        <v>25200</v>
      </c>
      <c r="N520" s="628">
        <f t="shared" si="91"/>
        <v>140000</v>
      </c>
      <c r="O520" s="659">
        <f t="shared" si="85"/>
        <v>142</v>
      </c>
      <c r="P520" s="660">
        <v>9</v>
      </c>
      <c r="Q520" s="661">
        <f t="shared" si="86"/>
        <v>8.6109589041095891</v>
      </c>
      <c r="R520" s="662">
        <f t="shared" si="87"/>
        <v>6052</v>
      </c>
      <c r="S520" s="662">
        <f t="shared" si="88"/>
        <v>133948</v>
      </c>
      <c r="T520" s="663">
        <f t="shared" si="89"/>
        <v>0</v>
      </c>
      <c r="U520" s="663">
        <f t="shared" si="90"/>
        <v>140000</v>
      </c>
      <c r="V520" s="664"/>
      <c r="W520" s="664"/>
      <c r="X520" s="664"/>
      <c r="Y520" s="664"/>
      <c r="Z520" s="664"/>
      <c r="AA520" s="664"/>
      <c r="AB520" s="664"/>
      <c r="AC520" s="664"/>
      <c r="AD520" s="664"/>
      <c r="AE520" s="664"/>
      <c r="AF520" s="664"/>
    </row>
    <row r="521" spans="2:32" ht="16.5" customHeight="1">
      <c r="B521" s="653">
        <f t="shared" ref="B521:B584" si="92">+B520+1</f>
        <v>517</v>
      </c>
      <c r="C521" s="654" t="s">
        <v>585</v>
      </c>
      <c r="D521" s="684" t="s">
        <v>29</v>
      </c>
      <c r="E521" s="697" t="s">
        <v>750</v>
      </c>
      <c r="F521" s="656">
        <v>44816</v>
      </c>
      <c r="G521" s="656">
        <v>44865</v>
      </c>
      <c r="H521" s="699" t="s">
        <v>777</v>
      </c>
      <c r="I521" s="657">
        <v>44865</v>
      </c>
      <c r="J521" s="691">
        <v>4945970</v>
      </c>
      <c r="K521" s="628"/>
      <c r="L521" s="628">
        <v>4942</v>
      </c>
      <c r="M521" s="628">
        <v>753716</v>
      </c>
      <c r="N521" s="628">
        <f t="shared" si="91"/>
        <v>4187312</v>
      </c>
      <c r="O521" s="659">
        <f t="shared" si="85"/>
        <v>151</v>
      </c>
      <c r="P521" s="660">
        <v>9</v>
      </c>
      <c r="Q521" s="661">
        <f t="shared" si="86"/>
        <v>8.5863013698630137</v>
      </c>
      <c r="R521" s="662">
        <f t="shared" si="87"/>
        <v>192476</v>
      </c>
      <c r="S521" s="662">
        <f t="shared" si="88"/>
        <v>3994836</v>
      </c>
      <c r="T521" s="663">
        <f t="shared" si="89"/>
        <v>0</v>
      </c>
      <c r="U521" s="663">
        <f t="shared" si="90"/>
        <v>4187312</v>
      </c>
      <c r="V521" s="664"/>
      <c r="W521" s="664"/>
      <c r="X521" s="664"/>
      <c r="Y521" s="664"/>
      <c r="Z521" s="664"/>
      <c r="AA521" s="664"/>
      <c r="AB521" s="664"/>
      <c r="AC521" s="664"/>
      <c r="AD521" s="664"/>
      <c r="AE521" s="664"/>
      <c r="AF521" s="664"/>
    </row>
    <row r="522" spans="2:32" ht="16.5" customHeight="1">
      <c r="B522" s="653">
        <f t="shared" si="92"/>
        <v>518</v>
      </c>
      <c r="C522" s="654" t="s">
        <v>585</v>
      </c>
      <c r="D522" s="684" t="s">
        <v>29</v>
      </c>
      <c r="E522" s="697" t="s">
        <v>751</v>
      </c>
      <c r="F522" s="656">
        <v>44816</v>
      </c>
      <c r="G522" s="656">
        <v>44865</v>
      </c>
      <c r="H522" s="699" t="s">
        <v>777</v>
      </c>
      <c r="I522" s="657">
        <v>44865</v>
      </c>
      <c r="J522" s="691">
        <v>4945970</v>
      </c>
      <c r="K522" s="628"/>
      <c r="L522" s="628">
        <v>4942</v>
      </c>
      <c r="M522" s="628">
        <v>753716</v>
      </c>
      <c r="N522" s="628">
        <f t="shared" si="91"/>
        <v>4187312</v>
      </c>
      <c r="O522" s="659">
        <f t="shared" si="85"/>
        <v>151</v>
      </c>
      <c r="P522" s="660">
        <v>9</v>
      </c>
      <c r="Q522" s="661">
        <f t="shared" si="86"/>
        <v>8.5863013698630137</v>
      </c>
      <c r="R522" s="662">
        <f t="shared" si="87"/>
        <v>192476</v>
      </c>
      <c r="S522" s="662">
        <f t="shared" si="88"/>
        <v>3994836</v>
      </c>
      <c r="T522" s="663">
        <f t="shared" si="89"/>
        <v>0</v>
      </c>
      <c r="U522" s="663">
        <f t="shared" si="90"/>
        <v>4187312</v>
      </c>
      <c r="V522" s="664"/>
      <c r="W522" s="664"/>
      <c r="X522" s="664"/>
      <c r="Y522" s="664"/>
      <c r="Z522" s="664"/>
      <c r="AA522" s="664"/>
      <c r="AB522" s="664"/>
      <c r="AC522" s="664"/>
      <c r="AD522" s="664"/>
      <c r="AE522" s="664"/>
      <c r="AF522" s="664"/>
    </row>
    <row r="523" spans="2:32" ht="16.5" customHeight="1">
      <c r="B523" s="653">
        <f t="shared" si="92"/>
        <v>519</v>
      </c>
      <c r="C523" s="670" t="s">
        <v>311</v>
      </c>
      <c r="D523" s="669" t="s">
        <v>29</v>
      </c>
      <c r="E523" s="677" t="s">
        <v>3375</v>
      </c>
      <c r="F523" s="678">
        <v>44932</v>
      </c>
      <c r="G523" s="678">
        <v>44932</v>
      </c>
      <c r="H523" s="670" t="s">
        <v>403</v>
      </c>
      <c r="I523" s="672">
        <v>44932</v>
      </c>
      <c r="J523" s="679">
        <v>203078</v>
      </c>
      <c r="K523" s="627"/>
      <c r="L523" s="627"/>
      <c r="M523" s="627">
        <v>30978</v>
      </c>
      <c r="N523" s="627">
        <f t="shared" si="91"/>
        <v>172100</v>
      </c>
      <c r="O523" s="659">
        <f t="shared" si="85"/>
        <v>84</v>
      </c>
      <c r="P523" s="673">
        <v>9</v>
      </c>
      <c r="Q523" s="674">
        <f t="shared" si="86"/>
        <v>8.7698630136986306</v>
      </c>
      <c r="R523" s="675">
        <f t="shared" si="87"/>
        <v>4401</v>
      </c>
      <c r="S523" s="675">
        <f t="shared" si="88"/>
        <v>167699</v>
      </c>
      <c r="T523" s="676">
        <f t="shared" si="89"/>
        <v>0</v>
      </c>
      <c r="U523" s="676">
        <f t="shared" si="90"/>
        <v>172100</v>
      </c>
      <c r="V523" s="664"/>
      <c r="W523" s="664"/>
      <c r="X523" s="664"/>
      <c r="Y523" s="664"/>
      <c r="Z523" s="664"/>
      <c r="AA523" s="664"/>
      <c r="AB523" s="664"/>
      <c r="AC523" s="664"/>
      <c r="AD523" s="664"/>
      <c r="AE523" s="664"/>
      <c r="AF523" s="664"/>
    </row>
    <row r="524" spans="2:32" ht="16.5" customHeight="1">
      <c r="B524" s="653">
        <f t="shared" si="92"/>
        <v>520</v>
      </c>
      <c r="C524" s="669" t="s">
        <v>311</v>
      </c>
      <c r="D524" s="669" t="s">
        <v>29</v>
      </c>
      <c r="E524" s="671" t="s">
        <v>3374</v>
      </c>
      <c r="F524" s="692">
        <v>44932</v>
      </c>
      <c r="G524" s="692">
        <v>44932</v>
      </c>
      <c r="H524" s="669" t="s">
        <v>403</v>
      </c>
      <c r="I524" s="692">
        <v>44932</v>
      </c>
      <c r="J524" s="627">
        <v>1106840</v>
      </c>
      <c r="K524" s="627"/>
      <c r="L524" s="627"/>
      <c r="M524" s="627">
        <v>168840</v>
      </c>
      <c r="N524" s="627">
        <f t="shared" si="91"/>
        <v>938000</v>
      </c>
      <c r="O524" s="659">
        <f t="shared" si="85"/>
        <v>84</v>
      </c>
      <c r="P524" s="673">
        <v>9</v>
      </c>
      <c r="Q524" s="674">
        <f t="shared" si="86"/>
        <v>8.7698630136986306</v>
      </c>
      <c r="R524" s="675">
        <f t="shared" si="87"/>
        <v>23985</v>
      </c>
      <c r="S524" s="675">
        <f t="shared" si="88"/>
        <v>914015</v>
      </c>
      <c r="T524" s="676">
        <f t="shared" si="89"/>
        <v>0</v>
      </c>
      <c r="U524" s="676">
        <f t="shared" si="90"/>
        <v>938000</v>
      </c>
      <c r="V524" s="664"/>
      <c r="W524" s="664"/>
      <c r="X524" s="664"/>
      <c r="Y524" s="664"/>
      <c r="Z524" s="664"/>
      <c r="AA524" s="664"/>
      <c r="AB524" s="664"/>
      <c r="AC524" s="664"/>
      <c r="AD524" s="664"/>
      <c r="AE524" s="664"/>
      <c r="AF524" s="664"/>
    </row>
    <row r="525" spans="2:32" ht="16.5" customHeight="1">
      <c r="B525" s="653">
        <f t="shared" si="92"/>
        <v>521</v>
      </c>
      <c r="C525" s="669" t="s">
        <v>311</v>
      </c>
      <c r="D525" s="669" t="s">
        <v>29</v>
      </c>
      <c r="E525" s="700" t="s">
        <v>3373</v>
      </c>
      <c r="F525" s="692">
        <v>44932</v>
      </c>
      <c r="G525" s="692">
        <v>44932</v>
      </c>
      <c r="H525" s="669" t="s">
        <v>403</v>
      </c>
      <c r="I525" s="692">
        <v>44932</v>
      </c>
      <c r="J525" s="627">
        <v>465864</v>
      </c>
      <c r="K525" s="627"/>
      <c r="L525" s="627"/>
      <c r="M525" s="627">
        <v>71064</v>
      </c>
      <c r="N525" s="627">
        <f t="shared" si="91"/>
        <v>394800</v>
      </c>
      <c r="O525" s="659">
        <f t="shared" si="85"/>
        <v>84</v>
      </c>
      <c r="P525" s="673">
        <v>9</v>
      </c>
      <c r="Q525" s="674">
        <f t="shared" si="86"/>
        <v>8.7698630136986306</v>
      </c>
      <c r="R525" s="675">
        <f t="shared" si="87"/>
        <v>10095</v>
      </c>
      <c r="S525" s="675">
        <f t="shared" si="88"/>
        <v>384705</v>
      </c>
      <c r="T525" s="676">
        <f t="shared" si="89"/>
        <v>0</v>
      </c>
      <c r="U525" s="676">
        <f t="shared" si="90"/>
        <v>394800</v>
      </c>
      <c r="V525" s="664"/>
      <c r="W525" s="664"/>
      <c r="X525" s="664"/>
      <c r="Y525" s="664"/>
      <c r="Z525" s="664"/>
      <c r="AA525" s="664"/>
      <c r="AB525" s="664"/>
      <c r="AC525" s="664"/>
      <c r="AD525" s="664"/>
      <c r="AE525" s="664"/>
      <c r="AF525" s="664"/>
    </row>
    <row r="526" spans="2:32" ht="16.5" customHeight="1">
      <c r="B526" s="653">
        <f t="shared" si="92"/>
        <v>522</v>
      </c>
      <c r="C526" s="669" t="s">
        <v>578</v>
      </c>
      <c r="D526" s="669" t="s">
        <v>29</v>
      </c>
      <c r="E526" s="671" t="s">
        <v>3372</v>
      </c>
      <c r="F526" s="692">
        <v>44936</v>
      </c>
      <c r="G526" s="692">
        <v>44950</v>
      </c>
      <c r="H526" s="669" t="s">
        <v>407</v>
      </c>
      <c r="I526" s="692">
        <v>44950</v>
      </c>
      <c r="J526" s="627">
        <v>5020015</v>
      </c>
      <c r="K526" s="627"/>
      <c r="L526" s="627">
        <v>5015</v>
      </c>
      <c r="M526" s="627">
        <v>765000</v>
      </c>
      <c r="N526" s="627">
        <f t="shared" si="91"/>
        <v>4250000</v>
      </c>
      <c r="O526" s="659">
        <f t="shared" si="85"/>
        <v>66</v>
      </c>
      <c r="P526" s="673">
        <v>9</v>
      </c>
      <c r="Q526" s="674">
        <f t="shared" si="86"/>
        <v>8.8191780821917813</v>
      </c>
      <c r="R526" s="675">
        <f t="shared" si="87"/>
        <v>85388</v>
      </c>
      <c r="S526" s="675">
        <f t="shared" si="88"/>
        <v>4164612</v>
      </c>
      <c r="T526" s="676">
        <f t="shared" si="89"/>
        <v>0</v>
      </c>
      <c r="U526" s="676">
        <f t="shared" si="90"/>
        <v>4250000</v>
      </c>
      <c r="V526" s="664"/>
      <c r="W526" s="664"/>
      <c r="X526" s="664"/>
      <c r="Y526" s="664"/>
      <c r="Z526" s="664"/>
      <c r="AA526" s="664"/>
      <c r="AB526" s="664"/>
      <c r="AC526" s="664"/>
      <c r="AD526" s="664"/>
      <c r="AE526" s="664"/>
      <c r="AF526" s="664"/>
    </row>
    <row r="527" spans="2:32" ht="14.65">
      <c r="B527" s="653">
        <f t="shared" si="92"/>
        <v>523</v>
      </c>
      <c r="C527" s="669" t="s">
        <v>564</v>
      </c>
      <c r="D527" s="669" t="s">
        <v>29</v>
      </c>
      <c r="E527" s="671">
        <v>965</v>
      </c>
      <c r="F527" s="672">
        <v>44944</v>
      </c>
      <c r="G527" s="672">
        <v>44944</v>
      </c>
      <c r="H527" s="669" t="s">
        <v>3371</v>
      </c>
      <c r="I527" s="692">
        <v>44944</v>
      </c>
      <c r="J527" s="627">
        <v>30500</v>
      </c>
      <c r="K527" s="627"/>
      <c r="L527" s="627"/>
      <c r="M527" s="627">
        <v>4652.666666666667</v>
      </c>
      <c r="N527" s="627">
        <f t="shared" si="91"/>
        <v>25847.333333333332</v>
      </c>
      <c r="O527" s="659">
        <f t="shared" si="85"/>
        <v>72</v>
      </c>
      <c r="P527" s="673">
        <v>9</v>
      </c>
      <c r="Q527" s="674">
        <f t="shared" si="86"/>
        <v>8.8027397260273972</v>
      </c>
      <c r="R527" s="675">
        <f t="shared" si="87"/>
        <v>567</v>
      </c>
      <c r="S527" s="675">
        <f t="shared" si="88"/>
        <v>25280.333333333332</v>
      </c>
      <c r="T527" s="676">
        <f t="shared" si="89"/>
        <v>0</v>
      </c>
      <c r="U527" s="676">
        <f t="shared" si="90"/>
        <v>25847.333333333332</v>
      </c>
      <c r="V527" s="664"/>
      <c r="W527" s="664"/>
      <c r="X527" s="664"/>
      <c r="Y527" s="664"/>
      <c r="Z527" s="664"/>
      <c r="AA527" s="664"/>
      <c r="AB527" s="664"/>
      <c r="AC527" s="664"/>
      <c r="AD527" s="664"/>
      <c r="AE527" s="664"/>
      <c r="AF527" s="664"/>
    </row>
    <row r="528" spans="2:32" ht="14.65">
      <c r="B528" s="653">
        <f t="shared" si="92"/>
        <v>524</v>
      </c>
      <c r="C528" s="669" t="s">
        <v>564</v>
      </c>
      <c r="D528" s="669" t="s">
        <v>29</v>
      </c>
      <c r="E528" s="671">
        <v>965</v>
      </c>
      <c r="F528" s="672">
        <v>44944</v>
      </c>
      <c r="G528" s="672">
        <v>44944</v>
      </c>
      <c r="H528" s="669" t="s">
        <v>3371</v>
      </c>
      <c r="I528" s="672">
        <v>44944</v>
      </c>
      <c r="J528" s="627">
        <v>30500</v>
      </c>
      <c r="K528" s="627"/>
      <c r="L528" s="627"/>
      <c r="M528" s="627">
        <v>4652.666666666667</v>
      </c>
      <c r="N528" s="627">
        <f t="shared" si="91"/>
        <v>25847.333333333332</v>
      </c>
      <c r="O528" s="659">
        <f t="shared" si="85"/>
        <v>72</v>
      </c>
      <c r="P528" s="673">
        <v>9</v>
      </c>
      <c r="Q528" s="674">
        <f t="shared" si="86"/>
        <v>8.8027397260273972</v>
      </c>
      <c r="R528" s="675">
        <f t="shared" si="87"/>
        <v>567</v>
      </c>
      <c r="S528" s="675">
        <f t="shared" si="88"/>
        <v>25280.333333333332</v>
      </c>
      <c r="T528" s="676">
        <f t="shared" si="89"/>
        <v>0</v>
      </c>
      <c r="U528" s="676">
        <f t="shared" si="90"/>
        <v>25847.333333333332</v>
      </c>
      <c r="V528" s="664"/>
      <c r="W528" s="664"/>
      <c r="X528" s="664"/>
      <c r="Y528" s="664"/>
      <c r="Z528" s="664"/>
      <c r="AA528" s="664"/>
      <c r="AB528" s="664"/>
      <c r="AC528" s="664"/>
      <c r="AD528" s="664"/>
      <c r="AE528" s="664"/>
      <c r="AF528" s="664"/>
    </row>
    <row r="529" spans="2:32" ht="14.65">
      <c r="B529" s="653">
        <f t="shared" si="92"/>
        <v>525</v>
      </c>
      <c r="C529" s="669" t="s">
        <v>564</v>
      </c>
      <c r="D529" s="669" t="s">
        <v>29</v>
      </c>
      <c r="E529" s="671">
        <v>965</v>
      </c>
      <c r="F529" s="672">
        <v>44944</v>
      </c>
      <c r="G529" s="672">
        <v>44944</v>
      </c>
      <c r="H529" s="669" t="s">
        <v>3371</v>
      </c>
      <c r="I529" s="672">
        <v>44944</v>
      </c>
      <c r="J529" s="627">
        <v>30500</v>
      </c>
      <c r="K529" s="627"/>
      <c r="L529" s="627"/>
      <c r="M529" s="627">
        <v>4652.666666666667</v>
      </c>
      <c r="N529" s="627">
        <f t="shared" si="91"/>
        <v>25847.333333333332</v>
      </c>
      <c r="O529" s="659">
        <f t="shared" si="85"/>
        <v>72</v>
      </c>
      <c r="P529" s="673">
        <v>9</v>
      </c>
      <c r="Q529" s="674">
        <f t="shared" si="86"/>
        <v>8.8027397260273972</v>
      </c>
      <c r="R529" s="675">
        <f t="shared" si="87"/>
        <v>567</v>
      </c>
      <c r="S529" s="675">
        <f t="shared" si="88"/>
        <v>25280.333333333332</v>
      </c>
      <c r="T529" s="676">
        <f t="shared" si="89"/>
        <v>0</v>
      </c>
      <c r="U529" s="676">
        <f t="shared" si="90"/>
        <v>25847.333333333332</v>
      </c>
      <c r="V529" s="664"/>
      <c r="W529" s="664"/>
      <c r="X529" s="664"/>
      <c r="Y529" s="664"/>
      <c r="Z529" s="664"/>
      <c r="AA529" s="664"/>
      <c r="AB529" s="664"/>
      <c r="AC529" s="664"/>
      <c r="AD529" s="664"/>
      <c r="AE529" s="664"/>
      <c r="AF529" s="664"/>
    </row>
    <row r="530" spans="2:32" ht="14.65">
      <c r="B530" s="653">
        <f t="shared" si="92"/>
        <v>526</v>
      </c>
      <c r="C530" s="669" t="s">
        <v>564</v>
      </c>
      <c r="D530" s="669" t="s">
        <v>29</v>
      </c>
      <c r="E530" s="671">
        <v>965</v>
      </c>
      <c r="F530" s="672">
        <v>44944</v>
      </c>
      <c r="G530" s="672">
        <v>44944</v>
      </c>
      <c r="H530" s="669" t="s">
        <v>3371</v>
      </c>
      <c r="I530" s="672">
        <v>44944</v>
      </c>
      <c r="J530" s="627">
        <v>30500</v>
      </c>
      <c r="K530" s="627"/>
      <c r="L530" s="627"/>
      <c r="M530" s="627">
        <v>4652.666666666667</v>
      </c>
      <c r="N530" s="627">
        <f t="shared" si="91"/>
        <v>25847.333333333332</v>
      </c>
      <c r="O530" s="659">
        <f t="shared" si="85"/>
        <v>72</v>
      </c>
      <c r="P530" s="673">
        <v>9</v>
      </c>
      <c r="Q530" s="674">
        <f t="shared" si="86"/>
        <v>8.8027397260273972</v>
      </c>
      <c r="R530" s="675">
        <f t="shared" si="87"/>
        <v>567</v>
      </c>
      <c r="S530" s="675">
        <f t="shared" si="88"/>
        <v>25280.333333333332</v>
      </c>
      <c r="T530" s="676">
        <f t="shared" si="89"/>
        <v>0</v>
      </c>
      <c r="U530" s="676">
        <f t="shared" si="90"/>
        <v>25847.333333333332</v>
      </c>
      <c r="V530" s="664"/>
      <c r="W530" s="664"/>
      <c r="X530" s="664"/>
      <c r="Y530" s="664"/>
      <c r="Z530" s="664"/>
      <c r="AA530" s="664"/>
      <c r="AB530" s="664"/>
      <c r="AC530" s="664"/>
      <c r="AD530" s="664"/>
      <c r="AE530" s="664"/>
      <c r="AF530" s="664"/>
    </row>
    <row r="531" spans="2:32" ht="14.65">
      <c r="B531" s="653">
        <f t="shared" si="92"/>
        <v>527</v>
      </c>
      <c r="C531" s="669" t="s">
        <v>564</v>
      </c>
      <c r="D531" s="669" t="s">
        <v>29</v>
      </c>
      <c r="E531" s="671">
        <v>965</v>
      </c>
      <c r="F531" s="672">
        <v>44944</v>
      </c>
      <c r="G531" s="672">
        <v>44944</v>
      </c>
      <c r="H531" s="669" t="s">
        <v>3371</v>
      </c>
      <c r="I531" s="693">
        <v>44944</v>
      </c>
      <c r="J531" s="627">
        <v>30500</v>
      </c>
      <c r="K531" s="627"/>
      <c r="L531" s="627"/>
      <c r="M531" s="627">
        <v>4652.666666666667</v>
      </c>
      <c r="N531" s="627">
        <f t="shared" si="91"/>
        <v>25847.333333333332</v>
      </c>
      <c r="O531" s="659">
        <f t="shared" si="85"/>
        <v>72</v>
      </c>
      <c r="P531" s="673">
        <v>9</v>
      </c>
      <c r="Q531" s="674">
        <f t="shared" si="86"/>
        <v>8.8027397260273972</v>
      </c>
      <c r="R531" s="675">
        <f t="shared" si="87"/>
        <v>567</v>
      </c>
      <c r="S531" s="675">
        <f t="shared" si="88"/>
        <v>25280.333333333332</v>
      </c>
      <c r="T531" s="676">
        <f t="shared" si="89"/>
        <v>0</v>
      </c>
      <c r="U531" s="676">
        <f t="shared" si="90"/>
        <v>25847.333333333332</v>
      </c>
      <c r="V531" s="664"/>
      <c r="W531" s="664"/>
      <c r="X531" s="664"/>
      <c r="Y531" s="664"/>
      <c r="Z531" s="664"/>
      <c r="AA531" s="664"/>
      <c r="AB531" s="664"/>
      <c r="AC531" s="664"/>
      <c r="AD531" s="664"/>
      <c r="AE531" s="664"/>
      <c r="AF531" s="664"/>
    </row>
    <row r="532" spans="2:32" ht="14.65">
      <c r="B532" s="653">
        <f t="shared" si="92"/>
        <v>528</v>
      </c>
      <c r="C532" s="669" t="s">
        <v>564</v>
      </c>
      <c r="D532" s="669" t="s">
        <v>29</v>
      </c>
      <c r="E532" s="671">
        <v>965</v>
      </c>
      <c r="F532" s="672">
        <v>44944</v>
      </c>
      <c r="G532" s="672">
        <v>44944</v>
      </c>
      <c r="H532" s="669" t="s">
        <v>3371</v>
      </c>
      <c r="I532" s="693">
        <v>44944</v>
      </c>
      <c r="J532" s="627">
        <v>30500</v>
      </c>
      <c r="K532" s="627"/>
      <c r="L532" s="627"/>
      <c r="M532" s="627">
        <v>4652.666666666667</v>
      </c>
      <c r="N532" s="627">
        <f t="shared" si="91"/>
        <v>25847.333333333332</v>
      </c>
      <c r="O532" s="659">
        <f t="shared" si="85"/>
        <v>72</v>
      </c>
      <c r="P532" s="673">
        <v>9</v>
      </c>
      <c r="Q532" s="674">
        <f t="shared" si="86"/>
        <v>8.8027397260273972</v>
      </c>
      <c r="R532" s="675">
        <f t="shared" si="87"/>
        <v>567</v>
      </c>
      <c r="S532" s="675">
        <f t="shared" si="88"/>
        <v>25280.333333333332</v>
      </c>
      <c r="T532" s="676">
        <f t="shared" si="89"/>
        <v>0</v>
      </c>
      <c r="U532" s="676">
        <f t="shared" si="90"/>
        <v>25847.333333333332</v>
      </c>
      <c r="V532" s="664"/>
      <c r="W532" s="664"/>
      <c r="X532" s="664"/>
      <c r="Y532" s="664"/>
      <c r="Z532" s="664"/>
      <c r="AA532" s="664"/>
      <c r="AB532" s="664"/>
      <c r="AC532" s="664"/>
      <c r="AD532" s="664"/>
      <c r="AE532" s="664"/>
      <c r="AF532" s="664"/>
    </row>
    <row r="533" spans="2:32" ht="14.65">
      <c r="B533" s="653">
        <f t="shared" si="92"/>
        <v>529</v>
      </c>
      <c r="C533" s="669" t="s">
        <v>315</v>
      </c>
      <c r="D533" s="669" t="s">
        <v>29</v>
      </c>
      <c r="E533" s="671" t="s">
        <v>3370</v>
      </c>
      <c r="F533" s="672">
        <v>44891</v>
      </c>
      <c r="G533" s="672">
        <v>44945</v>
      </c>
      <c r="H533" s="669" t="s">
        <v>410</v>
      </c>
      <c r="I533" s="692">
        <v>44945</v>
      </c>
      <c r="J533" s="627">
        <v>30444000</v>
      </c>
      <c r="K533" s="627"/>
      <c r="L533" s="627"/>
      <c r="M533" s="627">
        <v>4644000</v>
      </c>
      <c r="N533" s="627">
        <f t="shared" si="91"/>
        <v>25800000</v>
      </c>
      <c r="O533" s="659">
        <f t="shared" si="85"/>
        <v>71</v>
      </c>
      <c r="P533" s="673">
        <v>9</v>
      </c>
      <c r="Q533" s="674">
        <f t="shared" si="86"/>
        <v>8.8054794520547937</v>
      </c>
      <c r="R533" s="675">
        <f t="shared" si="87"/>
        <v>557626</v>
      </c>
      <c r="S533" s="675">
        <f t="shared" si="88"/>
        <v>25242374</v>
      </c>
      <c r="T533" s="676">
        <f t="shared" si="89"/>
        <v>0</v>
      </c>
      <c r="U533" s="676">
        <f t="shared" si="90"/>
        <v>25800000</v>
      </c>
      <c r="V533" s="664"/>
      <c r="W533" s="664"/>
      <c r="X533" s="664"/>
      <c r="Y533" s="664"/>
      <c r="Z533" s="664"/>
      <c r="AA533" s="664"/>
      <c r="AB533" s="664"/>
      <c r="AC533" s="664"/>
      <c r="AD533" s="664"/>
      <c r="AE533" s="664"/>
      <c r="AF533" s="664"/>
    </row>
    <row r="534" spans="2:32" ht="14.65">
      <c r="B534" s="653">
        <f t="shared" si="92"/>
        <v>530</v>
      </c>
      <c r="C534" s="669" t="s">
        <v>3340</v>
      </c>
      <c r="D534" s="669" t="s">
        <v>29</v>
      </c>
      <c r="E534" s="671" t="s">
        <v>3369</v>
      </c>
      <c r="F534" s="672">
        <v>44936</v>
      </c>
      <c r="G534" s="672">
        <v>44936</v>
      </c>
      <c r="H534" s="669" t="s">
        <v>763</v>
      </c>
      <c r="I534" s="692">
        <v>44936</v>
      </c>
      <c r="J534" s="627">
        <v>247800</v>
      </c>
      <c r="K534" s="627"/>
      <c r="L534" s="627"/>
      <c r="M534" s="627">
        <v>37800</v>
      </c>
      <c r="N534" s="627">
        <f t="shared" si="91"/>
        <v>210000</v>
      </c>
      <c r="O534" s="659">
        <f t="shared" si="85"/>
        <v>80</v>
      </c>
      <c r="P534" s="673">
        <v>3</v>
      </c>
      <c r="Q534" s="674">
        <f t="shared" si="86"/>
        <v>2.7808219178082192</v>
      </c>
      <c r="R534" s="675">
        <f t="shared" si="87"/>
        <v>15342</v>
      </c>
      <c r="S534" s="675">
        <f t="shared" si="88"/>
        <v>194658</v>
      </c>
      <c r="T534" s="676">
        <f t="shared" si="89"/>
        <v>0</v>
      </c>
      <c r="U534" s="676">
        <f t="shared" si="90"/>
        <v>210000</v>
      </c>
      <c r="V534" s="664"/>
      <c r="W534" s="664"/>
      <c r="X534" s="664"/>
      <c r="Y534" s="664"/>
      <c r="Z534" s="664"/>
      <c r="AA534" s="664"/>
      <c r="AB534" s="664"/>
      <c r="AC534" s="664"/>
      <c r="AD534" s="664"/>
      <c r="AE534" s="664"/>
      <c r="AF534" s="664"/>
    </row>
    <row r="535" spans="2:32" ht="14.65">
      <c r="B535" s="653">
        <f t="shared" si="92"/>
        <v>531</v>
      </c>
      <c r="C535" s="669" t="s">
        <v>3340</v>
      </c>
      <c r="D535" s="669" t="s">
        <v>29</v>
      </c>
      <c r="E535" s="671" t="s">
        <v>3368</v>
      </c>
      <c r="F535" s="672">
        <v>44936</v>
      </c>
      <c r="G535" s="672">
        <v>44936</v>
      </c>
      <c r="H535" s="669" t="s">
        <v>763</v>
      </c>
      <c r="I535" s="692">
        <v>44936</v>
      </c>
      <c r="J535" s="627">
        <v>1727166</v>
      </c>
      <c r="K535" s="627"/>
      <c r="L535" s="627"/>
      <c r="M535" s="627">
        <v>263466</v>
      </c>
      <c r="N535" s="627">
        <f t="shared" si="91"/>
        <v>1463700</v>
      </c>
      <c r="O535" s="659">
        <f t="shared" si="85"/>
        <v>80</v>
      </c>
      <c r="P535" s="673">
        <v>3</v>
      </c>
      <c r="Q535" s="674">
        <f t="shared" ref="Q535:Q565" si="93">+P535-(O535/365)</f>
        <v>2.7808219178082192</v>
      </c>
      <c r="R535" s="675">
        <f t="shared" ref="R535:R565" si="94">ROUND(+N535/(P535*365)*O535,0)</f>
        <v>106937</v>
      </c>
      <c r="S535" s="675">
        <f t="shared" ref="S535:S565" si="95">+N535-R535</f>
        <v>1356763</v>
      </c>
      <c r="T535" s="676">
        <f t="shared" si="89"/>
        <v>0</v>
      </c>
      <c r="U535" s="676">
        <f t="shared" si="90"/>
        <v>1463700</v>
      </c>
      <c r="V535" s="664"/>
      <c r="W535" s="664"/>
      <c r="X535" s="664"/>
      <c r="Y535" s="664"/>
      <c r="Z535" s="664"/>
      <c r="AA535" s="664"/>
      <c r="AB535" s="664"/>
      <c r="AC535" s="664"/>
      <c r="AD535" s="664"/>
      <c r="AE535" s="664"/>
      <c r="AF535" s="664"/>
    </row>
    <row r="536" spans="2:32" ht="14.65">
      <c r="B536" s="653">
        <f t="shared" si="92"/>
        <v>532</v>
      </c>
      <c r="C536" s="669" t="s">
        <v>3340</v>
      </c>
      <c r="D536" s="669" t="s">
        <v>29</v>
      </c>
      <c r="E536" s="671" t="s">
        <v>3367</v>
      </c>
      <c r="F536" s="672">
        <v>44937</v>
      </c>
      <c r="G536" s="672">
        <v>44937</v>
      </c>
      <c r="H536" s="669" t="s">
        <v>763</v>
      </c>
      <c r="I536" s="692">
        <v>44937</v>
      </c>
      <c r="J536" s="627">
        <v>1663977</v>
      </c>
      <c r="K536" s="627"/>
      <c r="L536" s="627"/>
      <c r="M536" s="627">
        <v>253827</v>
      </c>
      <c r="N536" s="627">
        <f t="shared" si="91"/>
        <v>1410150</v>
      </c>
      <c r="O536" s="659">
        <f t="shared" si="85"/>
        <v>79</v>
      </c>
      <c r="P536" s="673">
        <v>3</v>
      </c>
      <c r="Q536" s="674">
        <f t="shared" si="93"/>
        <v>2.7835616438356166</v>
      </c>
      <c r="R536" s="675">
        <f t="shared" si="94"/>
        <v>101737</v>
      </c>
      <c r="S536" s="675">
        <f t="shared" si="95"/>
        <v>1308413</v>
      </c>
      <c r="T536" s="676">
        <f t="shared" si="89"/>
        <v>0</v>
      </c>
      <c r="U536" s="676">
        <f t="shared" si="90"/>
        <v>1410150</v>
      </c>
      <c r="V536" s="664"/>
      <c r="W536" s="664"/>
      <c r="X536" s="664"/>
      <c r="Y536" s="664"/>
      <c r="Z536" s="664"/>
      <c r="AA536" s="664"/>
      <c r="AB536" s="664"/>
      <c r="AC536" s="664"/>
      <c r="AD536" s="664"/>
      <c r="AE536" s="664"/>
      <c r="AF536" s="664"/>
    </row>
    <row r="537" spans="2:32" ht="14.65">
      <c r="B537" s="653">
        <f t="shared" si="92"/>
        <v>533</v>
      </c>
      <c r="C537" s="669" t="s">
        <v>3340</v>
      </c>
      <c r="D537" s="669" t="s">
        <v>29</v>
      </c>
      <c r="E537" s="671" t="s">
        <v>3366</v>
      </c>
      <c r="F537" s="672">
        <v>44938</v>
      </c>
      <c r="G537" s="672">
        <v>44938</v>
      </c>
      <c r="H537" s="669" t="s">
        <v>763</v>
      </c>
      <c r="I537" s="672">
        <v>44938</v>
      </c>
      <c r="J537" s="627">
        <v>1655882</v>
      </c>
      <c r="K537" s="627"/>
      <c r="L537" s="627"/>
      <c r="M537" s="627">
        <v>252593</v>
      </c>
      <c r="N537" s="627">
        <f t="shared" si="91"/>
        <v>1403289</v>
      </c>
      <c r="O537" s="659">
        <f t="shared" si="85"/>
        <v>78</v>
      </c>
      <c r="P537" s="673">
        <v>3</v>
      </c>
      <c r="Q537" s="674">
        <f t="shared" si="93"/>
        <v>2.7863013698630139</v>
      </c>
      <c r="R537" s="675">
        <f t="shared" si="94"/>
        <v>99960</v>
      </c>
      <c r="S537" s="675">
        <f t="shared" si="95"/>
        <v>1303329</v>
      </c>
      <c r="T537" s="676">
        <f t="shared" si="89"/>
        <v>0</v>
      </c>
      <c r="U537" s="676">
        <f t="shared" si="90"/>
        <v>1403289</v>
      </c>
      <c r="V537" s="664"/>
      <c r="W537" s="664"/>
      <c r="X537" s="664"/>
      <c r="Y537" s="664"/>
      <c r="Z537" s="664"/>
      <c r="AA537" s="664"/>
      <c r="AB537" s="664"/>
      <c r="AC537" s="664"/>
      <c r="AD537" s="664"/>
      <c r="AE537" s="664"/>
      <c r="AF537" s="664"/>
    </row>
    <row r="538" spans="2:32" ht="14.65">
      <c r="B538" s="653">
        <f t="shared" si="92"/>
        <v>534</v>
      </c>
      <c r="C538" s="669" t="s">
        <v>570</v>
      </c>
      <c r="D538" s="669" t="s">
        <v>29</v>
      </c>
      <c r="E538" s="671">
        <v>1973</v>
      </c>
      <c r="F538" s="672">
        <v>44926</v>
      </c>
      <c r="G538" s="672">
        <v>44926</v>
      </c>
      <c r="H538" s="669" t="s">
        <v>765</v>
      </c>
      <c r="I538" s="672">
        <v>44926</v>
      </c>
      <c r="J538" s="627">
        <v>525159</v>
      </c>
      <c r="K538" s="627"/>
      <c r="L538" s="627"/>
      <c r="M538" s="627">
        <v>80109</v>
      </c>
      <c r="N538" s="627">
        <f t="shared" si="91"/>
        <v>445050</v>
      </c>
      <c r="O538" s="659">
        <f t="shared" si="85"/>
        <v>90</v>
      </c>
      <c r="P538" s="673">
        <v>3</v>
      </c>
      <c r="Q538" s="674">
        <f t="shared" si="93"/>
        <v>2.7534246575342465</v>
      </c>
      <c r="R538" s="675">
        <f t="shared" si="94"/>
        <v>36579</v>
      </c>
      <c r="S538" s="675">
        <f t="shared" si="95"/>
        <v>408471</v>
      </c>
      <c r="T538" s="676">
        <f t="shared" si="89"/>
        <v>0</v>
      </c>
      <c r="U538" s="676">
        <f t="shared" si="90"/>
        <v>445050</v>
      </c>
      <c r="V538" s="664"/>
      <c r="W538" s="664"/>
      <c r="X538" s="664"/>
      <c r="Y538" s="664"/>
      <c r="Z538" s="664"/>
      <c r="AA538" s="664"/>
      <c r="AB538" s="664"/>
      <c r="AC538" s="664"/>
      <c r="AD538" s="664"/>
      <c r="AE538" s="664"/>
      <c r="AF538" s="664"/>
    </row>
    <row r="539" spans="2:32" ht="14.65">
      <c r="B539" s="653">
        <f t="shared" si="92"/>
        <v>535</v>
      </c>
      <c r="C539" s="669" t="s">
        <v>570</v>
      </c>
      <c r="D539" s="669" t="s">
        <v>29</v>
      </c>
      <c r="E539" s="671">
        <v>1332</v>
      </c>
      <c r="F539" s="672">
        <v>44848</v>
      </c>
      <c r="G539" s="672">
        <v>44848</v>
      </c>
      <c r="H539" s="669" t="s">
        <v>765</v>
      </c>
      <c r="I539" s="672">
        <v>44848</v>
      </c>
      <c r="J539" s="627">
        <v>112088</v>
      </c>
      <c r="K539" s="627"/>
      <c r="L539" s="627"/>
      <c r="M539" s="627">
        <v>17099</v>
      </c>
      <c r="N539" s="627">
        <f t="shared" si="91"/>
        <v>94989</v>
      </c>
      <c r="O539" s="659">
        <f t="shared" si="85"/>
        <v>168</v>
      </c>
      <c r="P539" s="673">
        <v>3</v>
      </c>
      <c r="Q539" s="674">
        <f t="shared" si="93"/>
        <v>2.5397260273972604</v>
      </c>
      <c r="R539" s="675">
        <f t="shared" si="94"/>
        <v>14574</v>
      </c>
      <c r="S539" s="675">
        <f t="shared" si="95"/>
        <v>80415</v>
      </c>
      <c r="T539" s="676">
        <f t="shared" si="89"/>
        <v>0</v>
      </c>
      <c r="U539" s="676">
        <f t="shared" si="90"/>
        <v>94989</v>
      </c>
      <c r="V539" s="664"/>
      <c r="W539" s="664"/>
      <c r="X539" s="664"/>
      <c r="Y539" s="664"/>
      <c r="Z539" s="664"/>
      <c r="AA539" s="664"/>
      <c r="AB539" s="664"/>
      <c r="AC539" s="664"/>
      <c r="AD539" s="664"/>
      <c r="AE539" s="664"/>
      <c r="AF539" s="664"/>
    </row>
    <row r="540" spans="2:32" ht="14.65">
      <c r="B540" s="653">
        <f t="shared" si="92"/>
        <v>536</v>
      </c>
      <c r="C540" s="669" t="s">
        <v>570</v>
      </c>
      <c r="D540" s="669" t="s">
        <v>29</v>
      </c>
      <c r="E540" s="671">
        <v>2015</v>
      </c>
      <c r="F540" s="672">
        <v>44932</v>
      </c>
      <c r="G540" s="672">
        <v>44932</v>
      </c>
      <c r="H540" s="669" t="s">
        <v>765</v>
      </c>
      <c r="I540" s="672">
        <v>44932</v>
      </c>
      <c r="J540" s="627">
        <v>78706</v>
      </c>
      <c r="K540" s="627"/>
      <c r="L540" s="627"/>
      <c r="M540" s="627">
        <v>12006</v>
      </c>
      <c r="N540" s="627">
        <f t="shared" si="91"/>
        <v>66700</v>
      </c>
      <c r="O540" s="659">
        <f t="shared" si="85"/>
        <v>84</v>
      </c>
      <c r="P540" s="673">
        <v>3</v>
      </c>
      <c r="Q540" s="674">
        <f t="shared" si="93"/>
        <v>2.7698630136986302</v>
      </c>
      <c r="R540" s="675">
        <f t="shared" si="94"/>
        <v>5117</v>
      </c>
      <c r="S540" s="675">
        <f t="shared" si="95"/>
        <v>61583</v>
      </c>
      <c r="T540" s="676">
        <f t="shared" si="89"/>
        <v>0</v>
      </c>
      <c r="U540" s="676">
        <f t="shared" si="90"/>
        <v>66700</v>
      </c>
      <c r="V540" s="664"/>
      <c r="W540" s="664"/>
      <c r="X540" s="664"/>
      <c r="Y540" s="664"/>
      <c r="Z540" s="664"/>
      <c r="AA540" s="664"/>
      <c r="AB540" s="664"/>
      <c r="AC540" s="664"/>
      <c r="AD540" s="664"/>
      <c r="AE540" s="664"/>
      <c r="AF540" s="664"/>
    </row>
    <row r="541" spans="2:32" ht="14.65">
      <c r="B541" s="653">
        <f t="shared" si="92"/>
        <v>537</v>
      </c>
      <c r="C541" s="669" t="s">
        <v>570</v>
      </c>
      <c r="D541" s="669" t="s">
        <v>29</v>
      </c>
      <c r="E541" s="671">
        <v>2076</v>
      </c>
      <c r="F541" s="672">
        <v>44939</v>
      </c>
      <c r="G541" s="672">
        <v>44939</v>
      </c>
      <c r="H541" s="669" t="s">
        <v>765</v>
      </c>
      <c r="I541" s="692">
        <v>44939</v>
      </c>
      <c r="J541" s="627">
        <v>47200</v>
      </c>
      <c r="K541" s="627"/>
      <c r="L541" s="627"/>
      <c r="M541" s="627">
        <v>7200</v>
      </c>
      <c r="N541" s="627">
        <f t="shared" si="91"/>
        <v>40000</v>
      </c>
      <c r="O541" s="659">
        <f t="shared" si="85"/>
        <v>77</v>
      </c>
      <c r="P541" s="673">
        <v>3</v>
      </c>
      <c r="Q541" s="674">
        <f t="shared" si="93"/>
        <v>2.7890410958904108</v>
      </c>
      <c r="R541" s="675">
        <f t="shared" si="94"/>
        <v>2813</v>
      </c>
      <c r="S541" s="675">
        <f t="shared" si="95"/>
        <v>37187</v>
      </c>
      <c r="T541" s="676">
        <f t="shared" si="89"/>
        <v>0</v>
      </c>
      <c r="U541" s="676">
        <f t="shared" si="90"/>
        <v>40000</v>
      </c>
      <c r="V541" s="664"/>
      <c r="W541" s="664"/>
      <c r="X541" s="664"/>
      <c r="Y541" s="664"/>
      <c r="Z541" s="664"/>
      <c r="AA541" s="664"/>
      <c r="AB541" s="664"/>
      <c r="AC541" s="664"/>
      <c r="AD541" s="664"/>
      <c r="AE541" s="664"/>
      <c r="AF541" s="664"/>
    </row>
    <row r="542" spans="2:32" ht="14.65">
      <c r="B542" s="653">
        <f t="shared" si="92"/>
        <v>538</v>
      </c>
      <c r="C542" s="669" t="s">
        <v>71</v>
      </c>
      <c r="D542" s="669" t="s">
        <v>29</v>
      </c>
      <c r="E542" s="671" t="s">
        <v>3365</v>
      </c>
      <c r="F542" s="672">
        <v>44929</v>
      </c>
      <c r="G542" s="672">
        <v>44942</v>
      </c>
      <c r="H542" s="669" t="s">
        <v>766</v>
      </c>
      <c r="I542" s="692">
        <v>44942</v>
      </c>
      <c r="J542" s="627">
        <v>4273750</v>
      </c>
      <c r="K542" s="627"/>
      <c r="L542" s="627">
        <v>43861</v>
      </c>
      <c r="M542" s="627">
        <v>959468</v>
      </c>
      <c r="N542" s="627">
        <f t="shared" si="91"/>
        <v>3270421</v>
      </c>
      <c r="O542" s="659">
        <f t="shared" si="85"/>
        <v>74</v>
      </c>
      <c r="P542" s="673">
        <v>9</v>
      </c>
      <c r="Q542" s="674">
        <f t="shared" si="93"/>
        <v>8.7972602739726025</v>
      </c>
      <c r="R542" s="675">
        <f t="shared" si="94"/>
        <v>73672</v>
      </c>
      <c r="S542" s="675">
        <f t="shared" si="95"/>
        <v>3196749</v>
      </c>
      <c r="T542" s="676">
        <f t="shared" si="89"/>
        <v>0</v>
      </c>
      <c r="U542" s="676">
        <f t="shared" si="90"/>
        <v>3270421</v>
      </c>
      <c r="V542" s="664"/>
      <c r="W542" s="664"/>
      <c r="X542" s="664"/>
      <c r="Y542" s="664"/>
      <c r="Z542" s="664"/>
      <c r="AA542" s="664"/>
      <c r="AB542" s="664"/>
      <c r="AC542" s="664"/>
      <c r="AD542" s="664"/>
      <c r="AE542" s="664"/>
      <c r="AF542" s="664"/>
    </row>
    <row r="543" spans="2:32" ht="14.65">
      <c r="B543" s="653">
        <f t="shared" si="92"/>
        <v>539</v>
      </c>
      <c r="C543" s="669" t="s">
        <v>71</v>
      </c>
      <c r="D543" s="669" t="s">
        <v>29</v>
      </c>
      <c r="E543" s="671" t="s">
        <v>3364</v>
      </c>
      <c r="F543" s="672">
        <v>44929</v>
      </c>
      <c r="G543" s="672">
        <v>44942</v>
      </c>
      <c r="H543" s="669" t="s">
        <v>766</v>
      </c>
      <c r="I543" s="692">
        <v>44942</v>
      </c>
      <c r="J543" s="627">
        <v>4273750</v>
      </c>
      <c r="K543" s="627"/>
      <c r="L543" s="627">
        <v>43861</v>
      </c>
      <c r="M543" s="627">
        <v>959468</v>
      </c>
      <c r="N543" s="627">
        <f t="shared" si="91"/>
        <v>3270421</v>
      </c>
      <c r="O543" s="659">
        <f t="shared" si="85"/>
        <v>74</v>
      </c>
      <c r="P543" s="673">
        <v>9</v>
      </c>
      <c r="Q543" s="674">
        <f t="shared" si="93"/>
        <v>8.7972602739726025</v>
      </c>
      <c r="R543" s="675">
        <f t="shared" si="94"/>
        <v>73672</v>
      </c>
      <c r="S543" s="675">
        <f t="shared" si="95"/>
        <v>3196749</v>
      </c>
      <c r="T543" s="676">
        <f t="shared" si="89"/>
        <v>0</v>
      </c>
      <c r="U543" s="676">
        <f t="shared" si="90"/>
        <v>3270421</v>
      </c>
      <c r="V543" s="664"/>
      <c r="W543" s="664"/>
      <c r="X543" s="664"/>
      <c r="Y543" s="664"/>
      <c r="Z543" s="664"/>
      <c r="AA543" s="664"/>
      <c r="AB543" s="664"/>
      <c r="AC543" s="664"/>
      <c r="AD543" s="664"/>
      <c r="AE543" s="664"/>
      <c r="AF543" s="664"/>
    </row>
    <row r="544" spans="2:32" ht="14.65">
      <c r="B544" s="653">
        <f t="shared" si="92"/>
        <v>540</v>
      </c>
      <c r="C544" s="669" t="s">
        <v>71</v>
      </c>
      <c r="D544" s="669" t="s">
        <v>29</v>
      </c>
      <c r="E544" s="671" t="s">
        <v>3363</v>
      </c>
      <c r="F544" s="672">
        <v>44929</v>
      </c>
      <c r="G544" s="672">
        <v>44942</v>
      </c>
      <c r="H544" s="669" t="s">
        <v>766</v>
      </c>
      <c r="I544" s="692">
        <v>44942</v>
      </c>
      <c r="J544" s="627">
        <v>4273750</v>
      </c>
      <c r="K544" s="627"/>
      <c r="L544" s="627">
        <v>43861</v>
      </c>
      <c r="M544" s="627">
        <v>959468</v>
      </c>
      <c r="N544" s="627">
        <f t="shared" si="91"/>
        <v>3270421</v>
      </c>
      <c r="O544" s="659">
        <f t="shared" si="85"/>
        <v>74</v>
      </c>
      <c r="P544" s="673">
        <v>9</v>
      </c>
      <c r="Q544" s="674">
        <f t="shared" si="93"/>
        <v>8.7972602739726025</v>
      </c>
      <c r="R544" s="675">
        <f t="shared" si="94"/>
        <v>73672</v>
      </c>
      <c r="S544" s="675">
        <f t="shared" si="95"/>
        <v>3196749</v>
      </c>
      <c r="T544" s="676">
        <f t="shared" si="89"/>
        <v>0</v>
      </c>
      <c r="U544" s="676">
        <f t="shared" si="90"/>
        <v>3270421</v>
      </c>
      <c r="V544" s="664"/>
      <c r="W544" s="664"/>
      <c r="X544" s="664"/>
      <c r="Y544" s="664"/>
      <c r="Z544" s="664"/>
      <c r="AA544" s="664"/>
      <c r="AB544" s="664"/>
      <c r="AC544" s="664"/>
      <c r="AD544" s="664"/>
      <c r="AE544" s="664"/>
      <c r="AF544" s="664"/>
    </row>
    <row r="545" spans="2:32" ht="14.65">
      <c r="B545" s="653">
        <f t="shared" si="92"/>
        <v>541</v>
      </c>
      <c r="C545" s="669" t="s">
        <v>71</v>
      </c>
      <c r="D545" s="669" t="s">
        <v>29</v>
      </c>
      <c r="E545" s="671" t="s">
        <v>3362</v>
      </c>
      <c r="F545" s="672">
        <v>44929</v>
      </c>
      <c r="G545" s="672">
        <v>44942</v>
      </c>
      <c r="H545" s="669" t="s">
        <v>766</v>
      </c>
      <c r="I545" s="692">
        <v>44942</v>
      </c>
      <c r="J545" s="627">
        <v>4273750</v>
      </c>
      <c r="K545" s="627"/>
      <c r="L545" s="627">
        <v>43861</v>
      </c>
      <c r="M545" s="627">
        <v>959468</v>
      </c>
      <c r="N545" s="627">
        <f t="shared" si="91"/>
        <v>3270421</v>
      </c>
      <c r="O545" s="659">
        <f t="shared" si="85"/>
        <v>74</v>
      </c>
      <c r="P545" s="673">
        <v>9</v>
      </c>
      <c r="Q545" s="674">
        <f t="shared" si="93"/>
        <v>8.7972602739726025</v>
      </c>
      <c r="R545" s="675">
        <f t="shared" si="94"/>
        <v>73672</v>
      </c>
      <c r="S545" s="675">
        <f t="shared" si="95"/>
        <v>3196749</v>
      </c>
      <c r="T545" s="676">
        <f t="shared" si="89"/>
        <v>0</v>
      </c>
      <c r="U545" s="676">
        <f t="shared" si="90"/>
        <v>3270421</v>
      </c>
      <c r="V545" s="664"/>
      <c r="W545" s="664"/>
      <c r="X545" s="664"/>
      <c r="Y545" s="664"/>
      <c r="Z545" s="664"/>
      <c r="AA545" s="664"/>
      <c r="AB545" s="664"/>
      <c r="AC545" s="664"/>
      <c r="AD545" s="664"/>
      <c r="AE545" s="664"/>
      <c r="AF545" s="664"/>
    </row>
    <row r="546" spans="2:32" ht="14.65">
      <c r="B546" s="653">
        <f t="shared" si="92"/>
        <v>542</v>
      </c>
      <c r="C546" s="669" t="s">
        <v>71</v>
      </c>
      <c r="D546" s="669" t="s">
        <v>29</v>
      </c>
      <c r="E546" s="671" t="s">
        <v>3361</v>
      </c>
      <c r="F546" s="672">
        <v>44929</v>
      </c>
      <c r="G546" s="672">
        <v>44942</v>
      </c>
      <c r="H546" s="669" t="s">
        <v>766</v>
      </c>
      <c r="I546" s="692">
        <v>44942</v>
      </c>
      <c r="J546" s="627">
        <v>4273750</v>
      </c>
      <c r="K546" s="627"/>
      <c r="L546" s="627">
        <v>43861</v>
      </c>
      <c r="M546" s="627">
        <v>959468</v>
      </c>
      <c r="N546" s="627">
        <f t="shared" si="91"/>
        <v>3270421</v>
      </c>
      <c r="O546" s="659">
        <f t="shared" si="85"/>
        <v>74</v>
      </c>
      <c r="P546" s="673">
        <v>9</v>
      </c>
      <c r="Q546" s="674">
        <f t="shared" si="93"/>
        <v>8.7972602739726025</v>
      </c>
      <c r="R546" s="675">
        <f t="shared" si="94"/>
        <v>73672</v>
      </c>
      <c r="S546" s="675">
        <f t="shared" si="95"/>
        <v>3196749</v>
      </c>
      <c r="T546" s="676">
        <f t="shared" si="89"/>
        <v>0</v>
      </c>
      <c r="U546" s="676">
        <f t="shared" si="90"/>
        <v>3270421</v>
      </c>
      <c r="V546" s="664"/>
      <c r="W546" s="664"/>
      <c r="X546" s="664"/>
      <c r="Y546" s="664"/>
      <c r="Z546" s="664"/>
      <c r="AA546" s="664"/>
      <c r="AB546" s="664"/>
      <c r="AC546" s="664"/>
      <c r="AD546" s="664"/>
      <c r="AE546" s="664"/>
      <c r="AF546" s="664"/>
    </row>
    <row r="547" spans="2:32" ht="14.65">
      <c r="B547" s="653">
        <f t="shared" si="92"/>
        <v>543</v>
      </c>
      <c r="C547" s="669" t="s">
        <v>71</v>
      </c>
      <c r="D547" s="669" t="s">
        <v>29</v>
      </c>
      <c r="E547" s="671" t="s">
        <v>3360</v>
      </c>
      <c r="F547" s="672">
        <v>44929</v>
      </c>
      <c r="G547" s="672">
        <v>44942</v>
      </c>
      <c r="H547" s="669" t="s">
        <v>766</v>
      </c>
      <c r="I547" s="692">
        <v>44942</v>
      </c>
      <c r="J547" s="627">
        <v>4273750</v>
      </c>
      <c r="K547" s="627"/>
      <c r="L547" s="627">
        <v>43861</v>
      </c>
      <c r="M547" s="627">
        <v>959468</v>
      </c>
      <c r="N547" s="627">
        <f t="shared" si="91"/>
        <v>3270421</v>
      </c>
      <c r="O547" s="659">
        <f t="shared" si="85"/>
        <v>74</v>
      </c>
      <c r="P547" s="673">
        <v>9</v>
      </c>
      <c r="Q547" s="674">
        <f t="shared" si="93"/>
        <v>8.7972602739726025</v>
      </c>
      <c r="R547" s="675">
        <f t="shared" si="94"/>
        <v>73672</v>
      </c>
      <c r="S547" s="675">
        <f t="shared" si="95"/>
        <v>3196749</v>
      </c>
      <c r="T547" s="676">
        <f t="shared" si="89"/>
        <v>0</v>
      </c>
      <c r="U547" s="676">
        <f t="shared" si="90"/>
        <v>3270421</v>
      </c>
      <c r="V547" s="664"/>
      <c r="W547" s="664"/>
      <c r="X547" s="664"/>
      <c r="Y547" s="664"/>
      <c r="Z547" s="664"/>
      <c r="AA547" s="664"/>
      <c r="AB547" s="664"/>
      <c r="AC547" s="664"/>
      <c r="AD547" s="664"/>
      <c r="AE547" s="664"/>
      <c r="AF547" s="664"/>
    </row>
    <row r="548" spans="2:32" ht="14.65">
      <c r="B548" s="653">
        <f t="shared" si="92"/>
        <v>544</v>
      </c>
      <c r="C548" s="669" t="s">
        <v>71</v>
      </c>
      <c r="D548" s="669" t="s">
        <v>29</v>
      </c>
      <c r="E548" s="671" t="s">
        <v>3359</v>
      </c>
      <c r="F548" s="672">
        <v>44929</v>
      </c>
      <c r="G548" s="672">
        <v>44942</v>
      </c>
      <c r="H548" s="669" t="s">
        <v>766</v>
      </c>
      <c r="I548" s="692">
        <v>44942</v>
      </c>
      <c r="J548" s="627">
        <v>4273750</v>
      </c>
      <c r="K548" s="627"/>
      <c r="L548" s="627">
        <v>43861</v>
      </c>
      <c r="M548" s="627">
        <v>959468</v>
      </c>
      <c r="N548" s="627">
        <f t="shared" si="91"/>
        <v>3270421</v>
      </c>
      <c r="O548" s="659">
        <f t="shared" si="85"/>
        <v>74</v>
      </c>
      <c r="P548" s="673">
        <v>9</v>
      </c>
      <c r="Q548" s="674">
        <f t="shared" si="93"/>
        <v>8.7972602739726025</v>
      </c>
      <c r="R548" s="675">
        <f t="shared" si="94"/>
        <v>73672</v>
      </c>
      <c r="S548" s="675">
        <f t="shared" si="95"/>
        <v>3196749</v>
      </c>
      <c r="T548" s="676">
        <f t="shared" si="89"/>
        <v>0</v>
      </c>
      <c r="U548" s="676">
        <f t="shared" si="90"/>
        <v>3270421</v>
      </c>
      <c r="V548" s="664"/>
      <c r="W548" s="664"/>
      <c r="X548" s="664"/>
      <c r="Y548" s="664"/>
      <c r="Z548" s="664"/>
      <c r="AA548" s="664"/>
      <c r="AB548" s="664"/>
      <c r="AC548" s="664"/>
      <c r="AD548" s="664"/>
      <c r="AE548" s="664"/>
      <c r="AF548" s="664"/>
    </row>
    <row r="549" spans="2:32" ht="14.65">
      <c r="B549" s="653">
        <f t="shared" si="92"/>
        <v>545</v>
      </c>
      <c r="C549" s="669" t="s">
        <v>3358</v>
      </c>
      <c r="D549" s="669" t="s">
        <v>29</v>
      </c>
      <c r="E549" s="671" t="s">
        <v>3357</v>
      </c>
      <c r="F549" s="672">
        <v>44926</v>
      </c>
      <c r="G549" s="672">
        <v>44926</v>
      </c>
      <c r="H549" s="669" t="s">
        <v>3356</v>
      </c>
      <c r="I549" s="692">
        <v>44926</v>
      </c>
      <c r="J549" s="627">
        <v>3162400</v>
      </c>
      <c r="K549" s="627"/>
      <c r="L549" s="627"/>
      <c r="M549" s="627">
        <v>482400</v>
      </c>
      <c r="N549" s="627">
        <f t="shared" si="91"/>
        <v>2680000</v>
      </c>
      <c r="O549" s="659">
        <f t="shared" si="85"/>
        <v>90</v>
      </c>
      <c r="P549" s="673">
        <v>9</v>
      </c>
      <c r="Q549" s="674">
        <f t="shared" si="93"/>
        <v>8.7534246575342465</v>
      </c>
      <c r="R549" s="675">
        <f t="shared" si="94"/>
        <v>73425</v>
      </c>
      <c r="S549" s="675">
        <f t="shared" si="95"/>
        <v>2606575</v>
      </c>
      <c r="T549" s="676">
        <f t="shared" si="89"/>
        <v>0</v>
      </c>
      <c r="U549" s="676">
        <f t="shared" si="90"/>
        <v>2680000</v>
      </c>
      <c r="V549" s="664"/>
      <c r="W549" s="664"/>
      <c r="X549" s="664"/>
      <c r="Y549" s="664"/>
      <c r="Z549" s="664"/>
      <c r="AA549" s="664"/>
      <c r="AB549" s="664"/>
      <c r="AC549" s="664"/>
      <c r="AD549" s="664"/>
      <c r="AE549" s="664"/>
      <c r="AF549" s="664"/>
    </row>
    <row r="550" spans="2:32" ht="14.65">
      <c r="B550" s="653">
        <f t="shared" si="92"/>
        <v>546</v>
      </c>
      <c r="C550" s="669" t="s">
        <v>585</v>
      </c>
      <c r="D550" s="669" t="s">
        <v>29</v>
      </c>
      <c r="E550" s="671" t="s">
        <v>3355</v>
      </c>
      <c r="F550" s="692">
        <v>44894</v>
      </c>
      <c r="G550" s="692">
        <v>44936</v>
      </c>
      <c r="H550" s="669" t="s">
        <v>3349</v>
      </c>
      <c r="I550" s="672">
        <v>44936</v>
      </c>
      <c r="J550" s="627">
        <v>4945970</v>
      </c>
      <c r="K550" s="627"/>
      <c r="L550" s="627">
        <v>48970</v>
      </c>
      <c r="M550" s="627">
        <v>747000</v>
      </c>
      <c r="N550" s="627">
        <f t="shared" si="91"/>
        <v>4150000</v>
      </c>
      <c r="O550" s="659">
        <f t="shared" si="85"/>
        <v>80</v>
      </c>
      <c r="P550" s="673">
        <v>9</v>
      </c>
      <c r="Q550" s="674">
        <f t="shared" si="93"/>
        <v>8.7808219178082183</v>
      </c>
      <c r="R550" s="675">
        <f t="shared" si="94"/>
        <v>101065</v>
      </c>
      <c r="S550" s="675">
        <f t="shared" si="95"/>
        <v>4048935</v>
      </c>
      <c r="T550" s="676">
        <f t="shared" si="89"/>
        <v>0</v>
      </c>
      <c r="U550" s="676">
        <f t="shared" si="90"/>
        <v>4150000</v>
      </c>
      <c r="V550" s="664"/>
      <c r="W550" s="664"/>
      <c r="X550" s="664"/>
      <c r="Y550" s="664"/>
      <c r="Z550" s="664"/>
      <c r="AA550" s="664"/>
      <c r="AB550" s="664"/>
      <c r="AC550" s="664"/>
      <c r="AD550" s="664"/>
      <c r="AE550" s="664"/>
      <c r="AF550" s="664"/>
    </row>
    <row r="551" spans="2:32" ht="14.65">
      <c r="B551" s="653">
        <f t="shared" si="92"/>
        <v>547</v>
      </c>
      <c r="C551" s="669" t="s">
        <v>585</v>
      </c>
      <c r="D551" s="669" t="s">
        <v>29</v>
      </c>
      <c r="E551" s="671" t="s">
        <v>3354</v>
      </c>
      <c r="F551" s="692">
        <v>44894</v>
      </c>
      <c r="G551" s="692">
        <v>44936</v>
      </c>
      <c r="H551" s="669" t="s">
        <v>3349</v>
      </c>
      <c r="I551" s="672">
        <v>44936</v>
      </c>
      <c r="J551" s="627">
        <v>4945970</v>
      </c>
      <c r="K551" s="627"/>
      <c r="L551" s="627">
        <v>48970</v>
      </c>
      <c r="M551" s="627">
        <v>747000</v>
      </c>
      <c r="N551" s="627">
        <f t="shared" si="91"/>
        <v>4150000</v>
      </c>
      <c r="O551" s="659">
        <f t="shared" si="85"/>
        <v>80</v>
      </c>
      <c r="P551" s="673">
        <v>9</v>
      </c>
      <c r="Q551" s="674">
        <f t="shared" si="93"/>
        <v>8.7808219178082183</v>
      </c>
      <c r="R551" s="675">
        <f t="shared" si="94"/>
        <v>101065</v>
      </c>
      <c r="S551" s="675">
        <f t="shared" si="95"/>
        <v>4048935</v>
      </c>
      <c r="T551" s="676">
        <f t="shared" si="89"/>
        <v>0</v>
      </c>
      <c r="U551" s="676">
        <f t="shared" si="90"/>
        <v>4150000</v>
      </c>
      <c r="V551" s="664"/>
      <c r="W551" s="664"/>
      <c r="X551" s="664"/>
      <c r="Y551" s="664"/>
      <c r="Z551" s="664"/>
      <c r="AA551" s="664"/>
      <c r="AB551" s="664"/>
      <c r="AC551" s="664"/>
      <c r="AD551" s="664"/>
      <c r="AE551" s="664"/>
      <c r="AF551" s="664"/>
    </row>
    <row r="552" spans="2:32" ht="14.65">
      <c r="B552" s="653">
        <f t="shared" si="92"/>
        <v>548</v>
      </c>
      <c r="C552" s="669" t="s">
        <v>571</v>
      </c>
      <c r="D552" s="669" t="s">
        <v>29</v>
      </c>
      <c r="E552" s="671" t="s">
        <v>3353</v>
      </c>
      <c r="F552" s="672">
        <v>44890</v>
      </c>
      <c r="G552" s="672">
        <v>44953</v>
      </c>
      <c r="H552" s="669" t="s">
        <v>410</v>
      </c>
      <c r="I552" s="672">
        <v>44953</v>
      </c>
      <c r="J552" s="627">
        <f>991200-33898</f>
        <v>957302</v>
      </c>
      <c r="K552" s="627"/>
      <c r="L552" s="627"/>
      <c r="M552" s="627">
        <v>151200</v>
      </c>
      <c r="N552" s="627">
        <f t="shared" si="91"/>
        <v>806102</v>
      </c>
      <c r="O552" s="659">
        <f t="shared" si="85"/>
        <v>63</v>
      </c>
      <c r="P552" s="673">
        <v>9</v>
      </c>
      <c r="Q552" s="674">
        <f t="shared" si="93"/>
        <v>8.8273972602739725</v>
      </c>
      <c r="R552" s="675">
        <f t="shared" si="94"/>
        <v>15459</v>
      </c>
      <c r="S552" s="675">
        <f t="shared" si="95"/>
        <v>790643</v>
      </c>
      <c r="T552" s="676">
        <f t="shared" si="89"/>
        <v>0</v>
      </c>
      <c r="U552" s="676">
        <f t="shared" si="90"/>
        <v>806102</v>
      </c>
      <c r="V552" s="664"/>
      <c r="W552" s="664"/>
      <c r="X552" s="664"/>
      <c r="Y552" s="664"/>
      <c r="Z552" s="664"/>
      <c r="AA552" s="664"/>
      <c r="AB552" s="664"/>
      <c r="AC552" s="664"/>
      <c r="AD552" s="664"/>
      <c r="AE552" s="664"/>
      <c r="AF552" s="664"/>
    </row>
    <row r="553" spans="2:32" ht="14.65">
      <c r="B553" s="653">
        <f t="shared" si="92"/>
        <v>549</v>
      </c>
      <c r="C553" s="669" t="s">
        <v>571</v>
      </c>
      <c r="D553" s="669" t="s">
        <v>29</v>
      </c>
      <c r="E553" s="671" t="s">
        <v>3353</v>
      </c>
      <c r="F553" s="672">
        <v>44890</v>
      </c>
      <c r="G553" s="672">
        <v>44953</v>
      </c>
      <c r="H553" s="669" t="s">
        <v>410</v>
      </c>
      <c r="I553" s="672">
        <v>44953</v>
      </c>
      <c r="J553" s="627">
        <f>991200-33898</f>
        <v>957302</v>
      </c>
      <c r="K553" s="627"/>
      <c r="L553" s="627"/>
      <c r="M553" s="627">
        <v>151200</v>
      </c>
      <c r="N553" s="627">
        <f t="shared" si="91"/>
        <v>806102</v>
      </c>
      <c r="O553" s="659">
        <f t="shared" si="85"/>
        <v>63</v>
      </c>
      <c r="P553" s="673">
        <v>9</v>
      </c>
      <c r="Q553" s="674">
        <f t="shared" si="93"/>
        <v>8.8273972602739725</v>
      </c>
      <c r="R553" s="675">
        <f t="shared" si="94"/>
        <v>15459</v>
      </c>
      <c r="S553" s="675">
        <f t="shared" si="95"/>
        <v>790643</v>
      </c>
      <c r="T553" s="676">
        <f t="shared" si="89"/>
        <v>0</v>
      </c>
      <c r="U553" s="676">
        <f t="shared" si="90"/>
        <v>806102</v>
      </c>
      <c r="V553" s="664"/>
      <c r="W553" s="664"/>
      <c r="X553" s="664"/>
      <c r="Y553" s="664"/>
      <c r="Z553" s="664"/>
      <c r="AA553" s="664"/>
      <c r="AB553" s="664"/>
      <c r="AC553" s="664"/>
      <c r="AD553" s="664"/>
      <c r="AE553" s="664"/>
      <c r="AF553" s="664"/>
    </row>
    <row r="554" spans="2:32" ht="14.65">
      <c r="B554" s="653">
        <f t="shared" si="92"/>
        <v>550</v>
      </c>
      <c r="C554" s="669" t="s">
        <v>568</v>
      </c>
      <c r="D554" s="669" t="s">
        <v>29</v>
      </c>
      <c r="E554" s="671" t="s">
        <v>3352</v>
      </c>
      <c r="F554" s="672">
        <v>44943</v>
      </c>
      <c r="G554" s="672">
        <v>44943</v>
      </c>
      <c r="H554" s="669" t="s">
        <v>763</v>
      </c>
      <c r="I554" s="672">
        <v>44943</v>
      </c>
      <c r="J554" s="627">
        <v>2056657</v>
      </c>
      <c r="K554" s="627"/>
      <c r="L554" s="627"/>
      <c r="M554" s="627">
        <v>313728</v>
      </c>
      <c r="N554" s="627">
        <f t="shared" si="91"/>
        <v>1742929</v>
      </c>
      <c r="O554" s="659">
        <f t="shared" si="85"/>
        <v>73</v>
      </c>
      <c r="P554" s="673">
        <v>3</v>
      </c>
      <c r="Q554" s="674">
        <f t="shared" si="93"/>
        <v>2.8</v>
      </c>
      <c r="R554" s="675">
        <f t="shared" si="94"/>
        <v>116195</v>
      </c>
      <c r="S554" s="675">
        <f t="shared" si="95"/>
        <v>1626734</v>
      </c>
      <c r="T554" s="676">
        <f t="shared" si="89"/>
        <v>0</v>
      </c>
      <c r="U554" s="676">
        <f t="shared" si="90"/>
        <v>1742929</v>
      </c>
      <c r="V554" s="664"/>
      <c r="W554" s="664"/>
      <c r="X554" s="664"/>
      <c r="Y554" s="664"/>
      <c r="Z554" s="664"/>
      <c r="AA554" s="664"/>
      <c r="AB554" s="664"/>
      <c r="AC554" s="664"/>
      <c r="AD554" s="664"/>
      <c r="AE554" s="664"/>
      <c r="AF554" s="664"/>
    </row>
    <row r="555" spans="2:32" ht="14.65">
      <c r="B555" s="653">
        <f t="shared" si="92"/>
        <v>551</v>
      </c>
      <c r="C555" s="669" t="s">
        <v>568</v>
      </c>
      <c r="D555" s="669" t="s">
        <v>29</v>
      </c>
      <c r="E555" s="671" t="s">
        <v>3351</v>
      </c>
      <c r="F555" s="672">
        <v>44945</v>
      </c>
      <c r="G555" s="672">
        <v>44945</v>
      </c>
      <c r="H555" s="669" t="s">
        <v>763</v>
      </c>
      <c r="I555" s="672">
        <v>44945</v>
      </c>
      <c r="J555" s="627">
        <v>2062819</v>
      </c>
      <c r="K555" s="627"/>
      <c r="L555" s="627"/>
      <c r="M555" s="627">
        <v>314668</v>
      </c>
      <c r="N555" s="627">
        <f t="shared" si="91"/>
        <v>1748151</v>
      </c>
      <c r="O555" s="659">
        <f t="shared" si="85"/>
        <v>71</v>
      </c>
      <c r="P555" s="673">
        <v>3</v>
      </c>
      <c r="Q555" s="674">
        <f t="shared" si="93"/>
        <v>2.8054794520547945</v>
      </c>
      <c r="R555" s="675">
        <f t="shared" si="94"/>
        <v>113350</v>
      </c>
      <c r="S555" s="675">
        <f t="shared" si="95"/>
        <v>1634801</v>
      </c>
      <c r="T555" s="676">
        <f t="shared" si="89"/>
        <v>0</v>
      </c>
      <c r="U555" s="676">
        <f t="shared" si="90"/>
        <v>1748151</v>
      </c>
      <c r="V555" s="664"/>
      <c r="W555" s="664"/>
      <c r="X555" s="664"/>
      <c r="Y555" s="664"/>
      <c r="Z555" s="664"/>
      <c r="AA555" s="664"/>
      <c r="AB555" s="664"/>
      <c r="AC555" s="664"/>
      <c r="AD555" s="664"/>
      <c r="AE555" s="664"/>
      <c r="AF555" s="664"/>
    </row>
    <row r="556" spans="2:32" ht="14.65">
      <c r="B556" s="653">
        <f t="shared" si="92"/>
        <v>552</v>
      </c>
      <c r="C556" s="669" t="s">
        <v>568</v>
      </c>
      <c r="D556" s="669" t="s">
        <v>29</v>
      </c>
      <c r="E556" s="671" t="s">
        <v>3350</v>
      </c>
      <c r="F556" s="672">
        <v>44946</v>
      </c>
      <c r="G556" s="672">
        <v>44949</v>
      </c>
      <c r="H556" s="669" t="s">
        <v>763</v>
      </c>
      <c r="I556" s="672">
        <v>44949</v>
      </c>
      <c r="J556" s="627">
        <v>2065000</v>
      </c>
      <c r="K556" s="627"/>
      <c r="L556" s="627"/>
      <c r="M556" s="627">
        <v>315000</v>
      </c>
      <c r="N556" s="627">
        <f t="shared" si="91"/>
        <v>1750000</v>
      </c>
      <c r="O556" s="659">
        <f t="shared" si="85"/>
        <v>67</v>
      </c>
      <c r="P556" s="673">
        <v>3</v>
      </c>
      <c r="Q556" s="674">
        <f t="shared" si="93"/>
        <v>2.8164383561643835</v>
      </c>
      <c r="R556" s="675">
        <f t="shared" si="94"/>
        <v>107078</v>
      </c>
      <c r="S556" s="675">
        <f t="shared" si="95"/>
        <v>1642922</v>
      </c>
      <c r="T556" s="676">
        <f t="shared" si="89"/>
        <v>0</v>
      </c>
      <c r="U556" s="676">
        <f t="shared" si="90"/>
        <v>1750000</v>
      </c>
      <c r="V556" s="664"/>
      <c r="W556" s="664"/>
      <c r="X556" s="664"/>
      <c r="Y556" s="664"/>
      <c r="Z556" s="664"/>
      <c r="AA556" s="664"/>
      <c r="AB556" s="664"/>
      <c r="AC556" s="664"/>
      <c r="AD556" s="664"/>
      <c r="AE556" s="664"/>
      <c r="AF556" s="664"/>
    </row>
    <row r="557" spans="2:32" ht="14.65">
      <c r="B557" s="653">
        <f t="shared" si="92"/>
        <v>553</v>
      </c>
      <c r="C557" s="670" t="s">
        <v>323</v>
      </c>
      <c r="D557" s="669" t="s">
        <v>29</v>
      </c>
      <c r="E557" s="677" t="s">
        <v>3348</v>
      </c>
      <c r="F557" s="678">
        <v>44939</v>
      </c>
      <c r="G557" s="678">
        <v>44939</v>
      </c>
      <c r="H557" s="670" t="s">
        <v>170</v>
      </c>
      <c r="I557" s="672">
        <v>44939</v>
      </c>
      <c r="J557" s="679">
        <v>6844000</v>
      </c>
      <c r="K557" s="627"/>
      <c r="L557" s="627"/>
      <c r="M557" s="627">
        <v>1044000</v>
      </c>
      <c r="N557" s="627">
        <f t="shared" si="91"/>
        <v>5800000</v>
      </c>
      <c r="O557" s="659">
        <f t="shared" si="85"/>
        <v>77</v>
      </c>
      <c r="P557" s="673">
        <v>9</v>
      </c>
      <c r="Q557" s="674">
        <f t="shared" si="93"/>
        <v>8.7890410958904113</v>
      </c>
      <c r="R557" s="675">
        <f t="shared" si="94"/>
        <v>135951</v>
      </c>
      <c r="S557" s="675">
        <f t="shared" si="95"/>
        <v>5664049</v>
      </c>
      <c r="T557" s="676">
        <f t="shared" si="89"/>
        <v>0</v>
      </c>
      <c r="U557" s="676">
        <f t="shared" si="90"/>
        <v>5800000</v>
      </c>
      <c r="V557" s="664"/>
      <c r="W557" s="664"/>
      <c r="X557" s="664"/>
      <c r="Y557" s="664"/>
      <c r="Z557" s="664"/>
      <c r="AA557" s="664"/>
      <c r="AB557" s="664"/>
      <c r="AC557" s="664"/>
      <c r="AD557" s="664"/>
      <c r="AE557" s="664"/>
      <c r="AF557" s="664"/>
    </row>
    <row r="558" spans="2:32" ht="14.65">
      <c r="B558" s="653">
        <f t="shared" si="92"/>
        <v>554</v>
      </c>
      <c r="C558" s="670" t="s">
        <v>564</v>
      </c>
      <c r="D558" s="669" t="s">
        <v>29</v>
      </c>
      <c r="E558" s="677">
        <v>1021283</v>
      </c>
      <c r="F558" s="678">
        <v>44951</v>
      </c>
      <c r="G558" s="678">
        <v>44951</v>
      </c>
      <c r="H558" s="670" t="s">
        <v>3347</v>
      </c>
      <c r="I558" s="672">
        <v>44951</v>
      </c>
      <c r="J558" s="679">
        <v>1288000</v>
      </c>
      <c r="K558" s="627"/>
      <c r="L558" s="627"/>
      <c r="M558" s="627">
        <v>138000</v>
      </c>
      <c r="N558" s="627">
        <f t="shared" si="91"/>
        <v>1150000</v>
      </c>
      <c r="O558" s="659">
        <f t="shared" si="85"/>
        <v>65</v>
      </c>
      <c r="P558" s="673">
        <v>9</v>
      </c>
      <c r="Q558" s="674">
        <f t="shared" si="93"/>
        <v>8.8219178082191778</v>
      </c>
      <c r="R558" s="675">
        <f t="shared" si="94"/>
        <v>22755</v>
      </c>
      <c r="S558" s="675">
        <f t="shared" si="95"/>
        <v>1127245</v>
      </c>
      <c r="T558" s="676">
        <f t="shared" si="89"/>
        <v>0</v>
      </c>
      <c r="U558" s="676">
        <f t="shared" si="90"/>
        <v>1150000</v>
      </c>
      <c r="V558" s="664"/>
      <c r="W558" s="664"/>
      <c r="X558" s="664"/>
      <c r="Y558" s="664"/>
      <c r="Z558" s="664"/>
      <c r="AA558" s="664"/>
      <c r="AB558" s="664"/>
      <c r="AC558" s="664"/>
      <c r="AD558" s="664"/>
      <c r="AE558" s="664"/>
      <c r="AF558" s="664"/>
    </row>
    <row r="559" spans="2:32" ht="14.65">
      <c r="B559" s="653">
        <f t="shared" si="92"/>
        <v>555</v>
      </c>
      <c r="C559" s="670" t="s">
        <v>3340</v>
      </c>
      <c r="D559" s="669" t="s">
        <v>29</v>
      </c>
      <c r="E559" s="677" t="s">
        <v>3346</v>
      </c>
      <c r="F559" s="678">
        <v>44947</v>
      </c>
      <c r="G559" s="678">
        <v>44949</v>
      </c>
      <c r="H559" s="670" t="s">
        <v>763</v>
      </c>
      <c r="I559" s="672">
        <v>44949</v>
      </c>
      <c r="J559" s="679">
        <v>1716428</v>
      </c>
      <c r="K559" s="627"/>
      <c r="L559" s="627"/>
      <c r="M559" s="627">
        <v>261828</v>
      </c>
      <c r="N559" s="627">
        <f t="shared" si="91"/>
        <v>1454600</v>
      </c>
      <c r="O559" s="659">
        <f t="shared" si="85"/>
        <v>67</v>
      </c>
      <c r="P559" s="673">
        <v>3</v>
      </c>
      <c r="Q559" s="674">
        <f t="shared" si="93"/>
        <v>2.8164383561643835</v>
      </c>
      <c r="R559" s="675">
        <f t="shared" si="94"/>
        <v>89003</v>
      </c>
      <c r="S559" s="675">
        <f t="shared" si="95"/>
        <v>1365597</v>
      </c>
      <c r="T559" s="676">
        <f t="shared" si="89"/>
        <v>0</v>
      </c>
      <c r="U559" s="676">
        <f t="shared" si="90"/>
        <v>1454600</v>
      </c>
      <c r="V559" s="664"/>
      <c r="W559" s="664"/>
      <c r="X559" s="664"/>
      <c r="Y559" s="664"/>
      <c r="Z559" s="664"/>
      <c r="AA559" s="664"/>
      <c r="AB559" s="664"/>
      <c r="AC559" s="664"/>
      <c r="AD559" s="664"/>
      <c r="AE559" s="664"/>
      <c r="AF559" s="664"/>
    </row>
    <row r="560" spans="2:32" ht="14.65">
      <c r="B560" s="653">
        <f t="shared" si="92"/>
        <v>556</v>
      </c>
      <c r="C560" s="670" t="s">
        <v>3340</v>
      </c>
      <c r="D560" s="669" t="s">
        <v>29</v>
      </c>
      <c r="E560" s="677" t="s">
        <v>3345</v>
      </c>
      <c r="F560" s="678">
        <v>44947</v>
      </c>
      <c r="G560" s="678">
        <v>44949</v>
      </c>
      <c r="H560" s="670" t="s">
        <v>763</v>
      </c>
      <c r="I560" s="672">
        <v>44949</v>
      </c>
      <c r="J560" s="679">
        <v>341191</v>
      </c>
      <c r="K560" s="627"/>
      <c r="L560" s="627"/>
      <c r="M560" s="627">
        <v>52046</v>
      </c>
      <c r="N560" s="627">
        <f t="shared" si="91"/>
        <v>289145</v>
      </c>
      <c r="O560" s="659">
        <f t="shared" si="85"/>
        <v>67</v>
      </c>
      <c r="P560" s="673">
        <v>3</v>
      </c>
      <c r="Q560" s="674">
        <f t="shared" si="93"/>
        <v>2.8164383561643835</v>
      </c>
      <c r="R560" s="675">
        <f t="shared" si="94"/>
        <v>17692</v>
      </c>
      <c r="S560" s="675">
        <f t="shared" si="95"/>
        <v>271453</v>
      </c>
      <c r="T560" s="676">
        <f t="shared" si="89"/>
        <v>0</v>
      </c>
      <c r="U560" s="676">
        <f t="shared" si="90"/>
        <v>289145</v>
      </c>
      <c r="V560" s="664"/>
      <c r="W560" s="664"/>
      <c r="X560" s="664"/>
      <c r="Y560" s="664"/>
      <c r="Z560" s="664"/>
      <c r="AA560" s="664"/>
      <c r="AB560" s="664"/>
      <c r="AC560" s="664"/>
      <c r="AD560" s="664"/>
      <c r="AE560" s="664"/>
      <c r="AF560" s="664"/>
    </row>
    <row r="561" spans="2:32" ht="14.65">
      <c r="B561" s="653">
        <f t="shared" si="92"/>
        <v>557</v>
      </c>
      <c r="C561" s="670" t="s">
        <v>3340</v>
      </c>
      <c r="D561" s="669" t="s">
        <v>29</v>
      </c>
      <c r="E561" s="677" t="s">
        <v>3344</v>
      </c>
      <c r="F561" s="678">
        <v>44950</v>
      </c>
      <c r="G561" s="678">
        <v>44950</v>
      </c>
      <c r="H561" s="670" t="s">
        <v>763</v>
      </c>
      <c r="I561" s="672">
        <v>44950</v>
      </c>
      <c r="J561" s="679">
        <v>1649522</v>
      </c>
      <c r="K561" s="627"/>
      <c r="L561" s="627"/>
      <c r="M561" s="627">
        <v>251622</v>
      </c>
      <c r="N561" s="627">
        <f t="shared" si="91"/>
        <v>1397900</v>
      </c>
      <c r="O561" s="659">
        <f t="shared" si="85"/>
        <v>66</v>
      </c>
      <c r="P561" s="673">
        <v>3</v>
      </c>
      <c r="Q561" s="674">
        <f t="shared" si="93"/>
        <v>2.8191780821917809</v>
      </c>
      <c r="R561" s="675">
        <f t="shared" si="94"/>
        <v>84257</v>
      </c>
      <c r="S561" s="675">
        <f t="shared" si="95"/>
        <v>1313643</v>
      </c>
      <c r="T561" s="676">
        <f t="shared" si="89"/>
        <v>0</v>
      </c>
      <c r="U561" s="676">
        <f t="shared" si="90"/>
        <v>1397900</v>
      </c>
      <c r="V561" s="664"/>
      <c r="W561" s="664"/>
      <c r="X561" s="664"/>
      <c r="Y561" s="664"/>
      <c r="Z561" s="664"/>
      <c r="AA561" s="664"/>
      <c r="AB561" s="664"/>
      <c r="AC561" s="664"/>
      <c r="AD561" s="664"/>
      <c r="AE561" s="664"/>
      <c r="AF561" s="664"/>
    </row>
    <row r="562" spans="2:32" ht="14.65">
      <c r="B562" s="653">
        <f t="shared" si="92"/>
        <v>558</v>
      </c>
      <c r="C562" s="670" t="s">
        <v>3340</v>
      </c>
      <c r="D562" s="669" t="s">
        <v>29</v>
      </c>
      <c r="E562" s="677" t="s">
        <v>3343</v>
      </c>
      <c r="F562" s="678">
        <v>44950</v>
      </c>
      <c r="G562" s="678">
        <v>44950</v>
      </c>
      <c r="H562" s="670" t="s">
        <v>763</v>
      </c>
      <c r="I562" s="672">
        <v>44950</v>
      </c>
      <c r="J562" s="679">
        <v>141246</v>
      </c>
      <c r="K562" s="627"/>
      <c r="L562" s="627"/>
      <c r="M562" s="627">
        <v>21546</v>
      </c>
      <c r="N562" s="627">
        <f t="shared" si="91"/>
        <v>119700</v>
      </c>
      <c r="O562" s="659">
        <f t="shared" si="85"/>
        <v>66</v>
      </c>
      <c r="P562" s="673">
        <v>3</v>
      </c>
      <c r="Q562" s="674">
        <f t="shared" si="93"/>
        <v>2.8191780821917809</v>
      </c>
      <c r="R562" s="675">
        <f t="shared" si="94"/>
        <v>7215</v>
      </c>
      <c r="S562" s="675">
        <f t="shared" si="95"/>
        <v>112485</v>
      </c>
      <c r="T562" s="676">
        <f t="shared" si="89"/>
        <v>0</v>
      </c>
      <c r="U562" s="676">
        <f t="shared" si="90"/>
        <v>119700</v>
      </c>
      <c r="V562" s="664"/>
      <c r="W562" s="664"/>
      <c r="X562" s="664"/>
      <c r="Y562" s="664"/>
      <c r="Z562" s="664"/>
      <c r="AA562" s="664"/>
      <c r="AB562" s="664"/>
      <c r="AC562" s="664"/>
      <c r="AD562" s="664"/>
      <c r="AE562" s="664"/>
      <c r="AF562" s="664"/>
    </row>
    <row r="563" spans="2:32" ht="14.65">
      <c r="B563" s="653">
        <f t="shared" si="92"/>
        <v>559</v>
      </c>
      <c r="C563" s="670" t="s">
        <v>3340</v>
      </c>
      <c r="D563" s="669" t="s">
        <v>29</v>
      </c>
      <c r="E563" s="677" t="s">
        <v>3342</v>
      </c>
      <c r="F563" s="678">
        <v>44950</v>
      </c>
      <c r="G563" s="678">
        <v>44950</v>
      </c>
      <c r="H563" s="670" t="s">
        <v>763</v>
      </c>
      <c r="I563" s="672">
        <v>44950</v>
      </c>
      <c r="J563" s="679">
        <v>401200</v>
      </c>
      <c r="K563" s="627"/>
      <c r="L563" s="627"/>
      <c r="M563" s="627">
        <v>61200</v>
      </c>
      <c r="N563" s="627">
        <f t="shared" si="91"/>
        <v>340000</v>
      </c>
      <c r="O563" s="659">
        <f t="shared" si="85"/>
        <v>66</v>
      </c>
      <c r="P563" s="673">
        <v>3</v>
      </c>
      <c r="Q563" s="674">
        <f t="shared" si="93"/>
        <v>2.8191780821917809</v>
      </c>
      <c r="R563" s="675">
        <f t="shared" si="94"/>
        <v>20493</v>
      </c>
      <c r="S563" s="675">
        <f t="shared" si="95"/>
        <v>319507</v>
      </c>
      <c r="T563" s="676">
        <f t="shared" si="89"/>
        <v>0</v>
      </c>
      <c r="U563" s="676">
        <f t="shared" si="90"/>
        <v>340000</v>
      </c>
      <c r="V563" s="664"/>
      <c r="W563" s="664"/>
      <c r="X563" s="664"/>
      <c r="Y563" s="664"/>
      <c r="Z563" s="664"/>
      <c r="AA563" s="664"/>
      <c r="AB563" s="664"/>
      <c r="AC563" s="664"/>
      <c r="AD563" s="664"/>
      <c r="AE563" s="664"/>
      <c r="AF563" s="664"/>
    </row>
    <row r="564" spans="2:32" ht="14.65">
      <c r="B564" s="653">
        <f t="shared" si="92"/>
        <v>560</v>
      </c>
      <c r="C564" s="670" t="s">
        <v>3340</v>
      </c>
      <c r="D564" s="669" t="s">
        <v>29</v>
      </c>
      <c r="E564" s="677" t="s">
        <v>3341</v>
      </c>
      <c r="F564" s="678">
        <v>44949</v>
      </c>
      <c r="G564" s="678">
        <v>44952</v>
      </c>
      <c r="H564" s="670" t="s">
        <v>763</v>
      </c>
      <c r="I564" s="672">
        <v>44952</v>
      </c>
      <c r="J564" s="679">
        <v>1864282</v>
      </c>
      <c r="K564" s="627"/>
      <c r="L564" s="627"/>
      <c r="M564" s="627">
        <v>284382</v>
      </c>
      <c r="N564" s="627">
        <f t="shared" si="91"/>
        <v>1579900</v>
      </c>
      <c r="O564" s="659">
        <f t="shared" si="85"/>
        <v>64</v>
      </c>
      <c r="P564" s="673">
        <v>3</v>
      </c>
      <c r="Q564" s="674">
        <f t="shared" si="93"/>
        <v>2.8246575342465752</v>
      </c>
      <c r="R564" s="675">
        <f t="shared" si="94"/>
        <v>92341</v>
      </c>
      <c r="S564" s="675">
        <f t="shared" si="95"/>
        <v>1487559</v>
      </c>
      <c r="T564" s="676">
        <f t="shared" si="89"/>
        <v>0</v>
      </c>
      <c r="U564" s="676">
        <f t="shared" si="90"/>
        <v>1579900</v>
      </c>
      <c r="V564" s="664"/>
      <c r="W564" s="664"/>
      <c r="X564" s="664"/>
      <c r="Y564" s="664"/>
      <c r="Z564" s="664"/>
      <c r="AA564" s="664"/>
      <c r="AB564" s="664"/>
      <c r="AC564" s="664"/>
      <c r="AD564" s="664"/>
      <c r="AE564" s="664"/>
      <c r="AF564" s="664"/>
    </row>
    <row r="565" spans="2:32" ht="14.65">
      <c r="B565" s="653">
        <f t="shared" si="92"/>
        <v>561</v>
      </c>
      <c r="C565" s="670" t="s">
        <v>3340</v>
      </c>
      <c r="D565" s="669" t="s">
        <v>29</v>
      </c>
      <c r="E565" s="677" t="s">
        <v>3339</v>
      </c>
      <c r="F565" s="678">
        <v>44949</v>
      </c>
      <c r="G565" s="678">
        <v>44952</v>
      </c>
      <c r="H565" s="670" t="s">
        <v>763</v>
      </c>
      <c r="I565" s="672">
        <v>44952</v>
      </c>
      <c r="J565" s="679">
        <v>58852.5</v>
      </c>
      <c r="K565" s="627"/>
      <c r="L565" s="627"/>
      <c r="M565" s="627">
        <v>8977.5</v>
      </c>
      <c r="N565" s="627">
        <f t="shared" si="91"/>
        <v>49875</v>
      </c>
      <c r="O565" s="659">
        <f t="shared" si="85"/>
        <v>64</v>
      </c>
      <c r="P565" s="673">
        <v>3</v>
      </c>
      <c r="Q565" s="674">
        <f t="shared" si="93"/>
        <v>2.8246575342465752</v>
      </c>
      <c r="R565" s="675">
        <f t="shared" si="94"/>
        <v>2915</v>
      </c>
      <c r="S565" s="675">
        <f t="shared" si="95"/>
        <v>46960</v>
      </c>
      <c r="T565" s="676">
        <f t="shared" si="89"/>
        <v>0</v>
      </c>
      <c r="U565" s="676">
        <f t="shared" si="90"/>
        <v>49875</v>
      </c>
      <c r="V565" s="664"/>
      <c r="W565" s="664"/>
      <c r="X565" s="664"/>
      <c r="Y565" s="664"/>
      <c r="Z565" s="664"/>
      <c r="AA565" s="664"/>
      <c r="AB565" s="664"/>
      <c r="AC565" s="664"/>
      <c r="AD565" s="664"/>
      <c r="AE565" s="664"/>
      <c r="AF565" s="664"/>
    </row>
    <row r="566" spans="2:32" ht="14.65">
      <c r="B566" s="653">
        <f t="shared" si="92"/>
        <v>562</v>
      </c>
      <c r="C566" s="665" t="s">
        <v>287</v>
      </c>
      <c r="D566" s="666" t="s">
        <v>29</v>
      </c>
      <c r="E566" s="667" t="s">
        <v>873</v>
      </c>
      <c r="F566" s="657">
        <v>44841</v>
      </c>
      <c r="G566" s="657">
        <v>44841</v>
      </c>
      <c r="H566" s="665" t="s">
        <v>295</v>
      </c>
      <c r="I566" s="657">
        <v>44841</v>
      </c>
      <c r="J566" s="628">
        <v>980000</v>
      </c>
      <c r="K566" s="628">
        <v>60320</v>
      </c>
      <c r="L566" s="628"/>
      <c r="M566" s="628">
        <v>214374</v>
      </c>
      <c r="N566" s="628">
        <f t="shared" si="91"/>
        <v>825946</v>
      </c>
      <c r="O566" s="659">
        <f t="shared" si="85"/>
        <v>175</v>
      </c>
      <c r="P566" s="660">
        <v>8</v>
      </c>
      <c r="Q566" s="661">
        <f>P566-(O566/365)</f>
        <v>7.5205479452054798</v>
      </c>
      <c r="R566" s="701">
        <f>N566*95%/P566*O566/365</f>
        <v>47025.178938356163</v>
      </c>
      <c r="S566" s="702">
        <f>N566-R566</f>
        <v>778920.82106164389</v>
      </c>
      <c r="T566" s="663">
        <f t="shared" si="89"/>
        <v>0</v>
      </c>
      <c r="U566" s="663">
        <f t="shared" si="90"/>
        <v>825946</v>
      </c>
      <c r="V566" s="664"/>
      <c r="W566" s="664"/>
      <c r="X566" s="664"/>
      <c r="Y566" s="664"/>
      <c r="Z566" s="664"/>
      <c r="AA566" s="664"/>
      <c r="AB566" s="664"/>
      <c r="AC566" s="664"/>
      <c r="AD566" s="664"/>
      <c r="AE566" s="664"/>
      <c r="AF566" s="664"/>
    </row>
    <row r="567" spans="2:32" ht="14.65">
      <c r="B567" s="653">
        <f t="shared" si="92"/>
        <v>563</v>
      </c>
      <c r="C567" s="665" t="s">
        <v>287</v>
      </c>
      <c r="D567" s="703" t="s">
        <v>29</v>
      </c>
      <c r="E567" s="667" t="s">
        <v>550</v>
      </c>
      <c r="F567" s="657">
        <v>44777</v>
      </c>
      <c r="G567" s="657">
        <v>44782</v>
      </c>
      <c r="H567" s="665" t="s">
        <v>295</v>
      </c>
      <c r="I567" s="657">
        <v>44782</v>
      </c>
      <c r="J567" s="628">
        <v>1194980</v>
      </c>
      <c r="K567" s="628"/>
      <c r="L567" s="628"/>
      <c r="M567" s="628">
        <v>212844</v>
      </c>
      <c r="N567" s="628">
        <f t="shared" si="91"/>
        <v>982136</v>
      </c>
      <c r="O567" s="659">
        <f t="shared" ref="O567:O595" si="96">$O$1-I567</f>
        <v>234</v>
      </c>
      <c r="P567" s="660">
        <v>8</v>
      </c>
      <c r="Q567" s="661">
        <f>P567-(O567/365)</f>
        <v>7.3589041095890408</v>
      </c>
      <c r="R567" s="701">
        <f>N567*95%/P567*O567/365</f>
        <v>74770.148219178081</v>
      </c>
      <c r="S567" s="702">
        <f>N567-R567</f>
        <v>907365.85178082192</v>
      </c>
      <c r="T567" s="663">
        <f t="shared" ref="T567:T592" si="97">IF(I567&lt;=DATE(2022,9,30),N567,0)</f>
        <v>982136</v>
      </c>
      <c r="U567" s="663">
        <f t="shared" ref="U567:U615" si="98">IF(I567&gt;DATE(2022,9,30),N567,0)</f>
        <v>0</v>
      </c>
      <c r="V567" s="664"/>
      <c r="W567" s="664"/>
      <c r="X567" s="664"/>
      <c r="Y567" s="664"/>
      <c r="Z567" s="664"/>
      <c r="AA567" s="664"/>
      <c r="AB567" s="664"/>
      <c r="AC567" s="664"/>
      <c r="AD567" s="664"/>
      <c r="AE567" s="664"/>
      <c r="AF567" s="664"/>
    </row>
    <row r="568" spans="2:32" ht="14.65">
      <c r="B568" s="653">
        <f t="shared" si="92"/>
        <v>564</v>
      </c>
      <c r="C568" s="665" t="s">
        <v>287</v>
      </c>
      <c r="D568" s="703" t="s">
        <v>29</v>
      </c>
      <c r="E568" s="667">
        <v>128</v>
      </c>
      <c r="F568" s="657">
        <v>44690</v>
      </c>
      <c r="G568" s="668">
        <v>44690</v>
      </c>
      <c r="H568" s="665" t="s">
        <v>295</v>
      </c>
      <c r="I568" s="668">
        <v>44690</v>
      </c>
      <c r="J568" s="628">
        <v>957520</v>
      </c>
      <c r="K568" s="628">
        <v>57200</v>
      </c>
      <c r="L568" s="628"/>
      <c r="M568" s="628">
        <v>209456</v>
      </c>
      <c r="N568" s="628">
        <f t="shared" si="91"/>
        <v>805264</v>
      </c>
      <c r="O568" s="659">
        <f t="shared" si="96"/>
        <v>326</v>
      </c>
      <c r="P568" s="660">
        <v>8</v>
      </c>
      <c r="Q568" s="661">
        <f>P568-(O568/365)</f>
        <v>7.1068493150684935</v>
      </c>
      <c r="R568" s="701">
        <f>N568*95%/P568*O568/365</f>
        <v>85407.623561643835</v>
      </c>
      <c r="S568" s="702">
        <f>N568-R568</f>
        <v>719856.37643835612</v>
      </c>
      <c r="T568" s="663">
        <f t="shared" si="97"/>
        <v>805264</v>
      </c>
      <c r="U568" s="663">
        <f t="shared" si="98"/>
        <v>0</v>
      </c>
      <c r="V568" s="664"/>
      <c r="W568" s="664"/>
      <c r="X568" s="664"/>
      <c r="Y568" s="664"/>
      <c r="Z568" s="664"/>
      <c r="AA568" s="664"/>
      <c r="AB568" s="664"/>
      <c r="AC568" s="664"/>
      <c r="AD568" s="664"/>
      <c r="AE568" s="664"/>
      <c r="AF568" s="664"/>
    </row>
    <row r="569" spans="2:32" ht="14.65">
      <c r="B569" s="653">
        <f t="shared" si="92"/>
        <v>565</v>
      </c>
      <c r="C569" s="665" t="s">
        <v>287</v>
      </c>
      <c r="D569" s="703" t="s">
        <v>29</v>
      </c>
      <c r="E569" s="667">
        <v>226</v>
      </c>
      <c r="F569" s="657">
        <v>44721</v>
      </c>
      <c r="G569" s="668">
        <v>44721</v>
      </c>
      <c r="H569" s="665" t="s">
        <v>295</v>
      </c>
      <c r="I569" s="668">
        <v>44721</v>
      </c>
      <c r="J569" s="628">
        <v>963000</v>
      </c>
      <c r="K569" s="628"/>
      <c r="L569" s="628"/>
      <c r="M569" s="628">
        <v>210656</v>
      </c>
      <c r="N569" s="628">
        <f t="shared" si="91"/>
        <v>752344</v>
      </c>
      <c r="O569" s="659">
        <f t="shared" si="96"/>
        <v>295</v>
      </c>
      <c r="P569" s="660">
        <v>8</v>
      </c>
      <c r="Q569" s="661">
        <f>P569-(O569/365)</f>
        <v>7.1917808219178081</v>
      </c>
      <c r="R569" s="701">
        <f>N569*95%/P569*O569/365</f>
        <v>72206.98835616438</v>
      </c>
      <c r="S569" s="702">
        <f>N569-R569</f>
        <v>680137.01164383558</v>
      </c>
      <c r="T569" s="663">
        <f t="shared" si="97"/>
        <v>752344</v>
      </c>
      <c r="U569" s="663">
        <f t="shared" si="98"/>
        <v>0</v>
      </c>
      <c r="V569" s="664"/>
      <c r="W569" s="664"/>
      <c r="X569" s="664"/>
      <c r="Y569" s="664"/>
      <c r="Z569" s="664"/>
      <c r="AA569" s="664"/>
      <c r="AB569" s="664"/>
      <c r="AC569" s="664"/>
      <c r="AD569" s="664"/>
      <c r="AE569" s="664"/>
      <c r="AF569" s="664"/>
    </row>
    <row r="570" spans="2:32" ht="14.65">
      <c r="B570" s="653">
        <f t="shared" si="92"/>
        <v>566</v>
      </c>
      <c r="C570" s="669" t="s">
        <v>568</v>
      </c>
      <c r="D570" s="681" t="s">
        <v>29</v>
      </c>
      <c r="E570" s="669" t="s">
        <v>3492</v>
      </c>
      <c r="F570" s="672">
        <v>44951</v>
      </c>
      <c r="G570" s="672">
        <v>44958</v>
      </c>
      <c r="H570" s="669" t="s">
        <v>763</v>
      </c>
      <c r="I570" s="672">
        <v>44958</v>
      </c>
      <c r="J570" s="627">
        <v>557994</v>
      </c>
      <c r="K570" s="627"/>
      <c r="L570" s="627"/>
      <c r="M570" s="627">
        <v>85115</v>
      </c>
      <c r="N570" s="627">
        <f t="shared" si="91"/>
        <v>472879</v>
      </c>
      <c r="O570" s="659">
        <f t="shared" si="96"/>
        <v>58</v>
      </c>
      <c r="P570" s="673">
        <v>3</v>
      </c>
      <c r="Q570" s="674">
        <f t="shared" ref="Q570:Q615" si="99">+P570-(O570/365)</f>
        <v>2.8410958904109589</v>
      </c>
      <c r="R570" s="675">
        <f t="shared" ref="R570:R615" si="100">ROUND(+N570/(P570*365)*O570,0)</f>
        <v>25047</v>
      </c>
      <c r="S570" s="675">
        <f t="shared" ref="S570:S615" si="101">+N570-R570</f>
        <v>447832</v>
      </c>
      <c r="T570" s="676">
        <f t="shared" si="97"/>
        <v>0</v>
      </c>
      <c r="U570" s="676">
        <f t="shared" si="98"/>
        <v>472879</v>
      </c>
      <c r="V570" s="664"/>
      <c r="W570" s="664"/>
      <c r="X570" s="664"/>
      <c r="Y570" s="664"/>
      <c r="Z570" s="664"/>
      <c r="AA570" s="664"/>
      <c r="AB570" s="664"/>
      <c r="AC570" s="664"/>
      <c r="AD570" s="664"/>
      <c r="AE570" s="664"/>
      <c r="AF570" s="664"/>
    </row>
    <row r="571" spans="2:32" ht="14.65">
      <c r="B571" s="653">
        <f t="shared" si="92"/>
        <v>567</v>
      </c>
      <c r="C571" s="669" t="s">
        <v>568</v>
      </c>
      <c r="D571" s="681" t="s">
        <v>29</v>
      </c>
      <c r="E571" s="669" t="s">
        <v>3491</v>
      </c>
      <c r="F571" s="672">
        <v>44953</v>
      </c>
      <c r="G571" s="672">
        <v>44958</v>
      </c>
      <c r="H571" s="669" t="s">
        <v>763</v>
      </c>
      <c r="I571" s="672">
        <v>44958</v>
      </c>
      <c r="J571" s="627">
        <v>133242</v>
      </c>
      <c r="K571" s="627"/>
      <c r="L571" s="627"/>
      <c r="M571" s="627">
        <v>20326</v>
      </c>
      <c r="N571" s="627">
        <f t="shared" si="91"/>
        <v>112916</v>
      </c>
      <c r="O571" s="659">
        <f t="shared" si="96"/>
        <v>58</v>
      </c>
      <c r="P571" s="673">
        <v>3</v>
      </c>
      <c r="Q571" s="674">
        <f t="shared" si="99"/>
        <v>2.8410958904109589</v>
      </c>
      <c r="R571" s="675">
        <f t="shared" si="100"/>
        <v>5981</v>
      </c>
      <c r="S571" s="675">
        <f t="shared" si="101"/>
        <v>106935</v>
      </c>
      <c r="T571" s="676">
        <f t="shared" si="97"/>
        <v>0</v>
      </c>
      <c r="U571" s="676">
        <f t="shared" si="98"/>
        <v>112916</v>
      </c>
      <c r="V571" s="664"/>
      <c r="W571" s="664"/>
      <c r="X571" s="664"/>
      <c r="Y571" s="664"/>
      <c r="Z571" s="664"/>
      <c r="AA571" s="664"/>
      <c r="AB571" s="664"/>
      <c r="AC571" s="664"/>
      <c r="AD571" s="664"/>
      <c r="AE571" s="664"/>
      <c r="AF571" s="664"/>
    </row>
    <row r="572" spans="2:32" ht="14.65">
      <c r="B572" s="653">
        <f t="shared" si="92"/>
        <v>568</v>
      </c>
      <c r="C572" s="669" t="s">
        <v>568</v>
      </c>
      <c r="D572" s="681" t="s">
        <v>29</v>
      </c>
      <c r="E572" s="669" t="s">
        <v>3490</v>
      </c>
      <c r="F572" s="672">
        <v>44958</v>
      </c>
      <c r="G572" s="672">
        <v>44958</v>
      </c>
      <c r="H572" s="669" t="s">
        <v>763</v>
      </c>
      <c r="I572" s="672">
        <v>44958</v>
      </c>
      <c r="J572" s="627">
        <v>2056740</v>
      </c>
      <c r="K572" s="627"/>
      <c r="L572" s="627"/>
      <c r="M572" s="627">
        <v>313740</v>
      </c>
      <c r="N572" s="627">
        <f t="shared" si="91"/>
        <v>1743000</v>
      </c>
      <c r="O572" s="659">
        <f t="shared" si="96"/>
        <v>58</v>
      </c>
      <c r="P572" s="673">
        <v>3</v>
      </c>
      <c r="Q572" s="674">
        <f t="shared" si="99"/>
        <v>2.8410958904109589</v>
      </c>
      <c r="R572" s="675">
        <f t="shared" si="100"/>
        <v>92323</v>
      </c>
      <c r="S572" s="675">
        <f t="shared" si="101"/>
        <v>1650677</v>
      </c>
      <c r="T572" s="676">
        <f t="shared" si="97"/>
        <v>0</v>
      </c>
      <c r="U572" s="676">
        <f t="shared" si="98"/>
        <v>1743000</v>
      </c>
      <c r="V572" s="664"/>
      <c r="W572" s="664"/>
      <c r="X572" s="664"/>
      <c r="Y572" s="664"/>
      <c r="Z572" s="664"/>
      <c r="AA572" s="664"/>
      <c r="AB572" s="664"/>
      <c r="AC572" s="664"/>
      <c r="AD572" s="664"/>
      <c r="AE572" s="664"/>
      <c r="AF572" s="664"/>
    </row>
    <row r="573" spans="2:32" ht="14.65">
      <c r="B573" s="653">
        <f t="shared" si="92"/>
        <v>569</v>
      </c>
      <c r="C573" s="669" t="s">
        <v>568</v>
      </c>
      <c r="D573" s="681" t="s">
        <v>29</v>
      </c>
      <c r="E573" s="669" t="s">
        <v>3489</v>
      </c>
      <c r="F573" s="672">
        <v>44951</v>
      </c>
      <c r="G573" s="672">
        <v>44959</v>
      </c>
      <c r="H573" s="669" t="s">
        <v>763</v>
      </c>
      <c r="I573" s="672">
        <v>44959</v>
      </c>
      <c r="J573" s="627">
        <v>1125755</v>
      </c>
      <c r="K573" s="627"/>
      <c r="L573" s="627"/>
      <c r="M573" s="627">
        <v>171726</v>
      </c>
      <c r="N573" s="627">
        <f t="shared" si="91"/>
        <v>954029</v>
      </c>
      <c r="O573" s="659">
        <f t="shared" si="96"/>
        <v>57</v>
      </c>
      <c r="P573" s="673">
        <v>3</v>
      </c>
      <c r="Q573" s="674">
        <f t="shared" si="99"/>
        <v>2.8438356164383563</v>
      </c>
      <c r="R573" s="675">
        <f t="shared" si="100"/>
        <v>49662</v>
      </c>
      <c r="S573" s="675">
        <f t="shared" si="101"/>
        <v>904367</v>
      </c>
      <c r="T573" s="676">
        <f t="shared" si="97"/>
        <v>0</v>
      </c>
      <c r="U573" s="676">
        <f t="shared" si="98"/>
        <v>954029</v>
      </c>
      <c r="V573" s="664"/>
      <c r="W573" s="664"/>
      <c r="X573" s="664"/>
      <c r="Y573" s="664"/>
      <c r="Z573" s="664"/>
      <c r="AA573" s="664"/>
      <c r="AB573" s="664"/>
      <c r="AC573" s="664"/>
      <c r="AD573" s="664"/>
      <c r="AE573" s="664"/>
      <c r="AF573" s="664"/>
    </row>
    <row r="574" spans="2:32" ht="14.65">
      <c r="B574" s="653">
        <f t="shared" si="92"/>
        <v>570</v>
      </c>
      <c r="C574" s="669" t="s">
        <v>568</v>
      </c>
      <c r="D574" s="681" t="s">
        <v>29</v>
      </c>
      <c r="E574" s="669" t="s">
        <v>3488</v>
      </c>
      <c r="F574" s="672">
        <v>44951</v>
      </c>
      <c r="G574" s="672">
        <v>44959</v>
      </c>
      <c r="H574" s="669" t="s">
        <v>763</v>
      </c>
      <c r="I574" s="672">
        <v>44959</v>
      </c>
      <c r="J574" s="627">
        <v>361205</v>
      </c>
      <c r="K574" s="627"/>
      <c r="L574" s="627"/>
      <c r="M574" s="627">
        <v>55100</v>
      </c>
      <c r="N574" s="627">
        <f t="shared" si="91"/>
        <v>306105</v>
      </c>
      <c r="O574" s="659">
        <f t="shared" si="96"/>
        <v>57</v>
      </c>
      <c r="P574" s="673">
        <v>3</v>
      </c>
      <c r="Q574" s="674">
        <f t="shared" si="99"/>
        <v>2.8438356164383563</v>
      </c>
      <c r="R574" s="675">
        <f t="shared" si="100"/>
        <v>15934</v>
      </c>
      <c r="S574" s="675">
        <f t="shared" si="101"/>
        <v>290171</v>
      </c>
      <c r="T574" s="676">
        <f t="shared" si="97"/>
        <v>0</v>
      </c>
      <c r="U574" s="676">
        <f t="shared" si="98"/>
        <v>306105</v>
      </c>
      <c r="V574" s="664"/>
      <c r="W574" s="664"/>
      <c r="X574" s="664"/>
      <c r="Y574" s="664"/>
      <c r="Z574" s="664"/>
      <c r="AA574" s="664"/>
      <c r="AB574" s="664"/>
      <c r="AC574" s="664"/>
      <c r="AD574" s="664"/>
      <c r="AE574" s="664"/>
      <c r="AF574" s="664"/>
    </row>
    <row r="575" spans="2:32" ht="14.65">
      <c r="B575" s="653">
        <f t="shared" si="92"/>
        <v>571</v>
      </c>
      <c r="C575" s="669" t="s">
        <v>568</v>
      </c>
      <c r="D575" s="681" t="s">
        <v>29</v>
      </c>
      <c r="E575" s="669" t="s">
        <v>3487</v>
      </c>
      <c r="F575" s="672">
        <v>44953</v>
      </c>
      <c r="G575" s="672">
        <v>44959</v>
      </c>
      <c r="H575" s="669" t="s">
        <v>763</v>
      </c>
      <c r="I575" s="672">
        <v>44959</v>
      </c>
      <c r="J575" s="627">
        <v>1481761</v>
      </c>
      <c r="K575" s="627"/>
      <c r="L575" s="627"/>
      <c r="M575" s="627">
        <v>226032</v>
      </c>
      <c r="N575" s="627">
        <f t="shared" si="91"/>
        <v>1255729</v>
      </c>
      <c r="O575" s="659">
        <f t="shared" si="96"/>
        <v>57</v>
      </c>
      <c r="P575" s="673">
        <v>3</v>
      </c>
      <c r="Q575" s="674">
        <f t="shared" si="99"/>
        <v>2.8438356164383563</v>
      </c>
      <c r="R575" s="675">
        <f t="shared" si="100"/>
        <v>65367</v>
      </c>
      <c r="S575" s="675">
        <f t="shared" si="101"/>
        <v>1190362</v>
      </c>
      <c r="T575" s="676">
        <f t="shared" si="97"/>
        <v>0</v>
      </c>
      <c r="U575" s="676">
        <f t="shared" si="98"/>
        <v>1255729</v>
      </c>
      <c r="V575" s="664"/>
      <c r="W575" s="664"/>
      <c r="X575" s="664"/>
      <c r="Y575" s="664"/>
      <c r="Z575" s="664"/>
      <c r="AA575" s="664"/>
      <c r="AB575" s="664"/>
      <c r="AC575" s="664"/>
      <c r="AD575" s="664"/>
      <c r="AE575" s="664"/>
      <c r="AF575" s="664"/>
    </row>
    <row r="576" spans="2:32" ht="14.65">
      <c r="B576" s="653">
        <f t="shared" si="92"/>
        <v>572</v>
      </c>
      <c r="C576" s="669" t="s">
        <v>568</v>
      </c>
      <c r="D576" s="681" t="s">
        <v>29</v>
      </c>
      <c r="E576" s="669" t="s">
        <v>3486</v>
      </c>
      <c r="F576" s="672">
        <v>44953</v>
      </c>
      <c r="G576" s="672">
        <v>44959</v>
      </c>
      <c r="H576" s="669" t="s">
        <v>763</v>
      </c>
      <c r="I576" s="672">
        <v>44959</v>
      </c>
      <c r="J576" s="627">
        <v>532907</v>
      </c>
      <c r="K576" s="627"/>
      <c r="L576" s="627"/>
      <c r="M576" s="627">
        <v>81291</v>
      </c>
      <c r="N576" s="627">
        <f t="shared" si="91"/>
        <v>451616</v>
      </c>
      <c r="O576" s="659">
        <f t="shared" si="96"/>
        <v>57</v>
      </c>
      <c r="P576" s="673">
        <v>3</v>
      </c>
      <c r="Q576" s="674">
        <f t="shared" si="99"/>
        <v>2.8438356164383563</v>
      </c>
      <c r="R576" s="675">
        <f t="shared" si="100"/>
        <v>23509</v>
      </c>
      <c r="S576" s="675">
        <f t="shared" si="101"/>
        <v>428107</v>
      </c>
      <c r="T576" s="676">
        <f t="shared" si="97"/>
        <v>0</v>
      </c>
      <c r="U576" s="676">
        <f t="shared" si="98"/>
        <v>451616</v>
      </c>
      <c r="V576" s="664"/>
      <c r="W576" s="664"/>
      <c r="X576" s="664"/>
      <c r="Y576" s="664"/>
      <c r="Z576" s="664"/>
      <c r="AA576" s="664"/>
      <c r="AB576" s="664"/>
      <c r="AC576" s="664"/>
      <c r="AD576" s="664"/>
      <c r="AE576" s="664"/>
      <c r="AF576" s="664"/>
    </row>
    <row r="577" spans="2:32" ht="14.65">
      <c r="B577" s="653">
        <f t="shared" si="92"/>
        <v>573</v>
      </c>
      <c r="C577" s="669" t="s">
        <v>568</v>
      </c>
      <c r="D577" s="681" t="s">
        <v>29</v>
      </c>
      <c r="E577" s="669" t="s">
        <v>3485</v>
      </c>
      <c r="F577" s="672">
        <v>44956</v>
      </c>
      <c r="G577" s="672">
        <v>44963</v>
      </c>
      <c r="H577" s="669" t="s">
        <v>763</v>
      </c>
      <c r="I577" s="672">
        <v>44963</v>
      </c>
      <c r="J577" s="627">
        <v>2054262</v>
      </c>
      <c r="K577" s="627"/>
      <c r="L577" s="627"/>
      <c r="M577" s="627">
        <v>313362</v>
      </c>
      <c r="N577" s="627">
        <f t="shared" si="91"/>
        <v>1740900</v>
      </c>
      <c r="O577" s="659">
        <f t="shared" si="96"/>
        <v>53</v>
      </c>
      <c r="P577" s="673">
        <v>3</v>
      </c>
      <c r="Q577" s="674">
        <f t="shared" si="99"/>
        <v>2.8547945205479452</v>
      </c>
      <c r="R577" s="675">
        <f t="shared" si="100"/>
        <v>84263</v>
      </c>
      <c r="S577" s="675">
        <f t="shared" si="101"/>
        <v>1656637</v>
      </c>
      <c r="T577" s="676">
        <f t="shared" si="97"/>
        <v>0</v>
      </c>
      <c r="U577" s="676">
        <f t="shared" si="98"/>
        <v>1740900</v>
      </c>
      <c r="V577" s="664"/>
      <c r="W577" s="664"/>
      <c r="X577" s="664"/>
      <c r="Y577" s="664"/>
      <c r="Z577" s="664"/>
      <c r="AA577" s="664"/>
      <c r="AB577" s="664"/>
      <c r="AC577" s="664"/>
      <c r="AD577" s="664"/>
      <c r="AE577" s="664"/>
      <c r="AF577" s="664"/>
    </row>
    <row r="578" spans="2:32" ht="14.65">
      <c r="B578" s="653">
        <f t="shared" si="92"/>
        <v>574</v>
      </c>
      <c r="C578" s="669" t="s">
        <v>568</v>
      </c>
      <c r="D578" s="681" t="s">
        <v>29</v>
      </c>
      <c r="E578" s="669" t="s">
        <v>3484</v>
      </c>
      <c r="F578" s="672">
        <v>44964</v>
      </c>
      <c r="G578" s="672">
        <v>44963</v>
      </c>
      <c r="H578" s="669" t="s">
        <v>763</v>
      </c>
      <c r="I578" s="672">
        <v>44964</v>
      </c>
      <c r="J578" s="627">
        <v>129021</v>
      </c>
      <c r="K578" s="627"/>
      <c r="L578" s="627"/>
      <c r="M578" s="627">
        <v>19682</v>
      </c>
      <c r="N578" s="627">
        <f t="shared" si="91"/>
        <v>109339</v>
      </c>
      <c r="O578" s="659">
        <f t="shared" si="96"/>
        <v>52</v>
      </c>
      <c r="P578" s="673">
        <v>3</v>
      </c>
      <c r="Q578" s="674">
        <f t="shared" si="99"/>
        <v>2.8575342465753426</v>
      </c>
      <c r="R578" s="675">
        <f t="shared" si="100"/>
        <v>5192</v>
      </c>
      <c r="S578" s="675">
        <f t="shared" si="101"/>
        <v>104147</v>
      </c>
      <c r="T578" s="676">
        <f t="shared" si="97"/>
        <v>0</v>
      </c>
      <c r="U578" s="676">
        <f t="shared" si="98"/>
        <v>109339</v>
      </c>
      <c r="V578" s="664"/>
      <c r="W578" s="664"/>
      <c r="X578" s="664"/>
      <c r="Y578" s="664"/>
      <c r="Z578" s="664"/>
      <c r="AA578" s="664"/>
      <c r="AB578" s="664"/>
      <c r="AC578" s="664"/>
      <c r="AD578" s="664"/>
      <c r="AE578" s="664"/>
      <c r="AF578" s="664"/>
    </row>
    <row r="579" spans="2:32" ht="14.65">
      <c r="B579" s="653">
        <f t="shared" si="92"/>
        <v>575</v>
      </c>
      <c r="C579" s="669" t="s">
        <v>568</v>
      </c>
      <c r="D579" s="681" t="s">
        <v>29</v>
      </c>
      <c r="E579" s="669" t="s">
        <v>3483</v>
      </c>
      <c r="F579" s="672">
        <v>44964</v>
      </c>
      <c r="G579" s="672">
        <v>44964</v>
      </c>
      <c r="H579" s="669" t="s">
        <v>763</v>
      </c>
      <c r="I579" s="672">
        <v>44964</v>
      </c>
      <c r="J579" s="627">
        <v>1926893</v>
      </c>
      <c r="K579" s="627"/>
      <c r="L579" s="627"/>
      <c r="M579" s="627">
        <v>293933</v>
      </c>
      <c r="N579" s="627">
        <f t="shared" si="91"/>
        <v>1632960</v>
      </c>
      <c r="O579" s="659">
        <f t="shared" si="96"/>
        <v>52</v>
      </c>
      <c r="P579" s="673">
        <v>3</v>
      </c>
      <c r="Q579" s="674">
        <f t="shared" si="99"/>
        <v>2.8575342465753426</v>
      </c>
      <c r="R579" s="675">
        <f t="shared" si="100"/>
        <v>77547</v>
      </c>
      <c r="S579" s="675">
        <f t="shared" si="101"/>
        <v>1555413</v>
      </c>
      <c r="T579" s="676">
        <f t="shared" si="97"/>
        <v>0</v>
      </c>
      <c r="U579" s="676">
        <f t="shared" si="98"/>
        <v>1632960</v>
      </c>
      <c r="V579" s="664"/>
      <c r="W579" s="664"/>
      <c r="X579" s="664"/>
      <c r="Y579" s="664"/>
      <c r="Z579" s="664"/>
      <c r="AA579" s="664"/>
      <c r="AB579" s="664"/>
      <c r="AC579" s="664"/>
      <c r="AD579" s="664"/>
      <c r="AE579" s="664"/>
      <c r="AF579" s="664"/>
    </row>
    <row r="580" spans="2:32" ht="14.65">
      <c r="B580" s="653">
        <f t="shared" si="92"/>
        <v>576</v>
      </c>
      <c r="C580" s="669" t="s">
        <v>302</v>
      </c>
      <c r="D580" s="681" t="s">
        <v>29</v>
      </c>
      <c r="E580" s="669" t="s">
        <v>3482</v>
      </c>
      <c r="F580" s="672">
        <v>44966</v>
      </c>
      <c r="G580" s="672">
        <v>44964</v>
      </c>
      <c r="H580" s="669" t="s">
        <v>3481</v>
      </c>
      <c r="I580" s="672">
        <v>44966</v>
      </c>
      <c r="J580" s="627">
        <v>1805400</v>
      </c>
      <c r="K580" s="627"/>
      <c r="L580" s="627"/>
      <c r="M580" s="627">
        <v>275400</v>
      </c>
      <c r="N580" s="627">
        <f t="shared" si="91"/>
        <v>1530000</v>
      </c>
      <c r="O580" s="659">
        <f t="shared" si="96"/>
        <v>50</v>
      </c>
      <c r="P580" s="673">
        <v>3</v>
      </c>
      <c r="Q580" s="674">
        <f t="shared" si="99"/>
        <v>2.8630136986301369</v>
      </c>
      <c r="R580" s="675">
        <f t="shared" si="100"/>
        <v>69863</v>
      </c>
      <c r="S580" s="675">
        <f t="shared" si="101"/>
        <v>1460137</v>
      </c>
      <c r="T580" s="676">
        <f t="shared" si="97"/>
        <v>0</v>
      </c>
      <c r="U580" s="676">
        <f t="shared" si="98"/>
        <v>1530000</v>
      </c>
      <c r="V580" s="664"/>
      <c r="W580" s="664"/>
      <c r="X580" s="664"/>
      <c r="Y580" s="664"/>
      <c r="Z580" s="664"/>
      <c r="AA580" s="664"/>
      <c r="AB580" s="664"/>
      <c r="AC580" s="664"/>
      <c r="AD580" s="664"/>
      <c r="AE580" s="664"/>
      <c r="AF580" s="664"/>
    </row>
    <row r="581" spans="2:32" ht="14.65">
      <c r="B581" s="653">
        <f t="shared" si="92"/>
        <v>577</v>
      </c>
      <c r="C581" s="669" t="s">
        <v>568</v>
      </c>
      <c r="D581" s="681" t="s">
        <v>29</v>
      </c>
      <c r="E581" s="669" t="s">
        <v>3480</v>
      </c>
      <c r="F581" s="672">
        <v>44967</v>
      </c>
      <c r="G581" s="672">
        <v>44967</v>
      </c>
      <c r="H581" s="669" t="s">
        <v>763</v>
      </c>
      <c r="I581" s="672">
        <v>44967</v>
      </c>
      <c r="J581" s="627">
        <v>1966706</v>
      </c>
      <c r="K581" s="627"/>
      <c r="L581" s="627"/>
      <c r="M581" s="627">
        <v>300006</v>
      </c>
      <c r="N581" s="627">
        <f t="shared" ref="N581:N603" si="102">J581+K581-L581-M581</f>
        <v>1666700</v>
      </c>
      <c r="O581" s="659">
        <f t="shared" si="96"/>
        <v>49</v>
      </c>
      <c r="P581" s="673">
        <v>3</v>
      </c>
      <c r="Q581" s="674">
        <f t="shared" si="99"/>
        <v>2.8657534246575342</v>
      </c>
      <c r="R581" s="675">
        <f t="shared" si="100"/>
        <v>74583</v>
      </c>
      <c r="S581" s="675">
        <f t="shared" si="101"/>
        <v>1592117</v>
      </c>
      <c r="T581" s="676">
        <f t="shared" si="97"/>
        <v>0</v>
      </c>
      <c r="U581" s="676">
        <f t="shared" si="98"/>
        <v>1666700</v>
      </c>
      <c r="V581" s="664"/>
      <c r="W581" s="664"/>
      <c r="X581" s="664"/>
      <c r="Y581" s="664"/>
      <c r="Z581" s="664"/>
      <c r="AA581" s="664"/>
      <c r="AB581" s="664"/>
      <c r="AC581" s="664"/>
      <c r="AD581" s="664"/>
      <c r="AE581" s="664"/>
      <c r="AF581" s="664"/>
    </row>
    <row r="582" spans="2:32" ht="14.65">
      <c r="B582" s="653">
        <f t="shared" si="92"/>
        <v>578</v>
      </c>
      <c r="C582" s="669" t="s">
        <v>568</v>
      </c>
      <c r="D582" s="681" t="s">
        <v>29</v>
      </c>
      <c r="E582" s="669" t="s">
        <v>3479</v>
      </c>
      <c r="F582" s="672">
        <v>44970</v>
      </c>
      <c r="G582" s="672">
        <v>44970</v>
      </c>
      <c r="H582" s="669" t="s">
        <v>763</v>
      </c>
      <c r="I582" s="672">
        <v>44970</v>
      </c>
      <c r="J582" s="627">
        <v>82600</v>
      </c>
      <c r="K582" s="627"/>
      <c r="L582" s="627"/>
      <c r="M582" s="627">
        <v>12600</v>
      </c>
      <c r="N582" s="627">
        <f t="shared" si="102"/>
        <v>70000</v>
      </c>
      <c r="O582" s="659">
        <f t="shared" si="96"/>
        <v>46</v>
      </c>
      <c r="P582" s="673">
        <v>3</v>
      </c>
      <c r="Q582" s="674">
        <f t="shared" si="99"/>
        <v>2.8739726027397259</v>
      </c>
      <c r="R582" s="675">
        <f t="shared" si="100"/>
        <v>2941</v>
      </c>
      <c r="S582" s="675">
        <f t="shared" si="101"/>
        <v>67059</v>
      </c>
      <c r="T582" s="676">
        <f t="shared" si="97"/>
        <v>0</v>
      </c>
      <c r="U582" s="676">
        <f t="shared" si="98"/>
        <v>70000</v>
      </c>
      <c r="V582" s="664"/>
      <c r="W582" s="664"/>
      <c r="X582" s="664"/>
      <c r="Y582" s="664"/>
      <c r="Z582" s="664"/>
      <c r="AA582" s="664"/>
      <c r="AB582" s="664"/>
      <c r="AC582" s="664"/>
      <c r="AD582" s="664"/>
      <c r="AE582" s="664"/>
      <c r="AF582" s="664"/>
    </row>
    <row r="583" spans="2:32" ht="14.65">
      <c r="B583" s="653">
        <f t="shared" si="92"/>
        <v>579</v>
      </c>
      <c r="C583" s="669" t="s">
        <v>568</v>
      </c>
      <c r="D583" s="681" t="s">
        <v>29</v>
      </c>
      <c r="E583" s="669" t="s">
        <v>3478</v>
      </c>
      <c r="F583" s="672">
        <v>44970</v>
      </c>
      <c r="G583" s="672">
        <v>44972</v>
      </c>
      <c r="H583" s="669" t="s">
        <v>763</v>
      </c>
      <c r="I583" s="672">
        <v>44972</v>
      </c>
      <c r="J583" s="627">
        <v>1997508</v>
      </c>
      <c r="K583" s="627"/>
      <c r="L583" s="627"/>
      <c r="M583" s="627">
        <v>304705</v>
      </c>
      <c r="N583" s="627">
        <f t="shared" si="102"/>
        <v>1692803</v>
      </c>
      <c r="O583" s="659">
        <f t="shared" si="96"/>
        <v>44</v>
      </c>
      <c r="P583" s="673">
        <v>3</v>
      </c>
      <c r="Q583" s="674">
        <f t="shared" si="99"/>
        <v>2.8794520547945206</v>
      </c>
      <c r="R583" s="675">
        <f t="shared" si="100"/>
        <v>68021</v>
      </c>
      <c r="S583" s="675">
        <f t="shared" si="101"/>
        <v>1624782</v>
      </c>
      <c r="T583" s="676">
        <f t="shared" si="97"/>
        <v>0</v>
      </c>
      <c r="U583" s="676">
        <f t="shared" si="98"/>
        <v>1692803</v>
      </c>
      <c r="V583" s="664"/>
      <c r="W583" s="664"/>
      <c r="X583" s="664"/>
      <c r="Y583" s="664"/>
      <c r="Z583" s="664"/>
      <c r="AA583" s="664"/>
      <c r="AB583" s="664"/>
      <c r="AC583" s="664"/>
      <c r="AD583" s="664"/>
      <c r="AE583" s="664"/>
      <c r="AF583" s="664"/>
    </row>
    <row r="584" spans="2:32" ht="14.65">
      <c r="B584" s="653">
        <f t="shared" si="92"/>
        <v>580</v>
      </c>
      <c r="C584" s="669" t="s">
        <v>568</v>
      </c>
      <c r="D584" s="681" t="s">
        <v>29</v>
      </c>
      <c r="E584" s="669" t="s">
        <v>3477</v>
      </c>
      <c r="F584" s="672">
        <v>44974</v>
      </c>
      <c r="G584" s="672">
        <v>44974</v>
      </c>
      <c r="H584" s="669" t="s">
        <v>763</v>
      </c>
      <c r="I584" s="672">
        <v>44974</v>
      </c>
      <c r="J584" s="627">
        <v>2047538</v>
      </c>
      <c r="K584" s="627"/>
      <c r="L584" s="627"/>
      <c r="M584" s="627">
        <v>312337</v>
      </c>
      <c r="N584" s="627">
        <f t="shared" si="102"/>
        <v>1735201</v>
      </c>
      <c r="O584" s="659">
        <f t="shared" si="96"/>
        <v>42</v>
      </c>
      <c r="P584" s="673">
        <v>3</v>
      </c>
      <c r="Q584" s="674">
        <f t="shared" si="99"/>
        <v>2.8849315068493149</v>
      </c>
      <c r="R584" s="675">
        <f t="shared" si="100"/>
        <v>66556</v>
      </c>
      <c r="S584" s="675">
        <f t="shared" si="101"/>
        <v>1668645</v>
      </c>
      <c r="T584" s="676">
        <f t="shared" si="97"/>
        <v>0</v>
      </c>
      <c r="U584" s="676">
        <f t="shared" si="98"/>
        <v>1735201</v>
      </c>
      <c r="V584" s="664"/>
      <c r="W584" s="664"/>
      <c r="X584" s="664"/>
      <c r="Y584" s="664"/>
      <c r="Z584" s="664"/>
      <c r="AA584" s="664"/>
      <c r="AB584" s="664"/>
      <c r="AC584" s="664"/>
      <c r="AD584" s="664"/>
      <c r="AE584" s="664"/>
      <c r="AF584" s="664"/>
    </row>
    <row r="585" spans="2:32" ht="14.65">
      <c r="B585" s="653">
        <f t="shared" ref="B585:B647" si="103">+B584+1</f>
        <v>581</v>
      </c>
      <c r="C585" s="669" t="s">
        <v>578</v>
      </c>
      <c r="D585" s="681" t="s">
        <v>29</v>
      </c>
      <c r="E585" s="669" t="s">
        <v>3476</v>
      </c>
      <c r="F585" s="672">
        <v>44974</v>
      </c>
      <c r="G585" s="672">
        <v>44974</v>
      </c>
      <c r="H585" s="669" t="s">
        <v>403</v>
      </c>
      <c r="I585" s="672">
        <v>44974</v>
      </c>
      <c r="J585" s="627">
        <v>1155810</v>
      </c>
      <c r="K585" s="627"/>
      <c r="L585" s="627"/>
      <c r="M585" s="627">
        <v>176310</v>
      </c>
      <c r="N585" s="627">
        <f t="shared" si="102"/>
        <v>979500</v>
      </c>
      <c r="O585" s="659">
        <f t="shared" si="96"/>
        <v>42</v>
      </c>
      <c r="P585" s="673">
        <v>9</v>
      </c>
      <c r="Q585" s="674">
        <f t="shared" si="99"/>
        <v>8.8849315068493144</v>
      </c>
      <c r="R585" s="675">
        <f t="shared" si="100"/>
        <v>12523</v>
      </c>
      <c r="S585" s="675">
        <f t="shared" si="101"/>
        <v>966977</v>
      </c>
      <c r="T585" s="676">
        <f t="shared" si="97"/>
        <v>0</v>
      </c>
      <c r="U585" s="676">
        <f t="shared" si="98"/>
        <v>979500</v>
      </c>
      <c r="V585" s="664"/>
      <c r="W585" s="664"/>
      <c r="X585" s="664"/>
      <c r="Y585" s="664"/>
      <c r="Z585" s="664"/>
      <c r="AA585" s="664"/>
      <c r="AB585" s="664"/>
      <c r="AC585" s="664"/>
      <c r="AD585" s="664"/>
      <c r="AE585" s="664"/>
      <c r="AF585" s="664"/>
    </row>
    <row r="586" spans="2:32" ht="14.65">
      <c r="B586" s="653">
        <f t="shared" si="103"/>
        <v>582</v>
      </c>
      <c r="C586" s="669" t="s">
        <v>562</v>
      </c>
      <c r="D586" s="681" t="s">
        <v>29</v>
      </c>
      <c r="E586" s="669">
        <v>833058435</v>
      </c>
      <c r="F586" s="672">
        <v>44977</v>
      </c>
      <c r="G586" s="672">
        <v>44977</v>
      </c>
      <c r="H586" s="669" t="s">
        <v>3347</v>
      </c>
      <c r="I586" s="672">
        <v>44977</v>
      </c>
      <c r="J586" s="627">
        <v>42522480</v>
      </c>
      <c r="K586" s="627"/>
      <c r="L586" s="627">
        <v>42480</v>
      </c>
      <c r="M586" s="627">
        <v>6480000</v>
      </c>
      <c r="N586" s="627">
        <f t="shared" si="102"/>
        <v>36000000</v>
      </c>
      <c r="O586" s="659">
        <f t="shared" si="96"/>
        <v>39</v>
      </c>
      <c r="P586" s="673">
        <v>9</v>
      </c>
      <c r="Q586" s="674">
        <f t="shared" si="99"/>
        <v>8.8931506849315074</v>
      </c>
      <c r="R586" s="675">
        <f t="shared" si="100"/>
        <v>427397</v>
      </c>
      <c r="S586" s="675">
        <f t="shared" si="101"/>
        <v>35572603</v>
      </c>
      <c r="T586" s="676">
        <f t="shared" si="97"/>
        <v>0</v>
      </c>
      <c r="U586" s="676">
        <f t="shared" si="98"/>
        <v>36000000</v>
      </c>
      <c r="V586" s="664"/>
      <c r="W586" s="664"/>
      <c r="X586" s="664"/>
      <c r="Y586" s="664"/>
      <c r="Z586" s="664"/>
      <c r="AA586" s="664"/>
      <c r="AB586" s="664"/>
      <c r="AC586" s="664"/>
      <c r="AD586" s="664"/>
      <c r="AE586" s="664"/>
      <c r="AF586" s="664"/>
    </row>
    <row r="587" spans="2:32" ht="14.65">
      <c r="B587" s="653">
        <f t="shared" si="103"/>
        <v>583</v>
      </c>
      <c r="C587" s="669" t="s">
        <v>568</v>
      </c>
      <c r="D587" s="681" t="s">
        <v>29</v>
      </c>
      <c r="E587" s="669" t="s">
        <v>3475</v>
      </c>
      <c r="F587" s="672">
        <v>44978</v>
      </c>
      <c r="G587" s="672">
        <v>44978</v>
      </c>
      <c r="H587" s="669" t="s">
        <v>763</v>
      </c>
      <c r="I587" s="672">
        <v>44978</v>
      </c>
      <c r="J587" s="627">
        <v>1946056</v>
      </c>
      <c r="K587" s="627"/>
      <c r="L587" s="627"/>
      <c r="M587" s="627">
        <v>296856</v>
      </c>
      <c r="N587" s="627">
        <f t="shared" si="102"/>
        <v>1649200</v>
      </c>
      <c r="O587" s="659">
        <f t="shared" si="96"/>
        <v>38</v>
      </c>
      <c r="P587" s="673">
        <v>3</v>
      </c>
      <c r="Q587" s="674">
        <f t="shared" si="99"/>
        <v>2.8958904109589043</v>
      </c>
      <c r="R587" s="675">
        <f t="shared" si="100"/>
        <v>57233</v>
      </c>
      <c r="S587" s="675">
        <f t="shared" si="101"/>
        <v>1591967</v>
      </c>
      <c r="T587" s="676">
        <f t="shared" si="97"/>
        <v>0</v>
      </c>
      <c r="U587" s="676">
        <f t="shared" si="98"/>
        <v>1649200</v>
      </c>
      <c r="V587" s="664"/>
      <c r="W587" s="664"/>
      <c r="X587" s="664"/>
      <c r="Y587" s="664"/>
      <c r="Z587" s="664"/>
      <c r="AA587" s="664"/>
      <c r="AB587" s="664"/>
      <c r="AC587" s="664"/>
      <c r="AD587" s="664"/>
      <c r="AE587" s="664"/>
      <c r="AF587" s="664"/>
    </row>
    <row r="588" spans="2:32" ht="14.65">
      <c r="B588" s="653">
        <f t="shared" si="103"/>
        <v>584</v>
      </c>
      <c r="C588" s="669" t="s">
        <v>2030</v>
      </c>
      <c r="D588" s="681" t="s">
        <v>29</v>
      </c>
      <c r="E588" s="669" t="s">
        <v>3474</v>
      </c>
      <c r="F588" s="672">
        <v>44948</v>
      </c>
      <c r="G588" s="672">
        <v>44978</v>
      </c>
      <c r="H588" s="669" t="s">
        <v>3473</v>
      </c>
      <c r="I588" s="672">
        <v>44978</v>
      </c>
      <c r="J588" s="627">
        <v>908600</v>
      </c>
      <c r="K588" s="627"/>
      <c r="L588" s="627"/>
      <c r="M588" s="627">
        <v>138600</v>
      </c>
      <c r="N588" s="627">
        <f t="shared" si="102"/>
        <v>770000</v>
      </c>
      <c r="O588" s="659">
        <f t="shared" si="96"/>
        <v>38</v>
      </c>
      <c r="P588" s="673">
        <v>9</v>
      </c>
      <c r="Q588" s="674">
        <f t="shared" si="99"/>
        <v>8.8958904109589039</v>
      </c>
      <c r="R588" s="675">
        <f t="shared" si="100"/>
        <v>8907</v>
      </c>
      <c r="S588" s="675">
        <f t="shared" si="101"/>
        <v>761093</v>
      </c>
      <c r="T588" s="676">
        <f t="shared" si="97"/>
        <v>0</v>
      </c>
      <c r="U588" s="676">
        <f t="shared" si="98"/>
        <v>770000</v>
      </c>
      <c r="V588" s="664"/>
      <c r="W588" s="664"/>
      <c r="X588" s="664"/>
      <c r="Y588" s="664"/>
      <c r="Z588" s="664"/>
      <c r="AA588" s="664"/>
      <c r="AB588" s="664"/>
      <c r="AC588" s="664"/>
      <c r="AD588" s="664"/>
      <c r="AE588" s="664"/>
      <c r="AF588" s="664"/>
    </row>
    <row r="589" spans="2:32" ht="14.65">
      <c r="B589" s="653">
        <f t="shared" si="103"/>
        <v>585</v>
      </c>
      <c r="C589" s="669" t="s">
        <v>578</v>
      </c>
      <c r="D589" s="681" t="s">
        <v>29</v>
      </c>
      <c r="E589" s="669" t="s">
        <v>3472</v>
      </c>
      <c r="F589" s="672">
        <v>44979</v>
      </c>
      <c r="G589" s="672">
        <v>44979</v>
      </c>
      <c r="H589" s="669" t="s">
        <v>403</v>
      </c>
      <c r="I589" s="672">
        <v>44979</v>
      </c>
      <c r="J589" s="627">
        <v>1155810</v>
      </c>
      <c r="K589" s="627"/>
      <c r="L589" s="627"/>
      <c r="M589" s="627">
        <v>176310</v>
      </c>
      <c r="N589" s="627">
        <f t="shared" si="102"/>
        <v>979500</v>
      </c>
      <c r="O589" s="659">
        <f t="shared" si="96"/>
        <v>37</v>
      </c>
      <c r="P589" s="673">
        <v>9</v>
      </c>
      <c r="Q589" s="674">
        <f t="shared" si="99"/>
        <v>8.8986301369863021</v>
      </c>
      <c r="R589" s="675">
        <f t="shared" si="100"/>
        <v>11032</v>
      </c>
      <c r="S589" s="675">
        <f t="shared" si="101"/>
        <v>968468</v>
      </c>
      <c r="T589" s="676">
        <f t="shared" si="97"/>
        <v>0</v>
      </c>
      <c r="U589" s="676">
        <f t="shared" si="98"/>
        <v>979500</v>
      </c>
      <c r="V589" s="664"/>
      <c r="W589" s="664"/>
      <c r="X589" s="664"/>
      <c r="Y589" s="664"/>
      <c r="Z589" s="664"/>
      <c r="AA589" s="664"/>
      <c r="AB589" s="664"/>
      <c r="AC589" s="664"/>
      <c r="AD589" s="664"/>
      <c r="AE589" s="664"/>
      <c r="AF589" s="664"/>
    </row>
    <row r="590" spans="2:32" ht="14.65">
      <c r="B590" s="653">
        <f t="shared" si="103"/>
        <v>586</v>
      </c>
      <c r="C590" s="669" t="s">
        <v>3380</v>
      </c>
      <c r="D590" s="681" t="s">
        <v>29</v>
      </c>
      <c r="E590" s="669" t="s">
        <v>3471</v>
      </c>
      <c r="F590" s="672">
        <v>44980</v>
      </c>
      <c r="G590" s="672">
        <v>44980</v>
      </c>
      <c r="H590" s="669" t="s">
        <v>406</v>
      </c>
      <c r="I590" s="672">
        <v>44980</v>
      </c>
      <c r="J590" s="627">
        <v>497423</v>
      </c>
      <c r="K590" s="627"/>
      <c r="L590" s="627"/>
      <c r="M590" s="627">
        <v>75879</v>
      </c>
      <c r="N590" s="627">
        <f t="shared" si="102"/>
        <v>421544</v>
      </c>
      <c r="O590" s="659">
        <f t="shared" si="96"/>
        <v>36</v>
      </c>
      <c r="P590" s="673">
        <v>9</v>
      </c>
      <c r="Q590" s="674">
        <f t="shared" si="99"/>
        <v>8.9013698630136986</v>
      </c>
      <c r="R590" s="675">
        <f t="shared" si="100"/>
        <v>4620</v>
      </c>
      <c r="S590" s="675">
        <f t="shared" si="101"/>
        <v>416924</v>
      </c>
      <c r="T590" s="676">
        <f t="shared" si="97"/>
        <v>0</v>
      </c>
      <c r="U590" s="676">
        <f t="shared" si="98"/>
        <v>421544</v>
      </c>
      <c r="V590" s="664"/>
      <c r="W590" s="664"/>
      <c r="X590" s="664"/>
      <c r="Y590" s="664"/>
      <c r="Z590" s="664"/>
      <c r="AA590" s="664"/>
      <c r="AB590" s="664"/>
      <c r="AC590" s="664"/>
      <c r="AD590" s="664"/>
      <c r="AE590" s="664"/>
      <c r="AF590" s="664"/>
    </row>
    <row r="591" spans="2:32" ht="14.65">
      <c r="B591" s="653">
        <f t="shared" si="103"/>
        <v>587</v>
      </c>
      <c r="C591" s="669" t="s">
        <v>583</v>
      </c>
      <c r="D591" s="681" t="s">
        <v>29</v>
      </c>
      <c r="E591" s="669" t="s">
        <v>3470</v>
      </c>
      <c r="F591" s="672">
        <v>44978</v>
      </c>
      <c r="G591" s="672">
        <v>44985</v>
      </c>
      <c r="H591" s="669" t="s">
        <v>410</v>
      </c>
      <c r="I591" s="672">
        <v>44985</v>
      </c>
      <c r="J591" s="627">
        <v>342200</v>
      </c>
      <c r="K591" s="627">
        <v>15300</v>
      </c>
      <c r="L591" s="627"/>
      <c r="M591" s="627">
        <v>52200</v>
      </c>
      <c r="N591" s="627">
        <f t="shared" si="102"/>
        <v>305300</v>
      </c>
      <c r="O591" s="659">
        <f t="shared" si="96"/>
        <v>31</v>
      </c>
      <c r="P591" s="673">
        <v>9</v>
      </c>
      <c r="Q591" s="674">
        <f t="shared" si="99"/>
        <v>8.9150684931506845</v>
      </c>
      <c r="R591" s="675">
        <f t="shared" si="100"/>
        <v>2881</v>
      </c>
      <c r="S591" s="675">
        <f t="shared" si="101"/>
        <v>302419</v>
      </c>
      <c r="T591" s="676">
        <f t="shared" si="97"/>
        <v>0</v>
      </c>
      <c r="U591" s="676">
        <f t="shared" si="98"/>
        <v>305300</v>
      </c>
      <c r="V591" s="664"/>
      <c r="W591" s="664"/>
      <c r="X591" s="664"/>
      <c r="Y591" s="664"/>
      <c r="Z591" s="664"/>
      <c r="AA591" s="664"/>
      <c r="AB591" s="664"/>
      <c r="AC591" s="664"/>
      <c r="AD591" s="664"/>
      <c r="AE591" s="664"/>
      <c r="AF591" s="664"/>
    </row>
    <row r="592" spans="2:32" ht="14.65">
      <c r="B592" s="653">
        <f t="shared" si="103"/>
        <v>588</v>
      </c>
      <c r="C592" s="669" t="s">
        <v>570</v>
      </c>
      <c r="D592" s="681" t="s">
        <v>29</v>
      </c>
      <c r="E592" s="669">
        <v>358</v>
      </c>
      <c r="F592" s="672">
        <v>44979</v>
      </c>
      <c r="G592" s="672">
        <v>44979</v>
      </c>
      <c r="H592" s="669" t="s">
        <v>757</v>
      </c>
      <c r="I592" s="672">
        <v>44979</v>
      </c>
      <c r="J592" s="627">
        <v>484838</v>
      </c>
      <c r="K592" s="627"/>
      <c r="L592" s="627"/>
      <c r="M592" s="627">
        <v>73959</v>
      </c>
      <c r="N592" s="627">
        <f t="shared" si="102"/>
        <v>410879</v>
      </c>
      <c r="O592" s="659">
        <f t="shared" si="96"/>
        <v>37</v>
      </c>
      <c r="P592" s="673">
        <v>9</v>
      </c>
      <c r="Q592" s="674">
        <f t="shared" si="99"/>
        <v>8.8986301369863021</v>
      </c>
      <c r="R592" s="675">
        <f t="shared" si="100"/>
        <v>4628</v>
      </c>
      <c r="S592" s="675">
        <f t="shared" si="101"/>
        <v>406251</v>
      </c>
      <c r="T592" s="676">
        <f t="shared" si="97"/>
        <v>0</v>
      </c>
      <c r="U592" s="676">
        <f t="shared" si="98"/>
        <v>410879</v>
      </c>
      <c r="V592" s="664"/>
      <c r="W592" s="664"/>
      <c r="X592" s="664"/>
      <c r="Y592" s="664"/>
      <c r="Z592" s="664"/>
      <c r="AA592" s="664"/>
      <c r="AB592" s="664"/>
      <c r="AC592" s="664"/>
      <c r="AD592" s="664"/>
      <c r="AE592" s="664"/>
      <c r="AF592" s="664"/>
    </row>
    <row r="593" spans="2:32" ht="14.65">
      <c r="B593" s="653">
        <f t="shared" si="103"/>
        <v>589</v>
      </c>
      <c r="C593" s="669" t="s">
        <v>568</v>
      </c>
      <c r="D593" s="681" t="s">
        <v>29</v>
      </c>
      <c r="E593" s="669" t="s">
        <v>3545</v>
      </c>
      <c r="F593" s="672">
        <v>44982</v>
      </c>
      <c r="G593" s="672">
        <v>44988</v>
      </c>
      <c r="H593" s="669" t="s">
        <v>568</v>
      </c>
      <c r="I593" s="672">
        <v>44988</v>
      </c>
      <c r="J593" s="627">
        <v>2012962</v>
      </c>
      <c r="K593" s="627"/>
      <c r="L593" s="627"/>
      <c r="M593" s="627">
        <v>307062</v>
      </c>
      <c r="N593" s="627">
        <f t="shared" si="102"/>
        <v>1705900</v>
      </c>
      <c r="O593" s="682">
        <f t="shared" si="96"/>
        <v>28</v>
      </c>
      <c r="P593" s="673">
        <v>3</v>
      </c>
      <c r="Q593" s="674">
        <f t="shared" si="99"/>
        <v>2.9232876712328766</v>
      </c>
      <c r="R593" s="675">
        <f t="shared" si="100"/>
        <v>43621</v>
      </c>
      <c r="S593" s="675">
        <f t="shared" si="101"/>
        <v>1662279</v>
      </c>
      <c r="T593" s="676"/>
      <c r="U593" s="676">
        <f t="shared" si="98"/>
        <v>1705900</v>
      </c>
      <c r="V593" s="664"/>
      <c r="W593" s="664"/>
      <c r="X593" s="664"/>
      <c r="Y593" s="664"/>
      <c r="Z593" s="664"/>
      <c r="AA593" s="664"/>
      <c r="AB593" s="664"/>
      <c r="AC593" s="664"/>
      <c r="AD593" s="664"/>
      <c r="AE593" s="664"/>
      <c r="AF593" s="664"/>
    </row>
    <row r="594" spans="2:32" ht="14.65">
      <c r="B594" s="653">
        <f t="shared" si="103"/>
        <v>590</v>
      </c>
      <c r="C594" s="669" t="s">
        <v>568</v>
      </c>
      <c r="D594" s="681" t="s">
        <v>29</v>
      </c>
      <c r="E594" s="669" t="s">
        <v>3546</v>
      </c>
      <c r="F594" s="672">
        <v>44984</v>
      </c>
      <c r="G594" s="672">
        <v>44988</v>
      </c>
      <c r="H594" s="669" t="s">
        <v>763</v>
      </c>
      <c r="I594" s="672">
        <v>44988</v>
      </c>
      <c r="J594" s="627">
        <v>2163707</v>
      </c>
      <c r="K594" s="627"/>
      <c r="L594" s="627"/>
      <c r="M594" s="627">
        <v>330057</v>
      </c>
      <c r="N594" s="627">
        <f t="shared" si="102"/>
        <v>1833650</v>
      </c>
      <c r="O594" s="682">
        <f t="shared" si="96"/>
        <v>28</v>
      </c>
      <c r="P594" s="673">
        <v>3</v>
      </c>
      <c r="Q594" s="674">
        <f t="shared" si="99"/>
        <v>2.9232876712328766</v>
      </c>
      <c r="R594" s="675">
        <f t="shared" si="100"/>
        <v>46888</v>
      </c>
      <c r="S594" s="675">
        <f t="shared" si="101"/>
        <v>1786762</v>
      </c>
      <c r="T594" s="676"/>
      <c r="U594" s="676">
        <f t="shared" si="98"/>
        <v>1833650</v>
      </c>
      <c r="V594" s="664"/>
      <c r="W594" s="664"/>
      <c r="X594" s="664"/>
      <c r="Y594" s="664"/>
      <c r="Z594" s="664"/>
      <c r="AA594" s="664"/>
      <c r="AB594" s="664"/>
      <c r="AC594" s="664"/>
      <c r="AD594" s="664"/>
      <c r="AE594" s="664"/>
      <c r="AF594" s="664"/>
    </row>
    <row r="595" spans="2:32" ht="14.65">
      <c r="B595" s="653">
        <f t="shared" si="103"/>
        <v>591</v>
      </c>
      <c r="C595" s="669" t="s">
        <v>568</v>
      </c>
      <c r="D595" s="681" t="s">
        <v>29</v>
      </c>
      <c r="E595" s="669" t="s">
        <v>3547</v>
      </c>
      <c r="F595" s="672">
        <v>44975</v>
      </c>
      <c r="G595" s="672">
        <v>44988</v>
      </c>
      <c r="H595" s="669" t="s">
        <v>3548</v>
      </c>
      <c r="I595" s="672">
        <v>44988</v>
      </c>
      <c r="J595" s="627">
        <v>955800</v>
      </c>
      <c r="K595" s="627"/>
      <c r="L595" s="627"/>
      <c r="M595" s="627">
        <v>145800</v>
      </c>
      <c r="N595" s="627">
        <f t="shared" si="102"/>
        <v>810000</v>
      </c>
      <c r="O595" s="682">
        <f t="shared" si="96"/>
        <v>28</v>
      </c>
      <c r="P595" s="673">
        <v>3</v>
      </c>
      <c r="Q595" s="674">
        <f t="shared" si="99"/>
        <v>2.9232876712328766</v>
      </c>
      <c r="R595" s="675">
        <f t="shared" si="100"/>
        <v>20712</v>
      </c>
      <c r="S595" s="675">
        <f t="shared" si="101"/>
        <v>789288</v>
      </c>
      <c r="T595" s="676"/>
      <c r="U595" s="676">
        <f t="shared" si="98"/>
        <v>810000</v>
      </c>
      <c r="V595" s="664"/>
      <c r="W595" s="664"/>
      <c r="X595" s="664"/>
      <c r="Y595" s="664"/>
      <c r="Z595" s="664"/>
      <c r="AA595" s="664"/>
      <c r="AB595" s="664"/>
      <c r="AC595" s="664"/>
      <c r="AD595" s="664"/>
      <c r="AE595" s="664"/>
      <c r="AF595" s="664"/>
    </row>
    <row r="596" spans="2:32" ht="14.65">
      <c r="B596" s="653">
        <f t="shared" si="103"/>
        <v>592</v>
      </c>
      <c r="C596" s="669" t="s">
        <v>3590</v>
      </c>
      <c r="D596" s="681" t="s">
        <v>29</v>
      </c>
      <c r="E596" s="669">
        <v>833058436</v>
      </c>
      <c r="F596" s="672">
        <v>44977</v>
      </c>
      <c r="G596" s="672">
        <v>45003</v>
      </c>
      <c r="H596" s="669" t="s">
        <v>3347</v>
      </c>
      <c r="I596" s="672">
        <v>45003</v>
      </c>
      <c r="J596" s="627">
        <v>42522480</v>
      </c>
      <c r="K596" s="627"/>
      <c r="L596" s="627">
        <v>42480</v>
      </c>
      <c r="M596" s="627">
        <v>6480000</v>
      </c>
      <c r="N596" s="627">
        <f t="shared" si="102"/>
        <v>36000000</v>
      </c>
      <c r="O596" s="682">
        <f>'[86]Add22-23'!$N$1-I596</f>
        <v>13</v>
      </c>
      <c r="P596" s="673">
        <v>9</v>
      </c>
      <c r="Q596" s="674">
        <f t="shared" si="99"/>
        <v>8.9643835616438352</v>
      </c>
      <c r="R596" s="675">
        <f t="shared" si="100"/>
        <v>142466</v>
      </c>
      <c r="S596" s="675">
        <f t="shared" si="101"/>
        <v>35857534</v>
      </c>
      <c r="T596" s="676"/>
      <c r="U596" s="676">
        <f t="shared" si="98"/>
        <v>36000000</v>
      </c>
      <c r="V596" s="664"/>
      <c r="W596" s="664"/>
      <c r="X596" s="664"/>
      <c r="Y596" s="664"/>
      <c r="Z596" s="664"/>
      <c r="AA596" s="664"/>
      <c r="AB596" s="664"/>
      <c r="AC596" s="664"/>
      <c r="AD596" s="664"/>
      <c r="AE596" s="664"/>
      <c r="AF596" s="664"/>
    </row>
    <row r="597" spans="2:32" ht="14.65">
      <c r="B597" s="653">
        <f t="shared" si="103"/>
        <v>593</v>
      </c>
      <c r="C597" s="669" t="s">
        <v>3590</v>
      </c>
      <c r="D597" s="681" t="s">
        <v>29</v>
      </c>
      <c r="E597" s="669">
        <v>1012124276</v>
      </c>
      <c r="F597" s="672">
        <v>44981</v>
      </c>
      <c r="G597" s="672">
        <v>45003</v>
      </c>
      <c r="H597" s="669" t="s">
        <v>3589</v>
      </c>
      <c r="I597" s="672">
        <v>45003</v>
      </c>
      <c r="J597" s="627">
        <f>39176000-1750000</f>
        <v>37426000</v>
      </c>
      <c r="K597" s="627"/>
      <c r="L597" s="627"/>
      <c r="M597" s="627">
        <v>5976000</v>
      </c>
      <c r="N597" s="627">
        <f t="shared" si="102"/>
        <v>31450000</v>
      </c>
      <c r="O597" s="682">
        <f>'[86]Add22-23'!$N$1-I597</f>
        <v>13</v>
      </c>
      <c r="P597" s="673">
        <v>9</v>
      </c>
      <c r="Q597" s="674">
        <f t="shared" si="99"/>
        <v>8.9643835616438352</v>
      </c>
      <c r="R597" s="675">
        <f t="shared" si="100"/>
        <v>124460</v>
      </c>
      <c r="S597" s="675">
        <f t="shared" si="101"/>
        <v>31325540</v>
      </c>
      <c r="T597" s="676"/>
      <c r="U597" s="676">
        <f t="shared" si="98"/>
        <v>31450000</v>
      </c>
      <c r="V597" s="664"/>
      <c r="W597" s="664"/>
      <c r="X597" s="664"/>
      <c r="Y597" s="664"/>
      <c r="Z597" s="664"/>
      <c r="AA597" s="664"/>
      <c r="AB597" s="664"/>
      <c r="AC597" s="664"/>
      <c r="AD597" s="664"/>
      <c r="AE597" s="664"/>
      <c r="AF597" s="664"/>
    </row>
    <row r="598" spans="2:32" ht="14.65">
      <c r="B598" s="653">
        <f t="shared" si="103"/>
        <v>594</v>
      </c>
      <c r="C598" s="669" t="s">
        <v>3590</v>
      </c>
      <c r="D598" s="681" t="s">
        <v>29</v>
      </c>
      <c r="E598" s="669">
        <v>1012124274</v>
      </c>
      <c r="F598" s="672">
        <v>44981</v>
      </c>
      <c r="G598" s="672">
        <v>45003</v>
      </c>
      <c r="H598" s="669" t="s">
        <v>3589</v>
      </c>
      <c r="I598" s="672">
        <v>45003</v>
      </c>
      <c r="J598" s="627">
        <f>39176000-1750000</f>
        <v>37426000</v>
      </c>
      <c r="K598" s="627"/>
      <c r="L598" s="627"/>
      <c r="M598" s="627">
        <v>5976000</v>
      </c>
      <c r="N598" s="627">
        <f t="shared" si="102"/>
        <v>31450000</v>
      </c>
      <c r="O598" s="682">
        <f>'[86]Add22-23'!$N$1-I598</f>
        <v>13</v>
      </c>
      <c r="P598" s="673">
        <v>9</v>
      </c>
      <c r="Q598" s="674">
        <f t="shared" si="99"/>
        <v>8.9643835616438352</v>
      </c>
      <c r="R598" s="675">
        <f t="shared" si="100"/>
        <v>124460</v>
      </c>
      <c r="S598" s="675">
        <f t="shared" si="101"/>
        <v>31325540</v>
      </c>
      <c r="T598" s="676"/>
      <c r="U598" s="676">
        <f t="shared" si="98"/>
        <v>31450000</v>
      </c>
      <c r="V598" s="664"/>
      <c r="W598" s="664"/>
      <c r="X598" s="664"/>
      <c r="Y598" s="664"/>
      <c r="Z598" s="664"/>
      <c r="AA598" s="664"/>
      <c r="AB598" s="664"/>
      <c r="AC598" s="664"/>
      <c r="AD598" s="664"/>
      <c r="AE598" s="664"/>
      <c r="AF598" s="664"/>
    </row>
    <row r="599" spans="2:32" ht="14.65">
      <c r="B599" s="653">
        <f t="shared" si="103"/>
        <v>595</v>
      </c>
      <c r="C599" s="669" t="s">
        <v>585</v>
      </c>
      <c r="D599" s="681" t="s">
        <v>29</v>
      </c>
      <c r="E599" s="669" t="s">
        <v>3588</v>
      </c>
      <c r="F599" s="672">
        <v>44988</v>
      </c>
      <c r="G599" s="672">
        <v>45008</v>
      </c>
      <c r="H599" s="669" t="s">
        <v>3573</v>
      </c>
      <c r="I599" s="672">
        <v>45008</v>
      </c>
      <c r="J599" s="627">
        <v>6197360</v>
      </c>
      <c r="K599" s="627"/>
      <c r="L599" s="627">
        <v>61360</v>
      </c>
      <c r="M599" s="627">
        <f>468000*2</f>
        <v>936000</v>
      </c>
      <c r="N599" s="627">
        <f t="shared" si="102"/>
        <v>5200000</v>
      </c>
      <c r="O599" s="682">
        <f>'[86]Add22-23'!$N$1-I599</f>
        <v>8</v>
      </c>
      <c r="P599" s="673">
        <v>9</v>
      </c>
      <c r="Q599" s="674">
        <f t="shared" si="99"/>
        <v>8.9780821917808211</v>
      </c>
      <c r="R599" s="675">
        <f t="shared" si="100"/>
        <v>12664</v>
      </c>
      <c r="S599" s="675">
        <f t="shared" si="101"/>
        <v>5187336</v>
      </c>
      <c r="T599" s="676"/>
      <c r="U599" s="676">
        <f t="shared" si="98"/>
        <v>5200000</v>
      </c>
      <c r="V599" s="664"/>
      <c r="W599" s="664"/>
      <c r="X599" s="664"/>
      <c r="Y599" s="664"/>
      <c r="Z599" s="664"/>
      <c r="AA599" s="664"/>
      <c r="AB599" s="664"/>
      <c r="AC599" s="664"/>
      <c r="AD599" s="664"/>
      <c r="AE599" s="664"/>
      <c r="AF599" s="664"/>
    </row>
    <row r="600" spans="2:32" ht="14.65">
      <c r="B600" s="653">
        <f t="shared" si="103"/>
        <v>596</v>
      </c>
      <c r="C600" s="669" t="s">
        <v>60</v>
      </c>
      <c r="D600" s="681" t="s">
        <v>29</v>
      </c>
      <c r="E600" s="669">
        <v>575</v>
      </c>
      <c r="F600" s="672">
        <v>44992</v>
      </c>
      <c r="G600" s="672">
        <v>44995</v>
      </c>
      <c r="H600" s="669" t="s">
        <v>3587</v>
      </c>
      <c r="I600" s="672">
        <v>44995</v>
      </c>
      <c r="J600" s="627">
        <v>275176</v>
      </c>
      <c r="K600" s="627"/>
      <c r="L600" s="627"/>
      <c r="M600" s="627">
        <v>41976</v>
      </c>
      <c r="N600" s="627">
        <f t="shared" si="102"/>
        <v>233200</v>
      </c>
      <c r="O600" s="682">
        <f>'[86]Add22-23'!$N$1-I600</f>
        <v>21</v>
      </c>
      <c r="P600" s="673">
        <v>9</v>
      </c>
      <c r="Q600" s="674">
        <f t="shared" si="99"/>
        <v>8.9424657534246581</v>
      </c>
      <c r="R600" s="675">
        <f t="shared" si="100"/>
        <v>1491</v>
      </c>
      <c r="S600" s="675">
        <f t="shared" si="101"/>
        <v>231709</v>
      </c>
      <c r="T600" s="676"/>
      <c r="U600" s="676">
        <f t="shared" si="98"/>
        <v>233200</v>
      </c>
      <c r="V600" s="664"/>
      <c r="W600" s="664"/>
      <c r="X600" s="664"/>
      <c r="Y600" s="664"/>
      <c r="Z600" s="664"/>
      <c r="AA600" s="664"/>
      <c r="AB600" s="664"/>
      <c r="AC600" s="664"/>
      <c r="AD600" s="664"/>
      <c r="AE600" s="664"/>
      <c r="AF600" s="664"/>
    </row>
    <row r="601" spans="2:32" ht="14.65">
      <c r="B601" s="653">
        <f t="shared" si="103"/>
        <v>597</v>
      </c>
      <c r="C601" s="669" t="s">
        <v>568</v>
      </c>
      <c r="D601" s="681" t="s">
        <v>29</v>
      </c>
      <c r="E601" s="669" t="s">
        <v>3586</v>
      </c>
      <c r="F601" s="672">
        <v>44998</v>
      </c>
      <c r="G601" s="672">
        <v>45000</v>
      </c>
      <c r="H601" s="669" t="s">
        <v>763</v>
      </c>
      <c r="I601" s="672">
        <v>45000</v>
      </c>
      <c r="J601" s="627">
        <v>1876590</v>
      </c>
      <c r="K601" s="627"/>
      <c r="L601" s="627"/>
      <c r="M601" s="627">
        <v>286260</v>
      </c>
      <c r="N601" s="627">
        <f t="shared" si="102"/>
        <v>1590330</v>
      </c>
      <c r="O601" s="682">
        <f>'[86]Add22-23'!$N$1-I601</f>
        <v>16</v>
      </c>
      <c r="P601" s="673">
        <v>9</v>
      </c>
      <c r="Q601" s="674">
        <f t="shared" si="99"/>
        <v>8.956164383561644</v>
      </c>
      <c r="R601" s="675">
        <f t="shared" si="100"/>
        <v>7746</v>
      </c>
      <c r="S601" s="675">
        <f t="shared" si="101"/>
        <v>1582584</v>
      </c>
      <c r="T601" s="676"/>
      <c r="U601" s="676">
        <f t="shared" si="98"/>
        <v>1590330</v>
      </c>
      <c r="V601" s="664"/>
      <c r="W601" s="664"/>
      <c r="X601" s="664"/>
      <c r="Y601" s="664"/>
      <c r="Z601" s="664"/>
      <c r="AA601" s="664"/>
      <c r="AB601" s="664"/>
      <c r="AC601" s="664"/>
      <c r="AD601" s="664"/>
      <c r="AE601" s="664"/>
      <c r="AF601" s="664"/>
    </row>
    <row r="602" spans="2:32" ht="14.65">
      <c r="B602" s="653">
        <f t="shared" si="103"/>
        <v>598</v>
      </c>
      <c r="C602" s="669" t="s">
        <v>568</v>
      </c>
      <c r="D602" s="681" t="s">
        <v>29</v>
      </c>
      <c r="E602" s="669" t="s">
        <v>3585</v>
      </c>
      <c r="F602" s="672">
        <v>44988</v>
      </c>
      <c r="G602" s="672">
        <v>45013</v>
      </c>
      <c r="H602" s="669" t="s">
        <v>763</v>
      </c>
      <c r="I602" s="672">
        <v>45013</v>
      </c>
      <c r="J602" s="627">
        <v>2147576.87</v>
      </c>
      <c r="K602" s="627"/>
      <c r="L602" s="627"/>
      <c r="M602" s="627">
        <v>327597</v>
      </c>
      <c r="N602" s="627">
        <f t="shared" si="102"/>
        <v>1819979.87</v>
      </c>
      <c r="O602" s="682">
        <f>'[86]Add22-23'!$N$1-I602</f>
        <v>3</v>
      </c>
      <c r="P602" s="673">
        <v>9</v>
      </c>
      <c r="Q602" s="674">
        <f t="shared" si="99"/>
        <v>8.9917808219178088</v>
      </c>
      <c r="R602" s="675">
        <f t="shared" si="100"/>
        <v>1662</v>
      </c>
      <c r="S602" s="675">
        <f t="shared" si="101"/>
        <v>1818317.87</v>
      </c>
      <c r="T602" s="676"/>
      <c r="U602" s="676">
        <f t="shared" si="98"/>
        <v>1819979.87</v>
      </c>
      <c r="V602" s="664"/>
      <c r="W602" s="664"/>
      <c r="X602" s="664"/>
      <c r="Y602" s="664"/>
      <c r="Z602" s="664"/>
      <c r="AA602" s="664"/>
      <c r="AB602" s="664"/>
      <c r="AC602" s="664"/>
      <c r="AD602" s="664"/>
      <c r="AE602" s="664"/>
      <c r="AF602" s="664"/>
    </row>
    <row r="603" spans="2:32" ht="14.65">
      <c r="B603" s="653">
        <f t="shared" si="103"/>
        <v>599</v>
      </c>
      <c r="C603" s="669" t="s">
        <v>302</v>
      </c>
      <c r="D603" s="681" t="s">
        <v>29</v>
      </c>
      <c r="E603" s="669" t="s">
        <v>3584</v>
      </c>
      <c r="F603" s="672">
        <v>45009</v>
      </c>
      <c r="G603" s="672">
        <v>45012</v>
      </c>
      <c r="H603" s="669" t="s">
        <v>3481</v>
      </c>
      <c r="I603" s="672">
        <v>45012</v>
      </c>
      <c r="J603" s="627">
        <v>1805400</v>
      </c>
      <c r="K603" s="627"/>
      <c r="L603" s="627"/>
      <c r="M603" s="627">
        <v>275400</v>
      </c>
      <c r="N603" s="627">
        <f t="shared" si="102"/>
        <v>1530000</v>
      </c>
      <c r="O603" s="682">
        <f>'[86]Add22-23'!$N$1-I603</f>
        <v>4</v>
      </c>
      <c r="P603" s="673">
        <v>9</v>
      </c>
      <c r="Q603" s="674">
        <f t="shared" si="99"/>
        <v>8.9890410958904106</v>
      </c>
      <c r="R603" s="675">
        <f t="shared" si="100"/>
        <v>1863</v>
      </c>
      <c r="S603" s="675">
        <f t="shared" si="101"/>
        <v>1528137</v>
      </c>
      <c r="T603" s="676"/>
      <c r="U603" s="676">
        <f t="shared" si="98"/>
        <v>1530000</v>
      </c>
      <c r="V603" s="664"/>
      <c r="W603" s="664"/>
      <c r="X603" s="664"/>
      <c r="Y603" s="664"/>
      <c r="Z603" s="664"/>
      <c r="AA603" s="664"/>
      <c r="AB603" s="664"/>
      <c r="AC603" s="664"/>
      <c r="AD603" s="664"/>
      <c r="AE603" s="664"/>
      <c r="AF603" s="664"/>
    </row>
    <row r="604" spans="2:32" ht="14.65">
      <c r="B604" s="653">
        <f t="shared" si="103"/>
        <v>600</v>
      </c>
      <c r="C604" s="669" t="s">
        <v>323</v>
      </c>
      <c r="D604" s="681" t="s">
        <v>29</v>
      </c>
      <c r="E604" s="705" t="s">
        <v>3583</v>
      </c>
      <c r="F604" s="672">
        <v>44982</v>
      </c>
      <c r="G604" s="672">
        <v>44987</v>
      </c>
      <c r="H604" s="669" t="s">
        <v>170</v>
      </c>
      <c r="I604" s="672">
        <v>44987</v>
      </c>
      <c r="J604" s="627">
        <v>6844000</v>
      </c>
      <c r="K604" s="627"/>
      <c r="L604" s="627"/>
      <c r="M604" s="627">
        <v>1044000</v>
      </c>
      <c r="N604" s="627">
        <v>5800000</v>
      </c>
      <c r="O604" s="682">
        <f>'[86]Add22-23'!$N$1-I604</f>
        <v>29</v>
      </c>
      <c r="P604" s="673">
        <v>9</v>
      </c>
      <c r="Q604" s="674">
        <f t="shared" si="99"/>
        <v>8.9205479452054792</v>
      </c>
      <c r="R604" s="675">
        <f t="shared" si="100"/>
        <v>51202</v>
      </c>
      <c r="S604" s="675">
        <f t="shared" si="101"/>
        <v>5748798</v>
      </c>
      <c r="T604" s="676"/>
      <c r="U604" s="676">
        <f t="shared" si="98"/>
        <v>5800000</v>
      </c>
      <c r="V604" s="664"/>
      <c r="W604" s="664"/>
      <c r="X604" s="664"/>
      <c r="Y604" s="664"/>
      <c r="Z604" s="664"/>
      <c r="AA604" s="664"/>
      <c r="AB604" s="664"/>
      <c r="AC604" s="664"/>
      <c r="AD604" s="664"/>
      <c r="AE604" s="664"/>
      <c r="AF604" s="664"/>
    </row>
    <row r="605" spans="2:32" ht="14.65">
      <c r="B605" s="653">
        <f t="shared" si="103"/>
        <v>601</v>
      </c>
      <c r="C605" s="669" t="s">
        <v>1884</v>
      </c>
      <c r="D605" s="681" t="s">
        <v>29</v>
      </c>
      <c r="E605" s="669">
        <v>85354621</v>
      </c>
      <c r="F605" s="672">
        <v>45016</v>
      </c>
      <c r="G605" s="672">
        <v>45016</v>
      </c>
      <c r="H605" s="669" t="s">
        <v>3347</v>
      </c>
      <c r="I605" s="672">
        <v>45016</v>
      </c>
      <c r="J605" s="627">
        <f>88588500-5973750</f>
        <v>82614750</v>
      </c>
      <c r="K605" s="627"/>
      <c r="L605" s="627">
        <v>88500</v>
      </c>
      <c r="M605" s="627">
        <v>13500000</v>
      </c>
      <c r="N605" s="627">
        <v>69026250</v>
      </c>
      <c r="O605" s="682">
        <f>'[86]Add22-23'!$N$1-I605</f>
        <v>0</v>
      </c>
      <c r="P605" s="673">
        <v>9</v>
      </c>
      <c r="Q605" s="674">
        <f t="shared" si="99"/>
        <v>9</v>
      </c>
      <c r="R605" s="675">
        <f t="shared" si="100"/>
        <v>0</v>
      </c>
      <c r="S605" s="675">
        <f t="shared" si="101"/>
        <v>69026250</v>
      </c>
      <c r="T605" s="676"/>
      <c r="U605" s="676">
        <f t="shared" si="98"/>
        <v>69026250</v>
      </c>
      <c r="V605" s="664"/>
      <c r="W605" s="664"/>
      <c r="X605" s="664"/>
      <c r="Y605" s="664"/>
      <c r="Z605" s="664"/>
      <c r="AA605" s="664"/>
      <c r="AB605" s="664"/>
      <c r="AC605" s="664"/>
      <c r="AD605" s="664"/>
      <c r="AE605" s="664"/>
      <c r="AF605" s="664"/>
    </row>
    <row r="606" spans="2:32" ht="14.65">
      <c r="B606" s="653">
        <f t="shared" si="103"/>
        <v>602</v>
      </c>
      <c r="C606" s="669" t="s">
        <v>1884</v>
      </c>
      <c r="D606" s="681" t="s">
        <v>29</v>
      </c>
      <c r="E606" s="669">
        <v>85354620</v>
      </c>
      <c r="F606" s="672">
        <v>45016</v>
      </c>
      <c r="G606" s="672">
        <v>45016</v>
      </c>
      <c r="H606" s="669" t="s">
        <v>3347</v>
      </c>
      <c r="I606" s="672">
        <v>45016</v>
      </c>
      <c r="J606" s="627">
        <f>88588500-5973750</f>
        <v>82614750</v>
      </c>
      <c r="K606" s="627"/>
      <c r="L606" s="627">
        <v>88500</v>
      </c>
      <c r="M606" s="627">
        <v>13500000</v>
      </c>
      <c r="N606" s="627">
        <v>69026250</v>
      </c>
      <c r="O606" s="682">
        <f>'[86]Add22-23'!$N$1-I606</f>
        <v>0</v>
      </c>
      <c r="P606" s="673">
        <v>9</v>
      </c>
      <c r="Q606" s="674">
        <f t="shared" si="99"/>
        <v>9</v>
      </c>
      <c r="R606" s="675">
        <f t="shared" si="100"/>
        <v>0</v>
      </c>
      <c r="S606" s="675">
        <f t="shared" si="101"/>
        <v>69026250</v>
      </c>
      <c r="T606" s="676"/>
      <c r="U606" s="676">
        <f t="shared" si="98"/>
        <v>69026250</v>
      </c>
      <c r="V606" s="664"/>
      <c r="W606" s="664"/>
      <c r="X606" s="664"/>
      <c r="Y606" s="664"/>
      <c r="Z606" s="664"/>
      <c r="AA606" s="664"/>
      <c r="AB606" s="664"/>
      <c r="AC606" s="664"/>
      <c r="AD606" s="664"/>
      <c r="AE606" s="664"/>
      <c r="AF606" s="664"/>
    </row>
    <row r="607" spans="2:32" ht="14.65">
      <c r="B607" s="653">
        <f t="shared" si="103"/>
        <v>603</v>
      </c>
      <c r="C607" s="669" t="s">
        <v>71</v>
      </c>
      <c r="D607" s="681" t="s">
        <v>29</v>
      </c>
      <c r="E607" s="669" t="s">
        <v>3582</v>
      </c>
      <c r="F607" s="672">
        <v>44985</v>
      </c>
      <c r="G607" s="672">
        <v>45005</v>
      </c>
      <c r="H607" s="669" t="s">
        <v>3377</v>
      </c>
      <c r="I607" s="672">
        <v>45005</v>
      </c>
      <c r="J607" s="627">
        <v>5151000</v>
      </c>
      <c r="K607" s="627"/>
      <c r="L607" s="627">
        <v>51000</v>
      </c>
      <c r="M607" s="627">
        <v>1115625</v>
      </c>
      <c r="N607" s="627">
        <v>3984375</v>
      </c>
      <c r="O607" s="682">
        <f>'[86]Add22-23'!$N$1-I607</f>
        <v>11</v>
      </c>
      <c r="P607" s="673">
        <v>9</v>
      </c>
      <c r="Q607" s="674">
        <f t="shared" si="99"/>
        <v>8.9698630136986299</v>
      </c>
      <c r="R607" s="675">
        <f t="shared" si="100"/>
        <v>13342</v>
      </c>
      <c r="S607" s="675">
        <f t="shared" si="101"/>
        <v>3971033</v>
      </c>
      <c r="T607" s="676"/>
      <c r="U607" s="676">
        <f t="shared" si="98"/>
        <v>3984375</v>
      </c>
      <c r="V607" s="664"/>
      <c r="W607" s="664"/>
      <c r="X607" s="664"/>
      <c r="Y607" s="664"/>
      <c r="Z607" s="664"/>
      <c r="AA607" s="664"/>
      <c r="AB607" s="664"/>
      <c r="AC607" s="664"/>
      <c r="AD607" s="664"/>
      <c r="AE607" s="664"/>
      <c r="AF607" s="664"/>
    </row>
    <row r="608" spans="2:32" ht="14.65">
      <c r="B608" s="653">
        <f t="shared" si="103"/>
        <v>604</v>
      </c>
      <c r="C608" s="669" t="s">
        <v>71</v>
      </c>
      <c r="D608" s="681" t="s">
        <v>29</v>
      </c>
      <c r="E608" s="669" t="s">
        <v>3581</v>
      </c>
      <c r="F608" s="672">
        <v>44985</v>
      </c>
      <c r="G608" s="672">
        <v>45005</v>
      </c>
      <c r="H608" s="669" t="s">
        <v>3377</v>
      </c>
      <c r="I608" s="672">
        <v>45005</v>
      </c>
      <c r="J608" s="627">
        <v>5151000</v>
      </c>
      <c r="K608" s="627"/>
      <c r="L608" s="627">
        <v>51000</v>
      </c>
      <c r="M608" s="627">
        <v>1115625</v>
      </c>
      <c r="N608" s="627">
        <v>3984375</v>
      </c>
      <c r="O608" s="682">
        <f>'[86]Add22-23'!$N$1-I608</f>
        <v>11</v>
      </c>
      <c r="P608" s="673">
        <v>9</v>
      </c>
      <c r="Q608" s="674">
        <f t="shared" si="99"/>
        <v>8.9698630136986299</v>
      </c>
      <c r="R608" s="675">
        <f t="shared" si="100"/>
        <v>13342</v>
      </c>
      <c r="S608" s="675">
        <f t="shared" si="101"/>
        <v>3971033</v>
      </c>
      <c r="T608" s="676"/>
      <c r="U608" s="676">
        <f t="shared" si="98"/>
        <v>3984375</v>
      </c>
      <c r="V608" s="664"/>
      <c r="W608" s="664"/>
      <c r="X608" s="664"/>
      <c r="Y608" s="664"/>
      <c r="Z608" s="664"/>
      <c r="AA608" s="664"/>
      <c r="AB608" s="664"/>
      <c r="AC608" s="664"/>
      <c r="AD608" s="664"/>
      <c r="AE608" s="664"/>
      <c r="AF608" s="664"/>
    </row>
    <row r="609" spans="2:32" ht="14.65">
      <c r="B609" s="653">
        <f t="shared" si="103"/>
        <v>605</v>
      </c>
      <c r="C609" s="669" t="s">
        <v>71</v>
      </c>
      <c r="D609" s="681" t="s">
        <v>29</v>
      </c>
      <c r="E609" s="669" t="s">
        <v>3580</v>
      </c>
      <c r="F609" s="672">
        <v>44996</v>
      </c>
      <c r="G609" s="672">
        <v>45009</v>
      </c>
      <c r="H609" s="669" t="s">
        <v>766</v>
      </c>
      <c r="I609" s="672">
        <v>45009</v>
      </c>
      <c r="J609" s="627">
        <f>4430000-156250</f>
        <v>4273750</v>
      </c>
      <c r="K609" s="627"/>
      <c r="L609" s="627">
        <v>43861</v>
      </c>
      <c r="M609" s="627">
        <v>959468</v>
      </c>
      <c r="N609" s="627">
        <v>3270421</v>
      </c>
      <c r="O609" s="682">
        <f>'[86]Add22-23'!$N$1-I609</f>
        <v>7</v>
      </c>
      <c r="P609" s="673">
        <v>9</v>
      </c>
      <c r="Q609" s="674">
        <f t="shared" si="99"/>
        <v>8.9808219178082194</v>
      </c>
      <c r="R609" s="675">
        <f t="shared" si="100"/>
        <v>6969</v>
      </c>
      <c r="S609" s="675">
        <f t="shared" si="101"/>
        <v>3263452</v>
      </c>
      <c r="T609" s="676"/>
      <c r="U609" s="676">
        <f t="shared" si="98"/>
        <v>3270421</v>
      </c>
      <c r="V609" s="664"/>
      <c r="W609" s="664"/>
      <c r="X609" s="664"/>
      <c r="Y609" s="664"/>
      <c r="Z609" s="664"/>
      <c r="AA609" s="664"/>
      <c r="AB609" s="664"/>
      <c r="AC609" s="664"/>
      <c r="AD609" s="664"/>
      <c r="AE609" s="664"/>
      <c r="AF609" s="664"/>
    </row>
    <row r="610" spans="2:32" ht="14.65">
      <c r="B610" s="653">
        <f t="shared" si="103"/>
        <v>606</v>
      </c>
      <c r="C610" s="669" t="s">
        <v>71</v>
      </c>
      <c r="D610" s="681" t="s">
        <v>29</v>
      </c>
      <c r="E610" s="669" t="s">
        <v>3579</v>
      </c>
      <c r="F610" s="672">
        <v>44996</v>
      </c>
      <c r="G610" s="672">
        <v>45009</v>
      </c>
      <c r="H610" s="669" t="s">
        <v>766</v>
      </c>
      <c r="I610" s="672">
        <v>45009</v>
      </c>
      <c r="J610" s="627">
        <f>4430000-156250</f>
        <v>4273750</v>
      </c>
      <c r="K610" s="627"/>
      <c r="L610" s="627">
        <v>43861</v>
      </c>
      <c r="M610" s="627">
        <v>959468</v>
      </c>
      <c r="N610" s="627">
        <v>3270421</v>
      </c>
      <c r="O610" s="682">
        <f>'[86]Add22-23'!$N$1-I610</f>
        <v>7</v>
      </c>
      <c r="P610" s="673">
        <v>9</v>
      </c>
      <c r="Q610" s="674">
        <f t="shared" si="99"/>
        <v>8.9808219178082194</v>
      </c>
      <c r="R610" s="675">
        <f t="shared" si="100"/>
        <v>6969</v>
      </c>
      <c r="S610" s="675">
        <f t="shared" si="101"/>
        <v>3263452</v>
      </c>
      <c r="T610" s="676"/>
      <c r="U610" s="676">
        <f t="shared" si="98"/>
        <v>3270421</v>
      </c>
      <c r="V610" s="664"/>
      <c r="W610" s="664"/>
      <c r="X610" s="664"/>
      <c r="Y610" s="664"/>
      <c r="Z610" s="664"/>
      <c r="AA610" s="664"/>
      <c r="AB610" s="664"/>
      <c r="AC610" s="664"/>
      <c r="AD610" s="664"/>
      <c r="AE610" s="664"/>
      <c r="AF610" s="664"/>
    </row>
    <row r="611" spans="2:32" ht="14.65">
      <c r="B611" s="653">
        <f t="shared" si="103"/>
        <v>607</v>
      </c>
      <c r="C611" s="669" t="s">
        <v>71</v>
      </c>
      <c r="D611" s="681" t="s">
        <v>29</v>
      </c>
      <c r="E611" s="669" t="s">
        <v>3578</v>
      </c>
      <c r="F611" s="672">
        <v>44996</v>
      </c>
      <c r="G611" s="672">
        <v>45009</v>
      </c>
      <c r="H611" s="669" t="s">
        <v>766</v>
      </c>
      <c r="I611" s="672">
        <v>45009</v>
      </c>
      <c r="J611" s="627">
        <f>4430000-156250</f>
        <v>4273750</v>
      </c>
      <c r="K611" s="627"/>
      <c r="L611" s="627">
        <v>43861</v>
      </c>
      <c r="M611" s="627">
        <v>959468</v>
      </c>
      <c r="N611" s="627">
        <v>3270421</v>
      </c>
      <c r="O611" s="682">
        <f>'[86]Add22-23'!$N$1-I611</f>
        <v>7</v>
      </c>
      <c r="P611" s="673">
        <v>9</v>
      </c>
      <c r="Q611" s="674">
        <f t="shared" si="99"/>
        <v>8.9808219178082194</v>
      </c>
      <c r="R611" s="675">
        <f t="shared" si="100"/>
        <v>6969</v>
      </c>
      <c r="S611" s="675">
        <f t="shared" si="101"/>
        <v>3263452</v>
      </c>
      <c r="T611" s="676"/>
      <c r="U611" s="676">
        <f t="shared" si="98"/>
        <v>3270421</v>
      </c>
      <c r="V611" s="664"/>
      <c r="W611" s="664"/>
      <c r="X611" s="664"/>
      <c r="Y611" s="664"/>
      <c r="Z611" s="664"/>
      <c r="AA611" s="664"/>
      <c r="AB611" s="664"/>
      <c r="AC611" s="664"/>
      <c r="AD611" s="664"/>
      <c r="AE611" s="664"/>
      <c r="AF611" s="664"/>
    </row>
    <row r="612" spans="2:32" ht="14.65">
      <c r="B612" s="653">
        <f t="shared" si="103"/>
        <v>608</v>
      </c>
      <c r="C612" s="669" t="s">
        <v>71</v>
      </c>
      <c r="D612" s="681" t="s">
        <v>29</v>
      </c>
      <c r="E612" s="669" t="s">
        <v>3577</v>
      </c>
      <c r="F612" s="672">
        <v>44996</v>
      </c>
      <c r="G612" s="672">
        <v>45009</v>
      </c>
      <c r="H612" s="669" t="s">
        <v>766</v>
      </c>
      <c r="I612" s="672">
        <v>45009</v>
      </c>
      <c r="J612" s="627">
        <f>4430000-156250</f>
        <v>4273750</v>
      </c>
      <c r="K612" s="627"/>
      <c r="L612" s="627">
        <v>43861</v>
      </c>
      <c r="M612" s="627">
        <v>959468</v>
      </c>
      <c r="N612" s="627">
        <v>3270421</v>
      </c>
      <c r="O612" s="682">
        <f>'[86]Add22-23'!$N$1-I612</f>
        <v>7</v>
      </c>
      <c r="P612" s="673">
        <v>9</v>
      </c>
      <c r="Q612" s="674">
        <f t="shared" si="99"/>
        <v>8.9808219178082194</v>
      </c>
      <c r="R612" s="675">
        <f t="shared" si="100"/>
        <v>6969</v>
      </c>
      <c r="S612" s="675">
        <f t="shared" si="101"/>
        <v>3263452</v>
      </c>
      <c r="T612" s="676"/>
      <c r="U612" s="676">
        <f t="shared" si="98"/>
        <v>3270421</v>
      </c>
      <c r="V612" s="664"/>
      <c r="W612" s="664"/>
      <c r="X612" s="664"/>
      <c r="Y612" s="664"/>
      <c r="Z612" s="664"/>
      <c r="AA612" s="664"/>
      <c r="AB612" s="664"/>
      <c r="AC612" s="664"/>
      <c r="AD612" s="664"/>
      <c r="AE612" s="664"/>
      <c r="AF612" s="664"/>
    </row>
    <row r="613" spans="2:32" ht="14.65">
      <c r="B613" s="653">
        <f t="shared" si="103"/>
        <v>609</v>
      </c>
      <c r="C613" s="669" t="s">
        <v>71</v>
      </c>
      <c r="D613" s="681" t="s">
        <v>29</v>
      </c>
      <c r="E613" s="669" t="s">
        <v>3576</v>
      </c>
      <c r="F613" s="672">
        <v>44996</v>
      </c>
      <c r="G613" s="672">
        <v>45009</v>
      </c>
      <c r="H613" s="669" t="s">
        <v>766</v>
      </c>
      <c r="I613" s="672">
        <v>45009</v>
      </c>
      <c r="J613" s="627">
        <f>4430000-156250</f>
        <v>4273750</v>
      </c>
      <c r="K613" s="627"/>
      <c r="L613" s="627">
        <v>43861</v>
      </c>
      <c r="M613" s="627">
        <v>959468</v>
      </c>
      <c r="N613" s="627">
        <v>3270421</v>
      </c>
      <c r="O613" s="682">
        <f>'[86]Add22-23'!$N$1-I613</f>
        <v>7</v>
      </c>
      <c r="P613" s="673">
        <v>9</v>
      </c>
      <c r="Q613" s="674">
        <f t="shared" si="99"/>
        <v>8.9808219178082194</v>
      </c>
      <c r="R613" s="675">
        <f t="shared" si="100"/>
        <v>6969</v>
      </c>
      <c r="S613" s="675">
        <f t="shared" si="101"/>
        <v>3263452</v>
      </c>
      <c r="T613" s="676"/>
      <c r="U613" s="676">
        <f t="shared" si="98"/>
        <v>3270421</v>
      </c>
      <c r="V613" s="664"/>
      <c r="W613" s="664"/>
      <c r="X613" s="664"/>
      <c r="Y613" s="664"/>
      <c r="Z613" s="664"/>
      <c r="AA613" s="664"/>
      <c r="AB613" s="664"/>
      <c r="AC613" s="664"/>
      <c r="AD613" s="664"/>
      <c r="AE613" s="664"/>
      <c r="AF613" s="664"/>
    </row>
    <row r="614" spans="2:32" ht="14.65">
      <c r="B614" s="653">
        <f t="shared" si="103"/>
        <v>610</v>
      </c>
      <c r="C614" s="669" t="s">
        <v>564</v>
      </c>
      <c r="D614" s="681" t="s">
        <v>29</v>
      </c>
      <c r="E614" s="669">
        <v>290</v>
      </c>
      <c r="F614" s="672">
        <v>45001</v>
      </c>
      <c r="G614" s="672">
        <v>45001</v>
      </c>
      <c r="H614" s="669" t="s">
        <v>180</v>
      </c>
      <c r="I614" s="672">
        <v>45001</v>
      </c>
      <c r="J614" s="627">
        <v>802400</v>
      </c>
      <c r="K614" s="627"/>
      <c r="L614" s="627"/>
      <c r="M614" s="627">
        <v>122400</v>
      </c>
      <c r="N614" s="627">
        <v>680000</v>
      </c>
      <c r="O614" s="682">
        <f>'[86]Add22-23'!$N$1-I614</f>
        <v>15</v>
      </c>
      <c r="P614" s="673">
        <v>9</v>
      </c>
      <c r="Q614" s="674">
        <f t="shared" si="99"/>
        <v>8.9589041095890405</v>
      </c>
      <c r="R614" s="675">
        <f t="shared" si="100"/>
        <v>3105</v>
      </c>
      <c r="S614" s="675">
        <f t="shared" si="101"/>
        <v>676895</v>
      </c>
      <c r="T614" s="676"/>
      <c r="U614" s="676">
        <f t="shared" si="98"/>
        <v>680000</v>
      </c>
      <c r="V614" s="664"/>
      <c r="W614" s="664"/>
      <c r="X614" s="664"/>
      <c r="Y614" s="664"/>
      <c r="Z614" s="664"/>
      <c r="AA614" s="664"/>
      <c r="AB614" s="664"/>
      <c r="AC614" s="664"/>
      <c r="AD614" s="664"/>
      <c r="AE614" s="664"/>
      <c r="AF614" s="664"/>
    </row>
    <row r="615" spans="2:32" ht="14.65">
      <c r="B615" s="653">
        <f t="shared" si="103"/>
        <v>611</v>
      </c>
      <c r="C615" s="669" t="s">
        <v>564</v>
      </c>
      <c r="D615" s="681" t="s">
        <v>29</v>
      </c>
      <c r="E615" s="669">
        <v>291</v>
      </c>
      <c r="F615" s="672">
        <v>45001</v>
      </c>
      <c r="G615" s="672">
        <v>45003</v>
      </c>
      <c r="H615" s="669" t="s">
        <v>180</v>
      </c>
      <c r="I615" s="672">
        <v>45003</v>
      </c>
      <c r="J615" s="627">
        <v>802400</v>
      </c>
      <c r="K615" s="627"/>
      <c r="L615" s="627"/>
      <c r="M615" s="627">
        <v>122400</v>
      </c>
      <c r="N615" s="627">
        <v>680000</v>
      </c>
      <c r="O615" s="682">
        <f>'[86]Add22-23'!$N$1-I615</f>
        <v>13</v>
      </c>
      <c r="P615" s="673">
        <v>9</v>
      </c>
      <c r="Q615" s="674">
        <f t="shared" si="99"/>
        <v>8.9643835616438352</v>
      </c>
      <c r="R615" s="675">
        <f t="shared" si="100"/>
        <v>2691</v>
      </c>
      <c r="S615" s="675">
        <f t="shared" si="101"/>
        <v>677309</v>
      </c>
      <c r="T615" s="676"/>
      <c r="U615" s="676">
        <f t="shared" si="98"/>
        <v>680000</v>
      </c>
      <c r="V615" s="664"/>
      <c r="W615" s="664"/>
      <c r="X615" s="664"/>
      <c r="Y615" s="664"/>
      <c r="Z615" s="664"/>
      <c r="AA615" s="664"/>
      <c r="AB615" s="664"/>
      <c r="AC615" s="664"/>
      <c r="AD615" s="664"/>
      <c r="AE615" s="664"/>
      <c r="AF615" s="664"/>
    </row>
    <row r="616" spans="2:32" ht="14.65">
      <c r="B616" s="653">
        <f t="shared" si="103"/>
        <v>612</v>
      </c>
      <c r="C616" s="669" t="s">
        <v>568</v>
      </c>
      <c r="D616" s="681" t="s">
        <v>29</v>
      </c>
      <c r="E616" s="669"/>
      <c r="F616" s="672">
        <v>45016</v>
      </c>
      <c r="G616" s="672">
        <v>45016</v>
      </c>
      <c r="H616" s="669" t="s">
        <v>763</v>
      </c>
      <c r="I616" s="672">
        <v>45016</v>
      </c>
      <c r="J616" s="627">
        <v>1105031</v>
      </c>
      <c r="K616" s="627"/>
      <c r="L616" s="627"/>
      <c r="M616" s="627">
        <v>168565</v>
      </c>
      <c r="N616" s="627">
        <v>936466</v>
      </c>
      <c r="O616" s="682">
        <f>'[86]Add22-23'!$N$1-I616</f>
        <v>0</v>
      </c>
      <c r="P616" s="673">
        <v>9</v>
      </c>
      <c r="Q616" s="674">
        <f t="shared" ref="Q616:Q617" si="104">+P616-(O616/365)</f>
        <v>9</v>
      </c>
      <c r="R616" s="675">
        <f t="shared" ref="R616:R617" si="105">ROUND(+N616/(P616*365)*O616,0)</f>
        <v>0</v>
      </c>
      <c r="S616" s="675">
        <f t="shared" ref="S616:S617" si="106">+N616-R616</f>
        <v>936466</v>
      </c>
      <c r="T616" s="676"/>
      <c r="U616" s="676">
        <f t="shared" ref="U616:U617" si="107">IF(I616&gt;DATE(2022,9,30),N616,0)</f>
        <v>936466</v>
      </c>
      <c r="V616" s="664"/>
      <c r="W616" s="664"/>
      <c r="X616" s="664"/>
      <c r="Y616" s="664"/>
      <c r="Z616" s="664"/>
      <c r="AA616" s="664"/>
      <c r="AB616" s="664"/>
      <c r="AC616" s="664"/>
      <c r="AD616" s="664"/>
      <c r="AE616" s="664"/>
      <c r="AF616" s="664"/>
    </row>
    <row r="617" spans="2:32" ht="14.65">
      <c r="B617" s="653">
        <f t="shared" si="103"/>
        <v>613</v>
      </c>
      <c r="C617" s="669" t="s">
        <v>568</v>
      </c>
      <c r="D617" s="681" t="s">
        <v>29</v>
      </c>
      <c r="E617" s="669"/>
      <c r="F617" s="672">
        <v>45016</v>
      </c>
      <c r="G617" s="672">
        <v>45016</v>
      </c>
      <c r="H617" s="669" t="s">
        <v>3548</v>
      </c>
      <c r="I617" s="672">
        <v>45016</v>
      </c>
      <c r="J617" s="627">
        <v>681214</v>
      </c>
      <c r="K617" s="627"/>
      <c r="L617" s="627"/>
      <c r="M617" s="627">
        <v>103914</v>
      </c>
      <c r="N617" s="627">
        <v>577300</v>
      </c>
      <c r="O617" s="682">
        <f>'[86]Add22-23'!$N$1-I617</f>
        <v>0</v>
      </c>
      <c r="P617" s="673">
        <v>9</v>
      </c>
      <c r="Q617" s="674">
        <f t="shared" si="104"/>
        <v>9</v>
      </c>
      <c r="R617" s="675">
        <f t="shared" si="105"/>
        <v>0</v>
      </c>
      <c r="S617" s="675">
        <f t="shared" si="106"/>
        <v>577300</v>
      </c>
      <c r="T617" s="676"/>
      <c r="U617" s="676">
        <f t="shared" si="107"/>
        <v>577300</v>
      </c>
      <c r="V617" s="664"/>
      <c r="W617" s="664"/>
      <c r="X617" s="664"/>
      <c r="Y617" s="664"/>
      <c r="Z617" s="664"/>
      <c r="AA617" s="664"/>
      <c r="AB617" s="664"/>
      <c r="AC617" s="664"/>
      <c r="AD617" s="664"/>
      <c r="AE617" s="664"/>
      <c r="AF617" s="664"/>
    </row>
    <row r="618" spans="2:32" ht="14.65">
      <c r="B618" s="653">
        <f t="shared" si="103"/>
        <v>614</v>
      </c>
      <c r="C618" s="665" t="s">
        <v>57</v>
      </c>
      <c r="D618" s="666" t="s">
        <v>74</v>
      </c>
      <c r="E618" s="667" t="s">
        <v>76</v>
      </c>
      <c r="F618" s="657">
        <v>44664</v>
      </c>
      <c r="G618" s="657">
        <v>44664</v>
      </c>
      <c r="H618" s="665" t="s">
        <v>164</v>
      </c>
      <c r="I618" s="668">
        <v>44664</v>
      </c>
      <c r="J618" s="628">
        <v>4547543</v>
      </c>
      <c r="K618" s="628"/>
      <c r="L618" s="628">
        <v>4543</v>
      </c>
      <c r="M618" s="628">
        <v>693000</v>
      </c>
      <c r="N618" s="628">
        <v>3850000</v>
      </c>
      <c r="O618" s="659">
        <f>$O$1-I618</f>
        <v>352</v>
      </c>
      <c r="P618" s="660">
        <v>9</v>
      </c>
      <c r="Q618" s="661">
        <f t="shared" ref="Q618:Q632" si="108">+P618-(O618/365)</f>
        <v>8.0356164383561648</v>
      </c>
      <c r="R618" s="662">
        <f t="shared" ref="R618:R632" si="109">ROUND(+N618/(P618*365)*O618,0)</f>
        <v>412542</v>
      </c>
      <c r="S618" s="662">
        <f t="shared" ref="S618:S632" si="110">+N618-R618</f>
        <v>3437458</v>
      </c>
      <c r="T618" s="663">
        <f>IF(I618&lt;=DATE(2022,9,30),N618,0)</f>
        <v>3850000</v>
      </c>
      <c r="U618" s="663">
        <f t="shared" ref="U618:U632" si="111">IF(I618&gt;DATE(2022,9,30),N618,0)</f>
        <v>0</v>
      </c>
      <c r="V618" s="664"/>
      <c r="W618" s="664"/>
      <c r="X618" s="664"/>
      <c r="Y618" s="664"/>
      <c r="Z618" s="664"/>
      <c r="AA618" s="664"/>
      <c r="AB618" s="664"/>
      <c r="AC618" s="664"/>
      <c r="AD618" s="664"/>
      <c r="AE618" s="664"/>
      <c r="AF618" s="664"/>
    </row>
    <row r="619" spans="2:32" ht="14.65">
      <c r="B619" s="653">
        <f t="shared" si="103"/>
        <v>615</v>
      </c>
      <c r="C619" s="669" t="s">
        <v>326</v>
      </c>
      <c r="D619" s="666" t="s">
        <v>74</v>
      </c>
      <c r="E619" s="669" t="s">
        <v>3469</v>
      </c>
      <c r="F619" s="672">
        <v>44947</v>
      </c>
      <c r="G619" s="672">
        <v>44958</v>
      </c>
      <c r="H619" s="669" t="s">
        <v>3468</v>
      </c>
      <c r="I619" s="672">
        <v>44958</v>
      </c>
      <c r="J619" s="627">
        <v>1352280</v>
      </c>
      <c r="K619" s="627"/>
      <c r="L619" s="627"/>
      <c r="M619" s="627">
        <v>206280</v>
      </c>
      <c r="N619" s="627">
        <v>1146000</v>
      </c>
      <c r="O619" s="659">
        <f>$O$1-I619</f>
        <v>58</v>
      </c>
      <c r="P619" s="673">
        <v>9</v>
      </c>
      <c r="Q619" s="674">
        <f t="shared" si="108"/>
        <v>8.8410958904109584</v>
      </c>
      <c r="R619" s="675">
        <f t="shared" si="109"/>
        <v>20234</v>
      </c>
      <c r="S619" s="675">
        <f t="shared" si="110"/>
        <v>1125766</v>
      </c>
      <c r="T619" s="676">
        <f>IF(I619&lt;=DATE(2022,9,30),N619,0)</f>
        <v>0</v>
      </c>
      <c r="U619" s="676">
        <f t="shared" si="111"/>
        <v>1146000</v>
      </c>
      <c r="V619" s="664"/>
      <c r="W619" s="664"/>
      <c r="X619" s="664"/>
      <c r="Y619" s="664"/>
      <c r="Z619" s="664"/>
      <c r="AA619" s="664"/>
      <c r="AB619" s="664"/>
      <c r="AC619" s="664"/>
      <c r="AD619" s="664"/>
      <c r="AE619" s="664"/>
      <c r="AF619" s="664"/>
    </row>
    <row r="620" spans="2:32" ht="14.65">
      <c r="B620" s="653">
        <f t="shared" si="103"/>
        <v>616</v>
      </c>
      <c r="C620" s="669" t="s">
        <v>3467</v>
      </c>
      <c r="D620" s="666" t="s">
        <v>74</v>
      </c>
      <c r="E620" s="669" t="s">
        <v>3466</v>
      </c>
      <c r="F620" s="672">
        <v>44938</v>
      </c>
      <c r="G620" s="672">
        <v>44958</v>
      </c>
      <c r="H620" s="669" t="s">
        <v>403</v>
      </c>
      <c r="I620" s="672">
        <v>44958</v>
      </c>
      <c r="J620" s="627">
        <v>1586510</v>
      </c>
      <c r="K620" s="627"/>
      <c r="L620" s="627"/>
      <c r="M620" s="627">
        <v>242010</v>
      </c>
      <c r="N620" s="627">
        <v>1344500</v>
      </c>
      <c r="O620" s="659">
        <f>$O$1-I620</f>
        <v>58</v>
      </c>
      <c r="P620" s="673">
        <v>9</v>
      </c>
      <c r="Q620" s="674">
        <f t="shared" si="108"/>
        <v>8.8410958904109584</v>
      </c>
      <c r="R620" s="675">
        <f t="shared" si="109"/>
        <v>23739</v>
      </c>
      <c r="S620" s="675">
        <f t="shared" si="110"/>
        <v>1320761</v>
      </c>
      <c r="T620" s="676">
        <f>IF(I620&lt;=DATE(2022,9,30),N620,0)</f>
        <v>0</v>
      </c>
      <c r="U620" s="676">
        <f t="shared" si="111"/>
        <v>1344500</v>
      </c>
      <c r="V620" s="664"/>
      <c r="W620" s="664"/>
      <c r="X620" s="664"/>
      <c r="Y620" s="664"/>
      <c r="Z620" s="664"/>
      <c r="AA620" s="664"/>
      <c r="AB620" s="664"/>
      <c r="AC620" s="664"/>
      <c r="AD620" s="664"/>
      <c r="AE620" s="664"/>
      <c r="AF620" s="664"/>
    </row>
    <row r="621" spans="2:32" ht="14.65">
      <c r="B621" s="653">
        <f t="shared" si="103"/>
        <v>617</v>
      </c>
      <c r="C621" s="669" t="s">
        <v>3465</v>
      </c>
      <c r="D621" s="666" t="s">
        <v>74</v>
      </c>
      <c r="E621" s="669">
        <v>2211</v>
      </c>
      <c r="F621" s="672">
        <v>44958</v>
      </c>
      <c r="G621" s="672">
        <v>44972</v>
      </c>
      <c r="H621" s="669" t="s">
        <v>765</v>
      </c>
      <c r="I621" s="672">
        <v>44972</v>
      </c>
      <c r="J621" s="627">
        <v>171336</v>
      </c>
      <c r="K621" s="627"/>
      <c r="L621" s="627"/>
      <c r="M621" s="627">
        <v>26136</v>
      </c>
      <c r="N621" s="627">
        <v>145200</v>
      </c>
      <c r="O621" s="659">
        <f>$O$1-I621</f>
        <v>44</v>
      </c>
      <c r="P621" s="673">
        <v>9</v>
      </c>
      <c r="Q621" s="674">
        <f t="shared" si="108"/>
        <v>8.8794520547945197</v>
      </c>
      <c r="R621" s="675">
        <f t="shared" si="109"/>
        <v>1945</v>
      </c>
      <c r="S621" s="675">
        <f t="shared" si="110"/>
        <v>143255</v>
      </c>
      <c r="T621" s="676">
        <f>IF(I621&lt;=DATE(2022,9,30),N621,0)</f>
        <v>0</v>
      </c>
      <c r="U621" s="676">
        <f t="shared" si="111"/>
        <v>145200</v>
      </c>
      <c r="V621" s="664"/>
      <c r="W621" s="664"/>
      <c r="X621" s="664"/>
      <c r="Y621" s="664"/>
      <c r="Z621" s="664"/>
      <c r="AA621" s="664"/>
      <c r="AB621" s="664"/>
      <c r="AC621" s="664"/>
      <c r="AD621" s="664"/>
      <c r="AE621" s="664"/>
      <c r="AF621" s="664"/>
    </row>
    <row r="622" spans="2:32" ht="14.65">
      <c r="B622" s="653">
        <f t="shared" si="103"/>
        <v>618</v>
      </c>
      <c r="C622" s="669" t="s">
        <v>328</v>
      </c>
      <c r="D622" s="666" t="s">
        <v>74</v>
      </c>
      <c r="E622" s="669" t="s">
        <v>3593</v>
      </c>
      <c r="F622" s="672">
        <v>45009</v>
      </c>
      <c r="G622" s="672">
        <v>45009</v>
      </c>
      <c r="H622" s="669" t="s">
        <v>758</v>
      </c>
      <c r="I622" s="672">
        <v>45009</v>
      </c>
      <c r="J622" s="627">
        <v>42256</v>
      </c>
      <c r="K622" s="627"/>
      <c r="L622" s="627"/>
      <c r="M622" s="627">
        <f>3222.9*2</f>
        <v>6445.8</v>
      </c>
      <c r="N622" s="627">
        <v>35810.199999999997</v>
      </c>
      <c r="O622" s="682">
        <f>'[86]Add22-23'!$N$1-I622</f>
        <v>7</v>
      </c>
      <c r="P622" s="673">
        <v>9</v>
      </c>
      <c r="Q622" s="674">
        <f t="shared" si="108"/>
        <v>8.9808219178082194</v>
      </c>
      <c r="R622" s="675">
        <f t="shared" si="109"/>
        <v>76</v>
      </c>
      <c r="S622" s="675">
        <f t="shared" si="110"/>
        <v>35734.199999999997</v>
      </c>
      <c r="T622" s="676"/>
      <c r="U622" s="676">
        <f t="shared" si="111"/>
        <v>35810.199999999997</v>
      </c>
      <c r="V622" s="664"/>
      <c r="W622" s="664"/>
      <c r="X622" s="664"/>
      <c r="Y622" s="664"/>
      <c r="Z622" s="664"/>
      <c r="AA622" s="664"/>
      <c r="AB622" s="664"/>
      <c r="AC622" s="664"/>
      <c r="AD622" s="664"/>
      <c r="AE622" s="664"/>
      <c r="AF622" s="664"/>
    </row>
    <row r="623" spans="2:32" ht="14.65">
      <c r="B623" s="653">
        <f t="shared" si="103"/>
        <v>619</v>
      </c>
      <c r="C623" s="669" t="s">
        <v>328</v>
      </c>
      <c r="D623" s="666" t="s">
        <v>74</v>
      </c>
      <c r="E623" s="669" t="s">
        <v>3592</v>
      </c>
      <c r="F623" s="672">
        <v>45009</v>
      </c>
      <c r="G623" s="672">
        <v>45009</v>
      </c>
      <c r="H623" s="669" t="s">
        <v>758</v>
      </c>
      <c r="I623" s="672">
        <v>45009</v>
      </c>
      <c r="J623" s="627">
        <f>148621</f>
        <v>148621</v>
      </c>
      <c r="K623" s="627"/>
      <c r="L623" s="627"/>
      <c r="M623" s="627">
        <f>11335.5*2</f>
        <v>22671</v>
      </c>
      <c r="N623" s="627">
        <v>125950</v>
      </c>
      <c r="O623" s="682">
        <f>'[86]Add22-23'!$N$1-I623</f>
        <v>7</v>
      </c>
      <c r="P623" s="673">
        <v>9</v>
      </c>
      <c r="Q623" s="674">
        <f t="shared" si="108"/>
        <v>8.9808219178082194</v>
      </c>
      <c r="R623" s="675">
        <f t="shared" si="109"/>
        <v>268</v>
      </c>
      <c r="S623" s="675">
        <f t="shared" si="110"/>
        <v>125682</v>
      </c>
      <c r="T623" s="676"/>
      <c r="U623" s="676">
        <f t="shared" si="111"/>
        <v>125950</v>
      </c>
      <c r="V623" s="664"/>
      <c r="W623" s="664"/>
      <c r="X623" s="664"/>
      <c r="Y623" s="664"/>
      <c r="Z623" s="664"/>
      <c r="AA623" s="664"/>
      <c r="AB623" s="664"/>
      <c r="AC623" s="664"/>
      <c r="AD623" s="664"/>
      <c r="AE623" s="664"/>
      <c r="AF623" s="664"/>
    </row>
    <row r="624" spans="2:32" ht="14.65">
      <c r="B624" s="653">
        <f t="shared" si="103"/>
        <v>620</v>
      </c>
      <c r="C624" s="669" t="s">
        <v>564</v>
      </c>
      <c r="D624" s="666" t="s">
        <v>74</v>
      </c>
      <c r="E624" s="669">
        <v>8306</v>
      </c>
      <c r="F624" s="672">
        <v>44985</v>
      </c>
      <c r="G624" s="672">
        <v>44985</v>
      </c>
      <c r="H624" s="669" t="s">
        <v>180</v>
      </c>
      <c r="I624" s="672">
        <v>44985</v>
      </c>
      <c r="J624" s="627">
        <v>885000</v>
      </c>
      <c r="K624" s="627"/>
      <c r="L624" s="627"/>
      <c r="M624" s="627">
        <v>135000</v>
      </c>
      <c r="N624" s="627">
        <v>750000</v>
      </c>
      <c r="O624" s="682">
        <f>'[86]Add22-23'!$N$1-I624</f>
        <v>31</v>
      </c>
      <c r="P624" s="673">
        <v>9</v>
      </c>
      <c r="Q624" s="674">
        <f t="shared" si="108"/>
        <v>8.9150684931506845</v>
      </c>
      <c r="R624" s="675">
        <f t="shared" si="109"/>
        <v>7078</v>
      </c>
      <c r="S624" s="675">
        <f t="shared" si="110"/>
        <v>742922</v>
      </c>
      <c r="T624" s="676"/>
      <c r="U624" s="676">
        <f t="shared" si="111"/>
        <v>750000</v>
      </c>
      <c r="V624" s="664"/>
      <c r="W624" s="664"/>
      <c r="X624" s="664"/>
      <c r="Y624" s="664"/>
      <c r="Z624" s="664"/>
      <c r="AA624" s="664"/>
      <c r="AB624" s="664"/>
      <c r="AC624" s="664"/>
      <c r="AD624" s="664"/>
      <c r="AE624" s="664"/>
      <c r="AF624" s="664"/>
    </row>
    <row r="625" spans="2:32" ht="14.65">
      <c r="B625" s="653">
        <f t="shared" si="103"/>
        <v>621</v>
      </c>
      <c r="C625" s="684" t="s">
        <v>331</v>
      </c>
      <c r="D625" s="695" t="s">
        <v>20</v>
      </c>
      <c r="E625" s="685">
        <v>100</v>
      </c>
      <c r="F625" s="686">
        <v>44777</v>
      </c>
      <c r="G625" s="686">
        <v>44777</v>
      </c>
      <c r="H625" s="684" t="s">
        <v>180</v>
      </c>
      <c r="I625" s="657">
        <v>44777</v>
      </c>
      <c r="J625" s="628">
        <v>1699200</v>
      </c>
      <c r="K625" s="628"/>
      <c r="L625" s="628"/>
      <c r="M625" s="628">
        <v>259200</v>
      </c>
      <c r="N625" s="628">
        <v>1440000</v>
      </c>
      <c r="O625" s="659">
        <f t="shared" ref="O625:O631" si="112">$O$1-I625</f>
        <v>239</v>
      </c>
      <c r="P625" s="660">
        <v>9</v>
      </c>
      <c r="Q625" s="661">
        <f t="shared" si="108"/>
        <v>8.3452054794520549</v>
      </c>
      <c r="R625" s="662">
        <f t="shared" si="109"/>
        <v>104767</v>
      </c>
      <c r="S625" s="662">
        <f t="shared" si="110"/>
        <v>1335233</v>
      </c>
      <c r="T625" s="663">
        <f t="shared" ref="T625:T631" si="113">IF(I625&lt;=DATE(2022,9,30),N625,0)</f>
        <v>1440000</v>
      </c>
      <c r="U625" s="663">
        <f t="shared" si="111"/>
        <v>0</v>
      </c>
      <c r="V625" s="664"/>
      <c r="W625" s="664"/>
      <c r="X625" s="664"/>
      <c r="Y625" s="664"/>
      <c r="Z625" s="664"/>
      <c r="AA625" s="664"/>
      <c r="AB625" s="664"/>
      <c r="AC625" s="664"/>
      <c r="AD625" s="664"/>
      <c r="AE625" s="664"/>
      <c r="AF625" s="664"/>
    </row>
    <row r="626" spans="2:32" ht="14.65">
      <c r="B626" s="653">
        <f t="shared" si="103"/>
        <v>622</v>
      </c>
      <c r="C626" s="665" t="s">
        <v>60</v>
      </c>
      <c r="D626" s="666" t="s">
        <v>28</v>
      </c>
      <c r="E626" s="667" t="s">
        <v>81</v>
      </c>
      <c r="F626" s="657">
        <v>44659</v>
      </c>
      <c r="G626" s="657">
        <v>44659</v>
      </c>
      <c r="H626" s="665" t="s">
        <v>169</v>
      </c>
      <c r="I626" s="668">
        <v>44659</v>
      </c>
      <c r="J626" s="628">
        <v>29028</v>
      </c>
      <c r="K626" s="628"/>
      <c r="L626" s="628"/>
      <c r="M626" s="628">
        <v>4428</v>
      </c>
      <c r="N626" s="628">
        <v>24600</v>
      </c>
      <c r="O626" s="659">
        <f t="shared" si="112"/>
        <v>357</v>
      </c>
      <c r="P626" s="660">
        <v>9</v>
      </c>
      <c r="Q626" s="661">
        <f t="shared" si="108"/>
        <v>8.0219178082191789</v>
      </c>
      <c r="R626" s="662">
        <f t="shared" si="109"/>
        <v>2673</v>
      </c>
      <c r="S626" s="662">
        <f t="shared" si="110"/>
        <v>21927</v>
      </c>
      <c r="T626" s="663">
        <f t="shared" si="113"/>
        <v>24600</v>
      </c>
      <c r="U626" s="663">
        <f t="shared" si="111"/>
        <v>0</v>
      </c>
      <c r="V626" s="664"/>
      <c r="W626" s="664"/>
      <c r="X626" s="664"/>
      <c r="Y626" s="664"/>
      <c r="Z626" s="664"/>
      <c r="AA626" s="664"/>
      <c r="AB626" s="664"/>
      <c r="AC626" s="664"/>
      <c r="AD626" s="664"/>
      <c r="AE626" s="664"/>
      <c r="AF626" s="664"/>
    </row>
    <row r="627" spans="2:32" ht="14.65">
      <c r="B627" s="653">
        <f t="shared" si="103"/>
        <v>623</v>
      </c>
      <c r="C627" s="665" t="s">
        <v>60</v>
      </c>
      <c r="D627" s="666" t="s">
        <v>28</v>
      </c>
      <c r="E627" s="667"/>
      <c r="F627" s="657">
        <v>44697</v>
      </c>
      <c r="G627" s="657">
        <v>44697</v>
      </c>
      <c r="H627" s="665" t="s">
        <v>169</v>
      </c>
      <c r="I627" s="668">
        <v>44697</v>
      </c>
      <c r="J627" s="628">
        <v>63484</v>
      </c>
      <c r="K627" s="628"/>
      <c r="L627" s="628"/>
      <c r="M627" s="628">
        <v>9684</v>
      </c>
      <c r="N627" s="628">
        <v>53800</v>
      </c>
      <c r="O627" s="659">
        <f t="shared" si="112"/>
        <v>319</v>
      </c>
      <c r="P627" s="660">
        <v>9</v>
      </c>
      <c r="Q627" s="661">
        <f t="shared" si="108"/>
        <v>8.1260273972602732</v>
      </c>
      <c r="R627" s="662">
        <f t="shared" si="109"/>
        <v>5224</v>
      </c>
      <c r="S627" s="662">
        <f t="shared" si="110"/>
        <v>48576</v>
      </c>
      <c r="T627" s="663">
        <f t="shared" si="113"/>
        <v>53800</v>
      </c>
      <c r="U627" s="663">
        <f t="shared" si="111"/>
        <v>0</v>
      </c>
      <c r="V627" s="664"/>
      <c r="W627" s="664"/>
      <c r="X627" s="664"/>
      <c r="Y627" s="664"/>
      <c r="Z627" s="664"/>
      <c r="AA627" s="664"/>
      <c r="AB627" s="664"/>
      <c r="AC627" s="664"/>
      <c r="AD627" s="664"/>
      <c r="AE627" s="664"/>
      <c r="AF627" s="664"/>
    </row>
    <row r="628" spans="2:32" ht="14.65">
      <c r="B628" s="653">
        <f t="shared" si="103"/>
        <v>624</v>
      </c>
      <c r="C628" s="684" t="s">
        <v>60</v>
      </c>
      <c r="D628" s="695" t="s">
        <v>28</v>
      </c>
      <c r="E628" s="685" t="s">
        <v>400</v>
      </c>
      <c r="F628" s="686">
        <v>44782</v>
      </c>
      <c r="G628" s="686">
        <v>44782</v>
      </c>
      <c r="H628" s="684" t="s">
        <v>169</v>
      </c>
      <c r="I628" s="657">
        <v>44782</v>
      </c>
      <c r="J628" s="628">
        <v>77880</v>
      </c>
      <c r="K628" s="628"/>
      <c r="L628" s="628"/>
      <c r="M628" s="628">
        <v>11880</v>
      </c>
      <c r="N628" s="628">
        <v>66000</v>
      </c>
      <c r="O628" s="659">
        <f t="shared" si="112"/>
        <v>234</v>
      </c>
      <c r="P628" s="660">
        <v>9</v>
      </c>
      <c r="Q628" s="661">
        <f t="shared" si="108"/>
        <v>8.3589041095890408</v>
      </c>
      <c r="R628" s="662">
        <f t="shared" si="109"/>
        <v>4701</v>
      </c>
      <c r="S628" s="662">
        <f t="shared" si="110"/>
        <v>61299</v>
      </c>
      <c r="T628" s="663">
        <f t="shared" si="113"/>
        <v>66000</v>
      </c>
      <c r="U628" s="663">
        <f t="shared" si="111"/>
        <v>0</v>
      </c>
      <c r="V628" s="664"/>
      <c r="W628" s="664"/>
      <c r="X628" s="664"/>
      <c r="Y628" s="664"/>
      <c r="Z628" s="664"/>
      <c r="AA628" s="664"/>
      <c r="AB628" s="664"/>
      <c r="AC628" s="664"/>
      <c r="AD628" s="664"/>
      <c r="AE628" s="664"/>
      <c r="AF628" s="664"/>
    </row>
    <row r="629" spans="2:32" ht="14.65">
      <c r="B629" s="653">
        <f t="shared" si="103"/>
        <v>625</v>
      </c>
      <c r="C629" s="684" t="s">
        <v>60</v>
      </c>
      <c r="D629" s="695" t="s">
        <v>28</v>
      </c>
      <c r="E629" s="685">
        <v>2698</v>
      </c>
      <c r="F629" s="686">
        <v>44782</v>
      </c>
      <c r="G629" s="686">
        <v>44782</v>
      </c>
      <c r="H629" s="684" t="s">
        <v>423</v>
      </c>
      <c r="I629" s="657">
        <v>44782</v>
      </c>
      <c r="J629" s="628">
        <v>18160</v>
      </c>
      <c r="K629" s="628"/>
      <c r="L629" s="628"/>
      <c r="M629" s="628">
        <v>2770</v>
      </c>
      <c r="N629" s="628">
        <v>15390</v>
      </c>
      <c r="O629" s="659">
        <f t="shared" si="112"/>
        <v>234</v>
      </c>
      <c r="P629" s="660">
        <v>9</v>
      </c>
      <c r="Q629" s="661">
        <f t="shared" si="108"/>
        <v>8.3589041095890408</v>
      </c>
      <c r="R629" s="662">
        <f t="shared" si="109"/>
        <v>1096</v>
      </c>
      <c r="S629" s="662">
        <f t="shared" si="110"/>
        <v>14294</v>
      </c>
      <c r="T629" s="663">
        <f t="shared" si="113"/>
        <v>15390</v>
      </c>
      <c r="U629" s="663">
        <f t="shared" si="111"/>
        <v>0</v>
      </c>
      <c r="V629" s="664"/>
      <c r="W629" s="664"/>
      <c r="X629" s="664"/>
      <c r="Y629" s="664"/>
      <c r="Z629" s="664"/>
      <c r="AA629" s="664"/>
      <c r="AB629" s="664"/>
      <c r="AC629" s="664"/>
      <c r="AD629" s="664"/>
      <c r="AE629" s="664"/>
      <c r="AF629" s="664"/>
    </row>
    <row r="630" spans="2:32" ht="14.65">
      <c r="B630" s="653">
        <f t="shared" si="103"/>
        <v>626</v>
      </c>
      <c r="C630" s="699" t="s">
        <v>60</v>
      </c>
      <c r="D630" s="704" t="s">
        <v>28</v>
      </c>
      <c r="E630" s="697" t="s">
        <v>752</v>
      </c>
      <c r="F630" s="698">
        <v>44889</v>
      </c>
      <c r="G630" s="698">
        <v>44889</v>
      </c>
      <c r="H630" s="699" t="s">
        <v>169</v>
      </c>
      <c r="I630" s="657">
        <v>44889</v>
      </c>
      <c r="J630" s="691">
        <v>58056</v>
      </c>
      <c r="K630" s="628"/>
      <c r="L630" s="628"/>
      <c r="M630" s="628">
        <v>8856</v>
      </c>
      <c r="N630" s="628">
        <v>49200</v>
      </c>
      <c r="O630" s="659">
        <f t="shared" si="112"/>
        <v>127</v>
      </c>
      <c r="P630" s="660">
        <v>9</v>
      </c>
      <c r="Q630" s="661">
        <f t="shared" si="108"/>
        <v>8.6520547945205486</v>
      </c>
      <c r="R630" s="662">
        <f t="shared" si="109"/>
        <v>1902</v>
      </c>
      <c r="S630" s="662">
        <f t="shared" si="110"/>
        <v>47298</v>
      </c>
      <c r="T630" s="663">
        <f t="shared" si="113"/>
        <v>0</v>
      </c>
      <c r="U630" s="663">
        <f t="shared" si="111"/>
        <v>49200</v>
      </c>
      <c r="V630" s="664"/>
      <c r="W630" s="664"/>
      <c r="X630" s="664"/>
      <c r="Y630" s="664"/>
      <c r="Z630" s="664"/>
      <c r="AA630" s="664"/>
      <c r="AB630" s="664"/>
      <c r="AC630" s="664"/>
      <c r="AD630" s="664"/>
      <c r="AE630" s="664"/>
      <c r="AF630" s="664"/>
    </row>
    <row r="631" spans="2:32" ht="14.65">
      <c r="B631" s="653">
        <f t="shared" si="103"/>
        <v>627</v>
      </c>
      <c r="C631" s="699" t="s">
        <v>60</v>
      </c>
      <c r="D631" s="704" t="s">
        <v>28</v>
      </c>
      <c r="E631" s="697" t="s">
        <v>753</v>
      </c>
      <c r="F631" s="698">
        <v>44919</v>
      </c>
      <c r="G631" s="698">
        <v>44919</v>
      </c>
      <c r="H631" s="699" t="s">
        <v>169</v>
      </c>
      <c r="I631" s="657">
        <v>44919</v>
      </c>
      <c r="J631" s="691">
        <v>10478</v>
      </c>
      <c r="K631" s="628"/>
      <c r="L631" s="628"/>
      <c r="M631" s="628">
        <v>1598</v>
      </c>
      <c r="N631" s="628">
        <v>8880</v>
      </c>
      <c r="O631" s="659">
        <f t="shared" si="112"/>
        <v>97</v>
      </c>
      <c r="P631" s="660">
        <v>9</v>
      </c>
      <c r="Q631" s="661">
        <f t="shared" si="108"/>
        <v>8.7342465753424658</v>
      </c>
      <c r="R631" s="662">
        <f t="shared" si="109"/>
        <v>262</v>
      </c>
      <c r="S631" s="662">
        <f t="shared" si="110"/>
        <v>8618</v>
      </c>
      <c r="T631" s="663">
        <f t="shared" si="113"/>
        <v>0</v>
      </c>
      <c r="U631" s="663">
        <f t="shared" si="111"/>
        <v>8880</v>
      </c>
      <c r="V631" s="664"/>
      <c r="W631" s="664"/>
      <c r="X631" s="664"/>
      <c r="Y631" s="664"/>
      <c r="Z631" s="664"/>
      <c r="AA631" s="664"/>
      <c r="AB631" s="664"/>
      <c r="AC631" s="664"/>
      <c r="AD631" s="664"/>
      <c r="AE631" s="664"/>
      <c r="AF631" s="664"/>
    </row>
    <row r="632" spans="2:32" ht="14.65">
      <c r="B632" s="653">
        <f t="shared" si="103"/>
        <v>628</v>
      </c>
      <c r="C632" s="669" t="s">
        <v>60</v>
      </c>
      <c r="D632" s="681" t="s">
        <v>28</v>
      </c>
      <c r="E632" s="669" t="s">
        <v>3591</v>
      </c>
      <c r="F632" s="672">
        <v>45009</v>
      </c>
      <c r="G632" s="672">
        <v>45009</v>
      </c>
      <c r="H632" s="669" t="s">
        <v>169</v>
      </c>
      <c r="I632" s="672">
        <v>45009</v>
      </c>
      <c r="J632" s="627">
        <f>29175*118%</f>
        <v>34426.5</v>
      </c>
      <c r="K632" s="627"/>
      <c r="L632" s="627"/>
      <c r="M632" s="627">
        <f>J632*18%/118%</f>
        <v>5251.5</v>
      </c>
      <c r="N632" s="627">
        <v>29175</v>
      </c>
      <c r="O632" s="682">
        <f>'[86]Add22-23'!$N$1-I632</f>
        <v>7</v>
      </c>
      <c r="P632" s="673">
        <v>9</v>
      </c>
      <c r="Q632" s="674">
        <f t="shared" si="108"/>
        <v>8.9808219178082194</v>
      </c>
      <c r="R632" s="675">
        <f t="shared" si="109"/>
        <v>62</v>
      </c>
      <c r="S632" s="675">
        <f t="shared" si="110"/>
        <v>29113</v>
      </c>
      <c r="T632" s="676"/>
      <c r="U632" s="676">
        <f t="shared" si="111"/>
        <v>29175</v>
      </c>
      <c r="V632" s="664"/>
      <c r="W632" s="664"/>
      <c r="X632" s="664"/>
      <c r="Y632" s="664"/>
      <c r="Z632" s="664"/>
      <c r="AA632" s="664"/>
      <c r="AB632" s="664"/>
      <c r="AC632" s="664"/>
      <c r="AD632" s="664"/>
      <c r="AE632" s="664"/>
      <c r="AF632" s="664"/>
    </row>
    <row r="633" spans="2:32" ht="14.65">
      <c r="B633" s="653">
        <f t="shared" si="103"/>
        <v>629</v>
      </c>
      <c r="C633" s="669" t="s">
        <v>3636</v>
      </c>
      <c r="D633" s="681" t="s">
        <v>28</v>
      </c>
      <c r="E633" s="669"/>
      <c r="F633" s="672">
        <v>44972</v>
      </c>
      <c r="G633" s="672">
        <v>45016</v>
      </c>
      <c r="H633" s="669" t="s">
        <v>3637</v>
      </c>
      <c r="I633" s="672">
        <v>45016</v>
      </c>
      <c r="J633" s="627">
        <v>1180000</v>
      </c>
      <c r="K633" s="627"/>
      <c r="L633" s="627"/>
      <c r="M633" s="627">
        <v>180000</v>
      </c>
      <c r="N633" s="627">
        <v>1000000</v>
      </c>
      <c r="O633" s="682">
        <f>'[86]Add22-23'!$N$1-I633</f>
        <v>0</v>
      </c>
      <c r="P633" s="673">
        <v>9</v>
      </c>
      <c r="Q633" s="674">
        <f t="shared" ref="Q633:Q636" si="114">+P633-(O633/365)</f>
        <v>9</v>
      </c>
      <c r="R633" s="675">
        <f t="shared" ref="R633:R636" si="115">ROUND(+N633/(P633*365)*O633,0)</f>
        <v>0</v>
      </c>
      <c r="S633" s="675">
        <f t="shared" ref="S633:S636" si="116">+N633-R633</f>
        <v>1000000</v>
      </c>
      <c r="T633" s="676"/>
      <c r="U633" s="676">
        <f t="shared" ref="U633:U636" si="117">IF(I633&gt;DATE(2022,9,30),N633,0)</f>
        <v>1000000</v>
      </c>
      <c r="V633" s="664"/>
      <c r="W633" s="664"/>
      <c r="X633" s="664"/>
      <c r="Y633" s="664"/>
      <c r="Z633" s="664"/>
      <c r="AA633" s="664"/>
      <c r="AB633" s="664"/>
      <c r="AC633" s="664"/>
      <c r="AD633" s="664"/>
      <c r="AE633" s="664"/>
      <c r="AF633" s="664"/>
    </row>
    <row r="634" spans="2:32" ht="14.65">
      <c r="B634" s="653">
        <f t="shared" si="103"/>
        <v>630</v>
      </c>
      <c r="C634" s="669" t="s">
        <v>3636</v>
      </c>
      <c r="D634" s="681" t="s">
        <v>28</v>
      </c>
      <c r="E634" s="669"/>
      <c r="F634" s="672">
        <v>44972</v>
      </c>
      <c r="G634" s="672">
        <v>45016</v>
      </c>
      <c r="H634" s="669" t="s">
        <v>3637</v>
      </c>
      <c r="I634" s="672">
        <v>45016</v>
      </c>
      <c r="J634" s="627">
        <v>1180000</v>
      </c>
      <c r="K634" s="627"/>
      <c r="L634" s="627"/>
      <c r="M634" s="627">
        <v>180000</v>
      </c>
      <c r="N634" s="627">
        <v>1000000</v>
      </c>
      <c r="O634" s="682">
        <f>'[86]Add22-23'!$N$1-I634</f>
        <v>0</v>
      </c>
      <c r="P634" s="673">
        <v>9</v>
      </c>
      <c r="Q634" s="674">
        <f t="shared" si="114"/>
        <v>9</v>
      </c>
      <c r="R634" s="675">
        <f t="shared" si="115"/>
        <v>0</v>
      </c>
      <c r="S634" s="675">
        <f t="shared" si="116"/>
        <v>1000000</v>
      </c>
      <c r="T634" s="676"/>
      <c r="U634" s="676">
        <f t="shared" si="117"/>
        <v>1000000</v>
      </c>
      <c r="V634" s="664"/>
      <c r="W634" s="664"/>
      <c r="X634" s="664"/>
      <c r="Y634" s="664"/>
      <c r="Z634" s="664"/>
      <c r="AA634" s="664"/>
      <c r="AB634" s="664"/>
      <c r="AC634" s="664"/>
      <c r="AD634" s="664"/>
      <c r="AE634" s="664"/>
      <c r="AF634" s="664"/>
    </row>
    <row r="635" spans="2:32" ht="14.65">
      <c r="B635" s="653">
        <f t="shared" si="103"/>
        <v>631</v>
      </c>
      <c r="C635" s="669" t="s">
        <v>3638</v>
      </c>
      <c r="D635" s="681" t="s">
        <v>28</v>
      </c>
      <c r="E635" s="669"/>
      <c r="F635" s="672">
        <v>44972</v>
      </c>
      <c r="G635" s="672">
        <v>45016</v>
      </c>
      <c r="H635" s="669" t="s">
        <v>3637</v>
      </c>
      <c r="I635" s="672">
        <v>45016</v>
      </c>
      <c r="J635" s="627">
        <v>112000</v>
      </c>
      <c r="K635" s="627"/>
      <c r="L635" s="627"/>
      <c r="M635" s="627">
        <v>12000</v>
      </c>
      <c r="N635" s="627">
        <v>100000</v>
      </c>
      <c r="O635" s="682">
        <f>'[86]Add22-23'!$N$1-I635</f>
        <v>0</v>
      </c>
      <c r="P635" s="673">
        <v>9</v>
      </c>
      <c r="Q635" s="674">
        <f t="shared" si="114"/>
        <v>9</v>
      </c>
      <c r="R635" s="675">
        <f t="shared" si="115"/>
        <v>0</v>
      </c>
      <c r="S635" s="675">
        <f t="shared" si="116"/>
        <v>100000</v>
      </c>
      <c r="T635" s="676"/>
      <c r="U635" s="676">
        <f t="shared" si="117"/>
        <v>100000</v>
      </c>
      <c r="V635" s="664"/>
      <c r="W635" s="664"/>
      <c r="X635" s="664"/>
      <c r="Y635" s="664"/>
      <c r="Z635" s="664"/>
      <c r="AA635" s="664"/>
      <c r="AB635" s="664"/>
      <c r="AC635" s="664"/>
      <c r="AD635" s="664"/>
      <c r="AE635" s="664"/>
      <c r="AF635" s="664"/>
    </row>
    <row r="636" spans="2:32" ht="14.65">
      <c r="B636" s="653">
        <f t="shared" si="103"/>
        <v>632</v>
      </c>
      <c r="C636" s="669" t="s">
        <v>3638</v>
      </c>
      <c r="D636" s="681" t="s">
        <v>28</v>
      </c>
      <c r="E636" s="669"/>
      <c r="F636" s="672">
        <v>44972</v>
      </c>
      <c r="G636" s="672">
        <v>45016</v>
      </c>
      <c r="H636" s="669" t="s">
        <v>3637</v>
      </c>
      <c r="I636" s="672">
        <v>45016</v>
      </c>
      <c r="J636" s="627">
        <v>560000</v>
      </c>
      <c r="K636" s="627"/>
      <c r="L636" s="627"/>
      <c r="M636" s="627">
        <v>60000</v>
      </c>
      <c r="N636" s="627">
        <v>500000</v>
      </c>
      <c r="O636" s="682">
        <f>'[86]Add22-23'!$N$1-I636</f>
        <v>0</v>
      </c>
      <c r="P636" s="673">
        <v>9</v>
      </c>
      <c r="Q636" s="674">
        <f t="shared" si="114"/>
        <v>9</v>
      </c>
      <c r="R636" s="675">
        <f t="shared" si="115"/>
        <v>0</v>
      </c>
      <c r="S636" s="675">
        <f t="shared" si="116"/>
        <v>500000</v>
      </c>
      <c r="T636" s="676"/>
      <c r="U636" s="676">
        <f t="shared" si="117"/>
        <v>500000</v>
      </c>
      <c r="V636" s="664"/>
      <c r="W636" s="664"/>
      <c r="X636" s="664"/>
      <c r="Y636" s="664"/>
      <c r="Z636" s="664"/>
      <c r="AA636" s="664"/>
      <c r="AB636" s="664"/>
      <c r="AC636" s="664"/>
      <c r="AD636" s="664"/>
      <c r="AE636" s="664"/>
      <c r="AF636" s="664"/>
    </row>
    <row r="637" spans="2:32" ht="14.65">
      <c r="B637" s="653">
        <f t="shared" si="103"/>
        <v>633</v>
      </c>
      <c r="C637" s="665" t="s">
        <v>70</v>
      </c>
      <c r="D637" s="666" t="s">
        <v>21</v>
      </c>
      <c r="E637" s="667">
        <v>18</v>
      </c>
      <c r="F637" s="657">
        <v>44656</v>
      </c>
      <c r="G637" s="657">
        <v>44656</v>
      </c>
      <c r="H637" s="665" t="s">
        <v>177</v>
      </c>
      <c r="I637" s="687">
        <v>44656</v>
      </c>
      <c r="J637" s="628">
        <v>15363.6</v>
      </c>
      <c r="K637" s="628"/>
      <c r="L637" s="628"/>
      <c r="M637" s="628">
        <v>2343.6</v>
      </c>
      <c r="N637" s="628">
        <v>13020</v>
      </c>
      <c r="O637" s="659">
        <f t="shared" ref="O637:O661" si="118">$O$1-I637</f>
        <v>360</v>
      </c>
      <c r="P637" s="660">
        <v>9</v>
      </c>
      <c r="Q637" s="661">
        <f t="shared" ref="Q637:Q661" si="119">+P637-(O637/365)</f>
        <v>8.0136986301369859</v>
      </c>
      <c r="R637" s="662">
        <f t="shared" ref="R637:R661" si="120">ROUND(+N637/(P637*365)*O637,0)</f>
        <v>1427</v>
      </c>
      <c r="S637" s="662">
        <f t="shared" ref="S637:S661" si="121">+N637-R637</f>
        <v>11593</v>
      </c>
      <c r="T637" s="663">
        <f t="shared" ref="T637:T661" si="122">IF(I637&lt;=DATE(2022,9,30),N637,0)</f>
        <v>13020</v>
      </c>
      <c r="U637" s="663">
        <f t="shared" ref="U637:U661" si="123">IF(I637&gt;DATE(2022,9,30),N637,0)</f>
        <v>0</v>
      </c>
      <c r="V637" s="664"/>
      <c r="W637" s="664"/>
      <c r="X637" s="664"/>
      <c r="Y637" s="664"/>
      <c r="Z637" s="664"/>
      <c r="AA637" s="664"/>
      <c r="AB637" s="664"/>
      <c r="AC637" s="664"/>
      <c r="AD637" s="664"/>
      <c r="AE637" s="664"/>
      <c r="AF637" s="664"/>
    </row>
    <row r="638" spans="2:32" ht="14.65">
      <c r="B638" s="653">
        <f t="shared" si="103"/>
        <v>634</v>
      </c>
      <c r="C638" s="665" t="s">
        <v>70</v>
      </c>
      <c r="D638" s="666" t="s">
        <v>21</v>
      </c>
      <c r="E638" s="667">
        <v>15</v>
      </c>
      <c r="F638" s="657">
        <v>44663</v>
      </c>
      <c r="G638" s="657">
        <v>44663</v>
      </c>
      <c r="H638" s="665" t="s">
        <v>177</v>
      </c>
      <c r="I638" s="687">
        <v>44663</v>
      </c>
      <c r="J638" s="628">
        <v>48238.400000000001</v>
      </c>
      <c r="K638" s="628"/>
      <c r="L638" s="628"/>
      <c r="M638" s="628">
        <v>7358.4</v>
      </c>
      <c r="N638" s="628">
        <v>40880</v>
      </c>
      <c r="O638" s="659">
        <f t="shared" si="118"/>
        <v>353</v>
      </c>
      <c r="P638" s="660">
        <v>9</v>
      </c>
      <c r="Q638" s="661">
        <f t="shared" si="119"/>
        <v>8.0328767123287665</v>
      </c>
      <c r="R638" s="662">
        <f t="shared" si="120"/>
        <v>4393</v>
      </c>
      <c r="S638" s="662">
        <f t="shared" si="121"/>
        <v>36487</v>
      </c>
      <c r="T638" s="663">
        <f t="shared" si="122"/>
        <v>40880</v>
      </c>
      <c r="U638" s="663">
        <f t="shared" si="123"/>
        <v>0</v>
      </c>
      <c r="V638" s="664"/>
      <c r="W638" s="664"/>
      <c r="X638" s="664"/>
      <c r="Y638" s="664"/>
      <c r="Z638" s="664"/>
      <c r="AA638" s="664"/>
      <c r="AB638" s="664"/>
      <c r="AC638" s="664"/>
      <c r="AD638" s="664"/>
      <c r="AE638" s="664"/>
      <c r="AF638" s="664"/>
    </row>
    <row r="639" spans="2:32" ht="14.65">
      <c r="B639" s="653">
        <f t="shared" si="103"/>
        <v>635</v>
      </c>
      <c r="C639" s="665" t="s">
        <v>71</v>
      </c>
      <c r="D639" s="666" t="s">
        <v>21</v>
      </c>
      <c r="E639" s="667" t="s">
        <v>141</v>
      </c>
      <c r="F639" s="657">
        <v>44656</v>
      </c>
      <c r="G639" s="657">
        <v>44656</v>
      </c>
      <c r="H639" s="665" t="s">
        <v>179</v>
      </c>
      <c r="I639" s="668">
        <v>44656</v>
      </c>
      <c r="J639" s="628">
        <v>3767300</v>
      </c>
      <c r="K639" s="628"/>
      <c r="L639" s="628">
        <v>37300</v>
      </c>
      <c r="M639" s="628">
        <v>815937.50000000012</v>
      </c>
      <c r="N639" s="628">
        <v>2914062.5</v>
      </c>
      <c r="O639" s="659">
        <f t="shared" si="118"/>
        <v>360</v>
      </c>
      <c r="P639" s="660">
        <v>9</v>
      </c>
      <c r="Q639" s="661">
        <f t="shared" si="119"/>
        <v>8.0136986301369859</v>
      </c>
      <c r="R639" s="662">
        <f t="shared" si="120"/>
        <v>319349</v>
      </c>
      <c r="S639" s="662">
        <f t="shared" si="121"/>
        <v>2594713.5</v>
      </c>
      <c r="T639" s="663">
        <f t="shared" si="122"/>
        <v>2914062.5</v>
      </c>
      <c r="U639" s="663">
        <f t="shared" si="123"/>
        <v>0</v>
      </c>
      <c r="V639" s="664"/>
      <c r="W639" s="664"/>
      <c r="X639" s="664"/>
      <c r="Y639" s="664"/>
      <c r="Z639" s="664"/>
      <c r="AA639" s="664"/>
      <c r="AB639" s="664"/>
      <c r="AC639" s="664"/>
      <c r="AD639" s="664"/>
      <c r="AE639" s="664"/>
      <c r="AF639" s="664"/>
    </row>
    <row r="640" spans="2:32" ht="14.65">
      <c r="B640" s="653">
        <f t="shared" si="103"/>
        <v>636</v>
      </c>
      <c r="C640" s="665" t="s">
        <v>71</v>
      </c>
      <c r="D640" s="666" t="s">
        <v>21</v>
      </c>
      <c r="E640" s="667" t="s">
        <v>142</v>
      </c>
      <c r="F640" s="657">
        <v>44656</v>
      </c>
      <c r="G640" s="657">
        <v>44656</v>
      </c>
      <c r="H640" s="665" t="s">
        <v>179</v>
      </c>
      <c r="I640" s="657">
        <v>44656</v>
      </c>
      <c r="J640" s="628">
        <v>3767300</v>
      </c>
      <c r="K640" s="628"/>
      <c r="L640" s="628">
        <v>37300</v>
      </c>
      <c r="M640" s="628">
        <v>815937.50000000012</v>
      </c>
      <c r="N640" s="628">
        <v>2914062.5</v>
      </c>
      <c r="O640" s="659">
        <f t="shared" si="118"/>
        <v>360</v>
      </c>
      <c r="P640" s="660">
        <v>9</v>
      </c>
      <c r="Q640" s="661">
        <f t="shared" si="119"/>
        <v>8.0136986301369859</v>
      </c>
      <c r="R640" s="662">
        <f t="shared" si="120"/>
        <v>319349</v>
      </c>
      <c r="S640" s="662">
        <f t="shared" si="121"/>
        <v>2594713.5</v>
      </c>
      <c r="T640" s="663">
        <f t="shared" si="122"/>
        <v>2914062.5</v>
      </c>
      <c r="U640" s="663">
        <f t="shared" si="123"/>
        <v>0</v>
      </c>
      <c r="V640" s="664"/>
      <c r="W640" s="664"/>
      <c r="X640" s="664"/>
      <c r="Y640" s="664"/>
      <c r="Z640" s="664"/>
      <c r="AA640" s="664"/>
      <c r="AB640" s="664"/>
      <c r="AC640" s="664"/>
      <c r="AD640" s="664"/>
      <c r="AE640" s="664"/>
      <c r="AF640" s="664"/>
    </row>
    <row r="641" spans="2:32" ht="14.65">
      <c r="B641" s="653">
        <f t="shared" si="103"/>
        <v>637</v>
      </c>
      <c r="C641" s="665" t="s">
        <v>71</v>
      </c>
      <c r="D641" s="666" t="s">
        <v>21</v>
      </c>
      <c r="E641" s="667" t="s">
        <v>143</v>
      </c>
      <c r="F641" s="657">
        <v>44656</v>
      </c>
      <c r="G641" s="657">
        <v>44656</v>
      </c>
      <c r="H641" s="665" t="s">
        <v>179</v>
      </c>
      <c r="I641" s="657">
        <v>44656</v>
      </c>
      <c r="J641" s="628">
        <v>3767300</v>
      </c>
      <c r="K641" s="628"/>
      <c r="L641" s="628">
        <v>37300</v>
      </c>
      <c r="M641" s="628">
        <v>815937.50000000012</v>
      </c>
      <c r="N641" s="628">
        <v>2914062.5</v>
      </c>
      <c r="O641" s="659">
        <f t="shared" si="118"/>
        <v>360</v>
      </c>
      <c r="P641" s="660">
        <v>9</v>
      </c>
      <c r="Q641" s="661">
        <f t="shared" si="119"/>
        <v>8.0136986301369859</v>
      </c>
      <c r="R641" s="662">
        <f t="shared" si="120"/>
        <v>319349</v>
      </c>
      <c r="S641" s="662">
        <f t="shared" si="121"/>
        <v>2594713.5</v>
      </c>
      <c r="T641" s="663">
        <f t="shared" si="122"/>
        <v>2914062.5</v>
      </c>
      <c r="U641" s="663">
        <f t="shared" si="123"/>
        <v>0</v>
      </c>
      <c r="V641" s="664"/>
      <c r="W641" s="664"/>
      <c r="X641" s="664"/>
      <c r="Y641" s="664"/>
      <c r="Z641" s="664"/>
      <c r="AA641" s="664"/>
      <c r="AB641" s="664"/>
      <c r="AC641" s="664"/>
      <c r="AD641" s="664"/>
      <c r="AE641" s="664"/>
      <c r="AF641" s="664"/>
    </row>
    <row r="642" spans="2:32" ht="14.65">
      <c r="B642" s="653">
        <f t="shared" si="103"/>
        <v>638</v>
      </c>
      <c r="C642" s="665" t="s">
        <v>71</v>
      </c>
      <c r="D642" s="666" t="s">
        <v>21</v>
      </c>
      <c r="E642" s="667" t="s">
        <v>144</v>
      </c>
      <c r="F642" s="657">
        <v>44656</v>
      </c>
      <c r="G642" s="657">
        <v>44656</v>
      </c>
      <c r="H642" s="665" t="s">
        <v>179</v>
      </c>
      <c r="I642" s="657">
        <v>44656</v>
      </c>
      <c r="J642" s="628">
        <v>3767300</v>
      </c>
      <c r="K642" s="628"/>
      <c r="L642" s="628">
        <v>37300</v>
      </c>
      <c r="M642" s="628">
        <v>815937.50000000012</v>
      </c>
      <c r="N642" s="628">
        <v>2914062.5</v>
      </c>
      <c r="O642" s="659">
        <f t="shared" si="118"/>
        <v>360</v>
      </c>
      <c r="P642" s="660">
        <v>9</v>
      </c>
      <c r="Q642" s="661">
        <f t="shared" si="119"/>
        <v>8.0136986301369859</v>
      </c>
      <c r="R642" s="662">
        <f t="shared" si="120"/>
        <v>319349</v>
      </c>
      <c r="S642" s="662">
        <f t="shared" si="121"/>
        <v>2594713.5</v>
      </c>
      <c r="T642" s="663">
        <f t="shared" si="122"/>
        <v>2914062.5</v>
      </c>
      <c r="U642" s="663">
        <f t="shared" si="123"/>
        <v>0</v>
      </c>
      <c r="V642" s="664"/>
      <c r="W642" s="664"/>
      <c r="X642" s="664"/>
      <c r="Y642" s="664"/>
      <c r="Z642" s="664"/>
      <c r="AA642" s="664"/>
      <c r="AB642" s="664"/>
      <c r="AC642" s="664"/>
      <c r="AD642" s="664"/>
      <c r="AE642" s="664"/>
      <c r="AF642" s="664"/>
    </row>
    <row r="643" spans="2:32" ht="14.65">
      <c r="B643" s="653">
        <f t="shared" si="103"/>
        <v>639</v>
      </c>
      <c r="C643" s="665" t="s">
        <v>71</v>
      </c>
      <c r="D643" s="666" t="s">
        <v>21</v>
      </c>
      <c r="E643" s="667" t="s">
        <v>145</v>
      </c>
      <c r="F643" s="657">
        <v>44656</v>
      </c>
      <c r="G643" s="657">
        <v>44656</v>
      </c>
      <c r="H643" s="665" t="s">
        <v>179</v>
      </c>
      <c r="I643" s="657">
        <v>44656</v>
      </c>
      <c r="J643" s="628">
        <v>3767300</v>
      </c>
      <c r="K643" s="628"/>
      <c r="L643" s="628">
        <v>37300</v>
      </c>
      <c r="M643" s="628">
        <v>815937.50000000012</v>
      </c>
      <c r="N643" s="628">
        <v>2914062.5</v>
      </c>
      <c r="O643" s="659">
        <f t="shared" si="118"/>
        <v>360</v>
      </c>
      <c r="P643" s="660">
        <v>9</v>
      </c>
      <c r="Q643" s="661">
        <f t="shared" si="119"/>
        <v>8.0136986301369859</v>
      </c>
      <c r="R643" s="662">
        <f t="shared" si="120"/>
        <v>319349</v>
      </c>
      <c r="S643" s="662">
        <f t="shared" si="121"/>
        <v>2594713.5</v>
      </c>
      <c r="T643" s="663">
        <f t="shared" si="122"/>
        <v>2914062.5</v>
      </c>
      <c r="U643" s="663">
        <f t="shared" si="123"/>
        <v>0</v>
      </c>
      <c r="V643" s="664"/>
      <c r="W643" s="664"/>
      <c r="X643" s="664"/>
      <c r="Y643" s="664"/>
      <c r="Z643" s="664"/>
      <c r="AA643" s="664"/>
      <c r="AB643" s="664"/>
      <c r="AC643" s="664"/>
      <c r="AD643" s="664"/>
      <c r="AE643" s="664"/>
      <c r="AF643" s="664"/>
    </row>
    <row r="644" spans="2:32" ht="14.65">
      <c r="B644" s="653">
        <f t="shared" si="103"/>
        <v>640</v>
      </c>
      <c r="C644" s="665" t="s">
        <v>71</v>
      </c>
      <c r="D644" s="666" t="s">
        <v>21</v>
      </c>
      <c r="E644" s="667" t="s">
        <v>146</v>
      </c>
      <c r="F644" s="657">
        <v>44656</v>
      </c>
      <c r="G644" s="657">
        <v>44656</v>
      </c>
      <c r="H644" s="665" t="s">
        <v>179</v>
      </c>
      <c r="I644" s="657">
        <v>44656</v>
      </c>
      <c r="J644" s="628">
        <v>3767300</v>
      </c>
      <c r="K644" s="628"/>
      <c r="L644" s="628">
        <v>37300</v>
      </c>
      <c r="M644" s="628">
        <v>815937.50000000012</v>
      </c>
      <c r="N644" s="628">
        <v>2914062.5</v>
      </c>
      <c r="O644" s="659">
        <f t="shared" si="118"/>
        <v>360</v>
      </c>
      <c r="P644" s="660">
        <v>9</v>
      </c>
      <c r="Q644" s="661">
        <f t="shared" si="119"/>
        <v>8.0136986301369859</v>
      </c>
      <c r="R644" s="662">
        <f t="shared" si="120"/>
        <v>319349</v>
      </c>
      <c r="S644" s="662">
        <f t="shared" si="121"/>
        <v>2594713.5</v>
      </c>
      <c r="T644" s="663">
        <f t="shared" si="122"/>
        <v>2914062.5</v>
      </c>
      <c r="U644" s="663">
        <f t="shared" si="123"/>
        <v>0</v>
      </c>
      <c r="V644" s="664"/>
      <c r="W644" s="664"/>
      <c r="X644" s="664"/>
      <c r="Y644" s="664"/>
      <c r="Z644" s="664"/>
      <c r="AA644" s="664"/>
      <c r="AB644" s="664"/>
      <c r="AC644" s="664"/>
      <c r="AD644" s="664"/>
      <c r="AE644" s="664"/>
      <c r="AF644" s="664"/>
    </row>
    <row r="645" spans="2:32" ht="14.65">
      <c r="B645" s="653">
        <f t="shared" si="103"/>
        <v>641</v>
      </c>
      <c r="C645" s="665" t="s">
        <v>71</v>
      </c>
      <c r="D645" s="666" t="s">
        <v>21</v>
      </c>
      <c r="E645" s="667" t="s">
        <v>147</v>
      </c>
      <c r="F645" s="657">
        <v>44656</v>
      </c>
      <c r="G645" s="657">
        <v>44656</v>
      </c>
      <c r="H645" s="665" t="s">
        <v>179</v>
      </c>
      <c r="I645" s="657">
        <v>44656</v>
      </c>
      <c r="J645" s="628">
        <v>3767300</v>
      </c>
      <c r="K645" s="628"/>
      <c r="L645" s="628">
        <v>37300</v>
      </c>
      <c r="M645" s="628">
        <v>815937.50000000012</v>
      </c>
      <c r="N645" s="628">
        <v>2914062.5</v>
      </c>
      <c r="O645" s="659">
        <f t="shared" si="118"/>
        <v>360</v>
      </c>
      <c r="P645" s="660">
        <v>9</v>
      </c>
      <c r="Q645" s="661">
        <f t="shared" si="119"/>
        <v>8.0136986301369859</v>
      </c>
      <c r="R645" s="662">
        <f t="shared" si="120"/>
        <v>319349</v>
      </c>
      <c r="S645" s="662">
        <f t="shared" si="121"/>
        <v>2594713.5</v>
      </c>
      <c r="T645" s="663">
        <f t="shared" si="122"/>
        <v>2914062.5</v>
      </c>
      <c r="U645" s="663">
        <f t="shared" si="123"/>
        <v>0</v>
      </c>
      <c r="V645" s="664"/>
      <c r="W645" s="664"/>
      <c r="X645" s="664"/>
      <c r="Y645" s="664"/>
      <c r="Z645" s="664"/>
      <c r="AA645" s="664"/>
      <c r="AB645" s="664"/>
      <c r="AC645" s="664"/>
      <c r="AD645" s="664"/>
      <c r="AE645" s="664"/>
      <c r="AF645" s="664"/>
    </row>
    <row r="646" spans="2:32" ht="14.65">
      <c r="B646" s="653">
        <f t="shared" si="103"/>
        <v>642</v>
      </c>
      <c r="C646" s="665" t="s">
        <v>71</v>
      </c>
      <c r="D646" s="666" t="s">
        <v>21</v>
      </c>
      <c r="E646" s="667" t="s">
        <v>148</v>
      </c>
      <c r="F646" s="657">
        <v>44656</v>
      </c>
      <c r="G646" s="657">
        <v>44656</v>
      </c>
      <c r="H646" s="665" t="s">
        <v>179</v>
      </c>
      <c r="I646" s="657">
        <v>44656</v>
      </c>
      <c r="J646" s="628">
        <v>3767300</v>
      </c>
      <c r="K646" s="628"/>
      <c r="L646" s="628">
        <v>37300</v>
      </c>
      <c r="M646" s="628">
        <v>815937.50000000012</v>
      </c>
      <c r="N646" s="628">
        <v>2914062.5</v>
      </c>
      <c r="O646" s="659">
        <f t="shared" si="118"/>
        <v>360</v>
      </c>
      <c r="P646" s="660">
        <v>9</v>
      </c>
      <c r="Q646" s="661">
        <f t="shared" si="119"/>
        <v>8.0136986301369859</v>
      </c>
      <c r="R646" s="662">
        <f t="shared" si="120"/>
        <v>319349</v>
      </c>
      <c r="S646" s="662">
        <f t="shared" si="121"/>
        <v>2594713.5</v>
      </c>
      <c r="T646" s="663">
        <f t="shared" si="122"/>
        <v>2914062.5</v>
      </c>
      <c r="U646" s="663">
        <f t="shared" si="123"/>
        <v>0</v>
      </c>
      <c r="V646" s="664"/>
      <c r="W646" s="664"/>
      <c r="X646" s="664"/>
      <c r="Y646" s="664"/>
      <c r="Z646" s="664"/>
      <c r="AA646" s="664"/>
      <c r="AB646" s="664"/>
      <c r="AC646" s="664"/>
      <c r="AD646" s="664"/>
      <c r="AE646" s="664"/>
      <c r="AF646" s="664"/>
    </row>
    <row r="647" spans="2:32" ht="14.65">
      <c r="B647" s="653">
        <f t="shared" si="103"/>
        <v>643</v>
      </c>
      <c r="C647" s="665" t="s">
        <v>71</v>
      </c>
      <c r="D647" s="666" t="s">
        <v>21</v>
      </c>
      <c r="E647" s="667" t="s">
        <v>149</v>
      </c>
      <c r="F647" s="657">
        <v>44656</v>
      </c>
      <c r="G647" s="657">
        <v>44656</v>
      </c>
      <c r="H647" s="665" t="s">
        <v>179</v>
      </c>
      <c r="I647" s="657">
        <v>44656</v>
      </c>
      <c r="J647" s="628">
        <v>3767300</v>
      </c>
      <c r="K647" s="628"/>
      <c r="L647" s="628">
        <v>37300</v>
      </c>
      <c r="M647" s="628">
        <v>815937.50000000012</v>
      </c>
      <c r="N647" s="628">
        <v>2914062.5</v>
      </c>
      <c r="O647" s="659">
        <f t="shared" si="118"/>
        <v>360</v>
      </c>
      <c r="P647" s="660">
        <v>9</v>
      </c>
      <c r="Q647" s="661">
        <f t="shared" si="119"/>
        <v>8.0136986301369859</v>
      </c>
      <c r="R647" s="662">
        <f t="shared" si="120"/>
        <v>319349</v>
      </c>
      <c r="S647" s="662">
        <f t="shared" si="121"/>
        <v>2594713.5</v>
      </c>
      <c r="T647" s="663">
        <f t="shared" si="122"/>
        <v>2914062.5</v>
      </c>
      <c r="U647" s="663">
        <f t="shared" si="123"/>
        <v>0</v>
      </c>
      <c r="V647" s="664"/>
      <c r="W647" s="664"/>
      <c r="X647" s="664"/>
      <c r="Y647" s="664"/>
      <c r="Z647" s="664"/>
      <c r="AA647" s="664"/>
      <c r="AB647" s="664"/>
      <c r="AC647" s="664"/>
      <c r="AD647" s="664"/>
      <c r="AE647" s="664"/>
      <c r="AF647" s="664"/>
    </row>
    <row r="648" spans="2:32" ht="14.65">
      <c r="B648" s="653">
        <f t="shared" ref="B648:B677" si="124">+B647+1</f>
        <v>644</v>
      </c>
      <c r="C648" s="665" t="s">
        <v>71</v>
      </c>
      <c r="D648" s="666" t="s">
        <v>21</v>
      </c>
      <c r="E648" s="667" t="s">
        <v>150</v>
      </c>
      <c r="F648" s="657">
        <v>44656</v>
      </c>
      <c r="G648" s="657">
        <v>44656</v>
      </c>
      <c r="H648" s="665" t="s">
        <v>179</v>
      </c>
      <c r="I648" s="657">
        <v>44656</v>
      </c>
      <c r="J648" s="628">
        <v>3767300</v>
      </c>
      <c r="K648" s="628"/>
      <c r="L648" s="628">
        <v>37300</v>
      </c>
      <c r="M648" s="628">
        <v>815937.50000000012</v>
      </c>
      <c r="N648" s="628">
        <v>2914062.5</v>
      </c>
      <c r="O648" s="659">
        <f t="shared" si="118"/>
        <v>360</v>
      </c>
      <c r="P648" s="660">
        <v>9</v>
      </c>
      <c r="Q648" s="661">
        <f t="shared" si="119"/>
        <v>8.0136986301369859</v>
      </c>
      <c r="R648" s="662">
        <f t="shared" si="120"/>
        <v>319349</v>
      </c>
      <c r="S648" s="662">
        <f t="shared" si="121"/>
        <v>2594713.5</v>
      </c>
      <c r="T648" s="663">
        <f t="shared" si="122"/>
        <v>2914062.5</v>
      </c>
      <c r="U648" s="663">
        <f t="shared" si="123"/>
        <v>0</v>
      </c>
      <c r="V648" s="664"/>
      <c r="W648" s="664"/>
      <c r="X648" s="664"/>
      <c r="Y648" s="664"/>
      <c r="Z648" s="664"/>
      <c r="AA648" s="664"/>
      <c r="AB648" s="664"/>
      <c r="AC648" s="664"/>
      <c r="AD648" s="664"/>
      <c r="AE648" s="664"/>
      <c r="AF648" s="664"/>
    </row>
    <row r="649" spans="2:32" ht="14.65">
      <c r="B649" s="653">
        <f t="shared" si="124"/>
        <v>645</v>
      </c>
      <c r="C649" s="665" t="s">
        <v>71</v>
      </c>
      <c r="D649" s="666" t="s">
        <v>21</v>
      </c>
      <c r="E649" s="667" t="s">
        <v>151</v>
      </c>
      <c r="F649" s="657">
        <v>44656</v>
      </c>
      <c r="G649" s="657">
        <v>44656</v>
      </c>
      <c r="H649" s="665" t="s">
        <v>179</v>
      </c>
      <c r="I649" s="657">
        <v>44656</v>
      </c>
      <c r="J649" s="628">
        <v>3767300</v>
      </c>
      <c r="K649" s="628"/>
      <c r="L649" s="628">
        <v>37300</v>
      </c>
      <c r="M649" s="628">
        <v>815937.50000000012</v>
      </c>
      <c r="N649" s="628">
        <v>2914062.5</v>
      </c>
      <c r="O649" s="659">
        <f t="shared" si="118"/>
        <v>360</v>
      </c>
      <c r="P649" s="660">
        <v>9</v>
      </c>
      <c r="Q649" s="661">
        <f t="shared" si="119"/>
        <v>8.0136986301369859</v>
      </c>
      <c r="R649" s="662">
        <f t="shared" si="120"/>
        <v>319349</v>
      </c>
      <c r="S649" s="662">
        <f t="shared" si="121"/>
        <v>2594713.5</v>
      </c>
      <c r="T649" s="663">
        <f t="shared" si="122"/>
        <v>2914062.5</v>
      </c>
      <c r="U649" s="663">
        <f t="shared" si="123"/>
        <v>0</v>
      </c>
      <c r="V649" s="664"/>
      <c r="W649" s="664"/>
      <c r="X649" s="664"/>
      <c r="Y649" s="664"/>
      <c r="Z649" s="664"/>
      <c r="AA649" s="664"/>
      <c r="AB649" s="664"/>
      <c r="AC649" s="664"/>
      <c r="AD649" s="664"/>
      <c r="AE649" s="664"/>
      <c r="AF649" s="664"/>
    </row>
    <row r="650" spans="2:32" ht="14.65">
      <c r="B650" s="653">
        <f t="shared" si="124"/>
        <v>646</v>
      </c>
      <c r="C650" s="665" t="s">
        <v>71</v>
      </c>
      <c r="D650" s="666" t="s">
        <v>21</v>
      </c>
      <c r="E650" s="667" t="s">
        <v>152</v>
      </c>
      <c r="F650" s="657">
        <v>44656</v>
      </c>
      <c r="G650" s="657">
        <v>44656</v>
      </c>
      <c r="H650" s="665" t="s">
        <v>179</v>
      </c>
      <c r="I650" s="657">
        <v>44656</v>
      </c>
      <c r="J650" s="628">
        <v>3767300</v>
      </c>
      <c r="K650" s="628"/>
      <c r="L650" s="628">
        <v>37300</v>
      </c>
      <c r="M650" s="628">
        <v>815937.50000000012</v>
      </c>
      <c r="N650" s="628">
        <v>2914062.5</v>
      </c>
      <c r="O650" s="659">
        <f t="shared" si="118"/>
        <v>360</v>
      </c>
      <c r="P650" s="660">
        <v>9</v>
      </c>
      <c r="Q650" s="661">
        <f t="shared" si="119"/>
        <v>8.0136986301369859</v>
      </c>
      <c r="R650" s="662">
        <f t="shared" si="120"/>
        <v>319349</v>
      </c>
      <c r="S650" s="662">
        <f t="shared" si="121"/>
        <v>2594713.5</v>
      </c>
      <c r="T650" s="663">
        <f t="shared" si="122"/>
        <v>2914062.5</v>
      </c>
      <c r="U650" s="663">
        <f t="shared" si="123"/>
        <v>0</v>
      </c>
      <c r="V650" s="664"/>
      <c r="W650" s="664"/>
      <c r="X650" s="664"/>
      <c r="Y650" s="664"/>
      <c r="Z650" s="664"/>
      <c r="AA650" s="664"/>
      <c r="AB650" s="664"/>
      <c r="AC650" s="664"/>
      <c r="AD650" s="664"/>
      <c r="AE650" s="664"/>
      <c r="AF650" s="664"/>
    </row>
    <row r="651" spans="2:32" ht="14.65">
      <c r="B651" s="653">
        <f t="shared" si="124"/>
        <v>647</v>
      </c>
      <c r="C651" s="665" t="s">
        <v>71</v>
      </c>
      <c r="D651" s="666" t="s">
        <v>21</v>
      </c>
      <c r="E651" s="667" t="s">
        <v>153</v>
      </c>
      <c r="F651" s="657">
        <v>44656</v>
      </c>
      <c r="G651" s="657">
        <v>44656</v>
      </c>
      <c r="H651" s="665" t="s">
        <v>179</v>
      </c>
      <c r="I651" s="657">
        <v>44656</v>
      </c>
      <c r="J651" s="628">
        <v>3767300</v>
      </c>
      <c r="K651" s="628"/>
      <c r="L651" s="628">
        <v>37300</v>
      </c>
      <c r="M651" s="628">
        <v>815937.50000000012</v>
      </c>
      <c r="N651" s="628">
        <v>2914062.5</v>
      </c>
      <c r="O651" s="659">
        <f t="shared" si="118"/>
        <v>360</v>
      </c>
      <c r="P651" s="660">
        <v>9</v>
      </c>
      <c r="Q651" s="661">
        <f t="shared" si="119"/>
        <v>8.0136986301369859</v>
      </c>
      <c r="R651" s="662">
        <f t="shared" si="120"/>
        <v>319349</v>
      </c>
      <c r="S651" s="662">
        <f t="shared" si="121"/>
        <v>2594713.5</v>
      </c>
      <c r="T651" s="663">
        <f t="shared" si="122"/>
        <v>2914062.5</v>
      </c>
      <c r="U651" s="663">
        <f t="shared" si="123"/>
        <v>0</v>
      </c>
      <c r="V651" s="664"/>
      <c r="W651" s="664"/>
      <c r="X651" s="664"/>
      <c r="Y651" s="664"/>
      <c r="Z651" s="664"/>
      <c r="AA651" s="664"/>
      <c r="AB651" s="664"/>
      <c r="AC651" s="664"/>
      <c r="AD651" s="664"/>
      <c r="AE651" s="664"/>
      <c r="AF651" s="664"/>
    </row>
    <row r="652" spans="2:32" ht="14.65">
      <c r="B652" s="653">
        <f t="shared" si="124"/>
        <v>648</v>
      </c>
      <c r="C652" s="665" t="s">
        <v>71</v>
      </c>
      <c r="D652" s="666" t="s">
        <v>21</v>
      </c>
      <c r="E652" s="667" t="s">
        <v>154</v>
      </c>
      <c r="F652" s="657">
        <v>44656</v>
      </c>
      <c r="G652" s="657">
        <v>44656</v>
      </c>
      <c r="H652" s="665" t="s">
        <v>179</v>
      </c>
      <c r="I652" s="657">
        <v>44656</v>
      </c>
      <c r="J652" s="628">
        <v>3767300</v>
      </c>
      <c r="K652" s="628"/>
      <c r="L652" s="628">
        <v>37300</v>
      </c>
      <c r="M652" s="628">
        <v>815937.50000000012</v>
      </c>
      <c r="N652" s="628">
        <v>2914062.5</v>
      </c>
      <c r="O652" s="659">
        <f t="shared" si="118"/>
        <v>360</v>
      </c>
      <c r="P652" s="660">
        <v>9</v>
      </c>
      <c r="Q652" s="661">
        <f t="shared" si="119"/>
        <v>8.0136986301369859</v>
      </c>
      <c r="R652" s="662">
        <f t="shared" si="120"/>
        <v>319349</v>
      </c>
      <c r="S652" s="662">
        <f t="shared" si="121"/>
        <v>2594713.5</v>
      </c>
      <c r="T652" s="663">
        <f t="shared" si="122"/>
        <v>2914062.5</v>
      </c>
      <c r="U652" s="663">
        <f t="shared" si="123"/>
        <v>0</v>
      </c>
      <c r="V652" s="664"/>
      <c r="W652" s="664"/>
      <c r="X652" s="664"/>
      <c r="Y652" s="664"/>
      <c r="Z652" s="664"/>
      <c r="AA652" s="664"/>
      <c r="AB652" s="664"/>
      <c r="AC652" s="664"/>
      <c r="AD652" s="664"/>
      <c r="AE652" s="664"/>
      <c r="AF652" s="664"/>
    </row>
    <row r="653" spans="2:32" ht="14.65">
      <c r="B653" s="653">
        <f t="shared" si="124"/>
        <v>649</v>
      </c>
      <c r="C653" s="665" t="s">
        <v>71</v>
      </c>
      <c r="D653" s="666" t="s">
        <v>21</v>
      </c>
      <c r="E653" s="667" t="s">
        <v>155</v>
      </c>
      <c r="F653" s="657">
        <v>44656</v>
      </c>
      <c r="G653" s="657">
        <v>44656</v>
      </c>
      <c r="H653" s="665" t="s">
        <v>179</v>
      </c>
      <c r="I653" s="657">
        <v>44656</v>
      </c>
      <c r="J653" s="628">
        <v>3767300</v>
      </c>
      <c r="K653" s="628"/>
      <c r="L653" s="628">
        <v>37300</v>
      </c>
      <c r="M653" s="628">
        <v>815937.50000000012</v>
      </c>
      <c r="N653" s="628">
        <v>2914062.5</v>
      </c>
      <c r="O653" s="659">
        <f t="shared" si="118"/>
        <v>360</v>
      </c>
      <c r="P653" s="660">
        <v>9</v>
      </c>
      <c r="Q653" s="661">
        <f t="shared" si="119"/>
        <v>8.0136986301369859</v>
      </c>
      <c r="R653" s="662">
        <f t="shared" si="120"/>
        <v>319349</v>
      </c>
      <c r="S653" s="662">
        <f t="shared" si="121"/>
        <v>2594713.5</v>
      </c>
      <c r="T653" s="663">
        <f t="shared" si="122"/>
        <v>2914062.5</v>
      </c>
      <c r="U653" s="663">
        <f t="shared" si="123"/>
        <v>0</v>
      </c>
      <c r="V653" s="664"/>
      <c r="W653" s="664"/>
      <c r="X653" s="664"/>
      <c r="Y653" s="664"/>
      <c r="Z653" s="664"/>
      <c r="AA653" s="664"/>
      <c r="AB653" s="664"/>
      <c r="AC653" s="664"/>
      <c r="AD653" s="664"/>
      <c r="AE653" s="664"/>
      <c r="AF653" s="664"/>
    </row>
    <row r="654" spans="2:32" ht="14.65">
      <c r="B654" s="653">
        <f t="shared" si="124"/>
        <v>650</v>
      </c>
      <c r="C654" s="665" t="s">
        <v>71</v>
      </c>
      <c r="D654" s="666" t="s">
        <v>21</v>
      </c>
      <c r="E654" s="667" t="s">
        <v>156</v>
      </c>
      <c r="F654" s="657">
        <v>44656</v>
      </c>
      <c r="G654" s="657">
        <v>44656</v>
      </c>
      <c r="H654" s="665" t="s">
        <v>179</v>
      </c>
      <c r="I654" s="657">
        <v>44656</v>
      </c>
      <c r="J654" s="628">
        <v>3767300</v>
      </c>
      <c r="K654" s="628"/>
      <c r="L654" s="628">
        <v>37300</v>
      </c>
      <c r="M654" s="628">
        <v>815937.50000000012</v>
      </c>
      <c r="N654" s="628">
        <v>2914062.5</v>
      </c>
      <c r="O654" s="659">
        <f t="shared" si="118"/>
        <v>360</v>
      </c>
      <c r="P654" s="660">
        <v>9</v>
      </c>
      <c r="Q654" s="661">
        <f t="shared" si="119"/>
        <v>8.0136986301369859</v>
      </c>
      <c r="R654" s="662">
        <f t="shared" si="120"/>
        <v>319349</v>
      </c>
      <c r="S654" s="662">
        <f t="shared" si="121"/>
        <v>2594713.5</v>
      </c>
      <c r="T654" s="663">
        <f t="shared" si="122"/>
        <v>2914062.5</v>
      </c>
      <c r="U654" s="663">
        <f t="shared" si="123"/>
        <v>0</v>
      </c>
      <c r="V654" s="664"/>
      <c r="W654" s="664"/>
      <c r="X654" s="664"/>
      <c r="Y654" s="664"/>
      <c r="Z654" s="664"/>
      <c r="AA654" s="664"/>
      <c r="AB654" s="664"/>
      <c r="AC654" s="664"/>
      <c r="AD654" s="664"/>
      <c r="AE654" s="664"/>
      <c r="AF654" s="664"/>
    </row>
    <row r="655" spans="2:32" ht="14.65">
      <c r="B655" s="653">
        <f t="shared" si="124"/>
        <v>651</v>
      </c>
      <c r="C655" s="665" t="s">
        <v>71</v>
      </c>
      <c r="D655" s="666" t="s">
        <v>21</v>
      </c>
      <c r="E655" s="667" t="s">
        <v>157</v>
      </c>
      <c r="F655" s="657">
        <v>44656</v>
      </c>
      <c r="G655" s="657">
        <v>44656</v>
      </c>
      <c r="H655" s="665" t="s">
        <v>179</v>
      </c>
      <c r="I655" s="657">
        <v>44656</v>
      </c>
      <c r="J655" s="628">
        <v>3767300</v>
      </c>
      <c r="K655" s="628"/>
      <c r="L655" s="628">
        <v>37300</v>
      </c>
      <c r="M655" s="628">
        <v>815937.50000000012</v>
      </c>
      <c r="N655" s="628">
        <v>2914062.5</v>
      </c>
      <c r="O655" s="659">
        <f t="shared" si="118"/>
        <v>360</v>
      </c>
      <c r="P655" s="660">
        <v>9</v>
      </c>
      <c r="Q655" s="661">
        <f t="shared" si="119"/>
        <v>8.0136986301369859</v>
      </c>
      <c r="R655" s="662">
        <f t="shared" si="120"/>
        <v>319349</v>
      </c>
      <c r="S655" s="662">
        <f t="shared" si="121"/>
        <v>2594713.5</v>
      </c>
      <c r="T655" s="663">
        <f t="shared" si="122"/>
        <v>2914062.5</v>
      </c>
      <c r="U655" s="663">
        <f t="shared" si="123"/>
        <v>0</v>
      </c>
      <c r="V655" s="664"/>
      <c r="W655" s="664"/>
      <c r="X655" s="664"/>
      <c r="Y655" s="664"/>
      <c r="Z655" s="664"/>
      <c r="AA655" s="664"/>
      <c r="AB655" s="664"/>
      <c r="AC655" s="664"/>
      <c r="AD655" s="664"/>
      <c r="AE655" s="664"/>
      <c r="AF655" s="664"/>
    </row>
    <row r="656" spans="2:32" ht="14.65">
      <c r="B656" s="653">
        <f t="shared" si="124"/>
        <v>652</v>
      </c>
      <c r="C656" s="665" t="s">
        <v>71</v>
      </c>
      <c r="D656" s="666" t="s">
        <v>21</v>
      </c>
      <c r="E656" s="667" t="s">
        <v>158</v>
      </c>
      <c r="F656" s="657">
        <v>44656</v>
      </c>
      <c r="G656" s="657">
        <v>44656</v>
      </c>
      <c r="H656" s="665" t="s">
        <v>179</v>
      </c>
      <c r="I656" s="657">
        <v>44656</v>
      </c>
      <c r="J656" s="628">
        <v>3767300</v>
      </c>
      <c r="K656" s="628"/>
      <c r="L656" s="628">
        <v>37300</v>
      </c>
      <c r="M656" s="628">
        <v>815937.50000000012</v>
      </c>
      <c r="N656" s="628">
        <v>2914062.5</v>
      </c>
      <c r="O656" s="659">
        <f t="shared" si="118"/>
        <v>360</v>
      </c>
      <c r="P656" s="660">
        <v>9</v>
      </c>
      <c r="Q656" s="661">
        <f t="shared" si="119"/>
        <v>8.0136986301369859</v>
      </c>
      <c r="R656" s="662">
        <f t="shared" si="120"/>
        <v>319349</v>
      </c>
      <c r="S656" s="662">
        <f t="shared" si="121"/>
        <v>2594713.5</v>
      </c>
      <c r="T656" s="663">
        <f t="shared" si="122"/>
        <v>2914062.5</v>
      </c>
      <c r="U656" s="663">
        <f t="shared" si="123"/>
        <v>0</v>
      </c>
      <c r="V656" s="664"/>
      <c r="W656" s="664"/>
      <c r="X656" s="664"/>
      <c r="Y656" s="664"/>
      <c r="Z656" s="664"/>
      <c r="AA656" s="664"/>
      <c r="AB656" s="664"/>
      <c r="AC656" s="664"/>
      <c r="AD656" s="664"/>
      <c r="AE656" s="664"/>
      <c r="AF656" s="664"/>
    </row>
    <row r="657" spans="2:32" ht="14.65">
      <c r="B657" s="653">
        <f t="shared" si="124"/>
        <v>653</v>
      </c>
      <c r="C657" s="665" t="s">
        <v>71</v>
      </c>
      <c r="D657" s="666" t="s">
        <v>21</v>
      </c>
      <c r="E657" s="667" t="s">
        <v>159</v>
      </c>
      <c r="F657" s="657">
        <v>44656</v>
      </c>
      <c r="G657" s="657">
        <v>44656</v>
      </c>
      <c r="H657" s="665" t="s">
        <v>179</v>
      </c>
      <c r="I657" s="657">
        <v>44656</v>
      </c>
      <c r="J657" s="628">
        <v>3767300</v>
      </c>
      <c r="K657" s="628"/>
      <c r="L657" s="628">
        <v>37300</v>
      </c>
      <c r="M657" s="628">
        <v>815937.50000000012</v>
      </c>
      <c r="N657" s="628">
        <v>2914062.5</v>
      </c>
      <c r="O657" s="659">
        <f t="shared" si="118"/>
        <v>360</v>
      </c>
      <c r="P657" s="660">
        <v>9</v>
      </c>
      <c r="Q657" s="661">
        <f t="shared" si="119"/>
        <v>8.0136986301369859</v>
      </c>
      <c r="R657" s="662">
        <f t="shared" si="120"/>
        <v>319349</v>
      </c>
      <c r="S657" s="662">
        <f t="shared" si="121"/>
        <v>2594713.5</v>
      </c>
      <c r="T657" s="663">
        <f t="shared" si="122"/>
        <v>2914062.5</v>
      </c>
      <c r="U657" s="663">
        <f t="shared" si="123"/>
        <v>0</v>
      </c>
      <c r="V657" s="664"/>
      <c r="W657" s="664"/>
      <c r="X657" s="664"/>
      <c r="Y657" s="664"/>
      <c r="Z657" s="664"/>
      <c r="AA657" s="664"/>
      <c r="AB657" s="664"/>
      <c r="AC657" s="664"/>
      <c r="AD657" s="664"/>
      <c r="AE657" s="664"/>
      <c r="AF657" s="664"/>
    </row>
    <row r="658" spans="2:32" ht="14.65">
      <c r="B658" s="653">
        <f t="shared" si="124"/>
        <v>654</v>
      </c>
      <c r="C658" s="665" t="s">
        <v>71</v>
      </c>
      <c r="D658" s="666" t="s">
        <v>21</v>
      </c>
      <c r="E658" s="667" t="s">
        <v>160</v>
      </c>
      <c r="F658" s="657">
        <v>44656</v>
      </c>
      <c r="G658" s="657">
        <v>44656</v>
      </c>
      <c r="H658" s="665" t="s">
        <v>179</v>
      </c>
      <c r="I658" s="657">
        <v>44656</v>
      </c>
      <c r="J658" s="628">
        <v>3767300</v>
      </c>
      <c r="K658" s="628"/>
      <c r="L658" s="628">
        <v>37300</v>
      </c>
      <c r="M658" s="628">
        <v>815937.50000000012</v>
      </c>
      <c r="N658" s="628">
        <v>2914062.5</v>
      </c>
      <c r="O658" s="659">
        <f t="shared" si="118"/>
        <v>360</v>
      </c>
      <c r="P658" s="660">
        <v>9</v>
      </c>
      <c r="Q658" s="661">
        <f t="shared" si="119"/>
        <v>8.0136986301369859</v>
      </c>
      <c r="R658" s="662">
        <f t="shared" si="120"/>
        <v>319349</v>
      </c>
      <c r="S658" s="662">
        <f t="shared" si="121"/>
        <v>2594713.5</v>
      </c>
      <c r="T658" s="663">
        <f t="shared" si="122"/>
        <v>2914062.5</v>
      </c>
      <c r="U658" s="663">
        <f t="shared" si="123"/>
        <v>0</v>
      </c>
      <c r="V658" s="664"/>
      <c r="W658" s="664"/>
      <c r="X658" s="664"/>
      <c r="Y658" s="664"/>
      <c r="Z658" s="664"/>
      <c r="AA658" s="664"/>
      <c r="AB658" s="664"/>
      <c r="AC658" s="664"/>
      <c r="AD658" s="664"/>
      <c r="AE658" s="664"/>
      <c r="AF658" s="664"/>
    </row>
    <row r="659" spans="2:32" ht="14.65">
      <c r="B659" s="653">
        <f t="shared" si="124"/>
        <v>655</v>
      </c>
      <c r="C659" s="684" t="s">
        <v>332</v>
      </c>
      <c r="D659" s="695" t="s">
        <v>21</v>
      </c>
      <c r="E659" s="685" t="s">
        <v>401</v>
      </c>
      <c r="F659" s="686">
        <v>44828</v>
      </c>
      <c r="G659" s="686">
        <v>44828</v>
      </c>
      <c r="H659" s="684" t="s">
        <v>424</v>
      </c>
      <c r="I659" s="657">
        <v>44828</v>
      </c>
      <c r="J659" s="628">
        <v>3115200</v>
      </c>
      <c r="K659" s="628"/>
      <c r="L659" s="628"/>
      <c r="M659" s="628">
        <v>475200</v>
      </c>
      <c r="N659" s="628">
        <v>2640000</v>
      </c>
      <c r="O659" s="659">
        <f t="shared" si="118"/>
        <v>188</v>
      </c>
      <c r="P659" s="660">
        <v>9</v>
      </c>
      <c r="Q659" s="661">
        <f t="shared" si="119"/>
        <v>8.4849315068493159</v>
      </c>
      <c r="R659" s="662">
        <f t="shared" si="120"/>
        <v>151087</v>
      </c>
      <c r="S659" s="662">
        <f t="shared" si="121"/>
        <v>2488913</v>
      </c>
      <c r="T659" s="663">
        <f t="shared" si="122"/>
        <v>2640000</v>
      </c>
      <c r="U659" s="663">
        <f t="shared" si="123"/>
        <v>0</v>
      </c>
      <c r="V659" s="664"/>
      <c r="W659" s="664"/>
      <c r="X659" s="664"/>
      <c r="Y659" s="664"/>
      <c r="Z659" s="664"/>
      <c r="AA659" s="664"/>
      <c r="AB659" s="664"/>
      <c r="AC659" s="664"/>
      <c r="AD659" s="664"/>
      <c r="AE659" s="664"/>
      <c r="AF659" s="664"/>
    </row>
    <row r="660" spans="2:32" ht="14.65">
      <c r="B660" s="653">
        <f t="shared" si="124"/>
        <v>656</v>
      </c>
      <c r="C660" s="699" t="s">
        <v>60</v>
      </c>
      <c r="D660" s="699" t="s">
        <v>21</v>
      </c>
      <c r="E660" s="697" t="s">
        <v>754</v>
      </c>
      <c r="F660" s="698">
        <v>44897</v>
      </c>
      <c r="G660" s="698">
        <v>44926</v>
      </c>
      <c r="H660" s="699" t="s">
        <v>169</v>
      </c>
      <c r="I660" s="657">
        <v>44926</v>
      </c>
      <c r="J660" s="691">
        <v>48380</v>
      </c>
      <c r="K660" s="628"/>
      <c r="L660" s="628"/>
      <c r="M660" s="628">
        <v>7380</v>
      </c>
      <c r="N660" s="628">
        <v>41000</v>
      </c>
      <c r="O660" s="659">
        <f t="shared" si="118"/>
        <v>90</v>
      </c>
      <c r="P660" s="660">
        <v>9</v>
      </c>
      <c r="Q660" s="661">
        <f t="shared" si="119"/>
        <v>8.7534246575342465</v>
      </c>
      <c r="R660" s="662">
        <f t="shared" si="120"/>
        <v>1123</v>
      </c>
      <c r="S660" s="662">
        <f t="shared" si="121"/>
        <v>39877</v>
      </c>
      <c r="T660" s="663">
        <f t="shared" si="122"/>
        <v>0</v>
      </c>
      <c r="U660" s="663">
        <f t="shared" si="123"/>
        <v>41000</v>
      </c>
      <c r="V660" s="664"/>
      <c r="W660" s="664"/>
      <c r="X660" s="664"/>
      <c r="Y660" s="664"/>
      <c r="Z660" s="664"/>
      <c r="AA660" s="664"/>
      <c r="AB660" s="664"/>
      <c r="AC660" s="664"/>
      <c r="AD660" s="664"/>
      <c r="AE660" s="664"/>
      <c r="AF660" s="664"/>
    </row>
    <row r="661" spans="2:32" ht="14.65">
      <c r="B661" s="653">
        <f t="shared" si="124"/>
        <v>657</v>
      </c>
      <c r="C661" s="669" t="s">
        <v>570</v>
      </c>
      <c r="D661" s="681" t="s">
        <v>21</v>
      </c>
      <c r="E661" s="669">
        <v>2338</v>
      </c>
      <c r="F661" s="672">
        <v>44973</v>
      </c>
      <c r="G661" s="672">
        <v>44973</v>
      </c>
      <c r="H661" s="669" t="s">
        <v>765</v>
      </c>
      <c r="I661" s="672">
        <v>44973</v>
      </c>
      <c r="J661" s="627">
        <v>53194</v>
      </c>
      <c r="K661" s="627"/>
      <c r="L661" s="627"/>
      <c r="M661" s="627">
        <v>8114</v>
      </c>
      <c r="N661" s="627">
        <v>45080</v>
      </c>
      <c r="O661" s="659">
        <f t="shared" si="118"/>
        <v>43</v>
      </c>
      <c r="P661" s="673">
        <v>9</v>
      </c>
      <c r="Q661" s="674">
        <f t="shared" si="119"/>
        <v>8.882191780821918</v>
      </c>
      <c r="R661" s="675">
        <f t="shared" si="120"/>
        <v>590</v>
      </c>
      <c r="S661" s="675">
        <f t="shared" si="121"/>
        <v>44490</v>
      </c>
      <c r="T661" s="676">
        <f t="shared" si="122"/>
        <v>0</v>
      </c>
      <c r="U661" s="676">
        <f t="shared" si="123"/>
        <v>45080</v>
      </c>
      <c r="V661" s="664"/>
      <c r="W661" s="664"/>
      <c r="X661" s="664"/>
      <c r="Y661" s="664"/>
      <c r="Z661" s="664"/>
      <c r="AA661" s="664"/>
      <c r="AB661" s="664"/>
      <c r="AC661" s="664"/>
      <c r="AD661" s="664"/>
      <c r="AE661" s="664"/>
      <c r="AF661" s="664"/>
    </row>
    <row r="662" spans="2:32" ht="14.65">
      <c r="B662" s="653">
        <f t="shared" si="124"/>
        <v>658</v>
      </c>
      <c r="C662" s="669" t="s">
        <v>307</v>
      </c>
      <c r="D662" s="681" t="s">
        <v>21</v>
      </c>
      <c r="E662" s="669">
        <v>222301</v>
      </c>
      <c r="F662" s="672">
        <v>44980</v>
      </c>
      <c r="G662" s="672">
        <v>45016</v>
      </c>
      <c r="H662" s="669" t="s">
        <v>3639</v>
      </c>
      <c r="I662" s="672">
        <v>45016</v>
      </c>
      <c r="J662" s="627">
        <v>295000</v>
      </c>
      <c r="K662" s="627"/>
      <c r="L662" s="627"/>
      <c r="M662" s="627">
        <v>45000</v>
      </c>
      <c r="N662" s="627">
        <v>250000</v>
      </c>
      <c r="O662" s="659">
        <f t="shared" ref="O662:O663" si="125">$O$1-I662</f>
        <v>0</v>
      </c>
      <c r="P662" s="673">
        <v>9</v>
      </c>
      <c r="Q662" s="674">
        <f t="shared" ref="Q662:Q663" si="126">+P662-(O662/365)</f>
        <v>9</v>
      </c>
      <c r="R662" s="675">
        <f t="shared" ref="R662:R663" si="127">ROUND(+N662/(P662*365)*O662,0)</f>
        <v>0</v>
      </c>
      <c r="S662" s="675">
        <f t="shared" ref="S662:S663" si="128">+N662-R662</f>
        <v>250000</v>
      </c>
      <c r="T662" s="676">
        <f t="shared" ref="T662:T663" si="129">IF(I662&lt;=DATE(2022,9,30),N662,0)</f>
        <v>0</v>
      </c>
      <c r="U662" s="676">
        <f t="shared" ref="U662:U663" si="130">IF(I662&gt;DATE(2022,9,30),N662,0)</f>
        <v>250000</v>
      </c>
      <c r="V662" s="664"/>
      <c r="W662" s="664"/>
      <c r="X662" s="664"/>
      <c r="Y662" s="664"/>
      <c r="Z662" s="664"/>
      <c r="AA662" s="664"/>
      <c r="AB662" s="664"/>
      <c r="AC662" s="664"/>
      <c r="AD662" s="664"/>
      <c r="AE662" s="664"/>
      <c r="AF662" s="664"/>
    </row>
    <row r="663" spans="2:32" ht="14.65">
      <c r="B663" s="653">
        <f t="shared" si="124"/>
        <v>659</v>
      </c>
      <c r="C663" s="669" t="s">
        <v>307</v>
      </c>
      <c r="D663" s="681" t="s">
        <v>21</v>
      </c>
      <c r="E663" s="669">
        <v>222302</v>
      </c>
      <c r="F663" s="672">
        <v>44980</v>
      </c>
      <c r="G663" s="672">
        <v>45016</v>
      </c>
      <c r="H663" s="669" t="s">
        <v>3639</v>
      </c>
      <c r="I663" s="672">
        <v>45016</v>
      </c>
      <c r="J663" s="627">
        <v>295000</v>
      </c>
      <c r="K663" s="627"/>
      <c r="L663" s="627"/>
      <c r="M663" s="627">
        <v>45000</v>
      </c>
      <c r="N663" s="627">
        <v>250000</v>
      </c>
      <c r="O663" s="659">
        <f t="shared" si="125"/>
        <v>0</v>
      </c>
      <c r="P663" s="673">
        <v>9</v>
      </c>
      <c r="Q663" s="674">
        <f t="shared" si="126"/>
        <v>9</v>
      </c>
      <c r="R663" s="675">
        <f t="shared" si="127"/>
        <v>0</v>
      </c>
      <c r="S663" s="675">
        <f t="shared" si="128"/>
        <v>250000</v>
      </c>
      <c r="T663" s="676">
        <f t="shared" si="129"/>
        <v>0</v>
      </c>
      <c r="U663" s="676">
        <f t="shared" si="130"/>
        <v>250000</v>
      </c>
      <c r="V663" s="664"/>
      <c r="W663" s="664"/>
      <c r="X663" s="664"/>
      <c r="Y663" s="664"/>
      <c r="Z663" s="664"/>
      <c r="AA663" s="664"/>
      <c r="AB663" s="664"/>
      <c r="AC663" s="664"/>
      <c r="AD663" s="664"/>
      <c r="AE663" s="664"/>
      <c r="AF663" s="664"/>
    </row>
    <row r="664" spans="2:32" ht="14.65">
      <c r="B664" s="653">
        <f t="shared" si="124"/>
        <v>660</v>
      </c>
      <c r="C664" s="669" t="s">
        <v>326</v>
      </c>
      <c r="D664" s="681" t="s">
        <v>3549</v>
      </c>
      <c r="E664" s="669">
        <v>231801184</v>
      </c>
      <c r="F664" s="672">
        <v>44977</v>
      </c>
      <c r="G664" s="672">
        <v>44978</v>
      </c>
      <c r="H664" s="669" t="s">
        <v>419</v>
      </c>
      <c r="I664" s="672">
        <v>44978</v>
      </c>
      <c r="J664" s="627">
        <v>1357000</v>
      </c>
      <c r="K664" s="627"/>
      <c r="L664" s="627"/>
      <c r="M664" s="627">
        <v>207000</v>
      </c>
      <c r="N664" s="627">
        <v>1150000</v>
      </c>
      <c r="O664" s="682">
        <f t="shared" ref="O664:O670" si="131">$O$1-I664</f>
        <v>38</v>
      </c>
      <c r="P664" s="673">
        <v>9</v>
      </c>
      <c r="Q664" s="674">
        <f t="shared" ref="Q664:Q670" si="132">+P664-(O664/365)</f>
        <v>8.8958904109589039</v>
      </c>
      <c r="R664" s="675">
        <f t="shared" ref="R664:R670" si="133">ROUND(+N664/(P664*365)*O664,0)</f>
        <v>13303</v>
      </c>
      <c r="S664" s="675">
        <f t="shared" ref="S664:S670" si="134">+N664-R664</f>
        <v>1136697</v>
      </c>
      <c r="T664" s="676"/>
      <c r="U664" s="676">
        <f t="shared" ref="U664:U670" si="135">IF(I664&gt;DATE(2022,9,30),N664,0)</f>
        <v>1150000</v>
      </c>
      <c r="V664" s="664"/>
      <c r="W664" s="664"/>
      <c r="X664" s="664"/>
      <c r="Y664" s="664"/>
      <c r="Z664" s="664"/>
      <c r="AA664" s="664"/>
      <c r="AB664" s="664"/>
      <c r="AC664" s="664"/>
      <c r="AD664" s="664"/>
      <c r="AE664" s="664"/>
      <c r="AF664" s="664"/>
    </row>
    <row r="665" spans="2:32" ht="14.65">
      <c r="B665" s="653">
        <f t="shared" si="124"/>
        <v>661</v>
      </c>
      <c r="C665" s="699" t="s">
        <v>578</v>
      </c>
      <c r="D665" s="699" t="s">
        <v>879</v>
      </c>
      <c r="E665" s="697" t="s">
        <v>755</v>
      </c>
      <c r="F665" s="698">
        <v>44889</v>
      </c>
      <c r="G665" s="698">
        <v>44889</v>
      </c>
      <c r="H665" s="699" t="s">
        <v>407</v>
      </c>
      <c r="I665" s="657">
        <v>44889</v>
      </c>
      <c r="J665" s="691">
        <v>5020015</v>
      </c>
      <c r="K665" s="628"/>
      <c r="L665" s="628">
        <v>5015</v>
      </c>
      <c r="M665" s="628">
        <v>765000</v>
      </c>
      <c r="N665" s="628">
        <v>4250000</v>
      </c>
      <c r="O665" s="659">
        <f t="shared" si="131"/>
        <v>127</v>
      </c>
      <c r="P665" s="660">
        <v>9</v>
      </c>
      <c r="Q665" s="661">
        <f t="shared" si="132"/>
        <v>8.6520547945205486</v>
      </c>
      <c r="R665" s="662">
        <f t="shared" si="133"/>
        <v>164307</v>
      </c>
      <c r="S665" s="662">
        <f t="shared" si="134"/>
        <v>4085693</v>
      </c>
      <c r="T665" s="663">
        <f t="shared" ref="T665:T670" si="136">IF(I665&lt;=DATE(2022,9,30),N665,0)</f>
        <v>0</v>
      </c>
      <c r="U665" s="663">
        <f t="shared" si="135"/>
        <v>4250000</v>
      </c>
      <c r="V665" s="664"/>
      <c r="W665" s="664"/>
      <c r="X665" s="664"/>
      <c r="Y665" s="664"/>
      <c r="Z665" s="664"/>
      <c r="AA665" s="664"/>
      <c r="AB665" s="664"/>
      <c r="AC665" s="664"/>
      <c r="AD665" s="664"/>
      <c r="AE665" s="664"/>
      <c r="AF665" s="664"/>
    </row>
    <row r="666" spans="2:32" ht="14.65">
      <c r="B666" s="653">
        <f t="shared" si="124"/>
        <v>662</v>
      </c>
      <c r="C666" s="699" t="s">
        <v>304</v>
      </c>
      <c r="D666" s="699" t="s">
        <v>879</v>
      </c>
      <c r="E666" s="697" t="s">
        <v>756</v>
      </c>
      <c r="F666" s="698">
        <v>44882</v>
      </c>
      <c r="G666" s="698">
        <v>44896</v>
      </c>
      <c r="H666" s="699" t="s">
        <v>403</v>
      </c>
      <c r="I666" s="657">
        <v>44896</v>
      </c>
      <c r="J666" s="691">
        <v>1439010</v>
      </c>
      <c r="K666" s="628"/>
      <c r="L666" s="628"/>
      <c r="M666" s="628">
        <v>219510</v>
      </c>
      <c r="N666" s="628">
        <v>1219500</v>
      </c>
      <c r="O666" s="659">
        <f t="shared" si="131"/>
        <v>120</v>
      </c>
      <c r="P666" s="660">
        <v>9</v>
      </c>
      <c r="Q666" s="661">
        <f t="shared" si="132"/>
        <v>8.6712328767123292</v>
      </c>
      <c r="R666" s="662">
        <f t="shared" si="133"/>
        <v>44548</v>
      </c>
      <c r="S666" s="662">
        <f t="shared" si="134"/>
        <v>1174952</v>
      </c>
      <c r="T666" s="663">
        <f t="shared" si="136"/>
        <v>0</v>
      </c>
      <c r="U666" s="663">
        <f t="shared" si="135"/>
        <v>1219500</v>
      </c>
      <c r="V666" s="664"/>
      <c r="W666" s="664"/>
      <c r="X666" s="664"/>
      <c r="Y666" s="664"/>
      <c r="Z666" s="664"/>
      <c r="AA666" s="664"/>
      <c r="AB666" s="664"/>
      <c r="AC666" s="664"/>
      <c r="AD666" s="664"/>
      <c r="AE666" s="664"/>
      <c r="AF666" s="664"/>
    </row>
    <row r="667" spans="2:32" ht="14.65">
      <c r="B667" s="653">
        <f t="shared" si="124"/>
        <v>663</v>
      </c>
      <c r="C667" s="670" t="s">
        <v>3338</v>
      </c>
      <c r="D667" s="670" t="s">
        <v>879</v>
      </c>
      <c r="E667" s="677">
        <v>873</v>
      </c>
      <c r="F667" s="678">
        <v>44942</v>
      </c>
      <c r="G667" s="678">
        <v>44942</v>
      </c>
      <c r="H667" s="670" t="s">
        <v>773</v>
      </c>
      <c r="I667" s="672">
        <v>44942</v>
      </c>
      <c r="J667" s="679">
        <v>95344</v>
      </c>
      <c r="K667" s="627"/>
      <c r="L667" s="627"/>
      <c r="M667" s="627">
        <v>14544</v>
      </c>
      <c r="N667" s="627">
        <v>80800</v>
      </c>
      <c r="O667" s="659">
        <f t="shared" si="131"/>
        <v>74</v>
      </c>
      <c r="P667" s="673">
        <v>9</v>
      </c>
      <c r="Q667" s="674">
        <f t="shared" si="132"/>
        <v>8.7972602739726025</v>
      </c>
      <c r="R667" s="675">
        <f t="shared" si="133"/>
        <v>1820</v>
      </c>
      <c r="S667" s="675">
        <f t="shared" si="134"/>
        <v>78980</v>
      </c>
      <c r="T667" s="676">
        <f t="shared" si="136"/>
        <v>0</v>
      </c>
      <c r="U667" s="676">
        <f t="shared" si="135"/>
        <v>80800</v>
      </c>
      <c r="V667" s="664"/>
      <c r="W667" s="664"/>
      <c r="X667" s="664"/>
      <c r="Y667" s="664"/>
      <c r="Z667" s="664"/>
      <c r="AA667" s="664"/>
      <c r="AB667" s="664"/>
      <c r="AC667" s="664"/>
      <c r="AD667" s="664"/>
      <c r="AE667" s="664"/>
      <c r="AF667" s="664"/>
    </row>
    <row r="668" spans="2:32" ht="14.65">
      <c r="B668" s="653">
        <f t="shared" si="124"/>
        <v>664</v>
      </c>
      <c r="C668" s="669" t="s">
        <v>578</v>
      </c>
      <c r="D668" s="670" t="s">
        <v>879</v>
      </c>
      <c r="E668" s="669" t="s">
        <v>3464</v>
      </c>
      <c r="F668" s="672">
        <v>44955</v>
      </c>
      <c r="G668" s="672">
        <v>44958</v>
      </c>
      <c r="H668" s="669" t="s">
        <v>403</v>
      </c>
      <c r="I668" s="672">
        <v>44958</v>
      </c>
      <c r="J668" s="627">
        <v>1066366</v>
      </c>
      <c r="K668" s="627"/>
      <c r="L668" s="627"/>
      <c r="M668" s="627">
        <v>162666</v>
      </c>
      <c r="N668" s="627">
        <v>903700</v>
      </c>
      <c r="O668" s="659">
        <f t="shared" si="131"/>
        <v>58</v>
      </c>
      <c r="P668" s="673">
        <v>9</v>
      </c>
      <c r="Q668" s="674">
        <f t="shared" si="132"/>
        <v>8.8410958904109584</v>
      </c>
      <c r="R668" s="675">
        <f t="shared" si="133"/>
        <v>15956</v>
      </c>
      <c r="S668" s="675">
        <f t="shared" si="134"/>
        <v>887744</v>
      </c>
      <c r="T668" s="676">
        <f t="shared" si="136"/>
        <v>0</v>
      </c>
      <c r="U668" s="676">
        <f t="shared" si="135"/>
        <v>903700</v>
      </c>
      <c r="V668" s="664"/>
      <c r="W668" s="664"/>
      <c r="X668" s="664"/>
      <c r="Y668" s="664"/>
      <c r="Z668" s="664"/>
      <c r="AA668" s="664"/>
      <c r="AB668" s="664"/>
      <c r="AC668" s="664"/>
      <c r="AD668" s="664"/>
      <c r="AE668" s="664"/>
      <c r="AF668" s="664"/>
    </row>
    <row r="669" spans="2:32" ht="14.65">
      <c r="B669" s="653">
        <f t="shared" si="124"/>
        <v>665</v>
      </c>
      <c r="C669" s="669" t="s">
        <v>578</v>
      </c>
      <c r="D669" s="670" t="s">
        <v>879</v>
      </c>
      <c r="E669" s="669" t="s">
        <v>3463</v>
      </c>
      <c r="F669" s="672">
        <v>44955</v>
      </c>
      <c r="G669" s="672">
        <v>44958</v>
      </c>
      <c r="H669" s="669" t="s">
        <v>403</v>
      </c>
      <c r="I669" s="672">
        <v>44958</v>
      </c>
      <c r="J669" s="627">
        <v>171100</v>
      </c>
      <c r="K669" s="627"/>
      <c r="L669" s="627"/>
      <c r="M669" s="627">
        <v>26100</v>
      </c>
      <c r="N669" s="627">
        <v>145000</v>
      </c>
      <c r="O669" s="659">
        <f t="shared" si="131"/>
        <v>58</v>
      </c>
      <c r="P669" s="673">
        <v>9</v>
      </c>
      <c r="Q669" s="674">
        <f t="shared" si="132"/>
        <v>8.8410958904109584</v>
      </c>
      <c r="R669" s="675">
        <f t="shared" si="133"/>
        <v>2560</v>
      </c>
      <c r="S669" s="675">
        <f t="shared" si="134"/>
        <v>142440</v>
      </c>
      <c r="T669" s="676">
        <f t="shared" si="136"/>
        <v>0</v>
      </c>
      <c r="U669" s="676">
        <f t="shared" si="135"/>
        <v>145000</v>
      </c>
      <c r="V669" s="664"/>
      <c r="W669" s="664"/>
      <c r="X669" s="664"/>
      <c r="Y669" s="664"/>
      <c r="Z669" s="664"/>
      <c r="AA669" s="664"/>
      <c r="AB669" s="664"/>
      <c r="AC669" s="664"/>
      <c r="AD669" s="664"/>
      <c r="AE669" s="664"/>
      <c r="AF669" s="664"/>
    </row>
    <row r="670" spans="2:32" ht="14.65">
      <c r="B670" s="653">
        <f t="shared" si="124"/>
        <v>666</v>
      </c>
      <c r="C670" s="669" t="s">
        <v>578</v>
      </c>
      <c r="D670" s="670" t="s">
        <v>879</v>
      </c>
      <c r="E670" s="669">
        <v>347</v>
      </c>
      <c r="F670" s="672">
        <v>44959</v>
      </c>
      <c r="G670" s="672">
        <v>44959</v>
      </c>
      <c r="H670" s="669" t="s">
        <v>3462</v>
      </c>
      <c r="I670" s="672">
        <v>44959</v>
      </c>
      <c r="J670" s="627">
        <v>179360</v>
      </c>
      <c r="K670" s="627"/>
      <c r="L670" s="627"/>
      <c r="M670" s="627">
        <v>27360</v>
      </c>
      <c r="N670" s="627">
        <v>152000</v>
      </c>
      <c r="O670" s="659">
        <f t="shared" si="131"/>
        <v>57</v>
      </c>
      <c r="P670" s="673">
        <v>9</v>
      </c>
      <c r="Q670" s="674">
        <f t="shared" si="132"/>
        <v>8.8438356164383567</v>
      </c>
      <c r="R670" s="675">
        <f t="shared" si="133"/>
        <v>2637</v>
      </c>
      <c r="S670" s="675">
        <f t="shared" si="134"/>
        <v>149363</v>
      </c>
      <c r="T670" s="676">
        <f t="shared" si="136"/>
        <v>0</v>
      </c>
      <c r="U670" s="676">
        <f t="shared" si="135"/>
        <v>152000</v>
      </c>
      <c r="V670" s="664"/>
      <c r="W670" s="664"/>
      <c r="X670" s="664"/>
      <c r="Y670" s="664"/>
      <c r="Z670" s="664"/>
      <c r="AA670" s="664"/>
      <c r="AB670" s="664"/>
      <c r="AC670" s="664"/>
      <c r="AD670" s="664"/>
      <c r="AE670" s="664"/>
      <c r="AF670" s="664"/>
    </row>
    <row r="671" spans="2:32" ht="14.65">
      <c r="B671" s="653"/>
      <c r="C671" s="669" t="s">
        <v>332</v>
      </c>
      <c r="D671" s="670" t="s">
        <v>3461</v>
      </c>
      <c r="E671" s="669" t="s">
        <v>3645</v>
      </c>
      <c r="F671" s="672"/>
      <c r="G671" s="672">
        <v>45016</v>
      </c>
      <c r="H671" s="669" t="s">
        <v>3649</v>
      </c>
      <c r="I671" s="672">
        <v>45010</v>
      </c>
      <c r="J671" s="627">
        <v>1156400</v>
      </c>
      <c r="K671" s="627"/>
      <c r="L671" s="627"/>
      <c r="M671" s="627">
        <v>176400</v>
      </c>
      <c r="N671" s="627">
        <v>980000</v>
      </c>
      <c r="O671" s="659">
        <f t="shared" ref="O671:O677" si="137">$O$1-I671</f>
        <v>6</v>
      </c>
      <c r="P671" s="673">
        <v>9</v>
      </c>
      <c r="Q671" s="674">
        <f t="shared" ref="Q671:Q677" si="138">+P671-(O671/365)</f>
        <v>8.9835616438356158</v>
      </c>
      <c r="R671" s="675">
        <f t="shared" ref="R671:R677" si="139">ROUND(+N671/(P671*365)*O671,0)</f>
        <v>1790</v>
      </c>
      <c r="S671" s="675">
        <f t="shared" ref="S671:S677" si="140">+N671-R671</f>
        <v>978210</v>
      </c>
      <c r="T671" s="676">
        <f t="shared" ref="T671:T677" si="141">IF(I671&lt;=DATE(2022,9,30),N671,0)</f>
        <v>0</v>
      </c>
      <c r="U671" s="676">
        <f t="shared" ref="U671:U677" si="142">IF(I671&gt;DATE(2022,9,30),N671,0)</f>
        <v>980000</v>
      </c>
      <c r="V671" s="664"/>
      <c r="W671" s="664"/>
      <c r="X671" s="664"/>
      <c r="Y671" s="664"/>
      <c r="Z671" s="664"/>
      <c r="AA671" s="664"/>
      <c r="AB671" s="664"/>
      <c r="AC671" s="664"/>
      <c r="AD671" s="664"/>
      <c r="AE671" s="664"/>
      <c r="AF671" s="664"/>
    </row>
    <row r="672" spans="2:32" ht="14.65">
      <c r="B672" s="653"/>
      <c r="C672" s="669" t="s">
        <v>332</v>
      </c>
      <c r="D672" s="670" t="s">
        <v>3461</v>
      </c>
      <c r="E672" s="669" t="s">
        <v>3646</v>
      </c>
      <c r="F672" s="672"/>
      <c r="G672" s="672">
        <v>45016</v>
      </c>
      <c r="H672" s="669" t="s">
        <v>3649</v>
      </c>
      <c r="I672" s="672">
        <v>45010</v>
      </c>
      <c r="J672" s="627">
        <v>1062000</v>
      </c>
      <c r="K672" s="627"/>
      <c r="L672" s="627"/>
      <c r="M672" s="627">
        <v>162000</v>
      </c>
      <c r="N672" s="627">
        <v>900000</v>
      </c>
      <c r="O672" s="659">
        <f t="shared" si="137"/>
        <v>6</v>
      </c>
      <c r="P672" s="673">
        <v>9</v>
      </c>
      <c r="Q672" s="674">
        <f t="shared" si="138"/>
        <v>8.9835616438356158</v>
      </c>
      <c r="R672" s="675">
        <f t="shared" si="139"/>
        <v>1644</v>
      </c>
      <c r="S672" s="675">
        <f t="shared" si="140"/>
        <v>898356</v>
      </c>
      <c r="T672" s="676">
        <f t="shared" si="141"/>
        <v>0</v>
      </c>
      <c r="U672" s="676">
        <f t="shared" si="142"/>
        <v>900000</v>
      </c>
      <c r="V672" s="664"/>
      <c r="W672" s="664"/>
      <c r="X672" s="664"/>
      <c r="Y672" s="664"/>
      <c r="Z672" s="664"/>
      <c r="AA672" s="664"/>
      <c r="AB672" s="664"/>
      <c r="AC672" s="664"/>
      <c r="AD672" s="664"/>
      <c r="AE672" s="664"/>
      <c r="AF672" s="664"/>
    </row>
    <row r="673" spans="2:32" ht="14.65">
      <c r="B673" s="653"/>
      <c r="C673" s="669" t="s">
        <v>3644</v>
      </c>
      <c r="D673" s="670" t="s">
        <v>3461</v>
      </c>
      <c r="E673" s="669" t="s">
        <v>3647</v>
      </c>
      <c r="F673" s="672"/>
      <c r="G673" s="672">
        <v>45016</v>
      </c>
      <c r="H673" s="669" t="s">
        <v>3650</v>
      </c>
      <c r="I673" s="672">
        <v>45010</v>
      </c>
      <c r="J673" s="627">
        <v>885000</v>
      </c>
      <c r="K673" s="627"/>
      <c r="L673" s="627"/>
      <c r="M673" s="627">
        <v>135000</v>
      </c>
      <c r="N673" s="627">
        <v>750000</v>
      </c>
      <c r="O673" s="659">
        <f t="shared" si="137"/>
        <v>6</v>
      </c>
      <c r="P673" s="673">
        <v>9</v>
      </c>
      <c r="Q673" s="674">
        <f t="shared" si="138"/>
        <v>8.9835616438356158</v>
      </c>
      <c r="R673" s="675">
        <f t="shared" si="139"/>
        <v>1370</v>
      </c>
      <c r="S673" s="675">
        <f t="shared" si="140"/>
        <v>748630</v>
      </c>
      <c r="T673" s="676">
        <f t="shared" si="141"/>
        <v>0</v>
      </c>
      <c r="U673" s="676">
        <f t="shared" si="142"/>
        <v>750000</v>
      </c>
      <c r="V673" s="664"/>
      <c r="W673" s="664"/>
      <c r="X673" s="664"/>
      <c r="Y673" s="664"/>
      <c r="Z673" s="664"/>
      <c r="AA673" s="664"/>
      <c r="AB673" s="664"/>
      <c r="AC673" s="664"/>
      <c r="AD673" s="664"/>
      <c r="AE673" s="664"/>
      <c r="AF673" s="664"/>
    </row>
    <row r="674" spans="2:32" ht="14.65">
      <c r="B674" s="653"/>
      <c r="C674" s="669" t="s">
        <v>583</v>
      </c>
      <c r="D674" s="670" t="s">
        <v>3459</v>
      </c>
      <c r="E674" s="669" t="s">
        <v>3648</v>
      </c>
      <c r="F674" s="672"/>
      <c r="G674" s="672">
        <v>45016</v>
      </c>
      <c r="H674" s="669" t="s">
        <v>173</v>
      </c>
      <c r="I674" s="672">
        <v>45010</v>
      </c>
      <c r="J674" s="627">
        <f>612000+110160</f>
        <v>722160</v>
      </c>
      <c r="K674" s="627"/>
      <c r="L674" s="627"/>
      <c r="M674" s="627">
        <v>110160</v>
      </c>
      <c r="N674" s="627">
        <v>612000</v>
      </c>
      <c r="O674" s="659">
        <f t="shared" si="137"/>
        <v>6</v>
      </c>
      <c r="P674" s="673">
        <v>9</v>
      </c>
      <c r="Q674" s="674">
        <f t="shared" si="138"/>
        <v>8.9835616438356158</v>
      </c>
      <c r="R674" s="675">
        <f t="shared" si="139"/>
        <v>1118</v>
      </c>
      <c r="S674" s="675">
        <f t="shared" si="140"/>
        <v>610882</v>
      </c>
      <c r="T674" s="676">
        <f t="shared" si="141"/>
        <v>0</v>
      </c>
      <c r="U674" s="676">
        <f t="shared" si="142"/>
        <v>612000</v>
      </c>
      <c r="V674" s="664"/>
      <c r="W674" s="664"/>
      <c r="X674" s="664"/>
      <c r="Y674" s="664"/>
      <c r="Z674" s="664"/>
      <c r="AA674" s="664"/>
      <c r="AB674" s="664"/>
      <c r="AC674" s="664"/>
      <c r="AD674" s="664"/>
      <c r="AE674" s="664"/>
      <c r="AF674" s="664"/>
    </row>
    <row r="675" spans="2:32" ht="14.65">
      <c r="B675" s="653">
        <f>+B670+1</f>
        <v>667</v>
      </c>
      <c r="C675" s="665" t="s">
        <v>63</v>
      </c>
      <c r="D675" s="666" t="s">
        <v>880</v>
      </c>
      <c r="E675" s="683" t="s">
        <v>91</v>
      </c>
      <c r="F675" s="657">
        <v>44656</v>
      </c>
      <c r="G675" s="657">
        <v>44662</v>
      </c>
      <c r="H675" s="665" t="s">
        <v>171</v>
      </c>
      <c r="I675" s="668">
        <v>44662</v>
      </c>
      <c r="J675" s="628">
        <v>38940</v>
      </c>
      <c r="K675" s="628"/>
      <c r="L675" s="628"/>
      <c r="M675" s="628">
        <v>5940</v>
      </c>
      <c r="N675" s="628">
        <v>33000</v>
      </c>
      <c r="O675" s="659">
        <f t="shared" si="137"/>
        <v>354</v>
      </c>
      <c r="P675" s="673">
        <v>9</v>
      </c>
      <c r="Q675" s="674">
        <f t="shared" si="138"/>
        <v>8.0301369863013701</v>
      </c>
      <c r="R675" s="675">
        <f t="shared" si="139"/>
        <v>3556</v>
      </c>
      <c r="S675" s="675">
        <f t="shared" si="140"/>
        <v>29444</v>
      </c>
      <c r="T675" s="676">
        <f t="shared" si="141"/>
        <v>33000</v>
      </c>
      <c r="U675" s="676">
        <f t="shared" si="142"/>
        <v>0</v>
      </c>
      <c r="V675" s="664"/>
      <c r="W675" s="664"/>
      <c r="X675" s="664"/>
      <c r="Y675" s="664"/>
      <c r="Z675" s="664"/>
      <c r="AA675" s="664"/>
      <c r="AB675" s="664"/>
      <c r="AC675" s="664"/>
      <c r="AD675" s="664"/>
      <c r="AE675" s="664"/>
      <c r="AF675" s="664"/>
    </row>
    <row r="676" spans="2:32" ht="14.65">
      <c r="B676" s="653">
        <f t="shared" si="124"/>
        <v>668</v>
      </c>
      <c r="C676" s="665" t="s">
        <v>73</v>
      </c>
      <c r="D676" s="666" t="s">
        <v>880</v>
      </c>
      <c r="E676" s="683" t="s">
        <v>162</v>
      </c>
      <c r="F676" s="657">
        <v>44680</v>
      </c>
      <c r="G676" s="657">
        <v>44680</v>
      </c>
      <c r="H676" s="665" t="s">
        <v>171</v>
      </c>
      <c r="I676" s="657">
        <v>44680</v>
      </c>
      <c r="J676" s="628">
        <v>33984</v>
      </c>
      <c r="K676" s="628"/>
      <c r="L676" s="628"/>
      <c r="M676" s="628">
        <v>5184</v>
      </c>
      <c r="N676" s="628">
        <v>28800</v>
      </c>
      <c r="O676" s="659">
        <f t="shared" si="137"/>
        <v>336</v>
      </c>
      <c r="P676" s="673">
        <v>9</v>
      </c>
      <c r="Q676" s="674">
        <f t="shared" si="138"/>
        <v>8.0794520547945208</v>
      </c>
      <c r="R676" s="675">
        <f t="shared" si="139"/>
        <v>2946</v>
      </c>
      <c r="S676" s="675">
        <f t="shared" si="140"/>
        <v>25854</v>
      </c>
      <c r="T676" s="676">
        <f t="shared" si="141"/>
        <v>28800</v>
      </c>
      <c r="U676" s="676">
        <f t="shared" si="142"/>
        <v>0</v>
      </c>
      <c r="V676" s="664"/>
      <c r="W676" s="664"/>
      <c r="X676" s="664"/>
      <c r="Y676" s="664"/>
      <c r="Z676" s="664"/>
      <c r="AA676" s="664"/>
      <c r="AB676" s="664"/>
      <c r="AC676" s="664"/>
      <c r="AD676" s="664"/>
      <c r="AE676" s="664"/>
      <c r="AF676" s="664"/>
    </row>
    <row r="677" spans="2:32" ht="14.65">
      <c r="B677" s="653">
        <f t="shared" si="124"/>
        <v>669</v>
      </c>
      <c r="C677" s="669" t="s">
        <v>309</v>
      </c>
      <c r="D677" s="681" t="s">
        <v>880</v>
      </c>
      <c r="E677" s="669">
        <v>466</v>
      </c>
      <c r="F677" s="672">
        <v>44989</v>
      </c>
      <c r="G677" s="672">
        <v>45016</v>
      </c>
      <c r="H677" s="669" t="s">
        <v>413</v>
      </c>
      <c r="I677" s="672">
        <v>45016</v>
      </c>
      <c r="J677" s="627">
        <v>159772</v>
      </c>
      <c r="K677" s="627"/>
      <c r="L677" s="627"/>
      <c r="M677" s="627">
        <f>12186*2</f>
        <v>24372</v>
      </c>
      <c r="N677" s="627">
        <v>135400</v>
      </c>
      <c r="O677" s="659">
        <f t="shared" si="137"/>
        <v>0</v>
      </c>
      <c r="P677" s="673">
        <v>9</v>
      </c>
      <c r="Q677" s="674">
        <f t="shared" si="138"/>
        <v>9</v>
      </c>
      <c r="R677" s="675">
        <f t="shared" si="139"/>
        <v>0</v>
      </c>
      <c r="S677" s="675">
        <f t="shared" si="140"/>
        <v>135400</v>
      </c>
      <c r="T677" s="676">
        <f t="shared" si="141"/>
        <v>0</v>
      </c>
      <c r="U677" s="676">
        <f t="shared" si="142"/>
        <v>135400</v>
      </c>
      <c r="V677" s="664"/>
      <c r="W677" s="664"/>
      <c r="X677" s="664"/>
      <c r="Y677" s="664"/>
      <c r="Z677" s="664"/>
      <c r="AA677" s="664"/>
      <c r="AB677" s="664"/>
      <c r="AC677" s="664"/>
      <c r="AD677" s="664"/>
      <c r="AE677" s="664"/>
      <c r="AF677" s="664"/>
    </row>
    <row r="678" spans="2:32" ht="14.65">
      <c r="B678" s="13" t="s">
        <v>24</v>
      </c>
      <c r="C678" s="29" t="s">
        <v>30</v>
      </c>
      <c r="D678" s="26"/>
      <c r="E678" s="633"/>
      <c r="F678" s="23"/>
      <c r="G678" s="23"/>
      <c r="H678" s="14"/>
      <c r="I678" s="23"/>
      <c r="J678" s="30">
        <f>SUM(J5:J677)</f>
        <v>2364338187.6200004</v>
      </c>
      <c r="K678" s="30">
        <f>SUM(K5:K677)</f>
        <v>20902765</v>
      </c>
      <c r="L678" s="30">
        <f>SUM(L5:L677)</f>
        <v>12154370</v>
      </c>
      <c r="M678" s="30">
        <f>SUM(M5:M677)</f>
        <v>410470521.21000016</v>
      </c>
      <c r="N678" s="30">
        <f>SUM(N5:N677)</f>
        <v>1962616061.4099994</v>
      </c>
      <c r="O678" s="17" t="s">
        <v>24</v>
      </c>
      <c r="P678" s="18"/>
      <c r="Q678" s="18"/>
      <c r="R678" s="30">
        <f>SUM(R5:R677)</f>
        <v>82387955.939075351</v>
      </c>
      <c r="S678" s="30">
        <f>SUM(S5:S677)</f>
        <v>1880228105.4709241</v>
      </c>
      <c r="T678" s="30">
        <f>SUM(T5:T677)</f>
        <v>538510173.05999994</v>
      </c>
      <c r="U678" s="30">
        <f>SUM(U5:U677)</f>
        <v>1424105888.3500004</v>
      </c>
    </row>
    <row r="679" spans="2:32" ht="20" customHeight="1">
      <c r="B679" s="1226" t="s">
        <v>31</v>
      </c>
      <c r="C679" s="1227"/>
      <c r="D679" s="26"/>
      <c r="E679" s="633"/>
      <c r="F679" s="23"/>
      <c r="G679" s="23"/>
      <c r="H679" s="14"/>
      <c r="I679" s="23"/>
      <c r="J679" s="16"/>
      <c r="K679" s="16"/>
      <c r="L679" s="16"/>
      <c r="M679" s="16"/>
      <c r="N679" s="16"/>
      <c r="O679" s="17" t="s">
        <v>24</v>
      </c>
      <c r="P679" s="18"/>
      <c r="Q679" s="18"/>
      <c r="R679" s="22"/>
      <c r="S679" s="22"/>
      <c r="T679" s="32"/>
      <c r="U679" s="32"/>
    </row>
    <row r="680" spans="2:32" ht="14.65">
      <c r="B680" s="13">
        <v>1</v>
      </c>
      <c r="C680" s="14" t="s">
        <v>425</v>
      </c>
      <c r="D680" s="90" t="s">
        <v>35</v>
      </c>
      <c r="E680" s="633" t="s">
        <v>433</v>
      </c>
      <c r="F680" s="23">
        <v>44755</v>
      </c>
      <c r="G680" s="23">
        <v>44755</v>
      </c>
      <c r="H680" s="14" t="s">
        <v>434</v>
      </c>
      <c r="I680" s="15">
        <v>44755</v>
      </c>
      <c r="J680" s="16">
        <v>69600</v>
      </c>
      <c r="K680" s="16"/>
      <c r="L680" s="16"/>
      <c r="M680" s="16">
        <v>10616.94</v>
      </c>
      <c r="N680" s="16">
        <f t="shared" ref="N680:N711" si="143">J680+K680-L680-M680</f>
        <v>58983.06</v>
      </c>
      <c r="O680" s="17">
        <f t="shared" ref="O680:O711" si="144">$O$1-I680</f>
        <v>261</v>
      </c>
      <c r="P680" s="33">
        <v>3</v>
      </c>
      <c r="Q680" s="19">
        <f t="shared" ref="Q680:Q711" si="145">P680-(O680/365)</f>
        <v>2.2849315068493152</v>
      </c>
      <c r="R680" s="32">
        <f t="shared" ref="R680:R711" si="146">N680*95%/P680*O680/365</f>
        <v>13356.027147945202</v>
      </c>
      <c r="S680" s="22">
        <f t="shared" ref="S680:S711" si="147">N680-R680</f>
        <v>45627.032852054792</v>
      </c>
      <c r="T680" s="21">
        <f t="shared" ref="T680:T711" si="148">IF(I680&lt;=DATE(2022,9,30),N680,0)</f>
        <v>58983.06</v>
      </c>
      <c r="U680" s="21">
        <f t="shared" ref="U680:U711" si="149">IF(I680&gt;DATE(2022,9,30),N680,0)</f>
        <v>0</v>
      </c>
    </row>
    <row r="681" spans="2:32" ht="14.65">
      <c r="B681" s="13">
        <f>+B680+1</f>
        <v>2</v>
      </c>
      <c r="C681" s="14" t="s">
        <v>209</v>
      </c>
      <c r="D681" s="91" t="s">
        <v>35</v>
      </c>
      <c r="E681" s="633">
        <v>244</v>
      </c>
      <c r="F681" s="23">
        <v>44747</v>
      </c>
      <c r="G681" s="23">
        <v>44747</v>
      </c>
      <c r="H681" s="14" t="s">
        <v>435</v>
      </c>
      <c r="I681" s="15">
        <v>44747</v>
      </c>
      <c r="J681" s="16">
        <v>22500</v>
      </c>
      <c r="K681" s="16"/>
      <c r="L681" s="16"/>
      <c r="M681" s="16">
        <v>3432.2</v>
      </c>
      <c r="N681" s="16">
        <f t="shared" si="143"/>
        <v>19067.8</v>
      </c>
      <c r="O681" s="17">
        <f t="shared" si="144"/>
        <v>269</v>
      </c>
      <c r="P681" s="33">
        <v>3</v>
      </c>
      <c r="Q681" s="19">
        <f t="shared" si="145"/>
        <v>2.2630136986301368</v>
      </c>
      <c r="R681" s="32">
        <f t="shared" si="146"/>
        <v>4450.0240091324195</v>
      </c>
      <c r="S681" s="22">
        <f t="shared" si="147"/>
        <v>14617.77599086758</v>
      </c>
      <c r="T681" s="21">
        <f t="shared" si="148"/>
        <v>19067.8</v>
      </c>
      <c r="U681" s="21">
        <f t="shared" si="149"/>
        <v>0</v>
      </c>
    </row>
    <row r="682" spans="2:32" ht="14.65">
      <c r="B682" s="13">
        <f t="shared" ref="B682:B735" si="150">+B681+1</f>
        <v>3</v>
      </c>
      <c r="C682" s="14" t="s">
        <v>779</v>
      </c>
      <c r="D682" s="90" t="s">
        <v>35</v>
      </c>
      <c r="E682" s="633" t="s">
        <v>791</v>
      </c>
      <c r="F682" s="15">
        <v>44895</v>
      </c>
      <c r="G682" s="15">
        <v>44895</v>
      </c>
      <c r="H682" s="14" t="s">
        <v>798</v>
      </c>
      <c r="I682" s="15">
        <v>44895</v>
      </c>
      <c r="J682" s="16">
        <v>150000</v>
      </c>
      <c r="K682" s="16"/>
      <c r="L682" s="16"/>
      <c r="M682" s="16">
        <v>22881.4</v>
      </c>
      <c r="N682" s="16">
        <f t="shared" si="143"/>
        <v>127118.6</v>
      </c>
      <c r="O682" s="17">
        <f t="shared" si="144"/>
        <v>121</v>
      </c>
      <c r="P682" s="33">
        <v>3</v>
      </c>
      <c r="Q682" s="19">
        <f t="shared" si="145"/>
        <v>2.6684931506849314</v>
      </c>
      <c r="R682" s="32">
        <f t="shared" si="146"/>
        <v>13344.550748858448</v>
      </c>
      <c r="S682" s="22">
        <f t="shared" si="147"/>
        <v>113774.04925114155</v>
      </c>
      <c r="T682" s="21">
        <f t="shared" si="148"/>
        <v>0</v>
      </c>
      <c r="U682" s="21">
        <f t="shared" si="149"/>
        <v>127118.6</v>
      </c>
    </row>
    <row r="683" spans="2:32" ht="14.65">
      <c r="B683" s="13">
        <f t="shared" si="150"/>
        <v>4</v>
      </c>
      <c r="C683" s="14" t="s">
        <v>779</v>
      </c>
      <c r="D683" s="90" t="s">
        <v>35</v>
      </c>
      <c r="E683" s="633" t="s">
        <v>792</v>
      </c>
      <c r="F683" s="15">
        <v>44897</v>
      </c>
      <c r="G683" s="15">
        <v>44898</v>
      </c>
      <c r="H683" s="14" t="s">
        <v>798</v>
      </c>
      <c r="I683" s="15">
        <v>44898</v>
      </c>
      <c r="J683" s="16">
        <v>68300</v>
      </c>
      <c r="K683" s="16"/>
      <c r="L683" s="16"/>
      <c r="M683" s="16">
        <v>10418</v>
      </c>
      <c r="N683" s="16">
        <f t="shared" si="143"/>
        <v>57882</v>
      </c>
      <c r="O683" s="17">
        <f t="shared" si="144"/>
        <v>118</v>
      </c>
      <c r="P683" s="33">
        <v>3</v>
      </c>
      <c r="Q683" s="19">
        <f t="shared" si="145"/>
        <v>2.6767123287671231</v>
      </c>
      <c r="R683" s="32">
        <f t="shared" si="146"/>
        <v>5925.6367123287673</v>
      </c>
      <c r="S683" s="22">
        <f t="shared" si="147"/>
        <v>51956.363287671236</v>
      </c>
      <c r="T683" s="21">
        <f t="shared" si="148"/>
        <v>0</v>
      </c>
      <c r="U683" s="21">
        <f t="shared" si="149"/>
        <v>57882</v>
      </c>
    </row>
    <row r="684" spans="2:32" ht="14.65">
      <c r="B684" s="13">
        <f t="shared" si="150"/>
        <v>5</v>
      </c>
      <c r="C684" s="14" t="s">
        <v>209</v>
      </c>
      <c r="D684" s="90" t="s">
        <v>35</v>
      </c>
      <c r="E684" s="633" t="s">
        <v>793</v>
      </c>
      <c r="F684" s="15">
        <v>44917</v>
      </c>
      <c r="G684" s="15">
        <v>44917</v>
      </c>
      <c r="H684" s="14" t="s">
        <v>435</v>
      </c>
      <c r="I684" s="15">
        <v>44917</v>
      </c>
      <c r="J684" s="16">
        <v>23400</v>
      </c>
      <c r="K684" s="16"/>
      <c r="L684" s="16"/>
      <c r="M684" s="16">
        <v>3569.5</v>
      </c>
      <c r="N684" s="16">
        <f t="shared" si="143"/>
        <v>19830.5</v>
      </c>
      <c r="O684" s="17">
        <f t="shared" si="144"/>
        <v>99</v>
      </c>
      <c r="P684" s="33">
        <v>3</v>
      </c>
      <c r="Q684" s="19">
        <f t="shared" si="145"/>
        <v>2.7287671232876711</v>
      </c>
      <c r="R684" s="32">
        <f t="shared" si="146"/>
        <v>1703.2497945205478</v>
      </c>
      <c r="S684" s="22">
        <f t="shared" si="147"/>
        <v>18127.250205479453</v>
      </c>
      <c r="T684" s="21">
        <f t="shared" si="148"/>
        <v>0</v>
      </c>
      <c r="U684" s="21">
        <f t="shared" si="149"/>
        <v>19830.5</v>
      </c>
    </row>
    <row r="685" spans="2:32" ht="14.65">
      <c r="B685" s="13">
        <f t="shared" si="150"/>
        <v>6</v>
      </c>
      <c r="C685" s="14" t="s">
        <v>425</v>
      </c>
      <c r="D685" s="14" t="s">
        <v>26</v>
      </c>
      <c r="E685" s="633" t="s">
        <v>426</v>
      </c>
      <c r="F685" s="23">
        <v>44764</v>
      </c>
      <c r="G685" s="23">
        <v>44768</v>
      </c>
      <c r="H685" s="14" t="s">
        <v>427</v>
      </c>
      <c r="I685" s="15">
        <v>44768</v>
      </c>
      <c r="J685" s="16">
        <v>57050</v>
      </c>
      <c r="K685" s="16"/>
      <c r="L685" s="16"/>
      <c r="M685" s="16">
        <v>8702.5400000000009</v>
      </c>
      <c r="N685" s="16">
        <f t="shared" si="143"/>
        <v>48347.46</v>
      </c>
      <c r="O685" s="17">
        <f t="shared" si="144"/>
        <v>248</v>
      </c>
      <c r="P685" s="33">
        <v>3</v>
      </c>
      <c r="Q685" s="19">
        <f t="shared" si="145"/>
        <v>2.3205479452054796</v>
      </c>
      <c r="R685" s="32">
        <f t="shared" si="146"/>
        <v>10402.4306630137</v>
      </c>
      <c r="S685" s="22">
        <f t="shared" si="147"/>
        <v>37945.029336986299</v>
      </c>
      <c r="T685" s="21">
        <f t="shared" si="148"/>
        <v>48347.46</v>
      </c>
      <c r="U685" s="21">
        <f t="shared" si="149"/>
        <v>0</v>
      </c>
    </row>
    <row r="686" spans="2:32" ht="14.65">
      <c r="B686" s="13">
        <f t="shared" si="150"/>
        <v>7</v>
      </c>
      <c r="C686" s="14" t="s">
        <v>425</v>
      </c>
      <c r="D686" s="14" t="s">
        <v>26</v>
      </c>
      <c r="E686" s="633" t="s">
        <v>428</v>
      </c>
      <c r="F686" s="23">
        <v>44776</v>
      </c>
      <c r="G686" s="23">
        <v>44776</v>
      </c>
      <c r="H686" s="14" t="s">
        <v>427</v>
      </c>
      <c r="I686" s="15">
        <v>44776</v>
      </c>
      <c r="J686" s="16">
        <v>46999</v>
      </c>
      <c r="K686" s="16"/>
      <c r="L686" s="16"/>
      <c r="M686" s="16">
        <v>7169.3</v>
      </c>
      <c r="N686" s="16">
        <f t="shared" si="143"/>
        <v>39829.699999999997</v>
      </c>
      <c r="O686" s="17">
        <f t="shared" si="144"/>
        <v>240</v>
      </c>
      <c r="P686" s="33">
        <v>3</v>
      </c>
      <c r="Q686" s="19">
        <f t="shared" si="145"/>
        <v>2.3424657534246576</v>
      </c>
      <c r="R686" s="32">
        <f t="shared" si="146"/>
        <v>8293.3073972602724</v>
      </c>
      <c r="S686" s="22">
        <f t="shared" si="147"/>
        <v>31536.392602739725</v>
      </c>
      <c r="T686" s="21">
        <f t="shared" si="148"/>
        <v>39829.699999999997</v>
      </c>
      <c r="U686" s="21">
        <f t="shared" si="149"/>
        <v>0</v>
      </c>
    </row>
    <row r="687" spans="2:32" ht="14.65">
      <c r="B687" s="13">
        <f t="shared" si="150"/>
        <v>8</v>
      </c>
      <c r="C687" s="14" t="s">
        <v>425</v>
      </c>
      <c r="D687" s="14" t="s">
        <v>26</v>
      </c>
      <c r="E687" s="633" t="s">
        <v>429</v>
      </c>
      <c r="F687" s="23">
        <v>44802</v>
      </c>
      <c r="G687" s="23">
        <v>44804</v>
      </c>
      <c r="H687" s="14" t="s">
        <v>427</v>
      </c>
      <c r="I687" s="15">
        <v>44804</v>
      </c>
      <c r="J687" s="16">
        <v>68000</v>
      </c>
      <c r="K687" s="16"/>
      <c r="L687" s="16"/>
      <c r="M687" s="16">
        <v>10372.879999999999</v>
      </c>
      <c r="N687" s="16">
        <f t="shared" si="143"/>
        <v>57627.12</v>
      </c>
      <c r="O687" s="17">
        <f t="shared" si="144"/>
        <v>212</v>
      </c>
      <c r="P687" s="33">
        <v>3</v>
      </c>
      <c r="Q687" s="19">
        <f t="shared" si="145"/>
        <v>2.419178082191781</v>
      </c>
      <c r="R687" s="32">
        <f t="shared" si="146"/>
        <v>10599.179879452055</v>
      </c>
      <c r="S687" s="22">
        <f t="shared" si="147"/>
        <v>47027.940120547952</v>
      </c>
      <c r="T687" s="21">
        <f t="shared" si="148"/>
        <v>57627.12</v>
      </c>
      <c r="U687" s="21">
        <f t="shared" si="149"/>
        <v>0</v>
      </c>
    </row>
    <row r="688" spans="2:32" ht="14.65">
      <c r="B688" s="13">
        <f t="shared" si="150"/>
        <v>9</v>
      </c>
      <c r="C688" s="14" t="s">
        <v>31</v>
      </c>
      <c r="D688" s="14" t="s">
        <v>26</v>
      </c>
      <c r="E688" s="633" t="s">
        <v>430</v>
      </c>
      <c r="F688" s="23">
        <v>44802</v>
      </c>
      <c r="G688" s="23">
        <v>44804</v>
      </c>
      <c r="H688" s="14" t="s">
        <v>427</v>
      </c>
      <c r="I688" s="15">
        <v>44804</v>
      </c>
      <c r="J688" s="16">
        <v>72500</v>
      </c>
      <c r="K688" s="16"/>
      <c r="L688" s="16"/>
      <c r="M688" s="16">
        <v>11059.32</v>
      </c>
      <c r="N688" s="16">
        <f t="shared" si="143"/>
        <v>61440.68</v>
      </c>
      <c r="O688" s="17">
        <f t="shared" si="144"/>
        <v>212</v>
      </c>
      <c r="P688" s="33">
        <v>3</v>
      </c>
      <c r="Q688" s="19">
        <f t="shared" si="145"/>
        <v>2.419178082191781</v>
      </c>
      <c r="R688" s="32">
        <f t="shared" si="146"/>
        <v>11300.596303196347</v>
      </c>
      <c r="S688" s="22">
        <f t="shared" si="147"/>
        <v>50140.083696803653</v>
      </c>
      <c r="T688" s="21">
        <f t="shared" si="148"/>
        <v>61440.68</v>
      </c>
      <c r="U688" s="21">
        <f t="shared" si="149"/>
        <v>0</v>
      </c>
    </row>
    <row r="689" spans="2:21" ht="14.65">
      <c r="B689" s="13">
        <f t="shared" si="150"/>
        <v>10</v>
      </c>
      <c r="C689" s="14" t="s">
        <v>209</v>
      </c>
      <c r="D689" s="14" t="s">
        <v>26</v>
      </c>
      <c r="E689" s="633" t="s">
        <v>431</v>
      </c>
      <c r="F689" s="23">
        <v>44814</v>
      </c>
      <c r="G689" s="23">
        <v>44816</v>
      </c>
      <c r="H689" s="14" t="s">
        <v>427</v>
      </c>
      <c r="I689" s="15">
        <v>44816</v>
      </c>
      <c r="J689" s="16">
        <v>19150</v>
      </c>
      <c r="K689" s="16"/>
      <c r="L689" s="16"/>
      <c r="M689" s="16">
        <v>2921.18</v>
      </c>
      <c r="N689" s="16">
        <f t="shared" si="143"/>
        <v>16228.82</v>
      </c>
      <c r="O689" s="17">
        <f t="shared" si="144"/>
        <v>200</v>
      </c>
      <c r="P689" s="33">
        <v>3</v>
      </c>
      <c r="Q689" s="19">
        <f t="shared" si="145"/>
        <v>2.452054794520548</v>
      </c>
      <c r="R689" s="32">
        <f t="shared" si="146"/>
        <v>2815.9596347031957</v>
      </c>
      <c r="S689" s="22">
        <f t="shared" si="147"/>
        <v>13412.860365296805</v>
      </c>
      <c r="T689" s="21">
        <f t="shared" si="148"/>
        <v>16228.82</v>
      </c>
      <c r="U689" s="21">
        <f t="shared" si="149"/>
        <v>0</v>
      </c>
    </row>
    <row r="690" spans="2:21" ht="14.65">
      <c r="B690" s="13">
        <f t="shared" si="150"/>
        <v>11</v>
      </c>
      <c r="C690" s="14" t="s">
        <v>209</v>
      </c>
      <c r="D690" s="14" t="s">
        <v>26</v>
      </c>
      <c r="E690" s="633" t="s">
        <v>432</v>
      </c>
      <c r="F690" s="23">
        <v>44821</v>
      </c>
      <c r="G690" s="23">
        <v>44821</v>
      </c>
      <c r="H690" s="14" t="s">
        <v>427</v>
      </c>
      <c r="I690" s="15">
        <v>44821</v>
      </c>
      <c r="J690" s="16">
        <v>17900</v>
      </c>
      <c r="K690" s="16"/>
      <c r="L690" s="16"/>
      <c r="M690" s="16">
        <v>2730.5</v>
      </c>
      <c r="N690" s="16">
        <f t="shared" si="143"/>
        <v>15169.5</v>
      </c>
      <c r="O690" s="17">
        <f t="shared" si="144"/>
        <v>195</v>
      </c>
      <c r="P690" s="33">
        <v>3</v>
      </c>
      <c r="Q690" s="19">
        <f t="shared" si="145"/>
        <v>2.4657534246575343</v>
      </c>
      <c r="R690" s="32">
        <f t="shared" si="146"/>
        <v>2566.3469178082191</v>
      </c>
      <c r="S690" s="22">
        <f t="shared" si="147"/>
        <v>12603.15308219178</v>
      </c>
      <c r="T690" s="21">
        <f t="shared" si="148"/>
        <v>15169.5</v>
      </c>
      <c r="U690" s="21">
        <f t="shared" si="149"/>
        <v>0</v>
      </c>
    </row>
    <row r="691" spans="2:21" ht="14.65">
      <c r="B691" s="13">
        <f t="shared" si="150"/>
        <v>12</v>
      </c>
      <c r="C691" s="14" t="s">
        <v>425</v>
      </c>
      <c r="D691" s="14" t="s">
        <v>26</v>
      </c>
      <c r="E691" s="633" t="s">
        <v>784</v>
      </c>
      <c r="F691" s="15">
        <v>44854</v>
      </c>
      <c r="G691" s="15">
        <v>44859</v>
      </c>
      <c r="H691" s="14" t="s">
        <v>427</v>
      </c>
      <c r="I691" s="15">
        <v>44859</v>
      </c>
      <c r="J691" s="16">
        <v>327900</v>
      </c>
      <c r="K691" s="16"/>
      <c r="L691" s="16"/>
      <c r="M691" s="16">
        <v>50018</v>
      </c>
      <c r="N691" s="16">
        <f t="shared" si="143"/>
        <v>277882</v>
      </c>
      <c r="O691" s="17">
        <f t="shared" si="144"/>
        <v>157</v>
      </c>
      <c r="P691" s="33">
        <v>3</v>
      </c>
      <c r="Q691" s="19">
        <f t="shared" si="145"/>
        <v>2.56986301369863</v>
      </c>
      <c r="R691" s="32">
        <f t="shared" si="146"/>
        <v>37850.319908675796</v>
      </c>
      <c r="S691" s="22">
        <f t="shared" si="147"/>
        <v>240031.6800913242</v>
      </c>
      <c r="T691" s="21">
        <f t="shared" si="148"/>
        <v>0</v>
      </c>
      <c r="U691" s="21">
        <f t="shared" si="149"/>
        <v>277882</v>
      </c>
    </row>
    <row r="692" spans="2:21" ht="14.65">
      <c r="B692" s="13">
        <f t="shared" si="150"/>
        <v>13</v>
      </c>
      <c r="C692" s="14" t="s">
        <v>425</v>
      </c>
      <c r="D692" s="14" t="s">
        <v>26</v>
      </c>
      <c r="E692" s="633" t="s">
        <v>785</v>
      </c>
      <c r="F692" s="15">
        <v>44874</v>
      </c>
      <c r="G692" s="15">
        <v>44874</v>
      </c>
      <c r="H692" s="14" t="s">
        <v>427</v>
      </c>
      <c r="I692" s="15">
        <v>44874</v>
      </c>
      <c r="J692" s="16">
        <v>238000</v>
      </c>
      <c r="K692" s="16"/>
      <c r="L692" s="16"/>
      <c r="M692" s="16">
        <v>36305.019999999997</v>
      </c>
      <c r="N692" s="16">
        <f t="shared" si="143"/>
        <v>201694.98</v>
      </c>
      <c r="O692" s="17">
        <f t="shared" si="144"/>
        <v>142</v>
      </c>
      <c r="P692" s="33">
        <v>3</v>
      </c>
      <c r="Q692" s="19">
        <f t="shared" si="145"/>
        <v>2.6109589041095891</v>
      </c>
      <c r="R692" s="32">
        <f t="shared" si="146"/>
        <v>24848.084750684931</v>
      </c>
      <c r="S692" s="22">
        <f t="shared" si="147"/>
        <v>176846.89524931507</v>
      </c>
      <c r="T692" s="21">
        <f t="shared" si="148"/>
        <v>0</v>
      </c>
      <c r="U692" s="21">
        <f t="shared" si="149"/>
        <v>201694.98</v>
      </c>
    </row>
    <row r="693" spans="2:21" ht="14.65">
      <c r="B693" s="13">
        <f t="shared" si="150"/>
        <v>14</v>
      </c>
      <c r="C693" s="14" t="s">
        <v>425</v>
      </c>
      <c r="D693" s="14" t="s">
        <v>26</v>
      </c>
      <c r="E693" s="633" t="s">
        <v>786</v>
      </c>
      <c r="F693" s="15">
        <v>44874</v>
      </c>
      <c r="G693" s="15">
        <v>44874</v>
      </c>
      <c r="H693" s="14" t="s">
        <v>427</v>
      </c>
      <c r="I693" s="15">
        <v>44874</v>
      </c>
      <c r="J693" s="16">
        <v>109300</v>
      </c>
      <c r="K693" s="16"/>
      <c r="L693" s="16"/>
      <c r="M693" s="16">
        <v>16672</v>
      </c>
      <c r="N693" s="16">
        <f t="shared" si="143"/>
        <v>92628</v>
      </c>
      <c r="O693" s="17">
        <f t="shared" si="144"/>
        <v>142</v>
      </c>
      <c r="P693" s="33">
        <v>3</v>
      </c>
      <c r="Q693" s="19">
        <f t="shared" si="145"/>
        <v>2.6109589041095891</v>
      </c>
      <c r="R693" s="32">
        <f t="shared" si="146"/>
        <v>11411.43123287671</v>
      </c>
      <c r="S693" s="22">
        <f t="shared" si="147"/>
        <v>81216.568767123288</v>
      </c>
      <c r="T693" s="21">
        <f t="shared" si="148"/>
        <v>0</v>
      </c>
      <c r="U693" s="21">
        <f t="shared" si="149"/>
        <v>92628</v>
      </c>
    </row>
    <row r="694" spans="2:21" ht="14.65">
      <c r="B694" s="13">
        <f t="shared" si="150"/>
        <v>15</v>
      </c>
      <c r="C694" s="14" t="s">
        <v>425</v>
      </c>
      <c r="D694" s="14" t="s">
        <v>26</v>
      </c>
      <c r="E694" s="633" t="s">
        <v>787</v>
      </c>
      <c r="F694" s="15">
        <v>44889</v>
      </c>
      <c r="G694" s="15">
        <v>44889</v>
      </c>
      <c r="H694" s="14" t="s">
        <v>427</v>
      </c>
      <c r="I694" s="15">
        <v>44889</v>
      </c>
      <c r="J694" s="16">
        <v>77900</v>
      </c>
      <c r="K694" s="16"/>
      <c r="L694" s="16"/>
      <c r="M694" s="16">
        <v>11883.04</v>
      </c>
      <c r="N694" s="16">
        <f t="shared" si="143"/>
        <v>66016.959999999992</v>
      </c>
      <c r="O694" s="17">
        <f t="shared" si="144"/>
        <v>127</v>
      </c>
      <c r="P694" s="33">
        <v>3</v>
      </c>
      <c r="Q694" s="19">
        <f t="shared" si="145"/>
        <v>2.6520547945205477</v>
      </c>
      <c r="R694" s="32">
        <f t="shared" si="146"/>
        <v>7273.9234922374408</v>
      </c>
      <c r="S694" s="22">
        <f t="shared" si="147"/>
        <v>58743.036507762554</v>
      </c>
      <c r="T694" s="21">
        <f t="shared" si="148"/>
        <v>0</v>
      </c>
      <c r="U694" s="21">
        <f t="shared" si="149"/>
        <v>66016.959999999992</v>
      </c>
    </row>
    <row r="695" spans="2:21" ht="14.65">
      <c r="B695" s="13">
        <f t="shared" si="150"/>
        <v>16</v>
      </c>
      <c r="C695" s="14" t="s">
        <v>778</v>
      </c>
      <c r="D695" s="14" t="s">
        <v>26</v>
      </c>
      <c r="E695" s="633" t="s">
        <v>788</v>
      </c>
      <c r="F695" s="15">
        <v>44870</v>
      </c>
      <c r="G695" s="15">
        <v>44870</v>
      </c>
      <c r="H695" s="14" t="s">
        <v>427</v>
      </c>
      <c r="I695" s="15">
        <v>44870</v>
      </c>
      <c r="J695" s="16">
        <v>220661</v>
      </c>
      <c r="K695" s="16"/>
      <c r="L695" s="16"/>
      <c r="M695" s="16">
        <v>33660</v>
      </c>
      <c r="N695" s="16">
        <f t="shared" si="143"/>
        <v>187001</v>
      </c>
      <c r="O695" s="17">
        <f t="shared" si="144"/>
        <v>146</v>
      </c>
      <c r="P695" s="33">
        <v>3</v>
      </c>
      <c r="Q695" s="19">
        <f t="shared" si="145"/>
        <v>2.6</v>
      </c>
      <c r="R695" s="32">
        <f t="shared" si="146"/>
        <v>23686.793333333331</v>
      </c>
      <c r="S695" s="22">
        <f t="shared" si="147"/>
        <v>163314.20666666667</v>
      </c>
      <c r="T695" s="21">
        <f t="shared" si="148"/>
        <v>0</v>
      </c>
      <c r="U695" s="21">
        <f t="shared" si="149"/>
        <v>187001</v>
      </c>
    </row>
    <row r="696" spans="2:21" ht="14.65">
      <c r="B696" s="13">
        <f t="shared" si="150"/>
        <v>17</v>
      </c>
      <c r="C696" s="14" t="s">
        <v>778</v>
      </c>
      <c r="D696" s="14" t="s">
        <v>26</v>
      </c>
      <c r="E696" s="633" t="s">
        <v>789</v>
      </c>
      <c r="F696" s="15">
        <v>44870</v>
      </c>
      <c r="G696" s="15">
        <v>44872</v>
      </c>
      <c r="H696" s="14" t="s">
        <v>427</v>
      </c>
      <c r="I696" s="15">
        <v>44872</v>
      </c>
      <c r="J696" s="16">
        <v>984119</v>
      </c>
      <c r="K696" s="16"/>
      <c r="L696" s="16"/>
      <c r="M696" s="16">
        <v>150120</v>
      </c>
      <c r="N696" s="16">
        <f t="shared" si="143"/>
        <v>833999</v>
      </c>
      <c r="O696" s="17">
        <f t="shared" si="144"/>
        <v>144</v>
      </c>
      <c r="P696" s="33">
        <v>3</v>
      </c>
      <c r="Q696" s="19">
        <f t="shared" si="145"/>
        <v>2.6054794520547944</v>
      </c>
      <c r="R696" s="32">
        <f t="shared" si="146"/>
        <v>104192.7517808219</v>
      </c>
      <c r="S696" s="22">
        <f t="shared" si="147"/>
        <v>729806.24821917806</v>
      </c>
      <c r="T696" s="21">
        <f t="shared" si="148"/>
        <v>0</v>
      </c>
      <c r="U696" s="21">
        <f t="shared" si="149"/>
        <v>833999</v>
      </c>
    </row>
    <row r="697" spans="2:21" ht="14.65">
      <c r="B697" s="13">
        <f t="shared" si="150"/>
        <v>18</v>
      </c>
      <c r="C697" s="14" t="s">
        <v>209</v>
      </c>
      <c r="D697" s="14" t="s">
        <v>26</v>
      </c>
      <c r="E697" s="633" t="s">
        <v>790</v>
      </c>
      <c r="F697" s="15">
        <v>44903</v>
      </c>
      <c r="G697" s="15">
        <v>44903</v>
      </c>
      <c r="H697" s="14" t="s">
        <v>427</v>
      </c>
      <c r="I697" s="15">
        <v>44903</v>
      </c>
      <c r="J697" s="16">
        <v>65962</v>
      </c>
      <c r="K697" s="16"/>
      <c r="L697" s="16"/>
      <c r="M697" s="16">
        <v>10062</v>
      </c>
      <c r="N697" s="16">
        <f t="shared" si="143"/>
        <v>55900</v>
      </c>
      <c r="O697" s="17">
        <f t="shared" si="144"/>
        <v>113</v>
      </c>
      <c r="P697" s="33">
        <v>3</v>
      </c>
      <c r="Q697" s="19">
        <f t="shared" si="145"/>
        <v>2.6904109589041094</v>
      </c>
      <c r="R697" s="32">
        <f t="shared" si="146"/>
        <v>5480.2420091324202</v>
      </c>
      <c r="S697" s="22">
        <f t="shared" si="147"/>
        <v>50419.757990867583</v>
      </c>
      <c r="T697" s="21">
        <f t="shared" si="148"/>
        <v>0</v>
      </c>
      <c r="U697" s="21">
        <f t="shared" si="149"/>
        <v>55900</v>
      </c>
    </row>
    <row r="698" spans="2:21" ht="14.65">
      <c r="B698" s="13">
        <f t="shared" si="150"/>
        <v>19</v>
      </c>
      <c r="C698" s="530" t="s">
        <v>425</v>
      </c>
      <c r="D698" s="621" t="s">
        <v>2474</v>
      </c>
      <c r="E698" s="629" t="s">
        <v>3433</v>
      </c>
      <c r="F698" s="620">
        <v>44944</v>
      </c>
      <c r="G698" s="620">
        <v>44947</v>
      </c>
      <c r="H698" s="530" t="s">
        <v>2858</v>
      </c>
      <c r="I698" s="623">
        <v>44947</v>
      </c>
      <c r="J698" s="619">
        <v>424731</v>
      </c>
      <c r="K698" s="619"/>
      <c r="L698" s="619"/>
      <c r="M698" s="619">
        <v>64789.48</v>
      </c>
      <c r="N698" s="619">
        <f t="shared" si="143"/>
        <v>359941.52</v>
      </c>
      <c r="O698" s="17">
        <f t="shared" si="144"/>
        <v>69</v>
      </c>
      <c r="P698" s="618">
        <v>3</v>
      </c>
      <c r="Q698" s="617">
        <f t="shared" si="145"/>
        <v>2.8109589041095893</v>
      </c>
      <c r="R698" s="625">
        <f t="shared" si="146"/>
        <v>21547.184142465754</v>
      </c>
      <c r="S698" s="625">
        <f t="shared" si="147"/>
        <v>338394.33585753426</v>
      </c>
      <c r="T698" s="616">
        <f t="shared" si="148"/>
        <v>0</v>
      </c>
      <c r="U698" s="616">
        <f t="shared" si="149"/>
        <v>359941.52</v>
      </c>
    </row>
    <row r="699" spans="2:21" ht="14.65">
      <c r="B699" s="13">
        <f t="shared" si="150"/>
        <v>20</v>
      </c>
      <c r="C699" s="530" t="s">
        <v>1284</v>
      </c>
      <c r="D699" s="622" t="s">
        <v>2474</v>
      </c>
      <c r="E699" s="629" t="s">
        <v>3432</v>
      </c>
      <c r="F699" s="620">
        <v>44944</v>
      </c>
      <c r="G699" s="620">
        <v>44949</v>
      </c>
      <c r="H699" s="530" t="s">
        <v>2858</v>
      </c>
      <c r="I699" s="623">
        <v>44949</v>
      </c>
      <c r="J699" s="619">
        <v>53999.962399999997</v>
      </c>
      <c r="K699" s="619"/>
      <c r="L699" s="619"/>
      <c r="M699" s="619">
        <v>8237.2824000000001</v>
      </c>
      <c r="N699" s="619">
        <f t="shared" si="143"/>
        <v>45762.679999999993</v>
      </c>
      <c r="O699" s="17">
        <f t="shared" si="144"/>
        <v>67</v>
      </c>
      <c r="P699" s="618">
        <v>3</v>
      </c>
      <c r="Q699" s="617">
        <f t="shared" si="145"/>
        <v>2.8164383561643835</v>
      </c>
      <c r="R699" s="625">
        <f t="shared" si="146"/>
        <v>2660.0863762557074</v>
      </c>
      <c r="S699" s="625">
        <f t="shared" si="147"/>
        <v>43102.593623744287</v>
      </c>
      <c r="T699" s="616">
        <f t="shared" si="148"/>
        <v>0</v>
      </c>
      <c r="U699" s="616">
        <f t="shared" si="149"/>
        <v>45762.679999999993</v>
      </c>
    </row>
    <row r="700" spans="2:21" ht="14.65">
      <c r="B700" s="13">
        <f t="shared" si="150"/>
        <v>21</v>
      </c>
      <c r="C700" s="530" t="s">
        <v>209</v>
      </c>
      <c r="D700" s="621" t="s">
        <v>2474</v>
      </c>
      <c r="E700" s="629" t="s">
        <v>3432</v>
      </c>
      <c r="F700" s="623">
        <v>44944</v>
      </c>
      <c r="G700" s="623">
        <v>44949</v>
      </c>
      <c r="H700" s="530" t="s">
        <v>2858</v>
      </c>
      <c r="I700" s="623">
        <v>44949</v>
      </c>
      <c r="J700" s="619">
        <v>47600.02</v>
      </c>
      <c r="K700" s="619"/>
      <c r="L700" s="619"/>
      <c r="M700" s="619">
        <v>7261.0199999999995</v>
      </c>
      <c r="N700" s="619">
        <f t="shared" si="143"/>
        <v>40339</v>
      </c>
      <c r="O700" s="17">
        <f t="shared" si="144"/>
        <v>67</v>
      </c>
      <c r="P700" s="618">
        <v>3</v>
      </c>
      <c r="Q700" s="617">
        <f t="shared" si="145"/>
        <v>2.8164383561643835</v>
      </c>
      <c r="R700" s="625">
        <f t="shared" si="146"/>
        <v>2344.8194977168946</v>
      </c>
      <c r="S700" s="625">
        <f t="shared" si="147"/>
        <v>37994.180502283103</v>
      </c>
      <c r="T700" s="616">
        <f t="shared" si="148"/>
        <v>0</v>
      </c>
      <c r="U700" s="616">
        <f t="shared" si="149"/>
        <v>40339</v>
      </c>
    </row>
    <row r="701" spans="2:21" ht="14.65">
      <c r="B701" s="13">
        <f t="shared" si="150"/>
        <v>22</v>
      </c>
      <c r="C701" s="14" t="s">
        <v>207</v>
      </c>
      <c r="D701" s="90" t="s">
        <v>3459</v>
      </c>
      <c r="E701" s="633" t="s">
        <v>211</v>
      </c>
      <c r="F701" s="23">
        <v>44702</v>
      </c>
      <c r="G701" s="23">
        <v>44702</v>
      </c>
      <c r="H701" s="14" t="s">
        <v>215</v>
      </c>
      <c r="I701" s="15">
        <v>44702</v>
      </c>
      <c r="J701" s="16">
        <v>286749.92379999999</v>
      </c>
      <c r="K701" s="16"/>
      <c r="L701" s="16"/>
      <c r="M701" s="16">
        <v>43741.513800000001</v>
      </c>
      <c r="N701" s="28">
        <f t="shared" si="143"/>
        <v>243008.40999999997</v>
      </c>
      <c r="O701" s="17">
        <f t="shared" si="144"/>
        <v>314</v>
      </c>
      <c r="P701" s="33">
        <v>3</v>
      </c>
      <c r="Q701" s="19">
        <f t="shared" si="145"/>
        <v>2.13972602739726</v>
      </c>
      <c r="R701" s="32">
        <f t="shared" si="146"/>
        <v>66200.373244748844</v>
      </c>
      <c r="S701" s="22">
        <f t="shared" si="147"/>
        <v>176808.03675525112</v>
      </c>
      <c r="T701" s="21">
        <f t="shared" si="148"/>
        <v>243008.40999999997</v>
      </c>
      <c r="U701" s="21">
        <f t="shared" si="149"/>
        <v>0</v>
      </c>
    </row>
    <row r="702" spans="2:21" ht="14.65">
      <c r="B702" s="13">
        <f t="shared" si="150"/>
        <v>23</v>
      </c>
      <c r="C702" s="14" t="s">
        <v>436</v>
      </c>
      <c r="D702" s="90" t="s">
        <v>3459</v>
      </c>
      <c r="E702" s="633" t="s">
        <v>437</v>
      </c>
      <c r="F702" s="23">
        <v>44746</v>
      </c>
      <c r="G702" s="23">
        <v>44746</v>
      </c>
      <c r="H702" s="14" t="s">
        <v>427</v>
      </c>
      <c r="I702" s="15">
        <v>44746</v>
      </c>
      <c r="J702" s="16">
        <v>627550</v>
      </c>
      <c r="K702" s="16"/>
      <c r="L702" s="16"/>
      <c r="M702" s="16">
        <v>95727.95</v>
      </c>
      <c r="N702" s="28">
        <f t="shared" si="143"/>
        <v>531822.05000000005</v>
      </c>
      <c r="O702" s="17">
        <f t="shared" si="144"/>
        <v>270</v>
      </c>
      <c r="P702" s="33">
        <v>3</v>
      </c>
      <c r="Q702" s="19">
        <f t="shared" si="145"/>
        <v>2.2602739726027399</v>
      </c>
      <c r="R702" s="32">
        <f t="shared" si="146"/>
        <v>124577.49390410958</v>
      </c>
      <c r="S702" s="22">
        <f t="shared" si="147"/>
        <v>407244.55609589047</v>
      </c>
      <c r="T702" s="21">
        <f t="shared" si="148"/>
        <v>531822.05000000005</v>
      </c>
      <c r="U702" s="21">
        <f t="shared" si="149"/>
        <v>0</v>
      </c>
    </row>
    <row r="703" spans="2:21" ht="14.65">
      <c r="B703" s="13">
        <f t="shared" si="150"/>
        <v>24</v>
      </c>
      <c r="C703" s="14" t="s">
        <v>209</v>
      </c>
      <c r="D703" s="90" t="s">
        <v>3459</v>
      </c>
      <c r="E703" s="633">
        <v>112</v>
      </c>
      <c r="F703" s="23">
        <v>44791</v>
      </c>
      <c r="G703" s="23">
        <v>44791</v>
      </c>
      <c r="H703" s="14" t="s">
        <v>438</v>
      </c>
      <c r="I703" s="15">
        <v>44791</v>
      </c>
      <c r="J703" s="16">
        <v>17900</v>
      </c>
      <c r="K703" s="16"/>
      <c r="L703" s="16"/>
      <c r="M703" s="16">
        <v>2730.5</v>
      </c>
      <c r="N703" s="28">
        <f t="shared" si="143"/>
        <v>15169.5</v>
      </c>
      <c r="O703" s="17">
        <f t="shared" si="144"/>
        <v>225</v>
      </c>
      <c r="P703" s="33">
        <v>3</v>
      </c>
      <c r="Q703" s="19">
        <f t="shared" si="145"/>
        <v>2.3835616438356162</v>
      </c>
      <c r="R703" s="32">
        <f t="shared" si="146"/>
        <v>2961.169520547945</v>
      </c>
      <c r="S703" s="22">
        <f t="shared" si="147"/>
        <v>12208.330479452055</v>
      </c>
      <c r="T703" s="21">
        <f t="shared" si="148"/>
        <v>15169.5</v>
      </c>
      <c r="U703" s="21">
        <f t="shared" si="149"/>
        <v>0</v>
      </c>
    </row>
    <row r="704" spans="2:21" ht="14.65">
      <c r="B704" s="13">
        <f t="shared" si="150"/>
        <v>25</v>
      </c>
      <c r="C704" s="14" t="s">
        <v>209</v>
      </c>
      <c r="D704" s="90" t="s">
        <v>3459</v>
      </c>
      <c r="E704" s="633">
        <v>162</v>
      </c>
      <c r="F704" s="23">
        <v>44812</v>
      </c>
      <c r="G704" s="23">
        <v>44814</v>
      </c>
      <c r="H704" s="14" t="s">
        <v>438</v>
      </c>
      <c r="I704" s="15">
        <v>44814</v>
      </c>
      <c r="J704" s="16">
        <v>34200</v>
      </c>
      <c r="K704" s="16"/>
      <c r="L704" s="16"/>
      <c r="M704" s="16">
        <v>5216.9399999999996</v>
      </c>
      <c r="N704" s="28">
        <f t="shared" si="143"/>
        <v>28983.06</v>
      </c>
      <c r="O704" s="17">
        <f t="shared" si="144"/>
        <v>202</v>
      </c>
      <c r="P704" s="33">
        <v>3</v>
      </c>
      <c r="Q704" s="19">
        <f t="shared" si="145"/>
        <v>2.4465753424657537</v>
      </c>
      <c r="R704" s="32">
        <f t="shared" si="146"/>
        <v>5079.314350684931</v>
      </c>
      <c r="S704" s="22">
        <f t="shared" si="147"/>
        <v>23903.745649315071</v>
      </c>
      <c r="T704" s="21">
        <f t="shared" si="148"/>
        <v>28983.06</v>
      </c>
      <c r="U704" s="21">
        <f t="shared" si="149"/>
        <v>0</v>
      </c>
    </row>
    <row r="705" spans="2:21" ht="14.65">
      <c r="B705" s="13">
        <f t="shared" si="150"/>
        <v>26</v>
      </c>
      <c r="C705" s="14" t="s">
        <v>780</v>
      </c>
      <c r="D705" s="90" t="s">
        <v>3459</v>
      </c>
      <c r="E705" s="633">
        <v>744</v>
      </c>
      <c r="F705" s="15">
        <v>44902</v>
      </c>
      <c r="G705" s="15">
        <v>44926</v>
      </c>
      <c r="H705" s="14" t="s">
        <v>438</v>
      </c>
      <c r="I705" s="15">
        <v>44926</v>
      </c>
      <c r="J705" s="16">
        <v>20200</v>
      </c>
      <c r="K705" s="16"/>
      <c r="L705" s="16"/>
      <c r="M705" s="16">
        <v>3081.3559322033898</v>
      </c>
      <c r="N705" s="28">
        <f t="shared" si="143"/>
        <v>17118.644067796609</v>
      </c>
      <c r="O705" s="17">
        <f t="shared" si="144"/>
        <v>90</v>
      </c>
      <c r="P705" s="33">
        <v>3</v>
      </c>
      <c r="Q705" s="19">
        <f t="shared" si="145"/>
        <v>2.7534246575342465</v>
      </c>
      <c r="R705" s="32">
        <f t="shared" si="146"/>
        <v>1336.6612491293242</v>
      </c>
      <c r="S705" s="22">
        <f t="shared" si="147"/>
        <v>15781.982818667286</v>
      </c>
      <c r="T705" s="21">
        <f t="shared" si="148"/>
        <v>0</v>
      </c>
      <c r="U705" s="21">
        <f t="shared" si="149"/>
        <v>17118.644067796609</v>
      </c>
    </row>
    <row r="706" spans="2:21" ht="14.65">
      <c r="B706" s="13">
        <f t="shared" si="150"/>
        <v>27</v>
      </c>
      <c r="C706" s="14" t="s">
        <v>436</v>
      </c>
      <c r="D706" s="90" t="s">
        <v>3459</v>
      </c>
      <c r="E706" s="633">
        <v>744</v>
      </c>
      <c r="F706" s="15">
        <v>44902</v>
      </c>
      <c r="G706" s="15">
        <v>44926</v>
      </c>
      <c r="H706" s="14" t="s">
        <v>438</v>
      </c>
      <c r="I706" s="15">
        <v>44926</v>
      </c>
      <c r="J706" s="16">
        <v>7500</v>
      </c>
      <c r="K706" s="16"/>
      <c r="L706" s="16"/>
      <c r="M706" s="16">
        <v>1144.0677966101696</v>
      </c>
      <c r="N706" s="28">
        <f t="shared" si="143"/>
        <v>6355.9322033898306</v>
      </c>
      <c r="O706" s="17">
        <f t="shared" si="144"/>
        <v>90</v>
      </c>
      <c r="P706" s="33">
        <v>3</v>
      </c>
      <c r="Q706" s="19">
        <f t="shared" si="145"/>
        <v>2.7534246575342465</v>
      </c>
      <c r="R706" s="32">
        <f t="shared" si="146"/>
        <v>496.28511725098673</v>
      </c>
      <c r="S706" s="22">
        <f t="shared" si="147"/>
        <v>5859.6470861388443</v>
      </c>
      <c r="T706" s="21">
        <f t="shared" si="148"/>
        <v>0</v>
      </c>
      <c r="U706" s="21">
        <f t="shared" si="149"/>
        <v>6355.9322033898306</v>
      </c>
    </row>
    <row r="707" spans="2:21" ht="14.65">
      <c r="B707" s="13">
        <f t="shared" si="150"/>
        <v>28</v>
      </c>
      <c r="C707" s="14" t="s">
        <v>780</v>
      </c>
      <c r="D707" s="90" t="s">
        <v>3459</v>
      </c>
      <c r="E707" s="633">
        <v>737</v>
      </c>
      <c r="F707" s="15">
        <v>44888</v>
      </c>
      <c r="G707" s="15">
        <v>44926</v>
      </c>
      <c r="H707" s="14" t="s">
        <v>438</v>
      </c>
      <c r="I707" s="15">
        <v>44926</v>
      </c>
      <c r="J707" s="16">
        <v>18200</v>
      </c>
      <c r="K707" s="16"/>
      <c r="L707" s="16"/>
      <c r="M707" s="16">
        <v>2776.2711864406779</v>
      </c>
      <c r="N707" s="28">
        <f t="shared" si="143"/>
        <v>15423.728813559323</v>
      </c>
      <c r="O707" s="17">
        <f t="shared" si="144"/>
        <v>90</v>
      </c>
      <c r="P707" s="33">
        <v>3</v>
      </c>
      <c r="Q707" s="19">
        <f t="shared" si="145"/>
        <v>2.7534246575342465</v>
      </c>
      <c r="R707" s="32">
        <f t="shared" si="146"/>
        <v>1204.3185511957281</v>
      </c>
      <c r="S707" s="22">
        <f t="shared" si="147"/>
        <v>14219.410262363595</v>
      </c>
      <c r="T707" s="21">
        <f t="shared" si="148"/>
        <v>0</v>
      </c>
      <c r="U707" s="21">
        <f t="shared" si="149"/>
        <v>15423.728813559323</v>
      </c>
    </row>
    <row r="708" spans="2:21" ht="14.65">
      <c r="B708" s="13">
        <f t="shared" si="150"/>
        <v>29</v>
      </c>
      <c r="C708" s="14" t="s">
        <v>436</v>
      </c>
      <c r="D708" s="90" t="s">
        <v>3459</v>
      </c>
      <c r="E708" s="633">
        <v>737</v>
      </c>
      <c r="F708" s="15">
        <v>44888</v>
      </c>
      <c r="G708" s="15">
        <v>44926</v>
      </c>
      <c r="H708" s="14" t="s">
        <v>438</v>
      </c>
      <c r="I708" s="15">
        <v>44926</v>
      </c>
      <c r="J708" s="16">
        <v>7900</v>
      </c>
      <c r="K708" s="16"/>
      <c r="L708" s="16"/>
      <c r="M708" s="16">
        <v>1205.0847457627119</v>
      </c>
      <c r="N708" s="16">
        <f t="shared" si="143"/>
        <v>6694.9152542372885</v>
      </c>
      <c r="O708" s="17">
        <f t="shared" si="144"/>
        <v>90</v>
      </c>
      <c r="P708" s="33">
        <v>3</v>
      </c>
      <c r="Q708" s="19">
        <f t="shared" si="145"/>
        <v>2.7534246575342465</v>
      </c>
      <c r="R708" s="32">
        <f t="shared" si="146"/>
        <v>522.7536568377061</v>
      </c>
      <c r="S708" s="22">
        <f t="shared" si="147"/>
        <v>6172.1615973995822</v>
      </c>
      <c r="T708" s="21">
        <f t="shared" si="148"/>
        <v>0</v>
      </c>
      <c r="U708" s="21">
        <f t="shared" si="149"/>
        <v>6694.9152542372885</v>
      </c>
    </row>
    <row r="709" spans="2:21" ht="14.65">
      <c r="B709" s="13">
        <f t="shared" si="150"/>
        <v>30</v>
      </c>
      <c r="C709" s="14" t="s">
        <v>209</v>
      </c>
      <c r="D709" s="90" t="s">
        <v>3459</v>
      </c>
      <c r="E709" s="633">
        <v>719</v>
      </c>
      <c r="F709" s="15">
        <v>44844</v>
      </c>
      <c r="G709" s="15">
        <v>44844</v>
      </c>
      <c r="H709" s="14" t="s">
        <v>438</v>
      </c>
      <c r="I709" s="15">
        <v>44844</v>
      </c>
      <c r="J709" s="16">
        <v>16300</v>
      </c>
      <c r="K709" s="16"/>
      <c r="L709" s="16"/>
      <c r="M709" s="16">
        <v>2486</v>
      </c>
      <c r="N709" s="28">
        <f t="shared" si="143"/>
        <v>13814</v>
      </c>
      <c r="O709" s="17">
        <f t="shared" si="144"/>
        <v>172</v>
      </c>
      <c r="P709" s="33">
        <v>3</v>
      </c>
      <c r="Q709" s="19">
        <f t="shared" si="145"/>
        <v>2.5287671232876714</v>
      </c>
      <c r="R709" s="32">
        <f t="shared" si="146"/>
        <v>2061.3768036529682</v>
      </c>
      <c r="S709" s="22">
        <f t="shared" si="147"/>
        <v>11752.623196347031</v>
      </c>
      <c r="T709" s="21">
        <f t="shared" si="148"/>
        <v>0</v>
      </c>
      <c r="U709" s="21">
        <f t="shared" si="149"/>
        <v>13814</v>
      </c>
    </row>
    <row r="710" spans="2:21" ht="14.65">
      <c r="B710" s="13">
        <f t="shared" si="150"/>
        <v>31</v>
      </c>
      <c r="C710" s="530" t="s">
        <v>209</v>
      </c>
      <c r="D710" s="90" t="s">
        <v>3459</v>
      </c>
      <c r="E710" s="629" t="s">
        <v>3431</v>
      </c>
      <c r="F710" s="623">
        <v>44931</v>
      </c>
      <c r="G710" s="623">
        <v>44931</v>
      </c>
      <c r="H710" s="530" t="s">
        <v>2858</v>
      </c>
      <c r="I710" s="623">
        <v>44931</v>
      </c>
      <c r="J710" s="619">
        <v>65962</v>
      </c>
      <c r="K710" s="619"/>
      <c r="L710" s="619"/>
      <c r="M710" s="619">
        <v>10062</v>
      </c>
      <c r="N710" s="619">
        <f t="shared" si="143"/>
        <v>55900</v>
      </c>
      <c r="O710" s="17">
        <f t="shared" si="144"/>
        <v>85</v>
      </c>
      <c r="P710" s="618">
        <v>3</v>
      </c>
      <c r="Q710" s="617">
        <f t="shared" si="145"/>
        <v>2.7671232876712328</v>
      </c>
      <c r="R710" s="625">
        <f t="shared" si="146"/>
        <v>4122.3059360730595</v>
      </c>
      <c r="S710" s="625">
        <f t="shared" si="147"/>
        <v>51777.694063926938</v>
      </c>
      <c r="T710" s="616">
        <f t="shared" si="148"/>
        <v>0</v>
      </c>
      <c r="U710" s="616">
        <f t="shared" si="149"/>
        <v>55900</v>
      </c>
    </row>
    <row r="711" spans="2:21" ht="14.65">
      <c r="B711" s="13">
        <f t="shared" si="150"/>
        <v>32</v>
      </c>
      <c r="C711" s="530" t="s">
        <v>209</v>
      </c>
      <c r="D711" s="90" t="s">
        <v>3459</v>
      </c>
      <c r="E711" s="629"/>
      <c r="F711" s="623">
        <v>44956</v>
      </c>
      <c r="G711" s="623">
        <v>44956</v>
      </c>
      <c r="H711" s="530" t="s">
        <v>414</v>
      </c>
      <c r="I711" s="623">
        <v>44956</v>
      </c>
      <c r="J711" s="619">
        <v>16636</v>
      </c>
      <c r="K711" s="619"/>
      <c r="L711" s="619"/>
      <c r="M711" s="619"/>
      <c r="N711" s="619">
        <f t="shared" si="143"/>
        <v>16636</v>
      </c>
      <c r="O711" s="17">
        <f t="shared" si="144"/>
        <v>60</v>
      </c>
      <c r="P711" s="618">
        <v>3</v>
      </c>
      <c r="Q711" s="617">
        <f t="shared" si="145"/>
        <v>2.8356164383561646</v>
      </c>
      <c r="R711" s="625">
        <f t="shared" si="146"/>
        <v>865.98356164383563</v>
      </c>
      <c r="S711" s="625">
        <f t="shared" si="147"/>
        <v>15770.016438356164</v>
      </c>
      <c r="T711" s="616">
        <f t="shared" si="148"/>
        <v>0</v>
      </c>
      <c r="U711" s="616">
        <f t="shared" si="149"/>
        <v>16636</v>
      </c>
    </row>
    <row r="712" spans="2:21" ht="14.65">
      <c r="B712" s="13">
        <f t="shared" si="150"/>
        <v>33</v>
      </c>
      <c r="C712" s="14" t="s">
        <v>208</v>
      </c>
      <c r="D712" s="665" t="s">
        <v>3461</v>
      </c>
      <c r="E712" s="633" t="s">
        <v>212</v>
      </c>
      <c r="F712" s="23">
        <v>44741</v>
      </c>
      <c r="G712" s="23">
        <v>44741</v>
      </c>
      <c r="H712" s="14" t="s">
        <v>216</v>
      </c>
      <c r="I712" s="15">
        <v>44741</v>
      </c>
      <c r="J712" s="16">
        <v>134999.9768</v>
      </c>
      <c r="K712" s="16"/>
      <c r="L712" s="16"/>
      <c r="M712" s="16">
        <v>20593.216799999998</v>
      </c>
      <c r="N712" s="16">
        <f t="shared" ref="N712:N735" si="151">J712+K712-L712-M712</f>
        <v>114406.76000000001</v>
      </c>
      <c r="O712" s="17">
        <f t="shared" ref="O712:O734" si="152">$O$1-I712</f>
        <v>275</v>
      </c>
      <c r="P712" s="33">
        <v>3</v>
      </c>
      <c r="Q712" s="19">
        <f t="shared" ref="Q712:Q735" si="153">P712-(O712/365)</f>
        <v>2.2465753424657535</v>
      </c>
      <c r="R712" s="32">
        <f t="shared" ref="R712:R735" si="154">N712*95%/P712*O712/365</f>
        <v>27295.67675799087</v>
      </c>
      <c r="S712" s="22">
        <f t="shared" ref="S712:S735" si="155">N712-R712</f>
        <v>87111.083242009132</v>
      </c>
      <c r="T712" s="21">
        <f t="shared" ref="T712:T734" si="156">IF(I712&lt;=DATE(2022,9,30),N712,0)</f>
        <v>114406.76000000001</v>
      </c>
      <c r="U712" s="21">
        <f t="shared" ref="U712:U735" si="157">IF(I712&gt;DATE(2022,9,30),N712,0)</f>
        <v>0</v>
      </c>
    </row>
    <row r="713" spans="2:21" ht="14.65">
      <c r="B713" s="13">
        <f t="shared" si="150"/>
        <v>34</v>
      </c>
      <c r="C713" s="14" t="s">
        <v>209</v>
      </c>
      <c r="D713" s="665" t="s">
        <v>3461</v>
      </c>
      <c r="E713" s="633" t="s">
        <v>213</v>
      </c>
      <c r="F713" s="23">
        <v>44704</v>
      </c>
      <c r="G713" s="23">
        <v>44712</v>
      </c>
      <c r="H713" s="14" t="s">
        <v>217</v>
      </c>
      <c r="I713" s="15">
        <v>44712</v>
      </c>
      <c r="J713" s="16">
        <v>19490.060000000001</v>
      </c>
      <c r="K713" s="16"/>
      <c r="L713" s="16"/>
      <c r="M713" s="16">
        <v>2973.06</v>
      </c>
      <c r="N713" s="16">
        <f t="shared" si="151"/>
        <v>16517</v>
      </c>
      <c r="O713" s="17">
        <f t="shared" si="152"/>
        <v>304</v>
      </c>
      <c r="P713" s="33">
        <v>3</v>
      </c>
      <c r="Q713" s="19">
        <f t="shared" si="153"/>
        <v>2.1671232876712327</v>
      </c>
      <c r="R713" s="32">
        <f t="shared" si="154"/>
        <v>4356.2644748858447</v>
      </c>
      <c r="S713" s="22">
        <f t="shared" si="155"/>
        <v>12160.735525114156</v>
      </c>
      <c r="T713" s="21">
        <f t="shared" si="156"/>
        <v>16517</v>
      </c>
      <c r="U713" s="21">
        <f t="shared" si="157"/>
        <v>0</v>
      </c>
    </row>
    <row r="714" spans="2:21" ht="14.65">
      <c r="B714" s="13">
        <f t="shared" si="150"/>
        <v>35</v>
      </c>
      <c r="C714" s="14" t="s">
        <v>209</v>
      </c>
      <c r="D714" s="665" t="s">
        <v>3461</v>
      </c>
      <c r="E714" s="633">
        <v>1047</v>
      </c>
      <c r="F714" s="23">
        <v>44823</v>
      </c>
      <c r="G714" s="23">
        <v>44823</v>
      </c>
      <c r="H714" s="14" t="s">
        <v>439</v>
      </c>
      <c r="I714" s="15">
        <v>44823</v>
      </c>
      <c r="J714" s="16">
        <v>159300</v>
      </c>
      <c r="K714" s="16"/>
      <c r="L714" s="16"/>
      <c r="M714" s="16">
        <v>24300</v>
      </c>
      <c r="N714" s="16">
        <f t="shared" si="151"/>
        <v>135000</v>
      </c>
      <c r="O714" s="17">
        <f t="shared" si="152"/>
        <v>193</v>
      </c>
      <c r="P714" s="33">
        <v>3</v>
      </c>
      <c r="Q714" s="19">
        <f t="shared" si="153"/>
        <v>2.4712328767123286</v>
      </c>
      <c r="R714" s="32">
        <f t="shared" si="154"/>
        <v>22604.794520547945</v>
      </c>
      <c r="S714" s="22">
        <f t="shared" si="155"/>
        <v>112395.20547945205</v>
      </c>
      <c r="T714" s="21">
        <f t="shared" si="156"/>
        <v>135000</v>
      </c>
      <c r="U714" s="21">
        <f t="shared" si="157"/>
        <v>0</v>
      </c>
    </row>
    <row r="715" spans="2:21" ht="14.65">
      <c r="B715" s="13">
        <f t="shared" si="150"/>
        <v>36</v>
      </c>
      <c r="C715" s="14" t="s">
        <v>209</v>
      </c>
      <c r="D715" s="665" t="s">
        <v>3461</v>
      </c>
      <c r="E715" s="633">
        <v>1044</v>
      </c>
      <c r="F715" s="15">
        <v>44821</v>
      </c>
      <c r="G715" s="15">
        <v>44915</v>
      </c>
      <c r="H715" s="14" t="s">
        <v>439</v>
      </c>
      <c r="I715" s="15">
        <v>44915</v>
      </c>
      <c r="J715" s="16">
        <v>175820</v>
      </c>
      <c r="K715" s="16"/>
      <c r="L715" s="16"/>
      <c r="M715" s="16">
        <v>26820</v>
      </c>
      <c r="N715" s="16">
        <f t="shared" si="151"/>
        <v>149000</v>
      </c>
      <c r="O715" s="17">
        <f t="shared" si="152"/>
        <v>101</v>
      </c>
      <c r="P715" s="33">
        <v>3</v>
      </c>
      <c r="Q715" s="19">
        <f t="shared" si="153"/>
        <v>2.7232876712328768</v>
      </c>
      <c r="R715" s="32">
        <f t="shared" si="154"/>
        <v>13056.210045662101</v>
      </c>
      <c r="S715" s="22">
        <f t="shared" si="155"/>
        <v>135943.7899543379</v>
      </c>
      <c r="T715" s="21">
        <f t="shared" si="156"/>
        <v>0</v>
      </c>
      <c r="U715" s="21">
        <f t="shared" si="157"/>
        <v>149000</v>
      </c>
    </row>
    <row r="716" spans="2:21" ht="14.65">
      <c r="B716" s="13">
        <f t="shared" si="150"/>
        <v>37</v>
      </c>
      <c r="C716" s="14" t="s">
        <v>209</v>
      </c>
      <c r="D716" s="91" t="s">
        <v>18</v>
      </c>
      <c r="E716" s="633" t="s">
        <v>214</v>
      </c>
      <c r="F716" s="23">
        <v>44710</v>
      </c>
      <c r="G716" s="23">
        <v>44710</v>
      </c>
      <c r="H716" s="14" t="s">
        <v>218</v>
      </c>
      <c r="I716" s="15">
        <v>44710</v>
      </c>
      <c r="J716" s="16">
        <v>11999.9982</v>
      </c>
      <c r="K716" s="16"/>
      <c r="L716" s="16"/>
      <c r="M716" s="16">
        <v>1830.5082</v>
      </c>
      <c r="N716" s="16">
        <f t="shared" si="151"/>
        <v>10169.49</v>
      </c>
      <c r="O716" s="17">
        <f t="shared" si="152"/>
        <v>306</v>
      </c>
      <c r="P716" s="33">
        <v>3</v>
      </c>
      <c r="Q716" s="19">
        <f t="shared" si="153"/>
        <v>2.1616438356164385</v>
      </c>
      <c r="R716" s="32">
        <f t="shared" si="154"/>
        <v>2699.7906328767122</v>
      </c>
      <c r="S716" s="22">
        <f t="shared" si="155"/>
        <v>7469.6993671232876</v>
      </c>
      <c r="T716" s="21">
        <f t="shared" si="156"/>
        <v>10169.49</v>
      </c>
      <c r="U716" s="21">
        <f t="shared" si="157"/>
        <v>0</v>
      </c>
    </row>
    <row r="717" spans="2:21" ht="14.65">
      <c r="B717" s="13">
        <f t="shared" si="150"/>
        <v>38</v>
      </c>
      <c r="C717" s="14" t="s">
        <v>210</v>
      </c>
      <c r="D717" s="14" t="s">
        <v>29</v>
      </c>
      <c r="E717" s="633">
        <v>459</v>
      </c>
      <c r="F717" s="23">
        <v>44722</v>
      </c>
      <c r="G717" s="23">
        <v>44722</v>
      </c>
      <c r="H717" s="14" t="s">
        <v>205</v>
      </c>
      <c r="I717" s="15">
        <v>44722</v>
      </c>
      <c r="J717" s="16">
        <v>17169</v>
      </c>
      <c r="K717" s="16"/>
      <c r="L717" s="16"/>
      <c r="M717" s="16">
        <v>2619</v>
      </c>
      <c r="N717" s="16">
        <f t="shared" si="151"/>
        <v>14550</v>
      </c>
      <c r="O717" s="17">
        <f t="shared" si="152"/>
        <v>294</v>
      </c>
      <c r="P717" s="33">
        <v>3</v>
      </c>
      <c r="Q717" s="19">
        <f t="shared" si="153"/>
        <v>2.1945205479452055</v>
      </c>
      <c r="R717" s="32">
        <f t="shared" si="154"/>
        <v>3711.2465753424658</v>
      </c>
      <c r="S717" s="22">
        <f t="shared" si="155"/>
        <v>10838.753424657534</v>
      </c>
      <c r="T717" s="21">
        <f t="shared" si="156"/>
        <v>14550</v>
      </c>
      <c r="U717" s="21">
        <f t="shared" si="157"/>
        <v>0</v>
      </c>
    </row>
    <row r="718" spans="2:21" ht="14.65">
      <c r="B718" s="13">
        <f t="shared" si="150"/>
        <v>39</v>
      </c>
      <c r="C718" s="14" t="s">
        <v>210</v>
      </c>
      <c r="D718" s="14" t="s">
        <v>29</v>
      </c>
      <c r="E718" s="633">
        <v>481</v>
      </c>
      <c r="F718" s="23">
        <v>44726</v>
      </c>
      <c r="G718" s="23">
        <v>44726</v>
      </c>
      <c r="H718" s="14" t="s">
        <v>205</v>
      </c>
      <c r="I718" s="15">
        <v>44726</v>
      </c>
      <c r="J718" s="16">
        <v>12445.46</v>
      </c>
      <c r="K718" s="16"/>
      <c r="L718" s="16"/>
      <c r="M718" s="16">
        <v>1898.46</v>
      </c>
      <c r="N718" s="16">
        <f t="shared" si="151"/>
        <v>10547</v>
      </c>
      <c r="O718" s="17">
        <f t="shared" si="152"/>
        <v>290</v>
      </c>
      <c r="P718" s="33">
        <v>3</v>
      </c>
      <c r="Q718" s="19">
        <f t="shared" si="153"/>
        <v>2.2054794520547945</v>
      </c>
      <c r="R718" s="32">
        <f t="shared" si="154"/>
        <v>2653.6059360730592</v>
      </c>
      <c r="S718" s="22">
        <f t="shared" si="155"/>
        <v>7893.3940639269404</v>
      </c>
      <c r="T718" s="21">
        <f t="shared" si="156"/>
        <v>10547</v>
      </c>
      <c r="U718" s="21">
        <f t="shared" si="157"/>
        <v>0</v>
      </c>
    </row>
    <row r="719" spans="2:21" ht="14.65">
      <c r="B719" s="13">
        <f t="shared" si="150"/>
        <v>40</v>
      </c>
      <c r="C719" s="14" t="s">
        <v>209</v>
      </c>
      <c r="D719" s="14" t="s">
        <v>29</v>
      </c>
      <c r="E719" s="633" t="s">
        <v>440</v>
      </c>
      <c r="F719" s="15">
        <v>44791</v>
      </c>
      <c r="G719" s="15">
        <v>44800</v>
      </c>
      <c r="H719" s="14" t="s">
        <v>441</v>
      </c>
      <c r="I719" s="15">
        <v>44800</v>
      </c>
      <c r="J719" s="16">
        <v>21000</v>
      </c>
      <c r="K719" s="16"/>
      <c r="L719" s="16"/>
      <c r="M719" s="16">
        <v>3203.4</v>
      </c>
      <c r="N719" s="16">
        <f t="shared" si="151"/>
        <v>17796.599999999999</v>
      </c>
      <c r="O719" s="17">
        <f t="shared" si="152"/>
        <v>216</v>
      </c>
      <c r="P719" s="33">
        <v>3</v>
      </c>
      <c r="Q719" s="19">
        <f t="shared" si="153"/>
        <v>2.4082191780821915</v>
      </c>
      <c r="R719" s="32">
        <f t="shared" si="154"/>
        <v>3335.0340821917807</v>
      </c>
      <c r="S719" s="22">
        <f t="shared" si="155"/>
        <v>14461.565917808217</v>
      </c>
      <c r="T719" s="21">
        <f t="shared" si="156"/>
        <v>17796.599999999999</v>
      </c>
      <c r="U719" s="21">
        <f t="shared" si="157"/>
        <v>0</v>
      </c>
    </row>
    <row r="720" spans="2:21" ht="14.65">
      <c r="B720" s="13">
        <f t="shared" si="150"/>
        <v>41</v>
      </c>
      <c r="C720" s="14" t="s">
        <v>781</v>
      </c>
      <c r="D720" s="14" t="s">
        <v>29</v>
      </c>
      <c r="E720" s="633"/>
      <c r="F720" s="15">
        <v>44853</v>
      </c>
      <c r="G720" s="15">
        <v>44853</v>
      </c>
      <c r="H720" s="14" t="s">
        <v>414</v>
      </c>
      <c r="I720" s="15">
        <v>44853</v>
      </c>
      <c r="J720" s="16">
        <v>7450</v>
      </c>
      <c r="K720" s="16"/>
      <c r="L720" s="16"/>
      <c r="M720" s="16"/>
      <c r="N720" s="16">
        <f t="shared" si="151"/>
        <v>7450</v>
      </c>
      <c r="O720" s="17">
        <f t="shared" si="152"/>
        <v>163</v>
      </c>
      <c r="P720" s="33">
        <v>3</v>
      </c>
      <c r="Q720" s="19">
        <f t="shared" si="153"/>
        <v>2.5534246575342467</v>
      </c>
      <c r="R720" s="32">
        <f t="shared" si="154"/>
        <v>1053.5456621004564</v>
      </c>
      <c r="S720" s="22">
        <f t="shared" si="155"/>
        <v>6396.454337899544</v>
      </c>
      <c r="T720" s="21">
        <f t="shared" si="156"/>
        <v>0</v>
      </c>
      <c r="U720" s="21">
        <f t="shared" si="157"/>
        <v>7450</v>
      </c>
    </row>
    <row r="721" spans="2:22" ht="14.65">
      <c r="B721" s="13">
        <f t="shared" si="150"/>
        <v>42</v>
      </c>
      <c r="C721" s="14" t="s">
        <v>781</v>
      </c>
      <c r="D721" s="14" t="s">
        <v>29</v>
      </c>
      <c r="E721" s="633"/>
      <c r="F721" s="15">
        <v>44871</v>
      </c>
      <c r="G721" s="15">
        <v>44871</v>
      </c>
      <c r="H721" s="14" t="s">
        <v>414</v>
      </c>
      <c r="I721" s="15">
        <v>44871</v>
      </c>
      <c r="J721" s="16">
        <v>10000</v>
      </c>
      <c r="K721" s="16"/>
      <c r="L721" s="16"/>
      <c r="M721" s="16"/>
      <c r="N721" s="16">
        <f t="shared" si="151"/>
        <v>10000</v>
      </c>
      <c r="O721" s="17">
        <f t="shared" si="152"/>
        <v>145</v>
      </c>
      <c r="P721" s="33">
        <v>3</v>
      </c>
      <c r="Q721" s="19">
        <f t="shared" si="153"/>
        <v>2.6027397260273974</v>
      </c>
      <c r="R721" s="32">
        <f t="shared" si="154"/>
        <v>1257.9908675799086</v>
      </c>
      <c r="S721" s="22">
        <f t="shared" si="155"/>
        <v>8742.0091324200912</v>
      </c>
      <c r="T721" s="21">
        <f t="shared" si="156"/>
        <v>0</v>
      </c>
      <c r="U721" s="21">
        <f t="shared" si="157"/>
        <v>10000</v>
      </c>
    </row>
    <row r="722" spans="2:22" ht="14.65">
      <c r="B722" s="13">
        <f t="shared" si="150"/>
        <v>43</v>
      </c>
      <c r="C722" s="14" t="s">
        <v>781</v>
      </c>
      <c r="D722" s="14" t="s">
        <v>29</v>
      </c>
      <c r="E722" s="633"/>
      <c r="F722" s="15">
        <v>44871</v>
      </c>
      <c r="G722" s="15">
        <v>44871</v>
      </c>
      <c r="H722" s="14" t="s">
        <v>414</v>
      </c>
      <c r="I722" s="15">
        <v>44871</v>
      </c>
      <c r="J722" s="16">
        <v>1990</v>
      </c>
      <c r="K722" s="16"/>
      <c r="L722" s="16"/>
      <c r="M722" s="16"/>
      <c r="N722" s="16">
        <f t="shared" si="151"/>
        <v>1990</v>
      </c>
      <c r="O722" s="17">
        <f t="shared" si="152"/>
        <v>145</v>
      </c>
      <c r="P722" s="33">
        <v>3</v>
      </c>
      <c r="Q722" s="19">
        <f t="shared" si="153"/>
        <v>2.6027397260273974</v>
      </c>
      <c r="R722" s="32">
        <f t="shared" si="154"/>
        <v>250.34018264840179</v>
      </c>
      <c r="S722" s="22">
        <f t="shared" si="155"/>
        <v>1739.6598173515981</v>
      </c>
      <c r="T722" s="21">
        <f t="shared" si="156"/>
        <v>0</v>
      </c>
      <c r="U722" s="21">
        <f t="shared" si="157"/>
        <v>1990</v>
      </c>
    </row>
    <row r="723" spans="2:22" ht="14.65">
      <c r="B723" s="13">
        <f t="shared" si="150"/>
        <v>44</v>
      </c>
      <c r="C723" s="14" t="s">
        <v>781</v>
      </c>
      <c r="D723" s="14" t="s">
        <v>29</v>
      </c>
      <c r="E723" s="633"/>
      <c r="F723" s="15">
        <v>44873</v>
      </c>
      <c r="G723" s="15">
        <v>44873</v>
      </c>
      <c r="H723" s="14" t="s">
        <v>414</v>
      </c>
      <c r="I723" s="15">
        <v>44873</v>
      </c>
      <c r="J723" s="16">
        <v>10000</v>
      </c>
      <c r="K723" s="16"/>
      <c r="L723" s="16"/>
      <c r="M723" s="16"/>
      <c r="N723" s="16">
        <f t="shared" si="151"/>
        <v>10000</v>
      </c>
      <c r="O723" s="17">
        <f t="shared" si="152"/>
        <v>143</v>
      </c>
      <c r="P723" s="33">
        <v>3</v>
      </c>
      <c r="Q723" s="19">
        <f t="shared" si="153"/>
        <v>2.6082191780821917</v>
      </c>
      <c r="R723" s="32">
        <f t="shared" si="154"/>
        <v>1240.6392694063927</v>
      </c>
      <c r="S723" s="22">
        <f t="shared" si="155"/>
        <v>8759.3607305936075</v>
      </c>
      <c r="T723" s="21">
        <f t="shared" si="156"/>
        <v>0</v>
      </c>
      <c r="U723" s="21">
        <f t="shared" si="157"/>
        <v>10000</v>
      </c>
    </row>
    <row r="724" spans="2:22" ht="14.65">
      <c r="B724" s="13">
        <f t="shared" si="150"/>
        <v>45</v>
      </c>
      <c r="C724" s="14" t="s">
        <v>781</v>
      </c>
      <c r="D724" s="14" t="s">
        <v>29</v>
      </c>
      <c r="E724" s="633"/>
      <c r="F724" s="15">
        <v>44873</v>
      </c>
      <c r="G724" s="15">
        <v>44873</v>
      </c>
      <c r="H724" s="14" t="s">
        <v>414</v>
      </c>
      <c r="I724" s="15">
        <v>44873</v>
      </c>
      <c r="J724" s="16">
        <v>1990</v>
      </c>
      <c r="K724" s="16"/>
      <c r="L724" s="16"/>
      <c r="M724" s="16"/>
      <c r="N724" s="16">
        <f t="shared" si="151"/>
        <v>1990</v>
      </c>
      <c r="O724" s="17">
        <f t="shared" si="152"/>
        <v>143</v>
      </c>
      <c r="P724" s="33">
        <v>3</v>
      </c>
      <c r="Q724" s="19">
        <f t="shared" si="153"/>
        <v>2.6082191780821917</v>
      </c>
      <c r="R724" s="32">
        <f t="shared" si="154"/>
        <v>246.88721461187214</v>
      </c>
      <c r="S724" s="22">
        <f t="shared" si="155"/>
        <v>1743.1127853881278</v>
      </c>
      <c r="T724" s="21">
        <f t="shared" si="156"/>
        <v>0</v>
      </c>
      <c r="U724" s="21">
        <f t="shared" si="157"/>
        <v>1990</v>
      </c>
    </row>
    <row r="725" spans="2:22" ht="14.65">
      <c r="B725" s="13">
        <f t="shared" si="150"/>
        <v>46</v>
      </c>
      <c r="C725" s="14" t="s">
        <v>436</v>
      </c>
      <c r="D725" s="14" t="s">
        <v>29</v>
      </c>
      <c r="E725" s="633" t="s">
        <v>794</v>
      </c>
      <c r="F725" s="15">
        <v>44876</v>
      </c>
      <c r="G725" s="15">
        <v>44876</v>
      </c>
      <c r="H725" s="14" t="s">
        <v>441</v>
      </c>
      <c r="I725" s="15">
        <v>44876</v>
      </c>
      <c r="J725" s="16">
        <v>4750</v>
      </c>
      <c r="K725" s="16"/>
      <c r="L725" s="16"/>
      <c r="M725" s="16">
        <v>724</v>
      </c>
      <c r="N725" s="16">
        <f t="shared" si="151"/>
        <v>4026</v>
      </c>
      <c r="O725" s="17">
        <f t="shared" si="152"/>
        <v>140</v>
      </c>
      <c r="P725" s="33">
        <v>3</v>
      </c>
      <c r="Q725" s="19">
        <f t="shared" si="153"/>
        <v>2.6164383561643838</v>
      </c>
      <c r="R725" s="32">
        <f t="shared" si="154"/>
        <v>489.0027397260273</v>
      </c>
      <c r="S725" s="22">
        <f t="shared" si="155"/>
        <v>3536.9972602739726</v>
      </c>
      <c r="T725" s="21">
        <f t="shared" si="156"/>
        <v>0</v>
      </c>
      <c r="U725" s="21">
        <f t="shared" si="157"/>
        <v>4026</v>
      </c>
    </row>
    <row r="726" spans="2:22" ht="14.65">
      <c r="B726" s="13">
        <f t="shared" si="150"/>
        <v>47</v>
      </c>
      <c r="C726" s="14" t="s">
        <v>782</v>
      </c>
      <c r="D726" s="14" t="s">
        <v>29</v>
      </c>
      <c r="E726" s="633" t="s">
        <v>795</v>
      </c>
      <c r="F726" s="15">
        <v>44876</v>
      </c>
      <c r="G726" s="15">
        <v>44876</v>
      </c>
      <c r="H726" s="14" t="s">
        <v>441</v>
      </c>
      <c r="I726" s="15">
        <v>44876</v>
      </c>
      <c r="J726" s="16">
        <v>1950.54</v>
      </c>
      <c r="K726" s="16"/>
      <c r="L726" s="16"/>
      <c r="M726" s="16">
        <v>297.54000000000002</v>
      </c>
      <c r="N726" s="16">
        <f t="shared" si="151"/>
        <v>1653</v>
      </c>
      <c r="O726" s="17">
        <f t="shared" si="152"/>
        <v>140</v>
      </c>
      <c r="P726" s="33">
        <v>3</v>
      </c>
      <c r="Q726" s="19">
        <f t="shared" si="153"/>
        <v>2.6164383561643838</v>
      </c>
      <c r="R726" s="32">
        <f t="shared" si="154"/>
        <v>200.7753424657534</v>
      </c>
      <c r="S726" s="22">
        <f t="shared" si="155"/>
        <v>1452.2246575342465</v>
      </c>
      <c r="T726" s="21">
        <f t="shared" si="156"/>
        <v>0</v>
      </c>
      <c r="U726" s="21">
        <f t="shared" si="157"/>
        <v>1653</v>
      </c>
      <c r="V726" s="624"/>
    </row>
    <row r="727" spans="2:22" ht="14.65">
      <c r="B727" s="13">
        <f t="shared" si="150"/>
        <v>48</v>
      </c>
      <c r="C727" s="14" t="s">
        <v>209</v>
      </c>
      <c r="D727" s="14" t="s">
        <v>29</v>
      </c>
      <c r="E727" s="633" t="s">
        <v>795</v>
      </c>
      <c r="F727" s="15">
        <v>44876</v>
      </c>
      <c r="G727" s="15">
        <v>44876</v>
      </c>
      <c r="H727" s="14" t="s">
        <v>441</v>
      </c>
      <c r="I727" s="15">
        <v>44876</v>
      </c>
      <c r="J727" s="16">
        <v>41999.74</v>
      </c>
      <c r="K727" s="16"/>
      <c r="L727" s="16"/>
      <c r="M727" s="16">
        <v>6406.74</v>
      </c>
      <c r="N727" s="16">
        <f t="shared" si="151"/>
        <v>35593</v>
      </c>
      <c r="O727" s="17">
        <f t="shared" si="152"/>
        <v>140</v>
      </c>
      <c r="P727" s="33">
        <v>3</v>
      </c>
      <c r="Q727" s="19">
        <f t="shared" si="153"/>
        <v>2.6164383561643838</v>
      </c>
      <c r="R727" s="32">
        <f t="shared" si="154"/>
        <v>4323.1680365296797</v>
      </c>
      <c r="S727" s="22">
        <f t="shared" si="155"/>
        <v>31269.831963470322</v>
      </c>
      <c r="T727" s="21">
        <f t="shared" si="156"/>
        <v>0</v>
      </c>
      <c r="U727" s="21">
        <f t="shared" si="157"/>
        <v>35593</v>
      </c>
      <c r="V727" s="624"/>
    </row>
    <row r="728" spans="2:22" ht="14.65">
      <c r="B728" s="13">
        <f t="shared" si="150"/>
        <v>49</v>
      </c>
      <c r="C728" s="14" t="s">
        <v>209</v>
      </c>
      <c r="D728" s="14" t="s">
        <v>29</v>
      </c>
      <c r="E728" s="633">
        <v>1330</v>
      </c>
      <c r="F728" s="15">
        <v>44898</v>
      </c>
      <c r="G728" s="15">
        <v>44898</v>
      </c>
      <c r="H728" s="14" t="s">
        <v>439</v>
      </c>
      <c r="I728" s="15">
        <v>44898</v>
      </c>
      <c r="J728" s="16">
        <v>159300</v>
      </c>
      <c r="K728" s="16"/>
      <c r="L728" s="16"/>
      <c r="M728" s="16">
        <v>24300</v>
      </c>
      <c r="N728" s="16">
        <f t="shared" si="151"/>
        <v>135000</v>
      </c>
      <c r="O728" s="17">
        <f t="shared" si="152"/>
        <v>118</v>
      </c>
      <c r="P728" s="33">
        <v>3</v>
      </c>
      <c r="Q728" s="19">
        <f t="shared" si="153"/>
        <v>2.6767123287671231</v>
      </c>
      <c r="R728" s="32">
        <f t="shared" si="154"/>
        <v>13820.547945205479</v>
      </c>
      <c r="S728" s="22">
        <f t="shared" si="155"/>
        <v>121179.45205479453</v>
      </c>
      <c r="T728" s="21">
        <f t="shared" si="156"/>
        <v>0</v>
      </c>
      <c r="U728" s="21">
        <f t="shared" si="157"/>
        <v>135000</v>
      </c>
      <c r="V728" s="624"/>
    </row>
    <row r="729" spans="2:22" ht="14.65">
      <c r="B729" s="13">
        <f t="shared" si="150"/>
        <v>50</v>
      </c>
      <c r="C729" s="530" t="s">
        <v>209</v>
      </c>
      <c r="D729" s="530" t="s">
        <v>29</v>
      </c>
      <c r="E729" s="629">
        <v>1516</v>
      </c>
      <c r="F729" s="620">
        <v>44945</v>
      </c>
      <c r="G729" s="620">
        <v>44949</v>
      </c>
      <c r="H729" s="530" t="s">
        <v>439</v>
      </c>
      <c r="I729" s="623">
        <v>44949</v>
      </c>
      <c r="J729" s="619">
        <v>175820</v>
      </c>
      <c r="K729" s="619"/>
      <c r="L729" s="619"/>
      <c r="M729" s="619">
        <v>26820</v>
      </c>
      <c r="N729" s="619">
        <f t="shared" si="151"/>
        <v>149000</v>
      </c>
      <c r="O729" s="17">
        <f t="shared" si="152"/>
        <v>67</v>
      </c>
      <c r="P729" s="618">
        <v>3</v>
      </c>
      <c r="Q729" s="617">
        <f t="shared" si="153"/>
        <v>2.8164383561643835</v>
      </c>
      <c r="R729" s="625">
        <f t="shared" si="154"/>
        <v>8661.0502283105034</v>
      </c>
      <c r="S729" s="625">
        <f t="shared" si="155"/>
        <v>140338.94977168948</v>
      </c>
      <c r="T729" s="616">
        <f t="shared" si="156"/>
        <v>0</v>
      </c>
      <c r="U729" s="616">
        <f t="shared" si="157"/>
        <v>149000</v>
      </c>
      <c r="V729" s="624"/>
    </row>
    <row r="730" spans="2:22" ht="14.65">
      <c r="B730" s="13">
        <f t="shared" si="150"/>
        <v>51</v>
      </c>
      <c r="C730" s="14" t="s">
        <v>209</v>
      </c>
      <c r="D730" s="14" t="s">
        <v>29</v>
      </c>
      <c r="E730" s="633" t="s">
        <v>795</v>
      </c>
      <c r="F730" s="15">
        <v>44980</v>
      </c>
      <c r="G730" s="15">
        <v>44980</v>
      </c>
      <c r="H730" s="14" t="s">
        <v>441</v>
      </c>
      <c r="I730" s="15">
        <v>44980</v>
      </c>
      <c r="J730" s="16">
        <v>41999.74</v>
      </c>
      <c r="K730" s="16"/>
      <c r="L730" s="16"/>
      <c r="M730" s="16">
        <v>6406.74</v>
      </c>
      <c r="N730" s="16">
        <f t="shared" si="151"/>
        <v>35593</v>
      </c>
      <c r="O730" s="17">
        <f t="shared" si="152"/>
        <v>36</v>
      </c>
      <c r="P730" s="33">
        <v>3</v>
      </c>
      <c r="Q730" s="19">
        <f t="shared" si="153"/>
        <v>2.9013698630136986</v>
      </c>
      <c r="R730" s="32">
        <f t="shared" si="154"/>
        <v>1111.6717808219178</v>
      </c>
      <c r="S730" s="22">
        <f t="shared" si="155"/>
        <v>34481.328219178082</v>
      </c>
      <c r="T730" s="21">
        <f t="shared" si="156"/>
        <v>0</v>
      </c>
      <c r="U730" s="21">
        <f t="shared" si="157"/>
        <v>35593</v>
      </c>
      <c r="V730" s="624"/>
    </row>
    <row r="731" spans="2:22" ht="14.65">
      <c r="B731" s="13">
        <f t="shared" si="150"/>
        <v>52</v>
      </c>
      <c r="C731" s="14" t="s">
        <v>209</v>
      </c>
      <c r="D731" s="14" t="s">
        <v>19</v>
      </c>
      <c r="E731" s="633">
        <v>1172</v>
      </c>
      <c r="F731" s="15">
        <v>44849</v>
      </c>
      <c r="G731" s="15">
        <v>44849</v>
      </c>
      <c r="H731" s="14" t="s">
        <v>439</v>
      </c>
      <c r="I731" s="15">
        <v>44849</v>
      </c>
      <c r="J731" s="16">
        <v>159300</v>
      </c>
      <c r="K731" s="16"/>
      <c r="L731" s="16"/>
      <c r="M731" s="16">
        <v>24300</v>
      </c>
      <c r="N731" s="16">
        <f t="shared" si="151"/>
        <v>135000</v>
      </c>
      <c r="O731" s="17">
        <f t="shared" si="152"/>
        <v>167</v>
      </c>
      <c r="P731" s="33">
        <v>3</v>
      </c>
      <c r="Q731" s="19">
        <f t="shared" si="153"/>
        <v>2.5424657534246577</v>
      </c>
      <c r="R731" s="32">
        <f t="shared" si="154"/>
        <v>19559.589041095889</v>
      </c>
      <c r="S731" s="22">
        <f t="shared" si="155"/>
        <v>115440.4109589041</v>
      </c>
      <c r="T731" s="21">
        <f t="shared" si="156"/>
        <v>0</v>
      </c>
      <c r="U731" s="21">
        <f t="shared" si="157"/>
        <v>135000</v>
      </c>
      <c r="V731" s="624"/>
    </row>
    <row r="732" spans="2:22" ht="14.65">
      <c r="B732" s="13">
        <f t="shared" si="150"/>
        <v>53</v>
      </c>
      <c r="C732" s="14" t="s">
        <v>3635</v>
      </c>
      <c r="D732" s="101" t="s">
        <v>19</v>
      </c>
      <c r="E732" s="633">
        <v>3495</v>
      </c>
      <c r="F732" s="15">
        <v>44937</v>
      </c>
      <c r="G732" s="15">
        <v>44973</v>
      </c>
      <c r="H732" s="14" t="s">
        <v>3634</v>
      </c>
      <c r="I732" s="15">
        <v>44980</v>
      </c>
      <c r="J732" s="16">
        <v>72437</v>
      </c>
      <c r="K732" s="16"/>
      <c r="L732" s="16"/>
      <c r="M732" s="16">
        <v>11050</v>
      </c>
      <c r="N732" s="16">
        <f t="shared" si="151"/>
        <v>61387</v>
      </c>
      <c r="O732" s="17">
        <f t="shared" si="152"/>
        <v>36</v>
      </c>
      <c r="P732" s="33">
        <v>3</v>
      </c>
      <c r="Q732" s="19">
        <f t="shared" si="153"/>
        <v>2.9013698630136986</v>
      </c>
      <c r="R732" s="32">
        <f t="shared" si="154"/>
        <v>1917.2926027397259</v>
      </c>
      <c r="S732" s="22">
        <f t="shared" si="155"/>
        <v>59469.707397260274</v>
      </c>
      <c r="T732" s="21">
        <f t="shared" si="156"/>
        <v>0</v>
      </c>
      <c r="U732" s="21">
        <f t="shared" si="157"/>
        <v>61387</v>
      </c>
      <c r="V732" s="624"/>
    </row>
    <row r="733" spans="2:22" ht="14.65">
      <c r="B733" s="13">
        <f t="shared" si="150"/>
        <v>54</v>
      </c>
      <c r="C733" s="14" t="s">
        <v>783</v>
      </c>
      <c r="D733" s="14" t="s">
        <v>21</v>
      </c>
      <c r="E733" s="633" t="s">
        <v>796</v>
      </c>
      <c r="F733" s="15">
        <v>44891</v>
      </c>
      <c r="G733" s="15">
        <v>44891</v>
      </c>
      <c r="H733" s="14" t="s">
        <v>799</v>
      </c>
      <c r="I733" s="15">
        <v>44891</v>
      </c>
      <c r="J733" s="16">
        <v>75400</v>
      </c>
      <c r="K733" s="16"/>
      <c r="L733" s="16"/>
      <c r="M733" s="16">
        <v>11502</v>
      </c>
      <c r="N733" s="16">
        <f t="shared" si="151"/>
        <v>63898</v>
      </c>
      <c r="O733" s="17">
        <f t="shared" si="152"/>
        <v>125</v>
      </c>
      <c r="P733" s="33">
        <v>3</v>
      </c>
      <c r="Q733" s="19">
        <f t="shared" si="153"/>
        <v>2.6575342465753424</v>
      </c>
      <c r="R733" s="32">
        <f t="shared" si="154"/>
        <v>6929.5776255707751</v>
      </c>
      <c r="S733" s="22">
        <f t="shared" si="155"/>
        <v>56968.422374429225</v>
      </c>
      <c r="T733" s="21">
        <f t="shared" si="156"/>
        <v>0</v>
      </c>
      <c r="U733" s="21">
        <f t="shared" si="157"/>
        <v>63898</v>
      </c>
      <c r="V733" s="624"/>
    </row>
    <row r="734" spans="2:22" ht="14.65">
      <c r="B734" s="13">
        <f t="shared" si="150"/>
        <v>55</v>
      </c>
      <c r="C734" s="530" t="s">
        <v>209</v>
      </c>
      <c r="D734" s="621" t="s">
        <v>879</v>
      </c>
      <c r="E734" s="629" t="s">
        <v>3430</v>
      </c>
      <c r="F734" s="620">
        <v>44931</v>
      </c>
      <c r="G734" s="620">
        <v>44931</v>
      </c>
      <c r="H734" s="530" t="s">
        <v>2858</v>
      </c>
      <c r="I734" s="623">
        <v>44931</v>
      </c>
      <c r="J734" s="619">
        <v>71962</v>
      </c>
      <c r="K734" s="619"/>
      <c r="L734" s="619"/>
      <c r="M734" s="619">
        <v>10977</v>
      </c>
      <c r="N734" s="619">
        <f t="shared" si="151"/>
        <v>60985</v>
      </c>
      <c r="O734" s="17">
        <f t="shared" si="152"/>
        <v>85</v>
      </c>
      <c r="P734" s="618">
        <v>3</v>
      </c>
      <c r="Q734" s="617">
        <f t="shared" si="153"/>
        <v>2.7671232876712328</v>
      </c>
      <c r="R734" s="625">
        <f t="shared" si="154"/>
        <v>4497.2956621004569</v>
      </c>
      <c r="S734" s="625">
        <f t="shared" si="155"/>
        <v>56487.704337899544</v>
      </c>
      <c r="T734" s="616">
        <f t="shared" si="156"/>
        <v>0</v>
      </c>
      <c r="U734" s="616">
        <f t="shared" si="157"/>
        <v>60985</v>
      </c>
      <c r="V734" s="624"/>
    </row>
    <row r="735" spans="2:22" ht="14.65">
      <c r="B735" s="13">
        <f t="shared" si="150"/>
        <v>56</v>
      </c>
      <c r="C735" s="530" t="s">
        <v>425</v>
      </c>
      <c r="D735" s="530" t="s">
        <v>880</v>
      </c>
      <c r="E735" s="530">
        <v>2492</v>
      </c>
      <c r="F735" s="623">
        <v>45014</v>
      </c>
      <c r="G735" s="623">
        <v>45016</v>
      </c>
      <c r="H735" s="530" t="s">
        <v>3608</v>
      </c>
      <c r="I735" s="623">
        <v>45016</v>
      </c>
      <c r="J735" s="619">
        <v>69500</v>
      </c>
      <c r="K735" s="619"/>
      <c r="L735" s="619"/>
      <c r="M735" s="619">
        <f>5300.82*2</f>
        <v>10601.64</v>
      </c>
      <c r="N735" s="619">
        <f t="shared" si="151"/>
        <v>58898.36</v>
      </c>
      <c r="O735" s="637">
        <f>'[86]Add22-23'!$N$1-I735</f>
        <v>0</v>
      </c>
      <c r="P735" s="618">
        <v>3</v>
      </c>
      <c r="Q735" s="617">
        <f t="shared" si="153"/>
        <v>3</v>
      </c>
      <c r="R735" s="625">
        <f t="shared" si="154"/>
        <v>0</v>
      </c>
      <c r="S735" s="625">
        <f t="shared" si="155"/>
        <v>58898.36</v>
      </c>
      <c r="T735" s="642"/>
      <c r="U735" s="616">
        <f t="shared" si="157"/>
        <v>58898.36</v>
      </c>
      <c r="V735" s="624"/>
    </row>
    <row r="736" spans="2:22" ht="14.65">
      <c r="B736" s="13"/>
      <c r="C736" s="29" t="s">
        <v>30</v>
      </c>
      <c r="D736" s="26"/>
      <c r="E736" s="633"/>
      <c r="F736" s="23"/>
      <c r="G736" s="23"/>
      <c r="H736" s="14"/>
      <c r="I736" s="23"/>
      <c r="J736" s="30">
        <f>SUM(J680:J735)</f>
        <v>5742743.4212000007</v>
      </c>
      <c r="K736" s="30">
        <f>SUM(K680:K735)</f>
        <v>0</v>
      </c>
      <c r="L736" s="30">
        <f>SUM(L680:L735)</f>
        <v>0</v>
      </c>
      <c r="M736" s="30">
        <f>SUM(M680:M735)</f>
        <v>868676.59086101712</v>
      </c>
      <c r="N736" s="30">
        <f>SUM(N680:N735)</f>
        <v>4874066.8303389838</v>
      </c>
      <c r="O736" s="17" t="s">
        <v>24</v>
      </c>
      <c r="P736" s="33"/>
      <c r="Q736" s="18"/>
      <c r="R736" s="30">
        <f>SUM(R680:R735)</f>
        <v>680752.97885477927</v>
      </c>
      <c r="S736" s="30">
        <f>SUM(S680:S735)</f>
        <v>4193313.8514842023</v>
      </c>
      <c r="T736" s="30">
        <f>SUM(T680:T735)</f>
        <v>1454664.0100000002</v>
      </c>
      <c r="U736" s="30">
        <f>SUM(U680:U735)</f>
        <v>3419402.8203389826</v>
      </c>
    </row>
    <row r="737" spans="2:21" ht="27" customHeight="1">
      <c r="B737" s="1226" t="s">
        <v>32</v>
      </c>
      <c r="C737" s="1227"/>
      <c r="D737" s="14"/>
      <c r="E737" s="633"/>
      <c r="F737" s="15"/>
      <c r="G737" s="15"/>
      <c r="H737" s="14"/>
      <c r="I737" s="15"/>
      <c r="J737" s="16"/>
      <c r="K737" s="16"/>
      <c r="L737" s="16"/>
      <c r="M737" s="16"/>
      <c r="N737" s="16"/>
      <c r="O737" s="17" t="s">
        <v>24</v>
      </c>
      <c r="P737" s="18"/>
      <c r="Q737" s="18"/>
      <c r="R737" s="22"/>
      <c r="S737" s="22"/>
      <c r="T737" s="32"/>
      <c r="U737" s="32"/>
    </row>
    <row r="738" spans="2:21" ht="14.65">
      <c r="B738" s="13">
        <v>1</v>
      </c>
      <c r="C738" s="14" t="s">
        <v>802</v>
      </c>
      <c r="D738" s="91" t="s">
        <v>35</v>
      </c>
      <c r="E738" s="633">
        <v>1171</v>
      </c>
      <c r="F738" s="23">
        <v>44920</v>
      </c>
      <c r="G738" s="23">
        <v>44920</v>
      </c>
      <c r="H738" s="14" t="s">
        <v>813</v>
      </c>
      <c r="I738" s="15">
        <v>44920</v>
      </c>
      <c r="J738" s="16">
        <v>29800</v>
      </c>
      <c r="K738" s="16"/>
      <c r="L738" s="16"/>
      <c r="M738" s="16">
        <v>4545.76</v>
      </c>
      <c r="N738" s="16">
        <f t="shared" ref="N738:N769" si="158">J738+K738-L738-M738</f>
        <v>25254.239999999998</v>
      </c>
      <c r="O738" s="17">
        <f t="shared" ref="O738:O769" si="159">$O$1-I738</f>
        <v>96</v>
      </c>
      <c r="P738" s="33">
        <v>5</v>
      </c>
      <c r="Q738" s="19">
        <f t="shared" ref="Q738:Q769" si="160">P738-(O738/365)</f>
        <v>4.7369863013698632</v>
      </c>
      <c r="R738" s="32">
        <f t="shared" ref="R738:R769" si="161">N738*95%/P738*O738/365</f>
        <v>1262.0201030136986</v>
      </c>
      <c r="S738" s="22">
        <f t="shared" ref="S738:S769" si="162">N738-R738</f>
        <v>23992.219896986298</v>
      </c>
      <c r="T738" s="21">
        <f t="shared" ref="T738:T769" si="163">IF(I738&lt;=DATE(2022,9,30),N738,0)</f>
        <v>0</v>
      </c>
      <c r="U738" s="21">
        <f t="shared" ref="U738:U769" si="164">IF(I738&gt;DATE(2022,9,30),N738,0)</f>
        <v>25254.239999999998</v>
      </c>
    </row>
    <row r="739" spans="2:21" ht="14.65">
      <c r="B739" s="13">
        <f>B738+1</f>
        <v>2</v>
      </c>
      <c r="C739" s="14" t="s">
        <v>182</v>
      </c>
      <c r="D739" s="26" t="s">
        <v>3614</v>
      </c>
      <c r="E739" s="633" t="s">
        <v>194</v>
      </c>
      <c r="F739" s="15">
        <v>44683</v>
      </c>
      <c r="G739" s="15">
        <v>44683</v>
      </c>
      <c r="H739" s="14" t="s">
        <v>198</v>
      </c>
      <c r="I739" s="15">
        <v>44683</v>
      </c>
      <c r="J739" s="16">
        <v>23700.3</v>
      </c>
      <c r="K739" s="16"/>
      <c r="L739" s="16"/>
      <c r="M739" s="16">
        <v>3615.2999999999997</v>
      </c>
      <c r="N739" s="16">
        <f t="shared" si="158"/>
        <v>20085</v>
      </c>
      <c r="O739" s="17">
        <f t="shared" si="159"/>
        <v>333</v>
      </c>
      <c r="P739" s="33">
        <v>5</v>
      </c>
      <c r="Q739" s="19">
        <f t="shared" si="160"/>
        <v>4.087671232876712</v>
      </c>
      <c r="R739" s="32">
        <f t="shared" si="161"/>
        <v>3481.5834246575341</v>
      </c>
      <c r="S739" s="22">
        <f t="shared" si="162"/>
        <v>16603.416575342468</v>
      </c>
      <c r="T739" s="21">
        <f t="shared" si="163"/>
        <v>20085</v>
      </c>
      <c r="U739" s="21">
        <f t="shared" si="164"/>
        <v>0</v>
      </c>
    </row>
    <row r="740" spans="2:21" ht="14.65">
      <c r="B740" s="13">
        <f t="shared" ref="B740:B802" si="165">B739+1</f>
        <v>3</v>
      </c>
      <c r="C740" s="14" t="s">
        <v>183</v>
      </c>
      <c r="D740" s="26" t="s">
        <v>3614</v>
      </c>
      <c r="E740" s="633" t="s">
        <v>195</v>
      </c>
      <c r="F740" s="23">
        <v>44692</v>
      </c>
      <c r="G740" s="23">
        <v>44692</v>
      </c>
      <c r="H740" s="14" t="s">
        <v>198</v>
      </c>
      <c r="I740" s="15">
        <v>44692</v>
      </c>
      <c r="J740" s="16">
        <v>15299.880000000001</v>
      </c>
      <c r="K740" s="16"/>
      <c r="L740" s="16"/>
      <c r="M740" s="16">
        <v>2333.88</v>
      </c>
      <c r="N740" s="16">
        <f t="shared" si="158"/>
        <v>12966</v>
      </c>
      <c r="O740" s="17">
        <f t="shared" si="159"/>
        <v>324</v>
      </c>
      <c r="P740" s="33">
        <v>5</v>
      </c>
      <c r="Q740" s="19">
        <f t="shared" si="160"/>
        <v>4.1123287671232873</v>
      </c>
      <c r="R740" s="32">
        <f t="shared" si="161"/>
        <v>2186.8135890410958</v>
      </c>
      <c r="S740" s="22">
        <f t="shared" si="162"/>
        <v>10779.186410958904</v>
      </c>
      <c r="T740" s="21">
        <f t="shared" si="163"/>
        <v>12966</v>
      </c>
      <c r="U740" s="21">
        <f t="shared" si="164"/>
        <v>0</v>
      </c>
    </row>
    <row r="741" spans="2:21" ht="14.65">
      <c r="B741" s="13">
        <f t="shared" si="165"/>
        <v>4</v>
      </c>
      <c r="C741" s="14" t="s">
        <v>184</v>
      </c>
      <c r="D741" s="26" t="s">
        <v>3614</v>
      </c>
      <c r="E741" s="633">
        <v>1281</v>
      </c>
      <c r="F741" s="23">
        <v>44832</v>
      </c>
      <c r="G741" s="23">
        <v>44832</v>
      </c>
      <c r="H741" s="14" t="s">
        <v>448</v>
      </c>
      <c r="I741" s="15">
        <v>44832</v>
      </c>
      <c r="J741" s="16">
        <v>39000</v>
      </c>
      <c r="K741" s="16"/>
      <c r="L741" s="16"/>
      <c r="M741" s="16"/>
      <c r="N741" s="16">
        <f t="shared" si="158"/>
        <v>39000</v>
      </c>
      <c r="O741" s="17">
        <f t="shared" si="159"/>
        <v>184</v>
      </c>
      <c r="P741" s="33">
        <v>5</v>
      </c>
      <c r="Q741" s="19">
        <f t="shared" si="160"/>
        <v>4.4958904109589044</v>
      </c>
      <c r="R741" s="32">
        <f t="shared" si="161"/>
        <v>3735.4520547945203</v>
      </c>
      <c r="S741" s="22">
        <f t="shared" si="162"/>
        <v>35264.547945205479</v>
      </c>
      <c r="T741" s="21">
        <f t="shared" si="163"/>
        <v>39000</v>
      </c>
      <c r="U741" s="21">
        <f t="shared" si="164"/>
        <v>0</v>
      </c>
    </row>
    <row r="742" spans="2:21" ht="14.65">
      <c r="B742" s="13">
        <f t="shared" si="165"/>
        <v>5</v>
      </c>
      <c r="C742" s="14" t="s">
        <v>803</v>
      </c>
      <c r="D742" s="26" t="s">
        <v>3614</v>
      </c>
      <c r="E742" s="633">
        <v>352</v>
      </c>
      <c r="F742" s="23">
        <v>44837</v>
      </c>
      <c r="G742" s="23">
        <v>44859</v>
      </c>
      <c r="H742" s="14" t="s">
        <v>814</v>
      </c>
      <c r="I742" s="15">
        <v>44859</v>
      </c>
      <c r="J742" s="16">
        <v>15576</v>
      </c>
      <c r="K742" s="16"/>
      <c r="L742" s="16"/>
      <c r="M742" s="16">
        <v>2376</v>
      </c>
      <c r="N742" s="16">
        <f t="shared" si="158"/>
        <v>13200</v>
      </c>
      <c r="O742" s="17">
        <f t="shared" si="159"/>
        <v>157</v>
      </c>
      <c r="P742" s="33">
        <v>5</v>
      </c>
      <c r="Q742" s="19">
        <f t="shared" si="160"/>
        <v>4.5698630136986305</v>
      </c>
      <c r="R742" s="32">
        <f t="shared" si="161"/>
        <v>1078.7835616438356</v>
      </c>
      <c r="S742" s="22">
        <f t="shared" si="162"/>
        <v>12121.216438356165</v>
      </c>
      <c r="T742" s="21">
        <f t="shared" si="163"/>
        <v>0</v>
      </c>
      <c r="U742" s="21">
        <f t="shared" si="164"/>
        <v>13200</v>
      </c>
    </row>
    <row r="743" spans="2:21" ht="14.65">
      <c r="B743" s="13">
        <f t="shared" si="165"/>
        <v>6</v>
      </c>
      <c r="C743" s="14" t="s">
        <v>802</v>
      </c>
      <c r="D743" s="26" t="s">
        <v>3614</v>
      </c>
      <c r="E743" s="633">
        <v>912</v>
      </c>
      <c r="F743" s="23">
        <v>44844</v>
      </c>
      <c r="G743" s="23">
        <v>44873</v>
      </c>
      <c r="H743" s="14" t="s">
        <v>813</v>
      </c>
      <c r="I743" s="15">
        <v>44873</v>
      </c>
      <c r="J743" s="16">
        <v>29800</v>
      </c>
      <c r="K743" s="16"/>
      <c r="L743" s="16"/>
      <c r="M743" s="16">
        <v>4545.76</v>
      </c>
      <c r="N743" s="16">
        <f t="shared" si="158"/>
        <v>25254.239999999998</v>
      </c>
      <c r="O743" s="17">
        <f t="shared" si="159"/>
        <v>143</v>
      </c>
      <c r="P743" s="33">
        <v>5</v>
      </c>
      <c r="Q743" s="19">
        <f t="shared" si="160"/>
        <v>4.6082191780821917</v>
      </c>
      <c r="R743" s="32">
        <f t="shared" si="161"/>
        <v>1879.884111780822</v>
      </c>
      <c r="S743" s="22">
        <f t="shared" si="162"/>
        <v>23374.355888219176</v>
      </c>
      <c r="T743" s="21">
        <f t="shared" si="163"/>
        <v>0</v>
      </c>
      <c r="U743" s="21">
        <f t="shared" si="164"/>
        <v>25254.239999999998</v>
      </c>
    </row>
    <row r="744" spans="2:21" ht="14.65">
      <c r="B744" s="13">
        <f t="shared" si="165"/>
        <v>7</v>
      </c>
      <c r="C744" s="14" t="s">
        <v>181</v>
      </c>
      <c r="D744" s="14" t="s">
        <v>26</v>
      </c>
      <c r="E744" s="633">
        <v>29</v>
      </c>
      <c r="F744" s="15">
        <v>44727</v>
      </c>
      <c r="G744" s="15">
        <v>44739</v>
      </c>
      <c r="H744" s="14" t="s">
        <v>197</v>
      </c>
      <c r="I744" s="15">
        <v>44739</v>
      </c>
      <c r="J744" s="16">
        <v>141600</v>
      </c>
      <c r="K744" s="16"/>
      <c r="L744" s="16"/>
      <c r="M744" s="16">
        <v>21600</v>
      </c>
      <c r="N744" s="16">
        <f t="shared" si="158"/>
        <v>120000</v>
      </c>
      <c r="O744" s="17">
        <f t="shared" si="159"/>
        <v>277</v>
      </c>
      <c r="P744" s="33">
        <v>5</v>
      </c>
      <c r="Q744" s="19">
        <f t="shared" si="160"/>
        <v>4.2410958904109588</v>
      </c>
      <c r="R744" s="32">
        <f t="shared" si="161"/>
        <v>17303.013698630137</v>
      </c>
      <c r="S744" s="22">
        <f t="shared" si="162"/>
        <v>102696.98630136986</v>
      </c>
      <c r="T744" s="21">
        <f t="shared" si="163"/>
        <v>120000</v>
      </c>
      <c r="U744" s="21">
        <f t="shared" si="164"/>
        <v>0</v>
      </c>
    </row>
    <row r="745" spans="2:21" ht="14.65">
      <c r="B745" s="13">
        <f t="shared" si="165"/>
        <v>8</v>
      </c>
      <c r="C745" s="14" t="s">
        <v>442</v>
      </c>
      <c r="D745" s="26" t="s">
        <v>26</v>
      </c>
      <c r="E745" s="633" t="s">
        <v>443</v>
      </c>
      <c r="F745" s="23">
        <v>44797</v>
      </c>
      <c r="G745" s="23">
        <v>44803</v>
      </c>
      <c r="H745" s="14" t="s">
        <v>444</v>
      </c>
      <c r="I745" s="15">
        <v>44803</v>
      </c>
      <c r="J745" s="16">
        <v>270717</v>
      </c>
      <c r="K745" s="16"/>
      <c r="L745" s="16"/>
      <c r="M745" s="16">
        <v>41295.78</v>
      </c>
      <c r="N745" s="16">
        <f t="shared" si="158"/>
        <v>229421.22</v>
      </c>
      <c r="O745" s="17">
        <f t="shared" si="159"/>
        <v>213</v>
      </c>
      <c r="P745" s="33">
        <v>5</v>
      </c>
      <c r="Q745" s="19">
        <f t="shared" si="160"/>
        <v>4.4164383561643836</v>
      </c>
      <c r="R745" s="32">
        <f t="shared" si="161"/>
        <v>25437.470612054793</v>
      </c>
      <c r="S745" s="22">
        <f t="shared" si="162"/>
        <v>203983.74938794522</v>
      </c>
      <c r="T745" s="21">
        <f t="shared" si="163"/>
        <v>229421.22</v>
      </c>
      <c r="U745" s="21">
        <f t="shared" si="164"/>
        <v>0</v>
      </c>
    </row>
    <row r="746" spans="2:21" ht="14.65">
      <c r="B746" s="13">
        <f t="shared" si="165"/>
        <v>9</v>
      </c>
      <c r="C746" s="14" t="s">
        <v>442</v>
      </c>
      <c r="D746" s="26" t="s">
        <v>26</v>
      </c>
      <c r="E746" s="633" t="s">
        <v>445</v>
      </c>
      <c r="F746" s="23">
        <v>44797</v>
      </c>
      <c r="G746" s="23">
        <v>44803</v>
      </c>
      <c r="H746" s="14" t="s">
        <v>444</v>
      </c>
      <c r="I746" s="15">
        <v>44803</v>
      </c>
      <c r="J746" s="16">
        <v>214349</v>
      </c>
      <c r="K746" s="16"/>
      <c r="L746" s="16"/>
      <c r="M746" s="16">
        <v>32697.360000000001</v>
      </c>
      <c r="N746" s="16">
        <f t="shared" si="158"/>
        <v>181651.64</v>
      </c>
      <c r="O746" s="17">
        <f t="shared" si="159"/>
        <v>213</v>
      </c>
      <c r="P746" s="33">
        <v>5</v>
      </c>
      <c r="Q746" s="19">
        <f t="shared" si="160"/>
        <v>4.4164383561643836</v>
      </c>
      <c r="R746" s="32">
        <f t="shared" si="161"/>
        <v>20140.936632328769</v>
      </c>
      <c r="S746" s="22">
        <f t="shared" si="162"/>
        <v>161510.70336767123</v>
      </c>
      <c r="T746" s="21">
        <f t="shared" si="163"/>
        <v>181651.64</v>
      </c>
      <c r="U746" s="21">
        <f t="shared" si="164"/>
        <v>0</v>
      </c>
    </row>
    <row r="747" spans="2:21" ht="14.65">
      <c r="B747" s="13">
        <f t="shared" si="165"/>
        <v>10</v>
      </c>
      <c r="C747" s="14" t="s">
        <v>442</v>
      </c>
      <c r="D747" s="26" t="s">
        <v>26</v>
      </c>
      <c r="E747" s="633" t="s">
        <v>446</v>
      </c>
      <c r="F747" s="23">
        <v>44797</v>
      </c>
      <c r="G747" s="23">
        <v>44803</v>
      </c>
      <c r="H747" s="14" t="s">
        <v>444</v>
      </c>
      <c r="I747" s="15">
        <v>44803</v>
      </c>
      <c r="J747" s="16">
        <v>105236</v>
      </c>
      <c r="K747" s="16"/>
      <c r="L747" s="16"/>
      <c r="M747" s="16">
        <v>16053</v>
      </c>
      <c r="N747" s="16">
        <f t="shared" si="158"/>
        <v>89183</v>
      </c>
      <c r="O747" s="17">
        <f t="shared" si="159"/>
        <v>213</v>
      </c>
      <c r="P747" s="33">
        <v>5</v>
      </c>
      <c r="Q747" s="19">
        <f t="shared" si="160"/>
        <v>4.4164383561643836</v>
      </c>
      <c r="R747" s="32">
        <f t="shared" si="161"/>
        <v>9888.3178356164372</v>
      </c>
      <c r="S747" s="22">
        <f t="shared" si="162"/>
        <v>79294.682164383557</v>
      </c>
      <c r="T747" s="21">
        <f t="shared" si="163"/>
        <v>89183</v>
      </c>
      <c r="U747" s="21">
        <f t="shared" si="164"/>
        <v>0</v>
      </c>
    </row>
    <row r="748" spans="2:21" ht="14.65">
      <c r="B748" s="13">
        <f t="shared" si="165"/>
        <v>11</v>
      </c>
      <c r="C748" s="14" t="s">
        <v>442</v>
      </c>
      <c r="D748" s="26" t="s">
        <v>26</v>
      </c>
      <c r="E748" s="633" t="s">
        <v>447</v>
      </c>
      <c r="F748" s="23">
        <v>44802</v>
      </c>
      <c r="G748" s="23">
        <v>44804</v>
      </c>
      <c r="H748" s="14" t="s">
        <v>444</v>
      </c>
      <c r="I748" s="15">
        <v>44804</v>
      </c>
      <c r="J748" s="16">
        <v>245401</v>
      </c>
      <c r="K748" s="16"/>
      <c r="L748" s="16"/>
      <c r="M748" s="16">
        <v>37434.06</v>
      </c>
      <c r="N748" s="16">
        <f t="shared" si="158"/>
        <v>207966.94</v>
      </c>
      <c r="O748" s="17">
        <f t="shared" si="159"/>
        <v>212</v>
      </c>
      <c r="P748" s="33">
        <v>5</v>
      </c>
      <c r="Q748" s="19">
        <f t="shared" si="160"/>
        <v>4.419178082191781</v>
      </c>
      <c r="R748" s="32">
        <f t="shared" si="161"/>
        <v>22950.4338169863</v>
      </c>
      <c r="S748" s="22">
        <f t="shared" si="162"/>
        <v>185016.5061830137</v>
      </c>
      <c r="T748" s="21">
        <f t="shared" si="163"/>
        <v>207966.94</v>
      </c>
      <c r="U748" s="21">
        <f t="shared" si="164"/>
        <v>0</v>
      </c>
    </row>
    <row r="749" spans="2:21" ht="14.65">
      <c r="B749" s="13">
        <f t="shared" si="165"/>
        <v>12</v>
      </c>
      <c r="C749" s="14" t="s">
        <v>442</v>
      </c>
      <c r="D749" s="26" t="s">
        <v>26</v>
      </c>
      <c r="E749" s="633" t="s">
        <v>808</v>
      </c>
      <c r="F749" s="23">
        <v>44888</v>
      </c>
      <c r="G749" s="23">
        <v>44895</v>
      </c>
      <c r="H749" s="14" t="s">
        <v>444</v>
      </c>
      <c r="I749" s="15">
        <v>44895</v>
      </c>
      <c r="J749" s="16">
        <v>44104</v>
      </c>
      <c r="K749" s="16"/>
      <c r="L749" s="16"/>
      <c r="M749" s="16">
        <v>6728</v>
      </c>
      <c r="N749" s="16">
        <f t="shared" si="158"/>
        <v>37376</v>
      </c>
      <c r="O749" s="17">
        <f t="shared" si="159"/>
        <v>121</v>
      </c>
      <c r="P749" s="33">
        <v>5</v>
      </c>
      <c r="Q749" s="19">
        <f t="shared" si="160"/>
        <v>4.6684931506849319</v>
      </c>
      <c r="R749" s="32">
        <f t="shared" si="161"/>
        <v>2354.1759999999999</v>
      </c>
      <c r="S749" s="22">
        <f t="shared" si="162"/>
        <v>35021.824000000001</v>
      </c>
      <c r="T749" s="21">
        <f t="shared" si="163"/>
        <v>0</v>
      </c>
      <c r="U749" s="21">
        <f t="shared" si="164"/>
        <v>37376</v>
      </c>
    </row>
    <row r="750" spans="2:21" ht="14.65">
      <c r="B750" s="13">
        <f t="shared" si="165"/>
        <v>13</v>
      </c>
      <c r="C750" s="14" t="s">
        <v>801</v>
      </c>
      <c r="D750" s="26" t="s">
        <v>26</v>
      </c>
      <c r="E750" s="633" t="s">
        <v>809</v>
      </c>
      <c r="F750" s="23">
        <v>44893</v>
      </c>
      <c r="G750" s="23">
        <v>44907</v>
      </c>
      <c r="H750" s="14" t="s">
        <v>812</v>
      </c>
      <c r="I750" s="15">
        <v>44907</v>
      </c>
      <c r="J750" s="16">
        <v>204429</v>
      </c>
      <c r="K750" s="16"/>
      <c r="L750" s="16"/>
      <c r="M750" s="16">
        <v>31184</v>
      </c>
      <c r="N750" s="16">
        <f t="shared" si="158"/>
        <v>173245</v>
      </c>
      <c r="O750" s="17">
        <f t="shared" si="159"/>
        <v>109</v>
      </c>
      <c r="P750" s="33">
        <v>5</v>
      </c>
      <c r="Q750" s="19">
        <f t="shared" si="160"/>
        <v>4.7013698630136984</v>
      </c>
      <c r="R750" s="32">
        <f t="shared" si="161"/>
        <v>9829.8738356164395</v>
      </c>
      <c r="S750" s="22">
        <f t="shared" si="162"/>
        <v>163415.12616438355</v>
      </c>
      <c r="T750" s="21">
        <f t="shared" si="163"/>
        <v>0</v>
      </c>
      <c r="U750" s="21">
        <f t="shared" si="164"/>
        <v>173245</v>
      </c>
    </row>
    <row r="751" spans="2:21" ht="14.65">
      <c r="B751" s="13">
        <f t="shared" si="165"/>
        <v>14</v>
      </c>
      <c r="C751" s="14" t="s">
        <v>801</v>
      </c>
      <c r="D751" s="26" t="s">
        <v>26</v>
      </c>
      <c r="E751" s="633" t="s">
        <v>810</v>
      </c>
      <c r="F751" s="23">
        <v>44895</v>
      </c>
      <c r="G751" s="23">
        <v>44907</v>
      </c>
      <c r="H751" s="14" t="s">
        <v>812</v>
      </c>
      <c r="I751" s="15">
        <v>44907</v>
      </c>
      <c r="J751" s="16">
        <v>59472</v>
      </c>
      <c r="K751" s="16"/>
      <c r="L751" s="16"/>
      <c r="M751" s="16">
        <v>9072</v>
      </c>
      <c r="N751" s="16">
        <f t="shared" si="158"/>
        <v>50400</v>
      </c>
      <c r="O751" s="17">
        <f t="shared" si="159"/>
        <v>109</v>
      </c>
      <c r="P751" s="33">
        <v>5</v>
      </c>
      <c r="Q751" s="19">
        <f t="shared" si="160"/>
        <v>4.7013698630136984</v>
      </c>
      <c r="R751" s="32">
        <f t="shared" si="161"/>
        <v>2859.682191780822</v>
      </c>
      <c r="S751" s="22">
        <f t="shared" si="162"/>
        <v>47540.317808219181</v>
      </c>
      <c r="T751" s="21">
        <f t="shared" si="163"/>
        <v>0</v>
      </c>
      <c r="U751" s="21">
        <f t="shared" si="164"/>
        <v>50400</v>
      </c>
    </row>
    <row r="752" spans="2:21" ht="14.65">
      <c r="B752" s="13">
        <f t="shared" si="165"/>
        <v>15</v>
      </c>
      <c r="C752" s="14" t="s">
        <v>184</v>
      </c>
      <c r="D752" s="26" t="s">
        <v>26</v>
      </c>
      <c r="E752" s="633" t="s">
        <v>811</v>
      </c>
      <c r="F752" s="23">
        <v>44902</v>
      </c>
      <c r="G752" s="23">
        <v>44907</v>
      </c>
      <c r="H752" s="14" t="s">
        <v>812</v>
      </c>
      <c r="I752" s="15">
        <v>44907</v>
      </c>
      <c r="J752" s="16">
        <v>20279</v>
      </c>
      <c r="K752" s="16"/>
      <c r="L752" s="16"/>
      <c r="M752" s="16">
        <v>3093.4</v>
      </c>
      <c r="N752" s="16">
        <f t="shared" si="158"/>
        <v>17185.599999999999</v>
      </c>
      <c r="O752" s="17">
        <f t="shared" si="159"/>
        <v>109</v>
      </c>
      <c r="P752" s="33">
        <v>5</v>
      </c>
      <c r="Q752" s="19">
        <f t="shared" si="160"/>
        <v>4.7013698630136984</v>
      </c>
      <c r="R752" s="32">
        <f t="shared" si="161"/>
        <v>975.1062356164382</v>
      </c>
      <c r="S752" s="22">
        <f t="shared" si="162"/>
        <v>16210.49376438356</v>
      </c>
      <c r="T752" s="21">
        <f t="shared" si="163"/>
        <v>0</v>
      </c>
      <c r="U752" s="21">
        <f t="shared" si="164"/>
        <v>17185.599999999999</v>
      </c>
    </row>
    <row r="753" spans="2:21" ht="14.65">
      <c r="B753" s="13">
        <f t="shared" si="165"/>
        <v>16</v>
      </c>
      <c r="C753" s="530" t="s">
        <v>32</v>
      </c>
      <c r="D753" s="622" t="s">
        <v>2474</v>
      </c>
      <c r="E753" s="629">
        <v>76</v>
      </c>
      <c r="F753" s="620">
        <v>44936</v>
      </c>
      <c r="G753" s="620">
        <v>44946</v>
      </c>
      <c r="H753" s="530" t="s">
        <v>3434</v>
      </c>
      <c r="I753" s="623">
        <v>44946</v>
      </c>
      <c r="J753" s="619">
        <v>79551</v>
      </c>
      <c r="K753" s="619"/>
      <c r="L753" s="619"/>
      <c r="M753" s="619">
        <v>12134.88</v>
      </c>
      <c r="N753" s="619">
        <f t="shared" si="158"/>
        <v>67416.12</v>
      </c>
      <c r="O753" s="17">
        <f t="shared" si="159"/>
        <v>70</v>
      </c>
      <c r="P753" s="33">
        <v>5</v>
      </c>
      <c r="Q753" s="617">
        <f t="shared" si="160"/>
        <v>4.8082191780821919</v>
      </c>
      <c r="R753" s="625">
        <f t="shared" si="161"/>
        <v>2456.5325917808213</v>
      </c>
      <c r="S753" s="625">
        <f t="shared" si="162"/>
        <v>64959.587408219173</v>
      </c>
      <c r="T753" s="616">
        <f t="shared" si="163"/>
        <v>0</v>
      </c>
      <c r="U753" s="616">
        <f t="shared" si="164"/>
        <v>67416.12</v>
      </c>
    </row>
    <row r="754" spans="2:21" ht="14.65">
      <c r="B754" s="13">
        <f t="shared" si="165"/>
        <v>17</v>
      </c>
      <c r="C754" s="14" t="s">
        <v>184</v>
      </c>
      <c r="D754" s="90" t="s">
        <v>3459</v>
      </c>
      <c r="E754" s="633">
        <v>27</v>
      </c>
      <c r="F754" s="23">
        <v>44666</v>
      </c>
      <c r="G754" s="23">
        <v>44666</v>
      </c>
      <c r="H754" s="14" t="s">
        <v>199</v>
      </c>
      <c r="I754" s="15">
        <v>44666</v>
      </c>
      <c r="J754" s="16">
        <v>10999.96</v>
      </c>
      <c r="K754" s="16"/>
      <c r="L754" s="16"/>
      <c r="M754" s="16">
        <v>1677.96</v>
      </c>
      <c r="N754" s="16">
        <f t="shared" si="158"/>
        <v>9322</v>
      </c>
      <c r="O754" s="17">
        <f t="shared" si="159"/>
        <v>350</v>
      </c>
      <c r="P754" s="33">
        <v>5</v>
      </c>
      <c r="Q754" s="19">
        <f t="shared" si="160"/>
        <v>4.0410958904109586</v>
      </c>
      <c r="R754" s="32">
        <f t="shared" si="161"/>
        <v>1698.3917808219178</v>
      </c>
      <c r="S754" s="22">
        <f t="shared" si="162"/>
        <v>7623.6082191780824</v>
      </c>
      <c r="T754" s="21">
        <f t="shared" si="163"/>
        <v>9322</v>
      </c>
      <c r="U754" s="21">
        <f t="shared" si="164"/>
        <v>0</v>
      </c>
    </row>
    <row r="755" spans="2:21" ht="14.65">
      <c r="B755" s="13">
        <f t="shared" si="165"/>
        <v>18</v>
      </c>
      <c r="C755" s="14" t="s">
        <v>183</v>
      </c>
      <c r="D755" s="90" t="s">
        <v>3459</v>
      </c>
      <c r="E755" s="633" t="s">
        <v>196</v>
      </c>
      <c r="F755" s="23">
        <v>44676</v>
      </c>
      <c r="G755" s="23">
        <v>44681</v>
      </c>
      <c r="H755" s="14" t="s">
        <v>200</v>
      </c>
      <c r="I755" s="15">
        <v>44681</v>
      </c>
      <c r="J755" s="16">
        <v>224300</v>
      </c>
      <c r="K755" s="16"/>
      <c r="L755" s="16"/>
      <c r="M755" s="16"/>
      <c r="N755" s="16">
        <f t="shared" si="158"/>
        <v>224300</v>
      </c>
      <c r="O755" s="17">
        <f t="shared" si="159"/>
        <v>335</v>
      </c>
      <c r="P755" s="33">
        <v>5</v>
      </c>
      <c r="Q755" s="19">
        <f t="shared" si="160"/>
        <v>4.0821917808219181</v>
      </c>
      <c r="R755" s="32">
        <f t="shared" si="161"/>
        <v>39114.232876712325</v>
      </c>
      <c r="S755" s="22">
        <f t="shared" si="162"/>
        <v>185185.76712328766</v>
      </c>
      <c r="T755" s="21">
        <f t="shared" si="163"/>
        <v>224300</v>
      </c>
      <c r="U755" s="21">
        <f t="shared" si="164"/>
        <v>0</v>
      </c>
    </row>
    <row r="756" spans="2:21" ht="14.65">
      <c r="B756" s="13">
        <f t="shared" si="165"/>
        <v>19</v>
      </c>
      <c r="C756" s="14" t="s">
        <v>184</v>
      </c>
      <c r="D756" s="90" t="s">
        <v>3459</v>
      </c>
      <c r="E756" s="633">
        <v>44</v>
      </c>
      <c r="F756" s="23">
        <v>44683</v>
      </c>
      <c r="G756" s="23">
        <v>44683</v>
      </c>
      <c r="H756" s="14" t="s">
        <v>199</v>
      </c>
      <c r="I756" s="15">
        <v>44683</v>
      </c>
      <c r="J756" s="16">
        <v>15049.72</v>
      </c>
      <c r="K756" s="16"/>
      <c r="L756" s="16"/>
      <c r="M756" s="16">
        <v>2295.7199999999998</v>
      </c>
      <c r="N756" s="16">
        <f t="shared" si="158"/>
        <v>12754</v>
      </c>
      <c r="O756" s="17">
        <f t="shared" si="159"/>
        <v>333</v>
      </c>
      <c r="P756" s="33">
        <v>5</v>
      </c>
      <c r="Q756" s="19">
        <f t="shared" si="160"/>
        <v>4.087671232876712</v>
      </c>
      <c r="R756" s="32">
        <f t="shared" si="161"/>
        <v>2210.8098082191782</v>
      </c>
      <c r="S756" s="22">
        <f t="shared" si="162"/>
        <v>10543.190191780821</v>
      </c>
      <c r="T756" s="21">
        <f t="shared" si="163"/>
        <v>12754</v>
      </c>
      <c r="U756" s="21">
        <f t="shared" si="164"/>
        <v>0</v>
      </c>
    </row>
    <row r="757" spans="2:21" ht="14.65">
      <c r="B757" s="13">
        <f t="shared" si="165"/>
        <v>20</v>
      </c>
      <c r="C757" s="14" t="s">
        <v>184</v>
      </c>
      <c r="D757" s="90" t="s">
        <v>3459</v>
      </c>
      <c r="E757" s="633">
        <v>190</v>
      </c>
      <c r="F757" s="23">
        <v>44692</v>
      </c>
      <c r="G757" s="23">
        <v>44692</v>
      </c>
      <c r="H757" s="14" t="s">
        <v>201</v>
      </c>
      <c r="I757" s="15">
        <v>44692</v>
      </c>
      <c r="J757" s="16">
        <v>40492.879999999997</v>
      </c>
      <c r="K757" s="16"/>
      <c r="L757" s="16"/>
      <c r="M757" s="16">
        <v>6176.88</v>
      </c>
      <c r="N757" s="16">
        <f t="shared" si="158"/>
        <v>34316</v>
      </c>
      <c r="O757" s="17">
        <f t="shared" si="159"/>
        <v>324</v>
      </c>
      <c r="P757" s="33">
        <v>5</v>
      </c>
      <c r="Q757" s="19">
        <f t="shared" si="160"/>
        <v>4.1123287671232873</v>
      </c>
      <c r="R757" s="32">
        <f t="shared" si="161"/>
        <v>5787.6519452054781</v>
      </c>
      <c r="S757" s="22">
        <f t="shared" si="162"/>
        <v>28528.348054794522</v>
      </c>
      <c r="T757" s="21">
        <f t="shared" si="163"/>
        <v>34316</v>
      </c>
      <c r="U757" s="21">
        <f t="shared" si="164"/>
        <v>0</v>
      </c>
    </row>
    <row r="758" spans="2:21" ht="14.65">
      <c r="B758" s="13">
        <f t="shared" si="165"/>
        <v>21</v>
      </c>
      <c r="C758" s="14" t="s">
        <v>185</v>
      </c>
      <c r="D758" s="90" t="s">
        <v>3459</v>
      </c>
      <c r="E758" s="633">
        <v>60</v>
      </c>
      <c r="F758" s="23">
        <v>44698</v>
      </c>
      <c r="G758" s="23">
        <v>44698</v>
      </c>
      <c r="H758" s="14" t="s">
        <v>199</v>
      </c>
      <c r="I758" s="15">
        <v>44698</v>
      </c>
      <c r="J758" s="16">
        <v>19599.8</v>
      </c>
      <c r="K758" s="16"/>
      <c r="L758" s="16"/>
      <c r="M758" s="16">
        <v>2989.7999999999997</v>
      </c>
      <c r="N758" s="16">
        <f t="shared" si="158"/>
        <v>16610</v>
      </c>
      <c r="O758" s="17">
        <f t="shared" si="159"/>
        <v>318</v>
      </c>
      <c r="P758" s="33">
        <v>5</v>
      </c>
      <c r="Q758" s="19">
        <f t="shared" si="160"/>
        <v>4.1287671232876715</v>
      </c>
      <c r="R758" s="32">
        <f t="shared" si="161"/>
        <v>2749.5238356164386</v>
      </c>
      <c r="S758" s="22">
        <f t="shared" si="162"/>
        <v>13860.476164383561</v>
      </c>
      <c r="T758" s="21">
        <f t="shared" si="163"/>
        <v>16610</v>
      </c>
      <c r="U758" s="21">
        <f t="shared" si="164"/>
        <v>0</v>
      </c>
    </row>
    <row r="759" spans="2:21" ht="14.65">
      <c r="B759" s="13">
        <f t="shared" si="165"/>
        <v>22</v>
      </c>
      <c r="C759" s="14" t="s">
        <v>186</v>
      </c>
      <c r="D759" s="90" t="s">
        <v>3459</v>
      </c>
      <c r="E759" s="633">
        <v>175</v>
      </c>
      <c r="F759" s="23">
        <v>44706</v>
      </c>
      <c r="G759" s="23">
        <v>44706</v>
      </c>
      <c r="H759" s="14" t="s">
        <v>202</v>
      </c>
      <c r="I759" s="15">
        <v>44706</v>
      </c>
      <c r="J759" s="16">
        <v>20000</v>
      </c>
      <c r="K759" s="16"/>
      <c r="L759" s="16"/>
      <c r="M759" s="16"/>
      <c r="N759" s="16">
        <f t="shared" si="158"/>
        <v>20000</v>
      </c>
      <c r="O759" s="17">
        <f t="shared" si="159"/>
        <v>310</v>
      </c>
      <c r="P759" s="33">
        <v>5</v>
      </c>
      <c r="Q759" s="19">
        <f t="shared" si="160"/>
        <v>4.1506849315068495</v>
      </c>
      <c r="R759" s="32">
        <f t="shared" si="161"/>
        <v>3227.3972602739727</v>
      </c>
      <c r="S759" s="22">
        <f t="shared" si="162"/>
        <v>16772.602739726026</v>
      </c>
      <c r="T759" s="21">
        <f t="shared" si="163"/>
        <v>20000</v>
      </c>
      <c r="U759" s="21">
        <f t="shared" si="164"/>
        <v>0</v>
      </c>
    </row>
    <row r="760" spans="2:21" ht="14.65">
      <c r="B760" s="13">
        <f t="shared" si="165"/>
        <v>23</v>
      </c>
      <c r="C760" s="14" t="s">
        <v>187</v>
      </c>
      <c r="D760" s="90" t="s">
        <v>3459</v>
      </c>
      <c r="E760" s="633">
        <v>55</v>
      </c>
      <c r="F760" s="23">
        <v>44706</v>
      </c>
      <c r="G760" s="23">
        <v>44706</v>
      </c>
      <c r="H760" s="14" t="s">
        <v>203</v>
      </c>
      <c r="I760" s="15">
        <v>44706</v>
      </c>
      <c r="J760" s="16">
        <v>39000</v>
      </c>
      <c r="K760" s="16"/>
      <c r="L760" s="16"/>
      <c r="M760" s="16"/>
      <c r="N760" s="16">
        <f t="shared" si="158"/>
        <v>39000</v>
      </c>
      <c r="O760" s="17">
        <f t="shared" si="159"/>
        <v>310</v>
      </c>
      <c r="P760" s="33">
        <v>5</v>
      </c>
      <c r="Q760" s="19">
        <f t="shared" si="160"/>
        <v>4.1506849315068495</v>
      </c>
      <c r="R760" s="32">
        <f t="shared" si="161"/>
        <v>6293.4246575342468</v>
      </c>
      <c r="S760" s="22">
        <f t="shared" si="162"/>
        <v>32706.575342465752</v>
      </c>
      <c r="T760" s="21">
        <f t="shared" si="163"/>
        <v>39000</v>
      </c>
      <c r="U760" s="21">
        <f t="shared" si="164"/>
        <v>0</v>
      </c>
    </row>
    <row r="761" spans="2:21" ht="14.65">
      <c r="B761" s="13">
        <f t="shared" si="165"/>
        <v>24</v>
      </c>
      <c r="C761" s="14" t="s">
        <v>188</v>
      </c>
      <c r="D761" s="90" t="s">
        <v>3459</v>
      </c>
      <c r="E761" s="633">
        <v>405</v>
      </c>
      <c r="F761" s="23">
        <v>44707</v>
      </c>
      <c r="G761" s="23">
        <v>44707</v>
      </c>
      <c r="H761" s="14" t="s">
        <v>199</v>
      </c>
      <c r="I761" s="15">
        <v>44707</v>
      </c>
      <c r="J761" s="16">
        <v>8099.52</v>
      </c>
      <c r="K761" s="16"/>
      <c r="L761" s="16"/>
      <c r="M761" s="16">
        <v>1235.52</v>
      </c>
      <c r="N761" s="16">
        <f t="shared" si="158"/>
        <v>6864</v>
      </c>
      <c r="O761" s="17">
        <f t="shared" si="159"/>
        <v>309</v>
      </c>
      <c r="P761" s="33">
        <v>5</v>
      </c>
      <c r="Q761" s="19">
        <f t="shared" si="160"/>
        <v>4.1534246575342468</v>
      </c>
      <c r="R761" s="32">
        <f t="shared" si="161"/>
        <v>1104.0696986301368</v>
      </c>
      <c r="S761" s="22">
        <f t="shared" si="162"/>
        <v>5759.9303013698627</v>
      </c>
      <c r="T761" s="21">
        <f t="shared" si="163"/>
        <v>6864</v>
      </c>
      <c r="U761" s="21">
        <f t="shared" si="164"/>
        <v>0</v>
      </c>
    </row>
    <row r="762" spans="2:21" ht="14.65">
      <c r="B762" s="13">
        <f t="shared" si="165"/>
        <v>25</v>
      </c>
      <c r="C762" s="14" t="s">
        <v>188</v>
      </c>
      <c r="D762" s="90" t="s">
        <v>3459</v>
      </c>
      <c r="E762" s="633">
        <v>406</v>
      </c>
      <c r="F762" s="23">
        <v>44711</v>
      </c>
      <c r="G762" s="23">
        <v>44712</v>
      </c>
      <c r="H762" s="14" t="s">
        <v>199</v>
      </c>
      <c r="I762" s="15">
        <v>44712</v>
      </c>
      <c r="J762" s="16">
        <v>28000.22</v>
      </c>
      <c r="K762" s="16"/>
      <c r="L762" s="16"/>
      <c r="M762" s="16">
        <v>4271.22</v>
      </c>
      <c r="N762" s="16">
        <f t="shared" si="158"/>
        <v>23729</v>
      </c>
      <c r="O762" s="17">
        <f t="shared" si="159"/>
        <v>304</v>
      </c>
      <c r="P762" s="33">
        <v>5</v>
      </c>
      <c r="Q762" s="19">
        <f t="shared" si="160"/>
        <v>4.1671232876712327</v>
      </c>
      <c r="R762" s="32">
        <f t="shared" si="161"/>
        <v>3755.0329863013699</v>
      </c>
      <c r="S762" s="22">
        <f t="shared" si="162"/>
        <v>19973.967013698631</v>
      </c>
      <c r="T762" s="21">
        <f t="shared" si="163"/>
        <v>23729</v>
      </c>
      <c r="U762" s="21">
        <f t="shared" si="164"/>
        <v>0</v>
      </c>
    </row>
    <row r="763" spans="2:21" ht="14.65">
      <c r="B763" s="13">
        <f t="shared" si="165"/>
        <v>26</v>
      </c>
      <c r="C763" s="14" t="s">
        <v>189</v>
      </c>
      <c r="D763" s="90" t="s">
        <v>3459</v>
      </c>
      <c r="E763" s="633">
        <v>104</v>
      </c>
      <c r="F763" s="23">
        <v>44715</v>
      </c>
      <c r="G763" s="23">
        <v>44725</v>
      </c>
      <c r="H763" s="14" t="s">
        <v>204</v>
      </c>
      <c r="I763" s="15">
        <v>44725</v>
      </c>
      <c r="J763" s="16">
        <v>8999.86</v>
      </c>
      <c r="K763" s="16"/>
      <c r="L763" s="16"/>
      <c r="M763" s="16">
        <v>1372.86</v>
      </c>
      <c r="N763" s="16">
        <f t="shared" si="158"/>
        <v>7627.0000000000009</v>
      </c>
      <c r="O763" s="17">
        <f t="shared" si="159"/>
        <v>291</v>
      </c>
      <c r="P763" s="33">
        <v>5</v>
      </c>
      <c r="Q763" s="19">
        <f t="shared" si="160"/>
        <v>4.2027397260273975</v>
      </c>
      <c r="R763" s="32">
        <f t="shared" si="161"/>
        <v>1155.3337808219178</v>
      </c>
      <c r="S763" s="22">
        <f t="shared" si="162"/>
        <v>6471.6662191780833</v>
      </c>
      <c r="T763" s="21">
        <f t="shared" si="163"/>
        <v>7627.0000000000009</v>
      </c>
      <c r="U763" s="21">
        <f t="shared" si="164"/>
        <v>0</v>
      </c>
    </row>
    <row r="764" spans="2:21" ht="14.65">
      <c r="B764" s="13">
        <f t="shared" si="165"/>
        <v>27</v>
      </c>
      <c r="C764" s="14" t="s">
        <v>449</v>
      </c>
      <c r="D764" s="90" t="s">
        <v>3459</v>
      </c>
      <c r="E764" s="633">
        <v>92</v>
      </c>
      <c r="F764" s="23">
        <v>44758</v>
      </c>
      <c r="G764" s="23">
        <v>44758</v>
      </c>
      <c r="H764" s="14" t="s">
        <v>450</v>
      </c>
      <c r="I764" s="15">
        <v>44758</v>
      </c>
      <c r="J764" s="16">
        <v>648764</v>
      </c>
      <c r="K764" s="16"/>
      <c r="L764" s="16"/>
      <c r="M764" s="16">
        <v>98964</v>
      </c>
      <c r="N764" s="16">
        <f t="shared" si="158"/>
        <v>549800</v>
      </c>
      <c r="O764" s="17">
        <f t="shared" si="159"/>
        <v>258</v>
      </c>
      <c r="P764" s="33">
        <v>5</v>
      </c>
      <c r="Q764" s="19">
        <f t="shared" si="160"/>
        <v>4.2931506849315069</v>
      </c>
      <c r="R764" s="32">
        <f t="shared" si="161"/>
        <v>73838.893150684933</v>
      </c>
      <c r="S764" s="22">
        <f t="shared" si="162"/>
        <v>475961.10684931505</v>
      </c>
      <c r="T764" s="21">
        <f t="shared" si="163"/>
        <v>549800</v>
      </c>
      <c r="U764" s="21">
        <f t="shared" si="164"/>
        <v>0</v>
      </c>
    </row>
    <row r="765" spans="2:21" ht="14.65">
      <c r="B765" s="13">
        <f t="shared" si="165"/>
        <v>28</v>
      </c>
      <c r="C765" s="14" t="s">
        <v>451</v>
      </c>
      <c r="D765" s="90" t="s">
        <v>3459</v>
      </c>
      <c r="E765" s="633">
        <v>251</v>
      </c>
      <c r="F765" s="23">
        <v>44759</v>
      </c>
      <c r="G765" s="23">
        <v>44772</v>
      </c>
      <c r="H765" s="14" t="s">
        <v>200</v>
      </c>
      <c r="I765" s="15">
        <v>44772</v>
      </c>
      <c r="J765" s="16">
        <v>29800</v>
      </c>
      <c r="K765" s="16"/>
      <c r="L765" s="16"/>
      <c r="M765" s="16"/>
      <c r="N765" s="16">
        <f t="shared" si="158"/>
        <v>29800</v>
      </c>
      <c r="O765" s="17">
        <f t="shared" si="159"/>
        <v>244</v>
      </c>
      <c r="P765" s="33">
        <v>5</v>
      </c>
      <c r="Q765" s="19">
        <f t="shared" si="160"/>
        <v>4.3315068493150681</v>
      </c>
      <c r="R765" s="32">
        <f t="shared" si="161"/>
        <v>3785.0082191780821</v>
      </c>
      <c r="S765" s="22">
        <f t="shared" si="162"/>
        <v>26014.991780821918</v>
      </c>
      <c r="T765" s="21">
        <f t="shared" si="163"/>
        <v>29800</v>
      </c>
      <c r="U765" s="21">
        <f t="shared" si="164"/>
        <v>0</v>
      </c>
    </row>
    <row r="766" spans="2:21" ht="14.65">
      <c r="B766" s="13">
        <f t="shared" si="165"/>
        <v>29</v>
      </c>
      <c r="C766" s="14" t="s">
        <v>452</v>
      </c>
      <c r="D766" s="90" t="s">
        <v>3459</v>
      </c>
      <c r="E766" s="633">
        <v>252</v>
      </c>
      <c r="F766" s="23">
        <v>44760</v>
      </c>
      <c r="G766" s="23">
        <v>44772</v>
      </c>
      <c r="H766" s="14" t="s">
        <v>200</v>
      </c>
      <c r="I766" s="15">
        <v>44772</v>
      </c>
      <c r="J766" s="16">
        <v>48500</v>
      </c>
      <c r="K766" s="16"/>
      <c r="L766" s="16"/>
      <c r="M766" s="16"/>
      <c r="N766" s="16">
        <f t="shared" si="158"/>
        <v>48500</v>
      </c>
      <c r="O766" s="17">
        <f t="shared" si="159"/>
        <v>244</v>
      </c>
      <c r="P766" s="33">
        <v>5</v>
      </c>
      <c r="Q766" s="19">
        <f t="shared" si="160"/>
        <v>4.3315068493150681</v>
      </c>
      <c r="R766" s="32">
        <f t="shared" si="161"/>
        <v>6160.1643835616442</v>
      </c>
      <c r="S766" s="22">
        <f t="shared" si="162"/>
        <v>42339.835616438359</v>
      </c>
      <c r="T766" s="21">
        <f t="shared" si="163"/>
        <v>48500</v>
      </c>
      <c r="U766" s="21">
        <f t="shared" si="164"/>
        <v>0</v>
      </c>
    </row>
    <row r="767" spans="2:21" ht="14.65">
      <c r="B767" s="13">
        <f t="shared" si="165"/>
        <v>30</v>
      </c>
      <c r="C767" s="14" t="s">
        <v>192</v>
      </c>
      <c r="D767" s="90" t="s">
        <v>3459</v>
      </c>
      <c r="E767" s="633">
        <v>178</v>
      </c>
      <c r="F767" s="23">
        <v>44709</v>
      </c>
      <c r="G767" s="23">
        <v>44774</v>
      </c>
      <c r="H767" s="14" t="s">
        <v>453</v>
      </c>
      <c r="I767" s="15">
        <v>44774</v>
      </c>
      <c r="J767" s="16">
        <v>34000</v>
      </c>
      <c r="K767" s="16"/>
      <c r="L767" s="16"/>
      <c r="M767" s="16"/>
      <c r="N767" s="16">
        <f t="shared" si="158"/>
        <v>34000</v>
      </c>
      <c r="O767" s="17">
        <f t="shared" si="159"/>
        <v>242</v>
      </c>
      <c r="P767" s="33">
        <v>5</v>
      </c>
      <c r="Q767" s="19">
        <f t="shared" si="160"/>
        <v>4.3369863013698629</v>
      </c>
      <c r="R767" s="32">
        <f t="shared" si="161"/>
        <v>4283.0684931506848</v>
      </c>
      <c r="S767" s="22">
        <f t="shared" si="162"/>
        <v>29716.931506849316</v>
      </c>
      <c r="T767" s="21">
        <f t="shared" si="163"/>
        <v>34000</v>
      </c>
      <c r="U767" s="21">
        <f t="shared" si="164"/>
        <v>0</v>
      </c>
    </row>
    <row r="768" spans="2:21" ht="14.65">
      <c r="B768" s="13">
        <f t="shared" si="165"/>
        <v>31</v>
      </c>
      <c r="C768" s="14" t="s">
        <v>189</v>
      </c>
      <c r="D768" s="90" t="s">
        <v>3459</v>
      </c>
      <c r="E768" s="633">
        <v>181</v>
      </c>
      <c r="F768" s="23">
        <v>44785</v>
      </c>
      <c r="G768" s="23">
        <v>44785</v>
      </c>
      <c r="H768" s="14" t="s">
        <v>454</v>
      </c>
      <c r="I768" s="15">
        <v>44785</v>
      </c>
      <c r="J768" s="16">
        <v>6300</v>
      </c>
      <c r="K768" s="16"/>
      <c r="L768" s="16"/>
      <c r="M768" s="16">
        <v>961.02</v>
      </c>
      <c r="N768" s="16">
        <f t="shared" si="158"/>
        <v>5338.98</v>
      </c>
      <c r="O768" s="17">
        <f t="shared" si="159"/>
        <v>231</v>
      </c>
      <c r="P768" s="33">
        <v>5</v>
      </c>
      <c r="Q768" s="19">
        <f t="shared" si="160"/>
        <v>4.3671232876712329</v>
      </c>
      <c r="R768" s="32">
        <f t="shared" si="161"/>
        <v>641.99406082191763</v>
      </c>
      <c r="S768" s="22">
        <f t="shared" si="162"/>
        <v>4696.9859391780819</v>
      </c>
      <c r="T768" s="21">
        <f t="shared" si="163"/>
        <v>5338.98</v>
      </c>
      <c r="U768" s="21">
        <f t="shared" si="164"/>
        <v>0</v>
      </c>
    </row>
    <row r="769" spans="2:21" ht="14.65">
      <c r="B769" s="13">
        <f t="shared" si="165"/>
        <v>32</v>
      </c>
      <c r="C769" s="14" t="s">
        <v>455</v>
      </c>
      <c r="D769" s="90" t="s">
        <v>3459</v>
      </c>
      <c r="E769" s="633">
        <v>152</v>
      </c>
      <c r="F769" s="23">
        <v>44785</v>
      </c>
      <c r="G769" s="23">
        <v>44785</v>
      </c>
      <c r="H769" s="14" t="s">
        <v>456</v>
      </c>
      <c r="I769" s="15">
        <v>44785</v>
      </c>
      <c r="J769" s="16">
        <v>9920</v>
      </c>
      <c r="K769" s="16"/>
      <c r="L769" s="16"/>
      <c r="M769" s="16">
        <v>1513.22</v>
      </c>
      <c r="N769" s="16">
        <f t="shared" si="158"/>
        <v>8406.7800000000007</v>
      </c>
      <c r="O769" s="17">
        <f t="shared" si="159"/>
        <v>231</v>
      </c>
      <c r="P769" s="33">
        <v>5</v>
      </c>
      <c r="Q769" s="19">
        <f t="shared" si="160"/>
        <v>4.3671232876712329</v>
      </c>
      <c r="R769" s="32">
        <f t="shared" si="161"/>
        <v>1010.8865046575341</v>
      </c>
      <c r="S769" s="22">
        <f t="shared" si="162"/>
        <v>7395.8934953424668</v>
      </c>
      <c r="T769" s="21">
        <f t="shared" si="163"/>
        <v>8406.7800000000007</v>
      </c>
      <c r="U769" s="21">
        <f t="shared" si="164"/>
        <v>0</v>
      </c>
    </row>
    <row r="770" spans="2:21" ht="14.65">
      <c r="B770" s="13">
        <f t="shared" si="165"/>
        <v>33</v>
      </c>
      <c r="C770" s="14" t="s">
        <v>457</v>
      </c>
      <c r="D770" s="90" t="s">
        <v>3459</v>
      </c>
      <c r="E770" s="633">
        <v>153</v>
      </c>
      <c r="F770" s="23">
        <v>44786</v>
      </c>
      <c r="G770" s="23">
        <v>44798</v>
      </c>
      <c r="H770" s="14" t="s">
        <v>456</v>
      </c>
      <c r="I770" s="15">
        <v>44798</v>
      </c>
      <c r="J770" s="16">
        <v>12500</v>
      </c>
      <c r="K770" s="16"/>
      <c r="L770" s="16"/>
      <c r="M770" s="16">
        <v>1906.78</v>
      </c>
      <c r="N770" s="16">
        <f t="shared" ref="N770:N801" si="166">J770+K770-L770-M770</f>
        <v>10593.22</v>
      </c>
      <c r="O770" s="17">
        <f t="shared" ref="O770:O802" si="167">$O$1-I770</f>
        <v>218</v>
      </c>
      <c r="P770" s="33">
        <v>5</v>
      </c>
      <c r="Q770" s="19">
        <f t="shared" ref="Q770:Q801" si="168">P770-(O770/365)</f>
        <v>4.4027397260273968</v>
      </c>
      <c r="R770" s="32">
        <f t="shared" ref="R770:R802" si="169">N770*95%/P770*O770/365</f>
        <v>1202.1128010958903</v>
      </c>
      <c r="S770" s="22">
        <f t="shared" ref="S770:S801" si="170">N770-R770</f>
        <v>9391.1071989041084</v>
      </c>
      <c r="T770" s="21">
        <f t="shared" ref="T770:T802" si="171">IF(I770&lt;=DATE(2022,9,30),N770,0)</f>
        <v>10593.22</v>
      </c>
      <c r="U770" s="21">
        <f t="shared" ref="U770:U802" si="172">IF(I770&gt;DATE(2022,9,30),N770,0)</f>
        <v>0</v>
      </c>
    </row>
    <row r="771" spans="2:21" ht="14.65">
      <c r="B771" s="13">
        <f t="shared" si="165"/>
        <v>34</v>
      </c>
      <c r="C771" s="14" t="s">
        <v>458</v>
      </c>
      <c r="D771" s="90" t="s">
        <v>3459</v>
      </c>
      <c r="E771" s="633">
        <v>232</v>
      </c>
      <c r="F771" s="23">
        <v>44804</v>
      </c>
      <c r="G771" s="23">
        <v>44804</v>
      </c>
      <c r="H771" s="14" t="s">
        <v>454</v>
      </c>
      <c r="I771" s="15">
        <v>44804</v>
      </c>
      <c r="J771" s="16">
        <v>5300</v>
      </c>
      <c r="K771" s="16"/>
      <c r="L771" s="16"/>
      <c r="M771" s="16">
        <v>808.48</v>
      </c>
      <c r="N771" s="16">
        <f t="shared" si="166"/>
        <v>4491.5200000000004</v>
      </c>
      <c r="O771" s="17">
        <f t="shared" si="167"/>
        <v>212</v>
      </c>
      <c r="P771" s="33">
        <v>5</v>
      </c>
      <c r="Q771" s="19">
        <f t="shared" si="168"/>
        <v>4.419178082191781</v>
      </c>
      <c r="R771" s="32">
        <f t="shared" si="169"/>
        <v>495.66691945205486</v>
      </c>
      <c r="S771" s="22">
        <f t="shared" si="170"/>
        <v>3995.8530805479454</v>
      </c>
      <c r="T771" s="21">
        <f t="shared" si="171"/>
        <v>4491.5200000000004</v>
      </c>
      <c r="U771" s="21">
        <f t="shared" si="172"/>
        <v>0</v>
      </c>
    </row>
    <row r="772" spans="2:21" ht="14.65">
      <c r="B772" s="13">
        <f t="shared" si="165"/>
        <v>35</v>
      </c>
      <c r="C772" s="14" t="s">
        <v>184</v>
      </c>
      <c r="D772" s="90" t="s">
        <v>3459</v>
      </c>
      <c r="E772" s="633">
        <v>315</v>
      </c>
      <c r="F772" s="23">
        <v>44809</v>
      </c>
      <c r="G772" s="23">
        <v>44809</v>
      </c>
      <c r="H772" s="14" t="s">
        <v>456</v>
      </c>
      <c r="I772" s="15">
        <v>44809</v>
      </c>
      <c r="J772" s="16">
        <v>3800</v>
      </c>
      <c r="K772" s="16"/>
      <c r="L772" s="16"/>
      <c r="M772" s="16">
        <v>578.66</v>
      </c>
      <c r="N772" s="16">
        <f t="shared" si="166"/>
        <v>3221.34</v>
      </c>
      <c r="O772" s="17">
        <f t="shared" si="167"/>
        <v>207</v>
      </c>
      <c r="P772" s="33">
        <v>5</v>
      </c>
      <c r="Q772" s="19">
        <f t="shared" si="168"/>
        <v>4.4328767123287669</v>
      </c>
      <c r="R772" s="32">
        <f t="shared" si="169"/>
        <v>347.1104169863014</v>
      </c>
      <c r="S772" s="22">
        <f t="shared" si="170"/>
        <v>2874.2295830136986</v>
      </c>
      <c r="T772" s="21">
        <f t="shared" si="171"/>
        <v>3221.34</v>
      </c>
      <c r="U772" s="21">
        <f t="shared" si="172"/>
        <v>0</v>
      </c>
    </row>
    <row r="773" spans="2:21" ht="14.65">
      <c r="B773" s="13">
        <f t="shared" si="165"/>
        <v>36</v>
      </c>
      <c r="C773" s="14" t="s">
        <v>184</v>
      </c>
      <c r="D773" s="90" t="s">
        <v>3459</v>
      </c>
      <c r="E773" s="633">
        <v>177</v>
      </c>
      <c r="F773" s="23">
        <v>44814</v>
      </c>
      <c r="G773" s="23">
        <v>44814</v>
      </c>
      <c r="H773" s="14" t="s">
        <v>456</v>
      </c>
      <c r="I773" s="15">
        <v>44814</v>
      </c>
      <c r="J773" s="16">
        <v>21100</v>
      </c>
      <c r="K773" s="16"/>
      <c r="L773" s="16"/>
      <c r="M773" s="16">
        <v>3218.64</v>
      </c>
      <c r="N773" s="16">
        <f t="shared" si="166"/>
        <v>17881.36</v>
      </c>
      <c r="O773" s="17">
        <f t="shared" si="167"/>
        <v>202</v>
      </c>
      <c r="P773" s="33">
        <v>5</v>
      </c>
      <c r="Q773" s="19">
        <f t="shared" si="168"/>
        <v>4.4465753424657537</v>
      </c>
      <c r="R773" s="32">
        <f t="shared" si="169"/>
        <v>1880.2372515068494</v>
      </c>
      <c r="S773" s="22">
        <f t="shared" si="170"/>
        <v>16001.122748493151</v>
      </c>
      <c r="T773" s="21">
        <f t="shared" si="171"/>
        <v>17881.36</v>
      </c>
      <c r="U773" s="21">
        <f t="shared" si="172"/>
        <v>0</v>
      </c>
    </row>
    <row r="774" spans="2:21" ht="14.65">
      <c r="B774" s="13">
        <f t="shared" si="165"/>
        <v>37</v>
      </c>
      <c r="C774" s="14" t="s">
        <v>459</v>
      </c>
      <c r="D774" s="90" t="s">
        <v>3459</v>
      </c>
      <c r="E774" s="633">
        <v>293</v>
      </c>
      <c r="F774" s="23">
        <v>44819</v>
      </c>
      <c r="G774" s="23">
        <v>44824</v>
      </c>
      <c r="H774" s="14" t="s">
        <v>200</v>
      </c>
      <c r="I774" s="15">
        <v>44824</v>
      </c>
      <c r="J774" s="16">
        <v>250000</v>
      </c>
      <c r="K774" s="16"/>
      <c r="L774" s="16"/>
      <c r="M774" s="16"/>
      <c r="N774" s="16">
        <f t="shared" si="166"/>
        <v>250000</v>
      </c>
      <c r="O774" s="17">
        <f t="shared" si="167"/>
        <v>192</v>
      </c>
      <c r="P774" s="33">
        <v>5</v>
      </c>
      <c r="Q774" s="19">
        <f t="shared" si="168"/>
        <v>4.4739726027397264</v>
      </c>
      <c r="R774" s="32">
        <f t="shared" si="169"/>
        <v>24986.301369863013</v>
      </c>
      <c r="S774" s="22">
        <f t="shared" si="170"/>
        <v>225013.69863013699</v>
      </c>
      <c r="T774" s="21">
        <f t="shared" si="171"/>
        <v>250000</v>
      </c>
      <c r="U774" s="21">
        <f t="shared" si="172"/>
        <v>0</v>
      </c>
    </row>
    <row r="775" spans="2:21" ht="14.65">
      <c r="B775" s="13">
        <f t="shared" si="165"/>
        <v>38</v>
      </c>
      <c r="C775" s="14" t="s">
        <v>459</v>
      </c>
      <c r="D775" s="90" t="s">
        <v>3459</v>
      </c>
      <c r="E775" s="633">
        <v>289</v>
      </c>
      <c r="F775" s="23">
        <v>44828</v>
      </c>
      <c r="G775" s="23">
        <v>44828</v>
      </c>
      <c r="H775" s="14" t="s">
        <v>200</v>
      </c>
      <c r="I775" s="15">
        <v>44828</v>
      </c>
      <c r="J775" s="16">
        <v>29000</v>
      </c>
      <c r="K775" s="16"/>
      <c r="L775" s="16"/>
      <c r="M775" s="16"/>
      <c r="N775" s="16">
        <f t="shared" si="166"/>
        <v>29000</v>
      </c>
      <c r="O775" s="17">
        <f t="shared" si="167"/>
        <v>188</v>
      </c>
      <c r="P775" s="33">
        <v>5</v>
      </c>
      <c r="Q775" s="19">
        <f t="shared" si="168"/>
        <v>4.484931506849315</v>
      </c>
      <c r="R775" s="32">
        <f t="shared" si="169"/>
        <v>2838.027397260274</v>
      </c>
      <c r="S775" s="22">
        <f t="shared" si="170"/>
        <v>26161.972602739726</v>
      </c>
      <c r="T775" s="21">
        <f t="shared" si="171"/>
        <v>29000</v>
      </c>
      <c r="U775" s="21">
        <f t="shared" si="172"/>
        <v>0</v>
      </c>
    </row>
    <row r="776" spans="2:21" ht="14.65">
      <c r="B776" s="13">
        <f t="shared" si="165"/>
        <v>39</v>
      </c>
      <c r="C776" s="14" t="s">
        <v>459</v>
      </c>
      <c r="D776" s="90" t="s">
        <v>3459</v>
      </c>
      <c r="E776" s="633">
        <v>290</v>
      </c>
      <c r="F776" s="23">
        <v>44828</v>
      </c>
      <c r="G776" s="23">
        <v>44828</v>
      </c>
      <c r="H776" s="14" t="s">
        <v>200</v>
      </c>
      <c r="I776" s="15">
        <v>44828</v>
      </c>
      <c r="J776" s="16">
        <v>18600</v>
      </c>
      <c r="K776" s="16"/>
      <c r="L776" s="16"/>
      <c r="M776" s="16"/>
      <c r="N776" s="16">
        <f t="shared" si="166"/>
        <v>18600</v>
      </c>
      <c r="O776" s="17">
        <f t="shared" si="167"/>
        <v>188</v>
      </c>
      <c r="P776" s="33">
        <v>5</v>
      </c>
      <c r="Q776" s="19">
        <f t="shared" si="168"/>
        <v>4.484931506849315</v>
      </c>
      <c r="R776" s="32">
        <f t="shared" si="169"/>
        <v>1820.2520547945205</v>
      </c>
      <c r="S776" s="22">
        <f t="shared" si="170"/>
        <v>16779.747945205479</v>
      </c>
      <c r="T776" s="21">
        <f t="shared" si="171"/>
        <v>18600</v>
      </c>
      <c r="U776" s="21">
        <f t="shared" si="172"/>
        <v>0</v>
      </c>
    </row>
    <row r="777" spans="2:21" ht="14.65">
      <c r="B777" s="13">
        <f t="shared" si="165"/>
        <v>40</v>
      </c>
      <c r="C777" s="14" t="s">
        <v>804</v>
      </c>
      <c r="D777" s="90" t="s">
        <v>3459</v>
      </c>
      <c r="E777" s="633">
        <v>217</v>
      </c>
      <c r="F777" s="23">
        <v>44880</v>
      </c>
      <c r="G777" s="23">
        <v>44895</v>
      </c>
      <c r="H777" s="14" t="s">
        <v>456</v>
      </c>
      <c r="I777" s="15">
        <v>44895</v>
      </c>
      <c r="J777" s="16">
        <v>12700</v>
      </c>
      <c r="K777" s="16"/>
      <c r="L777" s="16"/>
      <c r="M777" s="16">
        <v>1937.28</v>
      </c>
      <c r="N777" s="16">
        <f t="shared" si="166"/>
        <v>10762.72</v>
      </c>
      <c r="O777" s="17">
        <f t="shared" si="167"/>
        <v>121</v>
      </c>
      <c r="P777" s="33">
        <v>5</v>
      </c>
      <c r="Q777" s="19">
        <f t="shared" si="168"/>
        <v>4.6684931506849319</v>
      </c>
      <c r="R777" s="32">
        <f t="shared" si="169"/>
        <v>677.90392547945203</v>
      </c>
      <c r="S777" s="22">
        <f t="shared" si="170"/>
        <v>10084.816074520548</v>
      </c>
      <c r="T777" s="21">
        <f t="shared" si="171"/>
        <v>0</v>
      </c>
      <c r="U777" s="21">
        <f t="shared" si="172"/>
        <v>10762.72</v>
      </c>
    </row>
    <row r="778" spans="2:21" ht="14.65">
      <c r="B778" s="13">
        <f t="shared" si="165"/>
        <v>41</v>
      </c>
      <c r="C778" s="14" t="s">
        <v>804</v>
      </c>
      <c r="D778" s="90" t="s">
        <v>3459</v>
      </c>
      <c r="E778" s="633">
        <v>412</v>
      </c>
      <c r="F778" s="23">
        <v>44882</v>
      </c>
      <c r="G778" s="23">
        <v>44895</v>
      </c>
      <c r="H778" s="14" t="s">
        <v>815</v>
      </c>
      <c r="I778" s="15">
        <v>44895</v>
      </c>
      <c r="J778" s="16">
        <v>6750</v>
      </c>
      <c r="K778" s="16"/>
      <c r="L778" s="16"/>
      <c r="M778" s="16">
        <v>1029.6600000000001</v>
      </c>
      <c r="N778" s="16">
        <f t="shared" si="166"/>
        <v>5720.34</v>
      </c>
      <c r="O778" s="17">
        <f t="shared" si="167"/>
        <v>121</v>
      </c>
      <c r="P778" s="33">
        <v>5</v>
      </c>
      <c r="Q778" s="19">
        <f t="shared" si="168"/>
        <v>4.6684931506849319</v>
      </c>
      <c r="R778" s="32">
        <f t="shared" si="169"/>
        <v>360.30305917808221</v>
      </c>
      <c r="S778" s="22">
        <f t="shared" si="170"/>
        <v>5360.0369408219176</v>
      </c>
      <c r="T778" s="21">
        <f t="shared" si="171"/>
        <v>0</v>
      </c>
      <c r="U778" s="21">
        <f t="shared" si="172"/>
        <v>5720.34</v>
      </c>
    </row>
    <row r="779" spans="2:21" ht="14.65">
      <c r="B779" s="13">
        <f t="shared" si="165"/>
        <v>42</v>
      </c>
      <c r="C779" s="530" t="s">
        <v>32</v>
      </c>
      <c r="D779" s="90" t="s">
        <v>3459</v>
      </c>
      <c r="E779" s="629">
        <v>265</v>
      </c>
      <c r="F779" s="623">
        <v>44949</v>
      </c>
      <c r="G779" s="623">
        <v>44957</v>
      </c>
      <c r="H779" s="530" t="s">
        <v>456</v>
      </c>
      <c r="I779" s="623">
        <v>44957</v>
      </c>
      <c r="J779" s="619">
        <v>9800</v>
      </c>
      <c r="K779" s="619"/>
      <c r="L779" s="619"/>
      <c r="M779" s="619">
        <v>1494.92</v>
      </c>
      <c r="N779" s="619">
        <f t="shared" si="166"/>
        <v>8305.08</v>
      </c>
      <c r="O779" s="17">
        <f t="shared" si="167"/>
        <v>59</v>
      </c>
      <c r="P779" s="33">
        <v>5</v>
      </c>
      <c r="Q779" s="617">
        <f t="shared" si="168"/>
        <v>4.838356164383562</v>
      </c>
      <c r="R779" s="625">
        <f t="shared" si="169"/>
        <v>255.06834739726025</v>
      </c>
      <c r="S779" s="625">
        <f t="shared" si="170"/>
        <v>8050.0116526027396</v>
      </c>
      <c r="T779" s="616">
        <f t="shared" si="171"/>
        <v>0</v>
      </c>
      <c r="U779" s="616">
        <f t="shared" si="172"/>
        <v>8305.08</v>
      </c>
    </row>
    <row r="780" spans="2:21" ht="14.65">
      <c r="B780" s="13">
        <f t="shared" si="165"/>
        <v>43</v>
      </c>
      <c r="C780" s="14" t="s">
        <v>184</v>
      </c>
      <c r="D780" s="90" t="s">
        <v>3459</v>
      </c>
      <c r="E780" s="629">
        <v>278</v>
      </c>
      <c r="F780" s="623">
        <v>44975</v>
      </c>
      <c r="G780" s="623">
        <v>44975</v>
      </c>
      <c r="H780" s="530" t="s">
        <v>456</v>
      </c>
      <c r="I780" s="623">
        <v>44975</v>
      </c>
      <c r="J780" s="619">
        <v>26100</v>
      </c>
      <c r="K780" s="619"/>
      <c r="L780" s="619"/>
      <c r="M780" s="619">
        <f>1991+1991</f>
        <v>3982</v>
      </c>
      <c r="N780" s="619">
        <f t="shared" si="166"/>
        <v>22118</v>
      </c>
      <c r="O780" s="17">
        <f t="shared" si="167"/>
        <v>41</v>
      </c>
      <c r="P780" s="33">
        <v>5</v>
      </c>
      <c r="Q780" s="617">
        <f t="shared" si="168"/>
        <v>4.8876712328767127</v>
      </c>
      <c r="R780" s="625">
        <f t="shared" si="169"/>
        <v>472.05265753424658</v>
      </c>
      <c r="S780" s="625">
        <f t="shared" si="170"/>
        <v>21645.947342465752</v>
      </c>
      <c r="T780" s="616">
        <f t="shared" si="171"/>
        <v>0</v>
      </c>
      <c r="U780" s="616">
        <f t="shared" si="172"/>
        <v>22118</v>
      </c>
    </row>
    <row r="781" spans="2:21" ht="14.65">
      <c r="B781" s="13">
        <f t="shared" si="165"/>
        <v>44</v>
      </c>
      <c r="C781" s="530" t="s">
        <v>32</v>
      </c>
      <c r="D781" s="90" t="s">
        <v>3459</v>
      </c>
      <c r="E781" s="629">
        <v>327</v>
      </c>
      <c r="F781" s="623">
        <v>44962</v>
      </c>
      <c r="G781" s="623">
        <v>44962</v>
      </c>
      <c r="H781" s="14" t="s">
        <v>200</v>
      </c>
      <c r="I781" s="623">
        <v>44962</v>
      </c>
      <c r="J781" s="619">
        <v>31000</v>
      </c>
      <c r="K781" s="619"/>
      <c r="L781" s="619"/>
      <c r="M781" s="619"/>
      <c r="N781" s="619">
        <f t="shared" si="166"/>
        <v>31000</v>
      </c>
      <c r="O781" s="17">
        <f t="shared" si="167"/>
        <v>54</v>
      </c>
      <c r="P781" s="33">
        <v>5</v>
      </c>
      <c r="Q781" s="617">
        <f t="shared" si="168"/>
        <v>4.8520547945205479</v>
      </c>
      <c r="R781" s="625">
        <f t="shared" si="169"/>
        <v>871.39726027397262</v>
      </c>
      <c r="S781" s="625">
        <f t="shared" si="170"/>
        <v>30128.602739726026</v>
      </c>
      <c r="T781" s="616">
        <f t="shared" si="171"/>
        <v>0</v>
      </c>
      <c r="U781" s="616">
        <f t="shared" si="172"/>
        <v>31000</v>
      </c>
    </row>
    <row r="782" spans="2:21" ht="14.65">
      <c r="B782" s="13">
        <f t="shared" si="165"/>
        <v>45</v>
      </c>
      <c r="C782" s="14" t="s">
        <v>805</v>
      </c>
      <c r="D782" s="26" t="s">
        <v>22</v>
      </c>
      <c r="E782" s="633">
        <v>65</v>
      </c>
      <c r="F782" s="23">
        <v>44817</v>
      </c>
      <c r="G782" s="23">
        <v>44849</v>
      </c>
      <c r="H782" s="14" t="s">
        <v>206</v>
      </c>
      <c r="I782" s="15">
        <v>44849</v>
      </c>
      <c r="J782" s="16">
        <v>82600</v>
      </c>
      <c r="K782" s="16"/>
      <c r="L782" s="16"/>
      <c r="M782" s="16">
        <v>12600</v>
      </c>
      <c r="N782" s="16">
        <f t="shared" si="166"/>
        <v>70000</v>
      </c>
      <c r="O782" s="17">
        <f t="shared" si="167"/>
        <v>167</v>
      </c>
      <c r="P782" s="33">
        <v>5</v>
      </c>
      <c r="Q782" s="19">
        <f t="shared" si="168"/>
        <v>4.5424657534246577</v>
      </c>
      <c r="R782" s="32">
        <f t="shared" si="169"/>
        <v>6085.2054794520545</v>
      </c>
      <c r="S782" s="22">
        <f t="shared" si="170"/>
        <v>63914.794520547948</v>
      </c>
      <c r="T782" s="21">
        <f t="shared" si="171"/>
        <v>0</v>
      </c>
      <c r="U782" s="21">
        <f t="shared" si="172"/>
        <v>70000</v>
      </c>
    </row>
    <row r="783" spans="2:21" ht="14.65">
      <c r="B783" s="13">
        <f t="shared" si="165"/>
        <v>46</v>
      </c>
      <c r="C783" s="14" t="s">
        <v>190</v>
      </c>
      <c r="D783" s="14" t="s">
        <v>29</v>
      </c>
      <c r="E783" s="633">
        <v>481</v>
      </c>
      <c r="F783" s="23">
        <v>44726</v>
      </c>
      <c r="G783" s="23">
        <v>44726</v>
      </c>
      <c r="H783" s="14" t="s">
        <v>205</v>
      </c>
      <c r="I783" s="15">
        <v>44726</v>
      </c>
      <c r="J783" s="16">
        <v>34899.68</v>
      </c>
      <c r="K783" s="16"/>
      <c r="L783" s="16"/>
      <c r="M783" s="16">
        <v>5323.6799999999994</v>
      </c>
      <c r="N783" s="16">
        <f t="shared" si="166"/>
        <v>29576</v>
      </c>
      <c r="O783" s="17">
        <f t="shared" si="167"/>
        <v>290</v>
      </c>
      <c r="P783" s="33">
        <v>5</v>
      </c>
      <c r="Q783" s="19">
        <f t="shared" si="168"/>
        <v>4.2054794520547949</v>
      </c>
      <c r="R783" s="32">
        <f t="shared" si="169"/>
        <v>4464.760547945205</v>
      </c>
      <c r="S783" s="22">
        <f t="shared" si="170"/>
        <v>25111.239452054797</v>
      </c>
      <c r="T783" s="21">
        <f t="shared" si="171"/>
        <v>29576</v>
      </c>
      <c r="U783" s="21">
        <f t="shared" si="172"/>
        <v>0</v>
      </c>
    </row>
    <row r="784" spans="2:21" ht="14.65">
      <c r="B784" s="13">
        <f t="shared" si="165"/>
        <v>47</v>
      </c>
      <c r="C784" s="14" t="s">
        <v>460</v>
      </c>
      <c r="D784" s="26" t="s">
        <v>29</v>
      </c>
      <c r="E784" s="633">
        <v>576</v>
      </c>
      <c r="F784" s="23">
        <v>44749</v>
      </c>
      <c r="G784" s="23">
        <v>44757</v>
      </c>
      <c r="H784" s="14" t="s">
        <v>205</v>
      </c>
      <c r="I784" s="15">
        <v>44757</v>
      </c>
      <c r="J784" s="16">
        <v>31090</v>
      </c>
      <c r="K784" s="16"/>
      <c r="L784" s="16"/>
      <c r="M784" s="16">
        <v>4742</v>
      </c>
      <c r="N784" s="16">
        <f t="shared" si="166"/>
        <v>26348</v>
      </c>
      <c r="O784" s="17">
        <f t="shared" si="167"/>
        <v>259</v>
      </c>
      <c r="P784" s="33">
        <v>5</v>
      </c>
      <c r="Q784" s="19">
        <f t="shared" si="168"/>
        <v>4.2904109589041095</v>
      </c>
      <c r="R784" s="32">
        <f t="shared" si="169"/>
        <v>3552.2878904109593</v>
      </c>
      <c r="S784" s="22">
        <f t="shared" si="170"/>
        <v>22795.71210958904</v>
      </c>
      <c r="T784" s="21">
        <f t="shared" si="171"/>
        <v>26348</v>
      </c>
      <c r="U784" s="21">
        <f t="shared" si="172"/>
        <v>0</v>
      </c>
    </row>
    <row r="785" spans="2:23" ht="14.65">
      <c r="B785" s="13">
        <f t="shared" si="165"/>
        <v>48</v>
      </c>
      <c r="C785" s="14" t="s">
        <v>461</v>
      </c>
      <c r="D785" s="26" t="s">
        <v>29</v>
      </c>
      <c r="E785" s="633">
        <v>655</v>
      </c>
      <c r="F785" s="23">
        <v>44784</v>
      </c>
      <c r="G785" s="23">
        <v>44784</v>
      </c>
      <c r="H785" s="14" t="s">
        <v>205</v>
      </c>
      <c r="I785" s="15">
        <v>44784</v>
      </c>
      <c r="J785" s="16">
        <v>13600</v>
      </c>
      <c r="K785" s="16"/>
      <c r="L785" s="16"/>
      <c r="M785" s="16">
        <v>2074.58</v>
      </c>
      <c r="N785" s="16">
        <f t="shared" si="166"/>
        <v>11525.42</v>
      </c>
      <c r="O785" s="17">
        <f t="shared" si="167"/>
        <v>232</v>
      </c>
      <c r="P785" s="33">
        <v>5</v>
      </c>
      <c r="Q785" s="19">
        <f t="shared" si="168"/>
        <v>4.3643835616438356</v>
      </c>
      <c r="R785" s="32">
        <f t="shared" si="169"/>
        <v>1391.8918180821918</v>
      </c>
      <c r="S785" s="22">
        <f t="shared" si="170"/>
        <v>10133.528181917809</v>
      </c>
      <c r="T785" s="21">
        <f t="shared" si="171"/>
        <v>11525.42</v>
      </c>
      <c r="U785" s="21">
        <f t="shared" si="172"/>
        <v>0</v>
      </c>
    </row>
    <row r="786" spans="2:23" ht="14.65">
      <c r="B786" s="13">
        <f t="shared" si="165"/>
        <v>49</v>
      </c>
      <c r="C786" s="14" t="s">
        <v>462</v>
      </c>
      <c r="D786" s="26" t="s">
        <v>29</v>
      </c>
      <c r="E786" s="633">
        <v>673</v>
      </c>
      <c r="F786" s="23">
        <v>44796</v>
      </c>
      <c r="G786" s="23">
        <v>44796</v>
      </c>
      <c r="H786" s="14" t="s">
        <v>205</v>
      </c>
      <c r="I786" s="15">
        <v>44796</v>
      </c>
      <c r="J786" s="16">
        <v>96400</v>
      </c>
      <c r="K786" s="16"/>
      <c r="L786" s="16"/>
      <c r="M786" s="16">
        <v>14705</v>
      </c>
      <c r="N786" s="16">
        <f t="shared" si="166"/>
        <v>81695</v>
      </c>
      <c r="O786" s="17">
        <f t="shared" si="167"/>
        <v>220</v>
      </c>
      <c r="P786" s="33">
        <v>5</v>
      </c>
      <c r="Q786" s="19">
        <f t="shared" si="168"/>
        <v>4.397260273972603</v>
      </c>
      <c r="R786" s="32">
        <f t="shared" si="169"/>
        <v>9355.7561643835616</v>
      </c>
      <c r="S786" s="22">
        <f t="shared" si="170"/>
        <v>72339.243835616435</v>
      </c>
      <c r="T786" s="21">
        <f t="shared" si="171"/>
        <v>81695</v>
      </c>
      <c r="U786" s="21">
        <f t="shared" si="172"/>
        <v>0</v>
      </c>
    </row>
    <row r="787" spans="2:23" ht="14.65">
      <c r="B787" s="13">
        <f t="shared" si="165"/>
        <v>50</v>
      </c>
      <c r="C787" s="14" t="s">
        <v>463</v>
      </c>
      <c r="D787" s="26" t="s">
        <v>29</v>
      </c>
      <c r="E787" s="633">
        <v>727</v>
      </c>
      <c r="F787" s="23">
        <v>44800</v>
      </c>
      <c r="G787" s="23">
        <v>44800</v>
      </c>
      <c r="H787" s="14" t="s">
        <v>205</v>
      </c>
      <c r="I787" s="15">
        <v>44800</v>
      </c>
      <c r="J787" s="16">
        <v>59000</v>
      </c>
      <c r="K787" s="16"/>
      <c r="L787" s="16"/>
      <c r="M787" s="16">
        <v>9000</v>
      </c>
      <c r="N787" s="16">
        <f t="shared" si="166"/>
        <v>50000</v>
      </c>
      <c r="O787" s="17">
        <f t="shared" si="167"/>
        <v>216</v>
      </c>
      <c r="P787" s="33">
        <v>5</v>
      </c>
      <c r="Q787" s="19">
        <f t="shared" si="168"/>
        <v>4.4082191780821915</v>
      </c>
      <c r="R787" s="32">
        <f t="shared" si="169"/>
        <v>5621.9178082191784</v>
      </c>
      <c r="S787" s="22">
        <f t="shared" si="170"/>
        <v>44378.082191780821</v>
      </c>
      <c r="T787" s="21">
        <f t="shared" si="171"/>
        <v>50000</v>
      </c>
      <c r="U787" s="21">
        <f t="shared" si="172"/>
        <v>0</v>
      </c>
    </row>
    <row r="788" spans="2:23" ht="14.65">
      <c r="B788" s="13">
        <f t="shared" si="165"/>
        <v>51</v>
      </c>
      <c r="C788" s="14" t="s">
        <v>186</v>
      </c>
      <c r="D788" s="26" t="s">
        <v>29</v>
      </c>
      <c r="E788" s="633">
        <v>1</v>
      </c>
      <c r="F788" s="23">
        <v>44778</v>
      </c>
      <c r="G788" s="23">
        <v>44806</v>
      </c>
      <c r="H788" s="14" t="s">
        <v>464</v>
      </c>
      <c r="I788" s="15">
        <v>44806</v>
      </c>
      <c r="J788" s="16">
        <v>48300</v>
      </c>
      <c r="K788" s="16"/>
      <c r="L788" s="16"/>
      <c r="M788" s="16"/>
      <c r="N788" s="16">
        <f t="shared" si="166"/>
        <v>48300</v>
      </c>
      <c r="O788" s="17">
        <f t="shared" si="167"/>
        <v>210</v>
      </c>
      <c r="P788" s="33">
        <v>5</v>
      </c>
      <c r="Q788" s="19">
        <f t="shared" si="168"/>
        <v>4.4246575342465757</v>
      </c>
      <c r="R788" s="32">
        <f t="shared" si="169"/>
        <v>5279.9178082191784</v>
      </c>
      <c r="S788" s="22">
        <f t="shared" si="170"/>
        <v>43020.082191780821</v>
      </c>
      <c r="T788" s="21">
        <f t="shared" si="171"/>
        <v>48300</v>
      </c>
      <c r="U788" s="21">
        <f t="shared" si="172"/>
        <v>0</v>
      </c>
    </row>
    <row r="789" spans="2:23" ht="14.65">
      <c r="B789" s="13">
        <f t="shared" si="165"/>
        <v>52</v>
      </c>
      <c r="C789" s="14" t="s">
        <v>186</v>
      </c>
      <c r="D789" s="26" t="s">
        <v>29</v>
      </c>
      <c r="E789" s="633">
        <v>2</v>
      </c>
      <c r="F789" s="23">
        <v>44798</v>
      </c>
      <c r="G789" s="23">
        <v>44806</v>
      </c>
      <c r="H789" s="14" t="s">
        <v>464</v>
      </c>
      <c r="I789" s="15">
        <v>44806</v>
      </c>
      <c r="J789" s="16">
        <v>34500</v>
      </c>
      <c r="K789" s="16"/>
      <c r="L789" s="16"/>
      <c r="M789" s="16"/>
      <c r="N789" s="16">
        <f t="shared" si="166"/>
        <v>34500</v>
      </c>
      <c r="O789" s="17">
        <f t="shared" si="167"/>
        <v>210</v>
      </c>
      <c r="P789" s="33">
        <v>5</v>
      </c>
      <c r="Q789" s="19">
        <f t="shared" si="168"/>
        <v>4.4246575342465757</v>
      </c>
      <c r="R789" s="32">
        <f t="shared" si="169"/>
        <v>3771.3698630136987</v>
      </c>
      <c r="S789" s="22">
        <f t="shared" si="170"/>
        <v>30728.630136986299</v>
      </c>
      <c r="T789" s="21">
        <f t="shared" si="171"/>
        <v>34500</v>
      </c>
      <c r="U789" s="21">
        <f t="shared" si="172"/>
        <v>0</v>
      </c>
    </row>
    <row r="790" spans="2:23" ht="14.65">
      <c r="B790" s="13">
        <f t="shared" si="165"/>
        <v>53</v>
      </c>
      <c r="C790" s="14" t="s">
        <v>465</v>
      </c>
      <c r="D790" s="26" t="s">
        <v>29</v>
      </c>
      <c r="E790" s="633">
        <v>774</v>
      </c>
      <c r="F790" s="23">
        <v>44821</v>
      </c>
      <c r="G790" s="23">
        <v>44824</v>
      </c>
      <c r="H790" s="14" t="s">
        <v>205</v>
      </c>
      <c r="I790" s="15">
        <v>44824</v>
      </c>
      <c r="J790" s="16">
        <v>31860</v>
      </c>
      <c r="K790" s="16"/>
      <c r="L790" s="16"/>
      <c r="M790" s="16">
        <v>4860</v>
      </c>
      <c r="N790" s="16">
        <f t="shared" si="166"/>
        <v>27000</v>
      </c>
      <c r="O790" s="17">
        <f t="shared" si="167"/>
        <v>192</v>
      </c>
      <c r="P790" s="33">
        <v>5</v>
      </c>
      <c r="Q790" s="19">
        <f t="shared" si="168"/>
        <v>4.4739726027397264</v>
      </c>
      <c r="R790" s="32">
        <f t="shared" si="169"/>
        <v>2698.5205479452056</v>
      </c>
      <c r="S790" s="22">
        <f t="shared" si="170"/>
        <v>24301.479452054795</v>
      </c>
      <c r="T790" s="21">
        <f t="shared" si="171"/>
        <v>27000</v>
      </c>
      <c r="U790" s="21">
        <f t="shared" si="172"/>
        <v>0</v>
      </c>
    </row>
    <row r="791" spans="2:23" ht="14.65">
      <c r="B791" s="13">
        <f t="shared" si="165"/>
        <v>54</v>
      </c>
      <c r="C791" s="14" t="s">
        <v>184</v>
      </c>
      <c r="D791" s="26" t="s">
        <v>29</v>
      </c>
      <c r="E791" s="633">
        <v>755</v>
      </c>
      <c r="F791" s="23">
        <v>44868</v>
      </c>
      <c r="G791" s="23">
        <v>44869</v>
      </c>
      <c r="H791" s="14" t="s">
        <v>816</v>
      </c>
      <c r="I791" s="15">
        <v>44869</v>
      </c>
      <c r="J791" s="16">
        <v>96430</v>
      </c>
      <c r="K791" s="16"/>
      <c r="L791" s="16"/>
      <c r="M791" s="16">
        <v>14710</v>
      </c>
      <c r="N791" s="16">
        <f t="shared" si="166"/>
        <v>81720</v>
      </c>
      <c r="O791" s="17">
        <f t="shared" si="167"/>
        <v>147</v>
      </c>
      <c r="P791" s="33">
        <v>5</v>
      </c>
      <c r="Q791" s="19">
        <f t="shared" si="168"/>
        <v>4.5972602739726032</v>
      </c>
      <c r="R791" s="32">
        <f t="shared" si="169"/>
        <v>6253.2591780821922</v>
      </c>
      <c r="S791" s="22">
        <f t="shared" si="170"/>
        <v>75466.740821917803</v>
      </c>
      <c r="T791" s="21">
        <f t="shared" si="171"/>
        <v>0</v>
      </c>
      <c r="U791" s="21">
        <f t="shared" si="172"/>
        <v>81720</v>
      </c>
    </row>
    <row r="792" spans="2:23" ht="14.65">
      <c r="B792" s="13">
        <f t="shared" si="165"/>
        <v>55</v>
      </c>
      <c r="C792" s="14" t="s">
        <v>806</v>
      </c>
      <c r="D792" s="26" t="s">
        <v>29</v>
      </c>
      <c r="E792" s="633">
        <v>1004</v>
      </c>
      <c r="F792" s="23">
        <v>44893</v>
      </c>
      <c r="G792" s="23">
        <v>44893</v>
      </c>
      <c r="H792" s="14" t="s">
        <v>205</v>
      </c>
      <c r="I792" s="15">
        <v>44893</v>
      </c>
      <c r="J792" s="16">
        <v>141600</v>
      </c>
      <c r="K792" s="16"/>
      <c r="L792" s="16"/>
      <c r="M792" s="16">
        <v>21600</v>
      </c>
      <c r="N792" s="16">
        <f t="shared" si="166"/>
        <v>120000</v>
      </c>
      <c r="O792" s="17">
        <f t="shared" si="167"/>
        <v>123</v>
      </c>
      <c r="P792" s="33">
        <v>5</v>
      </c>
      <c r="Q792" s="19">
        <f t="shared" si="168"/>
        <v>4.6630136986301371</v>
      </c>
      <c r="R792" s="32">
        <f t="shared" si="169"/>
        <v>7683.2876712328771</v>
      </c>
      <c r="S792" s="22">
        <f t="shared" si="170"/>
        <v>112316.71232876713</v>
      </c>
      <c r="T792" s="21">
        <f t="shared" si="171"/>
        <v>0</v>
      </c>
      <c r="U792" s="21">
        <f t="shared" si="172"/>
        <v>120000</v>
      </c>
    </row>
    <row r="793" spans="2:23" ht="14.65">
      <c r="B793" s="13">
        <f t="shared" si="165"/>
        <v>56</v>
      </c>
      <c r="C793" s="14" t="s">
        <v>806</v>
      </c>
      <c r="D793" s="26" t="s">
        <v>29</v>
      </c>
      <c r="E793" s="633">
        <v>1008</v>
      </c>
      <c r="F793" s="23">
        <v>44895</v>
      </c>
      <c r="G793" s="23">
        <v>44895</v>
      </c>
      <c r="H793" s="14" t="s">
        <v>205</v>
      </c>
      <c r="I793" s="15">
        <v>44895</v>
      </c>
      <c r="J793" s="16">
        <v>177000</v>
      </c>
      <c r="K793" s="16"/>
      <c r="L793" s="16"/>
      <c r="M793" s="16">
        <v>27000</v>
      </c>
      <c r="N793" s="16">
        <f t="shared" si="166"/>
        <v>150000</v>
      </c>
      <c r="O793" s="17">
        <f t="shared" si="167"/>
        <v>121</v>
      </c>
      <c r="P793" s="33">
        <v>5</v>
      </c>
      <c r="Q793" s="19">
        <f t="shared" si="168"/>
        <v>4.6684931506849319</v>
      </c>
      <c r="R793" s="32">
        <f t="shared" si="169"/>
        <v>9447.9452054794529</v>
      </c>
      <c r="S793" s="22">
        <f t="shared" si="170"/>
        <v>140552.05479452055</v>
      </c>
      <c r="T793" s="21">
        <f t="shared" si="171"/>
        <v>0</v>
      </c>
      <c r="U793" s="21">
        <f t="shared" si="172"/>
        <v>150000</v>
      </c>
    </row>
    <row r="794" spans="2:23" ht="14.65">
      <c r="B794" s="13">
        <f t="shared" si="165"/>
        <v>57</v>
      </c>
      <c r="C794" s="14" t="s">
        <v>807</v>
      </c>
      <c r="D794" s="26" t="s">
        <v>29</v>
      </c>
      <c r="E794" s="633">
        <v>210</v>
      </c>
      <c r="F794" s="23">
        <v>44860</v>
      </c>
      <c r="G794" s="23">
        <v>44905</v>
      </c>
      <c r="H794" s="14" t="s">
        <v>456</v>
      </c>
      <c r="I794" s="15">
        <v>44905</v>
      </c>
      <c r="J794" s="16">
        <v>40000</v>
      </c>
      <c r="K794" s="16"/>
      <c r="L794" s="16"/>
      <c r="M794" s="16">
        <v>6102</v>
      </c>
      <c r="N794" s="16">
        <f t="shared" si="166"/>
        <v>33898</v>
      </c>
      <c r="O794" s="17">
        <f t="shared" si="167"/>
        <v>111</v>
      </c>
      <c r="P794" s="33">
        <v>5</v>
      </c>
      <c r="Q794" s="19">
        <f t="shared" si="168"/>
        <v>4.6958904109589037</v>
      </c>
      <c r="R794" s="32">
        <f t="shared" si="169"/>
        <v>1958.6543013698629</v>
      </c>
      <c r="S794" s="22">
        <f t="shared" si="170"/>
        <v>31939.345698630139</v>
      </c>
      <c r="T794" s="21">
        <f t="shared" si="171"/>
        <v>0</v>
      </c>
      <c r="U794" s="21">
        <f t="shared" si="172"/>
        <v>33898</v>
      </c>
    </row>
    <row r="795" spans="2:23" ht="14.65">
      <c r="B795" s="13">
        <f t="shared" si="165"/>
        <v>58</v>
      </c>
      <c r="C795" s="14" t="s">
        <v>807</v>
      </c>
      <c r="D795" s="26" t="s">
        <v>29</v>
      </c>
      <c r="E795" s="633">
        <v>213</v>
      </c>
      <c r="F795" s="23">
        <v>44861</v>
      </c>
      <c r="G795" s="23">
        <v>44905</v>
      </c>
      <c r="H795" s="14" t="s">
        <v>456</v>
      </c>
      <c r="I795" s="15">
        <v>44905</v>
      </c>
      <c r="J795" s="16">
        <v>30500</v>
      </c>
      <c r="K795" s="16"/>
      <c r="L795" s="16"/>
      <c r="M795" s="16">
        <v>4653</v>
      </c>
      <c r="N795" s="16">
        <f t="shared" si="166"/>
        <v>25847</v>
      </c>
      <c r="O795" s="17">
        <f t="shared" si="167"/>
        <v>111</v>
      </c>
      <c r="P795" s="33">
        <v>5</v>
      </c>
      <c r="Q795" s="19">
        <f t="shared" si="168"/>
        <v>4.6958904109589037</v>
      </c>
      <c r="R795" s="32">
        <f t="shared" si="169"/>
        <v>1493.4609041095889</v>
      </c>
      <c r="S795" s="22">
        <f t="shared" si="170"/>
        <v>24353.53909589041</v>
      </c>
      <c r="T795" s="21">
        <f t="shared" si="171"/>
        <v>0</v>
      </c>
      <c r="U795" s="21">
        <f t="shared" si="172"/>
        <v>25847</v>
      </c>
    </row>
    <row r="796" spans="2:23" ht="14.65">
      <c r="B796" s="13">
        <f t="shared" si="165"/>
        <v>59</v>
      </c>
      <c r="C796" s="530" t="s">
        <v>32</v>
      </c>
      <c r="D796" s="639" t="s">
        <v>29</v>
      </c>
      <c r="E796" s="629">
        <v>1154</v>
      </c>
      <c r="F796" s="620">
        <v>44945</v>
      </c>
      <c r="G796" s="620">
        <v>44945</v>
      </c>
      <c r="H796" s="530" t="s">
        <v>205</v>
      </c>
      <c r="I796" s="623">
        <v>44945</v>
      </c>
      <c r="J796" s="619">
        <v>28000</v>
      </c>
      <c r="K796" s="619"/>
      <c r="L796" s="619"/>
      <c r="M796" s="619">
        <v>4272</v>
      </c>
      <c r="N796" s="619">
        <f t="shared" si="166"/>
        <v>23728</v>
      </c>
      <c r="O796" s="17">
        <f t="shared" si="167"/>
        <v>71</v>
      </c>
      <c r="P796" s="33">
        <v>5</v>
      </c>
      <c r="Q796" s="617">
        <f t="shared" si="168"/>
        <v>4.8054794520547945</v>
      </c>
      <c r="R796" s="625">
        <f t="shared" si="169"/>
        <v>876.96087671232874</v>
      </c>
      <c r="S796" s="625">
        <f t="shared" si="170"/>
        <v>22851.039123287672</v>
      </c>
      <c r="T796" s="616">
        <f t="shared" si="171"/>
        <v>0</v>
      </c>
      <c r="U796" s="616">
        <f t="shared" si="172"/>
        <v>23728</v>
      </c>
    </row>
    <row r="797" spans="2:23" ht="14.65">
      <c r="B797" s="13">
        <f t="shared" si="165"/>
        <v>60</v>
      </c>
      <c r="C797" s="14" t="s">
        <v>191</v>
      </c>
      <c r="D797" s="26" t="s">
        <v>28</v>
      </c>
      <c r="E797" s="633">
        <v>15</v>
      </c>
      <c r="F797" s="23">
        <v>44688</v>
      </c>
      <c r="G797" s="23">
        <v>44688</v>
      </c>
      <c r="H797" s="14" t="s">
        <v>206</v>
      </c>
      <c r="I797" s="15">
        <v>44688</v>
      </c>
      <c r="J797" s="16">
        <v>24999.48</v>
      </c>
      <c r="K797" s="16"/>
      <c r="L797" s="16"/>
      <c r="M797" s="16">
        <v>3813.48</v>
      </c>
      <c r="N797" s="16">
        <f t="shared" si="166"/>
        <v>21186</v>
      </c>
      <c r="O797" s="17">
        <f t="shared" si="167"/>
        <v>328</v>
      </c>
      <c r="P797" s="33">
        <v>5</v>
      </c>
      <c r="Q797" s="19">
        <f t="shared" si="168"/>
        <v>4.1013698630136988</v>
      </c>
      <c r="R797" s="32">
        <f t="shared" si="169"/>
        <v>3617.2918356164382</v>
      </c>
      <c r="S797" s="22">
        <f t="shared" si="170"/>
        <v>17568.708164383563</v>
      </c>
      <c r="T797" s="21">
        <f t="shared" si="171"/>
        <v>21186</v>
      </c>
      <c r="U797" s="21">
        <f t="shared" si="172"/>
        <v>0</v>
      </c>
    </row>
    <row r="798" spans="2:23" ht="14.65">
      <c r="B798" s="13">
        <f t="shared" si="165"/>
        <v>61</v>
      </c>
      <c r="C798" s="14" t="s">
        <v>192</v>
      </c>
      <c r="D798" s="26" t="s">
        <v>28</v>
      </c>
      <c r="E798" s="633">
        <v>16</v>
      </c>
      <c r="F798" s="23">
        <v>44688</v>
      </c>
      <c r="G798" s="23">
        <v>44688</v>
      </c>
      <c r="H798" s="14" t="s">
        <v>206</v>
      </c>
      <c r="I798" s="15">
        <v>44688</v>
      </c>
      <c r="J798" s="16">
        <v>116366.88</v>
      </c>
      <c r="K798" s="16"/>
      <c r="L798" s="16"/>
      <c r="M798" s="16">
        <v>17750.88</v>
      </c>
      <c r="N798" s="16">
        <f t="shared" si="166"/>
        <v>98616</v>
      </c>
      <c r="O798" s="17">
        <f t="shared" si="167"/>
        <v>328</v>
      </c>
      <c r="P798" s="33">
        <v>5</v>
      </c>
      <c r="Q798" s="19">
        <f t="shared" si="168"/>
        <v>4.1013698630136988</v>
      </c>
      <c r="R798" s="32">
        <f t="shared" si="169"/>
        <v>16837.668821917807</v>
      </c>
      <c r="S798" s="22">
        <f t="shared" si="170"/>
        <v>81778.331178082197</v>
      </c>
      <c r="T798" s="21">
        <f t="shared" si="171"/>
        <v>98616</v>
      </c>
      <c r="U798" s="21">
        <f t="shared" si="172"/>
        <v>0</v>
      </c>
    </row>
    <row r="799" spans="2:23" ht="14.65">
      <c r="B799" s="13">
        <f t="shared" si="165"/>
        <v>62</v>
      </c>
      <c r="C799" s="14" t="s">
        <v>193</v>
      </c>
      <c r="D799" s="26" t="s">
        <v>28</v>
      </c>
      <c r="E799" s="633">
        <v>17</v>
      </c>
      <c r="F799" s="23">
        <v>44689</v>
      </c>
      <c r="G799" s="23">
        <v>44689</v>
      </c>
      <c r="H799" s="14" t="s">
        <v>206</v>
      </c>
      <c r="I799" s="15">
        <v>44689</v>
      </c>
      <c r="J799" s="16">
        <v>228999.06</v>
      </c>
      <c r="K799" s="16"/>
      <c r="L799" s="16"/>
      <c r="M799" s="16">
        <v>34932.06</v>
      </c>
      <c r="N799" s="16">
        <f t="shared" si="166"/>
        <v>194067</v>
      </c>
      <c r="O799" s="17">
        <f t="shared" si="167"/>
        <v>327</v>
      </c>
      <c r="P799" s="33">
        <v>5</v>
      </c>
      <c r="Q799" s="19">
        <f t="shared" si="168"/>
        <v>4.1041095890410961</v>
      </c>
      <c r="R799" s="32">
        <f t="shared" si="169"/>
        <v>33033.925232876711</v>
      </c>
      <c r="S799" s="22">
        <f t="shared" si="170"/>
        <v>161033.0747671233</v>
      </c>
      <c r="T799" s="21">
        <f t="shared" si="171"/>
        <v>194067</v>
      </c>
      <c r="U799" s="21">
        <f t="shared" si="172"/>
        <v>0</v>
      </c>
    </row>
    <row r="800" spans="2:23" ht="14.65">
      <c r="B800" s="13">
        <f t="shared" si="165"/>
        <v>63</v>
      </c>
      <c r="C800" s="14" t="s">
        <v>190</v>
      </c>
      <c r="D800" s="26" t="s">
        <v>28</v>
      </c>
      <c r="E800" s="633">
        <v>19</v>
      </c>
      <c r="F800" s="23">
        <v>44690</v>
      </c>
      <c r="G800" s="23">
        <v>44690</v>
      </c>
      <c r="H800" s="14" t="s">
        <v>206</v>
      </c>
      <c r="I800" s="15">
        <v>44690</v>
      </c>
      <c r="J800" s="16">
        <v>198412.28</v>
      </c>
      <c r="K800" s="16"/>
      <c r="L800" s="16"/>
      <c r="M800" s="16">
        <v>30266.28</v>
      </c>
      <c r="N800" s="16">
        <f t="shared" si="166"/>
        <v>168146</v>
      </c>
      <c r="O800" s="17">
        <f t="shared" si="167"/>
        <v>326</v>
      </c>
      <c r="P800" s="33">
        <v>5</v>
      </c>
      <c r="Q800" s="19">
        <f t="shared" si="168"/>
        <v>4.1068493150684935</v>
      </c>
      <c r="R800" s="32">
        <f t="shared" si="169"/>
        <v>28534.145863013699</v>
      </c>
      <c r="S800" s="22">
        <f t="shared" si="170"/>
        <v>139611.85413698631</v>
      </c>
      <c r="T800" s="21">
        <f t="shared" si="171"/>
        <v>168146</v>
      </c>
      <c r="U800" s="21">
        <f t="shared" si="172"/>
        <v>0</v>
      </c>
      <c r="V800" s="624"/>
      <c r="W800" s="624"/>
    </row>
    <row r="801" spans="2:23" ht="14.65">
      <c r="B801" s="13">
        <f t="shared" si="165"/>
        <v>64</v>
      </c>
      <c r="C801" s="14" t="s">
        <v>190</v>
      </c>
      <c r="D801" s="26" t="s">
        <v>28</v>
      </c>
      <c r="E801" s="633">
        <v>20</v>
      </c>
      <c r="F801" s="23">
        <v>44690</v>
      </c>
      <c r="G801" s="23">
        <v>44690</v>
      </c>
      <c r="H801" s="14" t="s">
        <v>206</v>
      </c>
      <c r="I801" s="15">
        <v>44690</v>
      </c>
      <c r="J801" s="16">
        <v>77785.600000000006</v>
      </c>
      <c r="K801" s="16"/>
      <c r="L801" s="16"/>
      <c r="M801" s="16">
        <v>11865.6</v>
      </c>
      <c r="N801" s="16">
        <f t="shared" si="166"/>
        <v>65920</v>
      </c>
      <c r="O801" s="17">
        <f t="shared" si="167"/>
        <v>326</v>
      </c>
      <c r="P801" s="33">
        <v>5</v>
      </c>
      <c r="Q801" s="19">
        <f t="shared" si="168"/>
        <v>4.1068493150684935</v>
      </c>
      <c r="R801" s="32">
        <f t="shared" si="169"/>
        <v>11186.533698630137</v>
      </c>
      <c r="S801" s="22">
        <f t="shared" si="170"/>
        <v>54733.466301369859</v>
      </c>
      <c r="T801" s="21">
        <f t="shared" si="171"/>
        <v>65920</v>
      </c>
      <c r="U801" s="21">
        <f t="shared" si="172"/>
        <v>0</v>
      </c>
      <c r="V801" s="624"/>
      <c r="W801" s="624"/>
    </row>
    <row r="802" spans="2:23" ht="14.65">
      <c r="B802" s="13">
        <f t="shared" si="165"/>
        <v>65</v>
      </c>
      <c r="C802" s="14" t="s">
        <v>466</v>
      </c>
      <c r="D802" s="26" t="s">
        <v>880</v>
      </c>
      <c r="E802" s="633">
        <v>45</v>
      </c>
      <c r="F802" s="23">
        <v>44749</v>
      </c>
      <c r="G802" s="23">
        <v>44768</v>
      </c>
      <c r="H802" s="14" t="s">
        <v>206</v>
      </c>
      <c r="I802" s="15">
        <v>44768</v>
      </c>
      <c r="J802" s="16">
        <v>44132</v>
      </c>
      <c r="K802" s="16"/>
      <c r="L802" s="16"/>
      <c r="M802" s="16">
        <v>6732</v>
      </c>
      <c r="N802" s="16">
        <f t="shared" ref="N802" si="173">J802+K802-L802-M802</f>
        <v>37400</v>
      </c>
      <c r="O802" s="17">
        <f t="shared" si="167"/>
        <v>248</v>
      </c>
      <c r="P802" s="33">
        <v>5</v>
      </c>
      <c r="Q802" s="19">
        <f t="shared" ref="Q802" si="174">P802-(O802/365)</f>
        <v>4.3205479452054796</v>
      </c>
      <c r="R802" s="32">
        <f t="shared" si="169"/>
        <v>4828.186301369863</v>
      </c>
      <c r="S802" s="22">
        <f t="shared" ref="S802" si="175">N802-R802</f>
        <v>32571.813698630136</v>
      </c>
      <c r="T802" s="21">
        <f t="shared" si="171"/>
        <v>37400</v>
      </c>
      <c r="U802" s="21">
        <f t="shared" si="172"/>
        <v>0</v>
      </c>
      <c r="V802" s="624"/>
      <c r="W802" s="624"/>
    </row>
    <row r="803" spans="2:23" ht="14.65">
      <c r="B803" s="13"/>
      <c r="C803" s="29" t="s">
        <v>30</v>
      </c>
      <c r="D803" s="26"/>
      <c r="E803" s="633"/>
      <c r="F803" s="23"/>
      <c r="G803" s="23"/>
      <c r="H803" s="14"/>
      <c r="I803" s="23"/>
      <c r="J803" s="30">
        <f>SUM(J738:J802)</f>
        <v>4793265.1199999992</v>
      </c>
      <c r="K803" s="30">
        <f>SUM(K738:K802)</f>
        <v>0</v>
      </c>
      <c r="L803" s="30">
        <f>SUM(L738:L802)</f>
        <v>0</v>
      </c>
      <c r="M803" s="30">
        <f>SUM(M738:M802)</f>
        <v>602126.36</v>
      </c>
      <c r="N803" s="30">
        <f>SUM(N738:N802)</f>
        <v>4191138.76</v>
      </c>
      <c r="O803" s="17" t="s">
        <v>24</v>
      </c>
      <c r="P803" s="18"/>
      <c r="Q803" s="18"/>
      <c r="R803" s="30">
        <f>SUM(R738:R802)</f>
        <v>488815.34501643828</v>
      </c>
      <c r="S803" s="30">
        <f>SUM(S738:S802)</f>
        <v>3702323.4149835622</v>
      </c>
      <c r="T803" s="30">
        <f>SUM(T738:T802)</f>
        <v>3198708.42</v>
      </c>
      <c r="U803" s="30">
        <f>SUM(U738:U802)</f>
        <v>992430.34</v>
      </c>
    </row>
    <row r="804" spans="2:23" ht="22.5" customHeight="1">
      <c r="B804" s="1226" t="s">
        <v>33</v>
      </c>
      <c r="C804" s="1227"/>
      <c r="D804" s="26"/>
      <c r="E804" s="633"/>
      <c r="F804" s="23"/>
      <c r="G804" s="23"/>
      <c r="H804" s="14"/>
      <c r="I804" s="23"/>
      <c r="J804" s="16"/>
      <c r="K804" s="16"/>
      <c r="L804" s="16"/>
      <c r="M804" s="16"/>
      <c r="N804" s="16"/>
      <c r="O804" s="17" t="s">
        <v>24</v>
      </c>
      <c r="P804" s="18"/>
      <c r="Q804" s="18"/>
      <c r="R804" s="22"/>
      <c r="S804" s="22"/>
      <c r="T804" s="32"/>
      <c r="U804" s="32"/>
    </row>
    <row r="805" spans="2:23" ht="14.65">
      <c r="B805" s="636">
        <v>2</v>
      </c>
      <c r="C805" s="530" t="s">
        <v>33</v>
      </c>
      <c r="D805" s="621" t="s">
        <v>2474</v>
      </c>
      <c r="E805" s="530"/>
      <c r="F805" s="620">
        <v>45014</v>
      </c>
      <c r="G805" s="620">
        <v>45014</v>
      </c>
      <c r="H805" s="530" t="s">
        <v>3611</v>
      </c>
      <c r="I805" s="620">
        <v>45014</v>
      </c>
      <c r="J805" s="619">
        <v>5124000</v>
      </c>
      <c r="K805" s="619"/>
      <c r="L805" s="619"/>
      <c r="M805" s="619"/>
      <c r="N805" s="619">
        <f>J805+K805-L805-M805</f>
        <v>5124000</v>
      </c>
      <c r="O805" s="637"/>
      <c r="P805" s="349">
        <v>0</v>
      </c>
      <c r="Q805" s="349"/>
      <c r="R805" s="625"/>
      <c r="S805" s="625">
        <f>N805-R805</f>
        <v>5124000</v>
      </c>
      <c r="T805" s="616">
        <f>IF(I805&lt;=DATE(2022,9,30),N805,0)</f>
        <v>0</v>
      </c>
      <c r="U805" s="616">
        <f>IF(I805&gt;DATE(2022,9,30),N805,0)</f>
        <v>5124000</v>
      </c>
    </row>
    <row r="806" spans="2:23" ht="14.65">
      <c r="B806" s="636">
        <v>3</v>
      </c>
      <c r="C806" s="530" t="s">
        <v>33</v>
      </c>
      <c r="D806" s="621" t="s">
        <v>2474</v>
      </c>
      <c r="E806" s="530"/>
      <c r="F806" s="620">
        <v>45014</v>
      </c>
      <c r="G806" s="620">
        <v>45014</v>
      </c>
      <c r="H806" s="530" t="s">
        <v>3610</v>
      </c>
      <c r="I806" s="620">
        <v>45014</v>
      </c>
      <c r="J806" s="619">
        <v>10824000</v>
      </c>
      <c r="K806" s="619">
        <v>743395</v>
      </c>
      <c r="L806" s="619"/>
      <c r="M806" s="619"/>
      <c r="N806" s="619">
        <f>J806+K806-L806-M806</f>
        <v>11567395</v>
      </c>
      <c r="O806" s="637"/>
      <c r="P806" s="349">
        <v>0</v>
      </c>
      <c r="Q806" s="349"/>
      <c r="R806" s="625"/>
      <c r="S806" s="625">
        <f>N806-R806</f>
        <v>11567395</v>
      </c>
      <c r="T806" s="642">
        <f>IF(I806&lt;=DATE(2021,9,30),N806,0)</f>
        <v>0</v>
      </c>
      <c r="U806" s="642">
        <f>IF(I806&gt;DATE(2021,9,30),N806,0)</f>
        <v>11567395</v>
      </c>
    </row>
    <row r="807" spans="2:23" ht="14.65">
      <c r="B807" s="636">
        <v>4</v>
      </c>
      <c r="C807" s="530" t="s">
        <v>33</v>
      </c>
      <c r="D807" s="621" t="s">
        <v>2474</v>
      </c>
      <c r="E807" s="530"/>
      <c r="F807" s="620">
        <v>45014</v>
      </c>
      <c r="G807" s="620">
        <v>45014</v>
      </c>
      <c r="H807" s="530" t="s">
        <v>3609</v>
      </c>
      <c r="I807" s="620">
        <v>45014</v>
      </c>
      <c r="J807" s="619">
        <v>1026000</v>
      </c>
      <c r="K807" s="619"/>
      <c r="L807" s="619"/>
      <c r="M807" s="619"/>
      <c r="N807" s="619">
        <f>J807+K807-L807-M807</f>
        <v>1026000</v>
      </c>
      <c r="O807" s="637"/>
      <c r="P807" s="349">
        <v>0</v>
      </c>
      <c r="Q807" s="349"/>
      <c r="R807" s="625"/>
      <c r="S807" s="625">
        <f>N807-R807</f>
        <v>1026000</v>
      </c>
      <c r="T807" s="642">
        <f>IF(I807&lt;=DATE(2021,9,30),N807,0)</f>
        <v>0</v>
      </c>
      <c r="U807" s="642">
        <f>IF(I807&gt;DATE(2021,9,30),N807,0)</f>
        <v>1026000</v>
      </c>
    </row>
    <row r="808" spans="2:23" ht="14.65">
      <c r="B808" s="13"/>
      <c r="C808" s="14"/>
      <c r="D808" s="14"/>
      <c r="E808" s="633"/>
      <c r="F808" s="23"/>
      <c r="G808" s="23"/>
      <c r="H808" s="14"/>
      <c r="I808" s="23"/>
      <c r="J808" s="30">
        <f>SUM(J805:J807)</f>
        <v>16974000</v>
      </c>
      <c r="K808" s="30">
        <f>SUM(K805:K807)</f>
        <v>743395</v>
      </c>
      <c r="L808" s="30">
        <f>SUM(L805:L807)</f>
        <v>0</v>
      </c>
      <c r="M808" s="30">
        <f>SUM(M805:M807)</f>
        <v>0</v>
      </c>
      <c r="N808" s="30">
        <f>SUM(N805:N807)</f>
        <v>17717395</v>
      </c>
      <c r="O808" s="17" t="s">
        <v>24</v>
      </c>
      <c r="P808" s="36"/>
      <c r="Q808" s="36"/>
      <c r="R808" s="30">
        <f>SUM(R805:R807)</f>
        <v>0</v>
      </c>
      <c r="S808" s="30">
        <f>SUM(S805:S807)</f>
        <v>17717395</v>
      </c>
      <c r="T808" s="30">
        <f>SUM(T805:T807)</f>
        <v>0</v>
      </c>
      <c r="U808" s="30">
        <f>SUM(U805:U807)</f>
        <v>17717395</v>
      </c>
    </row>
    <row r="809" spans="2:23" ht="20.65">
      <c r="B809" s="1226" t="s">
        <v>34</v>
      </c>
      <c r="C809" s="1227"/>
      <c r="D809" s="14"/>
      <c r="E809" s="633"/>
      <c r="F809" s="23"/>
      <c r="G809" s="23"/>
      <c r="H809" s="14"/>
      <c r="I809" s="23"/>
      <c r="J809" s="28"/>
      <c r="K809" s="28"/>
      <c r="L809" s="28"/>
      <c r="M809" s="28"/>
      <c r="N809" s="28"/>
      <c r="O809" s="17" t="s">
        <v>24</v>
      </c>
      <c r="P809" s="18"/>
      <c r="Q809" s="18"/>
      <c r="R809" s="28"/>
      <c r="S809" s="28"/>
      <c r="T809" s="28"/>
      <c r="U809" s="28"/>
    </row>
    <row r="810" spans="2:23" ht="15.75" customHeight="1">
      <c r="B810" s="13">
        <v>1</v>
      </c>
      <c r="C810" s="14" t="s">
        <v>222</v>
      </c>
      <c r="D810" s="111" t="s">
        <v>35</v>
      </c>
      <c r="E810" s="631" t="s">
        <v>245</v>
      </c>
      <c r="F810" s="15">
        <v>44676</v>
      </c>
      <c r="G810" s="15">
        <v>44676</v>
      </c>
      <c r="H810" s="14" t="s">
        <v>246</v>
      </c>
      <c r="I810" s="15">
        <v>44676</v>
      </c>
      <c r="J810" s="16">
        <v>319126.28000000003</v>
      </c>
      <c r="K810" s="16"/>
      <c r="L810" s="16"/>
      <c r="M810" s="16">
        <v>48680.28</v>
      </c>
      <c r="N810" s="16">
        <f t="shared" ref="N810:N841" si="176">J810+K810-L810-M810</f>
        <v>270446</v>
      </c>
      <c r="O810" s="17">
        <f t="shared" ref="O810:O841" si="177">$O$1-I810</f>
        <v>340</v>
      </c>
      <c r="P810" s="33">
        <v>2</v>
      </c>
      <c r="Q810" s="19">
        <f t="shared" ref="Q810:Q845" si="178">P810-(O810/365)</f>
        <v>1.0684931506849316</v>
      </c>
      <c r="R810" s="32">
        <f t="shared" ref="R810:R845" si="179">N810*95%/P810*O810/365</f>
        <v>119663.09315068493</v>
      </c>
      <c r="S810" s="22">
        <f t="shared" ref="S810:S845" si="180">N810-R810</f>
        <v>150782.90684931507</v>
      </c>
      <c r="T810" s="21">
        <f t="shared" ref="T810:T841" si="181">IF(I810&lt;=DATE(2022,9,30),N810,0)</f>
        <v>270446</v>
      </c>
      <c r="U810" s="21">
        <f t="shared" ref="U810:U841" si="182">IF(I810&gt;DATE(2022,9,30),N810,0)</f>
        <v>0</v>
      </c>
    </row>
    <row r="811" spans="2:23" ht="15.75" customHeight="1">
      <c r="B811" s="13">
        <f t="shared" ref="B811:B856" si="183">B810+1</f>
        <v>2</v>
      </c>
      <c r="C811" s="14" t="s">
        <v>223</v>
      </c>
      <c r="D811" s="111" t="s">
        <v>35</v>
      </c>
      <c r="E811" s="631" t="s">
        <v>247</v>
      </c>
      <c r="F811" s="15">
        <v>44676</v>
      </c>
      <c r="G811" s="15">
        <v>44676</v>
      </c>
      <c r="H811" s="14" t="s">
        <v>248</v>
      </c>
      <c r="I811" s="15">
        <v>44676</v>
      </c>
      <c r="J811" s="16">
        <v>12399.996000000001</v>
      </c>
      <c r="K811" s="16"/>
      <c r="L811" s="16"/>
      <c r="M811" s="16">
        <v>590.476</v>
      </c>
      <c r="N811" s="16">
        <f t="shared" si="176"/>
        <v>11809.52</v>
      </c>
      <c r="O811" s="17">
        <f t="shared" si="177"/>
        <v>340</v>
      </c>
      <c r="P811" s="33">
        <v>2</v>
      </c>
      <c r="Q811" s="19">
        <f t="shared" si="178"/>
        <v>1.0684931506849316</v>
      </c>
      <c r="R811" s="32">
        <f t="shared" si="179"/>
        <v>5225.3081643835612</v>
      </c>
      <c r="S811" s="22">
        <f t="shared" si="180"/>
        <v>6584.2118356164392</v>
      </c>
      <c r="T811" s="21">
        <f t="shared" si="181"/>
        <v>11809.52</v>
      </c>
      <c r="U811" s="21">
        <f t="shared" si="182"/>
        <v>0</v>
      </c>
    </row>
    <row r="812" spans="2:23" ht="15.75" customHeight="1">
      <c r="B812" s="13">
        <f t="shared" si="183"/>
        <v>3</v>
      </c>
      <c r="C812" s="14" t="s">
        <v>223</v>
      </c>
      <c r="D812" s="111" t="s">
        <v>35</v>
      </c>
      <c r="E812" s="631" t="s">
        <v>249</v>
      </c>
      <c r="F812" s="15">
        <v>44680</v>
      </c>
      <c r="G812" s="15">
        <v>44680</v>
      </c>
      <c r="H812" s="14" t="s">
        <v>248</v>
      </c>
      <c r="I812" s="15">
        <v>44680</v>
      </c>
      <c r="J812" s="16">
        <v>12399.996000000001</v>
      </c>
      <c r="K812" s="16"/>
      <c r="L812" s="16"/>
      <c r="M812" s="16">
        <v>590.476</v>
      </c>
      <c r="N812" s="16">
        <f t="shared" si="176"/>
        <v>11809.52</v>
      </c>
      <c r="O812" s="17">
        <f t="shared" si="177"/>
        <v>336</v>
      </c>
      <c r="P812" s="33">
        <v>2</v>
      </c>
      <c r="Q812" s="19">
        <f t="shared" si="178"/>
        <v>1.0794520547945206</v>
      </c>
      <c r="R812" s="32">
        <f t="shared" si="179"/>
        <v>5163.8339506849316</v>
      </c>
      <c r="S812" s="22">
        <f t="shared" si="180"/>
        <v>6645.6860493150689</v>
      </c>
      <c r="T812" s="21">
        <f t="shared" si="181"/>
        <v>11809.52</v>
      </c>
      <c r="U812" s="21">
        <f t="shared" si="182"/>
        <v>0</v>
      </c>
    </row>
    <row r="813" spans="2:23" ht="14.65">
      <c r="B813" s="13">
        <f t="shared" si="183"/>
        <v>4</v>
      </c>
      <c r="C813" s="14" t="s">
        <v>223</v>
      </c>
      <c r="D813" s="111" t="s">
        <v>35</v>
      </c>
      <c r="E813" s="631" t="s">
        <v>250</v>
      </c>
      <c r="F813" s="15">
        <v>44717</v>
      </c>
      <c r="G813" s="15">
        <v>44717</v>
      </c>
      <c r="H813" s="14" t="s">
        <v>248</v>
      </c>
      <c r="I813" s="15">
        <v>44717</v>
      </c>
      <c r="J813" s="16">
        <v>12399.996000000001</v>
      </c>
      <c r="K813" s="16"/>
      <c r="L813" s="16"/>
      <c r="M813" s="16">
        <v>590.476</v>
      </c>
      <c r="N813" s="16">
        <f t="shared" si="176"/>
        <v>11809.52</v>
      </c>
      <c r="O813" s="17">
        <f t="shared" si="177"/>
        <v>299</v>
      </c>
      <c r="P813" s="33">
        <v>2</v>
      </c>
      <c r="Q813" s="19">
        <f t="shared" si="178"/>
        <v>1.1808219178082191</v>
      </c>
      <c r="R813" s="32">
        <f t="shared" si="179"/>
        <v>4595.1974739726029</v>
      </c>
      <c r="S813" s="22">
        <f t="shared" si="180"/>
        <v>7214.3225260273975</v>
      </c>
      <c r="T813" s="21">
        <f t="shared" si="181"/>
        <v>11809.52</v>
      </c>
      <c r="U813" s="21">
        <f t="shared" si="182"/>
        <v>0</v>
      </c>
    </row>
    <row r="814" spans="2:23" ht="14.65">
      <c r="B814" s="13">
        <f t="shared" si="183"/>
        <v>5</v>
      </c>
      <c r="C814" s="14" t="s">
        <v>223</v>
      </c>
      <c r="D814" s="111" t="s">
        <v>35</v>
      </c>
      <c r="E814" s="631" t="s">
        <v>251</v>
      </c>
      <c r="F814" s="15">
        <v>44717</v>
      </c>
      <c r="G814" s="15">
        <v>44717</v>
      </c>
      <c r="H814" s="14" t="s">
        <v>248</v>
      </c>
      <c r="I814" s="15">
        <v>44717</v>
      </c>
      <c r="J814" s="16">
        <v>12399.996000000001</v>
      </c>
      <c r="K814" s="16"/>
      <c r="L814" s="16"/>
      <c r="M814" s="16">
        <v>590.476</v>
      </c>
      <c r="N814" s="16">
        <f t="shared" si="176"/>
        <v>11809.52</v>
      </c>
      <c r="O814" s="17">
        <f t="shared" si="177"/>
        <v>299</v>
      </c>
      <c r="P814" s="33">
        <v>2</v>
      </c>
      <c r="Q814" s="19">
        <f t="shared" si="178"/>
        <v>1.1808219178082191</v>
      </c>
      <c r="R814" s="32">
        <f t="shared" si="179"/>
        <v>4595.1974739726029</v>
      </c>
      <c r="S814" s="22">
        <f t="shared" si="180"/>
        <v>7214.3225260273975</v>
      </c>
      <c r="T814" s="21">
        <f t="shared" si="181"/>
        <v>11809.52</v>
      </c>
      <c r="U814" s="21">
        <f t="shared" si="182"/>
        <v>0</v>
      </c>
    </row>
    <row r="815" spans="2:23" ht="14.65">
      <c r="B815" s="13">
        <f t="shared" si="183"/>
        <v>6</v>
      </c>
      <c r="C815" s="82" t="s">
        <v>223</v>
      </c>
      <c r="D815" s="87" t="s">
        <v>35</v>
      </c>
      <c r="E815" s="632">
        <v>23</v>
      </c>
      <c r="F815" s="86">
        <v>44724</v>
      </c>
      <c r="G815" s="88">
        <v>44859</v>
      </c>
      <c r="H815" s="82" t="s">
        <v>248</v>
      </c>
      <c r="I815" s="23">
        <v>44859</v>
      </c>
      <c r="J815" s="16">
        <v>12400</v>
      </c>
      <c r="K815" s="16"/>
      <c r="L815" s="16"/>
      <c r="M815" s="16">
        <v>590</v>
      </c>
      <c r="N815" s="16">
        <f t="shared" si="176"/>
        <v>11810</v>
      </c>
      <c r="O815" s="17">
        <f t="shared" si="177"/>
        <v>157</v>
      </c>
      <c r="P815" s="33">
        <v>2</v>
      </c>
      <c r="Q815" s="19">
        <f t="shared" si="178"/>
        <v>1.56986301369863</v>
      </c>
      <c r="R815" s="32">
        <f t="shared" si="179"/>
        <v>2412.9609589041097</v>
      </c>
      <c r="S815" s="22">
        <f t="shared" si="180"/>
        <v>9397.0390410958898</v>
      </c>
      <c r="T815" s="21">
        <f t="shared" si="181"/>
        <v>0</v>
      </c>
      <c r="U815" s="21">
        <f t="shared" si="182"/>
        <v>11810</v>
      </c>
    </row>
    <row r="816" spans="2:23" ht="14.65">
      <c r="B816" s="13">
        <f t="shared" si="183"/>
        <v>7</v>
      </c>
      <c r="C816" s="530" t="s">
        <v>3435</v>
      </c>
      <c r="D816" s="626" t="s">
        <v>3427</v>
      </c>
      <c r="E816" s="634" t="s">
        <v>3436</v>
      </c>
      <c r="F816" s="623">
        <v>44951</v>
      </c>
      <c r="G816" s="623">
        <v>44954</v>
      </c>
      <c r="H816" s="530" t="s">
        <v>243</v>
      </c>
      <c r="I816" s="623">
        <v>44954</v>
      </c>
      <c r="J816" s="619">
        <v>289100</v>
      </c>
      <c r="K816" s="619"/>
      <c r="L816" s="619"/>
      <c r="M816" s="619">
        <v>44100</v>
      </c>
      <c r="N816" s="619">
        <f t="shared" si="176"/>
        <v>245000</v>
      </c>
      <c r="O816" s="17">
        <f t="shared" si="177"/>
        <v>62</v>
      </c>
      <c r="P816" s="618">
        <v>2</v>
      </c>
      <c r="Q816" s="617">
        <f t="shared" si="178"/>
        <v>1.8301369863013699</v>
      </c>
      <c r="R816" s="625">
        <f t="shared" si="179"/>
        <v>19767.808219178081</v>
      </c>
      <c r="S816" s="625">
        <f t="shared" si="180"/>
        <v>225232.19178082192</v>
      </c>
      <c r="T816" s="616">
        <f t="shared" si="181"/>
        <v>0</v>
      </c>
      <c r="U816" s="616">
        <f t="shared" si="182"/>
        <v>245000</v>
      </c>
    </row>
    <row r="817" spans="2:21" ht="14.65">
      <c r="B817" s="13">
        <f t="shared" si="183"/>
        <v>8</v>
      </c>
      <c r="C817" s="14" t="s">
        <v>224</v>
      </c>
      <c r="D817" s="91" t="s">
        <v>3459</v>
      </c>
      <c r="E817" s="631" t="s">
        <v>252</v>
      </c>
      <c r="F817" s="15">
        <v>44669</v>
      </c>
      <c r="G817" s="15">
        <v>44679</v>
      </c>
      <c r="H817" s="14" t="s">
        <v>253</v>
      </c>
      <c r="I817" s="15">
        <v>44679</v>
      </c>
      <c r="J817" s="16">
        <v>18000.003199999999</v>
      </c>
      <c r="K817" s="16"/>
      <c r="L817" s="16"/>
      <c r="M817" s="16">
        <v>2745.7631999999999</v>
      </c>
      <c r="N817" s="16">
        <f t="shared" si="176"/>
        <v>15254.24</v>
      </c>
      <c r="O817" s="17">
        <f t="shared" si="177"/>
        <v>337</v>
      </c>
      <c r="P817" s="33">
        <v>2</v>
      </c>
      <c r="Q817" s="19">
        <f t="shared" si="178"/>
        <v>1.0767123287671234</v>
      </c>
      <c r="R817" s="32">
        <f t="shared" si="179"/>
        <v>6689.9245698630129</v>
      </c>
      <c r="S817" s="22">
        <f t="shared" si="180"/>
        <v>8564.3154301369868</v>
      </c>
      <c r="T817" s="21">
        <f t="shared" si="181"/>
        <v>15254.24</v>
      </c>
      <c r="U817" s="21">
        <f t="shared" si="182"/>
        <v>0</v>
      </c>
    </row>
    <row r="818" spans="2:21" ht="14.65">
      <c r="B818" s="13">
        <f t="shared" si="183"/>
        <v>9</v>
      </c>
      <c r="C818" s="14" t="s">
        <v>225</v>
      </c>
      <c r="D818" s="91" t="s">
        <v>3459</v>
      </c>
      <c r="E818" s="631" t="s">
        <v>254</v>
      </c>
      <c r="F818" s="15">
        <v>44697</v>
      </c>
      <c r="G818" s="15">
        <v>44697</v>
      </c>
      <c r="H818" s="14" t="s">
        <v>255</v>
      </c>
      <c r="I818" s="15">
        <v>44697</v>
      </c>
      <c r="J818" s="16">
        <v>55008</v>
      </c>
      <c r="K818" s="16"/>
      <c r="L818" s="16"/>
      <c r="M818" s="16">
        <v>8391.24</v>
      </c>
      <c r="N818" s="16">
        <f t="shared" si="176"/>
        <v>46616.76</v>
      </c>
      <c r="O818" s="17">
        <f t="shared" si="177"/>
        <v>319</v>
      </c>
      <c r="P818" s="33">
        <v>2</v>
      </c>
      <c r="Q818" s="19">
        <f t="shared" si="178"/>
        <v>1.1260273972602741</v>
      </c>
      <c r="R818" s="32">
        <f t="shared" si="179"/>
        <v>19352.341257534245</v>
      </c>
      <c r="S818" s="22">
        <f t="shared" si="180"/>
        <v>27264.418742465758</v>
      </c>
      <c r="T818" s="21">
        <f t="shared" si="181"/>
        <v>46616.76</v>
      </c>
      <c r="U818" s="21">
        <f t="shared" si="182"/>
        <v>0</v>
      </c>
    </row>
    <row r="819" spans="2:21" ht="14.65">
      <c r="B819" s="13">
        <f t="shared" si="183"/>
        <v>10</v>
      </c>
      <c r="C819" s="14" t="s">
        <v>226</v>
      </c>
      <c r="D819" s="91" t="s">
        <v>3459</v>
      </c>
      <c r="E819" s="631" t="s">
        <v>256</v>
      </c>
      <c r="F819" s="15">
        <v>44693</v>
      </c>
      <c r="G819" s="15">
        <v>44706</v>
      </c>
      <c r="H819" s="14" t="s">
        <v>253</v>
      </c>
      <c r="I819" s="15">
        <v>44706</v>
      </c>
      <c r="J819" s="16">
        <v>21000.011599999998</v>
      </c>
      <c r="K819" s="16"/>
      <c r="L819" s="16"/>
      <c r="M819" s="16">
        <v>3203.3915999999995</v>
      </c>
      <c r="N819" s="16">
        <f t="shared" si="176"/>
        <v>17796.62</v>
      </c>
      <c r="O819" s="17">
        <f t="shared" si="177"/>
        <v>310</v>
      </c>
      <c r="P819" s="33">
        <v>2</v>
      </c>
      <c r="Q819" s="19">
        <f t="shared" si="178"/>
        <v>1.1506849315068495</v>
      </c>
      <c r="R819" s="32">
        <f t="shared" si="179"/>
        <v>7179.5953287671218</v>
      </c>
      <c r="S819" s="22">
        <f t="shared" si="180"/>
        <v>10617.024671232877</v>
      </c>
      <c r="T819" s="21">
        <f t="shared" si="181"/>
        <v>17796.62</v>
      </c>
      <c r="U819" s="21">
        <f t="shared" si="182"/>
        <v>0</v>
      </c>
    </row>
    <row r="820" spans="2:21" ht="14.65">
      <c r="B820" s="13">
        <f t="shared" si="183"/>
        <v>11</v>
      </c>
      <c r="C820" s="14" t="s">
        <v>227</v>
      </c>
      <c r="D820" s="91" t="s">
        <v>3459</v>
      </c>
      <c r="E820" s="633">
        <v>2008024639</v>
      </c>
      <c r="F820" s="15">
        <v>44656</v>
      </c>
      <c r="G820" s="15">
        <v>37412</v>
      </c>
      <c r="H820" s="14" t="s">
        <v>257</v>
      </c>
      <c r="I820" s="15">
        <v>44656</v>
      </c>
      <c r="J820" s="16">
        <v>259604</v>
      </c>
      <c r="K820" s="16"/>
      <c r="L820" s="16"/>
      <c r="M820" s="16">
        <v>39600.720000000001</v>
      </c>
      <c r="N820" s="16">
        <f t="shared" si="176"/>
        <v>220003.28</v>
      </c>
      <c r="O820" s="17">
        <f t="shared" si="177"/>
        <v>360</v>
      </c>
      <c r="P820" s="33">
        <v>2</v>
      </c>
      <c r="Q820" s="19">
        <f t="shared" si="178"/>
        <v>1.0136986301369864</v>
      </c>
      <c r="R820" s="32">
        <f t="shared" si="179"/>
        <v>103070.02980821916</v>
      </c>
      <c r="S820" s="22">
        <f t="shared" si="180"/>
        <v>116933.25019178084</v>
      </c>
      <c r="T820" s="21">
        <f t="shared" si="181"/>
        <v>220003.28</v>
      </c>
      <c r="U820" s="21">
        <f t="shared" si="182"/>
        <v>0</v>
      </c>
    </row>
    <row r="821" spans="2:21" ht="14.65">
      <c r="B821" s="13">
        <f t="shared" si="183"/>
        <v>12</v>
      </c>
      <c r="C821" s="14" t="s">
        <v>228</v>
      </c>
      <c r="D821" s="91" t="s">
        <v>3459</v>
      </c>
      <c r="E821" s="633">
        <v>155</v>
      </c>
      <c r="F821" s="15">
        <v>44733</v>
      </c>
      <c r="G821" s="15">
        <v>44742</v>
      </c>
      <c r="H821" s="14" t="s">
        <v>258</v>
      </c>
      <c r="I821" s="15">
        <v>44742</v>
      </c>
      <c r="J821" s="16">
        <v>18310</v>
      </c>
      <c r="K821" s="16"/>
      <c r="L821" s="16"/>
      <c r="M821" s="16">
        <v>2793.06</v>
      </c>
      <c r="N821" s="16">
        <f t="shared" si="176"/>
        <v>15516.94</v>
      </c>
      <c r="O821" s="17">
        <f t="shared" si="177"/>
        <v>274</v>
      </c>
      <c r="P821" s="33">
        <v>2</v>
      </c>
      <c r="Q821" s="19">
        <f t="shared" si="178"/>
        <v>1.2493150684931507</v>
      </c>
      <c r="R821" s="32">
        <f t="shared" si="179"/>
        <v>5532.9581945205473</v>
      </c>
      <c r="S821" s="22">
        <f t="shared" si="180"/>
        <v>9983.9818054794523</v>
      </c>
      <c r="T821" s="21">
        <f t="shared" si="181"/>
        <v>15516.94</v>
      </c>
      <c r="U821" s="21">
        <f t="shared" si="182"/>
        <v>0</v>
      </c>
    </row>
    <row r="822" spans="2:21" ht="14.65">
      <c r="B822" s="13">
        <f t="shared" si="183"/>
        <v>13</v>
      </c>
      <c r="C822" s="82" t="s">
        <v>483</v>
      </c>
      <c r="D822" s="91" t="s">
        <v>3459</v>
      </c>
      <c r="E822" s="632"/>
      <c r="F822" s="86">
        <v>44756</v>
      </c>
      <c r="G822" s="86">
        <v>44756</v>
      </c>
      <c r="H822" s="82" t="s">
        <v>414</v>
      </c>
      <c r="I822" s="23">
        <v>44756</v>
      </c>
      <c r="J822" s="16">
        <v>10000</v>
      </c>
      <c r="K822" s="16"/>
      <c r="L822" s="16"/>
      <c r="M822" s="16"/>
      <c r="N822" s="16">
        <f t="shared" si="176"/>
        <v>10000</v>
      </c>
      <c r="O822" s="17">
        <f t="shared" si="177"/>
        <v>260</v>
      </c>
      <c r="P822" s="33">
        <v>2</v>
      </c>
      <c r="Q822" s="19">
        <f t="shared" si="178"/>
        <v>1.2876712328767124</v>
      </c>
      <c r="R822" s="32">
        <f t="shared" si="179"/>
        <v>3383.5616438356165</v>
      </c>
      <c r="S822" s="22">
        <f t="shared" si="180"/>
        <v>6616.4383561643835</v>
      </c>
      <c r="T822" s="21">
        <f t="shared" si="181"/>
        <v>10000</v>
      </c>
      <c r="U822" s="21">
        <f t="shared" si="182"/>
        <v>0</v>
      </c>
    </row>
    <row r="823" spans="2:21" ht="14.65">
      <c r="B823" s="13">
        <f t="shared" si="183"/>
        <v>14</v>
      </c>
      <c r="C823" s="82" t="s">
        <v>483</v>
      </c>
      <c r="D823" s="91" t="s">
        <v>3459</v>
      </c>
      <c r="E823" s="632"/>
      <c r="F823" s="86">
        <v>44756</v>
      </c>
      <c r="G823" s="86">
        <v>44756</v>
      </c>
      <c r="H823" s="82" t="s">
        <v>414</v>
      </c>
      <c r="I823" s="23">
        <v>44756</v>
      </c>
      <c r="J823" s="16">
        <v>5560</v>
      </c>
      <c r="K823" s="16"/>
      <c r="L823" s="16"/>
      <c r="M823" s="16"/>
      <c r="N823" s="16">
        <f t="shared" si="176"/>
        <v>5560</v>
      </c>
      <c r="O823" s="17">
        <f t="shared" si="177"/>
        <v>260</v>
      </c>
      <c r="P823" s="33">
        <v>2</v>
      </c>
      <c r="Q823" s="19">
        <f t="shared" si="178"/>
        <v>1.2876712328767124</v>
      </c>
      <c r="R823" s="32">
        <f t="shared" si="179"/>
        <v>1881.2602739726028</v>
      </c>
      <c r="S823" s="22">
        <f t="shared" si="180"/>
        <v>3678.7397260273974</v>
      </c>
      <c r="T823" s="21">
        <f t="shared" si="181"/>
        <v>5560</v>
      </c>
      <c r="U823" s="21">
        <f t="shared" si="182"/>
        <v>0</v>
      </c>
    </row>
    <row r="824" spans="2:21" ht="15.75" customHeight="1">
      <c r="B824" s="13">
        <f t="shared" si="183"/>
        <v>15</v>
      </c>
      <c r="C824" s="82" t="s">
        <v>484</v>
      </c>
      <c r="D824" s="91" t="s">
        <v>3459</v>
      </c>
      <c r="E824" s="632" t="s">
        <v>485</v>
      </c>
      <c r="F824" s="86">
        <v>44795</v>
      </c>
      <c r="G824" s="86">
        <v>44810</v>
      </c>
      <c r="H824" s="82" t="s">
        <v>486</v>
      </c>
      <c r="I824" s="23">
        <v>44810</v>
      </c>
      <c r="J824" s="16">
        <v>12757</v>
      </c>
      <c r="K824" s="16"/>
      <c r="L824" s="16"/>
      <c r="M824" s="16">
        <v>1945.94</v>
      </c>
      <c r="N824" s="16">
        <f t="shared" si="176"/>
        <v>10811.06</v>
      </c>
      <c r="O824" s="17">
        <f t="shared" si="177"/>
        <v>206</v>
      </c>
      <c r="P824" s="33">
        <v>2</v>
      </c>
      <c r="Q824" s="19">
        <f t="shared" si="178"/>
        <v>1.4356164383561643</v>
      </c>
      <c r="R824" s="32">
        <f t="shared" si="179"/>
        <v>2898.2526602739722</v>
      </c>
      <c r="S824" s="22">
        <f t="shared" si="180"/>
        <v>7912.8073397260268</v>
      </c>
      <c r="T824" s="21">
        <f t="shared" si="181"/>
        <v>10811.06</v>
      </c>
      <c r="U824" s="21">
        <f t="shared" si="182"/>
        <v>0</v>
      </c>
    </row>
    <row r="825" spans="2:21" ht="15.75" customHeight="1">
      <c r="B825" s="13">
        <f t="shared" si="183"/>
        <v>16</v>
      </c>
      <c r="C825" s="82" t="s">
        <v>819</v>
      </c>
      <c r="D825" s="91" t="s">
        <v>3459</v>
      </c>
      <c r="E825" s="632">
        <v>2008026743</v>
      </c>
      <c r="F825" s="86">
        <v>44821</v>
      </c>
      <c r="G825" s="89">
        <v>44838</v>
      </c>
      <c r="H825" s="82" t="s">
        <v>521</v>
      </c>
      <c r="I825" s="23">
        <v>44838</v>
      </c>
      <c r="J825" s="16">
        <v>199572</v>
      </c>
      <c r="K825" s="16"/>
      <c r="L825" s="16"/>
      <c r="M825" s="16">
        <v>30443</v>
      </c>
      <c r="N825" s="16">
        <f t="shared" si="176"/>
        <v>169129</v>
      </c>
      <c r="O825" s="17">
        <f t="shared" si="177"/>
        <v>178</v>
      </c>
      <c r="P825" s="33">
        <v>2</v>
      </c>
      <c r="Q825" s="19">
        <f t="shared" si="178"/>
        <v>1.5123287671232877</v>
      </c>
      <c r="R825" s="32">
        <f t="shared" si="179"/>
        <v>39177.690273972599</v>
      </c>
      <c r="S825" s="22">
        <f t="shared" si="180"/>
        <v>129951.30972602739</v>
      </c>
      <c r="T825" s="21">
        <f t="shared" si="181"/>
        <v>0</v>
      </c>
      <c r="U825" s="21">
        <f t="shared" si="182"/>
        <v>169129</v>
      </c>
    </row>
    <row r="826" spans="2:21" ht="15.75" customHeight="1">
      <c r="B826" s="13">
        <f t="shared" si="183"/>
        <v>17</v>
      </c>
      <c r="C826" s="82" t="s">
        <v>819</v>
      </c>
      <c r="D826" s="91" t="s">
        <v>3459</v>
      </c>
      <c r="E826" s="632" t="s">
        <v>836</v>
      </c>
      <c r="F826" s="86">
        <v>44832</v>
      </c>
      <c r="G826" s="89">
        <v>44844</v>
      </c>
      <c r="H826" s="82" t="s">
        <v>493</v>
      </c>
      <c r="I826" s="23">
        <v>44844</v>
      </c>
      <c r="J826" s="16">
        <v>331415</v>
      </c>
      <c r="K826" s="16"/>
      <c r="L826" s="16"/>
      <c r="M826" s="16">
        <v>50555</v>
      </c>
      <c r="N826" s="16">
        <f t="shared" si="176"/>
        <v>280860</v>
      </c>
      <c r="O826" s="17">
        <f t="shared" si="177"/>
        <v>172</v>
      </c>
      <c r="P826" s="33">
        <v>2</v>
      </c>
      <c r="Q826" s="19">
        <f t="shared" si="178"/>
        <v>1.5287671232876712</v>
      </c>
      <c r="R826" s="32">
        <f t="shared" si="179"/>
        <v>62866.471232876713</v>
      </c>
      <c r="S826" s="22">
        <f t="shared" si="180"/>
        <v>217993.52876712329</v>
      </c>
      <c r="T826" s="21">
        <f t="shared" si="181"/>
        <v>0</v>
      </c>
      <c r="U826" s="21">
        <f t="shared" si="182"/>
        <v>280860</v>
      </c>
    </row>
    <row r="827" spans="2:21" ht="15.75" customHeight="1">
      <c r="B827" s="13">
        <f t="shared" si="183"/>
        <v>18</v>
      </c>
      <c r="C827" s="82" t="s">
        <v>819</v>
      </c>
      <c r="D827" s="91" t="s">
        <v>3459</v>
      </c>
      <c r="E827" s="632" t="s">
        <v>837</v>
      </c>
      <c r="F827" s="86">
        <v>44832</v>
      </c>
      <c r="G827" s="89">
        <v>44844</v>
      </c>
      <c r="H827" s="82" t="s">
        <v>493</v>
      </c>
      <c r="I827" s="23">
        <v>44844</v>
      </c>
      <c r="J827" s="16">
        <v>960590</v>
      </c>
      <c r="K827" s="16"/>
      <c r="L827" s="16"/>
      <c r="M827" s="16">
        <v>146531</v>
      </c>
      <c r="N827" s="16">
        <f t="shared" si="176"/>
        <v>814059</v>
      </c>
      <c r="O827" s="17">
        <f t="shared" si="177"/>
        <v>172</v>
      </c>
      <c r="P827" s="33">
        <v>2</v>
      </c>
      <c r="Q827" s="19">
        <f t="shared" si="178"/>
        <v>1.5287671232876712</v>
      </c>
      <c r="R827" s="32">
        <f t="shared" si="179"/>
        <v>182215.39808219176</v>
      </c>
      <c r="S827" s="22">
        <f t="shared" si="180"/>
        <v>631843.60191780818</v>
      </c>
      <c r="T827" s="21">
        <f t="shared" si="181"/>
        <v>0</v>
      </c>
      <c r="U827" s="21">
        <f t="shared" si="182"/>
        <v>814059</v>
      </c>
    </row>
    <row r="828" spans="2:21" ht="15.75" customHeight="1">
      <c r="B828" s="13">
        <f t="shared" si="183"/>
        <v>19</v>
      </c>
      <c r="C828" s="82" t="s">
        <v>819</v>
      </c>
      <c r="D828" s="91" t="s">
        <v>3459</v>
      </c>
      <c r="E828" s="632">
        <v>36</v>
      </c>
      <c r="F828" s="86">
        <v>44891</v>
      </c>
      <c r="G828" s="89">
        <v>44891</v>
      </c>
      <c r="H828" s="82" t="s">
        <v>855</v>
      </c>
      <c r="I828" s="23">
        <v>44891</v>
      </c>
      <c r="J828" s="16">
        <v>153040</v>
      </c>
      <c r="K828" s="16"/>
      <c r="L828" s="16"/>
      <c r="M828" s="16">
        <v>23345.1</v>
      </c>
      <c r="N828" s="16">
        <f t="shared" si="176"/>
        <v>129694.9</v>
      </c>
      <c r="O828" s="17">
        <f t="shared" si="177"/>
        <v>125</v>
      </c>
      <c r="P828" s="33">
        <v>2</v>
      </c>
      <c r="Q828" s="19">
        <f t="shared" si="178"/>
        <v>1.6575342465753424</v>
      </c>
      <c r="R828" s="32">
        <f t="shared" si="179"/>
        <v>21097.629280821915</v>
      </c>
      <c r="S828" s="22">
        <f t="shared" si="180"/>
        <v>108597.27071917808</v>
      </c>
      <c r="T828" s="21">
        <f t="shared" si="181"/>
        <v>0</v>
      </c>
      <c r="U828" s="21">
        <f t="shared" si="182"/>
        <v>129694.9</v>
      </c>
    </row>
    <row r="829" spans="2:21" ht="15.75" customHeight="1">
      <c r="B829" s="13">
        <f t="shared" si="183"/>
        <v>20</v>
      </c>
      <c r="C829" s="82" t="s">
        <v>819</v>
      </c>
      <c r="D829" s="91" t="s">
        <v>3459</v>
      </c>
      <c r="E829" s="632">
        <v>37</v>
      </c>
      <c r="F829" s="86">
        <v>44892</v>
      </c>
      <c r="G829" s="89">
        <v>44895</v>
      </c>
      <c r="H829" s="82" t="s">
        <v>855</v>
      </c>
      <c r="I829" s="23">
        <v>44895</v>
      </c>
      <c r="J829" s="16">
        <v>153040</v>
      </c>
      <c r="K829" s="16"/>
      <c r="L829" s="16"/>
      <c r="M829" s="16">
        <v>23345.1</v>
      </c>
      <c r="N829" s="16">
        <f t="shared" si="176"/>
        <v>129694.9</v>
      </c>
      <c r="O829" s="17">
        <f t="shared" si="177"/>
        <v>121</v>
      </c>
      <c r="P829" s="33">
        <v>2</v>
      </c>
      <c r="Q829" s="19">
        <f t="shared" si="178"/>
        <v>1.6684931506849314</v>
      </c>
      <c r="R829" s="32">
        <f t="shared" si="179"/>
        <v>20422.505143835617</v>
      </c>
      <c r="S829" s="22">
        <f t="shared" si="180"/>
        <v>109272.39485616438</v>
      </c>
      <c r="T829" s="21">
        <f t="shared" si="181"/>
        <v>0</v>
      </c>
      <c r="U829" s="21">
        <f t="shared" si="182"/>
        <v>129694.9</v>
      </c>
    </row>
    <row r="830" spans="2:21" ht="15.75" customHeight="1">
      <c r="B830" s="13">
        <f t="shared" si="183"/>
        <v>21</v>
      </c>
      <c r="C830" s="82" t="s">
        <v>819</v>
      </c>
      <c r="D830" s="91" t="s">
        <v>3459</v>
      </c>
      <c r="E830" s="632">
        <v>42</v>
      </c>
      <c r="F830" s="86">
        <v>44901</v>
      </c>
      <c r="G830" s="89">
        <v>44902</v>
      </c>
      <c r="H830" s="82" t="s">
        <v>855</v>
      </c>
      <c r="I830" s="23">
        <v>44902</v>
      </c>
      <c r="J830" s="16">
        <v>171250</v>
      </c>
      <c r="K830" s="16"/>
      <c r="L830" s="16"/>
      <c r="M830" s="16">
        <v>26123</v>
      </c>
      <c r="N830" s="16">
        <f t="shared" si="176"/>
        <v>145127</v>
      </c>
      <c r="O830" s="17">
        <f t="shared" si="177"/>
        <v>114</v>
      </c>
      <c r="P830" s="33">
        <v>2</v>
      </c>
      <c r="Q830" s="19">
        <f t="shared" si="178"/>
        <v>1.6876712328767123</v>
      </c>
      <c r="R830" s="32">
        <f t="shared" si="179"/>
        <v>21530.485068493152</v>
      </c>
      <c r="S830" s="22">
        <f t="shared" si="180"/>
        <v>123596.51493150686</v>
      </c>
      <c r="T830" s="21">
        <f t="shared" si="181"/>
        <v>0</v>
      </c>
      <c r="U830" s="21">
        <f t="shared" si="182"/>
        <v>145127</v>
      </c>
    </row>
    <row r="831" spans="2:21" ht="15.75" customHeight="1">
      <c r="B831" s="13">
        <f t="shared" si="183"/>
        <v>22</v>
      </c>
      <c r="C831" s="82" t="s">
        <v>819</v>
      </c>
      <c r="D831" s="91" t="s">
        <v>3459</v>
      </c>
      <c r="E831" s="632">
        <v>48</v>
      </c>
      <c r="F831" s="86">
        <v>44905</v>
      </c>
      <c r="G831" s="89">
        <v>44912</v>
      </c>
      <c r="H831" s="82" t="s">
        <v>855</v>
      </c>
      <c r="I831" s="23">
        <v>44912</v>
      </c>
      <c r="J831" s="16">
        <v>171250</v>
      </c>
      <c r="K831" s="16"/>
      <c r="L831" s="16"/>
      <c r="M831" s="16">
        <v>26123</v>
      </c>
      <c r="N831" s="16">
        <f t="shared" si="176"/>
        <v>145127</v>
      </c>
      <c r="O831" s="17">
        <f t="shared" si="177"/>
        <v>104</v>
      </c>
      <c r="P831" s="33">
        <v>2</v>
      </c>
      <c r="Q831" s="19">
        <f t="shared" si="178"/>
        <v>1.715068493150685</v>
      </c>
      <c r="R831" s="32">
        <f t="shared" si="179"/>
        <v>19641.84602739726</v>
      </c>
      <c r="S831" s="22">
        <f t="shared" si="180"/>
        <v>125485.15397260274</v>
      </c>
      <c r="T831" s="21">
        <f t="shared" si="181"/>
        <v>0</v>
      </c>
      <c r="U831" s="21">
        <f t="shared" si="182"/>
        <v>145127</v>
      </c>
    </row>
    <row r="832" spans="2:21" ht="15.75" customHeight="1">
      <c r="B832" s="13">
        <f t="shared" si="183"/>
        <v>23</v>
      </c>
      <c r="C832" s="82" t="s">
        <v>819</v>
      </c>
      <c r="D832" s="91" t="s">
        <v>3459</v>
      </c>
      <c r="E832" s="632">
        <v>57</v>
      </c>
      <c r="F832" s="86">
        <v>44912</v>
      </c>
      <c r="G832" s="89">
        <v>44916</v>
      </c>
      <c r="H832" s="82" t="s">
        <v>855</v>
      </c>
      <c r="I832" s="23">
        <v>44916</v>
      </c>
      <c r="J832" s="16">
        <v>171250</v>
      </c>
      <c r="K832" s="16"/>
      <c r="L832" s="16"/>
      <c r="M832" s="16">
        <v>26123</v>
      </c>
      <c r="N832" s="16">
        <f t="shared" si="176"/>
        <v>145127</v>
      </c>
      <c r="O832" s="17">
        <f t="shared" si="177"/>
        <v>100</v>
      </c>
      <c r="P832" s="33">
        <v>2</v>
      </c>
      <c r="Q832" s="19">
        <f t="shared" si="178"/>
        <v>1.726027397260274</v>
      </c>
      <c r="R832" s="32">
        <f t="shared" si="179"/>
        <v>18886.390410958906</v>
      </c>
      <c r="S832" s="22">
        <f t="shared" si="180"/>
        <v>126240.60958904109</v>
      </c>
      <c r="T832" s="21">
        <f t="shared" si="181"/>
        <v>0</v>
      </c>
      <c r="U832" s="21">
        <f t="shared" si="182"/>
        <v>145127</v>
      </c>
    </row>
    <row r="833" spans="2:21" ht="14.65">
      <c r="B833" s="13">
        <f t="shared" si="183"/>
        <v>24</v>
      </c>
      <c r="C833" s="82" t="s">
        <v>819</v>
      </c>
      <c r="D833" s="91" t="s">
        <v>3459</v>
      </c>
      <c r="E833" s="632">
        <v>40</v>
      </c>
      <c r="F833" s="86">
        <v>44896</v>
      </c>
      <c r="G833" s="89">
        <v>44926</v>
      </c>
      <c r="H833" s="82" t="s">
        <v>855</v>
      </c>
      <c r="I833" s="23">
        <v>44926</v>
      </c>
      <c r="J833" s="16">
        <v>171250</v>
      </c>
      <c r="K833" s="16"/>
      <c r="L833" s="16"/>
      <c r="M833" s="16">
        <v>26123</v>
      </c>
      <c r="N833" s="16">
        <f t="shared" si="176"/>
        <v>145127</v>
      </c>
      <c r="O833" s="17">
        <f t="shared" si="177"/>
        <v>90</v>
      </c>
      <c r="P833" s="33">
        <v>2</v>
      </c>
      <c r="Q833" s="19">
        <f t="shared" si="178"/>
        <v>1.7534246575342465</v>
      </c>
      <c r="R833" s="32">
        <f t="shared" si="179"/>
        <v>16997.751369863014</v>
      </c>
      <c r="S833" s="22">
        <f t="shared" si="180"/>
        <v>128129.24863013698</v>
      </c>
      <c r="T833" s="21">
        <f t="shared" si="181"/>
        <v>0</v>
      </c>
      <c r="U833" s="21">
        <f t="shared" si="182"/>
        <v>145127</v>
      </c>
    </row>
    <row r="834" spans="2:21" ht="14.65">
      <c r="B834" s="13">
        <f t="shared" si="183"/>
        <v>25</v>
      </c>
      <c r="C834" s="14" t="s">
        <v>229</v>
      </c>
      <c r="D834" s="91" t="s">
        <v>3460</v>
      </c>
      <c r="E834" s="633" t="s">
        <v>259</v>
      </c>
      <c r="F834" s="15">
        <v>44728</v>
      </c>
      <c r="G834" s="15">
        <v>44728</v>
      </c>
      <c r="H834" s="14" t="s">
        <v>260</v>
      </c>
      <c r="I834" s="23">
        <v>44728</v>
      </c>
      <c r="J834" s="16">
        <v>767377.6</v>
      </c>
      <c r="K834" s="16"/>
      <c r="L834" s="16"/>
      <c r="M834" s="16">
        <v>117057.59999999999</v>
      </c>
      <c r="N834" s="16">
        <f t="shared" si="176"/>
        <v>650320</v>
      </c>
      <c r="O834" s="17">
        <f t="shared" si="177"/>
        <v>288</v>
      </c>
      <c r="P834" s="33">
        <v>2</v>
      </c>
      <c r="Q834" s="19">
        <f t="shared" si="178"/>
        <v>1.2109589041095892</v>
      </c>
      <c r="R834" s="32">
        <f t="shared" si="179"/>
        <v>243736.37260273972</v>
      </c>
      <c r="S834" s="22">
        <f t="shared" si="180"/>
        <v>406583.62739726028</v>
      </c>
      <c r="T834" s="21">
        <f t="shared" si="181"/>
        <v>650320</v>
      </c>
      <c r="U834" s="21">
        <f t="shared" si="182"/>
        <v>0</v>
      </c>
    </row>
    <row r="835" spans="2:21" ht="14.65">
      <c r="B835" s="13">
        <f t="shared" si="183"/>
        <v>26</v>
      </c>
      <c r="C835" s="14" t="s">
        <v>230</v>
      </c>
      <c r="D835" s="91" t="s">
        <v>3460</v>
      </c>
      <c r="E835" s="633">
        <v>925</v>
      </c>
      <c r="F835" s="15">
        <v>44741</v>
      </c>
      <c r="G835" s="15">
        <v>44741</v>
      </c>
      <c r="H835" s="14" t="s">
        <v>261</v>
      </c>
      <c r="I835" s="23">
        <v>44741</v>
      </c>
      <c r="J835" s="16">
        <v>1599190.7519999999</v>
      </c>
      <c r="K835" s="16"/>
      <c r="L835" s="16"/>
      <c r="M835" s="16">
        <v>243944.35199999998</v>
      </c>
      <c r="N835" s="16">
        <f t="shared" si="176"/>
        <v>1355246.4</v>
      </c>
      <c r="O835" s="17">
        <f t="shared" si="177"/>
        <v>275</v>
      </c>
      <c r="P835" s="33">
        <v>2</v>
      </c>
      <c r="Q835" s="19">
        <f t="shared" si="178"/>
        <v>1.2465753424657535</v>
      </c>
      <c r="R835" s="32">
        <f t="shared" si="179"/>
        <v>485011.12602739717</v>
      </c>
      <c r="S835" s="22">
        <f t="shared" si="180"/>
        <v>870235.27397260279</v>
      </c>
      <c r="T835" s="21">
        <f t="shared" si="181"/>
        <v>1355246.4</v>
      </c>
      <c r="U835" s="21">
        <f t="shared" si="182"/>
        <v>0</v>
      </c>
    </row>
    <row r="836" spans="2:21" ht="14.65">
      <c r="B836" s="13">
        <f t="shared" si="183"/>
        <v>27</v>
      </c>
      <c r="C836" s="82" t="s">
        <v>484</v>
      </c>
      <c r="D836" s="91" t="s">
        <v>3460</v>
      </c>
      <c r="E836" s="632" t="s">
        <v>487</v>
      </c>
      <c r="F836" s="86">
        <v>44769</v>
      </c>
      <c r="G836" s="86">
        <v>44773</v>
      </c>
      <c r="H836" s="82" t="s">
        <v>486</v>
      </c>
      <c r="I836" s="23">
        <v>44773</v>
      </c>
      <c r="J836" s="16">
        <v>643796</v>
      </c>
      <c r="K836" s="16"/>
      <c r="L836" s="16"/>
      <c r="M836" s="16">
        <v>98206</v>
      </c>
      <c r="N836" s="16">
        <f t="shared" si="176"/>
        <v>545590</v>
      </c>
      <c r="O836" s="17">
        <f t="shared" si="177"/>
        <v>243</v>
      </c>
      <c r="P836" s="33">
        <v>2</v>
      </c>
      <c r="Q836" s="19">
        <f t="shared" si="178"/>
        <v>1.3342465753424657</v>
      </c>
      <c r="R836" s="32">
        <f t="shared" si="179"/>
        <v>172533.49520547944</v>
      </c>
      <c r="S836" s="22">
        <f t="shared" si="180"/>
        <v>373056.50479452056</v>
      </c>
      <c r="T836" s="21">
        <f t="shared" si="181"/>
        <v>545590</v>
      </c>
      <c r="U836" s="21">
        <f t="shared" si="182"/>
        <v>0</v>
      </c>
    </row>
    <row r="837" spans="2:21" ht="14.65">
      <c r="B837" s="13">
        <f t="shared" si="183"/>
        <v>28</v>
      </c>
      <c r="C837" s="82" t="s">
        <v>484</v>
      </c>
      <c r="D837" s="91" t="s">
        <v>3460</v>
      </c>
      <c r="E837" s="632" t="s">
        <v>488</v>
      </c>
      <c r="F837" s="86">
        <v>44786</v>
      </c>
      <c r="G837" s="86">
        <v>44804</v>
      </c>
      <c r="H837" s="82" t="s">
        <v>486</v>
      </c>
      <c r="I837" s="23">
        <v>44804</v>
      </c>
      <c r="J837" s="16">
        <v>1309363</v>
      </c>
      <c r="K837" s="16"/>
      <c r="L837" s="16"/>
      <c r="M837" s="16">
        <v>199733</v>
      </c>
      <c r="N837" s="16">
        <f t="shared" si="176"/>
        <v>1109630</v>
      </c>
      <c r="O837" s="17">
        <f t="shared" si="177"/>
        <v>212</v>
      </c>
      <c r="P837" s="33">
        <v>2</v>
      </c>
      <c r="Q837" s="19">
        <f t="shared" si="178"/>
        <v>1.419178082191781</v>
      </c>
      <c r="R837" s="32">
        <f t="shared" si="179"/>
        <v>306136.27671232878</v>
      </c>
      <c r="S837" s="22">
        <f t="shared" si="180"/>
        <v>803493.72328767122</v>
      </c>
      <c r="T837" s="21">
        <f t="shared" si="181"/>
        <v>1109630</v>
      </c>
      <c r="U837" s="21">
        <f t="shared" si="182"/>
        <v>0</v>
      </c>
    </row>
    <row r="838" spans="2:21" ht="14.65">
      <c r="B838" s="13">
        <f t="shared" si="183"/>
        <v>29</v>
      </c>
      <c r="C838" s="82" t="s">
        <v>484</v>
      </c>
      <c r="D838" s="91" t="s">
        <v>3460</v>
      </c>
      <c r="E838" s="632" t="s">
        <v>489</v>
      </c>
      <c r="F838" s="86">
        <v>44791</v>
      </c>
      <c r="G838" s="86">
        <v>44804</v>
      </c>
      <c r="H838" s="82" t="s">
        <v>486</v>
      </c>
      <c r="I838" s="23">
        <v>44804</v>
      </c>
      <c r="J838" s="16">
        <v>659679</v>
      </c>
      <c r="K838" s="16"/>
      <c r="L838" s="16"/>
      <c r="M838" s="16">
        <v>100629</v>
      </c>
      <c r="N838" s="16">
        <f t="shared" si="176"/>
        <v>559050</v>
      </c>
      <c r="O838" s="17">
        <f t="shared" si="177"/>
        <v>212</v>
      </c>
      <c r="P838" s="33">
        <v>2</v>
      </c>
      <c r="Q838" s="19">
        <f t="shared" si="178"/>
        <v>1.419178082191781</v>
      </c>
      <c r="R838" s="32">
        <f t="shared" si="179"/>
        <v>154236.53424657535</v>
      </c>
      <c r="S838" s="22">
        <f t="shared" si="180"/>
        <v>404813.46575342468</v>
      </c>
      <c r="T838" s="21">
        <f t="shared" si="181"/>
        <v>559050</v>
      </c>
      <c r="U838" s="21">
        <f t="shared" si="182"/>
        <v>0</v>
      </c>
    </row>
    <row r="839" spans="2:21" ht="14.65">
      <c r="B839" s="13">
        <f t="shared" si="183"/>
        <v>30</v>
      </c>
      <c r="C839" s="82" t="s">
        <v>484</v>
      </c>
      <c r="D839" s="91" t="s">
        <v>3460</v>
      </c>
      <c r="E839" s="632" t="s">
        <v>490</v>
      </c>
      <c r="F839" s="86">
        <v>44791</v>
      </c>
      <c r="G839" s="86">
        <v>44805</v>
      </c>
      <c r="H839" s="82" t="s">
        <v>486</v>
      </c>
      <c r="I839" s="23">
        <v>44805</v>
      </c>
      <c r="J839" s="16">
        <v>127794</v>
      </c>
      <c r="K839" s="16"/>
      <c r="L839" s="16"/>
      <c r="M839" s="16">
        <v>19494</v>
      </c>
      <c r="N839" s="16">
        <f t="shared" si="176"/>
        <v>108300</v>
      </c>
      <c r="O839" s="17">
        <f t="shared" si="177"/>
        <v>211</v>
      </c>
      <c r="P839" s="33">
        <v>2</v>
      </c>
      <c r="Q839" s="19">
        <f t="shared" si="178"/>
        <v>1.4219178082191781</v>
      </c>
      <c r="R839" s="32">
        <f t="shared" si="179"/>
        <v>29737.993150684932</v>
      </c>
      <c r="S839" s="22">
        <f t="shared" si="180"/>
        <v>78562.006849315076</v>
      </c>
      <c r="T839" s="21">
        <f t="shared" si="181"/>
        <v>108300</v>
      </c>
      <c r="U839" s="21">
        <f t="shared" si="182"/>
        <v>0</v>
      </c>
    </row>
    <row r="840" spans="2:21" ht="15.75" customHeight="1">
      <c r="B840" s="13">
        <f t="shared" si="183"/>
        <v>31</v>
      </c>
      <c r="C840" s="82" t="s">
        <v>491</v>
      </c>
      <c r="D840" s="91" t="s">
        <v>3460</v>
      </c>
      <c r="E840" s="632" t="s">
        <v>492</v>
      </c>
      <c r="F840" s="86">
        <v>44834</v>
      </c>
      <c r="G840" s="86">
        <v>44834</v>
      </c>
      <c r="H840" s="82" t="s">
        <v>493</v>
      </c>
      <c r="I840" s="23">
        <v>44834</v>
      </c>
      <c r="J840" s="16">
        <v>974491</v>
      </c>
      <c r="K840" s="16"/>
      <c r="L840" s="16"/>
      <c r="M840" s="16">
        <v>148651</v>
      </c>
      <c r="N840" s="16">
        <f t="shared" si="176"/>
        <v>825840</v>
      </c>
      <c r="O840" s="17">
        <f t="shared" si="177"/>
        <v>182</v>
      </c>
      <c r="P840" s="33">
        <v>2</v>
      </c>
      <c r="Q840" s="19">
        <f t="shared" si="178"/>
        <v>1.5013698630136987</v>
      </c>
      <c r="R840" s="32">
        <f t="shared" si="179"/>
        <v>195599.63835616439</v>
      </c>
      <c r="S840" s="22">
        <f t="shared" si="180"/>
        <v>630240.36164383567</v>
      </c>
      <c r="T840" s="21">
        <f t="shared" si="181"/>
        <v>825840</v>
      </c>
      <c r="U840" s="21">
        <f t="shared" si="182"/>
        <v>0</v>
      </c>
    </row>
    <row r="841" spans="2:21" ht="15.75" customHeight="1">
      <c r="B841" s="13">
        <f t="shared" si="183"/>
        <v>32</v>
      </c>
      <c r="C841" s="82" t="s">
        <v>819</v>
      </c>
      <c r="D841" s="91" t="s">
        <v>3460</v>
      </c>
      <c r="E841" s="632">
        <v>2008026742</v>
      </c>
      <c r="F841" s="86">
        <v>44821</v>
      </c>
      <c r="G841" s="89">
        <v>44839</v>
      </c>
      <c r="H841" s="82" t="s">
        <v>521</v>
      </c>
      <c r="I841" s="23">
        <v>44839</v>
      </c>
      <c r="J841" s="16">
        <v>259443</v>
      </c>
      <c r="K841" s="16"/>
      <c r="L841" s="16"/>
      <c r="M841" s="16">
        <v>39576</v>
      </c>
      <c r="N841" s="16">
        <f t="shared" si="176"/>
        <v>219867</v>
      </c>
      <c r="O841" s="17">
        <f t="shared" si="177"/>
        <v>177</v>
      </c>
      <c r="P841" s="33">
        <v>2</v>
      </c>
      <c r="Q841" s="19">
        <f t="shared" si="178"/>
        <v>1.515068493150685</v>
      </c>
      <c r="R841" s="32">
        <f t="shared" si="179"/>
        <v>50644.706917808217</v>
      </c>
      <c r="S841" s="22">
        <f t="shared" si="180"/>
        <v>169222.29308219178</v>
      </c>
      <c r="T841" s="21">
        <f t="shared" si="181"/>
        <v>0</v>
      </c>
      <c r="U841" s="21">
        <f t="shared" si="182"/>
        <v>219867</v>
      </c>
    </row>
    <row r="842" spans="2:21" ht="15.75" customHeight="1">
      <c r="B842" s="13">
        <f t="shared" si="183"/>
        <v>33</v>
      </c>
      <c r="C842" s="82" t="s">
        <v>820</v>
      </c>
      <c r="D842" s="91" t="s">
        <v>3460</v>
      </c>
      <c r="E842" s="632">
        <v>1474</v>
      </c>
      <c r="F842" s="86">
        <v>44843</v>
      </c>
      <c r="G842" s="89">
        <v>44844</v>
      </c>
      <c r="H842" s="82" t="s">
        <v>527</v>
      </c>
      <c r="I842" s="23">
        <v>44844</v>
      </c>
      <c r="J842" s="16">
        <v>1295546</v>
      </c>
      <c r="K842" s="16"/>
      <c r="L842" s="16"/>
      <c r="M842" s="16">
        <v>197625</v>
      </c>
      <c r="N842" s="16">
        <f t="shared" ref="N842:N873" si="184">J842+K842-L842-M842</f>
        <v>1097921</v>
      </c>
      <c r="O842" s="17">
        <f t="shared" ref="O842:O873" si="185">$O$1-I842</f>
        <v>172</v>
      </c>
      <c r="P842" s="33">
        <v>2</v>
      </c>
      <c r="Q842" s="19">
        <f t="shared" si="178"/>
        <v>1.5287671232876712</v>
      </c>
      <c r="R842" s="32">
        <f t="shared" si="179"/>
        <v>245753.82383561644</v>
      </c>
      <c r="S842" s="22">
        <f t="shared" si="180"/>
        <v>852167.17616438353</v>
      </c>
      <c r="T842" s="21">
        <f t="shared" ref="T842:T873" si="186">IF(I842&lt;=DATE(2022,9,30),N842,0)</f>
        <v>0</v>
      </c>
      <c r="U842" s="21">
        <f t="shared" ref="U842:U873" si="187">IF(I842&gt;DATE(2022,9,30),N842,0)</f>
        <v>1097921</v>
      </c>
    </row>
    <row r="843" spans="2:21" ht="15.75" customHeight="1">
      <c r="B843" s="13">
        <f t="shared" si="183"/>
        <v>34</v>
      </c>
      <c r="C843" s="82" t="s">
        <v>820</v>
      </c>
      <c r="D843" s="91" t="s">
        <v>3460</v>
      </c>
      <c r="E843" s="632">
        <v>304</v>
      </c>
      <c r="F843" s="86">
        <v>44844</v>
      </c>
      <c r="G843" s="89">
        <v>44844</v>
      </c>
      <c r="H843" s="82" t="s">
        <v>856</v>
      </c>
      <c r="I843" s="23">
        <v>44844</v>
      </c>
      <c r="J843" s="16">
        <v>166380</v>
      </c>
      <c r="K843" s="16"/>
      <c r="L843" s="16"/>
      <c r="M843" s="16">
        <v>25380</v>
      </c>
      <c r="N843" s="16">
        <f t="shared" si="184"/>
        <v>141000</v>
      </c>
      <c r="O843" s="17">
        <f t="shared" si="185"/>
        <v>172</v>
      </c>
      <c r="P843" s="33">
        <v>2</v>
      </c>
      <c r="Q843" s="19">
        <f t="shared" si="178"/>
        <v>1.5287671232876712</v>
      </c>
      <c r="R843" s="32">
        <f t="shared" si="179"/>
        <v>31560.821917808218</v>
      </c>
      <c r="S843" s="22">
        <f t="shared" si="180"/>
        <v>109439.17808219178</v>
      </c>
      <c r="T843" s="21">
        <f t="shared" si="186"/>
        <v>0</v>
      </c>
      <c r="U843" s="21">
        <f t="shared" si="187"/>
        <v>141000</v>
      </c>
    </row>
    <row r="844" spans="2:21" ht="15.75" customHeight="1">
      <c r="B844" s="13">
        <f t="shared" si="183"/>
        <v>35</v>
      </c>
      <c r="C844" s="82" t="s">
        <v>821</v>
      </c>
      <c r="D844" s="91" t="s">
        <v>3460</v>
      </c>
      <c r="E844" s="632">
        <v>261</v>
      </c>
      <c r="F844" s="86">
        <v>44844</v>
      </c>
      <c r="G844" s="89">
        <v>44865</v>
      </c>
      <c r="H844" s="82" t="s">
        <v>854</v>
      </c>
      <c r="I844" s="23">
        <v>44865</v>
      </c>
      <c r="J844" s="16">
        <v>67614</v>
      </c>
      <c r="K844" s="16"/>
      <c r="L844" s="16"/>
      <c r="M844" s="16">
        <v>10314</v>
      </c>
      <c r="N844" s="16">
        <f t="shared" si="184"/>
        <v>57300</v>
      </c>
      <c r="O844" s="17">
        <f t="shared" si="185"/>
        <v>151</v>
      </c>
      <c r="P844" s="33">
        <v>2</v>
      </c>
      <c r="Q844" s="19">
        <f t="shared" si="178"/>
        <v>1.5863013698630137</v>
      </c>
      <c r="R844" s="32">
        <f t="shared" si="179"/>
        <v>11259.842465753425</v>
      </c>
      <c r="S844" s="22">
        <f t="shared" si="180"/>
        <v>46040.157534246573</v>
      </c>
      <c r="T844" s="21">
        <f t="shared" si="186"/>
        <v>0</v>
      </c>
      <c r="U844" s="21">
        <f t="shared" si="187"/>
        <v>57300</v>
      </c>
    </row>
    <row r="845" spans="2:21" ht="14.65">
      <c r="B845" s="13">
        <f t="shared" si="183"/>
        <v>36</v>
      </c>
      <c r="C845" s="82" t="s">
        <v>538</v>
      </c>
      <c r="D845" s="91" t="s">
        <v>3460</v>
      </c>
      <c r="E845" s="632" t="s">
        <v>838</v>
      </c>
      <c r="F845" s="86">
        <v>44924</v>
      </c>
      <c r="G845" s="88">
        <v>44924</v>
      </c>
      <c r="H845" s="82" t="s">
        <v>486</v>
      </c>
      <c r="I845" s="23">
        <v>44924</v>
      </c>
      <c r="J845" s="16">
        <v>668588</v>
      </c>
      <c r="K845" s="16"/>
      <c r="L845" s="16"/>
      <c r="M845" s="16">
        <v>101988</v>
      </c>
      <c r="N845" s="16">
        <f t="shared" si="184"/>
        <v>566600</v>
      </c>
      <c r="O845" s="17">
        <f t="shared" si="185"/>
        <v>92</v>
      </c>
      <c r="P845" s="33">
        <v>2</v>
      </c>
      <c r="Q845" s="19">
        <f t="shared" si="178"/>
        <v>1.747945205479452</v>
      </c>
      <c r="R845" s="32">
        <f t="shared" si="179"/>
        <v>67836.767123287675</v>
      </c>
      <c r="S845" s="22">
        <f t="shared" si="180"/>
        <v>498763.23287671234</v>
      </c>
      <c r="T845" s="21">
        <f t="shared" si="186"/>
        <v>0</v>
      </c>
      <c r="U845" s="21">
        <f t="shared" si="187"/>
        <v>566600</v>
      </c>
    </row>
    <row r="846" spans="2:21" ht="14.65">
      <c r="B846" s="13">
        <f t="shared" si="183"/>
        <v>37</v>
      </c>
      <c r="C846" s="621" t="s">
        <v>3435</v>
      </c>
      <c r="D846" s="91" t="s">
        <v>3460</v>
      </c>
      <c r="E846" s="630">
        <v>2008028681</v>
      </c>
      <c r="F846" s="640">
        <v>44946</v>
      </c>
      <c r="G846" s="640">
        <v>44946</v>
      </c>
      <c r="H846" s="621" t="s">
        <v>521</v>
      </c>
      <c r="I846" s="620">
        <v>44946</v>
      </c>
      <c r="J846" s="641">
        <v>277576</v>
      </c>
      <c r="K846" s="619"/>
      <c r="L846" s="619">
        <v>278</v>
      </c>
      <c r="M846" s="619">
        <v>42300</v>
      </c>
      <c r="N846" s="619">
        <f t="shared" si="184"/>
        <v>234998</v>
      </c>
      <c r="O846" s="17">
        <f t="shared" si="185"/>
        <v>70</v>
      </c>
      <c r="P846" s="618">
        <v>2</v>
      </c>
      <c r="Q846" s="617">
        <f>+P846-(O846/365)</f>
        <v>1.8082191780821919</v>
      </c>
      <c r="R846" s="638">
        <f>ROUND(+N846/(P846*365)*O846,0)</f>
        <v>22534</v>
      </c>
      <c r="S846" s="638">
        <f>+N846-R846</f>
        <v>212464</v>
      </c>
      <c r="T846" s="616">
        <f t="shared" si="186"/>
        <v>0</v>
      </c>
      <c r="U846" s="616">
        <f t="shared" si="187"/>
        <v>234998</v>
      </c>
    </row>
    <row r="847" spans="2:21" ht="14.65">
      <c r="B847" s="13">
        <f t="shared" si="183"/>
        <v>38</v>
      </c>
      <c r="C847" s="621" t="s">
        <v>3435</v>
      </c>
      <c r="D847" s="91" t="s">
        <v>3460</v>
      </c>
      <c r="E847" s="630">
        <v>2008028682</v>
      </c>
      <c r="F847" s="640">
        <v>44946</v>
      </c>
      <c r="G847" s="640">
        <v>44946</v>
      </c>
      <c r="H847" s="621" t="s">
        <v>521</v>
      </c>
      <c r="I847" s="620">
        <v>44946</v>
      </c>
      <c r="J847" s="641">
        <v>11092</v>
      </c>
      <c r="K847" s="619"/>
      <c r="L847" s="619"/>
      <c r="M847" s="619">
        <v>1692</v>
      </c>
      <c r="N847" s="619">
        <f t="shared" si="184"/>
        <v>9400</v>
      </c>
      <c r="O847" s="17">
        <f t="shared" si="185"/>
        <v>70</v>
      </c>
      <c r="P847" s="618">
        <v>2</v>
      </c>
      <c r="Q847" s="617">
        <f>+P847-(O847/365)</f>
        <v>1.8082191780821919</v>
      </c>
      <c r="R847" s="638">
        <f>ROUND(+N847/(P847*365)*O847,0)</f>
        <v>901</v>
      </c>
      <c r="S847" s="638">
        <f>+N847-R847</f>
        <v>8499</v>
      </c>
      <c r="T847" s="616">
        <f t="shared" si="186"/>
        <v>0</v>
      </c>
      <c r="U847" s="616">
        <f t="shared" si="187"/>
        <v>9400</v>
      </c>
    </row>
    <row r="848" spans="2:21" ht="14.65">
      <c r="B848" s="13">
        <f t="shared" si="183"/>
        <v>39</v>
      </c>
      <c r="C848" s="621" t="s">
        <v>3435</v>
      </c>
      <c r="D848" s="91" t="s">
        <v>3460</v>
      </c>
      <c r="E848" s="630">
        <v>393</v>
      </c>
      <c r="F848" s="640">
        <v>44947</v>
      </c>
      <c r="G848" s="640">
        <v>44948</v>
      </c>
      <c r="H848" s="621" t="s">
        <v>854</v>
      </c>
      <c r="I848" s="620">
        <v>44948</v>
      </c>
      <c r="J848" s="641">
        <v>114724</v>
      </c>
      <c r="K848" s="619"/>
      <c r="L848" s="619"/>
      <c r="M848" s="619">
        <v>17500</v>
      </c>
      <c r="N848" s="619">
        <f t="shared" si="184"/>
        <v>97224</v>
      </c>
      <c r="O848" s="17">
        <f t="shared" si="185"/>
        <v>68</v>
      </c>
      <c r="P848" s="618">
        <v>2</v>
      </c>
      <c r="Q848" s="617">
        <f>+P848-(O848/365)</f>
        <v>1.8136986301369862</v>
      </c>
      <c r="R848" s="638">
        <f>ROUND(+N848/(P848*365)*O848,0)</f>
        <v>9056</v>
      </c>
      <c r="S848" s="638">
        <f>+N848-R848</f>
        <v>88168</v>
      </c>
      <c r="T848" s="616">
        <f t="shared" si="186"/>
        <v>0</v>
      </c>
      <c r="U848" s="616">
        <f t="shared" si="187"/>
        <v>97224</v>
      </c>
    </row>
    <row r="849" spans="2:21" ht="14.65">
      <c r="B849" s="13">
        <f t="shared" si="183"/>
        <v>40</v>
      </c>
      <c r="C849" s="14" t="s">
        <v>231</v>
      </c>
      <c r="D849" s="26" t="s">
        <v>22</v>
      </c>
      <c r="E849" s="633" t="s">
        <v>262</v>
      </c>
      <c r="F849" s="15">
        <v>44652</v>
      </c>
      <c r="G849" s="15">
        <v>44652</v>
      </c>
      <c r="H849" s="14" t="s">
        <v>260</v>
      </c>
      <c r="I849" s="23">
        <v>44652</v>
      </c>
      <c r="J849" s="16">
        <v>190029.56</v>
      </c>
      <c r="K849" s="16"/>
      <c r="L849" s="16"/>
      <c r="M849" s="16">
        <v>28987.559999999998</v>
      </c>
      <c r="N849" s="16">
        <f t="shared" si="184"/>
        <v>161042</v>
      </c>
      <c r="O849" s="17">
        <f t="shared" si="185"/>
        <v>364</v>
      </c>
      <c r="P849" s="33">
        <v>2</v>
      </c>
      <c r="Q849" s="19">
        <f t="shared" ref="Q849:Q879" si="188">P849-(O849/365)</f>
        <v>1.0027397260273974</v>
      </c>
      <c r="R849" s="32">
        <f t="shared" ref="R849:R879" si="189">N849*95%/P849*O849/365</f>
        <v>76285.374794520554</v>
      </c>
      <c r="S849" s="22">
        <f t="shared" ref="S849:S879" si="190">N849-R849</f>
        <v>84756.625205479446</v>
      </c>
      <c r="T849" s="21">
        <f t="shared" si="186"/>
        <v>161042</v>
      </c>
      <c r="U849" s="21">
        <f t="shared" si="187"/>
        <v>0</v>
      </c>
    </row>
    <row r="850" spans="2:21" ht="14.65">
      <c r="B850" s="13">
        <f t="shared" si="183"/>
        <v>41</v>
      </c>
      <c r="C850" s="14" t="s">
        <v>231</v>
      </c>
      <c r="D850" s="26" t="s">
        <v>22</v>
      </c>
      <c r="E850" s="633" t="s">
        <v>263</v>
      </c>
      <c r="F850" s="15">
        <v>44660</v>
      </c>
      <c r="G850" s="15">
        <v>44660</v>
      </c>
      <c r="H850" s="14" t="s">
        <v>260</v>
      </c>
      <c r="I850" s="23">
        <v>44660</v>
      </c>
      <c r="J850" s="16">
        <v>89868.800000000003</v>
      </c>
      <c r="K850" s="16"/>
      <c r="L850" s="16"/>
      <c r="M850" s="16">
        <v>13708.8</v>
      </c>
      <c r="N850" s="16">
        <f t="shared" si="184"/>
        <v>76160</v>
      </c>
      <c r="O850" s="17">
        <f t="shared" si="185"/>
        <v>356</v>
      </c>
      <c r="P850" s="33">
        <v>2</v>
      </c>
      <c r="Q850" s="19">
        <f t="shared" si="188"/>
        <v>1.0246575342465754</v>
      </c>
      <c r="R850" s="32">
        <f t="shared" si="189"/>
        <v>35283.989041095891</v>
      </c>
      <c r="S850" s="22">
        <f t="shared" si="190"/>
        <v>40876.010958904109</v>
      </c>
      <c r="T850" s="21">
        <f t="shared" si="186"/>
        <v>76160</v>
      </c>
      <c r="U850" s="21">
        <f t="shared" si="187"/>
        <v>0</v>
      </c>
    </row>
    <row r="851" spans="2:21" ht="14.65">
      <c r="B851" s="13">
        <f t="shared" si="183"/>
        <v>42</v>
      </c>
      <c r="C851" s="14" t="s">
        <v>231</v>
      </c>
      <c r="D851" s="26" t="s">
        <v>22</v>
      </c>
      <c r="E851" s="633" t="s">
        <v>264</v>
      </c>
      <c r="F851" s="15">
        <v>44688</v>
      </c>
      <c r="G851" s="15">
        <v>44688</v>
      </c>
      <c r="H851" s="14" t="s">
        <v>260</v>
      </c>
      <c r="I851" s="23">
        <v>44688</v>
      </c>
      <c r="J851" s="16">
        <v>46499.08</v>
      </c>
      <c r="K851" s="16"/>
      <c r="L851" s="16"/>
      <c r="M851" s="16">
        <v>7093.08</v>
      </c>
      <c r="N851" s="16">
        <f t="shared" si="184"/>
        <v>39406</v>
      </c>
      <c r="O851" s="17">
        <f t="shared" si="185"/>
        <v>328</v>
      </c>
      <c r="P851" s="33">
        <v>2</v>
      </c>
      <c r="Q851" s="19">
        <f t="shared" si="188"/>
        <v>1.1013698630136988</v>
      </c>
      <c r="R851" s="32">
        <f t="shared" si="189"/>
        <v>16820.424109589039</v>
      </c>
      <c r="S851" s="22">
        <f t="shared" si="190"/>
        <v>22585.575890410961</v>
      </c>
      <c r="T851" s="21">
        <f t="shared" si="186"/>
        <v>39406</v>
      </c>
      <c r="U851" s="21">
        <f t="shared" si="187"/>
        <v>0</v>
      </c>
    </row>
    <row r="852" spans="2:21" ht="14.65">
      <c r="B852" s="13">
        <f t="shared" si="183"/>
        <v>43</v>
      </c>
      <c r="C852" s="14" t="s">
        <v>232</v>
      </c>
      <c r="D852" s="26" t="s">
        <v>22</v>
      </c>
      <c r="E852" s="633" t="s">
        <v>265</v>
      </c>
      <c r="F852" s="15">
        <v>44720</v>
      </c>
      <c r="G852" s="15">
        <v>44720</v>
      </c>
      <c r="H852" s="14" t="s">
        <v>260</v>
      </c>
      <c r="I852" s="23">
        <v>44720</v>
      </c>
      <c r="J852" s="16">
        <v>62422</v>
      </c>
      <c r="K852" s="16"/>
      <c r="L852" s="16"/>
      <c r="M852" s="16">
        <v>9522</v>
      </c>
      <c r="N852" s="16">
        <f t="shared" si="184"/>
        <v>52900</v>
      </c>
      <c r="O852" s="17">
        <f t="shared" si="185"/>
        <v>296</v>
      </c>
      <c r="P852" s="33">
        <v>2</v>
      </c>
      <c r="Q852" s="19">
        <f t="shared" si="188"/>
        <v>1.189041095890411</v>
      </c>
      <c r="R852" s="32">
        <f t="shared" si="189"/>
        <v>20377.369863013697</v>
      </c>
      <c r="S852" s="22">
        <f t="shared" si="190"/>
        <v>32522.630136986303</v>
      </c>
      <c r="T852" s="21">
        <f t="shared" si="186"/>
        <v>52900</v>
      </c>
      <c r="U852" s="21">
        <f t="shared" si="187"/>
        <v>0</v>
      </c>
    </row>
    <row r="853" spans="2:21" ht="14.65">
      <c r="B853" s="13">
        <f t="shared" si="183"/>
        <v>44</v>
      </c>
      <c r="C853" s="14" t="s">
        <v>231</v>
      </c>
      <c r="D853" s="26" t="s">
        <v>22</v>
      </c>
      <c r="E853" s="633" t="s">
        <v>266</v>
      </c>
      <c r="F853" s="15">
        <v>44726</v>
      </c>
      <c r="G853" s="15">
        <v>44726</v>
      </c>
      <c r="H853" s="14" t="s">
        <v>260</v>
      </c>
      <c r="I853" s="23">
        <v>44726</v>
      </c>
      <c r="J853" s="16">
        <v>110613.2</v>
      </c>
      <c r="K853" s="16"/>
      <c r="L853" s="16"/>
      <c r="M853" s="16">
        <v>16873.2</v>
      </c>
      <c r="N853" s="16">
        <f t="shared" si="184"/>
        <v>93740</v>
      </c>
      <c r="O853" s="17">
        <f t="shared" si="185"/>
        <v>290</v>
      </c>
      <c r="P853" s="33">
        <v>2</v>
      </c>
      <c r="Q853" s="19">
        <f t="shared" si="188"/>
        <v>1.2054794520547945</v>
      </c>
      <c r="R853" s="32">
        <f t="shared" si="189"/>
        <v>35377.219178082189</v>
      </c>
      <c r="S853" s="22">
        <f t="shared" si="190"/>
        <v>58362.780821917811</v>
      </c>
      <c r="T853" s="21">
        <f t="shared" si="186"/>
        <v>93740</v>
      </c>
      <c r="U853" s="21">
        <f t="shared" si="187"/>
        <v>0</v>
      </c>
    </row>
    <row r="854" spans="2:21" ht="14.65">
      <c r="B854" s="13">
        <f t="shared" si="183"/>
        <v>45</v>
      </c>
      <c r="C854" s="14" t="s">
        <v>233</v>
      </c>
      <c r="D854" s="26" t="s">
        <v>22</v>
      </c>
      <c r="E854" s="633">
        <v>142</v>
      </c>
      <c r="F854" s="15">
        <v>44733</v>
      </c>
      <c r="G854" s="15">
        <v>44733</v>
      </c>
      <c r="H854" s="14" t="s">
        <v>267</v>
      </c>
      <c r="I854" s="23">
        <v>44733</v>
      </c>
      <c r="J854" s="16">
        <v>38704</v>
      </c>
      <c r="K854" s="16"/>
      <c r="L854" s="16"/>
      <c r="M854" s="16">
        <v>5904</v>
      </c>
      <c r="N854" s="16">
        <f t="shared" si="184"/>
        <v>32800</v>
      </c>
      <c r="O854" s="17">
        <f t="shared" si="185"/>
        <v>283</v>
      </c>
      <c r="P854" s="33">
        <v>2</v>
      </c>
      <c r="Q854" s="19">
        <f t="shared" si="188"/>
        <v>1.2246575342465753</v>
      </c>
      <c r="R854" s="32">
        <f t="shared" si="189"/>
        <v>12079.835616438357</v>
      </c>
      <c r="S854" s="22">
        <f t="shared" si="190"/>
        <v>20720.164383561641</v>
      </c>
      <c r="T854" s="21">
        <f t="shared" si="186"/>
        <v>32800</v>
      </c>
      <c r="U854" s="21">
        <f t="shared" si="187"/>
        <v>0</v>
      </c>
    </row>
    <row r="855" spans="2:21" ht="14.65">
      <c r="B855" s="13">
        <f t="shared" si="183"/>
        <v>46</v>
      </c>
      <c r="C855" s="14" t="s">
        <v>231</v>
      </c>
      <c r="D855" s="26" t="s">
        <v>22</v>
      </c>
      <c r="E855" s="631" t="s">
        <v>268</v>
      </c>
      <c r="F855" s="15">
        <v>44740</v>
      </c>
      <c r="G855" s="15">
        <v>44742</v>
      </c>
      <c r="H855" s="14" t="s">
        <v>261</v>
      </c>
      <c r="I855" s="23">
        <v>44742</v>
      </c>
      <c r="J855" s="16">
        <v>16685.2</v>
      </c>
      <c r="K855" s="16"/>
      <c r="L855" s="16"/>
      <c r="M855" s="16">
        <v>2545.1999999999998</v>
      </c>
      <c r="N855" s="16">
        <f t="shared" si="184"/>
        <v>14140</v>
      </c>
      <c r="O855" s="17">
        <f t="shared" si="185"/>
        <v>274</v>
      </c>
      <c r="P855" s="33">
        <v>2</v>
      </c>
      <c r="Q855" s="19">
        <f t="shared" si="188"/>
        <v>1.2493150684931507</v>
      </c>
      <c r="R855" s="32">
        <f t="shared" si="189"/>
        <v>5041.9753424657538</v>
      </c>
      <c r="S855" s="22">
        <f t="shared" si="190"/>
        <v>9098.0246575342462</v>
      </c>
      <c r="T855" s="21">
        <f t="shared" si="186"/>
        <v>14140</v>
      </c>
      <c r="U855" s="21">
        <f t="shared" si="187"/>
        <v>0</v>
      </c>
    </row>
    <row r="856" spans="2:21" ht="14.65">
      <c r="B856" s="13">
        <f t="shared" si="183"/>
        <v>47</v>
      </c>
      <c r="C856" s="82" t="s">
        <v>494</v>
      </c>
      <c r="D856" s="82" t="s">
        <v>22</v>
      </c>
      <c r="E856" s="632">
        <v>149</v>
      </c>
      <c r="F856" s="86">
        <v>44754</v>
      </c>
      <c r="G856" s="86">
        <v>44755</v>
      </c>
      <c r="H856" s="82" t="s">
        <v>495</v>
      </c>
      <c r="I856" s="23">
        <v>44755</v>
      </c>
      <c r="J856" s="16">
        <v>42657</v>
      </c>
      <c r="K856" s="16"/>
      <c r="L856" s="16"/>
      <c r="M856" s="16">
        <v>6507</v>
      </c>
      <c r="N856" s="16">
        <f t="shared" si="184"/>
        <v>36150</v>
      </c>
      <c r="O856" s="17">
        <f t="shared" si="185"/>
        <v>261</v>
      </c>
      <c r="P856" s="33">
        <v>2</v>
      </c>
      <c r="Q856" s="19">
        <f t="shared" si="188"/>
        <v>1.2849315068493152</v>
      </c>
      <c r="R856" s="32">
        <f t="shared" si="189"/>
        <v>12278.619863013699</v>
      </c>
      <c r="S856" s="22">
        <f t="shared" si="190"/>
        <v>23871.380136986299</v>
      </c>
      <c r="T856" s="21">
        <f t="shared" si="186"/>
        <v>36150</v>
      </c>
      <c r="U856" s="21">
        <f t="shared" si="187"/>
        <v>0</v>
      </c>
    </row>
    <row r="857" spans="2:21" ht="14.65">
      <c r="B857" s="13">
        <f t="shared" ref="B857:B920" si="191">B856+1</f>
        <v>48</v>
      </c>
      <c r="C857" s="82" t="s">
        <v>496</v>
      </c>
      <c r="D857" s="82" t="s">
        <v>22</v>
      </c>
      <c r="E857" s="632" t="s">
        <v>497</v>
      </c>
      <c r="F857" s="86">
        <v>44761</v>
      </c>
      <c r="G857" s="86">
        <v>44761</v>
      </c>
      <c r="H857" s="82" t="s">
        <v>261</v>
      </c>
      <c r="I857" s="23">
        <v>44761</v>
      </c>
      <c r="J857" s="16">
        <v>1185244</v>
      </c>
      <c r="K857" s="16"/>
      <c r="L857" s="16"/>
      <c r="M857" s="16">
        <v>180800</v>
      </c>
      <c r="N857" s="16">
        <f t="shared" si="184"/>
        <v>1004444</v>
      </c>
      <c r="O857" s="17">
        <f t="shared" si="185"/>
        <v>255</v>
      </c>
      <c r="P857" s="33">
        <v>2</v>
      </c>
      <c r="Q857" s="19">
        <f t="shared" si="188"/>
        <v>1.3013698630136985</v>
      </c>
      <c r="R857" s="32">
        <f t="shared" si="189"/>
        <v>333324.0534246575</v>
      </c>
      <c r="S857" s="22">
        <f t="shared" si="190"/>
        <v>671119.94657534244</v>
      </c>
      <c r="T857" s="21">
        <f t="shared" si="186"/>
        <v>1004444</v>
      </c>
      <c r="U857" s="21">
        <f t="shared" si="187"/>
        <v>0</v>
      </c>
    </row>
    <row r="858" spans="2:21" ht="14.65">
      <c r="B858" s="13">
        <f t="shared" si="191"/>
        <v>49</v>
      </c>
      <c r="C858" s="82" t="s">
        <v>496</v>
      </c>
      <c r="D858" s="82" t="s">
        <v>22</v>
      </c>
      <c r="E858" s="632" t="s">
        <v>498</v>
      </c>
      <c r="F858" s="86">
        <v>44751</v>
      </c>
      <c r="G858" s="86">
        <v>44761</v>
      </c>
      <c r="H858" s="82" t="s">
        <v>261</v>
      </c>
      <c r="I858" s="23">
        <v>44761</v>
      </c>
      <c r="J858" s="16">
        <v>266368</v>
      </c>
      <c r="K858" s="16"/>
      <c r="L858" s="16"/>
      <c r="M858" s="16">
        <v>40632</v>
      </c>
      <c r="N858" s="16">
        <f t="shared" si="184"/>
        <v>225736</v>
      </c>
      <c r="O858" s="17">
        <f t="shared" si="185"/>
        <v>255</v>
      </c>
      <c r="P858" s="33">
        <v>2</v>
      </c>
      <c r="Q858" s="19">
        <f t="shared" si="188"/>
        <v>1.3013698630136985</v>
      </c>
      <c r="R858" s="32">
        <f t="shared" si="189"/>
        <v>74910.336986301365</v>
      </c>
      <c r="S858" s="22">
        <f t="shared" si="190"/>
        <v>150825.66301369865</v>
      </c>
      <c r="T858" s="21">
        <f t="shared" si="186"/>
        <v>225736</v>
      </c>
      <c r="U858" s="21">
        <f t="shared" si="187"/>
        <v>0</v>
      </c>
    </row>
    <row r="859" spans="2:21" ht="14.65">
      <c r="B859" s="13">
        <f t="shared" si="191"/>
        <v>50</v>
      </c>
      <c r="C859" s="82" t="s">
        <v>499</v>
      </c>
      <c r="D859" s="82" t="s">
        <v>22</v>
      </c>
      <c r="E859" s="632" t="s">
        <v>500</v>
      </c>
      <c r="F859" s="86">
        <v>44751</v>
      </c>
      <c r="G859" s="86">
        <v>44761</v>
      </c>
      <c r="H859" s="82" t="s">
        <v>261</v>
      </c>
      <c r="I859" s="23">
        <v>44761</v>
      </c>
      <c r="J859" s="16">
        <v>292305</v>
      </c>
      <c r="K859" s="16"/>
      <c r="L859" s="16"/>
      <c r="M859" s="16">
        <v>44588.88</v>
      </c>
      <c r="N859" s="16">
        <f t="shared" si="184"/>
        <v>247716.12</v>
      </c>
      <c r="O859" s="17">
        <f t="shared" si="185"/>
        <v>255</v>
      </c>
      <c r="P859" s="33">
        <v>2</v>
      </c>
      <c r="Q859" s="19">
        <f t="shared" si="188"/>
        <v>1.3013698630136985</v>
      </c>
      <c r="R859" s="32">
        <f t="shared" si="189"/>
        <v>82204.424753424653</v>
      </c>
      <c r="S859" s="22">
        <f t="shared" si="190"/>
        <v>165511.69524657534</v>
      </c>
      <c r="T859" s="21">
        <f t="shared" si="186"/>
        <v>247716.12</v>
      </c>
      <c r="U859" s="21">
        <f t="shared" si="187"/>
        <v>0</v>
      </c>
    </row>
    <row r="860" spans="2:21" ht="14.65">
      <c r="B860" s="13">
        <f t="shared" si="191"/>
        <v>51</v>
      </c>
      <c r="C860" s="82" t="s">
        <v>496</v>
      </c>
      <c r="D860" s="82" t="s">
        <v>22</v>
      </c>
      <c r="E860" s="632" t="s">
        <v>501</v>
      </c>
      <c r="F860" s="86">
        <v>44772</v>
      </c>
      <c r="G860" s="86">
        <v>44790</v>
      </c>
      <c r="H860" s="82" t="s">
        <v>261</v>
      </c>
      <c r="I860" s="23">
        <v>44790</v>
      </c>
      <c r="J860" s="16">
        <v>325774</v>
      </c>
      <c r="K860" s="16"/>
      <c r="L860" s="16"/>
      <c r="M860" s="16">
        <v>49694</v>
      </c>
      <c r="N860" s="16">
        <f t="shared" si="184"/>
        <v>276080</v>
      </c>
      <c r="O860" s="17">
        <f t="shared" si="185"/>
        <v>226</v>
      </c>
      <c r="P860" s="33">
        <v>2</v>
      </c>
      <c r="Q860" s="19">
        <f t="shared" si="188"/>
        <v>1.3808219178082193</v>
      </c>
      <c r="R860" s="32">
        <f t="shared" si="189"/>
        <v>81197.775342465757</v>
      </c>
      <c r="S860" s="22">
        <f t="shared" si="190"/>
        <v>194882.22465753424</v>
      </c>
      <c r="T860" s="21">
        <f t="shared" si="186"/>
        <v>276080</v>
      </c>
      <c r="U860" s="21">
        <f t="shared" si="187"/>
        <v>0</v>
      </c>
    </row>
    <row r="861" spans="2:21" ht="14.65">
      <c r="B861" s="13">
        <f t="shared" si="191"/>
        <v>52</v>
      </c>
      <c r="C861" s="82" t="s">
        <v>496</v>
      </c>
      <c r="D861" s="82" t="s">
        <v>22</v>
      </c>
      <c r="E861" s="632" t="s">
        <v>502</v>
      </c>
      <c r="F861" s="86">
        <v>44772</v>
      </c>
      <c r="G861" s="86">
        <v>44790</v>
      </c>
      <c r="H861" s="82" t="s">
        <v>261</v>
      </c>
      <c r="I861" s="23">
        <v>44790</v>
      </c>
      <c r="J861" s="16">
        <v>603641</v>
      </c>
      <c r="K861" s="16"/>
      <c r="L861" s="16"/>
      <c r="M861" s="16">
        <v>92080</v>
      </c>
      <c r="N861" s="16">
        <f t="shared" si="184"/>
        <v>511561</v>
      </c>
      <c r="O861" s="17">
        <f t="shared" si="185"/>
        <v>226</v>
      </c>
      <c r="P861" s="33">
        <v>2</v>
      </c>
      <c r="Q861" s="19">
        <f t="shared" si="188"/>
        <v>1.3808219178082193</v>
      </c>
      <c r="R861" s="32">
        <f t="shared" si="189"/>
        <v>150454.99547945205</v>
      </c>
      <c r="S861" s="22">
        <f t="shared" si="190"/>
        <v>361106.00452054793</v>
      </c>
      <c r="T861" s="21">
        <f t="shared" si="186"/>
        <v>511561</v>
      </c>
      <c r="U861" s="21">
        <f t="shared" si="187"/>
        <v>0</v>
      </c>
    </row>
    <row r="862" spans="2:21" ht="14.65">
      <c r="B862" s="13">
        <f t="shared" si="191"/>
        <v>53</v>
      </c>
      <c r="C862" s="82" t="s">
        <v>496</v>
      </c>
      <c r="D862" s="82" t="s">
        <v>22</v>
      </c>
      <c r="E862" s="632" t="s">
        <v>503</v>
      </c>
      <c r="F862" s="86">
        <v>44772</v>
      </c>
      <c r="G862" s="86">
        <v>44790</v>
      </c>
      <c r="H862" s="82" t="s">
        <v>261</v>
      </c>
      <c r="I862" s="23">
        <v>44790</v>
      </c>
      <c r="J862" s="16">
        <v>201214</v>
      </c>
      <c r="K862" s="16"/>
      <c r="L862" s="16"/>
      <c r="M862" s="16">
        <v>30694</v>
      </c>
      <c r="N862" s="16">
        <f t="shared" si="184"/>
        <v>170520</v>
      </c>
      <c r="O862" s="17">
        <f t="shared" si="185"/>
        <v>226</v>
      </c>
      <c r="P862" s="33">
        <v>2</v>
      </c>
      <c r="Q862" s="19">
        <f t="shared" si="188"/>
        <v>1.3808219178082193</v>
      </c>
      <c r="R862" s="32">
        <f t="shared" si="189"/>
        <v>50151.56712328767</v>
      </c>
      <c r="S862" s="22">
        <f t="shared" si="190"/>
        <v>120368.43287671232</v>
      </c>
      <c r="T862" s="21">
        <f t="shared" si="186"/>
        <v>170520</v>
      </c>
      <c r="U862" s="21">
        <f t="shared" si="187"/>
        <v>0</v>
      </c>
    </row>
    <row r="863" spans="2:21" ht="14.65">
      <c r="B863" s="13">
        <f t="shared" si="191"/>
        <v>54</v>
      </c>
      <c r="C863" s="82" t="s">
        <v>496</v>
      </c>
      <c r="D863" s="82" t="s">
        <v>22</v>
      </c>
      <c r="E863" s="632" t="s">
        <v>504</v>
      </c>
      <c r="F863" s="86">
        <v>44775</v>
      </c>
      <c r="G863" s="86">
        <v>44791</v>
      </c>
      <c r="H863" s="82" t="s">
        <v>261</v>
      </c>
      <c r="I863" s="23">
        <v>44791</v>
      </c>
      <c r="J863" s="16">
        <v>647716</v>
      </c>
      <c r="K863" s="16"/>
      <c r="L863" s="16"/>
      <c r="M863" s="16">
        <v>98804</v>
      </c>
      <c r="N863" s="16">
        <f t="shared" si="184"/>
        <v>548912</v>
      </c>
      <c r="O863" s="17">
        <f t="shared" si="185"/>
        <v>225</v>
      </c>
      <c r="P863" s="33">
        <v>2</v>
      </c>
      <c r="Q863" s="19">
        <f t="shared" si="188"/>
        <v>1.3835616438356164</v>
      </c>
      <c r="R863" s="32">
        <f t="shared" si="189"/>
        <v>160725.94520547942</v>
      </c>
      <c r="S863" s="22">
        <f t="shared" si="190"/>
        <v>388186.05479452061</v>
      </c>
      <c r="T863" s="21">
        <f t="shared" si="186"/>
        <v>548912</v>
      </c>
      <c r="U863" s="21">
        <f t="shared" si="187"/>
        <v>0</v>
      </c>
    </row>
    <row r="864" spans="2:21" ht="14.65">
      <c r="B864" s="13">
        <f t="shared" si="191"/>
        <v>55</v>
      </c>
      <c r="C864" s="82" t="s">
        <v>496</v>
      </c>
      <c r="D864" s="82" t="s">
        <v>22</v>
      </c>
      <c r="E864" s="632" t="s">
        <v>505</v>
      </c>
      <c r="F864" s="86">
        <v>44772</v>
      </c>
      <c r="G864" s="83">
        <v>44791</v>
      </c>
      <c r="H864" s="82" t="s">
        <v>261</v>
      </c>
      <c r="I864" s="23">
        <v>44791</v>
      </c>
      <c r="J864" s="16">
        <v>1039604</v>
      </c>
      <c r="K864" s="16"/>
      <c r="L864" s="16"/>
      <c r="M864" s="16">
        <v>158584</v>
      </c>
      <c r="N864" s="16">
        <f t="shared" si="184"/>
        <v>881020</v>
      </c>
      <c r="O864" s="17">
        <f t="shared" si="185"/>
        <v>225</v>
      </c>
      <c r="P864" s="33">
        <v>2</v>
      </c>
      <c r="Q864" s="19">
        <f t="shared" si="188"/>
        <v>1.3835616438356164</v>
      </c>
      <c r="R864" s="32">
        <f t="shared" si="189"/>
        <v>257969.89726027398</v>
      </c>
      <c r="S864" s="22">
        <f t="shared" si="190"/>
        <v>623050.10273972596</v>
      </c>
      <c r="T864" s="21">
        <f t="shared" si="186"/>
        <v>881020</v>
      </c>
      <c r="U864" s="21">
        <f t="shared" si="187"/>
        <v>0</v>
      </c>
    </row>
    <row r="865" spans="2:21" ht="14.65">
      <c r="B865" s="13">
        <f t="shared" si="191"/>
        <v>56</v>
      </c>
      <c r="C865" s="82" t="s">
        <v>496</v>
      </c>
      <c r="D865" s="82" t="s">
        <v>22</v>
      </c>
      <c r="E865" s="632" t="s">
        <v>506</v>
      </c>
      <c r="F865" s="86">
        <v>44795</v>
      </c>
      <c r="G865" s="83">
        <v>44803</v>
      </c>
      <c r="H865" s="82" t="s">
        <v>486</v>
      </c>
      <c r="I865" s="23">
        <v>44803</v>
      </c>
      <c r="J865" s="16">
        <v>58995</v>
      </c>
      <c r="K865" s="16"/>
      <c r="L865" s="16"/>
      <c r="M865" s="16">
        <v>8999.2800000000007</v>
      </c>
      <c r="N865" s="16">
        <f t="shared" si="184"/>
        <v>49995.72</v>
      </c>
      <c r="O865" s="17">
        <f t="shared" si="185"/>
        <v>213</v>
      </c>
      <c r="P865" s="33">
        <v>2</v>
      </c>
      <c r="Q865" s="19">
        <f t="shared" si="188"/>
        <v>1.4164383561643836</v>
      </c>
      <c r="R865" s="32">
        <f t="shared" si="189"/>
        <v>13858.402660273972</v>
      </c>
      <c r="S865" s="22">
        <f t="shared" si="190"/>
        <v>36137.317339726025</v>
      </c>
      <c r="T865" s="21">
        <f t="shared" si="186"/>
        <v>49995.72</v>
      </c>
      <c r="U865" s="21">
        <f t="shared" si="187"/>
        <v>0</v>
      </c>
    </row>
    <row r="866" spans="2:21" ht="14.65">
      <c r="B866" s="13">
        <f t="shared" si="191"/>
        <v>57</v>
      </c>
      <c r="C866" s="82" t="s">
        <v>484</v>
      </c>
      <c r="D866" s="82" t="s">
        <v>22</v>
      </c>
      <c r="E866" s="632" t="s">
        <v>507</v>
      </c>
      <c r="F866" s="86">
        <v>44790</v>
      </c>
      <c r="G866" s="86">
        <v>44804</v>
      </c>
      <c r="H866" s="82" t="s">
        <v>486</v>
      </c>
      <c r="I866" s="23">
        <v>44804</v>
      </c>
      <c r="J866" s="16">
        <v>901968</v>
      </c>
      <c r="K866" s="16"/>
      <c r="L866" s="16"/>
      <c r="M866" s="16">
        <v>137588</v>
      </c>
      <c r="N866" s="16">
        <f t="shared" si="184"/>
        <v>764380</v>
      </c>
      <c r="O866" s="17">
        <f t="shared" si="185"/>
        <v>212</v>
      </c>
      <c r="P866" s="33">
        <v>2</v>
      </c>
      <c r="Q866" s="19">
        <f t="shared" si="188"/>
        <v>1.419178082191781</v>
      </c>
      <c r="R866" s="32">
        <f t="shared" si="189"/>
        <v>210885.11232876714</v>
      </c>
      <c r="S866" s="22">
        <f t="shared" si="190"/>
        <v>553494.88767123292</v>
      </c>
      <c r="T866" s="21">
        <f t="shared" si="186"/>
        <v>764380</v>
      </c>
      <c r="U866" s="21">
        <f t="shared" si="187"/>
        <v>0</v>
      </c>
    </row>
    <row r="867" spans="2:21" ht="14.65">
      <c r="B867" s="13">
        <f t="shared" si="191"/>
        <v>58</v>
      </c>
      <c r="C867" s="82" t="s">
        <v>508</v>
      </c>
      <c r="D867" s="82" t="s">
        <v>22</v>
      </c>
      <c r="E867" s="632" t="s">
        <v>509</v>
      </c>
      <c r="F867" s="86">
        <v>44790</v>
      </c>
      <c r="G867" s="83">
        <v>44809</v>
      </c>
      <c r="H867" s="82" t="s">
        <v>486</v>
      </c>
      <c r="I867" s="23">
        <v>44809</v>
      </c>
      <c r="J867" s="16">
        <v>112859</v>
      </c>
      <c r="K867" s="16"/>
      <c r="L867" s="16"/>
      <c r="M867" s="16">
        <v>17216</v>
      </c>
      <c r="N867" s="16">
        <f t="shared" si="184"/>
        <v>95643</v>
      </c>
      <c r="O867" s="17">
        <f t="shared" si="185"/>
        <v>207</v>
      </c>
      <c r="P867" s="33">
        <v>2</v>
      </c>
      <c r="Q867" s="19">
        <f t="shared" si="188"/>
        <v>1.4328767123287671</v>
      </c>
      <c r="R867" s="32">
        <f t="shared" si="189"/>
        <v>25764.651986301367</v>
      </c>
      <c r="S867" s="22">
        <f t="shared" si="190"/>
        <v>69878.348013698633</v>
      </c>
      <c r="T867" s="21">
        <f t="shared" si="186"/>
        <v>95643</v>
      </c>
      <c r="U867" s="21">
        <f t="shared" si="187"/>
        <v>0</v>
      </c>
    </row>
    <row r="868" spans="2:21" ht="15.75" customHeight="1">
      <c r="B868" s="13">
        <f t="shared" si="191"/>
        <v>59</v>
      </c>
      <c r="C868" s="82" t="s">
        <v>499</v>
      </c>
      <c r="D868" s="82" t="s">
        <v>22</v>
      </c>
      <c r="E868" s="632" t="s">
        <v>510</v>
      </c>
      <c r="F868" s="83">
        <v>44819</v>
      </c>
      <c r="G868" s="86">
        <v>44834</v>
      </c>
      <c r="H868" s="82" t="s">
        <v>261</v>
      </c>
      <c r="I868" s="23">
        <v>44834</v>
      </c>
      <c r="J868" s="16">
        <v>754444</v>
      </c>
      <c r="K868" s="16"/>
      <c r="L868" s="16"/>
      <c r="M868" s="16">
        <v>115084.62</v>
      </c>
      <c r="N868" s="16">
        <f t="shared" si="184"/>
        <v>639359.38</v>
      </c>
      <c r="O868" s="17">
        <f t="shared" si="185"/>
        <v>182</v>
      </c>
      <c r="P868" s="33">
        <v>2</v>
      </c>
      <c r="Q868" s="19">
        <f t="shared" si="188"/>
        <v>1.5013698630136987</v>
      </c>
      <c r="R868" s="32">
        <f t="shared" si="189"/>
        <v>151431.83123561641</v>
      </c>
      <c r="S868" s="22">
        <f t="shared" si="190"/>
        <v>487927.54876438359</v>
      </c>
      <c r="T868" s="21">
        <f t="shared" si="186"/>
        <v>639359.38</v>
      </c>
      <c r="U868" s="21">
        <f t="shared" si="187"/>
        <v>0</v>
      </c>
    </row>
    <row r="869" spans="2:21" ht="15.75" customHeight="1">
      <c r="B869" s="13">
        <f t="shared" si="191"/>
        <v>60</v>
      </c>
      <c r="C869" s="82" t="s">
        <v>496</v>
      </c>
      <c r="D869" s="82" t="s">
        <v>22</v>
      </c>
      <c r="E869" s="632" t="s">
        <v>511</v>
      </c>
      <c r="F869" s="83">
        <v>44819</v>
      </c>
      <c r="G869" s="86">
        <v>44834</v>
      </c>
      <c r="H869" s="82" t="s">
        <v>261</v>
      </c>
      <c r="I869" s="23">
        <v>44834</v>
      </c>
      <c r="J869" s="16">
        <v>820590</v>
      </c>
      <c r="K869" s="16"/>
      <c r="L869" s="16"/>
      <c r="M869" s="16">
        <v>125174.7</v>
      </c>
      <c r="N869" s="16">
        <f t="shared" si="184"/>
        <v>695415.3</v>
      </c>
      <c r="O869" s="17">
        <f t="shared" si="185"/>
        <v>182</v>
      </c>
      <c r="P869" s="33">
        <v>2</v>
      </c>
      <c r="Q869" s="19">
        <f t="shared" si="188"/>
        <v>1.5013698630136987</v>
      </c>
      <c r="R869" s="32">
        <f t="shared" si="189"/>
        <v>164708.63749315069</v>
      </c>
      <c r="S869" s="22">
        <f t="shared" si="190"/>
        <v>530706.66250684939</v>
      </c>
      <c r="T869" s="21">
        <f t="shared" si="186"/>
        <v>695415.3</v>
      </c>
      <c r="U869" s="21">
        <f t="shared" si="187"/>
        <v>0</v>
      </c>
    </row>
    <row r="870" spans="2:21" ht="15.75" customHeight="1">
      <c r="B870" s="13">
        <f t="shared" si="191"/>
        <v>61</v>
      </c>
      <c r="C870" s="82" t="s">
        <v>512</v>
      </c>
      <c r="D870" s="82" t="s">
        <v>22</v>
      </c>
      <c r="E870" s="632" t="s">
        <v>513</v>
      </c>
      <c r="F870" s="83">
        <v>44821</v>
      </c>
      <c r="G870" s="86">
        <v>44834</v>
      </c>
      <c r="H870" s="82" t="s">
        <v>261</v>
      </c>
      <c r="I870" s="23">
        <v>44834</v>
      </c>
      <c r="J870" s="16">
        <v>45843</v>
      </c>
      <c r="K870" s="16"/>
      <c r="L870" s="16"/>
      <c r="M870" s="16">
        <v>6993</v>
      </c>
      <c r="N870" s="16">
        <f t="shared" si="184"/>
        <v>38850</v>
      </c>
      <c r="O870" s="17">
        <f t="shared" si="185"/>
        <v>182</v>
      </c>
      <c r="P870" s="33">
        <v>2</v>
      </c>
      <c r="Q870" s="19">
        <f t="shared" si="188"/>
        <v>1.5013698630136987</v>
      </c>
      <c r="R870" s="32">
        <f t="shared" si="189"/>
        <v>9201.5958904109593</v>
      </c>
      <c r="S870" s="22">
        <f t="shared" si="190"/>
        <v>29648.404109589042</v>
      </c>
      <c r="T870" s="21">
        <f t="shared" si="186"/>
        <v>38850</v>
      </c>
      <c r="U870" s="21">
        <f t="shared" si="187"/>
        <v>0</v>
      </c>
    </row>
    <row r="871" spans="2:21" ht="15.75" customHeight="1">
      <c r="B871" s="13">
        <f t="shared" si="191"/>
        <v>62</v>
      </c>
      <c r="C871" s="82" t="s">
        <v>822</v>
      </c>
      <c r="D871" s="85" t="s">
        <v>22</v>
      </c>
      <c r="E871" s="632" t="s">
        <v>839</v>
      </c>
      <c r="F871" s="86">
        <v>44833</v>
      </c>
      <c r="G871" s="89">
        <v>44835</v>
      </c>
      <c r="H871" s="82" t="s">
        <v>261</v>
      </c>
      <c r="I871" s="23">
        <v>44835</v>
      </c>
      <c r="J871" s="16">
        <v>85597</v>
      </c>
      <c r="K871" s="16"/>
      <c r="L871" s="16"/>
      <c r="M871" s="16">
        <v>13056</v>
      </c>
      <c r="N871" s="16">
        <f t="shared" si="184"/>
        <v>72541</v>
      </c>
      <c r="O871" s="17">
        <f t="shared" si="185"/>
        <v>181</v>
      </c>
      <c r="P871" s="33">
        <v>2</v>
      </c>
      <c r="Q871" s="19">
        <f t="shared" si="188"/>
        <v>1.5041095890410958</v>
      </c>
      <c r="R871" s="32">
        <f t="shared" si="189"/>
        <v>17086.883493150683</v>
      </c>
      <c r="S871" s="22">
        <f t="shared" si="190"/>
        <v>55454.116506849314</v>
      </c>
      <c r="T871" s="21">
        <f t="shared" si="186"/>
        <v>0</v>
      </c>
      <c r="U871" s="21">
        <f t="shared" si="187"/>
        <v>72541</v>
      </c>
    </row>
    <row r="872" spans="2:21" ht="15.75" customHeight="1">
      <c r="B872" s="13">
        <f t="shared" si="191"/>
        <v>63</v>
      </c>
      <c r="C872" s="82" t="s">
        <v>822</v>
      </c>
      <c r="D872" s="85" t="s">
        <v>22</v>
      </c>
      <c r="E872" s="632" t="s">
        <v>840</v>
      </c>
      <c r="F872" s="86">
        <v>44846</v>
      </c>
      <c r="G872" s="89">
        <v>44859</v>
      </c>
      <c r="H872" s="82" t="s">
        <v>261</v>
      </c>
      <c r="I872" s="23">
        <v>44859</v>
      </c>
      <c r="J872" s="16">
        <v>390386</v>
      </c>
      <c r="K872" s="16"/>
      <c r="L872" s="16"/>
      <c r="M872" s="16">
        <v>59550</v>
      </c>
      <c r="N872" s="16">
        <f t="shared" si="184"/>
        <v>330836</v>
      </c>
      <c r="O872" s="17">
        <f t="shared" si="185"/>
        <v>157</v>
      </c>
      <c r="P872" s="33">
        <v>2</v>
      </c>
      <c r="Q872" s="19">
        <f t="shared" si="188"/>
        <v>1.56986301369863</v>
      </c>
      <c r="R872" s="32">
        <f t="shared" si="189"/>
        <v>67594.78</v>
      </c>
      <c r="S872" s="22">
        <f t="shared" si="190"/>
        <v>263241.21999999997</v>
      </c>
      <c r="T872" s="21">
        <f t="shared" si="186"/>
        <v>0</v>
      </c>
      <c r="U872" s="21">
        <f t="shared" si="187"/>
        <v>330836</v>
      </c>
    </row>
    <row r="873" spans="2:21" ht="15.75" customHeight="1">
      <c r="B873" s="13">
        <f t="shared" si="191"/>
        <v>64</v>
      </c>
      <c r="C873" s="82" t="s">
        <v>823</v>
      </c>
      <c r="D873" s="85" t="s">
        <v>22</v>
      </c>
      <c r="E873" s="632" t="s">
        <v>841</v>
      </c>
      <c r="F873" s="86">
        <v>44846</v>
      </c>
      <c r="G873" s="89">
        <v>44859</v>
      </c>
      <c r="H873" s="82" t="s">
        <v>261</v>
      </c>
      <c r="I873" s="23">
        <v>44859</v>
      </c>
      <c r="J873" s="16">
        <v>329153</v>
      </c>
      <c r="K873" s="16"/>
      <c r="L873" s="16"/>
      <c r="M873" s="16">
        <v>50210</v>
      </c>
      <c r="N873" s="16">
        <f t="shared" si="184"/>
        <v>278943</v>
      </c>
      <c r="O873" s="17">
        <f t="shared" si="185"/>
        <v>157</v>
      </c>
      <c r="P873" s="33">
        <v>2</v>
      </c>
      <c r="Q873" s="19">
        <f t="shared" si="188"/>
        <v>1.56986301369863</v>
      </c>
      <c r="R873" s="32">
        <f t="shared" si="189"/>
        <v>56992.258150684924</v>
      </c>
      <c r="S873" s="22">
        <f t="shared" si="190"/>
        <v>221950.74184931506</v>
      </c>
      <c r="T873" s="21">
        <f t="shared" si="186"/>
        <v>0</v>
      </c>
      <c r="U873" s="21">
        <f t="shared" si="187"/>
        <v>278943</v>
      </c>
    </row>
    <row r="874" spans="2:21" ht="15.75" customHeight="1">
      <c r="B874" s="13">
        <f t="shared" si="191"/>
        <v>65</v>
      </c>
      <c r="C874" s="82" t="s">
        <v>822</v>
      </c>
      <c r="D874" s="85" t="s">
        <v>22</v>
      </c>
      <c r="E874" s="632" t="s">
        <v>842</v>
      </c>
      <c r="F874" s="86">
        <v>44867</v>
      </c>
      <c r="G874" s="89">
        <v>44869</v>
      </c>
      <c r="H874" s="82" t="s">
        <v>261</v>
      </c>
      <c r="I874" s="23">
        <v>44869</v>
      </c>
      <c r="J874" s="16">
        <v>28940</v>
      </c>
      <c r="K874" s="16"/>
      <c r="L874" s="16"/>
      <c r="M874" s="16">
        <v>4414</v>
      </c>
      <c r="N874" s="16">
        <f t="shared" ref="N874:N887" si="192">J874+K874-L874-M874</f>
        <v>24526</v>
      </c>
      <c r="O874" s="17">
        <f t="shared" ref="O874:O879" si="193">$O$1-I874</f>
        <v>147</v>
      </c>
      <c r="P874" s="33">
        <v>2</v>
      </c>
      <c r="Q874" s="19">
        <f t="shared" si="188"/>
        <v>1.5972602739726027</v>
      </c>
      <c r="R874" s="32">
        <f t="shared" si="189"/>
        <v>4691.8573972602735</v>
      </c>
      <c r="S874" s="22">
        <f t="shared" si="190"/>
        <v>19834.142602739725</v>
      </c>
      <c r="T874" s="21">
        <f t="shared" ref="T874:T879" si="194">IF(I874&lt;=DATE(2022,9,30),N874,0)</f>
        <v>0</v>
      </c>
      <c r="U874" s="21">
        <f t="shared" ref="U874:U879" si="195">IF(I874&gt;DATE(2022,9,30),N874,0)</f>
        <v>24526</v>
      </c>
    </row>
    <row r="875" spans="2:21" ht="15.75" customHeight="1">
      <c r="B875" s="13">
        <f t="shared" si="191"/>
        <v>66</v>
      </c>
      <c r="C875" s="82" t="s">
        <v>822</v>
      </c>
      <c r="D875" s="85" t="s">
        <v>22</v>
      </c>
      <c r="E875" s="632" t="s">
        <v>843</v>
      </c>
      <c r="F875" s="86">
        <v>44887</v>
      </c>
      <c r="G875" s="89">
        <v>44895</v>
      </c>
      <c r="H875" s="82" t="s">
        <v>486</v>
      </c>
      <c r="I875" s="23">
        <v>44895</v>
      </c>
      <c r="J875" s="16">
        <v>508402</v>
      </c>
      <c r="K875" s="16"/>
      <c r="L875" s="16"/>
      <c r="M875" s="16">
        <v>77552</v>
      </c>
      <c r="N875" s="16">
        <f t="shared" si="192"/>
        <v>430850</v>
      </c>
      <c r="O875" s="17">
        <f t="shared" si="193"/>
        <v>121</v>
      </c>
      <c r="P875" s="33">
        <v>2</v>
      </c>
      <c r="Q875" s="19">
        <f t="shared" si="188"/>
        <v>1.6684931506849314</v>
      </c>
      <c r="R875" s="32">
        <f t="shared" si="189"/>
        <v>67844.119863013693</v>
      </c>
      <c r="S875" s="22">
        <f t="shared" si="190"/>
        <v>363005.88013698632</v>
      </c>
      <c r="T875" s="21">
        <f t="shared" si="194"/>
        <v>0</v>
      </c>
      <c r="U875" s="21">
        <f t="shared" si="195"/>
        <v>430850</v>
      </c>
    </row>
    <row r="876" spans="2:21" ht="14.65">
      <c r="B876" s="13">
        <f t="shared" si="191"/>
        <v>67</v>
      </c>
      <c r="C876" s="82" t="s">
        <v>822</v>
      </c>
      <c r="D876" s="85" t="s">
        <v>22</v>
      </c>
      <c r="E876" s="632" t="s">
        <v>844</v>
      </c>
      <c r="F876" s="86">
        <v>44881</v>
      </c>
      <c r="G876" s="89">
        <v>44895</v>
      </c>
      <c r="H876" s="82" t="s">
        <v>486</v>
      </c>
      <c r="I876" s="23">
        <v>44895</v>
      </c>
      <c r="J876" s="16">
        <v>74859</v>
      </c>
      <c r="K876" s="16"/>
      <c r="L876" s="16"/>
      <c r="M876" s="16">
        <v>11420</v>
      </c>
      <c r="N876" s="16">
        <f t="shared" si="192"/>
        <v>63439</v>
      </c>
      <c r="O876" s="17">
        <f t="shared" si="193"/>
        <v>121</v>
      </c>
      <c r="P876" s="33">
        <v>2</v>
      </c>
      <c r="Q876" s="19">
        <f t="shared" si="188"/>
        <v>1.6684931506849314</v>
      </c>
      <c r="R876" s="32">
        <f t="shared" si="189"/>
        <v>9989.4699315068483</v>
      </c>
      <c r="S876" s="22">
        <f t="shared" si="190"/>
        <v>53449.53006849315</v>
      </c>
      <c r="T876" s="21">
        <f t="shared" si="194"/>
        <v>0</v>
      </c>
      <c r="U876" s="21">
        <f t="shared" si="195"/>
        <v>63439</v>
      </c>
    </row>
    <row r="877" spans="2:21" ht="14.65">
      <c r="B877" s="13">
        <f t="shared" si="191"/>
        <v>68</v>
      </c>
      <c r="C877" s="82" t="s">
        <v>822</v>
      </c>
      <c r="D877" s="85" t="s">
        <v>22</v>
      </c>
      <c r="E877" s="632">
        <v>465</v>
      </c>
      <c r="F877" s="86">
        <v>44887</v>
      </c>
      <c r="G877" s="89">
        <v>44895</v>
      </c>
      <c r="H877" s="82" t="s">
        <v>856</v>
      </c>
      <c r="I877" s="23">
        <v>44895</v>
      </c>
      <c r="J877" s="16">
        <v>69000</v>
      </c>
      <c r="K877" s="16"/>
      <c r="L877" s="16"/>
      <c r="M877" s="16"/>
      <c r="N877" s="16">
        <f t="shared" si="192"/>
        <v>69000</v>
      </c>
      <c r="O877" s="17">
        <f t="shared" si="193"/>
        <v>121</v>
      </c>
      <c r="P877" s="33">
        <v>2</v>
      </c>
      <c r="Q877" s="19">
        <f t="shared" si="188"/>
        <v>1.6684931506849314</v>
      </c>
      <c r="R877" s="32">
        <f t="shared" si="189"/>
        <v>10865.13698630137</v>
      </c>
      <c r="S877" s="22">
        <f t="shared" si="190"/>
        <v>58134.863013698632</v>
      </c>
      <c r="T877" s="21">
        <f t="shared" si="194"/>
        <v>0</v>
      </c>
      <c r="U877" s="21">
        <f t="shared" si="195"/>
        <v>69000</v>
      </c>
    </row>
    <row r="878" spans="2:21" ht="14.65">
      <c r="B878" s="13">
        <f t="shared" si="191"/>
        <v>69</v>
      </c>
      <c r="C878" s="82" t="s">
        <v>822</v>
      </c>
      <c r="D878" s="85" t="s">
        <v>22</v>
      </c>
      <c r="E878" s="632" t="s">
        <v>845</v>
      </c>
      <c r="F878" s="86">
        <v>44907</v>
      </c>
      <c r="G878" s="89">
        <v>44912</v>
      </c>
      <c r="H878" s="82" t="s">
        <v>486</v>
      </c>
      <c r="I878" s="23">
        <v>44912</v>
      </c>
      <c r="J878" s="16">
        <v>208034</v>
      </c>
      <c r="K878" s="16"/>
      <c r="L878" s="16"/>
      <c r="M878" s="16">
        <v>31734</v>
      </c>
      <c r="N878" s="16">
        <f t="shared" si="192"/>
        <v>176300</v>
      </c>
      <c r="O878" s="17">
        <f t="shared" si="193"/>
        <v>104</v>
      </c>
      <c r="P878" s="33">
        <v>2</v>
      </c>
      <c r="Q878" s="19">
        <f t="shared" si="188"/>
        <v>1.715068493150685</v>
      </c>
      <c r="R878" s="32">
        <f t="shared" si="189"/>
        <v>23860.876712328769</v>
      </c>
      <c r="S878" s="22">
        <f t="shared" si="190"/>
        <v>152439.12328767125</v>
      </c>
      <c r="T878" s="21">
        <f t="shared" si="194"/>
        <v>0</v>
      </c>
      <c r="U878" s="21">
        <f t="shared" si="195"/>
        <v>176300</v>
      </c>
    </row>
    <row r="879" spans="2:21" ht="14.65">
      <c r="B879" s="13">
        <f t="shared" si="191"/>
        <v>70</v>
      </c>
      <c r="C879" s="530" t="s">
        <v>3435</v>
      </c>
      <c r="D879" s="85" t="s">
        <v>22</v>
      </c>
      <c r="E879" s="634">
        <v>332</v>
      </c>
      <c r="F879" s="623">
        <v>44904</v>
      </c>
      <c r="G879" s="623">
        <v>44946</v>
      </c>
      <c r="H879" s="530" t="s">
        <v>854</v>
      </c>
      <c r="I879" s="623">
        <v>44946</v>
      </c>
      <c r="J879" s="619">
        <v>113280</v>
      </c>
      <c r="K879" s="619"/>
      <c r="L879" s="619"/>
      <c r="M879" s="619">
        <v>17280</v>
      </c>
      <c r="N879" s="619">
        <f t="shared" si="192"/>
        <v>96000</v>
      </c>
      <c r="O879" s="17">
        <f t="shared" si="193"/>
        <v>70</v>
      </c>
      <c r="P879" s="618">
        <v>2</v>
      </c>
      <c r="Q879" s="617">
        <f t="shared" si="188"/>
        <v>1.8082191780821919</v>
      </c>
      <c r="R879" s="625">
        <f t="shared" si="189"/>
        <v>8745.2054794520554</v>
      </c>
      <c r="S879" s="625">
        <f t="shared" si="190"/>
        <v>87254.794520547948</v>
      </c>
      <c r="T879" s="616">
        <f t="shared" si="194"/>
        <v>0</v>
      </c>
      <c r="U879" s="616">
        <f t="shared" si="195"/>
        <v>96000</v>
      </c>
    </row>
    <row r="880" spans="2:21" ht="14.65">
      <c r="B880" s="13">
        <f t="shared" si="191"/>
        <v>71</v>
      </c>
      <c r="C880" s="530" t="s">
        <v>3435</v>
      </c>
      <c r="D880" s="85" t="s">
        <v>22</v>
      </c>
      <c r="E880" s="634">
        <v>4798</v>
      </c>
      <c r="F880" s="623">
        <v>44958</v>
      </c>
      <c r="G880" s="623">
        <v>44965</v>
      </c>
      <c r="H880" s="82" t="s">
        <v>486</v>
      </c>
      <c r="I880" s="623">
        <v>44965</v>
      </c>
      <c r="J880" s="619">
        <v>548102</v>
      </c>
      <c r="K880" s="619"/>
      <c r="L880" s="619"/>
      <c r="M880" s="619">
        <v>83608</v>
      </c>
      <c r="N880" s="619">
        <f t="shared" si="192"/>
        <v>464494</v>
      </c>
      <c r="O880" s="17">
        <f t="shared" ref="O880:O882" si="196">$O$1-I880</f>
        <v>51</v>
      </c>
      <c r="P880" s="618">
        <v>2</v>
      </c>
      <c r="Q880" s="617">
        <f t="shared" ref="Q880:Q882" si="197">P880-(O880/365)</f>
        <v>1.8602739726027397</v>
      </c>
      <c r="R880" s="625">
        <f t="shared" ref="R880:R882" si="198">N880*95%/P880*O880/365</f>
        <v>30828.403150684931</v>
      </c>
      <c r="S880" s="625">
        <f t="shared" ref="S880:S882" si="199">N880-R880</f>
        <v>433665.59684931504</v>
      </c>
      <c r="T880" s="616">
        <f t="shared" ref="T880:T882" si="200">IF(I880&lt;=DATE(2022,9,30),N880,0)</f>
        <v>0</v>
      </c>
      <c r="U880" s="616">
        <f t="shared" ref="U880:U882" si="201">IF(I880&gt;DATE(2022,9,30),N880,0)</f>
        <v>464494</v>
      </c>
    </row>
    <row r="881" spans="2:21" ht="14.65">
      <c r="B881" s="13">
        <f t="shared" si="191"/>
        <v>72</v>
      </c>
      <c r="C881" s="530" t="s">
        <v>3435</v>
      </c>
      <c r="D881" s="85" t="s">
        <v>22</v>
      </c>
      <c r="E881" s="634">
        <v>4791</v>
      </c>
      <c r="F881" s="623">
        <v>44958</v>
      </c>
      <c r="G881" s="623"/>
      <c r="H881" s="82" t="s">
        <v>486</v>
      </c>
      <c r="I881" s="623">
        <v>44965</v>
      </c>
      <c r="J881" s="619">
        <v>626382</v>
      </c>
      <c r="K881" s="619"/>
      <c r="L881" s="619"/>
      <c r="M881" s="619">
        <v>95550</v>
      </c>
      <c r="N881" s="619">
        <f t="shared" si="192"/>
        <v>530832</v>
      </c>
      <c r="O881" s="17">
        <f t="shared" si="196"/>
        <v>51</v>
      </c>
      <c r="P881" s="618">
        <v>2</v>
      </c>
      <c r="Q881" s="617">
        <f t="shared" si="197"/>
        <v>1.8602739726027397</v>
      </c>
      <c r="R881" s="625">
        <f t="shared" si="198"/>
        <v>35231.247123287671</v>
      </c>
      <c r="S881" s="625">
        <f t="shared" si="199"/>
        <v>495600.75287671236</v>
      </c>
      <c r="T881" s="616">
        <f t="shared" si="200"/>
        <v>0</v>
      </c>
      <c r="U881" s="616">
        <f t="shared" si="201"/>
        <v>530832</v>
      </c>
    </row>
    <row r="882" spans="2:21" ht="14.65">
      <c r="B882" s="13">
        <f t="shared" si="191"/>
        <v>73</v>
      </c>
      <c r="C882" s="530" t="s">
        <v>3435</v>
      </c>
      <c r="D882" s="85" t="s">
        <v>22</v>
      </c>
      <c r="E882" s="634">
        <v>4774</v>
      </c>
      <c r="F882" s="623">
        <v>44957</v>
      </c>
      <c r="G882" s="623"/>
      <c r="H882" s="82" t="s">
        <v>486</v>
      </c>
      <c r="I882" s="623">
        <v>44973</v>
      </c>
      <c r="J882" s="619">
        <v>719950</v>
      </c>
      <c r="K882" s="619"/>
      <c r="L882" s="619"/>
      <c r="M882" s="619">
        <v>109823</v>
      </c>
      <c r="N882" s="619">
        <f t="shared" si="192"/>
        <v>610127</v>
      </c>
      <c r="O882" s="17">
        <f t="shared" si="196"/>
        <v>43</v>
      </c>
      <c r="P882" s="618">
        <v>2</v>
      </c>
      <c r="Q882" s="617">
        <f t="shared" si="197"/>
        <v>1.8821917808219177</v>
      </c>
      <c r="R882" s="625">
        <f t="shared" si="198"/>
        <v>34142.038287671232</v>
      </c>
      <c r="S882" s="625">
        <f t="shared" si="199"/>
        <v>575984.96171232872</v>
      </c>
      <c r="T882" s="616">
        <f t="shared" si="200"/>
        <v>0</v>
      </c>
      <c r="U882" s="616">
        <f t="shared" si="201"/>
        <v>610127</v>
      </c>
    </row>
    <row r="883" spans="2:21" ht="15.75" customHeight="1">
      <c r="B883" s="13">
        <f t="shared" si="191"/>
        <v>74</v>
      </c>
      <c r="C883" s="530" t="s">
        <v>3613</v>
      </c>
      <c r="D883" s="85" t="s">
        <v>22</v>
      </c>
      <c r="E883" s="643" t="s">
        <v>3612</v>
      </c>
      <c r="F883" s="623">
        <v>44991</v>
      </c>
      <c r="G883" s="623">
        <v>45003</v>
      </c>
      <c r="H883" s="530" t="s">
        <v>261</v>
      </c>
      <c r="I883" s="623">
        <v>44972</v>
      </c>
      <c r="J883" s="619">
        <v>136570</v>
      </c>
      <c r="K883" s="619"/>
      <c r="L883" s="619"/>
      <c r="M883" s="619">
        <f>10416*2</f>
        <v>20832</v>
      </c>
      <c r="N883" s="619">
        <f t="shared" si="192"/>
        <v>115738</v>
      </c>
      <c r="O883" s="637">
        <f>'[86]Add22-23'!$N$1-I883</f>
        <v>44</v>
      </c>
      <c r="P883" s="618">
        <v>2</v>
      </c>
      <c r="Q883" s="617">
        <f>P883-(O883/365)</f>
        <v>1.8794520547945206</v>
      </c>
      <c r="R883" s="625">
        <f>N883*95%/P883*O883/365</f>
        <v>6627.1895890410951</v>
      </c>
      <c r="S883" s="625">
        <f>N883-R883</f>
        <v>109110.8104109589</v>
      </c>
      <c r="T883" s="616"/>
      <c r="U883" s="616">
        <f>IF(I883&gt;DATE(2022,9,30),N883,0)</f>
        <v>115738</v>
      </c>
    </row>
    <row r="884" spans="2:21" ht="15.75" customHeight="1">
      <c r="B884" s="13">
        <f t="shared" si="191"/>
        <v>75</v>
      </c>
      <c r="C884" s="14" t="s">
        <v>234</v>
      </c>
      <c r="D884" s="665" t="s">
        <v>3461</v>
      </c>
      <c r="E884" s="633">
        <v>66</v>
      </c>
      <c r="F884" s="15">
        <v>44700</v>
      </c>
      <c r="G884" s="15">
        <v>44727</v>
      </c>
      <c r="H884" s="14" t="s">
        <v>267</v>
      </c>
      <c r="I884" s="23">
        <v>44727</v>
      </c>
      <c r="J884" s="16">
        <v>29706.5</v>
      </c>
      <c r="K884" s="16"/>
      <c r="L884" s="16"/>
      <c r="M884" s="16">
        <v>4531.5</v>
      </c>
      <c r="N884" s="16">
        <f t="shared" si="192"/>
        <v>25175</v>
      </c>
      <c r="O884" s="17">
        <f>$O$1-I884</f>
        <v>289</v>
      </c>
      <c r="P884" s="33">
        <v>2</v>
      </c>
      <c r="Q884" s="19">
        <f>P884-(O884/365)</f>
        <v>1.2082191780821918</v>
      </c>
      <c r="R884" s="32">
        <f>N884*95%/P884*O884/365</f>
        <v>9468.2140410958909</v>
      </c>
      <c r="S884" s="22">
        <f>N884-R884</f>
        <v>15706.785958904109</v>
      </c>
      <c r="T884" s="21">
        <f>IF(I884&lt;=DATE(2022,9,30),N884,0)</f>
        <v>25175</v>
      </c>
      <c r="U884" s="21">
        <f>IF(I884&gt;DATE(2022,9,30),N884,0)</f>
        <v>0</v>
      </c>
    </row>
    <row r="885" spans="2:21" ht="14.65">
      <c r="B885" s="13">
        <f t="shared" si="191"/>
        <v>76</v>
      </c>
      <c r="C885" s="14" t="s">
        <v>227</v>
      </c>
      <c r="D885" s="665" t="s">
        <v>3461</v>
      </c>
      <c r="E885" s="633">
        <v>2008025188</v>
      </c>
      <c r="F885" s="15">
        <v>44700</v>
      </c>
      <c r="G885" s="15">
        <v>44727</v>
      </c>
      <c r="H885" s="14" t="s">
        <v>257</v>
      </c>
      <c r="I885" s="23">
        <v>44727</v>
      </c>
      <c r="J885" s="16">
        <v>183088.8</v>
      </c>
      <c r="K885" s="16"/>
      <c r="L885" s="16"/>
      <c r="M885" s="16">
        <v>27928.799999999999</v>
      </c>
      <c r="N885" s="16">
        <f t="shared" si="192"/>
        <v>155160</v>
      </c>
      <c r="O885" s="17">
        <f>$O$1-I885</f>
        <v>289</v>
      </c>
      <c r="P885" s="33">
        <v>2</v>
      </c>
      <c r="Q885" s="19">
        <f>P885-(O885/365)</f>
        <v>1.2082191780821918</v>
      </c>
      <c r="R885" s="32">
        <f>N885*95%/P885*O885/365</f>
        <v>58355.038356164383</v>
      </c>
      <c r="S885" s="22">
        <f>N885-R885</f>
        <v>96804.961643835617</v>
      </c>
      <c r="T885" s="21">
        <f>IF(I885&lt;=DATE(2022,9,30),N885,0)</f>
        <v>155160</v>
      </c>
      <c r="U885" s="21">
        <f>IF(I885&gt;DATE(2022,9,30),N885,0)</f>
        <v>0</v>
      </c>
    </row>
    <row r="886" spans="2:21" ht="15.75" customHeight="1">
      <c r="B886" s="13">
        <f t="shared" si="191"/>
        <v>77</v>
      </c>
      <c r="C886" s="82" t="s">
        <v>514</v>
      </c>
      <c r="D886" s="665" t="s">
        <v>3461</v>
      </c>
      <c r="E886" s="632">
        <v>69</v>
      </c>
      <c r="F886" s="86">
        <v>44762</v>
      </c>
      <c r="G886" s="86">
        <v>44773</v>
      </c>
      <c r="H886" s="82" t="s">
        <v>515</v>
      </c>
      <c r="I886" s="23">
        <v>44773</v>
      </c>
      <c r="J886" s="16">
        <v>42008</v>
      </c>
      <c r="K886" s="16"/>
      <c r="L886" s="16"/>
      <c r="M886" s="16">
        <v>6408</v>
      </c>
      <c r="N886" s="16">
        <f t="shared" si="192"/>
        <v>35600</v>
      </c>
      <c r="O886" s="17">
        <f>$O$1-I886</f>
        <v>243</v>
      </c>
      <c r="P886" s="33">
        <v>2</v>
      </c>
      <c r="Q886" s="19">
        <f>P886-(O886/365)</f>
        <v>1.3342465753424657</v>
      </c>
      <c r="R886" s="32">
        <f>N886*95%/P886*O886/365</f>
        <v>11257.890410958904</v>
      </c>
      <c r="S886" s="22">
        <f>N886-R886</f>
        <v>24342.109589041094</v>
      </c>
      <c r="T886" s="21">
        <f>IF(I886&lt;=DATE(2022,9,30),N886,0)</f>
        <v>35600</v>
      </c>
      <c r="U886" s="21">
        <f>IF(I886&gt;DATE(2022,9,30),N886,0)</f>
        <v>0</v>
      </c>
    </row>
    <row r="887" spans="2:21" ht="16.5" customHeight="1">
      <c r="B887" s="13">
        <f t="shared" si="191"/>
        <v>78</v>
      </c>
      <c r="C887" s="82" t="s">
        <v>223</v>
      </c>
      <c r="D887" s="665" t="s">
        <v>3461</v>
      </c>
      <c r="E887" s="632" t="s">
        <v>516</v>
      </c>
      <c r="F887" s="86">
        <v>44781</v>
      </c>
      <c r="G887" s="86">
        <v>44781</v>
      </c>
      <c r="H887" s="82" t="s">
        <v>517</v>
      </c>
      <c r="I887" s="23">
        <v>44781</v>
      </c>
      <c r="J887" s="16">
        <v>102000</v>
      </c>
      <c r="K887" s="16"/>
      <c r="L887" s="16"/>
      <c r="M887" s="16"/>
      <c r="N887" s="16">
        <f t="shared" si="192"/>
        <v>102000</v>
      </c>
      <c r="O887" s="17">
        <f>$O$1-I887</f>
        <v>235</v>
      </c>
      <c r="P887" s="33">
        <v>2</v>
      </c>
      <c r="Q887" s="19">
        <f>P887-(O887/365)</f>
        <v>1.3561643835616439</v>
      </c>
      <c r="R887" s="32">
        <f>N887*95%/P887*O887/365</f>
        <v>31193.835616438355</v>
      </c>
      <c r="S887" s="22">
        <f>N887-R887</f>
        <v>70806.164383561641</v>
      </c>
      <c r="T887" s="21">
        <f>IF(I887&lt;=DATE(2022,9,30),N887,0)</f>
        <v>102000</v>
      </c>
      <c r="U887" s="21">
        <f>IF(I887&gt;DATE(2022,9,30),N887,0)</f>
        <v>0</v>
      </c>
    </row>
    <row r="888" spans="2:21" ht="16.5" customHeight="1">
      <c r="B888" s="13">
        <f t="shared" si="191"/>
        <v>79</v>
      </c>
      <c r="C888" s="14" t="s">
        <v>234</v>
      </c>
      <c r="D888" s="87" t="s">
        <v>18</v>
      </c>
      <c r="E888" s="632">
        <v>378</v>
      </c>
      <c r="F888" s="86">
        <v>44931</v>
      </c>
      <c r="G888" s="86">
        <v>44958</v>
      </c>
      <c r="H888" s="14" t="s">
        <v>267</v>
      </c>
      <c r="I888" s="86">
        <v>44958</v>
      </c>
      <c r="J888" s="16">
        <v>58233</v>
      </c>
      <c r="K888" s="16"/>
      <c r="L888" s="16"/>
      <c r="M888" s="16">
        <v>8883</v>
      </c>
      <c r="N888" s="16">
        <f t="shared" ref="N888:N890" si="202">J888+K888-L888-M888</f>
        <v>49350</v>
      </c>
      <c r="O888" s="17">
        <f t="shared" ref="O888:O890" si="203">$O$1-I888</f>
        <v>58</v>
      </c>
      <c r="P888" s="33">
        <v>2</v>
      </c>
      <c r="Q888" s="19">
        <f t="shared" ref="Q888:Q890" si="204">P888-(O888/365)</f>
        <v>1.8410958904109589</v>
      </c>
      <c r="R888" s="32">
        <f t="shared" ref="R888:R890" si="205">N888*95%/P888*O888/365</f>
        <v>3724.9109589041095</v>
      </c>
      <c r="S888" s="22">
        <f t="shared" ref="S888:S890" si="206">N888-R888</f>
        <v>45625.089041095889</v>
      </c>
      <c r="T888" s="21">
        <f t="shared" ref="T888:T890" si="207">IF(I888&lt;=DATE(2022,9,30),N888,0)</f>
        <v>0</v>
      </c>
      <c r="U888" s="21">
        <f t="shared" ref="U888:U890" si="208">IF(I888&gt;DATE(2022,9,30),N888,0)</f>
        <v>49350</v>
      </c>
    </row>
    <row r="889" spans="2:21" ht="16.5" customHeight="1">
      <c r="B889" s="13">
        <f t="shared" si="191"/>
        <v>80</v>
      </c>
      <c r="C889" s="14" t="s">
        <v>227</v>
      </c>
      <c r="D889" s="87" t="s">
        <v>18</v>
      </c>
      <c r="E889" s="632">
        <v>8410</v>
      </c>
      <c r="F889" s="86">
        <v>44927</v>
      </c>
      <c r="G889" s="86">
        <v>44977</v>
      </c>
      <c r="H889" s="14" t="s">
        <v>257</v>
      </c>
      <c r="I889" s="86">
        <v>44977</v>
      </c>
      <c r="J889" s="16">
        <v>221840</v>
      </c>
      <c r="K889" s="16"/>
      <c r="L889" s="16"/>
      <c r="M889" s="16">
        <v>33840</v>
      </c>
      <c r="N889" s="16">
        <f t="shared" si="202"/>
        <v>188000</v>
      </c>
      <c r="O889" s="17">
        <f t="shared" si="203"/>
        <v>39</v>
      </c>
      <c r="P889" s="33">
        <v>2</v>
      </c>
      <c r="Q889" s="19">
        <f t="shared" si="204"/>
        <v>1.893150684931507</v>
      </c>
      <c r="R889" s="32">
        <f t="shared" si="205"/>
        <v>9541.6438356164381</v>
      </c>
      <c r="S889" s="22">
        <f t="shared" si="206"/>
        <v>178458.35616438356</v>
      </c>
      <c r="T889" s="21">
        <f t="shared" si="207"/>
        <v>0</v>
      </c>
      <c r="U889" s="21">
        <f t="shared" si="208"/>
        <v>188000</v>
      </c>
    </row>
    <row r="890" spans="2:21" ht="16.5" customHeight="1">
      <c r="B890" s="13">
        <f t="shared" si="191"/>
        <v>81</v>
      </c>
      <c r="C890" s="82" t="s">
        <v>518</v>
      </c>
      <c r="D890" s="85" t="s">
        <v>586</v>
      </c>
      <c r="E890" s="632" t="s">
        <v>519</v>
      </c>
      <c r="F890" s="86">
        <v>44750</v>
      </c>
      <c r="G890" s="86">
        <v>44804</v>
      </c>
      <c r="H890" s="82" t="s">
        <v>243</v>
      </c>
      <c r="I890" s="23">
        <v>44804</v>
      </c>
      <c r="J890" s="16">
        <v>519200</v>
      </c>
      <c r="K890" s="16"/>
      <c r="L890" s="16"/>
      <c r="M890" s="16">
        <v>79200</v>
      </c>
      <c r="N890" s="16">
        <f t="shared" si="202"/>
        <v>440000</v>
      </c>
      <c r="O890" s="17">
        <f t="shared" si="203"/>
        <v>212</v>
      </c>
      <c r="P890" s="33">
        <v>2</v>
      </c>
      <c r="Q890" s="19">
        <f t="shared" si="204"/>
        <v>1.419178082191781</v>
      </c>
      <c r="R890" s="32">
        <f t="shared" si="205"/>
        <v>121391.78082191781</v>
      </c>
      <c r="S890" s="22">
        <f t="shared" si="206"/>
        <v>318608.21917808219</v>
      </c>
      <c r="T890" s="21">
        <f t="shared" si="207"/>
        <v>440000</v>
      </c>
      <c r="U890" s="21">
        <f t="shared" si="208"/>
        <v>0</v>
      </c>
    </row>
    <row r="891" spans="2:21" ht="16.5" customHeight="1">
      <c r="B891" s="13">
        <f t="shared" si="191"/>
        <v>82</v>
      </c>
      <c r="C891" s="82" t="s">
        <v>824</v>
      </c>
      <c r="D891" s="87" t="s">
        <v>18</v>
      </c>
      <c r="E891" s="632" t="s">
        <v>846</v>
      </c>
      <c r="F891" s="86">
        <v>44887</v>
      </c>
      <c r="G891" s="89">
        <v>44920</v>
      </c>
      <c r="H891" s="82" t="s">
        <v>486</v>
      </c>
      <c r="I891" s="23">
        <v>44920</v>
      </c>
      <c r="J891" s="16">
        <v>114979</v>
      </c>
      <c r="K891" s="16"/>
      <c r="L891" s="16"/>
      <c r="M891" s="16">
        <v>17539</v>
      </c>
      <c r="N891" s="16">
        <f t="shared" ref="N891:N922" si="209">J891+K891-L891-M891</f>
        <v>97440</v>
      </c>
      <c r="O891" s="17">
        <f t="shared" ref="O891:O922" si="210">$O$1-I891</f>
        <v>96</v>
      </c>
      <c r="P891" s="33">
        <v>2</v>
      </c>
      <c r="Q891" s="19">
        <f t="shared" ref="Q891:Q922" si="211">P891-(O891/365)</f>
        <v>1.736986301369863</v>
      </c>
      <c r="R891" s="32">
        <f t="shared" ref="R891:R922" si="212">N891*95%/P891*O891/365</f>
        <v>12173.326027397261</v>
      </c>
      <c r="S891" s="22">
        <f t="shared" ref="S891:S922" si="213">N891-R891</f>
        <v>85266.673972602744</v>
      </c>
      <c r="T891" s="21">
        <f t="shared" ref="T891:T922" si="214">IF(I891&lt;=DATE(2022,9,30),N891,0)</f>
        <v>0</v>
      </c>
      <c r="U891" s="21">
        <f t="shared" ref="U891:U922" si="215">IF(I891&gt;DATE(2022,9,30),N891,0)</f>
        <v>97440</v>
      </c>
    </row>
    <row r="892" spans="2:21" ht="16.5" customHeight="1">
      <c r="B892" s="13">
        <f t="shared" si="191"/>
        <v>83</v>
      </c>
      <c r="C892" s="82" t="s">
        <v>825</v>
      </c>
      <c r="D892" s="87" t="s">
        <v>18</v>
      </c>
      <c r="E892" s="632" t="s">
        <v>847</v>
      </c>
      <c r="F892" s="86">
        <v>44887</v>
      </c>
      <c r="G892" s="89">
        <v>44887</v>
      </c>
      <c r="H892" s="82" t="s">
        <v>486</v>
      </c>
      <c r="I892" s="23">
        <v>44887</v>
      </c>
      <c r="J892" s="16">
        <v>915931</v>
      </c>
      <c r="K892" s="16"/>
      <c r="L892" s="16"/>
      <c r="M892" s="16">
        <v>139718.28813559323</v>
      </c>
      <c r="N892" s="16">
        <f t="shared" si="209"/>
        <v>776212.71186440671</v>
      </c>
      <c r="O892" s="17">
        <f t="shared" si="210"/>
        <v>129</v>
      </c>
      <c r="P892" s="33">
        <v>2</v>
      </c>
      <c r="Q892" s="19">
        <f t="shared" si="211"/>
        <v>1.6465753424657534</v>
      </c>
      <c r="R892" s="32">
        <f t="shared" si="212"/>
        <v>130308.0381355932</v>
      </c>
      <c r="S892" s="22">
        <f t="shared" si="213"/>
        <v>645904.67372881353</v>
      </c>
      <c r="T892" s="21">
        <f t="shared" si="214"/>
        <v>0</v>
      </c>
      <c r="U892" s="21">
        <f t="shared" si="215"/>
        <v>776212.71186440671</v>
      </c>
    </row>
    <row r="893" spans="2:21" ht="16.5" customHeight="1">
      <c r="B893" s="13">
        <f t="shared" si="191"/>
        <v>84</v>
      </c>
      <c r="C893" s="14" t="s">
        <v>219</v>
      </c>
      <c r="D893" s="112" t="s">
        <v>29</v>
      </c>
      <c r="E893" s="633" t="s">
        <v>240</v>
      </c>
      <c r="F893" s="15">
        <v>44671</v>
      </c>
      <c r="G893" s="15">
        <v>44671</v>
      </c>
      <c r="H893" s="14" t="s">
        <v>241</v>
      </c>
      <c r="I893" s="15">
        <v>44671</v>
      </c>
      <c r="J893" s="16">
        <v>2619657.8199999998</v>
      </c>
      <c r="K893" s="16"/>
      <c r="L893" s="16"/>
      <c r="M893" s="16">
        <v>399608.82</v>
      </c>
      <c r="N893" s="16">
        <f t="shared" si="209"/>
        <v>2220049</v>
      </c>
      <c r="O893" s="17">
        <f t="shared" si="210"/>
        <v>345</v>
      </c>
      <c r="P893" s="33">
        <v>2</v>
      </c>
      <c r="Q893" s="19">
        <f t="shared" si="211"/>
        <v>1.0547945205479452</v>
      </c>
      <c r="R893" s="32">
        <f t="shared" si="212"/>
        <v>996741.17773972591</v>
      </c>
      <c r="S893" s="22">
        <f t="shared" si="213"/>
        <v>1223307.8222602741</v>
      </c>
      <c r="T893" s="21">
        <f t="shared" si="214"/>
        <v>2220049</v>
      </c>
      <c r="U893" s="21">
        <f t="shared" si="215"/>
        <v>0</v>
      </c>
    </row>
    <row r="894" spans="2:21" ht="16.5" customHeight="1">
      <c r="B894" s="13">
        <f t="shared" si="191"/>
        <v>85</v>
      </c>
      <c r="C894" s="14" t="s">
        <v>220</v>
      </c>
      <c r="D894" s="112" t="s">
        <v>29</v>
      </c>
      <c r="E894" s="633" t="s">
        <v>242</v>
      </c>
      <c r="F894" s="15">
        <v>44712</v>
      </c>
      <c r="G894" s="15">
        <v>44712</v>
      </c>
      <c r="H894" s="14" t="s">
        <v>243</v>
      </c>
      <c r="I894" s="15">
        <v>44712</v>
      </c>
      <c r="J894" s="16">
        <v>566400</v>
      </c>
      <c r="K894" s="16"/>
      <c r="L894" s="16"/>
      <c r="M894" s="16">
        <v>86400</v>
      </c>
      <c r="N894" s="16">
        <f t="shared" si="209"/>
        <v>480000</v>
      </c>
      <c r="O894" s="17">
        <f t="shared" si="210"/>
        <v>304</v>
      </c>
      <c r="P894" s="33">
        <v>2</v>
      </c>
      <c r="Q894" s="19">
        <f t="shared" si="211"/>
        <v>1.1671232876712327</v>
      </c>
      <c r="R894" s="32">
        <f t="shared" si="212"/>
        <v>189895.89041095891</v>
      </c>
      <c r="S894" s="22">
        <f t="shared" si="213"/>
        <v>290104.10958904109</v>
      </c>
      <c r="T894" s="21">
        <f t="shared" si="214"/>
        <v>480000</v>
      </c>
      <c r="U894" s="21">
        <f t="shared" si="215"/>
        <v>0</v>
      </c>
    </row>
    <row r="895" spans="2:21" ht="16.5" customHeight="1">
      <c r="B895" s="13">
        <f t="shared" si="191"/>
        <v>86</v>
      </c>
      <c r="C895" s="14" t="s">
        <v>221</v>
      </c>
      <c r="D895" s="112" t="s">
        <v>29</v>
      </c>
      <c r="E895" s="633" t="s">
        <v>244</v>
      </c>
      <c r="F895" s="15">
        <v>44728</v>
      </c>
      <c r="G895" s="15">
        <v>44728</v>
      </c>
      <c r="H895" s="14" t="s">
        <v>243</v>
      </c>
      <c r="I895" s="15">
        <v>44728</v>
      </c>
      <c r="J895" s="16">
        <v>826000</v>
      </c>
      <c r="K895" s="16"/>
      <c r="L895" s="16"/>
      <c r="M895" s="16">
        <v>126000</v>
      </c>
      <c r="N895" s="16">
        <f t="shared" si="209"/>
        <v>700000</v>
      </c>
      <c r="O895" s="17">
        <f t="shared" si="210"/>
        <v>288</v>
      </c>
      <c r="P895" s="33">
        <v>2</v>
      </c>
      <c r="Q895" s="19">
        <f t="shared" si="211"/>
        <v>1.2109589041095892</v>
      </c>
      <c r="R895" s="32">
        <f t="shared" si="212"/>
        <v>262356.16438356164</v>
      </c>
      <c r="S895" s="22">
        <f t="shared" si="213"/>
        <v>437643.83561643836</v>
      </c>
      <c r="T895" s="21">
        <f t="shared" si="214"/>
        <v>700000</v>
      </c>
      <c r="U895" s="21">
        <f t="shared" si="215"/>
        <v>0</v>
      </c>
    </row>
    <row r="896" spans="2:21" ht="16.5" customHeight="1">
      <c r="B896" s="13">
        <f t="shared" si="191"/>
        <v>87</v>
      </c>
      <c r="C896" s="82" t="s">
        <v>520</v>
      </c>
      <c r="D896" s="85" t="s">
        <v>29</v>
      </c>
      <c r="E896" s="632">
        <v>155</v>
      </c>
      <c r="F896" s="86">
        <v>44757</v>
      </c>
      <c r="G896" s="86">
        <v>44757</v>
      </c>
      <c r="H896" s="82" t="s">
        <v>495</v>
      </c>
      <c r="I896" s="23">
        <v>44757</v>
      </c>
      <c r="J896" s="16">
        <v>408604</v>
      </c>
      <c r="K896" s="16"/>
      <c r="L896" s="16"/>
      <c r="M896" s="16">
        <v>62329.5</v>
      </c>
      <c r="N896" s="16">
        <f t="shared" si="209"/>
        <v>346274.5</v>
      </c>
      <c r="O896" s="17">
        <f t="shared" si="210"/>
        <v>259</v>
      </c>
      <c r="P896" s="33">
        <v>2</v>
      </c>
      <c r="Q896" s="19">
        <f t="shared" si="211"/>
        <v>1.2904109589041095</v>
      </c>
      <c r="R896" s="32">
        <f t="shared" si="212"/>
        <v>116713.48044520547</v>
      </c>
      <c r="S896" s="22">
        <f t="shared" si="213"/>
        <v>229561.01955479453</v>
      </c>
      <c r="T896" s="21">
        <f t="shared" si="214"/>
        <v>346274.5</v>
      </c>
      <c r="U896" s="21">
        <f t="shared" si="215"/>
        <v>0</v>
      </c>
    </row>
    <row r="897" spans="2:21" ht="16.5" customHeight="1">
      <c r="B897" s="13">
        <f t="shared" si="191"/>
        <v>88</v>
      </c>
      <c r="C897" s="82" t="s">
        <v>227</v>
      </c>
      <c r="D897" s="85" t="s">
        <v>29</v>
      </c>
      <c r="E897" s="632">
        <v>2008025935</v>
      </c>
      <c r="F897" s="86">
        <v>44758</v>
      </c>
      <c r="G897" s="86">
        <v>44758</v>
      </c>
      <c r="H897" s="82" t="s">
        <v>521</v>
      </c>
      <c r="I897" s="23">
        <v>44758</v>
      </c>
      <c r="J897" s="16">
        <v>231024</v>
      </c>
      <c r="K897" s="16"/>
      <c r="L897" s="16"/>
      <c r="M897" s="16">
        <v>35240.910000000003</v>
      </c>
      <c r="N897" s="16">
        <f t="shared" si="209"/>
        <v>195783.09</v>
      </c>
      <c r="O897" s="17">
        <f t="shared" si="210"/>
        <v>258</v>
      </c>
      <c r="P897" s="33">
        <v>2</v>
      </c>
      <c r="Q897" s="19">
        <f t="shared" si="211"/>
        <v>1.2931506849315069</v>
      </c>
      <c r="R897" s="32">
        <f t="shared" si="212"/>
        <v>65734.842957534245</v>
      </c>
      <c r="S897" s="22">
        <f t="shared" si="213"/>
        <v>130048.24704246575</v>
      </c>
      <c r="T897" s="21">
        <f t="shared" si="214"/>
        <v>195783.09</v>
      </c>
      <c r="U897" s="21">
        <f t="shared" si="215"/>
        <v>0</v>
      </c>
    </row>
    <row r="898" spans="2:21" ht="16.5" customHeight="1">
      <c r="B898" s="13">
        <f t="shared" si="191"/>
        <v>89</v>
      </c>
      <c r="C898" s="82" t="s">
        <v>227</v>
      </c>
      <c r="D898" s="85" t="s">
        <v>29</v>
      </c>
      <c r="E898" s="632">
        <v>2008026047</v>
      </c>
      <c r="F898" s="86">
        <v>44767</v>
      </c>
      <c r="G898" s="86">
        <v>44767</v>
      </c>
      <c r="H898" s="82" t="s">
        <v>521</v>
      </c>
      <c r="I898" s="23">
        <v>44767</v>
      </c>
      <c r="J898" s="16">
        <v>241524.8</v>
      </c>
      <c r="K898" s="16"/>
      <c r="L898" s="16"/>
      <c r="M898" s="16">
        <v>36842.769999999997</v>
      </c>
      <c r="N898" s="16">
        <f t="shared" si="209"/>
        <v>204682.03</v>
      </c>
      <c r="O898" s="17">
        <f t="shared" si="210"/>
        <v>249</v>
      </c>
      <c r="P898" s="33">
        <v>2</v>
      </c>
      <c r="Q898" s="19">
        <f t="shared" si="211"/>
        <v>1.3178082191780822</v>
      </c>
      <c r="R898" s="32">
        <f t="shared" si="212"/>
        <v>66325.389310273968</v>
      </c>
      <c r="S898" s="22">
        <f t="shared" si="213"/>
        <v>138356.64068972605</v>
      </c>
      <c r="T898" s="21">
        <f t="shared" si="214"/>
        <v>204682.03</v>
      </c>
      <c r="U898" s="21">
        <f t="shared" si="215"/>
        <v>0</v>
      </c>
    </row>
    <row r="899" spans="2:21" ht="16.5" customHeight="1">
      <c r="B899" s="13">
        <f t="shared" si="191"/>
        <v>90</v>
      </c>
      <c r="C899" s="82" t="s">
        <v>227</v>
      </c>
      <c r="D899" s="85" t="s">
        <v>29</v>
      </c>
      <c r="E899" s="632">
        <v>2008026157</v>
      </c>
      <c r="F899" s="86">
        <v>44774</v>
      </c>
      <c r="G899" s="86">
        <v>44774</v>
      </c>
      <c r="H899" s="82" t="s">
        <v>521</v>
      </c>
      <c r="I899" s="23">
        <v>44774</v>
      </c>
      <c r="J899" s="16">
        <v>184819</v>
      </c>
      <c r="K899" s="16"/>
      <c r="L899" s="16"/>
      <c r="M899" s="16">
        <v>28193</v>
      </c>
      <c r="N899" s="16">
        <f t="shared" si="209"/>
        <v>156626</v>
      </c>
      <c r="O899" s="17">
        <f t="shared" si="210"/>
        <v>242</v>
      </c>
      <c r="P899" s="33">
        <v>2</v>
      </c>
      <c r="Q899" s="19">
        <f t="shared" si="211"/>
        <v>1.3369863013698629</v>
      </c>
      <c r="R899" s="32">
        <f t="shared" si="212"/>
        <v>49326.462191780818</v>
      </c>
      <c r="S899" s="22">
        <f t="shared" si="213"/>
        <v>107299.53780821917</v>
      </c>
      <c r="T899" s="21">
        <f t="shared" si="214"/>
        <v>156626</v>
      </c>
      <c r="U899" s="21">
        <f t="shared" si="215"/>
        <v>0</v>
      </c>
    </row>
    <row r="900" spans="2:21" ht="16.5" customHeight="1">
      <c r="B900" s="13">
        <f t="shared" si="191"/>
        <v>91</v>
      </c>
      <c r="C900" s="82" t="s">
        <v>499</v>
      </c>
      <c r="D900" s="85" t="s">
        <v>29</v>
      </c>
      <c r="E900" s="632" t="s">
        <v>522</v>
      </c>
      <c r="F900" s="86">
        <v>44769</v>
      </c>
      <c r="G900" s="86">
        <v>44778</v>
      </c>
      <c r="H900" s="82" t="s">
        <v>261</v>
      </c>
      <c r="I900" s="23">
        <v>44778</v>
      </c>
      <c r="J900" s="16">
        <v>1299207</v>
      </c>
      <c r="K900" s="16"/>
      <c r="L900" s="16"/>
      <c r="M900" s="16">
        <v>198184.14</v>
      </c>
      <c r="N900" s="16">
        <f t="shared" si="209"/>
        <v>1101022.8599999999</v>
      </c>
      <c r="O900" s="17">
        <f t="shared" si="210"/>
        <v>238</v>
      </c>
      <c r="P900" s="33">
        <v>2</v>
      </c>
      <c r="Q900" s="19">
        <f t="shared" si="211"/>
        <v>1.3479452054794521</v>
      </c>
      <c r="R900" s="32">
        <f t="shared" si="212"/>
        <v>341015.43650136981</v>
      </c>
      <c r="S900" s="22">
        <f t="shared" si="213"/>
        <v>760007.42349863006</v>
      </c>
      <c r="T900" s="21">
        <f t="shared" si="214"/>
        <v>1101022.8599999999</v>
      </c>
      <c r="U900" s="21">
        <f t="shared" si="215"/>
        <v>0</v>
      </c>
    </row>
    <row r="901" spans="2:21" ht="16.5" customHeight="1">
      <c r="B901" s="13">
        <f t="shared" si="191"/>
        <v>92</v>
      </c>
      <c r="C901" s="82" t="s">
        <v>227</v>
      </c>
      <c r="D901" s="85" t="s">
        <v>29</v>
      </c>
      <c r="E901" s="632">
        <v>2008026210</v>
      </c>
      <c r="F901" s="86">
        <v>44781</v>
      </c>
      <c r="G901" s="86">
        <v>44783</v>
      </c>
      <c r="H901" s="82" t="s">
        <v>521</v>
      </c>
      <c r="I901" s="15">
        <v>44783</v>
      </c>
      <c r="J901" s="16">
        <v>231023.73</v>
      </c>
      <c r="K901" s="16"/>
      <c r="L901" s="16"/>
      <c r="M901" s="16">
        <v>35240.910000000003</v>
      </c>
      <c r="N901" s="16">
        <f t="shared" si="209"/>
        <v>195782.82</v>
      </c>
      <c r="O901" s="17">
        <f t="shared" si="210"/>
        <v>233</v>
      </c>
      <c r="P901" s="33">
        <v>2</v>
      </c>
      <c r="Q901" s="19">
        <f t="shared" si="211"/>
        <v>1.3616438356164382</v>
      </c>
      <c r="R901" s="32">
        <f t="shared" si="212"/>
        <v>59365.1057630137</v>
      </c>
      <c r="S901" s="22">
        <f t="shared" si="213"/>
        <v>136417.7142369863</v>
      </c>
      <c r="T901" s="21">
        <f t="shared" si="214"/>
        <v>195782.82</v>
      </c>
      <c r="U901" s="21">
        <f t="shared" si="215"/>
        <v>0</v>
      </c>
    </row>
    <row r="902" spans="2:21" ht="16.5" customHeight="1">
      <c r="B902" s="13">
        <f t="shared" si="191"/>
        <v>93</v>
      </c>
      <c r="C902" s="82" t="s">
        <v>499</v>
      </c>
      <c r="D902" s="85" t="s">
        <v>29</v>
      </c>
      <c r="E902" s="632" t="s">
        <v>523</v>
      </c>
      <c r="F902" s="86">
        <v>44778</v>
      </c>
      <c r="G902" s="86">
        <v>44798</v>
      </c>
      <c r="H902" s="82" t="s">
        <v>261</v>
      </c>
      <c r="I902" s="23">
        <v>44798</v>
      </c>
      <c r="J902" s="16">
        <v>315596</v>
      </c>
      <c r="K902" s="16"/>
      <c r="L902" s="16"/>
      <c r="M902" s="16">
        <v>48141.72</v>
      </c>
      <c r="N902" s="16">
        <f t="shared" si="209"/>
        <v>267454.28000000003</v>
      </c>
      <c r="O902" s="17">
        <f t="shared" si="210"/>
        <v>218</v>
      </c>
      <c r="P902" s="33">
        <v>2</v>
      </c>
      <c r="Q902" s="19">
        <f t="shared" si="211"/>
        <v>1.4027397260273973</v>
      </c>
      <c r="R902" s="32">
        <f t="shared" si="212"/>
        <v>75876.41286027398</v>
      </c>
      <c r="S902" s="22">
        <f t="shared" si="213"/>
        <v>191577.86713972606</v>
      </c>
      <c r="T902" s="21">
        <f t="shared" si="214"/>
        <v>267454.28000000003</v>
      </c>
      <c r="U902" s="21">
        <f t="shared" si="215"/>
        <v>0</v>
      </c>
    </row>
    <row r="903" spans="2:21" ht="16.5" customHeight="1">
      <c r="B903" s="13">
        <f t="shared" si="191"/>
        <v>94</v>
      </c>
      <c r="C903" s="82" t="s">
        <v>499</v>
      </c>
      <c r="D903" s="85" t="s">
        <v>29</v>
      </c>
      <c r="E903" s="632" t="s">
        <v>524</v>
      </c>
      <c r="F903" s="86">
        <v>44778</v>
      </c>
      <c r="G903" s="86">
        <v>44798</v>
      </c>
      <c r="H903" s="82" t="s">
        <v>261</v>
      </c>
      <c r="I903" s="23">
        <v>44798</v>
      </c>
      <c r="J903" s="16">
        <v>472681</v>
      </c>
      <c r="K903" s="16"/>
      <c r="L903" s="16"/>
      <c r="M903" s="16">
        <v>72103.86</v>
      </c>
      <c r="N903" s="16">
        <f t="shared" si="209"/>
        <v>400577.14</v>
      </c>
      <c r="O903" s="17">
        <f t="shared" si="210"/>
        <v>218</v>
      </c>
      <c r="P903" s="33">
        <v>2</v>
      </c>
      <c r="Q903" s="19">
        <f t="shared" si="211"/>
        <v>1.4027397260273973</v>
      </c>
      <c r="R903" s="32">
        <f t="shared" si="212"/>
        <v>113643.18588219178</v>
      </c>
      <c r="S903" s="22">
        <f t="shared" si="213"/>
        <v>286933.95411780826</v>
      </c>
      <c r="T903" s="21">
        <f t="shared" si="214"/>
        <v>400577.14</v>
      </c>
      <c r="U903" s="21">
        <f t="shared" si="215"/>
        <v>0</v>
      </c>
    </row>
    <row r="904" spans="2:21" ht="16.5" customHeight="1">
      <c r="B904" s="13">
        <f t="shared" si="191"/>
        <v>95</v>
      </c>
      <c r="C904" s="82" t="s">
        <v>499</v>
      </c>
      <c r="D904" s="85" t="s">
        <v>29</v>
      </c>
      <c r="E904" s="632" t="s">
        <v>525</v>
      </c>
      <c r="F904" s="86">
        <v>44778</v>
      </c>
      <c r="G904" s="86">
        <v>44798</v>
      </c>
      <c r="H904" s="82" t="s">
        <v>261</v>
      </c>
      <c r="I904" s="23">
        <v>44798</v>
      </c>
      <c r="J904" s="16">
        <v>205920</v>
      </c>
      <c r="K904" s="16"/>
      <c r="L904" s="16"/>
      <c r="M904" s="16">
        <v>31411.53</v>
      </c>
      <c r="N904" s="16">
        <f t="shared" si="209"/>
        <v>174508.47</v>
      </c>
      <c r="O904" s="17">
        <f t="shared" si="210"/>
        <v>218</v>
      </c>
      <c r="P904" s="33">
        <v>2</v>
      </c>
      <c r="Q904" s="19">
        <f t="shared" si="211"/>
        <v>1.4027397260273973</v>
      </c>
      <c r="R904" s="32">
        <f t="shared" si="212"/>
        <v>49507.813886301374</v>
      </c>
      <c r="S904" s="22">
        <f t="shared" si="213"/>
        <v>125000.65611369863</v>
      </c>
      <c r="T904" s="21">
        <f t="shared" si="214"/>
        <v>174508.47</v>
      </c>
      <c r="U904" s="21">
        <f t="shared" si="215"/>
        <v>0</v>
      </c>
    </row>
    <row r="905" spans="2:21" ht="16.5" customHeight="1">
      <c r="B905" s="13">
        <f t="shared" si="191"/>
        <v>96</v>
      </c>
      <c r="C905" s="82" t="s">
        <v>499</v>
      </c>
      <c r="D905" s="85" t="s">
        <v>29</v>
      </c>
      <c r="E905" s="632" t="s">
        <v>526</v>
      </c>
      <c r="F905" s="86">
        <v>44778</v>
      </c>
      <c r="G905" s="86">
        <v>44798</v>
      </c>
      <c r="H905" s="82" t="s">
        <v>261</v>
      </c>
      <c r="I905" s="23">
        <v>44798</v>
      </c>
      <c r="J905" s="16">
        <v>901396</v>
      </c>
      <c r="K905" s="16"/>
      <c r="L905" s="16"/>
      <c r="M905" s="16">
        <v>137501</v>
      </c>
      <c r="N905" s="16">
        <f t="shared" si="209"/>
        <v>763895</v>
      </c>
      <c r="O905" s="17">
        <f t="shared" si="210"/>
        <v>218</v>
      </c>
      <c r="P905" s="33">
        <v>2</v>
      </c>
      <c r="Q905" s="19">
        <f t="shared" si="211"/>
        <v>1.4027397260273973</v>
      </c>
      <c r="R905" s="32">
        <f t="shared" si="212"/>
        <v>216715.96506849315</v>
      </c>
      <c r="S905" s="22">
        <f t="shared" si="213"/>
        <v>547179.03493150685</v>
      </c>
      <c r="T905" s="21">
        <f t="shared" si="214"/>
        <v>763895</v>
      </c>
      <c r="U905" s="21">
        <f t="shared" si="215"/>
        <v>0</v>
      </c>
    </row>
    <row r="906" spans="2:21" ht="16.5" customHeight="1">
      <c r="B906" s="13">
        <f t="shared" si="191"/>
        <v>97</v>
      </c>
      <c r="C906" s="82" t="s">
        <v>309</v>
      </c>
      <c r="D906" s="85" t="s">
        <v>29</v>
      </c>
      <c r="E906" s="632">
        <v>1210</v>
      </c>
      <c r="F906" s="86">
        <v>44799</v>
      </c>
      <c r="G906" s="86">
        <v>44800</v>
      </c>
      <c r="H906" s="82" t="s">
        <v>527</v>
      </c>
      <c r="I906" s="23">
        <v>44800</v>
      </c>
      <c r="J906" s="16">
        <v>1388997</v>
      </c>
      <c r="K906" s="16"/>
      <c r="L906" s="16"/>
      <c r="M906" s="16">
        <v>211880.88</v>
      </c>
      <c r="N906" s="16">
        <f t="shared" si="209"/>
        <v>1177116.1200000001</v>
      </c>
      <c r="O906" s="17">
        <f t="shared" si="210"/>
        <v>216</v>
      </c>
      <c r="P906" s="33">
        <v>2</v>
      </c>
      <c r="Q906" s="19">
        <f t="shared" si="211"/>
        <v>1.4082191780821918</v>
      </c>
      <c r="R906" s="32">
        <f t="shared" si="212"/>
        <v>330882.50386849314</v>
      </c>
      <c r="S906" s="22">
        <f t="shared" si="213"/>
        <v>846233.61613150698</v>
      </c>
      <c r="T906" s="21">
        <f t="shared" si="214"/>
        <v>1177116.1200000001</v>
      </c>
      <c r="U906" s="21">
        <f t="shared" si="215"/>
        <v>0</v>
      </c>
    </row>
    <row r="907" spans="2:21" ht="16.5" customHeight="1">
      <c r="B907" s="13">
        <f t="shared" si="191"/>
        <v>98</v>
      </c>
      <c r="C907" s="82" t="s">
        <v>528</v>
      </c>
      <c r="D907" s="85" t="s">
        <v>29</v>
      </c>
      <c r="E907" s="632">
        <v>154</v>
      </c>
      <c r="F907" s="86">
        <v>44791</v>
      </c>
      <c r="G907" s="86">
        <v>44800</v>
      </c>
      <c r="H907" s="82" t="s">
        <v>529</v>
      </c>
      <c r="I907" s="23">
        <v>44800</v>
      </c>
      <c r="J907" s="16">
        <v>192295</v>
      </c>
      <c r="K907" s="16"/>
      <c r="L907" s="16"/>
      <c r="M907" s="16">
        <v>29333</v>
      </c>
      <c r="N907" s="16">
        <f t="shared" si="209"/>
        <v>162962</v>
      </c>
      <c r="O907" s="17">
        <f t="shared" si="210"/>
        <v>216</v>
      </c>
      <c r="P907" s="33">
        <v>2</v>
      </c>
      <c r="Q907" s="19">
        <f t="shared" si="211"/>
        <v>1.4082191780821918</v>
      </c>
      <c r="R907" s="32">
        <f t="shared" si="212"/>
        <v>45807.948493150681</v>
      </c>
      <c r="S907" s="22">
        <f t="shared" si="213"/>
        <v>117154.05150684933</v>
      </c>
      <c r="T907" s="21">
        <f t="shared" si="214"/>
        <v>162962</v>
      </c>
      <c r="U907" s="21">
        <f t="shared" si="215"/>
        <v>0</v>
      </c>
    </row>
    <row r="908" spans="2:21" ht="16.5" customHeight="1">
      <c r="B908" s="13">
        <f t="shared" si="191"/>
        <v>99</v>
      </c>
      <c r="C908" s="82" t="s">
        <v>528</v>
      </c>
      <c r="D908" s="85" t="s">
        <v>29</v>
      </c>
      <c r="E908" s="632">
        <v>2950</v>
      </c>
      <c r="F908" s="86">
        <v>44793</v>
      </c>
      <c r="G908" s="86">
        <v>44800</v>
      </c>
      <c r="H908" s="82" t="s">
        <v>530</v>
      </c>
      <c r="I908" s="23">
        <v>44800</v>
      </c>
      <c r="J908" s="16">
        <v>226489</v>
      </c>
      <c r="K908" s="16"/>
      <c r="L908" s="16"/>
      <c r="M908" s="16">
        <v>34549</v>
      </c>
      <c r="N908" s="16">
        <f t="shared" si="209"/>
        <v>191940</v>
      </c>
      <c r="O908" s="17">
        <f t="shared" si="210"/>
        <v>216</v>
      </c>
      <c r="P908" s="33">
        <v>2</v>
      </c>
      <c r="Q908" s="19">
        <f t="shared" si="211"/>
        <v>1.4082191780821918</v>
      </c>
      <c r="R908" s="32">
        <f t="shared" si="212"/>
        <v>53953.545205479451</v>
      </c>
      <c r="S908" s="22">
        <f t="shared" si="213"/>
        <v>137986.45479452054</v>
      </c>
      <c r="T908" s="21">
        <f t="shared" si="214"/>
        <v>191940</v>
      </c>
      <c r="U908" s="21">
        <f t="shared" si="215"/>
        <v>0</v>
      </c>
    </row>
    <row r="909" spans="2:21" ht="16.5" customHeight="1">
      <c r="B909" s="13">
        <f t="shared" si="191"/>
        <v>100</v>
      </c>
      <c r="C909" s="82" t="s">
        <v>227</v>
      </c>
      <c r="D909" s="85" t="s">
        <v>29</v>
      </c>
      <c r="E909" s="632">
        <v>2008026519</v>
      </c>
      <c r="F909" s="86">
        <v>44801</v>
      </c>
      <c r="G909" s="86">
        <v>44814</v>
      </c>
      <c r="H909" s="82" t="s">
        <v>521</v>
      </c>
      <c r="I909" s="23">
        <v>44814</v>
      </c>
      <c r="J909" s="16">
        <v>220082.98</v>
      </c>
      <c r="K909" s="16"/>
      <c r="L909" s="16"/>
      <c r="M909" s="16">
        <v>33571.980000000003</v>
      </c>
      <c r="N909" s="16">
        <f t="shared" si="209"/>
        <v>186511</v>
      </c>
      <c r="O909" s="17">
        <f t="shared" si="210"/>
        <v>202</v>
      </c>
      <c r="P909" s="33">
        <v>2</v>
      </c>
      <c r="Q909" s="19">
        <f t="shared" si="211"/>
        <v>1.4465753424657535</v>
      </c>
      <c r="R909" s="32">
        <f t="shared" si="212"/>
        <v>49029.398493150686</v>
      </c>
      <c r="S909" s="22">
        <f t="shared" si="213"/>
        <v>137481.60150684931</v>
      </c>
      <c r="T909" s="21">
        <f t="shared" si="214"/>
        <v>186511</v>
      </c>
      <c r="U909" s="21">
        <f t="shared" si="215"/>
        <v>0</v>
      </c>
    </row>
    <row r="910" spans="2:21" ht="16.5" customHeight="1">
      <c r="B910" s="13">
        <f t="shared" si="191"/>
        <v>101</v>
      </c>
      <c r="C910" s="82" t="s">
        <v>227</v>
      </c>
      <c r="D910" s="85" t="s">
        <v>29</v>
      </c>
      <c r="E910" s="632">
        <v>2008026641</v>
      </c>
      <c r="F910" s="86">
        <v>44813</v>
      </c>
      <c r="G910" s="86">
        <v>44816</v>
      </c>
      <c r="H910" s="82" t="s">
        <v>521</v>
      </c>
      <c r="I910" s="23">
        <v>44816</v>
      </c>
      <c r="J910" s="16">
        <v>255008</v>
      </c>
      <c r="K910" s="16"/>
      <c r="L910" s="16"/>
      <c r="M910" s="16">
        <v>38899.54</v>
      </c>
      <c r="N910" s="16">
        <f t="shared" si="209"/>
        <v>216108.46</v>
      </c>
      <c r="O910" s="17">
        <f t="shared" si="210"/>
        <v>200</v>
      </c>
      <c r="P910" s="33">
        <v>2</v>
      </c>
      <c r="Q910" s="19">
        <f t="shared" si="211"/>
        <v>1.452054794520548</v>
      </c>
      <c r="R910" s="32">
        <f t="shared" si="212"/>
        <v>56247.407397260271</v>
      </c>
      <c r="S910" s="22">
        <f t="shared" si="213"/>
        <v>159861.05260273971</v>
      </c>
      <c r="T910" s="21">
        <f t="shared" si="214"/>
        <v>216108.46</v>
      </c>
      <c r="U910" s="21">
        <f t="shared" si="215"/>
        <v>0</v>
      </c>
    </row>
    <row r="911" spans="2:21" ht="16.5" customHeight="1">
      <c r="B911" s="13">
        <f t="shared" si="191"/>
        <v>102</v>
      </c>
      <c r="C911" s="82" t="s">
        <v>463</v>
      </c>
      <c r="D911" s="85" t="s">
        <v>29</v>
      </c>
      <c r="E911" s="632">
        <v>759</v>
      </c>
      <c r="F911" s="86">
        <v>44814</v>
      </c>
      <c r="G911" s="86">
        <v>44816</v>
      </c>
      <c r="H911" s="82" t="s">
        <v>205</v>
      </c>
      <c r="I911" s="23">
        <v>44816</v>
      </c>
      <c r="J911" s="16">
        <v>59000</v>
      </c>
      <c r="K911" s="16"/>
      <c r="L911" s="16"/>
      <c r="M911" s="16">
        <v>9000</v>
      </c>
      <c r="N911" s="16">
        <f t="shared" si="209"/>
        <v>50000</v>
      </c>
      <c r="O911" s="17">
        <f t="shared" si="210"/>
        <v>200</v>
      </c>
      <c r="P911" s="33">
        <v>2</v>
      </c>
      <c r="Q911" s="19">
        <f t="shared" si="211"/>
        <v>1.452054794520548</v>
      </c>
      <c r="R911" s="32">
        <f t="shared" si="212"/>
        <v>13013.698630136987</v>
      </c>
      <c r="S911" s="22">
        <f t="shared" si="213"/>
        <v>36986.301369863009</v>
      </c>
      <c r="T911" s="21">
        <f t="shared" si="214"/>
        <v>50000</v>
      </c>
      <c r="U911" s="21">
        <f t="shared" si="215"/>
        <v>0</v>
      </c>
    </row>
    <row r="912" spans="2:21" ht="16.5" customHeight="1">
      <c r="B912" s="13">
        <f t="shared" si="191"/>
        <v>103</v>
      </c>
      <c r="C912" s="82" t="s">
        <v>227</v>
      </c>
      <c r="D912" s="85" t="s">
        <v>29</v>
      </c>
      <c r="E912" s="632">
        <v>2008026659</v>
      </c>
      <c r="F912" s="86">
        <v>44814</v>
      </c>
      <c r="G912" s="86">
        <v>44817</v>
      </c>
      <c r="H912" s="82" t="s">
        <v>521</v>
      </c>
      <c r="I912" s="23">
        <v>44817</v>
      </c>
      <c r="J912" s="16">
        <v>255008</v>
      </c>
      <c r="K912" s="16"/>
      <c r="L912" s="16"/>
      <c r="M912" s="16">
        <v>38899.54</v>
      </c>
      <c r="N912" s="16">
        <f t="shared" si="209"/>
        <v>216108.46</v>
      </c>
      <c r="O912" s="17">
        <f t="shared" si="210"/>
        <v>199</v>
      </c>
      <c r="P912" s="33">
        <v>2</v>
      </c>
      <c r="Q912" s="19">
        <f t="shared" si="211"/>
        <v>1.4547945205479453</v>
      </c>
      <c r="R912" s="32">
        <f t="shared" si="212"/>
        <v>55966.170360273973</v>
      </c>
      <c r="S912" s="22">
        <f t="shared" si="213"/>
        <v>160142.28963972602</v>
      </c>
      <c r="T912" s="21">
        <f t="shared" si="214"/>
        <v>216108.46</v>
      </c>
      <c r="U912" s="21">
        <f t="shared" si="215"/>
        <v>0</v>
      </c>
    </row>
    <row r="913" spans="2:21" ht="16.5" customHeight="1">
      <c r="B913" s="13">
        <f t="shared" si="191"/>
        <v>104</v>
      </c>
      <c r="C913" s="82" t="s">
        <v>227</v>
      </c>
      <c r="D913" s="85" t="s">
        <v>29</v>
      </c>
      <c r="E913" s="632">
        <v>2008026687</v>
      </c>
      <c r="F913" s="86">
        <v>44816</v>
      </c>
      <c r="G913" s="86">
        <v>44822</v>
      </c>
      <c r="H913" s="82" t="s">
        <v>521</v>
      </c>
      <c r="I913" s="23">
        <v>44822</v>
      </c>
      <c r="J913" s="16">
        <v>243920.79</v>
      </c>
      <c r="K913" s="16"/>
      <c r="L913" s="16"/>
      <c r="M913" s="16">
        <v>37208.26</v>
      </c>
      <c r="N913" s="16">
        <f t="shared" si="209"/>
        <v>206712.53</v>
      </c>
      <c r="O913" s="17">
        <f t="shared" si="210"/>
        <v>194</v>
      </c>
      <c r="P913" s="33">
        <v>2</v>
      </c>
      <c r="Q913" s="19">
        <f t="shared" si="211"/>
        <v>1.4684931506849315</v>
      </c>
      <c r="R913" s="32">
        <f t="shared" si="212"/>
        <v>52187.834628767123</v>
      </c>
      <c r="S913" s="22">
        <f t="shared" si="213"/>
        <v>154524.69537123287</v>
      </c>
      <c r="T913" s="21">
        <f t="shared" si="214"/>
        <v>206712.53</v>
      </c>
      <c r="U913" s="21">
        <f t="shared" si="215"/>
        <v>0</v>
      </c>
    </row>
    <row r="914" spans="2:21" ht="14.65">
      <c r="B914" s="13">
        <f t="shared" si="191"/>
        <v>105</v>
      </c>
      <c r="C914" s="82" t="s">
        <v>531</v>
      </c>
      <c r="D914" s="85" t="s">
        <v>29</v>
      </c>
      <c r="E914" s="632">
        <v>12600</v>
      </c>
      <c r="F914" s="86">
        <v>44809</v>
      </c>
      <c r="G914" s="86">
        <v>44826</v>
      </c>
      <c r="H914" s="82" t="s">
        <v>532</v>
      </c>
      <c r="I914" s="23">
        <v>44826</v>
      </c>
      <c r="J914" s="16">
        <v>9000</v>
      </c>
      <c r="K914" s="16"/>
      <c r="L914" s="16"/>
      <c r="M914" s="16">
        <v>1372.88</v>
      </c>
      <c r="N914" s="16">
        <f t="shared" si="209"/>
        <v>7627.12</v>
      </c>
      <c r="O914" s="17">
        <f t="shared" si="210"/>
        <v>190</v>
      </c>
      <c r="P914" s="33">
        <v>2</v>
      </c>
      <c r="Q914" s="19">
        <f t="shared" si="211"/>
        <v>1.4794520547945207</v>
      </c>
      <c r="R914" s="32">
        <f t="shared" si="212"/>
        <v>1885.8837808219178</v>
      </c>
      <c r="S914" s="22">
        <f t="shared" si="213"/>
        <v>5741.2362191780821</v>
      </c>
      <c r="T914" s="21">
        <f t="shared" si="214"/>
        <v>7627.12</v>
      </c>
      <c r="U914" s="21">
        <f t="shared" si="215"/>
        <v>0</v>
      </c>
    </row>
    <row r="915" spans="2:21" ht="14.65">
      <c r="B915" s="13">
        <f t="shared" si="191"/>
        <v>106</v>
      </c>
      <c r="C915" s="82" t="s">
        <v>533</v>
      </c>
      <c r="D915" s="85" t="s">
        <v>29</v>
      </c>
      <c r="E915" s="632" t="s">
        <v>534</v>
      </c>
      <c r="F915" s="86">
        <v>44831</v>
      </c>
      <c r="G915" s="86">
        <v>44834</v>
      </c>
      <c r="H915" s="82" t="s">
        <v>403</v>
      </c>
      <c r="I915" s="23">
        <v>44834</v>
      </c>
      <c r="J915" s="16">
        <v>1384140</v>
      </c>
      <c r="K915" s="16"/>
      <c r="L915" s="16"/>
      <c r="M915" s="16">
        <v>211140</v>
      </c>
      <c r="N915" s="16">
        <f t="shared" si="209"/>
        <v>1173000</v>
      </c>
      <c r="O915" s="17">
        <f t="shared" si="210"/>
        <v>182</v>
      </c>
      <c r="P915" s="33">
        <v>2</v>
      </c>
      <c r="Q915" s="19">
        <f t="shared" si="211"/>
        <v>1.5013698630136987</v>
      </c>
      <c r="R915" s="32">
        <f t="shared" si="212"/>
        <v>277824.24657534249</v>
      </c>
      <c r="S915" s="22">
        <f t="shared" si="213"/>
        <v>895175.75342465751</v>
      </c>
      <c r="T915" s="21">
        <f t="shared" si="214"/>
        <v>1173000</v>
      </c>
      <c r="U915" s="21">
        <f t="shared" si="215"/>
        <v>0</v>
      </c>
    </row>
    <row r="916" spans="2:21" ht="14.65">
      <c r="B916" s="13">
        <f t="shared" si="191"/>
        <v>107</v>
      </c>
      <c r="C916" s="82" t="s">
        <v>535</v>
      </c>
      <c r="D916" s="85" t="s">
        <v>29</v>
      </c>
      <c r="E916" s="632">
        <v>421</v>
      </c>
      <c r="F916" s="86">
        <v>44827</v>
      </c>
      <c r="G916" s="86">
        <v>44834</v>
      </c>
      <c r="H916" s="82" t="s">
        <v>255</v>
      </c>
      <c r="I916" s="23">
        <v>44834</v>
      </c>
      <c r="J916" s="16">
        <v>241800</v>
      </c>
      <c r="K916" s="16"/>
      <c r="L916" s="16"/>
      <c r="M916" s="16">
        <v>36884.75</v>
      </c>
      <c r="N916" s="16">
        <f t="shared" si="209"/>
        <v>204915.25</v>
      </c>
      <c r="O916" s="17">
        <f t="shared" si="210"/>
        <v>182</v>
      </c>
      <c r="P916" s="33">
        <v>2</v>
      </c>
      <c r="Q916" s="19">
        <f t="shared" si="211"/>
        <v>1.5013698630136987</v>
      </c>
      <c r="R916" s="32">
        <f t="shared" si="212"/>
        <v>48534.036609589042</v>
      </c>
      <c r="S916" s="22">
        <f t="shared" si="213"/>
        <v>156381.21339041097</v>
      </c>
      <c r="T916" s="21">
        <f t="shared" si="214"/>
        <v>204915.25</v>
      </c>
      <c r="U916" s="21">
        <f t="shared" si="215"/>
        <v>0</v>
      </c>
    </row>
    <row r="917" spans="2:21" ht="14.65">
      <c r="B917" s="13">
        <f t="shared" si="191"/>
        <v>108</v>
      </c>
      <c r="C917" s="82" t="s">
        <v>227</v>
      </c>
      <c r="D917" s="85" t="s">
        <v>29</v>
      </c>
      <c r="E917" s="632">
        <v>2008026820</v>
      </c>
      <c r="F917" s="86">
        <v>44826</v>
      </c>
      <c r="G917" s="86">
        <v>44834</v>
      </c>
      <c r="H917" s="82" t="s">
        <v>521</v>
      </c>
      <c r="I917" s="23">
        <v>44834</v>
      </c>
      <c r="J917" s="16">
        <v>243921</v>
      </c>
      <c r="K917" s="16"/>
      <c r="L917" s="16"/>
      <c r="M917" s="16">
        <v>37208.26</v>
      </c>
      <c r="N917" s="16">
        <f t="shared" si="209"/>
        <v>206712.74</v>
      </c>
      <c r="O917" s="17">
        <f t="shared" si="210"/>
        <v>182</v>
      </c>
      <c r="P917" s="33">
        <v>2</v>
      </c>
      <c r="Q917" s="19">
        <f t="shared" si="211"/>
        <v>1.5013698630136987</v>
      </c>
      <c r="R917" s="32">
        <f t="shared" si="212"/>
        <v>48959.770884931495</v>
      </c>
      <c r="S917" s="22">
        <f t="shared" si="213"/>
        <v>157752.9691150685</v>
      </c>
      <c r="T917" s="21">
        <f t="shared" si="214"/>
        <v>206712.74</v>
      </c>
      <c r="U917" s="21">
        <f t="shared" si="215"/>
        <v>0</v>
      </c>
    </row>
    <row r="918" spans="2:21" ht="14.65">
      <c r="B918" s="13">
        <f t="shared" si="191"/>
        <v>109</v>
      </c>
      <c r="C918" s="82" t="s">
        <v>483</v>
      </c>
      <c r="D918" s="85" t="s">
        <v>29</v>
      </c>
      <c r="E918" s="632">
        <v>10</v>
      </c>
      <c r="F918" s="86">
        <v>44834</v>
      </c>
      <c r="G918" s="86">
        <v>44834</v>
      </c>
      <c r="H918" s="82" t="s">
        <v>537</v>
      </c>
      <c r="I918" s="23">
        <v>44834</v>
      </c>
      <c r="J918" s="16">
        <v>39600</v>
      </c>
      <c r="K918" s="16"/>
      <c r="L918" s="16"/>
      <c r="M918" s="16"/>
      <c r="N918" s="16">
        <f t="shared" si="209"/>
        <v>39600</v>
      </c>
      <c r="O918" s="17">
        <f t="shared" si="210"/>
        <v>182</v>
      </c>
      <c r="P918" s="33">
        <v>2</v>
      </c>
      <c r="Q918" s="19">
        <f t="shared" si="211"/>
        <v>1.5013698630136987</v>
      </c>
      <c r="R918" s="32">
        <f t="shared" si="212"/>
        <v>9379.232876712329</v>
      </c>
      <c r="S918" s="22">
        <f t="shared" si="213"/>
        <v>30220.767123287671</v>
      </c>
      <c r="T918" s="21">
        <f t="shared" si="214"/>
        <v>39600</v>
      </c>
      <c r="U918" s="21">
        <f t="shared" si="215"/>
        <v>0</v>
      </c>
    </row>
    <row r="919" spans="2:21" ht="14.65">
      <c r="B919" s="13">
        <f t="shared" si="191"/>
        <v>110</v>
      </c>
      <c r="C919" s="82" t="s">
        <v>826</v>
      </c>
      <c r="D919" s="85" t="s">
        <v>29</v>
      </c>
      <c r="E919" s="632">
        <v>497</v>
      </c>
      <c r="F919" s="86">
        <v>44816</v>
      </c>
      <c r="G919" s="89">
        <v>44840</v>
      </c>
      <c r="H919" s="82" t="s">
        <v>536</v>
      </c>
      <c r="I919" s="23">
        <v>44840</v>
      </c>
      <c r="J919" s="16">
        <v>21375</v>
      </c>
      <c r="K919" s="16"/>
      <c r="L919" s="16"/>
      <c r="M919" s="16">
        <v>3260.52</v>
      </c>
      <c r="N919" s="16">
        <f t="shared" si="209"/>
        <v>18114.48</v>
      </c>
      <c r="O919" s="17">
        <f t="shared" si="210"/>
        <v>176</v>
      </c>
      <c r="P919" s="33">
        <v>2</v>
      </c>
      <c r="Q919" s="19">
        <f t="shared" si="211"/>
        <v>1.5178082191780822</v>
      </c>
      <c r="R919" s="32">
        <f t="shared" si="212"/>
        <v>4148.9603506849307</v>
      </c>
      <c r="S919" s="22">
        <f t="shared" si="213"/>
        <v>13965.519649315069</v>
      </c>
      <c r="T919" s="21">
        <f t="shared" si="214"/>
        <v>0</v>
      </c>
      <c r="U919" s="21">
        <f t="shared" si="215"/>
        <v>18114.48</v>
      </c>
    </row>
    <row r="920" spans="2:21" ht="14.65">
      <c r="B920" s="13">
        <f t="shared" si="191"/>
        <v>111</v>
      </c>
      <c r="C920" s="82" t="s">
        <v>826</v>
      </c>
      <c r="D920" s="85" t="s">
        <v>29</v>
      </c>
      <c r="E920" s="632">
        <v>707</v>
      </c>
      <c r="F920" s="86">
        <v>44833</v>
      </c>
      <c r="G920" s="89">
        <v>44840</v>
      </c>
      <c r="H920" s="82" t="s">
        <v>536</v>
      </c>
      <c r="I920" s="23">
        <v>44840</v>
      </c>
      <c r="J920" s="16">
        <v>184680</v>
      </c>
      <c r="K920" s="16"/>
      <c r="L920" s="16"/>
      <c r="M920" s="16">
        <v>28171</v>
      </c>
      <c r="N920" s="16">
        <f t="shared" si="209"/>
        <v>156509</v>
      </c>
      <c r="O920" s="17">
        <f t="shared" si="210"/>
        <v>176</v>
      </c>
      <c r="P920" s="33">
        <v>2</v>
      </c>
      <c r="Q920" s="19">
        <f t="shared" si="211"/>
        <v>1.5178082191780822</v>
      </c>
      <c r="R920" s="32">
        <f t="shared" si="212"/>
        <v>35846.992876712327</v>
      </c>
      <c r="S920" s="22">
        <f t="shared" si="213"/>
        <v>120662.00712328768</v>
      </c>
      <c r="T920" s="21">
        <f t="shared" si="214"/>
        <v>0</v>
      </c>
      <c r="U920" s="21">
        <f t="shared" si="215"/>
        <v>156509</v>
      </c>
    </row>
    <row r="921" spans="2:21" ht="14.65">
      <c r="B921" s="13">
        <f t="shared" ref="B921:B955" si="216">B920+1</f>
        <v>112</v>
      </c>
      <c r="C921" s="82" t="s">
        <v>826</v>
      </c>
      <c r="D921" s="85" t="s">
        <v>29</v>
      </c>
      <c r="E921" s="632">
        <v>381</v>
      </c>
      <c r="F921" s="86">
        <v>44832</v>
      </c>
      <c r="G921" s="89">
        <v>44842</v>
      </c>
      <c r="H921" s="82" t="s">
        <v>857</v>
      </c>
      <c r="I921" s="23">
        <v>44842</v>
      </c>
      <c r="J921" s="16">
        <v>27198</v>
      </c>
      <c r="K921" s="16"/>
      <c r="L921" s="16"/>
      <c r="M921" s="16">
        <v>4148</v>
      </c>
      <c r="N921" s="16">
        <f t="shared" si="209"/>
        <v>23050</v>
      </c>
      <c r="O921" s="17">
        <f t="shared" si="210"/>
        <v>174</v>
      </c>
      <c r="P921" s="33">
        <v>2</v>
      </c>
      <c r="Q921" s="19">
        <f t="shared" si="211"/>
        <v>1.5232876712328767</v>
      </c>
      <c r="R921" s="32">
        <f t="shared" si="212"/>
        <v>5219.4041095890407</v>
      </c>
      <c r="S921" s="22">
        <f t="shared" si="213"/>
        <v>17830.595890410958</v>
      </c>
      <c r="T921" s="21">
        <f t="shared" si="214"/>
        <v>0</v>
      </c>
      <c r="U921" s="21">
        <f t="shared" si="215"/>
        <v>23050</v>
      </c>
    </row>
    <row r="922" spans="2:21" ht="14.65">
      <c r="B922" s="13">
        <f t="shared" si="216"/>
        <v>113</v>
      </c>
      <c r="C922" s="82" t="s">
        <v>826</v>
      </c>
      <c r="D922" s="85" t="s">
        <v>29</v>
      </c>
      <c r="E922" s="632">
        <v>372</v>
      </c>
      <c r="F922" s="86">
        <v>44828</v>
      </c>
      <c r="G922" s="89">
        <v>44842</v>
      </c>
      <c r="H922" s="82" t="s">
        <v>857</v>
      </c>
      <c r="I922" s="23">
        <v>44842</v>
      </c>
      <c r="J922" s="16">
        <v>25733</v>
      </c>
      <c r="K922" s="16"/>
      <c r="L922" s="16"/>
      <c r="M922" s="16">
        <v>3926</v>
      </c>
      <c r="N922" s="16">
        <f t="shared" si="209"/>
        <v>21807</v>
      </c>
      <c r="O922" s="17">
        <f t="shared" si="210"/>
        <v>174</v>
      </c>
      <c r="P922" s="33">
        <v>2</v>
      </c>
      <c r="Q922" s="19">
        <f t="shared" si="211"/>
        <v>1.5232876712328767</v>
      </c>
      <c r="R922" s="32">
        <f t="shared" si="212"/>
        <v>4937.9412328767121</v>
      </c>
      <c r="S922" s="22">
        <f t="shared" si="213"/>
        <v>16869.058767123286</v>
      </c>
      <c r="T922" s="21">
        <f t="shared" si="214"/>
        <v>0</v>
      </c>
      <c r="U922" s="21">
        <f t="shared" si="215"/>
        <v>21807</v>
      </c>
    </row>
    <row r="923" spans="2:21" ht="14.65">
      <c r="B923" s="13">
        <f t="shared" si="216"/>
        <v>114</v>
      </c>
      <c r="C923" s="82" t="s">
        <v>821</v>
      </c>
      <c r="D923" s="85" t="s">
        <v>29</v>
      </c>
      <c r="E923" s="632">
        <v>214</v>
      </c>
      <c r="F923" s="86">
        <v>44803</v>
      </c>
      <c r="G923" s="89">
        <v>44842</v>
      </c>
      <c r="H923" s="82" t="s">
        <v>854</v>
      </c>
      <c r="I923" s="23">
        <v>44842</v>
      </c>
      <c r="J923" s="16">
        <v>618806</v>
      </c>
      <c r="K923" s="16"/>
      <c r="L923" s="16"/>
      <c r="M923" s="16">
        <v>94394</v>
      </c>
      <c r="N923" s="16">
        <f t="shared" ref="N923:N954" si="217">J923+K923-L923-M923</f>
        <v>524412</v>
      </c>
      <c r="O923" s="17">
        <f t="shared" ref="O923:O955" si="218">$O$1-I923</f>
        <v>174</v>
      </c>
      <c r="P923" s="33">
        <v>2</v>
      </c>
      <c r="Q923" s="19">
        <f t="shared" ref="Q923:Q954" si="219">P923-(O923/365)</f>
        <v>1.5232876712328767</v>
      </c>
      <c r="R923" s="32">
        <f t="shared" ref="R923:R955" si="220">N923*95%/P923*O923/365</f>
        <v>118746.99123287671</v>
      </c>
      <c r="S923" s="22">
        <f t="shared" ref="S923:S954" si="221">N923-R923</f>
        <v>405665.00876712328</v>
      </c>
      <c r="T923" s="21">
        <f t="shared" ref="T923:T955" si="222">IF(I923&lt;=DATE(2022,9,30),N923,0)</f>
        <v>0</v>
      </c>
      <c r="U923" s="21">
        <f t="shared" ref="U923:U955" si="223">IF(I923&gt;DATE(2022,9,30),N923,0)</f>
        <v>524412</v>
      </c>
    </row>
    <row r="924" spans="2:21" ht="14.65">
      <c r="B924" s="13">
        <f t="shared" si="216"/>
        <v>115</v>
      </c>
      <c r="C924" s="82" t="s">
        <v>535</v>
      </c>
      <c r="D924" s="85" t="s">
        <v>29</v>
      </c>
      <c r="E924" s="632">
        <v>1790</v>
      </c>
      <c r="F924" s="86">
        <v>44848</v>
      </c>
      <c r="G924" s="89">
        <v>44848</v>
      </c>
      <c r="H924" s="82" t="s">
        <v>858</v>
      </c>
      <c r="I924" s="23">
        <v>44848</v>
      </c>
      <c r="J924" s="16">
        <v>19000</v>
      </c>
      <c r="K924" s="16"/>
      <c r="L924" s="16"/>
      <c r="M924" s="16">
        <v>2898</v>
      </c>
      <c r="N924" s="16">
        <f t="shared" si="217"/>
        <v>16102</v>
      </c>
      <c r="O924" s="17">
        <f t="shared" si="218"/>
        <v>168</v>
      </c>
      <c r="P924" s="33">
        <v>2</v>
      </c>
      <c r="Q924" s="19">
        <f t="shared" si="219"/>
        <v>1.5397260273972604</v>
      </c>
      <c r="R924" s="32">
        <f t="shared" si="220"/>
        <v>3520.3824657534242</v>
      </c>
      <c r="S924" s="22">
        <f t="shared" si="221"/>
        <v>12581.617534246576</v>
      </c>
      <c r="T924" s="21">
        <f t="shared" si="222"/>
        <v>0</v>
      </c>
      <c r="U924" s="21">
        <f t="shared" si="223"/>
        <v>16102</v>
      </c>
    </row>
    <row r="925" spans="2:21" ht="14.65">
      <c r="B925" s="13">
        <f t="shared" si="216"/>
        <v>116</v>
      </c>
      <c r="C925" s="82" t="s">
        <v>819</v>
      </c>
      <c r="D925" s="85" t="s">
        <v>29</v>
      </c>
      <c r="E925" s="632">
        <v>2008027288</v>
      </c>
      <c r="F925" s="86">
        <v>44851</v>
      </c>
      <c r="G925" s="89">
        <v>44851</v>
      </c>
      <c r="H925" s="82" t="s">
        <v>521</v>
      </c>
      <c r="I925" s="23">
        <v>44851</v>
      </c>
      <c r="J925" s="16">
        <v>245030</v>
      </c>
      <c r="K925" s="16"/>
      <c r="L925" s="16"/>
      <c r="M925" s="16">
        <v>37378</v>
      </c>
      <c r="N925" s="16">
        <f t="shared" si="217"/>
        <v>207652</v>
      </c>
      <c r="O925" s="17">
        <f t="shared" si="218"/>
        <v>165</v>
      </c>
      <c r="P925" s="33">
        <v>2</v>
      </c>
      <c r="Q925" s="19">
        <f t="shared" si="219"/>
        <v>1.547945205479452</v>
      </c>
      <c r="R925" s="32">
        <f t="shared" si="220"/>
        <v>44588.289041095893</v>
      </c>
      <c r="S925" s="22">
        <f t="shared" si="221"/>
        <v>163063.71095890412</v>
      </c>
      <c r="T925" s="21">
        <f t="shared" si="222"/>
        <v>0</v>
      </c>
      <c r="U925" s="21">
        <f t="shared" si="223"/>
        <v>207652</v>
      </c>
    </row>
    <row r="926" spans="2:21" ht="14.65">
      <c r="B926" s="13">
        <f t="shared" si="216"/>
        <v>117</v>
      </c>
      <c r="C926" s="82" t="s">
        <v>827</v>
      </c>
      <c r="D926" s="85" t="s">
        <v>29</v>
      </c>
      <c r="E926" s="632">
        <v>118</v>
      </c>
      <c r="F926" s="86">
        <v>44856</v>
      </c>
      <c r="G926" s="89">
        <v>44856</v>
      </c>
      <c r="H926" s="82" t="s">
        <v>859</v>
      </c>
      <c r="I926" s="23">
        <v>44856</v>
      </c>
      <c r="J926" s="16">
        <v>16000</v>
      </c>
      <c r="K926" s="16"/>
      <c r="L926" s="16"/>
      <c r="M926" s="16"/>
      <c r="N926" s="16">
        <f t="shared" si="217"/>
        <v>16000</v>
      </c>
      <c r="O926" s="17">
        <f t="shared" si="218"/>
        <v>160</v>
      </c>
      <c r="P926" s="33">
        <v>2</v>
      </c>
      <c r="Q926" s="19">
        <f t="shared" si="219"/>
        <v>1.5616438356164384</v>
      </c>
      <c r="R926" s="32">
        <f t="shared" si="220"/>
        <v>3331.5068493150684</v>
      </c>
      <c r="S926" s="22">
        <f t="shared" si="221"/>
        <v>12668.493150684932</v>
      </c>
      <c r="T926" s="21">
        <f t="shared" si="222"/>
        <v>0</v>
      </c>
      <c r="U926" s="21">
        <f t="shared" si="223"/>
        <v>16000</v>
      </c>
    </row>
    <row r="927" spans="2:21" ht="14.65">
      <c r="B927" s="13">
        <f t="shared" si="216"/>
        <v>118</v>
      </c>
      <c r="C927" s="82" t="s">
        <v>819</v>
      </c>
      <c r="D927" s="85" t="s">
        <v>29</v>
      </c>
      <c r="E927" s="632">
        <v>2008027302</v>
      </c>
      <c r="F927" s="86">
        <v>44861</v>
      </c>
      <c r="G927" s="89">
        <v>44861</v>
      </c>
      <c r="H927" s="82" t="s">
        <v>521</v>
      </c>
      <c r="I927" s="23">
        <v>44861</v>
      </c>
      <c r="J927" s="16">
        <v>244107</v>
      </c>
      <c r="K927" s="16"/>
      <c r="L927" s="16">
        <v>186</v>
      </c>
      <c r="M927" s="16">
        <v>37209</v>
      </c>
      <c r="N927" s="16">
        <f t="shared" si="217"/>
        <v>206712</v>
      </c>
      <c r="O927" s="17">
        <f t="shared" si="218"/>
        <v>155</v>
      </c>
      <c r="P927" s="33">
        <v>2</v>
      </c>
      <c r="Q927" s="19">
        <f t="shared" si="219"/>
        <v>1.5753424657534247</v>
      </c>
      <c r="R927" s="32">
        <f t="shared" si="220"/>
        <v>41696.358904109591</v>
      </c>
      <c r="S927" s="22">
        <f t="shared" si="221"/>
        <v>165015.6410958904</v>
      </c>
      <c r="T927" s="21">
        <f t="shared" si="222"/>
        <v>0</v>
      </c>
      <c r="U927" s="21">
        <f t="shared" si="223"/>
        <v>206712</v>
      </c>
    </row>
    <row r="928" spans="2:21" ht="14.65">
      <c r="B928" s="13">
        <f t="shared" si="216"/>
        <v>119</v>
      </c>
      <c r="C928" s="82" t="s">
        <v>828</v>
      </c>
      <c r="D928" s="85" t="s">
        <v>29</v>
      </c>
      <c r="E928" s="632">
        <v>280</v>
      </c>
      <c r="F928" s="86">
        <v>44862</v>
      </c>
      <c r="G928" s="89">
        <v>44862</v>
      </c>
      <c r="H928" s="82" t="s">
        <v>854</v>
      </c>
      <c r="I928" s="23">
        <v>44862</v>
      </c>
      <c r="J928" s="16">
        <v>696912</v>
      </c>
      <c r="K928" s="16"/>
      <c r="L928" s="16"/>
      <c r="M928" s="16">
        <v>106309</v>
      </c>
      <c r="N928" s="16">
        <f t="shared" si="217"/>
        <v>590603</v>
      </c>
      <c r="O928" s="17">
        <f t="shared" si="218"/>
        <v>154</v>
      </c>
      <c r="P928" s="33">
        <v>2</v>
      </c>
      <c r="Q928" s="19">
        <f t="shared" si="219"/>
        <v>1.5780821917808219</v>
      </c>
      <c r="R928" s="32">
        <f t="shared" si="220"/>
        <v>118363.31356164382</v>
      </c>
      <c r="S928" s="22">
        <f t="shared" si="221"/>
        <v>472239.68643835618</v>
      </c>
      <c r="T928" s="21">
        <f t="shared" si="222"/>
        <v>0</v>
      </c>
      <c r="U928" s="21">
        <f t="shared" si="223"/>
        <v>590603</v>
      </c>
    </row>
    <row r="929" spans="2:21" ht="14.65">
      <c r="B929" s="13">
        <f t="shared" si="216"/>
        <v>120</v>
      </c>
      <c r="C929" s="82" t="s">
        <v>819</v>
      </c>
      <c r="D929" s="85" t="s">
        <v>29</v>
      </c>
      <c r="E929" s="632">
        <v>2008027301</v>
      </c>
      <c r="F929" s="86">
        <v>44861</v>
      </c>
      <c r="G929" s="89">
        <v>44865</v>
      </c>
      <c r="H929" s="82" t="s">
        <v>521</v>
      </c>
      <c r="I929" s="23">
        <v>44865</v>
      </c>
      <c r="J929" s="16">
        <v>239486</v>
      </c>
      <c r="K929" s="16"/>
      <c r="L929" s="16"/>
      <c r="M929" s="16">
        <v>36532</v>
      </c>
      <c r="N929" s="16">
        <f t="shared" si="217"/>
        <v>202954</v>
      </c>
      <c r="O929" s="17">
        <f t="shared" si="218"/>
        <v>151</v>
      </c>
      <c r="P929" s="33">
        <v>2</v>
      </c>
      <c r="Q929" s="19">
        <f t="shared" si="219"/>
        <v>1.5863013698630137</v>
      </c>
      <c r="R929" s="32">
        <f t="shared" si="220"/>
        <v>39881.851095890408</v>
      </c>
      <c r="S929" s="22">
        <f t="shared" si="221"/>
        <v>163072.14890410961</v>
      </c>
      <c r="T929" s="21">
        <f t="shared" si="222"/>
        <v>0</v>
      </c>
      <c r="U929" s="21">
        <f t="shared" si="223"/>
        <v>202954</v>
      </c>
    </row>
    <row r="930" spans="2:21" ht="16.5" customHeight="1">
      <c r="B930" s="13">
        <f t="shared" si="216"/>
        <v>121</v>
      </c>
      <c r="C930" s="82" t="s">
        <v>829</v>
      </c>
      <c r="D930" s="85" t="s">
        <v>29</v>
      </c>
      <c r="E930" s="632">
        <v>245</v>
      </c>
      <c r="F930" s="86">
        <v>44828</v>
      </c>
      <c r="G930" s="89">
        <v>44828</v>
      </c>
      <c r="H930" s="82" t="s">
        <v>854</v>
      </c>
      <c r="I930" s="23">
        <v>44828</v>
      </c>
      <c r="J930" s="16">
        <v>105775</v>
      </c>
      <c r="K930" s="16"/>
      <c r="L930" s="16"/>
      <c r="M930" s="16">
        <v>16136</v>
      </c>
      <c r="N930" s="16">
        <f t="shared" si="217"/>
        <v>89639</v>
      </c>
      <c r="O930" s="17">
        <f t="shared" si="218"/>
        <v>188</v>
      </c>
      <c r="P930" s="33">
        <v>2</v>
      </c>
      <c r="Q930" s="19">
        <f t="shared" si="219"/>
        <v>1.484931506849315</v>
      </c>
      <c r="R930" s="32">
        <f t="shared" si="220"/>
        <v>21930.856712328768</v>
      </c>
      <c r="S930" s="22">
        <f t="shared" si="221"/>
        <v>67708.143287671235</v>
      </c>
      <c r="T930" s="21">
        <f t="shared" si="222"/>
        <v>89639</v>
      </c>
      <c r="U930" s="21">
        <f t="shared" si="223"/>
        <v>0</v>
      </c>
    </row>
    <row r="931" spans="2:21" ht="14.65">
      <c r="B931" s="13">
        <f t="shared" si="216"/>
        <v>122</v>
      </c>
      <c r="C931" s="82" t="s">
        <v>819</v>
      </c>
      <c r="D931" s="85" t="s">
        <v>29</v>
      </c>
      <c r="E931" s="632">
        <v>2008027450</v>
      </c>
      <c r="F931" s="86">
        <v>44869</v>
      </c>
      <c r="G931" s="89">
        <v>44869</v>
      </c>
      <c r="H931" s="82" t="s">
        <v>521</v>
      </c>
      <c r="I931" s="23">
        <v>44869</v>
      </c>
      <c r="J931" s="16">
        <v>255265</v>
      </c>
      <c r="K931" s="16"/>
      <c r="L931" s="16">
        <v>256</v>
      </c>
      <c r="M931" s="16">
        <v>38900</v>
      </c>
      <c r="N931" s="16">
        <f t="shared" si="217"/>
        <v>216109</v>
      </c>
      <c r="O931" s="17">
        <f t="shared" si="218"/>
        <v>147</v>
      </c>
      <c r="P931" s="33">
        <v>2</v>
      </c>
      <c r="Q931" s="19">
        <f t="shared" si="219"/>
        <v>1.5972602739726027</v>
      </c>
      <c r="R931" s="32">
        <f t="shared" si="220"/>
        <v>41341.947739726027</v>
      </c>
      <c r="S931" s="22">
        <f t="shared" si="221"/>
        <v>174767.05226027398</v>
      </c>
      <c r="T931" s="21">
        <f t="shared" si="222"/>
        <v>0</v>
      </c>
      <c r="U931" s="21">
        <f t="shared" si="223"/>
        <v>216109</v>
      </c>
    </row>
    <row r="932" spans="2:21" ht="14.65">
      <c r="B932" s="13">
        <f t="shared" si="216"/>
        <v>123</v>
      </c>
      <c r="C932" s="82" t="s">
        <v>475</v>
      </c>
      <c r="D932" s="85" t="s">
        <v>29</v>
      </c>
      <c r="E932" s="632" t="s">
        <v>848</v>
      </c>
      <c r="F932" s="86">
        <v>44875</v>
      </c>
      <c r="G932" s="89">
        <v>44876</v>
      </c>
      <c r="H932" s="82" t="s">
        <v>243</v>
      </c>
      <c r="I932" s="23">
        <v>44876</v>
      </c>
      <c r="J932" s="16">
        <v>318600</v>
      </c>
      <c r="K932" s="16"/>
      <c r="L932" s="16"/>
      <c r="M932" s="16">
        <v>48600</v>
      </c>
      <c r="N932" s="16">
        <f t="shared" si="217"/>
        <v>270000</v>
      </c>
      <c r="O932" s="17">
        <f t="shared" si="218"/>
        <v>140</v>
      </c>
      <c r="P932" s="33">
        <v>2</v>
      </c>
      <c r="Q932" s="19">
        <f t="shared" si="219"/>
        <v>1.6164383561643836</v>
      </c>
      <c r="R932" s="32">
        <f t="shared" si="220"/>
        <v>49191.780821917811</v>
      </c>
      <c r="S932" s="22">
        <f t="shared" si="221"/>
        <v>220808.21917808219</v>
      </c>
      <c r="T932" s="21">
        <f t="shared" si="222"/>
        <v>0</v>
      </c>
      <c r="U932" s="21">
        <f t="shared" si="223"/>
        <v>270000</v>
      </c>
    </row>
    <row r="933" spans="2:21" ht="14.65">
      <c r="B933" s="13">
        <f t="shared" si="216"/>
        <v>124</v>
      </c>
      <c r="C933" s="82" t="s">
        <v>830</v>
      </c>
      <c r="D933" s="85" t="s">
        <v>29</v>
      </c>
      <c r="E933" s="632" t="s">
        <v>849</v>
      </c>
      <c r="F933" s="86">
        <v>44880</v>
      </c>
      <c r="G933" s="89">
        <v>44883</v>
      </c>
      <c r="H933" s="82" t="s">
        <v>860</v>
      </c>
      <c r="I933" s="23">
        <v>44883</v>
      </c>
      <c r="J933" s="16">
        <v>1698197</v>
      </c>
      <c r="K933" s="16"/>
      <c r="L933" s="16"/>
      <c r="M933" s="16">
        <v>259047</v>
      </c>
      <c r="N933" s="16">
        <f t="shared" si="217"/>
        <v>1439150</v>
      </c>
      <c r="O933" s="17">
        <f t="shared" si="218"/>
        <v>133</v>
      </c>
      <c r="P933" s="33">
        <v>2</v>
      </c>
      <c r="Q933" s="19">
        <f t="shared" si="219"/>
        <v>1.6356164383561644</v>
      </c>
      <c r="R933" s="32">
        <f t="shared" si="220"/>
        <v>249091.23630136985</v>
      </c>
      <c r="S933" s="22">
        <f t="shared" si="221"/>
        <v>1190058.76369863</v>
      </c>
      <c r="T933" s="21">
        <f t="shared" si="222"/>
        <v>0</v>
      </c>
      <c r="U933" s="21">
        <f t="shared" si="223"/>
        <v>1439150</v>
      </c>
    </row>
    <row r="934" spans="2:21" ht="14.65">
      <c r="B934" s="13">
        <f t="shared" si="216"/>
        <v>125</v>
      </c>
      <c r="C934" s="82" t="s">
        <v>831</v>
      </c>
      <c r="D934" s="85" t="s">
        <v>29</v>
      </c>
      <c r="E934" s="632" t="s">
        <v>850</v>
      </c>
      <c r="F934" s="86">
        <v>44886</v>
      </c>
      <c r="G934" s="89">
        <v>44888</v>
      </c>
      <c r="H934" s="82" t="s">
        <v>850</v>
      </c>
      <c r="I934" s="23">
        <v>44888</v>
      </c>
      <c r="J934" s="16">
        <v>515955</v>
      </c>
      <c r="K934" s="16"/>
      <c r="L934" s="16"/>
      <c r="M934" s="16">
        <v>78705</v>
      </c>
      <c r="N934" s="16">
        <f t="shared" si="217"/>
        <v>437250</v>
      </c>
      <c r="O934" s="17">
        <f t="shared" si="218"/>
        <v>128</v>
      </c>
      <c r="P934" s="33">
        <v>2</v>
      </c>
      <c r="Q934" s="19">
        <f t="shared" si="219"/>
        <v>1.6493150684931508</v>
      </c>
      <c r="R934" s="32">
        <f t="shared" si="220"/>
        <v>72835.068493150684</v>
      </c>
      <c r="S934" s="22">
        <f t="shared" si="221"/>
        <v>364414.9315068493</v>
      </c>
      <c r="T934" s="21">
        <f t="shared" si="222"/>
        <v>0</v>
      </c>
      <c r="U934" s="21">
        <f t="shared" si="223"/>
        <v>437250</v>
      </c>
    </row>
    <row r="935" spans="2:21" ht="14.65">
      <c r="B935" s="13">
        <f t="shared" si="216"/>
        <v>126</v>
      </c>
      <c r="C935" s="82" t="s">
        <v>832</v>
      </c>
      <c r="D935" s="85" t="s">
        <v>29</v>
      </c>
      <c r="E935" s="632" t="s">
        <v>851</v>
      </c>
      <c r="F935" s="86">
        <v>44895</v>
      </c>
      <c r="G935" s="89">
        <v>44899</v>
      </c>
      <c r="H935" s="82" t="s">
        <v>860</v>
      </c>
      <c r="I935" s="23">
        <v>44899</v>
      </c>
      <c r="J935" s="16">
        <v>1263992</v>
      </c>
      <c r="K935" s="16"/>
      <c r="L935" s="16"/>
      <c r="M935" s="16">
        <v>192813</v>
      </c>
      <c r="N935" s="16">
        <f t="shared" si="217"/>
        <v>1071179</v>
      </c>
      <c r="O935" s="17">
        <f t="shared" si="218"/>
        <v>117</v>
      </c>
      <c r="P935" s="33">
        <v>2</v>
      </c>
      <c r="Q935" s="19">
        <f t="shared" si="219"/>
        <v>1.6794520547945204</v>
      </c>
      <c r="R935" s="32">
        <f t="shared" si="220"/>
        <v>163098.00801369862</v>
      </c>
      <c r="S935" s="22">
        <f t="shared" si="221"/>
        <v>908080.99198630138</v>
      </c>
      <c r="T935" s="21">
        <f t="shared" si="222"/>
        <v>0</v>
      </c>
      <c r="U935" s="21">
        <f t="shared" si="223"/>
        <v>1071179</v>
      </c>
    </row>
    <row r="936" spans="2:21" ht="14.65">
      <c r="B936" s="13">
        <f t="shared" si="216"/>
        <v>127</v>
      </c>
      <c r="C936" s="82" t="s">
        <v>3633</v>
      </c>
      <c r="D936" s="85" t="s">
        <v>29</v>
      </c>
      <c r="E936" s="632">
        <v>2700</v>
      </c>
      <c r="F936" s="86">
        <v>44957</v>
      </c>
      <c r="G936" s="89">
        <v>44985</v>
      </c>
      <c r="H936" s="82" t="s">
        <v>850</v>
      </c>
      <c r="I936" s="23">
        <v>44985</v>
      </c>
      <c r="J936" s="16">
        <f>1720195-159470</f>
        <v>1560725</v>
      </c>
      <c r="K936" s="16"/>
      <c r="L936" s="16"/>
      <c r="M936" s="16">
        <v>262403</v>
      </c>
      <c r="N936" s="16">
        <f t="shared" si="217"/>
        <v>1298322</v>
      </c>
      <c r="O936" s="17">
        <f t="shared" si="218"/>
        <v>31</v>
      </c>
      <c r="P936" s="33">
        <v>2</v>
      </c>
      <c r="Q936" s="19">
        <f t="shared" si="219"/>
        <v>1.9150684931506849</v>
      </c>
      <c r="R936" s="32">
        <f t="shared" si="220"/>
        <v>52377.510821917807</v>
      </c>
      <c r="S936" s="22">
        <f t="shared" si="221"/>
        <v>1245944.4891780822</v>
      </c>
      <c r="T936" s="21">
        <f t="shared" si="222"/>
        <v>0</v>
      </c>
      <c r="U936" s="21">
        <f t="shared" si="223"/>
        <v>1298322</v>
      </c>
    </row>
    <row r="937" spans="2:21" ht="14.65">
      <c r="B937" s="13">
        <f t="shared" si="216"/>
        <v>128</v>
      </c>
      <c r="C937" s="82" t="s">
        <v>538</v>
      </c>
      <c r="D937" s="85" t="s">
        <v>74</v>
      </c>
      <c r="E937" s="632" t="s">
        <v>539</v>
      </c>
      <c r="F937" s="86">
        <v>44804</v>
      </c>
      <c r="G937" s="86">
        <v>44804</v>
      </c>
      <c r="H937" s="82" t="s">
        <v>540</v>
      </c>
      <c r="I937" s="23">
        <v>44804</v>
      </c>
      <c r="J937" s="16">
        <v>19525</v>
      </c>
      <c r="K937" s="16"/>
      <c r="L937" s="16"/>
      <c r="M937" s="16">
        <v>2978.4</v>
      </c>
      <c r="N937" s="16">
        <f t="shared" si="217"/>
        <v>16546.599999999999</v>
      </c>
      <c r="O937" s="17">
        <f t="shared" si="218"/>
        <v>212</v>
      </c>
      <c r="P937" s="33">
        <v>2</v>
      </c>
      <c r="Q937" s="19">
        <f t="shared" si="219"/>
        <v>1.419178082191781</v>
      </c>
      <c r="R937" s="32">
        <f t="shared" si="220"/>
        <v>4565.0482739726021</v>
      </c>
      <c r="S937" s="22">
        <f t="shared" si="221"/>
        <v>11981.551726027395</v>
      </c>
      <c r="T937" s="21">
        <f t="shared" si="222"/>
        <v>16546.599999999999</v>
      </c>
      <c r="U937" s="21">
        <f t="shared" si="223"/>
        <v>0</v>
      </c>
    </row>
    <row r="938" spans="2:21" ht="14.65">
      <c r="B938" s="13">
        <f t="shared" si="216"/>
        <v>129</v>
      </c>
      <c r="C938" s="82" t="s">
        <v>833</v>
      </c>
      <c r="D938" s="85" t="s">
        <v>74</v>
      </c>
      <c r="E938" s="632" t="s">
        <v>852</v>
      </c>
      <c r="F938" s="86">
        <v>44853</v>
      </c>
      <c r="G938" s="89">
        <v>44853</v>
      </c>
      <c r="H938" s="82" t="s">
        <v>243</v>
      </c>
      <c r="I938" s="23">
        <v>44853</v>
      </c>
      <c r="J938" s="16">
        <v>318600</v>
      </c>
      <c r="K938" s="16"/>
      <c r="L938" s="16"/>
      <c r="M938" s="16">
        <v>48600</v>
      </c>
      <c r="N938" s="16">
        <f t="shared" si="217"/>
        <v>270000</v>
      </c>
      <c r="O938" s="17">
        <f t="shared" si="218"/>
        <v>163</v>
      </c>
      <c r="P938" s="33">
        <v>2</v>
      </c>
      <c r="Q938" s="19">
        <f t="shared" si="219"/>
        <v>1.5534246575342465</v>
      </c>
      <c r="R938" s="32">
        <f t="shared" si="220"/>
        <v>57273.28767123288</v>
      </c>
      <c r="S938" s="22">
        <f t="shared" si="221"/>
        <v>212726.71232876711</v>
      </c>
      <c r="T938" s="21">
        <f t="shared" si="222"/>
        <v>0</v>
      </c>
      <c r="U938" s="21">
        <f t="shared" si="223"/>
        <v>270000</v>
      </c>
    </row>
    <row r="939" spans="2:21" ht="14.65">
      <c r="B939" s="13">
        <f t="shared" si="216"/>
        <v>130</v>
      </c>
      <c r="C939" s="82" t="s">
        <v>834</v>
      </c>
      <c r="D939" s="85" t="s">
        <v>74</v>
      </c>
      <c r="E939" s="632">
        <v>55</v>
      </c>
      <c r="F939" s="86">
        <v>44881</v>
      </c>
      <c r="G939" s="89">
        <v>44881</v>
      </c>
      <c r="H939" s="82" t="s">
        <v>861</v>
      </c>
      <c r="I939" s="23">
        <v>44881</v>
      </c>
      <c r="J939" s="16">
        <v>30084</v>
      </c>
      <c r="K939" s="16"/>
      <c r="L939" s="16"/>
      <c r="M939" s="16"/>
      <c r="N939" s="16">
        <f t="shared" si="217"/>
        <v>30084</v>
      </c>
      <c r="O939" s="17">
        <f t="shared" si="218"/>
        <v>135</v>
      </c>
      <c r="P939" s="33">
        <v>2</v>
      </c>
      <c r="Q939" s="19">
        <f t="shared" si="219"/>
        <v>1.6301369863013699</v>
      </c>
      <c r="R939" s="32">
        <f t="shared" si="220"/>
        <v>5285.3054794520549</v>
      </c>
      <c r="S939" s="22">
        <f t="shared" si="221"/>
        <v>24798.694520547946</v>
      </c>
      <c r="T939" s="21">
        <f t="shared" si="222"/>
        <v>0</v>
      </c>
      <c r="U939" s="21">
        <f t="shared" si="223"/>
        <v>30084</v>
      </c>
    </row>
    <row r="940" spans="2:21" ht="14.65">
      <c r="B940" s="13">
        <f t="shared" si="216"/>
        <v>131</v>
      </c>
      <c r="C940" s="82" t="s">
        <v>835</v>
      </c>
      <c r="D940" s="85" t="s">
        <v>74</v>
      </c>
      <c r="E940" s="632">
        <v>57</v>
      </c>
      <c r="F940" s="86">
        <v>44885</v>
      </c>
      <c r="G940" s="89">
        <v>44885</v>
      </c>
      <c r="H940" s="82" t="s">
        <v>861</v>
      </c>
      <c r="I940" s="23">
        <v>44885</v>
      </c>
      <c r="J940" s="16">
        <v>21000</v>
      </c>
      <c r="K940" s="16"/>
      <c r="L940" s="16"/>
      <c r="M940" s="16"/>
      <c r="N940" s="16">
        <f t="shared" si="217"/>
        <v>21000</v>
      </c>
      <c r="O940" s="17">
        <f t="shared" si="218"/>
        <v>131</v>
      </c>
      <c r="P940" s="33">
        <v>2</v>
      </c>
      <c r="Q940" s="19">
        <f t="shared" si="219"/>
        <v>1.6410958904109589</v>
      </c>
      <c r="R940" s="32">
        <f t="shared" si="220"/>
        <v>3580.0684931506848</v>
      </c>
      <c r="S940" s="22">
        <f t="shared" si="221"/>
        <v>17419.931506849316</v>
      </c>
      <c r="T940" s="21">
        <f t="shared" si="222"/>
        <v>0</v>
      </c>
      <c r="U940" s="21">
        <f t="shared" si="223"/>
        <v>21000</v>
      </c>
    </row>
    <row r="941" spans="2:21" ht="16.5" customHeight="1">
      <c r="B941" s="13">
        <f t="shared" si="216"/>
        <v>132</v>
      </c>
      <c r="C941" s="82" t="s">
        <v>835</v>
      </c>
      <c r="D941" s="85" t="s">
        <v>74</v>
      </c>
      <c r="E941" s="632">
        <v>60</v>
      </c>
      <c r="F941" s="86">
        <v>44890</v>
      </c>
      <c r="G941" s="89">
        <v>44890</v>
      </c>
      <c r="H941" s="82" t="s">
        <v>861</v>
      </c>
      <c r="I941" s="23">
        <v>44890</v>
      </c>
      <c r="J941" s="16">
        <v>31419</v>
      </c>
      <c r="K941" s="16"/>
      <c r="L941" s="16"/>
      <c r="M941" s="16"/>
      <c r="N941" s="16">
        <f t="shared" si="217"/>
        <v>31419</v>
      </c>
      <c r="O941" s="17">
        <f t="shared" si="218"/>
        <v>126</v>
      </c>
      <c r="P941" s="33">
        <v>2</v>
      </c>
      <c r="Q941" s="19">
        <f t="shared" si="219"/>
        <v>1.6547945205479451</v>
      </c>
      <c r="R941" s="32">
        <f t="shared" si="220"/>
        <v>5151.8552054794518</v>
      </c>
      <c r="S941" s="22">
        <f t="shared" si="221"/>
        <v>26267.144794520547</v>
      </c>
      <c r="T941" s="21">
        <f t="shared" si="222"/>
        <v>0</v>
      </c>
      <c r="U941" s="21">
        <f t="shared" si="223"/>
        <v>31419</v>
      </c>
    </row>
    <row r="942" spans="2:21" ht="16.5" customHeight="1">
      <c r="B942" s="13">
        <f t="shared" si="216"/>
        <v>133</v>
      </c>
      <c r="C942" s="82" t="s">
        <v>475</v>
      </c>
      <c r="D942" s="85" t="s">
        <v>74</v>
      </c>
      <c r="E942" s="632">
        <v>8</v>
      </c>
      <c r="F942" s="86">
        <v>44873</v>
      </c>
      <c r="G942" s="89">
        <v>44896</v>
      </c>
      <c r="H942" s="82" t="s">
        <v>243</v>
      </c>
      <c r="I942" s="23">
        <v>44896</v>
      </c>
      <c r="J942" s="16">
        <v>672600</v>
      </c>
      <c r="K942" s="16"/>
      <c r="L942" s="16"/>
      <c r="M942" s="16">
        <v>102600</v>
      </c>
      <c r="N942" s="16">
        <f t="shared" si="217"/>
        <v>570000</v>
      </c>
      <c r="O942" s="17">
        <f t="shared" si="218"/>
        <v>120</v>
      </c>
      <c r="P942" s="33">
        <v>2</v>
      </c>
      <c r="Q942" s="19">
        <f t="shared" si="219"/>
        <v>1.6712328767123288</v>
      </c>
      <c r="R942" s="32">
        <f t="shared" si="220"/>
        <v>89013.698630136991</v>
      </c>
      <c r="S942" s="22">
        <f t="shared" si="221"/>
        <v>480986.30136986298</v>
      </c>
      <c r="T942" s="21">
        <f t="shared" si="222"/>
        <v>0</v>
      </c>
      <c r="U942" s="21">
        <f t="shared" si="223"/>
        <v>570000</v>
      </c>
    </row>
    <row r="943" spans="2:21" ht="16.5" customHeight="1">
      <c r="B943" s="13">
        <f t="shared" si="216"/>
        <v>134</v>
      </c>
      <c r="C943" s="82" t="s">
        <v>475</v>
      </c>
      <c r="D943" s="85" t="s">
        <v>74</v>
      </c>
      <c r="E943" s="632">
        <v>9</v>
      </c>
      <c r="F943" s="86">
        <v>44873</v>
      </c>
      <c r="G943" s="89">
        <v>44896</v>
      </c>
      <c r="H943" s="82" t="s">
        <v>243</v>
      </c>
      <c r="I943" s="23">
        <v>44896</v>
      </c>
      <c r="J943" s="16">
        <v>572300</v>
      </c>
      <c r="K943" s="16"/>
      <c r="L943" s="16"/>
      <c r="M943" s="16">
        <v>87300</v>
      </c>
      <c r="N943" s="16">
        <f t="shared" si="217"/>
        <v>485000</v>
      </c>
      <c r="O943" s="17">
        <f t="shared" si="218"/>
        <v>120</v>
      </c>
      <c r="P943" s="33">
        <v>2</v>
      </c>
      <c r="Q943" s="19">
        <f t="shared" si="219"/>
        <v>1.6712328767123288</v>
      </c>
      <c r="R943" s="32">
        <f t="shared" si="220"/>
        <v>75739.726027397264</v>
      </c>
      <c r="S943" s="22">
        <f t="shared" si="221"/>
        <v>409260.27397260274</v>
      </c>
      <c r="T943" s="21">
        <f t="shared" si="222"/>
        <v>0</v>
      </c>
      <c r="U943" s="21">
        <f t="shared" si="223"/>
        <v>485000</v>
      </c>
    </row>
    <row r="944" spans="2:21" ht="16.5" customHeight="1">
      <c r="B944" s="13">
        <f t="shared" si="216"/>
        <v>135</v>
      </c>
      <c r="C944" s="82" t="s">
        <v>475</v>
      </c>
      <c r="D944" s="85" t="s">
        <v>74</v>
      </c>
      <c r="E944" s="632">
        <v>10</v>
      </c>
      <c r="F944" s="86">
        <v>44873</v>
      </c>
      <c r="G944" s="89">
        <v>44896</v>
      </c>
      <c r="H944" s="82" t="s">
        <v>243</v>
      </c>
      <c r="I944" s="23">
        <v>44896</v>
      </c>
      <c r="J944" s="16">
        <v>944000</v>
      </c>
      <c r="K944" s="16"/>
      <c r="L944" s="16"/>
      <c r="M944" s="16">
        <v>144000</v>
      </c>
      <c r="N944" s="16">
        <f t="shared" si="217"/>
        <v>800000</v>
      </c>
      <c r="O944" s="17">
        <f t="shared" si="218"/>
        <v>120</v>
      </c>
      <c r="P944" s="33">
        <v>2</v>
      </c>
      <c r="Q944" s="19">
        <f t="shared" si="219"/>
        <v>1.6712328767123288</v>
      </c>
      <c r="R944" s="32">
        <f t="shared" si="220"/>
        <v>124931.50684931508</v>
      </c>
      <c r="S944" s="22">
        <f t="shared" si="221"/>
        <v>675068.49315068498</v>
      </c>
      <c r="T944" s="21">
        <f t="shared" si="222"/>
        <v>0</v>
      </c>
      <c r="U944" s="21">
        <f t="shared" si="223"/>
        <v>800000</v>
      </c>
    </row>
    <row r="945" spans="2:22" ht="16.5" customHeight="1">
      <c r="B945" s="13">
        <f t="shared" si="216"/>
        <v>136</v>
      </c>
      <c r="C945" s="82" t="s">
        <v>835</v>
      </c>
      <c r="D945" s="85" t="s">
        <v>74</v>
      </c>
      <c r="E945" s="632">
        <v>61</v>
      </c>
      <c r="F945" s="86">
        <v>44899</v>
      </c>
      <c r="G945" s="89">
        <v>44899</v>
      </c>
      <c r="H945" s="82" t="s">
        <v>861</v>
      </c>
      <c r="I945" s="23">
        <v>44899</v>
      </c>
      <c r="J945" s="16">
        <v>30720</v>
      </c>
      <c r="K945" s="16"/>
      <c r="L945" s="16"/>
      <c r="M945" s="16"/>
      <c r="N945" s="16">
        <f t="shared" si="217"/>
        <v>30720</v>
      </c>
      <c r="O945" s="17">
        <f t="shared" si="218"/>
        <v>117</v>
      </c>
      <c r="P945" s="33">
        <v>2</v>
      </c>
      <c r="Q945" s="19">
        <f t="shared" si="219"/>
        <v>1.6794520547945204</v>
      </c>
      <c r="R945" s="32">
        <f t="shared" si="220"/>
        <v>4677.4356164383562</v>
      </c>
      <c r="S945" s="22">
        <f t="shared" si="221"/>
        <v>26042.564383561643</v>
      </c>
      <c r="T945" s="21">
        <f t="shared" si="222"/>
        <v>0</v>
      </c>
      <c r="U945" s="21">
        <f t="shared" si="223"/>
        <v>30720</v>
      </c>
    </row>
    <row r="946" spans="2:22" ht="16.5" customHeight="1">
      <c r="B946" s="13">
        <f t="shared" si="216"/>
        <v>137</v>
      </c>
      <c r="C946" s="82" t="s">
        <v>475</v>
      </c>
      <c r="D946" s="85" t="s">
        <v>74</v>
      </c>
      <c r="E946" s="632" t="s">
        <v>853</v>
      </c>
      <c r="F946" s="86">
        <v>44882</v>
      </c>
      <c r="G946" s="89">
        <v>44920</v>
      </c>
      <c r="H946" s="82" t="s">
        <v>243</v>
      </c>
      <c r="I946" s="23">
        <v>44920</v>
      </c>
      <c r="J946" s="16">
        <v>94400</v>
      </c>
      <c r="K946" s="16"/>
      <c r="L946" s="16"/>
      <c r="M946" s="16">
        <v>14400</v>
      </c>
      <c r="N946" s="16">
        <f t="shared" si="217"/>
        <v>80000</v>
      </c>
      <c r="O946" s="17">
        <f t="shared" si="218"/>
        <v>96</v>
      </c>
      <c r="P946" s="33">
        <v>2</v>
      </c>
      <c r="Q946" s="19">
        <f t="shared" si="219"/>
        <v>1.736986301369863</v>
      </c>
      <c r="R946" s="32">
        <f t="shared" si="220"/>
        <v>9994.5205479452052</v>
      </c>
      <c r="S946" s="22">
        <f t="shared" si="221"/>
        <v>70005.479452054802</v>
      </c>
      <c r="T946" s="21">
        <f t="shared" si="222"/>
        <v>0</v>
      </c>
      <c r="U946" s="21">
        <f t="shared" si="223"/>
        <v>80000</v>
      </c>
    </row>
    <row r="947" spans="2:22" ht="16.5" customHeight="1">
      <c r="B947" s="13">
        <f t="shared" si="216"/>
        <v>138</v>
      </c>
      <c r="C947" s="82" t="s">
        <v>499</v>
      </c>
      <c r="D947" s="26" t="s">
        <v>28</v>
      </c>
      <c r="E947" s="632" t="s">
        <v>541</v>
      </c>
      <c r="F947" s="86">
        <v>44828</v>
      </c>
      <c r="G947" s="86">
        <v>44834</v>
      </c>
      <c r="H947" s="82" t="s">
        <v>261</v>
      </c>
      <c r="I947" s="23">
        <v>44834</v>
      </c>
      <c r="J947" s="16">
        <v>222450</v>
      </c>
      <c r="K947" s="16"/>
      <c r="L947" s="16"/>
      <c r="M947" s="16">
        <v>33933.06</v>
      </c>
      <c r="N947" s="16">
        <f t="shared" si="217"/>
        <v>188516.94</v>
      </c>
      <c r="O947" s="17">
        <f t="shared" si="218"/>
        <v>182</v>
      </c>
      <c r="P947" s="33">
        <v>2</v>
      </c>
      <c r="Q947" s="19">
        <f t="shared" si="219"/>
        <v>1.5013698630136987</v>
      </c>
      <c r="R947" s="32">
        <f t="shared" si="220"/>
        <v>44650.108117808217</v>
      </c>
      <c r="S947" s="22">
        <f t="shared" si="221"/>
        <v>143866.83188219179</v>
      </c>
      <c r="T947" s="21">
        <f t="shared" si="222"/>
        <v>188516.94</v>
      </c>
      <c r="U947" s="21">
        <f t="shared" si="223"/>
        <v>0</v>
      </c>
    </row>
    <row r="948" spans="2:22" ht="16.5" customHeight="1">
      <c r="B948" s="13">
        <f t="shared" si="216"/>
        <v>139</v>
      </c>
      <c r="C948" s="14" t="s">
        <v>227</v>
      </c>
      <c r="D948" s="26" t="s">
        <v>28</v>
      </c>
      <c r="E948" s="633">
        <v>2008024664</v>
      </c>
      <c r="F948" s="15">
        <v>44658</v>
      </c>
      <c r="G948" s="15">
        <v>44658</v>
      </c>
      <c r="H948" s="14" t="s">
        <v>257</v>
      </c>
      <c r="I948" s="23">
        <v>44658</v>
      </c>
      <c r="J948" s="16">
        <v>155794.22</v>
      </c>
      <c r="K948" s="16"/>
      <c r="L948" s="16"/>
      <c r="M948" s="16">
        <v>23765.219999999998</v>
      </c>
      <c r="N948" s="16">
        <f t="shared" si="217"/>
        <v>132029</v>
      </c>
      <c r="O948" s="17">
        <f t="shared" si="218"/>
        <v>358</v>
      </c>
      <c r="P948" s="33">
        <v>2</v>
      </c>
      <c r="Q948" s="19">
        <f t="shared" si="219"/>
        <v>1.0191780821917809</v>
      </c>
      <c r="R948" s="32">
        <f t="shared" si="220"/>
        <v>61511.045068493149</v>
      </c>
      <c r="S948" s="22">
        <f t="shared" si="221"/>
        <v>70517.954931506858</v>
      </c>
      <c r="T948" s="21">
        <f t="shared" si="222"/>
        <v>132029</v>
      </c>
      <c r="U948" s="21">
        <f t="shared" si="223"/>
        <v>0</v>
      </c>
    </row>
    <row r="949" spans="2:22" ht="14.65">
      <c r="B949" s="13">
        <f t="shared" si="216"/>
        <v>140</v>
      </c>
      <c r="C949" s="14" t="s">
        <v>231</v>
      </c>
      <c r="D949" s="26" t="s">
        <v>28</v>
      </c>
      <c r="E949" s="633" t="s">
        <v>269</v>
      </c>
      <c r="F949" s="15">
        <v>44672</v>
      </c>
      <c r="G949" s="15">
        <v>44672</v>
      </c>
      <c r="H949" s="14" t="s">
        <v>260</v>
      </c>
      <c r="I949" s="23">
        <v>44672</v>
      </c>
      <c r="J949" s="16">
        <v>155984.20000000001</v>
      </c>
      <c r="K949" s="16"/>
      <c r="L949" s="16"/>
      <c r="M949" s="16">
        <v>23794.2</v>
      </c>
      <c r="N949" s="16">
        <f t="shared" si="217"/>
        <v>132190</v>
      </c>
      <c r="O949" s="17">
        <f t="shared" si="218"/>
        <v>344</v>
      </c>
      <c r="P949" s="33">
        <v>2</v>
      </c>
      <c r="Q949" s="19">
        <f t="shared" si="219"/>
        <v>1.0575342465753423</v>
      </c>
      <c r="R949" s="32">
        <f t="shared" si="220"/>
        <v>59177.6602739726</v>
      </c>
      <c r="S949" s="22">
        <f t="shared" si="221"/>
        <v>73012.339726027392</v>
      </c>
      <c r="T949" s="21">
        <f t="shared" si="222"/>
        <v>132190</v>
      </c>
      <c r="U949" s="21">
        <f t="shared" si="223"/>
        <v>0</v>
      </c>
    </row>
    <row r="950" spans="2:22" ht="14.65">
      <c r="B950" s="13">
        <f t="shared" si="216"/>
        <v>141</v>
      </c>
      <c r="C950" s="14" t="s">
        <v>223</v>
      </c>
      <c r="D950" s="26" t="s">
        <v>28</v>
      </c>
      <c r="E950" s="633">
        <v>402</v>
      </c>
      <c r="F950" s="15">
        <v>44672</v>
      </c>
      <c r="G950" s="15">
        <v>44672</v>
      </c>
      <c r="H950" s="14" t="s">
        <v>270</v>
      </c>
      <c r="I950" s="23">
        <v>44672</v>
      </c>
      <c r="J950" s="16">
        <v>36000</v>
      </c>
      <c r="K950" s="16"/>
      <c r="L950" s="16"/>
      <c r="M950" s="16"/>
      <c r="N950" s="16">
        <f t="shared" si="217"/>
        <v>36000</v>
      </c>
      <c r="O950" s="17">
        <f t="shared" si="218"/>
        <v>344</v>
      </c>
      <c r="P950" s="33">
        <v>2</v>
      </c>
      <c r="Q950" s="19">
        <f t="shared" si="219"/>
        <v>1.0575342465753423</v>
      </c>
      <c r="R950" s="32">
        <f t="shared" si="220"/>
        <v>16116.164383561643</v>
      </c>
      <c r="S950" s="22">
        <f t="shared" si="221"/>
        <v>19883.835616438359</v>
      </c>
      <c r="T950" s="21">
        <f t="shared" si="222"/>
        <v>36000</v>
      </c>
      <c r="U950" s="21">
        <f t="shared" si="223"/>
        <v>0</v>
      </c>
      <c r="V950" s="624"/>
    </row>
    <row r="951" spans="2:22" ht="14.65">
      <c r="B951" s="13">
        <f t="shared" si="216"/>
        <v>142</v>
      </c>
      <c r="C951" s="82" t="s">
        <v>475</v>
      </c>
      <c r="D951" s="82" t="s">
        <v>21</v>
      </c>
      <c r="E951" s="632" t="s">
        <v>476</v>
      </c>
      <c r="F951" s="83">
        <v>44766</v>
      </c>
      <c r="G951" s="84">
        <v>44775</v>
      </c>
      <c r="H951" s="82" t="s">
        <v>477</v>
      </c>
      <c r="I951" s="23">
        <v>44775</v>
      </c>
      <c r="J951" s="16">
        <v>690300</v>
      </c>
      <c r="K951" s="16"/>
      <c r="L951" s="16"/>
      <c r="M951" s="16">
        <v>105300</v>
      </c>
      <c r="N951" s="16">
        <f t="shared" si="217"/>
        <v>585000</v>
      </c>
      <c r="O951" s="17">
        <f t="shared" si="218"/>
        <v>241</v>
      </c>
      <c r="P951" s="33">
        <v>2</v>
      </c>
      <c r="Q951" s="19">
        <f t="shared" si="219"/>
        <v>1.3397260273972602</v>
      </c>
      <c r="R951" s="32">
        <f t="shared" si="220"/>
        <v>183473.63013698629</v>
      </c>
      <c r="S951" s="22">
        <f t="shared" si="221"/>
        <v>401526.36986301374</v>
      </c>
      <c r="T951" s="21">
        <f t="shared" si="222"/>
        <v>585000</v>
      </c>
      <c r="U951" s="21">
        <f t="shared" si="223"/>
        <v>0</v>
      </c>
      <c r="V951" s="624"/>
    </row>
    <row r="952" spans="2:22" ht="14.65">
      <c r="B952" s="13">
        <f t="shared" si="216"/>
        <v>143</v>
      </c>
      <c r="C952" s="82" t="s">
        <v>475</v>
      </c>
      <c r="D952" s="82" t="s">
        <v>21</v>
      </c>
      <c r="E952" s="632" t="s">
        <v>478</v>
      </c>
      <c r="F952" s="83">
        <v>44775</v>
      </c>
      <c r="G952" s="84">
        <v>44775</v>
      </c>
      <c r="H952" s="82" t="s">
        <v>477</v>
      </c>
      <c r="I952" s="23">
        <v>44775</v>
      </c>
      <c r="J952" s="16">
        <v>713900</v>
      </c>
      <c r="K952" s="16"/>
      <c r="L952" s="16"/>
      <c r="M952" s="16">
        <v>108900</v>
      </c>
      <c r="N952" s="16">
        <f t="shared" si="217"/>
        <v>605000</v>
      </c>
      <c r="O952" s="17">
        <f t="shared" si="218"/>
        <v>241</v>
      </c>
      <c r="P952" s="33">
        <v>2</v>
      </c>
      <c r="Q952" s="19">
        <f t="shared" si="219"/>
        <v>1.3397260273972602</v>
      </c>
      <c r="R952" s="32">
        <f t="shared" si="220"/>
        <v>189746.23287671234</v>
      </c>
      <c r="S952" s="22">
        <f t="shared" si="221"/>
        <v>415253.76712328766</v>
      </c>
      <c r="T952" s="21">
        <f t="shared" si="222"/>
        <v>605000</v>
      </c>
      <c r="U952" s="21">
        <f t="shared" si="223"/>
        <v>0</v>
      </c>
      <c r="V952" s="624"/>
    </row>
    <row r="953" spans="2:22" ht="14.65">
      <c r="B953" s="13">
        <f t="shared" si="216"/>
        <v>144</v>
      </c>
      <c r="C953" s="82" t="s">
        <v>475</v>
      </c>
      <c r="D953" s="82" t="s">
        <v>21</v>
      </c>
      <c r="E953" s="632" t="s">
        <v>479</v>
      </c>
      <c r="F953" s="83">
        <v>44775</v>
      </c>
      <c r="G953" s="84">
        <v>44775</v>
      </c>
      <c r="H953" s="82" t="s">
        <v>477</v>
      </c>
      <c r="I953" s="23">
        <v>44775</v>
      </c>
      <c r="J953" s="16">
        <v>108560</v>
      </c>
      <c r="K953" s="16"/>
      <c r="L953" s="16"/>
      <c r="M953" s="16">
        <v>16560</v>
      </c>
      <c r="N953" s="16">
        <f t="shared" si="217"/>
        <v>92000</v>
      </c>
      <c r="O953" s="17">
        <f t="shared" si="218"/>
        <v>241</v>
      </c>
      <c r="P953" s="33">
        <v>2</v>
      </c>
      <c r="Q953" s="19">
        <f t="shared" si="219"/>
        <v>1.3397260273972602</v>
      </c>
      <c r="R953" s="32">
        <f t="shared" si="220"/>
        <v>28853.972602739726</v>
      </c>
      <c r="S953" s="22">
        <f t="shared" si="221"/>
        <v>63146.027397260274</v>
      </c>
      <c r="T953" s="21">
        <f t="shared" si="222"/>
        <v>92000</v>
      </c>
      <c r="U953" s="21">
        <f t="shared" si="223"/>
        <v>0</v>
      </c>
      <c r="V953" s="624"/>
    </row>
    <row r="954" spans="2:22" ht="14.65">
      <c r="B954" s="13">
        <f t="shared" si="216"/>
        <v>145</v>
      </c>
      <c r="C954" s="82" t="s">
        <v>480</v>
      </c>
      <c r="D954" s="82" t="s">
        <v>21</v>
      </c>
      <c r="E954" s="632" t="s">
        <v>481</v>
      </c>
      <c r="F954" s="83">
        <v>44795</v>
      </c>
      <c r="G954" s="84">
        <v>44795</v>
      </c>
      <c r="H954" s="82" t="s">
        <v>482</v>
      </c>
      <c r="I954" s="23">
        <v>44795</v>
      </c>
      <c r="J954" s="16">
        <v>50360</v>
      </c>
      <c r="K954" s="16"/>
      <c r="L954" s="16"/>
      <c r="M954" s="16">
        <v>7682.14</v>
      </c>
      <c r="N954" s="16">
        <f t="shared" si="217"/>
        <v>42677.86</v>
      </c>
      <c r="O954" s="17">
        <f t="shared" si="218"/>
        <v>221</v>
      </c>
      <c r="P954" s="33">
        <v>2</v>
      </c>
      <c r="Q954" s="19">
        <f t="shared" si="219"/>
        <v>1.3945205479452056</v>
      </c>
      <c r="R954" s="32">
        <f t="shared" si="220"/>
        <v>12274.269461643833</v>
      </c>
      <c r="S954" s="22">
        <f t="shared" si="221"/>
        <v>30403.590538356169</v>
      </c>
      <c r="T954" s="21">
        <f t="shared" si="222"/>
        <v>42677.86</v>
      </c>
      <c r="U954" s="21">
        <f t="shared" si="223"/>
        <v>0</v>
      </c>
      <c r="V954" s="624"/>
    </row>
    <row r="955" spans="2:22" ht="14.65">
      <c r="B955" s="13">
        <f t="shared" si="216"/>
        <v>146</v>
      </c>
      <c r="C955" s="82" t="s">
        <v>535</v>
      </c>
      <c r="D955" s="85" t="s">
        <v>21</v>
      </c>
      <c r="E955" s="632" t="s">
        <v>797</v>
      </c>
      <c r="F955" s="86">
        <v>44814</v>
      </c>
      <c r="G955" s="89">
        <v>44836</v>
      </c>
      <c r="H955" s="82" t="s">
        <v>800</v>
      </c>
      <c r="I955" s="23">
        <v>44836</v>
      </c>
      <c r="J955" s="16">
        <v>51975</v>
      </c>
      <c r="K955" s="16"/>
      <c r="L955" s="16"/>
      <c r="M955" s="16"/>
      <c r="N955" s="16">
        <f t="shared" ref="N955" si="224">J955+K955-L955-M955</f>
        <v>51975</v>
      </c>
      <c r="O955" s="17">
        <f t="shared" si="218"/>
        <v>180</v>
      </c>
      <c r="P955" s="33">
        <v>2</v>
      </c>
      <c r="Q955" s="19">
        <f t="shared" ref="Q955" si="225">P955-(O955/365)</f>
        <v>1.5068493150684932</v>
      </c>
      <c r="R955" s="32">
        <f t="shared" si="220"/>
        <v>12174.965753424658</v>
      </c>
      <c r="S955" s="22">
        <f t="shared" ref="S955" si="226">N955-R955</f>
        <v>39800.034246575342</v>
      </c>
      <c r="T955" s="21">
        <f t="shared" si="222"/>
        <v>0</v>
      </c>
      <c r="U955" s="21">
        <f t="shared" si="223"/>
        <v>51975</v>
      </c>
      <c r="V955" s="624"/>
    </row>
    <row r="956" spans="2:22" ht="14.65">
      <c r="B956" s="13"/>
      <c r="C956" s="14"/>
      <c r="D956" s="26"/>
      <c r="E956" s="633"/>
      <c r="F956" s="15"/>
      <c r="G956" s="15"/>
      <c r="H956" s="14"/>
      <c r="I956" s="15"/>
      <c r="J956" s="37">
        <f>SUM(J810:J955)</f>
        <v>52615384.310800001</v>
      </c>
      <c r="K956" s="37">
        <f>SUM(K810:K955)</f>
        <v>0</v>
      </c>
      <c r="L956" s="37">
        <f>SUM(L810:L955)</f>
        <v>720</v>
      </c>
      <c r="M956" s="37">
        <f>SUM(M810:M955)</f>
        <v>7976153.1489355918</v>
      </c>
      <c r="N956" s="37">
        <f>SUM(N810:N955)</f>
        <v>44638511.161864407</v>
      </c>
      <c r="O956" s="17" t="s">
        <v>24</v>
      </c>
      <c r="P956" s="38"/>
      <c r="Q956" s="39"/>
      <c r="R956" s="37">
        <f>SUM(R810:R955)</f>
        <v>11188261.975226693</v>
      </c>
      <c r="S956" s="37">
        <f>SUM(S810:S955)</f>
        <v>33450249.186637729</v>
      </c>
      <c r="T956" s="37">
        <f>SUM(T810:T955)</f>
        <v>26392693.170000009</v>
      </c>
      <c r="U956" s="37">
        <f>SUM(U810:U955)</f>
        <v>18245817.991864406</v>
      </c>
    </row>
    <row r="957" spans="2:22" ht="20.65">
      <c r="B957" s="1226" t="s">
        <v>3642</v>
      </c>
      <c r="C957" s="1227"/>
      <c r="D957" s="26"/>
      <c r="E957" s="633"/>
      <c r="F957" s="15"/>
      <c r="G957" s="15"/>
      <c r="H957" s="14"/>
      <c r="I957" s="15"/>
      <c r="J957" s="37"/>
      <c r="K957" s="37"/>
      <c r="L957" s="37"/>
      <c r="M957" s="37"/>
      <c r="N957" s="37"/>
      <c r="O957" s="17"/>
      <c r="P957" s="38"/>
      <c r="Q957" s="39"/>
      <c r="R957" s="37"/>
      <c r="S957" s="37"/>
      <c r="T957" s="37"/>
      <c r="U957" s="37"/>
    </row>
    <row r="958" spans="2:22" ht="24" customHeight="1">
      <c r="B958" s="13">
        <v>1</v>
      </c>
      <c r="C958" s="14" t="s">
        <v>236</v>
      </c>
      <c r="D958" s="26" t="s">
        <v>3614</v>
      </c>
      <c r="E958" s="633" t="s">
        <v>271</v>
      </c>
      <c r="F958" s="23">
        <v>44702</v>
      </c>
      <c r="G958" s="23">
        <v>44702</v>
      </c>
      <c r="H958" s="14" t="s">
        <v>280</v>
      </c>
      <c r="I958" s="23">
        <v>44702</v>
      </c>
      <c r="J958" s="16">
        <v>9100.16</v>
      </c>
      <c r="K958" s="16"/>
      <c r="L958" s="16"/>
      <c r="M958" s="16">
        <v>1388.1599999999999</v>
      </c>
      <c r="N958" s="16">
        <f t="shared" ref="N958:N983" si="227">J958+K958-L958-M958</f>
        <v>7712</v>
      </c>
      <c r="O958" s="17">
        <f t="shared" ref="O958:O983" si="228">$O$1-I958</f>
        <v>314</v>
      </c>
      <c r="P958" s="33">
        <v>5</v>
      </c>
      <c r="Q958" s="19">
        <f t="shared" ref="Q958:Q983" si="229">P958-(O958/365)</f>
        <v>4.13972602739726</v>
      </c>
      <c r="R958" s="32">
        <f t="shared" ref="R958:R983" si="230">N958*95%/P958*O958/365</f>
        <v>1260.5422465753425</v>
      </c>
      <c r="S958" s="22">
        <f t="shared" ref="S958:S983" si="231">N958-R958</f>
        <v>6451.4577534246573</v>
      </c>
      <c r="T958" s="21">
        <f t="shared" ref="T958:T983" si="232">IF(I958&lt;=DATE(2022,9,30),N958,0)</f>
        <v>7712</v>
      </c>
      <c r="U958" s="21">
        <f t="shared" ref="U958:U983" si="233">IF(I958&gt;DATE(2022,9,30),N958,0)</f>
        <v>0</v>
      </c>
    </row>
    <row r="959" spans="2:22" ht="14.65">
      <c r="B959" s="13">
        <f>B958+1</f>
        <v>2</v>
      </c>
      <c r="C959" s="14" t="s">
        <v>235</v>
      </c>
      <c r="D959" s="26" t="s">
        <v>3614</v>
      </c>
      <c r="E959" s="633" t="s">
        <v>472</v>
      </c>
      <c r="F959" s="23">
        <v>44833</v>
      </c>
      <c r="G959" s="23">
        <v>44833</v>
      </c>
      <c r="H959" s="14" t="s">
        <v>473</v>
      </c>
      <c r="I959" s="23">
        <v>44833</v>
      </c>
      <c r="J959" s="628">
        <v>39000</v>
      </c>
      <c r="K959" s="16"/>
      <c r="L959" s="16"/>
      <c r="M959" s="16">
        <v>8531.26</v>
      </c>
      <c r="N959" s="16">
        <f t="shared" si="227"/>
        <v>30468.739999999998</v>
      </c>
      <c r="O959" s="17">
        <f t="shared" si="228"/>
        <v>183</v>
      </c>
      <c r="P959" s="33">
        <v>5</v>
      </c>
      <c r="Q959" s="19">
        <f t="shared" si="229"/>
        <v>4.4986301369863018</v>
      </c>
      <c r="R959" s="32">
        <f t="shared" si="230"/>
        <v>2902.4605199999992</v>
      </c>
      <c r="S959" s="22">
        <f t="shared" si="231"/>
        <v>27566.279479999997</v>
      </c>
      <c r="T959" s="21">
        <f t="shared" si="232"/>
        <v>30468.739999999998</v>
      </c>
      <c r="U959" s="21">
        <f t="shared" si="233"/>
        <v>0</v>
      </c>
    </row>
    <row r="960" spans="2:22" ht="14.65">
      <c r="B960" s="13">
        <f t="shared" ref="B960:B982" si="234">B959+1</f>
        <v>3</v>
      </c>
      <c r="C960" s="14" t="s">
        <v>235</v>
      </c>
      <c r="D960" s="14" t="s">
        <v>26</v>
      </c>
      <c r="E960" s="633">
        <v>335</v>
      </c>
      <c r="F960" s="15">
        <v>44664</v>
      </c>
      <c r="G960" s="15">
        <v>44664</v>
      </c>
      <c r="H960" s="14" t="s">
        <v>279</v>
      </c>
      <c r="I960" s="15">
        <v>44664</v>
      </c>
      <c r="J960" s="628">
        <v>41542.400000000001</v>
      </c>
      <c r="K960" s="16"/>
      <c r="L960" s="16"/>
      <c r="M960" s="16">
        <v>9087.4000000000015</v>
      </c>
      <c r="N960" s="16">
        <f t="shared" si="227"/>
        <v>32455</v>
      </c>
      <c r="O960" s="17">
        <f t="shared" si="228"/>
        <v>352</v>
      </c>
      <c r="P960" s="33">
        <v>5</v>
      </c>
      <c r="Q960" s="19">
        <f t="shared" si="229"/>
        <v>4.0356164383561648</v>
      </c>
      <c r="R960" s="32">
        <f t="shared" si="230"/>
        <v>5946.8230136986294</v>
      </c>
      <c r="S960" s="22">
        <f t="shared" si="231"/>
        <v>26508.176986301369</v>
      </c>
      <c r="T960" s="21">
        <f t="shared" si="232"/>
        <v>32455</v>
      </c>
      <c r="U960" s="21">
        <f t="shared" si="233"/>
        <v>0</v>
      </c>
    </row>
    <row r="961" spans="2:21" ht="14.65">
      <c r="B961" s="13">
        <f t="shared" si="234"/>
        <v>4</v>
      </c>
      <c r="C961" s="14" t="s">
        <v>235</v>
      </c>
      <c r="D961" s="14" t="s">
        <v>26</v>
      </c>
      <c r="E961" s="633" t="s">
        <v>467</v>
      </c>
      <c r="F961" s="23">
        <v>44831</v>
      </c>
      <c r="G961" s="23">
        <v>44834</v>
      </c>
      <c r="H961" s="14" t="s">
        <v>468</v>
      </c>
      <c r="I961" s="23">
        <v>44834</v>
      </c>
      <c r="J961" s="628">
        <v>192620</v>
      </c>
      <c r="K961" s="16"/>
      <c r="L961" s="16"/>
      <c r="M961" s="16">
        <v>41432.58</v>
      </c>
      <c r="N961" s="16">
        <f t="shared" si="227"/>
        <v>151187.41999999998</v>
      </c>
      <c r="O961" s="17">
        <f t="shared" si="228"/>
        <v>182</v>
      </c>
      <c r="P961" s="33">
        <v>5</v>
      </c>
      <c r="Q961" s="19">
        <f t="shared" si="229"/>
        <v>4.5013698630136982</v>
      </c>
      <c r="R961" s="32">
        <f t="shared" si="230"/>
        <v>14323.454749589038</v>
      </c>
      <c r="S961" s="22">
        <f t="shared" si="231"/>
        <v>136863.96525041095</v>
      </c>
      <c r="T961" s="21">
        <f t="shared" si="232"/>
        <v>151187.41999999998</v>
      </c>
      <c r="U961" s="21">
        <f t="shared" si="233"/>
        <v>0</v>
      </c>
    </row>
    <row r="962" spans="2:21" ht="14.65">
      <c r="B962" s="13">
        <f t="shared" si="234"/>
        <v>5</v>
      </c>
      <c r="C962" s="14" t="s">
        <v>469</v>
      </c>
      <c r="D962" s="14" t="s">
        <v>26</v>
      </c>
      <c r="E962" s="633" t="s">
        <v>470</v>
      </c>
      <c r="F962" s="23">
        <v>44788</v>
      </c>
      <c r="G962" s="23">
        <v>44788</v>
      </c>
      <c r="H962" s="14" t="s">
        <v>471</v>
      </c>
      <c r="I962" s="23">
        <v>44788</v>
      </c>
      <c r="J962" s="628">
        <v>149545</v>
      </c>
      <c r="K962" s="16"/>
      <c r="L962" s="16"/>
      <c r="M962" s="16">
        <v>22811.96</v>
      </c>
      <c r="N962" s="16">
        <f t="shared" si="227"/>
        <v>126733.04000000001</v>
      </c>
      <c r="O962" s="17">
        <f t="shared" si="228"/>
        <v>228</v>
      </c>
      <c r="P962" s="33">
        <v>5</v>
      </c>
      <c r="Q962" s="19">
        <f t="shared" si="229"/>
        <v>4.375342465753425</v>
      </c>
      <c r="R962" s="32">
        <f t="shared" si="230"/>
        <v>15041.302172054795</v>
      </c>
      <c r="S962" s="22">
        <f t="shared" si="231"/>
        <v>111691.73782794521</v>
      </c>
      <c r="T962" s="21">
        <f t="shared" si="232"/>
        <v>126733.04000000001</v>
      </c>
      <c r="U962" s="21">
        <f t="shared" si="233"/>
        <v>0</v>
      </c>
    </row>
    <row r="963" spans="2:21" ht="14.65">
      <c r="B963" s="13">
        <f t="shared" si="234"/>
        <v>6</v>
      </c>
      <c r="C963" s="14" t="s">
        <v>235</v>
      </c>
      <c r="D963" s="14" t="s">
        <v>26</v>
      </c>
      <c r="E963" s="633" t="s">
        <v>818</v>
      </c>
      <c r="F963" s="23">
        <v>44873</v>
      </c>
      <c r="G963" s="23">
        <v>44873</v>
      </c>
      <c r="H963" s="14" t="s">
        <v>468</v>
      </c>
      <c r="I963" s="23">
        <v>44873</v>
      </c>
      <c r="J963" s="628">
        <v>94540</v>
      </c>
      <c r="K963" s="16"/>
      <c r="L963" s="16"/>
      <c r="M963" s="16">
        <v>20446</v>
      </c>
      <c r="N963" s="16">
        <f t="shared" si="227"/>
        <v>74094</v>
      </c>
      <c r="O963" s="17">
        <f t="shared" si="228"/>
        <v>143</v>
      </c>
      <c r="P963" s="33">
        <v>5</v>
      </c>
      <c r="Q963" s="19">
        <f t="shared" si="229"/>
        <v>4.6082191780821917</v>
      </c>
      <c r="R963" s="32">
        <f t="shared" si="230"/>
        <v>5515.4355616438352</v>
      </c>
      <c r="S963" s="22">
        <f t="shared" si="231"/>
        <v>68578.564438356159</v>
      </c>
      <c r="T963" s="21">
        <f t="shared" si="232"/>
        <v>0</v>
      </c>
      <c r="U963" s="21">
        <f t="shared" si="233"/>
        <v>74094</v>
      </c>
    </row>
    <row r="964" spans="2:21" ht="14.65">
      <c r="B964" s="13">
        <f t="shared" si="234"/>
        <v>7</v>
      </c>
      <c r="C964" s="530" t="s">
        <v>474</v>
      </c>
      <c r="D964" s="530" t="s">
        <v>2474</v>
      </c>
      <c r="E964" s="629" t="s">
        <v>3444</v>
      </c>
      <c r="F964" s="623">
        <v>44952</v>
      </c>
      <c r="G964" s="623">
        <v>44956</v>
      </c>
      <c r="H964" s="530" t="s">
        <v>471</v>
      </c>
      <c r="I964" s="623">
        <v>44956</v>
      </c>
      <c r="J964" s="627">
        <v>27979</v>
      </c>
      <c r="K964" s="619"/>
      <c r="L964" s="619"/>
      <c r="M964" s="619">
        <v>4267.9799999999996</v>
      </c>
      <c r="N964" s="619">
        <f t="shared" si="227"/>
        <v>23711.02</v>
      </c>
      <c r="O964" s="17">
        <f t="shared" si="228"/>
        <v>60</v>
      </c>
      <c r="P964" s="618">
        <v>5</v>
      </c>
      <c r="Q964" s="617">
        <f t="shared" si="229"/>
        <v>4.8356164383561646</v>
      </c>
      <c r="R964" s="625">
        <f t="shared" si="230"/>
        <v>740.56336438356175</v>
      </c>
      <c r="S964" s="625">
        <f t="shared" si="231"/>
        <v>22970.45663561644</v>
      </c>
      <c r="T964" s="616">
        <f t="shared" si="232"/>
        <v>0</v>
      </c>
      <c r="U964" s="616">
        <f t="shared" si="233"/>
        <v>23711.02</v>
      </c>
    </row>
    <row r="965" spans="2:21" ht="14.65">
      <c r="B965" s="13">
        <f t="shared" si="234"/>
        <v>8</v>
      </c>
      <c r="C965" s="14" t="s">
        <v>235</v>
      </c>
      <c r="D965" s="90" t="s">
        <v>3459</v>
      </c>
      <c r="E965" s="633" t="s">
        <v>272</v>
      </c>
      <c r="F965" s="23">
        <v>44659</v>
      </c>
      <c r="G965" s="23">
        <v>44659</v>
      </c>
      <c r="H965" s="14" t="s">
        <v>281</v>
      </c>
      <c r="I965" s="23">
        <v>44659</v>
      </c>
      <c r="J965" s="628">
        <v>69999.959999999992</v>
      </c>
      <c r="K965" s="16"/>
      <c r="L965" s="16"/>
      <c r="M965" s="16">
        <v>10677.96</v>
      </c>
      <c r="N965" s="28">
        <f t="shared" si="227"/>
        <v>59321.999999999993</v>
      </c>
      <c r="O965" s="17">
        <f t="shared" si="228"/>
        <v>357</v>
      </c>
      <c r="P965" s="33">
        <v>5</v>
      </c>
      <c r="Q965" s="19">
        <f t="shared" si="229"/>
        <v>4.021917808219178</v>
      </c>
      <c r="R965" s="32">
        <f t="shared" si="230"/>
        <v>11024.140438356162</v>
      </c>
      <c r="S965" s="22">
        <f t="shared" si="231"/>
        <v>48297.859561643832</v>
      </c>
      <c r="T965" s="21">
        <f t="shared" si="232"/>
        <v>59321.999999999993</v>
      </c>
      <c r="U965" s="21">
        <f t="shared" si="233"/>
        <v>0</v>
      </c>
    </row>
    <row r="966" spans="2:21" ht="14.65">
      <c r="B966" s="13">
        <f t="shared" si="234"/>
        <v>9</v>
      </c>
      <c r="C966" s="14" t="s">
        <v>235</v>
      </c>
      <c r="D966" s="90" t="s">
        <v>3459</v>
      </c>
      <c r="E966" s="633" t="s">
        <v>273</v>
      </c>
      <c r="F966" s="23">
        <v>44673</v>
      </c>
      <c r="G966" s="23">
        <v>44673</v>
      </c>
      <c r="H966" s="14" t="s">
        <v>281</v>
      </c>
      <c r="I966" s="23">
        <v>44673</v>
      </c>
      <c r="J966" s="628">
        <v>148000</v>
      </c>
      <c r="K966" s="16"/>
      <c r="L966" s="16"/>
      <c r="M966" s="16">
        <v>32375.000000000004</v>
      </c>
      <c r="N966" s="28">
        <f t="shared" si="227"/>
        <v>115625</v>
      </c>
      <c r="O966" s="17">
        <f t="shared" si="228"/>
        <v>343</v>
      </c>
      <c r="P966" s="33">
        <v>5</v>
      </c>
      <c r="Q966" s="19">
        <f t="shared" si="229"/>
        <v>4.0602739726027401</v>
      </c>
      <c r="R966" s="32">
        <f t="shared" si="230"/>
        <v>20644.60616438356</v>
      </c>
      <c r="S966" s="22">
        <f t="shared" si="231"/>
        <v>94980.393835616444</v>
      </c>
      <c r="T966" s="21">
        <f t="shared" si="232"/>
        <v>115625</v>
      </c>
      <c r="U966" s="21">
        <f t="shared" si="233"/>
        <v>0</v>
      </c>
    </row>
    <row r="967" spans="2:21" ht="14.65">
      <c r="B967" s="13">
        <f t="shared" si="234"/>
        <v>10</v>
      </c>
      <c r="C967" s="14" t="s">
        <v>235</v>
      </c>
      <c r="D967" s="90" t="s">
        <v>3459</v>
      </c>
      <c r="E967" s="633" t="s">
        <v>274</v>
      </c>
      <c r="F967" s="23">
        <v>44683</v>
      </c>
      <c r="G967" s="23">
        <v>44683</v>
      </c>
      <c r="H967" s="14" t="s">
        <v>281</v>
      </c>
      <c r="I967" s="23">
        <v>44683</v>
      </c>
      <c r="J967" s="628">
        <v>74000.36</v>
      </c>
      <c r="K967" s="16"/>
      <c r="L967" s="16"/>
      <c r="M967" s="16">
        <v>16188.360000000002</v>
      </c>
      <c r="N967" s="28">
        <f t="shared" si="227"/>
        <v>57812</v>
      </c>
      <c r="O967" s="17">
        <f t="shared" si="228"/>
        <v>333</v>
      </c>
      <c r="P967" s="33">
        <v>5</v>
      </c>
      <c r="Q967" s="19">
        <f t="shared" si="229"/>
        <v>4.087671232876712</v>
      </c>
      <c r="R967" s="32">
        <f t="shared" si="230"/>
        <v>10021.274630136986</v>
      </c>
      <c r="S967" s="22">
        <f t="shared" si="231"/>
        <v>47790.725369863016</v>
      </c>
      <c r="T967" s="21">
        <f t="shared" si="232"/>
        <v>57812</v>
      </c>
      <c r="U967" s="21">
        <f t="shared" si="233"/>
        <v>0</v>
      </c>
    </row>
    <row r="968" spans="2:21" ht="14.65">
      <c r="B968" s="13">
        <f t="shared" si="234"/>
        <v>11</v>
      </c>
      <c r="C968" s="14" t="s">
        <v>3619</v>
      </c>
      <c r="D968" s="90" t="s">
        <v>3459</v>
      </c>
      <c r="E968" s="633">
        <v>3134</v>
      </c>
      <c r="F968" s="23">
        <v>44985</v>
      </c>
      <c r="G968" s="23">
        <v>44985</v>
      </c>
      <c r="H968" s="14" t="s">
        <v>3620</v>
      </c>
      <c r="I968" s="23">
        <v>44985</v>
      </c>
      <c r="J968" s="628">
        <v>36500</v>
      </c>
      <c r="K968" s="16"/>
      <c r="L968" s="16"/>
      <c r="M968" s="16">
        <v>7984</v>
      </c>
      <c r="N968" s="28">
        <f t="shared" si="227"/>
        <v>28516</v>
      </c>
      <c r="O968" s="17">
        <f t="shared" si="228"/>
        <v>31</v>
      </c>
      <c r="P968" s="33">
        <v>5</v>
      </c>
      <c r="Q968" s="19">
        <f t="shared" si="229"/>
        <v>4.9150684931506845</v>
      </c>
      <c r="R968" s="32">
        <f t="shared" si="230"/>
        <v>460.16230136986292</v>
      </c>
      <c r="S968" s="22">
        <f t="shared" si="231"/>
        <v>28055.837698630137</v>
      </c>
      <c r="T968" s="21">
        <f t="shared" si="232"/>
        <v>0</v>
      </c>
      <c r="U968" s="21">
        <f t="shared" si="233"/>
        <v>28516</v>
      </c>
    </row>
    <row r="969" spans="2:21" ht="14.65">
      <c r="B969" s="13">
        <f t="shared" si="234"/>
        <v>12</v>
      </c>
      <c r="C969" s="14" t="s">
        <v>3619</v>
      </c>
      <c r="D969" s="90" t="s">
        <v>3459</v>
      </c>
      <c r="E969" s="633">
        <v>3413</v>
      </c>
      <c r="F969" s="23">
        <v>44985</v>
      </c>
      <c r="G969" s="23">
        <v>44985</v>
      </c>
      <c r="H969" s="14" t="s">
        <v>3621</v>
      </c>
      <c r="I969" s="23">
        <v>44985</v>
      </c>
      <c r="J969" s="628">
        <v>154000</v>
      </c>
      <c r="K969" s="16"/>
      <c r="L969" s="16"/>
      <c r="M969" s="16">
        <v>33688</v>
      </c>
      <c r="N969" s="28">
        <f t="shared" si="227"/>
        <v>120312</v>
      </c>
      <c r="O969" s="17">
        <f t="shared" si="228"/>
        <v>31</v>
      </c>
      <c r="P969" s="33">
        <v>5</v>
      </c>
      <c r="Q969" s="19">
        <f t="shared" si="229"/>
        <v>4.9150684931506845</v>
      </c>
      <c r="R969" s="32">
        <f t="shared" si="230"/>
        <v>1941.4730958904108</v>
      </c>
      <c r="S969" s="22">
        <f t="shared" si="231"/>
        <v>118370.52690410959</v>
      </c>
      <c r="T969" s="21">
        <f t="shared" si="232"/>
        <v>0</v>
      </c>
      <c r="U969" s="21">
        <f t="shared" si="233"/>
        <v>120312</v>
      </c>
    </row>
    <row r="970" spans="2:21" ht="14.65">
      <c r="B970" s="13">
        <f t="shared" si="234"/>
        <v>13</v>
      </c>
      <c r="C970" s="14" t="s">
        <v>237</v>
      </c>
      <c r="D970" s="90" t="s">
        <v>3459</v>
      </c>
      <c r="E970" s="633" t="s">
        <v>275</v>
      </c>
      <c r="F970" s="23">
        <v>44702</v>
      </c>
      <c r="G970" s="23">
        <v>44702</v>
      </c>
      <c r="H970" s="14" t="s">
        <v>281</v>
      </c>
      <c r="I970" s="23">
        <v>44702</v>
      </c>
      <c r="J970" s="628">
        <v>14499.84</v>
      </c>
      <c r="K970" s="16"/>
      <c r="L970" s="16"/>
      <c r="M970" s="16">
        <v>2211.84</v>
      </c>
      <c r="N970" s="28">
        <f t="shared" si="227"/>
        <v>12288</v>
      </c>
      <c r="O970" s="17">
        <f t="shared" si="228"/>
        <v>314</v>
      </c>
      <c r="P970" s="33">
        <v>5</v>
      </c>
      <c r="Q970" s="19">
        <f t="shared" si="229"/>
        <v>4.13972602739726</v>
      </c>
      <c r="R970" s="32">
        <f t="shared" si="230"/>
        <v>2008.4988493150684</v>
      </c>
      <c r="S970" s="22">
        <f t="shared" si="231"/>
        <v>10279.501150684931</v>
      </c>
      <c r="T970" s="21">
        <f t="shared" si="232"/>
        <v>12288</v>
      </c>
      <c r="U970" s="21">
        <f t="shared" si="233"/>
        <v>0</v>
      </c>
    </row>
    <row r="971" spans="2:21" ht="14.65">
      <c r="B971" s="13">
        <f t="shared" si="234"/>
        <v>14</v>
      </c>
      <c r="C971" s="14" t="s">
        <v>238</v>
      </c>
      <c r="D971" s="90" t="s">
        <v>3459</v>
      </c>
      <c r="E971" s="631" t="s">
        <v>276</v>
      </c>
      <c r="F971" s="23">
        <v>44697</v>
      </c>
      <c r="G971" s="23">
        <v>44706</v>
      </c>
      <c r="H971" s="14" t="s">
        <v>281</v>
      </c>
      <c r="I971" s="23">
        <v>44706</v>
      </c>
      <c r="J971" s="628">
        <v>32500.48</v>
      </c>
      <c r="K971" s="16"/>
      <c r="L971" s="16"/>
      <c r="M971" s="16">
        <v>7109.4800000000005</v>
      </c>
      <c r="N971" s="28">
        <f t="shared" si="227"/>
        <v>25391</v>
      </c>
      <c r="O971" s="17">
        <f t="shared" si="228"/>
        <v>310</v>
      </c>
      <c r="P971" s="33">
        <v>5</v>
      </c>
      <c r="Q971" s="19">
        <f t="shared" si="229"/>
        <v>4.1506849315068495</v>
      </c>
      <c r="R971" s="32">
        <f t="shared" si="230"/>
        <v>4097.3421917808209</v>
      </c>
      <c r="S971" s="22">
        <f t="shared" si="231"/>
        <v>21293.657808219177</v>
      </c>
      <c r="T971" s="21">
        <f t="shared" si="232"/>
        <v>25391</v>
      </c>
      <c r="U971" s="21">
        <f t="shared" si="233"/>
        <v>0</v>
      </c>
    </row>
    <row r="972" spans="2:21" ht="14.65">
      <c r="B972" s="13">
        <f t="shared" si="234"/>
        <v>15</v>
      </c>
      <c r="C972" s="14" t="s">
        <v>239</v>
      </c>
      <c r="D972" s="665" t="s">
        <v>3461</v>
      </c>
      <c r="E972" s="633" t="s">
        <v>277</v>
      </c>
      <c r="F972" s="23">
        <v>44722</v>
      </c>
      <c r="G972" s="23">
        <v>44737</v>
      </c>
      <c r="H972" s="14" t="s">
        <v>217</v>
      </c>
      <c r="I972" s="23">
        <v>44737</v>
      </c>
      <c r="J972" s="628">
        <v>19490.060000000001</v>
      </c>
      <c r="K972" s="16"/>
      <c r="L972" s="16"/>
      <c r="M972" s="16">
        <v>2973.06</v>
      </c>
      <c r="N972" s="16">
        <f t="shared" si="227"/>
        <v>16517</v>
      </c>
      <c r="O972" s="17">
        <f t="shared" si="228"/>
        <v>279</v>
      </c>
      <c r="P972" s="33">
        <v>5</v>
      </c>
      <c r="Q972" s="19">
        <f t="shared" si="229"/>
        <v>4.2356164383561641</v>
      </c>
      <c r="R972" s="32">
        <f t="shared" si="230"/>
        <v>2398.8114246575342</v>
      </c>
      <c r="S972" s="22">
        <f t="shared" si="231"/>
        <v>14118.188575342465</v>
      </c>
      <c r="T972" s="21">
        <f t="shared" si="232"/>
        <v>16517</v>
      </c>
      <c r="U972" s="21">
        <f t="shared" si="233"/>
        <v>0</v>
      </c>
    </row>
    <row r="973" spans="2:21" ht="14.65">
      <c r="B973" s="13">
        <f t="shared" si="234"/>
        <v>16</v>
      </c>
      <c r="C973" s="14" t="s">
        <v>235</v>
      </c>
      <c r="D973" s="112" t="s">
        <v>29</v>
      </c>
      <c r="E973" s="631">
        <v>459</v>
      </c>
      <c r="F973" s="23">
        <v>44722</v>
      </c>
      <c r="G973" s="23">
        <v>44722</v>
      </c>
      <c r="H973" s="14" t="s">
        <v>205</v>
      </c>
      <c r="I973" s="23">
        <v>44722</v>
      </c>
      <c r="J973" s="628">
        <v>79000.320000000007</v>
      </c>
      <c r="K973" s="16"/>
      <c r="L973" s="16"/>
      <c r="M973" s="16">
        <v>17281.320000000003</v>
      </c>
      <c r="N973" s="16">
        <f t="shared" si="227"/>
        <v>61719</v>
      </c>
      <c r="O973" s="17">
        <f t="shared" si="228"/>
        <v>294</v>
      </c>
      <c r="P973" s="33">
        <v>5</v>
      </c>
      <c r="Q973" s="19">
        <f t="shared" si="229"/>
        <v>4.1945205479452055</v>
      </c>
      <c r="R973" s="32">
        <f t="shared" si="230"/>
        <v>9445.5433972602732</v>
      </c>
      <c r="S973" s="22">
        <f t="shared" si="231"/>
        <v>52273.456602739723</v>
      </c>
      <c r="T973" s="21">
        <f t="shared" si="232"/>
        <v>61719</v>
      </c>
      <c r="U973" s="21">
        <f t="shared" si="233"/>
        <v>0</v>
      </c>
    </row>
    <row r="974" spans="2:21" ht="14.65">
      <c r="B974" s="13">
        <f t="shared" si="234"/>
        <v>17</v>
      </c>
      <c r="C974" s="14" t="s">
        <v>474</v>
      </c>
      <c r="D974" s="14" t="s">
        <v>29</v>
      </c>
      <c r="E974" s="633">
        <v>576</v>
      </c>
      <c r="F974" s="23">
        <v>44749</v>
      </c>
      <c r="G974" s="23">
        <v>44757</v>
      </c>
      <c r="H974" s="14" t="s">
        <v>205</v>
      </c>
      <c r="I974" s="23">
        <v>44757</v>
      </c>
      <c r="J974" s="628">
        <v>16200</v>
      </c>
      <c r="K974" s="16"/>
      <c r="L974" s="16"/>
      <c r="M974" s="16">
        <v>2471</v>
      </c>
      <c r="N974" s="16">
        <f t="shared" si="227"/>
        <v>13729</v>
      </c>
      <c r="O974" s="17">
        <f t="shared" si="228"/>
        <v>259</v>
      </c>
      <c r="P974" s="33">
        <v>5</v>
      </c>
      <c r="Q974" s="19">
        <f t="shared" si="229"/>
        <v>4.2904109589041095</v>
      </c>
      <c r="R974" s="32">
        <f t="shared" si="230"/>
        <v>1850.9701095890409</v>
      </c>
      <c r="S974" s="22">
        <f t="shared" si="231"/>
        <v>11878.029890410959</v>
      </c>
      <c r="T974" s="21">
        <f t="shared" si="232"/>
        <v>13729</v>
      </c>
      <c r="U974" s="21">
        <f t="shared" si="233"/>
        <v>0</v>
      </c>
    </row>
    <row r="975" spans="2:21" ht="14.65">
      <c r="B975" s="13">
        <f t="shared" si="234"/>
        <v>18</v>
      </c>
      <c r="C975" s="14" t="s">
        <v>817</v>
      </c>
      <c r="D975" s="14" t="s">
        <v>29</v>
      </c>
      <c r="E975" s="633">
        <v>986</v>
      </c>
      <c r="F975" s="23">
        <v>44878</v>
      </c>
      <c r="G975" s="23">
        <v>44878</v>
      </c>
      <c r="H975" s="14" t="s">
        <v>205</v>
      </c>
      <c r="I975" s="23">
        <v>44878</v>
      </c>
      <c r="J975" s="628">
        <v>17000</v>
      </c>
      <c r="K975" s="16"/>
      <c r="L975" s="16"/>
      <c r="M975" s="16">
        <v>2594</v>
      </c>
      <c r="N975" s="16">
        <f t="shared" si="227"/>
        <v>14406</v>
      </c>
      <c r="O975" s="17">
        <f t="shared" si="228"/>
        <v>138</v>
      </c>
      <c r="P975" s="33">
        <v>5</v>
      </c>
      <c r="Q975" s="19">
        <f t="shared" si="229"/>
        <v>4.6219178082191785</v>
      </c>
      <c r="R975" s="32">
        <f t="shared" si="230"/>
        <v>1034.8638904109589</v>
      </c>
      <c r="S975" s="22">
        <f t="shared" si="231"/>
        <v>13371.136109589041</v>
      </c>
      <c r="T975" s="21">
        <f t="shared" si="232"/>
        <v>0</v>
      </c>
      <c r="U975" s="21">
        <f t="shared" si="233"/>
        <v>14406</v>
      </c>
    </row>
    <row r="976" spans="2:21" ht="14.65">
      <c r="B976" s="13">
        <f t="shared" si="234"/>
        <v>19</v>
      </c>
      <c r="C976" s="530" t="s">
        <v>3443</v>
      </c>
      <c r="D976" s="530" t="s">
        <v>29</v>
      </c>
      <c r="E976" s="629">
        <v>3670</v>
      </c>
      <c r="F976" s="620">
        <v>44934</v>
      </c>
      <c r="G976" s="620">
        <v>44936</v>
      </c>
      <c r="H976" s="530" t="s">
        <v>3442</v>
      </c>
      <c r="I976" s="620">
        <v>44936</v>
      </c>
      <c r="J976" s="627">
        <v>27140</v>
      </c>
      <c r="K976" s="619"/>
      <c r="L976" s="619"/>
      <c r="M976" s="619">
        <v>4140</v>
      </c>
      <c r="N976" s="619">
        <f t="shared" si="227"/>
        <v>23000</v>
      </c>
      <c r="O976" s="17">
        <f t="shared" si="228"/>
        <v>80</v>
      </c>
      <c r="P976" s="618">
        <v>5</v>
      </c>
      <c r="Q976" s="617">
        <f t="shared" si="229"/>
        <v>4.7808219178082192</v>
      </c>
      <c r="R976" s="625">
        <f t="shared" si="230"/>
        <v>957.80821917808214</v>
      </c>
      <c r="S976" s="625">
        <f t="shared" si="231"/>
        <v>22042.191780821919</v>
      </c>
      <c r="T976" s="616">
        <f t="shared" si="232"/>
        <v>0</v>
      </c>
      <c r="U976" s="616">
        <f t="shared" si="233"/>
        <v>23000</v>
      </c>
    </row>
    <row r="977" spans="2:21" ht="14.65">
      <c r="B977" s="13">
        <f t="shared" si="234"/>
        <v>20</v>
      </c>
      <c r="C977" s="530" t="s">
        <v>2640</v>
      </c>
      <c r="D977" s="530" t="s">
        <v>29</v>
      </c>
      <c r="E977" s="629" t="s">
        <v>3441</v>
      </c>
      <c r="F977" s="620">
        <v>44934</v>
      </c>
      <c r="G977" s="620">
        <v>44936</v>
      </c>
      <c r="H977" s="530" t="s">
        <v>3440</v>
      </c>
      <c r="I977" s="620">
        <v>44936</v>
      </c>
      <c r="J977" s="627">
        <v>47000</v>
      </c>
      <c r="K977" s="619"/>
      <c r="L977" s="619"/>
      <c r="M977" s="619">
        <v>10282</v>
      </c>
      <c r="N977" s="619">
        <f t="shared" si="227"/>
        <v>36718</v>
      </c>
      <c r="O977" s="17">
        <f t="shared" si="228"/>
        <v>80</v>
      </c>
      <c r="P977" s="618">
        <v>5</v>
      </c>
      <c r="Q977" s="617">
        <f t="shared" si="229"/>
        <v>4.7808219178082192</v>
      </c>
      <c r="R977" s="625">
        <f t="shared" si="230"/>
        <v>1529.0783561643834</v>
      </c>
      <c r="S977" s="625">
        <f t="shared" si="231"/>
        <v>35188.921643835616</v>
      </c>
      <c r="T977" s="616">
        <f t="shared" si="232"/>
        <v>0</v>
      </c>
      <c r="U977" s="616">
        <f t="shared" si="233"/>
        <v>36718</v>
      </c>
    </row>
    <row r="978" spans="2:21" ht="14.65">
      <c r="B978" s="13">
        <f t="shared" si="234"/>
        <v>21</v>
      </c>
      <c r="C978" s="530" t="s">
        <v>2640</v>
      </c>
      <c r="D978" s="530" t="s">
        <v>29</v>
      </c>
      <c r="E978" s="629" t="s">
        <v>3439</v>
      </c>
      <c r="F978" s="620">
        <v>44934</v>
      </c>
      <c r="G978" s="620">
        <v>44940</v>
      </c>
      <c r="H978" s="530" t="s">
        <v>3438</v>
      </c>
      <c r="I978" s="620">
        <v>44940</v>
      </c>
      <c r="J978" s="627">
        <v>52800</v>
      </c>
      <c r="K978" s="619"/>
      <c r="L978" s="619"/>
      <c r="M978" s="619">
        <v>11550</v>
      </c>
      <c r="N978" s="619">
        <f t="shared" si="227"/>
        <v>41250</v>
      </c>
      <c r="O978" s="17">
        <f t="shared" si="228"/>
        <v>76</v>
      </c>
      <c r="P978" s="618">
        <v>5</v>
      </c>
      <c r="Q978" s="617">
        <f t="shared" si="229"/>
        <v>4.7917808219178086</v>
      </c>
      <c r="R978" s="625">
        <f t="shared" si="230"/>
        <v>1631.9178082191781</v>
      </c>
      <c r="S978" s="625">
        <f t="shared" si="231"/>
        <v>39618.082191780821</v>
      </c>
      <c r="T978" s="616">
        <f t="shared" si="232"/>
        <v>0</v>
      </c>
      <c r="U978" s="616">
        <f t="shared" si="233"/>
        <v>41250</v>
      </c>
    </row>
    <row r="979" spans="2:21" ht="14.65">
      <c r="B979" s="13">
        <f t="shared" si="234"/>
        <v>22</v>
      </c>
      <c r="C979" s="14" t="s">
        <v>3632</v>
      </c>
      <c r="D979" s="112" t="s">
        <v>29</v>
      </c>
      <c r="E979" s="631">
        <v>1100</v>
      </c>
      <c r="F979" s="23">
        <v>45016</v>
      </c>
      <c r="G979" s="23">
        <v>45016</v>
      </c>
      <c r="H979" s="14" t="s">
        <v>3631</v>
      </c>
      <c r="I979" s="23">
        <v>45016</v>
      </c>
      <c r="J979" s="628">
        <v>236000</v>
      </c>
      <c r="K979" s="16"/>
      <c r="L979" s="16"/>
      <c r="M979" s="16">
        <v>51625</v>
      </c>
      <c r="N979" s="16">
        <f t="shared" si="227"/>
        <v>184375</v>
      </c>
      <c r="O979" s="17">
        <f t="shared" si="228"/>
        <v>0</v>
      </c>
      <c r="P979" s="33">
        <v>5</v>
      </c>
      <c r="Q979" s="19">
        <f t="shared" si="229"/>
        <v>5</v>
      </c>
      <c r="R979" s="32">
        <f t="shared" si="230"/>
        <v>0</v>
      </c>
      <c r="S979" s="22">
        <f t="shared" si="231"/>
        <v>184375</v>
      </c>
      <c r="T979" s="21">
        <f t="shared" si="232"/>
        <v>0</v>
      </c>
      <c r="U979" s="21">
        <f t="shared" si="233"/>
        <v>184375</v>
      </c>
    </row>
    <row r="980" spans="2:21" ht="14.65">
      <c r="B980" s="13">
        <f t="shared" si="234"/>
        <v>23</v>
      </c>
      <c r="C980" s="14" t="s">
        <v>474</v>
      </c>
      <c r="D980" s="14" t="s">
        <v>29</v>
      </c>
      <c r="E980" s="633">
        <v>1230</v>
      </c>
      <c r="F980" s="23">
        <v>44997</v>
      </c>
      <c r="G980" s="23">
        <v>44757</v>
      </c>
      <c r="H980" s="14" t="s">
        <v>205</v>
      </c>
      <c r="I980" s="23">
        <v>44997</v>
      </c>
      <c r="J980" s="628">
        <v>11500</v>
      </c>
      <c r="K980" s="16"/>
      <c r="L980" s="16"/>
      <c r="M980" s="16">
        <v>1755</v>
      </c>
      <c r="N980" s="16">
        <f t="shared" si="227"/>
        <v>9745</v>
      </c>
      <c r="O980" s="17">
        <f t="shared" si="228"/>
        <v>19</v>
      </c>
      <c r="P980" s="33">
        <v>5</v>
      </c>
      <c r="Q980" s="19">
        <f t="shared" si="229"/>
        <v>4.9479452054794519</v>
      </c>
      <c r="R980" s="32">
        <f t="shared" si="230"/>
        <v>96.382054794520542</v>
      </c>
      <c r="S980" s="22">
        <f t="shared" si="231"/>
        <v>9648.6179452054803</v>
      </c>
      <c r="T980" s="21">
        <f t="shared" si="232"/>
        <v>0</v>
      </c>
      <c r="U980" s="21">
        <f t="shared" si="233"/>
        <v>9745</v>
      </c>
    </row>
    <row r="981" spans="2:21" ht="14.65">
      <c r="B981" s="13">
        <f t="shared" si="234"/>
        <v>24</v>
      </c>
      <c r="C981" s="14" t="s">
        <v>238</v>
      </c>
      <c r="D981" s="14" t="s">
        <v>19</v>
      </c>
      <c r="E981" s="633" t="s">
        <v>278</v>
      </c>
      <c r="F981" s="23">
        <v>44664</v>
      </c>
      <c r="G981" s="23">
        <v>44664</v>
      </c>
      <c r="H981" s="14" t="s">
        <v>282</v>
      </c>
      <c r="I981" s="23">
        <v>44664</v>
      </c>
      <c r="J981" s="628">
        <v>47000.32</v>
      </c>
      <c r="K981" s="16"/>
      <c r="L981" s="16"/>
      <c r="M981" s="16">
        <v>10281.320000000002</v>
      </c>
      <c r="N981" s="16">
        <f t="shared" si="227"/>
        <v>36719</v>
      </c>
      <c r="O981" s="17">
        <f t="shared" si="228"/>
        <v>352</v>
      </c>
      <c r="P981" s="33">
        <v>5</v>
      </c>
      <c r="Q981" s="19">
        <f t="shared" si="229"/>
        <v>4.0356164383561648</v>
      </c>
      <c r="R981" s="32">
        <f t="shared" si="230"/>
        <v>6728.1279999999997</v>
      </c>
      <c r="S981" s="22">
        <f t="shared" si="231"/>
        <v>29990.871999999999</v>
      </c>
      <c r="T981" s="21">
        <f t="shared" si="232"/>
        <v>36719</v>
      </c>
      <c r="U981" s="21">
        <f t="shared" si="233"/>
        <v>0</v>
      </c>
    </row>
    <row r="982" spans="2:21" ht="14.65">
      <c r="B982" s="13">
        <f t="shared" si="234"/>
        <v>25</v>
      </c>
      <c r="C982" s="14" t="s">
        <v>235</v>
      </c>
      <c r="D982" s="74" t="s">
        <v>28</v>
      </c>
      <c r="E982" s="631">
        <v>204</v>
      </c>
      <c r="F982" s="23">
        <v>44683</v>
      </c>
      <c r="G982" s="23">
        <v>44683</v>
      </c>
      <c r="H982" s="14" t="s">
        <v>283</v>
      </c>
      <c r="I982" s="23">
        <v>44683</v>
      </c>
      <c r="J982" s="628">
        <v>37500.160000000003</v>
      </c>
      <c r="K982" s="16"/>
      <c r="L982" s="16"/>
      <c r="M982" s="16">
        <v>8203.1600000000017</v>
      </c>
      <c r="N982" s="16">
        <f t="shared" si="227"/>
        <v>29297</v>
      </c>
      <c r="O982" s="17">
        <f t="shared" si="228"/>
        <v>333</v>
      </c>
      <c r="P982" s="33">
        <v>5</v>
      </c>
      <c r="Q982" s="19">
        <f t="shared" si="229"/>
        <v>4.087671232876712</v>
      </c>
      <c r="R982" s="32">
        <f t="shared" si="230"/>
        <v>5078.4142191780811</v>
      </c>
      <c r="S982" s="22">
        <f t="shared" si="231"/>
        <v>24218.585780821919</v>
      </c>
      <c r="T982" s="21">
        <f t="shared" si="232"/>
        <v>29297</v>
      </c>
      <c r="U982" s="21">
        <f t="shared" si="233"/>
        <v>0</v>
      </c>
    </row>
    <row r="983" spans="2:21" ht="14.65">
      <c r="B983" s="13">
        <f>B982+1</f>
        <v>26</v>
      </c>
      <c r="C983" s="530" t="s">
        <v>235</v>
      </c>
      <c r="D983" s="621" t="s">
        <v>880</v>
      </c>
      <c r="E983" s="629">
        <v>504</v>
      </c>
      <c r="F983" s="620">
        <v>44936</v>
      </c>
      <c r="G983" s="620">
        <v>44952</v>
      </c>
      <c r="H983" s="530" t="s">
        <v>3437</v>
      </c>
      <c r="I983" s="620">
        <v>44952</v>
      </c>
      <c r="J983" s="619">
        <v>37000</v>
      </c>
      <c r="K983" s="619"/>
      <c r="L983" s="619"/>
      <c r="M983" s="619"/>
      <c r="N983" s="619">
        <f t="shared" si="227"/>
        <v>37000</v>
      </c>
      <c r="O983" s="17">
        <f t="shared" si="228"/>
        <v>64</v>
      </c>
      <c r="P983" s="618">
        <v>5</v>
      </c>
      <c r="Q983" s="617">
        <f t="shared" si="229"/>
        <v>4.8246575342465752</v>
      </c>
      <c r="R983" s="625">
        <f t="shared" si="230"/>
        <v>1232.6575342465753</v>
      </c>
      <c r="S983" s="625">
        <f t="shared" si="231"/>
        <v>35767.342465753427</v>
      </c>
      <c r="T983" s="616">
        <f t="shared" si="232"/>
        <v>0</v>
      </c>
      <c r="U983" s="616">
        <f t="shared" si="233"/>
        <v>37000</v>
      </c>
    </row>
    <row r="984" spans="2:21" ht="19.5" customHeight="1">
      <c r="B984" s="13"/>
      <c r="C984" s="29" t="s">
        <v>30</v>
      </c>
      <c r="D984" s="14"/>
      <c r="E984" s="631"/>
      <c r="F984" s="23"/>
      <c r="G984" s="25"/>
      <c r="H984" s="14"/>
      <c r="I984" s="25"/>
      <c r="J984" s="30">
        <f>SUM(J958:J983)</f>
        <v>1711458.06</v>
      </c>
      <c r="K984" s="30">
        <f>SUM(K958:K983)</f>
        <v>0</v>
      </c>
      <c r="L984" s="30">
        <f>SUM(L958:L983)</f>
        <v>0</v>
      </c>
      <c r="M984" s="30">
        <f>SUM(M958:M983)</f>
        <v>341355.83999999997</v>
      </c>
      <c r="N984" s="30">
        <f>SUM(N958:N983)</f>
        <v>1370102.22</v>
      </c>
      <c r="O984" s="17" t="s">
        <v>24</v>
      </c>
      <c r="P984" s="18"/>
      <c r="Q984" s="18"/>
      <c r="R984" s="30">
        <f>SUM(R958:R983)</f>
        <v>127912.65431287671</v>
      </c>
      <c r="S984" s="30">
        <f>SUM(S958:S983)</f>
        <v>1242189.5656871232</v>
      </c>
      <c r="T984" s="30">
        <f>SUM(T958:T983)</f>
        <v>776975.2</v>
      </c>
      <c r="U984" s="30">
        <f>SUM(U958:U983)</f>
        <v>593127.02</v>
      </c>
    </row>
    <row r="985" spans="2:21" ht="24.75" customHeight="1">
      <c r="B985" s="1226" t="s">
        <v>37</v>
      </c>
      <c r="C985" s="1227"/>
      <c r="D985" s="14"/>
      <c r="E985" s="631"/>
      <c r="F985" s="23"/>
      <c r="G985" s="25"/>
      <c r="H985" s="14"/>
      <c r="I985" s="25"/>
      <c r="J985" s="16"/>
      <c r="K985" s="16"/>
      <c r="L985" s="16"/>
      <c r="M985" s="16"/>
      <c r="N985" s="16"/>
      <c r="O985" s="17" t="s">
        <v>24</v>
      </c>
      <c r="P985" s="18"/>
      <c r="Q985" s="18"/>
      <c r="R985" s="32"/>
      <c r="S985" s="22"/>
      <c r="T985" s="32"/>
      <c r="U985" s="32"/>
    </row>
    <row r="986" spans="2:21" ht="14.65">
      <c r="B986" s="13">
        <v>1</v>
      </c>
      <c r="C986" s="14" t="s">
        <v>284</v>
      </c>
      <c r="D986" s="26" t="s">
        <v>26</v>
      </c>
      <c r="E986" s="633" t="s">
        <v>289</v>
      </c>
      <c r="F986" s="23">
        <v>44662</v>
      </c>
      <c r="G986" s="15">
        <v>44662</v>
      </c>
      <c r="H986" s="14" t="s">
        <v>290</v>
      </c>
      <c r="I986" s="15">
        <v>44662</v>
      </c>
      <c r="J986" s="16">
        <v>1410000</v>
      </c>
      <c r="K986" s="628"/>
      <c r="L986" s="16"/>
      <c r="M986" s="16"/>
      <c r="N986" s="16">
        <f t="shared" ref="N986:N1030" si="235">J986+K986-L986-M986</f>
        <v>1410000</v>
      </c>
      <c r="O986" s="17">
        <f t="shared" ref="O986:O999" si="236">$O$1-I986</f>
        <v>354</v>
      </c>
      <c r="P986" s="33">
        <v>8</v>
      </c>
      <c r="Q986" s="19">
        <f t="shared" ref="Q986:Q1030" si="237">P986-(O986/365)</f>
        <v>7.0301369863013701</v>
      </c>
      <c r="R986" s="32">
        <f t="shared" ref="R986:R1030" si="238">N986*95%/P986*O986/365</f>
        <v>162391.43835616438</v>
      </c>
      <c r="S986" s="22">
        <f t="shared" ref="S986:S1030" si="239">N986-R986</f>
        <v>1247608.5616438356</v>
      </c>
      <c r="T986" s="21">
        <f t="shared" ref="T986:T1030" si="240">IF(I986&lt;=DATE(2022,9,30),N986,0)</f>
        <v>1410000</v>
      </c>
      <c r="U986" s="21">
        <f t="shared" ref="U986:U1030" si="241">IF(I986&gt;DATE(2022,9,30),N986,0)</f>
        <v>0</v>
      </c>
    </row>
    <row r="987" spans="2:21" ht="14.65">
      <c r="B987" s="13">
        <f>B986+1</f>
        <v>2</v>
      </c>
      <c r="C987" s="530" t="s">
        <v>862</v>
      </c>
      <c r="D987" s="639" t="s">
        <v>2474</v>
      </c>
      <c r="E987" s="629" t="s">
        <v>3454</v>
      </c>
      <c r="F987" s="620">
        <v>44933</v>
      </c>
      <c r="G987" s="623">
        <v>44933</v>
      </c>
      <c r="H987" s="530" t="s">
        <v>3453</v>
      </c>
      <c r="I987" s="623">
        <v>44933</v>
      </c>
      <c r="J987" s="619">
        <v>57541</v>
      </c>
      <c r="K987" s="627">
        <v>20459</v>
      </c>
      <c r="L987" s="619"/>
      <c r="M987" s="619"/>
      <c r="N987" s="619">
        <f t="shared" si="235"/>
        <v>78000</v>
      </c>
      <c r="O987" s="17">
        <f t="shared" si="236"/>
        <v>83</v>
      </c>
      <c r="P987" s="33">
        <v>8</v>
      </c>
      <c r="Q987" s="617">
        <f t="shared" si="237"/>
        <v>7.7726027397260271</v>
      </c>
      <c r="R987" s="625">
        <f t="shared" si="238"/>
        <v>2106.2671232876714</v>
      </c>
      <c r="S987" s="625">
        <f t="shared" si="239"/>
        <v>75893.732876712325</v>
      </c>
      <c r="T987" s="616">
        <f t="shared" si="240"/>
        <v>0</v>
      </c>
      <c r="U987" s="616">
        <f t="shared" si="241"/>
        <v>78000</v>
      </c>
    </row>
    <row r="988" spans="2:21" ht="15.75" customHeight="1">
      <c r="B988" s="13">
        <f t="shared" ref="B988:B1040" si="242">B987+1</f>
        <v>3</v>
      </c>
      <c r="C988" s="14" t="s">
        <v>285</v>
      </c>
      <c r="D988" s="111" t="s">
        <v>3459</v>
      </c>
      <c r="E988" s="633" t="s">
        <v>291</v>
      </c>
      <c r="F988" s="23">
        <v>44726</v>
      </c>
      <c r="G988" s="15">
        <v>44726</v>
      </c>
      <c r="H988" s="14" t="s">
        <v>292</v>
      </c>
      <c r="I988" s="15">
        <v>44726</v>
      </c>
      <c r="J988" s="16">
        <v>76969</v>
      </c>
      <c r="K988" s="627">
        <v>17550</v>
      </c>
      <c r="L988" s="16"/>
      <c r="M988" s="16"/>
      <c r="N988" s="619">
        <f t="shared" si="235"/>
        <v>94519</v>
      </c>
      <c r="O988" s="17">
        <f t="shared" si="236"/>
        <v>290</v>
      </c>
      <c r="P988" s="33">
        <v>8</v>
      </c>
      <c r="Q988" s="19">
        <f t="shared" si="237"/>
        <v>7.2054794520547949</v>
      </c>
      <c r="R988" s="32">
        <f t="shared" si="238"/>
        <v>8917.8029109589042</v>
      </c>
      <c r="S988" s="22">
        <f t="shared" si="239"/>
        <v>85601.197089041088</v>
      </c>
      <c r="T988" s="21">
        <f t="shared" si="240"/>
        <v>94519</v>
      </c>
      <c r="U988" s="21">
        <f t="shared" si="241"/>
        <v>0</v>
      </c>
    </row>
    <row r="989" spans="2:21" ht="15.75" customHeight="1">
      <c r="B989" s="13">
        <f t="shared" si="242"/>
        <v>4</v>
      </c>
      <c r="C989" s="14" t="s">
        <v>542</v>
      </c>
      <c r="D989" s="111" t="s">
        <v>3459</v>
      </c>
      <c r="E989" s="633" t="s">
        <v>543</v>
      </c>
      <c r="F989" s="23">
        <v>44772</v>
      </c>
      <c r="G989" s="23">
        <v>44772</v>
      </c>
      <c r="H989" s="14" t="s">
        <v>292</v>
      </c>
      <c r="I989" s="15">
        <v>44772</v>
      </c>
      <c r="J989" s="16">
        <v>74440</v>
      </c>
      <c r="K989" s="627">
        <v>17550</v>
      </c>
      <c r="L989" s="16"/>
      <c r="M989" s="16"/>
      <c r="N989" s="619">
        <f t="shared" si="235"/>
        <v>91990</v>
      </c>
      <c r="O989" s="17">
        <f t="shared" si="236"/>
        <v>244</v>
      </c>
      <c r="P989" s="33">
        <v>8</v>
      </c>
      <c r="Q989" s="19">
        <f t="shared" si="237"/>
        <v>7.3315068493150681</v>
      </c>
      <c r="R989" s="32">
        <f t="shared" si="238"/>
        <v>7302.4938356164384</v>
      </c>
      <c r="S989" s="22">
        <f t="shared" si="239"/>
        <v>84687.506164383565</v>
      </c>
      <c r="T989" s="21">
        <f t="shared" si="240"/>
        <v>91990</v>
      </c>
      <c r="U989" s="21">
        <f t="shared" si="241"/>
        <v>0</v>
      </c>
    </row>
    <row r="990" spans="2:21" ht="15.75" customHeight="1">
      <c r="B990" s="13">
        <f t="shared" si="242"/>
        <v>5</v>
      </c>
      <c r="C990" s="14" t="s">
        <v>544</v>
      </c>
      <c r="D990" s="111" t="s">
        <v>3459</v>
      </c>
      <c r="E990" s="633" t="s">
        <v>545</v>
      </c>
      <c r="F990" s="23">
        <v>44831</v>
      </c>
      <c r="G990" s="23">
        <v>44831</v>
      </c>
      <c r="H990" s="14" t="s">
        <v>292</v>
      </c>
      <c r="I990" s="23">
        <v>44831</v>
      </c>
      <c r="J990" s="16">
        <v>81388</v>
      </c>
      <c r="K990" s="627">
        <v>20012</v>
      </c>
      <c r="L990" s="16"/>
      <c r="M990" s="16"/>
      <c r="N990" s="619">
        <f t="shared" si="235"/>
        <v>101400</v>
      </c>
      <c r="O990" s="17">
        <f t="shared" si="236"/>
        <v>185</v>
      </c>
      <c r="P990" s="33">
        <v>8</v>
      </c>
      <c r="Q990" s="19">
        <f t="shared" si="237"/>
        <v>7.493150684931507</v>
      </c>
      <c r="R990" s="32">
        <f t="shared" si="238"/>
        <v>6103.0993150684935</v>
      </c>
      <c r="S990" s="22">
        <f t="shared" si="239"/>
        <v>95296.900684931505</v>
      </c>
      <c r="T990" s="21">
        <f t="shared" si="240"/>
        <v>101400</v>
      </c>
      <c r="U990" s="21">
        <f t="shared" si="241"/>
        <v>0</v>
      </c>
    </row>
    <row r="991" spans="2:21" ht="14.65">
      <c r="B991" s="13">
        <f t="shared" si="242"/>
        <v>6</v>
      </c>
      <c r="C991" s="14" t="s">
        <v>546</v>
      </c>
      <c r="D991" s="111" t="s">
        <v>3459</v>
      </c>
      <c r="E991" s="633" t="s">
        <v>547</v>
      </c>
      <c r="F991" s="23">
        <v>44831</v>
      </c>
      <c r="G991" s="23">
        <v>44831</v>
      </c>
      <c r="H991" s="14" t="s">
        <v>292</v>
      </c>
      <c r="I991" s="23">
        <v>44831</v>
      </c>
      <c r="J991" s="16">
        <v>81388</v>
      </c>
      <c r="K991" s="627">
        <v>17550</v>
      </c>
      <c r="L991" s="16"/>
      <c r="M991" s="16"/>
      <c r="N991" s="619">
        <f t="shared" si="235"/>
        <v>98938</v>
      </c>
      <c r="O991" s="17">
        <f t="shared" si="236"/>
        <v>185</v>
      </c>
      <c r="P991" s="33">
        <v>8</v>
      </c>
      <c r="Q991" s="19">
        <f t="shared" si="237"/>
        <v>7.493150684931507</v>
      </c>
      <c r="R991" s="32">
        <f t="shared" si="238"/>
        <v>5954.9155821917811</v>
      </c>
      <c r="S991" s="22">
        <f t="shared" si="239"/>
        <v>92983.084417808219</v>
      </c>
      <c r="T991" s="21">
        <f t="shared" si="240"/>
        <v>98938</v>
      </c>
      <c r="U991" s="21">
        <f t="shared" si="241"/>
        <v>0</v>
      </c>
    </row>
    <row r="992" spans="2:21" ht="14.65">
      <c r="B992" s="13">
        <f t="shared" si="242"/>
        <v>7</v>
      </c>
      <c r="C992" s="14" t="s">
        <v>862</v>
      </c>
      <c r="D992" s="111" t="s">
        <v>3459</v>
      </c>
      <c r="E992" s="633" t="s">
        <v>865</v>
      </c>
      <c r="F992" s="23">
        <v>44831</v>
      </c>
      <c r="G992" s="23">
        <v>44845</v>
      </c>
      <c r="H992" s="14" t="s">
        <v>292</v>
      </c>
      <c r="I992" s="23">
        <v>44845</v>
      </c>
      <c r="J992" s="16">
        <v>76308</v>
      </c>
      <c r="K992" s="628">
        <v>20012</v>
      </c>
      <c r="L992" s="16"/>
      <c r="M992" s="16"/>
      <c r="N992" s="619">
        <f t="shared" si="235"/>
        <v>96320</v>
      </c>
      <c r="O992" s="17">
        <f t="shared" si="236"/>
        <v>171</v>
      </c>
      <c r="P992" s="33">
        <v>10</v>
      </c>
      <c r="Q992" s="19">
        <f t="shared" si="237"/>
        <v>9.5315068493150683</v>
      </c>
      <c r="R992" s="32">
        <f t="shared" si="238"/>
        <v>4286.8997260273973</v>
      </c>
      <c r="S992" s="22">
        <f t="shared" si="239"/>
        <v>92033.10027397261</v>
      </c>
      <c r="T992" s="21">
        <f t="shared" si="240"/>
        <v>0</v>
      </c>
      <c r="U992" s="21">
        <f t="shared" si="241"/>
        <v>96320</v>
      </c>
    </row>
    <row r="993" spans="2:21" ht="14.65">
      <c r="B993" s="13">
        <f t="shared" si="242"/>
        <v>8</v>
      </c>
      <c r="C993" s="14" t="s">
        <v>862</v>
      </c>
      <c r="D993" s="111" t="s">
        <v>3459</v>
      </c>
      <c r="E993" s="633" t="s">
        <v>866</v>
      </c>
      <c r="F993" s="23">
        <v>44831</v>
      </c>
      <c r="G993" s="23">
        <v>44845</v>
      </c>
      <c r="H993" s="14" t="s">
        <v>292</v>
      </c>
      <c r="I993" s="23">
        <v>44845</v>
      </c>
      <c r="J993" s="16">
        <v>81388</v>
      </c>
      <c r="K993" s="628">
        <v>20012</v>
      </c>
      <c r="L993" s="16"/>
      <c r="M993" s="16"/>
      <c r="N993" s="619">
        <f t="shared" si="235"/>
        <v>101400</v>
      </c>
      <c r="O993" s="17">
        <f t="shared" si="236"/>
        <v>171</v>
      </c>
      <c r="P993" s="33">
        <v>10</v>
      </c>
      <c r="Q993" s="19">
        <f t="shared" si="237"/>
        <v>9.5315068493150683</v>
      </c>
      <c r="R993" s="32">
        <f t="shared" si="238"/>
        <v>4512.9945205479453</v>
      </c>
      <c r="S993" s="22">
        <f t="shared" si="239"/>
        <v>96887.005479452055</v>
      </c>
      <c r="T993" s="21">
        <f t="shared" si="240"/>
        <v>0</v>
      </c>
      <c r="U993" s="21">
        <f t="shared" si="241"/>
        <v>101400</v>
      </c>
    </row>
    <row r="994" spans="2:21" ht="14.65">
      <c r="B994" s="13">
        <f t="shared" si="242"/>
        <v>9</v>
      </c>
      <c r="C994" s="14" t="s">
        <v>862</v>
      </c>
      <c r="D994" s="111" t="s">
        <v>3459</v>
      </c>
      <c r="E994" s="633" t="s">
        <v>867</v>
      </c>
      <c r="F994" s="23">
        <v>44887</v>
      </c>
      <c r="G994" s="23">
        <v>44891</v>
      </c>
      <c r="H994" s="14" t="s">
        <v>292</v>
      </c>
      <c r="I994" s="23">
        <v>44891</v>
      </c>
      <c r="J994" s="16">
        <v>66008</v>
      </c>
      <c r="K994" s="628">
        <v>20012</v>
      </c>
      <c r="L994" s="16"/>
      <c r="M994" s="16"/>
      <c r="N994" s="619">
        <f t="shared" si="235"/>
        <v>86020</v>
      </c>
      <c r="O994" s="17">
        <f t="shared" si="236"/>
        <v>125</v>
      </c>
      <c r="P994" s="33">
        <v>10</v>
      </c>
      <c r="Q994" s="19">
        <f t="shared" si="237"/>
        <v>9.6575342465753433</v>
      </c>
      <c r="R994" s="32">
        <f t="shared" si="238"/>
        <v>2798.5958904109589</v>
      </c>
      <c r="S994" s="22">
        <f t="shared" si="239"/>
        <v>83221.404109589042</v>
      </c>
      <c r="T994" s="21">
        <f t="shared" si="240"/>
        <v>0</v>
      </c>
      <c r="U994" s="21">
        <f t="shared" si="241"/>
        <v>86020</v>
      </c>
    </row>
    <row r="995" spans="2:21" ht="16.5" customHeight="1">
      <c r="B995" s="13">
        <f t="shared" si="242"/>
        <v>10</v>
      </c>
      <c r="C995" s="14" t="s">
        <v>862</v>
      </c>
      <c r="D995" s="111" t="s">
        <v>3459</v>
      </c>
      <c r="E995" s="633" t="s">
        <v>868</v>
      </c>
      <c r="F995" s="23">
        <v>44887</v>
      </c>
      <c r="G995" s="23">
        <v>44898</v>
      </c>
      <c r="H995" s="14" t="s">
        <v>292</v>
      </c>
      <c r="I995" s="23">
        <v>44898</v>
      </c>
      <c r="J995" s="16">
        <v>66008</v>
      </c>
      <c r="K995" s="628">
        <v>20012</v>
      </c>
      <c r="L995" s="16"/>
      <c r="M995" s="16"/>
      <c r="N995" s="619">
        <f t="shared" si="235"/>
        <v>86020</v>
      </c>
      <c r="O995" s="17">
        <f t="shared" si="236"/>
        <v>118</v>
      </c>
      <c r="P995" s="33">
        <v>10</v>
      </c>
      <c r="Q995" s="19">
        <f t="shared" si="237"/>
        <v>9.6767123287671239</v>
      </c>
      <c r="R995" s="32">
        <f t="shared" si="238"/>
        <v>2641.8745205479449</v>
      </c>
      <c r="S995" s="22">
        <f t="shared" si="239"/>
        <v>83378.12547945205</v>
      </c>
      <c r="T995" s="21">
        <f t="shared" si="240"/>
        <v>0</v>
      </c>
      <c r="U995" s="21">
        <f t="shared" si="241"/>
        <v>86020</v>
      </c>
    </row>
    <row r="996" spans="2:21" ht="16.5" customHeight="1">
      <c r="B996" s="13">
        <f t="shared" si="242"/>
        <v>11</v>
      </c>
      <c r="C996" s="14" t="s">
        <v>862</v>
      </c>
      <c r="D996" s="111" t="s">
        <v>3459</v>
      </c>
      <c r="E996" s="633" t="s">
        <v>869</v>
      </c>
      <c r="F996" s="23">
        <v>44887</v>
      </c>
      <c r="G996" s="23">
        <v>44898</v>
      </c>
      <c r="H996" s="14" t="s">
        <v>292</v>
      </c>
      <c r="I996" s="23">
        <v>44898</v>
      </c>
      <c r="J996" s="16">
        <v>66008</v>
      </c>
      <c r="K996" s="628">
        <v>19432</v>
      </c>
      <c r="L996" s="16"/>
      <c r="M996" s="16"/>
      <c r="N996" s="619">
        <f t="shared" si="235"/>
        <v>85440</v>
      </c>
      <c r="O996" s="17">
        <f t="shared" si="236"/>
        <v>118</v>
      </c>
      <c r="P996" s="33">
        <v>10</v>
      </c>
      <c r="Q996" s="19">
        <f t="shared" si="237"/>
        <v>9.6767123287671239</v>
      </c>
      <c r="R996" s="32">
        <f t="shared" si="238"/>
        <v>2624.0613698630136</v>
      </c>
      <c r="S996" s="22">
        <f t="shared" si="239"/>
        <v>82815.938630136981</v>
      </c>
      <c r="T996" s="21">
        <f t="shared" si="240"/>
        <v>0</v>
      </c>
      <c r="U996" s="21">
        <f t="shared" si="241"/>
        <v>85440</v>
      </c>
    </row>
    <row r="997" spans="2:21" ht="16.5" customHeight="1">
      <c r="B997" s="13">
        <f t="shared" si="242"/>
        <v>12</v>
      </c>
      <c r="C997" s="14" t="s">
        <v>862</v>
      </c>
      <c r="D997" s="111" t="s">
        <v>3459</v>
      </c>
      <c r="E997" s="633" t="s">
        <v>870</v>
      </c>
      <c r="F997" s="23">
        <v>44887</v>
      </c>
      <c r="G997" s="23">
        <v>44898</v>
      </c>
      <c r="H997" s="14" t="s">
        <v>292</v>
      </c>
      <c r="I997" s="23">
        <v>44898</v>
      </c>
      <c r="J997" s="16">
        <v>66008</v>
      </c>
      <c r="K997" s="628">
        <v>19345</v>
      </c>
      <c r="L997" s="16"/>
      <c r="M997" s="16"/>
      <c r="N997" s="619">
        <f t="shared" si="235"/>
        <v>85353</v>
      </c>
      <c r="O997" s="17">
        <f t="shared" si="236"/>
        <v>118</v>
      </c>
      <c r="P997" s="33">
        <v>10</v>
      </c>
      <c r="Q997" s="19">
        <f t="shared" si="237"/>
        <v>9.6767123287671239</v>
      </c>
      <c r="R997" s="32">
        <f t="shared" si="238"/>
        <v>2621.3893972602737</v>
      </c>
      <c r="S997" s="22">
        <f t="shared" si="239"/>
        <v>82731.610602739733</v>
      </c>
      <c r="T997" s="21">
        <f t="shared" si="240"/>
        <v>0</v>
      </c>
      <c r="U997" s="21">
        <f t="shared" si="241"/>
        <v>85353</v>
      </c>
    </row>
    <row r="998" spans="2:21" ht="14.65">
      <c r="B998" s="13">
        <f t="shared" si="242"/>
        <v>13</v>
      </c>
      <c r="C998" s="14" t="s">
        <v>862</v>
      </c>
      <c r="D998" s="111" t="s">
        <v>3459</v>
      </c>
      <c r="E998" s="633" t="s">
        <v>871</v>
      </c>
      <c r="F998" s="23">
        <v>44860</v>
      </c>
      <c r="G998" s="23">
        <v>44898</v>
      </c>
      <c r="H998" s="14" t="s">
        <v>292</v>
      </c>
      <c r="I998" s="23">
        <v>44898</v>
      </c>
      <c r="J998" s="16">
        <v>81388</v>
      </c>
      <c r="K998" s="628">
        <v>18615</v>
      </c>
      <c r="L998" s="16"/>
      <c r="M998" s="16"/>
      <c r="N998" s="619">
        <f t="shared" si="235"/>
        <v>100003</v>
      </c>
      <c r="O998" s="17">
        <f t="shared" si="236"/>
        <v>118</v>
      </c>
      <c r="P998" s="33">
        <v>10</v>
      </c>
      <c r="Q998" s="19">
        <f t="shared" si="237"/>
        <v>9.6767123287671239</v>
      </c>
      <c r="R998" s="32">
        <f t="shared" si="238"/>
        <v>3071.3250136986298</v>
      </c>
      <c r="S998" s="22">
        <f t="shared" si="239"/>
        <v>96931.674986301368</v>
      </c>
      <c r="T998" s="21">
        <f t="shared" si="240"/>
        <v>0</v>
      </c>
      <c r="U998" s="21">
        <f t="shared" si="241"/>
        <v>100003</v>
      </c>
    </row>
    <row r="999" spans="2:21" ht="14.65">
      <c r="B999" s="13">
        <f t="shared" si="242"/>
        <v>14</v>
      </c>
      <c r="C999" s="14" t="s">
        <v>862</v>
      </c>
      <c r="D999" s="111" t="s">
        <v>3459</v>
      </c>
      <c r="E999" s="633" t="s">
        <v>872</v>
      </c>
      <c r="F999" s="23">
        <v>44860</v>
      </c>
      <c r="G999" s="23">
        <v>44898</v>
      </c>
      <c r="H999" s="14" t="s">
        <v>292</v>
      </c>
      <c r="I999" s="23">
        <v>44898</v>
      </c>
      <c r="J999" s="16">
        <v>81388</v>
      </c>
      <c r="K999" s="628">
        <v>17550</v>
      </c>
      <c r="L999" s="16"/>
      <c r="M999" s="16"/>
      <c r="N999" s="619">
        <f t="shared" si="235"/>
        <v>98938</v>
      </c>
      <c r="O999" s="17">
        <f t="shared" si="236"/>
        <v>118</v>
      </c>
      <c r="P999" s="33">
        <v>10</v>
      </c>
      <c r="Q999" s="19">
        <f t="shared" si="237"/>
        <v>9.6767123287671239</v>
      </c>
      <c r="R999" s="32">
        <f t="shared" si="238"/>
        <v>3038.616383561643</v>
      </c>
      <c r="S999" s="22">
        <f t="shared" si="239"/>
        <v>95899.383616438354</v>
      </c>
      <c r="T999" s="21">
        <f t="shared" si="240"/>
        <v>0</v>
      </c>
      <c r="U999" s="21">
        <f t="shared" si="241"/>
        <v>98938</v>
      </c>
    </row>
    <row r="1000" spans="2:21" ht="14.65">
      <c r="B1000" s="13">
        <f t="shared" si="242"/>
        <v>15</v>
      </c>
      <c r="C1000" s="530" t="s">
        <v>862</v>
      </c>
      <c r="D1000" s="622" t="s">
        <v>3459</v>
      </c>
      <c r="E1000" s="530" t="s">
        <v>3540</v>
      </c>
      <c r="F1000" s="620">
        <v>44958</v>
      </c>
      <c r="G1000" s="620">
        <v>44969</v>
      </c>
      <c r="H1000" s="530" t="s">
        <v>292</v>
      </c>
      <c r="I1000" s="620">
        <v>44969</v>
      </c>
      <c r="J1000" s="619">
        <v>67968</v>
      </c>
      <c r="K1000" s="619">
        <f>17580+18362</f>
        <v>35942</v>
      </c>
      <c r="L1000" s="619"/>
      <c r="M1000" s="619"/>
      <c r="N1000" s="619">
        <f t="shared" si="235"/>
        <v>103910</v>
      </c>
      <c r="O1000" s="637">
        <f>'[87]Add22-23'!$N$1-I1000</f>
        <v>47</v>
      </c>
      <c r="P1000" s="618">
        <v>10</v>
      </c>
      <c r="Q1000" s="617">
        <f t="shared" si="237"/>
        <v>9.8712328767123285</v>
      </c>
      <c r="R1000" s="625">
        <f t="shared" si="238"/>
        <v>1271.1182191780822</v>
      </c>
      <c r="S1000" s="625">
        <f t="shared" si="239"/>
        <v>102638.88178082192</v>
      </c>
      <c r="T1000" s="616">
        <f t="shared" si="240"/>
        <v>0</v>
      </c>
      <c r="U1000" s="616">
        <f t="shared" si="241"/>
        <v>103910</v>
      </c>
    </row>
    <row r="1001" spans="2:21" ht="14.65">
      <c r="B1001" s="13">
        <f t="shared" si="242"/>
        <v>16</v>
      </c>
      <c r="C1001" s="530" t="s">
        <v>862</v>
      </c>
      <c r="D1001" s="622" t="s">
        <v>3459</v>
      </c>
      <c r="E1001" s="530" t="s">
        <v>3539</v>
      </c>
      <c r="F1001" s="620">
        <v>44958</v>
      </c>
      <c r="G1001" s="620">
        <v>44969</v>
      </c>
      <c r="H1001" s="530" t="s">
        <v>292</v>
      </c>
      <c r="I1001" s="620">
        <v>44969</v>
      </c>
      <c r="J1001" s="619">
        <v>67968</v>
      </c>
      <c r="K1001" s="619">
        <f>17580+18362</f>
        <v>35942</v>
      </c>
      <c r="L1001" s="619"/>
      <c r="M1001" s="619"/>
      <c r="N1001" s="619">
        <f t="shared" si="235"/>
        <v>103910</v>
      </c>
      <c r="O1001" s="637">
        <f>'[87]Add22-23'!$N$1-I1001</f>
        <v>47</v>
      </c>
      <c r="P1001" s="618">
        <v>10</v>
      </c>
      <c r="Q1001" s="617">
        <f t="shared" si="237"/>
        <v>9.8712328767123285</v>
      </c>
      <c r="R1001" s="625">
        <f t="shared" si="238"/>
        <v>1271.1182191780822</v>
      </c>
      <c r="S1001" s="625">
        <f t="shared" si="239"/>
        <v>102638.88178082192</v>
      </c>
      <c r="T1001" s="616">
        <f t="shared" si="240"/>
        <v>0</v>
      </c>
      <c r="U1001" s="616">
        <f t="shared" si="241"/>
        <v>103910</v>
      </c>
    </row>
    <row r="1002" spans="2:21" ht="14.65">
      <c r="B1002" s="13">
        <f t="shared" si="242"/>
        <v>17</v>
      </c>
      <c r="C1002" s="530" t="s">
        <v>862</v>
      </c>
      <c r="D1002" s="622" t="s">
        <v>3459</v>
      </c>
      <c r="E1002" s="530" t="s">
        <v>3538</v>
      </c>
      <c r="F1002" s="620">
        <v>44958</v>
      </c>
      <c r="G1002" s="620">
        <v>44969</v>
      </c>
      <c r="H1002" s="530" t="s">
        <v>292</v>
      </c>
      <c r="I1002" s="620">
        <v>44969</v>
      </c>
      <c r="J1002" s="619">
        <v>67968</v>
      </c>
      <c r="K1002" s="619">
        <f>17580+18362</f>
        <v>35942</v>
      </c>
      <c r="L1002" s="619"/>
      <c r="M1002" s="619"/>
      <c r="N1002" s="619">
        <f t="shared" si="235"/>
        <v>103910</v>
      </c>
      <c r="O1002" s="637">
        <f>'[87]Add22-23'!$N$1-I1002</f>
        <v>47</v>
      </c>
      <c r="P1002" s="618">
        <v>10</v>
      </c>
      <c r="Q1002" s="617">
        <f t="shared" si="237"/>
        <v>9.8712328767123285</v>
      </c>
      <c r="R1002" s="625">
        <f t="shared" si="238"/>
        <v>1271.1182191780822</v>
      </c>
      <c r="S1002" s="625">
        <f t="shared" si="239"/>
        <v>102638.88178082192</v>
      </c>
      <c r="T1002" s="616">
        <f t="shared" si="240"/>
        <v>0</v>
      </c>
      <c r="U1002" s="616">
        <f t="shared" si="241"/>
        <v>103910</v>
      </c>
    </row>
    <row r="1003" spans="2:21" ht="14.65">
      <c r="B1003" s="13">
        <f t="shared" si="242"/>
        <v>18</v>
      </c>
      <c r="C1003" s="530" t="s">
        <v>862</v>
      </c>
      <c r="D1003" s="622" t="s">
        <v>3459</v>
      </c>
      <c r="E1003" s="530" t="s">
        <v>3537</v>
      </c>
      <c r="F1003" s="620">
        <v>44958</v>
      </c>
      <c r="G1003" s="620">
        <v>44969</v>
      </c>
      <c r="H1003" s="530" t="s">
        <v>292</v>
      </c>
      <c r="I1003" s="620">
        <v>44969</v>
      </c>
      <c r="J1003" s="619">
        <v>67968</v>
      </c>
      <c r="K1003" s="619">
        <v>17580</v>
      </c>
      <c r="L1003" s="619"/>
      <c r="M1003" s="619"/>
      <c r="N1003" s="619">
        <f t="shared" si="235"/>
        <v>85548</v>
      </c>
      <c r="O1003" s="637">
        <f>'[87]Add22-23'!$N$1-I1003</f>
        <v>47</v>
      </c>
      <c r="P1003" s="618">
        <v>10</v>
      </c>
      <c r="Q1003" s="617">
        <f t="shared" si="237"/>
        <v>9.8712328767123285</v>
      </c>
      <c r="R1003" s="625">
        <f t="shared" si="238"/>
        <v>1046.4981369863012</v>
      </c>
      <c r="S1003" s="625">
        <f t="shared" si="239"/>
        <v>84501.501863013706</v>
      </c>
      <c r="T1003" s="616">
        <f t="shared" si="240"/>
        <v>0</v>
      </c>
      <c r="U1003" s="616">
        <f t="shared" si="241"/>
        <v>85548</v>
      </c>
    </row>
    <row r="1004" spans="2:21" ht="14.65">
      <c r="B1004" s="13">
        <f t="shared" si="242"/>
        <v>19</v>
      </c>
      <c r="C1004" s="530" t="s">
        <v>862</v>
      </c>
      <c r="D1004" s="622" t="s">
        <v>3459</v>
      </c>
      <c r="E1004" s="530" t="s">
        <v>3536</v>
      </c>
      <c r="F1004" s="620">
        <v>44958</v>
      </c>
      <c r="G1004" s="620">
        <v>44969</v>
      </c>
      <c r="H1004" s="530" t="s">
        <v>292</v>
      </c>
      <c r="I1004" s="620">
        <v>44969</v>
      </c>
      <c r="J1004" s="619">
        <v>67968</v>
      </c>
      <c r="K1004" s="619">
        <v>17580</v>
      </c>
      <c r="L1004" s="619"/>
      <c r="M1004" s="619"/>
      <c r="N1004" s="619">
        <f t="shared" si="235"/>
        <v>85548</v>
      </c>
      <c r="O1004" s="637">
        <f>'[87]Add22-23'!$N$1-I1004</f>
        <v>47</v>
      </c>
      <c r="P1004" s="618">
        <v>10</v>
      </c>
      <c r="Q1004" s="617">
        <f t="shared" si="237"/>
        <v>9.8712328767123285</v>
      </c>
      <c r="R1004" s="625">
        <f t="shared" si="238"/>
        <v>1046.4981369863012</v>
      </c>
      <c r="S1004" s="625">
        <f t="shared" si="239"/>
        <v>84501.501863013706</v>
      </c>
      <c r="T1004" s="616">
        <f t="shared" si="240"/>
        <v>0</v>
      </c>
      <c r="U1004" s="616">
        <f t="shared" si="241"/>
        <v>85548</v>
      </c>
    </row>
    <row r="1005" spans="2:21" ht="14.65">
      <c r="B1005" s="13">
        <f t="shared" si="242"/>
        <v>20</v>
      </c>
      <c r="C1005" s="530" t="s">
        <v>862</v>
      </c>
      <c r="D1005" s="622" t="s">
        <v>3459</v>
      </c>
      <c r="E1005" s="530" t="s">
        <v>3535</v>
      </c>
      <c r="F1005" s="620">
        <v>44958</v>
      </c>
      <c r="G1005" s="620">
        <v>44969</v>
      </c>
      <c r="H1005" s="530" t="s">
        <v>292</v>
      </c>
      <c r="I1005" s="620">
        <v>44969</v>
      </c>
      <c r="J1005" s="619">
        <v>67968</v>
      </c>
      <c r="K1005" s="619">
        <v>17580</v>
      </c>
      <c r="L1005" s="619"/>
      <c r="M1005" s="619"/>
      <c r="N1005" s="619">
        <f t="shared" si="235"/>
        <v>85548</v>
      </c>
      <c r="O1005" s="637">
        <f>'[87]Add22-23'!$N$1-I1005</f>
        <v>47</v>
      </c>
      <c r="P1005" s="618">
        <v>10</v>
      </c>
      <c r="Q1005" s="617">
        <f t="shared" si="237"/>
        <v>9.8712328767123285</v>
      </c>
      <c r="R1005" s="625">
        <f t="shared" si="238"/>
        <v>1046.4981369863012</v>
      </c>
      <c r="S1005" s="625">
        <f t="shared" si="239"/>
        <v>84501.501863013706</v>
      </c>
      <c r="T1005" s="616">
        <f t="shared" si="240"/>
        <v>0</v>
      </c>
      <c r="U1005" s="616">
        <f t="shared" si="241"/>
        <v>85548</v>
      </c>
    </row>
    <row r="1006" spans="2:21" ht="14.65">
      <c r="B1006" s="13">
        <f t="shared" si="242"/>
        <v>21</v>
      </c>
      <c r="C1006" s="14" t="s">
        <v>287</v>
      </c>
      <c r="D1006" s="622" t="s">
        <v>3459</v>
      </c>
      <c r="E1006" s="530" t="s">
        <v>3622</v>
      </c>
      <c r="F1006" s="620">
        <v>44861</v>
      </c>
      <c r="G1006" s="620">
        <v>44861</v>
      </c>
      <c r="H1006" s="530" t="s">
        <v>3623</v>
      </c>
      <c r="I1006" s="620">
        <v>44861</v>
      </c>
      <c r="J1006" s="619">
        <v>974540</v>
      </c>
      <c r="K1006" s="619"/>
      <c r="L1006" s="619"/>
      <c r="M1006" s="619">
        <v>213180</v>
      </c>
      <c r="N1006" s="619">
        <f t="shared" si="235"/>
        <v>761360</v>
      </c>
      <c r="O1006" s="637">
        <f>'[87]Add22-23'!$N$1-I1006</f>
        <v>155</v>
      </c>
      <c r="P1006" s="618">
        <v>10</v>
      </c>
      <c r="Q1006" s="617">
        <f t="shared" si="237"/>
        <v>9.5753424657534243</v>
      </c>
      <c r="R1006" s="625">
        <f t="shared" si="238"/>
        <v>30715.139726027399</v>
      </c>
      <c r="S1006" s="625">
        <f t="shared" si="239"/>
        <v>730644.86027397262</v>
      </c>
      <c r="T1006" s="616">
        <f t="shared" si="240"/>
        <v>0</v>
      </c>
      <c r="U1006" s="616">
        <f t="shared" si="241"/>
        <v>761360</v>
      </c>
    </row>
    <row r="1007" spans="2:21" ht="14.65">
      <c r="B1007" s="13">
        <f t="shared" si="242"/>
        <v>22</v>
      </c>
      <c r="C1007" s="14" t="s">
        <v>287</v>
      </c>
      <c r="D1007" s="622" t="s">
        <v>3459</v>
      </c>
      <c r="E1007" s="530" t="s">
        <v>3624</v>
      </c>
      <c r="F1007" s="620">
        <v>44861</v>
      </c>
      <c r="G1007" s="620">
        <v>44861</v>
      </c>
      <c r="H1007" s="530" t="s">
        <v>3623</v>
      </c>
      <c r="I1007" s="620">
        <v>44861</v>
      </c>
      <c r="J1007" s="619">
        <v>974540</v>
      </c>
      <c r="K1007" s="619"/>
      <c r="L1007" s="619"/>
      <c r="M1007" s="619">
        <v>213180</v>
      </c>
      <c r="N1007" s="619">
        <f t="shared" si="235"/>
        <v>761360</v>
      </c>
      <c r="O1007" s="637">
        <f>'[87]Add22-23'!$N$1-I1007</f>
        <v>155</v>
      </c>
      <c r="P1007" s="618">
        <v>10</v>
      </c>
      <c r="Q1007" s="617">
        <f t="shared" si="237"/>
        <v>9.5753424657534243</v>
      </c>
      <c r="R1007" s="625">
        <f t="shared" si="238"/>
        <v>30715.139726027399</v>
      </c>
      <c r="S1007" s="625">
        <f t="shared" si="239"/>
        <v>730644.86027397262</v>
      </c>
      <c r="T1007" s="616">
        <f t="shared" si="240"/>
        <v>0</v>
      </c>
      <c r="U1007" s="616">
        <f t="shared" si="241"/>
        <v>761360</v>
      </c>
    </row>
    <row r="1008" spans="2:21" ht="14.65">
      <c r="B1008" s="13">
        <f t="shared" si="242"/>
        <v>23</v>
      </c>
      <c r="C1008" s="530" t="s">
        <v>3625</v>
      </c>
      <c r="D1008" s="622" t="s">
        <v>3459</v>
      </c>
      <c r="E1008" s="530" t="s">
        <v>3626</v>
      </c>
      <c r="F1008" s="620">
        <v>44741</v>
      </c>
      <c r="G1008" s="620">
        <v>44741</v>
      </c>
      <c r="H1008" s="530" t="s">
        <v>3623</v>
      </c>
      <c r="I1008" s="620">
        <v>44741</v>
      </c>
      <c r="J1008" s="619">
        <v>1784150</v>
      </c>
      <c r="K1008" s="619"/>
      <c r="L1008" s="619"/>
      <c r="M1008" s="619"/>
      <c r="N1008" s="619">
        <f t="shared" si="235"/>
        <v>1784150</v>
      </c>
      <c r="O1008" s="637">
        <f>'[87]Add22-23'!$N$1-I1008</f>
        <v>275</v>
      </c>
      <c r="P1008" s="618">
        <v>10</v>
      </c>
      <c r="Q1008" s="617">
        <f t="shared" si="237"/>
        <v>9.2465753424657535</v>
      </c>
      <c r="R1008" s="625">
        <f t="shared" si="238"/>
        <v>127701.14726027397</v>
      </c>
      <c r="S1008" s="625">
        <f t="shared" si="239"/>
        <v>1656448.852739726</v>
      </c>
      <c r="T1008" s="616">
        <f t="shared" si="240"/>
        <v>1784150</v>
      </c>
      <c r="U1008" s="616">
        <f t="shared" si="241"/>
        <v>0</v>
      </c>
    </row>
    <row r="1009" spans="2:21" ht="14.65">
      <c r="B1009" s="13">
        <f t="shared" si="242"/>
        <v>24</v>
      </c>
      <c r="C1009" s="530" t="s">
        <v>3452</v>
      </c>
      <c r="D1009" s="622" t="s">
        <v>22</v>
      </c>
      <c r="E1009" s="629" t="s">
        <v>3451</v>
      </c>
      <c r="F1009" s="620">
        <v>44793</v>
      </c>
      <c r="G1009" s="620">
        <v>44947</v>
      </c>
      <c r="H1009" s="530" t="s">
        <v>3450</v>
      </c>
      <c r="I1009" s="620">
        <v>44947</v>
      </c>
      <c r="J1009" s="619">
        <v>890000</v>
      </c>
      <c r="K1009" s="627"/>
      <c r="L1009" s="619"/>
      <c r="M1009" s="619">
        <v>194687.5</v>
      </c>
      <c r="N1009" s="619">
        <f t="shared" si="235"/>
        <v>695312.5</v>
      </c>
      <c r="O1009" s="17">
        <f t="shared" ref="O1009:O1023" si="243">$O$1-I1009</f>
        <v>69</v>
      </c>
      <c r="P1009" s="33">
        <v>8</v>
      </c>
      <c r="Q1009" s="617">
        <f t="shared" si="237"/>
        <v>7.8109589041095893</v>
      </c>
      <c r="R1009" s="625">
        <f t="shared" si="238"/>
        <v>15608.813142123288</v>
      </c>
      <c r="S1009" s="625">
        <f t="shared" si="239"/>
        <v>679703.68685787672</v>
      </c>
      <c r="T1009" s="616">
        <f t="shared" si="240"/>
        <v>0</v>
      </c>
      <c r="U1009" s="616">
        <f t="shared" si="241"/>
        <v>695312.5</v>
      </c>
    </row>
    <row r="1010" spans="2:21" ht="14.65">
      <c r="B1010" s="13">
        <f t="shared" si="242"/>
        <v>25</v>
      </c>
      <c r="C1010" s="14" t="s">
        <v>286</v>
      </c>
      <c r="D1010" s="665" t="s">
        <v>3461</v>
      </c>
      <c r="E1010" s="633" t="s">
        <v>293</v>
      </c>
      <c r="F1010" s="23">
        <v>44725</v>
      </c>
      <c r="G1010" s="23">
        <v>44725</v>
      </c>
      <c r="H1010" s="14" t="s">
        <v>294</v>
      </c>
      <c r="I1010" s="15">
        <v>44725</v>
      </c>
      <c r="J1010" s="16">
        <v>800160</v>
      </c>
      <c r="K1010" s="628"/>
      <c r="L1010" s="16"/>
      <c r="M1010" s="16"/>
      <c r="N1010" s="619">
        <f t="shared" si="235"/>
        <v>800160</v>
      </c>
      <c r="O1010" s="17">
        <f t="shared" si="243"/>
        <v>291</v>
      </c>
      <c r="P1010" s="33">
        <v>8</v>
      </c>
      <c r="Q1010" s="19">
        <f t="shared" si="237"/>
        <v>7.2027397260273975</v>
      </c>
      <c r="R1010" s="32">
        <f t="shared" si="238"/>
        <v>75754.873972602742</v>
      </c>
      <c r="S1010" s="22">
        <f t="shared" si="239"/>
        <v>724405.12602739723</v>
      </c>
      <c r="T1010" s="21">
        <f t="shared" si="240"/>
        <v>800160</v>
      </c>
      <c r="U1010" s="21">
        <f t="shared" si="241"/>
        <v>0</v>
      </c>
    </row>
    <row r="1011" spans="2:21" ht="14.65">
      <c r="B1011" s="13">
        <f t="shared" si="242"/>
        <v>26</v>
      </c>
      <c r="C1011" s="14" t="s">
        <v>288</v>
      </c>
      <c r="D1011" s="112" t="s">
        <v>29</v>
      </c>
      <c r="E1011" s="633" t="s">
        <v>296</v>
      </c>
      <c r="F1011" s="23">
        <v>44660</v>
      </c>
      <c r="G1011" s="15">
        <v>44660</v>
      </c>
      <c r="H1011" s="14" t="s">
        <v>297</v>
      </c>
      <c r="I1011" s="15">
        <v>44660</v>
      </c>
      <c r="J1011" s="16">
        <v>71320</v>
      </c>
      <c r="K1011" s="628">
        <v>8317</v>
      </c>
      <c r="L1011" s="16"/>
      <c r="M1011" s="16"/>
      <c r="N1011" s="619">
        <f t="shared" si="235"/>
        <v>79637</v>
      </c>
      <c r="O1011" s="17">
        <f t="shared" si="243"/>
        <v>356</v>
      </c>
      <c r="P1011" s="33">
        <v>10</v>
      </c>
      <c r="Q1011" s="19">
        <f t="shared" si="237"/>
        <v>9.0246575342465754</v>
      </c>
      <c r="R1011" s="32">
        <f t="shared" si="238"/>
        <v>7378.96805479452</v>
      </c>
      <c r="S1011" s="22">
        <f t="shared" si="239"/>
        <v>72258.031945205483</v>
      </c>
      <c r="T1011" s="21">
        <f t="shared" si="240"/>
        <v>79637</v>
      </c>
      <c r="U1011" s="21">
        <f t="shared" si="241"/>
        <v>0</v>
      </c>
    </row>
    <row r="1012" spans="2:21" ht="14.65">
      <c r="B1012" s="13">
        <f t="shared" si="242"/>
        <v>27</v>
      </c>
      <c r="C1012" s="14" t="s">
        <v>288</v>
      </c>
      <c r="D1012" s="112" t="s">
        <v>29</v>
      </c>
      <c r="E1012" s="633" t="s">
        <v>298</v>
      </c>
      <c r="F1012" s="23">
        <v>44660</v>
      </c>
      <c r="G1012" s="15">
        <v>44660</v>
      </c>
      <c r="H1012" s="14" t="s">
        <v>297</v>
      </c>
      <c r="I1012" s="15">
        <v>44660</v>
      </c>
      <c r="J1012" s="16">
        <v>71320</v>
      </c>
      <c r="K1012" s="628">
        <v>7748</v>
      </c>
      <c r="L1012" s="16"/>
      <c r="M1012" s="16"/>
      <c r="N1012" s="619">
        <f t="shared" si="235"/>
        <v>79068</v>
      </c>
      <c r="O1012" s="17">
        <f t="shared" si="243"/>
        <v>356</v>
      </c>
      <c r="P1012" s="33">
        <v>10</v>
      </c>
      <c r="Q1012" s="19">
        <f t="shared" si="237"/>
        <v>9.0246575342465754</v>
      </c>
      <c r="R1012" s="32">
        <f t="shared" si="238"/>
        <v>7326.245917808219</v>
      </c>
      <c r="S1012" s="22">
        <f t="shared" si="239"/>
        <v>71741.754082191779</v>
      </c>
      <c r="T1012" s="21">
        <f t="shared" si="240"/>
        <v>79068</v>
      </c>
      <c r="U1012" s="21">
        <f t="shared" si="241"/>
        <v>0</v>
      </c>
    </row>
    <row r="1013" spans="2:21" ht="14.65">
      <c r="B1013" s="13">
        <f t="shared" si="242"/>
        <v>28</v>
      </c>
      <c r="C1013" s="14" t="s">
        <v>288</v>
      </c>
      <c r="D1013" s="112" t="s">
        <v>29</v>
      </c>
      <c r="E1013" s="633" t="s">
        <v>299</v>
      </c>
      <c r="F1013" s="23">
        <v>44684</v>
      </c>
      <c r="G1013" s="23">
        <v>44711</v>
      </c>
      <c r="H1013" s="14" t="s">
        <v>297</v>
      </c>
      <c r="I1013" s="15">
        <v>44711</v>
      </c>
      <c r="J1013" s="16">
        <v>72990</v>
      </c>
      <c r="K1013" s="628">
        <v>18900</v>
      </c>
      <c r="L1013" s="16"/>
      <c r="M1013" s="16"/>
      <c r="N1013" s="619">
        <f t="shared" si="235"/>
        <v>91890</v>
      </c>
      <c r="O1013" s="17">
        <f t="shared" si="243"/>
        <v>305</v>
      </c>
      <c r="P1013" s="33">
        <v>10</v>
      </c>
      <c r="Q1013" s="19">
        <f t="shared" si="237"/>
        <v>9.1643835616438363</v>
      </c>
      <c r="R1013" s="32">
        <f t="shared" si="238"/>
        <v>7294.5554794520549</v>
      </c>
      <c r="S1013" s="22">
        <f t="shared" si="239"/>
        <v>84595.444520547942</v>
      </c>
      <c r="T1013" s="21">
        <f t="shared" si="240"/>
        <v>91890</v>
      </c>
      <c r="U1013" s="21">
        <f t="shared" si="241"/>
        <v>0</v>
      </c>
    </row>
    <row r="1014" spans="2:21" ht="14.65">
      <c r="B1014" s="13">
        <f t="shared" si="242"/>
        <v>29</v>
      </c>
      <c r="C1014" s="14" t="s">
        <v>285</v>
      </c>
      <c r="D1014" s="112" t="s">
        <v>29</v>
      </c>
      <c r="E1014" s="633" t="s">
        <v>300</v>
      </c>
      <c r="F1014" s="23">
        <v>44734</v>
      </c>
      <c r="G1014" s="23">
        <v>44735</v>
      </c>
      <c r="H1014" s="14" t="s">
        <v>297</v>
      </c>
      <c r="I1014" s="15">
        <v>44735</v>
      </c>
      <c r="J1014" s="16">
        <v>83270</v>
      </c>
      <c r="K1014" s="628">
        <v>6774</v>
      </c>
      <c r="L1014" s="16"/>
      <c r="M1014" s="16"/>
      <c r="N1014" s="619">
        <f t="shared" si="235"/>
        <v>90044</v>
      </c>
      <c r="O1014" s="17">
        <f t="shared" si="243"/>
        <v>281</v>
      </c>
      <c r="P1014" s="33">
        <v>10</v>
      </c>
      <c r="Q1014" s="19">
        <f t="shared" si="237"/>
        <v>9.2301369863013694</v>
      </c>
      <c r="R1014" s="32">
        <f t="shared" si="238"/>
        <v>6585.5467945205482</v>
      </c>
      <c r="S1014" s="22">
        <f t="shared" si="239"/>
        <v>83458.453205479454</v>
      </c>
      <c r="T1014" s="21">
        <f t="shared" si="240"/>
        <v>90044</v>
      </c>
      <c r="U1014" s="21">
        <f t="shared" si="241"/>
        <v>0</v>
      </c>
    </row>
    <row r="1015" spans="2:21" ht="14.65">
      <c r="B1015" s="13">
        <f t="shared" si="242"/>
        <v>30</v>
      </c>
      <c r="C1015" s="14" t="s">
        <v>548</v>
      </c>
      <c r="D1015" s="112" t="s">
        <v>29</v>
      </c>
      <c r="E1015" s="633" t="s">
        <v>549</v>
      </c>
      <c r="F1015" s="23">
        <v>44777</v>
      </c>
      <c r="G1015" s="23">
        <v>44783</v>
      </c>
      <c r="H1015" s="14" t="s">
        <v>295</v>
      </c>
      <c r="I1015" s="23">
        <v>44783</v>
      </c>
      <c r="J1015" s="16">
        <v>1033635.8</v>
      </c>
      <c r="K1015" s="628"/>
      <c r="L1015" s="16">
        <v>10235</v>
      </c>
      <c r="M1015" s="16"/>
      <c r="N1015" s="619">
        <f t="shared" si="235"/>
        <v>1023400.8</v>
      </c>
      <c r="O1015" s="17">
        <f t="shared" si="243"/>
        <v>233</v>
      </c>
      <c r="P1015" s="33">
        <v>8</v>
      </c>
      <c r="Q1015" s="19">
        <f t="shared" si="237"/>
        <v>7.3616438356164382</v>
      </c>
      <c r="R1015" s="32">
        <f t="shared" si="238"/>
        <v>77578.687356164388</v>
      </c>
      <c r="S1015" s="22">
        <f t="shared" si="239"/>
        <v>945822.1126438356</v>
      </c>
      <c r="T1015" s="21">
        <f t="shared" si="240"/>
        <v>1023400.8</v>
      </c>
      <c r="U1015" s="21">
        <f t="shared" si="241"/>
        <v>0</v>
      </c>
    </row>
    <row r="1016" spans="2:21" ht="14.65">
      <c r="B1016" s="13">
        <f t="shared" si="242"/>
        <v>31</v>
      </c>
      <c r="C1016" s="14" t="s">
        <v>552</v>
      </c>
      <c r="D1016" s="112" t="s">
        <v>29</v>
      </c>
      <c r="E1016" s="633" t="s">
        <v>553</v>
      </c>
      <c r="F1016" s="15">
        <v>44832</v>
      </c>
      <c r="G1016" s="15">
        <v>44832</v>
      </c>
      <c r="H1016" s="14" t="s">
        <v>551</v>
      </c>
      <c r="I1016" s="15">
        <v>44832</v>
      </c>
      <c r="J1016" s="16">
        <v>87688</v>
      </c>
      <c r="K1016" s="628">
        <v>13931</v>
      </c>
      <c r="L1016" s="16"/>
      <c r="M1016" s="16"/>
      <c r="N1016" s="619">
        <f t="shared" si="235"/>
        <v>101619</v>
      </c>
      <c r="O1016" s="17">
        <f t="shared" si="243"/>
        <v>184</v>
      </c>
      <c r="P1016" s="33">
        <v>8</v>
      </c>
      <c r="Q1016" s="19">
        <f t="shared" si="237"/>
        <v>7.4958904109589044</v>
      </c>
      <c r="R1016" s="32">
        <f t="shared" si="238"/>
        <v>6083.2195890410958</v>
      </c>
      <c r="S1016" s="22">
        <f t="shared" si="239"/>
        <v>95535.780410958905</v>
      </c>
      <c r="T1016" s="21">
        <f t="shared" si="240"/>
        <v>101619</v>
      </c>
      <c r="U1016" s="21">
        <f t="shared" si="241"/>
        <v>0</v>
      </c>
    </row>
    <row r="1017" spans="2:21" ht="14.65">
      <c r="B1017" s="13">
        <f t="shared" si="242"/>
        <v>32</v>
      </c>
      <c r="C1017" s="14" t="s">
        <v>554</v>
      </c>
      <c r="D1017" s="112" t="s">
        <v>29</v>
      </c>
      <c r="E1017" s="633" t="s">
        <v>555</v>
      </c>
      <c r="F1017" s="15">
        <v>44832</v>
      </c>
      <c r="G1017" s="15">
        <v>44832</v>
      </c>
      <c r="H1017" s="14" t="s">
        <v>551</v>
      </c>
      <c r="I1017" s="15">
        <v>44832</v>
      </c>
      <c r="J1017" s="16">
        <v>87688</v>
      </c>
      <c r="K1017" s="628">
        <v>13931</v>
      </c>
      <c r="L1017" s="16"/>
      <c r="M1017" s="16"/>
      <c r="N1017" s="619">
        <f t="shared" si="235"/>
        <v>101619</v>
      </c>
      <c r="O1017" s="17">
        <f t="shared" si="243"/>
        <v>184</v>
      </c>
      <c r="P1017" s="33">
        <v>8</v>
      </c>
      <c r="Q1017" s="19">
        <f t="shared" si="237"/>
        <v>7.4958904109589044</v>
      </c>
      <c r="R1017" s="32">
        <f t="shared" si="238"/>
        <v>6083.2195890410958</v>
      </c>
      <c r="S1017" s="22">
        <f t="shared" si="239"/>
        <v>95535.780410958905</v>
      </c>
      <c r="T1017" s="21">
        <f t="shared" si="240"/>
        <v>101619</v>
      </c>
      <c r="U1017" s="21">
        <f t="shared" si="241"/>
        <v>0</v>
      </c>
    </row>
    <row r="1018" spans="2:21" ht="14.65">
      <c r="B1018" s="13">
        <f t="shared" si="242"/>
        <v>33</v>
      </c>
      <c r="C1018" s="14" t="s">
        <v>556</v>
      </c>
      <c r="D1018" s="26" t="s">
        <v>29</v>
      </c>
      <c r="E1018" s="633" t="s">
        <v>557</v>
      </c>
      <c r="F1018" s="23">
        <v>44832</v>
      </c>
      <c r="G1018" s="23">
        <v>44832</v>
      </c>
      <c r="H1018" s="14" t="s">
        <v>551</v>
      </c>
      <c r="I1018" s="23">
        <v>44832</v>
      </c>
      <c r="J1018" s="16">
        <v>87688</v>
      </c>
      <c r="K1018" s="628">
        <v>13931</v>
      </c>
      <c r="L1018" s="16"/>
      <c r="M1018" s="16"/>
      <c r="N1018" s="619">
        <f t="shared" si="235"/>
        <v>101619</v>
      </c>
      <c r="O1018" s="17">
        <f t="shared" si="243"/>
        <v>184</v>
      </c>
      <c r="P1018" s="33">
        <v>8</v>
      </c>
      <c r="Q1018" s="19">
        <f t="shared" si="237"/>
        <v>7.4958904109589044</v>
      </c>
      <c r="R1018" s="32">
        <f t="shared" si="238"/>
        <v>6083.2195890410958</v>
      </c>
      <c r="S1018" s="22">
        <f t="shared" si="239"/>
        <v>95535.780410958905</v>
      </c>
      <c r="T1018" s="21">
        <f t="shared" si="240"/>
        <v>101619</v>
      </c>
      <c r="U1018" s="21">
        <f t="shared" si="241"/>
        <v>0</v>
      </c>
    </row>
    <row r="1019" spans="2:21" ht="14.65">
      <c r="B1019" s="13">
        <f t="shared" si="242"/>
        <v>34</v>
      </c>
      <c r="C1019" s="14" t="s">
        <v>558</v>
      </c>
      <c r="D1019" s="26" t="s">
        <v>29</v>
      </c>
      <c r="E1019" s="633" t="s">
        <v>559</v>
      </c>
      <c r="F1019" s="23">
        <v>44832</v>
      </c>
      <c r="G1019" s="23">
        <v>44832</v>
      </c>
      <c r="H1019" s="14" t="s">
        <v>551</v>
      </c>
      <c r="I1019" s="23">
        <v>44832</v>
      </c>
      <c r="J1019" s="16">
        <v>87688</v>
      </c>
      <c r="K1019" s="627">
        <v>11760</v>
      </c>
      <c r="L1019" s="16"/>
      <c r="M1019" s="16"/>
      <c r="N1019" s="619">
        <f t="shared" si="235"/>
        <v>99448</v>
      </c>
      <c r="O1019" s="17">
        <f t="shared" si="243"/>
        <v>184</v>
      </c>
      <c r="P1019" s="33">
        <v>8</v>
      </c>
      <c r="Q1019" s="19">
        <f t="shared" si="237"/>
        <v>7.4958904109589044</v>
      </c>
      <c r="R1019" s="32">
        <f t="shared" si="238"/>
        <v>5953.2569863013696</v>
      </c>
      <c r="S1019" s="22">
        <f t="shared" si="239"/>
        <v>93494.743013698637</v>
      </c>
      <c r="T1019" s="21">
        <f t="shared" si="240"/>
        <v>99448</v>
      </c>
      <c r="U1019" s="21">
        <f t="shared" si="241"/>
        <v>0</v>
      </c>
    </row>
    <row r="1020" spans="2:21" ht="14.65">
      <c r="B1020" s="13">
        <f t="shared" si="242"/>
        <v>35</v>
      </c>
      <c r="C1020" s="14" t="s">
        <v>863</v>
      </c>
      <c r="D1020" s="26" t="s">
        <v>29</v>
      </c>
      <c r="E1020" s="633" t="s">
        <v>874</v>
      </c>
      <c r="F1020" s="23">
        <v>44888</v>
      </c>
      <c r="G1020" s="23">
        <v>44888</v>
      </c>
      <c r="H1020" s="14" t="s">
        <v>551</v>
      </c>
      <c r="I1020" s="23">
        <v>44888</v>
      </c>
      <c r="J1020" s="16">
        <v>65938</v>
      </c>
      <c r="K1020" s="628">
        <v>7975</v>
      </c>
      <c r="L1020" s="16"/>
      <c r="M1020" s="16"/>
      <c r="N1020" s="619">
        <f t="shared" si="235"/>
        <v>73913</v>
      </c>
      <c r="O1020" s="17">
        <f t="shared" si="243"/>
        <v>128</v>
      </c>
      <c r="P1020" s="33">
        <v>8</v>
      </c>
      <c r="Q1020" s="19">
        <f t="shared" si="237"/>
        <v>7.6493150684931503</v>
      </c>
      <c r="R1020" s="32">
        <f t="shared" si="238"/>
        <v>3078.020821917808</v>
      </c>
      <c r="S1020" s="22">
        <f t="shared" si="239"/>
        <v>70834.979178082198</v>
      </c>
      <c r="T1020" s="21">
        <f t="shared" si="240"/>
        <v>0</v>
      </c>
      <c r="U1020" s="21">
        <f t="shared" si="241"/>
        <v>73913</v>
      </c>
    </row>
    <row r="1021" spans="2:21" ht="14.65">
      <c r="B1021" s="13">
        <f t="shared" si="242"/>
        <v>36</v>
      </c>
      <c r="C1021" s="14" t="s">
        <v>863</v>
      </c>
      <c r="D1021" s="14" t="s">
        <v>29</v>
      </c>
      <c r="E1021" s="633" t="s">
        <v>875</v>
      </c>
      <c r="F1021" s="23">
        <v>44889</v>
      </c>
      <c r="G1021" s="15">
        <v>44894</v>
      </c>
      <c r="H1021" s="14" t="s">
        <v>551</v>
      </c>
      <c r="I1021" s="15">
        <v>44894</v>
      </c>
      <c r="J1021" s="16">
        <v>65938</v>
      </c>
      <c r="K1021" s="628">
        <v>7975</v>
      </c>
      <c r="L1021" s="16"/>
      <c r="M1021" s="16"/>
      <c r="N1021" s="619">
        <f t="shared" si="235"/>
        <v>73913</v>
      </c>
      <c r="O1021" s="17">
        <f t="shared" si="243"/>
        <v>122</v>
      </c>
      <c r="P1021" s="33">
        <v>8</v>
      </c>
      <c r="Q1021" s="19">
        <f t="shared" si="237"/>
        <v>7.6657534246575345</v>
      </c>
      <c r="R1021" s="32">
        <f t="shared" si="238"/>
        <v>2933.7385958904106</v>
      </c>
      <c r="S1021" s="22">
        <f t="shared" si="239"/>
        <v>70979.261404109595</v>
      </c>
      <c r="T1021" s="21">
        <f t="shared" si="240"/>
        <v>0</v>
      </c>
      <c r="U1021" s="21">
        <f t="shared" si="241"/>
        <v>73913</v>
      </c>
    </row>
    <row r="1022" spans="2:21" ht="14.65">
      <c r="B1022" s="13">
        <f t="shared" si="242"/>
        <v>37</v>
      </c>
      <c r="C1022" s="14" t="s">
        <v>863</v>
      </c>
      <c r="D1022" s="112" t="s">
        <v>29</v>
      </c>
      <c r="E1022" s="633" t="s">
        <v>876</v>
      </c>
      <c r="F1022" s="23">
        <v>44888</v>
      </c>
      <c r="G1022" s="23">
        <v>44894</v>
      </c>
      <c r="H1022" s="14" t="s">
        <v>551</v>
      </c>
      <c r="I1022" s="23">
        <v>44894</v>
      </c>
      <c r="J1022" s="16">
        <v>67238</v>
      </c>
      <c r="K1022" s="628">
        <v>7975</v>
      </c>
      <c r="L1022" s="16"/>
      <c r="M1022" s="16"/>
      <c r="N1022" s="619">
        <f t="shared" si="235"/>
        <v>75213</v>
      </c>
      <c r="O1022" s="17">
        <f t="shared" si="243"/>
        <v>122</v>
      </c>
      <c r="P1022" s="33">
        <v>8</v>
      </c>
      <c r="Q1022" s="19">
        <f t="shared" si="237"/>
        <v>7.6657534246575345</v>
      </c>
      <c r="R1022" s="32">
        <f t="shared" si="238"/>
        <v>2985.3379109589036</v>
      </c>
      <c r="S1022" s="22">
        <f t="shared" si="239"/>
        <v>72227.6620890411</v>
      </c>
      <c r="T1022" s="21">
        <f t="shared" si="240"/>
        <v>0</v>
      </c>
      <c r="U1022" s="21">
        <f t="shared" si="241"/>
        <v>75213</v>
      </c>
    </row>
    <row r="1023" spans="2:21" ht="14.65">
      <c r="B1023" s="13">
        <f t="shared" si="242"/>
        <v>38</v>
      </c>
      <c r="C1023" s="14" t="s">
        <v>864</v>
      </c>
      <c r="D1023" s="14" t="s">
        <v>29</v>
      </c>
      <c r="E1023" s="631" t="s">
        <v>877</v>
      </c>
      <c r="F1023" s="25">
        <v>44897</v>
      </c>
      <c r="G1023" s="25">
        <v>44897</v>
      </c>
      <c r="H1023" s="14" t="s">
        <v>878</v>
      </c>
      <c r="I1023" s="25">
        <v>44897</v>
      </c>
      <c r="J1023" s="16">
        <v>85016</v>
      </c>
      <c r="K1023" s="628">
        <v>7975</v>
      </c>
      <c r="L1023" s="16"/>
      <c r="M1023" s="16"/>
      <c r="N1023" s="619">
        <f t="shared" si="235"/>
        <v>92991</v>
      </c>
      <c r="O1023" s="17">
        <f t="shared" si="243"/>
        <v>119</v>
      </c>
      <c r="P1023" s="33">
        <v>8</v>
      </c>
      <c r="Q1023" s="19">
        <f t="shared" si="237"/>
        <v>7.6739726027397257</v>
      </c>
      <c r="R1023" s="32">
        <f t="shared" si="238"/>
        <v>3600.2166267123284</v>
      </c>
      <c r="S1023" s="22">
        <f t="shared" si="239"/>
        <v>89390.783373287675</v>
      </c>
      <c r="T1023" s="21">
        <f t="shared" si="240"/>
        <v>0</v>
      </c>
      <c r="U1023" s="21">
        <f t="shared" si="241"/>
        <v>92991</v>
      </c>
    </row>
    <row r="1024" spans="2:21" ht="14.65">
      <c r="B1024" s="13">
        <f t="shared" si="242"/>
        <v>39</v>
      </c>
      <c r="C1024" s="530" t="s">
        <v>2345</v>
      </c>
      <c r="D1024" s="639" t="s">
        <v>29</v>
      </c>
      <c r="E1024" s="530" t="s">
        <v>3534</v>
      </c>
      <c r="F1024" s="620">
        <v>44960</v>
      </c>
      <c r="G1024" s="620">
        <v>44960</v>
      </c>
      <c r="H1024" s="530" t="s">
        <v>551</v>
      </c>
      <c r="I1024" s="620">
        <v>44960</v>
      </c>
      <c r="J1024" s="619">
        <v>67138</v>
      </c>
      <c r="K1024" s="619">
        <v>5867</v>
      </c>
      <c r="L1024" s="619"/>
      <c r="M1024" s="619"/>
      <c r="N1024" s="619">
        <f t="shared" si="235"/>
        <v>73005</v>
      </c>
      <c r="O1024" s="637">
        <f>'[87]Add22-23'!$N$1-I1024</f>
        <v>56</v>
      </c>
      <c r="P1024" s="618">
        <v>10</v>
      </c>
      <c r="Q1024" s="617">
        <f t="shared" si="237"/>
        <v>9.8465753424657532</v>
      </c>
      <c r="R1024" s="625">
        <f t="shared" si="238"/>
        <v>1064.0728767123289</v>
      </c>
      <c r="S1024" s="625">
        <f t="shared" si="239"/>
        <v>71940.927123287678</v>
      </c>
      <c r="T1024" s="616">
        <f t="shared" si="240"/>
        <v>0</v>
      </c>
      <c r="U1024" s="616">
        <f t="shared" si="241"/>
        <v>73005</v>
      </c>
    </row>
    <row r="1025" spans="2:21" ht="14.65">
      <c r="B1025" s="13">
        <f t="shared" si="242"/>
        <v>40</v>
      </c>
      <c r="C1025" s="530" t="s">
        <v>2345</v>
      </c>
      <c r="D1025" s="639" t="s">
        <v>29</v>
      </c>
      <c r="E1025" s="530" t="s">
        <v>3533</v>
      </c>
      <c r="F1025" s="620">
        <v>44960</v>
      </c>
      <c r="G1025" s="620">
        <v>44960</v>
      </c>
      <c r="H1025" s="530" t="s">
        <v>551</v>
      </c>
      <c r="I1025" s="620">
        <v>44960</v>
      </c>
      <c r="J1025" s="619">
        <v>67138</v>
      </c>
      <c r="K1025" s="619">
        <v>5867</v>
      </c>
      <c r="L1025" s="619"/>
      <c r="M1025" s="619"/>
      <c r="N1025" s="619">
        <f t="shared" si="235"/>
        <v>73005</v>
      </c>
      <c r="O1025" s="637">
        <f>'[87]Add22-23'!$N$1-I1025</f>
        <v>56</v>
      </c>
      <c r="P1025" s="618">
        <v>10</v>
      </c>
      <c r="Q1025" s="617">
        <f t="shared" si="237"/>
        <v>9.8465753424657532</v>
      </c>
      <c r="R1025" s="625">
        <f t="shared" si="238"/>
        <v>1064.0728767123289</v>
      </c>
      <c r="S1025" s="625">
        <f t="shared" si="239"/>
        <v>71940.927123287678</v>
      </c>
      <c r="T1025" s="616">
        <f t="shared" si="240"/>
        <v>0</v>
      </c>
      <c r="U1025" s="616">
        <f t="shared" si="241"/>
        <v>73005</v>
      </c>
    </row>
    <row r="1026" spans="2:21" ht="14.65">
      <c r="B1026" s="13">
        <f t="shared" si="242"/>
        <v>41</v>
      </c>
      <c r="C1026" s="530" t="s">
        <v>2345</v>
      </c>
      <c r="D1026" s="639" t="s">
        <v>29</v>
      </c>
      <c r="E1026" s="530" t="s">
        <v>3532</v>
      </c>
      <c r="F1026" s="620">
        <v>44960</v>
      </c>
      <c r="G1026" s="620">
        <v>44962</v>
      </c>
      <c r="H1026" s="530" t="s">
        <v>551</v>
      </c>
      <c r="I1026" s="620">
        <v>44962</v>
      </c>
      <c r="J1026" s="619">
        <v>67138</v>
      </c>
      <c r="K1026" s="619">
        <v>5867</v>
      </c>
      <c r="L1026" s="619"/>
      <c r="M1026" s="619"/>
      <c r="N1026" s="619">
        <f t="shared" si="235"/>
        <v>73005</v>
      </c>
      <c r="O1026" s="637">
        <f>'[87]Add22-23'!$N$1-I1026</f>
        <v>54</v>
      </c>
      <c r="P1026" s="618">
        <v>10</v>
      </c>
      <c r="Q1026" s="617">
        <f t="shared" si="237"/>
        <v>9.8520547945205479</v>
      </c>
      <c r="R1026" s="625">
        <f t="shared" si="238"/>
        <v>1026.0702739726028</v>
      </c>
      <c r="S1026" s="625">
        <f t="shared" si="239"/>
        <v>71978.929726027403</v>
      </c>
      <c r="T1026" s="616">
        <f t="shared" si="240"/>
        <v>0</v>
      </c>
      <c r="U1026" s="616">
        <f t="shared" si="241"/>
        <v>73005</v>
      </c>
    </row>
    <row r="1027" spans="2:21" ht="14.65">
      <c r="B1027" s="13">
        <f t="shared" si="242"/>
        <v>42</v>
      </c>
      <c r="C1027" s="530" t="s">
        <v>2345</v>
      </c>
      <c r="D1027" s="639" t="s">
        <v>29</v>
      </c>
      <c r="E1027" s="530" t="s">
        <v>3531</v>
      </c>
      <c r="F1027" s="620">
        <v>44960</v>
      </c>
      <c r="G1027" s="620">
        <v>44962</v>
      </c>
      <c r="H1027" s="530" t="s">
        <v>551</v>
      </c>
      <c r="I1027" s="620">
        <v>44962</v>
      </c>
      <c r="J1027" s="619">
        <v>67138</v>
      </c>
      <c r="K1027" s="619">
        <v>5867</v>
      </c>
      <c r="L1027" s="619"/>
      <c r="M1027" s="619"/>
      <c r="N1027" s="619">
        <f t="shared" si="235"/>
        <v>73005</v>
      </c>
      <c r="O1027" s="637">
        <f>'[87]Add22-23'!$N$1-I1027</f>
        <v>54</v>
      </c>
      <c r="P1027" s="618">
        <v>10</v>
      </c>
      <c r="Q1027" s="617">
        <f t="shared" si="237"/>
        <v>9.8520547945205479</v>
      </c>
      <c r="R1027" s="625">
        <f t="shared" si="238"/>
        <v>1026.0702739726028</v>
      </c>
      <c r="S1027" s="625">
        <f t="shared" si="239"/>
        <v>71978.929726027403</v>
      </c>
      <c r="T1027" s="616">
        <f t="shared" si="240"/>
        <v>0</v>
      </c>
      <c r="U1027" s="616">
        <f t="shared" si="241"/>
        <v>73005</v>
      </c>
    </row>
    <row r="1028" spans="2:21" ht="14.65">
      <c r="B1028" s="13">
        <f t="shared" si="242"/>
        <v>43</v>
      </c>
      <c r="C1028" s="530" t="s">
        <v>2345</v>
      </c>
      <c r="D1028" s="639" t="s">
        <v>29</v>
      </c>
      <c r="E1028" s="530" t="s">
        <v>3530</v>
      </c>
      <c r="F1028" s="620">
        <v>44960</v>
      </c>
      <c r="G1028" s="620">
        <v>44962</v>
      </c>
      <c r="H1028" s="530" t="s">
        <v>551</v>
      </c>
      <c r="I1028" s="620">
        <v>44962</v>
      </c>
      <c r="J1028" s="619">
        <v>67138</v>
      </c>
      <c r="K1028" s="619">
        <v>5867</v>
      </c>
      <c r="L1028" s="619"/>
      <c r="M1028" s="619"/>
      <c r="N1028" s="619">
        <f t="shared" si="235"/>
        <v>73005</v>
      </c>
      <c r="O1028" s="637">
        <f>'[87]Add22-23'!$N$1-I1028</f>
        <v>54</v>
      </c>
      <c r="P1028" s="618">
        <v>10</v>
      </c>
      <c r="Q1028" s="617">
        <f t="shared" si="237"/>
        <v>9.8520547945205479</v>
      </c>
      <c r="R1028" s="625">
        <f t="shared" si="238"/>
        <v>1026.0702739726028</v>
      </c>
      <c r="S1028" s="625">
        <f t="shared" si="239"/>
        <v>71978.929726027403</v>
      </c>
      <c r="T1028" s="616">
        <f t="shared" si="240"/>
        <v>0</v>
      </c>
      <c r="U1028" s="616">
        <f t="shared" si="241"/>
        <v>73005</v>
      </c>
    </row>
    <row r="1029" spans="2:21" ht="14.65">
      <c r="B1029" s="13">
        <f t="shared" si="242"/>
        <v>44</v>
      </c>
      <c r="C1029" s="530" t="s">
        <v>2345</v>
      </c>
      <c r="D1029" s="639" t="s">
        <v>29</v>
      </c>
      <c r="E1029" s="530" t="s">
        <v>3529</v>
      </c>
      <c r="F1029" s="620">
        <v>44960</v>
      </c>
      <c r="G1029" s="620">
        <v>44962</v>
      </c>
      <c r="H1029" s="530" t="s">
        <v>551</v>
      </c>
      <c r="I1029" s="620">
        <v>44962</v>
      </c>
      <c r="J1029" s="619">
        <v>67138</v>
      </c>
      <c r="K1029" s="619">
        <v>5867</v>
      </c>
      <c r="L1029" s="619"/>
      <c r="M1029" s="619"/>
      <c r="N1029" s="619">
        <f t="shared" si="235"/>
        <v>73005</v>
      </c>
      <c r="O1029" s="637">
        <f>'[87]Add22-23'!$N$1-I1029</f>
        <v>54</v>
      </c>
      <c r="P1029" s="618">
        <v>10</v>
      </c>
      <c r="Q1029" s="617">
        <f t="shared" si="237"/>
        <v>9.8520547945205479</v>
      </c>
      <c r="R1029" s="625">
        <f t="shared" si="238"/>
        <v>1026.0702739726028</v>
      </c>
      <c r="S1029" s="625">
        <f t="shared" si="239"/>
        <v>71978.929726027403</v>
      </c>
      <c r="T1029" s="616">
        <f t="shared" si="240"/>
        <v>0</v>
      </c>
      <c r="U1029" s="616">
        <f t="shared" si="241"/>
        <v>73005</v>
      </c>
    </row>
    <row r="1030" spans="2:21" ht="14.65">
      <c r="B1030" s="13">
        <f t="shared" si="242"/>
        <v>45</v>
      </c>
      <c r="C1030" s="530" t="s">
        <v>3528</v>
      </c>
      <c r="D1030" s="639" t="s">
        <v>29</v>
      </c>
      <c r="E1030" s="530">
        <v>11</v>
      </c>
      <c r="F1030" s="620">
        <v>44915</v>
      </c>
      <c r="G1030" s="620">
        <v>44971</v>
      </c>
      <c r="H1030" s="530" t="s">
        <v>3527</v>
      </c>
      <c r="I1030" s="620">
        <v>44971</v>
      </c>
      <c r="J1030" s="619">
        <v>554297</v>
      </c>
      <c r="K1030" s="619"/>
      <c r="L1030" s="619">
        <v>4296</v>
      </c>
      <c r="M1030" s="619">
        <v>120313</v>
      </c>
      <c r="N1030" s="619">
        <f t="shared" si="235"/>
        <v>429688</v>
      </c>
      <c r="O1030" s="637">
        <f>'[87]Add22-23'!$N$1-I1030</f>
        <v>45</v>
      </c>
      <c r="P1030" s="618">
        <v>10</v>
      </c>
      <c r="Q1030" s="617">
        <f t="shared" si="237"/>
        <v>9.8767123287671232</v>
      </c>
      <c r="R1030" s="625">
        <f t="shared" si="238"/>
        <v>5032.6471232876711</v>
      </c>
      <c r="S1030" s="625">
        <f t="shared" si="239"/>
        <v>424655.35287671234</v>
      </c>
      <c r="T1030" s="616">
        <f t="shared" si="240"/>
        <v>0</v>
      </c>
      <c r="U1030" s="616">
        <f t="shared" si="241"/>
        <v>429688</v>
      </c>
    </row>
    <row r="1031" spans="2:21" ht="14.65">
      <c r="B1031" s="13">
        <f t="shared" si="242"/>
        <v>46</v>
      </c>
      <c r="C1031" s="530" t="s">
        <v>2345</v>
      </c>
      <c r="D1031" s="639" t="s">
        <v>29</v>
      </c>
      <c r="E1031" s="530" t="s">
        <v>3628</v>
      </c>
      <c r="F1031" s="620">
        <v>45014</v>
      </c>
      <c r="G1031" s="620">
        <v>45014</v>
      </c>
      <c r="H1031" s="530" t="s">
        <v>551</v>
      </c>
      <c r="I1031" s="620">
        <v>45014</v>
      </c>
      <c r="J1031" s="619">
        <v>65538</v>
      </c>
      <c r="K1031" s="619"/>
      <c r="L1031" s="619"/>
      <c r="M1031" s="619"/>
      <c r="N1031" s="619">
        <f t="shared" ref="N1031:N1033" si="244">J1031+K1031-L1031-M1031</f>
        <v>65538</v>
      </c>
      <c r="O1031" s="637">
        <f>'[87]Add22-23'!$N$1-I1031</f>
        <v>2</v>
      </c>
      <c r="P1031" s="618">
        <v>10</v>
      </c>
      <c r="Q1031" s="617">
        <f t="shared" ref="Q1031:Q1033" si="245">P1031-(O1031/365)</f>
        <v>9.9945205479452053</v>
      </c>
      <c r="R1031" s="625">
        <f t="shared" ref="R1031:R1033" si="246">N1031*95%/P1031*O1031/365</f>
        <v>34.115671232876707</v>
      </c>
      <c r="S1031" s="625">
        <f t="shared" ref="S1031:S1033" si="247">N1031-R1031</f>
        <v>65503.884328767126</v>
      </c>
      <c r="T1031" s="616">
        <f t="shared" ref="T1031:T1033" si="248">IF(I1031&lt;=DATE(2022,9,30),N1031,0)</f>
        <v>0</v>
      </c>
      <c r="U1031" s="616">
        <f t="shared" ref="U1031:U1033" si="249">IF(I1031&gt;DATE(2022,9,30),N1031,0)</f>
        <v>65538</v>
      </c>
    </row>
    <row r="1032" spans="2:21" ht="14.65">
      <c r="B1032" s="13">
        <f t="shared" si="242"/>
        <v>47</v>
      </c>
      <c r="C1032" s="530" t="s">
        <v>2345</v>
      </c>
      <c r="D1032" s="639" t="s">
        <v>29</v>
      </c>
      <c r="E1032" s="530" t="s">
        <v>3629</v>
      </c>
      <c r="F1032" s="620">
        <v>45014</v>
      </c>
      <c r="G1032" s="620">
        <v>45014</v>
      </c>
      <c r="H1032" s="530" t="s">
        <v>551</v>
      </c>
      <c r="I1032" s="620">
        <v>45014</v>
      </c>
      <c r="J1032" s="619">
        <v>65538</v>
      </c>
      <c r="K1032" s="619"/>
      <c r="L1032" s="619"/>
      <c r="M1032" s="619"/>
      <c r="N1032" s="619">
        <f t="shared" si="244"/>
        <v>65538</v>
      </c>
      <c r="O1032" s="637">
        <f>'[87]Add22-23'!$N$1-I1032</f>
        <v>2</v>
      </c>
      <c r="P1032" s="618">
        <v>10</v>
      </c>
      <c r="Q1032" s="617">
        <f t="shared" si="245"/>
        <v>9.9945205479452053</v>
      </c>
      <c r="R1032" s="625">
        <f t="shared" si="246"/>
        <v>34.115671232876707</v>
      </c>
      <c r="S1032" s="625">
        <f t="shared" si="247"/>
        <v>65503.884328767126</v>
      </c>
      <c r="T1032" s="616">
        <f t="shared" si="248"/>
        <v>0</v>
      </c>
      <c r="U1032" s="616">
        <f t="shared" si="249"/>
        <v>65538</v>
      </c>
    </row>
    <row r="1033" spans="2:21" ht="14.65">
      <c r="B1033" s="13">
        <f t="shared" si="242"/>
        <v>48</v>
      </c>
      <c r="C1033" s="530" t="s">
        <v>2345</v>
      </c>
      <c r="D1033" s="639" t="s">
        <v>29</v>
      </c>
      <c r="E1033" s="530" t="s">
        <v>3630</v>
      </c>
      <c r="F1033" s="620">
        <v>45014</v>
      </c>
      <c r="G1033" s="620">
        <v>45014</v>
      </c>
      <c r="H1033" s="530" t="s">
        <v>551</v>
      </c>
      <c r="I1033" s="620">
        <v>45014</v>
      </c>
      <c r="J1033" s="619">
        <v>65038</v>
      </c>
      <c r="K1033" s="619"/>
      <c r="L1033" s="619"/>
      <c r="M1033" s="619"/>
      <c r="N1033" s="619">
        <f t="shared" si="244"/>
        <v>65038</v>
      </c>
      <c r="O1033" s="637">
        <f>'[87]Add22-23'!$N$1-I1033</f>
        <v>2</v>
      </c>
      <c r="P1033" s="618">
        <v>10</v>
      </c>
      <c r="Q1033" s="617">
        <f t="shared" si="245"/>
        <v>9.9945205479452053</v>
      </c>
      <c r="R1033" s="625">
        <f t="shared" si="246"/>
        <v>33.855397260273968</v>
      </c>
      <c r="S1033" s="625">
        <f t="shared" si="247"/>
        <v>65004.144602739725</v>
      </c>
      <c r="T1033" s="616">
        <f t="shared" si="248"/>
        <v>0</v>
      </c>
      <c r="U1033" s="616">
        <f t="shared" si="249"/>
        <v>65038</v>
      </c>
    </row>
    <row r="1034" spans="2:21" ht="14.65">
      <c r="B1034" s="13">
        <f t="shared" si="242"/>
        <v>49</v>
      </c>
      <c r="C1034" s="530" t="s">
        <v>2399</v>
      </c>
      <c r="D1034" s="622" t="s">
        <v>3449</v>
      </c>
      <c r="E1034" s="629" t="s">
        <v>3448</v>
      </c>
      <c r="F1034" s="620">
        <v>44935</v>
      </c>
      <c r="G1034" s="620">
        <v>44935</v>
      </c>
      <c r="H1034" s="530" t="s">
        <v>2419</v>
      </c>
      <c r="I1034" s="620">
        <v>44935</v>
      </c>
      <c r="J1034" s="619">
        <v>1855135</v>
      </c>
      <c r="K1034" s="627">
        <f>10000+77634+44639+216740</f>
        <v>349013</v>
      </c>
      <c r="L1034" s="619">
        <v>0</v>
      </c>
      <c r="M1034" s="619">
        <v>0</v>
      </c>
      <c r="N1034" s="619">
        <f>J1034+K1034-L1034-M1034</f>
        <v>2204148</v>
      </c>
      <c r="O1034" s="17">
        <f>$O$1-I1034</f>
        <v>81</v>
      </c>
      <c r="P1034" s="33">
        <v>8</v>
      </c>
      <c r="Q1034" s="617">
        <f>P1034-(O1034/365)</f>
        <v>7.7780821917808218</v>
      </c>
      <c r="R1034" s="625">
        <f>N1034*95%/P1034*O1034/365</f>
        <v>58085.338561643832</v>
      </c>
      <c r="S1034" s="625">
        <f>N1034-R1034</f>
        <v>2146062.6614383562</v>
      </c>
      <c r="T1034" s="616">
        <f>IF(I1034&lt;=DATE(2022,9,30),N1034,0)</f>
        <v>0</v>
      </c>
      <c r="U1034" s="616">
        <f>IF(I1034&gt;DATE(2022,9,30),N1034,0)</f>
        <v>2204148</v>
      </c>
    </row>
    <row r="1035" spans="2:21" ht="14.65">
      <c r="B1035" s="13">
        <f t="shared" si="242"/>
        <v>50</v>
      </c>
      <c r="C1035" s="530" t="s">
        <v>2345</v>
      </c>
      <c r="D1035" s="622" t="s">
        <v>3449</v>
      </c>
      <c r="E1035" s="530" t="s">
        <v>3526</v>
      </c>
      <c r="F1035" s="620">
        <v>44947</v>
      </c>
      <c r="G1035" s="620">
        <v>44971</v>
      </c>
      <c r="H1035" s="530" t="s">
        <v>3525</v>
      </c>
      <c r="I1035" s="620">
        <v>44971</v>
      </c>
      <c r="J1035" s="619">
        <v>78608</v>
      </c>
      <c r="K1035" s="619">
        <f>6321+7018</f>
        <v>13339</v>
      </c>
      <c r="L1035" s="619"/>
      <c r="M1035" s="619"/>
      <c r="N1035" s="619">
        <f>J1035+K1035-L1035-M1035</f>
        <v>91947</v>
      </c>
      <c r="O1035" s="637">
        <f>'[87]Add22-23'!$N$1-I1035</f>
        <v>45</v>
      </c>
      <c r="P1035" s="618">
        <v>10</v>
      </c>
      <c r="Q1035" s="617">
        <f>P1035-(O1035/365)</f>
        <v>9.8767123287671232</v>
      </c>
      <c r="R1035" s="625">
        <f>N1035*95%/P1035*O1035/365</f>
        <v>1076.9134931506849</v>
      </c>
      <c r="S1035" s="625">
        <f>N1035-R1035</f>
        <v>90870.086506849315</v>
      </c>
      <c r="T1035" s="616">
        <f>IF(I1035&lt;=DATE(2022,9,30),N1035,0)</f>
        <v>0</v>
      </c>
      <c r="U1035" s="616">
        <f>IF(I1035&gt;DATE(2022,9,30),N1035,0)</f>
        <v>91947</v>
      </c>
    </row>
    <row r="1036" spans="2:21" ht="14.65">
      <c r="B1036" s="13">
        <f t="shared" si="242"/>
        <v>51</v>
      </c>
      <c r="C1036" s="530" t="s">
        <v>2345</v>
      </c>
      <c r="D1036" s="622" t="s">
        <v>3615</v>
      </c>
      <c r="E1036" s="530" t="s">
        <v>24</v>
      </c>
      <c r="F1036" s="620">
        <v>44681</v>
      </c>
      <c r="G1036" s="620">
        <v>45015</v>
      </c>
      <c r="H1036" s="530" t="s">
        <v>24</v>
      </c>
      <c r="I1036" s="620">
        <v>44681</v>
      </c>
      <c r="J1036" s="619">
        <v>89226</v>
      </c>
      <c r="K1036" s="619">
        <v>0</v>
      </c>
      <c r="L1036" s="619"/>
      <c r="M1036" s="619"/>
      <c r="N1036" s="619">
        <f>J1036+K1036-L1036-M1036</f>
        <v>89226</v>
      </c>
      <c r="O1036" s="637">
        <f>'[87]Add22-23'!$N$1-I1036</f>
        <v>335</v>
      </c>
      <c r="P1036" s="618">
        <v>10</v>
      </c>
      <c r="Q1036" s="617">
        <f>P1036-(O1036/365)</f>
        <v>9.0821917808219172</v>
      </c>
      <c r="R1036" s="625">
        <f>N1036*95%/P1036*O1036/365</f>
        <v>7779.7738356164373</v>
      </c>
      <c r="S1036" s="625">
        <f>N1036-R1036</f>
        <v>81446.226164383566</v>
      </c>
      <c r="T1036" s="616">
        <f>IF(I1036&lt;=DATE(2022,9,30),N1036,0)</f>
        <v>89226</v>
      </c>
      <c r="U1036" s="616">
        <f>IF(I1036&gt;DATE(2022,9,30),N1036,0)</f>
        <v>0</v>
      </c>
    </row>
    <row r="1037" spans="2:21" ht="14.65">
      <c r="B1037" s="13">
        <f t="shared" si="242"/>
        <v>52</v>
      </c>
      <c r="C1037" s="530" t="s">
        <v>3447</v>
      </c>
      <c r="D1037" s="622" t="s">
        <v>28</v>
      </c>
      <c r="E1037" s="629" t="s">
        <v>3446</v>
      </c>
      <c r="F1037" s="620">
        <v>44929</v>
      </c>
      <c r="G1037" s="620">
        <v>44929</v>
      </c>
      <c r="H1037" s="530" t="s">
        <v>3445</v>
      </c>
      <c r="I1037" s="620">
        <v>44929</v>
      </c>
      <c r="J1037" s="619">
        <v>1746400</v>
      </c>
      <c r="K1037" s="619"/>
      <c r="L1037" s="619"/>
      <c r="M1037" s="619">
        <v>266400</v>
      </c>
      <c r="N1037" s="619">
        <f>J1037+K1037-L1037-M1037</f>
        <v>1480000</v>
      </c>
      <c r="O1037" s="17">
        <f>$O$1-I1037</f>
        <v>87</v>
      </c>
      <c r="P1037" s="33">
        <v>8</v>
      </c>
      <c r="Q1037" s="617">
        <f>P1037-(O1037/365)</f>
        <v>7.7616438356164386</v>
      </c>
      <c r="R1037" s="625">
        <f>N1037*95%/P1037*O1037/365</f>
        <v>41891.095890410958</v>
      </c>
      <c r="S1037" s="625">
        <f>N1037-R1037</f>
        <v>1438108.9041095891</v>
      </c>
      <c r="T1037" s="616">
        <f>IF(I1037&lt;=DATE(2022,9,30),N1037,0)</f>
        <v>0</v>
      </c>
      <c r="U1037" s="616">
        <f>IF(I1037&gt;DATE(2022,9,30),N1037,0)</f>
        <v>1480000</v>
      </c>
    </row>
    <row r="1038" spans="2:21" ht="14.65">
      <c r="B1038" s="13">
        <f t="shared" si="242"/>
        <v>53</v>
      </c>
      <c r="C1038" s="530" t="s">
        <v>2345</v>
      </c>
      <c r="D1038" s="107" t="s">
        <v>880</v>
      </c>
      <c r="E1038" s="629">
        <v>10887</v>
      </c>
      <c r="F1038" s="620">
        <v>45016</v>
      </c>
      <c r="G1038" s="620">
        <v>45016</v>
      </c>
      <c r="H1038" s="530"/>
      <c r="I1038" s="620">
        <v>45016</v>
      </c>
      <c r="J1038" s="619">
        <v>91000</v>
      </c>
      <c r="K1038" s="619"/>
      <c r="L1038" s="619"/>
      <c r="M1038" s="619"/>
      <c r="N1038" s="619">
        <f t="shared" ref="N1038:N1039" si="250">J1038+K1038-L1038-M1038</f>
        <v>91000</v>
      </c>
      <c r="O1038" s="17">
        <f t="shared" ref="O1038:O1039" si="251">$O$1-I1038</f>
        <v>0</v>
      </c>
      <c r="P1038" s="33">
        <v>8</v>
      </c>
      <c r="Q1038" s="617">
        <f t="shared" ref="Q1038:Q1039" si="252">P1038-(O1038/365)</f>
        <v>8</v>
      </c>
      <c r="R1038" s="625">
        <f t="shared" ref="R1038:R1039" si="253">N1038*95%/P1038*O1038/365</f>
        <v>0</v>
      </c>
      <c r="S1038" s="625">
        <f t="shared" ref="S1038:S1039" si="254">N1038-R1038</f>
        <v>91000</v>
      </c>
      <c r="T1038" s="616">
        <f t="shared" ref="T1038:T1039" si="255">IF(I1038&lt;=DATE(2022,9,30),N1038,0)</f>
        <v>0</v>
      </c>
      <c r="U1038" s="616">
        <f t="shared" ref="U1038:U1039" si="256">IF(I1038&gt;DATE(2022,9,30),N1038,0)</f>
        <v>91000</v>
      </c>
    </row>
    <row r="1039" spans="2:21" ht="14.65">
      <c r="B1039" s="13">
        <f t="shared" si="242"/>
        <v>54</v>
      </c>
      <c r="C1039" s="530" t="s">
        <v>2345</v>
      </c>
      <c r="D1039" s="107" t="s">
        <v>880</v>
      </c>
      <c r="E1039" s="629">
        <v>10191</v>
      </c>
      <c r="F1039" s="620">
        <v>45016</v>
      </c>
      <c r="G1039" s="620">
        <v>45016</v>
      </c>
      <c r="H1039" s="530"/>
      <c r="I1039" s="620">
        <v>45016</v>
      </c>
      <c r="J1039" s="619">
        <v>96966</v>
      </c>
      <c r="K1039" s="619"/>
      <c r="L1039" s="619"/>
      <c r="M1039" s="619"/>
      <c r="N1039" s="619">
        <f t="shared" si="250"/>
        <v>96966</v>
      </c>
      <c r="O1039" s="17">
        <f t="shared" si="251"/>
        <v>0</v>
      </c>
      <c r="P1039" s="33">
        <v>8</v>
      </c>
      <c r="Q1039" s="617">
        <f t="shared" si="252"/>
        <v>8</v>
      </c>
      <c r="R1039" s="625">
        <f t="shared" si="253"/>
        <v>0</v>
      </c>
      <c r="S1039" s="625">
        <f t="shared" si="254"/>
        <v>96966</v>
      </c>
      <c r="T1039" s="616">
        <f t="shared" si="255"/>
        <v>0</v>
      </c>
      <c r="U1039" s="616">
        <f t="shared" si="256"/>
        <v>96966</v>
      </c>
    </row>
    <row r="1040" spans="2:21" ht="14.65">
      <c r="B1040" s="13">
        <f t="shared" si="242"/>
        <v>55</v>
      </c>
      <c r="C1040" s="530" t="s">
        <v>2345</v>
      </c>
      <c r="D1040" s="107" t="s">
        <v>879</v>
      </c>
      <c r="E1040" s="530">
        <v>1238</v>
      </c>
      <c r="F1040" s="620">
        <v>44945</v>
      </c>
      <c r="G1040" s="620">
        <v>45016</v>
      </c>
      <c r="H1040" s="530" t="s">
        <v>3640</v>
      </c>
      <c r="I1040" s="620">
        <v>44946</v>
      </c>
      <c r="J1040" s="619">
        <v>66388</v>
      </c>
      <c r="K1040" s="619">
        <v>0</v>
      </c>
      <c r="L1040" s="619"/>
      <c r="M1040" s="619"/>
      <c r="N1040" s="619">
        <f>J1040+K1040-L1040-M1040</f>
        <v>66388</v>
      </c>
      <c r="O1040" s="637">
        <f>'[87]Add22-23'!$N$1-I1040</f>
        <v>70</v>
      </c>
      <c r="P1040" s="618">
        <v>10</v>
      </c>
      <c r="Q1040" s="617">
        <f>P1040-(O1040/365)</f>
        <v>9.8082191780821919</v>
      </c>
      <c r="R1040" s="625">
        <f>N1040*95%/P1040*O1040/365</f>
        <v>1209.5347945205478</v>
      </c>
      <c r="S1040" s="625">
        <f>N1040-R1040</f>
        <v>65178.46520547945</v>
      </c>
      <c r="T1040" s="616">
        <f>IF(I1040&lt;=DATE(2022,9,30),N1040,0)</f>
        <v>0</v>
      </c>
      <c r="U1040" s="616">
        <f>IF(I1040&gt;DATE(2022,9,30),N1040,0)</f>
        <v>66388</v>
      </c>
    </row>
    <row r="1041" spans="2:22" ht="19.5" customHeight="1">
      <c r="B1041" s="18"/>
      <c r="C1041" s="29" t="s">
        <v>30</v>
      </c>
      <c r="D1041" s="18"/>
      <c r="E1041" s="635"/>
      <c r="F1041" s="33"/>
      <c r="G1041" s="33"/>
      <c r="H1041" s="18"/>
      <c r="I1041" s="18"/>
      <c r="J1041" s="41">
        <f>SUM(J986:J1040)</f>
        <v>15341807.800000001</v>
      </c>
      <c r="K1041" s="41">
        <f>SUM(K986:K1040)</f>
        <v>933423</v>
      </c>
      <c r="L1041" s="41">
        <f>SUM(L986:L1040)</f>
        <v>14531</v>
      </c>
      <c r="M1041" s="41">
        <f>SUM(M986:M1040)</f>
        <v>1007760.5</v>
      </c>
      <c r="N1041" s="41">
        <f>SUM(N986:N1040)</f>
        <v>15252939.300000001</v>
      </c>
      <c r="O1041" s="18"/>
      <c r="P1041" s="33"/>
      <c r="Q1041" s="18"/>
      <c r="R1041" s="41">
        <f>SUM(R986:R1040)</f>
        <v>770193.78744006867</v>
      </c>
      <c r="S1041" s="41">
        <f>SUM(S986:S1040)</f>
        <v>14482745.512559928</v>
      </c>
      <c r="T1041" s="41">
        <f>SUM(T986:T1040)</f>
        <v>6238727.7999999998</v>
      </c>
      <c r="U1041" s="41">
        <f>SUM(U986:U1040)</f>
        <v>9014211.5</v>
      </c>
    </row>
    <row r="1042" spans="2:22" ht="14.65">
      <c r="B1042" s="42"/>
      <c r="C1042" s="42"/>
      <c r="D1042" s="42"/>
      <c r="E1042" s="44"/>
      <c r="F1042" s="42"/>
      <c r="G1042" s="42"/>
      <c r="H1042" s="42"/>
      <c r="I1042" s="42"/>
      <c r="J1042" s="43"/>
      <c r="K1042" s="44"/>
      <c r="L1042" s="44"/>
      <c r="M1042" s="44"/>
      <c r="N1042" s="44"/>
      <c r="O1042" s="42"/>
      <c r="P1042" s="42"/>
      <c r="Q1042" s="42"/>
      <c r="R1042" s="45"/>
      <c r="S1042" s="45"/>
      <c r="T1042" s="45"/>
      <c r="U1042" s="45"/>
    </row>
    <row r="1043" spans="2:22" ht="14.65">
      <c r="B1043" s="42"/>
      <c r="C1043" s="42"/>
      <c r="D1043" s="42"/>
      <c r="E1043" s="44"/>
      <c r="F1043" s="42"/>
      <c r="G1043" s="42"/>
      <c r="H1043" s="42"/>
      <c r="I1043" s="42"/>
      <c r="J1043" s="43"/>
      <c r="K1043" s="44"/>
      <c r="L1043" s="44"/>
      <c r="M1043" s="44"/>
      <c r="N1043" s="44"/>
      <c r="O1043" s="42"/>
      <c r="P1043" s="42"/>
      <c r="Q1043" s="42"/>
      <c r="R1043" s="45"/>
      <c r="S1043" s="45"/>
      <c r="T1043" s="45"/>
      <c r="U1043" s="45"/>
    </row>
    <row r="1044" spans="2:22" ht="14.65" thickBot="1">
      <c r="E1044" s="47"/>
      <c r="H1044" s="46" t="s">
        <v>55</v>
      </c>
      <c r="J1044" s="47"/>
      <c r="K1044" s="47"/>
      <c r="L1044" s="47"/>
      <c r="M1044" s="47"/>
      <c r="N1044" s="47"/>
      <c r="R1044" s="48"/>
      <c r="S1044" s="48"/>
      <c r="T1044" s="49"/>
      <c r="U1044" s="49"/>
    </row>
    <row r="1045" spans="2:22">
      <c r="E1045" s="47"/>
      <c r="H1045" s="50" t="s">
        <v>2</v>
      </c>
      <c r="I1045" s="51"/>
      <c r="J1045" s="52">
        <f>+J678</f>
        <v>2364338187.6200004</v>
      </c>
      <c r="K1045" s="52">
        <f>+K678</f>
        <v>20902765</v>
      </c>
      <c r="L1045" s="52">
        <f>+L678</f>
        <v>12154370</v>
      </c>
      <c r="M1045" s="52">
        <f>+M678</f>
        <v>410470521.21000016</v>
      </c>
      <c r="N1045" s="76">
        <f>J1045+K1045-L1045-M1045</f>
        <v>1962616061.4100003</v>
      </c>
      <c r="O1045" s="53"/>
      <c r="P1045" s="54"/>
      <c r="Q1045" s="79"/>
      <c r="R1045" s="56">
        <f>+R678</f>
        <v>82387955.939075351</v>
      </c>
      <c r="S1045" s="55">
        <f>+S678</f>
        <v>1880228105.4709241</v>
      </c>
      <c r="T1045" s="55">
        <f>+T678</f>
        <v>538510173.05999994</v>
      </c>
      <c r="U1045" s="55">
        <f>+U678</f>
        <v>1424105888.3500004</v>
      </c>
      <c r="V1045" s="57" t="s">
        <v>24</v>
      </c>
    </row>
    <row r="1046" spans="2:22">
      <c r="E1046" s="47"/>
      <c r="H1046" s="58" t="s">
        <v>37</v>
      </c>
      <c r="J1046" s="48">
        <f>+J1041</f>
        <v>15341807.800000001</v>
      </c>
      <c r="K1046" s="48">
        <f>+K1041</f>
        <v>933423</v>
      </c>
      <c r="L1046" s="48">
        <f>+L1041</f>
        <v>14531</v>
      </c>
      <c r="M1046" s="48">
        <f>+M1041</f>
        <v>1007760.5</v>
      </c>
      <c r="N1046" s="48">
        <f t="shared" ref="N1046:N1051" si="257">J1046+K1046-L1046-M1046</f>
        <v>15252939.300000001</v>
      </c>
      <c r="O1046" s="59"/>
      <c r="P1046" s="57"/>
      <c r="Q1046" s="80"/>
      <c r="R1046" s="61">
        <f>+R1041</f>
        <v>770193.78744006867</v>
      </c>
      <c r="S1046" s="60">
        <f>+S1041</f>
        <v>14482745.512559928</v>
      </c>
      <c r="T1046" s="60">
        <f>+T1041</f>
        <v>6238727.7999999998</v>
      </c>
      <c r="U1046" s="60">
        <f>+U1041</f>
        <v>9014211.5</v>
      </c>
    </row>
    <row r="1047" spans="2:22">
      <c r="E1047" s="47"/>
      <c r="H1047" s="58" t="s">
        <v>36</v>
      </c>
      <c r="J1047" s="48">
        <f>+J984</f>
        <v>1711458.06</v>
      </c>
      <c r="K1047" s="48">
        <f>+K984</f>
        <v>0</v>
      </c>
      <c r="L1047" s="48">
        <f>+L984</f>
        <v>0</v>
      </c>
      <c r="M1047" s="48">
        <f>+M984</f>
        <v>341355.83999999997</v>
      </c>
      <c r="N1047" s="48">
        <f t="shared" si="257"/>
        <v>1370102.2200000002</v>
      </c>
      <c r="O1047" s="59"/>
      <c r="P1047" s="57"/>
      <c r="Q1047" s="80"/>
      <c r="R1047" s="61">
        <f>+R984</f>
        <v>127912.65431287671</v>
      </c>
      <c r="S1047" s="60">
        <f>+S984</f>
        <v>1242189.5656871232</v>
      </c>
      <c r="T1047" s="60">
        <f>+T984</f>
        <v>776975.2</v>
      </c>
      <c r="U1047" s="60">
        <f>+U984</f>
        <v>593127.02</v>
      </c>
    </row>
    <row r="1048" spans="2:22">
      <c r="E1048" s="47"/>
      <c r="H1048" s="58" t="s">
        <v>38</v>
      </c>
      <c r="J1048" s="48">
        <f>+J736</f>
        <v>5742743.4212000007</v>
      </c>
      <c r="K1048" s="48">
        <f>+K736</f>
        <v>0</v>
      </c>
      <c r="L1048" s="48">
        <f>+L736</f>
        <v>0</v>
      </c>
      <c r="M1048" s="48">
        <f>+M736</f>
        <v>868676.59086101712</v>
      </c>
      <c r="N1048" s="48">
        <f t="shared" si="257"/>
        <v>4874066.8303389838</v>
      </c>
      <c r="O1048" s="59"/>
      <c r="P1048" s="57"/>
      <c r="Q1048" s="80"/>
      <c r="R1048" s="61">
        <f>+R736</f>
        <v>680752.97885477927</v>
      </c>
      <c r="S1048" s="60">
        <f>+S736</f>
        <v>4193313.8514842023</v>
      </c>
      <c r="T1048" s="60">
        <f>+T736</f>
        <v>1454664.0100000002</v>
      </c>
      <c r="U1048" s="60">
        <f>+U736</f>
        <v>3419402.8203389826</v>
      </c>
    </row>
    <row r="1049" spans="2:22">
      <c r="E1049" s="47"/>
      <c r="H1049" s="58" t="s">
        <v>32</v>
      </c>
      <c r="J1049" s="48">
        <f>+J803</f>
        <v>4793265.1199999992</v>
      </c>
      <c r="K1049" s="48">
        <f>+K803</f>
        <v>0</v>
      </c>
      <c r="L1049" s="48">
        <f>+L803</f>
        <v>0</v>
      </c>
      <c r="M1049" s="48">
        <f>+M803</f>
        <v>602126.36</v>
      </c>
      <c r="N1049" s="48">
        <f t="shared" si="257"/>
        <v>4191138.7599999993</v>
      </c>
      <c r="O1049" s="59"/>
      <c r="P1049" s="57"/>
      <c r="Q1049" s="80"/>
      <c r="R1049" s="61">
        <f>+R803</f>
        <v>488815.34501643828</v>
      </c>
      <c r="S1049" s="60">
        <f>+S803</f>
        <v>3702323.4149835622</v>
      </c>
      <c r="T1049" s="60">
        <f>+T803</f>
        <v>3198708.42</v>
      </c>
      <c r="U1049" s="60">
        <f>+U803</f>
        <v>992430.34</v>
      </c>
    </row>
    <row r="1050" spans="2:22">
      <c r="E1050" s="47"/>
      <c r="H1050" s="58" t="s">
        <v>33</v>
      </c>
      <c r="J1050" s="48">
        <f>+J808</f>
        <v>16974000</v>
      </c>
      <c r="K1050" s="48">
        <f>+K808</f>
        <v>743395</v>
      </c>
      <c r="L1050" s="48">
        <f>+L808</f>
        <v>0</v>
      </c>
      <c r="M1050" s="48">
        <f>+M808</f>
        <v>0</v>
      </c>
      <c r="N1050" s="48">
        <f>J1050+K1050-L1050-M1050</f>
        <v>17717395</v>
      </c>
      <c r="O1050" s="59"/>
      <c r="P1050" s="57"/>
      <c r="Q1050" s="80"/>
      <c r="R1050" s="61">
        <f>+R804</f>
        <v>0</v>
      </c>
      <c r="S1050" s="60"/>
      <c r="T1050" s="60">
        <f>+N1050</f>
        <v>17717395</v>
      </c>
      <c r="U1050" s="60">
        <f>+U804</f>
        <v>0</v>
      </c>
    </row>
    <row r="1051" spans="2:22" ht="14.65" thickBot="1">
      <c r="E1051" s="47"/>
      <c r="H1051" s="58" t="s">
        <v>39</v>
      </c>
      <c r="J1051" s="48">
        <f>+J956</f>
        <v>52615384.310800001</v>
      </c>
      <c r="K1051" s="48">
        <f>+K956</f>
        <v>0</v>
      </c>
      <c r="L1051" s="48">
        <f>+L956</f>
        <v>720</v>
      </c>
      <c r="M1051" s="48">
        <f>+M956</f>
        <v>7976153.1489355918</v>
      </c>
      <c r="N1051" s="75">
        <f t="shared" si="257"/>
        <v>44638511.161864407</v>
      </c>
      <c r="O1051" s="59"/>
      <c r="P1051" s="57"/>
      <c r="Q1051" s="81"/>
      <c r="R1051" s="77">
        <f>+R956</f>
        <v>11188261.975226693</v>
      </c>
      <c r="S1051" s="78">
        <f>+S956</f>
        <v>33450249.186637729</v>
      </c>
      <c r="T1051" s="78">
        <f>+T956</f>
        <v>26392693.170000009</v>
      </c>
      <c r="U1051" s="78">
        <f>+U956</f>
        <v>18245817.991864406</v>
      </c>
    </row>
    <row r="1052" spans="2:22" ht="14.65" thickBot="1">
      <c r="E1052" s="47"/>
      <c r="H1052" s="62" t="s">
        <v>40</v>
      </c>
      <c r="I1052" s="63"/>
      <c r="J1052" s="64">
        <f>SUM(J1045:J1051)</f>
        <v>2461516846.3320003</v>
      </c>
      <c r="K1052" s="64">
        <f t="shared" ref="K1052:N1052" si="258">SUM(K1045:K1051)</f>
        <v>22579583</v>
      </c>
      <c r="L1052" s="64">
        <f t="shared" si="258"/>
        <v>12169621</v>
      </c>
      <c r="M1052" s="64">
        <f t="shared" si="258"/>
        <v>421266593.64979678</v>
      </c>
      <c r="N1052" s="64">
        <f t="shared" si="258"/>
        <v>2050660214.6822038</v>
      </c>
      <c r="O1052" s="66">
        <f t="shared" ref="O1052" si="259">SUM(O1045:O1051)</f>
        <v>0</v>
      </c>
      <c r="P1052" s="66"/>
      <c r="Q1052" s="67"/>
      <c r="R1052" s="68">
        <f>SUM(R1045:R1051)</f>
        <v>95643892.679926187</v>
      </c>
      <c r="S1052" s="69">
        <f>SUM(S1045:S1051)</f>
        <v>1937298927.0022767</v>
      </c>
      <c r="T1052" s="69">
        <f>SUM(T1045:T1051)</f>
        <v>594289336.65999985</v>
      </c>
      <c r="U1052" s="69">
        <f>SUM(U1045:U1051)</f>
        <v>1456370878.0222037</v>
      </c>
    </row>
    <row r="1053" spans="2:22">
      <c r="E1053" s="47"/>
      <c r="H1053" s="70"/>
      <c r="J1053" s="48"/>
      <c r="K1053" s="48"/>
      <c r="L1053" s="48"/>
      <c r="M1053" s="48"/>
      <c r="N1053" s="48"/>
      <c r="O1053" s="57"/>
      <c r="P1053" s="57"/>
      <c r="R1053" s="48"/>
      <c r="S1053" s="48"/>
      <c r="T1053" s="48"/>
      <c r="U1053" s="48"/>
    </row>
    <row r="1054" spans="2:22">
      <c r="E1054" s="47"/>
      <c r="H1054" s="92" t="s">
        <v>0</v>
      </c>
      <c r="I1054" s="93"/>
      <c r="J1054" s="93"/>
      <c r="K1054" s="93"/>
      <c r="L1054" s="93"/>
      <c r="M1054" s="93"/>
      <c r="N1054" s="93"/>
      <c r="O1054" s="94"/>
      <c r="P1054" s="94"/>
      <c r="Q1054" s="94"/>
      <c r="R1054" s="94"/>
      <c r="S1054" s="48"/>
      <c r="T1054" s="48"/>
      <c r="U1054" s="48"/>
    </row>
    <row r="1055" spans="2:22" ht="22.15" thickBot="1">
      <c r="E1055" s="47"/>
      <c r="H1055" s="644" t="s">
        <v>51</v>
      </c>
      <c r="I1055" s="93"/>
      <c r="J1055" s="93"/>
      <c r="K1055" s="93"/>
      <c r="L1055" s="93"/>
      <c r="M1055" s="93"/>
      <c r="N1055" s="93"/>
      <c r="O1055" s="93"/>
      <c r="P1055" s="93"/>
      <c r="Q1055" s="93"/>
      <c r="R1055" s="95"/>
      <c r="S1055" s="57"/>
      <c r="T1055" s="71"/>
      <c r="U1055" s="71"/>
    </row>
    <row r="1056" spans="2:22" ht="25.9" thickBot="1">
      <c r="E1056" s="47"/>
      <c r="H1056" s="96" t="s">
        <v>41</v>
      </c>
      <c r="I1056" s="97" t="s">
        <v>42</v>
      </c>
      <c r="J1056" s="97" t="s">
        <v>43</v>
      </c>
      <c r="K1056" s="97" t="s">
        <v>44</v>
      </c>
      <c r="L1056" s="97" t="s">
        <v>45</v>
      </c>
      <c r="M1056" s="97" t="s">
        <v>32</v>
      </c>
      <c r="N1056" s="97" t="s">
        <v>39</v>
      </c>
      <c r="O1056" s="98" t="s">
        <v>33</v>
      </c>
      <c r="P1056" s="99" t="s">
        <v>40</v>
      </c>
      <c r="Q1056" s="100" t="s">
        <v>46</v>
      </c>
      <c r="R1056" s="95"/>
      <c r="S1056" s="57"/>
      <c r="T1056" s="71"/>
      <c r="U1056" s="71"/>
    </row>
    <row r="1057" spans="5:21">
      <c r="E1057" s="47"/>
      <c r="G1057" s="6">
        <v>1</v>
      </c>
      <c r="H1057" s="101" t="s">
        <v>35</v>
      </c>
      <c r="I1057" s="102">
        <f t="shared" ref="I1057:I1079" ca="1" si="260">SUMIF($D$5:$D$677,H1057,($N$5:$N$527))</f>
        <v>1974614.38</v>
      </c>
      <c r="J1057" s="102">
        <f t="shared" ref="J1057:J1079" si="261">SUMIF($D$986:$D$1040,H1057,($N$986:$N$1040))</f>
        <v>0</v>
      </c>
      <c r="K1057" s="102">
        <f t="shared" ref="K1057:K1079" si="262">SUMIF($D$958:$D$983,H1057,($N$958:$N$983))</f>
        <v>0</v>
      </c>
      <c r="L1057" s="102">
        <f t="shared" ref="L1057:L1079" si="263">SUMIF($D$680:$D$735,H1057,($N$680:$N$735))</f>
        <v>282881.96000000002</v>
      </c>
      <c r="M1057" s="102">
        <f t="shared" ref="M1057:M1079" si="264">SUMIF($D$738:$D$802,H1057,($N$738:$N$802))</f>
        <v>25254.239999999998</v>
      </c>
      <c r="N1057" s="102">
        <f t="shared" ref="N1057:N1079" si="265">SUMIF($D$810:$D$955,H1057,($N$810:$N$955))</f>
        <v>329494.08000000007</v>
      </c>
      <c r="O1057" s="103">
        <f t="shared" ref="O1057:O1079" si="266">SUMIF($D$805:$D$808,H1057,($N$805:$N$808))</f>
        <v>0</v>
      </c>
      <c r="P1057" s="104">
        <f t="shared" ref="P1057:P1079" ca="1" si="267">SUM(I1057:O1057)</f>
        <v>2612244.66</v>
      </c>
      <c r="Q1057" s="113">
        <v>2612243</v>
      </c>
      <c r="R1057" s="95">
        <f ca="1">+P1057-Q1057</f>
        <v>1.6600000001490116</v>
      </c>
      <c r="S1057" s="57"/>
      <c r="T1057" s="71"/>
      <c r="U1057" s="71"/>
    </row>
    <row r="1058" spans="5:21">
      <c r="E1058" s="47"/>
      <c r="G1058" s="6">
        <f>+G1057+1</f>
        <v>2</v>
      </c>
      <c r="H1058" s="101" t="s">
        <v>3457</v>
      </c>
      <c r="I1058" s="102">
        <f t="shared" ca="1" si="260"/>
        <v>54537687.439999998</v>
      </c>
      <c r="J1058" s="102">
        <f t="shared" si="261"/>
        <v>1488000</v>
      </c>
      <c r="K1058" s="102">
        <f t="shared" si="262"/>
        <v>408180.47999999998</v>
      </c>
      <c r="L1058" s="102">
        <f t="shared" si="263"/>
        <v>2399808.4200000004</v>
      </c>
      <c r="M1058" s="102">
        <f t="shared" si="264"/>
        <v>1173845.52</v>
      </c>
      <c r="N1058" s="102">
        <f t="shared" si="265"/>
        <v>0</v>
      </c>
      <c r="O1058" s="103">
        <f t="shared" si="266"/>
        <v>17717395</v>
      </c>
      <c r="P1058" s="105">
        <f ca="1">SUM(I1058:O1058)</f>
        <v>77724916.859999999</v>
      </c>
      <c r="Q1058" s="106">
        <v>76981518</v>
      </c>
      <c r="R1058" s="95">
        <f ca="1">+P1058-Q1058</f>
        <v>743398.8599999994</v>
      </c>
      <c r="S1058" s="59" t="s">
        <v>24</v>
      </c>
      <c r="T1058" s="71"/>
      <c r="U1058" s="71"/>
    </row>
    <row r="1059" spans="5:21">
      <c r="E1059" s="47"/>
      <c r="G1059" s="6">
        <f t="shared" ref="G1059:G1078" si="268">+G1058+1</f>
        <v>3</v>
      </c>
      <c r="H1059" s="621" t="s">
        <v>3427</v>
      </c>
      <c r="I1059" s="102">
        <f t="shared" ca="1" si="260"/>
        <v>37313420.380000003</v>
      </c>
      <c r="J1059" s="102">
        <f t="shared" si="261"/>
        <v>0</v>
      </c>
      <c r="K1059" s="102">
        <f t="shared" si="262"/>
        <v>0</v>
      </c>
      <c r="L1059" s="102">
        <f t="shared" si="263"/>
        <v>0</v>
      </c>
      <c r="M1059" s="102">
        <f t="shared" si="264"/>
        <v>0</v>
      </c>
      <c r="N1059" s="102">
        <f t="shared" si="265"/>
        <v>245000</v>
      </c>
      <c r="O1059" s="103">
        <f t="shared" si="266"/>
        <v>0</v>
      </c>
      <c r="P1059" s="105">
        <f t="shared" ca="1" si="267"/>
        <v>37558420.380000003</v>
      </c>
      <c r="Q1059" s="106">
        <v>37558419</v>
      </c>
      <c r="R1059" s="95">
        <f ca="1">+P1059-Q1059</f>
        <v>1.380000002682209</v>
      </c>
      <c r="S1059" s="57"/>
      <c r="T1059" s="71"/>
      <c r="U1059" s="71"/>
    </row>
    <row r="1060" spans="5:21">
      <c r="E1060" s="47"/>
      <c r="G1060" s="6">
        <f t="shared" si="268"/>
        <v>4</v>
      </c>
      <c r="H1060" s="108" t="s">
        <v>75</v>
      </c>
      <c r="I1060" s="102">
        <f t="shared" ca="1" si="260"/>
        <v>118292529</v>
      </c>
      <c r="J1060" s="102">
        <f t="shared" si="261"/>
        <v>0</v>
      </c>
      <c r="K1060" s="102">
        <f t="shared" si="262"/>
        <v>0</v>
      </c>
      <c r="L1060" s="102">
        <f t="shared" si="263"/>
        <v>0</v>
      </c>
      <c r="M1060" s="102">
        <f t="shared" si="264"/>
        <v>0</v>
      </c>
      <c r="N1060" s="102">
        <f t="shared" si="265"/>
        <v>0</v>
      </c>
      <c r="O1060" s="103">
        <f t="shared" si="266"/>
        <v>0</v>
      </c>
      <c r="P1060" s="105">
        <f t="shared" ca="1" si="267"/>
        <v>118292529</v>
      </c>
      <c r="Q1060" s="106">
        <v>118292529</v>
      </c>
      <c r="R1060" s="95">
        <f t="shared" ref="R1060:R1070" ca="1" si="269">+P1060-Q1060</f>
        <v>0</v>
      </c>
      <c r="S1060" s="57"/>
      <c r="T1060" s="71"/>
      <c r="U1060" s="71"/>
    </row>
    <row r="1061" spans="5:21">
      <c r="E1061" s="47"/>
      <c r="G1061" s="6">
        <f t="shared" si="268"/>
        <v>5</v>
      </c>
      <c r="H1061" s="101" t="s">
        <v>3459</v>
      </c>
      <c r="I1061" s="102">
        <f t="shared" ca="1" si="260"/>
        <v>626363410.10000002</v>
      </c>
      <c r="J1061" s="102">
        <f t="shared" si="261"/>
        <v>5001585</v>
      </c>
      <c r="K1061" s="102">
        <f t="shared" si="262"/>
        <v>419266</v>
      </c>
      <c r="L1061" s="102">
        <f t="shared" si="263"/>
        <v>950926.24033898301</v>
      </c>
      <c r="M1061" s="102">
        <f t="shared" si="264"/>
        <v>1482061.3400000003</v>
      </c>
      <c r="N1061" s="102">
        <f t="shared" si="265"/>
        <v>2445504.6999999997</v>
      </c>
      <c r="O1061" s="103">
        <f t="shared" si="266"/>
        <v>0</v>
      </c>
      <c r="P1061" s="105">
        <f t="shared" ca="1" si="267"/>
        <v>636662753.38033915</v>
      </c>
      <c r="Q1061" s="106">
        <v>636662754</v>
      </c>
      <c r="R1061" s="95">
        <f t="shared" ca="1" si="269"/>
        <v>-0.61966085433959961</v>
      </c>
      <c r="S1061" s="57"/>
      <c r="T1061" s="71"/>
      <c r="U1061" s="71"/>
    </row>
    <row r="1062" spans="5:21">
      <c r="E1062" s="47"/>
      <c r="G1062" s="6">
        <f t="shared" si="268"/>
        <v>6</v>
      </c>
      <c r="H1062" s="101" t="s">
        <v>3460</v>
      </c>
      <c r="I1062" s="102">
        <f t="shared" ca="1" si="260"/>
        <v>154582085.28</v>
      </c>
      <c r="J1062" s="102">
        <f t="shared" si="261"/>
        <v>0</v>
      </c>
      <c r="K1062" s="102">
        <f t="shared" si="262"/>
        <v>0</v>
      </c>
      <c r="L1062" s="102">
        <f t="shared" si="263"/>
        <v>0</v>
      </c>
      <c r="M1062" s="102">
        <f t="shared" si="264"/>
        <v>0</v>
      </c>
      <c r="N1062" s="102">
        <f t="shared" si="265"/>
        <v>7578286.4000000004</v>
      </c>
      <c r="O1062" s="103">
        <f t="shared" si="266"/>
        <v>0</v>
      </c>
      <c r="P1062" s="105">
        <f t="shared" ca="1" si="267"/>
        <v>162160371.68000001</v>
      </c>
      <c r="Q1062" s="106">
        <v>162160371</v>
      </c>
      <c r="R1062" s="95">
        <f t="shared" ca="1" si="269"/>
        <v>0.68000000715255737</v>
      </c>
      <c r="S1062" s="57"/>
      <c r="T1062" s="71"/>
      <c r="U1062" s="71"/>
    </row>
    <row r="1063" spans="5:21">
      <c r="E1063" s="47"/>
      <c r="G1063" s="6">
        <f t="shared" si="268"/>
        <v>7</v>
      </c>
      <c r="H1063" s="101" t="s">
        <v>22</v>
      </c>
      <c r="I1063" s="102">
        <f t="shared" ca="1" si="260"/>
        <v>8058725.7800000003</v>
      </c>
      <c r="J1063" s="102">
        <f t="shared" si="261"/>
        <v>695312.5</v>
      </c>
      <c r="K1063" s="102">
        <f t="shared" si="262"/>
        <v>0</v>
      </c>
      <c r="L1063" s="102">
        <f t="shared" si="263"/>
        <v>0</v>
      </c>
      <c r="M1063" s="102">
        <f t="shared" si="264"/>
        <v>70000</v>
      </c>
      <c r="N1063" s="102">
        <f t="shared" si="265"/>
        <v>9919596.5199999996</v>
      </c>
      <c r="O1063" s="103">
        <f t="shared" si="266"/>
        <v>0</v>
      </c>
      <c r="P1063" s="105">
        <f t="shared" ca="1" si="267"/>
        <v>18743634.800000001</v>
      </c>
      <c r="Q1063" s="106">
        <v>18743627</v>
      </c>
      <c r="R1063" s="95">
        <f t="shared" ca="1" si="269"/>
        <v>7.8000000007450581</v>
      </c>
      <c r="S1063" s="59" t="s">
        <v>24</v>
      </c>
      <c r="T1063" s="71"/>
      <c r="U1063" s="71"/>
    </row>
    <row r="1064" spans="5:21">
      <c r="E1064" s="47"/>
      <c r="G1064" s="6">
        <f t="shared" si="268"/>
        <v>8</v>
      </c>
      <c r="H1064" s="101" t="s">
        <v>3461</v>
      </c>
      <c r="I1064" s="102">
        <f t="shared" ca="1" si="260"/>
        <v>15619006.98</v>
      </c>
      <c r="J1064" s="102">
        <f t="shared" si="261"/>
        <v>800160</v>
      </c>
      <c r="K1064" s="102">
        <f t="shared" si="262"/>
        <v>16517</v>
      </c>
      <c r="L1064" s="102">
        <f t="shared" si="263"/>
        <v>414923.76</v>
      </c>
      <c r="M1064" s="102">
        <f t="shared" si="264"/>
        <v>0</v>
      </c>
      <c r="N1064" s="102">
        <f t="shared" si="265"/>
        <v>317935</v>
      </c>
      <c r="O1064" s="103">
        <f t="shared" si="266"/>
        <v>0</v>
      </c>
      <c r="P1064" s="105">
        <f t="shared" ca="1" si="267"/>
        <v>17168542.740000002</v>
      </c>
      <c r="Q1064" s="106">
        <v>17168542</v>
      </c>
      <c r="R1064" s="95">
        <f t="shared" ca="1" si="269"/>
        <v>0.74000000208616257</v>
      </c>
      <c r="S1064" s="57"/>
      <c r="T1064" s="71"/>
      <c r="U1064" s="71"/>
    </row>
    <row r="1065" spans="5:21">
      <c r="E1065" s="47"/>
      <c r="G1065" s="6">
        <f t="shared" si="268"/>
        <v>9</v>
      </c>
      <c r="H1065" s="101" t="s">
        <v>586</v>
      </c>
      <c r="I1065" s="102">
        <f t="shared" ca="1" si="260"/>
        <v>4384300</v>
      </c>
      <c r="J1065" s="102">
        <f t="shared" si="261"/>
        <v>0</v>
      </c>
      <c r="K1065" s="102">
        <f t="shared" si="262"/>
        <v>0</v>
      </c>
      <c r="L1065" s="102">
        <f t="shared" si="263"/>
        <v>0</v>
      </c>
      <c r="M1065" s="102">
        <f t="shared" si="264"/>
        <v>0</v>
      </c>
      <c r="N1065" s="102">
        <f t="shared" si="265"/>
        <v>440000</v>
      </c>
      <c r="O1065" s="103">
        <f t="shared" si="266"/>
        <v>0</v>
      </c>
      <c r="P1065" s="105">
        <f t="shared" ca="1" si="267"/>
        <v>4824300</v>
      </c>
      <c r="Q1065" s="106">
        <v>4824300</v>
      </c>
      <c r="R1065" s="95">
        <f t="shared" ca="1" si="269"/>
        <v>0</v>
      </c>
      <c r="S1065" s="57"/>
      <c r="T1065" s="71"/>
      <c r="U1065" s="71"/>
    </row>
    <row r="1066" spans="5:21">
      <c r="E1066" s="47"/>
      <c r="G1066" s="6">
        <f t="shared" si="268"/>
        <v>10</v>
      </c>
      <c r="H1066" s="101" t="s">
        <v>18</v>
      </c>
      <c r="I1066" s="102">
        <f t="shared" ca="1" si="260"/>
        <v>17460000</v>
      </c>
      <c r="J1066" s="102">
        <f t="shared" si="261"/>
        <v>0</v>
      </c>
      <c r="K1066" s="102">
        <f t="shared" si="262"/>
        <v>0</v>
      </c>
      <c r="L1066" s="102">
        <f t="shared" si="263"/>
        <v>10169.49</v>
      </c>
      <c r="M1066" s="102">
        <f t="shared" si="264"/>
        <v>0</v>
      </c>
      <c r="N1066" s="102">
        <f t="shared" si="265"/>
        <v>1111002.7118644067</v>
      </c>
      <c r="O1066" s="103">
        <f t="shared" si="266"/>
        <v>0</v>
      </c>
      <c r="P1066" s="105">
        <f t="shared" ca="1" si="267"/>
        <v>18581172.201864406</v>
      </c>
      <c r="Q1066" s="106">
        <v>19324566</v>
      </c>
      <c r="R1066" s="95">
        <f t="shared" ca="1" si="269"/>
        <v>-743393.79813559353</v>
      </c>
      <c r="S1066" s="57"/>
      <c r="T1066" s="71"/>
      <c r="U1066" s="71"/>
    </row>
    <row r="1067" spans="5:21">
      <c r="E1067" s="47"/>
      <c r="G1067" s="6">
        <f t="shared" si="268"/>
        <v>11</v>
      </c>
      <c r="H1067" s="101" t="s">
        <v>27</v>
      </c>
      <c r="I1067" s="102">
        <f t="shared" ca="1" si="260"/>
        <v>7875000</v>
      </c>
      <c r="J1067" s="102">
        <f t="shared" si="261"/>
        <v>0</v>
      </c>
      <c r="K1067" s="102">
        <f t="shared" si="262"/>
        <v>0</v>
      </c>
      <c r="L1067" s="102">
        <f t="shared" si="263"/>
        <v>0</v>
      </c>
      <c r="M1067" s="102">
        <f t="shared" si="264"/>
        <v>0</v>
      </c>
      <c r="N1067" s="102">
        <f t="shared" si="265"/>
        <v>0</v>
      </c>
      <c r="O1067" s="103">
        <f t="shared" si="266"/>
        <v>0</v>
      </c>
      <c r="P1067" s="105">
        <f t="shared" ca="1" si="267"/>
        <v>7875000</v>
      </c>
      <c r="Q1067" s="106">
        <v>7875000</v>
      </c>
      <c r="R1067" s="95">
        <f t="shared" ca="1" si="269"/>
        <v>0</v>
      </c>
      <c r="S1067" s="57"/>
      <c r="T1067" s="71"/>
      <c r="U1067" s="71"/>
    </row>
    <row r="1068" spans="5:21">
      <c r="E1068" s="47"/>
      <c r="G1068" s="6">
        <f t="shared" si="268"/>
        <v>12</v>
      </c>
      <c r="H1068" s="101" t="s">
        <v>29</v>
      </c>
      <c r="I1068" s="102">
        <f t="shared" ca="1" si="260"/>
        <v>827146346.87000024</v>
      </c>
      <c r="J1068" s="102">
        <f t="shared" si="261"/>
        <v>3148206.8</v>
      </c>
      <c r="K1068" s="102">
        <f t="shared" si="262"/>
        <v>384942</v>
      </c>
      <c r="L1068" s="102">
        <f t="shared" si="263"/>
        <v>435188.6</v>
      </c>
      <c r="M1068" s="102">
        <f t="shared" si="264"/>
        <v>744137.41999999993</v>
      </c>
      <c r="N1068" s="102">
        <f t="shared" si="265"/>
        <v>18051533.350000001</v>
      </c>
      <c r="O1068" s="103">
        <f t="shared" si="266"/>
        <v>0</v>
      </c>
      <c r="P1068" s="105">
        <f t="shared" ca="1" si="267"/>
        <v>849910355.0400002</v>
      </c>
      <c r="Q1068" s="106">
        <v>849910355</v>
      </c>
      <c r="R1068" s="95">
        <f t="shared" ca="1" si="269"/>
        <v>4.0000200271606445E-2</v>
      </c>
      <c r="S1068" s="57"/>
      <c r="T1068" s="71"/>
      <c r="U1068" s="71"/>
    </row>
    <row r="1069" spans="5:21">
      <c r="E1069" s="47"/>
      <c r="G1069" s="6">
        <f t="shared" si="268"/>
        <v>13</v>
      </c>
      <c r="H1069" s="101" t="s">
        <v>19</v>
      </c>
      <c r="I1069" s="102">
        <f t="shared" ca="1" si="260"/>
        <v>0</v>
      </c>
      <c r="J1069" s="102">
        <f t="shared" si="261"/>
        <v>0</v>
      </c>
      <c r="K1069" s="102">
        <f t="shared" si="262"/>
        <v>36719</v>
      </c>
      <c r="L1069" s="102">
        <f t="shared" si="263"/>
        <v>196387</v>
      </c>
      <c r="M1069" s="102">
        <f t="shared" si="264"/>
        <v>0</v>
      </c>
      <c r="N1069" s="102">
        <f t="shared" si="265"/>
        <v>0</v>
      </c>
      <c r="O1069" s="103">
        <f t="shared" si="266"/>
        <v>0</v>
      </c>
      <c r="P1069" s="105">
        <f t="shared" ca="1" si="267"/>
        <v>233106</v>
      </c>
      <c r="Q1069" s="106">
        <v>233106</v>
      </c>
      <c r="R1069" s="95">
        <f t="shared" ca="1" si="269"/>
        <v>0</v>
      </c>
      <c r="S1069" s="57"/>
      <c r="T1069" s="71"/>
      <c r="U1069" s="71"/>
    </row>
    <row r="1070" spans="5:21">
      <c r="E1070" s="47"/>
      <c r="G1070" s="6">
        <f t="shared" si="268"/>
        <v>14</v>
      </c>
      <c r="H1070" s="622" t="s">
        <v>3449</v>
      </c>
      <c r="I1070" s="102">
        <f t="shared" ca="1" si="260"/>
        <v>0</v>
      </c>
      <c r="J1070" s="102">
        <f t="shared" si="261"/>
        <v>2296095</v>
      </c>
      <c r="K1070" s="102">
        <f t="shared" si="262"/>
        <v>0</v>
      </c>
      <c r="L1070" s="102">
        <f t="shared" si="263"/>
        <v>0</v>
      </c>
      <c r="M1070" s="102">
        <f t="shared" si="264"/>
        <v>0</v>
      </c>
      <c r="N1070" s="102">
        <f t="shared" si="265"/>
        <v>0</v>
      </c>
      <c r="O1070" s="103">
        <f t="shared" si="266"/>
        <v>0</v>
      </c>
      <c r="P1070" s="105">
        <f t="shared" ca="1" si="267"/>
        <v>2296095</v>
      </c>
      <c r="Q1070" s="106">
        <v>2296095</v>
      </c>
      <c r="R1070" s="95">
        <f t="shared" ca="1" si="269"/>
        <v>0</v>
      </c>
      <c r="S1070" s="57"/>
      <c r="T1070" s="71"/>
      <c r="U1070" s="71"/>
    </row>
    <row r="1071" spans="5:21">
      <c r="E1071" s="47"/>
      <c r="G1071" s="6">
        <f t="shared" si="268"/>
        <v>15</v>
      </c>
      <c r="H1071" s="101" t="s">
        <v>74</v>
      </c>
      <c r="I1071" s="102">
        <f t="shared" ca="1" si="260"/>
        <v>7397460.2000000002</v>
      </c>
      <c r="J1071" s="102">
        <f t="shared" si="261"/>
        <v>0</v>
      </c>
      <c r="K1071" s="102">
        <f t="shared" si="262"/>
        <v>0</v>
      </c>
      <c r="L1071" s="102">
        <f t="shared" si="263"/>
        <v>0</v>
      </c>
      <c r="M1071" s="102">
        <f t="shared" si="264"/>
        <v>0</v>
      </c>
      <c r="N1071" s="102">
        <f t="shared" si="265"/>
        <v>2334769.6</v>
      </c>
      <c r="O1071" s="103">
        <f t="shared" si="266"/>
        <v>0</v>
      </c>
      <c r="P1071" s="105">
        <f t="shared" ca="1" si="267"/>
        <v>9732229.8000000007</v>
      </c>
      <c r="Q1071" s="106">
        <v>9732230</v>
      </c>
      <c r="R1071" s="95">
        <f t="shared" ref="R1071:R1079" ca="1" si="270">+P1071-Q1071</f>
        <v>-0.19999999925494194</v>
      </c>
      <c r="S1071" s="57"/>
      <c r="T1071" s="71"/>
      <c r="U1071" s="71"/>
    </row>
    <row r="1072" spans="5:21">
      <c r="E1072" s="47"/>
      <c r="G1072" s="6">
        <f t="shared" si="268"/>
        <v>16</v>
      </c>
      <c r="H1072" s="101" t="s">
        <v>3614</v>
      </c>
      <c r="I1072" s="102">
        <f t="shared" ca="1" si="260"/>
        <v>7665000</v>
      </c>
      <c r="J1072" s="102">
        <f t="shared" si="261"/>
        <v>0</v>
      </c>
      <c r="K1072" s="102">
        <f t="shared" si="262"/>
        <v>38180.74</v>
      </c>
      <c r="L1072" s="102">
        <f t="shared" si="263"/>
        <v>0</v>
      </c>
      <c r="M1072" s="102">
        <f t="shared" si="264"/>
        <v>110505.23999999999</v>
      </c>
      <c r="N1072" s="102">
        <f t="shared" si="265"/>
        <v>0</v>
      </c>
      <c r="O1072" s="103">
        <f t="shared" si="266"/>
        <v>0</v>
      </c>
      <c r="P1072" s="105">
        <f t="shared" ca="1" si="267"/>
        <v>7813685.9800000004</v>
      </c>
      <c r="Q1072" s="106">
        <v>7813685.8499999996</v>
      </c>
      <c r="R1072" s="95">
        <f t="shared" ca="1" si="270"/>
        <v>0.13000000081956387</v>
      </c>
      <c r="S1072" s="57"/>
      <c r="T1072" s="71"/>
      <c r="U1072" s="71"/>
    </row>
    <row r="1073" spans="5:21">
      <c r="E1073" s="47"/>
      <c r="G1073" s="6">
        <f t="shared" si="268"/>
        <v>17</v>
      </c>
      <c r="H1073" s="101" t="s">
        <v>20</v>
      </c>
      <c r="I1073" s="102">
        <f t="shared" ca="1" si="260"/>
        <v>1440000</v>
      </c>
      <c r="J1073" s="102">
        <f t="shared" si="261"/>
        <v>0</v>
      </c>
      <c r="K1073" s="102">
        <f t="shared" si="262"/>
        <v>0</v>
      </c>
      <c r="L1073" s="102">
        <f t="shared" si="263"/>
        <v>0</v>
      </c>
      <c r="M1073" s="102">
        <f t="shared" si="264"/>
        <v>0</v>
      </c>
      <c r="N1073" s="102">
        <f t="shared" si="265"/>
        <v>0</v>
      </c>
      <c r="O1073" s="103">
        <f t="shared" si="266"/>
        <v>0</v>
      </c>
      <c r="P1073" s="105">
        <f t="shared" ca="1" si="267"/>
        <v>1440000</v>
      </c>
      <c r="Q1073" s="106">
        <v>1440000</v>
      </c>
      <c r="R1073" s="95">
        <f t="shared" ca="1" si="270"/>
        <v>0</v>
      </c>
      <c r="S1073" s="57"/>
      <c r="T1073" s="57"/>
      <c r="U1073" s="57"/>
    </row>
    <row r="1074" spans="5:21">
      <c r="E1074" s="47"/>
      <c r="G1074" s="6">
        <f t="shared" si="268"/>
        <v>18</v>
      </c>
      <c r="H1074" s="101" t="s">
        <v>3615</v>
      </c>
      <c r="I1074" s="102">
        <f t="shared" ca="1" si="260"/>
        <v>0</v>
      </c>
      <c r="J1074" s="102">
        <f t="shared" si="261"/>
        <v>89226</v>
      </c>
      <c r="K1074" s="102">
        <f t="shared" si="262"/>
        <v>0</v>
      </c>
      <c r="L1074" s="102">
        <f t="shared" si="263"/>
        <v>0</v>
      </c>
      <c r="M1074" s="102">
        <f t="shared" si="264"/>
        <v>0</v>
      </c>
      <c r="N1074" s="102">
        <f t="shared" si="265"/>
        <v>0</v>
      </c>
      <c r="O1074" s="103">
        <f t="shared" si="266"/>
        <v>0</v>
      </c>
      <c r="P1074" s="105">
        <f t="shared" ca="1" si="267"/>
        <v>89226</v>
      </c>
      <c r="Q1074" s="106">
        <v>89226</v>
      </c>
      <c r="R1074" s="95">
        <f t="shared" ca="1" si="270"/>
        <v>0</v>
      </c>
      <c r="S1074" s="57"/>
      <c r="T1074" s="57"/>
      <c r="U1074" s="57"/>
    </row>
    <row r="1075" spans="5:21">
      <c r="E1075" s="47"/>
      <c r="G1075" s="6">
        <f t="shared" si="268"/>
        <v>19</v>
      </c>
      <c r="H1075" s="101" t="s">
        <v>28</v>
      </c>
      <c r="I1075" s="102">
        <f t="shared" ca="1" si="260"/>
        <v>2847045</v>
      </c>
      <c r="J1075" s="102">
        <f t="shared" si="261"/>
        <v>1480000</v>
      </c>
      <c r="K1075" s="102">
        <f t="shared" si="262"/>
        <v>29297</v>
      </c>
      <c r="L1075" s="102">
        <f t="shared" si="263"/>
        <v>0</v>
      </c>
      <c r="M1075" s="102">
        <f t="shared" si="264"/>
        <v>547935</v>
      </c>
      <c r="N1075" s="102">
        <f t="shared" si="265"/>
        <v>488735.94</v>
      </c>
      <c r="O1075" s="103">
        <f t="shared" si="266"/>
        <v>0</v>
      </c>
      <c r="P1075" s="105">
        <f t="shared" ca="1" si="267"/>
        <v>5393012.9400000004</v>
      </c>
      <c r="Q1075" s="106">
        <v>5393013</v>
      </c>
      <c r="R1075" s="95">
        <f t="shared" ca="1" si="270"/>
        <v>-5.9999999590218067E-2</v>
      </c>
      <c r="S1075" s="57"/>
      <c r="T1075" s="57"/>
      <c r="U1075" s="57"/>
    </row>
    <row r="1076" spans="5:21">
      <c r="G1076" s="6">
        <f t="shared" si="268"/>
        <v>20</v>
      </c>
      <c r="H1076" s="101" t="s">
        <v>21</v>
      </c>
      <c r="I1076" s="102">
        <f t="shared" ca="1" si="260"/>
        <v>61561230</v>
      </c>
      <c r="J1076" s="102">
        <f t="shared" si="261"/>
        <v>0</v>
      </c>
      <c r="K1076" s="102">
        <f t="shared" si="262"/>
        <v>0</v>
      </c>
      <c r="L1076" s="102">
        <f t="shared" si="263"/>
        <v>63898</v>
      </c>
      <c r="M1076" s="102">
        <f t="shared" si="264"/>
        <v>0</v>
      </c>
      <c r="N1076" s="102">
        <f t="shared" si="265"/>
        <v>1376652.86</v>
      </c>
      <c r="O1076" s="103">
        <f t="shared" si="266"/>
        <v>0</v>
      </c>
      <c r="P1076" s="105">
        <f t="shared" ca="1" si="267"/>
        <v>63001780.859999999</v>
      </c>
      <c r="Q1076" s="106">
        <v>63001782</v>
      </c>
      <c r="R1076" s="95">
        <f t="shared" ca="1" si="270"/>
        <v>-1.1400000005960464</v>
      </c>
      <c r="S1076" s="57"/>
      <c r="T1076" s="57"/>
      <c r="U1076" s="57"/>
    </row>
    <row r="1077" spans="5:21">
      <c r="G1077" s="6">
        <f t="shared" si="268"/>
        <v>21</v>
      </c>
      <c r="H1077" s="639" t="s">
        <v>3549</v>
      </c>
      <c r="I1077" s="102">
        <f t="shared" ca="1" si="260"/>
        <v>1150000</v>
      </c>
      <c r="J1077" s="102">
        <f t="shared" si="261"/>
        <v>0</v>
      </c>
      <c r="K1077" s="102">
        <f t="shared" si="262"/>
        <v>0</v>
      </c>
      <c r="L1077" s="102">
        <f t="shared" si="263"/>
        <v>0</v>
      </c>
      <c r="M1077" s="102">
        <f t="shared" si="264"/>
        <v>0</v>
      </c>
      <c r="N1077" s="102">
        <f t="shared" si="265"/>
        <v>0</v>
      </c>
      <c r="O1077" s="103">
        <f t="shared" si="266"/>
        <v>0</v>
      </c>
      <c r="P1077" s="105">
        <f t="shared" ref="P1077" ca="1" si="271">SUM(I1077:O1077)</f>
        <v>1150000</v>
      </c>
      <c r="Q1077" s="106">
        <v>1150000</v>
      </c>
      <c r="R1077" s="95">
        <f t="shared" ca="1" si="270"/>
        <v>0</v>
      </c>
      <c r="S1077" s="57"/>
      <c r="T1077" s="57"/>
      <c r="U1077" s="57"/>
    </row>
    <row r="1078" spans="5:21">
      <c r="G1078" s="6">
        <f t="shared" si="268"/>
        <v>22</v>
      </c>
      <c r="H1078" s="107" t="s">
        <v>879</v>
      </c>
      <c r="I1078" s="102">
        <f t="shared" ca="1" si="260"/>
        <v>6751000</v>
      </c>
      <c r="J1078" s="102">
        <f t="shared" si="261"/>
        <v>66388</v>
      </c>
      <c r="K1078" s="102">
        <f t="shared" si="262"/>
        <v>0</v>
      </c>
      <c r="L1078" s="102">
        <f t="shared" si="263"/>
        <v>60985</v>
      </c>
      <c r="M1078" s="102">
        <f t="shared" si="264"/>
        <v>0</v>
      </c>
      <c r="N1078" s="102">
        <f t="shared" si="265"/>
        <v>0</v>
      </c>
      <c r="O1078" s="103">
        <f t="shared" si="266"/>
        <v>0</v>
      </c>
      <c r="P1078" s="105">
        <f t="shared" ca="1" si="267"/>
        <v>6878373</v>
      </c>
      <c r="Q1078" s="106">
        <v>6878373</v>
      </c>
      <c r="R1078" s="95">
        <f t="shared" ca="1" si="270"/>
        <v>0</v>
      </c>
      <c r="S1078" s="57"/>
      <c r="T1078" s="57"/>
      <c r="U1078" s="57"/>
    </row>
    <row r="1079" spans="5:21">
      <c r="G1079" s="6">
        <f t="shared" ref="G1079" si="272">+G1078+1</f>
        <v>23</v>
      </c>
      <c r="H1079" s="107" t="s">
        <v>880</v>
      </c>
      <c r="I1079" s="102">
        <f t="shared" ca="1" si="260"/>
        <v>197200</v>
      </c>
      <c r="J1079" s="102">
        <f t="shared" si="261"/>
        <v>187966</v>
      </c>
      <c r="K1079" s="102">
        <f t="shared" si="262"/>
        <v>37000</v>
      </c>
      <c r="L1079" s="102">
        <f t="shared" si="263"/>
        <v>58898.36</v>
      </c>
      <c r="M1079" s="102">
        <f t="shared" si="264"/>
        <v>37400</v>
      </c>
      <c r="N1079" s="102">
        <f t="shared" si="265"/>
        <v>0</v>
      </c>
      <c r="O1079" s="103">
        <f t="shared" si="266"/>
        <v>0</v>
      </c>
      <c r="P1079" s="105">
        <f t="shared" ca="1" si="267"/>
        <v>518464.36</v>
      </c>
      <c r="Q1079" s="106">
        <v>518464</v>
      </c>
      <c r="R1079" s="95">
        <f t="shared" ca="1" si="270"/>
        <v>0.35999999998603016</v>
      </c>
      <c r="S1079" s="57"/>
      <c r="T1079" s="57"/>
      <c r="U1079" s="57"/>
    </row>
    <row r="1080" spans="5:21">
      <c r="H1080" s="72" t="s">
        <v>30</v>
      </c>
      <c r="I1080" s="102">
        <f t="shared" ref="I1080:Q1080" ca="1" si="273">SUM(I1057:I1079)</f>
        <v>1962616061.4100001</v>
      </c>
      <c r="J1080" s="102">
        <f t="shared" si="273"/>
        <v>15252939.300000001</v>
      </c>
      <c r="K1080" s="102">
        <f t="shared" si="273"/>
        <v>1370102.22</v>
      </c>
      <c r="L1080" s="102">
        <f t="shared" si="273"/>
        <v>4874066.8303389838</v>
      </c>
      <c r="M1080" s="102">
        <f t="shared" si="273"/>
        <v>4191138.7600000007</v>
      </c>
      <c r="N1080" s="102">
        <f t="shared" si="273"/>
        <v>44638511.161864407</v>
      </c>
      <c r="O1080" s="103">
        <f t="shared" si="273"/>
        <v>17717395</v>
      </c>
      <c r="P1080" s="109">
        <f t="shared" ca="1" si="273"/>
        <v>2050660214.6822035</v>
      </c>
      <c r="Q1080" s="106">
        <f t="shared" si="273"/>
        <v>2050660198.8499999</v>
      </c>
      <c r="R1080" s="95">
        <f t="shared" ref="R1080" ca="1" si="274">+P1080-Q1080</f>
        <v>15.83220362663269</v>
      </c>
      <c r="S1080" s="57"/>
      <c r="T1080" s="57"/>
      <c r="U1080" s="57"/>
    </row>
    <row r="1081" spans="5:21" ht="14.65" thickBot="1">
      <c r="H1081" s="93" t="s">
        <v>47</v>
      </c>
      <c r="I1081" s="102">
        <v>2018460975</v>
      </c>
      <c r="J1081" s="102">
        <v>15252940</v>
      </c>
      <c r="K1081" s="102">
        <v>1370104</v>
      </c>
      <c r="L1081" s="102">
        <v>4874062</v>
      </c>
      <c r="M1081" s="102">
        <v>4191140</v>
      </c>
      <c r="N1081" s="102">
        <v>44638505</v>
      </c>
      <c r="O1081" s="103">
        <f>+N1050</f>
        <v>17717395</v>
      </c>
      <c r="P1081" s="110">
        <f>SUM(I1081:O1081)</f>
        <v>2106505121</v>
      </c>
      <c r="Q1081" s="106" t="s">
        <v>24</v>
      </c>
      <c r="R1081" s="95">
        <f ca="1">SUM(R1057:R1080)</f>
        <v>31.664407392614521</v>
      </c>
      <c r="S1081" s="57"/>
      <c r="T1081" s="57"/>
      <c r="U1081" s="57"/>
    </row>
    <row r="1082" spans="5:21">
      <c r="H1082" s="93"/>
      <c r="I1082" s="95">
        <f ca="1">+I1080-I1081</f>
        <v>-55844913.589999914</v>
      </c>
      <c r="J1082" s="95">
        <f t="shared" ref="J1082:O1082" si="275">+J1080-J1081</f>
        <v>-0.69999999925494194</v>
      </c>
      <c r="K1082" s="95">
        <f t="shared" si="275"/>
        <v>-1.7800000000279397</v>
      </c>
      <c r="L1082" s="95">
        <f t="shared" si="275"/>
        <v>4.8303389837965369</v>
      </c>
      <c r="M1082" s="95">
        <f t="shared" si="275"/>
        <v>-1.2399999992921948</v>
      </c>
      <c r="N1082" s="95">
        <f t="shared" si="275"/>
        <v>6.1618644073605537</v>
      </c>
      <c r="O1082" s="95">
        <f t="shared" si="275"/>
        <v>0</v>
      </c>
      <c r="P1082" s="95">
        <f ca="1">+P1080-P1081</f>
        <v>-55844906.317796469</v>
      </c>
      <c r="Q1082" s="95" t="s">
        <v>24</v>
      </c>
      <c r="R1082" s="95" t="s">
        <v>24</v>
      </c>
      <c r="S1082" s="57"/>
      <c r="T1082" s="57"/>
      <c r="U1082" s="57"/>
    </row>
    <row r="1083" spans="5:21">
      <c r="H1083" s="93"/>
      <c r="I1083" s="93" t="s">
        <v>24</v>
      </c>
      <c r="J1083" s="93"/>
      <c r="K1083" s="93"/>
      <c r="L1083" s="93"/>
      <c r="M1083" s="93"/>
      <c r="N1083" s="93"/>
      <c r="O1083" s="93"/>
      <c r="P1083" s="95" t="s">
        <v>24</v>
      </c>
      <c r="Q1083" s="95" t="s">
        <v>24</v>
      </c>
      <c r="R1083" s="95"/>
      <c r="S1083" s="57"/>
      <c r="T1083" s="57"/>
      <c r="U1083" s="57"/>
    </row>
    <row r="1084" spans="5:21">
      <c r="H1084" s="93"/>
      <c r="I1084" s="95">
        <v>93646415</v>
      </c>
      <c r="J1084" s="93" t="s">
        <v>48</v>
      </c>
      <c r="K1084" s="93"/>
      <c r="L1084" s="93"/>
      <c r="M1084" s="93"/>
      <c r="N1084" s="93"/>
      <c r="O1084" s="93"/>
      <c r="P1084" s="93"/>
      <c r="Q1084" s="93"/>
      <c r="R1084" s="93"/>
    </row>
    <row r="1085" spans="5:21">
      <c r="H1085" s="93"/>
      <c r="I1085" s="95">
        <f>+'sold mc 24'!G19</f>
        <v>13327531</v>
      </c>
      <c r="J1085" s="93" t="s">
        <v>49</v>
      </c>
      <c r="K1085" s="93"/>
      <c r="L1085" s="93"/>
      <c r="M1085" s="93"/>
      <c r="N1085" s="93"/>
      <c r="O1085" s="93"/>
      <c r="P1085" s="93"/>
      <c r="Q1085" s="93"/>
      <c r="R1085" s="93"/>
    </row>
    <row r="1086" spans="5:21">
      <c r="H1086" s="93"/>
      <c r="I1086" s="95">
        <f>+I1084-I1085</f>
        <v>80318884</v>
      </c>
      <c r="J1086" s="93" t="s">
        <v>50</v>
      </c>
      <c r="K1086" s="93"/>
      <c r="L1086" s="93"/>
      <c r="M1086" s="93"/>
      <c r="N1086" s="93"/>
      <c r="O1086" s="93"/>
      <c r="P1086" s="93"/>
      <c r="Q1086" s="95" t="s">
        <v>24</v>
      </c>
      <c r="R1086" s="93"/>
    </row>
    <row r="1087" spans="5:21">
      <c r="I1087" s="59" t="s">
        <v>24</v>
      </c>
    </row>
    <row r="1088" spans="5:21">
      <c r="I1088" s="59" t="s">
        <v>24</v>
      </c>
    </row>
  </sheetData>
  <autoFilter ref="B3:U1041" xr:uid="{00000000-0009-0000-0000-00000F000000}"/>
  <mergeCells count="7">
    <mergeCell ref="B985:C985"/>
    <mergeCell ref="B679:C679"/>
    <mergeCell ref="B4:C4"/>
    <mergeCell ref="B737:C737"/>
    <mergeCell ref="B804:C804"/>
    <mergeCell ref="B809:C809"/>
    <mergeCell ref="B957:C957"/>
  </mergeCells>
  <conditionalFormatting sqref="E631:E654">
    <cfRule type="duplicateValues" dxfId="7" priority="6"/>
  </conditionalFormatting>
  <conditionalFormatting sqref="E655:E657">
    <cfRule type="duplicateValues" dxfId="6" priority="5"/>
  </conditionalFormatting>
  <conditionalFormatting sqref="E658:E677">
    <cfRule type="duplicateValues" dxfId="5" priority="4"/>
  </conditionalFormatting>
  <conditionalFormatting sqref="E735">
    <cfRule type="duplicateValues" dxfId="4" priority="3"/>
  </conditionalFormatting>
  <conditionalFormatting sqref="E806:E807">
    <cfRule type="duplicateValues" dxfId="3" priority="34"/>
  </conditionalFormatting>
  <conditionalFormatting sqref="E955">
    <cfRule type="duplicateValues" dxfId="2" priority="1"/>
  </conditionalFormatting>
  <printOptions gridLines="1"/>
  <pageMargins left="0.11811023622047245" right="0" top="0.74803149606299213" bottom="0.74803149606299213" header="0.31496062992125984" footer="0.31496062992125984"/>
  <pageSetup paperSize="9" scale="73" orientation="landscape" r:id="rId1"/>
  <headerFooter>
    <oddFooter>Page &amp;P</oddFooter>
  </headerFooter>
  <rowBreaks count="20" manualBreakCount="20">
    <brk id="55" min="1" max="18" man="1"/>
    <brk id="107" min="1" max="18" man="1"/>
    <brk id="159" min="1" max="18" man="1"/>
    <brk id="210" min="1" max="18" man="1"/>
    <brk id="261" min="1" max="18" man="1"/>
    <brk id="312" min="1" max="18" man="1"/>
    <brk id="362" min="1" max="18" man="1"/>
    <brk id="412" min="1" max="18" man="1"/>
    <brk id="458" min="1" max="18" man="1"/>
    <brk id="503" min="1" max="18" man="1"/>
    <brk id="551" min="1" max="18" man="1"/>
    <brk id="603" min="1" max="18" man="1"/>
    <brk id="654" min="1" max="18" man="1"/>
    <brk id="678" min="1" max="18" man="1"/>
    <brk id="736" min="1" max="18" man="1"/>
    <brk id="803" min="1" max="18" man="1"/>
    <brk id="847" min="1" max="18" man="1"/>
    <brk id="956" min="1" max="18" man="1"/>
    <brk id="984" min="1" max="18" man="1"/>
    <brk id="1053" min="6" max="17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0935-8403-40D9-9CDF-DDCDCFA5359B}">
  <dimension ref="A3:C30"/>
  <sheetViews>
    <sheetView workbookViewId="0">
      <selection activeCell="A3" sqref="A3"/>
    </sheetView>
  </sheetViews>
  <sheetFormatPr defaultRowHeight="14.25"/>
  <cols>
    <col min="1" max="1" width="18.796875" bestFit="1" customWidth="1"/>
    <col min="2" max="2" width="16.53125" bestFit="1" customWidth="1"/>
    <col min="3" max="3" width="18.73046875" bestFit="1" customWidth="1"/>
  </cols>
  <sheetData>
    <row r="3" spans="1:3">
      <c r="A3" s="1236" t="s">
        <v>4249</v>
      </c>
      <c r="B3" t="s">
        <v>4252</v>
      </c>
      <c r="C3" t="s">
        <v>4253</v>
      </c>
    </row>
    <row r="4" spans="1:3">
      <c r="A4" s="1237" t="s">
        <v>4208</v>
      </c>
      <c r="B4" s="1238">
        <v>820550</v>
      </c>
      <c r="C4" s="1238">
        <v>4</v>
      </c>
    </row>
    <row r="5" spans="1:3">
      <c r="A5" s="1237" t="s">
        <v>35</v>
      </c>
      <c r="B5" s="1238">
        <v>32314107.900000002</v>
      </c>
      <c r="C5" s="1238">
        <v>14</v>
      </c>
    </row>
    <row r="6" spans="1:3">
      <c r="A6" s="1237" t="s">
        <v>3614</v>
      </c>
      <c r="B6" s="1238">
        <v>5317003.8494915245</v>
      </c>
      <c r="C6" s="1238">
        <v>12</v>
      </c>
    </row>
    <row r="7" spans="1:3">
      <c r="A7" s="1237" t="s">
        <v>3702</v>
      </c>
      <c r="B7" s="1238">
        <v>491675.3</v>
      </c>
      <c r="C7" s="1238">
        <v>3</v>
      </c>
    </row>
    <row r="8" spans="1:3">
      <c r="A8" s="1237" t="s">
        <v>3705</v>
      </c>
      <c r="B8" s="1238">
        <v>22738746.66</v>
      </c>
      <c r="C8" s="1238">
        <v>34</v>
      </c>
    </row>
    <row r="9" spans="1:3">
      <c r="A9" s="1237" t="s">
        <v>3427</v>
      </c>
      <c r="B9" s="1238">
        <v>67981519.248813555</v>
      </c>
      <c r="C9" s="1238">
        <v>47</v>
      </c>
    </row>
    <row r="10" spans="1:3">
      <c r="A10" s="1237" t="s">
        <v>2474</v>
      </c>
      <c r="B10" s="1238">
        <v>26124487.920000002</v>
      </c>
      <c r="C10" s="1238">
        <v>42</v>
      </c>
    </row>
    <row r="11" spans="1:3">
      <c r="A11" s="1237" t="s">
        <v>75</v>
      </c>
      <c r="B11" s="1238">
        <v>6102541</v>
      </c>
      <c r="C11" s="1238">
        <v>3</v>
      </c>
    </row>
    <row r="12" spans="1:3">
      <c r="A12" s="1237" t="s">
        <v>3753</v>
      </c>
      <c r="B12" s="1238">
        <v>109903128.61135601</v>
      </c>
      <c r="C12" s="1238">
        <v>85</v>
      </c>
    </row>
    <row r="13" spans="1:3">
      <c r="A13" s="1237" t="s">
        <v>3811</v>
      </c>
      <c r="B13" s="1238">
        <v>3877192.33</v>
      </c>
      <c r="C13" s="1238">
        <v>7</v>
      </c>
    </row>
    <row r="14" spans="1:3">
      <c r="A14" s="1237" t="s">
        <v>1108</v>
      </c>
      <c r="B14" s="1238">
        <v>462237.28</v>
      </c>
      <c r="C14" s="1238">
        <v>2</v>
      </c>
    </row>
    <row r="15" spans="1:3">
      <c r="A15" s="1237" t="s">
        <v>1735</v>
      </c>
      <c r="B15" s="1238">
        <v>8526156.0399999991</v>
      </c>
      <c r="C15" s="1238">
        <v>64</v>
      </c>
    </row>
    <row r="16" spans="1:3">
      <c r="A16" s="1237" t="s">
        <v>3461</v>
      </c>
      <c r="B16" s="1238">
        <v>88235</v>
      </c>
      <c r="C16" s="1238">
        <v>4</v>
      </c>
    </row>
    <row r="17" spans="1:3">
      <c r="A17" s="1237" t="s">
        <v>18</v>
      </c>
      <c r="B17" s="1238">
        <v>545904</v>
      </c>
      <c r="C17" s="1238">
        <v>4</v>
      </c>
    </row>
    <row r="18" spans="1:3">
      <c r="A18" s="1237" t="s">
        <v>27</v>
      </c>
      <c r="B18" s="1238">
        <v>55590</v>
      </c>
      <c r="C18" s="1238">
        <v>1</v>
      </c>
    </row>
    <row r="19" spans="1:3">
      <c r="A19" s="1237" t="s">
        <v>3848</v>
      </c>
      <c r="B19" s="1238">
        <v>49436857.131864406</v>
      </c>
      <c r="C19" s="1238">
        <v>60</v>
      </c>
    </row>
    <row r="20" spans="1:3">
      <c r="A20" s="1237" t="s">
        <v>3449</v>
      </c>
      <c r="B20" s="1238">
        <v>395121</v>
      </c>
      <c r="C20" s="1238">
        <v>4</v>
      </c>
    </row>
    <row r="21" spans="1:3">
      <c r="A21" s="1237" t="s">
        <v>4129</v>
      </c>
      <c r="B21" s="1238">
        <v>72000</v>
      </c>
      <c r="C21" s="1238">
        <v>1</v>
      </c>
    </row>
    <row r="22" spans="1:3">
      <c r="A22" s="1237" t="s">
        <v>74</v>
      </c>
      <c r="B22" s="1238">
        <v>4614267.3500000006</v>
      </c>
      <c r="C22" s="1238">
        <v>14</v>
      </c>
    </row>
    <row r="23" spans="1:3">
      <c r="A23" s="1237" t="s">
        <v>4077</v>
      </c>
      <c r="B23" s="1238">
        <v>1985058</v>
      </c>
      <c r="C23" s="1238">
        <v>2</v>
      </c>
    </row>
    <row r="24" spans="1:3">
      <c r="A24" s="1237" t="s">
        <v>21</v>
      </c>
      <c r="B24" s="1238">
        <v>472572611.81288135</v>
      </c>
      <c r="C24" s="1238">
        <v>93</v>
      </c>
    </row>
    <row r="25" spans="1:3">
      <c r="A25" s="1237" t="s">
        <v>3958</v>
      </c>
      <c r="B25" s="1238">
        <v>1000000</v>
      </c>
      <c r="C25" s="1238">
        <v>1</v>
      </c>
    </row>
    <row r="26" spans="1:3">
      <c r="A26" s="1237" t="s">
        <v>2079</v>
      </c>
      <c r="B26" s="1238">
        <v>23438</v>
      </c>
      <c r="C26" s="1238">
        <v>1</v>
      </c>
    </row>
    <row r="27" spans="1:3">
      <c r="A27" s="1237" t="s">
        <v>3960</v>
      </c>
      <c r="B27" s="1238">
        <v>30400</v>
      </c>
      <c r="C27" s="1238">
        <v>1</v>
      </c>
    </row>
    <row r="28" spans="1:3">
      <c r="A28" s="1237" t="s">
        <v>880</v>
      </c>
      <c r="B28" s="1238">
        <v>268519</v>
      </c>
      <c r="C28" s="1238">
        <v>3</v>
      </c>
    </row>
    <row r="29" spans="1:3">
      <c r="A29" s="1237" t="s">
        <v>4250</v>
      </c>
      <c r="B29" s="1238">
        <v>1631494694.8688135</v>
      </c>
      <c r="C29" s="1238">
        <v>10</v>
      </c>
    </row>
    <row r="30" spans="1:3">
      <c r="A30" s="1237" t="s">
        <v>4251</v>
      </c>
      <c r="B30" s="1238">
        <v>2447242042.3032203</v>
      </c>
      <c r="C30" s="1238">
        <v>516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A8E4-1619-4CD2-A01F-018ACB71C4A9}">
  <dimension ref="A3:B244"/>
  <sheetViews>
    <sheetView tabSelected="1" workbookViewId="0">
      <selection activeCell="A6" sqref="A6"/>
    </sheetView>
  </sheetViews>
  <sheetFormatPr defaultRowHeight="14.25"/>
  <cols>
    <col min="1" max="1" width="41.1328125" bestFit="1" customWidth="1"/>
    <col min="2" max="2" width="16.53125" bestFit="1" customWidth="1"/>
  </cols>
  <sheetData>
    <row r="3" spans="1:2">
      <c r="A3" s="1236" t="s">
        <v>4249</v>
      </c>
      <c r="B3" t="s">
        <v>4252</v>
      </c>
    </row>
    <row r="4" spans="1:2">
      <c r="A4" s="1237" t="s">
        <v>4208</v>
      </c>
      <c r="B4" s="1238">
        <v>820550</v>
      </c>
    </row>
    <row r="5" spans="1:2">
      <c r="A5" s="1239" t="s">
        <v>4209</v>
      </c>
      <c r="B5" s="1238">
        <v>820550</v>
      </c>
    </row>
    <row r="6" spans="1:2">
      <c r="A6" s="1237" t="s">
        <v>35</v>
      </c>
      <c r="B6" s="1238">
        <v>32314107.900000002</v>
      </c>
    </row>
    <row r="7" spans="1:2">
      <c r="A7" s="1237" t="s">
        <v>3614</v>
      </c>
      <c r="B7" s="1238">
        <v>5317003.8494915254</v>
      </c>
    </row>
    <row r="8" spans="1:2">
      <c r="A8" s="1239" t="s">
        <v>538</v>
      </c>
      <c r="B8" s="1238">
        <v>37000.406779661018</v>
      </c>
    </row>
    <row r="9" spans="1:2">
      <c r="A9" s="1239" t="s">
        <v>2839</v>
      </c>
      <c r="B9" s="1238">
        <v>58898.3</v>
      </c>
    </row>
    <row r="10" spans="1:2">
      <c r="A10" s="1239" t="s">
        <v>4136</v>
      </c>
      <c r="B10" s="1238">
        <v>275072</v>
      </c>
    </row>
    <row r="11" spans="1:2">
      <c r="A11" s="1239" t="s">
        <v>209</v>
      </c>
      <c r="B11" s="1238">
        <v>9745.7627118644068</v>
      </c>
    </row>
    <row r="12" spans="1:2">
      <c r="A12" s="1239" t="s">
        <v>822</v>
      </c>
      <c r="B12" s="1238">
        <v>13424</v>
      </c>
    </row>
    <row r="13" spans="1:2">
      <c r="A13" s="1239" t="s">
        <v>3699</v>
      </c>
      <c r="B13" s="1238">
        <v>90678</v>
      </c>
    </row>
    <row r="14" spans="1:2">
      <c r="A14" s="1239" t="s">
        <v>474</v>
      </c>
      <c r="B14" s="1238">
        <v>12542.380000000001</v>
      </c>
    </row>
    <row r="15" spans="1:2">
      <c r="A15" s="1239" t="s">
        <v>585</v>
      </c>
      <c r="B15" s="1238">
        <v>4150000</v>
      </c>
    </row>
    <row r="16" spans="1:2">
      <c r="A16" s="1239" t="s">
        <v>3877</v>
      </c>
      <c r="B16" s="1238">
        <v>669643</v>
      </c>
    </row>
    <row r="17" spans="1:2">
      <c r="A17" s="1237" t="s">
        <v>3702</v>
      </c>
      <c r="B17" s="1238">
        <v>491675.3</v>
      </c>
    </row>
    <row r="18" spans="1:2">
      <c r="A18" s="1239" t="s">
        <v>3965</v>
      </c>
      <c r="B18" s="1238">
        <v>61780</v>
      </c>
    </row>
    <row r="19" spans="1:2">
      <c r="A19" s="1239" t="s">
        <v>3703</v>
      </c>
      <c r="B19" s="1238">
        <v>19015.3</v>
      </c>
    </row>
    <row r="20" spans="1:2">
      <c r="A20" s="1239" t="s">
        <v>570</v>
      </c>
      <c r="B20" s="1238">
        <v>410880</v>
      </c>
    </row>
    <row r="21" spans="1:2">
      <c r="A21" s="1237" t="s">
        <v>3705</v>
      </c>
      <c r="B21" s="1238">
        <v>22738746.66</v>
      </c>
    </row>
    <row r="22" spans="1:2">
      <c r="A22" s="1239" t="s">
        <v>4032</v>
      </c>
      <c r="B22" s="1238">
        <v>270000</v>
      </c>
    </row>
    <row r="23" spans="1:2">
      <c r="A23" s="1239" t="s">
        <v>4035</v>
      </c>
      <c r="B23" s="1238">
        <v>220000</v>
      </c>
    </row>
    <row r="24" spans="1:2">
      <c r="A24" s="1239" t="s">
        <v>4037</v>
      </c>
      <c r="B24" s="1238">
        <v>396000</v>
      </c>
    </row>
    <row r="25" spans="1:2">
      <c r="A25" s="1239" t="s">
        <v>4039</v>
      </c>
      <c r="B25" s="1238">
        <v>184000</v>
      </c>
    </row>
    <row r="26" spans="1:2">
      <c r="A26" s="1239" t="s">
        <v>425</v>
      </c>
      <c r="B26" s="1238">
        <v>203644</v>
      </c>
    </row>
    <row r="27" spans="1:2">
      <c r="A27" s="1239" t="s">
        <v>4041</v>
      </c>
      <c r="B27" s="1238">
        <v>702000</v>
      </c>
    </row>
    <row r="28" spans="1:2">
      <c r="A28" s="1239" t="s">
        <v>564</v>
      </c>
      <c r="B28" s="1238">
        <v>902000</v>
      </c>
    </row>
    <row r="29" spans="1:2">
      <c r="A29" s="1239" t="s">
        <v>2839</v>
      </c>
      <c r="B29" s="1238">
        <v>96017</v>
      </c>
    </row>
    <row r="30" spans="1:2">
      <c r="A30" s="1239" t="s">
        <v>3708</v>
      </c>
      <c r="B30" s="1238">
        <v>550000</v>
      </c>
    </row>
    <row r="31" spans="1:2">
      <c r="A31" s="1239" t="s">
        <v>4136</v>
      </c>
      <c r="B31" s="1238">
        <v>190218</v>
      </c>
    </row>
    <row r="32" spans="1:2">
      <c r="A32" s="1239" t="s">
        <v>3340</v>
      </c>
      <c r="B32" s="1238">
        <v>10675959.6</v>
      </c>
    </row>
    <row r="33" spans="1:2">
      <c r="A33" s="1239" t="s">
        <v>309</v>
      </c>
      <c r="B33" s="1238">
        <v>4857462</v>
      </c>
    </row>
    <row r="34" spans="1:2">
      <c r="A34" s="1239" t="s">
        <v>4089</v>
      </c>
      <c r="B34" s="1238">
        <v>369200</v>
      </c>
    </row>
    <row r="35" spans="1:2">
      <c r="A35" s="1239" t="s">
        <v>570</v>
      </c>
      <c r="B35" s="1238">
        <v>539620.4</v>
      </c>
    </row>
    <row r="36" spans="1:2">
      <c r="A36" s="1239" t="s">
        <v>328</v>
      </c>
      <c r="B36" s="1238">
        <v>151800</v>
      </c>
    </row>
    <row r="37" spans="1:2">
      <c r="A37" s="1239" t="s">
        <v>3718</v>
      </c>
      <c r="B37" s="1238">
        <v>529620.4</v>
      </c>
    </row>
    <row r="38" spans="1:2">
      <c r="A38" s="1239" t="s">
        <v>3719</v>
      </c>
      <c r="B38" s="1238">
        <v>1875000</v>
      </c>
    </row>
    <row r="39" spans="1:2">
      <c r="A39" s="1239" t="s">
        <v>4092</v>
      </c>
      <c r="B39" s="1238">
        <v>26205.260000000002</v>
      </c>
    </row>
    <row r="40" spans="1:2">
      <c r="A40" s="1237" t="s">
        <v>3427</v>
      </c>
      <c r="B40" s="1238">
        <v>67981519.24881357</v>
      </c>
    </row>
    <row r="41" spans="1:2">
      <c r="A41" s="1239" t="s">
        <v>578</v>
      </c>
      <c r="B41" s="1238">
        <v>14050000</v>
      </c>
    </row>
    <row r="42" spans="1:2">
      <c r="A42" s="1239" t="s">
        <v>287</v>
      </c>
      <c r="B42" s="1238">
        <v>1750351.2</v>
      </c>
    </row>
    <row r="43" spans="1:2">
      <c r="A43" s="1239" t="s">
        <v>304</v>
      </c>
      <c r="B43" s="1238">
        <v>1956000</v>
      </c>
    </row>
    <row r="44" spans="1:2">
      <c r="A44" s="1239" t="s">
        <v>305</v>
      </c>
      <c r="B44" s="1238">
        <v>330000</v>
      </c>
    </row>
    <row r="45" spans="1:2">
      <c r="A45" s="1239" t="s">
        <v>4096</v>
      </c>
      <c r="B45" s="1238">
        <v>19000</v>
      </c>
    </row>
    <row r="46" spans="1:2">
      <c r="A46" s="1239" t="s">
        <v>575</v>
      </c>
      <c r="B46" s="1238">
        <v>4375000</v>
      </c>
    </row>
    <row r="47" spans="1:2">
      <c r="A47" s="1239" t="s">
        <v>3969</v>
      </c>
      <c r="B47" s="1238">
        <v>152795</v>
      </c>
    </row>
    <row r="48" spans="1:2">
      <c r="A48" s="1239" t="s">
        <v>3972</v>
      </c>
      <c r="B48" s="1238">
        <v>137033.89830508473</v>
      </c>
    </row>
    <row r="49" spans="1:2">
      <c r="A49" s="1239" t="s">
        <v>301</v>
      </c>
      <c r="B49" s="1238">
        <v>620000</v>
      </c>
    </row>
    <row r="50" spans="1:2">
      <c r="A50" s="1239" t="s">
        <v>4045</v>
      </c>
      <c r="B50" s="1238">
        <v>17500</v>
      </c>
    </row>
    <row r="51" spans="1:2">
      <c r="A51" s="1239" t="s">
        <v>935</v>
      </c>
      <c r="B51" s="1238">
        <v>5004576</v>
      </c>
    </row>
    <row r="52" spans="1:2">
      <c r="A52" s="1239" t="s">
        <v>234</v>
      </c>
      <c r="B52" s="1238">
        <v>8750</v>
      </c>
    </row>
    <row r="53" spans="1:2">
      <c r="A53" s="1239" t="s">
        <v>4212</v>
      </c>
      <c r="B53" s="1238">
        <v>8778151</v>
      </c>
    </row>
    <row r="54" spans="1:2">
      <c r="A54" s="1239" t="s">
        <v>4136</v>
      </c>
      <c r="B54" s="1238">
        <v>155742</v>
      </c>
    </row>
    <row r="55" spans="1:2">
      <c r="A55" s="1239" t="s">
        <v>3732</v>
      </c>
      <c r="B55" s="1238">
        <v>19478</v>
      </c>
    </row>
    <row r="56" spans="1:2">
      <c r="A56" s="1239" t="s">
        <v>209</v>
      </c>
      <c r="B56" s="1238">
        <v>166288.13559322033</v>
      </c>
    </row>
    <row r="57" spans="1:2">
      <c r="A57" s="1239" t="s">
        <v>474</v>
      </c>
      <c r="B57" s="1238">
        <v>18220.338983050846</v>
      </c>
    </row>
    <row r="58" spans="1:2">
      <c r="A58" s="1239" t="s">
        <v>302</v>
      </c>
      <c r="B58" s="1238">
        <v>1025000</v>
      </c>
    </row>
    <row r="59" spans="1:2">
      <c r="A59" s="1239" t="s">
        <v>4099</v>
      </c>
      <c r="B59" s="1238">
        <v>1238000</v>
      </c>
    </row>
    <row r="60" spans="1:2">
      <c r="A60" s="1239" t="s">
        <v>3423</v>
      </c>
      <c r="B60" s="1238">
        <v>8474576.3200000003</v>
      </c>
    </row>
    <row r="61" spans="1:2">
      <c r="A61" s="1239" t="s">
        <v>238</v>
      </c>
      <c r="B61" s="1238">
        <v>22881.355932203391</v>
      </c>
    </row>
    <row r="62" spans="1:2">
      <c r="A62" s="1239" t="s">
        <v>3435</v>
      </c>
      <c r="B62" s="1238">
        <v>67900</v>
      </c>
    </row>
    <row r="63" spans="1:2">
      <c r="A63" s="1239" t="s">
        <v>328</v>
      </c>
      <c r="B63" s="1238">
        <v>328500</v>
      </c>
    </row>
    <row r="64" spans="1:2">
      <c r="A64" s="1239" t="s">
        <v>3735</v>
      </c>
      <c r="B64" s="1238">
        <v>297160</v>
      </c>
    </row>
    <row r="65" spans="1:2">
      <c r="A65" s="1239" t="s">
        <v>560</v>
      </c>
      <c r="B65" s="1238">
        <v>410880</v>
      </c>
    </row>
    <row r="66" spans="1:2">
      <c r="A66" s="1239" t="s">
        <v>862</v>
      </c>
      <c r="B66" s="1238">
        <v>190326</v>
      </c>
    </row>
    <row r="67" spans="1:2">
      <c r="A67" s="1239" t="s">
        <v>3736</v>
      </c>
      <c r="B67" s="1238">
        <v>8077410</v>
      </c>
    </row>
    <row r="68" spans="1:2">
      <c r="A68" s="1239" t="s">
        <v>585</v>
      </c>
      <c r="B68" s="1238">
        <v>10290000</v>
      </c>
    </row>
    <row r="69" spans="1:2">
      <c r="A69" s="1237" t="s">
        <v>2474</v>
      </c>
      <c r="B69" s="1238">
        <v>26124487.919999998</v>
      </c>
    </row>
    <row r="70" spans="1:2">
      <c r="A70" s="1239" t="s">
        <v>235</v>
      </c>
      <c r="B70" s="1238">
        <v>86500</v>
      </c>
    </row>
    <row r="71" spans="1:2">
      <c r="A71" s="1239" t="s">
        <v>4105</v>
      </c>
      <c r="B71" s="1238">
        <v>71953.16</v>
      </c>
    </row>
    <row r="72" spans="1:2">
      <c r="A72" s="1239" t="s">
        <v>3977</v>
      </c>
      <c r="B72" s="1238">
        <v>17513</v>
      </c>
    </row>
    <row r="73" spans="1:2">
      <c r="A73" s="1239" t="s">
        <v>287</v>
      </c>
      <c r="B73" s="1238">
        <v>798764</v>
      </c>
    </row>
    <row r="74" spans="1:2">
      <c r="A74" s="1239" t="s">
        <v>4153</v>
      </c>
      <c r="B74" s="1238">
        <v>730544</v>
      </c>
    </row>
    <row r="75" spans="1:2">
      <c r="A75" s="1239" t="s">
        <v>3998</v>
      </c>
      <c r="B75" s="1238">
        <v>129190</v>
      </c>
    </row>
    <row r="76" spans="1:2">
      <c r="A76" s="1239" t="s">
        <v>4155</v>
      </c>
      <c r="B76" s="1238">
        <v>6169620</v>
      </c>
    </row>
    <row r="77" spans="1:2">
      <c r="A77" s="1239" t="s">
        <v>184</v>
      </c>
      <c r="B77" s="1238">
        <v>10829</v>
      </c>
    </row>
    <row r="78" spans="1:2">
      <c r="A78" s="1239" t="s">
        <v>900</v>
      </c>
      <c r="B78" s="1238">
        <v>140212.38</v>
      </c>
    </row>
    <row r="79" spans="1:2">
      <c r="A79" s="1239" t="s">
        <v>425</v>
      </c>
      <c r="B79" s="1238">
        <v>986108.04</v>
      </c>
    </row>
    <row r="80" spans="1:2">
      <c r="A80" s="1239" t="s">
        <v>3742</v>
      </c>
      <c r="B80" s="1238">
        <v>120000</v>
      </c>
    </row>
    <row r="81" spans="1:2">
      <c r="A81" s="1239" t="s">
        <v>4158</v>
      </c>
      <c r="B81" s="1238">
        <v>1434767</v>
      </c>
    </row>
    <row r="82" spans="1:2">
      <c r="A82" s="1239" t="s">
        <v>4232</v>
      </c>
      <c r="B82" s="1238">
        <v>2552924</v>
      </c>
    </row>
    <row r="83" spans="1:2">
      <c r="A83" s="1239" t="s">
        <v>33</v>
      </c>
      <c r="B83" s="1238">
        <v>2558000</v>
      </c>
    </row>
    <row r="84" spans="1:2">
      <c r="A84" s="1239" t="s">
        <v>4017</v>
      </c>
      <c r="B84" s="1238">
        <v>171450</v>
      </c>
    </row>
    <row r="85" spans="1:2">
      <c r="A85" s="1239" t="s">
        <v>3986</v>
      </c>
      <c r="B85" s="1238">
        <v>359491.58</v>
      </c>
    </row>
    <row r="86" spans="1:2">
      <c r="A86" s="1239" t="s">
        <v>4136</v>
      </c>
      <c r="B86" s="1238">
        <v>388342</v>
      </c>
    </row>
    <row r="87" spans="1:2">
      <c r="A87" s="1239" t="s">
        <v>3988</v>
      </c>
      <c r="B87" s="1238">
        <v>2542.38</v>
      </c>
    </row>
    <row r="88" spans="1:2">
      <c r="A88" s="1239" t="s">
        <v>209</v>
      </c>
      <c r="B88" s="1238">
        <v>33135.18</v>
      </c>
    </row>
    <row r="89" spans="1:2">
      <c r="A89" s="1239" t="s">
        <v>474</v>
      </c>
      <c r="B89" s="1238">
        <v>97659</v>
      </c>
    </row>
    <row r="90" spans="1:2">
      <c r="A90" s="1239" t="s">
        <v>3744</v>
      </c>
      <c r="B90" s="1238">
        <v>13640</v>
      </c>
    </row>
    <row r="91" spans="1:2">
      <c r="A91" s="1239" t="s">
        <v>4000</v>
      </c>
      <c r="B91" s="1238">
        <v>369034.2</v>
      </c>
    </row>
    <row r="92" spans="1:2">
      <c r="A92" s="1239" t="s">
        <v>71</v>
      </c>
      <c r="B92" s="1238">
        <v>6410010</v>
      </c>
    </row>
    <row r="93" spans="1:2">
      <c r="A93" s="1239" t="s">
        <v>583</v>
      </c>
      <c r="B93" s="1238">
        <v>1178000</v>
      </c>
    </row>
    <row r="94" spans="1:2">
      <c r="A94" s="1239" t="s">
        <v>1454</v>
      </c>
      <c r="B94" s="1238">
        <v>1178000</v>
      </c>
    </row>
    <row r="95" spans="1:2">
      <c r="A95" s="1239" t="s">
        <v>862</v>
      </c>
      <c r="B95" s="1238">
        <v>116259</v>
      </c>
    </row>
    <row r="96" spans="1:2">
      <c r="A96" s="1237" t="s">
        <v>75</v>
      </c>
      <c r="B96" s="1238">
        <v>6102541</v>
      </c>
    </row>
    <row r="97" spans="1:2">
      <c r="A97" s="1239" t="s">
        <v>312</v>
      </c>
      <c r="B97" s="1238">
        <v>6102541</v>
      </c>
    </row>
    <row r="98" spans="1:2">
      <c r="A98" s="1237" t="s">
        <v>3753</v>
      </c>
      <c r="B98" s="1238">
        <v>109903128.61135595</v>
      </c>
    </row>
    <row r="99" spans="1:2">
      <c r="A99" s="1239" t="s">
        <v>235</v>
      </c>
      <c r="B99" s="1238">
        <v>264662</v>
      </c>
    </row>
    <row r="100" spans="1:2">
      <c r="A100" s="1239" t="s">
        <v>2686</v>
      </c>
      <c r="B100" s="1238">
        <v>26172</v>
      </c>
    </row>
    <row r="101" spans="1:2">
      <c r="A101" s="1239" t="s">
        <v>236</v>
      </c>
      <c r="B101" s="1238">
        <v>6500</v>
      </c>
    </row>
    <row r="102" spans="1:2">
      <c r="A102" s="1239" t="s">
        <v>3992</v>
      </c>
      <c r="B102" s="1238">
        <v>72500</v>
      </c>
    </row>
    <row r="103" spans="1:2">
      <c r="A103" s="1239" t="s">
        <v>4006</v>
      </c>
      <c r="B103" s="1238">
        <v>3220</v>
      </c>
    </row>
    <row r="104" spans="1:2">
      <c r="A104" s="1239" t="s">
        <v>3969</v>
      </c>
      <c r="B104" s="1238">
        <v>118050.8</v>
      </c>
    </row>
    <row r="105" spans="1:2">
      <c r="A105" s="1239" t="s">
        <v>3993</v>
      </c>
      <c r="B105" s="1238">
        <v>11789</v>
      </c>
    </row>
    <row r="106" spans="1:2">
      <c r="A106" s="1239" t="s">
        <v>459</v>
      </c>
      <c r="B106" s="1238">
        <v>59000</v>
      </c>
    </row>
    <row r="107" spans="1:2">
      <c r="A107" s="1239" t="s">
        <v>3752</v>
      </c>
      <c r="B107" s="1238">
        <v>714285.67999999993</v>
      </c>
    </row>
    <row r="108" spans="1:2">
      <c r="A108" s="1239" t="s">
        <v>2839</v>
      </c>
      <c r="B108" s="1238">
        <v>52457.627118644072</v>
      </c>
    </row>
    <row r="109" spans="1:2">
      <c r="A109" s="1239" t="s">
        <v>4136</v>
      </c>
      <c r="B109" s="1238">
        <v>585966</v>
      </c>
    </row>
    <row r="110" spans="1:2">
      <c r="A110" s="1239" t="s">
        <v>324</v>
      </c>
      <c r="B110" s="1238">
        <v>1074710</v>
      </c>
    </row>
    <row r="111" spans="1:2">
      <c r="A111" s="1239" t="s">
        <v>4007</v>
      </c>
      <c r="B111" s="1238">
        <v>19492</v>
      </c>
    </row>
    <row r="112" spans="1:2">
      <c r="A112" s="1239" t="s">
        <v>2610</v>
      </c>
      <c r="B112" s="1238">
        <v>4915.2542372881353</v>
      </c>
    </row>
    <row r="113" spans="1:2">
      <c r="A113" s="1239" t="s">
        <v>582</v>
      </c>
      <c r="B113" s="1238">
        <v>5229220</v>
      </c>
    </row>
    <row r="114" spans="1:2">
      <c r="A114" s="1239" t="s">
        <v>3340</v>
      </c>
      <c r="B114" s="1238">
        <v>2459909.38</v>
      </c>
    </row>
    <row r="115" spans="1:2">
      <c r="A115" s="1239" t="s">
        <v>309</v>
      </c>
      <c r="B115" s="1238">
        <v>6918188.0700000003</v>
      </c>
    </row>
    <row r="116" spans="1:2">
      <c r="A116" s="1239" t="s">
        <v>62</v>
      </c>
      <c r="B116" s="1238">
        <v>482970</v>
      </c>
    </row>
    <row r="117" spans="1:2">
      <c r="A117" s="1239" t="s">
        <v>3781</v>
      </c>
      <c r="B117" s="1238">
        <v>2397700</v>
      </c>
    </row>
    <row r="118" spans="1:2">
      <c r="A118" s="1239" t="s">
        <v>3735</v>
      </c>
      <c r="B118" s="1238">
        <v>54940</v>
      </c>
    </row>
    <row r="119" spans="1:2">
      <c r="A119" s="1239" t="s">
        <v>71</v>
      </c>
      <c r="B119" s="1238">
        <v>75043300.800000012</v>
      </c>
    </row>
    <row r="120" spans="1:2">
      <c r="A120" s="1239" t="s">
        <v>3806</v>
      </c>
      <c r="B120" s="1238">
        <v>4900000</v>
      </c>
    </row>
    <row r="121" spans="1:2">
      <c r="A121" s="1239" t="s">
        <v>862</v>
      </c>
      <c r="B121" s="1238">
        <v>102930</v>
      </c>
    </row>
    <row r="122" spans="1:2">
      <c r="A122" s="1239" t="s">
        <v>436</v>
      </c>
      <c r="B122" s="1238">
        <v>2204</v>
      </c>
    </row>
    <row r="123" spans="1:2">
      <c r="A123" s="1239" t="s">
        <v>807</v>
      </c>
      <c r="B123" s="1238">
        <v>8400</v>
      </c>
    </row>
    <row r="124" spans="1:2">
      <c r="A124" s="1239" t="s">
        <v>585</v>
      </c>
      <c r="B124" s="1238">
        <v>9251146</v>
      </c>
    </row>
    <row r="125" spans="1:2">
      <c r="A125" s="1239" t="s">
        <v>4010</v>
      </c>
      <c r="B125" s="1238">
        <v>38500</v>
      </c>
    </row>
    <row r="126" spans="1:2">
      <c r="A126" s="1237" t="s">
        <v>3811</v>
      </c>
      <c r="B126" s="1238">
        <v>3877192.33</v>
      </c>
    </row>
    <row r="127" spans="1:2">
      <c r="A127" s="1239" t="s">
        <v>235</v>
      </c>
      <c r="B127" s="1238">
        <v>27344</v>
      </c>
    </row>
    <row r="128" spans="1:2">
      <c r="A128" s="1239" t="s">
        <v>3340</v>
      </c>
      <c r="B128" s="1238">
        <v>827238.64</v>
      </c>
    </row>
    <row r="129" spans="1:2">
      <c r="A129" s="1239" t="s">
        <v>309</v>
      </c>
      <c r="B129" s="1238">
        <v>2611729.69</v>
      </c>
    </row>
    <row r="130" spans="1:2">
      <c r="A130" s="1239" t="s">
        <v>328</v>
      </c>
      <c r="B130" s="1238">
        <v>410880</v>
      </c>
    </row>
    <row r="131" spans="1:2">
      <c r="A131" s="1237" t="s">
        <v>1108</v>
      </c>
      <c r="B131" s="1238">
        <v>462237.28</v>
      </c>
    </row>
    <row r="132" spans="1:2">
      <c r="A132" s="1239" t="s">
        <v>3818</v>
      </c>
      <c r="B132" s="1238">
        <v>408000</v>
      </c>
    </row>
    <row r="133" spans="1:2">
      <c r="A133" s="1239" t="s">
        <v>2839</v>
      </c>
      <c r="B133" s="1238">
        <v>54237.279999999999</v>
      </c>
    </row>
    <row r="134" spans="1:2">
      <c r="A134" s="1237" t="s">
        <v>1735</v>
      </c>
      <c r="B134" s="1238">
        <v>8526156.0399999991</v>
      </c>
    </row>
    <row r="135" spans="1:2">
      <c r="A135" s="1239" t="s">
        <v>4187</v>
      </c>
      <c r="B135" s="1238">
        <v>110000</v>
      </c>
    </row>
    <row r="136" spans="1:2">
      <c r="A136" s="1239" t="s">
        <v>4011</v>
      </c>
      <c r="B136" s="1238">
        <v>29322</v>
      </c>
    </row>
    <row r="137" spans="1:2">
      <c r="A137" s="1239" t="s">
        <v>576</v>
      </c>
      <c r="B137" s="1238">
        <v>2252000</v>
      </c>
    </row>
    <row r="138" spans="1:2">
      <c r="A138" s="1239" t="s">
        <v>577</v>
      </c>
      <c r="B138" s="1238">
        <v>678000</v>
      </c>
    </row>
    <row r="139" spans="1:2">
      <c r="A139" s="1239" t="s">
        <v>184</v>
      </c>
      <c r="B139" s="1238">
        <v>64238</v>
      </c>
    </row>
    <row r="140" spans="1:2">
      <c r="A140" s="1239" t="s">
        <v>60</v>
      </c>
      <c r="B140" s="1238">
        <v>847000</v>
      </c>
    </row>
    <row r="141" spans="1:2">
      <c r="A141" s="1239" t="s">
        <v>459</v>
      </c>
      <c r="B141" s="1238">
        <v>333938.24</v>
      </c>
    </row>
    <row r="142" spans="1:2">
      <c r="A142" s="1239" t="s">
        <v>4013</v>
      </c>
      <c r="B142" s="1238">
        <v>170678</v>
      </c>
    </row>
    <row r="143" spans="1:2">
      <c r="A143" s="1239" t="s">
        <v>4045</v>
      </c>
      <c r="B143" s="1238">
        <v>25740</v>
      </c>
    </row>
    <row r="144" spans="1:2">
      <c r="A144" s="1239" t="s">
        <v>4014</v>
      </c>
      <c r="B144" s="1238">
        <v>66949.16</v>
      </c>
    </row>
    <row r="145" spans="1:2">
      <c r="A145" s="1239" t="s">
        <v>822</v>
      </c>
      <c r="B145" s="1238">
        <v>1005527</v>
      </c>
    </row>
    <row r="146" spans="1:2">
      <c r="A146" s="1239" t="s">
        <v>309</v>
      </c>
      <c r="B146" s="1238">
        <v>1551131.64</v>
      </c>
    </row>
    <row r="147" spans="1:2">
      <c r="A147" s="1239" t="s">
        <v>4099</v>
      </c>
      <c r="B147" s="1238">
        <v>378100</v>
      </c>
    </row>
    <row r="148" spans="1:2">
      <c r="A148" s="1239" t="s">
        <v>189</v>
      </c>
      <c r="B148" s="1238">
        <v>92204</v>
      </c>
    </row>
    <row r="149" spans="1:2">
      <c r="A149" s="1239" t="s">
        <v>3435</v>
      </c>
      <c r="B149" s="1238">
        <v>108600</v>
      </c>
    </row>
    <row r="150" spans="1:2">
      <c r="A150" s="1239" t="s">
        <v>320</v>
      </c>
      <c r="B150" s="1238">
        <v>303500</v>
      </c>
    </row>
    <row r="151" spans="1:2">
      <c r="A151" s="1239" t="s">
        <v>983</v>
      </c>
      <c r="B151" s="1238">
        <v>435500</v>
      </c>
    </row>
    <row r="152" spans="1:2">
      <c r="A152" s="1239" t="s">
        <v>186</v>
      </c>
      <c r="B152" s="1238">
        <v>73728</v>
      </c>
    </row>
    <row r="153" spans="1:2">
      <c r="A153" s="1237" t="s">
        <v>3461</v>
      </c>
      <c r="B153" s="1238">
        <v>88235</v>
      </c>
    </row>
    <row r="154" spans="1:2">
      <c r="A154" s="1239" t="s">
        <v>3842</v>
      </c>
      <c r="B154" s="1238">
        <v>6750</v>
      </c>
    </row>
    <row r="155" spans="1:2">
      <c r="A155" s="1239" t="s">
        <v>328</v>
      </c>
      <c r="B155" s="1238">
        <v>41000</v>
      </c>
    </row>
    <row r="156" spans="1:2">
      <c r="A156" s="1239" t="s">
        <v>320</v>
      </c>
      <c r="B156" s="1238">
        <v>30085</v>
      </c>
    </row>
    <row r="157" spans="1:2">
      <c r="A157" s="1239" t="s">
        <v>4015</v>
      </c>
      <c r="B157" s="1238">
        <v>10400</v>
      </c>
    </row>
    <row r="158" spans="1:2">
      <c r="A158" s="1237" t="s">
        <v>18</v>
      </c>
      <c r="B158" s="1238">
        <v>545904</v>
      </c>
    </row>
    <row r="159" spans="1:2">
      <c r="A159" s="1239" t="s">
        <v>332</v>
      </c>
      <c r="B159" s="1238">
        <v>256251</v>
      </c>
    </row>
    <row r="160" spans="1:2">
      <c r="A160" s="1239" t="s">
        <v>862</v>
      </c>
      <c r="B160" s="1238">
        <v>289653</v>
      </c>
    </row>
    <row r="161" spans="1:2">
      <c r="A161" s="1237" t="s">
        <v>27</v>
      </c>
      <c r="B161" s="1238">
        <v>55590</v>
      </c>
    </row>
    <row r="162" spans="1:2">
      <c r="A162" s="1239" t="s">
        <v>235</v>
      </c>
      <c r="B162" s="1238">
        <v>55590</v>
      </c>
    </row>
    <row r="163" spans="1:2">
      <c r="A163" s="1237" t="s">
        <v>3848</v>
      </c>
      <c r="B163" s="1238">
        <v>49436857.131864406</v>
      </c>
    </row>
    <row r="164" spans="1:2">
      <c r="A164" s="1239" t="s">
        <v>332</v>
      </c>
      <c r="B164" s="1238">
        <v>2980000</v>
      </c>
    </row>
    <row r="165" spans="1:2">
      <c r="A165" s="1239" t="s">
        <v>235</v>
      </c>
      <c r="B165" s="1238">
        <v>210000.74</v>
      </c>
    </row>
    <row r="166" spans="1:2">
      <c r="A166" s="1239" t="s">
        <v>2686</v>
      </c>
      <c r="B166" s="1238">
        <v>26562</v>
      </c>
    </row>
    <row r="167" spans="1:2">
      <c r="A167" s="1239" t="s">
        <v>576</v>
      </c>
      <c r="B167" s="1238">
        <v>375000</v>
      </c>
    </row>
    <row r="168" spans="1:2">
      <c r="A168" s="1239" t="s">
        <v>1814</v>
      </c>
      <c r="B168" s="1238">
        <v>16250000</v>
      </c>
    </row>
    <row r="169" spans="1:2">
      <c r="A169" s="1239" t="s">
        <v>60</v>
      </c>
      <c r="B169" s="1238">
        <v>19460</v>
      </c>
    </row>
    <row r="170" spans="1:2">
      <c r="A170" s="1239" t="s">
        <v>323</v>
      </c>
      <c r="B170" s="1238">
        <v>4682686</v>
      </c>
    </row>
    <row r="171" spans="1:2">
      <c r="A171" s="1239" t="s">
        <v>935</v>
      </c>
      <c r="B171" s="1238">
        <v>680000</v>
      </c>
    </row>
    <row r="172" spans="1:2">
      <c r="A172" s="1239" t="s">
        <v>4051</v>
      </c>
      <c r="B172" s="1238">
        <v>15600</v>
      </c>
    </row>
    <row r="173" spans="1:2">
      <c r="A173" s="1239" t="s">
        <v>4054</v>
      </c>
      <c r="B173" s="1238">
        <v>3458</v>
      </c>
    </row>
    <row r="174" spans="1:2">
      <c r="A174" s="1239" t="s">
        <v>4056</v>
      </c>
      <c r="B174" s="1238">
        <v>88640</v>
      </c>
    </row>
    <row r="175" spans="1:2">
      <c r="A175" s="1239" t="s">
        <v>4136</v>
      </c>
      <c r="B175" s="1238">
        <v>81722</v>
      </c>
    </row>
    <row r="176" spans="1:2">
      <c r="A176" s="1239" t="s">
        <v>533</v>
      </c>
      <c r="B176" s="1238">
        <v>3594</v>
      </c>
    </row>
    <row r="177" spans="1:2">
      <c r="A177" s="1239" t="s">
        <v>3514</v>
      </c>
      <c r="B177" s="1238">
        <v>575000</v>
      </c>
    </row>
    <row r="178" spans="1:2">
      <c r="A178" s="1239" t="s">
        <v>4061</v>
      </c>
      <c r="B178" s="1238">
        <v>17068</v>
      </c>
    </row>
    <row r="179" spans="1:2">
      <c r="A179" s="1239" t="s">
        <v>474</v>
      </c>
      <c r="B179" s="1238">
        <v>9490</v>
      </c>
    </row>
    <row r="180" spans="1:2">
      <c r="A180" s="1239" t="s">
        <v>302</v>
      </c>
      <c r="B180" s="1238">
        <v>2043000</v>
      </c>
    </row>
    <row r="181" spans="1:2">
      <c r="A181" s="1239" t="s">
        <v>582</v>
      </c>
      <c r="B181" s="1238">
        <v>6445000</v>
      </c>
    </row>
    <row r="182" spans="1:2">
      <c r="A182" s="1239" t="s">
        <v>3340</v>
      </c>
      <c r="B182" s="1238">
        <v>5105240.4000000004</v>
      </c>
    </row>
    <row r="183" spans="1:2">
      <c r="A183" s="1239" t="s">
        <v>4063</v>
      </c>
      <c r="B183" s="1238">
        <v>21144</v>
      </c>
    </row>
    <row r="184" spans="1:2">
      <c r="A184" s="1239" t="s">
        <v>309</v>
      </c>
      <c r="B184" s="1238">
        <v>8543849</v>
      </c>
    </row>
    <row r="185" spans="1:2">
      <c r="A185" s="1239" t="s">
        <v>238</v>
      </c>
      <c r="B185" s="1238">
        <v>29999</v>
      </c>
    </row>
    <row r="186" spans="1:2">
      <c r="A186" s="1239" t="s">
        <v>3435</v>
      </c>
      <c r="B186" s="1238">
        <v>53654.28</v>
      </c>
    </row>
    <row r="187" spans="1:2">
      <c r="A187" s="1239" t="s">
        <v>328</v>
      </c>
      <c r="B187" s="1238">
        <v>14000</v>
      </c>
    </row>
    <row r="188" spans="1:2">
      <c r="A188" s="1239" t="s">
        <v>862</v>
      </c>
      <c r="B188" s="1238">
        <v>129095</v>
      </c>
    </row>
    <row r="189" spans="1:2">
      <c r="A189" s="1239" t="s">
        <v>320</v>
      </c>
      <c r="B189" s="1238">
        <v>31050</v>
      </c>
    </row>
    <row r="190" spans="1:2">
      <c r="A190" s="1239" t="s">
        <v>4092</v>
      </c>
      <c r="B190" s="1238">
        <v>20762.711864406781</v>
      </c>
    </row>
    <row r="191" spans="1:2">
      <c r="A191" s="1239" t="s">
        <v>983</v>
      </c>
      <c r="B191" s="1238">
        <v>280000</v>
      </c>
    </row>
    <row r="192" spans="1:2">
      <c r="A192" s="1239" t="s">
        <v>3876</v>
      </c>
      <c r="B192" s="1238">
        <v>32140</v>
      </c>
    </row>
    <row r="193" spans="1:2">
      <c r="A193" s="1239" t="s">
        <v>3877</v>
      </c>
      <c r="B193" s="1238">
        <v>669642</v>
      </c>
    </row>
    <row r="194" spans="1:2">
      <c r="A194" s="1237" t="s">
        <v>3449</v>
      </c>
      <c r="B194" s="1238">
        <v>395121</v>
      </c>
    </row>
    <row r="195" spans="1:2">
      <c r="A195" s="1239" t="s">
        <v>4223</v>
      </c>
      <c r="B195" s="1238">
        <v>194200</v>
      </c>
    </row>
    <row r="196" spans="1:2">
      <c r="A196" s="1239" t="s">
        <v>862</v>
      </c>
      <c r="B196" s="1238">
        <v>200921</v>
      </c>
    </row>
    <row r="197" spans="1:2">
      <c r="A197" s="1237" t="s">
        <v>4129</v>
      </c>
      <c r="B197" s="1238">
        <v>72000</v>
      </c>
    </row>
    <row r="198" spans="1:2">
      <c r="A198" s="1239" t="s">
        <v>1578</v>
      </c>
      <c r="B198" s="1238">
        <v>72000</v>
      </c>
    </row>
    <row r="199" spans="1:2">
      <c r="A199" s="1237" t="s">
        <v>74</v>
      </c>
      <c r="B199" s="1238">
        <v>4614267.3499999996</v>
      </c>
    </row>
    <row r="200" spans="1:2">
      <c r="A200" s="1239" t="s">
        <v>575</v>
      </c>
      <c r="B200" s="1238">
        <v>3650000</v>
      </c>
    </row>
    <row r="201" spans="1:2">
      <c r="A201" s="1239" t="s">
        <v>3879</v>
      </c>
      <c r="B201" s="1238">
        <v>24390</v>
      </c>
    </row>
    <row r="202" spans="1:2">
      <c r="A202" s="1239" t="s">
        <v>4073</v>
      </c>
      <c r="B202" s="1238">
        <v>100384.93999999999</v>
      </c>
    </row>
    <row r="203" spans="1:2">
      <c r="A203" s="1239" t="s">
        <v>538</v>
      </c>
      <c r="B203" s="1238">
        <v>9177.119999999999</v>
      </c>
    </row>
    <row r="204" spans="1:2">
      <c r="A204" s="1239" t="s">
        <v>4068</v>
      </c>
      <c r="B204" s="1238">
        <v>94721.18</v>
      </c>
    </row>
    <row r="205" spans="1:2">
      <c r="A205" s="1239" t="s">
        <v>4136</v>
      </c>
      <c r="B205" s="1238">
        <v>110771</v>
      </c>
    </row>
    <row r="206" spans="1:2">
      <c r="A206" s="1239" t="s">
        <v>832</v>
      </c>
      <c r="B206" s="1238">
        <v>34004.11</v>
      </c>
    </row>
    <row r="207" spans="1:2">
      <c r="A207" s="1239" t="s">
        <v>209</v>
      </c>
      <c r="B207" s="1238">
        <v>149000</v>
      </c>
    </row>
    <row r="208" spans="1:2">
      <c r="A208" s="1239" t="s">
        <v>4071</v>
      </c>
      <c r="B208" s="1238">
        <v>265000</v>
      </c>
    </row>
    <row r="209" spans="1:2">
      <c r="A209" s="1239" t="s">
        <v>862</v>
      </c>
      <c r="B209" s="1238">
        <v>146987</v>
      </c>
    </row>
    <row r="210" spans="1:2">
      <c r="A210" s="1239" t="s">
        <v>983</v>
      </c>
      <c r="B210" s="1238">
        <v>29831.999999999996</v>
      </c>
    </row>
    <row r="211" spans="1:2">
      <c r="A211" s="1237" t="s">
        <v>4077</v>
      </c>
      <c r="B211" s="1238">
        <v>1985058</v>
      </c>
    </row>
    <row r="212" spans="1:2">
      <c r="A212" s="1239" t="s">
        <v>3447</v>
      </c>
      <c r="B212" s="1238">
        <v>1974922</v>
      </c>
    </row>
    <row r="213" spans="1:2">
      <c r="A213" s="1239" t="s">
        <v>4076</v>
      </c>
      <c r="B213" s="1238">
        <v>10136</v>
      </c>
    </row>
    <row r="214" spans="1:2">
      <c r="A214" s="1237" t="s">
        <v>21</v>
      </c>
      <c r="B214" s="1238">
        <v>472572611.81288135</v>
      </c>
    </row>
    <row r="215" spans="1:2">
      <c r="A215" s="1239" t="s">
        <v>4079</v>
      </c>
      <c r="B215" s="1238">
        <v>1055000</v>
      </c>
    </row>
    <row r="216" spans="1:2">
      <c r="A216" s="1239" t="s">
        <v>2686</v>
      </c>
      <c r="B216" s="1238">
        <v>78516</v>
      </c>
    </row>
    <row r="217" spans="1:2">
      <c r="A217" s="1239" t="s">
        <v>3972</v>
      </c>
      <c r="B217" s="1238">
        <v>70042.372881355928</v>
      </c>
    </row>
    <row r="218" spans="1:2">
      <c r="A218" s="1239" t="s">
        <v>982</v>
      </c>
      <c r="B218" s="1238">
        <v>19200000</v>
      </c>
    </row>
    <row r="219" spans="1:2">
      <c r="A219" s="1239" t="s">
        <v>323</v>
      </c>
      <c r="B219" s="1238">
        <v>54750294</v>
      </c>
    </row>
    <row r="220" spans="1:2">
      <c r="A220" s="1239" t="s">
        <v>1175</v>
      </c>
      <c r="B220" s="1238">
        <v>20186.439999999999</v>
      </c>
    </row>
    <row r="221" spans="1:2">
      <c r="A221" s="1239" t="s">
        <v>324</v>
      </c>
      <c r="B221" s="1238">
        <v>11669127</v>
      </c>
    </row>
    <row r="222" spans="1:2">
      <c r="A222" s="1239" t="s">
        <v>4083</v>
      </c>
      <c r="B222" s="1238">
        <v>135000</v>
      </c>
    </row>
    <row r="223" spans="1:2">
      <c r="A223" s="1239" t="s">
        <v>3514</v>
      </c>
      <c r="B223" s="1238">
        <v>1150000</v>
      </c>
    </row>
    <row r="224" spans="1:2">
      <c r="A224" s="1239" t="s">
        <v>822</v>
      </c>
      <c r="B224" s="1238">
        <v>60450</v>
      </c>
    </row>
    <row r="225" spans="1:2">
      <c r="A225" s="1239" t="s">
        <v>3888</v>
      </c>
      <c r="B225" s="1238">
        <v>88320</v>
      </c>
    </row>
    <row r="226" spans="1:2">
      <c r="A226" s="1239" t="s">
        <v>62</v>
      </c>
      <c r="B226" s="1238">
        <v>6514000</v>
      </c>
    </row>
    <row r="227" spans="1:2">
      <c r="A227" s="1239" t="s">
        <v>328</v>
      </c>
      <c r="B227" s="1238">
        <v>316100</v>
      </c>
    </row>
    <row r="228" spans="1:2">
      <c r="A228" s="1239" t="s">
        <v>71</v>
      </c>
      <c r="B228" s="1238">
        <v>376290326</v>
      </c>
    </row>
    <row r="229" spans="1:2">
      <c r="A229" s="1239" t="s">
        <v>3954</v>
      </c>
      <c r="B229" s="1238">
        <v>25250</v>
      </c>
    </row>
    <row r="230" spans="1:2">
      <c r="A230" s="1239" t="s">
        <v>326</v>
      </c>
      <c r="B230" s="1238">
        <v>1150000</v>
      </c>
    </row>
    <row r="231" spans="1:2">
      <c r="A231" s="1237" t="s">
        <v>3958</v>
      </c>
      <c r="B231" s="1238">
        <v>1000000</v>
      </c>
    </row>
    <row r="232" spans="1:2">
      <c r="A232" s="1239" t="s">
        <v>302</v>
      </c>
      <c r="B232" s="1238">
        <v>1000000</v>
      </c>
    </row>
    <row r="233" spans="1:2">
      <c r="A233" s="1237" t="s">
        <v>2079</v>
      </c>
      <c r="B233" s="1238">
        <v>23438</v>
      </c>
    </row>
    <row r="234" spans="1:2">
      <c r="A234" s="1239" t="s">
        <v>2686</v>
      </c>
      <c r="B234" s="1238">
        <v>23438</v>
      </c>
    </row>
    <row r="235" spans="1:2">
      <c r="A235" s="1237" t="s">
        <v>3960</v>
      </c>
      <c r="B235" s="1238">
        <v>30400</v>
      </c>
    </row>
    <row r="236" spans="1:2">
      <c r="A236" s="1239" t="s">
        <v>320</v>
      </c>
      <c r="B236" s="1238">
        <v>30400</v>
      </c>
    </row>
    <row r="237" spans="1:2">
      <c r="A237" s="1237" t="s">
        <v>880</v>
      </c>
      <c r="B237" s="1238">
        <v>268519</v>
      </c>
    </row>
    <row r="238" spans="1:2">
      <c r="A238" s="1239" t="s">
        <v>4105</v>
      </c>
      <c r="B238" s="1238">
        <v>35519</v>
      </c>
    </row>
    <row r="239" spans="1:2">
      <c r="A239" s="1239" t="s">
        <v>576</v>
      </c>
      <c r="B239" s="1238">
        <v>233000</v>
      </c>
    </row>
    <row r="240" spans="1:2">
      <c r="A240" s="1237" t="s">
        <v>4250</v>
      </c>
      <c r="B240" s="1238">
        <v>1631494694.8688133</v>
      </c>
    </row>
    <row r="241" spans="1:2">
      <c r="A241" s="1239" t="s">
        <v>4189</v>
      </c>
      <c r="B241" s="1238">
        <v>815747347.43440664</v>
      </c>
    </row>
    <row r="242" spans="1:2">
      <c r="A242" s="1239" t="s">
        <v>30</v>
      </c>
      <c r="B242" s="1238">
        <v>804399380.10101688</v>
      </c>
    </row>
    <row r="243" spans="1:2">
      <c r="A243" s="1239" t="s">
        <v>4250</v>
      </c>
      <c r="B243" s="1238">
        <v>11347967.333389832</v>
      </c>
    </row>
    <row r="244" spans="1:2">
      <c r="A244" s="1237" t="s">
        <v>4251</v>
      </c>
      <c r="B244" s="1238">
        <v>2447242042.3032203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F14C4-E3DA-4C1B-B070-4936C998AE6F}">
  <sheetPr>
    <pageSetUpPr fitToPage="1"/>
  </sheetPr>
  <dimension ref="A1:V585"/>
  <sheetViews>
    <sheetView showGridLines="0" view="pageBreakPreview" topLeftCell="B3" zoomScale="71" zoomScaleNormal="100" zoomScaleSheetLayoutView="100" workbookViewId="0">
      <selection activeCell="B3" sqref="B3:V531"/>
    </sheetView>
  </sheetViews>
  <sheetFormatPr defaultColWidth="8.86328125" defaultRowHeight="14.25" outlineLevelCol="1"/>
  <cols>
    <col min="1" max="1" width="8.86328125" style="6"/>
    <col min="2" max="2" width="7.86328125" style="6" customWidth="1"/>
    <col min="3" max="3" width="20.6640625" style="6" customWidth="1"/>
    <col min="4" max="4" width="18.33203125" style="6" customWidth="1"/>
    <col min="5" max="5" width="17.6640625" style="6" customWidth="1"/>
    <col min="6" max="6" width="13.6640625" style="6" customWidth="1"/>
    <col min="7" max="7" width="10.33203125" style="6" hidden="1" customWidth="1"/>
    <col min="8" max="8" width="38.46484375" style="6" bestFit="1" customWidth="1"/>
    <col min="9" max="9" width="16.1328125" style="6" bestFit="1" customWidth="1"/>
    <col min="10" max="10" width="14.53125" style="6" customWidth="1"/>
    <col min="11" max="11" width="13.6640625" style="6" hidden="1" customWidth="1"/>
    <col min="12" max="12" width="16.6640625" style="6" bestFit="1" customWidth="1" outlineLevel="1"/>
    <col min="13" max="13" width="11.46484375" style="6" bestFit="1" customWidth="1" outlineLevel="1"/>
    <col min="14" max="14" width="12.6640625" style="6" bestFit="1" customWidth="1" outlineLevel="1"/>
    <col min="15" max="15" width="14.19921875" style="6" customWidth="1" outlineLevel="1"/>
    <col min="16" max="16" width="12.796875" style="6" customWidth="1" outlineLevel="1"/>
    <col min="17" max="17" width="0.1328125" style="6" customWidth="1" outlineLevel="1"/>
    <col min="18" max="18" width="14.796875" style="6" hidden="1" customWidth="1" outlineLevel="1"/>
    <col min="19" max="19" width="13.46484375" style="6" customWidth="1" outlineLevel="1"/>
    <col min="20" max="20" width="17.33203125" style="6" bestFit="1" customWidth="1" outlineLevel="1"/>
    <col min="21" max="21" width="13.1328125" style="6" customWidth="1" outlineLevel="1"/>
    <col min="22" max="22" width="14.33203125" style="6" bestFit="1" customWidth="1" outlineLevel="1"/>
  </cols>
  <sheetData>
    <row r="1" spans="1:22" ht="23.25" customHeight="1">
      <c r="A1" s="816"/>
      <c r="B1" s="817"/>
      <c r="C1" s="818" t="s">
        <v>0</v>
      </c>
      <c r="D1" s="817"/>
      <c r="E1" s="817"/>
      <c r="F1" s="817"/>
      <c r="G1" s="817"/>
      <c r="H1" s="817"/>
      <c r="I1" s="817"/>
      <c r="J1" s="819"/>
      <c r="K1" s="819"/>
      <c r="L1" s="819"/>
      <c r="M1" s="819"/>
      <c r="N1" s="819"/>
      <c r="O1" s="819"/>
      <c r="P1" s="820">
        <v>45382</v>
      </c>
      <c r="Q1" s="821"/>
      <c r="R1" s="821"/>
      <c r="S1" s="821"/>
      <c r="T1" s="821"/>
      <c r="U1" s="821"/>
      <c r="V1" s="821"/>
    </row>
    <row r="2" spans="1:22" ht="23.25" customHeight="1">
      <c r="A2" s="816"/>
      <c r="B2" s="817"/>
      <c r="C2" s="818" t="s">
        <v>3688</v>
      </c>
      <c r="D2" s="817"/>
      <c r="E2" s="817"/>
      <c r="F2" s="817"/>
      <c r="G2" s="817"/>
      <c r="H2" s="817"/>
      <c r="I2" s="817"/>
      <c r="J2" s="819"/>
      <c r="K2" s="819"/>
      <c r="L2" s="819"/>
      <c r="M2" s="819"/>
      <c r="N2" s="819"/>
      <c r="O2" s="819">
        <f>SUBTOTAL(9,O5:O530)*0</f>
        <v>0</v>
      </c>
      <c r="P2" s="819"/>
      <c r="Q2" s="822"/>
      <c r="R2" s="821"/>
      <c r="S2" s="821"/>
      <c r="T2" s="821"/>
      <c r="U2" s="821"/>
      <c r="V2" s="821"/>
    </row>
    <row r="3" spans="1:22" ht="53.25" customHeight="1">
      <c r="A3" s="816"/>
      <c r="B3" s="823" t="s">
        <v>881</v>
      </c>
      <c r="C3" s="823" t="s">
        <v>2</v>
      </c>
      <c r="D3" s="823" t="s">
        <v>3</v>
      </c>
      <c r="E3" s="823" t="s">
        <v>4</v>
      </c>
      <c r="F3" s="824" t="s">
        <v>5</v>
      </c>
      <c r="G3" s="823" t="s">
        <v>6</v>
      </c>
      <c r="H3" s="823" t="s">
        <v>7</v>
      </c>
      <c r="I3" s="823" t="s">
        <v>8</v>
      </c>
      <c r="J3" s="825" t="s">
        <v>9</v>
      </c>
      <c r="K3" s="825" t="s">
        <v>4207</v>
      </c>
      <c r="L3" s="825" t="s">
        <v>10</v>
      </c>
      <c r="M3" s="825" t="s">
        <v>11</v>
      </c>
      <c r="N3" s="825" t="s">
        <v>12</v>
      </c>
      <c r="O3" s="825" t="s">
        <v>13</v>
      </c>
      <c r="P3" s="823" t="s">
        <v>14</v>
      </c>
      <c r="Q3" s="826" t="s">
        <v>15</v>
      </c>
      <c r="R3" s="826" t="s">
        <v>16</v>
      </c>
      <c r="S3" s="826" t="s">
        <v>17</v>
      </c>
      <c r="T3" s="826" t="s">
        <v>3689</v>
      </c>
      <c r="U3" s="826" t="s">
        <v>3690</v>
      </c>
      <c r="V3" s="826" t="s">
        <v>4194</v>
      </c>
    </row>
    <row r="4" spans="1:22" ht="19.25" customHeight="1">
      <c r="A4" s="816"/>
      <c r="B4" s="1049" t="s">
        <v>2</v>
      </c>
      <c r="C4" s="827"/>
      <c r="D4" s="823"/>
      <c r="E4" s="823"/>
      <c r="F4" s="824"/>
      <c r="G4" s="823"/>
      <c r="H4" s="823"/>
      <c r="I4" s="823"/>
      <c r="J4" s="825"/>
      <c r="K4" s="825"/>
      <c r="L4" s="825"/>
      <c r="M4" s="825"/>
      <c r="N4" s="825"/>
      <c r="O4" s="825"/>
      <c r="P4" s="823"/>
      <c r="Q4" s="826"/>
      <c r="R4" s="826"/>
      <c r="S4" s="826"/>
      <c r="T4" s="826"/>
      <c r="U4" s="826"/>
      <c r="V4" s="826"/>
    </row>
    <row r="5" spans="1:22">
      <c r="A5" s="816"/>
      <c r="B5" s="828">
        <v>1</v>
      </c>
      <c r="C5" s="960" t="s">
        <v>320</v>
      </c>
      <c r="D5" s="960" t="s">
        <v>35</v>
      </c>
      <c r="E5" s="960" t="s">
        <v>3691</v>
      </c>
      <c r="F5" s="961">
        <v>45303</v>
      </c>
      <c r="G5" s="961">
        <v>45303</v>
      </c>
      <c r="H5" s="960" t="s">
        <v>3692</v>
      </c>
      <c r="I5" s="962">
        <f t="shared" ref="I5:I77" si="0">MAX(F5,G5)</f>
        <v>45303</v>
      </c>
      <c r="J5" s="964">
        <v>150510</v>
      </c>
      <c r="K5" s="964"/>
      <c r="L5" s="964"/>
      <c r="M5" s="964"/>
      <c r="N5" s="964">
        <v>22959.11</v>
      </c>
      <c r="O5" s="964">
        <f>+J5+L5-(K5+M5+N5)</f>
        <v>127550.89</v>
      </c>
      <c r="P5" s="965">
        <f t="shared" ref="P5:P77" si="1">$P$1-I5</f>
        <v>79</v>
      </c>
      <c r="Q5" s="966">
        <v>3</v>
      </c>
      <c r="R5" s="967">
        <f t="shared" ref="R5:R77" si="2">+Q5-(P5/365)</f>
        <v>2.7835616438356166</v>
      </c>
      <c r="S5" s="968">
        <f t="shared" ref="S5:S77" si="3">ROUND(+O5/(Q5*365)*P5,0)</f>
        <v>9202</v>
      </c>
      <c r="T5" s="968">
        <f t="shared" ref="T5:T77" si="4">+O5-S5</f>
        <v>118348.89</v>
      </c>
      <c r="U5" s="969">
        <f t="shared" ref="U5:U77" si="5">IF(I5&lt;=DATE(2023,9,30),O5,0)</f>
        <v>0</v>
      </c>
      <c r="V5" s="969">
        <f>IF(I5&gt;DATE(2023,10,1),O5,0)</f>
        <v>127550.89</v>
      </c>
    </row>
    <row r="6" spans="1:22">
      <c r="A6" s="816"/>
      <c r="B6" s="828">
        <v>2</v>
      </c>
      <c r="C6" s="960" t="s">
        <v>320</v>
      </c>
      <c r="D6" s="960" t="s">
        <v>35</v>
      </c>
      <c r="E6" s="960" t="s">
        <v>4234</v>
      </c>
      <c r="F6" s="961">
        <v>45303</v>
      </c>
      <c r="G6" s="961">
        <v>45303</v>
      </c>
      <c r="H6" s="960" t="s">
        <v>3692</v>
      </c>
      <c r="I6" s="962">
        <f t="shared" si="0"/>
        <v>45303</v>
      </c>
      <c r="J6" s="964">
        <v>150510</v>
      </c>
      <c r="K6" s="964"/>
      <c r="L6" s="964"/>
      <c r="M6" s="964"/>
      <c r="N6" s="964">
        <v>22959.11</v>
      </c>
      <c r="O6" s="964">
        <f t="shared" ref="O6:O70" si="6">+J6+L6-(K6+M6+N6)</f>
        <v>127550.89</v>
      </c>
      <c r="P6" s="965">
        <f t="shared" si="1"/>
        <v>79</v>
      </c>
      <c r="Q6" s="966">
        <v>3</v>
      </c>
      <c r="R6" s="967">
        <f t="shared" si="2"/>
        <v>2.7835616438356166</v>
      </c>
      <c r="S6" s="968">
        <f t="shared" si="3"/>
        <v>9202</v>
      </c>
      <c r="T6" s="968">
        <f t="shared" si="4"/>
        <v>118348.89</v>
      </c>
      <c r="U6" s="969">
        <f t="shared" si="5"/>
        <v>0</v>
      </c>
      <c r="V6" s="969">
        <f t="shared" ref="V6:V78" si="7">IF(I6&gt;DATE(2023,10,1),O6,0)</f>
        <v>127550.89</v>
      </c>
    </row>
    <row r="7" spans="1:22">
      <c r="A7" s="816"/>
      <c r="B7" s="828">
        <f>+B6+1</f>
        <v>3</v>
      </c>
      <c r="C7" s="960" t="s">
        <v>983</v>
      </c>
      <c r="D7" s="960" t="s">
        <v>35</v>
      </c>
      <c r="E7" s="960" t="s">
        <v>3693</v>
      </c>
      <c r="F7" s="961">
        <v>45332</v>
      </c>
      <c r="G7" s="961">
        <v>45332</v>
      </c>
      <c r="H7" s="960" t="s">
        <v>3694</v>
      </c>
      <c r="I7" s="962">
        <f t="shared" si="0"/>
        <v>45332</v>
      </c>
      <c r="J7" s="964">
        <v>108560</v>
      </c>
      <c r="K7" s="964"/>
      <c r="L7" s="964"/>
      <c r="M7" s="964"/>
      <c r="N7" s="964">
        <v>16560</v>
      </c>
      <c r="O7" s="964">
        <f t="shared" si="6"/>
        <v>92000</v>
      </c>
      <c r="P7" s="965">
        <f t="shared" si="1"/>
        <v>50</v>
      </c>
      <c r="Q7" s="966">
        <v>9</v>
      </c>
      <c r="R7" s="967">
        <f t="shared" si="2"/>
        <v>8.8630136986301373</v>
      </c>
      <c r="S7" s="968">
        <f t="shared" si="3"/>
        <v>1400</v>
      </c>
      <c r="T7" s="968">
        <f t="shared" si="4"/>
        <v>90600</v>
      </c>
      <c r="U7" s="969">
        <f t="shared" si="5"/>
        <v>0</v>
      </c>
      <c r="V7" s="969">
        <f t="shared" si="7"/>
        <v>92000</v>
      </c>
    </row>
    <row r="8" spans="1:22">
      <c r="A8" s="816"/>
      <c r="B8" s="828">
        <f t="shared" ref="B8:B71" si="8">+B7+1</f>
        <v>4</v>
      </c>
      <c r="C8" s="970" t="s">
        <v>562</v>
      </c>
      <c r="D8" s="960" t="s">
        <v>35</v>
      </c>
      <c r="E8" s="970">
        <v>833074832</v>
      </c>
      <c r="F8" s="971">
        <v>45199</v>
      </c>
      <c r="G8" s="971">
        <v>45229</v>
      </c>
      <c r="H8" s="970" t="s">
        <v>3347</v>
      </c>
      <c r="I8" s="962">
        <f t="shared" si="0"/>
        <v>45229</v>
      </c>
      <c r="J8" s="972">
        <v>10620000</v>
      </c>
      <c r="K8" s="972">
        <v>0</v>
      </c>
      <c r="L8" s="973"/>
      <c r="M8" s="973">
        <v>0</v>
      </c>
      <c r="N8" s="973">
        <v>1620000</v>
      </c>
      <c r="O8" s="964">
        <f>+J8+L8-(K8+M8+N8)</f>
        <v>9000000</v>
      </c>
      <c r="P8" s="965">
        <f t="shared" si="1"/>
        <v>153</v>
      </c>
      <c r="Q8" s="974">
        <v>9</v>
      </c>
      <c r="R8" s="975">
        <f t="shared" si="2"/>
        <v>8.580821917808219</v>
      </c>
      <c r="S8" s="968">
        <f t="shared" si="3"/>
        <v>419178</v>
      </c>
      <c r="T8" s="968">
        <f t="shared" si="4"/>
        <v>8580822</v>
      </c>
      <c r="U8" s="969">
        <f t="shared" si="5"/>
        <v>0</v>
      </c>
      <c r="V8" s="969">
        <f t="shared" si="7"/>
        <v>9000000</v>
      </c>
    </row>
    <row r="9" spans="1:22">
      <c r="A9" s="816"/>
      <c r="B9" s="828">
        <f t="shared" si="8"/>
        <v>5</v>
      </c>
      <c r="C9" s="970" t="s">
        <v>562</v>
      </c>
      <c r="D9" s="960" t="s">
        <v>35</v>
      </c>
      <c r="E9" s="970" t="s">
        <v>4235</v>
      </c>
      <c r="F9" s="971">
        <v>45224</v>
      </c>
      <c r="G9" s="971">
        <v>45229</v>
      </c>
      <c r="H9" s="970" t="s">
        <v>766</v>
      </c>
      <c r="I9" s="962">
        <f t="shared" ref="I9" si="9">MAX(F9,G9)</f>
        <v>45229</v>
      </c>
      <c r="J9" s="972">
        <f>3950000-156250</f>
        <v>3793750</v>
      </c>
      <c r="K9" s="972">
        <v>0</v>
      </c>
      <c r="L9" s="973"/>
      <c r="M9" s="973">
        <v>39109</v>
      </c>
      <c r="N9" s="973">
        <v>855507</v>
      </c>
      <c r="O9" s="964">
        <f>+J9+L9-(K9+M9+N9)</f>
        <v>2899134</v>
      </c>
      <c r="P9" s="965">
        <f t="shared" ref="P9" si="10">$P$1-I9</f>
        <v>153</v>
      </c>
      <c r="Q9" s="974">
        <v>9</v>
      </c>
      <c r="R9" s="975">
        <f t="shared" ref="R9" si="11">+Q9-(P9/365)</f>
        <v>8.580821917808219</v>
      </c>
      <c r="S9" s="968">
        <f t="shared" ref="S9" si="12">ROUND(+O9/(Q9*365)*P9,0)</f>
        <v>135028</v>
      </c>
      <c r="T9" s="968">
        <f t="shared" ref="T9" si="13">+O9-S9</f>
        <v>2764106</v>
      </c>
      <c r="U9" s="969">
        <f t="shared" ref="U9" si="14">IF(I9&lt;=DATE(2023,9,30),O9,0)</f>
        <v>0</v>
      </c>
      <c r="V9" s="969">
        <f t="shared" ref="V9" si="15">IF(I9&gt;DATE(2023,10,1),O9,0)</f>
        <v>2899134</v>
      </c>
    </row>
    <row r="10" spans="1:22">
      <c r="A10" s="816"/>
      <c r="B10" s="828">
        <f t="shared" si="8"/>
        <v>6</v>
      </c>
      <c r="C10" s="960" t="s">
        <v>3695</v>
      </c>
      <c r="D10" s="960" t="s">
        <v>35</v>
      </c>
      <c r="E10" s="960" t="s">
        <v>3696</v>
      </c>
      <c r="F10" s="961">
        <v>45103</v>
      </c>
      <c r="G10" s="961">
        <v>45118</v>
      </c>
      <c r="H10" s="960" t="s">
        <v>3697</v>
      </c>
      <c r="I10" s="962">
        <f t="shared" si="0"/>
        <v>45118</v>
      </c>
      <c r="J10" s="963">
        <v>16341820</v>
      </c>
      <c r="K10" s="963"/>
      <c r="L10" s="964"/>
      <c r="M10" s="964"/>
      <c r="N10" s="964">
        <v>2492820</v>
      </c>
      <c r="O10" s="964">
        <f t="shared" si="6"/>
        <v>13849000</v>
      </c>
      <c r="P10" s="965">
        <f t="shared" si="1"/>
        <v>264</v>
      </c>
      <c r="Q10" s="966">
        <v>9</v>
      </c>
      <c r="R10" s="967">
        <f t="shared" si="2"/>
        <v>8.2767123287671236</v>
      </c>
      <c r="S10" s="968">
        <f t="shared" si="3"/>
        <v>1112979</v>
      </c>
      <c r="T10" s="968">
        <f t="shared" si="4"/>
        <v>12736021</v>
      </c>
      <c r="U10" s="969">
        <f t="shared" si="5"/>
        <v>13849000</v>
      </c>
      <c r="V10" s="969">
        <f t="shared" si="7"/>
        <v>0</v>
      </c>
    </row>
    <row r="11" spans="1:22">
      <c r="A11" s="816"/>
      <c r="B11" s="828">
        <f t="shared" si="8"/>
        <v>7</v>
      </c>
      <c r="C11" s="960" t="s">
        <v>3695</v>
      </c>
      <c r="D11" s="960" t="s">
        <v>35</v>
      </c>
      <c r="E11" s="960" t="s">
        <v>3698</v>
      </c>
      <c r="F11" s="961">
        <v>45103</v>
      </c>
      <c r="G11" s="961">
        <v>45118</v>
      </c>
      <c r="H11" s="960" t="s">
        <v>3697</v>
      </c>
      <c r="I11" s="962">
        <f t="shared" si="0"/>
        <v>45118</v>
      </c>
      <c r="J11" s="963">
        <v>6607410</v>
      </c>
      <c r="K11" s="963"/>
      <c r="L11" s="964"/>
      <c r="M11" s="964"/>
      <c r="N11" s="964">
        <v>1007910</v>
      </c>
      <c r="O11" s="964">
        <f t="shared" si="6"/>
        <v>5599500</v>
      </c>
      <c r="P11" s="965">
        <f t="shared" si="1"/>
        <v>264</v>
      </c>
      <c r="Q11" s="966">
        <v>9</v>
      </c>
      <c r="R11" s="967">
        <f t="shared" si="2"/>
        <v>8.2767123287671236</v>
      </c>
      <c r="S11" s="968">
        <f t="shared" si="3"/>
        <v>450005</v>
      </c>
      <c r="T11" s="968">
        <f t="shared" si="4"/>
        <v>5149495</v>
      </c>
      <c r="U11" s="969">
        <f t="shared" si="5"/>
        <v>5599500</v>
      </c>
      <c r="V11" s="969">
        <f t="shared" si="7"/>
        <v>0</v>
      </c>
    </row>
    <row r="12" spans="1:22">
      <c r="A12" s="816"/>
      <c r="B12" s="828">
        <f t="shared" si="8"/>
        <v>8</v>
      </c>
      <c r="C12" s="960" t="s">
        <v>4209</v>
      </c>
      <c r="D12" s="960" t="s">
        <v>4208</v>
      </c>
      <c r="E12" s="960">
        <v>201</v>
      </c>
      <c r="F12" s="961">
        <v>45354</v>
      </c>
      <c r="G12" s="961">
        <v>45354</v>
      </c>
      <c r="H12" s="960" t="s">
        <v>4210</v>
      </c>
      <c r="I12" s="961">
        <v>45354</v>
      </c>
      <c r="J12" s="963">
        <v>205320</v>
      </c>
      <c r="K12" s="963"/>
      <c r="L12" s="964"/>
      <c r="M12" s="964"/>
      <c r="N12" s="964">
        <v>0</v>
      </c>
      <c r="O12" s="964">
        <f t="shared" si="6"/>
        <v>205320</v>
      </c>
      <c r="P12" s="965">
        <f t="shared" ref="P12" si="16">$P$1-I12</f>
        <v>28</v>
      </c>
      <c r="Q12" s="966">
        <v>9</v>
      </c>
      <c r="R12" s="967">
        <f t="shared" ref="R12" si="17">+Q12-(P12/365)</f>
        <v>8.9232876712328775</v>
      </c>
      <c r="S12" s="968">
        <f t="shared" ref="S12" si="18">ROUND(+O12/(Q12*365)*P12,0)</f>
        <v>1750</v>
      </c>
      <c r="T12" s="968">
        <f t="shared" ref="T12" si="19">+O12-S12</f>
        <v>203570</v>
      </c>
      <c r="U12" s="969">
        <f t="shared" ref="U12" si="20">IF(I12&lt;=DATE(2023,9,30),O12,0)</f>
        <v>0</v>
      </c>
      <c r="V12" s="969">
        <f t="shared" ref="V12" si="21">IF(I12&gt;DATE(2023,10,1),O12,0)</f>
        <v>205320</v>
      </c>
    </row>
    <row r="13" spans="1:22">
      <c r="A13" s="816"/>
      <c r="B13" s="828">
        <f t="shared" si="8"/>
        <v>9</v>
      </c>
      <c r="C13" s="960" t="s">
        <v>4209</v>
      </c>
      <c r="D13" s="960" t="s">
        <v>4208</v>
      </c>
      <c r="E13" s="960">
        <v>202</v>
      </c>
      <c r="F13" s="961">
        <v>45354</v>
      </c>
      <c r="G13" s="961">
        <v>45354</v>
      </c>
      <c r="H13" s="960" t="s">
        <v>4210</v>
      </c>
      <c r="I13" s="961">
        <v>45354</v>
      </c>
      <c r="J13" s="963">
        <v>205230</v>
      </c>
      <c r="K13" s="963"/>
      <c r="L13" s="964"/>
      <c r="M13" s="964"/>
      <c r="N13" s="964"/>
      <c r="O13" s="964">
        <f t="shared" si="6"/>
        <v>205230</v>
      </c>
      <c r="P13" s="965">
        <f t="shared" ref="P13:P15" si="22">$P$1-I13</f>
        <v>28</v>
      </c>
      <c r="Q13" s="966">
        <v>9</v>
      </c>
      <c r="R13" s="967">
        <f t="shared" ref="R13:R15" si="23">+Q13-(P13/365)</f>
        <v>8.9232876712328775</v>
      </c>
      <c r="S13" s="968">
        <f t="shared" ref="S13:S15" si="24">ROUND(+O13/(Q13*365)*P13,0)</f>
        <v>1749</v>
      </c>
      <c r="T13" s="968">
        <f t="shared" ref="T13:T15" si="25">+O13-S13</f>
        <v>203481</v>
      </c>
      <c r="U13" s="969">
        <f t="shared" ref="U13:U15" si="26">IF(I13&lt;=DATE(2023,9,30),O13,0)</f>
        <v>0</v>
      </c>
      <c r="V13" s="969">
        <f t="shared" ref="V13:V15" si="27">IF(I13&gt;DATE(2023,10,1),O13,0)</f>
        <v>205230</v>
      </c>
    </row>
    <row r="14" spans="1:22">
      <c r="A14" s="816"/>
      <c r="B14" s="828">
        <f t="shared" si="8"/>
        <v>10</v>
      </c>
      <c r="C14" s="960" t="s">
        <v>4209</v>
      </c>
      <c r="D14" s="960" t="s">
        <v>4208</v>
      </c>
      <c r="E14" s="960">
        <v>205</v>
      </c>
      <c r="F14" s="961">
        <v>45373</v>
      </c>
      <c r="G14" s="961">
        <v>45373</v>
      </c>
      <c r="H14" s="960" t="s">
        <v>4210</v>
      </c>
      <c r="I14" s="961">
        <v>45373</v>
      </c>
      <c r="J14" s="963">
        <v>241900</v>
      </c>
      <c r="K14" s="963"/>
      <c r="L14" s="964"/>
      <c r="M14" s="964"/>
      <c r="N14" s="964">
        <v>36900</v>
      </c>
      <c r="O14" s="964">
        <f t="shared" si="6"/>
        <v>205000</v>
      </c>
      <c r="P14" s="965">
        <f t="shared" si="22"/>
        <v>9</v>
      </c>
      <c r="Q14" s="966">
        <v>9</v>
      </c>
      <c r="R14" s="967">
        <f t="shared" si="23"/>
        <v>8.9753424657534246</v>
      </c>
      <c r="S14" s="968">
        <f t="shared" si="24"/>
        <v>562</v>
      </c>
      <c r="T14" s="968">
        <f t="shared" si="25"/>
        <v>204438</v>
      </c>
      <c r="U14" s="969">
        <f t="shared" si="26"/>
        <v>0</v>
      </c>
      <c r="V14" s="969">
        <f t="shared" si="27"/>
        <v>205000</v>
      </c>
    </row>
    <row r="15" spans="1:22">
      <c r="A15" s="816"/>
      <c r="B15" s="828">
        <f t="shared" si="8"/>
        <v>11</v>
      </c>
      <c r="C15" s="960" t="s">
        <v>4209</v>
      </c>
      <c r="D15" s="960" t="s">
        <v>4208</v>
      </c>
      <c r="E15" s="960">
        <v>207</v>
      </c>
      <c r="F15" s="961">
        <v>45373</v>
      </c>
      <c r="G15" s="961">
        <v>45373</v>
      </c>
      <c r="H15" s="960" t="s">
        <v>4210</v>
      </c>
      <c r="I15" s="961">
        <v>45373</v>
      </c>
      <c r="J15" s="963">
        <v>241900</v>
      </c>
      <c r="K15" s="963"/>
      <c r="L15" s="964"/>
      <c r="M15" s="964"/>
      <c r="N15" s="964">
        <v>36900</v>
      </c>
      <c r="O15" s="964">
        <f t="shared" si="6"/>
        <v>205000</v>
      </c>
      <c r="P15" s="965">
        <f t="shared" si="22"/>
        <v>9</v>
      </c>
      <c r="Q15" s="966">
        <v>9</v>
      </c>
      <c r="R15" s="967">
        <f t="shared" si="23"/>
        <v>8.9753424657534246</v>
      </c>
      <c r="S15" s="968">
        <f t="shared" si="24"/>
        <v>562</v>
      </c>
      <c r="T15" s="968">
        <f t="shared" si="25"/>
        <v>204438</v>
      </c>
      <c r="U15" s="969">
        <f t="shared" si="26"/>
        <v>0</v>
      </c>
      <c r="V15" s="969">
        <f t="shared" si="27"/>
        <v>205000</v>
      </c>
    </row>
    <row r="16" spans="1:22">
      <c r="A16" s="816"/>
      <c r="B16" s="828">
        <f t="shared" si="8"/>
        <v>12</v>
      </c>
      <c r="C16" s="960" t="s">
        <v>3699</v>
      </c>
      <c r="D16" s="960" t="s">
        <v>3614</v>
      </c>
      <c r="E16" s="960">
        <v>7275</v>
      </c>
      <c r="F16" s="961">
        <v>45114</v>
      </c>
      <c r="G16" s="961">
        <v>45114</v>
      </c>
      <c r="H16" s="960" t="s">
        <v>3700</v>
      </c>
      <c r="I16" s="962">
        <f t="shared" si="0"/>
        <v>45114</v>
      </c>
      <c r="J16" s="963">
        <v>107000</v>
      </c>
      <c r="K16" s="963"/>
      <c r="L16" s="964"/>
      <c r="M16" s="964"/>
      <c r="N16" s="964">
        <v>16322</v>
      </c>
      <c r="O16" s="964">
        <f t="shared" si="6"/>
        <v>90678</v>
      </c>
      <c r="P16" s="965">
        <f t="shared" si="1"/>
        <v>268</v>
      </c>
      <c r="Q16" s="966">
        <v>9</v>
      </c>
      <c r="R16" s="967">
        <f t="shared" si="2"/>
        <v>8.2657534246575342</v>
      </c>
      <c r="S16" s="968">
        <f t="shared" si="3"/>
        <v>7398</v>
      </c>
      <c r="T16" s="968">
        <f t="shared" si="4"/>
        <v>83280</v>
      </c>
      <c r="U16" s="969">
        <f t="shared" si="5"/>
        <v>90678</v>
      </c>
      <c r="V16" s="969">
        <f t="shared" si="7"/>
        <v>0</v>
      </c>
    </row>
    <row r="17" spans="1:22">
      <c r="A17" s="816"/>
      <c r="B17" s="828">
        <f t="shared" si="8"/>
        <v>13</v>
      </c>
      <c r="C17" s="960" t="s">
        <v>585</v>
      </c>
      <c r="D17" s="960" t="s">
        <v>3614</v>
      </c>
      <c r="E17" s="960" t="s">
        <v>3701</v>
      </c>
      <c r="F17" s="961">
        <v>45043</v>
      </c>
      <c r="G17" s="961">
        <v>45064</v>
      </c>
      <c r="H17" s="960" t="s">
        <v>3349</v>
      </c>
      <c r="I17" s="962">
        <f t="shared" si="0"/>
        <v>45064</v>
      </c>
      <c r="J17" s="963">
        <v>4945970</v>
      </c>
      <c r="K17" s="963"/>
      <c r="L17" s="964"/>
      <c r="M17" s="964">
        <v>48970</v>
      </c>
      <c r="N17" s="964">
        <v>747000</v>
      </c>
      <c r="O17" s="964">
        <f t="shared" si="6"/>
        <v>4150000</v>
      </c>
      <c r="P17" s="965">
        <f t="shared" si="1"/>
        <v>318</v>
      </c>
      <c r="Q17" s="966">
        <v>9</v>
      </c>
      <c r="R17" s="967">
        <f t="shared" si="2"/>
        <v>8.1287671232876715</v>
      </c>
      <c r="S17" s="968">
        <f t="shared" si="3"/>
        <v>401735</v>
      </c>
      <c r="T17" s="968">
        <f t="shared" si="4"/>
        <v>3748265</v>
      </c>
      <c r="U17" s="969">
        <f t="shared" si="5"/>
        <v>4150000</v>
      </c>
      <c r="V17" s="969">
        <f t="shared" si="7"/>
        <v>0</v>
      </c>
    </row>
    <row r="18" spans="1:22">
      <c r="A18" s="816"/>
      <c r="B18" s="828">
        <f t="shared" si="8"/>
        <v>14</v>
      </c>
      <c r="C18" s="960" t="s">
        <v>570</v>
      </c>
      <c r="D18" s="960" t="s">
        <v>3702</v>
      </c>
      <c r="E18" s="960">
        <v>168</v>
      </c>
      <c r="F18" s="961">
        <v>45198</v>
      </c>
      <c r="G18" s="961">
        <v>45198</v>
      </c>
      <c r="H18" s="960" t="s">
        <v>757</v>
      </c>
      <c r="I18" s="962">
        <f t="shared" si="0"/>
        <v>45198</v>
      </c>
      <c r="J18" s="963">
        <v>484838</v>
      </c>
      <c r="K18" s="963"/>
      <c r="L18" s="964"/>
      <c r="M18" s="964"/>
      <c r="N18" s="964">
        <v>73958</v>
      </c>
      <c r="O18" s="964">
        <f t="shared" si="6"/>
        <v>410880</v>
      </c>
      <c r="P18" s="965">
        <f t="shared" si="1"/>
        <v>184</v>
      </c>
      <c r="Q18" s="966">
        <v>3</v>
      </c>
      <c r="R18" s="967">
        <f t="shared" si="2"/>
        <v>2.495890410958904</v>
      </c>
      <c r="S18" s="968">
        <f t="shared" si="3"/>
        <v>69043</v>
      </c>
      <c r="T18" s="968">
        <f t="shared" si="4"/>
        <v>341837</v>
      </c>
      <c r="U18" s="969">
        <f t="shared" si="5"/>
        <v>410880</v>
      </c>
      <c r="V18" s="969">
        <f t="shared" si="7"/>
        <v>0</v>
      </c>
    </row>
    <row r="19" spans="1:22">
      <c r="A19" s="816"/>
      <c r="B19" s="828">
        <f t="shared" si="8"/>
        <v>15</v>
      </c>
      <c r="C19" s="960" t="s">
        <v>3703</v>
      </c>
      <c r="D19" s="960" t="s">
        <v>3702</v>
      </c>
      <c r="E19" s="960">
        <v>285</v>
      </c>
      <c r="F19" s="961">
        <v>45339</v>
      </c>
      <c r="G19" s="961">
        <v>45351</v>
      </c>
      <c r="H19" s="960" t="s">
        <v>3704</v>
      </c>
      <c r="I19" s="962">
        <f t="shared" si="0"/>
        <v>45351</v>
      </c>
      <c r="J19" s="963">
        <v>22438</v>
      </c>
      <c r="K19" s="963"/>
      <c r="L19" s="964"/>
      <c r="M19" s="964"/>
      <c r="N19" s="964">
        <v>3422.7</v>
      </c>
      <c r="O19" s="964">
        <f t="shared" si="6"/>
        <v>19015.3</v>
      </c>
      <c r="P19" s="965">
        <f t="shared" si="1"/>
        <v>31</v>
      </c>
      <c r="Q19" s="966">
        <v>9</v>
      </c>
      <c r="R19" s="967">
        <f t="shared" si="2"/>
        <v>8.9150684931506845</v>
      </c>
      <c r="S19" s="968">
        <f t="shared" si="3"/>
        <v>179</v>
      </c>
      <c r="T19" s="968">
        <f t="shared" si="4"/>
        <v>18836.3</v>
      </c>
      <c r="U19" s="969">
        <f t="shared" si="5"/>
        <v>0</v>
      </c>
      <c r="V19" s="969">
        <f t="shared" si="7"/>
        <v>19015.3</v>
      </c>
    </row>
    <row r="20" spans="1:22">
      <c r="A20" s="816"/>
      <c r="B20" s="828">
        <f t="shared" si="8"/>
        <v>16</v>
      </c>
      <c r="C20" s="970" t="s">
        <v>564</v>
      </c>
      <c r="D20" s="960" t="s">
        <v>3705</v>
      </c>
      <c r="E20" s="970" t="s">
        <v>3706</v>
      </c>
      <c r="F20" s="971">
        <v>45216</v>
      </c>
      <c r="G20" s="971">
        <v>45218</v>
      </c>
      <c r="H20" s="970" t="s">
        <v>180</v>
      </c>
      <c r="I20" s="962">
        <f t="shared" si="0"/>
        <v>45218</v>
      </c>
      <c r="J20" s="972">
        <v>532180</v>
      </c>
      <c r="K20" s="972"/>
      <c r="L20" s="973"/>
      <c r="M20" s="973"/>
      <c r="N20" s="973">
        <v>81180</v>
      </c>
      <c r="O20" s="964">
        <f t="shared" si="6"/>
        <v>451000</v>
      </c>
      <c r="P20" s="965">
        <f t="shared" si="1"/>
        <v>164</v>
      </c>
      <c r="Q20" s="974">
        <v>9</v>
      </c>
      <c r="R20" s="975">
        <f t="shared" si="2"/>
        <v>8.5506849315068489</v>
      </c>
      <c r="S20" s="968">
        <f t="shared" si="3"/>
        <v>22516</v>
      </c>
      <c r="T20" s="968">
        <f t="shared" si="4"/>
        <v>428484</v>
      </c>
      <c r="U20" s="969">
        <f t="shared" si="5"/>
        <v>0</v>
      </c>
      <c r="V20" s="969">
        <f t="shared" si="7"/>
        <v>451000</v>
      </c>
    </row>
    <row r="21" spans="1:22">
      <c r="A21" s="816"/>
      <c r="B21" s="828">
        <f t="shared" si="8"/>
        <v>17</v>
      </c>
      <c r="C21" s="970" t="s">
        <v>564</v>
      </c>
      <c r="D21" s="960" t="s">
        <v>3705</v>
      </c>
      <c r="E21" s="970" t="s">
        <v>3707</v>
      </c>
      <c r="F21" s="971">
        <v>45216</v>
      </c>
      <c r="G21" s="971">
        <v>45218</v>
      </c>
      <c r="H21" s="970" t="s">
        <v>180</v>
      </c>
      <c r="I21" s="962">
        <f t="shared" si="0"/>
        <v>45218</v>
      </c>
      <c r="J21" s="972">
        <v>532180</v>
      </c>
      <c r="K21" s="972"/>
      <c r="L21" s="973"/>
      <c r="M21" s="973"/>
      <c r="N21" s="973">
        <v>81180</v>
      </c>
      <c r="O21" s="964">
        <f t="shared" si="6"/>
        <v>451000</v>
      </c>
      <c r="P21" s="965">
        <f t="shared" si="1"/>
        <v>164</v>
      </c>
      <c r="Q21" s="974">
        <v>9</v>
      </c>
      <c r="R21" s="975">
        <f t="shared" si="2"/>
        <v>8.5506849315068489</v>
      </c>
      <c r="S21" s="968">
        <f t="shared" si="3"/>
        <v>22516</v>
      </c>
      <c r="T21" s="968">
        <f t="shared" si="4"/>
        <v>428484</v>
      </c>
      <c r="U21" s="969">
        <f t="shared" si="5"/>
        <v>0</v>
      </c>
      <c r="V21" s="969">
        <f t="shared" si="7"/>
        <v>451000</v>
      </c>
    </row>
    <row r="22" spans="1:22">
      <c r="A22" s="816"/>
      <c r="B22" s="828">
        <f t="shared" si="8"/>
        <v>18</v>
      </c>
      <c r="C22" s="970" t="s">
        <v>3708</v>
      </c>
      <c r="D22" s="960" t="s">
        <v>3705</v>
      </c>
      <c r="E22" s="970" t="s">
        <v>3709</v>
      </c>
      <c r="F22" s="971">
        <v>45248</v>
      </c>
      <c r="G22" s="971">
        <v>45248</v>
      </c>
      <c r="H22" s="970" t="s">
        <v>764</v>
      </c>
      <c r="I22" s="962">
        <f t="shared" si="0"/>
        <v>45248</v>
      </c>
      <c r="J22" s="973">
        <v>649000</v>
      </c>
      <c r="K22" s="973"/>
      <c r="L22" s="973"/>
      <c r="M22" s="973"/>
      <c r="N22" s="973">
        <v>99000</v>
      </c>
      <c r="O22" s="964">
        <f t="shared" si="6"/>
        <v>550000</v>
      </c>
      <c r="P22" s="965">
        <f t="shared" si="1"/>
        <v>134</v>
      </c>
      <c r="Q22" s="974">
        <v>3</v>
      </c>
      <c r="R22" s="975">
        <f t="shared" si="2"/>
        <v>2.6328767123287671</v>
      </c>
      <c r="S22" s="968">
        <f t="shared" si="3"/>
        <v>67306</v>
      </c>
      <c r="T22" s="968">
        <f t="shared" si="4"/>
        <v>482694</v>
      </c>
      <c r="U22" s="969">
        <f t="shared" si="5"/>
        <v>0</v>
      </c>
      <c r="V22" s="969">
        <f t="shared" si="7"/>
        <v>550000</v>
      </c>
    </row>
    <row r="23" spans="1:22">
      <c r="A23" s="816"/>
      <c r="B23" s="828">
        <f t="shared" si="8"/>
        <v>19</v>
      </c>
      <c r="C23" s="960" t="s">
        <v>3340</v>
      </c>
      <c r="D23" s="960" t="s">
        <v>3705</v>
      </c>
      <c r="E23" s="960" t="s">
        <v>3710</v>
      </c>
      <c r="F23" s="961">
        <v>45330</v>
      </c>
      <c r="G23" s="961">
        <v>45337</v>
      </c>
      <c r="H23" s="960" t="s">
        <v>763</v>
      </c>
      <c r="I23" s="962">
        <f t="shared" si="0"/>
        <v>45337</v>
      </c>
      <c r="J23" s="976">
        <v>1394618</v>
      </c>
      <c r="K23" s="976"/>
      <c r="L23" s="964"/>
      <c r="M23" s="964"/>
      <c r="N23" s="964">
        <v>212738.4</v>
      </c>
      <c r="O23" s="964">
        <f t="shared" si="6"/>
        <v>1181879.6000000001</v>
      </c>
      <c r="P23" s="965">
        <f t="shared" si="1"/>
        <v>45</v>
      </c>
      <c r="Q23" s="966">
        <v>3</v>
      </c>
      <c r="R23" s="967">
        <f t="shared" si="2"/>
        <v>2.8767123287671232</v>
      </c>
      <c r="S23" s="968">
        <f t="shared" si="3"/>
        <v>48570</v>
      </c>
      <c r="T23" s="968">
        <f t="shared" si="4"/>
        <v>1133309.6000000001</v>
      </c>
      <c r="U23" s="969">
        <f t="shared" si="5"/>
        <v>0</v>
      </c>
      <c r="V23" s="969">
        <f t="shared" si="7"/>
        <v>1181879.6000000001</v>
      </c>
    </row>
    <row r="24" spans="1:22">
      <c r="A24" s="816"/>
      <c r="B24" s="828">
        <f t="shared" si="8"/>
        <v>20</v>
      </c>
      <c r="C24" s="960" t="s">
        <v>3340</v>
      </c>
      <c r="D24" s="960" t="s">
        <v>3705</v>
      </c>
      <c r="E24" s="960" t="s">
        <v>3711</v>
      </c>
      <c r="F24" s="961">
        <v>45333</v>
      </c>
      <c r="G24" s="961">
        <v>45333</v>
      </c>
      <c r="H24" s="960" t="s">
        <v>763</v>
      </c>
      <c r="I24" s="962">
        <f t="shared" si="0"/>
        <v>45333</v>
      </c>
      <c r="J24" s="976">
        <v>2010495.8</v>
      </c>
      <c r="K24" s="976"/>
      <c r="L24" s="964"/>
      <c r="M24" s="964"/>
      <c r="N24" s="964">
        <v>306685.8</v>
      </c>
      <c r="O24" s="964">
        <f t="shared" si="6"/>
        <v>1703810</v>
      </c>
      <c r="P24" s="965">
        <f t="shared" si="1"/>
        <v>49</v>
      </c>
      <c r="Q24" s="966">
        <v>3</v>
      </c>
      <c r="R24" s="967">
        <f t="shared" si="2"/>
        <v>2.8657534246575342</v>
      </c>
      <c r="S24" s="968">
        <f t="shared" si="3"/>
        <v>76244</v>
      </c>
      <c r="T24" s="968">
        <f t="shared" si="4"/>
        <v>1627566</v>
      </c>
      <c r="U24" s="969">
        <f t="shared" si="5"/>
        <v>0</v>
      </c>
      <c r="V24" s="969">
        <f t="shared" si="7"/>
        <v>1703810</v>
      </c>
    </row>
    <row r="25" spans="1:22">
      <c r="A25" s="816"/>
      <c r="B25" s="828">
        <f t="shared" si="8"/>
        <v>21</v>
      </c>
      <c r="C25" s="960" t="s">
        <v>3340</v>
      </c>
      <c r="D25" s="960" t="s">
        <v>3705</v>
      </c>
      <c r="E25" s="960" t="s">
        <v>3712</v>
      </c>
      <c r="F25" s="961">
        <v>45337</v>
      </c>
      <c r="G25" s="961">
        <v>45337</v>
      </c>
      <c r="H25" s="960" t="s">
        <v>763</v>
      </c>
      <c r="I25" s="962">
        <f t="shared" si="0"/>
        <v>45337</v>
      </c>
      <c r="J25" s="976">
        <v>1950543.54</v>
      </c>
      <c r="K25" s="976"/>
      <c r="L25" s="964"/>
      <c r="M25" s="964"/>
      <c r="N25" s="964">
        <v>297540.53999999998</v>
      </c>
      <c r="O25" s="964">
        <f t="shared" si="6"/>
        <v>1653003</v>
      </c>
      <c r="P25" s="965">
        <f t="shared" si="1"/>
        <v>45</v>
      </c>
      <c r="Q25" s="966">
        <v>3</v>
      </c>
      <c r="R25" s="967">
        <f t="shared" si="2"/>
        <v>2.8767123287671232</v>
      </c>
      <c r="S25" s="968">
        <f t="shared" si="3"/>
        <v>67932</v>
      </c>
      <c r="T25" s="968">
        <f t="shared" si="4"/>
        <v>1585071</v>
      </c>
      <c r="U25" s="969">
        <f t="shared" si="5"/>
        <v>0</v>
      </c>
      <c r="V25" s="969">
        <f t="shared" si="7"/>
        <v>1653003</v>
      </c>
    </row>
    <row r="26" spans="1:22">
      <c r="A26" s="816"/>
      <c r="B26" s="828">
        <f t="shared" si="8"/>
        <v>22</v>
      </c>
      <c r="C26" s="960" t="s">
        <v>3340</v>
      </c>
      <c r="D26" s="960" t="s">
        <v>3705</v>
      </c>
      <c r="E26" s="960" t="s">
        <v>3713</v>
      </c>
      <c r="F26" s="961">
        <v>45339</v>
      </c>
      <c r="G26" s="961">
        <v>45339</v>
      </c>
      <c r="H26" s="960" t="s">
        <v>763</v>
      </c>
      <c r="I26" s="962">
        <f t="shared" si="0"/>
        <v>45339</v>
      </c>
      <c r="J26" s="963">
        <v>1944876</v>
      </c>
      <c r="K26" s="963"/>
      <c r="L26" s="963"/>
      <c r="M26" s="964"/>
      <c r="N26" s="964">
        <v>296676</v>
      </c>
      <c r="O26" s="964">
        <f t="shared" si="6"/>
        <v>1648200</v>
      </c>
      <c r="P26" s="965">
        <f t="shared" si="1"/>
        <v>43</v>
      </c>
      <c r="Q26" s="966">
        <v>3</v>
      </c>
      <c r="R26" s="967">
        <f t="shared" si="2"/>
        <v>2.882191780821918</v>
      </c>
      <c r="S26" s="968">
        <f t="shared" si="3"/>
        <v>64724</v>
      </c>
      <c r="T26" s="968">
        <f t="shared" si="4"/>
        <v>1583476</v>
      </c>
      <c r="U26" s="969">
        <f t="shared" si="5"/>
        <v>0</v>
      </c>
      <c r="V26" s="969">
        <f t="shared" si="7"/>
        <v>1648200</v>
      </c>
    </row>
    <row r="27" spans="1:22">
      <c r="A27" s="816"/>
      <c r="B27" s="828">
        <f t="shared" si="8"/>
        <v>23</v>
      </c>
      <c r="C27" s="960" t="s">
        <v>3340</v>
      </c>
      <c r="D27" s="960" t="s">
        <v>3705</v>
      </c>
      <c r="E27" s="960" t="s">
        <v>3714</v>
      </c>
      <c r="F27" s="961">
        <v>45343</v>
      </c>
      <c r="G27" s="961">
        <v>45343</v>
      </c>
      <c r="H27" s="960" t="s">
        <v>763</v>
      </c>
      <c r="I27" s="962">
        <f t="shared" si="0"/>
        <v>45343</v>
      </c>
      <c r="J27" s="976">
        <v>1940132.4</v>
      </c>
      <c r="K27" s="976"/>
      <c r="L27" s="964"/>
      <c r="M27" s="964"/>
      <c r="N27" s="964">
        <v>295952.40000000002</v>
      </c>
      <c r="O27" s="964">
        <f t="shared" si="6"/>
        <v>1644180</v>
      </c>
      <c r="P27" s="965">
        <f t="shared" si="1"/>
        <v>39</v>
      </c>
      <c r="Q27" s="966">
        <v>3</v>
      </c>
      <c r="R27" s="967">
        <f t="shared" si="2"/>
        <v>2.893150684931507</v>
      </c>
      <c r="S27" s="968">
        <f t="shared" si="3"/>
        <v>58560</v>
      </c>
      <c r="T27" s="968">
        <f t="shared" si="4"/>
        <v>1585620</v>
      </c>
      <c r="U27" s="969">
        <f t="shared" si="5"/>
        <v>0</v>
      </c>
      <c r="V27" s="969">
        <f t="shared" si="7"/>
        <v>1644180</v>
      </c>
    </row>
    <row r="28" spans="1:22">
      <c r="A28" s="816"/>
      <c r="B28" s="828">
        <f t="shared" si="8"/>
        <v>24</v>
      </c>
      <c r="C28" s="960" t="s">
        <v>3340</v>
      </c>
      <c r="D28" s="960" t="s">
        <v>3705</v>
      </c>
      <c r="E28" s="960" t="s">
        <v>3715</v>
      </c>
      <c r="F28" s="961">
        <v>45349</v>
      </c>
      <c r="G28" s="961">
        <v>45356</v>
      </c>
      <c r="H28" s="960" t="s">
        <v>763</v>
      </c>
      <c r="I28" s="962">
        <f t="shared" si="0"/>
        <v>45356</v>
      </c>
      <c r="J28" s="976">
        <v>1673779.26</v>
      </c>
      <c r="K28" s="976"/>
      <c r="L28" s="964"/>
      <c r="M28" s="964"/>
      <c r="N28" s="964">
        <v>255322.26</v>
      </c>
      <c r="O28" s="964">
        <f t="shared" si="6"/>
        <v>1418457</v>
      </c>
      <c r="P28" s="965">
        <f t="shared" si="1"/>
        <v>26</v>
      </c>
      <c r="Q28" s="966">
        <v>3</v>
      </c>
      <c r="R28" s="967">
        <f t="shared" si="2"/>
        <v>2.9287671232876713</v>
      </c>
      <c r="S28" s="968">
        <f t="shared" si="3"/>
        <v>33680</v>
      </c>
      <c r="T28" s="968">
        <f t="shared" si="4"/>
        <v>1384777</v>
      </c>
      <c r="U28" s="969">
        <f t="shared" si="5"/>
        <v>0</v>
      </c>
      <c r="V28" s="969">
        <f t="shared" si="7"/>
        <v>1418457</v>
      </c>
    </row>
    <row r="29" spans="1:22">
      <c r="A29" s="816"/>
      <c r="B29" s="828">
        <f t="shared" si="8"/>
        <v>25</v>
      </c>
      <c r="C29" s="960" t="s">
        <v>3340</v>
      </c>
      <c r="D29" s="960" t="s">
        <v>3705</v>
      </c>
      <c r="E29" s="960" t="s">
        <v>3716</v>
      </c>
      <c r="F29" s="961">
        <v>45363</v>
      </c>
      <c r="G29" s="961">
        <v>45363</v>
      </c>
      <c r="H29" s="960" t="s">
        <v>763</v>
      </c>
      <c r="I29" s="962">
        <f t="shared" si="0"/>
        <v>45363</v>
      </c>
      <c r="J29" s="976">
        <v>1683187.4</v>
      </c>
      <c r="K29" s="976"/>
      <c r="L29" s="964"/>
      <c r="M29" s="964"/>
      <c r="N29" s="964">
        <v>256757.4</v>
      </c>
      <c r="O29" s="964">
        <f t="shared" si="6"/>
        <v>1426430</v>
      </c>
      <c r="P29" s="965">
        <f t="shared" si="1"/>
        <v>19</v>
      </c>
      <c r="Q29" s="966">
        <v>3</v>
      </c>
      <c r="R29" s="967">
        <f t="shared" si="2"/>
        <v>2.9479452054794519</v>
      </c>
      <c r="S29" s="968">
        <f t="shared" si="3"/>
        <v>24751</v>
      </c>
      <c r="T29" s="968">
        <f t="shared" si="4"/>
        <v>1401679</v>
      </c>
      <c r="U29" s="969">
        <f t="shared" si="5"/>
        <v>0</v>
      </c>
      <c r="V29" s="969">
        <f t="shared" si="7"/>
        <v>1426430</v>
      </c>
    </row>
    <row r="30" spans="1:22">
      <c r="A30" s="816"/>
      <c r="B30" s="828">
        <f t="shared" si="8"/>
        <v>26</v>
      </c>
      <c r="C30" s="970" t="s">
        <v>309</v>
      </c>
      <c r="D30" s="960" t="s">
        <v>3705</v>
      </c>
      <c r="E30" s="970" t="s">
        <v>3717</v>
      </c>
      <c r="F30" s="971">
        <v>45250</v>
      </c>
      <c r="G30" s="971">
        <v>45250</v>
      </c>
      <c r="H30" s="970" t="s">
        <v>763</v>
      </c>
      <c r="I30" s="962">
        <f t="shared" si="0"/>
        <v>45250</v>
      </c>
      <c r="J30" s="973">
        <v>569940</v>
      </c>
      <c r="K30" s="973"/>
      <c r="L30" s="973"/>
      <c r="M30" s="973"/>
      <c r="N30" s="973">
        <v>86940</v>
      </c>
      <c r="O30" s="964">
        <f t="shared" si="6"/>
        <v>483000</v>
      </c>
      <c r="P30" s="965">
        <f t="shared" si="1"/>
        <v>132</v>
      </c>
      <c r="Q30" s="974">
        <v>3</v>
      </c>
      <c r="R30" s="975">
        <f t="shared" si="2"/>
        <v>2.6383561643835618</v>
      </c>
      <c r="S30" s="968">
        <f t="shared" si="3"/>
        <v>58225</v>
      </c>
      <c r="T30" s="968">
        <f t="shared" si="4"/>
        <v>424775</v>
      </c>
      <c r="U30" s="969">
        <f t="shared" si="5"/>
        <v>0</v>
      </c>
      <c r="V30" s="969">
        <f t="shared" si="7"/>
        <v>483000</v>
      </c>
    </row>
    <row r="31" spans="1:22">
      <c r="A31" s="816"/>
      <c r="B31" s="828">
        <f t="shared" si="8"/>
        <v>27</v>
      </c>
      <c r="C31" s="970" t="s">
        <v>309</v>
      </c>
      <c r="D31" s="960" t="s">
        <v>3705</v>
      </c>
      <c r="E31" s="970"/>
      <c r="F31" s="971">
        <v>45374</v>
      </c>
      <c r="G31" s="971">
        <v>45374</v>
      </c>
      <c r="H31" s="970" t="s">
        <v>763</v>
      </c>
      <c r="I31" s="971">
        <v>45374</v>
      </c>
      <c r="J31" s="973">
        <f>1177184+211893</f>
        <v>1389077</v>
      </c>
      <c r="K31" s="973"/>
      <c r="L31" s="973"/>
      <c r="M31" s="973"/>
      <c r="N31" s="973">
        <v>211893</v>
      </c>
      <c r="O31" s="964">
        <f t="shared" si="6"/>
        <v>1177184</v>
      </c>
      <c r="P31" s="965">
        <f t="shared" ref="P31:P33" si="28">$P$1-I31</f>
        <v>8</v>
      </c>
      <c r="Q31" s="974">
        <v>3</v>
      </c>
      <c r="R31" s="975">
        <f t="shared" ref="R31:R33" si="29">+Q31-(P31/365)</f>
        <v>2.978082191780822</v>
      </c>
      <c r="S31" s="968">
        <f t="shared" ref="S31:S33" si="30">ROUND(+O31/(Q31*365)*P31,0)</f>
        <v>8600</v>
      </c>
      <c r="T31" s="968">
        <f t="shared" ref="T31:T33" si="31">+O31-S31</f>
        <v>1168584</v>
      </c>
      <c r="U31" s="969">
        <f t="shared" ref="U31:U33" si="32">IF(I31&lt;=DATE(2023,9,30),O31,0)</f>
        <v>0</v>
      </c>
      <c r="V31" s="969">
        <f t="shared" ref="V31:V33" si="33">IF(I31&gt;DATE(2023,10,1),O31,0)</f>
        <v>1177184</v>
      </c>
    </row>
    <row r="32" spans="1:22">
      <c r="A32" s="816"/>
      <c r="B32" s="828">
        <f t="shared" si="8"/>
        <v>28</v>
      </c>
      <c r="C32" s="970" t="s">
        <v>309</v>
      </c>
      <c r="D32" s="960" t="s">
        <v>3705</v>
      </c>
      <c r="E32" s="970"/>
      <c r="F32" s="971">
        <v>45379</v>
      </c>
      <c r="G32" s="971">
        <v>45379</v>
      </c>
      <c r="H32" s="970" t="s">
        <v>763</v>
      </c>
      <c r="I32" s="971">
        <v>45379</v>
      </c>
      <c r="J32" s="973">
        <f>1214567+218622</f>
        <v>1433189</v>
      </c>
      <c r="K32" s="973"/>
      <c r="L32" s="973"/>
      <c r="M32" s="973"/>
      <c r="N32" s="973">
        <v>218622</v>
      </c>
      <c r="O32" s="964">
        <f t="shared" si="6"/>
        <v>1214567</v>
      </c>
      <c r="P32" s="965">
        <f t="shared" si="28"/>
        <v>3</v>
      </c>
      <c r="Q32" s="974">
        <v>3</v>
      </c>
      <c r="R32" s="975">
        <f t="shared" si="29"/>
        <v>2.9917808219178084</v>
      </c>
      <c r="S32" s="968">
        <f t="shared" si="30"/>
        <v>3328</v>
      </c>
      <c r="T32" s="968">
        <f t="shared" si="31"/>
        <v>1211239</v>
      </c>
      <c r="U32" s="969">
        <f t="shared" si="32"/>
        <v>0</v>
      </c>
      <c r="V32" s="969">
        <f t="shared" si="33"/>
        <v>1214567</v>
      </c>
    </row>
    <row r="33" spans="1:22">
      <c r="A33" s="816"/>
      <c r="B33" s="828">
        <f t="shared" si="8"/>
        <v>29</v>
      </c>
      <c r="C33" s="970" t="s">
        <v>309</v>
      </c>
      <c r="D33" s="960" t="s">
        <v>3705</v>
      </c>
      <c r="E33" s="970"/>
      <c r="F33" s="971">
        <v>45382</v>
      </c>
      <c r="G33" s="971">
        <v>45382</v>
      </c>
      <c r="H33" s="970" t="s">
        <v>763</v>
      </c>
      <c r="I33" s="971">
        <v>45382</v>
      </c>
      <c r="J33" s="973">
        <f>1332630+239873</f>
        <v>1572503</v>
      </c>
      <c r="K33" s="973"/>
      <c r="L33" s="973"/>
      <c r="M33" s="973"/>
      <c r="N33" s="973">
        <v>239873</v>
      </c>
      <c r="O33" s="964">
        <f t="shared" si="6"/>
        <v>1332630</v>
      </c>
      <c r="P33" s="965">
        <f t="shared" si="28"/>
        <v>0</v>
      </c>
      <c r="Q33" s="974">
        <v>3</v>
      </c>
      <c r="R33" s="975">
        <f t="shared" si="29"/>
        <v>3</v>
      </c>
      <c r="S33" s="968">
        <f t="shared" si="30"/>
        <v>0</v>
      </c>
      <c r="T33" s="968">
        <f t="shared" si="31"/>
        <v>1332630</v>
      </c>
      <c r="U33" s="969">
        <f t="shared" si="32"/>
        <v>0</v>
      </c>
      <c r="V33" s="969">
        <f t="shared" si="33"/>
        <v>1332630</v>
      </c>
    </row>
    <row r="34" spans="1:22">
      <c r="A34" s="816"/>
      <c r="B34" s="828">
        <f t="shared" si="8"/>
        <v>30</v>
      </c>
      <c r="C34" s="960" t="s">
        <v>309</v>
      </c>
      <c r="D34" s="960" t="s">
        <v>3705</v>
      </c>
      <c r="E34" s="960">
        <v>137</v>
      </c>
      <c r="F34" s="961">
        <v>45333</v>
      </c>
      <c r="G34" s="961">
        <v>45333</v>
      </c>
      <c r="H34" s="960" t="s">
        <v>413</v>
      </c>
      <c r="I34" s="962">
        <f t="shared" si="0"/>
        <v>45333</v>
      </c>
      <c r="J34" s="976">
        <v>767095</v>
      </c>
      <c r="K34" s="976"/>
      <c r="L34" s="964"/>
      <c r="M34" s="964"/>
      <c r="N34" s="964">
        <v>117014</v>
      </c>
      <c r="O34" s="964">
        <f t="shared" si="6"/>
        <v>650081</v>
      </c>
      <c r="P34" s="965">
        <f t="shared" si="1"/>
        <v>49</v>
      </c>
      <c r="Q34" s="966">
        <v>3</v>
      </c>
      <c r="R34" s="967">
        <f t="shared" si="2"/>
        <v>2.8657534246575342</v>
      </c>
      <c r="S34" s="968">
        <f t="shared" si="3"/>
        <v>29090</v>
      </c>
      <c r="T34" s="968">
        <f t="shared" si="4"/>
        <v>620991</v>
      </c>
      <c r="U34" s="969">
        <f t="shared" si="5"/>
        <v>0</v>
      </c>
      <c r="V34" s="969">
        <f t="shared" si="7"/>
        <v>650081</v>
      </c>
    </row>
    <row r="35" spans="1:22">
      <c r="A35" s="816"/>
      <c r="B35" s="828">
        <f t="shared" si="8"/>
        <v>31</v>
      </c>
      <c r="C35" s="960" t="s">
        <v>570</v>
      </c>
      <c r="D35" s="960" t="s">
        <v>3705</v>
      </c>
      <c r="E35" s="960">
        <v>242</v>
      </c>
      <c r="F35" s="961">
        <v>45297</v>
      </c>
      <c r="G35" s="961">
        <v>45297</v>
      </c>
      <c r="H35" s="960" t="s">
        <v>757</v>
      </c>
      <c r="I35" s="962">
        <f t="shared" si="0"/>
        <v>45297</v>
      </c>
      <c r="J35" s="976">
        <v>636752</v>
      </c>
      <c r="K35" s="976"/>
      <c r="L35" s="964"/>
      <c r="M35" s="964"/>
      <c r="N35" s="964">
        <v>97131.6</v>
      </c>
      <c r="O35" s="964">
        <f t="shared" si="6"/>
        <v>539620.4</v>
      </c>
      <c r="P35" s="965">
        <f t="shared" si="1"/>
        <v>85</v>
      </c>
      <c r="Q35" s="966">
        <v>3</v>
      </c>
      <c r="R35" s="967">
        <f t="shared" si="2"/>
        <v>2.7671232876712328</v>
      </c>
      <c r="S35" s="968">
        <f t="shared" si="3"/>
        <v>41888</v>
      </c>
      <c r="T35" s="968">
        <f t="shared" si="4"/>
        <v>497732.4</v>
      </c>
      <c r="U35" s="969">
        <f t="shared" si="5"/>
        <v>0</v>
      </c>
      <c r="V35" s="969">
        <f t="shared" si="7"/>
        <v>539620.4</v>
      </c>
    </row>
    <row r="36" spans="1:22">
      <c r="A36" s="816"/>
      <c r="B36" s="828">
        <f t="shared" si="8"/>
        <v>32</v>
      </c>
      <c r="C36" s="970" t="s">
        <v>328</v>
      </c>
      <c r="D36" s="960" t="s">
        <v>3705</v>
      </c>
      <c r="E36" s="970">
        <v>1768</v>
      </c>
      <c r="F36" s="971">
        <v>45251</v>
      </c>
      <c r="G36" s="971">
        <v>45251</v>
      </c>
      <c r="H36" s="970" t="s">
        <v>765</v>
      </c>
      <c r="I36" s="962">
        <f t="shared" si="0"/>
        <v>45251</v>
      </c>
      <c r="J36" s="972">
        <v>179124</v>
      </c>
      <c r="K36" s="972"/>
      <c r="L36" s="973"/>
      <c r="M36" s="973"/>
      <c r="N36" s="973">
        <v>27324</v>
      </c>
      <c r="O36" s="964">
        <f t="shared" si="6"/>
        <v>151800</v>
      </c>
      <c r="P36" s="965">
        <f t="shared" si="1"/>
        <v>131</v>
      </c>
      <c r="Q36" s="974">
        <v>3</v>
      </c>
      <c r="R36" s="975">
        <f t="shared" si="2"/>
        <v>2.6410958904109587</v>
      </c>
      <c r="S36" s="968">
        <f t="shared" si="3"/>
        <v>18161</v>
      </c>
      <c r="T36" s="968">
        <f t="shared" si="4"/>
        <v>133639</v>
      </c>
      <c r="U36" s="969">
        <f t="shared" si="5"/>
        <v>0</v>
      </c>
      <c r="V36" s="969">
        <f t="shared" si="7"/>
        <v>151800</v>
      </c>
    </row>
    <row r="37" spans="1:22">
      <c r="A37" s="816"/>
      <c r="B37" s="828">
        <f t="shared" si="8"/>
        <v>33</v>
      </c>
      <c r="C37" s="970" t="s">
        <v>3718</v>
      </c>
      <c r="D37" s="960" t="s">
        <v>3705</v>
      </c>
      <c r="E37" s="970">
        <v>184</v>
      </c>
      <c r="F37" s="977">
        <v>45212</v>
      </c>
      <c r="G37" s="977">
        <v>45212</v>
      </c>
      <c r="H37" s="970" t="s">
        <v>757</v>
      </c>
      <c r="I37" s="962">
        <f t="shared" si="0"/>
        <v>45212</v>
      </c>
      <c r="J37" s="972">
        <v>624952</v>
      </c>
      <c r="K37" s="972"/>
      <c r="L37" s="973"/>
      <c r="M37" s="973"/>
      <c r="N37" s="973">
        <v>95331.6</v>
      </c>
      <c r="O37" s="964">
        <f t="shared" si="6"/>
        <v>529620.4</v>
      </c>
      <c r="P37" s="965">
        <f t="shared" si="1"/>
        <v>170</v>
      </c>
      <c r="Q37" s="974">
        <v>3</v>
      </c>
      <c r="R37" s="975">
        <f t="shared" si="2"/>
        <v>2.5342465753424657</v>
      </c>
      <c r="S37" s="968">
        <f t="shared" si="3"/>
        <v>82224</v>
      </c>
      <c r="T37" s="968">
        <f t="shared" si="4"/>
        <v>447396.4</v>
      </c>
      <c r="U37" s="969">
        <f t="shared" si="5"/>
        <v>0</v>
      </c>
      <c r="V37" s="969">
        <f t="shared" si="7"/>
        <v>529620.4</v>
      </c>
    </row>
    <row r="38" spans="1:22">
      <c r="A38" s="816"/>
      <c r="B38" s="828">
        <f t="shared" si="8"/>
        <v>34</v>
      </c>
      <c r="C38" s="970" t="s">
        <v>3719</v>
      </c>
      <c r="D38" s="960" t="s">
        <v>3705</v>
      </c>
      <c r="E38" s="970">
        <v>10214254</v>
      </c>
      <c r="F38" s="971">
        <v>45220</v>
      </c>
      <c r="G38" s="971">
        <v>45220</v>
      </c>
      <c r="H38" s="970" t="s">
        <v>3347</v>
      </c>
      <c r="I38" s="962">
        <f t="shared" si="0"/>
        <v>45220</v>
      </c>
      <c r="J38" s="973">
        <v>700000</v>
      </c>
      <c r="K38" s="973"/>
      <c r="L38" s="973"/>
      <c r="M38" s="973"/>
      <c r="N38" s="973">
        <v>75000</v>
      </c>
      <c r="O38" s="964">
        <f t="shared" si="6"/>
        <v>625000</v>
      </c>
      <c r="P38" s="965">
        <f t="shared" si="1"/>
        <v>162</v>
      </c>
      <c r="Q38" s="974">
        <v>3</v>
      </c>
      <c r="R38" s="975">
        <f t="shared" si="2"/>
        <v>2.5561643835616437</v>
      </c>
      <c r="S38" s="968">
        <f t="shared" si="3"/>
        <v>92466</v>
      </c>
      <c r="T38" s="968">
        <f t="shared" si="4"/>
        <v>532534</v>
      </c>
      <c r="U38" s="969">
        <f t="shared" si="5"/>
        <v>0</v>
      </c>
      <c r="V38" s="969">
        <f t="shared" si="7"/>
        <v>625000</v>
      </c>
    </row>
    <row r="39" spans="1:22">
      <c r="A39" s="816"/>
      <c r="B39" s="828">
        <f t="shared" si="8"/>
        <v>35</v>
      </c>
      <c r="C39" s="970" t="s">
        <v>3719</v>
      </c>
      <c r="D39" s="960" t="s">
        <v>3705</v>
      </c>
      <c r="E39" s="970">
        <v>10214268</v>
      </c>
      <c r="F39" s="971">
        <v>45225</v>
      </c>
      <c r="G39" s="971">
        <v>45231</v>
      </c>
      <c r="H39" s="970" t="s">
        <v>3347</v>
      </c>
      <c r="I39" s="962">
        <f t="shared" si="0"/>
        <v>45231</v>
      </c>
      <c r="J39" s="972">
        <v>700000</v>
      </c>
      <c r="K39" s="972"/>
      <c r="L39" s="973"/>
      <c r="M39" s="973"/>
      <c r="N39" s="973">
        <v>75000</v>
      </c>
      <c r="O39" s="964">
        <f t="shared" si="6"/>
        <v>625000</v>
      </c>
      <c r="P39" s="965">
        <f t="shared" si="1"/>
        <v>151</v>
      </c>
      <c r="Q39" s="974">
        <v>3</v>
      </c>
      <c r="R39" s="975">
        <f t="shared" si="2"/>
        <v>2.5863013698630137</v>
      </c>
      <c r="S39" s="968">
        <f t="shared" si="3"/>
        <v>86187</v>
      </c>
      <c r="T39" s="968">
        <f t="shared" si="4"/>
        <v>538813</v>
      </c>
      <c r="U39" s="969">
        <f t="shared" si="5"/>
        <v>0</v>
      </c>
      <c r="V39" s="969">
        <f t="shared" si="7"/>
        <v>625000</v>
      </c>
    </row>
    <row r="40" spans="1:22">
      <c r="A40" s="816"/>
      <c r="B40" s="828">
        <f t="shared" si="8"/>
        <v>36</v>
      </c>
      <c r="C40" s="970" t="s">
        <v>3719</v>
      </c>
      <c r="D40" s="960" t="s">
        <v>3705</v>
      </c>
      <c r="E40" s="970">
        <v>10214269</v>
      </c>
      <c r="F40" s="977">
        <v>45225</v>
      </c>
      <c r="G40" s="977">
        <v>45231</v>
      </c>
      <c r="H40" s="970" t="s">
        <v>3347</v>
      </c>
      <c r="I40" s="962">
        <f t="shared" si="0"/>
        <v>45231</v>
      </c>
      <c r="J40" s="972">
        <v>700000</v>
      </c>
      <c r="K40" s="972"/>
      <c r="L40" s="973"/>
      <c r="M40" s="973"/>
      <c r="N40" s="973">
        <v>75000</v>
      </c>
      <c r="O40" s="964">
        <f t="shared" si="6"/>
        <v>625000</v>
      </c>
      <c r="P40" s="965">
        <f t="shared" si="1"/>
        <v>151</v>
      </c>
      <c r="Q40" s="974">
        <v>3</v>
      </c>
      <c r="R40" s="975">
        <f t="shared" si="2"/>
        <v>2.5863013698630137</v>
      </c>
      <c r="S40" s="968">
        <f t="shared" si="3"/>
        <v>86187</v>
      </c>
      <c r="T40" s="968">
        <f t="shared" si="4"/>
        <v>538813</v>
      </c>
      <c r="U40" s="969">
        <f t="shared" si="5"/>
        <v>0</v>
      </c>
      <c r="V40" s="969">
        <f t="shared" si="7"/>
        <v>625000</v>
      </c>
    </row>
    <row r="41" spans="1:22">
      <c r="A41" s="816"/>
      <c r="B41" s="828">
        <f t="shared" si="8"/>
        <v>37</v>
      </c>
      <c r="C41" s="970" t="s">
        <v>578</v>
      </c>
      <c r="D41" s="970" t="s">
        <v>3427</v>
      </c>
      <c r="E41" s="970" t="s">
        <v>3720</v>
      </c>
      <c r="F41" s="971">
        <v>45152</v>
      </c>
      <c r="G41" s="971">
        <v>45161</v>
      </c>
      <c r="H41" s="970" t="s">
        <v>407</v>
      </c>
      <c r="I41" s="962">
        <f t="shared" si="0"/>
        <v>45161</v>
      </c>
      <c r="J41" s="978">
        <f>16772756-150000</f>
        <v>16622756</v>
      </c>
      <c r="K41" s="978">
        <f>150000*0</f>
        <v>0</v>
      </c>
      <c r="L41" s="973"/>
      <c r="M41" s="973">
        <v>16756</v>
      </c>
      <c r="N41" s="973">
        <v>2556000</v>
      </c>
      <c r="O41" s="964">
        <f>+J41+L41-(K41+M41+N41)</f>
        <v>14050000</v>
      </c>
      <c r="P41" s="965">
        <f t="shared" si="1"/>
        <v>221</v>
      </c>
      <c r="Q41" s="974">
        <v>9</v>
      </c>
      <c r="R41" s="975">
        <f t="shared" si="2"/>
        <v>8.3945205479452056</v>
      </c>
      <c r="S41" s="968">
        <f t="shared" si="3"/>
        <v>945221</v>
      </c>
      <c r="T41" s="968">
        <f t="shared" si="4"/>
        <v>13104779</v>
      </c>
      <c r="U41" s="969">
        <f t="shared" si="5"/>
        <v>14050000</v>
      </c>
      <c r="V41" s="969">
        <f t="shared" si="7"/>
        <v>0</v>
      </c>
    </row>
    <row r="42" spans="1:22">
      <c r="A42" s="816"/>
      <c r="B42" s="828">
        <f t="shared" si="8"/>
        <v>38</v>
      </c>
      <c r="C42" s="960" t="s">
        <v>287</v>
      </c>
      <c r="D42" s="960" t="s">
        <v>3427</v>
      </c>
      <c r="E42" s="960" t="s">
        <v>3721</v>
      </c>
      <c r="F42" s="961">
        <v>45082</v>
      </c>
      <c r="G42" s="961">
        <v>45082</v>
      </c>
      <c r="H42" s="960" t="s">
        <v>1244</v>
      </c>
      <c r="I42" s="962">
        <f t="shared" si="0"/>
        <v>45082</v>
      </c>
      <c r="J42" s="963">
        <v>1032220</v>
      </c>
      <c r="K42" s="963"/>
      <c r="L42" s="964">
        <v>62240</v>
      </c>
      <c r="M42" s="964">
        <v>10220</v>
      </c>
      <c r="N42" s="964">
        <v>223562</v>
      </c>
      <c r="O42" s="964">
        <f t="shared" si="6"/>
        <v>860678</v>
      </c>
      <c r="P42" s="965">
        <f t="shared" si="1"/>
        <v>300</v>
      </c>
      <c r="Q42" s="966">
        <v>9</v>
      </c>
      <c r="R42" s="967">
        <f t="shared" si="2"/>
        <v>8.1780821917808222</v>
      </c>
      <c r="S42" s="968">
        <f t="shared" si="3"/>
        <v>78601</v>
      </c>
      <c r="T42" s="968">
        <f t="shared" si="4"/>
        <v>782077</v>
      </c>
      <c r="U42" s="969">
        <f t="shared" si="5"/>
        <v>860678</v>
      </c>
      <c r="V42" s="969">
        <f t="shared" si="7"/>
        <v>0</v>
      </c>
    </row>
    <row r="43" spans="1:22">
      <c r="A43" s="816"/>
      <c r="B43" s="828">
        <f t="shared" si="8"/>
        <v>39</v>
      </c>
      <c r="C43" s="979" t="s">
        <v>287</v>
      </c>
      <c r="D43" s="980" t="s">
        <v>3427</v>
      </c>
      <c r="E43" s="979" t="s">
        <v>3722</v>
      </c>
      <c r="F43" s="962">
        <v>45089</v>
      </c>
      <c r="G43" s="962">
        <v>45089</v>
      </c>
      <c r="H43" s="979" t="s">
        <v>1244</v>
      </c>
      <c r="I43" s="962">
        <f t="shared" si="0"/>
        <v>45089</v>
      </c>
      <c r="J43" s="964">
        <v>7990</v>
      </c>
      <c r="K43" s="964"/>
      <c r="L43" s="964"/>
      <c r="M43" s="964"/>
      <c r="N43" s="964">
        <v>1462</v>
      </c>
      <c r="O43" s="964">
        <f t="shared" si="6"/>
        <v>6528</v>
      </c>
      <c r="P43" s="965">
        <f t="shared" si="1"/>
        <v>293</v>
      </c>
      <c r="Q43" s="966">
        <v>9</v>
      </c>
      <c r="R43" s="967">
        <f t="shared" si="2"/>
        <v>8.1972602739726028</v>
      </c>
      <c r="S43" s="968">
        <f t="shared" si="3"/>
        <v>582</v>
      </c>
      <c r="T43" s="968">
        <f t="shared" si="4"/>
        <v>5946</v>
      </c>
      <c r="U43" s="969">
        <f t="shared" si="5"/>
        <v>6528</v>
      </c>
      <c r="V43" s="969">
        <f t="shared" si="7"/>
        <v>0</v>
      </c>
    </row>
    <row r="44" spans="1:22">
      <c r="A44" s="816"/>
      <c r="B44" s="828">
        <f t="shared" si="8"/>
        <v>40</v>
      </c>
      <c r="C44" s="970" t="s">
        <v>287</v>
      </c>
      <c r="D44" s="960" t="s">
        <v>3427</v>
      </c>
      <c r="E44" s="970" t="s">
        <v>3723</v>
      </c>
      <c r="F44" s="977">
        <v>45217</v>
      </c>
      <c r="G44" s="977">
        <v>45250</v>
      </c>
      <c r="H44" s="970" t="s">
        <v>3724</v>
      </c>
      <c r="I44" s="962">
        <f t="shared" si="0"/>
        <v>45250</v>
      </c>
      <c r="J44" s="972">
        <v>1048077</v>
      </c>
      <c r="K44" s="972"/>
      <c r="L44" s="973">
        <v>72442</v>
      </c>
      <c r="M44" s="973">
        <v>10377</v>
      </c>
      <c r="N44" s="973">
        <v>226996.8</v>
      </c>
      <c r="O44" s="964">
        <f t="shared" si="6"/>
        <v>883145.2</v>
      </c>
      <c r="P44" s="965">
        <f t="shared" si="1"/>
        <v>132</v>
      </c>
      <c r="Q44" s="974">
        <v>3</v>
      </c>
      <c r="R44" s="975">
        <f t="shared" si="2"/>
        <v>2.6383561643835618</v>
      </c>
      <c r="S44" s="968">
        <f t="shared" si="3"/>
        <v>106461</v>
      </c>
      <c r="T44" s="968">
        <f t="shared" si="4"/>
        <v>776684.2</v>
      </c>
      <c r="U44" s="969">
        <f t="shared" si="5"/>
        <v>0</v>
      </c>
      <c r="V44" s="969">
        <f t="shared" si="7"/>
        <v>883145.2</v>
      </c>
    </row>
    <row r="45" spans="1:22">
      <c r="A45" s="816"/>
      <c r="B45" s="828">
        <f t="shared" si="8"/>
        <v>41</v>
      </c>
      <c r="C45" s="970" t="s">
        <v>304</v>
      </c>
      <c r="D45" s="970" t="s">
        <v>3427</v>
      </c>
      <c r="E45" s="970" t="s">
        <v>3725</v>
      </c>
      <c r="F45" s="971">
        <v>45205</v>
      </c>
      <c r="G45" s="971">
        <v>45205</v>
      </c>
      <c r="H45" s="970" t="s">
        <v>1830</v>
      </c>
      <c r="I45" s="962">
        <f t="shared" si="0"/>
        <v>45205</v>
      </c>
      <c r="J45" s="981">
        <v>1137520</v>
      </c>
      <c r="K45" s="981"/>
      <c r="L45" s="973"/>
      <c r="M45" s="973"/>
      <c r="N45" s="973">
        <v>173520</v>
      </c>
      <c r="O45" s="964">
        <f t="shared" si="6"/>
        <v>964000</v>
      </c>
      <c r="P45" s="965">
        <f t="shared" si="1"/>
        <v>177</v>
      </c>
      <c r="Q45" s="974">
        <v>9</v>
      </c>
      <c r="R45" s="975">
        <f t="shared" si="2"/>
        <v>8.5150684931506841</v>
      </c>
      <c r="S45" s="968">
        <f t="shared" si="3"/>
        <v>51942</v>
      </c>
      <c r="T45" s="968">
        <f t="shared" si="4"/>
        <v>912058</v>
      </c>
      <c r="U45" s="969">
        <f t="shared" si="5"/>
        <v>0</v>
      </c>
      <c r="V45" s="969">
        <f t="shared" si="7"/>
        <v>964000</v>
      </c>
    </row>
    <row r="46" spans="1:22">
      <c r="A46" s="816"/>
      <c r="B46" s="828">
        <f t="shared" si="8"/>
        <v>42</v>
      </c>
      <c r="C46" s="970" t="s">
        <v>304</v>
      </c>
      <c r="D46" s="970" t="s">
        <v>3427</v>
      </c>
      <c r="E46" s="970" t="s">
        <v>3726</v>
      </c>
      <c r="F46" s="971">
        <v>45209</v>
      </c>
      <c r="G46" s="971">
        <v>45209</v>
      </c>
      <c r="H46" s="970" t="s">
        <v>1830</v>
      </c>
      <c r="I46" s="962">
        <f t="shared" si="0"/>
        <v>45209</v>
      </c>
      <c r="J46" s="978">
        <v>1170560</v>
      </c>
      <c r="K46" s="978"/>
      <c r="L46" s="973"/>
      <c r="M46" s="973"/>
      <c r="N46" s="973">
        <v>178560</v>
      </c>
      <c r="O46" s="964">
        <f t="shared" si="6"/>
        <v>992000</v>
      </c>
      <c r="P46" s="965">
        <f t="shared" si="1"/>
        <v>173</v>
      </c>
      <c r="Q46" s="974">
        <v>9</v>
      </c>
      <c r="R46" s="975">
        <f t="shared" si="2"/>
        <v>8.5260273972602736</v>
      </c>
      <c r="S46" s="968">
        <f t="shared" si="3"/>
        <v>52242</v>
      </c>
      <c r="T46" s="968">
        <f t="shared" si="4"/>
        <v>939758</v>
      </c>
      <c r="U46" s="969">
        <f t="shared" si="5"/>
        <v>0</v>
      </c>
      <c r="V46" s="969">
        <f t="shared" si="7"/>
        <v>992000</v>
      </c>
    </row>
    <row r="47" spans="1:22">
      <c r="A47" s="816"/>
      <c r="B47" s="828">
        <f t="shared" si="8"/>
        <v>43</v>
      </c>
      <c r="C47" s="970" t="s">
        <v>305</v>
      </c>
      <c r="D47" s="970" t="s">
        <v>3427</v>
      </c>
      <c r="E47" s="970" t="s">
        <v>3727</v>
      </c>
      <c r="F47" s="971">
        <v>45205</v>
      </c>
      <c r="G47" s="971">
        <v>45205</v>
      </c>
      <c r="H47" s="970" t="s">
        <v>1830</v>
      </c>
      <c r="I47" s="962">
        <f t="shared" si="0"/>
        <v>45205</v>
      </c>
      <c r="J47" s="981">
        <v>129800</v>
      </c>
      <c r="K47" s="981"/>
      <c r="L47" s="973"/>
      <c r="M47" s="973"/>
      <c r="N47" s="973">
        <v>19800</v>
      </c>
      <c r="O47" s="964">
        <f t="shared" si="6"/>
        <v>110000</v>
      </c>
      <c r="P47" s="965">
        <f t="shared" si="1"/>
        <v>177</v>
      </c>
      <c r="Q47" s="974">
        <v>9</v>
      </c>
      <c r="R47" s="975">
        <f t="shared" si="2"/>
        <v>8.5150684931506841</v>
      </c>
      <c r="S47" s="968">
        <f t="shared" si="3"/>
        <v>5927</v>
      </c>
      <c r="T47" s="968">
        <f t="shared" si="4"/>
        <v>104073</v>
      </c>
      <c r="U47" s="969">
        <f t="shared" si="5"/>
        <v>0</v>
      </c>
      <c r="V47" s="969">
        <f t="shared" si="7"/>
        <v>110000</v>
      </c>
    </row>
    <row r="48" spans="1:22">
      <c r="A48" s="816"/>
      <c r="B48" s="828">
        <f t="shared" si="8"/>
        <v>44</v>
      </c>
      <c r="C48" s="970" t="s">
        <v>305</v>
      </c>
      <c r="D48" s="970" t="s">
        <v>3427</v>
      </c>
      <c r="E48" s="970" t="s">
        <v>3728</v>
      </c>
      <c r="F48" s="971">
        <v>45209</v>
      </c>
      <c r="G48" s="971">
        <v>45209</v>
      </c>
      <c r="H48" s="970" t="s">
        <v>1830</v>
      </c>
      <c r="I48" s="962">
        <f t="shared" si="0"/>
        <v>45209</v>
      </c>
      <c r="J48" s="978">
        <v>259600</v>
      </c>
      <c r="K48" s="978"/>
      <c r="L48" s="973"/>
      <c r="M48" s="973"/>
      <c r="N48" s="973">
        <v>39600</v>
      </c>
      <c r="O48" s="964">
        <f t="shared" si="6"/>
        <v>220000</v>
      </c>
      <c r="P48" s="965">
        <f t="shared" si="1"/>
        <v>173</v>
      </c>
      <c r="Q48" s="974">
        <v>9</v>
      </c>
      <c r="R48" s="975">
        <f t="shared" si="2"/>
        <v>8.5260273972602736</v>
      </c>
      <c r="S48" s="968">
        <f t="shared" si="3"/>
        <v>11586</v>
      </c>
      <c r="T48" s="968">
        <f t="shared" si="4"/>
        <v>208414</v>
      </c>
      <c r="U48" s="969">
        <f t="shared" si="5"/>
        <v>0</v>
      </c>
      <c r="V48" s="969">
        <f t="shared" si="7"/>
        <v>220000</v>
      </c>
    </row>
    <row r="49" spans="1:22">
      <c r="A49" s="816"/>
      <c r="B49" s="828">
        <f t="shared" si="8"/>
        <v>45</v>
      </c>
      <c r="C49" s="970" t="s">
        <v>575</v>
      </c>
      <c r="D49" s="970" t="s">
        <v>3427</v>
      </c>
      <c r="E49" s="970">
        <v>81045900</v>
      </c>
      <c r="F49" s="971">
        <v>45226</v>
      </c>
      <c r="G49" s="971">
        <v>45231</v>
      </c>
      <c r="H49" s="970" t="s">
        <v>3347</v>
      </c>
      <c r="I49" s="962">
        <f t="shared" si="0"/>
        <v>45231</v>
      </c>
      <c r="J49" s="972">
        <v>1032500</v>
      </c>
      <c r="K49" s="972"/>
      <c r="L49" s="973"/>
      <c r="M49" s="973"/>
      <c r="N49" s="973">
        <v>157500</v>
      </c>
      <c r="O49" s="964">
        <f t="shared" si="6"/>
        <v>875000</v>
      </c>
      <c r="P49" s="965">
        <f t="shared" si="1"/>
        <v>151</v>
      </c>
      <c r="Q49" s="974">
        <v>9</v>
      </c>
      <c r="R49" s="975">
        <f t="shared" si="2"/>
        <v>8.5863013698630137</v>
      </c>
      <c r="S49" s="968">
        <f t="shared" si="3"/>
        <v>40221</v>
      </c>
      <c r="T49" s="968">
        <f t="shared" si="4"/>
        <v>834779</v>
      </c>
      <c r="U49" s="969">
        <f t="shared" si="5"/>
        <v>0</v>
      </c>
      <c r="V49" s="969">
        <f t="shared" si="7"/>
        <v>875000</v>
      </c>
    </row>
    <row r="50" spans="1:22">
      <c r="A50" s="816"/>
      <c r="B50" s="828">
        <f t="shared" si="8"/>
        <v>46</v>
      </c>
      <c r="C50" s="970" t="s">
        <v>575</v>
      </c>
      <c r="D50" s="970" t="s">
        <v>3427</v>
      </c>
      <c r="E50" s="970">
        <v>81045899</v>
      </c>
      <c r="F50" s="971">
        <v>45226</v>
      </c>
      <c r="G50" s="971">
        <v>45231</v>
      </c>
      <c r="H50" s="970" t="s">
        <v>3347</v>
      </c>
      <c r="I50" s="962">
        <f t="shared" si="0"/>
        <v>45231</v>
      </c>
      <c r="J50" s="972">
        <v>1032500</v>
      </c>
      <c r="K50" s="972"/>
      <c r="L50" s="973"/>
      <c r="M50" s="973"/>
      <c r="N50" s="973">
        <v>157500</v>
      </c>
      <c r="O50" s="964">
        <f t="shared" si="6"/>
        <v>875000</v>
      </c>
      <c r="P50" s="965">
        <f t="shared" si="1"/>
        <v>151</v>
      </c>
      <c r="Q50" s="974">
        <v>9</v>
      </c>
      <c r="R50" s="975">
        <f t="shared" si="2"/>
        <v>8.5863013698630137</v>
      </c>
      <c r="S50" s="968">
        <f t="shared" si="3"/>
        <v>40221</v>
      </c>
      <c r="T50" s="968">
        <f t="shared" si="4"/>
        <v>834779</v>
      </c>
      <c r="U50" s="969">
        <f t="shared" si="5"/>
        <v>0</v>
      </c>
      <c r="V50" s="969">
        <f t="shared" si="7"/>
        <v>875000</v>
      </c>
    </row>
    <row r="51" spans="1:22">
      <c r="A51" s="816"/>
      <c r="B51" s="828">
        <f t="shared" si="8"/>
        <v>47</v>
      </c>
      <c r="C51" s="970" t="s">
        <v>575</v>
      </c>
      <c r="D51" s="970" t="s">
        <v>3427</v>
      </c>
      <c r="E51" s="970">
        <v>81045898</v>
      </c>
      <c r="F51" s="971">
        <v>45226</v>
      </c>
      <c r="G51" s="971">
        <v>45231</v>
      </c>
      <c r="H51" s="970" t="s">
        <v>3347</v>
      </c>
      <c r="I51" s="962">
        <f t="shared" si="0"/>
        <v>45231</v>
      </c>
      <c r="J51" s="972">
        <v>1032500</v>
      </c>
      <c r="K51" s="972"/>
      <c r="L51" s="973"/>
      <c r="M51" s="973"/>
      <c r="N51" s="973">
        <v>157500</v>
      </c>
      <c r="O51" s="964">
        <f t="shared" si="6"/>
        <v>875000</v>
      </c>
      <c r="P51" s="965">
        <f t="shared" si="1"/>
        <v>151</v>
      </c>
      <c r="Q51" s="974">
        <v>9</v>
      </c>
      <c r="R51" s="975">
        <f t="shared" si="2"/>
        <v>8.5863013698630137</v>
      </c>
      <c r="S51" s="968">
        <f t="shared" si="3"/>
        <v>40221</v>
      </c>
      <c r="T51" s="968">
        <f t="shared" si="4"/>
        <v>834779</v>
      </c>
      <c r="U51" s="969">
        <f t="shared" si="5"/>
        <v>0</v>
      </c>
      <c r="V51" s="969">
        <f t="shared" si="7"/>
        <v>875000</v>
      </c>
    </row>
    <row r="52" spans="1:22">
      <c r="A52" s="816"/>
      <c r="B52" s="828">
        <f t="shared" si="8"/>
        <v>48</v>
      </c>
      <c r="C52" s="970" t="s">
        <v>575</v>
      </c>
      <c r="D52" s="970" t="s">
        <v>3427</v>
      </c>
      <c r="E52" s="970">
        <v>81045897</v>
      </c>
      <c r="F52" s="971">
        <v>45226</v>
      </c>
      <c r="G52" s="971">
        <v>45231</v>
      </c>
      <c r="H52" s="970" t="s">
        <v>3347</v>
      </c>
      <c r="I52" s="962">
        <f t="shared" si="0"/>
        <v>45231</v>
      </c>
      <c r="J52" s="973">
        <v>1032500</v>
      </c>
      <c r="K52" s="973"/>
      <c r="L52" s="973"/>
      <c r="M52" s="973"/>
      <c r="N52" s="973">
        <v>157500</v>
      </c>
      <c r="O52" s="964">
        <f t="shared" si="6"/>
        <v>875000</v>
      </c>
      <c r="P52" s="965">
        <f t="shared" si="1"/>
        <v>151</v>
      </c>
      <c r="Q52" s="974">
        <v>9</v>
      </c>
      <c r="R52" s="975">
        <f t="shared" si="2"/>
        <v>8.5863013698630137</v>
      </c>
      <c r="S52" s="968">
        <f t="shared" si="3"/>
        <v>40221</v>
      </c>
      <c r="T52" s="968">
        <f t="shared" si="4"/>
        <v>834779</v>
      </c>
      <c r="U52" s="969">
        <f t="shared" si="5"/>
        <v>0</v>
      </c>
      <c r="V52" s="969">
        <f t="shared" si="7"/>
        <v>875000</v>
      </c>
    </row>
    <row r="53" spans="1:22">
      <c r="A53" s="816"/>
      <c r="B53" s="828">
        <f t="shared" si="8"/>
        <v>49</v>
      </c>
      <c r="C53" s="970" t="s">
        <v>575</v>
      </c>
      <c r="D53" s="970" t="s">
        <v>3427</v>
      </c>
      <c r="E53" s="970">
        <v>81045901</v>
      </c>
      <c r="F53" s="971">
        <v>45226</v>
      </c>
      <c r="G53" s="971">
        <v>45231</v>
      </c>
      <c r="H53" s="970" t="s">
        <v>3347</v>
      </c>
      <c r="I53" s="962">
        <f t="shared" si="0"/>
        <v>45231</v>
      </c>
      <c r="J53" s="972">
        <v>1032500</v>
      </c>
      <c r="K53" s="972"/>
      <c r="L53" s="973"/>
      <c r="M53" s="973"/>
      <c r="N53" s="973">
        <v>157500</v>
      </c>
      <c r="O53" s="964">
        <f t="shared" si="6"/>
        <v>875000</v>
      </c>
      <c r="P53" s="965">
        <f t="shared" si="1"/>
        <v>151</v>
      </c>
      <c r="Q53" s="974">
        <v>9</v>
      </c>
      <c r="R53" s="975">
        <f t="shared" si="2"/>
        <v>8.5863013698630137</v>
      </c>
      <c r="S53" s="968">
        <f t="shared" si="3"/>
        <v>40221</v>
      </c>
      <c r="T53" s="968">
        <f t="shared" si="4"/>
        <v>834779</v>
      </c>
      <c r="U53" s="969">
        <f t="shared" si="5"/>
        <v>0</v>
      </c>
      <c r="V53" s="969">
        <f t="shared" si="7"/>
        <v>875000</v>
      </c>
    </row>
    <row r="54" spans="1:22">
      <c r="A54" s="816"/>
      <c r="B54" s="828">
        <f t="shared" si="8"/>
        <v>50</v>
      </c>
      <c r="C54" s="979" t="s">
        <v>301</v>
      </c>
      <c r="D54" s="980" t="s">
        <v>3427</v>
      </c>
      <c r="E54" s="979">
        <v>2</v>
      </c>
      <c r="F54" s="962">
        <v>45040</v>
      </c>
      <c r="G54" s="962">
        <v>45040</v>
      </c>
      <c r="H54" s="979" t="s">
        <v>3729</v>
      </c>
      <c r="I54" s="962">
        <f t="shared" si="0"/>
        <v>45040</v>
      </c>
      <c r="J54" s="964">
        <v>731600</v>
      </c>
      <c r="K54" s="964"/>
      <c r="L54" s="964"/>
      <c r="M54" s="964"/>
      <c r="N54" s="964">
        <v>111600</v>
      </c>
      <c r="O54" s="964">
        <f t="shared" si="6"/>
        <v>620000</v>
      </c>
      <c r="P54" s="965">
        <f t="shared" si="1"/>
        <v>342</v>
      </c>
      <c r="Q54" s="966">
        <v>9</v>
      </c>
      <c r="R54" s="967">
        <f t="shared" si="2"/>
        <v>8.0630136986301366</v>
      </c>
      <c r="S54" s="968">
        <f t="shared" si="3"/>
        <v>64548</v>
      </c>
      <c r="T54" s="968">
        <f t="shared" si="4"/>
        <v>555452</v>
      </c>
      <c r="U54" s="969">
        <f t="shared" si="5"/>
        <v>620000</v>
      </c>
      <c r="V54" s="969">
        <f t="shared" si="7"/>
        <v>0</v>
      </c>
    </row>
    <row r="55" spans="1:22">
      <c r="A55" s="816"/>
      <c r="B55" s="828">
        <f t="shared" si="8"/>
        <v>51</v>
      </c>
      <c r="C55" s="970" t="s">
        <v>935</v>
      </c>
      <c r="D55" s="970" t="s">
        <v>3427</v>
      </c>
      <c r="E55" s="970"/>
      <c r="F55" s="971">
        <v>45198</v>
      </c>
      <c r="G55" s="971">
        <v>45198</v>
      </c>
      <c r="H55" s="970" t="s">
        <v>3730</v>
      </c>
      <c r="I55" s="962">
        <f t="shared" si="0"/>
        <v>45198</v>
      </c>
      <c r="J55" s="973">
        <v>4100000</v>
      </c>
      <c r="K55" s="973"/>
      <c r="L55" s="973"/>
      <c r="M55" s="973"/>
      <c r="N55" s="973">
        <v>625424</v>
      </c>
      <c r="O55" s="964">
        <f t="shared" si="6"/>
        <v>3474576</v>
      </c>
      <c r="P55" s="965">
        <f t="shared" si="1"/>
        <v>184</v>
      </c>
      <c r="Q55" s="974">
        <v>9</v>
      </c>
      <c r="R55" s="975">
        <f t="shared" si="2"/>
        <v>8.4958904109589035</v>
      </c>
      <c r="S55" s="968">
        <f t="shared" si="3"/>
        <v>194619</v>
      </c>
      <c r="T55" s="968">
        <f t="shared" si="4"/>
        <v>3279957</v>
      </c>
      <c r="U55" s="969">
        <f t="shared" si="5"/>
        <v>3474576</v>
      </c>
      <c r="V55" s="969">
        <f t="shared" si="7"/>
        <v>0</v>
      </c>
    </row>
    <row r="56" spans="1:22">
      <c r="A56" s="816"/>
      <c r="B56" s="828">
        <f t="shared" si="8"/>
        <v>52</v>
      </c>
      <c r="C56" s="970" t="s">
        <v>935</v>
      </c>
      <c r="D56" s="970" t="s">
        <v>3427</v>
      </c>
      <c r="E56" s="970" t="s">
        <v>3731</v>
      </c>
      <c r="F56" s="971">
        <v>45199</v>
      </c>
      <c r="G56" s="971">
        <v>45199</v>
      </c>
      <c r="H56" s="970" t="s">
        <v>180</v>
      </c>
      <c r="I56" s="962">
        <f t="shared" si="0"/>
        <v>45199</v>
      </c>
      <c r="J56" s="972">
        <v>1805400</v>
      </c>
      <c r="K56" s="972"/>
      <c r="L56" s="973"/>
      <c r="M56" s="973"/>
      <c r="N56" s="973">
        <v>275400</v>
      </c>
      <c r="O56" s="964">
        <f t="shared" si="6"/>
        <v>1530000</v>
      </c>
      <c r="P56" s="965">
        <f t="shared" si="1"/>
        <v>183</v>
      </c>
      <c r="Q56" s="974">
        <v>9</v>
      </c>
      <c r="R56" s="975">
        <f t="shared" si="2"/>
        <v>8.4986301369863018</v>
      </c>
      <c r="S56" s="968">
        <f t="shared" si="3"/>
        <v>85233</v>
      </c>
      <c r="T56" s="968">
        <f t="shared" si="4"/>
        <v>1444767</v>
      </c>
      <c r="U56" s="969">
        <f t="shared" si="5"/>
        <v>1530000</v>
      </c>
      <c r="V56" s="969">
        <f t="shared" si="7"/>
        <v>0</v>
      </c>
    </row>
    <row r="57" spans="1:22">
      <c r="A57" s="816"/>
      <c r="B57" s="828">
        <f t="shared" si="8"/>
        <v>53</v>
      </c>
      <c r="C57" s="970" t="s">
        <v>3732</v>
      </c>
      <c r="D57" s="970" t="s">
        <v>3427</v>
      </c>
      <c r="E57" s="970"/>
      <c r="F57" s="971">
        <v>45148</v>
      </c>
      <c r="G57" s="971">
        <v>45148</v>
      </c>
      <c r="H57" s="970" t="s">
        <v>414</v>
      </c>
      <c r="I57" s="962">
        <f t="shared" si="0"/>
        <v>45148</v>
      </c>
      <c r="J57" s="972">
        <v>0</v>
      </c>
      <c r="K57" s="972"/>
      <c r="L57" s="972">
        <v>19478</v>
      </c>
      <c r="M57" s="973"/>
      <c r="N57" s="973"/>
      <c r="O57" s="964">
        <f t="shared" si="6"/>
        <v>19478</v>
      </c>
      <c r="P57" s="965">
        <f t="shared" si="1"/>
        <v>234</v>
      </c>
      <c r="Q57" s="966">
        <v>8</v>
      </c>
      <c r="R57" s="975">
        <f t="shared" si="2"/>
        <v>7.3589041095890408</v>
      </c>
      <c r="S57" s="968">
        <f t="shared" si="3"/>
        <v>1561</v>
      </c>
      <c r="T57" s="968">
        <f t="shared" si="4"/>
        <v>17917</v>
      </c>
      <c r="U57" s="969">
        <f t="shared" si="5"/>
        <v>19478</v>
      </c>
      <c r="V57" s="969">
        <f t="shared" si="7"/>
        <v>0</v>
      </c>
    </row>
    <row r="58" spans="1:22">
      <c r="A58" s="816"/>
      <c r="B58" s="828">
        <f t="shared" si="8"/>
        <v>54</v>
      </c>
      <c r="C58" s="970" t="s">
        <v>302</v>
      </c>
      <c r="D58" s="970" t="s">
        <v>3427</v>
      </c>
      <c r="E58" s="970" t="s">
        <v>3733</v>
      </c>
      <c r="F58" s="971">
        <v>45044</v>
      </c>
      <c r="G58" s="971">
        <v>45069</v>
      </c>
      <c r="H58" s="970" t="s">
        <v>170</v>
      </c>
      <c r="I58" s="962">
        <f t="shared" si="0"/>
        <v>45069</v>
      </c>
      <c r="J58" s="973">
        <v>1209500</v>
      </c>
      <c r="K58" s="973"/>
      <c r="L58" s="973"/>
      <c r="M58" s="973"/>
      <c r="N58" s="973">
        <v>184500</v>
      </c>
      <c r="O58" s="964">
        <f t="shared" si="6"/>
        <v>1025000</v>
      </c>
      <c r="P58" s="965">
        <f t="shared" si="1"/>
        <v>313</v>
      </c>
      <c r="Q58" s="974">
        <v>9</v>
      </c>
      <c r="R58" s="975">
        <f t="shared" si="2"/>
        <v>8.1424657534246574</v>
      </c>
      <c r="S58" s="968">
        <f t="shared" si="3"/>
        <v>97664</v>
      </c>
      <c r="T58" s="968">
        <f t="shared" si="4"/>
        <v>927336</v>
      </c>
      <c r="U58" s="969">
        <f t="shared" si="5"/>
        <v>1025000</v>
      </c>
      <c r="V58" s="969">
        <f t="shared" si="7"/>
        <v>0</v>
      </c>
    </row>
    <row r="59" spans="1:22">
      <c r="A59" s="816"/>
      <c r="B59" s="828">
        <f t="shared" si="8"/>
        <v>55</v>
      </c>
      <c r="C59" s="970" t="s">
        <v>3423</v>
      </c>
      <c r="D59" s="970" t="s">
        <v>3427</v>
      </c>
      <c r="E59" s="970">
        <v>0</v>
      </c>
      <c r="F59" s="971">
        <v>45220</v>
      </c>
      <c r="G59" s="971">
        <v>45231</v>
      </c>
      <c r="H59" s="970" t="s">
        <v>3734</v>
      </c>
      <c r="I59" s="962">
        <f t="shared" si="0"/>
        <v>45231</v>
      </c>
      <c r="J59" s="972">
        <v>10000000</v>
      </c>
      <c r="K59" s="972"/>
      <c r="L59" s="973"/>
      <c r="M59" s="973"/>
      <c r="N59" s="973">
        <v>1525423.68</v>
      </c>
      <c r="O59" s="964">
        <f t="shared" si="6"/>
        <v>8474576.3200000003</v>
      </c>
      <c r="P59" s="965">
        <f t="shared" si="1"/>
        <v>151</v>
      </c>
      <c r="Q59" s="974">
        <v>3</v>
      </c>
      <c r="R59" s="975">
        <f t="shared" si="2"/>
        <v>2.5863013698630137</v>
      </c>
      <c r="S59" s="968">
        <f t="shared" si="3"/>
        <v>1168640</v>
      </c>
      <c r="T59" s="968">
        <f t="shared" si="4"/>
        <v>7305936.3200000003</v>
      </c>
      <c r="U59" s="969">
        <f t="shared" si="5"/>
        <v>0</v>
      </c>
      <c r="V59" s="969">
        <f t="shared" si="7"/>
        <v>8474576.3200000003</v>
      </c>
    </row>
    <row r="60" spans="1:22">
      <c r="A60" s="816"/>
      <c r="B60" s="828">
        <f t="shared" si="8"/>
        <v>56</v>
      </c>
      <c r="C60" s="970" t="s">
        <v>328</v>
      </c>
      <c r="D60" s="960" t="s">
        <v>3427</v>
      </c>
      <c r="E60" s="970">
        <v>1512</v>
      </c>
      <c r="F60" s="971">
        <v>45215</v>
      </c>
      <c r="G60" s="971">
        <v>45219</v>
      </c>
      <c r="H60" s="970" t="s">
        <v>765</v>
      </c>
      <c r="I60" s="962">
        <f t="shared" si="0"/>
        <v>45219</v>
      </c>
      <c r="J60" s="972">
        <v>387630</v>
      </c>
      <c r="K60" s="972"/>
      <c r="L60" s="973"/>
      <c r="M60" s="973"/>
      <c r="N60" s="973">
        <v>59130</v>
      </c>
      <c r="O60" s="964">
        <f t="shared" si="6"/>
        <v>328500</v>
      </c>
      <c r="P60" s="965">
        <f t="shared" si="1"/>
        <v>163</v>
      </c>
      <c r="Q60" s="974">
        <v>3</v>
      </c>
      <c r="R60" s="975">
        <f t="shared" si="2"/>
        <v>2.5534246575342467</v>
      </c>
      <c r="S60" s="968">
        <f t="shared" si="3"/>
        <v>48900</v>
      </c>
      <c r="T60" s="968">
        <f t="shared" si="4"/>
        <v>279600</v>
      </c>
      <c r="U60" s="969">
        <f t="shared" si="5"/>
        <v>0</v>
      </c>
      <c r="V60" s="969">
        <f t="shared" si="7"/>
        <v>328500</v>
      </c>
    </row>
    <row r="61" spans="1:22">
      <c r="A61" s="816"/>
      <c r="B61" s="828">
        <f t="shared" si="8"/>
        <v>57</v>
      </c>
      <c r="C61" s="970" t="s">
        <v>3735</v>
      </c>
      <c r="D61" s="970" t="s">
        <v>3427</v>
      </c>
      <c r="E61" s="970">
        <v>1578</v>
      </c>
      <c r="F61" s="971">
        <v>45225</v>
      </c>
      <c r="G61" s="971">
        <v>45230</v>
      </c>
      <c r="H61" s="970" t="s">
        <v>765</v>
      </c>
      <c r="I61" s="962">
        <f t="shared" si="0"/>
        <v>45230</v>
      </c>
      <c r="J61" s="972">
        <v>58297</v>
      </c>
      <c r="K61" s="972"/>
      <c r="L61" s="973"/>
      <c r="M61" s="973"/>
      <c r="N61" s="973">
        <v>8893</v>
      </c>
      <c r="O61" s="964">
        <f t="shared" si="6"/>
        <v>49404</v>
      </c>
      <c r="P61" s="965">
        <f t="shared" si="1"/>
        <v>152</v>
      </c>
      <c r="Q61" s="974">
        <v>3</v>
      </c>
      <c r="R61" s="975">
        <f t="shared" si="2"/>
        <v>2.5835616438356164</v>
      </c>
      <c r="S61" s="968">
        <f t="shared" si="3"/>
        <v>6858</v>
      </c>
      <c r="T61" s="968">
        <f t="shared" si="4"/>
        <v>42546</v>
      </c>
      <c r="U61" s="969">
        <f t="shared" si="5"/>
        <v>0</v>
      </c>
      <c r="V61" s="969">
        <f t="shared" si="7"/>
        <v>49404</v>
      </c>
    </row>
    <row r="62" spans="1:22">
      <c r="A62" s="816"/>
      <c r="B62" s="828">
        <f t="shared" si="8"/>
        <v>58</v>
      </c>
      <c r="C62" s="970" t="s">
        <v>3735</v>
      </c>
      <c r="D62" s="960" t="s">
        <v>3427</v>
      </c>
      <c r="E62" s="970">
        <v>1816</v>
      </c>
      <c r="F62" s="971">
        <v>45258</v>
      </c>
      <c r="G62" s="971">
        <v>45262</v>
      </c>
      <c r="H62" s="970" t="s">
        <v>765</v>
      </c>
      <c r="I62" s="962">
        <f t="shared" si="0"/>
        <v>45262</v>
      </c>
      <c r="J62" s="972">
        <v>183718</v>
      </c>
      <c r="K62" s="972"/>
      <c r="L62" s="973"/>
      <c r="M62" s="973"/>
      <c r="N62" s="973">
        <v>27042</v>
      </c>
      <c r="O62" s="964">
        <f t="shared" si="6"/>
        <v>156676</v>
      </c>
      <c r="P62" s="965">
        <f t="shared" si="1"/>
        <v>120</v>
      </c>
      <c r="Q62" s="974">
        <v>3</v>
      </c>
      <c r="R62" s="975">
        <f t="shared" si="2"/>
        <v>2.6712328767123288</v>
      </c>
      <c r="S62" s="968">
        <f t="shared" si="3"/>
        <v>17170</v>
      </c>
      <c r="T62" s="968">
        <f t="shared" si="4"/>
        <v>139506</v>
      </c>
      <c r="U62" s="969">
        <f t="shared" si="5"/>
        <v>0</v>
      </c>
      <c r="V62" s="969">
        <f t="shared" si="7"/>
        <v>156676</v>
      </c>
    </row>
    <row r="63" spans="1:22">
      <c r="A63" s="816"/>
      <c r="B63" s="828">
        <f t="shared" si="8"/>
        <v>59</v>
      </c>
      <c r="C63" s="970" t="s">
        <v>3735</v>
      </c>
      <c r="D63" s="970" t="s">
        <v>3427</v>
      </c>
      <c r="E63" s="970">
        <v>1868</v>
      </c>
      <c r="F63" s="971">
        <v>45266</v>
      </c>
      <c r="G63" s="971">
        <v>45272</v>
      </c>
      <c r="H63" s="970" t="s">
        <v>765</v>
      </c>
      <c r="I63" s="962">
        <f t="shared" si="0"/>
        <v>45272</v>
      </c>
      <c r="J63" s="972">
        <v>107474</v>
      </c>
      <c r="K63" s="972"/>
      <c r="L63" s="973"/>
      <c r="M63" s="973"/>
      <c r="N63" s="973">
        <v>16394</v>
      </c>
      <c r="O63" s="964">
        <f t="shared" si="6"/>
        <v>91080</v>
      </c>
      <c r="P63" s="965">
        <f t="shared" si="1"/>
        <v>110</v>
      </c>
      <c r="Q63" s="974">
        <v>3</v>
      </c>
      <c r="R63" s="975">
        <f t="shared" si="2"/>
        <v>2.6986301369863015</v>
      </c>
      <c r="S63" s="968">
        <f t="shared" si="3"/>
        <v>9150</v>
      </c>
      <c r="T63" s="968">
        <f t="shared" si="4"/>
        <v>81930</v>
      </c>
      <c r="U63" s="969">
        <f t="shared" si="5"/>
        <v>0</v>
      </c>
      <c r="V63" s="969">
        <f t="shared" si="7"/>
        <v>91080</v>
      </c>
    </row>
    <row r="64" spans="1:22">
      <c r="A64" s="816"/>
      <c r="B64" s="828">
        <f t="shared" si="8"/>
        <v>60</v>
      </c>
      <c r="C64" s="979" t="s">
        <v>560</v>
      </c>
      <c r="D64" s="980" t="s">
        <v>3427</v>
      </c>
      <c r="E64" s="979">
        <v>166</v>
      </c>
      <c r="F64" s="962">
        <v>45196</v>
      </c>
      <c r="G64" s="962">
        <v>45196</v>
      </c>
      <c r="H64" s="979" t="s">
        <v>757</v>
      </c>
      <c r="I64" s="962">
        <f t="shared" si="0"/>
        <v>45196</v>
      </c>
      <c r="J64" s="964">
        <v>484838</v>
      </c>
      <c r="K64" s="964"/>
      <c r="L64" s="964"/>
      <c r="M64" s="964"/>
      <c r="N64" s="964">
        <v>73958</v>
      </c>
      <c r="O64" s="964">
        <f t="shared" si="6"/>
        <v>410880</v>
      </c>
      <c r="P64" s="965">
        <f t="shared" si="1"/>
        <v>186</v>
      </c>
      <c r="Q64" s="966">
        <v>3</v>
      </c>
      <c r="R64" s="967">
        <f t="shared" si="2"/>
        <v>2.4904109589041097</v>
      </c>
      <c r="S64" s="968">
        <f t="shared" si="3"/>
        <v>69793</v>
      </c>
      <c r="T64" s="968">
        <f t="shared" si="4"/>
        <v>341087</v>
      </c>
      <c r="U64" s="969">
        <f t="shared" si="5"/>
        <v>410880</v>
      </c>
      <c r="V64" s="969">
        <f t="shared" si="7"/>
        <v>0</v>
      </c>
    </row>
    <row r="65" spans="1:22">
      <c r="A65" s="816"/>
      <c r="B65" s="828">
        <f t="shared" si="8"/>
        <v>61</v>
      </c>
      <c r="C65" s="970" t="s">
        <v>3736</v>
      </c>
      <c r="D65" s="970" t="s">
        <v>3427</v>
      </c>
      <c r="E65" s="970" t="s">
        <v>3737</v>
      </c>
      <c r="F65" s="971">
        <v>45143</v>
      </c>
      <c r="G65" s="971">
        <v>45164</v>
      </c>
      <c r="H65" s="970" t="s">
        <v>3738</v>
      </c>
      <c r="I65" s="962">
        <f t="shared" si="0"/>
        <v>45164</v>
      </c>
      <c r="J65" s="981">
        <v>5224344</v>
      </c>
      <c r="K65" s="981"/>
      <c r="L65" s="973"/>
      <c r="M65" s="973"/>
      <c r="N65" s="973">
        <v>796934</v>
      </c>
      <c r="O65" s="964">
        <f t="shared" si="6"/>
        <v>4427410</v>
      </c>
      <c r="P65" s="965">
        <f t="shared" si="1"/>
        <v>218</v>
      </c>
      <c r="Q65" s="974">
        <v>3</v>
      </c>
      <c r="R65" s="975">
        <f t="shared" si="2"/>
        <v>2.4027397260273973</v>
      </c>
      <c r="S65" s="968">
        <f t="shared" si="3"/>
        <v>881439</v>
      </c>
      <c r="T65" s="968">
        <f t="shared" si="4"/>
        <v>3545971</v>
      </c>
      <c r="U65" s="969">
        <f t="shared" si="5"/>
        <v>4427410</v>
      </c>
      <c r="V65" s="969">
        <f t="shared" si="7"/>
        <v>0</v>
      </c>
    </row>
    <row r="66" spans="1:22">
      <c r="A66" s="816"/>
      <c r="B66" s="828">
        <f t="shared" si="8"/>
        <v>62</v>
      </c>
      <c r="C66" s="960" t="s">
        <v>3736</v>
      </c>
      <c r="D66" s="960" t="s">
        <v>3427</v>
      </c>
      <c r="E66" s="960" t="s">
        <v>3739</v>
      </c>
      <c r="F66" s="961">
        <v>45295</v>
      </c>
      <c r="G66" s="961">
        <v>45325</v>
      </c>
      <c r="H66" s="960" t="s">
        <v>3738</v>
      </c>
      <c r="I66" s="962">
        <f t="shared" si="0"/>
        <v>45325</v>
      </c>
      <c r="J66" s="976">
        <v>4307000</v>
      </c>
      <c r="K66" s="976"/>
      <c r="L66" s="964"/>
      <c r="M66" s="964"/>
      <c r="N66" s="964">
        <v>657000</v>
      </c>
      <c r="O66" s="964">
        <f t="shared" si="6"/>
        <v>3650000</v>
      </c>
      <c r="P66" s="965">
        <f t="shared" si="1"/>
        <v>57</v>
      </c>
      <c r="Q66" s="966">
        <v>3</v>
      </c>
      <c r="R66" s="967">
        <f t="shared" si="2"/>
        <v>2.8438356164383563</v>
      </c>
      <c r="S66" s="968">
        <f t="shared" si="3"/>
        <v>190000</v>
      </c>
      <c r="T66" s="968">
        <f t="shared" si="4"/>
        <v>3460000</v>
      </c>
      <c r="U66" s="969">
        <f t="shared" si="5"/>
        <v>0</v>
      </c>
      <c r="V66" s="969">
        <f t="shared" si="7"/>
        <v>3650000</v>
      </c>
    </row>
    <row r="67" spans="1:22">
      <c r="A67" s="816"/>
      <c r="B67" s="828">
        <f t="shared" si="8"/>
        <v>63</v>
      </c>
      <c r="C67" s="970" t="s">
        <v>585</v>
      </c>
      <c r="D67" s="970" t="s">
        <v>3427</v>
      </c>
      <c r="E67" s="970" t="s">
        <v>3740</v>
      </c>
      <c r="F67" s="971">
        <v>45140</v>
      </c>
      <c r="G67" s="971">
        <v>45161</v>
      </c>
      <c r="H67" s="970" t="s">
        <v>3573</v>
      </c>
      <c r="I67" s="962">
        <f t="shared" si="0"/>
        <v>45161</v>
      </c>
      <c r="J67" s="972">
        <f>6197360-55000</f>
        <v>6142360</v>
      </c>
      <c r="K67" s="972">
        <f>55000*0</f>
        <v>0</v>
      </c>
      <c r="L67" s="973"/>
      <c r="M67" s="973">
        <v>61360</v>
      </c>
      <c r="N67" s="973">
        <v>936000</v>
      </c>
      <c r="O67" s="964">
        <f t="shared" si="6"/>
        <v>5145000</v>
      </c>
      <c r="P67" s="965">
        <f t="shared" si="1"/>
        <v>221</v>
      </c>
      <c r="Q67" s="974">
        <v>9</v>
      </c>
      <c r="R67" s="975">
        <f t="shared" si="2"/>
        <v>8.3945205479452056</v>
      </c>
      <c r="S67" s="968">
        <f t="shared" si="3"/>
        <v>346132</v>
      </c>
      <c r="T67" s="968">
        <f t="shared" si="4"/>
        <v>4798868</v>
      </c>
      <c r="U67" s="969">
        <f t="shared" si="5"/>
        <v>5145000</v>
      </c>
      <c r="V67" s="969">
        <f t="shared" si="7"/>
        <v>0</v>
      </c>
    </row>
    <row r="68" spans="1:22">
      <c r="A68" s="816"/>
      <c r="B68" s="828">
        <f t="shared" si="8"/>
        <v>64</v>
      </c>
      <c r="C68" s="970" t="s">
        <v>585</v>
      </c>
      <c r="D68" s="970" t="s">
        <v>3427</v>
      </c>
      <c r="E68" s="970" t="s">
        <v>3741</v>
      </c>
      <c r="F68" s="971">
        <v>45140</v>
      </c>
      <c r="G68" s="971">
        <v>45161</v>
      </c>
      <c r="H68" s="970" t="s">
        <v>3573</v>
      </c>
      <c r="I68" s="962">
        <f t="shared" si="0"/>
        <v>45161</v>
      </c>
      <c r="J68" s="972">
        <f>6197360-55000</f>
        <v>6142360</v>
      </c>
      <c r="K68" s="972">
        <f>55000*0</f>
        <v>0</v>
      </c>
      <c r="L68" s="973"/>
      <c r="M68" s="973">
        <v>61360</v>
      </c>
      <c r="N68" s="973">
        <v>936000</v>
      </c>
      <c r="O68" s="964">
        <f t="shared" si="6"/>
        <v>5145000</v>
      </c>
      <c r="P68" s="965">
        <f t="shared" si="1"/>
        <v>221</v>
      </c>
      <c r="Q68" s="974">
        <v>9</v>
      </c>
      <c r="R68" s="975">
        <f t="shared" si="2"/>
        <v>8.3945205479452056</v>
      </c>
      <c r="S68" s="968">
        <f t="shared" si="3"/>
        <v>346132</v>
      </c>
      <c r="T68" s="968">
        <f t="shared" si="4"/>
        <v>4798868</v>
      </c>
      <c r="U68" s="969">
        <f t="shared" si="5"/>
        <v>5145000</v>
      </c>
      <c r="V68" s="969">
        <f t="shared" si="7"/>
        <v>0</v>
      </c>
    </row>
    <row r="69" spans="1:22">
      <c r="A69" s="816"/>
      <c r="B69" s="828">
        <f t="shared" si="8"/>
        <v>65</v>
      </c>
      <c r="C69" s="970" t="s">
        <v>4212</v>
      </c>
      <c r="D69" s="970" t="s">
        <v>3427</v>
      </c>
      <c r="E69" s="970">
        <v>2616286</v>
      </c>
      <c r="F69" s="971">
        <v>45368</v>
      </c>
      <c r="G69" s="971">
        <v>45382</v>
      </c>
      <c r="H69" s="970" t="s">
        <v>4213</v>
      </c>
      <c r="I69" s="962">
        <f>MAX(F69,G69)</f>
        <v>45382</v>
      </c>
      <c r="J69" s="972">
        <v>20050176</v>
      </c>
      <c r="K69" s="972"/>
      <c r="L69" s="973"/>
      <c r="M69" s="973"/>
      <c r="N69" s="973">
        <v>11272025</v>
      </c>
      <c r="O69" s="964">
        <f t="shared" si="6"/>
        <v>8778151</v>
      </c>
      <c r="P69" s="965">
        <f t="shared" ref="P69" si="34">$P$1-I69</f>
        <v>0</v>
      </c>
      <c r="Q69" s="974">
        <v>9</v>
      </c>
      <c r="R69" s="975">
        <f t="shared" ref="R69" si="35">+Q69-(P69/365)</f>
        <v>9</v>
      </c>
      <c r="S69" s="968">
        <f t="shared" ref="S69" si="36">ROUND(+O69/(Q69*365)*P69,0)</f>
        <v>0</v>
      </c>
      <c r="T69" s="968">
        <f t="shared" ref="T69" si="37">+O69-S69</f>
        <v>8778151</v>
      </c>
      <c r="U69" s="969">
        <f t="shared" ref="U69" si="38">IF(I69&lt;=DATE(2023,9,30),O69,0)</f>
        <v>0</v>
      </c>
      <c r="V69" s="969">
        <f t="shared" ref="V69" si="39">IF(I69&gt;DATE(2023,10,1),O69,0)</f>
        <v>8778151</v>
      </c>
    </row>
    <row r="70" spans="1:22">
      <c r="A70" s="816"/>
      <c r="B70" s="828">
        <f t="shared" si="8"/>
        <v>66</v>
      </c>
      <c r="C70" s="960" t="s">
        <v>3742</v>
      </c>
      <c r="D70" s="960" t="s">
        <v>2474</v>
      </c>
      <c r="E70" s="960">
        <v>53</v>
      </c>
      <c r="F70" s="961">
        <v>45132</v>
      </c>
      <c r="G70" s="961">
        <v>45132</v>
      </c>
      <c r="H70" s="960" t="s">
        <v>3743</v>
      </c>
      <c r="I70" s="962">
        <f t="shared" si="0"/>
        <v>45132</v>
      </c>
      <c r="J70" s="964">
        <v>141600</v>
      </c>
      <c r="K70" s="964"/>
      <c r="L70" s="964"/>
      <c r="M70" s="964"/>
      <c r="N70" s="964">
        <v>21600</v>
      </c>
      <c r="O70" s="964">
        <f t="shared" si="6"/>
        <v>120000</v>
      </c>
      <c r="P70" s="965">
        <f t="shared" si="1"/>
        <v>250</v>
      </c>
      <c r="Q70" s="966">
        <v>3</v>
      </c>
      <c r="R70" s="967">
        <f t="shared" si="2"/>
        <v>2.3150684931506849</v>
      </c>
      <c r="S70" s="968">
        <f t="shared" si="3"/>
        <v>27397</v>
      </c>
      <c r="T70" s="968">
        <f t="shared" si="4"/>
        <v>92603</v>
      </c>
      <c r="U70" s="969">
        <f t="shared" si="5"/>
        <v>120000</v>
      </c>
      <c r="V70" s="969">
        <f t="shared" si="7"/>
        <v>0</v>
      </c>
    </row>
    <row r="71" spans="1:22">
      <c r="A71" s="816"/>
      <c r="B71" s="828">
        <f t="shared" si="8"/>
        <v>67</v>
      </c>
      <c r="C71" s="970" t="s">
        <v>3744</v>
      </c>
      <c r="D71" s="970" t="s">
        <v>2474</v>
      </c>
      <c r="E71" s="970"/>
      <c r="F71" s="971">
        <v>45155</v>
      </c>
      <c r="G71" s="971">
        <v>45157</v>
      </c>
      <c r="H71" s="970" t="s">
        <v>3745</v>
      </c>
      <c r="I71" s="962">
        <f t="shared" si="0"/>
        <v>45157</v>
      </c>
      <c r="J71" s="973">
        <v>6820</v>
      </c>
      <c r="K71" s="973"/>
      <c r="L71" s="973"/>
      <c r="M71" s="973"/>
      <c r="N71" s="973"/>
      <c r="O71" s="964">
        <f t="shared" ref="O71:O133" si="40">+J71+L71-(K71+M71+N71)</f>
        <v>6820</v>
      </c>
      <c r="P71" s="965">
        <f t="shared" si="1"/>
        <v>225</v>
      </c>
      <c r="Q71" s="974">
        <v>9</v>
      </c>
      <c r="R71" s="975">
        <f t="shared" si="2"/>
        <v>8.3835616438356162</v>
      </c>
      <c r="S71" s="968">
        <f t="shared" si="3"/>
        <v>467</v>
      </c>
      <c r="T71" s="968">
        <f t="shared" si="4"/>
        <v>6353</v>
      </c>
      <c r="U71" s="969">
        <f t="shared" si="5"/>
        <v>6820</v>
      </c>
      <c r="V71" s="969">
        <f t="shared" si="7"/>
        <v>0</v>
      </c>
    </row>
    <row r="72" spans="1:22">
      <c r="A72" s="816"/>
      <c r="B72" s="828">
        <f t="shared" ref="B72:B135" si="41">+B71+1</f>
        <v>68</v>
      </c>
      <c r="C72" s="979" t="s">
        <v>3744</v>
      </c>
      <c r="D72" s="980" t="s">
        <v>2474</v>
      </c>
      <c r="E72" s="982"/>
      <c r="F72" s="962">
        <v>45155</v>
      </c>
      <c r="G72" s="962">
        <v>45157</v>
      </c>
      <c r="H72" s="979" t="s">
        <v>3745</v>
      </c>
      <c r="I72" s="962">
        <f t="shared" si="0"/>
        <v>45157</v>
      </c>
      <c r="J72" s="964">
        <v>6820</v>
      </c>
      <c r="K72" s="964"/>
      <c r="L72" s="964"/>
      <c r="M72" s="964"/>
      <c r="N72" s="964"/>
      <c r="O72" s="964">
        <f t="shared" si="40"/>
        <v>6820</v>
      </c>
      <c r="P72" s="965">
        <f t="shared" si="1"/>
        <v>225</v>
      </c>
      <c r="Q72" s="966">
        <v>9</v>
      </c>
      <c r="R72" s="967">
        <f t="shared" si="2"/>
        <v>8.3835616438356162</v>
      </c>
      <c r="S72" s="968">
        <f t="shared" si="3"/>
        <v>467</v>
      </c>
      <c r="T72" s="968">
        <f t="shared" si="4"/>
        <v>6353</v>
      </c>
      <c r="U72" s="969">
        <f t="shared" si="5"/>
        <v>6820</v>
      </c>
      <c r="V72" s="969">
        <f t="shared" si="7"/>
        <v>0</v>
      </c>
    </row>
    <row r="73" spans="1:22">
      <c r="A73" s="816"/>
      <c r="B73" s="828">
        <f t="shared" si="41"/>
        <v>69</v>
      </c>
      <c r="C73" s="970" t="s">
        <v>71</v>
      </c>
      <c r="D73" s="970" t="s">
        <v>2474</v>
      </c>
      <c r="E73" s="970" t="s">
        <v>3746</v>
      </c>
      <c r="F73" s="971">
        <v>45152</v>
      </c>
      <c r="G73" s="971">
        <v>45161</v>
      </c>
      <c r="H73" s="970" t="s">
        <v>3745</v>
      </c>
      <c r="I73" s="962">
        <f t="shared" si="0"/>
        <v>45161</v>
      </c>
      <c r="J73" s="972">
        <v>4143431</v>
      </c>
      <c r="K73" s="972"/>
      <c r="L73" s="973"/>
      <c r="M73" s="973">
        <v>41024</v>
      </c>
      <c r="N73" s="973">
        <v>897402</v>
      </c>
      <c r="O73" s="964">
        <f t="shared" si="40"/>
        <v>3205005</v>
      </c>
      <c r="P73" s="965">
        <f t="shared" si="1"/>
        <v>221</v>
      </c>
      <c r="Q73" s="974">
        <v>9</v>
      </c>
      <c r="R73" s="975">
        <f t="shared" si="2"/>
        <v>8.3945205479452056</v>
      </c>
      <c r="S73" s="968">
        <f t="shared" si="3"/>
        <v>215618</v>
      </c>
      <c r="T73" s="968">
        <f t="shared" si="4"/>
        <v>2989387</v>
      </c>
      <c r="U73" s="969">
        <f t="shared" si="5"/>
        <v>3205005</v>
      </c>
      <c r="V73" s="969">
        <f t="shared" si="7"/>
        <v>0</v>
      </c>
    </row>
    <row r="74" spans="1:22">
      <c r="A74" s="816"/>
      <c r="B74" s="828">
        <f t="shared" si="41"/>
        <v>70</v>
      </c>
      <c r="C74" s="960" t="s">
        <v>71</v>
      </c>
      <c r="D74" s="960" t="s">
        <v>2474</v>
      </c>
      <c r="E74" s="960" t="s">
        <v>3747</v>
      </c>
      <c r="F74" s="961">
        <v>45152</v>
      </c>
      <c r="G74" s="961">
        <v>45161</v>
      </c>
      <c r="H74" s="960" t="s">
        <v>3745</v>
      </c>
      <c r="I74" s="962">
        <f t="shared" si="0"/>
        <v>45161</v>
      </c>
      <c r="J74" s="964">
        <v>4143431</v>
      </c>
      <c r="K74" s="964"/>
      <c r="L74" s="964"/>
      <c r="M74" s="964">
        <v>41024</v>
      </c>
      <c r="N74" s="964">
        <v>897402</v>
      </c>
      <c r="O74" s="964">
        <f t="shared" si="40"/>
        <v>3205005</v>
      </c>
      <c r="P74" s="965">
        <f t="shared" si="1"/>
        <v>221</v>
      </c>
      <c r="Q74" s="966">
        <v>9</v>
      </c>
      <c r="R74" s="967">
        <f t="shared" si="2"/>
        <v>8.3945205479452056</v>
      </c>
      <c r="S74" s="968">
        <f t="shared" si="3"/>
        <v>215618</v>
      </c>
      <c r="T74" s="968">
        <f t="shared" si="4"/>
        <v>2989387</v>
      </c>
      <c r="U74" s="969">
        <f t="shared" si="5"/>
        <v>3205005</v>
      </c>
      <c r="V74" s="969">
        <f t="shared" si="7"/>
        <v>0</v>
      </c>
    </row>
    <row r="75" spans="1:22">
      <c r="A75" s="816"/>
      <c r="B75" s="828">
        <f t="shared" si="41"/>
        <v>71</v>
      </c>
      <c r="C75" s="970" t="s">
        <v>583</v>
      </c>
      <c r="D75" s="983" t="s">
        <v>2474</v>
      </c>
      <c r="E75" s="970">
        <v>12</v>
      </c>
      <c r="F75" s="971">
        <v>45166</v>
      </c>
      <c r="G75" s="971">
        <v>45182</v>
      </c>
      <c r="H75" s="970" t="s">
        <v>3748</v>
      </c>
      <c r="I75" s="962">
        <f t="shared" si="0"/>
        <v>45182</v>
      </c>
      <c r="J75" s="973">
        <v>695020</v>
      </c>
      <c r="K75" s="973"/>
      <c r="L75" s="973"/>
      <c r="M75" s="973"/>
      <c r="N75" s="973">
        <v>106020</v>
      </c>
      <c r="O75" s="964">
        <f t="shared" si="40"/>
        <v>589000</v>
      </c>
      <c r="P75" s="965">
        <f t="shared" si="1"/>
        <v>200</v>
      </c>
      <c r="Q75" s="974">
        <v>9</v>
      </c>
      <c r="R75" s="975">
        <f t="shared" si="2"/>
        <v>8.4520547945205475</v>
      </c>
      <c r="S75" s="968">
        <f t="shared" si="3"/>
        <v>35860</v>
      </c>
      <c r="T75" s="968">
        <f t="shared" si="4"/>
        <v>553140</v>
      </c>
      <c r="U75" s="969">
        <f t="shared" si="5"/>
        <v>589000</v>
      </c>
      <c r="V75" s="969">
        <f t="shared" si="7"/>
        <v>0</v>
      </c>
    </row>
    <row r="76" spans="1:22">
      <c r="A76" s="816"/>
      <c r="B76" s="828">
        <f t="shared" si="41"/>
        <v>72</v>
      </c>
      <c r="C76" s="970" t="s">
        <v>583</v>
      </c>
      <c r="D76" s="970" t="s">
        <v>2474</v>
      </c>
      <c r="E76" s="970">
        <v>10</v>
      </c>
      <c r="F76" s="971">
        <v>45166</v>
      </c>
      <c r="G76" s="971">
        <v>45182</v>
      </c>
      <c r="H76" s="970" t="s">
        <v>3748</v>
      </c>
      <c r="I76" s="962">
        <f t="shared" si="0"/>
        <v>45182</v>
      </c>
      <c r="J76" s="973">
        <v>695020</v>
      </c>
      <c r="K76" s="973"/>
      <c r="L76" s="973"/>
      <c r="M76" s="973"/>
      <c r="N76" s="973">
        <v>106020</v>
      </c>
      <c r="O76" s="964">
        <f t="shared" si="40"/>
        <v>589000</v>
      </c>
      <c r="P76" s="965">
        <f t="shared" si="1"/>
        <v>200</v>
      </c>
      <c r="Q76" s="974">
        <v>9</v>
      </c>
      <c r="R76" s="975">
        <f t="shared" si="2"/>
        <v>8.4520547945205475</v>
      </c>
      <c r="S76" s="968">
        <f t="shared" si="3"/>
        <v>35860</v>
      </c>
      <c r="T76" s="968">
        <f t="shared" si="4"/>
        <v>553140</v>
      </c>
      <c r="U76" s="969">
        <f t="shared" si="5"/>
        <v>589000</v>
      </c>
      <c r="V76" s="969">
        <f t="shared" si="7"/>
        <v>0</v>
      </c>
    </row>
    <row r="77" spans="1:22">
      <c r="A77" s="816"/>
      <c r="B77" s="828">
        <f t="shared" si="41"/>
        <v>73</v>
      </c>
      <c r="C77" s="970" t="s">
        <v>1454</v>
      </c>
      <c r="D77" s="983" t="s">
        <v>2474</v>
      </c>
      <c r="E77" s="970">
        <v>8</v>
      </c>
      <c r="F77" s="971">
        <v>44746</v>
      </c>
      <c r="G77" s="971">
        <v>45124</v>
      </c>
      <c r="H77" s="970" t="s">
        <v>3748</v>
      </c>
      <c r="I77" s="962">
        <f t="shared" si="0"/>
        <v>45124</v>
      </c>
      <c r="J77" s="973">
        <v>695020</v>
      </c>
      <c r="K77" s="973"/>
      <c r="L77" s="973"/>
      <c r="M77" s="973"/>
      <c r="N77" s="973">
        <v>106020</v>
      </c>
      <c r="O77" s="964">
        <f t="shared" si="40"/>
        <v>589000</v>
      </c>
      <c r="P77" s="965">
        <f t="shared" si="1"/>
        <v>258</v>
      </c>
      <c r="Q77" s="974">
        <v>9</v>
      </c>
      <c r="R77" s="975">
        <f t="shared" si="2"/>
        <v>8.2931506849315078</v>
      </c>
      <c r="S77" s="968">
        <f t="shared" si="3"/>
        <v>46259</v>
      </c>
      <c r="T77" s="968">
        <f t="shared" si="4"/>
        <v>542741</v>
      </c>
      <c r="U77" s="969">
        <f t="shared" si="5"/>
        <v>589000</v>
      </c>
      <c r="V77" s="969">
        <f t="shared" si="7"/>
        <v>0</v>
      </c>
    </row>
    <row r="78" spans="1:22">
      <c r="A78" s="816"/>
      <c r="B78" s="828">
        <f t="shared" si="41"/>
        <v>74</v>
      </c>
      <c r="C78" s="970" t="s">
        <v>1454</v>
      </c>
      <c r="D78" s="983" t="s">
        <v>2474</v>
      </c>
      <c r="E78" s="970">
        <v>18</v>
      </c>
      <c r="F78" s="971">
        <v>45111</v>
      </c>
      <c r="G78" s="971">
        <v>45124</v>
      </c>
      <c r="H78" s="970" t="s">
        <v>3748</v>
      </c>
      <c r="I78" s="962">
        <f t="shared" ref="I78:I145" si="42">MAX(F78,G78)</f>
        <v>45124</v>
      </c>
      <c r="J78" s="973">
        <v>695020</v>
      </c>
      <c r="K78" s="973"/>
      <c r="L78" s="973"/>
      <c r="M78" s="973"/>
      <c r="N78" s="973">
        <v>106020</v>
      </c>
      <c r="O78" s="964">
        <f t="shared" si="40"/>
        <v>589000</v>
      </c>
      <c r="P78" s="965">
        <f t="shared" ref="P78:P145" si="43">$P$1-I78</f>
        <v>258</v>
      </c>
      <c r="Q78" s="974">
        <v>9</v>
      </c>
      <c r="R78" s="975">
        <f t="shared" ref="R78:R145" si="44">+Q78-(P78/365)</f>
        <v>8.2931506849315078</v>
      </c>
      <c r="S78" s="968">
        <f t="shared" ref="S78:S145" si="45">ROUND(+O78/(Q78*365)*P78,0)</f>
        <v>46259</v>
      </c>
      <c r="T78" s="968">
        <f t="shared" ref="T78:T145" si="46">+O78-S78</f>
        <v>542741</v>
      </c>
      <c r="U78" s="969">
        <f t="shared" ref="U78:U145" si="47">IF(I78&lt;=DATE(2023,9,30),O78,0)</f>
        <v>589000</v>
      </c>
      <c r="V78" s="969">
        <f t="shared" si="7"/>
        <v>0</v>
      </c>
    </row>
    <row r="79" spans="1:22">
      <c r="A79" s="816"/>
      <c r="B79" s="828">
        <f t="shared" si="41"/>
        <v>75</v>
      </c>
      <c r="C79" s="960" t="s">
        <v>312</v>
      </c>
      <c r="D79" s="960" t="s">
        <v>75</v>
      </c>
      <c r="E79" s="960" t="s">
        <v>3749</v>
      </c>
      <c r="F79" s="961">
        <v>45017</v>
      </c>
      <c r="G79" s="961">
        <v>45017</v>
      </c>
      <c r="H79" s="960" t="s">
        <v>3594</v>
      </c>
      <c r="I79" s="962">
        <f t="shared" si="42"/>
        <v>45017</v>
      </c>
      <c r="J79" s="964">
        <v>1654999</v>
      </c>
      <c r="K79" s="964"/>
      <c r="L79" s="964"/>
      <c r="M79" s="964"/>
      <c r="N79" s="964">
        <v>252458</v>
      </c>
      <c r="O79" s="964">
        <f t="shared" si="40"/>
        <v>1402541</v>
      </c>
      <c r="P79" s="965">
        <f t="shared" si="43"/>
        <v>365</v>
      </c>
      <c r="Q79" s="966">
        <v>9</v>
      </c>
      <c r="R79" s="967">
        <f t="shared" si="44"/>
        <v>8</v>
      </c>
      <c r="S79" s="968">
        <f t="shared" si="45"/>
        <v>155838</v>
      </c>
      <c r="T79" s="968">
        <f t="shared" si="46"/>
        <v>1246703</v>
      </c>
      <c r="U79" s="969">
        <f t="shared" si="47"/>
        <v>1402541</v>
      </c>
      <c r="V79" s="969">
        <f t="shared" ref="V79:V146" si="48">IF(I79&gt;DATE(2023,10,1),O79,0)</f>
        <v>0</v>
      </c>
    </row>
    <row r="80" spans="1:22">
      <c r="A80" s="816"/>
      <c r="B80" s="828">
        <f t="shared" si="41"/>
        <v>76</v>
      </c>
      <c r="C80" s="960" t="s">
        <v>312</v>
      </c>
      <c r="D80" s="960" t="s">
        <v>75</v>
      </c>
      <c r="E80" s="960" t="s">
        <v>3750</v>
      </c>
      <c r="F80" s="961">
        <v>45017</v>
      </c>
      <c r="G80" s="961">
        <v>45017</v>
      </c>
      <c r="H80" s="960" t="s">
        <v>3594</v>
      </c>
      <c r="I80" s="962">
        <f t="shared" si="42"/>
        <v>45017</v>
      </c>
      <c r="J80" s="964">
        <v>1298000</v>
      </c>
      <c r="K80" s="964"/>
      <c r="L80" s="964"/>
      <c r="M80" s="964"/>
      <c r="N80" s="964">
        <v>198000</v>
      </c>
      <c r="O80" s="964">
        <f t="shared" si="40"/>
        <v>1100000</v>
      </c>
      <c r="P80" s="965">
        <f t="shared" si="43"/>
        <v>365</v>
      </c>
      <c r="Q80" s="966">
        <v>9</v>
      </c>
      <c r="R80" s="967">
        <f t="shared" si="44"/>
        <v>8</v>
      </c>
      <c r="S80" s="968">
        <f t="shared" si="45"/>
        <v>122222</v>
      </c>
      <c r="T80" s="968">
        <f t="shared" si="46"/>
        <v>977778</v>
      </c>
      <c r="U80" s="969">
        <f t="shared" si="47"/>
        <v>1100000</v>
      </c>
      <c r="V80" s="969">
        <f t="shared" si="48"/>
        <v>0</v>
      </c>
    </row>
    <row r="81" spans="1:22">
      <c r="A81" s="816"/>
      <c r="B81" s="828">
        <f t="shared" si="41"/>
        <v>77</v>
      </c>
      <c r="C81" s="960" t="s">
        <v>312</v>
      </c>
      <c r="D81" s="960" t="s">
        <v>75</v>
      </c>
      <c r="E81" s="960" t="s">
        <v>3751</v>
      </c>
      <c r="F81" s="961">
        <v>45017</v>
      </c>
      <c r="G81" s="961">
        <v>45017</v>
      </c>
      <c r="H81" s="960" t="s">
        <v>3594</v>
      </c>
      <c r="I81" s="962">
        <f t="shared" si="42"/>
        <v>45017</v>
      </c>
      <c r="J81" s="964">
        <v>4248000</v>
      </c>
      <c r="K81" s="964"/>
      <c r="L81" s="964"/>
      <c r="M81" s="964"/>
      <c r="N81" s="964">
        <v>648000</v>
      </c>
      <c r="O81" s="964">
        <f t="shared" si="40"/>
        <v>3600000</v>
      </c>
      <c r="P81" s="965">
        <f t="shared" si="43"/>
        <v>365</v>
      </c>
      <c r="Q81" s="966">
        <v>9</v>
      </c>
      <c r="R81" s="967">
        <f t="shared" si="44"/>
        <v>8</v>
      </c>
      <c r="S81" s="968">
        <f t="shared" si="45"/>
        <v>400000</v>
      </c>
      <c r="T81" s="968">
        <f t="shared" si="46"/>
        <v>3200000</v>
      </c>
      <c r="U81" s="969">
        <f t="shared" si="47"/>
        <v>3600000</v>
      </c>
      <c r="V81" s="969">
        <f t="shared" si="48"/>
        <v>0</v>
      </c>
    </row>
    <row r="82" spans="1:22">
      <c r="A82" s="816"/>
      <c r="B82" s="828">
        <f t="shared" si="41"/>
        <v>78</v>
      </c>
      <c r="C82" s="960" t="s">
        <v>3752</v>
      </c>
      <c r="D82" s="960" t="s">
        <v>3753</v>
      </c>
      <c r="E82" s="960">
        <v>816273793</v>
      </c>
      <c r="F82" s="961">
        <v>45085</v>
      </c>
      <c r="G82" s="961">
        <v>45124</v>
      </c>
      <c r="H82" s="960" t="s">
        <v>3754</v>
      </c>
      <c r="I82" s="962">
        <f t="shared" si="42"/>
        <v>45124</v>
      </c>
      <c r="J82" s="964">
        <v>800000</v>
      </c>
      <c r="K82" s="964"/>
      <c r="L82" s="964"/>
      <c r="M82" s="964"/>
      <c r="N82" s="964">
        <v>85714.32</v>
      </c>
      <c r="O82" s="964">
        <f t="shared" si="40"/>
        <v>714285.67999999993</v>
      </c>
      <c r="P82" s="965">
        <f t="shared" si="43"/>
        <v>258</v>
      </c>
      <c r="Q82" s="966">
        <v>3</v>
      </c>
      <c r="R82" s="967">
        <f t="shared" si="44"/>
        <v>2.2931506849315069</v>
      </c>
      <c r="S82" s="968">
        <f t="shared" si="45"/>
        <v>168297</v>
      </c>
      <c r="T82" s="968">
        <f t="shared" si="46"/>
        <v>545988.67999999993</v>
      </c>
      <c r="U82" s="969">
        <f t="shared" si="47"/>
        <v>714285.67999999993</v>
      </c>
      <c r="V82" s="969">
        <f t="shared" si="48"/>
        <v>0</v>
      </c>
    </row>
    <row r="83" spans="1:22">
      <c r="A83" s="816"/>
      <c r="B83" s="828">
        <f t="shared" si="41"/>
        <v>79</v>
      </c>
      <c r="C83" s="979" t="s">
        <v>324</v>
      </c>
      <c r="D83" s="980" t="s">
        <v>3753</v>
      </c>
      <c r="E83" s="979" t="s">
        <v>3755</v>
      </c>
      <c r="F83" s="962">
        <v>45027</v>
      </c>
      <c r="G83" s="962">
        <v>45027</v>
      </c>
      <c r="H83" s="979" t="s">
        <v>3756</v>
      </c>
      <c r="I83" s="962">
        <f t="shared" si="42"/>
        <v>45027</v>
      </c>
      <c r="J83" s="964">
        <v>537355</v>
      </c>
      <c r="K83" s="964"/>
      <c r="L83" s="964">
        <v>0</v>
      </c>
      <c r="M83" s="964"/>
      <c r="N83" s="964"/>
      <c r="O83" s="964">
        <f t="shared" si="40"/>
        <v>537355</v>
      </c>
      <c r="P83" s="965">
        <f t="shared" si="43"/>
        <v>355</v>
      </c>
      <c r="Q83" s="966">
        <v>9</v>
      </c>
      <c r="R83" s="967">
        <f t="shared" si="44"/>
        <v>8.0273972602739718</v>
      </c>
      <c r="S83" s="968">
        <f t="shared" si="45"/>
        <v>58070</v>
      </c>
      <c r="T83" s="968">
        <f t="shared" si="46"/>
        <v>479285</v>
      </c>
      <c r="U83" s="969">
        <f t="shared" si="47"/>
        <v>537355</v>
      </c>
      <c r="V83" s="969">
        <f t="shared" si="48"/>
        <v>0</v>
      </c>
    </row>
    <row r="84" spans="1:22">
      <c r="A84" s="816"/>
      <c r="B84" s="828">
        <f t="shared" si="41"/>
        <v>80</v>
      </c>
      <c r="C84" s="979" t="s">
        <v>324</v>
      </c>
      <c r="D84" s="980" t="s">
        <v>3753</v>
      </c>
      <c r="E84" s="979" t="s">
        <v>3757</v>
      </c>
      <c r="F84" s="962">
        <v>45027</v>
      </c>
      <c r="G84" s="962">
        <v>45027</v>
      </c>
      <c r="H84" s="979" t="s">
        <v>3756</v>
      </c>
      <c r="I84" s="962">
        <f t="shared" si="42"/>
        <v>45027</v>
      </c>
      <c r="J84" s="964">
        <v>537355</v>
      </c>
      <c r="K84" s="964"/>
      <c r="L84" s="964">
        <v>0</v>
      </c>
      <c r="M84" s="964"/>
      <c r="N84" s="964"/>
      <c r="O84" s="964">
        <f t="shared" si="40"/>
        <v>537355</v>
      </c>
      <c r="P84" s="965">
        <f t="shared" si="43"/>
        <v>355</v>
      </c>
      <c r="Q84" s="966">
        <v>9</v>
      </c>
      <c r="R84" s="967">
        <f t="shared" si="44"/>
        <v>8.0273972602739718</v>
      </c>
      <c r="S84" s="968">
        <f t="shared" si="45"/>
        <v>58070</v>
      </c>
      <c r="T84" s="968">
        <f t="shared" si="46"/>
        <v>479285</v>
      </c>
      <c r="U84" s="969">
        <f t="shared" si="47"/>
        <v>537355</v>
      </c>
      <c r="V84" s="969">
        <f t="shared" si="48"/>
        <v>0</v>
      </c>
    </row>
    <row r="85" spans="1:22">
      <c r="A85" s="816"/>
      <c r="B85" s="828">
        <f t="shared" si="41"/>
        <v>81</v>
      </c>
      <c r="C85" s="960" t="s">
        <v>71</v>
      </c>
      <c r="D85" s="980" t="s">
        <v>3753</v>
      </c>
      <c r="E85" s="960">
        <v>11</v>
      </c>
      <c r="F85" s="985">
        <v>45027</v>
      </c>
      <c r="G85" s="985">
        <v>45039</v>
      </c>
      <c r="H85" s="960" t="s">
        <v>402</v>
      </c>
      <c r="I85" s="962">
        <f t="shared" si="42"/>
        <v>45039</v>
      </c>
      <c r="J85" s="976">
        <f>10500000-10500000</f>
        <v>0</v>
      </c>
      <c r="K85" s="976">
        <f>10500000*0</f>
        <v>0</v>
      </c>
      <c r="L85" s="964"/>
      <c r="M85" s="964">
        <v>0</v>
      </c>
      <c r="N85" s="964">
        <v>0</v>
      </c>
      <c r="O85" s="964">
        <f t="shared" si="40"/>
        <v>0</v>
      </c>
      <c r="P85" s="965">
        <v>355</v>
      </c>
      <c r="Q85" s="968">
        <v>0</v>
      </c>
      <c r="R85" s="968">
        <v>0</v>
      </c>
      <c r="S85" s="968">
        <v>0</v>
      </c>
      <c r="T85" s="969">
        <v>0</v>
      </c>
      <c r="U85" s="969">
        <f t="shared" si="47"/>
        <v>0</v>
      </c>
      <c r="V85" s="969">
        <f t="shared" si="48"/>
        <v>0</v>
      </c>
    </row>
    <row r="86" spans="1:22">
      <c r="A86" s="816"/>
      <c r="B86" s="828">
        <f t="shared" si="41"/>
        <v>82</v>
      </c>
      <c r="C86" s="960" t="s">
        <v>71</v>
      </c>
      <c r="D86" s="980" t="s">
        <v>3753</v>
      </c>
      <c r="E86" s="960">
        <v>23</v>
      </c>
      <c r="F86" s="985">
        <v>45027</v>
      </c>
      <c r="G86" s="985">
        <v>45039</v>
      </c>
      <c r="H86" s="960" t="s">
        <v>402</v>
      </c>
      <c r="I86" s="962">
        <f t="shared" si="42"/>
        <v>45039</v>
      </c>
      <c r="J86" s="976">
        <f>10500000-10500000</f>
        <v>0</v>
      </c>
      <c r="K86" s="976">
        <f>10500000*0</f>
        <v>0</v>
      </c>
      <c r="L86" s="964"/>
      <c r="M86" s="964">
        <v>0</v>
      </c>
      <c r="N86" s="964">
        <v>0</v>
      </c>
      <c r="O86" s="964">
        <f t="shared" si="40"/>
        <v>0</v>
      </c>
      <c r="P86" s="965">
        <v>355</v>
      </c>
      <c r="Q86" s="968">
        <v>0</v>
      </c>
      <c r="R86" s="968">
        <v>0</v>
      </c>
      <c r="S86" s="968">
        <v>0</v>
      </c>
      <c r="T86" s="969">
        <v>0</v>
      </c>
      <c r="U86" s="969">
        <f t="shared" si="47"/>
        <v>0</v>
      </c>
      <c r="V86" s="969">
        <f t="shared" si="48"/>
        <v>0</v>
      </c>
    </row>
    <row r="87" spans="1:22">
      <c r="A87" s="816"/>
      <c r="B87" s="828">
        <f t="shared" si="41"/>
        <v>83</v>
      </c>
      <c r="C87" s="970" t="s">
        <v>582</v>
      </c>
      <c r="D87" s="970" t="s">
        <v>3753</v>
      </c>
      <c r="E87" s="970" t="s">
        <v>3758</v>
      </c>
      <c r="F87" s="971">
        <v>45048</v>
      </c>
      <c r="G87" s="971">
        <v>45077</v>
      </c>
      <c r="H87" s="970" t="s">
        <v>3759</v>
      </c>
      <c r="I87" s="962">
        <f t="shared" si="42"/>
        <v>45077</v>
      </c>
      <c r="J87" s="972">
        <f>1298000-2745</f>
        <v>1295255</v>
      </c>
      <c r="K87" s="972">
        <f>2745*0</f>
        <v>0</v>
      </c>
      <c r="L87" s="973">
        <v>102485</v>
      </c>
      <c r="M87" s="973"/>
      <c r="N87" s="973">
        <v>198000</v>
      </c>
      <c r="O87" s="964">
        <f t="shared" si="40"/>
        <v>1199740</v>
      </c>
      <c r="P87" s="965">
        <f t="shared" si="43"/>
        <v>305</v>
      </c>
      <c r="Q87" s="974">
        <v>9</v>
      </c>
      <c r="R87" s="975">
        <f t="shared" si="44"/>
        <v>8.1643835616438363</v>
      </c>
      <c r="S87" s="968">
        <f t="shared" si="45"/>
        <v>111391</v>
      </c>
      <c r="T87" s="968">
        <f t="shared" si="46"/>
        <v>1088349</v>
      </c>
      <c r="U87" s="969">
        <f t="shared" si="47"/>
        <v>1199740</v>
      </c>
      <c r="V87" s="969">
        <f t="shared" si="48"/>
        <v>0</v>
      </c>
    </row>
    <row r="88" spans="1:22">
      <c r="A88" s="816"/>
      <c r="B88" s="828">
        <f t="shared" si="41"/>
        <v>84</v>
      </c>
      <c r="C88" s="970" t="s">
        <v>582</v>
      </c>
      <c r="D88" s="970" t="s">
        <v>3753</v>
      </c>
      <c r="E88" s="970" t="s">
        <v>3760</v>
      </c>
      <c r="F88" s="971">
        <v>45048</v>
      </c>
      <c r="G88" s="971">
        <v>45077</v>
      </c>
      <c r="H88" s="970" t="s">
        <v>3759</v>
      </c>
      <c r="I88" s="962">
        <f t="shared" si="42"/>
        <v>45077</v>
      </c>
      <c r="J88" s="972">
        <f t="shared" ref="J88:J89" si="49">1298000-2745</f>
        <v>1295255</v>
      </c>
      <c r="K88" s="972">
        <f t="shared" ref="K88:K89" si="50">2745*0</f>
        <v>0</v>
      </c>
      <c r="L88" s="973">
        <v>102485</v>
      </c>
      <c r="M88" s="973"/>
      <c r="N88" s="973">
        <v>198000</v>
      </c>
      <c r="O88" s="964">
        <f t="shared" si="40"/>
        <v>1199740</v>
      </c>
      <c r="P88" s="965">
        <f t="shared" si="43"/>
        <v>305</v>
      </c>
      <c r="Q88" s="974">
        <v>9</v>
      </c>
      <c r="R88" s="975">
        <f t="shared" si="44"/>
        <v>8.1643835616438363</v>
      </c>
      <c r="S88" s="968">
        <f t="shared" si="45"/>
        <v>111391</v>
      </c>
      <c r="T88" s="968">
        <f t="shared" si="46"/>
        <v>1088349</v>
      </c>
      <c r="U88" s="969">
        <f t="shared" si="47"/>
        <v>1199740</v>
      </c>
      <c r="V88" s="969">
        <f t="shared" si="48"/>
        <v>0</v>
      </c>
    </row>
    <row r="89" spans="1:22">
      <c r="A89" s="816"/>
      <c r="B89" s="828">
        <f t="shared" si="41"/>
        <v>85</v>
      </c>
      <c r="C89" s="970" t="s">
        <v>582</v>
      </c>
      <c r="D89" s="970" t="s">
        <v>3753</v>
      </c>
      <c r="E89" s="970" t="s">
        <v>3761</v>
      </c>
      <c r="F89" s="971">
        <v>45048</v>
      </c>
      <c r="G89" s="971">
        <v>45077</v>
      </c>
      <c r="H89" s="970" t="s">
        <v>3759</v>
      </c>
      <c r="I89" s="962">
        <f t="shared" si="42"/>
        <v>45077</v>
      </c>
      <c r="J89" s="972">
        <f t="shared" si="49"/>
        <v>1295255</v>
      </c>
      <c r="K89" s="972">
        <f t="shared" si="50"/>
        <v>0</v>
      </c>
      <c r="L89" s="973">
        <v>102485</v>
      </c>
      <c r="M89" s="973"/>
      <c r="N89" s="973">
        <v>198000</v>
      </c>
      <c r="O89" s="964">
        <f t="shared" si="40"/>
        <v>1199740</v>
      </c>
      <c r="P89" s="965">
        <f t="shared" si="43"/>
        <v>305</v>
      </c>
      <c r="Q89" s="974">
        <v>9</v>
      </c>
      <c r="R89" s="975">
        <f t="shared" si="44"/>
        <v>8.1643835616438363</v>
      </c>
      <c r="S89" s="968">
        <f t="shared" si="45"/>
        <v>111391</v>
      </c>
      <c r="T89" s="968">
        <f t="shared" si="46"/>
        <v>1088349</v>
      </c>
      <c r="U89" s="969">
        <f t="shared" si="47"/>
        <v>1199740</v>
      </c>
      <c r="V89" s="969">
        <f t="shared" si="48"/>
        <v>0</v>
      </c>
    </row>
    <row r="90" spans="1:22">
      <c r="A90" s="816"/>
      <c r="B90" s="828">
        <f t="shared" si="41"/>
        <v>86</v>
      </c>
      <c r="C90" s="970" t="s">
        <v>582</v>
      </c>
      <c r="D90" s="970" t="s">
        <v>3753</v>
      </c>
      <c r="E90" s="970" t="s">
        <v>4240</v>
      </c>
      <c r="F90" s="971">
        <v>45267</v>
      </c>
      <c r="G90" s="971">
        <v>45289</v>
      </c>
      <c r="H90" s="970" t="s">
        <v>764</v>
      </c>
      <c r="I90" s="962">
        <f t="shared" si="42"/>
        <v>45289</v>
      </c>
      <c r="J90" s="973">
        <v>649000</v>
      </c>
      <c r="K90" s="973"/>
      <c r="L90" s="973"/>
      <c r="M90" s="973"/>
      <c r="N90" s="973">
        <v>99000</v>
      </c>
      <c r="O90" s="964">
        <f t="shared" si="40"/>
        <v>550000</v>
      </c>
      <c r="P90" s="965">
        <f t="shared" si="43"/>
        <v>93</v>
      </c>
      <c r="Q90" s="974">
        <v>9</v>
      </c>
      <c r="R90" s="975">
        <f t="shared" si="44"/>
        <v>8.7452054794520553</v>
      </c>
      <c r="S90" s="968">
        <f t="shared" si="45"/>
        <v>15571</v>
      </c>
      <c r="T90" s="968">
        <f t="shared" si="46"/>
        <v>534429</v>
      </c>
      <c r="U90" s="969">
        <f t="shared" si="47"/>
        <v>0</v>
      </c>
      <c r="V90" s="969">
        <f t="shared" si="48"/>
        <v>550000</v>
      </c>
    </row>
    <row r="91" spans="1:22">
      <c r="A91" s="816"/>
      <c r="B91" s="828">
        <f t="shared" si="41"/>
        <v>87</v>
      </c>
      <c r="C91" s="970" t="s">
        <v>582</v>
      </c>
      <c r="D91" s="970" t="s">
        <v>3753</v>
      </c>
      <c r="E91" s="970" t="s">
        <v>3762</v>
      </c>
      <c r="F91" s="971">
        <v>45267</v>
      </c>
      <c r="G91" s="971">
        <v>45289</v>
      </c>
      <c r="H91" s="970" t="s">
        <v>764</v>
      </c>
      <c r="I91" s="962">
        <f t="shared" si="42"/>
        <v>45289</v>
      </c>
      <c r="J91" s="973">
        <v>649000</v>
      </c>
      <c r="K91" s="973"/>
      <c r="L91" s="973"/>
      <c r="M91" s="973"/>
      <c r="N91" s="973">
        <v>99000</v>
      </c>
      <c r="O91" s="964">
        <f t="shared" si="40"/>
        <v>550000</v>
      </c>
      <c r="P91" s="965">
        <f t="shared" si="43"/>
        <v>93</v>
      </c>
      <c r="Q91" s="974">
        <v>9</v>
      </c>
      <c r="R91" s="975">
        <f t="shared" si="44"/>
        <v>8.7452054794520553</v>
      </c>
      <c r="S91" s="968">
        <f t="shared" si="45"/>
        <v>15571</v>
      </c>
      <c r="T91" s="968">
        <f t="shared" si="46"/>
        <v>534429</v>
      </c>
      <c r="U91" s="969">
        <f t="shared" si="47"/>
        <v>0</v>
      </c>
      <c r="V91" s="969">
        <f t="shared" si="48"/>
        <v>550000</v>
      </c>
    </row>
    <row r="92" spans="1:22">
      <c r="A92" s="816"/>
      <c r="B92" s="828">
        <f t="shared" si="41"/>
        <v>88</v>
      </c>
      <c r="C92" s="970" t="s">
        <v>3340</v>
      </c>
      <c r="D92" s="970" t="s">
        <v>3753</v>
      </c>
      <c r="E92" s="970" t="s">
        <v>3763</v>
      </c>
      <c r="F92" s="971">
        <v>45274</v>
      </c>
      <c r="G92" s="971">
        <v>45276</v>
      </c>
      <c r="H92" s="970" t="s">
        <v>763</v>
      </c>
      <c r="I92" s="962">
        <f t="shared" si="42"/>
        <v>45276</v>
      </c>
      <c r="J92" s="973">
        <v>898275</v>
      </c>
      <c r="K92" s="973"/>
      <c r="L92" s="973"/>
      <c r="M92" s="973"/>
      <c r="N92" s="973">
        <v>137025</v>
      </c>
      <c r="O92" s="964">
        <f t="shared" si="40"/>
        <v>761250</v>
      </c>
      <c r="P92" s="965">
        <f t="shared" si="43"/>
        <v>106</v>
      </c>
      <c r="Q92" s="974">
        <v>3</v>
      </c>
      <c r="R92" s="975">
        <f t="shared" si="44"/>
        <v>2.7095890410958905</v>
      </c>
      <c r="S92" s="968">
        <f t="shared" si="45"/>
        <v>73692</v>
      </c>
      <c r="T92" s="968">
        <f t="shared" si="46"/>
        <v>687558</v>
      </c>
      <c r="U92" s="969">
        <f t="shared" si="47"/>
        <v>0</v>
      </c>
      <c r="V92" s="969">
        <f t="shared" si="48"/>
        <v>761250</v>
      </c>
    </row>
    <row r="93" spans="1:22">
      <c r="A93" s="816"/>
      <c r="B93" s="828">
        <f t="shared" si="41"/>
        <v>89</v>
      </c>
      <c r="C93" s="960" t="s">
        <v>3340</v>
      </c>
      <c r="D93" s="960" t="s">
        <v>3753</v>
      </c>
      <c r="E93" s="960">
        <v>25304</v>
      </c>
      <c r="F93" s="961">
        <v>45323</v>
      </c>
      <c r="G93" s="961">
        <v>45327</v>
      </c>
      <c r="H93" s="960" t="s">
        <v>3764</v>
      </c>
      <c r="I93" s="962">
        <f t="shared" si="42"/>
        <v>45327</v>
      </c>
      <c r="J93" s="963">
        <v>2004418</v>
      </c>
      <c r="K93" s="963"/>
      <c r="L93" s="964"/>
      <c r="M93" s="964"/>
      <c r="N93" s="964">
        <v>305758.62</v>
      </c>
      <c r="O93" s="964">
        <f t="shared" si="40"/>
        <v>1698659.38</v>
      </c>
      <c r="P93" s="965">
        <f t="shared" si="43"/>
        <v>55</v>
      </c>
      <c r="Q93" s="966">
        <v>3</v>
      </c>
      <c r="R93" s="967">
        <f t="shared" si="44"/>
        <v>2.8493150684931505</v>
      </c>
      <c r="S93" s="968">
        <f t="shared" si="45"/>
        <v>85321</v>
      </c>
      <c r="T93" s="968">
        <f t="shared" si="46"/>
        <v>1613338.38</v>
      </c>
      <c r="U93" s="969">
        <f t="shared" si="47"/>
        <v>0</v>
      </c>
      <c r="V93" s="969">
        <f t="shared" si="48"/>
        <v>1698659.38</v>
      </c>
    </row>
    <row r="94" spans="1:22">
      <c r="A94" s="816"/>
      <c r="B94" s="828">
        <f t="shared" si="41"/>
        <v>90</v>
      </c>
      <c r="C94" s="979" t="s">
        <v>309</v>
      </c>
      <c r="D94" s="980" t="s">
        <v>3753</v>
      </c>
      <c r="E94" s="979" t="s">
        <v>3765</v>
      </c>
      <c r="F94" s="962">
        <v>45017</v>
      </c>
      <c r="G94" s="962">
        <v>45018</v>
      </c>
      <c r="H94" s="979" t="s">
        <v>406</v>
      </c>
      <c r="I94" s="962">
        <f t="shared" si="42"/>
        <v>45018</v>
      </c>
      <c r="J94" s="964">
        <v>248325</v>
      </c>
      <c r="K94" s="964"/>
      <c r="L94" s="964"/>
      <c r="M94" s="964"/>
      <c r="N94" s="964">
        <v>37880</v>
      </c>
      <c r="O94" s="964">
        <f t="shared" si="40"/>
        <v>210445</v>
      </c>
      <c r="P94" s="965">
        <f t="shared" si="43"/>
        <v>364</v>
      </c>
      <c r="Q94" s="966">
        <v>3</v>
      </c>
      <c r="R94" s="967">
        <f t="shared" si="44"/>
        <v>2.0027397260273974</v>
      </c>
      <c r="S94" s="968">
        <f t="shared" si="45"/>
        <v>69956</v>
      </c>
      <c r="T94" s="968">
        <f t="shared" si="46"/>
        <v>140489</v>
      </c>
      <c r="U94" s="969">
        <f t="shared" si="47"/>
        <v>210445</v>
      </c>
      <c r="V94" s="969">
        <f t="shared" si="48"/>
        <v>0</v>
      </c>
    </row>
    <row r="95" spans="1:22">
      <c r="A95" s="816"/>
      <c r="B95" s="828">
        <f t="shared" si="41"/>
        <v>91</v>
      </c>
      <c r="C95" s="979" t="s">
        <v>309</v>
      </c>
      <c r="D95" s="980" t="s">
        <v>3753</v>
      </c>
      <c r="E95" s="979" t="s">
        <v>3766</v>
      </c>
      <c r="F95" s="962">
        <v>45021</v>
      </c>
      <c r="G95" s="962">
        <v>45040</v>
      </c>
      <c r="H95" s="979" t="s">
        <v>406</v>
      </c>
      <c r="I95" s="962">
        <f t="shared" si="42"/>
        <v>45040</v>
      </c>
      <c r="J95" s="964">
        <v>423431</v>
      </c>
      <c r="K95" s="964"/>
      <c r="L95" s="964"/>
      <c r="M95" s="964"/>
      <c r="N95" s="964">
        <v>64591</v>
      </c>
      <c r="O95" s="964">
        <f t="shared" si="40"/>
        <v>358840</v>
      </c>
      <c r="P95" s="965">
        <f t="shared" si="43"/>
        <v>342</v>
      </c>
      <c r="Q95" s="966">
        <v>3</v>
      </c>
      <c r="R95" s="967">
        <f t="shared" si="44"/>
        <v>2.0630136986301371</v>
      </c>
      <c r="S95" s="968">
        <f t="shared" si="45"/>
        <v>112076</v>
      </c>
      <c r="T95" s="968">
        <f t="shared" si="46"/>
        <v>246764</v>
      </c>
      <c r="U95" s="969">
        <f t="shared" si="47"/>
        <v>358840</v>
      </c>
      <c r="V95" s="969">
        <f t="shared" si="48"/>
        <v>0</v>
      </c>
    </row>
    <row r="96" spans="1:22">
      <c r="A96" s="816"/>
      <c r="B96" s="828">
        <f t="shared" si="41"/>
        <v>92</v>
      </c>
      <c r="C96" s="979" t="s">
        <v>309</v>
      </c>
      <c r="D96" s="980" t="s">
        <v>3753</v>
      </c>
      <c r="E96" s="979" t="s">
        <v>3767</v>
      </c>
      <c r="F96" s="962">
        <v>45043</v>
      </c>
      <c r="G96" s="962">
        <v>45046</v>
      </c>
      <c r="H96" s="979" t="s">
        <v>406</v>
      </c>
      <c r="I96" s="962">
        <f t="shared" si="42"/>
        <v>45046</v>
      </c>
      <c r="J96" s="964">
        <v>1032662</v>
      </c>
      <c r="K96" s="964"/>
      <c r="L96" s="964"/>
      <c r="M96" s="964"/>
      <c r="N96" s="964">
        <v>157525</v>
      </c>
      <c r="O96" s="964">
        <f t="shared" si="40"/>
        <v>875137</v>
      </c>
      <c r="P96" s="965">
        <f t="shared" si="43"/>
        <v>336</v>
      </c>
      <c r="Q96" s="966">
        <v>3</v>
      </c>
      <c r="R96" s="967">
        <f t="shared" si="44"/>
        <v>2.0794520547945208</v>
      </c>
      <c r="S96" s="968">
        <f t="shared" si="45"/>
        <v>268535</v>
      </c>
      <c r="T96" s="968">
        <f t="shared" si="46"/>
        <v>606602</v>
      </c>
      <c r="U96" s="969">
        <f t="shared" si="47"/>
        <v>875137</v>
      </c>
      <c r="V96" s="969">
        <f t="shared" si="48"/>
        <v>0</v>
      </c>
    </row>
    <row r="97" spans="1:22">
      <c r="A97" s="816"/>
      <c r="B97" s="828">
        <f t="shared" si="41"/>
        <v>93</v>
      </c>
      <c r="C97" s="979" t="s">
        <v>309</v>
      </c>
      <c r="D97" s="980" t="s">
        <v>3753</v>
      </c>
      <c r="E97" s="979" t="s">
        <v>3768</v>
      </c>
      <c r="F97" s="962">
        <v>45053</v>
      </c>
      <c r="G97" s="962">
        <v>45055</v>
      </c>
      <c r="H97" s="979" t="s">
        <v>406</v>
      </c>
      <c r="I97" s="962">
        <f t="shared" si="42"/>
        <v>45055</v>
      </c>
      <c r="J97" s="964">
        <v>88500</v>
      </c>
      <c r="K97" s="964"/>
      <c r="L97" s="964"/>
      <c r="M97" s="964"/>
      <c r="N97" s="964">
        <v>13500</v>
      </c>
      <c r="O97" s="964">
        <f t="shared" si="40"/>
        <v>75000</v>
      </c>
      <c r="P97" s="965">
        <f t="shared" si="43"/>
        <v>327</v>
      </c>
      <c r="Q97" s="966">
        <v>3</v>
      </c>
      <c r="R97" s="967">
        <f t="shared" si="44"/>
        <v>2.1041095890410961</v>
      </c>
      <c r="S97" s="968">
        <f t="shared" si="45"/>
        <v>22397</v>
      </c>
      <c r="T97" s="968">
        <f t="shared" si="46"/>
        <v>52603</v>
      </c>
      <c r="U97" s="969">
        <f t="shared" si="47"/>
        <v>75000</v>
      </c>
      <c r="V97" s="969">
        <f t="shared" si="48"/>
        <v>0</v>
      </c>
    </row>
    <row r="98" spans="1:22">
      <c r="A98" s="816"/>
      <c r="B98" s="828">
        <f t="shared" si="41"/>
        <v>94</v>
      </c>
      <c r="C98" s="979" t="s">
        <v>309</v>
      </c>
      <c r="D98" s="980" t="s">
        <v>3753</v>
      </c>
      <c r="E98" s="979" t="s">
        <v>3769</v>
      </c>
      <c r="F98" s="962">
        <v>45063</v>
      </c>
      <c r="G98" s="962">
        <v>45067</v>
      </c>
      <c r="H98" s="979" t="s">
        <v>406</v>
      </c>
      <c r="I98" s="962">
        <f t="shared" si="42"/>
        <v>45067</v>
      </c>
      <c r="J98" s="964">
        <v>597917</v>
      </c>
      <c r="K98" s="964"/>
      <c r="L98" s="964"/>
      <c r="M98" s="964"/>
      <c r="N98" s="964">
        <v>91207.62</v>
      </c>
      <c r="O98" s="964">
        <f t="shared" si="40"/>
        <v>506709.38</v>
      </c>
      <c r="P98" s="965">
        <f t="shared" si="43"/>
        <v>315</v>
      </c>
      <c r="Q98" s="966">
        <v>3</v>
      </c>
      <c r="R98" s="967">
        <f t="shared" si="44"/>
        <v>2.1369863013698631</v>
      </c>
      <c r="S98" s="968">
        <f t="shared" si="45"/>
        <v>145766</v>
      </c>
      <c r="T98" s="968">
        <f t="shared" si="46"/>
        <v>360943.38</v>
      </c>
      <c r="U98" s="969">
        <f t="shared" si="47"/>
        <v>506709.38</v>
      </c>
      <c r="V98" s="969">
        <f t="shared" si="48"/>
        <v>0</v>
      </c>
    </row>
    <row r="99" spans="1:22">
      <c r="A99" s="816"/>
      <c r="B99" s="828">
        <f t="shared" si="41"/>
        <v>95</v>
      </c>
      <c r="C99" s="979" t="s">
        <v>309</v>
      </c>
      <c r="D99" s="980" t="s">
        <v>3753</v>
      </c>
      <c r="E99" s="979" t="s">
        <v>3770</v>
      </c>
      <c r="F99" s="962">
        <v>45064</v>
      </c>
      <c r="G99" s="962">
        <v>45067</v>
      </c>
      <c r="H99" s="979" t="s">
        <v>406</v>
      </c>
      <c r="I99" s="962">
        <f t="shared" si="42"/>
        <v>45067</v>
      </c>
      <c r="J99" s="964">
        <v>703209</v>
      </c>
      <c r="K99" s="964"/>
      <c r="L99" s="964"/>
      <c r="M99" s="964"/>
      <c r="N99" s="964">
        <v>107269.2</v>
      </c>
      <c r="O99" s="964">
        <f t="shared" si="40"/>
        <v>595939.80000000005</v>
      </c>
      <c r="P99" s="965">
        <f t="shared" si="43"/>
        <v>315</v>
      </c>
      <c r="Q99" s="966">
        <v>3</v>
      </c>
      <c r="R99" s="967">
        <f t="shared" si="44"/>
        <v>2.1369863013698631</v>
      </c>
      <c r="S99" s="968">
        <f t="shared" si="45"/>
        <v>171435</v>
      </c>
      <c r="T99" s="968">
        <f t="shared" si="46"/>
        <v>424504.80000000005</v>
      </c>
      <c r="U99" s="969">
        <f t="shared" si="47"/>
        <v>595939.80000000005</v>
      </c>
      <c r="V99" s="969">
        <f t="shared" si="48"/>
        <v>0</v>
      </c>
    </row>
    <row r="100" spans="1:22">
      <c r="A100" s="816"/>
      <c r="B100" s="828">
        <f t="shared" si="41"/>
        <v>96</v>
      </c>
      <c r="C100" s="979" t="s">
        <v>309</v>
      </c>
      <c r="D100" s="980" t="s">
        <v>3753</v>
      </c>
      <c r="E100" s="979" t="s">
        <v>3771</v>
      </c>
      <c r="F100" s="962">
        <v>45071</v>
      </c>
      <c r="G100" s="962">
        <v>45073</v>
      </c>
      <c r="H100" s="979" t="s">
        <v>406</v>
      </c>
      <c r="I100" s="962">
        <f t="shared" si="42"/>
        <v>45073</v>
      </c>
      <c r="J100" s="964">
        <v>476249</v>
      </c>
      <c r="K100" s="964"/>
      <c r="L100" s="964"/>
      <c r="M100" s="964"/>
      <c r="N100" s="964">
        <v>72648.09</v>
      </c>
      <c r="O100" s="964">
        <f t="shared" si="40"/>
        <v>403600.91000000003</v>
      </c>
      <c r="P100" s="965">
        <f t="shared" si="43"/>
        <v>309</v>
      </c>
      <c r="Q100" s="966">
        <v>3</v>
      </c>
      <c r="R100" s="967">
        <f t="shared" si="44"/>
        <v>2.1534246575342468</v>
      </c>
      <c r="S100" s="968">
        <f t="shared" si="45"/>
        <v>113893</v>
      </c>
      <c r="T100" s="968">
        <f t="shared" si="46"/>
        <v>289707.91000000003</v>
      </c>
      <c r="U100" s="969">
        <f t="shared" si="47"/>
        <v>403600.91000000003</v>
      </c>
      <c r="V100" s="969">
        <f t="shared" si="48"/>
        <v>0</v>
      </c>
    </row>
    <row r="101" spans="1:22">
      <c r="A101" s="816"/>
      <c r="B101" s="828">
        <f t="shared" si="41"/>
        <v>97</v>
      </c>
      <c r="C101" s="979" t="s">
        <v>309</v>
      </c>
      <c r="D101" s="980" t="s">
        <v>3753</v>
      </c>
      <c r="E101" s="979" t="s">
        <v>3772</v>
      </c>
      <c r="F101" s="962">
        <v>45075</v>
      </c>
      <c r="G101" s="962">
        <v>45076</v>
      </c>
      <c r="H101" s="979" t="s">
        <v>406</v>
      </c>
      <c r="I101" s="962">
        <f t="shared" si="42"/>
        <v>45076</v>
      </c>
      <c r="J101" s="964">
        <v>551541</v>
      </c>
      <c r="K101" s="964"/>
      <c r="L101" s="964"/>
      <c r="M101" s="964"/>
      <c r="N101" s="964">
        <v>84133</v>
      </c>
      <c r="O101" s="964">
        <f t="shared" si="40"/>
        <v>467408</v>
      </c>
      <c r="P101" s="965">
        <f t="shared" si="43"/>
        <v>306</v>
      </c>
      <c r="Q101" s="966">
        <v>3</v>
      </c>
      <c r="R101" s="967">
        <f t="shared" si="44"/>
        <v>2.1616438356164385</v>
      </c>
      <c r="S101" s="968">
        <f t="shared" si="45"/>
        <v>130618</v>
      </c>
      <c r="T101" s="968">
        <f t="shared" si="46"/>
        <v>336790</v>
      </c>
      <c r="U101" s="969">
        <f t="shared" si="47"/>
        <v>467408</v>
      </c>
      <c r="V101" s="969">
        <f t="shared" si="48"/>
        <v>0</v>
      </c>
    </row>
    <row r="102" spans="1:22">
      <c r="A102" s="816"/>
      <c r="B102" s="828">
        <f t="shared" si="41"/>
        <v>98</v>
      </c>
      <c r="C102" s="979" t="s">
        <v>309</v>
      </c>
      <c r="D102" s="980" t="s">
        <v>3753</v>
      </c>
      <c r="E102" s="979" t="s">
        <v>3773</v>
      </c>
      <c r="F102" s="962">
        <v>45079</v>
      </c>
      <c r="G102" s="962">
        <v>45081</v>
      </c>
      <c r="H102" s="979" t="s">
        <v>406</v>
      </c>
      <c r="I102" s="962">
        <f t="shared" si="42"/>
        <v>45081</v>
      </c>
      <c r="J102" s="964">
        <v>505231</v>
      </c>
      <c r="K102" s="964"/>
      <c r="L102" s="964"/>
      <c r="M102" s="964"/>
      <c r="N102" s="964">
        <v>77069</v>
      </c>
      <c r="O102" s="964">
        <f t="shared" si="40"/>
        <v>428162</v>
      </c>
      <c r="P102" s="965">
        <f t="shared" si="43"/>
        <v>301</v>
      </c>
      <c r="Q102" s="966">
        <v>3</v>
      </c>
      <c r="R102" s="967">
        <f t="shared" si="44"/>
        <v>2.1753424657534248</v>
      </c>
      <c r="S102" s="968">
        <f t="shared" si="45"/>
        <v>117696</v>
      </c>
      <c r="T102" s="968">
        <f t="shared" si="46"/>
        <v>310466</v>
      </c>
      <c r="U102" s="969">
        <f t="shared" si="47"/>
        <v>428162</v>
      </c>
      <c r="V102" s="969">
        <f t="shared" si="48"/>
        <v>0</v>
      </c>
    </row>
    <row r="103" spans="1:22">
      <c r="A103" s="816"/>
      <c r="B103" s="828">
        <f t="shared" si="41"/>
        <v>99</v>
      </c>
      <c r="C103" s="979" t="s">
        <v>309</v>
      </c>
      <c r="D103" s="980" t="s">
        <v>3753</v>
      </c>
      <c r="E103" s="979" t="s">
        <v>3774</v>
      </c>
      <c r="F103" s="962">
        <v>45081</v>
      </c>
      <c r="G103" s="962">
        <v>45081</v>
      </c>
      <c r="H103" s="979" t="s">
        <v>406</v>
      </c>
      <c r="I103" s="962">
        <f t="shared" si="42"/>
        <v>45081</v>
      </c>
      <c r="J103" s="964">
        <v>451768</v>
      </c>
      <c r="K103" s="964"/>
      <c r="L103" s="964"/>
      <c r="M103" s="964"/>
      <c r="N103" s="964">
        <v>68914</v>
      </c>
      <c r="O103" s="964">
        <f t="shared" si="40"/>
        <v>382854</v>
      </c>
      <c r="P103" s="965">
        <f t="shared" si="43"/>
        <v>301</v>
      </c>
      <c r="Q103" s="966">
        <v>3</v>
      </c>
      <c r="R103" s="967">
        <f t="shared" si="44"/>
        <v>2.1753424657534248</v>
      </c>
      <c r="S103" s="968">
        <f t="shared" si="45"/>
        <v>105241</v>
      </c>
      <c r="T103" s="968">
        <f t="shared" si="46"/>
        <v>277613</v>
      </c>
      <c r="U103" s="969">
        <f t="shared" si="47"/>
        <v>382854</v>
      </c>
      <c r="V103" s="969">
        <f t="shared" si="48"/>
        <v>0</v>
      </c>
    </row>
    <row r="104" spans="1:22">
      <c r="A104" s="816"/>
      <c r="B104" s="828">
        <f t="shared" si="41"/>
        <v>100</v>
      </c>
      <c r="C104" s="979" t="s">
        <v>309</v>
      </c>
      <c r="D104" s="980" t="s">
        <v>3753</v>
      </c>
      <c r="E104" s="979" t="s">
        <v>3775</v>
      </c>
      <c r="F104" s="962">
        <v>45095</v>
      </c>
      <c r="G104" s="962">
        <v>45108</v>
      </c>
      <c r="H104" s="979" t="s">
        <v>406</v>
      </c>
      <c r="I104" s="962">
        <f t="shared" si="42"/>
        <v>45108</v>
      </c>
      <c r="J104" s="964">
        <v>1219925</v>
      </c>
      <c r="K104" s="964"/>
      <c r="L104" s="964"/>
      <c r="M104" s="964"/>
      <c r="N104" s="964">
        <v>186090</v>
      </c>
      <c r="O104" s="964">
        <f t="shared" si="40"/>
        <v>1033835</v>
      </c>
      <c r="P104" s="965">
        <f t="shared" si="43"/>
        <v>274</v>
      </c>
      <c r="Q104" s="966">
        <v>3</v>
      </c>
      <c r="R104" s="967">
        <f t="shared" si="44"/>
        <v>2.2493150684931509</v>
      </c>
      <c r="S104" s="968">
        <f t="shared" si="45"/>
        <v>258695</v>
      </c>
      <c r="T104" s="968">
        <f t="shared" si="46"/>
        <v>775140</v>
      </c>
      <c r="U104" s="969">
        <f t="shared" si="47"/>
        <v>1033835</v>
      </c>
      <c r="V104" s="969">
        <f t="shared" si="48"/>
        <v>0</v>
      </c>
    </row>
    <row r="105" spans="1:22">
      <c r="A105" s="816"/>
      <c r="B105" s="828">
        <f t="shared" si="41"/>
        <v>101</v>
      </c>
      <c r="C105" s="979" t="s">
        <v>309</v>
      </c>
      <c r="D105" s="980" t="s">
        <v>3753</v>
      </c>
      <c r="E105" s="979" t="s">
        <v>3776</v>
      </c>
      <c r="F105" s="962">
        <v>45099</v>
      </c>
      <c r="G105" s="962">
        <v>45108</v>
      </c>
      <c r="H105" s="979" t="s">
        <v>406</v>
      </c>
      <c r="I105" s="962">
        <f t="shared" si="42"/>
        <v>45108</v>
      </c>
      <c r="J105" s="964">
        <v>265959</v>
      </c>
      <c r="K105" s="964"/>
      <c r="L105" s="964"/>
      <c r="M105" s="964"/>
      <c r="N105" s="964">
        <v>40570.019999999997</v>
      </c>
      <c r="O105" s="964">
        <f t="shared" si="40"/>
        <v>225388.98</v>
      </c>
      <c r="P105" s="965">
        <f t="shared" si="43"/>
        <v>274</v>
      </c>
      <c r="Q105" s="966">
        <v>3</v>
      </c>
      <c r="R105" s="967">
        <f t="shared" si="44"/>
        <v>2.2493150684931509</v>
      </c>
      <c r="S105" s="968">
        <f t="shared" si="45"/>
        <v>56399</v>
      </c>
      <c r="T105" s="968">
        <f t="shared" si="46"/>
        <v>168989.98</v>
      </c>
      <c r="U105" s="969">
        <f t="shared" si="47"/>
        <v>225388.98</v>
      </c>
      <c r="V105" s="969">
        <f t="shared" si="48"/>
        <v>0</v>
      </c>
    </row>
    <row r="106" spans="1:22">
      <c r="A106" s="816"/>
      <c r="B106" s="828">
        <f t="shared" si="41"/>
        <v>102</v>
      </c>
      <c r="C106" s="979" t="s">
        <v>309</v>
      </c>
      <c r="D106" s="980" t="s">
        <v>3753</v>
      </c>
      <c r="E106" s="979" t="s">
        <v>3777</v>
      </c>
      <c r="F106" s="962">
        <v>45113</v>
      </c>
      <c r="G106" s="962">
        <v>45114</v>
      </c>
      <c r="H106" s="979" t="s">
        <v>406</v>
      </c>
      <c r="I106" s="962">
        <f t="shared" si="42"/>
        <v>45114</v>
      </c>
      <c r="J106" s="964">
        <v>1385162</v>
      </c>
      <c r="K106" s="964"/>
      <c r="L106" s="964"/>
      <c r="M106" s="964"/>
      <c r="N106" s="964">
        <v>211296</v>
      </c>
      <c r="O106" s="964">
        <f t="shared" si="40"/>
        <v>1173866</v>
      </c>
      <c r="P106" s="965">
        <f t="shared" si="43"/>
        <v>268</v>
      </c>
      <c r="Q106" s="966">
        <v>3</v>
      </c>
      <c r="R106" s="967">
        <f t="shared" si="44"/>
        <v>2.2657534246575342</v>
      </c>
      <c r="S106" s="968">
        <f t="shared" si="45"/>
        <v>287302</v>
      </c>
      <c r="T106" s="968">
        <f t="shared" si="46"/>
        <v>886564</v>
      </c>
      <c r="U106" s="969">
        <f t="shared" si="47"/>
        <v>1173866</v>
      </c>
      <c r="V106" s="969">
        <f t="shared" si="48"/>
        <v>0</v>
      </c>
    </row>
    <row r="107" spans="1:22">
      <c r="A107" s="816"/>
      <c r="B107" s="828">
        <f t="shared" si="41"/>
        <v>103</v>
      </c>
      <c r="C107" s="979" t="s">
        <v>309</v>
      </c>
      <c r="D107" s="980" t="s">
        <v>3753</v>
      </c>
      <c r="E107" s="979" t="s">
        <v>3778</v>
      </c>
      <c r="F107" s="962">
        <v>45115</v>
      </c>
      <c r="G107" s="962">
        <v>45116</v>
      </c>
      <c r="H107" s="979" t="s">
        <v>406</v>
      </c>
      <c r="I107" s="962">
        <f t="shared" si="42"/>
        <v>45116</v>
      </c>
      <c r="J107" s="964">
        <v>213582</v>
      </c>
      <c r="K107" s="964"/>
      <c r="L107" s="964"/>
      <c r="M107" s="964"/>
      <c r="N107" s="964">
        <v>32580</v>
      </c>
      <c r="O107" s="964">
        <f t="shared" si="40"/>
        <v>181002</v>
      </c>
      <c r="P107" s="965">
        <f t="shared" si="43"/>
        <v>266</v>
      </c>
      <c r="Q107" s="966">
        <v>3</v>
      </c>
      <c r="R107" s="967">
        <f t="shared" si="44"/>
        <v>2.2712328767123289</v>
      </c>
      <c r="S107" s="968">
        <f t="shared" si="45"/>
        <v>43969</v>
      </c>
      <c r="T107" s="968">
        <f t="shared" si="46"/>
        <v>137033</v>
      </c>
      <c r="U107" s="969">
        <f t="shared" si="47"/>
        <v>181002</v>
      </c>
      <c r="V107" s="969">
        <f t="shared" si="48"/>
        <v>0</v>
      </c>
    </row>
    <row r="108" spans="1:22">
      <c r="A108" s="816"/>
      <c r="B108" s="828">
        <f t="shared" si="41"/>
        <v>104</v>
      </c>
      <c r="C108" s="979" t="s">
        <v>62</v>
      </c>
      <c r="D108" s="980" t="s">
        <v>3753</v>
      </c>
      <c r="E108" s="979" t="s">
        <v>3779</v>
      </c>
      <c r="F108" s="962">
        <v>45027</v>
      </c>
      <c r="G108" s="962">
        <v>45027</v>
      </c>
      <c r="H108" s="979" t="s">
        <v>3756</v>
      </c>
      <c r="I108" s="962">
        <f t="shared" si="42"/>
        <v>45027</v>
      </c>
      <c r="J108" s="964">
        <v>241485</v>
      </c>
      <c r="K108" s="964"/>
      <c r="L108" s="964">
        <v>0</v>
      </c>
      <c r="M108" s="964"/>
      <c r="N108" s="964"/>
      <c r="O108" s="964">
        <f t="shared" si="40"/>
        <v>241485</v>
      </c>
      <c r="P108" s="965">
        <f t="shared" si="43"/>
        <v>355</v>
      </c>
      <c r="Q108" s="966">
        <v>9</v>
      </c>
      <c r="R108" s="967">
        <f t="shared" si="44"/>
        <v>8.0273972602739718</v>
      </c>
      <c r="S108" s="968">
        <f t="shared" si="45"/>
        <v>26097</v>
      </c>
      <c r="T108" s="968">
        <f t="shared" si="46"/>
        <v>215388</v>
      </c>
      <c r="U108" s="969">
        <f t="shared" si="47"/>
        <v>241485</v>
      </c>
      <c r="V108" s="969">
        <f t="shared" si="48"/>
        <v>0</v>
      </c>
    </row>
    <row r="109" spans="1:22">
      <c r="A109" s="816"/>
      <c r="B109" s="828">
        <f t="shared" si="41"/>
        <v>105</v>
      </c>
      <c r="C109" s="960" t="s">
        <v>62</v>
      </c>
      <c r="D109" s="960" t="s">
        <v>3753</v>
      </c>
      <c r="E109" s="960" t="s">
        <v>3780</v>
      </c>
      <c r="F109" s="961">
        <v>45027</v>
      </c>
      <c r="G109" s="961">
        <v>45027</v>
      </c>
      <c r="H109" s="960" t="s">
        <v>3756</v>
      </c>
      <c r="I109" s="962">
        <f t="shared" si="42"/>
        <v>45027</v>
      </c>
      <c r="J109" s="964">
        <v>241485</v>
      </c>
      <c r="K109" s="964"/>
      <c r="L109" s="964">
        <v>0</v>
      </c>
      <c r="M109" s="964"/>
      <c r="N109" s="964"/>
      <c r="O109" s="964">
        <f t="shared" si="40"/>
        <v>241485</v>
      </c>
      <c r="P109" s="965">
        <f t="shared" si="43"/>
        <v>355</v>
      </c>
      <c r="Q109" s="966">
        <v>9</v>
      </c>
      <c r="R109" s="967">
        <f t="shared" si="44"/>
        <v>8.0273972602739718</v>
      </c>
      <c r="S109" s="968">
        <f t="shared" si="45"/>
        <v>26097</v>
      </c>
      <c r="T109" s="968">
        <f t="shared" si="46"/>
        <v>215388</v>
      </c>
      <c r="U109" s="969">
        <f t="shared" si="47"/>
        <v>241485</v>
      </c>
      <c r="V109" s="969">
        <f t="shared" si="48"/>
        <v>0</v>
      </c>
    </row>
    <row r="110" spans="1:22">
      <c r="A110" s="816"/>
      <c r="B110" s="828">
        <f t="shared" si="41"/>
        <v>106</v>
      </c>
      <c r="C110" s="970" t="s">
        <v>3781</v>
      </c>
      <c r="D110" s="970" t="s">
        <v>3753</v>
      </c>
      <c r="E110" s="970" t="s">
        <v>3782</v>
      </c>
      <c r="F110" s="971">
        <v>45192</v>
      </c>
      <c r="G110" s="971">
        <v>45195</v>
      </c>
      <c r="H110" s="970" t="s">
        <v>764</v>
      </c>
      <c r="I110" s="962">
        <f t="shared" si="42"/>
        <v>45195</v>
      </c>
      <c r="J110" s="973">
        <v>1310980</v>
      </c>
      <c r="K110" s="973"/>
      <c r="L110" s="973">
        <v>98850</v>
      </c>
      <c r="M110" s="973">
        <v>12980</v>
      </c>
      <c r="N110" s="973">
        <v>198000</v>
      </c>
      <c r="O110" s="964">
        <f t="shared" si="40"/>
        <v>1198850</v>
      </c>
      <c r="P110" s="965">
        <f t="shared" si="43"/>
        <v>187</v>
      </c>
      <c r="Q110" s="974">
        <v>9</v>
      </c>
      <c r="R110" s="975">
        <f t="shared" si="44"/>
        <v>8.4876712328767123</v>
      </c>
      <c r="S110" s="968">
        <f t="shared" si="45"/>
        <v>68245</v>
      </c>
      <c r="T110" s="968">
        <f t="shared" si="46"/>
        <v>1130605</v>
      </c>
      <c r="U110" s="969">
        <f t="shared" si="47"/>
        <v>1198850</v>
      </c>
      <c r="V110" s="969">
        <f t="shared" si="48"/>
        <v>0</v>
      </c>
    </row>
    <row r="111" spans="1:22">
      <c r="A111" s="816"/>
      <c r="B111" s="828">
        <f t="shared" si="41"/>
        <v>107</v>
      </c>
      <c r="C111" s="979" t="s">
        <v>3781</v>
      </c>
      <c r="D111" s="980" t="s">
        <v>3753</v>
      </c>
      <c r="E111" s="979" t="s">
        <v>3783</v>
      </c>
      <c r="F111" s="962">
        <v>45192</v>
      </c>
      <c r="G111" s="962">
        <v>45195</v>
      </c>
      <c r="H111" s="979" t="s">
        <v>764</v>
      </c>
      <c r="I111" s="962">
        <f t="shared" si="42"/>
        <v>45195</v>
      </c>
      <c r="J111" s="964">
        <v>1310980</v>
      </c>
      <c r="K111" s="964"/>
      <c r="L111" s="973">
        <v>98850</v>
      </c>
      <c r="M111" s="964">
        <v>12980</v>
      </c>
      <c r="N111" s="964">
        <v>198000</v>
      </c>
      <c r="O111" s="964">
        <f t="shared" si="40"/>
        <v>1198850</v>
      </c>
      <c r="P111" s="965">
        <f t="shared" si="43"/>
        <v>187</v>
      </c>
      <c r="Q111" s="966">
        <v>9</v>
      </c>
      <c r="R111" s="967">
        <f t="shared" si="44"/>
        <v>8.4876712328767123</v>
      </c>
      <c r="S111" s="968">
        <f t="shared" si="45"/>
        <v>68245</v>
      </c>
      <c r="T111" s="968">
        <f t="shared" si="46"/>
        <v>1130605</v>
      </c>
      <c r="U111" s="969">
        <f t="shared" si="47"/>
        <v>1198850</v>
      </c>
      <c r="V111" s="969">
        <f t="shared" si="48"/>
        <v>0</v>
      </c>
    </row>
    <row r="112" spans="1:22">
      <c r="A112" s="816"/>
      <c r="B112" s="828">
        <f t="shared" si="41"/>
        <v>108</v>
      </c>
      <c r="C112" s="970" t="s">
        <v>3735</v>
      </c>
      <c r="D112" s="970" t="s">
        <v>3753</v>
      </c>
      <c r="E112" s="970">
        <v>1722</v>
      </c>
      <c r="F112" s="971">
        <v>45245</v>
      </c>
      <c r="G112" s="971">
        <v>45257</v>
      </c>
      <c r="H112" s="970" t="s">
        <v>765</v>
      </c>
      <c r="I112" s="962">
        <f t="shared" si="42"/>
        <v>45257</v>
      </c>
      <c r="J112" s="973">
        <v>64829</v>
      </c>
      <c r="K112" s="973"/>
      <c r="L112" s="973"/>
      <c r="M112" s="973"/>
      <c r="N112" s="973">
        <v>9889</v>
      </c>
      <c r="O112" s="964">
        <f t="shared" si="40"/>
        <v>54940</v>
      </c>
      <c r="P112" s="965">
        <f t="shared" si="43"/>
        <v>125</v>
      </c>
      <c r="Q112" s="974">
        <v>3</v>
      </c>
      <c r="R112" s="975">
        <f t="shared" si="44"/>
        <v>2.6575342465753424</v>
      </c>
      <c r="S112" s="968">
        <f t="shared" si="45"/>
        <v>6272</v>
      </c>
      <c r="T112" s="968">
        <f t="shared" si="46"/>
        <v>48668</v>
      </c>
      <c r="U112" s="969">
        <f t="shared" si="47"/>
        <v>0</v>
      </c>
      <c r="V112" s="969">
        <f t="shared" si="48"/>
        <v>54940</v>
      </c>
    </row>
    <row r="113" spans="1:22">
      <c r="A113" s="816"/>
      <c r="B113" s="828">
        <f t="shared" si="41"/>
        <v>109</v>
      </c>
      <c r="C113" s="960" t="s">
        <v>71</v>
      </c>
      <c r="D113" s="960" t="s">
        <v>3753</v>
      </c>
      <c r="E113" s="960" t="s">
        <v>3784</v>
      </c>
      <c r="F113" s="961">
        <v>45040</v>
      </c>
      <c r="G113" s="961">
        <v>45040</v>
      </c>
      <c r="H113" s="960" t="s">
        <v>766</v>
      </c>
      <c r="I113" s="962">
        <f t="shared" si="42"/>
        <v>45040</v>
      </c>
      <c r="J113" s="964">
        <f>4580000-156250</f>
        <v>4423750</v>
      </c>
      <c r="K113" s="964">
        <f>156250*0</f>
        <v>0</v>
      </c>
      <c r="L113" s="964">
        <v>0</v>
      </c>
      <c r="M113" s="964">
        <v>45347</v>
      </c>
      <c r="N113" s="964">
        <v>991956</v>
      </c>
      <c r="O113" s="964">
        <f>+J113+L113-(K113+M113+N113)</f>
        <v>3386447</v>
      </c>
      <c r="P113" s="965">
        <f t="shared" si="43"/>
        <v>342</v>
      </c>
      <c r="Q113" s="966">
        <v>9</v>
      </c>
      <c r="R113" s="967">
        <f t="shared" si="44"/>
        <v>8.0630136986301366</v>
      </c>
      <c r="S113" s="968">
        <f t="shared" si="45"/>
        <v>352562</v>
      </c>
      <c r="T113" s="968">
        <f t="shared" si="46"/>
        <v>3033885</v>
      </c>
      <c r="U113" s="969">
        <f t="shared" si="47"/>
        <v>3386447</v>
      </c>
      <c r="V113" s="969">
        <f t="shared" si="48"/>
        <v>0</v>
      </c>
    </row>
    <row r="114" spans="1:22">
      <c r="A114" s="816"/>
      <c r="B114" s="828">
        <f t="shared" si="41"/>
        <v>110</v>
      </c>
      <c r="C114" s="960" t="s">
        <v>71</v>
      </c>
      <c r="D114" s="960" t="s">
        <v>3753</v>
      </c>
      <c r="E114" s="960" t="s">
        <v>3785</v>
      </c>
      <c r="F114" s="961">
        <v>45040</v>
      </c>
      <c r="G114" s="961">
        <v>45040</v>
      </c>
      <c r="H114" s="960" t="s">
        <v>766</v>
      </c>
      <c r="I114" s="962">
        <f t="shared" si="42"/>
        <v>45040</v>
      </c>
      <c r="J114" s="964">
        <f t="shared" ref="J114:J124" si="51">4580000-156250</f>
        <v>4423750</v>
      </c>
      <c r="K114" s="964">
        <f t="shared" ref="K114:K134" si="52">156250*0</f>
        <v>0</v>
      </c>
      <c r="L114" s="964"/>
      <c r="M114" s="964">
        <v>45347</v>
      </c>
      <c r="N114" s="964">
        <v>991956</v>
      </c>
      <c r="O114" s="964">
        <f t="shared" si="40"/>
        <v>3386447</v>
      </c>
      <c r="P114" s="965">
        <f t="shared" si="43"/>
        <v>342</v>
      </c>
      <c r="Q114" s="966">
        <v>9</v>
      </c>
      <c r="R114" s="967">
        <f t="shared" si="44"/>
        <v>8.0630136986301366</v>
      </c>
      <c r="S114" s="968">
        <f t="shared" si="45"/>
        <v>352562</v>
      </c>
      <c r="T114" s="968">
        <f t="shared" si="46"/>
        <v>3033885</v>
      </c>
      <c r="U114" s="969">
        <f t="shared" si="47"/>
        <v>3386447</v>
      </c>
      <c r="V114" s="969">
        <f t="shared" si="48"/>
        <v>0</v>
      </c>
    </row>
    <row r="115" spans="1:22">
      <c r="A115" s="816"/>
      <c r="B115" s="828">
        <f t="shared" si="41"/>
        <v>111</v>
      </c>
      <c r="C115" s="960" t="s">
        <v>71</v>
      </c>
      <c r="D115" s="960" t="s">
        <v>3753</v>
      </c>
      <c r="E115" s="960" t="s">
        <v>3786</v>
      </c>
      <c r="F115" s="961">
        <v>45040</v>
      </c>
      <c r="G115" s="961">
        <v>45040</v>
      </c>
      <c r="H115" s="960" t="s">
        <v>766</v>
      </c>
      <c r="I115" s="962">
        <f t="shared" si="42"/>
        <v>45040</v>
      </c>
      <c r="J115" s="964">
        <f t="shared" si="51"/>
        <v>4423750</v>
      </c>
      <c r="K115" s="964">
        <f t="shared" si="52"/>
        <v>0</v>
      </c>
      <c r="L115" s="964"/>
      <c r="M115" s="964">
        <v>45347</v>
      </c>
      <c r="N115" s="964">
        <v>991956</v>
      </c>
      <c r="O115" s="964">
        <f t="shared" si="40"/>
        <v>3386447</v>
      </c>
      <c r="P115" s="965">
        <f t="shared" si="43"/>
        <v>342</v>
      </c>
      <c r="Q115" s="966">
        <v>9</v>
      </c>
      <c r="R115" s="967">
        <f t="shared" si="44"/>
        <v>8.0630136986301366</v>
      </c>
      <c r="S115" s="968">
        <f t="shared" si="45"/>
        <v>352562</v>
      </c>
      <c r="T115" s="968">
        <f t="shared" si="46"/>
        <v>3033885</v>
      </c>
      <c r="U115" s="969">
        <f t="shared" si="47"/>
        <v>3386447</v>
      </c>
      <c r="V115" s="969">
        <f t="shared" si="48"/>
        <v>0</v>
      </c>
    </row>
    <row r="116" spans="1:22">
      <c r="A116" s="816"/>
      <c r="B116" s="828">
        <f t="shared" si="41"/>
        <v>112</v>
      </c>
      <c r="C116" s="960" t="s">
        <v>71</v>
      </c>
      <c r="D116" s="960" t="s">
        <v>3753</v>
      </c>
      <c r="E116" s="960" t="s">
        <v>3787</v>
      </c>
      <c r="F116" s="961">
        <v>45040</v>
      </c>
      <c r="G116" s="961">
        <v>45040</v>
      </c>
      <c r="H116" s="960" t="s">
        <v>766</v>
      </c>
      <c r="I116" s="962">
        <f t="shared" si="42"/>
        <v>45040</v>
      </c>
      <c r="J116" s="964">
        <f t="shared" si="51"/>
        <v>4423750</v>
      </c>
      <c r="K116" s="964">
        <f t="shared" si="52"/>
        <v>0</v>
      </c>
      <c r="L116" s="964"/>
      <c r="M116" s="964">
        <v>45347</v>
      </c>
      <c r="N116" s="964">
        <v>991956</v>
      </c>
      <c r="O116" s="964">
        <f t="shared" si="40"/>
        <v>3386447</v>
      </c>
      <c r="P116" s="965">
        <f t="shared" si="43"/>
        <v>342</v>
      </c>
      <c r="Q116" s="966">
        <v>9</v>
      </c>
      <c r="R116" s="967">
        <f t="shared" si="44"/>
        <v>8.0630136986301366</v>
      </c>
      <c r="S116" s="968">
        <f t="shared" si="45"/>
        <v>352562</v>
      </c>
      <c r="T116" s="968">
        <f t="shared" si="46"/>
        <v>3033885</v>
      </c>
      <c r="U116" s="969">
        <f t="shared" si="47"/>
        <v>3386447</v>
      </c>
      <c r="V116" s="969">
        <f t="shared" si="48"/>
        <v>0</v>
      </c>
    </row>
    <row r="117" spans="1:22">
      <c r="A117" s="816"/>
      <c r="B117" s="828">
        <f t="shared" si="41"/>
        <v>113</v>
      </c>
      <c r="C117" s="960" t="s">
        <v>71</v>
      </c>
      <c r="D117" s="960" t="s">
        <v>3753</v>
      </c>
      <c r="E117" s="960" t="s">
        <v>3788</v>
      </c>
      <c r="F117" s="961">
        <v>45040</v>
      </c>
      <c r="G117" s="961">
        <v>45040</v>
      </c>
      <c r="H117" s="960" t="s">
        <v>766</v>
      </c>
      <c r="I117" s="962">
        <f t="shared" si="42"/>
        <v>45040</v>
      </c>
      <c r="J117" s="964">
        <f t="shared" si="51"/>
        <v>4423750</v>
      </c>
      <c r="K117" s="964">
        <f t="shared" si="52"/>
        <v>0</v>
      </c>
      <c r="L117" s="964"/>
      <c r="M117" s="964">
        <v>45347</v>
      </c>
      <c r="N117" s="964">
        <v>991956</v>
      </c>
      <c r="O117" s="964">
        <f t="shared" si="40"/>
        <v>3386447</v>
      </c>
      <c r="P117" s="965">
        <f t="shared" si="43"/>
        <v>342</v>
      </c>
      <c r="Q117" s="966">
        <v>9</v>
      </c>
      <c r="R117" s="967">
        <f t="shared" si="44"/>
        <v>8.0630136986301366</v>
      </c>
      <c r="S117" s="968">
        <f t="shared" si="45"/>
        <v>352562</v>
      </c>
      <c r="T117" s="968">
        <f t="shared" si="46"/>
        <v>3033885</v>
      </c>
      <c r="U117" s="969">
        <f t="shared" si="47"/>
        <v>3386447</v>
      </c>
      <c r="V117" s="969">
        <f t="shared" si="48"/>
        <v>0</v>
      </c>
    </row>
    <row r="118" spans="1:22">
      <c r="A118" s="816"/>
      <c r="B118" s="828">
        <f t="shared" si="41"/>
        <v>114</v>
      </c>
      <c r="C118" s="960" t="s">
        <v>71</v>
      </c>
      <c r="D118" s="960" t="s">
        <v>3753</v>
      </c>
      <c r="E118" s="960" t="s">
        <v>3789</v>
      </c>
      <c r="F118" s="961">
        <v>45040</v>
      </c>
      <c r="G118" s="961">
        <v>45040</v>
      </c>
      <c r="H118" s="960" t="s">
        <v>766</v>
      </c>
      <c r="I118" s="962">
        <f t="shared" si="42"/>
        <v>45040</v>
      </c>
      <c r="J118" s="964">
        <f t="shared" si="51"/>
        <v>4423750</v>
      </c>
      <c r="K118" s="964">
        <f t="shared" si="52"/>
        <v>0</v>
      </c>
      <c r="L118" s="964"/>
      <c r="M118" s="964">
        <v>45347</v>
      </c>
      <c r="N118" s="964">
        <v>991956</v>
      </c>
      <c r="O118" s="964">
        <f t="shared" si="40"/>
        <v>3386447</v>
      </c>
      <c r="P118" s="965">
        <f t="shared" si="43"/>
        <v>342</v>
      </c>
      <c r="Q118" s="966">
        <v>9</v>
      </c>
      <c r="R118" s="967">
        <f t="shared" si="44"/>
        <v>8.0630136986301366</v>
      </c>
      <c r="S118" s="968">
        <f t="shared" si="45"/>
        <v>352562</v>
      </c>
      <c r="T118" s="968">
        <f t="shared" si="46"/>
        <v>3033885</v>
      </c>
      <c r="U118" s="969">
        <f t="shared" si="47"/>
        <v>3386447</v>
      </c>
      <c r="V118" s="969">
        <f t="shared" si="48"/>
        <v>0</v>
      </c>
    </row>
    <row r="119" spans="1:22">
      <c r="A119" s="816"/>
      <c r="B119" s="828">
        <f t="shared" si="41"/>
        <v>115</v>
      </c>
      <c r="C119" s="970" t="s">
        <v>71</v>
      </c>
      <c r="D119" s="970" t="s">
        <v>3753</v>
      </c>
      <c r="E119" s="970" t="s">
        <v>3790</v>
      </c>
      <c r="F119" s="971">
        <v>45040</v>
      </c>
      <c r="G119" s="971">
        <v>45040</v>
      </c>
      <c r="H119" s="970" t="s">
        <v>766</v>
      </c>
      <c r="I119" s="962">
        <f t="shared" si="42"/>
        <v>45040</v>
      </c>
      <c r="J119" s="964">
        <f t="shared" si="51"/>
        <v>4423750</v>
      </c>
      <c r="K119" s="964">
        <f t="shared" si="52"/>
        <v>0</v>
      </c>
      <c r="L119" s="973"/>
      <c r="M119" s="973">
        <v>45347</v>
      </c>
      <c r="N119" s="973">
        <v>991956</v>
      </c>
      <c r="O119" s="964">
        <f t="shared" si="40"/>
        <v>3386447</v>
      </c>
      <c r="P119" s="965">
        <f t="shared" si="43"/>
        <v>342</v>
      </c>
      <c r="Q119" s="974">
        <v>9</v>
      </c>
      <c r="R119" s="975">
        <f t="shared" si="44"/>
        <v>8.0630136986301366</v>
      </c>
      <c r="S119" s="968">
        <f t="shared" si="45"/>
        <v>352562</v>
      </c>
      <c r="T119" s="968">
        <f t="shared" si="46"/>
        <v>3033885</v>
      </c>
      <c r="U119" s="969">
        <f t="shared" si="47"/>
        <v>3386447</v>
      </c>
      <c r="V119" s="969">
        <f t="shared" si="48"/>
        <v>0</v>
      </c>
    </row>
    <row r="120" spans="1:22">
      <c r="A120" s="816"/>
      <c r="B120" s="828">
        <f t="shared" si="41"/>
        <v>116</v>
      </c>
      <c r="C120" s="970" t="s">
        <v>71</v>
      </c>
      <c r="D120" s="970" t="s">
        <v>3753</v>
      </c>
      <c r="E120" s="970" t="s">
        <v>3791</v>
      </c>
      <c r="F120" s="971">
        <v>45040</v>
      </c>
      <c r="G120" s="971">
        <v>45040</v>
      </c>
      <c r="H120" s="970" t="s">
        <v>766</v>
      </c>
      <c r="I120" s="962">
        <f t="shared" si="42"/>
        <v>45040</v>
      </c>
      <c r="J120" s="964">
        <f t="shared" si="51"/>
        <v>4423750</v>
      </c>
      <c r="K120" s="964">
        <f t="shared" si="52"/>
        <v>0</v>
      </c>
      <c r="L120" s="973"/>
      <c r="M120" s="973">
        <v>45347</v>
      </c>
      <c r="N120" s="973">
        <v>991956</v>
      </c>
      <c r="O120" s="964">
        <f t="shared" si="40"/>
        <v>3386447</v>
      </c>
      <c r="P120" s="965">
        <f t="shared" si="43"/>
        <v>342</v>
      </c>
      <c r="Q120" s="974">
        <v>9</v>
      </c>
      <c r="R120" s="975">
        <f t="shared" si="44"/>
        <v>8.0630136986301366</v>
      </c>
      <c r="S120" s="968">
        <f t="shared" si="45"/>
        <v>352562</v>
      </c>
      <c r="T120" s="968">
        <f t="shared" si="46"/>
        <v>3033885</v>
      </c>
      <c r="U120" s="969">
        <f t="shared" si="47"/>
        <v>3386447</v>
      </c>
      <c r="V120" s="969">
        <f t="shared" si="48"/>
        <v>0</v>
      </c>
    </row>
    <row r="121" spans="1:22">
      <c r="A121" s="816"/>
      <c r="B121" s="828">
        <f t="shared" si="41"/>
        <v>117</v>
      </c>
      <c r="C121" s="970" t="s">
        <v>71</v>
      </c>
      <c r="D121" s="970" t="s">
        <v>3753</v>
      </c>
      <c r="E121" s="970" t="s">
        <v>3792</v>
      </c>
      <c r="F121" s="971">
        <v>45040</v>
      </c>
      <c r="G121" s="971">
        <v>45040</v>
      </c>
      <c r="H121" s="970" t="s">
        <v>766</v>
      </c>
      <c r="I121" s="962">
        <f t="shared" si="42"/>
        <v>45040</v>
      </c>
      <c r="J121" s="964">
        <f t="shared" si="51"/>
        <v>4423750</v>
      </c>
      <c r="K121" s="964">
        <f t="shared" si="52"/>
        <v>0</v>
      </c>
      <c r="L121" s="973"/>
      <c r="M121" s="973">
        <v>45347</v>
      </c>
      <c r="N121" s="973">
        <v>991956</v>
      </c>
      <c r="O121" s="964">
        <f t="shared" si="40"/>
        <v>3386447</v>
      </c>
      <c r="P121" s="965">
        <f t="shared" si="43"/>
        <v>342</v>
      </c>
      <c r="Q121" s="974">
        <v>9</v>
      </c>
      <c r="R121" s="975">
        <f t="shared" si="44"/>
        <v>8.0630136986301366</v>
      </c>
      <c r="S121" s="968">
        <f t="shared" si="45"/>
        <v>352562</v>
      </c>
      <c r="T121" s="968">
        <f t="shared" si="46"/>
        <v>3033885</v>
      </c>
      <c r="U121" s="969">
        <f t="shared" si="47"/>
        <v>3386447</v>
      </c>
      <c r="V121" s="969">
        <f t="shared" si="48"/>
        <v>0</v>
      </c>
    </row>
    <row r="122" spans="1:22">
      <c r="A122" s="816"/>
      <c r="B122" s="828">
        <f t="shared" si="41"/>
        <v>118</v>
      </c>
      <c r="C122" s="970" t="s">
        <v>71</v>
      </c>
      <c r="D122" s="970" t="s">
        <v>3753</v>
      </c>
      <c r="E122" s="970" t="s">
        <v>3793</v>
      </c>
      <c r="F122" s="971">
        <v>45040</v>
      </c>
      <c r="G122" s="971">
        <v>45040</v>
      </c>
      <c r="H122" s="970" t="s">
        <v>766</v>
      </c>
      <c r="I122" s="962">
        <f t="shared" si="42"/>
        <v>45040</v>
      </c>
      <c r="J122" s="964">
        <f t="shared" si="51"/>
        <v>4423750</v>
      </c>
      <c r="K122" s="964">
        <f t="shared" si="52"/>
        <v>0</v>
      </c>
      <c r="L122" s="973"/>
      <c r="M122" s="973">
        <v>45347</v>
      </c>
      <c r="N122" s="973">
        <v>991956</v>
      </c>
      <c r="O122" s="964">
        <f t="shared" si="40"/>
        <v>3386447</v>
      </c>
      <c r="P122" s="965">
        <f t="shared" si="43"/>
        <v>342</v>
      </c>
      <c r="Q122" s="974">
        <v>9</v>
      </c>
      <c r="R122" s="975">
        <f t="shared" si="44"/>
        <v>8.0630136986301366</v>
      </c>
      <c r="S122" s="968">
        <f t="shared" si="45"/>
        <v>352562</v>
      </c>
      <c r="T122" s="968">
        <f t="shared" si="46"/>
        <v>3033885</v>
      </c>
      <c r="U122" s="969">
        <f t="shared" si="47"/>
        <v>3386447</v>
      </c>
      <c r="V122" s="969">
        <f t="shared" si="48"/>
        <v>0</v>
      </c>
    </row>
    <row r="123" spans="1:22">
      <c r="A123" s="816"/>
      <c r="B123" s="828">
        <f t="shared" si="41"/>
        <v>119</v>
      </c>
      <c r="C123" s="970" t="s">
        <v>71</v>
      </c>
      <c r="D123" s="970" t="s">
        <v>3753</v>
      </c>
      <c r="E123" s="970" t="s">
        <v>3794</v>
      </c>
      <c r="F123" s="971">
        <v>45050</v>
      </c>
      <c r="G123" s="971">
        <v>45070</v>
      </c>
      <c r="H123" s="970" t="s">
        <v>766</v>
      </c>
      <c r="I123" s="962">
        <f t="shared" si="42"/>
        <v>45070</v>
      </c>
      <c r="J123" s="964">
        <f t="shared" si="51"/>
        <v>4423750</v>
      </c>
      <c r="K123" s="964">
        <f t="shared" si="52"/>
        <v>0</v>
      </c>
      <c r="L123" s="973"/>
      <c r="M123" s="973">
        <v>45347</v>
      </c>
      <c r="N123" s="973">
        <v>991956</v>
      </c>
      <c r="O123" s="964">
        <f t="shared" si="40"/>
        <v>3386447</v>
      </c>
      <c r="P123" s="965">
        <f t="shared" si="43"/>
        <v>312</v>
      </c>
      <c r="Q123" s="974">
        <v>9</v>
      </c>
      <c r="R123" s="975">
        <f t="shared" si="44"/>
        <v>8.1452054794520556</v>
      </c>
      <c r="S123" s="968">
        <f t="shared" si="45"/>
        <v>321635</v>
      </c>
      <c r="T123" s="968">
        <f t="shared" si="46"/>
        <v>3064812</v>
      </c>
      <c r="U123" s="969">
        <f t="shared" si="47"/>
        <v>3386447</v>
      </c>
      <c r="V123" s="969">
        <f t="shared" si="48"/>
        <v>0</v>
      </c>
    </row>
    <row r="124" spans="1:22">
      <c r="A124" s="816"/>
      <c r="B124" s="828">
        <f t="shared" si="41"/>
        <v>120</v>
      </c>
      <c r="C124" s="970" t="s">
        <v>71</v>
      </c>
      <c r="D124" s="970" t="s">
        <v>3753</v>
      </c>
      <c r="E124" s="970" t="s">
        <v>3795</v>
      </c>
      <c r="F124" s="971">
        <v>45050</v>
      </c>
      <c r="G124" s="971">
        <v>45070</v>
      </c>
      <c r="H124" s="970" t="s">
        <v>766</v>
      </c>
      <c r="I124" s="962">
        <f t="shared" si="42"/>
        <v>45070</v>
      </c>
      <c r="J124" s="964">
        <f t="shared" si="51"/>
        <v>4423750</v>
      </c>
      <c r="K124" s="964">
        <f t="shared" si="52"/>
        <v>0</v>
      </c>
      <c r="L124" s="973"/>
      <c r="M124" s="973">
        <v>45347</v>
      </c>
      <c r="N124" s="973">
        <v>991956</v>
      </c>
      <c r="O124" s="964">
        <f t="shared" si="40"/>
        <v>3386447</v>
      </c>
      <c r="P124" s="965">
        <f t="shared" si="43"/>
        <v>312</v>
      </c>
      <c r="Q124" s="974">
        <v>9</v>
      </c>
      <c r="R124" s="975">
        <f t="shared" si="44"/>
        <v>8.1452054794520556</v>
      </c>
      <c r="S124" s="968">
        <f t="shared" si="45"/>
        <v>321635</v>
      </c>
      <c r="T124" s="968">
        <f t="shared" si="46"/>
        <v>3064812</v>
      </c>
      <c r="U124" s="969">
        <f t="shared" si="47"/>
        <v>3386447</v>
      </c>
      <c r="V124" s="969">
        <f t="shared" si="48"/>
        <v>0</v>
      </c>
    </row>
    <row r="125" spans="1:22">
      <c r="A125" s="816"/>
      <c r="B125" s="828">
        <f t="shared" si="41"/>
        <v>121</v>
      </c>
      <c r="C125" s="970" t="s">
        <v>71</v>
      </c>
      <c r="D125" s="970" t="s">
        <v>3753</v>
      </c>
      <c r="E125" s="970" t="s">
        <v>3796</v>
      </c>
      <c r="F125" s="971">
        <v>45203</v>
      </c>
      <c r="G125" s="971">
        <v>45209</v>
      </c>
      <c r="H125" s="970" t="s">
        <v>766</v>
      </c>
      <c r="I125" s="962">
        <f t="shared" si="42"/>
        <v>45209</v>
      </c>
      <c r="J125" s="973">
        <f>4650000-156250</f>
        <v>4493750</v>
      </c>
      <c r="K125" s="964">
        <f t="shared" si="52"/>
        <v>0</v>
      </c>
      <c r="L125" s="973">
        <v>0</v>
      </c>
      <c r="M125" s="973">
        <v>46040</v>
      </c>
      <c r="N125" s="973">
        <v>1007116.32</v>
      </c>
      <c r="O125" s="964">
        <f t="shared" si="40"/>
        <v>3440593.68</v>
      </c>
      <c r="P125" s="965">
        <f t="shared" si="43"/>
        <v>173</v>
      </c>
      <c r="Q125" s="974">
        <v>3</v>
      </c>
      <c r="R125" s="975">
        <f t="shared" si="44"/>
        <v>2.526027397260274</v>
      </c>
      <c r="S125" s="968">
        <f t="shared" si="45"/>
        <v>543582</v>
      </c>
      <c r="T125" s="968">
        <f t="shared" si="46"/>
        <v>2897011.68</v>
      </c>
      <c r="U125" s="969">
        <f t="shared" si="47"/>
        <v>0</v>
      </c>
      <c r="V125" s="969">
        <f t="shared" si="48"/>
        <v>3440593.68</v>
      </c>
    </row>
    <row r="126" spans="1:22">
      <c r="A126" s="816"/>
      <c r="B126" s="828">
        <f t="shared" si="41"/>
        <v>122</v>
      </c>
      <c r="C126" s="970" t="s">
        <v>71</v>
      </c>
      <c r="D126" s="970" t="s">
        <v>3753</v>
      </c>
      <c r="E126" s="970" t="s">
        <v>3797</v>
      </c>
      <c r="F126" s="971">
        <v>45203</v>
      </c>
      <c r="G126" s="971">
        <v>45209</v>
      </c>
      <c r="H126" s="970" t="s">
        <v>766</v>
      </c>
      <c r="I126" s="962">
        <f t="shared" si="42"/>
        <v>45209</v>
      </c>
      <c r="J126" s="973">
        <f t="shared" ref="J126:J134" si="53">4650000-156250</f>
        <v>4493750</v>
      </c>
      <c r="K126" s="964">
        <f t="shared" si="52"/>
        <v>0</v>
      </c>
      <c r="L126" s="973"/>
      <c r="M126" s="973">
        <v>46040</v>
      </c>
      <c r="N126" s="973">
        <v>1007116.32</v>
      </c>
      <c r="O126" s="964">
        <f t="shared" si="40"/>
        <v>3440593.68</v>
      </c>
      <c r="P126" s="965">
        <f t="shared" si="43"/>
        <v>173</v>
      </c>
      <c r="Q126" s="974">
        <v>9</v>
      </c>
      <c r="R126" s="975">
        <f t="shared" si="44"/>
        <v>8.5260273972602736</v>
      </c>
      <c r="S126" s="968">
        <f t="shared" si="45"/>
        <v>181194</v>
      </c>
      <c r="T126" s="968">
        <f t="shared" si="46"/>
        <v>3259399.68</v>
      </c>
      <c r="U126" s="969">
        <f t="shared" si="47"/>
        <v>0</v>
      </c>
      <c r="V126" s="969">
        <f t="shared" si="48"/>
        <v>3440593.68</v>
      </c>
    </row>
    <row r="127" spans="1:22">
      <c r="A127" s="816"/>
      <c r="B127" s="828">
        <f t="shared" si="41"/>
        <v>123</v>
      </c>
      <c r="C127" s="970" t="s">
        <v>71</v>
      </c>
      <c r="D127" s="970" t="s">
        <v>3753</v>
      </c>
      <c r="E127" s="970" t="s">
        <v>3798</v>
      </c>
      <c r="F127" s="971">
        <v>45203</v>
      </c>
      <c r="G127" s="971">
        <v>45209</v>
      </c>
      <c r="H127" s="970" t="s">
        <v>766</v>
      </c>
      <c r="I127" s="962">
        <f t="shared" si="42"/>
        <v>45209</v>
      </c>
      <c r="J127" s="973">
        <f t="shared" si="53"/>
        <v>4493750</v>
      </c>
      <c r="K127" s="964">
        <f t="shared" si="52"/>
        <v>0</v>
      </c>
      <c r="L127" s="973"/>
      <c r="M127" s="973">
        <v>46040</v>
      </c>
      <c r="N127" s="973">
        <v>1007116.32</v>
      </c>
      <c r="O127" s="964">
        <f t="shared" si="40"/>
        <v>3440593.68</v>
      </c>
      <c r="P127" s="965">
        <f t="shared" si="43"/>
        <v>173</v>
      </c>
      <c r="Q127" s="974">
        <v>9</v>
      </c>
      <c r="R127" s="975">
        <f t="shared" si="44"/>
        <v>8.5260273972602736</v>
      </c>
      <c r="S127" s="968">
        <f t="shared" si="45"/>
        <v>181194</v>
      </c>
      <c r="T127" s="968">
        <f t="shared" si="46"/>
        <v>3259399.68</v>
      </c>
      <c r="U127" s="969">
        <f t="shared" si="47"/>
        <v>0</v>
      </c>
      <c r="V127" s="969">
        <f t="shared" si="48"/>
        <v>3440593.68</v>
      </c>
    </row>
    <row r="128" spans="1:22">
      <c r="A128" s="816"/>
      <c r="B128" s="828">
        <f t="shared" si="41"/>
        <v>124</v>
      </c>
      <c r="C128" s="970" t="s">
        <v>71</v>
      </c>
      <c r="D128" s="970" t="s">
        <v>3753</v>
      </c>
      <c r="E128" s="970" t="s">
        <v>3799</v>
      </c>
      <c r="F128" s="971">
        <v>45203</v>
      </c>
      <c r="G128" s="971">
        <v>45209</v>
      </c>
      <c r="H128" s="970" t="s">
        <v>766</v>
      </c>
      <c r="I128" s="962">
        <f t="shared" si="42"/>
        <v>45209</v>
      </c>
      <c r="J128" s="973">
        <f t="shared" si="53"/>
        <v>4493750</v>
      </c>
      <c r="K128" s="964">
        <f t="shared" si="52"/>
        <v>0</v>
      </c>
      <c r="L128" s="973"/>
      <c r="M128" s="973">
        <v>46040</v>
      </c>
      <c r="N128" s="973">
        <v>1007116.32</v>
      </c>
      <c r="O128" s="964">
        <f t="shared" si="40"/>
        <v>3440593.68</v>
      </c>
      <c r="P128" s="965">
        <f t="shared" si="43"/>
        <v>173</v>
      </c>
      <c r="Q128" s="974">
        <v>9</v>
      </c>
      <c r="R128" s="975">
        <f t="shared" si="44"/>
        <v>8.5260273972602736</v>
      </c>
      <c r="S128" s="968">
        <f t="shared" si="45"/>
        <v>181194</v>
      </c>
      <c r="T128" s="968">
        <f t="shared" si="46"/>
        <v>3259399.68</v>
      </c>
      <c r="U128" s="969">
        <f t="shared" si="47"/>
        <v>0</v>
      </c>
      <c r="V128" s="969">
        <f t="shared" si="48"/>
        <v>3440593.68</v>
      </c>
    </row>
    <row r="129" spans="1:22">
      <c r="A129" s="816"/>
      <c r="B129" s="828">
        <f t="shared" si="41"/>
        <v>125</v>
      </c>
      <c r="C129" s="970" t="s">
        <v>71</v>
      </c>
      <c r="D129" s="970" t="s">
        <v>3753</v>
      </c>
      <c r="E129" s="970" t="s">
        <v>3800</v>
      </c>
      <c r="F129" s="971">
        <v>45203</v>
      </c>
      <c r="G129" s="971">
        <v>45209</v>
      </c>
      <c r="H129" s="970" t="s">
        <v>766</v>
      </c>
      <c r="I129" s="962">
        <f t="shared" si="42"/>
        <v>45209</v>
      </c>
      <c r="J129" s="973">
        <f t="shared" si="53"/>
        <v>4493750</v>
      </c>
      <c r="K129" s="964">
        <f t="shared" si="52"/>
        <v>0</v>
      </c>
      <c r="L129" s="973"/>
      <c r="M129" s="973">
        <v>46040</v>
      </c>
      <c r="N129" s="973">
        <v>1007116.32</v>
      </c>
      <c r="O129" s="964">
        <f t="shared" si="40"/>
        <v>3440593.68</v>
      </c>
      <c r="P129" s="965">
        <f t="shared" si="43"/>
        <v>173</v>
      </c>
      <c r="Q129" s="974">
        <v>9</v>
      </c>
      <c r="R129" s="975">
        <f t="shared" si="44"/>
        <v>8.5260273972602736</v>
      </c>
      <c r="S129" s="968">
        <f t="shared" si="45"/>
        <v>181194</v>
      </c>
      <c r="T129" s="968">
        <f t="shared" si="46"/>
        <v>3259399.68</v>
      </c>
      <c r="U129" s="969">
        <f t="shared" si="47"/>
        <v>0</v>
      </c>
      <c r="V129" s="969">
        <f t="shared" si="48"/>
        <v>3440593.68</v>
      </c>
    </row>
    <row r="130" spans="1:22">
      <c r="A130" s="816"/>
      <c r="B130" s="828">
        <f t="shared" si="41"/>
        <v>126</v>
      </c>
      <c r="C130" s="970" t="s">
        <v>71</v>
      </c>
      <c r="D130" s="970" t="s">
        <v>3753</v>
      </c>
      <c r="E130" s="970" t="s">
        <v>3801</v>
      </c>
      <c r="F130" s="971">
        <v>45203</v>
      </c>
      <c r="G130" s="971">
        <v>45209</v>
      </c>
      <c r="H130" s="970" t="s">
        <v>766</v>
      </c>
      <c r="I130" s="962">
        <f t="shared" si="42"/>
        <v>45209</v>
      </c>
      <c r="J130" s="973">
        <f t="shared" si="53"/>
        <v>4493750</v>
      </c>
      <c r="K130" s="964">
        <f t="shared" si="52"/>
        <v>0</v>
      </c>
      <c r="L130" s="973"/>
      <c r="M130" s="973">
        <v>46040</v>
      </c>
      <c r="N130" s="973">
        <v>1007116.32</v>
      </c>
      <c r="O130" s="964">
        <f t="shared" si="40"/>
        <v>3440593.68</v>
      </c>
      <c r="P130" s="965">
        <f t="shared" si="43"/>
        <v>173</v>
      </c>
      <c r="Q130" s="974">
        <v>9</v>
      </c>
      <c r="R130" s="975">
        <f t="shared" si="44"/>
        <v>8.5260273972602736</v>
      </c>
      <c r="S130" s="968">
        <f t="shared" si="45"/>
        <v>181194</v>
      </c>
      <c r="T130" s="968">
        <f t="shared" si="46"/>
        <v>3259399.68</v>
      </c>
      <c r="U130" s="969">
        <f t="shared" si="47"/>
        <v>0</v>
      </c>
      <c r="V130" s="969">
        <f t="shared" si="48"/>
        <v>3440593.68</v>
      </c>
    </row>
    <row r="131" spans="1:22">
      <c r="A131" s="816"/>
      <c r="B131" s="828">
        <f t="shared" si="41"/>
        <v>127</v>
      </c>
      <c r="C131" s="970" t="s">
        <v>71</v>
      </c>
      <c r="D131" s="970" t="s">
        <v>3753</v>
      </c>
      <c r="E131" s="970" t="s">
        <v>3802</v>
      </c>
      <c r="F131" s="971">
        <v>45203</v>
      </c>
      <c r="G131" s="971">
        <v>45209</v>
      </c>
      <c r="H131" s="970" t="s">
        <v>766</v>
      </c>
      <c r="I131" s="962">
        <f t="shared" si="42"/>
        <v>45209</v>
      </c>
      <c r="J131" s="973">
        <f t="shared" si="53"/>
        <v>4493750</v>
      </c>
      <c r="K131" s="964">
        <f t="shared" si="52"/>
        <v>0</v>
      </c>
      <c r="L131" s="973"/>
      <c r="M131" s="973">
        <v>46040</v>
      </c>
      <c r="N131" s="973">
        <v>1007116.32</v>
      </c>
      <c r="O131" s="964">
        <f t="shared" si="40"/>
        <v>3440593.68</v>
      </c>
      <c r="P131" s="965">
        <f t="shared" si="43"/>
        <v>173</v>
      </c>
      <c r="Q131" s="974">
        <v>9</v>
      </c>
      <c r="R131" s="975">
        <f t="shared" si="44"/>
        <v>8.5260273972602736</v>
      </c>
      <c r="S131" s="968">
        <f t="shared" si="45"/>
        <v>181194</v>
      </c>
      <c r="T131" s="968">
        <f t="shared" si="46"/>
        <v>3259399.68</v>
      </c>
      <c r="U131" s="969">
        <f t="shared" si="47"/>
        <v>0</v>
      </c>
      <c r="V131" s="969">
        <f t="shared" si="48"/>
        <v>3440593.68</v>
      </c>
    </row>
    <row r="132" spans="1:22">
      <c r="A132" s="816"/>
      <c r="B132" s="828">
        <f t="shared" si="41"/>
        <v>128</v>
      </c>
      <c r="C132" s="970" t="s">
        <v>71</v>
      </c>
      <c r="D132" s="970" t="s">
        <v>3753</v>
      </c>
      <c r="E132" s="970" t="s">
        <v>3803</v>
      </c>
      <c r="F132" s="971">
        <v>45203</v>
      </c>
      <c r="G132" s="971">
        <v>45209</v>
      </c>
      <c r="H132" s="970" t="s">
        <v>766</v>
      </c>
      <c r="I132" s="962">
        <f t="shared" si="42"/>
        <v>45209</v>
      </c>
      <c r="J132" s="973">
        <f t="shared" si="53"/>
        <v>4493750</v>
      </c>
      <c r="K132" s="964">
        <f t="shared" si="52"/>
        <v>0</v>
      </c>
      <c r="L132" s="973"/>
      <c r="M132" s="973">
        <v>46040</v>
      </c>
      <c r="N132" s="973">
        <v>1007116.32</v>
      </c>
      <c r="O132" s="964">
        <f t="shared" si="40"/>
        <v>3440593.68</v>
      </c>
      <c r="P132" s="965">
        <f t="shared" si="43"/>
        <v>173</v>
      </c>
      <c r="Q132" s="974">
        <v>3</v>
      </c>
      <c r="R132" s="975">
        <f t="shared" si="44"/>
        <v>2.526027397260274</v>
      </c>
      <c r="S132" s="968">
        <f t="shared" si="45"/>
        <v>543582</v>
      </c>
      <c r="T132" s="968">
        <f t="shared" si="46"/>
        <v>2897011.68</v>
      </c>
      <c r="U132" s="969">
        <f t="shared" si="47"/>
        <v>0</v>
      </c>
      <c r="V132" s="969">
        <f t="shared" si="48"/>
        <v>3440593.68</v>
      </c>
    </row>
    <row r="133" spans="1:22">
      <c r="A133" s="816"/>
      <c r="B133" s="828">
        <f t="shared" si="41"/>
        <v>129</v>
      </c>
      <c r="C133" s="970" t="s">
        <v>71</v>
      </c>
      <c r="D133" s="970" t="s">
        <v>3753</v>
      </c>
      <c r="E133" s="970" t="s">
        <v>3804</v>
      </c>
      <c r="F133" s="971">
        <v>45203</v>
      </c>
      <c r="G133" s="971">
        <v>45209</v>
      </c>
      <c r="H133" s="970" t="s">
        <v>766</v>
      </c>
      <c r="I133" s="962">
        <f t="shared" si="42"/>
        <v>45209</v>
      </c>
      <c r="J133" s="973">
        <f t="shared" si="53"/>
        <v>4493750</v>
      </c>
      <c r="K133" s="964">
        <f t="shared" si="52"/>
        <v>0</v>
      </c>
      <c r="L133" s="973"/>
      <c r="M133" s="973">
        <v>46040</v>
      </c>
      <c r="N133" s="973">
        <v>1007116.32</v>
      </c>
      <c r="O133" s="964">
        <f t="shared" si="40"/>
        <v>3440593.68</v>
      </c>
      <c r="P133" s="965">
        <f t="shared" si="43"/>
        <v>173</v>
      </c>
      <c r="Q133" s="974">
        <v>9</v>
      </c>
      <c r="R133" s="975">
        <f t="shared" si="44"/>
        <v>8.5260273972602736</v>
      </c>
      <c r="S133" s="968">
        <f t="shared" si="45"/>
        <v>181194</v>
      </c>
      <c r="T133" s="968">
        <f t="shared" si="46"/>
        <v>3259399.68</v>
      </c>
      <c r="U133" s="969">
        <f t="shared" si="47"/>
        <v>0</v>
      </c>
      <c r="V133" s="969">
        <f t="shared" si="48"/>
        <v>3440593.68</v>
      </c>
    </row>
    <row r="134" spans="1:22">
      <c r="A134" s="816"/>
      <c r="B134" s="828">
        <f t="shared" si="41"/>
        <v>130</v>
      </c>
      <c r="C134" s="970" t="s">
        <v>71</v>
      </c>
      <c r="D134" s="970" t="s">
        <v>3753</v>
      </c>
      <c r="E134" s="970" t="s">
        <v>3805</v>
      </c>
      <c r="F134" s="971">
        <v>45210</v>
      </c>
      <c r="G134" s="971">
        <v>45225</v>
      </c>
      <c r="H134" s="970" t="s">
        <v>766</v>
      </c>
      <c r="I134" s="962">
        <f t="shared" si="42"/>
        <v>45225</v>
      </c>
      <c r="J134" s="973">
        <f t="shared" si="53"/>
        <v>4493750</v>
      </c>
      <c r="K134" s="964">
        <f t="shared" si="52"/>
        <v>0</v>
      </c>
      <c r="L134" s="973"/>
      <c r="M134" s="973">
        <v>46040</v>
      </c>
      <c r="N134" s="973">
        <v>1007116.32</v>
      </c>
      <c r="O134" s="964">
        <f t="shared" ref="O134:O197" si="54">+J134+L134-(K134+M134+N134)</f>
        <v>3440593.68</v>
      </c>
      <c r="P134" s="965">
        <f t="shared" si="43"/>
        <v>157</v>
      </c>
      <c r="Q134" s="974">
        <v>9</v>
      </c>
      <c r="R134" s="975">
        <f t="shared" si="44"/>
        <v>8.5698630136986296</v>
      </c>
      <c r="S134" s="968">
        <f t="shared" si="45"/>
        <v>164436</v>
      </c>
      <c r="T134" s="968">
        <f t="shared" si="46"/>
        <v>3276157.68</v>
      </c>
      <c r="U134" s="969">
        <f t="shared" si="47"/>
        <v>0</v>
      </c>
      <c r="V134" s="969">
        <f t="shared" si="48"/>
        <v>3440593.68</v>
      </c>
    </row>
    <row r="135" spans="1:22">
      <c r="A135" s="816"/>
      <c r="B135" s="828">
        <f t="shared" si="41"/>
        <v>131</v>
      </c>
      <c r="C135" s="970" t="s">
        <v>3806</v>
      </c>
      <c r="D135" s="970" t="s">
        <v>3753</v>
      </c>
      <c r="E135" s="970" t="s">
        <v>3807</v>
      </c>
      <c r="F135" s="971">
        <v>45232</v>
      </c>
      <c r="G135" s="971">
        <v>45244</v>
      </c>
      <c r="H135" s="970" t="s">
        <v>3808</v>
      </c>
      <c r="I135" s="962">
        <f t="shared" si="42"/>
        <v>45244</v>
      </c>
      <c r="J135" s="973">
        <f>5839820</f>
        <v>5839820</v>
      </c>
      <c r="K135" s="973">
        <v>0</v>
      </c>
      <c r="L135" s="973"/>
      <c r="M135" s="973">
        <v>57820</v>
      </c>
      <c r="N135" s="973">
        <v>882000</v>
      </c>
      <c r="O135" s="964">
        <f t="shared" si="54"/>
        <v>4900000</v>
      </c>
      <c r="P135" s="965">
        <f t="shared" si="43"/>
        <v>138</v>
      </c>
      <c r="Q135" s="974">
        <v>9</v>
      </c>
      <c r="R135" s="975">
        <f t="shared" si="44"/>
        <v>8.6219178082191785</v>
      </c>
      <c r="S135" s="968">
        <f t="shared" si="45"/>
        <v>205845</v>
      </c>
      <c r="T135" s="968">
        <f t="shared" si="46"/>
        <v>4694155</v>
      </c>
      <c r="U135" s="969">
        <f t="shared" si="47"/>
        <v>0</v>
      </c>
      <c r="V135" s="969">
        <f t="shared" si="48"/>
        <v>4900000</v>
      </c>
    </row>
    <row r="136" spans="1:22">
      <c r="A136" s="816"/>
      <c r="B136" s="828">
        <f t="shared" ref="B136:B199" si="55">+B135+1</f>
        <v>132</v>
      </c>
      <c r="C136" s="960" t="s">
        <v>585</v>
      </c>
      <c r="D136" s="960" t="s">
        <v>3753</v>
      </c>
      <c r="E136" s="960" t="s">
        <v>3809</v>
      </c>
      <c r="F136" s="961">
        <v>45033</v>
      </c>
      <c r="G136" s="961">
        <v>45064</v>
      </c>
      <c r="H136" s="960" t="s">
        <v>3420</v>
      </c>
      <c r="I136" s="962">
        <f t="shared" si="42"/>
        <v>45064</v>
      </c>
      <c r="J136" s="963">
        <v>5060422</v>
      </c>
      <c r="K136" s="963"/>
      <c r="L136" s="964">
        <v>379540</v>
      </c>
      <c r="M136" s="964">
        <v>50103</v>
      </c>
      <c r="N136" s="964">
        <v>764286</v>
      </c>
      <c r="O136" s="964">
        <f t="shared" si="54"/>
        <v>4625573</v>
      </c>
      <c r="P136" s="965">
        <f t="shared" si="43"/>
        <v>318</v>
      </c>
      <c r="Q136" s="966">
        <v>9</v>
      </c>
      <c r="R136" s="967">
        <f t="shared" si="44"/>
        <v>8.1287671232876715</v>
      </c>
      <c r="S136" s="968">
        <f t="shared" si="45"/>
        <v>447772</v>
      </c>
      <c r="T136" s="968">
        <f t="shared" si="46"/>
        <v>4177801</v>
      </c>
      <c r="U136" s="969">
        <f t="shared" si="47"/>
        <v>4625573</v>
      </c>
      <c r="V136" s="969">
        <f t="shared" si="48"/>
        <v>0</v>
      </c>
    </row>
    <row r="137" spans="1:22">
      <c r="A137" s="816"/>
      <c r="B137" s="828">
        <f t="shared" si="55"/>
        <v>133</v>
      </c>
      <c r="C137" s="970" t="s">
        <v>585</v>
      </c>
      <c r="D137" s="983" t="s">
        <v>3753</v>
      </c>
      <c r="E137" s="970" t="s">
        <v>3810</v>
      </c>
      <c r="F137" s="971">
        <v>45033</v>
      </c>
      <c r="G137" s="971">
        <v>45064</v>
      </c>
      <c r="H137" s="970" t="s">
        <v>3420</v>
      </c>
      <c r="I137" s="962">
        <f t="shared" si="42"/>
        <v>45064</v>
      </c>
      <c r="J137" s="973">
        <v>5060422</v>
      </c>
      <c r="K137" s="973"/>
      <c r="L137" s="973">
        <v>379540</v>
      </c>
      <c r="M137" s="973">
        <v>50103</v>
      </c>
      <c r="N137" s="973">
        <v>764286</v>
      </c>
      <c r="O137" s="964">
        <f t="shared" si="54"/>
        <v>4625573</v>
      </c>
      <c r="P137" s="965">
        <f t="shared" si="43"/>
        <v>318</v>
      </c>
      <c r="Q137" s="974">
        <v>9</v>
      </c>
      <c r="R137" s="975">
        <f t="shared" si="44"/>
        <v>8.1287671232876715</v>
      </c>
      <c r="S137" s="968">
        <f t="shared" si="45"/>
        <v>447772</v>
      </c>
      <c r="T137" s="968">
        <f t="shared" si="46"/>
        <v>4177801</v>
      </c>
      <c r="U137" s="969">
        <f t="shared" si="47"/>
        <v>4625573</v>
      </c>
      <c r="V137" s="969">
        <f t="shared" si="48"/>
        <v>0</v>
      </c>
    </row>
    <row r="138" spans="1:22">
      <c r="A138" s="816"/>
      <c r="B138" s="828">
        <f t="shared" si="55"/>
        <v>134</v>
      </c>
      <c r="C138" s="970" t="s">
        <v>582</v>
      </c>
      <c r="D138" s="983" t="s">
        <v>3753</v>
      </c>
      <c r="E138" s="970" t="s">
        <v>4214</v>
      </c>
      <c r="F138" s="971">
        <v>45358</v>
      </c>
      <c r="G138" s="971">
        <v>45370</v>
      </c>
      <c r="H138" s="970" t="s">
        <v>4215</v>
      </c>
      <c r="I138" s="962">
        <f t="shared" si="42"/>
        <v>45370</v>
      </c>
      <c r="J138" s="973">
        <f>593600/2</f>
        <v>296800</v>
      </c>
      <c r="K138" s="973"/>
      <c r="L138" s="973"/>
      <c r="M138" s="973"/>
      <c r="N138" s="973">
        <f>J138*0.12/1.12</f>
        <v>31799.999999999996</v>
      </c>
      <c r="O138" s="964">
        <f t="shared" si="54"/>
        <v>265000</v>
      </c>
      <c r="P138" s="965">
        <f t="shared" si="43"/>
        <v>12</v>
      </c>
      <c r="Q138" s="974">
        <v>9</v>
      </c>
      <c r="R138" s="975">
        <f t="shared" ref="R138" si="56">+Q138-(P138/365)</f>
        <v>8.9671232876712335</v>
      </c>
      <c r="S138" s="968">
        <f t="shared" ref="S138" si="57">ROUND(+O138/(Q138*365)*P138,0)</f>
        <v>968</v>
      </c>
      <c r="T138" s="968">
        <f t="shared" ref="T138" si="58">+O138-S138</f>
        <v>264032</v>
      </c>
      <c r="U138" s="969">
        <f t="shared" ref="U138" si="59">IF(I138&lt;=DATE(2023,9,30),O138,0)</f>
        <v>0</v>
      </c>
      <c r="V138" s="969">
        <f t="shared" ref="V138" si="60">IF(I138&gt;DATE(2023,10,1),O138,0)</f>
        <v>265000</v>
      </c>
    </row>
    <row r="139" spans="1:22">
      <c r="A139" s="816"/>
      <c r="B139" s="828">
        <f t="shared" si="55"/>
        <v>135</v>
      </c>
      <c r="C139" s="970" t="s">
        <v>582</v>
      </c>
      <c r="D139" s="983" t="s">
        <v>3753</v>
      </c>
      <c r="E139" s="970" t="s">
        <v>4241</v>
      </c>
      <c r="F139" s="971">
        <v>45358</v>
      </c>
      <c r="G139" s="971">
        <v>45370</v>
      </c>
      <c r="H139" s="970" t="s">
        <v>4215</v>
      </c>
      <c r="I139" s="962">
        <f t="shared" si="42"/>
        <v>45370</v>
      </c>
      <c r="J139" s="973">
        <f>593600/2</f>
        <v>296800</v>
      </c>
      <c r="K139" s="973"/>
      <c r="L139" s="973"/>
      <c r="M139" s="973"/>
      <c r="N139" s="973">
        <f>J139*0.12/1.12</f>
        <v>31799.999999999996</v>
      </c>
      <c r="O139" s="964">
        <f t="shared" si="54"/>
        <v>265000</v>
      </c>
      <c r="P139" s="965">
        <f t="shared" si="43"/>
        <v>12</v>
      </c>
      <c r="Q139" s="974">
        <v>9</v>
      </c>
      <c r="R139" s="975">
        <f t="shared" ref="R139" si="61">+Q139-(P139/365)</f>
        <v>8.9671232876712335</v>
      </c>
      <c r="S139" s="968">
        <f t="shared" ref="S139" si="62">ROUND(+O139/(Q139*365)*P139,0)</f>
        <v>968</v>
      </c>
      <c r="T139" s="968">
        <f t="shared" ref="T139" si="63">+O139-S139</f>
        <v>264032</v>
      </c>
      <c r="U139" s="969">
        <f t="shared" ref="U139" si="64">IF(I139&lt;=DATE(2023,9,30),O139,0)</f>
        <v>0</v>
      </c>
      <c r="V139" s="969">
        <f t="shared" ref="V139" si="65">IF(I139&gt;DATE(2023,10,1),O139,0)</f>
        <v>265000</v>
      </c>
    </row>
    <row r="140" spans="1:22">
      <c r="A140" s="816"/>
      <c r="B140" s="828">
        <f t="shared" si="55"/>
        <v>136</v>
      </c>
      <c r="C140" s="960" t="s">
        <v>3340</v>
      </c>
      <c r="D140" s="960" t="s">
        <v>3811</v>
      </c>
      <c r="E140" s="960" t="s">
        <v>3812</v>
      </c>
      <c r="F140" s="961">
        <v>45318</v>
      </c>
      <c r="G140" s="961">
        <v>45320</v>
      </c>
      <c r="H140" s="960" t="s">
        <v>3813</v>
      </c>
      <c r="I140" s="962">
        <f t="shared" si="42"/>
        <v>45320</v>
      </c>
      <c r="J140" s="963">
        <v>976141.6</v>
      </c>
      <c r="K140" s="963"/>
      <c r="L140" s="964"/>
      <c r="M140" s="964"/>
      <c r="N140" s="964">
        <v>148902.96</v>
      </c>
      <c r="O140" s="964">
        <f t="shared" si="54"/>
        <v>827238.64</v>
      </c>
      <c r="P140" s="965">
        <f t="shared" si="43"/>
        <v>62</v>
      </c>
      <c r="Q140" s="966">
        <v>3</v>
      </c>
      <c r="R140" s="967">
        <f t="shared" si="44"/>
        <v>2.8301369863013699</v>
      </c>
      <c r="S140" s="968">
        <f t="shared" si="45"/>
        <v>46839</v>
      </c>
      <c r="T140" s="968">
        <f t="shared" si="46"/>
        <v>780399.64</v>
      </c>
      <c r="U140" s="969">
        <f t="shared" si="47"/>
        <v>0</v>
      </c>
      <c r="V140" s="969">
        <f t="shared" si="48"/>
        <v>827238.64</v>
      </c>
    </row>
    <row r="141" spans="1:22">
      <c r="A141" s="816"/>
      <c r="B141" s="828">
        <f t="shared" si="55"/>
        <v>137</v>
      </c>
      <c r="C141" s="970" t="s">
        <v>309</v>
      </c>
      <c r="D141" s="983" t="s">
        <v>3811</v>
      </c>
      <c r="E141" s="970" t="s">
        <v>3814</v>
      </c>
      <c r="F141" s="971">
        <v>45166</v>
      </c>
      <c r="G141" s="971">
        <v>45170</v>
      </c>
      <c r="H141" s="970" t="s">
        <v>406</v>
      </c>
      <c r="I141" s="962">
        <f t="shared" si="42"/>
        <v>45170</v>
      </c>
      <c r="J141" s="973">
        <v>891643</v>
      </c>
      <c r="K141" s="973"/>
      <c r="L141" s="973"/>
      <c r="M141" s="973"/>
      <c r="N141" s="973">
        <v>136013.31</v>
      </c>
      <c r="O141" s="964">
        <f t="shared" si="54"/>
        <v>755629.69</v>
      </c>
      <c r="P141" s="965">
        <f t="shared" si="43"/>
        <v>212</v>
      </c>
      <c r="Q141" s="974">
        <v>3</v>
      </c>
      <c r="R141" s="975">
        <f t="shared" si="44"/>
        <v>2.419178082191781</v>
      </c>
      <c r="S141" s="968">
        <f t="shared" si="45"/>
        <v>146295</v>
      </c>
      <c r="T141" s="968">
        <f t="shared" si="46"/>
        <v>609334.68999999994</v>
      </c>
      <c r="U141" s="969">
        <f t="shared" si="47"/>
        <v>755629.69</v>
      </c>
      <c r="V141" s="969">
        <f t="shared" si="48"/>
        <v>0</v>
      </c>
    </row>
    <row r="142" spans="1:22">
      <c r="A142" s="816"/>
      <c r="B142" s="828">
        <f t="shared" si="55"/>
        <v>138</v>
      </c>
      <c r="C142" s="970" t="s">
        <v>309</v>
      </c>
      <c r="D142" s="983" t="s">
        <v>3811</v>
      </c>
      <c r="E142" s="970" t="s">
        <v>3815</v>
      </c>
      <c r="F142" s="971">
        <v>45169</v>
      </c>
      <c r="G142" s="971">
        <v>45172</v>
      </c>
      <c r="H142" s="970" t="s">
        <v>406</v>
      </c>
      <c r="I142" s="962">
        <f t="shared" si="42"/>
        <v>45172</v>
      </c>
      <c r="J142" s="973">
        <v>490160</v>
      </c>
      <c r="K142" s="973"/>
      <c r="L142" s="973"/>
      <c r="M142" s="973"/>
      <c r="N142" s="973">
        <v>74770</v>
      </c>
      <c r="O142" s="964">
        <f t="shared" si="54"/>
        <v>415390</v>
      </c>
      <c r="P142" s="965">
        <f t="shared" si="43"/>
        <v>210</v>
      </c>
      <c r="Q142" s="974">
        <v>3</v>
      </c>
      <c r="R142" s="975">
        <f t="shared" si="44"/>
        <v>2.4246575342465753</v>
      </c>
      <c r="S142" s="968">
        <f t="shared" si="45"/>
        <v>79664</v>
      </c>
      <c r="T142" s="968">
        <f t="shared" si="46"/>
        <v>335726</v>
      </c>
      <c r="U142" s="969">
        <f t="shared" si="47"/>
        <v>415390</v>
      </c>
      <c r="V142" s="969">
        <f t="shared" si="48"/>
        <v>0</v>
      </c>
    </row>
    <row r="143" spans="1:22">
      <c r="A143" s="816"/>
      <c r="B143" s="828">
        <f t="shared" si="55"/>
        <v>139</v>
      </c>
      <c r="C143" s="970" t="s">
        <v>309</v>
      </c>
      <c r="D143" s="970" t="s">
        <v>3811</v>
      </c>
      <c r="E143" s="970" t="s">
        <v>3816</v>
      </c>
      <c r="F143" s="971">
        <v>45228</v>
      </c>
      <c r="G143" s="971">
        <v>45242</v>
      </c>
      <c r="H143" s="970" t="s">
        <v>406</v>
      </c>
      <c r="I143" s="962">
        <f t="shared" si="42"/>
        <v>45242</v>
      </c>
      <c r="J143" s="972">
        <v>1309460</v>
      </c>
      <c r="K143" s="972"/>
      <c r="L143" s="973"/>
      <c r="M143" s="973"/>
      <c r="N143" s="973">
        <v>199748</v>
      </c>
      <c r="O143" s="964">
        <f t="shared" si="54"/>
        <v>1109712</v>
      </c>
      <c r="P143" s="965">
        <f t="shared" si="43"/>
        <v>140</v>
      </c>
      <c r="Q143" s="974">
        <v>3</v>
      </c>
      <c r="R143" s="975">
        <f t="shared" si="44"/>
        <v>2.6164383561643838</v>
      </c>
      <c r="S143" s="968">
        <f t="shared" si="45"/>
        <v>141881</v>
      </c>
      <c r="T143" s="968">
        <f t="shared" si="46"/>
        <v>967831</v>
      </c>
      <c r="U143" s="969">
        <f t="shared" si="47"/>
        <v>0</v>
      </c>
      <c r="V143" s="969">
        <f t="shared" si="48"/>
        <v>1109712</v>
      </c>
    </row>
    <row r="144" spans="1:22">
      <c r="A144" s="816"/>
      <c r="B144" s="828">
        <f t="shared" si="55"/>
        <v>140</v>
      </c>
      <c r="C144" s="970" t="s">
        <v>309</v>
      </c>
      <c r="D144" s="970" t="s">
        <v>3811</v>
      </c>
      <c r="E144" s="970" t="s">
        <v>3817</v>
      </c>
      <c r="F144" s="971">
        <v>45234</v>
      </c>
      <c r="G144" s="971">
        <v>45242</v>
      </c>
      <c r="H144" s="970" t="s">
        <v>406</v>
      </c>
      <c r="I144" s="962">
        <f t="shared" si="42"/>
        <v>45242</v>
      </c>
      <c r="J144" s="973">
        <v>390577</v>
      </c>
      <c r="K144" s="973"/>
      <c r="L144" s="973"/>
      <c r="M144" s="973"/>
      <c r="N144" s="973">
        <v>59579</v>
      </c>
      <c r="O144" s="964">
        <f t="shared" si="54"/>
        <v>330998</v>
      </c>
      <c r="P144" s="965">
        <f t="shared" si="43"/>
        <v>140</v>
      </c>
      <c r="Q144" s="974">
        <v>3</v>
      </c>
      <c r="R144" s="975">
        <f t="shared" si="44"/>
        <v>2.6164383561643838</v>
      </c>
      <c r="S144" s="968">
        <f t="shared" si="45"/>
        <v>42319</v>
      </c>
      <c r="T144" s="968">
        <f t="shared" si="46"/>
        <v>288679</v>
      </c>
      <c r="U144" s="969">
        <f t="shared" si="47"/>
        <v>0</v>
      </c>
      <c r="V144" s="969">
        <f t="shared" si="48"/>
        <v>330998</v>
      </c>
    </row>
    <row r="145" spans="1:22">
      <c r="A145" s="816"/>
      <c r="B145" s="828">
        <f t="shared" si="55"/>
        <v>141</v>
      </c>
      <c r="C145" s="970" t="s">
        <v>328</v>
      </c>
      <c r="D145" s="983" t="s">
        <v>3811</v>
      </c>
      <c r="E145" s="970">
        <v>21</v>
      </c>
      <c r="F145" s="971">
        <v>45040</v>
      </c>
      <c r="G145" s="971">
        <v>45046</v>
      </c>
      <c r="H145" s="970" t="s">
        <v>757</v>
      </c>
      <c r="I145" s="962">
        <f t="shared" si="42"/>
        <v>45046</v>
      </c>
      <c r="J145" s="973">
        <v>484838</v>
      </c>
      <c r="K145" s="973"/>
      <c r="L145" s="973"/>
      <c r="M145" s="973"/>
      <c r="N145" s="973">
        <v>73958</v>
      </c>
      <c r="O145" s="964">
        <f t="shared" si="54"/>
        <v>410880</v>
      </c>
      <c r="P145" s="965">
        <f t="shared" si="43"/>
        <v>336</v>
      </c>
      <c r="Q145" s="974">
        <v>3</v>
      </c>
      <c r="R145" s="975">
        <f t="shared" si="44"/>
        <v>2.0794520547945208</v>
      </c>
      <c r="S145" s="968">
        <f t="shared" si="45"/>
        <v>126078</v>
      </c>
      <c r="T145" s="968">
        <f t="shared" si="46"/>
        <v>284802</v>
      </c>
      <c r="U145" s="969">
        <f t="shared" si="47"/>
        <v>410880</v>
      </c>
      <c r="V145" s="969">
        <f t="shared" si="48"/>
        <v>0</v>
      </c>
    </row>
    <row r="146" spans="1:22">
      <c r="A146" s="816"/>
      <c r="B146" s="828">
        <f t="shared" si="55"/>
        <v>142</v>
      </c>
      <c r="C146" s="960" t="s">
        <v>3818</v>
      </c>
      <c r="D146" s="960" t="s">
        <v>1108</v>
      </c>
      <c r="E146" s="960" t="s">
        <v>3819</v>
      </c>
      <c r="F146" s="961">
        <v>45366</v>
      </c>
      <c r="G146" s="961">
        <v>45366</v>
      </c>
      <c r="H146" s="960" t="s">
        <v>3820</v>
      </c>
      <c r="I146" s="962">
        <f t="shared" ref="I146:I211" si="66">MAX(F146,G146)</f>
        <v>45366</v>
      </c>
      <c r="J146" s="963">
        <v>481440</v>
      </c>
      <c r="K146" s="963"/>
      <c r="L146" s="964"/>
      <c r="M146" s="964"/>
      <c r="N146" s="964">
        <v>73440</v>
      </c>
      <c r="O146" s="964">
        <f t="shared" si="54"/>
        <v>408000</v>
      </c>
      <c r="P146" s="965">
        <f t="shared" ref="P146:P211" si="67">$P$1-I146</f>
        <v>16</v>
      </c>
      <c r="Q146" s="966">
        <v>9</v>
      </c>
      <c r="R146" s="967">
        <f t="shared" ref="R146:R211" si="68">+Q146-(P146/365)</f>
        <v>8.956164383561644</v>
      </c>
      <c r="S146" s="968">
        <f t="shared" ref="S146:S211" si="69">ROUND(+O146/(Q146*365)*P146,0)</f>
        <v>1987</v>
      </c>
      <c r="T146" s="968">
        <f t="shared" ref="T146:T211" si="70">+O146-S146</f>
        <v>406013</v>
      </c>
      <c r="U146" s="969">
        <f t="shared" ref="U146:U211" si="71">IF(I146&lt;=DATE(2023,9,30),O146,0)</f>
        <v>0</v>
      </c>
      <c r="V146" s="969">
        <f t="shared" si="48"/>
        <v>408000</v>
      </c>
    </row>
    <row r="147" spans="1:22">
      <c r="A147" s="816"/>
      <c r="B147" s="828">
        <f t="shared" si="55"/>
        <v>143</v>
      </c>
      <c r="C147" s="979" t="s">
        <v>576</v>
      </c>
      <c r="D147" s="960" t="s">
        <v>1735</v>
      </c>
      <c r="E147" s="979" t="s">
        <v>3821</v>
      </c>
      <c r="F147" s="962">
        <v>45110</v>
      </c>
      <c r="G147" s="962">
        <v>45135</v>
      </c>
      <c r="H147" s="979" t="s">
        <v>3495</v>
      </c>
      <c r="I147" s="962">
        <f t="shared" si="66"/>
        <v>45135</v>
      </c>
      <c r="J147" s="964">
        <v>141600</v>
      </c>
      <c r="K147" s="964"/>
      <c r="L147" s="964"/>
      <c r="M147" s="964"/>
      <c r="N147" s="964">
        <v>21600</v>
      </c>
      <c r="O147" s="964">
        <f t="shared" si="54"/>
        <v>120000</v>
      </c>
      <c r="P147" s="965">
        <f t="shared" si="67"/>
        <v>247</v>
      </c>
      <c r="Q147" s="966">
        <v>9</v>
      </c>
      <c r="R147" s="967">
        <f t="shared" si="68"/>
        <v>8.3232876712328761</v>
      </c>
      <c r="S147" s="968">
        <f t="shared" si="69"/>
        <v>9023</v>
      </c>
      <c r="T147" s="968">
        <f t="shared" si="70"/>
        <v>110977</v>
      </c>
      <c r="U147" s="969">
        <f t="shared" si="71"/>
        <v>120000</v>
      </c>
      <c r="V147" s="969">
        <f t="shared" ref="V147:V212" si="72">IF(I147&gt;DATE(2023,10,1),O147,0)</f>
        <v>0</v>
      </c>
    </row>
    <row r="148" spans="1:22">
      <c r="A148" s="816"/>
      <c r="B148" s="828">
        <f t="shared" si="55"/>
        <v>144</v>
      </c>
      <c r="C148" s="979" t="s">
        <v>576</v>
      </c>
      <c r="D148" s="960" t="s">
        <v>1735</v>
      </c>
      <c r="E148" s="979" t="s">
        <v>3822</v>
      </c>
      <c r="F148" s="962">
        <v>45126</v>
      </c>
      <c r="G148" s="962">
        <v>45138</v>
      </c>
      <c r="H148" s="979" t="s">
        <v>3495</v>
      </c>
      <c r="I148" s="962">
        <f t="shared" si="66"/>
        <v>45138</v>
      </c>
      <c r="J148" s="964">
        <v>283200</v>
      </c>
      <c r="K148" s="964"/>
      <c r="L148" s="964"/>
      <c r="M148" s="964"/>
      <c r="N148" s="964">
        <v>43200</v>
      </c>
      <c r="O148" s="964">
        <f t="shared" si="54"/>
        <v>240000</v>
      </c>
      <c r="P148" s="965">
        <f t="shared" si="67"/>
        <v>244</v>
      </c>
      <c r="Q148" s="966">
        <v>9</v>
      </c>
      <c r="R148" s="967">
        <f t="shared" si="68"/>
        <v>8.331506849315069</v>
      </c>
      <c r="S148" s="968">
        <f t="shared" si="69"/>
        <v>17826</v>
      </c>
      <c r="T148" s="968">
        <f t="shared" si="70"/>
        <v>222174</v>
      </c>
      <c r="U148" s="969">
        <f t="shared" si="71"/>
        <v>240000</v>
      </c>
      <c r="V148" s="969">
        <f t="shared" si="72"/>
        <v>0</v>
      </c>
    </row>
    <row r="149" spans="1:22">
      <c r="A149" s="816"/>
      <c r="B149" s="828">
        <f t="shared" si="55"/>
        <v>145</v>
      </c>
      <c r="C149" s="979" t="s">
        <v>576</v>
      </c>
      <c r="D149" s="960" t="s">
        <v>1735</v>
      </c>
      <c r="E149" s="979" t="s">
        <v>4243</v>
      </c>
      <c r="F149" s="962">
        <v>45139</v>
      </c>
      <c r="G149" s="962">
        <v>45148</v>
      </c>
      <c r="H149" s="979" t="s">
        <v>3495</v>
      </c>
      <c r="I149" s="962">
        <f t="shared" si="66"/>
        <v>45148</v>
      </c>
      <c r="J149" s="964">
        <v>283200</v>
      </c>
      <c r="K149" s="964"/>
      <c r="L149" s="964"/>
      <c r="M149" s="964"/>
      <c r="N149" s="964">
        <v>43200</v>
      </c>
      <c r="O149" s="964">
        <f t="shared" si="54"/>
        <v>240000</v>
      </c>
      <c r="P149" s="965">
        <f t="shared" si="67"/>
        <v>234</v>
      </c>
      <c r="Q149" s="966">
        <v>9</v>
      </c>
      <c r="R149" s="967">
        <f t="shared" si="68"/>
        <v>8.3589041095890408</v>
      </c>
      <c r="S149" s="968">
        <f t="shared" si="69"/>
        <v>17096</v>
      </c>
      <c r="T149" s="968">
        <f t="shared" si="70"/>
        <v>222904</v>
      </c>
      <c r="U149" s="969">
        <f t="shared" si="71"/>
        <v>240000</v>
      </c>
      <c r="V149" s="969">
        <f t="shared" si="72"/>
        <v>0</v>
      </c>
    </row>
    <row r="150" spans="1:22">
      <c r="A150" s="816"/>
      <c r="B150" s="828">
        <f t="shared" si="55"/>
        <v>146</v>
      </c>
      <c r="C150" s="970" t="s">
        <v>576</v>
      </c>
      <c r="D150" s="970" t="s">
        <v>1735</v>
      </c>
      <c r="E150" s="970" t="s">
        <v>4242</v>
      </c>
      <c r="F150" s="971">
        <v>45213</v>
      </c>
      <c r="G150" s="971">
        <v>45244</v>
      </c>
      <c r="H150" s="970" t="s">
        <v>3495</v>
      </c>
      <c r="I150" s="962">
        <f t="shared" si="66"/>
        <v>45244</v>
      </c>
      <c r="J150" s="973">
        <v>283200</v>
      </c>
      <c r="K150" s="973"/>
      <c r="L150" s="973"/>
      <c r="M150" s="973"/>
      <c r="N150" s="973">
        <v>43200</v>
      </c>
      <c r="O150" s="964">
        <f t="shared" si="54"/>
        <v>240000</v>
      </c>
      <c r="P150" s="965">
        <f t="shared" si="67"/>
        <v>138</v>
      </c>
      <c r="Q150" s="974">
        <v>9</v>
      </c>
      <c r="R150" s="975">
        <f t="shared" si="68"/>
        <v>8.6219178082191785</v>
      </c>
      <c r="S150" s="968">
        <f t="shared" si="69"/>
        <v>10082</v>
      </c>
      <c r="T150" s="968">
        <f t="shared" si="70"/>
        <v>229918</v>
      </c>
      <c r="U150" s="969">
        <f t="shared" si="71"/>
        <v>0</v>
      </c>
      <c r="V150" s="969">
        <f t="shared" si="72"/>
        <v>240000</v>
      </c>
    </row>
    <row r="151" spans="1:22">
      <c r="A151" s="816"/>
      <c r="B151" s="828">
        <f t="shared" si="55"/>
        <v>147</v>
      </c>
      <c r="C151" s="979" t="s">
        <v>576</v>
      </c>
      <c r="D151" s="960" t="s">
        <v>1735</v>
      </c>
      <c r="E151" s="982" t="s">
        <v>4244</v>
      </c>
      <c r="F151" s="962">
        <v>45246</v>
      </c>
      <c r="G151" s="962">
        <v>45260</v>
      </c>
      <c r="H151" s="979" t="s">
        <v>3495</v>
      </c>
      <c r="I151" s="962">
        <f t="shared" si="66"/>
        <v>45260</v>
      </c>
      <c r="J151" s="964">
        <v>283200</v>
      </c>
      <c r="K151" s="964"/>
      <c r="L151" s="964"/>
      <c r="M151" s="964"/>
      <c r="N151" s="964">
        <v>43200</v>
      </c>
      <c r="O151" s="964">
        <f t="shared" si="54"/>
        <v>240000</v>
      </c>
      <c r="P151" s="965">
        <f t="shared" si="67"/>
        <v>122</v>
      </c>
      <c r="Q151" s="966">
        <v>9</v>
      </c>
      <c r="R151" s="967">
        <f t="shared" si="68"/>
        <v>8.6657534246575345</v>
      </c>
      <c r="S151" s="968">
        <f t="shared" si="69"/>
        <v>8913</v>
      </c>
      <c r="T151" s="968">
        <f t="shared" si="70"/>
        <v>231087</v>
      </c>
      <c r="U151" s="969">
        <f t="shared" si="71"/>
        <v>0</v>
      </c>
      <c r="V151" s="969">
        <f t="shared" si="72"/>
        <v>240000</v>
      </c>
    </row>
    <row r="152" spans="1:22">
      <c r="A152" s="816"/>
      <c r="B152" s="828">
        <f t="shared" si="55"/>
        <v>148</v>
      </c>
      <c r="C152" s="979" t="s">
        <v>576</v>
      </c>
      <c r="D152" s="960" t="s">
        <v>1735</v>
      </c>
      <c r="E152" s="982" t="s">
        <v>3826</v>
      </c>
      <c r="F152" s="962">
        <v>45272</v>
      </c>
      <c r="G152" s="962">
        <v>45291</v>
      </c>
      <c r="H152" s="979" t="s">
        <v>3495</v>
      </c>
      <c r="I152" s="962">
        <f t="shared" si="66"/>
        <v>45291</v>
      </c>
      <c r="J152" s="964">
        <v>283200</v>
      </c>
      <c r="K152" s="964"/>
      <c r="L152" s="964"/>
      <c r="M152" s="964"/>
      <c r="N152" s="964">
        <v>43200</v>
      </c>
      <c r="O152" s="964">
        <f t="shared" si="54"/>
        <v>240000</v>
      </c>
      <c r="P152" s="965">
        <f t="shared" si="67"/>
        <v>91</v>
      </c>
      <c r="Q152" s="966">
        <v>9</v>
      </c>
      <c r="R152" s="967">
        <f t="shared" si="68"/>
        <v>8.75068493150685</v>
      </c>
      <c r="S152" s="968">
        <f t="shared" si="69"/>
        <v>6648</v>
      </c>
      <c r="T152" s="968">
        <f t="shared" si="70"/>
        <v>233352</v>
      </c>
      <c r="U152" s="969">
        <f t="shared" si="71"/>
        <v>0</v>
      </c>
      <c r="V152" s="969">
        <f t="shared" si="72"/>
        <v>240000</v>
      </c>
    </row>
    <row r="153" spans="1:22">
      <c r="A153" s="816"/>
      <c r="B153" s="828">
        <f t="shared" si="55"/>
        <v>149</v>
      </c>
      <c r="C153" s="960" t="s">
        <v>576</v>
      </c>
      <c r="D153" s="960" t="s">
        <v>1735</v>
      </c>
      <c r="E153" s="960" t="s">
        <v>3827</v>
      </c>
      <c r="F153" s="961">
        <v>45304</v>
      </c>
      <c r="G153" s="961">
        <v>45304</v>
      </c>
      <c r="H153" s="960" t="s">
        <v>3495</v>
      </c>
      <c r="I153" s="962">
        <f t="shared" si="66"/>
        <v>45304</v>
      </c>
      <c r="J153" s="963">
        <v>824820</v>
      </c>
      <c r="K153" s="963"/>
      <c r="L153" s="964"/>
      <c r="M153" s="964"/>
      <c r="N153" s="964">
        <v>125820</v>
      </c>
      <c r="O153" s="964">
        <f t="shared" si="54"/>
        <v>699000</v>
      </c>
      <c r="P153" s="965">
        <f t="shared" si="67"/>
        <v>78</v>
      </c>
      <c r="Q153" s="966">
        <v>9</v>
      </c>
      <c r="R153" s="967">
        <f t="shared" si="68"/>
        <v>8.786301369863013</v>
      </c>
      <c r="S153" s="968">
        <f t="shared" si="69"/>
        <v>16597</v>
      </c>
      <c r="T153" s="968">
        <f t="shared" si="70"/>
        <v>682403</v>
      </c>
      <c r="U153" s="969">
        <f t="shared" si="71"/>
        <v>0</v>
      </c>
      <c r="V153" s="969">
        <f t="shared" si="72"/>
        <v>699000</v>
      </c>
    </row>
    <row r="154" spans="1:22">
      <c r="A154" s="816"/>
      <c r="B154" s="828">
        <f t="shared" si="55"/>
        <v>150</v>
      </c>
      <c r="C154" s="960" t="s">
        <v>576</v>
      </c>
      <c r="D154" s="960" t="s">
        <v>1735</v>
      </c>
      <c r="E154" s="960" t="s">
        <v>3828</v>
      </c>
      <c r="F154" s="961">
        <v>45315</v>
      </c>
      <c r="G154" s="961">
        <v>45315</v>
      </c>
      <c r="H154" s="960" t="s">
        <v>3495</v>
      </c>
      <c r="I154" s="962">
        <f t="shared" si="66"/>
        <v>45315</v>
      </c>
      <c r="J154" s="963">
        <v>274940</v>
      </c>
      <c r="K154" s="963"/>
      <c r="L154" s="964"/>
      <c r="M154" s="964"/>
      <c r="N154" s="964">
        <v>41940</v>
      </c>
      <c r="O154" s="964">
        <f t="shared" si="54"/>
        <v>233000</v>
      </c>
      <c r="P154" s="965">
        <f t="shared" si="67"/>
        <v>67</v>
      </c>
      <c r="Q154" s="966">
        <v>9</v>
      </c>
      <c r="R154" s="967">
        <f t="shared" si="68"/>
        <v>8.8164383561643831</v>
      </c>
      <c r="S154" s="968">
        <f t="shared" si="69"/>
        <v>4752</v>
      </c>
      <c r="T154" s="968">
        <f t="shared" si="70"/>
        <v>228248</v>
      </c>
      <c r="U154" s="969">
        <f t="shared" si="71"/>
        <v>0</v>
      </c>
      <c r="V154" s="969">
        <f t="shared" si="72"/>
        <v>233000</v>
      </c>
    </row>
    <row r="155" spans="1:22">
      <c r="A155" s="816"/>
      <c r="B155" s="828">
        <f t="shared" si="55"/>
        <v>151</v>
      </c>
      <c r="C155" s="970" t="s">
        <v>577</v>
      </c>
      <c r="D155" s="970" t="s">
        <v>1735</v>
      </c>
      <c r="E155" s="970" t="s">
        <v>3824</v>
      </c>
      <c r="F155" s="971">
        <v>45213</v>
      </c>
      <c r="G155" s="971">
        <v>45244</v>
      </c>
      <c r="H155" s="970" t="s">
        <v>3495</v>
      </c>
      <c r="I155" s="962">
        <f t="shared" si="66"/>
        <v>45244</v>
      </c>
      <c r="J155" s="973">
        <v>266680</v>
      </c>
      <c r="K155" s="973"/>
      <c r="L155" s="973"/>
      <c r="M155" s="973"/>
      <c r="N155" s="973">
        <v>40680</v>
      </c>
      <c r="O155" s="964">
        <f t="shared" si="54"/>
        <v>226000</v>
      </c>
      <c r="P155" s="965">
        <f t="shared" si="67"/>
        <v>138</v>
      </c>
      <c r="Q155" s="974">
        <v>3</v>
      </c>
      <c r="R155" s="975">
        <f t="shared" si="68"/>
        <v>2.6219178082191781</v>
      </c>
      <c r="S155" s="968">
        <f t="shared" si="69"/>
        <v>28482</v>
      </c>
      <c r="T155" s="968">
        <f t="shared" si="70"/>
        <v>197518</v>
      </c>
      <c r="U155" s="969">
        <f t="shared" si="71"/>
        <v>0</v>
      </c>
      <c r="V155" s="969">
        <f t="shared" si="72"/>
        <v>226000</v>
      </c>
    </row>
    <row r="156" spans="1:22">
      <c r="A156" s="816"/>
      <c r="B156" s="828">
        <f t="shared" si="55"/>
        <v>152</v>
      </c>
      <c r="C156" s="979" t="s">
        <v>577</v>
      </c>
      <c r="D156" s="960" t="s">
        <v>1735</v>
      </c>
      <c r="E156" s="979" t="s">
        <v>3825</v>
      </c>
      <c r="F156" s="962">
        <v>45246</v>
      </c>
      <c r="G156" s="962">
        <v>45260</v>
      </c>
      <c r="H156" s="979" t="s">
        <v>3495</v>
      </c>
      <c r="I156" s="962">
        <f t="shared" si="66"/>
        <v>45260</v>
      </c>
      <c r="J156" s="964">
        <v>266680</v>
      </c>
      <c r="K156" s="964"/>
      <c r="L156" s="964"/>
      <c r="M156" s="964"/>
      <c r="N156" s="964">
        <v>40680</v>
      </c>
      <c r="O156" s="964">
        <f t="shared" si="54"/>
        <v>226000</v>
      </c>
      <c r="P156" s="965">
        <f t="shared" si="67"/>
        <v>122</v>
      </c>
      <c r="Q156" s="966">
        <v>9</v>
      </c>
      <c r="R156" s="967">
        <f t="shared" si="68"/>
        <v>8.6657534246575345</v>
      </c>
      <c r="S156" s="968">
        <f t="shared" si="69"/>
        <v>8393</v>
      </c>
      <c r="T156" s="968">
        <f t="shared" si="70"/>
        <v>217607</v>
      </c>
      <c r="U156" s="969">
        <f t="shared" si="71"/>
        <v>0</v>
      </c>
      <c r="V156" s="969">
        <f t="shared" si="72"/>
        <v>226000</v>
      </c>
    </row>
    <row r="157" spans="1:22">
      <c r="A157" s="816"/>
      <c r="B157" s="828">
        <f t="shared" si="55"/>
        <v>153</v>
      </c>
      <c r="C157" s="960" t="s">
        <v>577</v>
      </c>
      <c r="D157" s="960" t="s">
        <v>1735</v>
      </c>
      <c r="E157" s="960" t="s">
        <v>3829</v>
      </c>
      <c r="F157" s="961">
        <v>45272</v>
      </c>
      <c r="G157" s="961">
        <v>45291</v>
      </c>
      <c r="H157" s="960" t="s">
        <v>3495</v>
      </c>
      <c r="I157" s="962">
        <f t="shared" si="66"/>
        <v>45291</v>
      </c>
      <c r="J157" s="964">
        <v>266680</v>
      </c>
      <c r="K157" s="964"/>
      <c r="L157" s="964"/>
      <c r="M157" s="964"/>
      <c r="N157" s="964">
        <v>40680</v>
      </c>
      <c r="O157" s="964">
        <f t="shared" si="54"/>
        <v>226000</v>
      </c>
      <c r="P157" s="965">
        <f t="shared" si="67"/>
        <v>91</v>
      </c>
      <c r="Q157" s="966">
        <v>9</v>
      </c>
      <c r="R157" s="967">
        <f t="shared" si="68"/>
        <v>8.75068493150685</v>
      </c>
      <c r="S157" s="968">
        <f t="shared" si="69"/>
        <v>6261</v>
      </c>
      <c r="T157" s="968">
        <f t="shared" si="70"/>
        <v>219739</v>
      </c>
      <c r="U157" s="969">
        <f t="shared" si="71"/>
        <v>0</v>
      </c>
      <c r="V157" s="969">
        <f t="shared" si="72"/>
        <v>226000</v>
      </c>
    </row>
    <row r="158" spans="1:22">
      <c r="A158" s="816"/>
      <c r="B158" s="828">
        <f t="shared" si="55"/>
        <v>154</v>
      </c>
      <c r="C158" s="979" t="s">
        <v>60</v>
      </c>
      <c r="D158" s="960" t="s">
        <v>1735</v>
      </c>
      <c r="E158" s="979" t="s">
        <v>3831</v>
      </c>
      <c r="F158" s="962">
        <v>45025</v>
      </c>
      <c r="G158" s="962">
        <v>45042</v>
      </c>
      <c r="H158" s="979" t="s">
        <v>3495</v>
      </c>
      <c r="I158" s="962">
        <f t="shared" si="66"/>
        <v>45042</v>
      </c>
      <c r="J158" s="964">
        <v>141600</v>
      </c>
      <c r="K158" s="964"/>
      <c r="L158" s="964"/>
      <c r="M158" s="964"/>
      <c r="N158" s="964">
        <v>21600</v>
      </c>
      <c r="O158" s="964">
        <f t="shared" si="54"/>
        <v>120000</v>
      </c>
      <c r="P158" s="965">
        <f t="shared" si="67"/>
        <v>340</v>
      </c>
      <c r="Q158" s="966">
        <v>9</v>
      </c>
      <c r="R158" s="967">
        <f t="shared" si="68"/>
        <v>8.0684931506849313</v>
      </c>
      <c r="S158" s="968">
        <f t="shared" si="69"/>
        <v>12420</v>
      </c>
      <c r="T158" s="968">
        <f t="shared" si="70"/>
        <v>107580</v>
      </c>
      <c r="U158" s="969">
        <f t="shared" si="71"/>
        <v>120000</v>
      </c>
      <c r="V158" s="969">
        <f t="shared" si="72"/>
        <v>0</v>
      </c>
    </row>
    <row r="159" spans="1:22">
      <c r="A159" s="816"/>
      <c r="B159" s="828">
        <f t="shared" si="55"/>
        <v>155</v>
      </c>
      <c r="C159" s="979" t="s">
        <v>60</v>
      </c>
      <c r="D159" s="960" t="s">
        <v>1735</v>
      </c>
      <c r="E159" s="979" t="s">
        <v>3830</v>
      </c>
      <c r="F159" s="962">
        <v>45025</v>
      </c>
      <c r="G159" s="962">
        <v>45042</v>
      </c>
      <c r="H159" s="979" t="s">
        <v>3495</v>
      </c>
      <c r="I159" s="962">
        <f t="shared" si="66"/>
        <v>45042</v>
      </c>
      <c r="J159" s="964">
        <v>133340</v>
      </c>
      <c r="K159" s="964"/>
      <c r="L159" s="964"/>
      <c r="M159" s="964"/>
      <c r="N159" s="964">
        <v>20340</v>
      </c>
      <c r="O159" s="964">
        <f t="shared" si="54"/>
        <v>113000</v>
      </c>
      <c r="P159" s="965">
        <f t="shared" si="67"/>
        <v>340</v>
      </c>
      <c r="Q159" s="966">
        <v>9</v>
      </c>
      <c r="R159" s="967">
        <f t="shared" si="68"/>
        <v>8.0684931506849313</v>
      </c>
      <c r="S159" s="968">
        <f t="shared" si="69"/>
        <v>11696</v>
      </c>
      <c r="T159" s="968">
        <f t="shared" si="70"/>
        <v>101304</v>
      </c>
      <c r="U159" s="969">
        <f t="shared" si="71"/>
        <v>113000</v>
      </c>
      <c r="V159" s="969">
        <f t="shared" si="72"/>
        <v>0</v>
      </c>
    </row>
    <row r="160" spans="1:22">
      <c r="A160" s="816"/>
      <c r="B160" s="828">
        <f t="shared" si="55"/>
        <v>156</v>
      </c>
      <c r="C160" s="979" t="s">
        <v>60</v>
      </c>
      <c r="D160" s="960" t="s">
        <v>1735</v>
      </c>
      <c r="E160" s="979" t="s">
        <v>4245</v>
      </c>
      <c r="F160" s="962">
        <v>45026</v>
      </c>
      <c r="G160" s="962">
        <v>45042</v>
      </c>
      <c r="H160" s="979" t="s">
        <v>3495</v>
      </c>
      <c r="I160" s="962">
        <f t="shared" si="66"/>
        <v>45042</v>
      </c>
      <c r="J160" s="964">
        <v>141600</v>
      </c>
      <c r="K160" s="964"/>
      <c r="L160" s="964"/>
      <c r="M160" s="964"/>
      <c r="N160" s="964">
        <v>21600</v>
      </c>
      <c r="O160" s="964">
        <f t="shared" si="54"/>
        <v>120000</v>
      </c>
      <c r="P160" s="965">
        <f t="shared" si="67"/>
        <v>340</v>
      </c>
      <c r="Q160" s="966">
        <v>9</v>
      </c>
      <c r="R160" s="967">
        <f t="shared" si="68"/>
        <v>8.0684931506849313</v>
      </c>
      <c r="S160" s="968">
        <f t="shared" si="69"/>
        <v>12420</v>
      </c>
      <c r="T160" s="968">
        <f t="shared" si="70"/>
        <v>107580</v>
      </c>
      <c r="U160" s="969">
        <f t="shared" si="71"/>
        <v>120000</v>
      </c>
      <c r="V160" s="969">
        <f t="shared" si="72"/>
        <v>0</v>
      </c>
    </row>
    <row r="161" spans="1:22">
      <c r="A161" s="816"/>
      <c r="B161" s="828">
        <f t="shared" si="55"/>
        <v>157</v>
      </c>
      <c r="C161" s="979" t="s">
        <v>60</v>
      </c>
      <c r="D161" s="960" t="s">
        <v>1735</v>
      </c>
      <c r="E161" s="979" t="s">
        <v>4246</v>
      </c>
      <c r="F161" s="962">
        <v>45026</v>
      </c>
      <c r="G161" s="962">
        <v>45042</v>
      </c>
      <c r="H161" s="979" t="s">
        <v>3495</v>
      </c>
      <c r="I161" s="962">
        <f t="shared" si="66"/>
        <v>45042</v>
      </c>
      <c r="J161" s="964">
        <v>133340</v>
      </c>
      <c r="K161" s="964"/>
      <c r="L161" s="964"/>
      <c r="M161" s="964"/>
      <c r="N161" s="964">
        <v>20340</v>
      </c>
      <c r="O161" s="964">
        <f t="shared" si="54"/>
        <v>113000</v>
      </c>
      <c r="P161" s="965">
        <f t="shared" si="67"/>
        <v>340</v>
      </c>
      <c r="Q161" s="966">
        <v>9</v>
      </c>
      <c r="R161" s="967">
        <f t="shared" si="68"/>
        <v>8.0684931506849313</v>
      </c>
      <c r="S161" s="968">
        <f t="shared" si="69"/>
        <v>11696</v>
      </c>
      <c r="T161" s="968">
        <f t="shared" si="70"/>
        <v>101304</v>
      </c>
      <c r="U161" s="969">
        <f t="shared" si="71"/>
        <v>113000</v>
      </c>
      <c r="V161" s="969">
        <f t="shared" si="72"/>
        <v>0</v>
      </c>
    </row>
    <row r="162" spans="1:22">
      <c r="A162" s="816"/>
      <c r="B162" s="828">
        <f t="shared" si="55"/>
        <v>158</v>
      </c>
      <c r="C162" s="979" t="s">
        <v>60</v>
      </c>
      <c r="D162" s="960" t="s">
        <v>1735</v>
      </c>
      <c r="E162" s="979" t="s">
        <v>3832</v>
      </c>
      <c r="F162" s="962">
        <v>45036</v>
      </c>
      <c r="G162" s="962">
        <v>45036</v>
      </c>
      <c r="H162" s="979" t="s">
        <v>3495</v>
      </c>
      <c r="I162" s="962">
        <f t="shared" si="66"/>
        <v>45036</v>
      </c>
      <c r="J162" s="964">
        <v>141600</v>
      </c>
      <c r="K162" s="964"/>
      <c r="L162" s="964"/>
      <c r="M162" s="964"/>
      <c r="N162" s="964">
        <v>21600</v>
      </c>
      <c r="O162" s="964">
        <f t="shared" si="54"/>
        <v>120000</v>
      </c>
      <c r="P162" s="965">
        <f t="shared" si="67"/>
        <v>346</v>
      </c>
      <c r="Q162" s="966">
        <v>9</v>
      </c>
      <c r="R162" s="967">
        <f t="shared" si="68"/>
        <v>8.0520547945205472</v>
      </c>
      <c r="S162" s="968">
        <f t="shared" si="69"/>
        <v>12639</v>
      </c>
      <c r="T162" s="968">
        <f t="shared" si="70"/>
        <v>107361</v>
      </c>
      <c r="U162" s="969">
        <f t="shared" si="71"/>
        <v>120000</v>
      </c>
      <c r="V162" s="969">
        <f t="shared" si="72"/>
        <v>0</v>
      </c>
    </row>
    <row r="163" spans="1:22">
      <c r="A163" s="816"/>
      <c r="B163" s="828">
        <f t="shared" si="55"/>
        <v>159</v>
      </c>
      <c r="C163" s="979" t="s">
        <v>60</v>
      </c>
      <c r="D163" s="960" t="s">
        <v>1735</v>
      </c>
      <c r="E163" s="979" t="s">
        <v>3833</v>
      </c>
      <c r="F163" s="962">
        <v>45079</v>
      </c>
      <c r="G163" s="962">
        <v>45107</v>
      </c>
      <c r="H163" s="979" t="s">
        <v>3495</v>
      </c>
      <c r="I163" s="962">
        <f t="shared" si="66"/>
        <v>45107</v>
      </c>
      <c r="J163" s="964">
        <v>23600</v>
      </c>
      <c r="K163" s="964"/>
      <c r="L163" s="964"/>
      <c r="M163" s="964"/>
      <c r="N163" s="964">
        <v>3600</v>
      </c>
      <c r="O163" s="964">
        <f t="shared" si="54"/>
        <v>20000</v>
      </c>
      <c r="P163" s="965">
        <f t="shared" si="67"/>
        <v>275</v>
      </c>
      <c r="Q163" s="966">
        <v>9</v>
      </c>
      <c r="R163" s="967">
        <f t="shared" si="68"/>
        <v>8.2465753424657535</v>
      </c>
      <c r="S163" s="968">
        <f t="shared" si="69"/>
        <v>1674</v>
      </c>
      <c r="T163" s="968">
        <f t="shared" si="70"/>
        <v>18326</v>
      </c>
      <c r="U163" s="969">
        <f t="shared" si="71"/>
        <v>20000</v>
      </c>
      <c r="V163" s="969">
        <f t="shared" si="72"/>
        <v>0</v>
      </c>
    </row>
    <row r="164" spans="1:22">
      <c r="A164" s="816"/>
      <c r="B164" s="828">
        <f t="shared" si="55"/>
        <v>160</v>
      </c>
      <c r="C164" s="979" t="s">
        <v>60</v>
      </c>
      <c r="D164" s="960" t="s">
        <v>1735</v>
      </c>
      <c r="E164" s="979" t="s">
        <v>3834</v>
      </c>
      <c r="F164" s="962">
        <v>45079</v>
      </c>
      <c r="G164" s="962">
        <v>45107</v>
      </c>
      <c r="H164" s="979" t="s">
        <v>3495</v>
      </c>
      <c r="I164" s="962">
        <f t="shared" si="66"/>
        <v>45107</v>
      </c>
      <c r="J164" s="964">
        <v>17700</v>
      </c>
      <c r="K164" s="964"/>
      <c r="L164" s="964"/>
      <c r="M164" s="964"/>
      <c r="N164" s="964">
        <v>2700</v>
      </c>
      <c r="O164" s="964">
        <f t="shared" si="54"/>
        <v>15000</v>
      </c>
      <c r="P164" s="965">
        <f t="shared" si="67"/>
        <v>275</v>
      </c>
      <c r="Q164" s="966">
        <v>9</v>
      </c>
      <c r="R164" s="967">
        <f t="shared" si="68"/>
        <v>8.2465753424657535</v>
      </c>
      <c r="S164" s="968">
        <f t="shared" si="69"/>
        <v>1256</v>
      </c>
      <c r="T164" s="968">
        <f t="shared" si="70"/>
        <v>13744</v>
      </c>
      <c r="U164" s="969">
        <f t="shared" si="71"/>
        <v>15000</v>
      </c>
      <c r="V164" s="969">
        <f t="shared" si="72"/>
        <v>0</v>
      </c>
    </row>
    <row r="165" spans="1:22">
      <c r="A165" s="816"/>
      <c r="B165" s="828">
        <f t="shared" si="55"/>
        <v>161</v>
      </c>
      <c r="C165" s="979" t="s">
        <v>60</v>
      </c>
      <c r="D165" s="960" t="s">
        <v>1735</v>
      </c>
      <c r="E165" s="979" t="s">
        <v>3823</v>
      </c>
      <c r="F165" s="962">
        <v>45139</v>
      </c>
      <c r="G165" s="962">
        <v>45148</v>
      </c>
      <c r="H165" s="979" t="s">
        <v>3495</v>
      </c>
      <c r="I165" s="962">
        <f t="shared" si="66"/>
        <v>45148</v>
      </c>
      <c r="J165" s="964">
        <v>266680</v>
      </c>
      <c r="K165" s="964"/>
      <c r="L165" s="964"/>
      <c r="M165" s="964"/>
      <c r="N165" s="964">
        <v>40680</v>
      </c>
      <c r="O165" s="964">
        <f t="shared" si="54"/>
        <v>226000</v>
      </c>
      <c r="P165" s="965">
        <f t="shared" si="67"/>
        <v>234</v>
      </c>
      <c r="Q165" s="966">
        <v>9</v>
      </c>
      <c r="R165" s="967">
        <f t="shared" si="68"/>
        <v>8.3589041095890408</v>
      </c>
      <c r="S165" s="968">
        <f t="shared" si="69"/>
        <v>16099</v>
      </c>
      <c r="T165" s="968">
        <f t="shared" si="70"/>
        <v>209901</v>
      </c>
      <c r="U165" s="969">
        <f t="shared" si="71"/>
        <v>226000</v>
      </c>
      <c r="V165" s="969">
        <f t="shared" si="72"/>
        <v>0</v>
      </c>
    </row>
    <row r="166" spans="1:22">
      <c r="A166" s="816"/>
      <c r="B166" s="828">
        <f t="shared" si="55"/>
        <v>162</v>
      </c>
      <c r="C166" s="979" t="s">
        <v>309</v>
      </c>
      <c r="D166" s="960" t="s">
        <v>1735</v>
      </c>
      <c r="E166" s="979">
        <v>13</v>
      </c>
      <c r="F166" s="984">
        <v>45030</v>
      </c>
      <c r="G166" s="984">
        <v>45030</v>
      </c>
      <c r="H166" s="979" t="s">
        <v>413</v>
      </c>
      <c r="I166" s="962">
        <f t="shared" si="66"/>
        <v>45030</v>
      </c>
      <c r="J166" s="964">
        <v>299130</v>
      </c>
      <c r="K166" s="964"/>
      <c r="L166" s="964"/>
      <c r="M166" s="964"/>
      <c r="N166" s="964">
        <v>45630</v>
      </c>
      <c r="O166" s="964">
        <f t="shared" si="54"/>
        <v>253500</v>
      </c>
      <c r="P166" s="965">
        <f t="shared" si="67"/>
        <v>352</v>
      </c>
      <c r="Q166" s="966">
        <v>3</v>
      </c>
      <c r="R166" s="967">
        <f t="shared" si="68"/>
        <v>2.0356164383561643</v>
      </c>
      <c r="S166" s="968">
        <f t="shared" si="69"/>
        <v>81490</v>
      </c>
      <c r="T166" s="968">
        <f t="shared" si="70"/>
        <v>172010</v>
      </c>
      <c r="U166" s="969">
        <f t="shared" si="71"/>
        <v>253500</v>
      </c>
      <c r="V166" s="969">
        <f t="shared" si="72"/>
        <v>0</v>
      </c>
    </row>
    <row r="167" spans="1:22">
      <c r="A167" s="816"/>
      <c r="B167" s="828">
        <f t="shared" si="55"/>
        <v>163</v>
      </c>
      <c r="C167" s="979" t="s">
        <v>309</v>
      </c>
      <c r="D167" s="960" t="s">
        <v>1735</v>
      </c>
      <c r="E167" s="982">
        <v>15</v>
      </c>
      <c r="F167" s="962">
        <v>45066</v>
      </c>
      <c r="G167" s="962">
        <v>45089</v>
      </c>
      <c r="H167" s="979" t="s">
        <v>2113</v>
      </c>
      <c r="I167" s="962">
        <f t="shared" si="66"/>
        <v>45089</v>
      </c>
      <c r="J167" s="964">
        <v>135700</v>
      </c>
      <c r="K167" s="964"/>
      <c r="L167" s="964"/>
      <c r="M167" s="964"/>
      <c r="N167" s="964">
        <v>20700</v>
      </c>
      <c r="O167" s="964">
        <f t="shared" si="54"/>
        <v>115000</v>
      </c>
      <c r="P167" s="965">
        <f t="shared" si="67"/>
        <v>293</v>
      </c>
      <c r="Q167" s="966">
        <v>3</v>
      </c>
      <c r="R167" s="967">
        <f t="shared" si="68"/>
        <v>2.1972602739726028</v>
      </c>
      <c r="S167" s="968">
        <f t="shared" si="69"/>
        <v>30772</v>
      </c>
      <c r="T167" s="968">
        <f t="shared" si="70"/>
        <v>84228</v>
      </c>
      <c r="U167" s="969">
        <f t="shared" si="71"/>
        <v>115000</v>
      </c>
      <c r="V167" s="969">
        <f t="shared" si="72"/>
        <v>0</v>
      </c>
    </row>
    <row r="168" spans="1:22">
      <c r="A168" s="816"/>
      <c r="B168" s="828">
        <f t="shared" si="55"/>
        <v>164</v>
      </c>
      <c r="C168" s="979" t="s">
        <v>309</v>
      </c>
      <c r="D168" s="960" t="s">
        <v>1735</v>
      </c>
      <c r="E168" s="979">
        <v>19</v>
      </c>
      <c r="F168" s="962">
        <v>45071</v>
      </c>
      <c r="G168" s="962">
        <v>45089</v>
      </c>
      <c r="H168" s="979" t="s">
        <v>2113</v>
      </c>
      <c r="I168" s="962">
        <f t="shared" si="66"/>
        <v>45089</v>
      </c>
      <c r="J168" s="964">
        <v>331226</v>
      </c>
      <c r="K168" s="964"/>
      <c r="L168" s="964"/>
      <c r="M168" s="964"/>
      <c r="N168" s="964">
        <v>50526</v>
      </c>
      <c r="O168" s="964">
        <f t="shared" si="54"/>
        <v>280700</v>
      </c>
      <c r="P168" s="965">
        <f t="shared" si="67"/>
        <v>293</v>
      </c>
      <c r="Q168" s="966">
        <v>3</v>
      </c>
      <c r="R168" s="967">
        <f t="shared" si="68"/>
        <v>2.1972602739726028</v>
      </c>
      <c r="S168" s="968">
        <f t="shared" si="69"/>
        <v>75110</v>
      </c>
      <c r="T168" s="968">
        <f t="shared" si="70"/>
        <v>205590</v>
      </c>
      <c r="U168" s="969">
        <f t="shared" si="71"/>
        <v>280700</v>
      </c>
      <c r="V168" s="969">
        <f t="shared" si="72"/>
        <v>0</v>
      </c>
    </row>
    <row r="169" spans="1:22">
      <c r="A169" s="816"/>
      <c r="B169" s="828">
        <f t="shared" si="55"/>
        <v>165</v>
      </c>
      <c r="C169" s="979" t="s">
        <v>309</v>
      </c>
      <c r="D169" s="960" t="s">
        <v>1735</v>
      </c>
      <c r="E169" s="979" t="s">
        <v>3835</v>
      </c>
      <c r="F169" s="984">
        <v>45101</v>
      </c>
      <c r="G169" s="984">
        <v>45124</v>
      </c>
      <c r="H169" s="979" t="s">
        <v>413</v>
      </c>
      <c r="I169" s="962">
        <f t="shared" si="66"/>
        <v>45124</v>
      </c>
      <c r="J169" s="964">
        <v>49602</v>
      </c>
      <c r="K169" s="964"/>
      <c r="L169" s="964"/>
      <c r="M169" s="964"/>
      <c r="N169" s="964">
        <v>7566</v>
      </c>
      <c r="O169" s="964">
        <f t="shared" si="54"/>
        <v>42036</v>
      </c>
      <c r="P169" s="965">
        <f t="shared" si="67"/>
        <v>258</v>
      </c>
      <c r="Q169" s="966">
        <v>3</v>
      </c>
      <c r="R169" s="967">
        <f t="shared" si="68"/>
        <v>2.2931506849315069</v>
      </c>
      <c r="S169" s="968">
        <f t="shared" si="69"/>
        <v>9904</v>
      </c>
      <c r="T169" s="968">
        <f t="shared" si="70"/>
        <v>32132</v>
      </c>
      <c r="U169" s="969">
        <f t="shared" si="71"/>
        <v>42036</v>
      </c>
      <c r="V169" s="969">
        <f t="shared" si="72"/>
        <v>0</v>
      </c>
    </row>
    <row r="170" spans="1:22">
      <c r="A170" s="816"/>
      <c r="B170" s="828">
        <f t="shared" si="55"/>
        <v>166</v>
      </c>
      <c r="C170" s="970" t="s">
        <v>309</v>
      </c>
      <c r="D170" s="983" t="s">
        <v>1735</v>
      </c>
      <c r="E170" s="970" t="s">
        <v>3836</v>
      </c>
      <c r="F170" s="971">
        <v>45150</v>
      </c>
      <c r="G170" s="971">
        <v>45169</v>
      </c>
      <c r="H170" s="970" t="s">
        <v>406</v>
      </c>
      <c r="I170" s="962">
        <f t="shared" si="66"/>
        <v>45169</v>
      </c>
      <c r="J170" s="973">
        <v>66718</v>
      </c>
      <c r="K170" s="973"/>
      <c r="L170" s="973"/>
      <c r="M170" s="973"/>
      <c r="N170" s="973">
        <v>10178</v>
      </c>
      <c r="O170" s="964">
        <f t="shared" si="54"/>
        <v>56540</v>
      </c>
      <c r="P170" s="965">
        <f t="shared" si="67"/>
        <v>213</v>
      </c>
      <c r="Q170" s="974">
        <v>3</v>
      </c>
      <c r="R170" s="975">
        <f t="shared" si="68"/>
        <v>2.4164383561643836</v>
      </c>
      <c r="S170" s="968">
        <f t="shared" si="69"/>
        <v>10998</v>
      </c>
      <c r="T170" s="968">
        <f t="shared" si="70"/>
        <v>45542</v>
      </c>
      <c r="U170" s="969">
        <f t="shared" si="71"/>
        <v>56540</v>
      </c>
      <c r="V170" s="969">
        <f t="shared" si="72"/>
        <v>0</v>
      </c>
    </row>
    <row r="171" spans="1:22">
      <c r="A171" s="816"/>
      <c r="B171" s="828">
        <f t="shared" si="55"/>
        <v>167</v>
      </c>
      <c r="C171" s="970" t="s">
        <v>309</v>
      </c>
      <c r="D171" s="983" t="s">
        <v>1735</v>
      </c>
      <c r="E171" s="970" t="s">
        <v>3837</v>
      </c>
      <c r="F171" s="971">
        <v>45150</v>
      </c>
      <c r="G171" s="971">
        <v>45169</v>
      </c>
      <c r="H171" s="970" t="s">
        <v>406</v>
      </c>
      <c r="I171" s="962">
        <f t="shared" si="66"/>
        <v>45169</v>
      </c>
      <c r="J171" s="973">
        <v>162070</v>
      </c>
      <c r="K171" s="973"/>
      <c r="L171" s="973"/>
      <c r="M171" s="973"/>
      <c r="N171" s="973">
        <v>24722</v>
      </c>
      <c r="O171" s="964">
        <f t="shared" si="54"/>
        <v>137348</v>
      </c>
      <c r="P171" s="965">
        <f t="shared" si="67"/>
        <v>213</v>
      </c>
      <c r="Q171" s="974">
        <v>3</v>
      </c>
      <c r="R171" s="975">
        <f t="shared" si="68"/>
        <v>2.4164383561643836</v>
      </c>
      <c r="S171" s="968">
        <f t="shared" si="69"/>
        <v>26717</v>
      </c>
      <c r="T171" s="968">
        <f t="shared" si="70"/>
        <v>110631</v>
      </c>
      <c r="U171" s="969">
        <f t="shared" si="71"/>
        <v>137348</v>
      </c>
      <c r="V171" s="969">
        <f t="shared" si="72"/>
        <v>0</v>
      </c>
    </row>
    <row r="172" spans="1:22">
      <c r="A172" s="816"/>
      <c r="B172" s="828">
        <f t="shared" si="55"/>
        <v>168</v>
      </c>
      <c r="C172" s="970" t="s">
        <v>309</v>
      </c>
      <c r="D172" s="983" t="s">
        <v>1735</v>
      </c>
      <c r="E172" s="970" t="s">
        <v>3838</v>
      </c>
      <c r="F172" s="971">
        <v>45150</v>
      </c>
      <c r="G172" s="971">
        <v>45169</v>
      </c>
      <c r="H172" s="970" t="s">
        <v>406</v>
      </c>
      <c r="I172" s="962">
        <f t="shared" si="66"/>
        <v>45169</v>
      </c>
      <c r="J172" s="973">
        <v>90361</v>
      </c>
      <c r="K172" s="973"/>
      <c r="L172" s="973"/>
      <c r="M172" s="973"/>
      <c r="N172" s="973">
        <v>13784</v>
      </c>
      <c r="O172" s="964">
        <f t="shared" si="54"/>
        <v>76577</v>
      </c>
      <c r="P172" s="965">
        <f t="shared" si="67"/>
        <v>213</v>
      </c>
      <c r="Q172" s="974">
        <v>3</v>
      </c>
      <c r="R172" s="975">
        <f t="shared" si="68"/>
        <v>2.4164383561643836</v>
      </c>
      <c r="S172" s="968">
        <f t="shared" si="69"/>
        <v>14896</v>
      </c>
      <c r="T172" s="968">
        <f t="shared" si="70"/>
        <v>61681</v>
      </c>
      <c r="U172" s="969">
        <f t="shared" si="71"/>
        <v>76577</v>
      </c>
      <c r="V172" s="969">
        <f t="shared" si="72"/>
        <v>0</v>
      </c>
    </row>
    <row r="173" spans="1:22">
      <c r="A173" s="816"/>
      <c r="B173" s="828">
        <f t="shared" si="55"/>
        <v>169</v>
      </c>
      <c r="C173" s="979" t="s">
        <v>309</v>
      </c>
      <c r="D173" s="960" t="s">
        <v>1735</v>
      </c>
      <c r="E173" s="979" t="s">
        <v>3839</v>
      </c>
      <c r="F173" s="984">
        <v>45150</v>
      </c>
      <c r="G173" s="984">
        <v>45169</v>
      </c>
      <c r="H173" s="979" t="s">
        <v>406</v>
      </c>
      <c r="I173" s="962">
        <f t="shared" si="66"/>
        <v>45169</v>
      </c>
      <c r="J173" s="964">
        <v>243012</v>
      </c>
      <c r="K173" s="964"/>
      <c r="L173" s="964"/>
      <c r="M173" s="964"/>
      <c r="N173" s="964">
        <v>37070</v>
      </c>
      <c r="O173" s="964">
        <f t="shared" si="54"/>
        <v>205942</v>
      </c>
      <c r="P173" s="965">
        <f t="shared" si="67"/>
        <v>213</v>
      </c>
      <c r="Q173" s="966">
        <v>3</v>
      </c>
      <c r="R173" s="967">
        <f t="shared" si="68"/>
        <v>2.4164383561643836</v>
      </c>
      <c r="S173" s="968">
        <f t="shared" si="69"/>
        <v>40060</v>
      </c>
      <c r="T173" s="968">
        <f t="shared" si="70"/>
        <v>165882</v>
      </c>
      <c r="U173" s="969">
        <f t="shared" si="71"/>
        <v>205942</v>
      </c>
      <c r="V173" s="969">
        <f t="shared" si="72"/>
        <v>0</v>
      </c>
    </row>
    <row r="174" spans="1:22">
      <c r="A174" s="816"/>
      <c r="B174" s="828">
        <f t="shared" si="55"/>
        <v>170</v>
      </c>
      <c r="C174" s="979" t="s">
        <v>309</v>
      </c>
      <c r="D174" s="960" t="s">
        <v>1735</v>
      </c>
      <c r="E174" s="982" t="s">
        <v>3840</v>
      </c>
      <c r="F174" s="984">
        <v>45175</v>
      </c>
      <c r="G174" s="984">
        <v>45198</v>
      </c>
      <c r="H174" s="979" t="s">
        <v>406</v>
      </c>
      <c r="I174" s="962">
        <f t="shared" si="66"/>
        <v>45198</v>
      </c>
      <c r="J174" s="964">
        <v>54678</v>
      </c>
      <c r="K174" s="964"/>
      <c r="L174" s="964"/>
      <c r="M174" s="964"/>
      <c r="N174" s="964">
        <v>8340</v>
      </c>
      <c r="O174" s="964">
        <f t="shared" si="54"/>
        <v>46338</v>
      </c>
      <c r="P174" s="965">
        <f t="shared" si="67"/>
        <v>184</v>
      </c>
      <c r="Q174" s="966">
        <v>3</v>
      </c>
      <c r="R174" s="967">
        <f t="shared" si="68"/>
        <v>2.495890410958904</v>
      </c>
      <c r="S174" s="968">
        <f t="shared" si="69"/>
        <v>7786</v>
      </c>
      <c r="T174" s="968">
        <f t="shared" si="70"/>
        <v>38552</v>
      </c>
      <c r="U174" s="969">
        <f t="shared" si="71"/>
        <v>46338</v>
      </c>
      <c r="V174" s="969">
        <f t="shared" si="72"/>
        <v>0</v>
      </c>
    </row>
    <row r="175" spans="1:22">
      <c r="A175" s="816"/>
      <c r="B175" s="828">
        <f t="shared" si="55"/>
        <v>171</v>
      </c>
      <c r="C175" s="970" t="s">
        <v>309</v>
      </c>
      <c r="D175" s="970" t="s">
        <v>1735</v>
      </c>
      <c r="E175" s="970" t="s">
        <v>3841</v>
      </c>
      <c r="F175" s="971">
        <v>45238</v>
      </c>
      <c r="G175" s="971">
        <v>45260</v>
      </c>
      <c r="H175" s="970" t="s">
        <v>406</v>
      </c>
      <c r="I175" s="962">
        <f t="shared" si="66"/>
        <v>45260</v>
      </c>
      <c r="J175" s="973">
        <v>97891</v>
      </c>
      <c r="K175" s="973"/>
      <c r="L175" s="973"/>
      <c r="M175" s="973"/>
      <c r="N175" s="973">
        <v>14932</v>
      </c>
      <c r="O175" s="964">
        <f t="shared" si="54"/>
        <v>82959</v>
      </c>
      <c r="P175" s="965">
        <f t="shared" si="67"/>
        <v>122</v>
      </c>
      <c r="Q175" s="974">
        <v>3</v>
      </c>
      <c r="R175" s="975">
        <f t="shared" si="68"/>
        <v>2.6657534246575341</v>
      </c>
      <c r="S175" s="968">
        <f t="shared" si="69"/>
        <v>9243</v>
      </c>
      <c r="T175" s="968">
        <f t="shared" si="70"/>
        <v>73716</v>
      </c>
      <c r="U175" s="969">
        <f t="shared" si="71"/>
        <v>0</v>
      </c>
      <c r="V175" s="969">
        <f t="shared" si="72"/>
        <v>82959</v>
      </c>
    </row>
    <row r="176" spans="1:22">
      <c r="A176" s="816"/>
      <c r="B176" s="828">
        <f t="shared" si="55"/>
        <v>172</v>
      </c>
      <c r="C176" s="970" t="s">
        <v>309</v>
      </c>
      <c r="D176" s="970" t="s">
        <v>1735</v>
      </c>
      <c r="E176" s="970">
        <v>100</v>
      </c>
      <c r="F176" s="971">
        <v>45274</v>
      </c>
      <c r="G176" s="971">
        <v>45291</v>
      </c>
      <c r="H176" s="970" t="s">
        <v>413</v>
      </c>
      <c r="I176" s="962">
        <f t="shared" si="66"/>
        <v>45291</v>
      </c>
      <c r="J176" s="973">
        <v>42362</v>
      </c>
      <c r="K176" s="973"/>
      <c r="L176" s="973"/>
      <c r="M176" s="973"/>
      <c r="N176" s="973">
        <v>6462</v>
      </c>
      <c r="O176" s="964">
        <f t="shared" si="54"/>
        <v>35900</v>
      </c>
      <c r="P176" s="965">
        <f t="shared" si="67"/>
        <v>91</v>
      </c>
      <c r="Q176" s="974">
        <v>3</v>
      </c>
      <c r="R176" s="975">
        <f t="shared" si="68"/>
        <v>2.7506849315068491</v>
      </c>
      <c r="S176" s="968">
        <f t="shared" si="69"/>
        <v>2983</v>
      </c>
      <c r="T176" s="968">
        <f t="shared" si="70"/>
        <v>32917</v>
      </c>
      <c r="U176" s="969">
        <f t="shared" si="71"/>
        <v>0</v>
      </c>
      <c r="V176" s="969">
        <f t="shared" si="72"/>
        <v>35900</v>
      </c>
    </row>
    <row r="177" spans="1:22">
      <c r="A177" s="816"/>
      <c r="B177" s="828">
        <f t="shared" si="55"/>
        <v>173</v>
      </c>
      <c r="C177" s="960" t="s">
        <v>309</v>
      </c>
      <c r="D177" s="960" t="s">
        <v>1735</v>
      </c>
      <c r="E177" s="960">
        <v>104</v>
      </c>
      <c r="F177" s="961">
        <v>45288</v>
      </c>
      <c r="G177" s="961">
        <v>45300</v>
      </c>
      <c r="H177" s="960" t="s">
        <v>413</v>
      </c>
      <c r="I177" s="962">
        <f t="shared" si="66"/>
        <v>45300</v>
      </c>
      <c r="J177" s="963">
        <v>86140</v>
      </c>
      <c r="K177" s="963"/>
      <c r="L177" s="964"/>
      <c r="M177" s="964"/>
      <c r="N177" s="964">
        <v>13140</v>
      </c>
      <c r="O177" s="964">
        <f t="shared" si="54"/>
        <v>73000</v>
      </c>
      <c r="P177" s="965">
        <f t="shared" si="67"/>
        <v>82</v>
      </c>
      <c r="Q177" s="966">
        <v>3</v>
      </c>
      <c r="R177" s="967">
        <f t="shared" si="68"/>
        <v>2.7753424657534245</v>
      </c>
      <c r="S177" s="968">
        <f t="shared" si="69"/>
        <v>5467</v>
      </c>
      <c r="T177" s="968">
        <f t="shared" si="70"/>
        <v>67533</v>
      </c>
      <c r="U177" s="969">
        <f t="shared" si="71"/>
        <v>0</v>
      </c>
      <c r="V177" s="969">
        <f t="shared" si="72"/>
        <v>73000</v>
      </c>
    </row>
    <row r="178" spans="1:22">
      <c r="A178" s="816"/>
      <c r="B178" s="828">
        <f t="shared" si="55"/>
        <v>174</v>
      </c>
      <c r="C178" s="970" t="s">
        <v>309</v>
      </c>
      <c r="D178" s="960" t="s">
        <v>1735</v>
      </c>
      <c r="E178" s="970">
        <v>123</v>
      </c>
      <c r="F178" s="971">
        <v>45310</v>
      </c>
      <c r="G178" s="971">
        <v>45332</v>
      </c>
      <c r="H178" s="970" t="s">
        <v>413</v>
      </c>
      <c r="I178" s="962">
        <f t="shared" si="66"/>
        <v>45332</v>
      </c>
      <c r="J178" s="972">
        <v>66611</v>
      </c>
      <c r="K178" s="972"/>
      <c r="L178" s="973"/>
      <c r="M178" s="973"/>
      <c r="N178" s="973">
        <v>10161</v>
      </c>
      <c r="O178" s="964">
        <f t="shared" si="54"/>
        <v>56450</v>
      </c>
      <c r="P178" s="965">
        <f t="shared" si="67"/>
        <v>50</v>
      </c>
      <c r="Q178" s="974">
        <v>3</v>
      </c>
      <c r="R178" s="975">
        <f t="shared" si="68"/>
        <v>2.8630136986301369</v>
      </c>
      <c r="S178" s="968">
        <f t="shared" si="69"/>
        <v>2578</v>
      </c>
      <c r="T178" s="968">
        <f t="shared" si="70"/>
        <v>53872</v>
      </c>
      <c r="U178" s="969">
        <f t="shared" si="71"/>
        <v>0</v>
      </c>
      <c r="V178" s="969">
        <f t="shared" si="72"/>
        <v>56450</v>
      </c>
    </row>
    <row r="179" spans="1:22">
      <c r="A179" s="816"/>
      <c r="B179" s="828">
        <f t="shared" si="55"/>
        <v>175</v>
      </c>
      <c r="C179" s="970" t="s">
        <v>320</v>
      </c>
      <c r="D179" s="983" t="s">
        <v>1735</v>
      </c>
      <c r="E179" s="970">
        <v>148</v>
      </c>
      <c r="F179" s="971">
        <v>45075</v>
      </c>
      <c r="G179" s="971">
        <v>45077</v>
      </c>
      <c r="H179" s="970" t="s">
        <v>773</v>
      </c>
      <c r="I179" s="962">
        <f t="shared" si="66"/>
        <v>45077</v>
      </c>
      <c r="J179" s="973">
        <v>78234</v>
      </c>
      <c r="K179" s="973"/>
      <c r="L179" s="973"/>
      <c r="M179" s="973"/>
      <c r="N179" s="973">
        <v>11934</v>
      </c>
      <c r="O179" s="964">
        <f t="shared" si="54"/>
        <v>66300</v>
      </c>
      <c r="P179" s="965">
        <f t="shared" si="67"/>
        <v>305</v>
      </c>
      <c r="Q179" s="974">
        <v>9</v>
      </c>
      <c r="R179" s="975">
        <f t="shared" si="68"/>
        <v>8.1643835616438363</v>
      </c>
      <c r="S179" s="968">
        <f t="shared" si="69"/>
        <v>6156</v>
      </c>
      <c r="T179" s="968">
        <f t="shared" si="70"/>
        <v>60144</v>
      </c>
      <c r="U179" s="969">
        <f t="shared" si="71"/>
        <v>66300</v>
      </c>
      <c r="V179" s="969">
        <f t="shared" si="72"/>
        <v>0</v>
      </c>
    </row>
    <row r="180" spans="1:22">
      <c r="A180" s="816"/>
      <c r="B180" s="828">
        <f t="shared" si="55"/>
        <v>176</v>
      </c>
      <c r="C180" s="970" t="s">
        <v>320</v>
      </c>
      <c r="D180" s="983" t="s">
        <v>1735</v>
      </c>
      <c r="E180" s="970">
        <v>287</v>
      </c>
      <c r="F180" s="971">
        <v>45127</v>
      </c>
      <c r="G180" s="971">
        <v>45138</v>
      </c>
      <c r="H180" s="970" t="s">
        <v>773</v>
      </c>
      <c r="I180" s="962">
        <f t="shared" si="66"/>
        <v>45138</v>
      </c>
      <c r="J180" s="973">
        <v>53808</v>
      </c>
      <c r="K180" s="973"/>
      <c r="L180" s="973"/>
      <c r="M180" s="973"/>
      <c r="N180" s="973">
        <v>8208</v>
      </c>
      <c r="O180" s="964">
        <f t="shared" si="54"/>
        <v>45600</v>
      </c>
      <c r="P180" s="965">
        <f t="shared" si="67"/>
        <v>244</v>
      </c>
      <c r="Q180" s="974">
        <v>9</v>
      </c>
      <c r="R180" s="975">
        <f t="shared" si="68"/>
        <v>8.331506849315069</v>
      </c>
      <c r="S180" s="968">
        <f t="shared" si="69"/>
        <v>3387</v>
      </c>
      <c r="T180" s="968">
        <f t="shared" si="70"/>
        <v>42213</v>
      </c>
      <c r="U180" s="969">
        <f t="shared" si="71"/>
        <v>45600</v>
      </c>
      <c r="V180" s="969">
        <f t="shared" si="72"/>
        <v>0</v>
      </c>
    </row>
    <row r="181" spans="1:22">
      <c r="A181" s="816"/>
      <c r="B181" s="828">
        <f t="shared" si="55"/>
        <v>177</v>
      </c>
      <c r="C181" s="970" t="s">
        <v>320</v>
      </c>
      <c r="D181" s="970" t="s">
        <v>1735</v>
      </c>
      <c r="E181" s="970">
        <v>434</v>
      </c>
      <c r="F181" s="971">
        <v>45190</v>
      </c>
      <c r="G181" s="971">
        <v>45209</v>
      </c>
      <c r="H181" s="970" t="s">
        <v>773</v>
      </c>
      <c r="I181" s="962">
        <f t="shared" si="66"/>
        <v>45209</v>
      </c>
      <c r="J181" s="973">
        <v>71744</v>
      </c>
      <c r="K181" s="973"/>
      <c r="L181" s="973"/>
      <c r="M181" s="973"/>
      <c r="N181" s="973">
        <v>10944</v>
      </c>
      <c r="O181" s="964">
        <f t="shared" si="54"/>
        <v>60800</v>
      </c>
      <c r="P181" s="965">
        <f t="shared" si="67"/>
        <v>173</v>
      </c>
      <c r="Q181" s="974">
        <v>3</v>
      </c>
      <c r="R181" s="975">
        <f t="shared" si="68"/>
        <v>2.526027397260274</v>
      </c>
      <c r="S181" s="968">
        <f t="shared" si="69"/>
        <v>9606</v>
      </c>
      <c r="T181" s="968">
        <f t="shared" si="70"/>
        <v>51194</v>
      </c>
      <c r="U181" s="969">
        <f t="shared" si="71"/>
        <v>0</v>
      </c>
      <c r="V181" s="969">
        <f t="shared" si="72"/>
        <v>60800</v>
      </c>
    </row>
    <row r="182" spans="1:22">
      <c r="A182" s="816"/>
      <c r="B182" s="828">
        <f t="shared" si="55"/>
        <v>178</v>
      </c>
      <c r="C182" s="970" t="s">
        <v>320</v>
      </c>
      <c r="D182" s="970" t="s">
        <v>1735</v>
      </c>
      <c r="E182" s="970">
        <v>563</v>
      </c>
      <c r="F182" s="971">
        <v>45253</v>
      </c>
      <c r="G182" s="971">
        <v>45271</v>
      </c>
      <c r="H182" s="970" t="s">
        <v>773</v>
      </c>
      <c r="I182" s="962">
        <f t="shared" si="66"/>
        <v>45271</v>
      </c>
      <c r="J182" s="973">
        <v>39648</v>
      </c>
      <c r="K182" s="973"/>
      <c r="L182" s="973"/>
      <c r="M182" s="973"/>
      <c r="N182" s="973">
        <v>6048</v>
      </c>
      <c r="O182" s="964">
        <f t="shared" si="54"/>
        <v>33600</v>
      </c>
      <c r="P182" s="965">
        <f t="shared" si="67"/>
        <v>111</v>
      </c>
      <c r="Q182" s="974">
        <v>3</v>
      </c>
      <c r="R182" s="975">
        <f t="shared" si="68"/>
        <v>2.6958904109589041</v>
      </c>
      <c r="S182" s="968">
        <f t="shared" si="69"/>
        <v>3406</v>
      </c>
      <c r="T182" s="968">
        <f t="shared" si="70"/>
        <v>30194</v>
      </c>
      <c r="U182" s="969">
        <f t="shared" si="71"/>
        <v>0</v>
      </c>
      <c r="V182" s="969">
        <f t="shared" si="72"/>
        <v>33600</v>
      </c>
    </row>
    <row r="183" spans="1:22">
      <c r="A183" s="816"/>
      <c r="B183" s="828">
        <f t="shared" si="55"/>
        <v>179</v>
      </c>
      <c r="C183" s="970" t="s">
        <v>320</v>
      </c>
      <c r="D183" s="970" t="s">
        <v>1735</v>
      </c>
      <c r="E183" s="970">
        <v>577</v>
      </c>
      <c r="F183" s="971">
        <v>45258</v>
      </c>
      <c r="G183" s="971">
        <v>45271</v>
      </c>
      <c r="H183" s="970" t="s">
        <v>773</v>
      </c>
      <c r="I183" s="962">
        <f t="shared" si="66"/>
        <v>45271</v>
      </c>
      <c r="J183" s="973">
        <v>35872</v>
      </c>
      <c r="K183" s="973"/>
      <c r="L183" s="973"/>
      <c r="M183" s="973"/>
      <c r="N183" s="973">
        <v>5472</v>
      </c>
      <c r="O183" s="964">
        <f t="shared" si="54"/>
        <v>30400</v>
      </c>
      <c r="P183" s="965">
        <f t="shared" si="67"/>
        <v>111</v>
      </c>
      <c r="Q183" s="974">
        <v>3</v>
      </c>
      <c r="R183" s="975">
        <f t="shared" si="68"/>
        <v>2.6958904109589041</v>
      </c>
      <c r="S183" s="968">
        <f t="shared" si="69"/>
        <v>3082</v>
      </c>
      <c r="T183" s="968">
        <f t="shared" si="70"/>
        <v>27318</v>
      </c>
      <c r="U183" s="969">
        <f t="shared" si="71"/>
        <v>0</v>
      </c>
      <c r="V183" s="969">
        <f t="shared" si="72"/>
        <v>30400</v>
      </c>
    </row>
    <row r="184" spans="1:22">
      <c r="A184" s="816"/>
      <c r="B184" s="828">
        <f t="shared" si="55"/>
        <v>180</v>
      </c>
      <c r="C184" s="970" t="s">
        <v>320</v>
      </c>
      <c r="D184" s="983" t="s">
        <v>1735</v>
      </c>
      <c r="E184" s="970">
        <v>687</v>
      </c>
      <c r="F184" s="971">
        <v>45308</v>
      </c>
      <c r="G184" s="971">
        <v>45332</v>
      </c>
      <c r="H184" s="970" t="s">
        <v>773</v>
      </c>
      <c r="I184" s="962">
        <f t="shared" si="66"/>
        <v>45332</v>
      </c>
      <c r="J184" s="973">
        <v>17936</v>
      </c>
      <c r="K184" s="973"/>
      <c r="L184" s="973"/>
      <c r="M184" s="973"/>
      <c r="N184" s="973">
        <v>2736</v>
      </c>
      <c r="O184" s="964">
        <f t="shared" si="54"/>
        <v>15200</v>
      </c>
      <c r="P184" s="965">
        <f t="shared" si="67"/>
        <v>50</v>
      </c>
      <c r="Q184" s="974">
        <v>3</v>
      </c>
      <c r="R184" s="975">
        <f t="shared" si="68"/>
        <v>2.8630136986301369</v>
      </c>
      <c r="S184" s="968">
        <f t="shared" si="69"/>
        <v>694</v>
      </c>
      <c r="T184" s="968">
        <f t="shared" si="70"/>
        <v>14506</v>
      </c>
      <c r="U184" s="969">
        <f t="shared" si="71"/>
        <v>0</v>
      </c>
      <c r="V184" s="969">
        <f t="shared" si="72"/>
        <v>15200</v>
      </c>
    </row>
    <row r="185" spans="1:22">
      <c r="A185" s="816"/>
      <c r="B185" s="828">
        <f t="shared" si="55"/>
        <v>181</v>
      </c>
      <c r="C185" s="970" t="s">
        <v>320</v>
      </c>
      <c r="D185" s="983" t="s">
        <v>1735</v>
      </c>
      <c r="E185" s="970">
        <v>694</v>
      </c>
      <c r="F185" s="971">
        <v>45311</v>
      </c>
      <c r="G185" s="971">
        <v>45332</v>
      </c>
      <c r="H185" s="970" t="s">
        <v>773</v>
      </c>
      <c r="I185" s="962">
        <f t="shared" si="66"/>
        <v>45332</v>
      </c>
      <c r="J185" s="973">
        <v>60888</v>
      </c>
      <c r="K185" s="973"/>
      <c r="L185" s="973"/>
      <c r="M185" s="973"/>
      <c r="N185" s="973">
        <v>9288</v>
      </c>
      <c r="O185" s="964">
        <f t="shared" si="54"/>
        <v>51600</v>
      </c>
      <c r="P185" s="965">
        <f t="shared" si="67"/>
        <v>50</v>
      </c>
      <c r="Q185" s="974">
        <v>3</v>
      </c>
      <c r="R185" s="975">
        <f t="shared" si="68"/>
        <v>2.8630136986301369</v>
      </c>
      <c r="S185" s="968">
        <f t="shared" si="69"/>
        <v>2356</v>
      </c>
      <c r="T185" s="968">
        <f t="shared" si="70"/>
        <v>49244</v>
      </c>
      <c r="U185" s="969">
        <f t="shared" si="71"/>
        <v>0</v>
      </c>
      <c r="V185" s="969">
        <f t="shared" si="72"/>
        <v>51600</v>
      </c>
    </row>
    <row r="186" spans="1:22">
      <c r="A186" s="816"/>
      <c r="B186" s="828">
        <f t="shared" si="55"/>
        <v>182</v>
      </c>
      <c r="C186" s="979" t="s">
        <v>983</v>
      </c>
      <c r="D186" s="960" t="s">
        <v>1735</v>
      </c>
      <c r="E186" s="979">
        <v>192</v>
      </c>
      <c r="F186" s="962">
        <v>45036</v>
      </c>
      <c r="G186" s="962">
        <v>45041</v>
      </c>
      <c r="H186" s="979" t="s">
        <v>1696</v>
      </c>
      <c r="I186" s="962">
        <f t="shared" si="66"/>
        <v>45041</v>
      </c>
      <c r="J186" s="964">
        <v>165200</v>
      </c>
      <c r="K186" s="964"/>
      <c r="L186" s="964"/>
      <c r="M186" s="964"/>
      <c r="N186" s="964">
        <v>25200</v>
      </c>
      <c r="O186" s="964">
        <f t="shared" si="54"/>
        <v>140000</v>
      </c>
      <c r="P186" s="965">
        <f t="shared" si="67"/>
        <v>341</v>
      </c>
      <c r="Q186" s="966">
        <v>9</v>
      </c>
      <c r="R186" s="967">
        <f t="shared" si="68"/>
        <v>8.0657534246575349</v>
      </c>
      <c r="S186" s="968">
        <f t="shared" si="69"/>
        <v>14533</v>
      </c>
      <c r="T186" s="968">
        <f t="shared" si="70"/>
        <v>125467</v>
      </c>
      <c r="U186" s="969">
        <f t="shared" si="71"/>
        <v>140000</v>
      </c>
      <c r="V186" s="969">
        <f t="shared" si="72"/>
        <v>0</v>
      </c>
    </row>
    <row r="187" spans="1:22">
      <c r="A187" s="816"/>
      <c r="B187" s="828">
        <f t="shared" si="55"/>
        <v>183</v>
      </c>
      <c r="C187" s="979" t="s">
        <v>983</v>
      </c>
      <c r="D187" s="960" t="s">
        <v>1735</v>
      </c>
      <c r="E187" s="979">
        <v>244</v>
      </c>
      <c r="F187" s="962">
        <v>45042</v>
      </c>
      <c r="G187" s="962">
        <v>45046</v>
      </c>
      <c r="H187" s="979" t="s">
        <v>1696</v>
      </c>
      <c r="I187" s="962">
        <f t="shared" si="66"/>
        <v>45046</v>
      </c>
      <c r="J187" s="964">
        <v>79060</v>
      </c>
      <c r="K187" s="964"/>
      <c r="L187" s="964"/>
      <c r="M187" s="964"/>
      <c r="N187" s="964">
        <v>12060</v>
      </c>
      <c r="O187" s="964">
        <f t="shared" si="54"/>
        <v>67000</v>
      </c>
      <c r="P187" s="965">
        <f t="shared" si="67"/>
        <v>336</v>
      </c>
      <c r="Q187" s="966">
        <v>9</v>
      </c>
      <c r="R187" s="967">
        <f t="shared" si="68"/>
        <v>8.0794520547945208</v>
      </c>
      <c r="S187" s="968">
        <f t="shared" si="69"/>
        <v>6853</v>
      </c>
      <c r="T187" s="968">
        <f t="shared" si="70"/>
        <v>60147</v>
      </c>
      <c r="U187" s="969">
        <f t="shared" si="71"/>
        <v>67000</v>
      </c>
      <c r="V187" s="969">
        <f t="shared" si="72"/>
        <v>0</v>
      </c>
    </row>
    <row r="188" spans="1:22">
      <c r="A188" s="816"/>
      <c r="B188" s="828">
        <f t="shared" si="55"/>
        <v>184</v>
      </c>
      <c r="C188" s="979" t="s">
        <v>983</v>
      </c>
      <c r="D188" s="960" t="s">
        <v>1735</v>
      </c>
      <c r="E188" s="979">
        <v>1416</v>
      </c>
      <c r="F188" s="962">
        <v>45149</v>
      </c>
      <c r="G188" s="962">
        <v>45169</v>
      </c>
      <c r="H188" s="979" t="s">
        <v>1696</v>
      </c>
      <c r="I188" s="962">
        <f t="shared" si="66"/>
        <v>45169</v>
      </c>
      <c r="J188" s="964">
        <v>135700</v>
      </c>
      <c r="K188" s="964"/>
      <c r="L188" s="964"/>
      <c r="M188" s="964"/>
      <c r="N188" s="964">
        <v>20700</v>
      </c>
      <c r="O188" s="964">
        <f t="shared" si="54"/>
        <v>115000</v>
      </c>
      <c r="P188" s="965">
        <f t="shared" si="67"/>
        <v>213</v>
      </c>
      <c r="Q188" s="966">
        <v>9</v>
      </c>
      <c r="R188" s="967">
        <f t="shared" si="68"/>
        <v>8.4164383561643827</v>
      </c>
      <c r="S188" s="968">
        <f t="shared" si="69"/>
        <v>7457</v>
      </c>
      <c r="T188" s="968">
        <f t="shared" si="70"/>
        <v>107543</v>
      </c>
      <c r="U188" s="969">
        <f t="shared" si="71"/>
        <v>115000</v>
      </c>
      <c r="V188" s="969">
        <f t="shared" si="72"/>
        <v>0</v>
      </c>
    </row>
    <row r="189" spans="1:22">
      <c r="A189" s="816"/>
      <c r="B189" s="828">
        <f t="shared" si="55"/>
        <v>185</v>
      </c>
      <c r="C189" s="979" t="s">
        <v>983</v>
      </c>
      <c r="D189" s="960" t="s">
        <v>1735</v>
      </c>
      <c r="E189" s="979">
        <v>1444</v>
      </c>
      <c r="F189" s="962">
        <v>45154</v>
      </c>
      <c r="G189" s="962">
        <v>45169</v>
      </c>
      <c r="H189" s="979" t="s">
        <v>1696</v>
      </c>
      <c r="I189" s="962">
        <f t="shared" si="66"/>
        <v>45169</v>
      </c>
      <c r="J189" s="964">
        <v>67850</v>
      </c>
      <c r="K189" s="964"/>
      <c r="L189" s="964"/>
      <c r="M189" s="964"/>
      <c r="N189" s="964">
        <v>10350</v>
      </c>
      <c r="O189" s="964">
        <f t="shared" si="54"/>
        <v>57500</v>
      </c>
      <c r="P189" s="965">
        <f t="shared" si="67"/>
        <v>213</v>
      </c>
      <c r="Q189" s="966">
        <v>9</v>
      </c>
      <c r="R189" s="967">
        <f t="shared" si="68"/>
        <v>8.4164383561643827</v>
      </c>
      <c r="S189" s="968">
        <f t="shared" si="69"/>
        <v>3728</v>
      </c>
      <c r="T189" s="968">
        <f t="shared" si="70"/>
        <v>53772</v>
      </c>
      <c r="U189" s="969">
        <f t="shared" si="71"/>
        <v>57500</v>
      </c>
      <c r="V189" s="969">
        <f t="shared" si="72"/>
        <v>0</v>
      </c>
    </row>
    <row r="190" spans="1:22">
      <c r="A190" s="816"/>
      <c r="B190" s="828">
        <f t="shared" si="55"/>
        <v>186</v>
      </c>
      <c r="C190" s="960" t="s">
        <v>983</v>
      </c>
      <c r="D190" s="960" t="s">
        <v>1735</v>
      </c>
      <c r="E190" s="960">
        <v>3039</v>
      </c>
      <c r="F190" s="961">
        <v>45308</v>
      </c>
      <c r="G190" s="961">
        <v>45322</v>
      </c>
      <c r="H190" s="960" t="s">
        <v>1696</v>
      </c>
      <c r="I190" s="962">
        <f t="shared" si="66"/>
        <v>45322</v>
      </c>
      <c r="J190" s="963">
        <v>66080</v>
      </c>
      <c r="K190" s="963"/>
      <c r="L190" s="964"/>
      <c r="M190" s="964"/>
      <c r="N190" s="964">
        <v>10080</v>
      </c>
      <c r="O190" s="964">
        <f t="shared" si="54"/>
        <v>56000</v>
      </c>
      <c r="P190" s="965">
        <f t="shared" si="67"/>
        <v>60</v>
      </c>
      <c r="Q190" s="966">
        <v>9</v>
      </c>
      <c r="R190" s="967">
        <f t="shared" si="68"/>
        <v>8.8356164383561637</v>
      </c>
      <c r="S190" s="968">
        <f t="shared" si="69"/>
        <v>1023</v>
      </c>
      <c r="T190" s="968">
        <f t="shared" si="70"/>
        <v>54977</v>
      </c>
      <c r="U190" s="969">
        <f t="shared" si="71"/>
        <v>0</v>
      </c>
      <c r="V190" s="969">
        <f t="shared" si="72"/>
        <v>56000</v>
      </c>
    </row>
    <row r="191" spans="1:22">
      <c r="A191" s="816"/>
      <c r="B191" s="828">
        <f t="shared" si="55"/>
        <v>187</v>
      </c>
      <c r="C191" s="960" t="s">
        <v>309</v>
      </c>
      <c r="D191" s="960" t="s">
        <v>1735</v>
      </c>
      <c r="E191" s="960" t="s">
        <v>4217</v>
      </c>
      <c r="F191" s="961">
        <v>45382</v>
      </c>
      <c r="G191" s="961">
        <v>45382</v>
      </c>
      <c r="H191" s="960" t="s">
        <v>4216</v>
      </c>
      <c r="I191" s="962">
        <f t="shared" si="66"/>
        <v>45382</v>
      </c>
      <c r="J191" s="963">
        <v>85965</v>
      </c>
      <c r="K191" s="963"/>
      <c r="L191" s="964"/>
      <c r="M191" s="964"/>
      <c r="N191" s="964">
        <v>13113.36</v>
      </c>
      <c r="O191" s="964">
        <f t="shared" si="54"/>
        <v>72851.64</v>
      </c>
      <c r="P191" s="965">
        <f t="shared" ref="P191:P192" si="73">$P$1-I191</f>
        <v>0</v>
      </c>
      <c r="Q191" s="966">
        <v>9</v>
      </c>
      <c r="R191" s="967">
        <f t="shared" ref="R191:R192" si="74">+Q191-(P191/365)</f>
        <v>9</v>
      </c>
      <c r="S191" s="968">
        <f t="shared" ref="S191:S192" si="75">ROUND(+O191/(Q191*365)*P191,0)</f>
        <v>0</v>
      </c>
      <c r="T191" s="968">
        <f t="shared" ref="T191:T192" si="76">+O191-S191</f>
        <v>72851.64</v>
      </c>
      <c r="U191" s="969">
        <f t="shared" ref="U191:U192" si="77">IF(I191&lt;=DATE(2023,9,30),O191,0)</f>
        <v>0</v>
      </c>
      <c r="V191" s="969">
        <f t="shared" ref="V191:V192" si="78">IF(I191&gt;DATE(2023,10,1),O191,0)</f>
        <v>72851.64</v>
      </c>
    </row>
    <row r="192" spans="1:22">
      <c r="A192" s="816"/>
      <c r="B192" s="828">
        <f t="shared" si="55"/>
        <v>188</v>
      </c>
      <c r="C192" s="960" t="s">
        <v>309</v>
      </c>
      <c r="D192" s="960" t="s">
        <v>1735</v>
      </c>
      <c r="E192" s="960" t="s">
        <v>4218</v>
      </c>
      <c r="F192" s="961">
        <v>45382</v>
      </c>
      <c r="G192" s="961">
        <v>45382</v>
      </c>
      <c r="H192" s="960" t="s">
        <v>4216</v>
      </c>
      <c r="I192" s="962">
        <f t="shared" si="66"/>
        <v>45382</v>
      </c>
      <c r="J192" s="963">
        <v>18868</v>
      </c>
      <c r="K192" s="963"/>
      <c r="L192" s="964"/>
      <c r="M192" s="964"/>
      <c r="N192" s="964">
        <v>2878</v>
      </c>
      <c r="O192" s="964">
        <f t="shared" si="54"/>
        <v>15990</v>
      </c>
      <c r="P192" s="965">
        <f t="shared" si="73"/>
        <v>0</v>
      </c>
      <c r="Q192" s="966">
        <v>9</v>
      </c>
      <c r="R192" s="967">
        <f t="shared" si="74"/>
        <v>9</v>
      </c>
      <c r="S192" s="968">
        <f t="shared" si="75"/>
        <v>0</v>
      </c>
      <c r="T192" s="968">
        <f t="shared" si="76"/>
        <v>15990</v>
      </c>
      <c r="U192" s="969">
        <f t="shared" si="77"/>
        <v>0</v>
      </c>
      <c r="V192" s="969">
        <f t="shared" si="78"/>
        <v>15990</v>
      </c>
    </row>
    <row r="193" spans="1:22">
      <c r="A193" s="816"/>
      <c r="B193" s="828">
        <f t="shared" si="55"/>
        <v>189</v>
      </c>
      <c r="C193" s="979" t="s">
        <v>3842</v>
      </c>
      <c r="D193" s="960" t="s">
        <v>3461</v>
      </c>
      <c r="E193" s="979">
        <v>33342</v>
      </c>
      <c r="F193" s="962">
        <v>45136</v>
      </c>
      <c r="G193" s="962">
        <v>45136</v>
      </c>
      <c r="H193" s="979" t="s">
        <v>3843</v>
      </c>
      <c r="I193" s="962">
        <f t="shared" si="66"/>
        <v>45136</v>
      </c>
      <c r="J193" s="964">
        <v>7966</v>
      </c>
      <c r="K193" s="964"/>
      <c r="L193" s="964"/>
      <c r="M193" s="964"/>
      <c r="N193" s="964">
        <v>1216</v>
      </c>
      <c r="O193" s="964">
        <f t="shared" si="54"/>
        <v>6750</v>
      </c>
      <c r="P193" s="965">
        <f t="shared" si="67"/>
        <v>246</v>
      </c>
      <c r="Q193" s="966">
        <v>9</v>
      </c>
      <c r="R193" s="967">
        <f t="shared" si="68"/>
        <v>8.3260273972602743</v>
      </c>
      <c r="S193" s="968">
        <f t="shared" si="69"/>
        <v>505</v>
      </c>
      <c r="T193" s="968">
        <f t="shared" si="70"/>
        <v>6245</v>
      </c>
      <c r="U193" s="969">
        <f t="shared" si="71"/>
        <v>6750</v>
      </c>
      <c r="V193" s="969">
        <f t="shared" si="72"/>
        <v>0</v>
      </c>
    </row>
    <row r="194" spans="1:22">
      <c r="A194" s="816"/>
      <c r="B194" s="828">
        <f t="shared" si="55"/>
        <v>190</v>
      </c>
      <c r="C194" s="979" t="s">
        <v>328</v>
      </c>
      <c r="D194" s="960" t="s">
        <v>3461</v>
      </c>
      <c r="E194" s="979">
        <v>23241099</v>
      </c>
      <c r="F194" s="962">
        <v>45034</v>
      </c>
      <c r="G194" s="962">
        <v>45034</v>
      </c>
      <c r="H194" s="979" t="s">
        <v>3844</v>
      </c>
      <c r="I194" s="962">
        <f t="shared" si="66"/>
        <v>45034</v>
      </c>
      <c r="J194" s="964">
        <v>48380</v>
      </c>
      <c r="K194" s="964"/>
      <c r="L194" s="964"/>
      <c r="M194" s="964"/>
      <c r="N194" s="964">
        <v>7380</v>
      </c>
      <c r="O194" s="964">
        <f t="shared" si="54"/>
        <v>41000</v>
      </c>
      <c r="P194" s="965">
        <f t="shared" si="67"/>
        <v>348</v>
      </c>
      <c r="Q194" s="966">
        <v>3</v>
      </c>
      <c r="R194" s="967">
        <f t="shared" si="68"/>
        <v>2.0465753424657533</v>
      </c>
      <c r="S194" s="968">
        <f t="shared" si="69"/>
        <v>13030</v>
      </c>
      <c r="T194" s="968">
        <f t="shared" si="70"/>
        <v>27970</v>
      </c>
      <c r="U194" s="969">
        <f t="shared" si="71"/>
        <v>41000</v>
      </c>
      <c r="V194" s="969">
        <f t="shared" si="72"/>
        <v>0</v>
      </c>
    </row>
    <row r="195" spans="1:22">
      <c r="A195" s="816"/>
      <c r="B195" s="828">
        <f t="shared" si="55"/>
        <v>191</v>
      </c>
      <c r="C195" s="979" t="s">
        <v>320</v>
      </c>
      <c r="D195" s="980" t="s">
        <v>3461</v>
      </c>
      <c r="E195" s="979" t="s">
        <v>3845</v>
      </c>
      <c r="F195" s="962">
        <v>45356</v>
      </c>
      <c r="G195" s="962">
        <v>45356</v>
      </c>
      <c r="H195" s="979" t="s">
        <v>3846</v>
      </c>
      <c r="I195" s="962">
        <f t="shared" si="66"/>
        <v>45356</v>
      </c>
      <c r="J195" s="964">
        <f>41300-4915</f>
        <v>36385</v>
      </c>
      <c r="K195" s="964">
        <f>4915*0</f>
        <v>0</v>
      </c>
      <c r="L195" s="964"/>
      <c r="M195" s="964"/>
      <c r="N195" s="964">
        <v>6300</v>
      </c>
      <c r="O195" s="964">
        <f t="shared" si="54"/>
        <v>30085</v>
      </c>
      <c r="P195" s="965">
        <f t="shared" si="67"/>
        <v>26</v>
      </c>
      <c r="Q195" s="966">
        <v>9</v>
      </c>
      <c r="R195" s="967">
        <f t="shared" si="68"/>
        <v>8.9287671232876704</v>
      </c>
      <c r="S195" s="968">
        <f t="shared" si="69"/>
        <v>238</v>
      </c>
      <c r="T195" s="968">
        <f t="shared" si="70"/>
        <v>29847</v>
      </c>
      <c r="U195" s="969">
        <f t="shared" si="71"/>
        <v>0</v>
      </c>
      <c r="V195" s="969">
        <f t="shared" si="72"/>
        <v>30085</v>
      </c>
    </row>
    <row r="196" spans="1:22">
      <c r="A196" s="816"/>
      <c r="B196" s="828">
        <f t="shared" si="55"/>
        <v>192</v>
      </c>
      <c r="C196" s="979" t="s">
        <v>332</v>
      </c>
      <c r="D196" s="960" t="s">
        <v>18</v>
      </c>
      <c r="E196" s="982" t="s">
        <v>3847</v>
      </c>
      <c r="F196" s="962">
        <v>45167</v>
      </c>
      <c r="G196" s="962">
        <v>45199</v>
      </c>
      <c r="H196" s="979" t="s">
        <v>418</v>
      </c>
      <c r="I196" s="962">
        <f t="shared" si="66"/>
        <v>45199</v>
      </c>
      <c r="J196" s="964">
        <v>302375</v>
      </c>
      <c r="K196" s="964"/>
      <c r="L196" s="964"/>
      <c r="M196" s="964"/>
      <c r="N196" s="964">
        <v>46124</v>
      </c>
      <c r="O196" s="964">
        <f t="shared" si="54"/>
        <v>256251</v>
      </c>
      <c r="P196" s="965">
        <f t="shared" si="67"/>
        <v>183</v>
      </c>
      <c r="Q196" s="966">
        <v>9</v>
      </c>
      <c r="R196" s="967">
        <f t="shared" si="68"/>
        <v>8.4986301369863018</v>
      </c>
      <c r="S196" s="968">
        <f t="shared" si="69"/>
        <v>14275</v>
      </c>
      <c r="T196" s="968">
        <f t="shared" si="70"/>
        <v>241976</v>
      </c>
      <c r="U196" s="969">
        <f t="shared" si="71"/>
        <v>256251</v>
      </c>
      <c r="V196" s="969">
        <f t="shared" si="72"/>
        <v>0</v>
      </c>
    </row>
    <row r="197" spans="1:22">
      <c r="A197" s="816"/>
      <c r="B197" s="828">
        <f t="shared" si="55"/>
        <v>193</v>
      </c>
      <c r="C197" s="979" t="s">
        <v>332</v>
      </c>
      <c r="D197" s="960" t="s">
        <v>3848</v>
      </c>
      <c r="E197" s="979" t="s">
        <v>3849</v>
      </c>
      <c r="F197" s="962">
        <v>45045</v>
      </c>
      <c r="G197" s="962">
        <v>45045</v>
      </c>
      <c r="H197" s="979" t="s">
        <v>424</v>
      </c>
      <c r="I197" s="962">
        <f t="shared" si="66"/>
        <v>45045</v>
      </c>
      <c r="J197" s="964">
        <v>1758200</v>
      </c>
      <c r="K197" s="964"/>
      <c r="L197" s="964"/>
      <c r="M197" s="964"/>
      <c r="N197" s="964">
        <v>268200</v>
      </c>
      <c r="O197" s="964">
        <f t="shared" si="54"/>
        <v>1490000</v>
      </c>
      <c r="P197" s="965">
        <f t="shared" si="67"/>
        <v>337</v>
      </c>
      <c r="Q197" s="966">
        <v>9</v>
      </c>
      <c r="R197" s="967">
        <f t="shared" si="68"/>
        <v>8.0767123287671225</v>
      </c>
      <c r="S197" s="968">
        <f t="shared" si="69"/>
        <v>152855</v>
      </c>
      <c r="T197" s="968">
        <f t="shared" si="70"/>
        <v>1337145</v>
      </c>
      <c r="U197" s="969">
        <f t="shared" si="71"/>
        <v>1490000</v>
      </c>
      <c r="V197" s="969">
        <f t="shared" si="72"/>
        <v>0</v>
      </c>
    </row>
    <row r="198" spans="1:22">
      <c r="A198" s="816"/>
      <c r="B198" s="828">
        <f t="shared" si="55"/>
        <v>194</v>
      </c>
      <c r="C198" s="979" t="s">
        <v>332</v>
      </c>
      <c r="D198" s="960" t="s">
        <v>3848</v>
      </c>
      <c r="E198" s="979" t="s">
        <v>3850</v>
      </c>
      <c r="F198" s="962">
        <v>45045</v>
      </c>
      <c r="G198" s="962">
        <v>45048</v>
      </c>
      <c r="H198" s="979" t="s">
        <v>424</v>
      </c>
      <c r="I198" s="962">
        <f t="shared" si="66"/>
        <v>45048</v>
      </c>
      <c r="J198" s="964">
        <v>1758200</v>
      </c>
      <c r="K198" s="964"/>
      <c r="L198" s="964"/>
      <c r="M198" s="964"/>
      <c r="N198" s="964">
        <v>268200</v>
      </c>
      <c r="O198" s="964">
        <f t="shared" ref="O198:O261" si="79">+J198+L198-(K198+M198+N198)</f>
        <v>1490000</v>
      </c>
      <c r="P198" s="965">
        <f t="shared" si="67"/>
        <v>334</v>
      </c>
      <c r="Q198" s="966">
        <v>9</v>
      </c>
      <c r="R198" s="967">
        <f t="shared" si="68"/>
        <v>8.0849315068493155</v>
      </c>
      <c r="S198" s="968">
        <f t="shared" si="69"/>
        <v>151495</v>
      </c>
      <c r="T198" s="968">
        <f t="shared" si="70"/>
        <v>1338505</v>
      </c>
      <c r="U198" s="969">
        <f t="shared" si="71"/>
        <v>1490000</v>
      </c>
      <c r="V198" s="969">
        <f t="shared" si="72"/>
        <v>0</v>
      </c>
    </row>
    <row r="199" spans="1:22">
      <c r="A199" s="816"/>
      <c r="B199" s="828">
        <f t="shared" si="55"/>
        <v>195</v>
      </c>
      <c r="C199" s="960" t="s">
        <v>576</v>
      </c>
      <c r="D199" s="960" t="s">
        <v>3848</v>
      </c>
      <c r="E199" s="960" t="s">
        <v>3851</v>
      </c>
      <c r="F199" s="961">
        <v>45273</v>
      </c>
      <c r="G199" s="961">
        <v>45290</v>
      </c>
      <c r="H199" s="960" t="s">
        <v>3852</v>
      </c>
      <c r="I199" s="962">
        <f t="shared" si="66"/>
        <v>45290</v>
      </c>
      <c r="J199" s="964">
        <v>442500</v>
      </c>
      <c r="K199" s="964"/>
      <c r="L199" s="964"/>
      <c r="M199" s="964"/>
      <c r="N199" s="964">
        <v>67500</v>
      </c>
      <c r="O199" s="964">
        <f t="shared" si="79"/>
        <v>375000</v>
      </c>
      <c r="P199" s="965">
        <f t="shared" si="67"/>
        <v>92</v>
      </c>
      <c r="Q199" s="966">
        <v>9</v>
      </c>
      <c r="R199" s="967">
        <f t="shared" si="68"/>
        <v>8.7479452054794518</v>
      </c>
      <c r="S199" s="968">
        <f t="shared" si="69"/>
        <v>10502</v>
      </c>
      <c r="T199" s="968">
        <f t="shared" si="70"/>
        <v>364498</v>
      </c>
      <c r="U199" s="969">
        <f t="shared" si="71"/>
        <v>0</v>
      </c>
      <c r="V199" s="969">
        <f t="shared" si="72"/>
        <v>375000</v>
      </c>
    </row>
    <row r="200" spans="1:22">
      <c r="A200" s="816"/>
      <c r="B200" s="828">
        <f t="shared" ref="B200:B263" si="80">+B199+1</f>
        <v>196</v>
      </c>
      <c r="C200" s="960" t="s">
        <v>1814</v>
      </c>
      <c r="D200" s="960" t="s">
        <v>3848</v>
      </c>
      <c r="E200" s="960">
        <v>833063166</v>
      </c>
      <c r="F200" s="961">
        <v>45042</v>
      </c>
      <c r="G200" s="961">
        <v>45056</v>
      </c>
      <c r="H200" s="960" t="s">
        <v>3347</v>
      </c>
      <c r="I200" s="962">
        <f t="shared" si="66"/>
        <v>45056</v>
      </c>
      <c r="J200" s="964">
        <f>2832000-1200000</f>
        <v>1632000</v>
      </c>
      <c r="K200" s="964">
        <f>1200000*0</f>
        <v>0</v>
      </c>
      <c r="L200" s="964"/>
      <c r="M200" s="964"/>
      <c r="N200" s="964">
        <v>432000</v>
      </c>
      <c r="O200" s="964">
        <f t="shared" si="79"/>
        <v>1200000</v>
      </c>
      <c r="P200" s="965">
        <f t="shared" si="67"/>
        <v>326</v>
      </c>
      <c r="Q200" s="966">
        <v>9</v>
      </c>
      <c r="R200" s="967">
        <f t="shared" si="68"/>
        <v>8.1068493150684926</v>
      </c>
      <c r="S200" s="968">
        <f t="shared" si="69"/>
        <v>119087</v>
      </c>
      <c r="T200" s="968">
        <f t="shared" si="70"/>
        <v>1080913</v>
      </c>
      <c r="U200" s="969">
        <f t="shared" si="71"/>
        <v>1200000</v>
      </c>
      <c r="V200" s="969">
        <f t="shared" si="72"/>
        <v>0</v>
      </c>
    </row>
    <row r="201" spans="1:22">
      <c r="A201" s="816"/>
      <c r="B201" s="828">
        <f t="shared" si="80"/>
        <v>197</v>
      </c>
      <c r="C201" s="960" t="s">
        <v>1814</v>
      </c>
      <c r="D201" s="960" t="s">
        <v>3848</v>
      </c>
      <c r="E201" s="960">
        <v>633063170</v>
      </c>
      <c r="F201" s="961">
        <v>45042</v>
      </c>
      <c r="G201" s="961">
        <v>45056</v>
      </c>
      <c r="H201" s="960" t="s">
        <v>3347</v>
      </c>
      <c r="I201" s="962">
        <f t="shared" si="66"/>
        <v>45056</v>
      </c>
      <c r="J201" s="964">
        <f t="shared" ref="J201:J204" si="81">2832000-1200000</f>
        <v>1632000</v>
      </c>
      <c r="K201" s="964">
        <f t="shared" ref="K201:K204" si="82">1200000*0</f>
        <v>0</v>
      </c>
      <c r="L201" s="964"/>
      <c r="M201" s="964"/>
      <c r="N201" s="964">
        <v>432000</v>
      </c>
      <c r="O201" s="964">
        <f t="shared" si="79"/>
        <v>1200000</v>
      </c>
      <c r="P201" s="965">
        <f t="shared" si="67"/>
        <v>326</v>
      </c>
      <c r="Q201" s="966">
        <v>9</v>
      </c>
      <c r="R201" s="967">
        <f t="shared" si="68"/>
        <v>8.1068493150684926</v>
      </c>
      <c r="S201" s="968">
        <f t="shared" si="69"/>
        <v>119087</v>
      </c>
      <c r="T201" s="968">
        <f t="shared" si="70"/>
        <v>1080913</v>
      </c>
      <c r="U201" s="969">
        <f t="shared" si="71"/>
        <v>1200000</v>
      </c>
      <c r="V201" s="969">
        <f t="shared" si="72"/>
        <v>0</v>
      </c>
    </row>
    <row r="202" spans="1:22">
      <c r="A202" s="816"/>
      <c r="B202" s="828">
        <f t="shared" si="80"/>
        <v>198</v>
      </c>
      <c r="C202" s="960" t="s">
        <v>1814</v>
      </c>
      <c r="D202" s="960" t="s">
        <v>3848</v>
      </c>
      <c r="E202" s="960">
        <v>833063172</v>
      </c>
      <c r="F202" s="961">
        <v>45042</v>
      </c>
      <c r="G202" s="961">
        <v>45056</v>
      </c>
      <c r="H202" s="960" t="s">
        <v>3347</v>
      </c>
      <c r="I202" s="962">
        <f t="shared" si="66"/>
        <v>45056</v>
      </c>
      <c r="J202" s="964">
        <f t="shared" si="81"/>
        <v>1632000</v>
      </c>
      <c r="K202" s="964">
        <f t="shared" si="82"/>
        <v>0</v>
      </c>
      <c r="L202" s="964"/>
      <c r="M202" s="964"/>
      <c r="N202" s="964">
        <v>432000</v>
      </c>
      <c r="O202" s="964">
        <f t="shared" si="79"/>
        <v>1200000</v>
      </c>
      <c r="P202" s="965">
        <f t="shared" si="67"/>
        <v>326</v>
      </c>
      <c r="Q202" s="966">
        <v>9</v>
      </c>
      <c r="R202" s="967">
        <f t="shared" si="68"/>
        <v>8.1068493150684926</v>
      </c>
      <c r="S202" s="968">
        <f t="shared" si="69"/>
        <v>119087</v>
      </c>
      <c r="T202" s="968">
        <f t="shared" si="70"/>
        <v>1080913</v>
      </c>
      <c r="U202" s="969">
        <f t="shared" si="71"/>
        <v>1200000</v>
      </c>
      <c r="V202" s="969">
        <f t="shared" si="72"/>
        <v>0</v>
      </c>
    </row>
    <row r="203" spans="1:22">
      <c r="A203" s="816"/>
      <c r="B203" s="828">
        <f t="shared" si="80"/>
        <v>199</v>
      </c>
      <c r="C203" s="960" t="s">
        <v>1814</v>
      </c>
      <c r="D203" s="960" t="s">
        <v>3848</v>
      </c>
      <c r="E203" s="960">
        <v>833063219</v>
      </c>
      <c r="F203" s="961">
        <v>45042</v>
      </c>
      <c r="G203" s="961">
        <v>45056</v>
      </c>
      <c r="H203" s="960" t="s">
        <v>3347</v>
      </c>
      <c r="I203" s="962">
        <f t="shared" si="66"/>
        <v>45056</v>
      </c>
      <c r="J203" s="964">
        <f t="shared" si="81"/>
        <v>1632000</v>
      </c>
      <c r="K203" s="964">
        <f t="shared" si="82"/>
        <v>0</v>
      </c>
      <c r="L203" s="964"/>
      <c r="M203" s="964"/>
      <c r="N203" s="964">
        <v>432000</v>
      </c>
      <c r="O203" s="964">
        <f t="shared" si="79"/>
        <v>1200000</v>
      </c>
      <c r="P203" s="965">
        <f t="shared" si="67"/>
        <v>326</v>
      </c>
      <c r="Q203" s="966">
        <v>9</v>
      </c>
      <c r="R203" s="967">
        <f t="shared" si="68"/>
        <v>8.1068493150684926</v>
      </c>
      <c r="S203" s="968">
        <f t="shared" si="69"/>
        <v>119087</v>
      </c>
      <c r="T203" s="968">
        <f t="shared" si="70"/>
        <v>1080913</v>
      </c>
      <c r="U203" s="969">
        <f t="shared" si="71"/>
        <v>1200000</v>
      </c>
      <c r="V203" s="969">
        <f t="shared" si="72"/>
        <v>0</v>
      </c>
    </row>
    <row r="204" spans="1:22">
      <c r="A204" s="816"/>
      <c r="B204" s="828">
        <f t="shared" si="80"/>
        <v>200</v>
      </c>
      <c r="C204" s="960" t="s">
        <v>1814</v>
      </c>
      <c r="D204" s="960" t="s">
        <v>3848</v>
      </c>
      <c r="E204" s="960">
        <v>833063220</v>
      </c>
      <c r="F204" s="961">
        <v>45042</v>
      </c>
      <c r="G204" s="961">
        <v>45061</v>
      </c>
      <c r="H204" s="960" t="s">
        <v>3347</v>
      </c>
      <c r="I204" s="962">
        <f t="shared" si="66"/>
        <v>45061</v>
      </c>
      <c r="J204" s="964">
        <f t="shared" si="81"/>
        <v>1632000</v>
      </c>
      <c r="K204" s="964">
        <f t="shared" si="82"/>
        <v>0</v>
      </c>
      <c r="L204" s="964"/>
      <c r="M204" s="964"/>
      <c r="N204" s="964">
        <v>432000</v>
      </c>
      <c r="O204" s="964">
        <f t="shared" si="79"/>
        <v>1200000</v>
      </c>
      <c r="P204" s="965">
        <f t="shared" si="67"/>
        <v>321</v>
      </c>
      <c r="Q204" s="966">
        <v>9</v>
      </c>
      <c r="R204" s="967">
        <f t="shared" si="68"/>
        <v>8.1205479452054803</v>
      </c>
      <c r="S204" s="968">
        <f t="shared" si="69"/>
        <v>117260</v>
      </c>
      <c r="T204" s="968">
        <f t="shared" si="70"/>
        <v>1082740</v>
      </c>
      <c r="U204" s="969">
        <f t="shared" si="71"/>
        <v>1200000</v>
      </c>
      <c r="V204" s="969">
        <f t="shared" si="72"/>
        <v>0</v>
      </c>
    </row>
    <row r="205" spans="1:22">
      <c r="A205" s="816"/>
      <c r="B205" s="828">
        <f t="shared" si="80"/>
        <v>201</v>
      </c>
      <c r="C205" s="960" t="s">
        <v>1814</v>
      </c>
      <c r="D205" s="960" t="s">
        <v>3848</v>
      </c>
      <c r="E205" s="960">
        <v>833063495</v>
      </c>
      <c r="F205" s="961">
        <v>45045</v>
      </c>
      <c r="G205" s="961">
        <v>45061</v>
      </c>
      <c r="H205" s="960" t="s">
        <v>3347</v>
      </c>
      <c r="I205" s="962">
        <f t="shared" si="66"/>
        <v>45061</v>
      </c>
      <c r="J205" s="964">
        <v>2419000</v>
      </c>
      <c r="K205" s="964"/>
      <c r="L205" s="964"/>
      <c r="M205" s="964"/>
      <c r="N205" s="964">
        <v>369000</v>
      </c>
      <c r="O205" s="964">
        <f t="shared" si="79"/>
        <v>2050000</v>
      </c>
      <c r="P205" s="965">
        <f t="shared" si="67"/>
        <v>321</v>
      </c>
      <c r="Q205" s="966">
        <v>9</v>
      </c>
      <c r="R205" s="967">
        <f t="shared" si="68"/>
        <v>8.1205479452054803</v>
      </c>
      <c r="S205" s="968">
        <f t="shared" si="69"/>
        <v>200320</v>
      </c>
      <c r="T205" s="968">
        <f t="shared" si="70"/>
        <v>1849680</v>
      </c>
      <c r="U205" s="969">
        <f t="shared" si="71"/>
        <v>2050000</v>
      </c>
      <c r="V205" s="969">
        <f t="shared" si="72"/>
        <v>0</v>
      </c>
    </row>
    <row r="206" spans="1:22">
      <c r="A206" s="816"/>
      <c r="B206" s="828">
        <f t="shared" si="80"/>
        <v>202</v>
      </c>
      <c r="C206" s="960" t="s">
        <v>1814</v>
      </c>
      <c r="D206" s="960" t="s">
        <v>3848</v>
      </c>
      <c r="E206" s="960">
        <v>833063500</v>
      </c>
      <c r="F206" s="961">
        <v>45045</v>
      </c>
      <c r="G206" s="961">
        <v>45061</v>
      </c>
      <c r="H206" s="960" t="s">
        <v>3347</v>
      </c>
      <c r="I206" s="962">
        <f t="shared" si="66"/>
        <v>45061</v>
      </c>
      <c r="J206" s="963">
        <v>2419000</v>
      </c>
      <c r="K206" s="963"/>
      <c r="L206" s="964"/>
      <c r="M206" s="964"/>
      <c r="N206" s="964">
        <v>369000</v>
      </c>
      <c r="O206" s="964">
        <f t="shared" si="79"/>
        <v>2050000</v>
      </c>
      <c r="P206" s="965">
        <f t="shared" si="67"/>
        <v>321</v>
      </c>
      <c r="Q206" s="966">
        <v>3</v>
      </c>
      <c r="R206" s="967">
        <f t="shared" si="68"/>
        <v>2.1205479452054794</v>
      </c>
      <c r="S206" s="968">
        <f t="shared" si="69"/>
        <v>600959</v>
      </c>
      <c r="T206" s="968">
        <f t="shared" si="70"/>
        <v>1449041</v>
      </c>
      <c r="U206" s="969">
        <f t="shared" si="71"/>
        <v>2050000</v>
      </c>
      <c r="V206" s="969">
        <f t="shared" si="72"/>
        <v>0</v>
      </c>
    </row>
    <row r="207" spans="1:22">
      <c r="A207" s="816"/>
      <c r="B207" s="828">
        <f t="shared" si="80"/>
        <v>203</v>
      </c>
      <c r="C207" s="960" t="s">
        <v>1814</v>
      </c>
      <c r="D207" s="960" t="s">
        <v>3848</v>
      </c>
      <c r="E207" s="960">
        <v>833063591</v>
      </c>
      <c r="F207" s="961">
        <v>45046</v>
      </c>
      <c r="G207" s="961">
        <v>45061</v>
      </c>
      <c r="H207" s="960" t="s">
        <v>3347</v>
      </c>
      <c r="I207" s="962">
        <f t="shared" si="66"/>
        <v>45061</v>
      </c>
      <c r="J207" s="964">
        <v>2419000</v>
      </c>
      <c r="K207" s="964"/>
      <c r="L207" s="964"/>
      <c r="M207" s="964"/>
      <c r="N207" s="964">
        <v>369000</v>
      </c>
      <c r="O207" s="964">
        <f t="shared" si="79"/>
        <v>2050000</v>
      </c>
      <c r="P207" s="965">
        <f t="shared" si="67"/>
        <v>321</v>
      </c>
      <c r="Q207" s="966">
        <v>9</v>
      </c>
      <c r="R207" s="967">
        <f t="shared" si="68"/>
        <v>8.1205479452054803</v>
      </c>
      <c r="S207" s="968">
        <f t="shared" si="69"/>
        <v>200320</v>
      </c>
      <c r="T207" s="968">
        <f t="shared" si="70"/>
        <v>1849680</v>
      </c>
      <c r="U207" s="969">
        <f t="shared" si="71"/>
        <v>2050000</v>
      </c>
      <c r="V207" s="969">
        <f t="shared" si="72"/>
        <v>0</v>
      </c>
    </row>
    <row r="208" spans="1:22">
      <c r="A208" s="816"/>
      <c r="B208" s="828">
        <f t="shared" si="80"/>
        <v>204</v>
      </c>
      <c r="C208" s="960" t="s">
        <v>1814</v>
      </c>
      <c r="D208" s="960" t="s">
        <v>3848</v>
      </c>
      <c r="E208" s="960">
        <v>833063588</v>
      </c>
      <c r="F208" s="961">
        <v>45046</v>
      </c>
      <c r="G208" s="961">
        <v>45061</v>
      </c>
      <c r="H208" s="960" t="s">
        <v>3347</v>
      </c>
      <c r="I208" s="962">
        <f t="shared" si="66"/>
        <v>45061</v>
      </c>
      <c r="J208" s="964">
        <v>2419000</v>
      </c>
      <c r="K208" s="964"/>
      <c r="L208" s="964"/>
      <c r="M208" s="964"/>
      <c r="N208" s="964">
        <v>369000</v>
      </c>
      <c r="O208" s="964">
        <f t="shared" si="79"/>
        <v>2050000</v>
      </c>
      <c r="P208" s="965">
        <f t="shared" si="67"/>
        <v>321</v>
      </c>
      <c r="Q208" s="966">
        <v>9</v>
      </c>
      <c r="R208" s="967">
        <f t="shared" si="68"/>
        <v>8.1205479452054803</v>
      </c>
      <c r="S208" s="968">
        <f t="shared" si="69"/>
        <v>200320</v>
      </c>
      <c r="T208" s="968">
        <f t="shared" si="70"/>
        <v>1849680</v>
      </c>
      <c r="U208" s="969">
        <f t="shared" si="71"/>
        <v>2050000</v>
      </c>
      <c r="V208" s="969">
        <f t="shared" si="72"/>
        <v>0</v>
      </c>
    </row>
    <row r="209" spans="1:22">
      <c r="A209" s="816"/>
      <c r="B209" s="828">
        <f t="shared" si="80"/>
        <v>205</v>
      </c>
      <c r="C209" s="960" t="s">
        <v>1814</v>
      </c>
      <c r="D209" s="960" t="s">
        <v>3848</v>
      </c>
      <c r="E209" s="960">
        <v>833063589</v>
      </c>
      <c r="F209" s="961">
        <v>45046</v>
      </c>
      <c r="G209" s="961">
        <v>45061</v>
      </c>
      <c r="H209" s="960" t="s">
        <v>3347</v>
      </c>
      <c r="I209" s="962">
        <f t="shared" si="66"/>
        <v>45061</v>
      </c>
      <c r="J209" s="964">
        <v>2419000</v>
      </c>
      <c r="K209" s="964"/>
      <c r="L209" s="964"/>
      <c r="M209" s="964"/>
      <c r="N209" s="964">
        <v>369000</v>
      </c>
      <c r="O209" s="964">
        <f t="shared" si="79"/>
        <v>2050000</v>
      </c>
      <c r="P209" s="965">
        <f t="shared" si="67"/>
        <v>321</v>
      </c>
      <c r="Q209" s="966">
        <v>9</v>
      </c>
      <c r="R209" s="967">
        <f t="shared" si="68"/>
        <v>8.1205479452054803</v>
      </c>
      <c r="S209" s="968">
        <f t="shared" si="69"/>
        <v>200320</v>
      </c>
      <c r="T209" s="968">
        <f t="shared" si="70"/>
        <v>1849680</v>
      </c>
      <c r="U209" s="969">
        <f t="shared" si="71"/>
        <v>2050000</v>
      </c>
      <c r="V209" s="969">
        <f t="shared" si="72"/>
        <v>0</v>
      </c>
    </row>
    <row r="210" spans="1:22">
      <c r="A210" s="816"/>
      <c r="B210" s="828">
        <f t="shared" si="80"/>
        <v>206</v>
      </c>
      <c r="C210" s="960" t="s">
        <v>60</v>
      </c>
      <c r="D210" s="960" t="s">
        <v>3848</v>
      </c>
      <c r="E210" s="960">
        <v>3223</v>
      </c>
      <c r="F210" s="985">
        <v>45148</v>
      </c>
      <c r="G210" s="985">
        <v>45149</v>
      </c>
      <c r="H210" s="960" t="s">
        <v>423</v>
      </c>
      <c r="I210" s="962">
        <f t="shared" si="66"/>
        <v>45149</v>
      </c>
      <c r="J210" s="963">
        <v>22963</v>
      </c>
      <c r="K210" s="963"/>
      <c r="L210" s="964"/>
      <c r="M210" s="964"/>
      <c r="N210" s="964">
        <v>3503</v>
      </c>
      <c r="O210" s="964">
        <f t="shared" si="79"/>
        <v>19460</v>
      </c>
      <c r="P210" s="965">
        <f t="shared" si="67"/>
        <v>233</v>
      </c>
      <c r="Q210" s="966">
        <v>3</v>
      </c>
      <c r="R210" s="967">
        <f t="shared" si="68"/>
        <v>2.3616438356164382</v>
      </c>
      <c r="S210" s="968">
        <f t="shared" si="69"/>
        <v>4141</v>
      </c>
      <c r="T210" s="968">
        <f t="shared" si="70"/>
        <v>15319</v>
      </c>
      <c r="U210" s="969">
        <f t="shared" si="71"/>
        <v>19460</v>
      </c>
      <c r="V210" s="969">
        <f t="shared" si="72"/>
        <v>0</v>
      </c>
    </row>
    <row r="211" spans="1:22">
      <c r="A211" s="816"/>
      <c r="B211" s="828">
        <f t="shared" si="80"/>
        <v>207</v>
      </c>
      <c r="C211" s="960" t="s">
        <v>323</v>
      </c>
      <c r="D211" s="960" t="s">
        <v>3848</v>
      </c>
      <c r="E211" s="960" t="s">
        <v>3853</v>
      </c>
      <c r="F211" s="985">
        <v>45056</v>
      </c>
      <c r="G211" s="985">
        <v>45066</v>
      </c>
      <c r="H211" s="960" t="s">
        <v>170</v>
      </c>
      <c r="I211" s="962">
        <f t="shared" si="66"/>
        <v>45066</v>
      </c>
      <c r="J211" s="964">
        <f>2832000-58657</f>
        <v>2773343</v>
      </c>
      <c r="K211" s="964">
        <f>58657*0</f>
        <v>0</v>
      </c>
      <c r="L211" s="964"/>
      <c r="M211" s="964"/>
      <c r="N211" s="964">
        <v>432000</v>
      </c>
      <c r="O211" s="964">
        <f t="shared" si="79"/>
        <v>2341343</v>
      </c>
      <c r="P211" s="965">
        <f t="shared" si="67"/>
        <v>316</v>
      </c>
      <c r="Q211" s="966">
        <v>9</v>
      </c>
      <c r="R211" s="967">
        <f t="shared" si="68"/>
        <v>8.1342465753424662</v>
      </c>
      <c r="S211" s="968">
        <f t="shared" si="69"/>
        <v>225225</v>
      </c>
      <c r="T211" s="968">
        <f t="shared" si="70"/>
        <v>2116118</v>
      </c>
      <c r="U211" s="969">
        <f t="shared" si="71"/>
        <v>2341343</v>
      </c>
      <c r="V211" s="969">
        <f t="shared" si="72"/>
        <v>0</v>
      </c>
    </row>
    <row r="212" spans="1:22">
      <c r="A212" s="816"/>
      <c r="B212" s="828">
        <f t="shared" si="80"/>
        <v>208</v>
      </c>
      <c r="C212" s="960" t="s">
        <v>323</v>
      </c>
      <c r="D212" s="960" t="s">
        <v>3848</v>
      </c>
      <c r="E212" s="960" t="s">
        <v>3854</v>
      </c>
      <c r="F212" s="961">
        <v>45056</v>
      </c>
      <c r="G212" s="961">
        <v>45066</v>
      </c>
      <c r="H212" s="960" t="s">
        <v>170</v>
      </c>
      <c r="I212" s="962">
        <f t="shared" ref="I212:I275" si="83">MAX(F212,G212)</f>
        <v>45066</v>
      </c>
      <c r="J212" s="964">
        <f>2832000-58657</f>
        <v>2773343</v>
      </c>
      <c r="K212" s="964">
        <f>58657*0</f>
        <v>0</v>
      </c>
      <c r="L212" s="964"/>
      <c r="M212" s="964"/>
      <c r="N212" s="964">
        <v>432000</v>
      </c>
      <c r="O212" s="964">
        <f t="shared" si="79"/>
        <v>2341343</v>
      </c>
      <c r="P212" s="965">
        <f t="shared" ref="P212:P275" si="84">$P$1-I212</f>
        <v>316</v>
      </c>
      <c r="Q212" s="966">
        <v>9</v>
      </c>
      <c r="R212" s="967">
        <f t="shared" ref="R212:R275" si="85">+Q212-(P212/365)</f>
        <v>8.1342465753424662</v>
      </c>
      <c r="S212" s="968">
        <f t="shared" ref="S212:S275" si="86">ROUND(+O212/(Q212*365)*P212,0)</f>
        <v>225225</v>
      </c>
      <c r="T212" s="968">
        <f t="shared" ref="T212:T275" si="87">+O212-S212</f>
        <v>2116118</v>
      </c>
      <c r="U212" s="969">
        <f t="shared" ref="U212:U275" si="88">IF(I212&lt;=DATE(2023,9,30),O212,0)</f>
        <v>2341343</v>
      </c>
      <c r="V212" s="969">
        <f t="shared" si="72"/>
        <v>0</v>
      </c>
    </row>
    <row r="213" spans="1:22">
      <c r="A213" s="816"/>
      <c r="B213" s="828">
        <f t="shared" si="80"/>
        <v>209</v>
      </c>
      <c r="C213" s="960" t="s">
        <v>935</v>
      </c>
      <c r="D213" s="960" t="s">
        <v>3848</v>
      </c>
      <c r="E213" s="960" t="s">
        <v>3855</v>
      </c>
      <c r="F213" s="985">
        <v>45026</v>
      </c>
      <c r="G213" s="985">
        <v>45034</v>
      </c>
      <c r="H213" s="960" t="s">
        <v>180</v>
      </c>
      <c r="I213" s="962">
        <f t="shared" si="83"/>
        <v>45034</v>
      </c>
      <c r="J213" s="963">
        <v>802400</v>
      </c>
      <c r="K213" s="963"/>
      <c r="L213" s="964"/>
      <c r="M213" s="964"/>
      <c r="N213" s="964">
        <v>122400</v>
      </c>
      <c r="O213" s="964">
        <f t="shared" si="79"/>
        <v>680000</v>
      </c>
      <c r="P213" s="965">
        <f t="shared" si="84"/>
        <v>348</v>
      </c>
      <c r="Q213" s="966">
        <v>9</v>
      </c>
      <c r="R213" s="967">
        <f t="shared" si="85"/>
        <v>8.0465753424657542</v>
      </c>
      <c r="S213" s="968">
        <f t="shared" si="86"/>
        <v>72037</v>
      </c>
      <c r="T213" s="968">
        <f t="shared" si="87"/>
        <v>607963</v>
      </c>
      <c r="U213" s="969">
        <f t="shared" si="88"/>
        <v>680000</v>
      </c>
      <c r="V213" s="969">
        <f t="shared" ref="V213:V279" si="89">IF(I213&gt;DATE(2023,10,1),O213,0)</f>
        <v>0</v>
      </c>
    </row>
    <row r="214" spans="1:22">
      <c r="A214" s="816"/>
      <c r="B214" s="828">
        <f t="shared" si="80"/>
        <v>210</v>
      </c>
      <c r="C214" s="960" t="s">
        <v>3514</v>
      </c>
      <c r="D214" s="960" t="s">
        <v>3848</v>
      </c>
      <c r="E214" s="960">
        <v>10214086</v>
      </c>
      <c r="F214" s="985">
        <v>45185</v>
      </c>
      <c r="G214" s="985">
        <v>45189</v>
      </c>
      <c r="H214" s="960" t="s">
        <v>3347</v>
      </c>
      <c r="I214" s="962">
        <f t="shared" si="83"/>
        <v>45189</v>
      </c>
      <c r="J214" s="963">
        <v>644000</v>
      </c>
      <c r="K214" s="963"/>
      <c r="L214" s="964"/>
      <c r="M214" s="964"/>
      <c r="N214" s="964">
        <v>69000</v>
      </c>
      <c r="O214" s="964">
        <f t="shared" si="79"/>
        <v>575000</v>
      </c>
      <c r="P214" s="965">
        <f t="shared" si="84"/>
        <v>193</v>
      </c>
      <c r="Q214" s="966">
        <v>9</v>
      </c>
      <c r="R214" s="967">
        <f t="shared" si="85"/>
        <v>8.4712328767123282</v>
      </c>
      <c r="S214" s="968">
        <f t="shared" si="86"/>
        <v>33782</v>
      </c>
      <c r="T214" s="968">
        <f t="shared" si="87"/>
        <v>541218</v>
      </c>
      <c r="U214" s="969">
        <f t="shared" si="88"/>
        <v>575000</v>
      </c>
      <c r="V214" s="969">
        <f t="shared" si="89"/>
        <v>0</v>
      </c>
    </row>
    <row r="215" spans="1:22">
      <c r="A215" s="816"/>
      <c r="B215" s="828">
        <f t="shared" si="80"/>
        <v>211</v>
      </c>
      <c r="C215" s="960" t="s">
        <v>302</v>
      </c>
      <c r="D215" s="960" t="s">
        <v>3848</v>
      </c>
      <c r="E215" s="960" t="s">
        <v>3856</v>
      </c>
      <c r="F215" s="961">
        <v>45080</v>
      </c>
      <c r="G215" s="961">
        <v>45081</v>
      </c>
      <c r="H215" s="960" t="s">
        <v>3857</v>
      </c>
      <c r="I215" s="962">
        <f t="shared" si="83"/>
        <v>45081</v>
      </c>
      <c r="J215" s="964">
        <v>50740</v>
      </c>
      <c r="K215" s="964"/>
      <c r="L215" s="964"/>
      <c r="M215" s="964"/>
      <c r="N215" s="964">
        <v>7740</v>
      </c>
      <c r="O215" s="964">
        <f t="shared" si="79"/>
        <v>43000</v>
      </c>
      <c r="P215" s="965">
        <f t="shared" si="84"/>
        <v>301</v>
      </c>
      <c r="Q215" s="966">
        <v>9</v>
      </c>
      <c r="R215" s="967">
        <f t="shared" si="85"/>
        <v>8.1753424657534239</v>
      </c>
      <c r="S215" s="968">
        <f t="shared" si="86"/>
        <v>3940</v>
      </c>
      <c r="T215" s="968">
        <f t="shared" si="87"/>
        <v>39060</v>
      </c>
      <c r="U215" s="969">
        <f t="shared" si="88"/>
        <v>43000</v>
      </c>
      <c r="V215" s="969">
        <f t="shared" si="89"/>
        <v>0</v>
      </c>
    </row>
    <row r="216" spans="1:22">
      <c r="A216" s="816"/>
      <c r="B216" s="828">
        <f t="shared" si="80"/>
        <v>212</v>
      </c>
      <c r="C216" s="960" t="s">
        <v>302</v>
      </c>
      <c r="D216" s="960" t="s">
        <v>3848</v>
      </c>
      <c r="E216" s="960" t="s">
        <v>3858</v>
      </c>
      <c r="F216" s="961">
        <v>45191</v>
      </c>
      <c r="G216" s="961">
        <v>45201</v>
      </c>
      <c r="H216" s="960" t="s">
        <v>170</v>
      </c>
      <c r="I216" s="962">
        <f t="shared" si="83"/>
        <v>45201</v>
      </c>
      <c r="J216" s="964">
        <v>1180000</v>
      </c>
      <c r="K216" s="964"/>
      <c r="L216" s="964"/>
      <c r="M216" s="964"/>
      <c r="N216" s="964">
        <v>180000</v>
      </c>
      <c r="O216" s="964">
        <f t="shared" si="79"/>
        <v>1000000</v>
      </c>
      <c r="P216" s="965">
        <f t="shared" si="84"/>
        <v>181</v>
      </c>
      <c r="Q216" s="966">
        <v>9</v>
      </c>
      <c r="R216" s="967">
        <f t="shared" si="85"/>
        <v>8.5041095890410965</v>
      </c>
      <c r="S216" s="968">
        <f t="shared" si="86"/>
        <v>55099</v>
      </c>
      <c r="T216" s="968">
        <f t="shared" si="87"/>
        <v>944901</v>
      </c>
      <c r="U216" s="969">
        <f t="shared" si="88"/>
        <v>0</v>
      </c>
      <c r="V216" s="969">
        <f t="shared" si="89"/>
        <v>1000000</v>
      </c>
    </row>
    <row r="217" spans="1:22">
      <c r="A217" s="816"/>
      <c r="B217" s="828">
        <f t="shared" si="80"/>
        <v>213</v>
      </c>
      <c r="C217" s="960" t="s">
        <v>302</v>
      </c>
      <c r="D217" s="960" t="s">
        <v>3848</v>
      </c>
      <c r="E217" s="960" t="s">
        <v>3859</v>
      </c>
      <c r="F217" s="961">
        <v>45191</v>
      </c>
      <c r="G217" s="961">
        <v>45202</v>
      </c>
      <c r="H217" s="960" t="s">
        <v>170</v>
      </c>
      <c r="I217" s="962">
        <f t="shared" si="83"/>
        <v>45202</v>
      </c>
      <c r="J217" s="964">
        <v>1180000</v>
      </c>
      <c r="K217" s="964"/>
      <c r="L217" s="964"/>
      <c r="M217" s="964"/>
      <c r="N217" s="964">
        <v>180000</v>
      </c>
      <c r="O217" s="964">
        <f t="shared" si="79"/>
        <v>1000000</v>
      </c>
      <c r="P217" s="965">
        <f t="shared" si="84"/>
        <v>180</v>
      </c>
      <c r="Q217" s="966">
        <v>9</v>
      </c>
      <c r="R217" s="967">
        <f t="shared" si="85"/>
        <v>8.506849315068493</v>
      </c>
      <c r="S217" s="968">
        <f t="shared" si="86"/>
        <v>54795</v>
      </c>
      <c r="T217" s="968">
        <f t="shared" si="87"/>
        <v>945205</v>
      </c>
      <c r="U217" s="969">
        <f t="shared" si="88"/>
        <v>0</v>
      </c>
      <c r="V217" s="969">
        <f t="shared" si="89"/>
        <v>1000000</v>
      </c>
    </row>
    <row r="218" spans="1:22">
      <c r="A218" s="816"/>
      <c r="B218" s="828">
        <f t="shared" si="80"/>
        <v>214</v>
      </c>
      <c r="C218" s="960" t="s">
        <v>582</v>
      </c>
      <c r="D218" s="960" t="s">
        <v>3848</v>
      </c>
      <c r="E218" s="960">
        <v>7272311774</v>
      </c>
      <c r="F218" s="961">
        <v>45175</v>
      </c>
      <c r="G218" s="961">
        <v>45194</v>
      </c>
      <c r="H218" s="960" t="s">
        <v>420</v>
      </c>
      <c r="I218" s="962">
        <f t="shared" si="83"/>
        <v>45194</v>
      </c>
      <c r="J218" s="963">
        <f>3881693-34500</f>
        <v>3847193</v>
      </c>
      <c r="K218" s="963">
        <f>34500*0</f>
        <v>0</v>
      </c>
      <c r="L218" s="964"/>
      <c r="M218" s="964">
        <v>38433</v>
      </c>
      <c r="N218" s="964">
        <v>586260</v>
      </c>
      <c r="O218" s="964">
        <f t="shared" si="79"/>
        <v>3222500</v>
      </c>
      <c r="P218" s="965">
        <f t="shared" si="84"/>
        <v>188</v>
      </c>
      <c r="Q218" s="966">
        <v>9</v>
      </c>
      <c r="R218" s="967">
        <f t="shared" si="85"/>
        <v>8.4849315068493159</v>
      </c>
      <c r="S218" s="968">
        <f t="shared" si="86"/>
        <v>184423</v>
      </c>
      <c r="T218" s="968">
        <f t="shared" si="87"/>
        <v>3038077</v>
      </c>
      <c r="U218" s="969">
        <f t="shared" si="88"/>
        <v>3222500</v>
      </c>
      <c r="V218" s="969">
        <f t="shared" si="89"/>
        <v>0</v>
      </c>
    </row>
    <row r="219" spans="1:22">
      <c r="A219" s="816"/>
      <c r="B219" s="828">
        <f t="shared" si="80"/>
        <v>215</v>
      </c>
      <c r="C219" s="960" t="s">
        <v>582</v>
      </c>
      <c r="D219" s="960" t="s">
        <v>3848</v>
      </c>
      <c r="E219" s="960">
        <v>7272311775</v>
      </c>
      <c r="F219" s="961">
        <v>45175</v>
      </c>
      <c r="G219" s="961">
        <v>45194</v>
      </c>
      <c r="H219" s="960" t="s">
        <v>420</v>
      </c>
      <c r="I219" s="962">
        <f t="shared" si="83"/>
        <v>45194</v>
      </c>
      <c r="J219" s="963">
        <f>3881693-34500</f>
        <v>3847193</v>
      </c>
      <c r="K219" s="963">
        <f>34500*0</f>
        <v>0</v>
      </c>
      <c r="L219" s="964"/>
      <c r="M219" s="964">
        <v>38433</v>
      </c>
      <c r="N219" s="964">
        <v>586260</v>
      </c>
      <c r="O219" s="964">
        <f t="shared" si="79"/>
        <v>3222500</v>
      </c>
      <c r="P219" s="965">
        <f t="shared" si="84"/>
        <v>188</v>
      </c>
      <c r="Q219" s="966">
        <v>9</v>
      </c>
      <c r="R219" s="967">
        <f t="shared" si="85"/>
        <v>8.4849315068493159</v>
      </c>
      <c r="S219" s="968">
        <f t="shared" si="86"/>
        <v>184423</v>
      </c>
      <c r="T219" s="968">
        <f t="shared" si="87"/>
        <v>3038077</v>
      </c>
      <c r="U219" s="969">
        <f t="shared" si="88"/>
        <v>3222500</v>
      </c>
      <c r="V219" s="969">
        <f t="shared" si="89"/>
        <v>0</v>
      </c>
    </row>
    <row r="220" spans="1:22">
      <c r="A220" s="816"/>
      <c r="B220" s="828">
        <f t="shared" si="80"/>
        <v>216</v>
      </c>
      <c r="C220" s="960" t="s">
        <v>3340</v>
      </c>
      <c r="D220" s="960" t="s">
        <v>3848</v>
      </c>
      <c r="E220" s="960">
        <v>1</v>
      </c>
      <c r="F220" s="961">
        <v>45018</v>
      </c>
      <c r="G220" s="961">
        <v>45019</v>
      </c>
      <c r="H220" s="960" t="s">
        <v>2113</v>
      </c>
      <c r="I220" s="962">
        <f t="shared" si="83"/>
        <v>45019</v>
      </c>
      <c r="J220" s="963">
        <v>339628</v>
      </c>
      <c r="K220" s="963"/>
      <c r="L220" s="964"/>
      <c r="M220" s="964"/>
      <c r="N220" s="964">
        <v>51808</v>
      </c>
      <c r="O220" s="964">
        <f t="shared" si="79"/>
        <v>287820</v>
      </c>
      <c r="P220" s="965">
        <f t="shared" si="84"/>
        <v>363</v>
      </c>
      <c r="Q220" s="966">
        <v>3</v>
      </c>
      <c r="R220" s="967">
        <f t="shared" si="85"/>
        <v>2.0054794520547947</v>
      </c>
      <c r="S220" s="968">
        <f t="shared" si="86"/>
        <v>95414</v>
      </c>
      <c r="T220" s="968">
        <f t="shared" si="87"/>
        <v>192406</v>
      </c>
      <c r="U220" s="969">
        <f t="shared" si="88"/>
        <v>287820</v>
      </c>
      <c r="V220" s="969">
        <f t="shared" si="89"/>
        <v>0</v>
      </c>
    </row>
    <row r="221" spans="1:22">
      <c r="A221" s="816"/>
      <c r="B221" s="828">
        <f t="shared" si="80"/>
        <v>217</v>
      </c>
      <c r="C221" s="979" t="s">
        <v>3340</v>
      </c>
      <c r="D221" s="960" t="s">
        <v>3848</v>
      </c>
      <c r="E221" s="982" t="s">
        <v>3860</v>
      </c>
      <c r="F221" s="962">
        <v>45032</v>
      </c>
      <c r="G221" s="962">
        <v>45034</v>
      </c>
      <c r="H221" s="979" t="s">
        <v>406</v>
      </c>
      <c r="I221" s="962">
        <f t="shared" si="83"/>
        <v>45034</v>
      </c>
      <c r="J221" s="964">
        <v>736365</v>
      </c>
      <c r="K221" s="964"/>
      <c r="L221" s="964"/>
      <c r="M221" s="964"/>
      <c r="N221" s="964">
        <v>112327</v>
      </c>
      <c r="O221" s="964">
        <f t="shared" si="79"/>
        <v>624038</v>
      </c>
      <c r="P221" s="965">
        <f t="shared" si="84"/>
        <v>348</v>
      </c>
      <c r="Q221" s="966">
        <v>3</v>
      </c>
      <c r="R221" s="967">
        <f t="shared" si="85"/>
        <v>2.0465753424657533</v>
      </c>
      <c r="S221" s="968">
        <f t="shared" si="86"/>
        <v>198324</v>
      </c>
      <c r="T221" s="968">
        <f t="shared" si="87"/>
        <v>425714</v>
      </c>
      <c r="U221" s="969">
        <f t="shared" si="88"/>
        <v>624038</v>
      </c>
      <c r="V221" s="969">
        <f t="shared" si="89"/>
        <v>0</v>
      </c>
    </row>
    <row r="222" spans="1:22">
      <c r="A222" s="816"/>
      <c r="B222" s="828">
        <f t="shared" si="80"/>
        <v>218</v>
      </c>
      <c r="C222" s="960" t="s">
        <v>3340</v>
      </c>
      <c r="D222" s="960" t="s">
        <v>3848</v>
      </c>
      <c r="E222" s="960" t="s">
        <v>3861</v>
      </c>
      <c r="F222" s="961">
        <v>45117</v>
      </c>
      <c r="G222" s="961">
        <v>45119</v>
      </c>
      <c r="H222" s="970" t="s">
        <v>3820</v>
      </c>
      <c r="I222" s="962">
        <f t="shared" si="83"/>
        <v>45119</v>
      </c>
      <c r="J222" s="964">
        <v>865931</v>
      </c>
      <c r="K222" s="964"/>
      <c r="L222" s="964"/>
      <c r="M222" s="964"/>
      <c r="N222" s="964">
        <v>132092</v>
      </c>
      <c r="O222" s="964">
        <f t="shared" si="79"/>
        <v>733839</v>
      </c>
      <c r="P222" s="965">
        <f t="shared" si="84"/>
        <v>263</v>
      </c>
      <c r="Q222" s="966">
        <v>3</v>
      </c>
      <c r="R222" s="967">
        <f t="shared" si="85"/>
        <v>2.2794520547945205</v>
      </c>
      <c r="S222" s="968">
        <f t="shared" si="86"/>
        <v>176255</v>
      </c>
      <c r="T222" s="968">
        <f t="shared" si="87"/>
        <v>557584</v>
      </c>
      <c r="U222" s="969">
        <f t="shared" si="88"/>
        <v>733839</v>
      </c>
      <c r="V222" s="969">
        <f t="shared" si="89"/>
        <v>0</v>
      </c>
    </row>
    <row r="223" spans="1:22">
      <c r="A223" s="816"/>
      <c r="B223" s="828">
        <f t="shared" si="80"/>
        <v>219</v>
      </c>
      <c r="C223" s="960" t="s">
        <v>3340</v>
      </c>
      <c r="D223" s="960" t="s">
        <v>3848</v>
      </c>
      <c r="E223" s="960" t="s">
        <v>3862</v>
      </c>
      <c r="F223" s="961">
        <v>45117</v>
      </c>
      <c r="G223" s="961">
        <v>45119</v>
      </c>
      <c r="H223" s="960" t="s">
        <v>3820</v>
      </c>
      <c r="I223" s="962">
        <f t="shared" si="83"/>
        <v>45119</v>
      </c>
      <c r="J223" s="964">
        <v>485886</v>
      </c>
      <c r="K223" s="964"/>
      <c r="L223" s="964"/>
      <c r="M223" s="964"/>
      <c r="N223" s="964">
        <v>74119</v>
      </c>
      <c r="O223" s="964">
        <f t="shared" si="79"/>
        <v>411767</v>
      </c>
      <c r="P223" s="965">
        <f t="shared" si="84"/>
        <v>263</v>
      </c>
      <c r="Q223" s="966">
        <v>3</v>
      </c>
      <c r="R223" s="967">
        <f t="shared" si="85"/>
        <v>2.2794520547945205</v>
      </c>
      <c r="S223" s="968">
        <f t="shared" si="86"/>
        <v>98899</v>
      </c>
      <c r="T223" s="968">
        <f t="shared" si="87"/>
        <v>312868</v>
      </c>
      <c r="U223" s="969">
        <f t="shared" si="88"/>
        <v>411767</v>
      </c>
      <c r="V223" s="969">
        <f t="shared" si="89"/>
        <v>0</v>
      </c>
    </row>
    <row r="224" spans="1:22">
      <c r="A224" s="816"/>
      <c r="B224" s="828">
        <f t="shared" si="80"/>
        <v>220</v>
      </c>
      <c r="C224" s="979" t="s">
        <v>3340</v>
      </c>
      <c r="D224" s="960" t="s">
        <v>3848</v>
      </c>
      <c r="E224" s="979" t="s">
        <v>3863</v>
      </c>
      <c r="F224" s="962">
        <v>45232</v>
      </c>
      <c r="G224" s="962">
        <v>45239</v>
      </c>
      <c r="H224" s="979" t="s">
        <v>3820</v>
      </c>
      <c r="I224" s="962">
        <f t="shared" si="83"/>
        <v>45239</v>
      </c>
      <c r="J224" s="964">
        <v>1275108</v>
      </c>
      <c r="K224" s="964"/>
      <c r="L224" s="964"/>
      <c r="M224" s="964"/>
      <c r="N224" s="964">
        <v>194508</v>
      </c>
      <c r="O224" s="964">
        <f t="shared" si="79"/>
        <v>1080600</v>
      </c>
      <c r="P224" s="965">
        <f t="shared" si="84"/>
        <v>143</v>
      </c>
      <c r="Q224" s="966">
        <v>3</v>
      </c>
      <c r="R224" s="967">
        <f t="shared" si="85"/>
        <v>2.6082191780821917</v>
      </c>
      <c r="S224" s="968">
        <f t="shared" si="86"/>
        <v>141119</v>
      </c>
      <c r="T224" s="968">
        <f t="shared" si="87"/>
        <v>939481</v>
      </c>
      <c r="U224" s="969">
        <f t="shared" si="88"/>
        <v>0</v>
      </c>
      <c r="V224" s="969">
        <f t="shared" si="89"/>
        <v>1080600</v>
      </c>
    </row>
    <row r="225" spans="1:22">
      <c r="A225" s="816"/>
      <c r="B225" s="828">
        <f t="shared" si="80"/>
        <v>221</v>
      </c>
      <c r="C225" s="960" t="s">
        <v>3340</v>
      </c>
      <c r="D225" s="960" t="s">
        <v>3848</v>
      </c>
      <c r="E225" s="960" t="s">
        <v>3864</v>
      </c>
      <c r="F225" s="961">
        <v>45232</v>
      </c>
      <c r="G225" s="961">
        <v>45239</v>
      </c>
      <c r="H225" s="960" t="s">
        <v>3820</v>
      </c>
      <c r="I225" s="962">
        <f t="shared" si="83"/>
        <v>45239</v>
      </c>
      <c r="J225" s="964">
        <v>483706</v>
      </c>
      <c r="K225" s="964"/>
      <c r="L225" s="964"/>
      <c r="M225" s="964"/>
      <c r="N225" s="964">
        <v>73785.600000000006</v>
      </c>
      <c r="O225" s="964">
        <f t="shared" si="79"/>
        <v>409920.4</v>
      </c>
      <c r="P225" s="965">
        <f t="shared" si="84"/>
        <v>143</v>
      </c>
      <c r="Q225" s="966">
        <v>3</v>
      </c>
      <c r="R225" s="967">
        <f t="shared" si="85"/>
        <v>2.6082191780821917</v>
      </c>
      <c r="S225" s="968">
        <f t="shared" si="86"/>
        <v>53533</v>
      </c>
      <c r="T225" s="968">
        <f t="shared" si="87"/>
        <v>356387.4</v>
      </c>
      <c r="U225" s="969">
        <f t="shared" si="88"/>
        <v>0</v>
      </c>
      <c r="V225" s="969">
        <f t="shared" si="89"/>
        <v>409920.4</v>
      </c>
    </row>
    <row r="226" spans="1:22">
      <c r="A226" s="816"/>
      <c r="B226" s="828">
        <f t="shared" si="80"/>
        <v>222</v>
      </c>
      <c r="C226" s="960" t="s">
        <v>3340</v>
      </c>
      <c r="D226" s="960" t="s">
        <v>3848</v>
      </c>
      <c r="E226" s="960" t="s">
        <v>3865</v>
      </c>
      <c r="F226" s="961">
        <v>45232</v>
      </c>
      <c r="G226" s="961">
        <v>45239</v>
      </c>
      <c r="H226" s="960" t="s">
        <v>3820</v>
      </c>
      <c r="I226" s="962">
        <f t="shared" si="83"/>
        <v>45239</v>
      </c>
      <c r="J226" s="964">
        <v>1837562</v>
      </c>
      <c r="K226" s="964"/>
      <c r="L226" s="964"/>
      <c r="M226" s="964"/>
      <c r="N226" s="964">
        <v>280306</v>
      </c>
      <c r="O226" s="964">
        <f t="shared" si="79"/>
        <v>1557256</v>
      </c>
      <c r="P226" s="965">
        <f t="shared" si="84"/>
        <v>143</v>
      </c>
      <c r="Q226" s="966">
        <v>3</v>
      </c>
      <c r="R226" s="967">
        <f t="shared" si="85"/>
        <v>2.6082191780821917</v>
      </c>
      <c r="S226" s="968">
        <f t="shared" si="86"/>
        <v>203368</v>
      </c>
      <c r="T226" s="968">
        <f t="shared" si="87"/>
        <v>1353888</v>
      </c>
      <c r="U226" s="969">
        <f t="shared" si="88"/>
        <v>0</v>
      </c>
      <c r="V226" s="969">
        <f t="shared" si="89"/>
        <v>1557256</v>
      </c>
    </row>
    <row r="227" spans="1:22">
      <c r="A227" s="816"/>
      <c r="B227" s="828">
        <f t="shared" si="80"/>
        <v>223</v>
      </c>
      <c r="C227" s="960" t="s">
        <v>309</v>
      </c>
      <c r="D227" s="960" t="s">
        <v>3848</v>
      </c>
      <c r="E227" s="960">
        <v>7</v>
      </c>
      <c r="F227" s="961">
        <v>45033</v>
      </c>
      <c r="G227" s="961">
        <v>45034</v>
      </c>
      <c r="H227" s="960" t="s">
        <v>2113</v>
      </c>
      <c r="I227" s="962">
        <f t="shared" si="83"/>
        <v>45034</v>
      </c>
      <c r="J227" s="963">
        <v>360136</v>
      </c>
      <c r="K227" s="963"/>
      <c r="L227" s="964"/>
      <c r="M227" s="964"/>
      <c r="N227" s="964">
        <v>54936</v>
      </c>
      <c r="O227" s="964">
        <f t="shared" si="79"/>
        <v>305200</v>
      </c>
      <c r="P227" s="965">
        <f t="shared" si="84"/>
        <v>348</v>
      </c>
      <c r="Q227" s="966">
        <v>3</v>
      </c>
      <c r="R227" s="967">
        <f t="shared" si="85"/>
        <v>2.0465753424657533</v>
      </c>
      <c r="S227" s="968">
        <f t="shared" si="86"/>
        <v>96995</v>
      </c>
      <c r="T227" s="968">
        <f t="shared" si="87"/>
        <v>208205</v>
      </c>
      <c r="U227" s="969">
        <f t="shared" si="88"/>
        <v>305200</v>
      </c>
      <c r="V227" s="969">
        <f t="shared" si="89"/>
        <v>0</v>
      </c>
    </row>
    <row r="228" spans="1:22">
      <c r="A228" s="816"/>
      <c r="B228" s="828">
        <f t="shared" si="80"/>
        <v>224</v>
      </c>
      <c r="C228" s="960" t="s">
        <v>309</v>
      </c>
      <c r="D228" s="960" t="s">
        <v>3848</v>
      </c>
      <c r="E228" s="960">
        <v>17</v>
      </c>
      <c r="F228" s="985">
        <v>45035</v>
      </c>
      <c r="G228" s="985">
        <v>45035</v>
      </c>
      <c r="H228" s="960" t="s">
        <v>413</v>
      </c>
      <c r="I228" s="962">
        <f t="shared" si="83"/>
        <v>45035</v>
      </c>
      <c r="J228" s="964">
        <v>2166046</v>
      </c>
      <c r="K228" s="964"/>
      <c r="L228" s="964"/>
      <c r="M228" s="964"/>
      <c r="N228" s="964">
        <v>330414</v>
      </c>
      <c r="O228" s="964">
        <f t="shared" si="79"/>
        <v>1835632</v>
      </c>
      <c r="P228" s="965">
        <f t="shared" si="84"/>
        <v>347</v>
      </c>
      <c r="Q228" s="966">
        <v>3</v>
      </c>
      <c r="R228" s="967">
        <f t="shared" si="85"/>
        <v>2.0493150684931507</v>
      </c>
      <c r="S228" s="968">
        <f t="shared" si="86"/>
        <v>581703</v>
      </c>
      <c r="T228" s="968">
        <f t="shared" si="87"/>
        <v>1253929</v>
      </c>
      <c r="U228" s="969">
        <f t="shared" si="88"/>
        <v>1835632</v>
      </c>
      <c r="V228" s="969">
        <f t="shared" si="89"/>
        <v>0</v>
      </c>
    </row>
    <row r="229" spans="1:22">
      <c r="A229" s="816"/>
      <c r="B229" s="828">
        <f t="shared" si="80"/>
        <v>225</v>
      </c>
      <c r="C229" s="979" t="s">
        <v>309</v>
      </c>
      <c r="D229" s="960" t="s">
        <v>3848</v>
      </c>
      <c r="E229" s="979" t="s">
        <v>3866</v>
      </c>
      <c r="F229" s="962">
        <v>45036</v>
      </c>
      <c r="G229" s="962">
        <v>45036</v>
      </c>
      <c r="H229" s="979" t="s">
        <v>406</v>
      </c>
      <c r="I229" s="962">
        <f t="shared" si="83"/>
        <v>45036</v>
      </c>
      <c r="J229" s="964">
        <v>579296</v>
      </c>
      <c r="K229" s="964"/>
      <c r="L229" s="964"/>
      <c r="M229" s="964"/>
      <c r="N229" s="964">
        <v>88368</v>
      </c>
      <c r="O229" s="964">
        <f t="shared" si="79"/>
        <v>490928</v>
      </c>
      <c r="P229" s="965">
        <f t="shared" si="84"/>
        <v>346</v>
      </c>
      <c r="Q229" s="966">
        <v>3</v>
      </c>
      <c r="R229" s="967">
        <f t="shared" si="85"/>
        <v>2.0520547945205481</v>
      </c>
      <c r="S229" s="968">
        <f t="shared" si="86"/>
        <v>155124</v>
      </c>
      <c r="T229" s="968">
        <f t="shared" si="87"/>
        <v>335804</v>
      </c>
      <c r="U229" s="969">
        <f t="shared" si="88"/>
        <v>490928</v>
      </c>
      <c r="V229" s="969">
        <f t="shared" si="89"/>
        <v>0</v>
      </c>
    </row>
    <row r="230" spans="1:22">
      <c r="A230" s="816"/>
      <c r="B230" s="828">
        <f t="shared" si="80"/>
        <v>226</v>
      </c>
      <c r="C230" s="979" t="s">
        <v>309</v>
      </c>
      <c r="D230" s="960" t="s">
        <v>3848</v>
      </c>
      <c r="E230" s="979" t="s">
        <v>3867</v>
      </c>
      <c r="F230" s="962">
        <v>45066</v>
      </c>
      <c r="G230" s="962">
        <v>45077</v>
      </c>
      <c r="H230" s="979" t="s">
        <v>763</v>
      </c>
      <c r="I230" s="962">
        <f t="shared" si="83"/>
        <v>45077</v>
      </c>
      <c r="J230" s="964">
        <v>845593</v>
      </c>
      <c r="K230" s="964"/>
      <c r="L230" s="964"/>
      <c r="M230" s="964"/>
      <c r="N230" s="964">
        <v>128989</v>
      </c>
      <c r="O230" s="964">
        <f t="shared" si="79"/>
        <v>716604</v>
      </c>
      <c r="P230" s="965">
        <f t="shared" si="84"/>
        <v>305</v>
      </c>
      <c r="Q230" s="966">
        <v>3</v>
      </c>
      <c r="R230" s="967">
        <f t="shared" si="85"/>
        <v>2.1643835616438354</v>
      </c>
      <c r="S230" s="968">
        <f t="shared" si="86"/>
        <v>199602</v>
      </c>
      <c r="T230" s="968">
        <f t="shared" si="87"/>
        <v>517002</v>
      </c>
      <c r="U230" s="969">
        <f t="shared" si="88"/>
        <v>716604</v>
      </c>
      <c r="V230" s="969">
        <f t="shared" si="89"/>
        <v>0</v>
      </c>
    </row>
    <row r="231" spans="1:22">
      <c r="A231" s="816"/>
      <c r="B231" s="828">
        <f t="shared" si="80"/>
        <v>227</v>
      </c>
      <c r="C231" s="960" t="s">
        <v>309</v>
      </c>
      <c r="D231" s="960" t="s">
        <v>3848</v>
      </c>
      <c r="E231" s="960">
        <v>30</v>
      </c>
      <c r="F231" s="961">
        <v>45132</v>
      </c>
      <c r="G231" s="961">
        <v>45134</v>
      </c>
      <c r="H231" s="960" t="s">
        <v>2113</v>
      </c>
      <c r="I231" s="962">
        <f t="shared" si="83"/>
        <v>45134</v>
      </c>
      <c r="J231" s="963">
        <v>317585</v>
      </c>
      <c r="K231" s="963"/>
      <c r="L231" s="964"/>
      <c r="M231" s="964"/>
      <c r="N231" s="964">
        <v>48446</v>
      </c>
      <c r="O231" s="964">
        <f t="shared" si="79"/>
        <v>269139</v>
      </c>
      <c r="P231" s="965">
        <f t="shared" si="84"/>
        <v>248</v>
      </c>
      <c r="Q231" s="966">
        <v>2</v>
      </c>
      <c r="R231" s="967">
        <f t="shared" si="85"/>
        <v>1.3205479452054796</v>
      </c>
      <c r="S231" s="968">
        <f t="shared" si="86"/>
        <v>91434</v>
      </c>
      <c r="T231" s="968">
        <f t="shared" si="87"/>
        <v>177705</v>
      </c>
      <c r="U231" s="969">
        <f t="shared" si="88"/>
        <v>269139</v>
      </c>
      <c r="V231" s="969">
        <f t="shared" si="89"/>
        <v>0</v>
      </c>
    </row>
    <row r="232" spans="1:22">
      <c r="A232" s="816"/>
      <c r="B232" s="828">
        <f t="shared" si="80"/>
        <v>228</v>
      </c>
      <c r="C232" s="960" t="s">
        <v>309</v>
      </c>
      <c r="D232" s="960" t="s">
        <v>3848</v>
      </c>
      <c r="E232" s="960" t="s">
        <v>3868</v>
      </c>
      <c r="F232" s="961">
        <v>45133</v>
      </c>
      <c r="G232" s="961">
        <v>45133</v>
      </c>
      <c r="H232" s="970" t="s">
        <v>406</v>
      </c>
      <c r="I232" s="962">
        <f t="shared" si="83"/>
        <v>45133</v>
      </c>
      <c r="J232" s="964">
        <v>748756</v>
      </c>
      <c r="K232" s="964"/>
      <c r="L232" s="964"/>
      <c r="M232" s="964"/>
      <c r="N232" s="964">
        <v>114218</v>
      </c>
      <c r="O232" s="964">
        <f t="shared" si="79"/>
        <v>634538</v>
      </c>
      <c r="P232" s="965">
        <f t="shared" si="84"/>
        <v>249</v>
      </c>
      <c r="Q232" s="966">
        <v>3</v>
      </c>
      <c r="R232" s="967">
        <f t="shared" si="85"/>
        <v>2.3178082191780822</v>
      </c>
      <c r="S232" s="968">
        <f t="shared" si="86"/>
        <v>144292</v>
      </c>
      <c r="T232" s="968">
        <f t="shared" si="87"/>
        <v>490246</v>
      </c>
      <c r="U232" s="969">
        <f t="shared" si="88"/>
        <v>634538</v>
      </c>
      <c r="V232" s="969">
        <f t="shared" si="89"/>
        <v>0</v>
      </c>
    </row>
    <row r="233" spans="1:22">
      <c r="A233" s="816"/>
      <c r="B233" s="828">
        <f t="shared" si="80"/>
        <v>229</v>
      </c>
      <c r="C233" s="960" t="s">
        <v>309</v>
      </c>
      <c r="D233" s="986" t="s">
        <v>3848</v>
      </c>
      <c r="E233" s="960" t="s">
        <v>3869</v>
      </c>
      <c r="F233" s="961">
        <v>45304</v>
      </c>
      <c r="G233" s="961">
        <v>45309</v>
      </c>
      <c r="H233" s="960" t="s">
        <v>3870</v>
      </c>
      <c r="I233" s="962">
        <f t="shared" si="83"/>
        <v>45309</v>
      </c>
      <c r="J233" s="964">
        <v>2081024</v>
      </c>
      <c r="K233" s="964"/>
      <c r="L233" s="964"/>
      <c r="M233" s="964"/>
      <c r="N233" s="964">
        <v>317445</v>
      </c>
      <c r="O233" s="964">
        <f t="shared" si="79"/>
        <v>1763579</v>
      </c>
      <c r="P233" s="965">
        <f t="shared" si="84"/>
        <v>73</v>
      </c>
      <c r="Q233" s="966">
        <v>3</v>
      </c>
      <c r="R233" s="967">
        <f t="shared" si="85"/>
        <v>2.8</v>
      </c>
      <c r="S233" s="968">
        <f t="shared" si="86"/>
        <v>117572</v>
      </c>
      <c r="T233" s="968">
        <f t="shared" si="87"/>
        <v>1646007</v>
      </c>
      <c r="U233" s="969">
        <f t="shared" si="88"/>
        <v>0</v>
      </c>
      <c r="V233" s="969">
        <f t="shared" si="89"/>
        <v>1763579</v>
      </c>
    </row>
    <row r="234" spans="1:22">
      <c r="A234" s="816"/>
      <c r="B234" s="828">
        <f t="shared" si="80"/>
        <v>230</v>
      </c>
      <c r="C234" s="960" t="s">
        <v>309</v>
      </c>
      <c r="D234" s="986" t="s">
        <v>3848</v>
      </c>
      <c r="E234" s="960" t="s">
        <v>4220</v>
      </c>
      <c r="F234" s="961">
        <v>45357</v>
      </c>
      <c r="G234" s="961">
        <v>45362</v>
      </c>
      <c r="H234" s="960" t="s">
        <v>763</v>
      </c>
      <c r="I234" s="962">
        <f t="shared" si="83"/>
        <v>45362</v>
      </c>
      <c r="J234" s="964">
        <v>1377414</v>
      </c>
      <c r="K234" s="964"/>
      <c r="L234" s="964"/>
      <c r="M234" s="964"/>
      <c r="N234" s="964">
        <v>210114</v>
      </c>
      <c r="O234" s="964">
        <f t="shared" si="79"/>
        <v>1167300</v>
      </c>
      <c r="P234" s="965">
        <f t="shared" si="84"/>
        <v>20</v>
      </c>
      <c r="Q234" s="966">
        <v>3</v>
      </c>
      <c r="R234" s="967">
        <f t="shared" si="85"/>
        <v>2.9452054794520546</v>
      </c>
      <c r="S234" s="968">
        <f t="shared" si="86"/>
        <v>21321</v>
      </c>
      <c r="T234" s="968">
        <f t="shared" si="87"/>
        <v>1145979</v>
      </c>
      <c r="U234" s="969">
        <f t="shared" si="88"/>
        <v>0</v>
      </c>
      <c r="V234" s="969">
        <f t="shared" si="89"/>
        <v>1167300</v>
      </c>
    </row>
    <row r="235" spans="1:22">
      <c r="A235" s="816"/>
      <c r="B235" s="828">
        <f t="shared" si="80"/>
        <v>231</v>
      </c>
      <c r="C235" s="960" t="s">
        <v>309</v>
      </c>
      <c r="D235" s="986" t="s">
        <v>3848</v>
      </c>
      <c r="E235" s="960" t="s">
        <v>4221</v>
      </c>
      <c r="F235" s="961">
        <v>45363</v>
      </c>
      <c r="G235" s="961">
        <v>45367</v>
      </c>
      <c r="H235" s="960" t="s">
        <v>763</v>
      </c>
      <c r="I235" s="962">
        <f t="shared" si="83"/>
        <v>45367</v>
      </c>
      <c r="J235" s="964">
        <v>1605897</v>
      </c>
      <c r="K235" s="964"/>
      <c r="L235" s="964"/>
      <c r="M235" s="964"/>
      <c r="N235" s="964">
        <v>244968</v>
      </c>
      <c r="O235" s="964">
        <f t="shared" si="79"/>
        <v>1360929</v>
      </c>
      <c r="P235" s="965">
        <f t="shared" si="84"/>
        <v>15</v>
      </c>
      <c r="Q235" s="966">
        <v>3</v>
      </c>
      <c r="R235" s="967">
        <f t="shared" si="85"/>
        <v>2.9589041095890409</v>
      </c>
      <c r="S235" s="968">
        <f t="shared" si="86"/>
        <v>18643</v>
      </c>
      <c r="T235" s="968">
        <f t="shared" si="87"/>
        <v>1342286</v>
      </c>
      <c r="U235" s="969">
        <f t="shared" si="88"/>
        <v>0</v>
      </c>
      <c r="V235" s="969">
        <f t="shared" si="89"/>
        <v>1360929</v>
      </c>
    </row>
    <row r="236" spans="1:22">
      <c r="A236" s="816"/>
      <c r="B236" s="828">
        <f t="shared" si="80"/>
        <v>232</v>
      </c>
      <c r="C236" s="960" t="s">
        <v>328</v>
      </c>
      <c r="D236" s="960" t="s">
        <v>3848</v>
      </c>
      <c r="E236" s="960" t="s">
        <v>3871</v>
      </c>
      <c r="F236" s="961">
        <v>45227</v>
      </c>
      <c r="G236" s="961">
        <v>45227</v>
      </c>
      <c r="H236" s="960" t="s">
        <v>3872</v>
      </c>
      <c r="I236" s="962">
        <f t="shared" si="83"/>
        <v>45227</v>
      </c>
      <c r="J236" s="964">
        <v>16520</v>
      </c>
      <c r="K236" s="964"/>
      <c r="L236" s="964"/>
      <c r="M236" s="964"/>
      <c r="N236" s="964">
        <v>2520</v>
      </c>
      <c r="O236" s="964">
        <f t="shared" si="79"/>
        <v>14000</v>
      </c>
      <c r="P236" s="965">
        <f t="shared" si="84"/>
        <v>155</v>
      </c>
      <c r="Q236" s="966">
        <v>3</v>
      </c>
      <c r="R236" s="967">
        <f t="shared" si="85"/>
        <v>2.5753424657534247</v>
      </c>
      <c r="S236" s="968">
        <f t="shared" si="86"/>
        <v>1982</v>
      </c>
      <c r="T236" s="968">
        <f t="shared" si="87"/>
        <v>12018</v>
      </c>
      <c r="U236" s="969">
        <f t="shared" si="88"/>
        <v>0</v>
      </c>
      <c r="V236" s="969">
        <f t="shared" si="89"/>
        <v>14000</v>
      </c>
    </row>
    <row r="237" spans="1:22">
      <c r="A237" s="816"/>
      <c r="B237" s="828">
        <f t="shared" si="80"/>
        <v>233</v>
      </c>
      <c r="C237" s="960" t="s">
        <v>320</v>
      </c>
      <c r="D237" s="960" t="s">
        <v>3848</v>
      </c>
      <c r="E237" s="960" t="s">
        <v>3873</v>
      </c>
      <c r="F237" s="961">
        <v>45194</v>
      </c>
      <c r="G237" s="961">
        <v>45194</v>
      </c>
      <c r="H237" s="960" t="s">
        <v>3874</v>
      </c>
      <c r="I237" s="962">
        <f t="shared" si="83"/>
        <v>45194</v>
      </c>
      <c r="J237" s="964">
        <v>24426</v>
      </c>
      <c r="K237" s="964"/>
      <c r="L237" s="964"/>
      <c r="M237" s="964"/>
      <c r="N237" s="964">
        <v>3726</v>
      </c>
      <c r="O237" s="964">
        <f t="shared" si="79"/>
        <v>20700</v>
      </c>
      <c r="P237" s="965">
        <f t="shared" si="84"/>
        <v>188</v>
      </c>
      <c r="Q237" s="966">
        <v>9</v>
      </c>
      <c r="R237" s="967">
        <f t="shared" si="85"/>
        <v>8.4849315068493159</v>
      </c>
      <c r="S237" s="968">
        <f t="shared" si="86"/>
        <v>1185</v>
      </c>
      <c r="T237" s="968">
        <f t="shared" si="87"/>
        <v>19515</v>
      </c>
      <c r="U237" s="969">
        <f t="shared" si="88"/>
        <v>20700</v>
      </c>
      <c r="V237" s="969">
        <f t="shared" si="89"/>
        <v>0</v>
      </c>
    </row>
    <row r="238" spans="1:22">
      <c r="A238" s="816"/>
      <c r="B238" s="828">
        <f t="shared" si="80"/>
        <v>234</v>
      </c>
      <c r="C238" s="970" t="s">
        <v>320</v>
      </c>
      <c r="D238" s="960" t="s">
        <v>3848</v>
      </c>
      <c r="E238" s="970" t="s">
        <v>3875</v>
      </c>
      <c r="F238" s="971">
        <v>45194</v>
      </c>
      <c r="G238" s="971">
        <v>45194</v>
      </c>
      <c r="H238" s="970" t="s">
        <v>3874</v>
      </c>
      <c r="I238" s="962">
        <f t="shared" si="83"/>
        <v>45194</v>
      </c>
      <c r="J238" s="972">
        <v>12213</v>
      </c>
      <c r="K238" s="972"/>
      <c r="L238" s="973"/>
      <c r="M238" s="973"/>
      <c r="N238" s="973">
        <v>1863</v>
      </c>
      <c r="O238" s="964">
        <f t="shared" si="79"/>
        <v>10350</v>
      </c>
      <c r="P238" s="965">
        <f t="shared" si="84"/>
        <v>188</v>
      </c>
      <c r="Q238" s="974">
        <v>9</v>
      </c>
      <c r="R238" s="975">
        <f t="shared" si="85"/>
        <v>8.4849315068493159</v>
      </c>
      <c r="S238" s="968">
        <f t="shared" si="86"/>
        <v>592</v>
      </c>
      <c r="T238" s="968">
        <f t="shared" si="87"/>
        <v>9758</v>
      </c>
      <c r="U238" s="969">
        <f t="shared" si="88"/>
        <v>10350</v>
      </c>
      <c r="V238" s="969">
        <f t="shared" si="89"/>
        <v>0</v>
      </c>
    </row>
    <row r="239" spans="1:22">
      <c r="A239" s="816"/>
      <c r="B239" s="828">
        <f t="shared" si="80"/>
        <v>235</v>
      </c>
      <c r="C239" s="960" t="s">
        <v>983</v>
      </c>
      <c r="D239" s="960" t="s">
        <v>3848</v>
      </c>
      <c r="E239" s="960">
        <v>1054</v>
      </c>
      <c r="F239" s="961">
        <v>45122</v>
      </c>
      <c r="G239" s="961">
        <v>45130</v>
      </c>
      <c r="H239" s="960" t="s">
        <v>1696</v>
      </c>
      <c r="I239" s="962">
        <f t="shared" si="83"/>
        <v>45130</v>
      </c>
      <c r="J239" s="964">
        <v>330400</v>
      </c>
      <c r="K239" s="964"/>
      <c r="L239" s="964"/>
      <c r="M239" s="964"/>
      <c r="N239" s="964">
        <v>50400</v>
      </c>
      <c r="O239" s="964">
        <f t="shared" si="79"/>
        <v>280000</v>
      </c>
      <c r="P239" s="965">
        <f t="shared" si="84"/>
        <v>252</v>
      </c>
      <c r="Q239" s="966">
        <v>9</v>
      </c>
      <c r="R239" s="967">
        <f t="shared" si="85"/>
        <v>8.3095890410958901</v>
      </c>
      <c r="S239" s="968">
        <f t="shared" si="86"/>
        <v>21479</v>
      </c>
      <c r="T239" s="968">
        <f t="shared" si="87"/>
        <v>258521</v>
      </c>
      <c r="U239" s="969">
        <f t="shared" si="88"/>
        <v>280000</v>
      </c>
      <c r="V239" s="969">
        <f t="shared" si="89"/>
        <v>0</v>
      </c>
    </row>
    <row r="240" spans="1:22">
      <c r="A240" s="816"/>
      <c r="B240" s="828">
        <f t="shared" si="80"/>
        <v>236</v>
      </c>
      <c r="C240" s="960" t="s">
        <v>3876</v>
      </c>
      <c r="D240" s="960" t="s">
        <v>3848</v>
      </c>
      <c r="E240" s="960"/>
      <c r="F240" s="961">
        <v>45107</v>
      </c>
      <c r="G240" s="961">
        <v>45107</v>
      </c>
      <c r="H240" s="960"/>
      <c r="I240" s="962">
        <f t="shared" si="83"/>
        <v>45107</v>
      </c>
      <c r="J240" s="963">
        <v>32140</v>
      </c>
      <c r="K240" s="963"/>
      <c r="L240" s="964">
        <v>0</v>
      </c>
      <c r="M240" s="964"/>
      <c r="N240" s="964"/>
      <c r="O240" s="964">
        <f t="shared" si="79"/>
        <v>32140</v>
      </c>
      <c r="P240" s="965">
        <f t="shared" si="84"/>
        <v>275</v>
      </c>
      <c r="Q240" s="966">
        <v>9</v>
      </c>
      <c r="R240" s="967">
        <f t="shared" si="85"/>
        <v>8.2465753424657535</v>
      </c>
      <c r="S240" s="968">
        <f t="shared" si="86"/>
        <v>2691</v>
      </c>
      <c r="T240" s="968">
        <f t="shared" si="87"/>
        <v>29449</v>
      </c>
      <c r="U240" s="969">
        <f t="shared" si="88"/>
        <v>32140</v>
      </c>
      <c r="V240" s="969">
        <f t="shared" si="89"/>
        <v>0</v>
      </c>
    </row>
    <row r="241" spans="1:22">
      <c r="A241" s="816"/>
      <c r="B241" s="828">
        <f t="shared" si="80"/>
        <v>237</v>
      </c>
      <c r="C241" s="960" t="s">
        <v>3877</v>
      </c>
      <c r="D241" s="986" t="s">
        <v>3848</v>
      </c>
      <c r="E241" s="960" t="s">
        <v>3878</v>
      </c>
      <c r="F241" s="961">
        <v>45321</v>
      </c>
      <c r="G241" s="961">
        <v>45349</v>
      </c>
      <c r="H241" s="960" t="s">
        <v>3754</v>
      </c>
      <c r="I241" s="962">
        <f t="shared" si="83"/>
        <v>45349</v>
      </c>
      <c r="J241" s="964">
        <v>750000</v>
      </c>
      <c r="K241" s="964"/>
      <c r="L241" s="964"/>
      <c r="M241" s="964"/>
      <c r="N241" s="964">
        <v>80358</v>
      </c>
      <c r="O241" s="964">
        <f t="shared" si="79"/>
        <v>669642</v>
      </c>
      <c r="P241" s="965">
        <f t="shared" si="84"/>
        <v>33</v>
      </c>
      <c r="Q241" s="966">
        <v>9</v>
      </c>
      <c r="R241" s="967">
        <f t="shared" si="85"/>
        <v>8.9095890410958898</v>
      </c>
      <c r="S241" s="968">
        <f t="shared" si="86"/>
        <v>6727</v>
      </c>
      <c r="T241" s="968">
        <f t="shared" si="87"/>
        <v>662915</v>
      </c>
      <c r="U241" s="969">
        <f t="shared" si="88"/>
        <v>0</v>
      </c>
      <c r="V241" s="969">
        <f t="shared" si="89"/>
        <v>669642</v>
      </c>
    </row>
    <row r="242" spans="1:22">
      <c r="A242" s="816"/>
      <c r="B242" s="828">
        <f t="shared" si="80"/>
        <v>238</v>
      </c>
      <c r="C242" s="960" t="s">
        <v>575</v>
      </c>
      <c r="D242" s="960" t="s">
        <v>74</v>
      </c>
      <c r="E242" s="960">
        <v>87151394</v>
      </c>
      <c r="F242" s="961">
        <v>45077</v>
      </c>
      <c r="G242" s="961">
        <v>45077</v>
      </c>
      <c r="H242" s="960" t="s">
        <v>3347</v>
      </c>
      <c r="I242" s="962">
        <f t="shared" si="83"/>
        <v>45077</v>
      </c>
      <c r="J242" s="963">
        <v>4350070</v>
      </c>
      <c r="K242" s="963"/>
      <c r="L242" s="964"/>
      <c r="M242" s="964">
        <v>43070</v>
      </c>
      <c r="N242" s="964">
        <v>657000</v>
      </c>
      <c r="O242" s="964">
        <f t="shared" si="79"/>
        <v>3650000</v>
      </c>
      <c r="P242" s="965">
        <f t="shared" si="84"/>
        <v>305</v>
      </c>
      <c r="Q242" s="966">
        <v>9</v>
      </c>
      <c r="R242" s="967">
        <f t="shared" si="85"/>
        <v>8.1643835616438363</v>
      </c>
      <c r="S242" s="968">
        <f t="shared" si="86"/>
        <v>338889</v>
      </c>
      <c r="T242" s="968">
        <f t="shared" si="87"/>
        <v>3311111</v>
      </c>
      <c r="U242" s="969">
        <f t="shared" si="88"/>
        <v>3650000</v>
      </c>
      <c r="V242" s="969">
        <f t="shared" si="89"/>
        <v>0</v>
      </c>
    </row>
    <row r="243" spans="1:22">
      <c r="A243" s="816"/>
      <c r="B243" s="828">
        <f t="shared" si="80"/>
        <v>239</v>
      </c>
      <c r="C243" s="960" t="s">
        <v>3879</v>
      </c>
      <c r="D243" s="960" t="s">
        <v>74</v>
      </c>
      <c r="E243" s="960"/>
      <c r="F243" s="961">
        <v>45127</v>
      </c>
      <c r="G243" s="961">
        <v>45127</v>
      </c>
      <c r="H243" s="960"/>
      <c r="I243" s="962">
        <f t="shared" si="83"/>
        <v>45127</v>
      </c>
      <c r="J243" s="963">
        <v>24390</v>
      </c>
      <c r="K243" s="963"/>
      <c r="L243" s="964"/>
      <c r="M243" s="964"/>
      <c r="N243" s="964"/>
      <c r="O243" s="964">
        <f t="shared" si="79"/>
        <v>24390</v>
      </c>
      <c r="P243" s="965">
        <f t="shared" si="84"/>
        <v>255</v>
      </c>
      <c r="Q243" s="966">
        <v>9</v>
      </c>
      <c r="R243" s="967">
        <f t="shared" si="85"/>
        <v>8.3013698630136989</v>
      </c>
      <c r="S243" s="968">
        <f t="shared" si="86"/>
        <v>1893</v>
      </c>
      <c r="T243" s="968">
        <f t="shared" si="87"/>
        <v>22497</v>
      </c>
      <c r="U243" s="969">
        <f t="shared" si="88"/>
        <v>24390</v>
      </c>
      <c r="V243" s="969">
        <f t="shared" si="89"/>
        <v>0</v>
      </c>
    </row>
    <row r="244" spans="1:22">
      <c r="A244" s="816"/>
      <c r="B244" s="828">
        <f t="shared" si="80"/>
        <v>240</v>
      </c>
      <c r="C244" s="960" t="s">
        <v>983</v>
      </c>
      <c r="D244" s="960" t="s">
        <v>74</v>
      </c>
      <c r="E244" s="960">
        <v>522</v>
      </c>
      <c r="F244" s="961">
        <v>45096</v>
      </c>
      <c r="G244" s="961">
        <v>45096</v>
      </c>
      <c r="H244" s="960" t="s">
        <v>984</v>
      </c>
      <c r="I244" s="962">
        <f t="shared" si="83"/>
        <v>45096</v>
      </c>
      <c r="J244" s="963">
        <v>35201.759999999995</v>
      </c>
      <c r="K244" s="963"/>
      <c r="L244" s="964"/>
      <c r="M244" s="964"/>
      <c r="N244" s="964">
        <v>5369.7599999999993</v>
      </c>
      <c r="O244" s="964">
        <f t="shared" si="79"/>
        <v>29831.999999999996</v>
      </c>
      <c r="P244" s="965">
        <f t="shared" si="84"/>
        <v>286</v>
      </c>
      <c r="Q244" s="966">
        <v>9</v>
      </c>
      <c r="R244" s="967">
        <f t="shared" si="85"/>
        <v>8.2164383561643834</v>
      </c>
      <c r="S244" s="968">
        <f t="shared" si="86"/>
        <v>2597</v>
      </c>
      <c r="T244" s="968">
        <f t="shared" si="87"/>
        <v>27234.999999999996</v>
      </c>
      <c r="U244" s="969">
        <f t="shared" si="88"/>
        <v>29831.999999999996</v>
      </c>
      <c r="V244" s="969">
        <f t="shared" si="89"/>
        <v>0</v>
      </c>
    </row>
    <row r="245" spans="1:22">
      <c r="A245" s="816"/>
      <c r="B245" s="828">
        <f t="shared" si="80"/>
        <v>241</v>
      </c>
      <c r="C245" s="960" t="s">
        <v>3877</v>
      </c>
      <c r="D245" s="960" t="s">
        <v>3614</v>
      </c>
      <c r="E245" s="960">
        <v>816869893</v>
      </c>
      <c r="F245" s="961">
        <v>45321</v>
      </c>
      <c r="G245" s="961">
        <v>45349</v>
      </c>
      <c r="H245" s="960" t="s">
        <v>3754</v>
      </c>
      <c r="I245" s="962">
        <f t="shared" si="83"/>
        <v>45349</v>
      </c>
      <c r="J245" s="976">
        <v>750000</v>
      </c>
      <c r="K245" s="976"/>
      <c r="L245" s="964"/>
      <c r="M245" s="964"/>
      <c r="N245" s="964">
        <v>80357</v>
      </c>
      <c r="O245" s="964">
        <f t="shared" si="79"/>
        <v>669643</v>
      </c>
      <c r="P245" s="965">
        <f t="shared" si="84"/>
        <v>33</v>
      </c>
      <c r="Q245" s="966">
        <v>9</v>
      </c>
      <c r="R245" s="967">
        <f t="shared" si="85"/>
        <v>8.9095890410958898</v>
      </c>
      <c r="S245" s="968">
        <f t="shared" si="86"/>
        <v>6727</v>
      </c>
      <c r="T245" s="968">
        <f t="shared" si="87"/>
        <v>662916</v>
      </c>
      <c r="U245" s="969">
        <f t="shared" si="88"/>
        <v>0</v>
      </c>
      <c r="V245" s="969">
        <f t="shared" si="89"/>
        <v>669643</v>
      </c>
    </row>
    <row r="246" spans="1:22">
      <c r="A246" s="816"/>
      <c r="B246" s="828">
        <f t="shared" si="80"/>
        <v>242</v>
      </c>
      <c r="C246" s="960" t="s">
        <v>982</v>
      </c>
      <c r="D246" s="960" t="s">
        <v>21</v>
      </c>
      <c r="E246" s="960">
        <v>1010230860</v>
      </c>
      <c r="F246" s="961">
        <v>45079</v>
      </c>
      <c r="G246" s="961">
        <v>45079</v>
      </c>
      <c r="H246" s="960" t="s">
        <v>989</v>
      </c>
      <c r="I246" s="962">
        <f t="shared" si="83"/>
        <v>45079</v>
      </c>
      <c r="J246" s="963">
        <f>11328000</f>
        <v>11328000</v>
      </c>
      <c r="K246" s="963"/>
      <c r="L246" s="964"/>
      <c r="M246" s="964"/>
      <c r="N246" s="964">
        <v>1728000</v>
      </c>
      <c r="O246" s="964">
        <f t="shared" si="79"/>
        <v>9600000</v>
      </c>
      <c r="P246" s="965">
        <f t="shared" si="84"/>
        <v>303</v>
      </c>
      <c r="Q246" s="966">
        <v>9</v>
      </c>
      <c r="R246" s="967">
        <f t="shared" si="85"/>
        <v>8.169863013698631</v>
      </c>
      <c r="S246" s="968">
        <f t="shared" si="86"/>
        <v>885479</v>
      </c>
      <c r="T246" s="968">
        <f t="shared" si="87"/>
        <v>8714521</v>
      </c>
      <c r="U246" s="969">
        <f t="shared" si="88"/>
        <v>9600000</v>
      </c>
      <c r="V246" s="969">
        <f t="shared" si="89"/>
        <v>0</v>
      </c>
    </row>
    <row r="247" spans="1:22">
      <c r="A247" s="816"/>
      <c r="B247" s="828">
        <f t="shared" si="80"/>
        <v>243</v>
      </c>
      <c r="C247" s="960" t="s">
        <v>982</v>
      </c>
      <c r="D247" s="960" t="s">
        <v>21</v>
      </c>
      <c r="E247" s="960">
        <v>1010230861</v>
      </c>
      <c r="F247" s="961">
        <v>45079</v>
      </c>
      <c r="G247" s="961">
        <v>45079</v>
      </c>
      <c r="H247" s="960" t="s">
        <v>989</v>
      </c>
      <c r="I247" s="962">
        <f t="shared" si="83"/>
        <v>45079</v>
      </c>
      <c r="J247" s="963">
        <f>11328000</f>
        <v>11328000</v>
      </c>
      <c r="K247" s="963"/>
      <c r="L247" s="964"/>
      <c r="M247" s="964"/>
      <c r="N247" s="964">
        <v>1728000</v>
      </c>
      <c r="O247" s="964">
        <f t="shared" si="79"/>
        <v>9600000</v>
      </c>
      <c r="P247" s="965">
        <f t="shared" si="84"/>
        <v>303</v>
      </c>
      <c r="Q247" s="966">
        <v>9</v>
      </c>
      <c r="R247" s="967">
        <f t="shared" si="85"/>
        <v>8.169863013698631</v>
      </c>
      <c r="S247" s="968">
        <f t="shared" si="86"/>
        <v>885479</v>
      </c>
      <c r="T247" s="968">
        <f t="shared" si="87"/>
        <v>8714521</v>
      </c>
      <c r="U247" s="969">
        <f t="shared" si="88"/>
        <v>9600000</v>
      </c>
      <c r="V247" s="969">
        <f t="shared" si="89"/>
        <v>0</v>
      </c>
    </row>
    <row r="248" spans="1:22">
      <c r="A248" s="816"/>
      <c r="B248" s="828">
        <f t="shared" si="80"/>
        <v>244</v>
      </c>
      <c r="C248" s="960" t="s">
        <v>323</v>
      </c>
      <c r="D248" s="960" t="s">
        <v>21</v>
      </c>
      <c r="E248" s="960" t="s">
        <v>3880</v>
      </c>
      <c r="F248" s="961">
        <v>45036</v>
      </c>
      <c r="G248" s="961">
        <v>45042</v>
      </c>
      <c r="H248" s="960" t="s">
        <v>170</v>
      </c>
      <c r="I248" s="962">
        <f t="shared" si="83"/>
        <v>45042</v>
      </c>
      <c r="J248" s="963">
        <f>10856000-449706</f>
        <v>10406294</v>
      </c>
      <c r="K248" s="963">
        <f>449706*0</f>
        <v>0</v>
      </c>
      <c r="L248" s="964">
        <v>0</v>
      </c>
      <c r="M248" s="964"/>
      <c r="N248" s="964">
        <v>1656000</v>
      </c>
      <c r="O248" s="964">
        <f t="shared" si="79"/>
        <v>8750294</v>
      </c>
      <c r="P248" s="965">
        <f t="shared" si="84"/>
        <v>340</v>
      </c>
      <c r="Q248" s="966">
        <v>9</v>
      </c>
      <c r="R248" s="967">
        <f t="shared" si="85"/>
        <v>8.0684931506849313</v>
      </c>
      <c r="S248" s="968">
        <f t="shared" si="86"/>
        <v>905662</v>
      </c>
      <c r="T248" s="968">
        <f t="shared" si="87"/>
        <v>7844632</v>
      </c>
      <c r="U248" s="969">
        <f t="shared" si="88"/>
        <v>8750294</v>
      </c>
      <c r="V248" s="969">
        <f t="shared" si="89"/>
        <v>0</v>
      </c>
    </row>
    <row r="249" spans="1:22">
      <c r="A249" s="816"/>
      <c r="B249" s="828">
        <f t="shared" si="80"/>
        <v>245</v>
      </c>
      <c r="C249" s="960" t="s">
        <v>323</v>
      </c>
      <c r="D249" s="960" t="s">
        <v>21</v>
      </c>
      <c r="E249" s="960" t="s">
        <v>3881</v>
      </c>
      <c r="F249" s="961">
        <v>45036</v>
      </c>
      <c r="G249" s="961">
        <v>45042</v>
      </c>
      <c r="H249" s="960" t="s">
        <v>170</v>
      </c>
      <c r="I249" s="962">
        <f t="shared" si="83"/>
        <v>45042</v>
      </c>
      <c r="J249" s="963">
        <f>10856000</f>
        <v>10856000</v>
      </c>
      <c r="K249" s="963">
        <f>195312.57*0</f>
        <v>0</v>
      </c>
      <c r="L249" s="964"/>
      <c r="M249" s="964"/>
      <c r="N249" s="964">
        <v>1656000</v>
      </c>
      <c r="O249" s="964">
        <f t="shared" si="79"/>
        <v>9200000</v>
      </c>
      <c r="P249" s="965">
        <f t="shared" si="84"/>
        <v>340</v>
      </c>
      <c r="Q249" s="966">
        <v>9</v>
      </c>
      <c r="R249" s="967">
        <f t="shared" si="85"/>
        <v>8.0684931506849313</v>
      </c>
      <c r="S249" s="968">
        <f t="shared" si="86"/>
        <v>952207</v>
      </c>
      <c r="T249" s="968">
        <f t="shared" si="87"/>
        <v>8247793</v>
      </c>
      <c r="U249" s="969">
        <f t="shared" si="88"/>
        <v>9200000</v>
      </c>
      <c r="V249" s="969">
        <f t="shared" si="89"/>
        <v>0</v>
      </c>
    </row>
    <row r="250" spans="1:22">
      <c r="A250" s="816"/>
      <c r="B250" s="828">
        <f t="shared" si="80"/>
        <v>246</v>
      </c>
      <c r="C250" s="960" t="s">
        <v>323</v>
      </c>
      <c r="D250" s="960" t="s">
        <v>21</v>
      </c>
      <c r="E250" s="960" t="s">
        <v>3882</v>
      </c>
      <c r="F250" s="961">
        <v>45036</v>
      </c>
      <c r="G250" s="961">
        <v>45042</v>
      </c>
      <c r="H250" s="960" t="s">
        <v>170</v>
      </c>
      <c r="I250" s="962">
        <f t="shared" si="83"/>
        <v>45042</v>
      </c>
      <c r="J250" s="963">
        <v>10856000</v>
      </c>
      <c r="K250" s="963">
        <f t="shared" ref="K250:K253" si="90">195312.57*0</f>
        <v>0</v>
      </c>
      <c r="L250" s="964"/>
      <c r="M250" s="964"/>
      <c r="N250" s="964">
        <v>1656000</v>
      </c>
      <c r="O250" s="964">
        <f t="shared" si="79"/>
        <v>9200000</v>
      </c>
      <c r="P250" s="965">
        <f t="shared" si="84"/>
        <v>340</v>
      </c>
      <c r="Q250" s="966">
        <v>9</v>
      </c>
      <c r="R250" s="967">
        <f t="shared" si="85"/>
        <v>8.0684931506849313</v>
      </c>
      <c r="S250" s="968">
        <f t="shared" si="86"/>
        <v>952207</v>
      </c>
      <c r="T250" s="968">
        <f t="shared" si="87"/>
        <v>8247793</v>
      </c>
      <c r="U250" s="969">
        <f t="shared" si="88"/>
        <v>9200000</v>
      </c>
      <c r="V250" s="969">
        <f t="shared" si="89"/>
        <v>0</v>
      </c>
    </row>
    <row r="251" spans="1:22">
      <c r="A251" s="816"/>
      <c r="B251" s="828">
        <f t="shared" si="80"/>
        <v>247</v>
      </c>
      <c r="C251" s="960" t="s">
        <v>323</v>
      </c>
      <c r="D251" s="960" t="s">
        <v>21</v>
      </c>
      <c r="E251" s="960" t="s">
        <v>3883</v>
      </c>
      <c r="F251" s="961">
        <v>45036</v>
      </c>
      <c r="G251" s="961">
        <v>45042</v>
      </c>
      <c r="H251" s="960" t="s">
        <v>170</v>
      </c>
      <c r="I251" s="962">
        <f t="shared" si="83"/>
        <v>45042</v>
      </c>
      <c r="J251" s="963">
        <v>10856000</v>
      </c>
      <c r="K251" s="963">
        <f t="shared" si="90"/>
        <v>0</v>
      </c>
      <c r="L251" s="964"/>
      <c r="M251" s="964"/>
      <c r="N251" s="964">
        <v>1656000</v>
      </c>
      <c r="O251" s="964">
        <f t="shared" si="79"/>
        <v>9200000</v>
      </c>
      <c r="P251" s="965">
        <f t="shared" si="84"/>
        <v>340</v>
      </c>
      <c r="Q251" s="966">
        <v>9</v>
      </c>
      <c r="R251" s="967">
        <f t="shared" si="85"/>
        <v>8.0684931506849313</v>
      </c>
      <c r="S251" s="968">
        <f t="shared" si="86"/>
        <v>952207</v>
      </c>
      <c r="T251" s="968">
        <f t="shared" si="87"/>
        <v>8247793</v>
      </c>
      <c r="U251" s="969">
        <f t="shared" si="88"/>
        <v>9200000</v>
      </c>
      <c r="V251" s="969">
        <f t="shared" si="89"/>
        <v>0</v>
      </c>
    </row>
    <row r="252" spans="1:22">
      <c r="A252" s="816"/>
      <c r="B252" s="828">
        <f t="shared" si="80"/>
        <v>248</v>
      </c>
      <c r="C252" s="960" t="s">
        <v>323</v>
      </c>
      <c r="D252" s="960" t="s">
        <v>21</v>
      </c>
      <c r="E252" s="960" t="s">
        <v>3884</v>
      </c>
      <c r="F252" s="961">
        <v>45047</v>
      </c>
      <c r="G252" s="961">
        <v>45069</v>
      </c>
      <c r="H252" s="960" t="s">
        <v>170</v>
      </c>
      <c r="I252" s="962">
        <f t="shared" si="83"/>
        <v>45069</v>
      </c>
      <c r="J252" s="963">
        <v>10856000</v>
      </c>
      <c r="K252" s="963">
        <f t="shared" si="90"/>
        <v>0</v>
      </c>
      <c r="L252" s="964"/>
      <c r="M252" s="964"/>
      <c r="N252" s="964">
        <v>1656000</v>
      </c>
      <c r="O252" s="964">
        <f t="shared" si="79"/>
        <v>9200000</v>
      </c>
      <c r="P252" s="965">
        <f t="shared" si="84"/>
        <v>313</v>
      </c>
      <c r="Q252" s="966">
        <v>9</v>
      </c>
      <c r="R252" s="967">
        <f t="shared" si="85"/>
        <v>8.1424657534246574</v>
      </c>
      <c r="S252" s="968">
        <f t="shared" si="86"/>
        <v>876591</v>
      </c>
      <c r="T252" s="968">
        <f t="shared" si="87"/>
        <v>8323409</v>
      </c>
      <c r="U252" s="969">
        <f t="shared" si="88"/>
        <v>9200000</v>
      </c>
      <c r="V252" s="969">
        <f t="shared" si="89"/>
        <v>0</v>
      </c>
    </row>
    <row r="253" spans="1:22">
      <c r="A253" s="816"/>
      <c r="B253" s="828">
        <f t="shared" si="80"/>
        <v>249</v>
      </c>
      <c r="C253" s="960" t="s">
        <v>323</v>
      </c>
      <c r="D253" s="960" t="s">
        <v>21</v>
      </c>
      <c r="E253" s="960" t="s">
        <v>3885</v>
      </c>
      <c r="F253" s="961">
        <v>45047</v>
      </c>
      <c r="G253" s="961">
        <v>45069</v>
      </c>
      <c r="H253" s="960" t="s">
        <v>170</v>
      </c>
      <c r="I253" s="962">
        <f t="shared" si="83"/>
        <v>45069</v>
      </c>
      <c r="J253" s="963">
        <v>10856000</v>
      </c>
      <c r="K253" s="963">
        <f t="shared" si="90"/>
        <v>0</v>
      </c>
      <c r="L253" s="964"/>
      <c r="M253" s="964"/>
      <c r="N253" s="964">
        <v>1656000</v>
      </c>
      <c r="O253" s="964">
        <f t="shared" si="79"/>
        <v>9200000</v>
      </c>
      <c r="P253" s="965">
        <f t="shared" si="84"/>
        <v>313</v>
      </c>
      <c r="Q253" s="966">
        <v>9</v>
      </c>
      <c r="R253" s="967">
        <f t="shared" si="85"/>
        <v>8.1424657534246574</v>
      </c>
      <c r="S253" s="968">
        <f t="shared" si="86"/>
        <v>876591</v>
      </c>
      <c r="T253" s="968">
        <f t="shared" si="87"/>
        <v>8323409</v>
      </c>
      <c r="U253" s="969">
        <f t="shared" si="88"/>
        <v>9200000</v>
      </c>
      <c r="V253" s="969">
        <f t="shared" si="89"/>
        <v>0</v>
      </c>
    </row>
    <row r="254" spans="1:22">
      <c r="A254" s="816"/>
      <c r="B254" s="828">
        <f t="shared" si="80"/>
        <v>250</v>
      </c>
      <c r="C254" s="960" t="s">
        <v>323</v>
      </c>
      <c r="D254" s="960" t="s">
        <v>21</v>
      </c>
      <c r="E254" s="960" t="s">
        <v>24</v>
      </c>
      <c r="F254" s="961">
        <v>45069</v>
      </c>
      <c r="G254" s="961">
        <v>45069</v>
      </c>
      <c r="H254" s="960" t="s">
        <v>170</v>
      </c>
      <c r="I254" s="962">
        <v>45069</v>
      </c>
      <c r="J254" s="963">
        <f>8600000-8600000</f>
        <v>0</v>
      </c>
      <c r="K254" s="963">
        <f>8600000*0</f>
        <v>0</v>
      </c>
      <c r="L254" s="964"/>
      <c r="M254" s="964"/>
      <c r="N254" s="964">
        <v>0</v>
      </c>
      <c r="O254" s="964">
        <f t="shared" si="79"/>
        <v>0</v>
      </c>
      <c r="P254" s="965">
        <v>313</v>
      </c>
      <c r="Q254" s="968">
        <v>876591</v>
      </c>
      <c r="R254" s="968">
        <v>8323409</v>
      </c>
      <c r="S254" s="968">
        <f t="shared" si="86"/>
        <v>0</v>
      </c>
      <c r="T254" s="969">
        <v>0</v>
      </c>
      <c r="U254" s="969"/>
      <c r="V254" s="969"/>
    </row>
    <row r="255" spans="1:22">
      <c r="A255" s="816"/>
      <c r="B255" s="828">
        <f t="shared" si="80"/>
        <v>251</v>
      </c>
      <c r="C255" s="960" t="s">
        <v>324</v>
      </c>
      <c r="D255" s="960" t="s">
        <v>21</v>
      </c>
      <c r="E255" s="960" t="s">
        <v>3886</v>
      </c>
      <c r="F255" s="961">
        <v>45059</v>
      </c>
      <c r="G255" s="961">
        <v>45069</v>
      </c>
      <c r="H255" s="960" t="s">
        <v>170</v>
      </c>
      <c r="I255" s="962">
        <f t="shared" si="83"/>
        <v>45069</v>
      </c>
      <c r="J255" s="963">
        <f>7150800-186359</f>
        <v>6964441</v>
      </c>
      <c r="K255" s="963">
        <f>186359*0</f>
        <v>0</v>
      </c>
      <c r="L255" s="973">
        <v>41845</v>
      </c>
      <c r="M255" s="964">
        <v>70800</v>
      </c>
      <c r="N255" s="964">
        <v>1080000</v>
      </c>
      <c r="O255" s="964">
        <f t="shared" si="79"/>
        <v>5855486</v>
      </c>
      <c r="P255" s="965">
        <f t="shared" si="84"/>
        <v>313</v>
      </c>
      <c r="Q255" s="966">
        <v>9</v>
      </c>
      <c r="R255" s="967">
        <f t="shared" si="85"/>
        <v>8.1424657534246574</v>
      </c>
      <c r="S255" s="968">
        <f t="shared" si="86"/>
        <v>557920</v>
      </c>
      <c r="T255" s="968">
        <f t="shared" si="87"/>
        <v>5297566</v>
      </c>
      <c r="U255" s="969">
        <f t="shared" si="88"/>
        <v>5855486</v>
      </c>
      <c r="V255" s="969">
        <f t="shared" si="89"/>
        <v>0</v>
      </c>
    </row>
    <row r="256" spans="1:22">
      <c r="A256" s="816"/>
      <c r="B256" s="828">
        <f t="shared" si="80"/>
        <v>252</v>
      </c>
      <c r="C256" s="960" t="s">
        <v>324</v>
      </c>
      <c r="D256" s="960" t="s">
        <v>21</v>
      </c>
      <c r="E256" s="960" t="s">
        <v>3887</v>
      </c>
      <c r="F256" s="961">
        <v>45086</v>
      </c>
      <c r="G256" s="961">
        <v>45097</v>
      </c>
      <c r="H256" s="960" t="s">
        <v>170</v>
      </c>
      <c r="I256" s="962">
        <f t="shared" si="83"/>
        <v>45097</v>
      </c>
      <c r="J256" s="963">
        <f>7150800-186359</f>
        <v>6964441</v>
      </c>
      <c r="K256" s="963">
        <f>186359*0</f>
        <v>0</v>
      </c>
      <c r="L256" s="973"/>
      <c r="M256" s="964">
        <v>70800</v>
      </c>
      <c r="N256" s="964">
        <v>1080000</v>
      </c>
      <c r="O256" s="964">
        <f t="shared" si="79"/>
        <v>5813641</v>
      </c>
      <c r="P256" s="965">
        <f t="shared" si="84"/>
        <v>285</v>
      </c>
      <c r="Q256" s="966">
        <v>9</v>
      </c>
      <c r="R256" s="967">
        <f t="shared" si="85"/>
        <v>8.2191780821917817</v>
      </c>
      <c r="S256" s="968">
        <f t="shared" si="86"/>
        <v>504380</v>
      </c>
      <c r="T256" s="968">
        <f t="shared" si="87"/>
        <v>5309261</v>
      </c>
      <c r="U256" s="969">
        <f t="shared" si="88"/>
        <v>5813641</v>
      </c>
      <c r="V256" s="969">
        <f t="shared" si="89"/>
        <v>0</v>
      </c>
    </row>
    <row r="257" spans="1:22">
      <c r="A257" s="816"/>
      <c r="B257" s="828">
        <f t="shared" si="80"/>
        <v>253</v>
      </c>
      <c r="C257" s="960" t="s">
        <v>3514</v>
      </c>
      <c r="D257" s="960" t="s">
        <v>21</v>
      </c>
      <c r="E257" s="960">
        <v>10213387</v>
      </c>
      <c r="F257" s="961">
        <v>45045</v>
      </c>
      <c r="G257" s="961">
        <v>45097</v>
      </c>
      <c r="H257" s="960" t="s">
        <v>3347</v>
      </c>
      <c r="I257" s="962">
        <f t="shared" si="83"/>
        <v>45097</v>
      </c>
      <c r="J257" s="963">
        <v>644000</v>
      </c>
      <c r="K257" s="963"/>
      <c r="L257" s="964"/>
      <c r="M257" s="964"/>
      <c r="N257" s="964">
        <v>69000</v>
      </c>
      <c r="O257" s="964">
        <f t="shared" si="79"/>
        <v>575000</v>
      </c>
      <c r="P257" s="965">
        <f t="shared" si="84"/>
        <v>285</v>
      </c>
      <c r="Q257" s="966">
        <v>3</v>
      </c>
      <c r="R257" s="967">
        <f t="shared" si="85"/>
        <v>2.2191780821917808</v>
      </c>
      <c r="S257" s="968">
        <f t="shared" si="86"/>
        <v>149658</v>
      </c>
      <c r="T257" s="968">
        <f t="shared" si="87"/>
        <v>425342</v>
      </c>
      <c r="U257" s="969">
        <f t="shared" si="88"/>
        <v>575000</v>
      </c>
      <c r="V257" s="969">
        <f t="shared" si="89"/>
        <v>0</v>
      </c>
    </row>
    <row r="258" spans="1:22">
      <c r="A258" s="816"/>
      <c r="B258" s="828">
        <f t="shared" si="80"/>
        <v>254</v>
      </c>
      <c r="C258" s="960" t="s">
        <v>3514</v>
      </c>
      <c r="D258" s="960" t="s">
        <v>21</v>
      </c>
      <c r="E258" s="960">
        <v>10213386</v>
      </c>
      <c r="F258" s="961">
        <v>45045</v>
      </c>
      <c r="G258" s="961">
        <v>45097</v>
      </c>
      <c r="H258" s="960" t="s">
        <v>3347</v>
      </c>
      <c r="I258" s="962">
        <f t="shared" si="83"/>
        <v>45097</v>
      </c>
      <c r="J258" s="963">
        <v>644000</v>
      </c>
      <c r="K258" s="963"/>
      <c r="L258" s="964"/>
      <c r="M258" s="964"/>
      <c r="N258" s="964">
        <v>69000</v>
      </c>
      <c r="O258" s="964">
        <f t="shared" si="79"/>
        <v>575000</v>
      </c>
      <c r="P258" s="965">
        <f t="shared" si="84"/>
        <v>285</v>
      </c>
      <c r="Q258" s="966">
        <v>3</v>
      </c>
      <c r="R258" s="967">
        <f t="shared" si="85"/>
        <v>2.2191780821917808</v>
      </c>
      <c r="S258" s="968">
        <f t="shared" si="86"/>
        <v>149658</v>
      </c>
      <c r="T258" s="968">
        <f t="shared" si="87"/>
        <v>425342</v>
      </c>
      <c r="U258" s="969">
        <f t="shared" si="88"/>
        <v>575000</v>
      </c>
      <c r="V258" s="969">
        <f t="shared" si="89"/>
        <v>0</v>
      </c>
    </row>
    <row r="259" spans="1:22">
      <c r="A259" s="816"/>
      <c r="B259" s="828">
        <f t="shared" si="80"/>
        <v>255</v>
      </c>
      <c r="C259" s="960" t="s">
        <v>3888</v>
      </c>
      <c r="D259" s="960" t="s">
        <v>21</v>
      </c>
      <c r="E259" s="960">
        <v>819</v>
      </c>
      <c r="F259" s="961">
        <v>45122</v>
      </c>
      <c r="G259" s="961">
        <v>45122</v>
      </c>
      <c r="H259" s="960" t="s">
        <v>3704</v>
      </c>
      <c r="I259" s="962">
        <f t="shared" si="83"/>
        <v>45122</v>
      </c>
      <c r="J259" s="963">
        <v>104218</v>
      </c>
      <c r="K259" s="963"/>
      <c r="L259" s="964"/>
      <c r="M259" s="964"/>
      <c r="N259" s="964">
        <v>15898</v>
      </c>
      <c r="O259" s="964">
        <f t="shared" si="79"/>
        <v>88320</v>
      </c>
      <c r="P259" s="965">
        <f t="shared" si="84"/>
        <v>260</v>
      </c>
      <c r="Q259" s="966">
        <v>3</v>
      </c>
      <c r="R259" s="967">
        <f t="shared" si="85"/>
        <v>2.2876712328767121</v>
      </c>
      <c r="S259" s="968">
        <f t="shared" si="86"/>
        <v>20971</v>
      </c>
      <c r="T259" s="968">
        <f t="shared" si="87"/>
        <v>67349</v>
      </c>
      <c r="U259" s="969">
        <f t="shared" si="88"/>
        <v>88320</v>
      </c>
      <c r="V259" s="969">
        <f t="shared" si="89"/>
        <v>0</v>
      </c>
    </row>
    <row r="260" spans="1:22">
      <c r="A260" s="816"/>
      <c r="B260" s="828">
        <f t="shared" si="80"/>
        <v>256</v>
      </c>
      <c r="C260" s="970" t="s">
        <v>62</v>
      </c>
      <c r="D260" s="960" t="s">
        <v>21</v>
      </c>
      <c r="E260" s="970">
        <v>7272306596</v>
      </c>
      <c r="F260" s="971">
        <v>45098</v>
      </c>
      <c r="G260" s="971">
        <v>45107</v>
      </c>
      <c r="H260" s="970" t="s">
        <v>420</v>
      </c>
      <c r="I260" s="962">
        <f t="shared" si="83"/>
        <v>45107</v>
      </c>
      <c r="J260" s="973">
        <v>3881692.6</v>
      </c>
      <c r="K260" s="973"/>
      <c r="L260" s="973"/>
      <c r="M260" s="973">
        <v>38432.6</v>
      </c>
      <c r="N260" s="973">
        <v>586260</v>
      </c>
      <c r="O260" s="964">
        <f t="shared" si="79"/>
        <v>3257000</v>
      </c>
      <c r="P260" s="965">
        <f t="shared" si="84"/>
        <v>275</v>
      </c>
      <c r="Q260" s="974">
        <v>9</v>
      </c>
      <c r="R260" s="975">
        <f t="shared" si="85"/>
        <v>8.2465753424657535</v>
      </c>
      <c r="S260" s="968">
        <f t="shared" si="86"/>
        <v>272656</v>
      </c>
      <c r="T260" s="968">
        <f t="shared" si="87"/>
        <v>2984344</v>
      </c>
      <c r="U260" s="969">
        <f t="shared" si="88"/>
        <v>3257000</v>
      </c>
      <c r="V260" s="969">
        <f t="shared" si="89"/>
        <v>0</v>
      </c>
    </row>
    <row r="261" spans="1:22">
      <c r="A261" s="816"/>
      <c r="B261" s="828">
        <f t="shared" si="80"/>
        <v>257</v>
      </c>
      <c r="C261" s="970" t="s">
        <v>62</v>
      </c>
      <c r="D261" s="960" t="s">
        <v>21</v>
      </c>
      <c r="E261" s="970">
        <v>7272306168</v>
      </c>
      <c r="F261" s="977">
        <v>45098</v>
      </c>
      <c r="G261" s="977">
        <v>45107</v>
      </c>
      <c r="H261" s="970" t="s">
        <v>420</v>
      </c>
      <c r="I261" s="962">
        <f t="shared" si="83"/>
        <v>45107</v>
      </c>
      <c r="J261" s="973">
        <v>3881692.6</v>
      </c>
      <c r="K261" s="973"/>
      <c r="L261" s="973"/>
      <c r="M261" s="973">
        <v>38432.6</v>
      </c>
      <c r="N261" s="973">
        <v>586260</v>
      </c>
      <c r="O261" s="964">
        <f t="shared" si="79"/>
        <v>3257000</v>
      </c>
      <c r="P261" s="965">
        <f t="shared" si="84"/>
        <v>275</v>
      </c>
      <c r="Q261" s="974">
        <v>9</v>
      </c>
      <c r="R261" s="975">
        <f t="shared" si="85"/>
        <v>8.2465753424657535</v>
      </c>
      <c r="S261" s="968">
        <f t="shared" si="86"/>
        <v>272656</v>
      </c>
      <c r="T261" s="968">
        <f t="shared" si="87"/>
        <v>2984344</v>
      </c>
      <c r="U261" s="969">
        <f t="shared" si="88"/>
        <v>3257000</v>
      </c>
      <c r="V261" s="969">
        <f t="shared" si="89"/>
        <v>0</v>
      </c>
    </row>
    <row r="262" spans="1:22">
      <c r="A262" s="816"/>
      <c r="B262" s="828">
        <f t="shared" si="80"/>
        <v>258</v>
      </c>
      <c r="C262" s="960" t="s">
        <v>328</v>
      </c>
      <c r="D262" s="960" t="s">
        <v>21</v>
      </c>
      <c r="E262" s="960">
        <v>14</v>
      </c>
      <c r="F262" s="961">
        <v>44958</v>
      </c>
      <c r="G262" s="961">
        <v>45073</v>
      </c>
      <c r="H262" s="960" t="s">
        <v>3889</v>
      </c>
      <c r="I262" s="962">
        <f t="shared" si="83"/>
        <v>45073</v>
      </c>
      <c r="J262" s="963">
        <v>118000</v>
      </c>
      <c r="K262" s="963"/>
      <c r="L262" s="964"/>
      <c r="M262" s="964"/>
      <c r="N262" s="964">
        <v>18000</v>
      </c>
      <c r="O262" s="964">
        <f t="shared" ref="O262:O325" si="91">+J262+L262-(K262+M262+N262)</f>
        <v>100000</v>
      </c>
      <c r="P262" s="965">
        <f t="shared" si="84"/>
        <v>309</v>
      </c>
      <c r="Q262" s="966">
        <v>3</v>
      </c>
      <c r="R262" s="967">
        <f t="shared" si="85"/>
        <v>2.1534246575342468</v>
      </c>
      <c r="S262" s="968">
        <f t="shared" si="86"/>
        <v>28219</v>
      </c>
      <c r="T262" s="968">
        <f t="shared" si="87"/>
        <v>71781</v>
      </c>
      <c r="U262" s="969">
        <f t="shared" si="88"/>
        <v>100000</v>
      </c>
      <c r="V262" s="969">
        <f t="shared" si="89"/>
        <v>0</v>
      </c>
    </row>
    <row r="263" spans="1:22">
      <c r="A263" s="816"/>
      <c r="B263" s="828">
        <f t="shared" si="80"/>
        <v>259</v>
      </c>
      <c r="C263" s="960" t="s">
        <v>328</v>
      </c>
      <c r="D263" s="960" t="s">
        <v>21</v>
      </c>
      <c r="E263" s="960">
        <v>15</v>
      </c>
      <c r="F263" s="961">
        <v>44959</v>
      </c>
      <c r="G263" s="961">
        <v>45073</v>
      </c>
      <c r="H263" s="960" t="s">
        <v>3889</v>
      </c>
      <c r="I263" s="962">
        <f t="shared" si="83"/>
        <v>45073</v>
      </c>
      <c r="J263" s="963">
        <v>118000</v>
      </c>
      <c r="K263" s="963"/>
      <c r="L263" s="964"/>
      <c r="M263" s="964"/>
      <c r="N263" s="964">
        <v>18000</v>
      </c>
      <c r="O263" s="964">
        <f t="shared" si="91"/>
        <v>100000</v>
      </c>
      <c r="P263" s="965">
        <f t="shared" si="84"/>
        <v>309</v>
      </c>
      <c r="Q263" s="966">
        <v>3</v>
      </c>
      <c r="R263" s="967">
        <f t="shared" si="85"/>
        <v>2.1534246575342468</v>
      </c>
      <c r="S263" s="968">
        <f t="shared" si="86"/>
        <v>28219</v>
      </c>
      <c r="T263" s="968">
        <f t="shared" si="87"/>
        <v>71781</v>
      </c>
      <c r="U263" s="969">
        <f t="shared" si="88"/>
        <v>100000</v>
      </c>
      <c r="V263" s="969">
        <f t="shared" si="89"/>
        <v>0</v>
      </c>
    </row>
    <row r="264" spans="1:22">
      <c r="A264" s="816"/>
      <c r="B264" s="828">
        <f t="shared" ref="B264:B327" si="92">+B263+1</f>
        <v>260</v>
      </c>
      <c r="C264" s="970" t="s">
        <v>328</v>
      </c>
      <c r="D264" s="960" t="s">
        <v>21</v>
      </c>
      <c r="E264" s="970">
        <v>16</v>
      </c>
      <c r="F264" s="971">
        <v>44960</v>
      </c>
      <c r="G264" s="971">
        <v>45073</v>
      </c>
      <c r="H264" s="970" t="s">
        <v>3889</v>
      </c>
      <c r="I264" s="962">
        <f t="shared" si="83"/>
        <v>45073</v>
      </c>
      <c r="J264" s="973">
        <v>118000</v>
      </c>
      <c r="K264" s="973"/>
      <c r="L264" s="973"/>
      <c r="M264" s="973"/>
      <c r="N264" s="973">
        <v>18000</v>
      </c>
      <c r="O264" s="964">
        <f t="shared" si="91"/>
        <v>100000</v>
      </c>
      <c r="P264" s="965">
        <f t="shared" si="84"/>
        <v>309</v>
      </c>
      <c r="Q264" s="974">
        <v>3</v>
      </c>
      <c r="R264" s="975">
        <f t="shared" si="85"/>
        <v>2.1534246575342468</v>
      </c>
      <c r="S264" s="968">
        <f t="shared" si="86"/>
        <v>28219</v>
      </c>
      <c r="T264" s="968">
        <f t="shared" si="87"/>
        <v>71781</v>
      </c>
      <c r="U264" s="969">
        <f t="shared" si="88"/>
        <v>100000</v>
      </c>
      <c r="V264" s="969">
        <f t="shared" si="89"/>
        <v>0</v>
      </c>
    </row>
    <row r="265" spans="1:22">
      <c r="A265" s="816"/>
      <c r="B265" s="828">
        <f t="shared" si="92"/>
        <v>261</v>
      </c>
      <c r="C265" s="960" t="s">
        <v>328</v>
      </c>
      <c r="D265" s="960" t="s">
        <v>21</v>
      </c>
      <c r="E265" s="960">
        <v>198</v>
      </c>
      <c r="F265" s="961">
        <v>45041</v>
      </c>
      <c r="G265" s="961">
        <v>45083</v>
      </c>
      <c r="H265" s="960" t="s">
        <v>3704</v>
      </c>
      <c r="I265" s="962">
        <f t="shared" si="83"/>
        <v>45083</v>
      </c>
      <c r="J265" s="963">
        <v>18998</v>
      </c>
      <c r="K265" s="963"/>
      <c r="L265" s="964"/>
      <c r="M265" s="964"/>
      <c r="N265" s="964">
        <v>2898</v>
      </c>
      <c r="O265" s="964">
        <f t="shared" si="91"/>
        <v>16100</v>
      </c>
      <c r="P265" s="965">
        <f t="shared" si="84"/>
        <v>299</v>
      </c>
      <c r="Q265" s="966">
        <v>3</v>
      </c>
      <c r="R265" s="967">
        <f t="shared" si="85"/>
        <v>2.1808219178082191</v>
      </c>
      <c r="S265" s="968">
        <f t="shared" si="86"/>
        <v>4396</v>
      </c>
      <c r="T265" s="968">
        <f t="shared" si="87"/>
        <v>11704</v>
      </c>
      <c r="U265" s="969">
        <f t="shared" si="88"/>
        <v>16100</v>
      </c>
      <c r="V265" s="969">
        <f t="shared" si="89"/>
        <v>0</v>
      </c>
    </row>
    <row r="266" spans="1:22">
      <c r="A266" s="816"/>
      <c r="B266" s="828">
        <f t="shared" si="92"/>
        <v>262</v>
      </c>
      <c r="C266" s="960" t="s">
        <v>71</v>
      </c>
      <c r="D266" s="960" t="s">
        <v>21</v>
      </c>
      <c r="E266" s="960" t="s">
        <v>3890</v>
      </c>
      <c r="F266" s="985">
        <v>45039</v>
      </c>
      <c r="G266" s="985">
        <v>45039</v>
      </c>
      <c r="H266" s="960" t="s">
        <v>402</v>
      </c>
      <c r="I266" s="962">
        <f t="shared" si="83"/>
        <v>45039</v>
      </c>
      <c r="J266" s="976">
        <f>13574400-2083333</f>
        <v>11491067</v>
      </c>
      <c r="K266" s="976">
        <f>(1333333+750000)*0</f>
        <v>0</v>
      </c>
      <c r="L266" s="964"/>
      <c r="M266" s="964">
        <v>134400</v>
      </c>
      <c r="N266" s="964">
        <v>2940000</v>
      </c>
      <c r="O266" s="964">
        <f t="shared" si="91"/>
        <v>8416667</v>
      </c>
      <c r="P266" s="965">
        <f t="shared" si="84"/>
        <v>343</v>
      </c>
      <c r="Q266" s="966">
        <v>9</v>
      </c>
      <c r="R266" s="967">
        <f t="shared" si="85"/>
        <v>8.0602739726027401</v>
      </c>
      <c r="S266" s="968">
        <f t="shared" si="86"/>
        <v>878818</v>
      </c>
      <c r="T266" s="968">
        <f t="shared" si="87"/>
        <v>7537849</v>
      </c>
      <c r="U266" s="969">
        <f t="shared" si="88"/>
        <v>8416667</v>
      </c>
      <c r="V266" s="969">
        <f t="shared" si="89"/>
        <v>0</v>
      </c>
    </row>
    <row r="267" spans="1:22">
      <c r="A267" s="816"/>
      <c r="B267" s="828">
        <f t="shared" si="92"/>
        <v>263</v>
      </c>
      <c r="C267" s="960" t="s">
        <v>71</v>
      </c>
      <c r="D267" s="960" t="s">
        <v>21</v>
      </c>
      <c r="E267" s="960" t="s">
        <v>3891</v>
      </c>
      <c r="F267" s="985">
        <v>45039</v>
      </c>
      <c r="G267" s="985">
        <v>45039</v>
      </c>
      <c r="H267" s="960" t="s">
        <v>402</v>
      </c>
      <c r="I267" s="962">
        <f t="shared" si="83"/>
        <v>45039</v>
      </c>
      <c r="J267" s="976">
        <f t="shared" ref="J267:J275" si="93">13574400-2083333</f>
        <v>11491067</v>
      </c>
      <c r="K267" s="976">
        <f t="shared" ref="K267:K275" si="94">(1333333+750000)*0</f>
        <v>0</v>
      </c>
      <c r="L267" s="964"/>
      <c r="M267" s="964">
        <v>134400</v>
      </c>
      <c r="N267" s="964">
        <v>2940000</v>
      </c>
      <c r="O267" s="964">
        <f t="shared" si="91"/>
        <v>8416667</v>
      </c>
      <c r="P267" s="965">
        <f t="shared" si="84"/>
        <v>343</v>
      </c>
      <c r="Q267" s="966">
        <v>9</v>
      </c>
      <c r="R267" s="967">
        <f t="shared" si="85"/>
        <v>8.0602739726027401</v>
      </c>
      <c r="S267" s="968">
        <f t="shared" si="86"/>
        <v>878818</v>
      </c>
      <c r="T267" s="968">
        <f t="shared" si="87"/>
        <v>7537849</v>
      </c>
      <c r="U267" s="969">
        <f t="shared" si="88"/>
        <v>8416667</v>
      </c>
      <c r="V267" s="969">
        <f t="shared" si="89"/>
        <v>0</v>
      </c>
    </row>
    <row r="268" spans="1:22">
      <c r="A268" s="816"/>
      <c r="B268" s="828">
        <f t="shared" si="92"/>
        <v>264</v>
      </c>
      <c r="C268" s="960" t="s">
        <v>71</v>
      </c>
      <c r="D268" s="960" t="s">
        <v>21</v>
      </c>
      <c r="E268" s="960" t="s">
        <v>3892</v>
      </c>
      <c r="F268" s="985">
        <v>45039</v>
      </c>
      <c r="G268" s="985">
        <v>45039</v>
      </c>
      <c r="H268" s="960" t="s">
        <v>402</v>
      </c>
      <c r="I268" s="962">
        <f t="shared" si="83"/>
        <v>45039</v>
      </c>
      <c r="J268" s="976">
        <f t="shared" si="93"/>
        <v>11491067</v>
      </c>
      <c r="K268" s="976">
        <f t="shared" si="94"/>
        <v>0</v>
      </c>
      <c r="L268" s="964"/>
      <c r="M268" s="964">
        <v>134400</v>
      </c>
      <c r="N268" s="964">
        <v>2940000</v>
      </c>
      <c r="O268" s="964">
        <f t="shared" si="91"/>
        <v>8416667</v>
      </c>
      <c r="P268" s="965">
        <f t="shared" si="84"/>
        <v>343</v>
      </c>
      <c r="Q268" s="966">
        <v>9</v>
      </c>
      <c r="R268" s="967">
        <f t="shared" si="85"/>
        <v>8.0602739726027401</v>
      </c>
      <c r="S268" s="968">
        <f t="shared" si="86"/>
        <v>878818</v>
      </c>
      <c r="T268" s="968">
        <f t="shared" si="87"/>
        <v>7537849</v>
      </c>
      <c r="U268" s="969">
        <f t="shared" si="88"/>
        <v>8416667</v>
      </c>
      <c r="V268" s="969">
        <f t="shared" si="89"/>
        <v>0</v>
      </c>
    </row>
    <row r="269" spans="1:22">
      <c r="A269" s="816"/>
      <c r="B269" s="828">
        <f t="shared" si="92"/>
        <v>265</v>
      </c>
      <c r="C269" s="970" t="s">
        <v>71</v>
      </c>
      <c r="D269" s="960" t="s">
        <v>21</v>
      </c>
      <c r="E269" s="970" t="s">
        <v>3893</v>
      </c>
      <c r="F269" s="971">
        <v>45039</v>
      </c>
      <c r="G269" s="971">
        <v>45039</v>
      </c>
      <c r="H269" s="970" t="s">
        <v>402</v>
      </c>
      <c r="I269" s="962">
        <f t="shared" si="83"/>
        <v>45039</v>
      </c>
      <c r="J269" s="976">
        <f t="shared" si="93"/>
        <v>11491067</v>
      </c>
      <c r="K269" s="976">
        <f t="shared" si="94"/>
        <v>0</v>
      </c>
      <c r="L269" s="964"/>
      <c r="M269" s="973">
        <v>134400</v>
      </c>
      <c r="N269" s="973">
        <v>2940000</v>
      </c>
      <c r="O269" s="964">
        <f t="shared" si="91"/>
        <v>8416667</v>
      </c>
      <c r="P269" s="965">
        <f t="shared" si="84"/>
        <v>343</v>
      </c>
      <c r="Q269" s="974">
        <v>3</v>
      </c>
      <c r="R269" s="975">
        <f t="shared" si="85"/>
        <v>2.0602739726027397</v>
      </c>
      <c r="S269" s="968">
        <f t="shared" si="86"/>
        <v>2636454</v>
      </c>
      <c r="T269" s="968">
        <f t="shared" si="87"/>
        <v>5780213</v>
      </c>
      <c r="U269" s="969">
        <f t="shared" si="88"/>
        <v>8416667</v>
      </c>
      <c r="V269" s="969">
        <f t="shared" si="89"/>
        <v>0</v>
      </c>
    </row>
    <row r="270" spans="1:22">
      <c r="A270" s="816"/>
      <c r="B270" s="828">
        <f t="shared" si="92"/>
        <v>266</v>
      </c>
      <c r="C270" s="960" t="s">
        <v>71</v>
      </c>
      <c r="D270" s="960" t="s">
        <v>21</v>
      </c>
      <c r="E270" s="960" t="s">
        <v>3894</v>
      </c>
      <c r="F270" s="985">
        <v>45039</v>
      </c>
      <c r="G270" s="985">
        <v>45039</v>
      </c>
      <c r="H270" s="960" t="s">
        <v>402</v>
      </c>
      <c r="I270" s="962">
        <f t="shared" si="83"/>
        <v>45039</v>
      </c>
      <c r="J270" s="976">
        <f t="shared" si="93"/>
        <v>11491067</v>
      </c>
      <c r="K270" s="976">
        <f t="shared" si="94"/>
        <v>0</v>
      </c>
      <c r="L270" s="964"/>
      <c r="M270" s="964">
        <v>134400</v>
      </c>
      <c r="N270" s="964">
        <v>2940000</v>
      </c>
      <c r="O270" s="964">
        <f t="shared" si="91"/>
        <v>8416667</v>
      </c>
      <c r="P270" s="965">
        <f t="shared" si="84"/>
        <v>343</v>
      </c>
      <c r="Q270" s="966">
        <v>9</v>
      </c>
      <c r="R270" s="967">
        <f t="shared" si="85"/>
        <v>8.0602739726027401</v>
      </c>
      <c r="S270" s="968">
        <f t="shared" si="86"/>
        <v>878818</v>
      </c>
      <c r="T270" s="968">
        <f t="shared" si="87"/>
        <v>7537849</v>
      </c>
      <c r="U270" s="969">
        <f t="shared" si="88"/>
        <v>8416667</v>
      </c>
      <c r="V270" s="969">
        <f t="shared" si="89"/>
        <v>0</v>
      </c>
    </row>
    <row r="271" spans="1:22">
      <c r="A271" s="816"/>
      <c r="B271" s="828">
        <f t="shared" si="92"/>
        <v>267</v>
      </c>
      <c r="C271" s="960" t="s">
        <v>71</v>
      </c>
      <c r="D271" s="960" t="s">
        <v>21</v>
      </c>
      <c r="E271" s="960" t="s">
        <v>3895</v>
      </c>
      <c r="F271" s="985">
        <v>45039</v>
      </c>
      <c r="G271" s="985">
        <v>45040</v>
      </c>
      <c r="H271" s="960" t="s">
        <v>402</v>
      </c>
      <c r="I271" s="962">
        <f t="shared" si="83"/>
        <v>45040</v>
      </c>
      <c r="J271" s="976">
        <f t="shared" si="93"/>
        <v>11491067</v>
      </c>
      <c r="K271" s="976">
        <f t="shared" si="94"/>
        <v>0</v>
      </c>
      <c r="L271" s="964"/>
      <c r="M271" s="964">
        <v>134400</v>
      </c>
      <c r="N271" s="964">
        <v>2940000</v>
      </c>
      <c r="O271" s="964">
        <f t="shared" si="91"/>
        <v>8416667</v>
      </c>
      <c r="P271" s="965">
        <f t="shared" si="84"/>
        <v>342</v>
      </c>
      <c r="Q271" s="966">
        <v>9</v>
      </c>
      <c r="R271" s="967">
        <f t="shared" si="85"/>
        <v>8.0630136986301366</v>
      </c>
      <c r="S271" s="968">
        <f t="shared" si="86"/>
        <v>876256</v>
      </c>
      <c r="T271" s="968">
        <f t="shared" si="87"/>
        <v>7540411</v>
      </c>
      <c r="U271" s="969">
        <f t="shared" si="88"/>
        <v>8416667</v>
      </c>
      <c r="V271" s="969">
        <f t="shared" si="89"/>
        <v>0</v>
      </c>
    </row>
    <row r="272" spans="1:22">
      <c r="A272" s="816"/>
      <c r="B272" s="828">
        <f t="shared" si="92"/>
        <v>268</v>
      </c>
      <c r="C272" s="960" t="s">
        <v>71</v>
      </c>
      <c r="D272" s="960" t="s">
        <v>21</v>
      </c>
      <c r="E272" s="960" t="s">
        <v>3896</v>
      </c>
      <c r="F272" s="985">
        <v>45039</v>
      </c>
      <c r="G272" s="985">
        <v>45040</v>
      </c>
      <c r="H272" s="960" t="s">
        <v>402</v>
      </c>
      <c r="I272" s="962">
        <f t="shared" si="83"/>
        <v>45040</v>
      </c>
      <c r="J272" s="976">
        <f t="shared" si="93"/>
        <v>11491067</v>
      </c>
      <c r="K272" s="976">
        <f t="shared" si="94"/>
        <v>0</v>
      </c>
      <c r="L272" s="964"/>
      <c r="M272" s="964">
        <v>134400</v>
      </c>
      <c r="N272" s="964">
        <v>2940000</v>
      </c>
      <c r="O272" s="964">
        <f t="shared" si="91"/>
        <v>8416667</v>
      </c>
      <c r="P272" s="965">
        <f t="shared" si="84"/>
        <v>342</v>
      </c>
      <c r="Q272" s="966">
        <v>9</v>
      </c>
      <c r="R272" s="967">
        <f t="shared" si="85"/>
        <v>8.0630136986301366</v>
      </c>
      <c r="S272" s="968">
        <f t="shared" si="86"/>
        <v>876256</v>
      </c>
      <c r="T272" s="968">
        <f t="shared" si="87"/>
        <v>7540411</v>
      </c>
      <c r="U272" s="969">
        <f t="shared" si="88"/>
        <v>8416667</v>
      </c>
      <c r="V272" s="969">
        <f t="shared" si="89"/>
        <v>0</v>
      </c>
    </row>
    <row r="273" spans="1:22">
      <c r="A273" s="816"/>
      <c r="B273" s="828">
        <f t="shared" si="92"/>
        <v>269</v>
      </c>
      <c r="C273" s="960" t="s">
        <v>71</v>
      </c>
      <c r="D273" s="960" t="s">
        <v>21</v>
      </c>
      <c r="E273" s="960" t="s">
        <v>3897</v>
      </c>
      <c r="F273" s="985">
        <v>45040</v>
      </c>
      <c r="G273" s="985">
        <v>45040</v>
      </c>
      <c r="H273" s="960" t="s">
        <v>402</v>
      </c>
      <c r="I273" s="962">
        <f t="shared" si="83"/>
        <v>45040</v>
      </c>
      <c r="J273" s="976">
        <f t="shared" si="93"/>
        <v>11491067</v>
      </c>
      <c r="K273" s="976">
        <f t="shared" si="94"/>
        <v>0</v>
      </c>
      <c r="L273" s="964"/>
      <c r="M273" s="964">
        <v>134400</v>
      </c>
      <c r="N273" s="964">
        <v>2940000</v>
      </c>
      <c r="O273" s="964">
        <f t="shared" si="91"/>
        <v>8416667</v>
      </c>
      <c r="P273" s="965">
        <f t="shared" si="84"/>
        <v>342</v>
      </c>
      <c r="Q273" s="966">
        <v>9</v>
      </c>
      <c r="R273" s="967">
        <f t="shared" si="85"/>
        <v>8.0630136986301366</v>
      </c>
      <c r="S273" s="968">
        <f t="shared" si="86"/>
        <v>876256</v>
      </c>
      <c r="T273" s="968">
        <f t="shared" si="87"/>
        <v>7540411</v>
      </c>
      <c r="U273" s="969">
        <f t="shared" si="88"/>
        <v>8416667</v>
      </c>
      <c r="V273" s="969">
        <f t="shared" si="89"/>
        <v>0</v>
      </c>
    </row>
    <row r="274" spans="1:22">
      <c r="A274" s="816"/>
      <c r="B274" s="828">
        <f t="shared" si="92"/>
        <v>270</v>
      </c>
      <c r="C274" s="960" t="s">
        <v>71</v>
      </c>
      <c r="D274" s="960" t="s">
        <v>21</v>
      </c>
      <c r="E274" s="960" t="s">
        <v>3898</v>
      </c>
      <c r="F274" s="985">
        <v>45040</v>
      </c>
      <c r="G274" s="985">
        <v>45040</v>
      </c>
      <c r="H274" s="960" t="s">
        <v>402</v>
      </c>
      <c r="I274" s="962">
        <f t="shared" si="83"/>
        <v>45040</v>
      </c>
      <c r="J274" s="976">
        <f t="shared" si="93"/>
        <v>11491067</v>
      </c>
      <c r="K274" s="976">
        <f t="shared" si="94"/>
        <v>0</v>
      </c>
      <c r="L274" s="964"/>
      <c r="M274" s="964">
        <v>134400</v>
      </c>
      <c r="N274" s="964">
        <v>2940000</v>
      </c>
      <c r="O274" s="964">
        <f t="shared" si="91"/>
        <v>8416667</v>
      </c>
      <c r="P274" s="965">
        <f t="shared" si="84"/>
        <v>342</v>
      </c>
      <c r="Q274" s="966">
        <v>9</v>
      </c>
      <c r="R274" s="967">
        <f t="shared" si="85"/>
        <v>8.0630136986301366</v>
      </c>
      <c r="S274" s="968">
        <f t="shared" si="86"/>
        <v>876256</v>
      </c>
      <c r="T274" s="968">
        <f t="shared" si="87"/>
        <v>7540411</v>
      </c>
      <c r="U274" s="969">
        <f t="shared" si="88"/>
        <v>8416667</v>
      </c>
      <c r="V274" s="969">
        <f t="shared" si="89"/>
        <v>0</v>
      </c>
    </row>
    <row r="275" spans="1:22">
      <c r="A275" s="816"/>
      <c r="B275" s="828">
        <f t="shared" si="92"/>
        <v>271</v>
      </c>
      <c r="C275" s="960" t="s">
        <v>71</v>
      </c>
      <c r="D275" s="960" t="s">
        <v>21</v>
      </c>
      <c r="E275" s="960" t="s">
        <v>3899</v>
      </c>
      <c r="F275" s="985">
        <v>45040</v>
      </c>
      <c r="G275" s="985">
        <v>45040</v>
      </c>
      <c r="H275" s="960" t="s">
        <v>402</v>
      </c>
      <c r="I275" s="962">
        <f t="shared" si="83"/>
        <v>45040</v>
      </c>
      <c r="J275" s="976">
        <f t="shared" si="93"/>
        <v>11491067</v>
      </c>
      <c r="K275" s="976">
        <f t="shared" si="94"/>
        <v>0</v>
      </c>
      <c r="L275" s="964"/>
      <c r="M275" s="964">
        <v>134400</v>
      </c>
      <c r="N275" s="964">
        <v>2940000</v>
      </c>
      <c r="O275" s="964">
        <f t="shared" si="91"/>
        <v>8416667</v>
      </c>
      <c r="P275" s="965">
        <f t="shared" si="84"/>
        <v>342</v>
      </c>
      <c r="Q275" s="966">
        <v>9</v>
      </c>
      <c r="R275" s="967">
        <f t="shared" si="85"/>
        <v>8.0630136986301366</v>
      </c>
      <c r="S275" s="968">
        <f t="shared" si="86"/>
        <v>876256</v>
      </c>
      <c r="T275" s="968">
        <f t="shared" si="87"/>
        <v>7540411</v>
      </c>
      <c r="U275" s="969">
        <f t="shared" si="88"/>
        <v>8416667</v>
      </c>
      <c r="V275" s="969">
        <f t="shared" si="89"/>
        <v>0</v>
      </c>
    </row>
    <row r="276" spans="1:22">
      <c r="A276" s="816"/>
      <c r="B276" s="828">
        <f t="shared" si="92"/>
        <v>272</v>
      </c>
      <c r="C276" s="960" t="s">
        <v>71</v>
      </c>
      <c r="D276" s="960" t="s">
        <v>21</v>
      </c>
      <c r="E276" s="960" t="s">
        <v>3900</v>
      </c>
      <c r="F276" s="961">
        <v>45071</v>
      </c>
      <c r="G276" s="961">
        <v>45071</v>
      </c>
      <c r="H276" s="960" t="s">
        <v>402</v>
      </c>
      <c r="I276" s="962">
        <f t="shared" ref="I276:I283" si="95">MAX(F276,G276)</f>
        <v>45071</v>
      </c>
      <c r="J276" s="976">
        <f>13574400-1528646</f>
        <v>12045754</v>
      </c>
      <c r="K276" s="976">
        <f>(1333333+195312.57)*0</f>
        <v>0</v>
      </c>
      <c r="L276" s="963"/>
      <c r="M276" s="964">
        <v>134400</v>
      </c>
      <c r="N276" s="964">
        <v>2940000</v>
      </c>
      <c r="O276" s="964">
        <f t="shared" si="91"/>
        <v>8971354</v>
      </c>
      <c r="P276" s="965">
        <f t="shared" ref="P276:P283" si="96">$P$1-I276</f>
        <v>311</v>
      </c>
      <c r="Q276" s="966">
        <v>9</v>
      </c>
      <c r="R276" s="967">
        <f t="shared" ref="R276:R283" si="97">+Q276-(P276/365)</f>
        <v>8.1479452054794521</v>
      </c>
      <c r="S276" s="968">
        <f t="shared" ref="S276:S301" si="98">ROUND(+O276/(Q276*365)*P276,0)</f>
        <v>849343</v>
      </c>
      <c r="T276" s="968">
        <f t="shared" ref="T276:T283" si="99">+O276-S276</f>
        <v>8122011</v>
      </c>
      <c r="U276" s="969">
        <f t="shared" ref="U276:U283" si="100">IF(I276&lt;=DATE(2023,9,30),O276,0)</f>
        <v>8971354</v>
      </c>
      <c r="V276" s="969">
        <f t="shared" si="89"/>
        <v>0</v>
      </c>
    </row>
    <row r="277" spans="1:22">
      <c r="A277" s="816"/>
      <c r="B277" s="828">
        <f t="shared" si="92"/>
        <v>273</v>
      </c>
      <c r="C277" s="960" t="s">
        <v>71</v>
      </c>
      <c r="D277" s="960" t="s">
        <v>21</v>
      </c>
      <c r="E277" s="960" t="s">
        <v>3901</v>
      </c>
      <c r="F277" s="961">
        <v>45071</v>
      </c>
      <c r="G277" s="961">
        <v>45071</v>
      </c>
      <c r="H277" s="960" t="s">
        <v>402</v>
      </c>
      <c r="I277" s="962">
        <f t="shared" si="95"/>
        <v>45071</v>
      </c>
      <c r="J277" s="976">
        <f t="shared" ref="J277:J280" si="101">13574400-1528646</f>
        <v>12045754</v>
      </c>
      <c r="K277" s="976">
        <f t="shared" ref="K277:K280" si="102">(1333333+195312.57)*0</f>
        <v>0</v>
      </c>
      <c r="L277" s="963"/>
      <c r="M277" s="964">
        <v>134400</v>
      </c>
      <c r="N277" s="964">
        <v>2940000</v>
      </c>
      <c r="O277" s="964">
        <f t="shared" si="91"/>
        <v>8971354</v>
      </c>
      <c r="P277" s="965">
        <f t="shared" si="96"/>
        <v>311</v>
      </c>
      <c r="Q277" s="966">
        <v>9</v>
      </c>
      <c r="R277" s="967">
        <f t="shared" si="97"/>
        <v>8.1479452054794521</v>
      </c>
      <c r="S277" s="968">
        <f t="shared" si="98"/>
        <v>849343</v>
      </c>
      <c r="T277" s="968">
        <f t="shared" si="99"/>
        <v>8122011</v>
      </c>
      <c r="U277" s="969">
        <f t="shared" si="100"/>
        <v>8971354</v>
      </c>
      <c r="V277" s="969">
        <f t="shared" si="89"/>
        <v>0</v>
      </c>
    </row>
    <row r="278" spans="1:22">
      <c r="A278" s="816"/>
      <c r="B278" s="828">
        <f t="shared" si="92"/>
        <v>274</v>
      </c>
      <c r="C278" s="960" t="s">
        <v>71</v>
      </c>
      <c r="D278" s="960" t="s">
        <v>21</v>
      </c>
      <c r="E278" s="960" t="s">
        <v>3902</v>
      </c>
      <c r="F278" s="961">
        <v>45071</v>
      </c>
      <c r="G278" s="961">
        <v>45071</v>
      </c>
      <c r="H278" s="960" t="s">
        <v>402</v>
      </c>
      <c r="I278" s="962">
        <f t="shared" si="95"/>
        <v>45071</v>
      </c>
      <c r="J278" s="976">
        <f t="shared" si="101"/>
        <v>12045754</v>
      </c>
      <c r="K278" s="976">
        <f t="shared" si="102"/>
        <v>0</v>
      </c>
      <c r="L278" s="963"/>
      <c r="M278" s="964">
        <v>134400</v>
      </c>
      <c r="N278" s="964">
        <v>2940000</v>
      </c>
      <c r="O278" s="964">
        <f t="shared" si="91"/>
        <v>8971354</v>
      </c>
      <c r="P278" s="965">
        <f t="shared" si="96"/>
        <v>311</v>
      </c>
      <c r="Q278" s="966">
        <v>9</v>
      </c>
      <c r="R278" s="967">
        <f t="shared" si="97"/>
        <v>8.1479452054794521</v>
      </c>
      <c r="S278" s="968">
        <f t="shared" si="98"/>
        <v>849343</v>
      </c>
      <c r="T278" s="968">
        <f t="shared" si="99"/>
        <v>8122011</v>
      </c>
      <c r="U278" s="969">
        <f t="shared" si="100"/>
        <v>8971354</v>
      </c>
      <c r="V278" s="969">
        <f t="shared" si="89"/>
        <v>0</v>
      </c>
    </row>
    <row r="279" spans="1:22">
      <c r="A279" s="816"/>
      <c r="B279" s="828">
        <f t="shared" si="92"/>
        <v>275</v>
      </c>
      <c r="C279" s="960" t="s">
        <v>71</v>
      </c>
      <c r="D279" s="960" t="s">
        <v>21</v>
      </c>
      <c r="E279" s="960" t="s">
        <v>3903</v>
      </c>
      <c r="F279" s="961">
        <v>45071</v>
      </c>
      <c r="G279" s="961">
        <v>45071</v>
      </c>
      <c r="H279" s="960" t="s">
        <v>402</v>
      </c>
      <c r="I279" s="962">
        <f t="shared" si="95"/>
        <v>45071</v>
      </c>
      <c r="J279" s="976">
        <f t="shared" si="101"/>
        <v>12045754</v>
      </c>
      <c r="K279" s="976">
        <f t="shared" si="102"/>
        <v>0</v>
      </c>
      <c r="L279" s="963"/>
      <c r="M279" s="964">
        <v>134400</v>
      </c>
      <c r="N279" s="964">
        <v>2940000</v>
      </c>
      <c r="O279" s="964">
        <f t="shared" si="91"/>
        <v>8971354</v>
      </c>
      <c r="P279" s="965">
        <f t="shared" si="96"/>
        <v>311</v>
      </c>
      <c r="Q279" s="966">
        <v>9</v>
      </c>
      <c r="R279" s="967">
        <f t="shared" si="97"/>
        <v>8.1479452054794521</v>
      </c>
      <c r="S279" s="968">
        <f t="shared" si="98"/>
        <v>849343</v>
      </c>
      <c r="T279" s="968">
        <f t="shared" si="99"/>
        <v>8122011</v>
      </c>
      <c r="U279" s="969">
        <f t="shared" si="100"/>
        <v>8971354</v>
      </c>
      <c r="V279" s="969">
        <f t="shared" si="89"/>
        <v>0</v>
      </c>
    </row>
    <row r="280" spans="1:22">
      <c r="A280" s="816"/>
      <c r="B280" s="828">
        <f t="shared" si="92"/>
        <v>276</v>
      </c>
      <c r="C280" s="960" t="s">
        <v>71</v>
      </c>
      <c r="D280" s="960" t="s">
        <v>21</v>
      </c>
      <c r="E280" s="960" t="s">
        <v>3904</v>
      </c>
      <c r="F280" s="961">
        <v>45071</v>
      </c>
      <c r="G280" s="961">
        <v>45071</v>
      </c>
      <c r="H280" s="960" t="s">
        <v>402</v>
      </c>
      <c r="I280" s="962">
        <f t="shared" si="95"/>
        <v>45071</v>
      </c>
      <c r="J280" s="976">
        <f t="shared" si="101"/>
        <v>12045754</v>
      </c>
      <c r="K280" s="976">
        <f t="shared" si="102"/>
        <v>0</v>
      </c>
      <c r="L280" s="963">
        <v>20010</v>
      </c>
      <c r="M280" s="964">
        <v>134400</v>
      </c>
      <c r="N280" s="964">
        <v>2940000</v>
      </c>
      <c r="O280" s="964">
        <f t="shared" si="91"/>
        <v>8991364</v>
      </c>
      <c r="P280" s="965">
        <f t="shared" si="96"/>
        <v>311</v>
      </c>
      <c r="Q280" s="966">
        <v>9</v>
      </c>
      <c r="R280" s="967">
        <f t="shared" si="97"/>
        <v>8.1479452054794521</v>
      </c>
      <c r="S280" s="968">
        <f t="shared" si="98"/>
        <v>851237</v>
      </c>
      <c r="T280" s="968">
        <f t="shared" si="99"/>
        <v>8140127</v>
      </c>
      <c r="U280" s="969">
        <f t="shared" si="100"/>
        <v>8991364</v>
      </c>
      <c r="V280" s="969">
        <f t="shared" ref="V280:V334" si="103">IF(I280&gt;DATE(2023,10,1),O280,0)</f>
        <v>0</v>
      </c>
    </row>
    <row r="281" spans="1:22">
      <c r="A281" s="816"/>
      <c r="B281" s="828">
        <f t="shared" si="92"/>
        <v>277</v>
      </c>
      <c r="C281" s="960" t="s">
        <v>71</v>
      </c>
      <c r="D281" s="960" t="s">
        <v>21</v>
      </c>
      <c r="E281" s="960" t="s">
        <v>3905</v>
      </c>
      <c r="F281" s="961">
        <v>45073</v>
      </c>
      <c r="G281" s="961">
        <v>45077</v>
      </c>
      <c r="H281" s="960" t="s">
        <v>402</v>
      </c>
      <c r="I281" s="962">
        <f t="shared" si="95"/>
        <v>45077</v>
      </c>
      <c r="J281" s="976">
        <f>13574400-1333333</f>
        <v>12241067</v>
      </c>
      <c r="K281" s="976">
        <f>1333333*0</f>
        <v>0</v>
      </c>
      <c r="L281" s="964"/>
      <c r="M281" s="964">
        <v>134400</v>
      </c>
      <c r="N281" s="964">
        <v>2940000</v>
      </c>
      <c r="O281" s="964">
        <f t="shared" si="91"/>
        <v>9166667</v>
      </c>
      <c r="P281" s="965">
        <f t="shared" si="96"/>
        <v>305</v>
      </c>
      <c r="Q281" s="966">
        <v>9</v>
      </c>
      <c r="R281" s="967">
        <f t="shared" si="97"/>
        <v>8.1643835616438363</v>
      </c>
      <c r="S281" s="968">
        <f t="shared" si="98"/>
        <v>851091</v>
      </c>
      <c r="T281" s="968">
        <f t="shared" si="99"/>
        <v>8315576</v>
      </c>
      <c r="U281" s="969">
        <f t="shared" si="100"/>
        <v>9166667</v>
      </c>
      <c r="V281" s="969">
        <f t="shared" si="103"/>
        <v>0</v>
      </c>
    </row>
    <row r="282" spans="1:22">
      <c r="A282" s="816"/>
      <c r="B282" s="828">
        <f t="shared" si="92"/>
        <v>278</v>
      </c>
      <c r="C282" s="960" t="s">
        <v>71</v>
      </c>
      <c r="D282" s="960" t="s">
        <v>21</v>
      </c>
      <c r="E282" s="960" t="s">
        <v>3906</v>
      </c>
      <c r="F282" s="985">
        <v>45160</v>
      </c>
      <c r="G282" s="985">
        <v>45169</v>
      </c>
      <c r="H282" s="960" t="s">
        <v>3907</v>
      </c>
      <c r="I282" s="962">
        <f t="shared" si="95"/>
        <v>45169</v>
      </c>
      <c r="J282" s="976">
        <f t="shared" ref="J282:J283" si="104">13574400-1333333</f>
        <v>12241067</v>
      </c>
      <c r="K282" s="976">
        <f t="shared" ref="K282:K283" si="105">1333333*0</f>
        <v>0</v>
      </c>
      <c r="L282" s="964"/>
      <c r="M282" s="964">
        <v>134400</v>
      </c>
      <c r="N282" s="964">
        <v>2940000</v>
      </c>
      <c r="O282" s="964">
        <f t="shared" si="91"/>
        <v>9166667</v>
      </c>
      <c r="P282" s="965">
        <f t="shared" si="96"/>
        <v>213</v>
      </c>
      <c r="Q282" s="966">
        <v>9</v>
      </c>
      <c r="R282" s="967">
        <f t="shared" si="97"/>
        <v>8.4164383561643827</v>
      </c>
      <c r="S282" s="968">
        <f t="shared" si="98"/>
        <v>594368</v>
      </c>
      <c r="T282" s="968">
        <f t="shared" si="99"/>
        <v>8572299</v>
      </c>
      <c r="U282" s="969">
        <f t="shared" si="100"/>
        <v>9166667</v>
      </c>
      <c r="V282" s="969">
        <f t="shared" si="103"/>
        <v>0</v>
      </c>
    </row>
    <row r="283" spans="1:22">
      <c r="A283" s="816"/>
      <c r="B283" s="828">
        <f t="shared" si="92"/>
        <v>279</v>
      </c>
      <c r="C283" s="960" t="s">
        <v>71</v>
      </c>
      <c r="D283" s="960" t="s">
        <v>21</v>
      </c>
      <c r="E283" s="960" t="s">
        <v>3908</v>
      </c>
      <c r="F283" s="985">
        <v>45160</v>
      </c>
      <c r="G283" s="985">
        <v>45169</v>
      </c>
      <c r="H283" s="960" t="s">
        <v>3907</v>
      </c>
      <c r="I283" s="962">
        <f t="shared" si="95"/>
        <v>45169</v>
      </c>
      <c r="J283" s="976">
        <f t="shared" si="104"/>
        <v>12241067</v>
      </c>
      <c r="K283" s="976">
        <f t="shared" si="105"/>
        <v>0</v>
      </c>
      <c r="L283" s="964"/>
      <c r="M283" s="964">
        <v>134400</v>
      </c>
      <c r="N283" s="964">
        <v>2940000</v>
      </c>
      <c r="O283" s="964">
        <f t="shared" si="91"/>
        <v>9166667</v>
      </c>
      <c r="P283" s="965">
        <f t="shared" si="96"/>
        <v>213</v>
      </c>
      <c r="Q283" s="966">
        <v>9</v>
      </c>
      <c r="R283" s="967">
        <f t="shared" si="97"/>
        <v>8.4164383561643827</v>
      </c>
      <c r="S283" s="968">
        <f t="shared" si="98"/>
        <v>594368</v>
      </c>
      <c r="T283" s="968">
        <f t="shared" si="99"/>
        <v>8572299</v>
      </c>
      <c r="U283" s="969">
        <f t="shared" si="100"/>
        <v>9166667</v>
      </c>
      <c r="V283" s="969">
        <f t="shared" si="103"/>
        <v>0</v>
      </c>
    </row>
    <row r="284" spans="1:22">
      <c r="A284" s="816"/>
      <c r="B284" s="828">
        <f t="shared" si="92"/>
        <v>280</v>
      </c>
      <c r="C284" s="960" t="s">
        <v>71</v>
      </c>
      <c r="D284" s="960" t="s">
        <v>21</v>
      </c>
      <c r="E284" s="960" t="s">
        <v>3909</v>
      </c>
      <c r="F284" s="961">
        <v>45043</v>
      </c>
      <c r="G284" s="961">
        <v>45064</v>
      </c>
      <c r="H284" s="960" t="s">
        <v>402</v>
      </c>
      <c r="I284" s="962">
        <f t="shared" ref="I284:I334" si="106">MAX(F284,G284)</f>
        <v>45064</v>
      </c>
      <c r="J284" s="963">
        <f>6565000-5000</f>
        <v>6560000</v>
      </c>
      <c r="K284" s="963">
        <f>5000*0</f>
        <v>0</v>
      </c>
      <c r="L284" s="964"/>
      <c r="M284" s="964">
        <v>65000</v>
      </c>
      <c r="N284" s="964">
        <v>1421875</v>
      </c>
      <c r="O284" s="964">
        <f t="shared" si="91"/>
        <v>5073125</v>
      </c>
      <c r="P284" s="965">
        <f t="shared" ref="P284:P334" si="107">$P$1-I284</f>
        <v>318</v>
      </c>
      <c r="Q284" s="966">
        <v>9</v>
      </c>
      <c r="R284" s="967">
        <f t="shared" ref="R284:R334" si="108">+Q284-(P284/365)</f>
        <v>8.1287671232876715</v>
      </c>
      <c r="S284" s="968">
        <f t="shared" si="98"/>
        <v>491097</v>
      </c>
      <c r="T284" s="968">
        <f t="shared" ref="T284:T334" si="109">+O284-S284</f>
        <v>4582028</v>
      </c>
      <c r="U284" s="969">
        <f t="shared" ref="U284:U334" si="110">IF(I284&lt;=DATE(2023,9,30),O284,0)</f>
        <v>5073125</v>
      </c>
      <c r="V284" s="969">
        <f t="shared" si="103"/>
        <v>0</v>
      </c>
    </row>
    <row r="285" spans="1:22">
      <c r="A285" s="816"/>
      <c r="B285" s="828">
        <f t="shared" si="92"/>
        <v>281</v>
      </c>
      <c r="C285" s="970" t="s">
        <v>71</v>
      </c>
      <c r="D285" s="960" t="s">
        <v>21</v>
      </c>
      <c r="E285" s="970" t="s">
        <v>3910</v>
      </c>
      <c r="F285" s="971">
        <v>45043</v>
      </c>
      <c r="G285" s="971">
        <v>45064</v>
      </c>
      <c r="H285" s="970" t="s">
        <v>402</v>
      </c>
      <c r="I285" s="962">
        <f t="shared" si="106"/>
        <v>45064</v>
      </c>
      <c r="J285" s="963">
        <f t="shared" ref="J285:J307" si="111">6565000-5000</f>
        <v>6560000</v>
      </c>
      <c r="K285" s="963">
        <f t="shared" ref="K285:K318" si="112">5000*0</f>
        <v>0</v>
      </c>
      <c r="L285" s="973"/>
      <c r="M285" s="973">
        <v>65000</v>
      </c>
      <c r="N285" s="973">
        <v>1421875</v>
      </c>
      <c r="O285" s="964">
        <f t="shared" si="91"/>
        <v>5073125</v>
      </c>
      <c r="P285" s="965">
        <f t="shared" si="107"/>
        <v>318</v>
      </c>
      <c r="Q285" s="974">
        <v>3</v>
      </c>
      <c r="R285" s="975">
        <f t="shared" si="108"/>
        <v>2.1287671232876715</v>
      </c>
      <c r="S285" s="968">
        <f t="shared" si="98"/>
        <v>1473291</v>
      </c>
      <c r="T285" s="968">
        <f t="shared" si="109"/>
        <v>3599834</v>
      </c>
      <c r="U285" s="969">
        <f t="shared" si="110"/>
        <v>5073125</v>
      </c>
      <c r="V285" s="969">
        <f t="shared" si="103"/>
        <v>0</v>
      </c>
    </row>
    <row r="286" spans="1:22">
      <c r="A286" s="816"/>
      <c r="B286" s="828">
        <f t="shared" si="92"/>
        <v>282</v>
      </c>
      <c r="C286" s="960" t="s">
        <v>71</v>
      </c>
      <c r="D286" s="960" t="s">
        <v>21</v>
      </c>
      <c r="E286" s="960" t="s">
        <v>3911</v>
      </c>
      <c r="F286" s="961">
        <v>45043</v>
      </c>
      <c r="G286" s="961">
        <v>45064</v>
      </c>
      <c r="H286" s="960" t="s">
        <v>402</v>
      </c>
      <c r="I286" s="962">
        <f t="shared" si="106"/>
        <v>45064</v>
      </c>
      <c r="J286" s="963">
        <f t="shared" si="111"/>
        <v>6560000</v>
      </c>
      <c r="K286" s="963">
        <f t="shared" si="112"/>
        <v>0</v>
      </c>
      <c r="L286" s="964"/>
      <c r="M286" s="964">
        <v>65000</v>
      </c>
      <c r="N286" s="964">
        <v>1421875</v>
      </c>
      <c r="O286" s="964">
        <f t="shared" si="91"/>
        <v>5073125</v>
      </c>
      <c r="P286" s="965">
        <f t="shared" si="107"/>
        <v>318</v>
      </c>
      <c r="Q286" s="966">
        <v>9</v>
      </c>
      <c r="R286" s="967">
        <f t="shared" si="108"/>
        <v>8.1287671232876715</v>
      </c>
      <c r="S286" s="968">
        <f t="shared" si="98"/>
        <v>491097</v>
      </c>
      <c r="T286" s="968">
        <f t="shared" si="109"/>
        <v>4582028</v>
      </c>
      <c r="U286" s="969">
        <f t="shared" si="110"/>
        <v>5073125</v>
      </c>
      <c r="V286" s="969">
        <f t="shared" si="103"/>
        <v>0</v>
      </c>
    </row>
    <row r="287" spans="1:22">
      <c r="A287" s="816"/>
      <c r="B287" s="828">
        <f t="shared" si="92"/>
        <v>283</v>
      </c>
      <c r="C287" s="970" t="s">
        <v>71</v>
      </c>
      <c r="D287" s="960" t="s">
        <v>21</v>
      </c>
      <c r="E287" s="970" t="s">
        <v>3912</v>
      </c>
      <c r="F287" s="971">
        <v>45043</v>
      </c>
      <c r="G287" s="971">
        <v>45064</v>
      </c>
      <c r="H287" s="970" t="s">
        <v>402</v>
      </c>
      <c r="I287" s="962">
        <f t="shared" si="106"/>
        <v>45064</v>
      </c>
      <c r="J287" s="963">
        <f t="shared" si="111"/>
        <v>6560000</v>
      </c>
      <c r="K287" s="963">
        <f t="shared" si="112"/>
        <v>0</v>
      </c>
      <c r="L287" s="973"/>
      <c r="M287" s="973">
        <v>65000</v>
      </c>
      <c r="N287" s="973">
        <v>1421875</v>
      </c>
      <c r="O287" s="964">
        <f t="shared" si="91"/>
        <v>5073125</v>
      </c>
      <c r="P287" s="965">
        <f t="shared" si="107"/>
        <v>318</v>
      </c>
      <c r="Q287" s="974">
        <v>3</v>
      </c>
      <c r="R287" s="975">
        <f t="shared" si="108"/>
        <v>2.1287671232876715</v>
      </c>
      <c r="S287" s="968">
        <f t="shared" si="98"/>
        <v>1473291</v>
      </c>
      <c r="T287" s="968">
        <f t="shared" si="109"/>
        <v>3599834</v>
      </c>
      <c r="U287" s="969">
        <f t="shared" si="110"/>
        <v>5073125</v>
      </c>
      <c r="V287" s="969">
        <f t="shared" si="103"/>
        <v>0</v>
      </c>
    </row>
    <row r="288" spans="1:22">
      <c r="A288" s="816"/>
      <c r="B288" s="828">
        <f t="shared" si="92"/>
        <v>284</v>
      </c>
      <c r="C288" s="960" t="s">
        <v>71</v>
      </c>
      <c r="D288" s="960" t="s">
        <v>21</v>
      </c>
      <c r="E288" s="960" t="s">
        <v>3913</v>
      </c>
      <c r="F288" s="961">
        <v>45043</v>
      </c>
      <c r="G288" s="961">
        <v>45064</v>
      </c>
      <c r="H288" s="960" t="s">
        <v>402</v>
      </c>
      <c r="I288" s="962">
        <f t="shared" si="106"/>
        <v>45064</v>
      </c>
      <c r="J288" s="963">
        <f t="shared" si="111"/>
        <v>6560000</v>
      </c>
      <c r="K288" s="963">
        <f t="shared" si="112"/>
        <v>0</v>
      </c>
      <c r="L288" s="964"/>
      <c r="M288" s="964">
        <v>65000</v>
      </c>
      <c r="N288" s="964">
        <v>1421875</v>
      </c>
      <c r="O288" s="964">
        <f t="shared" si="91"/>
        <v>5073125</v>
      </c>
      <c r="P288" s="965">
        <f t="shared" si="107"/>
        <v>318</v>
      </c>
      <c r="Q288" s="966">
        <v>9</v>
      </c>
      <c r="R288" s="967">
        <f t="shared" si="108"/>
        <v>8.1287671232876715</v>
      </c>
      <c r="S288" s="968">
        <f t="shared" si="98"/>
        <v>491097</v>
      </c>
      <c r="T288" s="968">
        <f t="shared" si="109"/>
        <v>4582028</v>
      </c>
      <c r="U288" s="969">
        <f t="shared" si="110"/>
        <v>5073125</v>
      </c>
      <c r="V288" s="969">
        <f t="shared" si="103"/>
        <v>0</v>
      </c>
    </row>
    <row r="289" spans="1:22">
      <c r="A289" s="816"/>
      <c r="B289" s="828">
        <f t="shared" si="92"/>
        <v>285</v>
      </c>
      <c r="C289" s="960" t="s">
        <v>71</v>
      </c>
      <c r="D289" s="960" t="s">
        <v>21</v>
      </c>
      <c r="E289" s="960" t="s">
        <v>3914</v>
      </c>
      <c r="F289" s="961">
        <v>45043</v>
      </c>
      <c r="G289" s="961">
        <v>45064</v>
      </c>
      <c r="H289" s="960" t="s">
        <v>402</v>
      </c>
      <c r="I289" s="962">
        <f t="shared" si="106"/>
        <v>45064</v>
      </c>
      <c r="J289" s="963">
        <f t="shared" si="111"/>
        <v>6560000</v>
      </c>
      <c r="K289" s="963">
        <f t="shared" si="112"/>
        <v>0</v>
      </c>
      <c r="L289" s="964"/>
      <c r="M289" s="964">
        <v>65000</v>
      </c>
      <c r="N289" s="964">
        <v>1421875</v>
      </c>
      <c r="O289" s="964">
        <f t="shared" si="91"/>
        <v>5073125</v>
      </c>
      <c r="P289" s="965">
        <f t="shared" si="107"/>
        <v>318</v>
      </c>
      <c r="Q289" s="966">
        <v>9</v>
      </c>
      <c r="R289" s="967">
        <f t="shared" si="108"/>
        <v>8.1287671232876715</v>
      </c>
      <c r="S289" s="968">
        <f t="shared" si="98"/>
        <v>491097</v>
      </c>
      <c r="T289" s="968">
        <f t="shared" si="109"/>
        <v>4582028</v>
      </c>
      <c r="U289" s="969">
        <f t="shared" si="110"/>
        <v>5073125</v>
      </c>
      <c r="V289" s="969">
        <f t="shared" si="103"/>
        <v>0</v>
      </c>
    </row>
    <row r="290" spans="1:22">
      <c r="A290" s="816"/>
      <c r="B290" s="828">
        <f t="shared" si="92"/>
        <v>286</v>
      </c>
      <c r="C290" s="960" t="s">
        <v>71</v>
      </c>
      <c r="D290" s="960" t="s">
        <v>21</v>
      </c>
      <c r="E290" s="960" t="s">
        <v>3915</v>
      </c>
      <c r="F290" s="961">
        <v>45043</v>
      </c>
      <c r="G290" s="961">
        <v>45064</v>
      </c>
      <c r="H290" s="960" t="s">
        <v>402</v>
      </c>
      <c r="I290" s="962">
        <f t="shared" si="106"/>
        <v>45064</v>
      </c>
      <c r="J290" s="963">
        <f t="shared" si="111"/>
        <v>6560000</v>
      </c>
      <c r="K290" s="963">
        <f t="shared" si="112"/>
        <v>0</v>
      </c>
      <c r="L290" s="964"/>
      <c r="M290" s="964">
        <v>65000</v>
      </c>
      <c r="N290" s="964">
        <v>1421875</v>
      </c>
      <c r="O290" s="964">
        <f t="shared" si="91"/>
        <v>5073125</v>
      </c>
      <c r="P290" s="965">
        <f t="shared" si="107"/>
        <v>318</v>
      </c>
      <c r="Q290" s="966">
        <v>9</v>
      </c>
      <c r="R290" s="967">
        <f t="shared" si="108"/>
        <v>8.1287671232876715</v>
      </c>
      <c r="S290" s="968">
        <f t="shared" si="98"/>
        <v>491097</v>
      </c>
      <c r="T290" s="968">
        <f t="shared" si="109"/>
        <v>4582028</v>
      </c>
      <c r="U290" s="969">
        <f t="shared" si="110"/>
        <v>5073125</v>
      </c>
      <c r="V290" s="969">
        <f t="shared" si="103"/>
        <v>0</v>
      </c>
    </row>
    <row r="291" spans="1:22">
      <c r="A291" s="816"/>
      <c r="B291" s="828">
        <f t="shared" si="92"/>
        <v>287</v>
      </c>
      <c r="C291" s="960" t="s">
        <v>71</v>
      </c>
      <c r="D291" s="960" t="s">
        <v>21</v>
      </c>
      <c r="E291" s="960" t="s">
        <v>3916</v>
      </c>
      <c r="F291" s="961">
        <v>45043</v>
      </c>
      <c r="G291" s="961">
        <v>45064</v>
      </c>
      <c r="H291" s="960" t="s">
        <v>402</v>
      </c>
      <c r="I291" s="962">
        <f t="shared" si="106"/>
        <v>45064</v>
      </c>
      <c r="J291" s="963">
        <f t="shared" si="111"/>
        <v>6560000</v>
      </c>
      <c r="K291" s="963">
        <f t="shared" si="112"/>
        <v>0</v>
      </c>
      <c r="L291" s="964"/>
      <c r="M291" s="964">
        <v>65000</v>
      </c>
      <c r="N291" s="964">
        <v>1421875</v>
      </c>
      <c r="O291" s="964">
        <f t="shared" si="91"/>
        <v>5073125</v>
      </c>
      <c r="P291" s="965">
        <f t="shared" si="107"/>
        <v>318</v>
      </c>
      <c r="Q291" s="966">
        <v>9</v>
      </c>
      <c r="R291" s="967">
        <f t="shared" si="108"/>
        <v>8.1287671232876715</v>
      </c>
      <c r="S291" s="968">
        <f t="shared" si="98"/>
        <v>491097</v>
      </c>
      <c r="T291" s="968">
        <f t="shared" si="109"/>
        <v>4582028</v>
      </c>
      <c r="U291" s="969">
        <f t="shared" si="110"/>
        <v>5073125</v>
      </c>
      <c r="V291" s="969">
        <f t="shared" si="103"/>
        <v>0</v>
      </c>
    </row>
    <row r="292" spans="1:22">
      <c r="A292" s="816"/>
      <c r="B292" s="828">
        <f t="shared" si="92"/>
        <v>288</v>
      </c>
      <c r="C292" s="960" t="s">
        <v>71</v>
      </c>
      <c r="D292" s="960" t="s">
        <v>21</v>
      </c>
      <c r="E292" s="960" t="s">
        <v>3917</v>
      </c>
      <c r="F292" s="961">
        <v>45043</v>
      </c>
      <c r="G292" s="961">
        <v>45064</v>
      </c>
      <c r="H292" s="960" t="s">
        <v>402</v>
      </c>
      <c r="I292" s="962">
        <f t="shared" si="106"/>
        <v>45064</v>
      </c>
      <c r="J292" s="963">
        <f t="shared" si="111"/>
        <v>6560000</v>
      </c>
      <c r="K292" s="963">
        <f t="shared" si="112"/>
        <v>0</v>
      </c>
      <c r="L292" s="964"/>
      <c r="M292" s="964">
        <v>65000</v>
      </c>
      <c r="N292" s="964">
        <v>1421875</v>
      </c>
      <c r="O292" s="964">
        <f t="shared" si="91"/>
        <v>5073125</v>
      </c>
      <c r="P292" s="965">
        <f t="shared" si="107"/>
        <v>318</v>
      </c>
      <c r="Q292" s="966">
        <v>9</v>
      </c>
      <c r="R292" s="967">
        <f t="shared" si="108"/>
        <v>8.1287671232876715</v>
      </c>
      <c r="S292" s="968">
        <f t="shared" si="98"/>
        <v>491097</v>
      </c>
      <c r="T292" s="968">
        <f t="shared" si="109"/>
        <v>4582028</v>
      </c>
      <c r="U292" s="969">
        <f t="shared" si="110"/>
        <v>5073125</v>
      </c>
      <c r="V292" s="969">
        <f t="shared" si="103"/>
        <v>0</v>
      </c>
    </row>
    <row r="293" spans="1:22">
      <c r="A293" s="816"/>
      <c r="B293" s="828">
        <f t="shared" si="92"/>
        <v>289</v>
      </c>
      <c r="C293" s="960" t="s">
        <v>71</v>
      </c>
      <c r="D293" s="960" t="s">
        <v>21</v>
      </c>
      <c r="E293" s="960" t="s">
        <v>3918</v>
      </c>
      <c r="F293" s="961">
        <v>45043</v>
      </c>
      <c r="G293" s="961">
        <v>45064</v>
      </c>
      <c r="H293" s="960" t="s">
        <v>402</v>
      </c>
      <c r="I293" s="962">
        <f t="shared" si="106"/>
        <v>45064</v>
      </c>
      <c r="J293" s="963">
        <f t="shared" si="111"/>
        <v>6560000</v>
      </c>
      <c r="K293" s="963">
        <f t="shared" si="112"/>
        <v>0</v>
      </c>
      <c r="L293" s="964"/>
      <c r="M293" s="964">
        <v>65000</v>
      </c>
      <c r="N293" s="964">
        <v>1421875</v>
      </c>
      <c r="O293" s="964">
        <f t="shared" si="91"/>
        <v>5073125</v>
      </c>
      <c r="P293" s="965">
        <f t="shared" si="107"/>
        <v>318</v>
      </c>
      <c r="Q293" s="966">
        <v>9</v>
      </c>
      <c r="R293" s="967">
        <f t="shared" si="108"/>
        <v>8.1287671232876715</v>
      </c>
      <c r="S293" s="968">
        <f t="shared" si="98"/>
        <v>491097</v>
      </c>
      <c r="T293" s="968">
        <f t="shared" si="109"/>
        <v>4582028</v>
      </c>
      <c r="U293" s="969">
        <f t="shared" si="110"/>
        <v>5073125</v>
      </c>
      <c r="V293" s="969">
        <f t="shared" si="103"/>
        <v>0</v>
      </c>
    </row>
    <row r="294" spans="1:22">
      <c r="A294" s="816"/>
      <c r="B294" s="828">
        <f t="shared" si="92"/>
        <v>290</v>
      </c>
      <c r="C294" s="960" t="s">
        <v>71</v>
      </c>
      <c r="D294" s="960" t="s">
        <v>21</v>
      </c>
      <c r="E294" s="960" t="s">
        <v>3919</v>
      </c>
      <c r="F294" s="961">
        <v>45043</v>
      </c>
      <c r="G294" s="961">
        <v>45064</v>
      </c>
      <c r="H294" s="960" t="s">
        <v>402</v>
      </c>
      <c r="I294" s="962">
        <f t="shared" si="106"/>
        <v>45064</v>
      </c>
      <c r="J294" s="963">
        <f t="shared" si="111"/>
        <v>6560000</v>
      </c>
      <c r="K294" s="963">
        <f t="shared" si="112"/>
        <v>0</v>
      </c>
      <c r="L294" s="964"/>
      <c r="M294" s="964">
        <v>65000</v>
      </c>
      <c r="N294" s="964">
        <v>1421875</v>
      </c>
      <c r="O294" s="964">
        <f t="shared" si="91"/>
        <v>5073125</v>
      </c>
      <c r="P294" s="965">
        <f t="shared" si="107"/>
        <v>318</v>
      </c>
      <c r="Q294" s="966">
        <v>9</v>
      </c>
      <c r="R294" s="967">
        <f t="shared" si="108"/>
        <v>8.1287671232876715</v>
      </c>
      <c r="S294" s="968">
        <f t="shared" si="98"/>
        <v>491097</v>
      </c>
      <c r="T294" s="968">
        <f t="shared" si="109"/>
        <v>4582028</v>
      </c>
      <c r="U294" s="969">
        <f t="shared" si="110"/>
        <v>5073125</v>
      </c>
      <c r="V294" s="969">
        <f t="shared" si="103"/>
        <v>0</v>
      </c>
    </row>
    <row r="295" spans="1:22">
      <c r="A295" s="816"/>
      <c r="B295" s="828">
        <f t="shared" si="92"/>
        <v>291</v>
      </c>
      <c r="C295" s="960" t="s">
        <v>71</v>
      </c>
      <c r="D295" s="960" t="s">
        <v>21</v>
      </c>
      <c r="E295" s="960" t="s">
        <v>3920</v>
      </c>
      <c r="F295" s="961">
        <v>45043</v>
      </c>
      <c r="G295" s="961">
        <v>45064</v>
      </c>
      <c r="H295" s="960" t="s">
        <v>402</v>
      </c>
      <c r="I295" s="962">
        <f t="shared" si="106"/>
        <v>45064</v>
      </c>
      <c r="J295" s="963">
        <f t="shared" si="111"/>
        <v>6560000</v>
      </c>
      <c r="K295" s="963">
        <f t="shared" si="112"/>
        <v>0</v>
      </c>
      <c r="L295" s="964"/>
      <c r="M295" s="964">
        <v>65000</v>
      </c>
      <c r="N295" s="964">
        <v>1421875</v>
      </c>
      <c r="O295" s="964">
        <f t="shared" si="91"/>
        <v>5073125</v>
      </c>
      <c r="P295" s="965">
        <f t="shared" si="107"/>
        <v>318</v>
      </c>
      <c r="Q295" s="966">
        <v>9</v>
      </c>
      <c r="R295" s="967">
        <f t="shared" si="108"/>
        <v>8.1287671232876715</v>
      </c>
      <c r="S295" s="968">
        <f t="shared" si="98"/>
        <v>491097</v>
      </c>
      <c r="T295" s="968">
        <f t="shared" si="109"/>
        <v>4582028</v>
      </c>
      <c r="U295" s="969">
        <f t="shared" si="110"/>
        <v>5073125</v>
      </c>
      <c r="V295" s="969">
        <f t="shared" si="103"/>
        <v>0</v>
      </c>
    </row>
    <row r="296" spans="1:22">
      <c r="A296" s="816"/>
      <c r="B296" s="828">
        <f t="shared" si="92"/>
        <v>292</v>
      </c>
      <c r="C296" s="960" t="s">
        <v>71</v>
      </c>
      <c r="D296" s="960" t="s">
        <v>21</v>
      </c>
      <c r="E296" s="960" t="s">
        <v>3921</v>
      </c>
      <c r="F296" s="961">
        <v>45043</v>
      </c>
      <c r="G296" s="961">
        <v>45064</v>
      </c>
      <c r="H296" s="960" t="s">
        <v>402</v>
      </c>
      <c r="I296" s="962">
        <f t="shared" si="106"/>
        <v>45064</v>
      </c>
      <c r="J296" s="963">
        <f t="shared" si="111"/>
        <v>6560000</v>
      </c>
      <c r="K296" s="963">
        <f t="shared" si="112"/>
        <v>0</v>
      </c>
      <c r="L296" s="964"/>
      <c r="M296" s="964">
        <v>65000</v>
      </c>
      <c r="N296" s="964">
        <v>1421875</v>
      </c>
      <c r="O296" s="964">
        <f t="shared" si="91"/>
        <v>5073125</v>
      </c>
      <c r="P296" s="965">
        <f t="shared" si="107"/>
        <v>318</v>
      </c>
      <c r="Q296" s="966">
        <v>9</v>
      </c>
      <c r="R296" s="967">
        <f t="shared" si="108"/>
        <v>8.1287671232876715</v>
      </c>
      <c r="S296" s="968">
        <f t="shared" si="98"/>
        <v>491097</v>
      </c>
      <c r="T296" s="968">
        <f t="shared" si="109"/>
        <v>4582028</v>
      </c>
      <c r="U296" s="969">
        <f t="shared" si="110"/>
        <v>5073125</v>
      </c>
      <c r="V296" s="969">
        <f t="shared" si="103"/>
        <v>0</v>
      </c>
    </row>
    <row r="297" spans="1:22">
      <c r="A297" s="816"/>
      <c r="B297" s="828">
        <f t="shared" si="92"/>
        <v>293</v>
      </c>
      <c r="C297" s="960" t="s">
        <v>71</v>
      </c>
      <c r="D297" s="960" t="s">
        <v>21</v>
      </c>
      <c r="E297" s="960" t="s">
        <v>3922</v>
      </c>
      <c r="F297" s="961">
        <v>45043</v>
      </c>
      <c r="G297" s="961">
        <v>45064</v>
      </c>
      <c r="H297" s="960" t="s">
        <v>402</v>
      </c>
      <c r="I297" s="962">
        <f t="shared" si="106"/>
        <v>45064</v>
      </c>
      <c r="J297" s="963">
        <f t="shared" si="111"/>
        <v>6560000</v>
      </c>
      <c r="K297" s="963">
        <f t="shared" si="112"/>
        <v>0</v>
      </c>
      <c r="L297" s="964"/>
      <c r="M297" s="964">
        <v>65000</v>
      </c>
      <c r="N297" s="964">
        <v>1421875</v>
      </c>
      <c r="O297" s="964">
        <f t="shared" si="91"/>
        <v>5073125</v>
      </c>
      <c r="P297" s="965">
        <f t="shared" si="107"/>
        <v>318</v>
      </c>
      <c r="Q297" s="966">
        <v>9</v>
      </c>
      <c r="R297" s="967">
        <f t="shared" si="108"/>
        <v>8.1287671232876715</v>
      </c>
      <c r="S297" s="968">
        <f t="shared" si="98"/>
        <v>491097</v>
      </c>
      <c r="T297" s="968">
        <f t="shared" si="109"/>
        <v>4582028</v>
      </c>
      <c r="U297" s="969">
        <f t="shared" si="110"/>
        <v>5073125</v>
      </c>
      <c r="V297" s="969">
        <f t="shared" si="103"/>
        <v>0</v>
      </c>
    </row>
    <row r="298" spans="1:22">
      <c r="A298" s="816"/>
      <c r="B298" s="828">
        <f t="shared" si="92"/>
        <v>294</v>
      </c>
      <c r="C298" s="960" t="s">
        <v>71</v>
      </c>
      <c r="D298" s="960" t="s">
        <v>21</v>
      </c>
      <c r="E298" s="960" t="s">
        <v>3923</v>
      </c>
      <c r="F298" s="961">
        <v>45043</v>
      </c>
      <c r="G298" s="961">
        <v>45064</v>
      </c>
      <c r="H298" s="960" t="s">
        <v>402</v>
      </c>
      <c r="I298" s="962">
        <f t="shared" si="106"/>
        <v>45064</v>
      </c>
      <c r="J298" s="963">
        <f t="shared" si="111"/>
        <v>6560000</v>
      </c>
      <c r="K298" s="963">
        <f t="shared" si="112"/>
        <v>0</v>
      </c>
      <c r="L298" s="964"/>
      <c r="M298" s="964">
        <v>65000</v>
      </c>
      <c r="N298" s="964">
        <v>1421875</v>
      </c>
      <c r="O298" s="964">
        <f t="shared" si="91"/>
        <v>5073125</v>
      </c>
      <c r="P298" s="965">
        <f t="shared" si="107"/>
        <v>318</v>
      </c>
      <c r="Q298" s="966">
        <v>9</v>
      </c>
      <c r="R298" s="967">
        <f t="shared" si="108"/>
        <v>8.1287671232876715</v>
      </c>
      <c r="S298" s="968">
        <f t="shared" si="98"/>
        <v>491097</v>
      </c>
      <c r="T298" s="968">
        <f t="shared" si="109"/>
        <v>4582028</v>
      </c>
      <c r="U298" s="969">
        <f t="shared" si="110"/>
        <v>5073125</v>
      </c>
      <c r="V298" s="969">
        <f t="shared" si="103"/>
        <v>0</v>
      </c>
    </row>
    <row r="299" spans="1:22">
      <c r="A299" s="816"/>
      <c r="B299" s="828">
        <f t="shared" si="92"/>
        <v>295</v>
      </c>
      <c r="C299" s="960" t="s">
        <v>71</v>
      </c>
      <c r="D299" s="960" t="s">
        <v>21</v>
      </c>
      <c r="E299" s="960" t="s">
        <v>3924</v>
      </c>
      <c r="F299" s="961">
        <v>45046</v>
      </c>
      <c r="G299" s="961">
        <v>45064</v>
      </c>
      <c r="H299" s="960" t="s">
        <v>402</v>
      </c>
      <c r="I299" s="962">
        <f t="shared" si="106"/>
        <v>45064</v>
      </c>
      <c r="J299" s="963">
        <f t="shared" si="111"/>
        <v>6560000</v>
      </c>
      <c r="K299" s="963">
        <f t="shared" si="112"/>
        <v>0</v>
      </c>
      <c r="L299" s="964"/>
      <c r="M299" s="964">
        <v>65000</v>
      </c>
      <c r="N299" s="964">
        <v>1421875</v>
      </c>
      <c r="O299" s="964">
        <f t="shared" si="91"/>
        <v>5073125</v>
      </c>
      <c r="P299" s="965">
        <f t="shared" si="107"/>
        <v>318</v>
      </c>
      <c r="Q299" s="966">
        <v>9</v>
      </c>
      <c r="R299" s="967">
        <f t="shared" si="108"/>
        <v>8.1287671232876715</v>
      </c>
      <c r="S299" s="968">
        <f t="shared" si="98"/>
        <v>491097</v>
      </c>
      <c r="T299" s="968">
        <f t="shared" si="109"/>
        <v>4582028</v>
      </c>
      <c r="U299" s="969">
        <f t="shared" si="110"/>
        <v>5073125</v>
      </c>
      <c r="V299" s="969">
        <f t="shared" si="103"/>
        <v>0</v>
      </c>
    </row>
    <row r="300" spans="1:22">
      <c r="A300" s="816"/>
      <c r="B300" s="828">
        <f t="shared" si="92"/>
        <v>296</v>
      </c>
      <c r="C300" s="960" t="s">
        <v>71</v>
      </c>
      <c r="D300" s="960" t="s">
        <v>21</v>
      </c>
      <c r="E300" s="960" t="s">
        <v>3925</v>
      </c>
      <c r="F300" s="961">
        <v>45073</v>
      </c>
      <c r="G300" s="961">
        <v>45077</v>
      </c>
      <c r="H300" s="960" t="s">
        <v>402</v>
      </c>
      <c r="I300" s="962">
        <f t="shared" si="106"/>
        <v>45077</v>
      </c>
      <c r="J300" s="963">
        <f t="shared" si="111"/>
        <v>6560000</v>
      </c>
      <c r="K300" s="963">
        <f t="shared" si="112"/>
        <v>0</v>
      </c>
      <c r="L300" s="964"/>
      <c r="M300" s="964">
        <v>65000</v>
      </c>
      <c r="N300" s="964">
        <v>1421875</v>
      </c>
      <c r="O300" s="964">
        <f t="shared" si="91"/>
        <v>5073125</v>
      </c>
      <c r="P300" s="965">
        <f t="shared" si="107"/>
        <v>305</v>
      </c>
      <c r="Q300" s="966">
        <v>9</v>
      </c>
      <c r="R300" s="967">
        <f t="shared" si="108"/>
        <v>8.1643835616438363</v>
      </c>
      <c r="S300" s="968">
        <f t="shared" si="98"/>
        <v>471021</v>
      </c>
      <c r="T300" s="968">
        <f t="shared" si="109"/>
        <v>4602104</v>
      </c>
      <c r="U300" s="969">
        <f t="shared" si="110"/>
        <v>5073125</v>
      </c>
      <c r="V300" s="969">
        <f t="shared" si="103"/>
        <v>0</v>
      </c>
    </row>
    <row r="301" spans="1:22">
      <c r="A301" s="816"/>
      <c r="B301" s="828">
        <f t="shared" si="92"/>
        <v>297</v>
      </c>
      <c r="C301" s="970" t="s">
        <v>71</v>
      </c>
      <c r="D301" s="960" t="s">
        <v>21</v>
      </c>
      <c r="E301" s="970" t="s">
        <v>3926</v>
      </c>
      <c r="F301" s="971">
        <v>45073</v>
      </c>
      <c r="G301" s="971">
        <v>45077</v>
      </c>
      <c r="H301" s="970" t="s">
        <v>402</v>
      </c>
      <c r="I301" s="962">
        <f t="shared" si="106"/>
        <v>45077</v>
      </c>
      <c r="J301" s="963">
        <f t="shared" si="111"/>
        <v>6560000</v>
      </c>
      <c r="K301" s="963">
        <f t="shared" si="112"/>
        <v>0</v>
      </c>
      <c r="L301" s="973"/>
      <c r="M301" s="973">
        <v>65000</v>
      </c>
      <c r="N301" s="973">
        <v>1421875</v>
      </c>
      <c r="O301" s="964">
        <f t="shared" si="91"/>
        <v>5073125</v>
      </c>
      <c r="P301" s="965">
        <f t="shared" si="107"/>
        <v>305</v>
      </c>
      <c r="Q301" s="974">
        <v>3</v>
      </c>
      <c r="R301" s="975">
        <f t="shared" si="108"/>
        <v>2.1643835616438354</v>
      </c>
      <c r="S301" s="968">
        <f t="shared" si="98"/>
        <v>1413062</v>
      </c>
      <c r="T301" s="968">
        <f t="shared" si="109"/>
        <v>3660063</v>
      </c>
      <c r="U301" s="969">
        <f t="shared" si="110"/>
        <v>5073125</v>
      </c>
      <c r="V301" s="969">
        <f t="shared" si="103"/>
        <v>0</v>
      </c>
    </row>
    <row r="302" spans="1:22">
      <c r="A302" s="816"/>
      <c r="B302" s="828">
        <f t="shared" si="92"/>
        <v>298</v>
      </c>
      <c r="C302" s="970" t="s">
        <v>71</v>
      </c>
      <c r="D302" s="960" t="s">
        <v>21</v>
      </c>
      <c r="E302" s="970" t="s">
        <v>3927</v>
      </c>
      <c r="F302" s="971">
        <v>45073</v>
      </c>
      <c r="G302" s="971">
        <v>45077</v>
      </c>
      <c r="H302" s="970" t="s">
        <v>402</v>
      </c>
      <c r="I302" s="962">
        <f t="shared" si="106"/>
        <v>45077</v>
      </c>
      <c r="J302" s="963">
        <f t="shared" si="111"/>
        <v>6560000</v>
      </c>
      <c r="K302" s="963">
        <f t="shared" si="112"/>
        <v>0</v>
      </c>
      <c r="L302" s="973"/>
      <c r="M302" s="973">
        <v>65000</v>
      </c>
      <c r="N302" s="973">
        <v>1421875</v>
      </c>
      <c r="O302" s="964">
        <f t="shared" si="91"/>
        <v>5073125</v>
      </c>
      <c r="P302" s="965">
        <f t="shared" si="107"/>
        <v>305</v>
      </c>
      <c r="Q302" s="974">
        <v>9</v>
      </c>
      <c r="R302" s="975">
        <f t="shared" si="108"/>
        <v>8.1643835616438363</v>
      </c>
      <c r="S302" s="968">
        <f t="shared" ref="S302:S334" si="113">ROUND(+O302/(Q302*365)*P302,0)</f>
        <v>471021</v>
      </c>
      <c r="T302" s="968">
        <f t="shared" si="109"/>
        <v>4602104</v>
      </c>
      <c r="U302" s="969">
        <f t="shared" si="110"/>
        <v>5073125</v>
      </c>
      <c r="V302" s="969">
        <f t="shared" si="103"/>
        <v>0</v>
      </c>
    </row>
    <row r="303" spans="1:22">
      <c r="A303" s="816"/>
      <c r="B303" s="828">
        <f t="shared" si="92"/>
        <v>299</v>
      </c>
      <c r="C303" s="970" t="s">
        <v>71</v>
      </c>
      <c r="D303" s="960" t="s">
        <v>21</v>
      </c>
      <c r="E303" s="970" t="s">
        <v>3928</v>
      </c>
      <c r="F303" s="971">
        <v>45073</v>
      </c>
      <c r="G303" s="971">
        <v>45077</v>
      </c>
      <c r="H303" s="970" t="s">
        <v>402</v>
      </c>
      <c r="I303" s="962">
        <f t="shared" si="106"/>
        <v>45077</v>
      </c>
      <c r="J303" s="963">
        <f t="shared" si="111"/>
        <v>6560000</v>
      </c>
      <c r="K303" s="963">
        <f t="shared" si="112"/>
        <v>0</v>
      </c>
      <c r="L303" s="973"/>
      <c r="M303" s="973">
        <v>65000</v>
      </c>
      <c r="N303" s="973">
        <v>1421875</v>
      </c>
      <c r="O303" s="964">
        <f t="shared" si="91"/>
        <v>5073125</v>
      </c>
      <c r="P303" s="965">
        <f t="shared" si="107"/>
        <v>305</v>
      </c>
      <c r="Q303" s="974">
        <v>3</v>
      </c>
      <c r="R303" s="975">
        <f t="shared" si="108"/>
        <v>2.1643835616438354</v>
      </c>
      <c r="S303" s="968">
        <f t="shared" si="113"/>
        <v>1413062</v>
      </c>
      <c r="T303" s="968">
        <f t="shared" si="109"/>
        <v>3660063</v>
      </c>
      <c r="U303" s="969">
        <f t="shared" si="110"/>
        <v>5073125</v>
      </c>
      <c r="V303" s="969">
        <f t="shared" si="103"/>
        <v>0</v>
      </c>
    </row>
    <row r="304" spans="1:22">
      <c r="A304" s="816"/>
      <c r="B304" s="828">
        <f t="shared" si="92"/>
        <v>300</v>
      </c>
      <c r="C304" s="970" t="s">
        <v>71</v>
      </c>
      <c r="D304" s="960" t="s">
        <v>21</v>
      </c>
      <c r="E304" s="970" t="s">
        <v>3929</v>
      </c>
      <c r="F304" s="971">
        <v>45073</v>
      </c>
      <c r="G304" s="971">
        <v>45077</v>
      </c>
      <c r="H304" s="970" t="s">
        <v>402</v>
      </c>
      <c r="I304" s="962">
        <f t="shared" si="106"/>
        <v>45077</v>
      </c>
      <c r="J304" s="963">
        <f t="shared" si="111"/>
        <v>6560000</v>
      </c>
      <c r="K304" s="963">
        <f t="shared" si="112"/>
        <v>0</v>
      </c>
      <c r="L304" s="973"/>
      <c r="M304" s="973">
        <v>65000</v>
      </c>
      <c r="N304" s="973">
        <v>1421875</v>
      </c>
      <c r="O304" s="964">
        <f t="shared" si="91"/>
        <v>5073125</v>
      </c>
      <c r="P304" s="965">
        <f t="shared" si="107"/>
        <v>305</v>
      </c>
      <c r="Q304" s="974">
        <v>3</v>
      </c>
      <c r="R304" s="975">
        <f t="shared" si="108"/>
        <v>2.1643835616438354</v>
      </c>
      <c r="S304" s="968">
        <f t="shared" si="113"/>
        <v>1413062</v>
      </c>
      <c r="T304" s="968">
        <f t="shared" si="109"/>
        <v>3660063</v>
      </c>
      <c r="U304" s="969">
        <f t="shared" si="110"/>
        <v>5073125</v>
      </c>
      <c r="V304" s="969">
        <f t="shared" si="103"/>
        <v>0</v>
      </c>
    </row>
    <row r="305" spans="1:22">
      <c r="A305" s="816"/>
      <c r="B305" s="828">
        <f t="shared" si="92"/>
        <v>301</v>
      </c>
      <c r="C305" s="970" t="s">
        <v>71</v>
      </c>
      <c r="D305" s="960" t="s">
        <v>21</v>
      </c>
      <c r="E305" s="970" t="s">
        <v>3930</v>
      </c>
      <c r="F305" s="971">
        <v>45073</v>
      </c>
      <c r="G305" s="971">
        <v>45077</v>
      </c>
      <c r="H305" s="970" t="s">
        <v>402</v>
      </c>
      <c r="I305" s="962">
        <f t="shared" si="106"/>
        <v>45077</v>
      </c>
      <c r="J305" s="963">
        <f t="shared" si="111"/>
        <v>6560000</v>
      </c>
      <c r="K305" s="963">
        <f t="shared" si="112"/>
        <v>0</v>
      </c>
      <c r="L305" s="973"/>
      <c r="M305" s="973">
        <v>65000</v>
      </c>
      <c r="N305" s="973">
        <v>1421875</v>
      </c>
      <c r="O305" s="964">
        <f t="shared" si="91"/>
        <v>5073125</v>
      </c>
      <c r="P305" s="965">
        <f t="shared" si="107"/>
        <v>305</v>
      </c>
      <c r="Q305" s="974">
        <v>3</v>
      </c>
      <c r="R305" s="975">
        <f t="shared" si="108"/>
        <v>2.1643835616438354</v>
      </c>
      <c r="S305" s="968">
        <f t="shared" si="113"/>
        <v>1413062</v>
      </c>
      <c r="T305" s="968">
        <f t="shared" si="109"/>
        <v>3660063</v>
      </c>
      <c r="U305" s="969">
        <f t="shared" si="110"/>
        <v>5073125</v>
      </c>
      <c r="V305" s="969">
        <f t="shared" si="103"/>
        <v>0</v>
      </c>
    </row>
    <row r="306" spans="1:22">
      <c r="A306" s="816"/>
      <c r="B306" s="828">
        <f t="shared" si="92"/>
        <v>302</v>
      </c>
      <c r="C306" s="970" t="s">
        <v>71</v>
      </c>
      <c r="D306" s="960" t="s">
        <v>21</v>
      </c>
      <c r="E306" s="970" t="s">
        <v>3931</v>
      </c>
      <c r="F306" s="971">
        <v>45073</v>
      </c>
      <c r="G306" s="971">
        <v>45077</v>
      </c>
      <c r="H306" s="970" t="s">
        <v>402</v>
      </c>
      <c r="I306" s="962">
        <f t="shared" si="106"/>
        <v>45077</v>
      </c>
      <c r="J306" s="963">
        <f t="shared" si="111"/>
        <v>6560000</v>
      </c>
      <c r="K306" s="963">
        <f t="shared" si="112"/>
        <v>0</v>
      </c>
      <c r="L306" s="973"/>
      <c r="M306" s="973">
        <v>65000</v>
      </c>
      <c r="N306" s="973">
        <v>1421875</v>
      </c>
      <c r="O306" s="964">
        <f t="shared" si="91"/>
        <v>5073125</v>
      </c>
      <c r="P306" s="965">
        <f t="shared" si="107"/>
        <v>305</v>
      </c>
      <c r="Q306" s="974">
        <v>3</v>
      </c>
      <c r="R306" s="975">
        <f t="shared" si="108"/>
        <v>2.1643835616438354</v>
      </c>
      <c r="S306" s="968">
        <f t="shared" si="113"/>
        <v>1413062</v>
      </c>
      <c r="T306" s="968">
        <f t="shared" si="109"/>
        <v>3660063</v>
      </c>
      <c r="U306" s="969">
        <f t="shared" si="110"/>
        <v>5073125</v>
      </c>
      <c r="V306" s="969">
        <f t="shared" si="103"/>
        <v>0</v>
      </c>
    </row>
    <row r="307" spans="1:22">
      <c r="A307" s="816"/>
      <c r="B307" s="828">
        <f t="shared" si="92"/>
        <v>303</v>
      </c>
      <c r="C307" s="970" t="s">
        <v>71</v>
      </c>
      <c r="D307" s="960" t="s">
        <v>21</v>
      </c>
      <c r="E307" s="970" t="s">
        <v>3932</v>
      </c>
      <c r="F307" s="971">
        <v>45073</v>
      </c>
      <c r="G307" s="971">
        <v>45077</v>
      </c>
      <c r="H307" s="970" t="s">
        <v>402</v>
      </c>
      <c r="I307" s="962">
        <f t="shared" si="106"/>
        <v>45077</v>
      </c>
      <c r="J307" s="963">
        <f t="shared" si="111"/>
        <v>6560000</v>
      </c>
      <c r="K307" s="963">
        <f t="shared" si="112"/>
        <v>0</v>
      </c>
      <c r="L307" s="973"/>
      <c r="M307" s="973">
        <v>65000</v>
      </c>
      <c r="N307" s="973">
        <v>1421875</v>
      </c>
      <c r="O307" s="964">
        <f t="shared" si="91"/>
        <v>5073125</v>
      </c>
      <c r="P307" s="965">
        <f t="shared" si="107"/>
        <v>305</v>
      </c>
      <c r="Q307" s="974">
        <v>3</v>
      </c>
      <c r="R307" s="975">
        <f t="shared" si="108"/>
        <v>2.1643835616438354</v>
      </c>
      <c r="S307" s="968">
        <f t="shared" si="113"/>
        <v>1413062</v>
      </c>
      <c r="T307" s="968">
        <f t="shared" si="109"/>
        <v>3660063</v>
      </c>
      <c r="U307" s="969">
        <f t="shared" si="110"/>
        <v>5073125</v>
      </c>
      <c r="V307" s="969">
        <f t="shared" si="103"/>
        <v>0</v>
      </c>
    </row>
    <row r="308" spans="1:22">
      <c r="A308" s="816"/>
      <c r="B308" s="828">
        <f t="shared" si="92"/>
        <v>304</v>
      </c>
      <c r="C308" s="970" t="s">
        <v>71</v>
      </c>
      <c r="D308" s="960" t="s">
        <v>21</v>
      </c>
      <c r="E308" s="970" t="s">
        <v>3933</v>
      </c>
      <c r="F308" s="971">
        <v>45077</v>
      </c>
      <c r="G308" s="971">
        <v>45096</v>
      </c>
      <c r="H308" s="970" t="s">
        <v>402</v>
      </c>
      <c r="I308" s="962">
        <f t="shared" si="106"/>
        <v>45096</v>
      </c>
      <c r="J308" s="973">
        <f>6161000-5000</f>
        <v>6156000</v>
      </c>
      <c r="K308" s="963">
        <f t="shared" si="112"/>
        <v>0</v>
      </c>
      <c r="L308" s="973"/>
      <c r="M308" s="973">
        <v>61000</v>
      </c>
      <c r="N308" s="973">
        <v>1334375</v>
      </c>
      <c r="O308" s="964">
        <f t="shared" si="91"/>
        <v>4760625</v>
      </c>
      <c r="P308" s="965">
        <f t="shared" si="107"/>
        <v>286</v>
      </c>
      <c r="Q308" s="974">
        <v>9</v>
      </c>
      <c r="R308" s="975">
        <f t="shared" si="108"/>
        <v>8.2164383561643834</v>
      </c>
      <c r="S308" s="968">
        <f t="shared" si="113"/>
        <v>414471</v>
      </c>
      <c r="T308" s="968">
        <f t="shared" si="109"/>
        <v>4346154</v>
      </c>
      <c r="U308" s="969">
        <f t="shared" si="110"/>
        <v>4760625</v>
      </c>
      <c r="V308" s="969">
        <f t="shared" si="103"/>
        <v>0</v>
      </c>
    </row>
    <row r="309" spans="1:22">
      <c r="A309" s="816"/>
      <c r="B309" s="828">
        <f t="shared" si="92"/>
        <v>305</v>
      </c>
      <c r="C309" s="970" t="s">
        <v>71</v>
      </c>
      <c r="D309" s="960" t="s">
        <v>21</v>
      </c>
      <c r="E309" s="970" t="s">
        <v>3934</v>
      </c>
      <c r="F309" s="971">
        <v>45077</v>
      </c>
      <c r="G309" s="971">
        <v>45096</v>
      </c>
      <c r="H309" s="970" t="s">
        <v>402</v>
      </c>
      <c r="I309" s="962">
        <f t="shared" si="106"/>
        <v>45096</v>
      </c>
      <c r="J309" s="973">
        <f t="shared" ref="J309:J311" si="114">6161000-5000</f>
        <v>6156000</v>
      </c>
      <c r="K309" s="963">
        <f t="shared" si="112"/>
        <v>0</v>
      </c>
      <c r="L309" s="973"/>
      <c r="M309" s="973">
        <v>61000</v>
      </c>
      <c r="N309" s="973">
        <v>1334375</v>
      </c>
      <c r="O309" s="964">
        <f t="shared" si="91"/>
        <v>4760625</v>
      </c>
      <c r="P309" s="965">
        <f t="shared" si="107"/>
        <v>286</v>
      </c>
      <c r="Q309" s="974">
        <v>9</v>
      </c>
      <c r="R309" s="975">
        <f t="shared" si="108"/>
        <v>8.2164383561643834</v>
      </c>
      <c r="S309" s="968">
        <f t="shared" si="113"/>
        <v>414471</v>
      </c>
      <c r="T309" s="968">
        <f t="shared" si="109"/>
        <v>4346154</v>
      </c>
      <c r="U309" s="969">
        <f t="shared" si="110"/>
        <v>4760625</v>
      </c>
      <c r="V309" s="969">
        <f t="shared" si="103"/>
        <v>0</v>
      </c>
    </row>
    <row r="310" spans="1:22">
      <c r="A310" s="816"/>
      <c r="B310" s="828">
        <f t="shared" si="92"/>
        <v>306</v>
      </c>
      <c r="C310" s="970" t="s">
        <v>71</v>
      </c>
      <c r="D310" s="960" t="s">
        <v>21</v>
      </c>
      <c r="E310" s="970" t="s">
        <v>3935</v>
      </c>
      <c r="F310" s="971">
        <v>45077</v>
      </c>
      <c r="G310" s="971">
        <v>45096</v>
      </c>
      <c r="H310" s="970" t="s">
        <v>402</v>
      </c>
      <c r="I310" s="962">
        <f t="shared" si="106"/>
        <v>45096</v>
      </c>
      <c r="J310" s="973">
        <f t="shared" si="114"/>
        <v>6156000</v>
      </c>
      <c r="K310" s="963">
        <f t="shared" si="112"/>
        <v>0</v>
      </c>
      <c r="L310" s="973"/>
      <c r="M310" s="973">
        <v>61000</v>
      </c>
      <c r="N310" s="973">
        <v>1334375</v>
      </c>
      <c r="O310" s="964">
        <f t="shared" si="91"/>
        <v>4760625</v>
      </c>
      <c r="P310" s="965">
        <f t="shared" si="107"/>
        <v>286</v>
      </c>
      <c r="Q310" s="974">
        <v>9</v>
      </c>
      <c r="R310" s="975">
        <f t="shared" si="108"/>
        <v>8.2164383561643834</v>
      </c>
      <c r="S310" s="968">
        <f t="shared" si="113"/>
        <v>414471</v>
      </c>
      <c r="T310" s="968">
        <f t="shared" si="109"/>
        <v>4346154</v>
      </c>
      <c r="U310" s="969">
        <f t="shared" si="110"/>
        <v>4760625</v>
      </c>
      <c r="V310" s="969">
        <f t="shared" si="103"/>
        <v>0</v>
      </c>
    </row>
    <row r="311" spans="1:22">
      <c r="A311" s="816"/>
      <c r="B311" s="828">
        <f t="shared" si="92"/>
        <v>307</v>
      </c>
      <c r="C311" s="970" t="s">
        <v>71</v>
      </c>
      <c r="D311" s="960" t="s">
        <v>21</v>
      </c>
      <c r="E311" s="970" t="s">
        <v>3936</v>
      </c>
      <c r="F311" s="971">
        <v>45077</v>
      </c>
      <c r="G311" s="971">
        <v>45096</v>
      </c>
      <c r="H311" s="970" t="s">
        <v>402</v>
      </c>
      <c r="I311" s="962">
        <f t="shared" si="106"/>
        <v>45096</v>
      </c>
      <c r="J311" s="973">
        <f t="shared" si="114"/>
        <v>6156000</v>
      </c>
      <c r="K311" s="963">
        <f t="shared" si="112"/>
        <v>0</v>
      </c>
      <c r="L311" s="973"/>
      <c r="M311" s="973">
        <v>61000</v>
      </c>
      <c r="N311" s="973">
        <v>1334375</v>
      </c>
      <c r="O311" s="964">
        <f t="shared" si="91"/>
        <v>4760625</v>
      </c>
      <c r="P311" s="965">
        <f t="shared" si="107"/>
        <v>286</v>
      </c>
      <c r="Q311" s="974">
        <v>9</v>
      </c>
      <c r="R311" s="975">
        <f t="shared" si="108"/>
        <v>8.2164383561643834</v>
      </c>
      <c r="S311" s="968">
        <f t="shared" si="113"/>
        <v>414471</v>
      </c>
      <c r="T311" s="968">
        <f t="shared" si="109"/>
        <v>4346154</v>
      </c>
      <c r="U311" s="969">
        <f t="shared" si="110"/>
        <v>4760625</v>
      </c>
      <c r="V311" s="969">
        <f t="shared" si="103"/>
        <v>0</v>
      </c>
    </row>
    <row r="312" spans="1:22">
      <c r="A312" s="816"/>
      <c r="B312" s="828">
        <f t="shared" si="92"/>
        <v>308</v>
      </c>
      <c r="C312" s="970" t="s">
        <v>71</v>
      </c>
      <c r="D312" s="960" t="s">
        <v>21</v>
      </c>
      <c r="E312" s="970" t="s">
        <v>3937</v>
      </c>
      <c r="F312" s="971">
        <v>45093</v>
      </c>
      <c r="G312" s="971">
        <v>45093</v>
      </c>
      <c r="H312" s="970" t="s">
        <v>402</v>
      </c>
      <c r="I312" s="962">
        <f t="shared" si="106"/>
        <v>45093</v>
      </c>
      <c r="J312" s="963">
        <f t="shared" ref="J312:J317" si="115">6565000-5000</f>
        <v>6560000</v>
      </c>
      <c r="K312" s="963">
        <f t="shared" si="112"/>
        <v>0</v>
      </c>
      <c r="L312" s="973"/>
      <c r="M312" s="973">
        <v>65000</v>
      </c>
      <c r="N312" s="973">
        <v>1421875</v>
      </c>
      <c r="O312" s="964">
        <f t="shared" si="91"/>
        <v>5073125</v>
      </c>
      <c r="P312" s="965">
        <f t="shared" si="107"/>
        <v>289</v>
      </c>
      <c r="Q312" s="974">
        <v>3</v>
      </c>
      <c r="R312" s="975">
        <f t="shared" si="108"/>
        <v>2.2082191780821918</v>
      </c>
      <c r="S312" s="968">
        <f t="shared" si="113"/>
        <v>1338934</v>
      </c>
      <c r="T312" s="968">
        <f t="shared" si="109"/>
        <v>3734191</v>
      </c>
      <c r="U312" s="969">
        <f t="shared" si="110"/>
        <v>5073125</v>
      </c>
      <c r="V312" s="969">
        <f t="shared" si="103"/>
        <v>0</v>
      </c>
    </row>
    <row r="313" spans="1:22">
      <c r="A313" s="816"/>
      <c r="B313" s="828">
        <f t="shared" si="92"/>
        <v>309</v>
      </c>
      <c r="C313" s="970" t="s">
        <v>71</v>
      </c>
      <c r="D313" s="960" t="s">
        <v>21</v>
      </c>
      <c r="E313" s="970" t="s">
        <v>3938</v>
      </c>
      <c r="F313" s="971">
        <v>45093</v>
      </c>
      <c r="G313" s="971">
        <v>45093</v>
      </c>
      <c r="H313" s="970" t="s">
        <v>402</v>
      </c>
      <c r="I313" s="962">
        <f t="shared" si="106"/>
        <v>45093</v>
      </c>
      <c r="J313" s="963">
        <f t="shared" si="115"/>
        <v>6560000</v>
      </c>
      <c r="K313" s="963">
        <f t="shared" si="112"/>
        <v>0</v>
      </c>
      <c r="L313" s="973"/>
      <c r="M313" s="973">
        <v>65000</v>
      </c>
      <c r="N313" s="973">
        <v>1421875</v>
      </c>
      <c r="O313" s="964">
        <f t="shared" si="91"/>
        <v>5073125</v>
      </c>
      <c r="P313" s="965">
        <f t="shared" si="107"/>
        <v>289</v>
      </c>
      <c r="Q313" s="974">
        <v>9</v>
      </c>
      <c r="R313" s="975">
        <f t="shared" si="108"/>
        <v>8.2082191780821923</v>
      </c>
      <c r="S313" s="968">
        <f t="shared" si="113"/>
        <v>446311</v>
      </c>
      <c r="T313" s="968">
        <f t="shared" si="109"/>
        <v>4626814</v>
      </c>
      <c r="U313" s="969">
        <f t="shared" si="110"/>
        <v>5073125</v>
      </c>
      <c r="V313" s="969">
        <f t="shared" si="103"/>
        <v>0</v>
      </c>
    </row>
    <row r="314" spans="1:22">
      <c r="A314" s="816"/>
      <c r="B314" s="828">
        <f t="shared" si="92"/>
        <v>310</v>
      </c>
      <c r="C314" s="970" t="s">
        <v>71</v>
      </c>
      <c r="D314" s="960" t="s">
        <v>21</v>
      </c>
      <c r="E314" s="970" t="s">
        <v>3939</v>
      </c>
      <c r="F314" s="971">
        <v>45093</v>
      </c>
      <c r="G314" s="971">
        <v>45093</v>
      </c>
      <c r="H314" s="970" t="s">
        <v>402</v>
      </c>
      <c r="I314" s="962">
        <f t="shared" si="106"/>
        <v>45093</v>
      </c>
      <c r="J314" s="963">
        <f t="shared" si="115"/>
        <v>6560000</v>
      </c>
      <c r="K314" s="963">
        <f t="shared" si="112"/>
        <v>0</v>
      </c>
      <c r="L314" s="973"/>
      <c r="M314" s="973">
        <v>65000</v>
      </c>
      <c r="N314" s="973">
        <v>1421875</v>
      </c>
      <c r="O314" s="964">
        <f t="shared" si="91"/>
        <v>5073125</v>
      </c>
      <c r="P314" s="965">
        <f t="shared" si="107"/>
        <v>289</v>
      </c>
      <c r="Q314" s="974">
        <v>9</v>
      </c>
      <c r="R314" s="975">
        <f t="shared" si="108"/>
        <v>8.2082191780821923</v>
      </c>
      <c r="S314" s="968">
        <f t="shared" si="113"/>
        <v>446311</v>
      </c>
      <c r="T314" s="968">
        <f t="shared" si="109"/>
        <v>4626814</v>
      </c>
      <c r="U314" s="969">
        <f t="shared" si="110"/>
        <v>5073125</v>
      </c>
      <c r="V314" s="969">
        <f t="shared" si="103"/>
        <v>0</v>
      </c>
    </row>
    <row r="315" spans="1:22">
      <c r="A315" s="816"/>
      <c r="B315" s="828">
        <f t="shared" si="92"/>
        <v>311</v>
      </c>
      <c r="C315" s="970" t="s">
        <v>71</v>
      </c>
      <c r="D315" s="960" t="s">
        <v>21</v>
      </c>
      <c r="E315" s="970" t="s">
        <v>3940</v>
      </c>
      <c r="F315" s="971">
        <v>45093</v>
      </c>
      <c r="G315" s="971">
        <v>45093</v>
      </c>
      <c r="H315" s="970" t="s">
        <v>402</v>
      </c>
      <c r="I315" s="962">
        <f t="shared" si="106"/>
        <v>45093</v>
      </c>
      <c r="J315" s="963">
        <f t="shared" si="115"/>
        <v>6560000</v>
      </c>
      <c r="K315" s="963">
        <f t="shared" si="112"/>
        <v>0</v>
      </c>
      <c r="L315" s="973"/>
      <c r="M315" s="973">
        <v>65000</v>
      </c>
      <c r="N315" s="973">
        <v>1421875</v>
      </c>
      <c r="O315" s="964">
        <f t="shared" si="91"/>
        <v>5073125</v>
      </c>
      <c r="P315" s="965">
        <f t="shared" si="107"/>
        <v>289</v>
      </c>
      <c r="Q315" s="974">
        <v>9</v>
      </c>
      <c r="R315" s="975">
        <f t="shared" si="108"/>
        <v>8.2082191780821923</v>
      </c>
      <c r="S315" s="968">
        <f t="shared" si="113"/>
        <v>446311</v>
      </c>
      <c r="T315" s="968">
        <f t="shared" si="109"/>
        <v>4626814</v>
      </c>
      <c r="U315" s="969">
        <f t="shared" si="110"/>
        <v>5073125</v>
      </c>
      <c r="V315" s="969">
        <f t="shared" si="103"/>
        <v>0</v>
      </c>
    </row>
    <row r="316" spans="1:22">
      <c r="A316" s="816"/>
      <c r="B316" s="828">
        <f t="shared" si="92"/>
        <v>312</v>
      </c>
      <c r="C316" s="970" t="s">
        <v>71</v>
      </c>
      <c r="D316" s="960" t="s">
        <v>21</v>
      </c>
      <c r="E316" s="970" t="s">
        <v>3941</v>
      </c>
      <c r="F316" s="971">
        <v>45093</v>
      </c>
      <c r="G316" s="971">
        <v>45093</v>
      </c>
      <c r="H316" s="970" t="s">
        <v>402</v>
      </c>
      <c r="I316" s="962">
        <f t="shared" si="106"/>
        <v>45093</v>
      </c>
      <c r="J316" s="963">
        <f t="shared" si="115"/>
        <v>6560000</v>
      </c>
      <c r="K316" s="963">
        <f t="shared" si="112"/>
        <v>0</v>
      </c>
      <c r="L316" s="973"/>
      <c r="M316" s="973">
        <v>65000</v>
      </c>
      <c r="N316" s="973">
        <v>1421875</v>
      </c>
      <c r="O316" s="964">
        <f t="shared" si="91"/>
        <v>5073125</v>
      </c>
      <c r="P316" s="965">
        <f t="shared" si="107"/>
        <v>289</v>
      </c>
      <c r="Q316" s="974">
        <v>9</v>
      </c>
      <c r="R316" s="975">
        <f t="shared" si="108"/>
        <v>8.2082191780821923</v>
      </c>
      <c r="S316" s="968">
        <f t="shared" si="113"/>
        <v>446311</v>
      </c>
      <c r="T316" s="968">
        <f t="shared" si="109"/>
        <v>4626814</v>
      </c>
      <c r="U316" s="969">
        <f t="shared" si="110"/>
        <v>5073125</v>
      </c>
      <c r="V316" s="969">
        <f t="shared" si="103"/>
        <v>0</v>
      </c>
    </row>
    <row r="317" spans="1:22">
      <c r="A317" s="816"/>
      <c r="B317" s="828">
        <f t="shared" si="92"/>
        <v>313</v>
      </c>
      <c r="C317" s="970" t="s">
        <v>71</v>
      </c>
      <c r="D317" s="960" t="s">
        <v>21</v>
      </c>
      <c r="E317" s="970" t="s">
        <v>3942</v>
      </c>
      <c r="F317" s="971">
        <v>45093</v>
      </c>
      <c r="G317" s="971">
        <v>45093</v>
      </c>
      <c r="H317" s="970" t="s">
        <v>402</v>
      </c>
      <c r="I317" s="962">
        <f t="shared" si="106"/>
        <v>45093</v>
      </c>
      <c r="J317" s="963">
        <f t="shared" si="115"/>
        <v>6560000</v>
      </c>
      <c r="K317" s="963">
        <f t="shared" si="112"/>
        <v>0</v>
      </c>
      <c r="L317" s="973"/>
      <c r="M317" s="973">
        <v>65000</v>
      </c>
      <c r="N317" s="973">
        <v>1421875</v>
      </c>
      <c r="O317" s="964">
        <f t="shared" si="91"/>
        <v>5073125</v>
      </c>
      <c r="P317" s="965">
        <f t="shared" si="107"/>
        <v>289</v>
      </c>
      <c r="Q317" s="974">
        <v>9</v>
      </c>
      <c r="R317" s="975">
        <f t="shared" si="108"/>
        <v>8.2082191780821923</v>
      </c>
      <c r="S317" s="968">
        <f t="shared" si="113"/>
        <v>446311</v>
      </c>
      <c r="T317" s="968">
        <f t="shared" si="109"/>
        <v>4626814</v>
      </c>
      <c r="U317" s="969">
        <f t="shared" si="110"/>
        <v>5073125</v>
      </c>
      <c r="V317" s="969">
        <f t="shared" si="103"/>
        <v>0</v>
      </c>
    </row>
    <row r="318" spans="1:22">
      <c r="A318" s="816"/>
      <c r="B318" s="828">
        <f t="shared" si="92"/>
        <v>314</v>
      </c>
      <c r="C318" s="960" t="s">
        <v>71</v>
      </c>
      <c r="D318" s="960" t="s">
        <v>21</v>
      </c>
      <c r="E318" s="960" t="s">
        <v>3943</v>
      </c>
      <c r="F318" s="961">
        <v>45138</v>
      </c>
      <c r="G318" s="961">
        <v>45169</v>
      </c>
      <c r="H318" s="960" t="s">
        <v>3907</v>
      </c>
      <c r="I318" s="962">
        <f t="shared" si="106"/>
        <v>45169</v>
      </c>
      <c r="J318" s="973">
        <f t="shared" ref="J318" si="116">6161000-5000</f>
        <v>6156000</v>
      </c>
      <c r="K318" s="963">
        <f t="shared" si="112"/>
        <v>0</v>
      </c>
      <c r="L318" s="964"/>
      <c r="M318" s="964">
        <v>61000</v>
      </c>
      <c r="N318" s="964">
        <v>1334375</v>
      </c>
      <c r="O318" s="964">
        <f t="shared" si="91"/>
        <v>4760625</v>
      </c>
      <c r="P318" s="965">
        <f t="shared" si="107"/>
        <v>213</v>
      </c>
      <c r="Q318" s="966">
        <v>9</v>
      </c>
      <c r="R318" s="967">
        <f t="shared" si="108"/>
        <v>8.4164383561643827</v>
      </c>
      <c r="S318" s="968">
        <f t="shared" si="113"/>
        <v>308680</v>
      </c>
      <c r="T318" s="968">
        <f t="shared" si="109"/>
        <v>4451945</v>
      </c>
      <c r="U318" s="969">
        <f t="shared" si="110"/>
        <v>4760625</v>
      </c>
      <c r="V318" s="969">
        <f t="shared" si="103"/>
        <v>0</v>
      </c>
    </row>
    <row r="319" spans="1:22">
      <c r="A319" s="816"/>
      <c r="B319" s="828">
        <f t="shared" si="92"/>
        <v>315</v>
      </c>
      <c r="C319" s="960" t="s">
        <v>71</v>
      </c>
      <c r="D319" s="960" t="s">
        <v>21</v>
      </c>
      <c r="E319" s="960" t="s">
        <v>3944</v>
      </c>
      <c r="F319" s="961">
        <v>45194</v>
      </c>
      <c r="G319" s="961">
        <v>45199</v>
      </c>
      <c r="H319" s="960" t="s">
        <v>178</v>
      </c>
      <c r="I319" s="962">
        <f t="shared" si="106"/>
        <v>45199</v>
      </c>
      <c r="J319" s="963">
        <v>5656000</v>
      </c>
      <c r="K319" s="963"/>
      <c r="L319" s="964">
        <v>0</v>
      </c>
      <c r="M319" s="964">
        <v>56000</v>
      </c>
      <c r="N319" s="964">
        <v>1225000</v>
      </c>
      <c r="O319" s="964">
        <f t="shared" si="91"/>
        <v>4375000</v>
      </c>
      <c r="P319" s="965">
        <f t="shared" si="107"/>
        <v>183</v>
      </c>
      <c r="Q319" s="966">
        <v>9</v>
      </c>
      <c r="R319" s="967">
        <f t="shared" si="108"/>
        <v>8.4986301369863018</v>
      </c>
      <c r="S319" s="968">
        <f t="shared" si="113"/>
        <v>243721</v>
      </c>
      <c r="T319" s="968">
        <f t="shared" si="109"/>
        <v>4131279</v>
      </c>
      <c r="U319" s="969">
        <f t="shared" si="110"/>
        <v>4375000</v>
      </c>
      <c r="V319" s="969">
        <f t="shared" si="103"/>
        <v>0</v>
      </c>
    </row>
    <row r="320" spans="1:22">
      <c r="A320" s="816"/>
      <c r="B320" s="828">
        <f t="shared" si="92"/>
        <v>316</v>
      </c>
      <c r="C320" s="960" t="s">
        <v>71</v>
      </c>
      <c r="D320" s="960" t="s">
        <v>21</v>
      </c>
      <c r="E320" s="960" t="s">
        <v>3945</v>
      </c>
      <c r="F320" s="961">
        <v>45194</v>
      </c>
      <c r="G320" s="961">
        <v>45199</v>
      </c>
      <c r="H320" s="960" t="s">
        <v>178</v>
      </c>
      <c r="I320" s="962">
        <f t="shared" si="106"/>
        <v>45199</v>
      </c>
      <c r="J320" s="963">
        <v>5656000</v>
      </c>
      <c r="K320" s="963"/>
      <c r="L320" s="964"/>
      <c r="M320" s="964">
        <v>56000</v>
      </c>
      <c r="N320" s="964">
        <v>1225000</v>
      </c>
      <c r="O320" s="964">
        <f t="shared" si="91"/>
        <v>4375000</v>
      </c>
      <c r="P320" s="965">
        <f t="shared" si="107"/>
        <v>183</v>
      </c>
      <c r="Q320" s="966">
        <v>3</v>
      </c>
      <c r="R320" s="967">
        <f t="shared" si="108"/>
        <v>2.4986301369863013</v>
      </c>
      <c r="S320" s="968">
        <f t="shared" si="113"/>
        <v>731164</v>
      </c>
      <c r="T320" s="968">
        <f t="shared" si="109"/>
        <v>3643836</v>
      </c>
      <c r="U320" s="969">
        <f t="shared" si="110"/>
        <v>4375000</v>
      </c>
      <c r="V320" s="969">
        <f t="shared" si="103"/>
        <v>0</v>
      </c>
    </row>
    <row r="321" spans="1:22">
      <c r="A321" s="816"/>
      <c r="B321" s="828">
        <f t="shared" si="92"/>
        <v>317</v>
      </c>
      <c r="C321" s="960" t="s">
        <v>71</v>
      </c>
      <c r="D321" s="960" t="s">
        <v>21</v>
      </c>
      <c r="E321" s="960" t="s">
        <v>3946</v>
      </c>
      <c r="F321" s="961">
        <v>45194</v>
      </c>
      <c r="G321" s="961">
        <v>45199</v>
      </c>
      <c r="H321" s="960" t="s">
        <v>178</v>
      </c>
      <c r="I321" s="962">
        <f t="shared" si="106"/>
        <v>45199</v>
      </c>
      <c r="J321" s="963">
        <v>5656000</v>
      </c>
      <c r="K321" s="963"/>
      <c r="L321" s="964"/>
      <c r="M321" s="964">
        <v>56000</v>
      </c>
      <c r="N321" s="964">
        <v>1225000</v>
      </c>
      <c r="O321" s="964">
        <f t="shared" si="91"/>
        <v>4375000</v>
      </c>
      <c r="P321" s="965">
        <f t="shared" si="107"/>
        <v>183</v>
      </c>
      <c r="Q321" s="966">
        <v>3</v>
      </c>
      <c r="R321" s="967">
        <f t="shared" si="108"/>
        <v>2.4986301369863013</v>
      </c>
      <c r="S321" s="968">
        <f t="shared" si="113"/>
        <v>731164</v>
      </c>
      <c r="T321" s="968">
        <f t="shared" si="109"/>
        <v>3643836</v>
      </c>
      <c r="U321" s="969">
        <f t="shared" si="110"/>
        <v>4375000</v>
      </c>
      <c r="V321" s="969">
        <f t="shared" si="103"/>
        <v>0</v>
      </c>
    </row>
    <row r="322" spans="1:22">
      <c r="A322" s="816"/>
      <c r="B322" s="828">
        <f t="shared" si="92"/>
        <v>318</v>
      </c>
      <c r="C322" s="960" t="s">
        <v>71</v>
      </c>
      <c r="D322" s="960" t="s">
        <v>21</v>
      </c>
      <c r="E322" s="960" t="s">
        <v>3947</v>
      </c>
      <c r="F322" s="961">
        <v>45194</v>
      </c>
      <c r="G322" s="961">
        <v>45199</v>
      </c>
      <c r="H322" s="960" t="s">
        <v>178</v>
      </c>
      <c r="I322" s="962">
        <f t="shared" si="106"/>
        <v>45199</v>
      </c>
      <c r="J322" s="963">
        <v>5656000</v>
      </c>
      <c r="K322" s="963"/>
      <c r="L322" s="964"/>
      <c r="M322" s="964">
        <v>56000</v>
      </c>
      <c r="N322" s="964">
        <v>1225000</v>
      </c>
      <c r="O322" s="964">
        <f t="shared" si="91"/>
        <v>4375000</v>
      </c>
      <c r="P322" s="965">
        <f t="shared" si="107"/>
        <v>183</v>
      </c>
      <c r="Q322" s="966">
        <v>9</v>
      </c>
      <c r="R322" s="967">
        <f t="shared" si="108"/>
        <v>8.4986301369863018</v>
      </c>
      <c r="S322" s="968">
        <f t="shared" si="113"/>
        <v>243721</v>
      </c>
      <c r="T322" s="968">
        <f t="shared" si="109"/>
        <v>4131279</v>
      </c>
      <c r="U322" s="969">
        <f t="shared" si="110"/>
        <v>4375000</v>
      </c>
      <c r="V322" s="969">
        <f t="shared" si="103"/>
        <v>0</v>
      </c>
    </row>
    <row r="323" spans="1:22">
      <c r="A323" s="816"/>
      <c r="B323" s="828">
        <f t="shared" si="92"/>
        <v>319</v>
      </c>
      <c r="C323" s="970" t="s">
        <v>71</v>
      </c>
      <c r="D323" s="960" t="s">
        <v>21</v>
      </c>
      <c r="E323" s="970" t="s">
        <v>3948</v>
      </c>
      <c r="F323" s="971">
        <v>45194</v>
      </c>
      <c r="G323" s="971">
        <v>45199</v>
      </c>
      <c r="H323" s="970" t="s">
        <v>178</v>
      </c>
      <c r="I323" s="962">
        <f t="shared" si="106"/>
        <v>45199</v>
      </c>
      <c r="J323" s="972">
        <v>5656000</v>
      </c>
      <c r="K323" s="963"/>
      <c r="L323" s="973"/>
      <c r="M323" s="973">
        <v>56000</v>
      </c>
      <c r="N323" s="973">
        <v>1225000</v>
      </c>
      <c r="O323" s="964">
        <f t="shared" si="91"/>
        <v>4375000</v>
      </c>
      <c r="P323" s="965">
        <f t="shared" si="107"/>
        <v>183</v>
      </c>
      <c r="Q323" s="974">
        <v>9</v>
      </c>
      <c r="R323" s="975">
        <f t="shared" si="108"/>
        <v>8.4986301369863018</v>
      </c>
      <c r="S323" s="968">
        <f t="shared" si="113"/>
        <v>243721</v>
      </c>
      <c r="T323" s="968">
        <f t="shared" si="109"/>
        <v>4131279</v>
      </c>
      <c r="U323" s="969">
        <f t="shared" si="110"/>
        <v>4375000</v>
      </c>
      <c r="V323" s="969">
        <f t="shared" si="103"/>
        <v>0</v>
      </c>
    </row>
    <row r="324" spans="1:22">
      <c r="A324" s="816"/>
      <c r="B324" s="828">
        <f t="shared" si="92"/>
        <v>320</v>
      </c>
      <c r="C324" s="960" t="s">
        <v>71</v>
      </c>
      <c r="D324" s="960" t="s">
        <v>21</v>
      </c>
      <c r="E324" s="960" t="s">
        <v>3949</v>
      </c>
      <c r="F324" s="961">
        <v>45194</v>
      </c>
      <c r="G324" s="961">
        <v>45199</v>
      </c>
      <c r="H324" s="960" t="s">
        <v>178</v>
      </c>
      <c r="I324" s="962">
        <f t="shared" si="106"/>
        <v>45199</v>
      </c>
      <c r="J324" s="963">
        <v>5656000</v>
      </c>
      <c r="K324" s="963"/>
      <c r="L324" s="964"/>
      <c r="M324" s="964">
        <v>56000</v>
      </c>
      <c r="N324" s="964">
        <v>1225000</v>
      </c>
      <c r="O324" s="964">
        <f t="shared" si="91"/>
        <v>4375000</v>
      </c>
      <c r="P324" s="965">
        <f t="shared" si="107"/>
        <v>183</v>
      </c>
      <c r="Q324" s="966">
        <v>9</v>
      </c>
      <c r="R324" s="967">
        <f t="shared" si="108"/>
        <v>8.4986301369863018</v>
      </c>
      <c r="S324" s="968">
        <f t="shared" si="113"/>
        <v>243721</v>
      </c>
      <c r="T324" s="968">
        <f t="shared" si="109"/>
        <v>4131279</v>
      </c>
      <c r="U324" s="969">
        <f t="shared" si="110"/>
        <v>4375000</v>
      </c>
      <c r="V324" s="969">
        <f t="shared" si="103"/>
        <v>0</v>
      </c>
    </row>
    <row r="325" spans="1:22">
      <c r="A325" s="816"/>
      <c r="B325" s="828">
        <f t="shared" si="92"/>
        <v>321</v>
      </c>
      <c r="C325" s="960" t="s">
        <v>71</v>
      </c>
      <c r="D325" s="960" t="s">
        <v>21</v>
      </c>
      <c r="E325" s="960" t="s">
        <v>3950</v>
      </c>
      <c r="F325" s="961">
        <v>45194</v>
      </c>
      <c r="G325" s="961">
        <v>45199</v>
      </c>
      <c r="H325" s="960" t="s">
        <v>178</v>
      </c>
      <c r="I325" s="962">
        <f t="shared" si="106"/>
        <v>45199</v>
      </c>
      <c r="J325" s="963">
        <v>5656000</v>
      </c>
      <c r="K325" s="963"/>
      <c r="L325" s="964"/>
      <c r="M325" s="964">
        <v>56000</v>
      </c>
      <c r="N325" s="964">
        <v>1225000</v>
      </c>
      <c r="O325" s="964">
        <f t="shared" si="91"/>
        <v>4375000</v>
      </c>
      <c r="P325" s="965">
        <f t="shared" si="107"/>
        <v>183</v>
      </c>
      <c r="Q325" s="966">
        <v>9</v>
      </c>
      <c r="R325" s="967">
        <f t="shared" si="108"/>
        <v>8.4986301369863018</v>
      </c>
      <c r="S325" s="968">
        <f t="shared" si="113"/>
        <v>243721</v>
      </c>
      <c r="T325" s="968">
        <f t="shared" si="109"/>
        <v>4131279</v>
      </c>
      <c r="U325" s="969">
        <f t="shared" si="110"/>
        <v>4375000</v>
      </c>
      <c r="V325" s="969">
        <f t="shared" si="103"/>
        <v>0</v>
      </c>
    </row>
    <row r="326" spans="1:22">
      <c r="A326" s="816"/>
      <c r="B326" s="828">
        <f t="shared" si="92"/>
        <v>322</v>
      </c>
      <c r="C326" s="960" t="s">
        <v>71</v>
      </c>
      <c r="D326" s="960" t="s">
        <v>21</v>
      </c>
      <c r="E326" s="960" t="s">
        <v>3951</v>
      </c>
      <c r="F326" s="961">
        <v>45194</v>
      </c>
      <c r="G326" s="961">
        <v>45199</v>
      </c>
      <c r="H326" s="960" t="s">
        <v>178</v>
      </c>
      <c r="I326" s="962">
        <f t="shared" si="106"/>
        <v>45199</v>
      </c>
      <c r="J326" s="963">
        <v>5656000</v>
      </c>
      <c r="K326" s="963"/>
      <c r="L326" s="964"/>
      <c r="M326" s="964">
        <v>56000</v>
      </c>
      <c r="N326" s="964">
        <v>1225000</v>
      </c>
      <c r="O326" s="964">
        <f t="shared" ref="O326:O334" si="117">+J326+L326-(K326+M326+N326)</f>
        <v>4375000</v>
      </c>
      <c r="P326" s="965">
        <f t="shared" si="107"/>
        <v>183</v>
      </c>
      <c r="Q326" s="966">
        <v>9</v>
      </c>
      <c r="R326" s="967">
        <f t="shared" si="108"/>
        <v>8.4986301369863018</v>
      </c>
      <c r="S326" s="968">
        <f t="shared" si="113"/>
        <v>243721</v>
      </c>
      <c r="T326" s="968">
        <f t="shared" si="109"/>
        <v>4131279</v>
      </c>
      <c r="U326" s="969">
        <f t="shared" si="110"/>
        <v>4375000</v>
      </c>
      <c r="V326" s="969">
        <f t="shared" si="103"/>
        <v>0</v>
      </c>
    </row>
    <row r="327" spans="1:22">
      <c r="A327" s="816"/>
      <c r="B327" s="828">
        <f t="shared" si="92"/>
        <v>323</v>
      </c>
      <c r="C327" s="960" t="s">
        <v>71</v>
      </c>
      <c r="D327" s="960" t="s">
        <v>21</v>
      </c>
      <c r="E327" s="960" t="s">
        <v>3952</v>
      </c>
      <c r="F327" s="961">
        <v>45196</v>
      </c>
      <c r="G327" s="961">
        <v>45199</v>
      </c>
      <c r="H327" s="960" t="s">
        <v>178</v>
      </c>
      <c r="I327" s="962">
        <f t="shared" si="106"/>
        <v>45199</v>
      </c>
      <c r="J327" s="963">
        <v>5656000</v>
      </c>
      <c r="K327" s="963"/>
      <c r="L327" s="964">
        <v>0</v>
      </c>
      <c r="M327" s="964">
        <v>56000</v>
      </c>
      <c r="N327" s="964">
        <v>1225000</v>
      </c>
      <c r="O327" s="964">
        <f t="shared" si="117"/>
        <v>4375000</v>
      </c>
      <c r="P327" s="965">
        <f t="shared" si="107"/>
        <v>183</v>
      </c>
      <c r="Q327" s="966">
        <v>9</v>
      </c>
      <c r="R327" s="967">
        <f t="shared" si="108"/>
        <v>8.4986301369863018</v>
      </c>
      <c r="S327" s="968">
        <f t="shared" si="113"/>
        <v>243721</v>
      </c>
      <c r="T327" s="968">
        <f t="shared" si="109"/>
        <v>4131279</v>
      </c>
      <c r="U327" s="969">
        <f t="shared" si="110"/>
        <v>4375000</v>
      </c>
      <c r="V327" s="969">
        <f t="shared" si="103"/>
        <v>0</v>
      </c>
    </row>
    <row r="328" spans="1:22">
      <c r="A328" s="816"/>
      <c r="B328" s="828">
        <f t="shared" ref="B328:B334" si="118">+B327+1</f>
        <v>324</v>
      </c>
      <c r="C328" s="960" t="s">
        <v>71</v>
      </c>
      <c r="D328" s="960" t="s">
        <v>21</v>
      </c>
      <c r="E328" s="960" t="s">
        <v>3953</v>
      </c>
      <c r="F328" s="985">
        <v>45196</v>
      </c>
      <c r="G328" s="985">
        <v>45199</v>
      </c>
      <c r="H328" s="960" t="s">
        <v>178</v>
      </c>
      <c r="I328" s="962">
        <f t="shared" si="106"/>
        <v>45199</v>
      </c>
      <c r="J328" s="963">
        <v>5656000</v>
      </c>
      <c r="K328" s="963"/>
      <c r="L328" s="964">
        <v>0</v>
      </c>
      <c r="M328" s="964">
        <v>56000</v>
      </c>
      <c r="N328" s="964">
        <v>1225000</v>
      </c>
      <c r="O328" s="964">
        <f t="shared" si="117"/>
        <v>4375000</v>
      </c>
      <c r="P328" s="965">
        <f t="shared" si="107"/>
        <v>183</v>
      </c>
      <c r="Q328" s="966">
        <v>9</v>
      </c>
      <c r="R328" s="967">
        <f t="shared" si="108"/>
        <v>8.4986301369863018</v>
      </c>
      <c r="S328" s="968">
        <f t="shared" si="113"/>
        <v>243721</v>
      </c>
      <c r="T328" s="968">
        <f t="shared" si="109"/>
        <v>4131279</v>
      </c>
      <c r="U328" s="969">
        <f t="shared" si="110"/>
        <v>4375000</v>
      </c>
      <c r="V328" s="969">
        <f t="shared" si="103"/>
        <v>0</v>
      </c>
    </row>
    <row r="329" spans="1:22">
      <c r="A329" s="816"/>
      <c r="B329" s="828">
        <f t="shared" si="118"/>
        <v>325</v>
      </c>
      <c r="C329" s="960" t="s">
        <v>3954</v>
      </c>
      <c r="D329" s="960" t="s">
        <v>21</v>
      </c>
      <c r="E329" s="960" t="s">
        <v>3955</v>
      </c>
      <c r="F329" s="961">
        <v>45077</v>
      </c>
      <c r="G329" s="961">
        <v>45086</v>
      </c>
      <c r="H329" s="960" t="s">
        <v>3956</v>
      </c>
      <c r="I329" s="962">
        <f t="shared" si="106"/>
        <v>45086</v>
      </c>
      <c r="J329" s="963">
        <v>29795</v>
      </c>
      <c r="K329" s="963"/>
      <c r="L329" s="964"/>
      <c r="M329" s="964"/>
      <c r="N329" s="964">
        <v>4545</v>
      </c>
      <c r="O329" s="964">
        <f t="shared" si="117"/>
        <v>25250</v>
      </c>
      <c r="P329" s="965">
        <f t="shared" si="107"/>
        <v>296</v>
      </c>
      <c r="Q329" s="966">
        <v>9</v>
      </c>
      <c r="R329" s="967">
        <f t="shared" si="108"/>
        <v>8.1890410958904116</v>
      </c>
      <c r="S329" s="968">
        <f t="shared" si="113"/>
        <v>2275</v>
      </c>
      <c r="T329" s="968">
        <f t="shared" si="109"/>
        <v>22975</v>
      </c>
      <c r="U329" s="969">
        <f t="shared" si="110"/>
        <v>25250</v>
      </c>
      <c r="V329" s="969">
        <f t="shared" si="103"/>
        <v>0</v>
      </c>
    </row>
    <row r="330" spans="1:22">
      <c r="A330" s="816"/>
      <c r="B330" s="828">
        <f t="shared" si="118"/>
        <v>326</v>
      </c>
      <c r="C330" s="960" t="s">
        <v>326</v>
      </c>
      <c r="D330" s="960" t="s">
        <v>21</v>
      </c>
      <c r="E330" s="960">
        <v>241120074</v>
      </c>
      <c r="F330" s="961">
        <v>45058</v>
      </c>
      <c r="G330" s="961">
        <v>45114</v>
      </c>
      <c r="H330" s="960" t="s">
        <v>3957</v>
      </c>
      <c r="I330" s="962">
        <f t="shared" si="106"/>
        <v>45114</v>
      </c>
      <c r="J330" s="963">
        <v>1357000</v>
      </c>
      <c r="K330" s="963"/>
      <c r="L330" s="964"/>
      <c r="M330" s="964"/>
      <c r="N330" s="964">
        <v>207000</v>
      </c>
      <c r="O330" s="964">
        <f t="shared" si="117"/>
        <v>1150000</v>
      </c>
      <c r="P330" s="965">
        <f t="shared" si="107"/>
        <v>268</v>
      </c>
      <c r="Q330" s="966">
        <v>9</v>
      </c>
      <c r="R330" s="967">
        <f t="shared" si="108"/>
        <v>8.2657534246575342</v>
      </c>
      <c r="S330" s="968">
        <f t="shared" si="113"/>
        <v>93820</v>
      </c>
      <c r="T330" s="968">
        <f t="shared" si="109"/>
        <v>1056180</v>
      </c>
      <c r="U330" s="969">
        <f t="shared" si="110"/>
        <v>1150000</v>
      </c>
      <c r="V330" s="969">
        <f t="shared" si="103"/>
        <v>0</v>
      </c>
    </row>
    <row r="331" spans="1:22">
      <c r="A331" s="816"/>
      <c r="B331" s="828">
        <f t="shared" si="118"/>
        <v>327</v>
      </c>
      <c r="C331" s="960" t="s">
        <v>302</v>
      </c>
      <c r="D331" s="960" t="s">
        <v>3958</v>
      </c>
      <c r="E331" s="960" t="s">
        <v>3959</v>
      </c>
      <c r="F331" s="961">
        <v>45216</v>
      </c>
      <c r="G331" s="961">
        <v>45216</v>
      </c>
      <c r="H331" s="960" t="s">
        <v>170</v>
      </c>
      <c r="I331" s="962">
        <f t="shared" si="106"/>
        <v>45216</v>
      </c>
      <c r="J331" s="964">
        <v>1180000</v>
      </c>
      <c r="K331" s="964"/>
      <c r="L331" s="964"/>
      <c r="M331" s="964"/>
      <c r="N331" s="964">
        <v>180000</v>
      </c>
      <c r="O331" s="964">
        <f t="shared" si="117"/>
        <v>1000000</v>
      </c>
      <c r="P331" s="965">
        <f t="shared" si="107"/>
        <v>166</v>
      </c>
      <c r="Q331" s="966">
        <v>9</v>
      </c>
      <c r="R331" s="967">
        <f t="shared" si="108"/>
        <v>8.5452054794520542</v>
      </c>
      <c r="S331" s="968">
        <f t="shared" si="113"/>
        <v>50533</v>
      </c>
      <c r="T331" s="968">
        <f t="shared" si="109"/>
        <v>949467</v>
      </c>
      <c r="U331" s="969">
        <f t="shared" si="110"/>
        <v>0</v>
      </c>
      <c r="V331" s="969">
        <f t="shared" si="103"/>
        <v>1000000</v>
      </c>
    </row>
    <row r="332" spans="1:22">
      <c r="A332" s="816"/>
      <c r="B332" s="828">
        <f t="shared" si="118"/>
        <v>328</v>
      </c>
      <c r="C332" s="960" t="s">
        <v>320</v>
      </c>
      <c r="D332" s="960" t="s">
        <v>3960</v>
      </c>
      <c r="E332" s="960">
        <v>565</v>
      </c>
      <c r="F332" s="961">
        <v>45254</v>
      </c>
      <c r="G332" s="961">
        <v>45271</v>
      </c>
      <c r="H332" s="960" t="s">
        <v>773</v>
      </c>
      <c r="I332" s="962">
        <f t="shared" si="106"/>
        <v>45271</v>
      </c>
      <c r="J332" s="964">
        <v>35872</v>
      </c>
      <c r="K332" s="964"/>
      <c r="L332" s="964"/>
      <c r="M332" s="964"/>
      <c r="N332" s="964">
        <v>5472</v>
      </c>
      <c r="O332" s="964">
        <f t="shared" si="117"/>
        <v>30400</v>
      </c>
      <c r="P332" s="965">
        <f t="shared" si="107"/>
        <v>111</v>
      </c>
      <c r="Q332" s="966">
        <v>9</v>
      </c>
      <c r="R332" s="967">
        <f t="shared" si="108"/>
        <v>8.6958904109589046</v>
      </c>
      <c r="S332" s="968">
        <f t="shared" si="113"/>
        <v>1027</v>
      </c>
      <c r="T332" s="968">
        <f t="shared" si="109"/>
        <v>29373</v>
      </c>
      <c r="U332" s="969">
        <f t="shared" si="110"/>
        <v>0</v>
      </c>
      <c r="V332" s="969">
        <f t="shared" si="103"/>
        <v>30400</v>
      </c>
    </row>
    <row r="333" spans="1:22">
      <c r="A333" s="816"/>
      <c r="B333" s="828">
        <f t="shared" si="118"/>
        <v>329</v>
      </c>
      <c r="C333" s="970" t="s">
        <v>576</v>
      </c>
      <c r="D333" s="960" t="s">
        <v>880</v>
      </c>
      <c r="E333" s="970" t="s">
        <v>4247</v>
      </c>
      <c r="F333" s="977">
        <v>45149</v>
      </c>
      <c r="G333" s="977">
        <v>45169</v>
      </c>
      <c r="H333" s="970" t="s">
        <v>3495</v>
      </c>
      <c r="I333" s="962">
        <f t="shared" si="106"/>
        <v>45169</v>
      </c>
      <c r="J333" s="973">
        <v>141600</v>
      </c>
      <c r="K333" s="973"/>
      <c r="L333" s="973"/>
      <c r="M333" s="973"/>
      <c r="N333" s="973">
        <v>21600</v>
      </c>
      <c r="O333" s="964">
        <f t="shared" si="117"/>
        <v>120000</v>
      </c>
      <c r="P333" s="965">
        <f t="shared" si="107"/>
        <v>213</v>
      </c>
      <c r="Q333" s="974">
        <v>9</v>
      </c>
      <c r="R333" s="975">
        <f t="shared" si="108"/>
        <v>8.4164383561643827</v>
      </c>
      <c r="S333" s="968">
        <f t="shared" si="113"/>
        <v>7781</v>
      </c>
      <c r="T333" s="968">
        <f t="shared" si="109"/>
        <v>112219</v>
      </c>
      <c r="U333" s="969">
        <f t="shared" si="110"/>
        <v>120000</v>
      </c>
      <c r="V333" s="969">
        <f t="shared" si="103"/>
        <v>0</v>
      </c>
    </row>
    <row r="334" spans="1:22">
      <c r="A334" s="816"/>
      <c r="B334" s="828">
        <f t="shared" si="118"/>
        <v>330</v>
      </c>
      <c r="C334" s="970" t="s">
        <v>576</v>
      </c>
      <c r="D334" s="960" t="s">
        <v>880</v>
      </c>
      <c r="E334" s="970" t="s">
        <v>3961</v>
      </c>
      <c r="F334" s="977">
        <v>45149</v>
      </c>
      <c r="G334" s="977">
        <v>45169</v>
      </c>
      <c r="H334" s="970" t="s">
        <v>3495</v>
      </c>
      <c r="I334" s="962">
        <f t="shared" si="106"/>
        <v>45169</v>
      </c>
      <c r="J334" s="973">
        <v>133340</v>
      </c>
      <c r="K334" s="973"/>
      <c r="L334" s="973"/>
      <c r="M334" s="973"/>
      <c r="N334" s="973">
        <v>20340</v>
      </c>
      <c r="O334" s="964">
        <f t="shared" si="117"/>
        <v>113000</v>
      </c>
      <c r="P334" s="965">
        <f t="shared" si="107"/>
        <v>213</v>
      </c>
      <c r="Q334" s="974">
        <v>9</v>
      </c>
      <c r="R334" s="975">
        <f t="shared" si="108"/>
        <v>8.4164383561643827</v>
      </c>
      <c r="S334" s="968">
        <f t="shared" si="113"/>
        <v>7327</v>
      </c>
      <c r="T334" s="968">
        <f t="shared" si="109"/>
        <v>105673</v>
      </c>
      <c r="U334" s="969">
        <f t="shared" si="110"/>
        <v>113000</v>
      </c>
      <c r="V334" s="969">
        <f t="shared" si="103"/>
        <v>0</v>
      </c>
    </row>
    <row r="335" spans="1:22">
      <c r="A335" s="850"/>
      <c r="B335" s="851"/>
      <c r="C335" s="852" t="s">
        <v>30</v>
      </c>
      <c r="D335" s="853"/>
      <c r="E335" s="854"/>
      <c r="F335" s="855"/>
      <c r="G335" s="855"/>
      <c r="H335" s="854"/>
      <c r="I335" s="855"/>
      <c r="J335" s="856">
        <f t="shared" ref="J335:O335" si="119">SUBTOTAL(9,J5:J334)</f>
        <v>995635806.96000004</v>
      </c>
      <c r="K335" s="856">
        <f t="shared" si="119"/>
        <v>0</v>
      </c>
      <c r="L335" s="856">
        <f t="shared" si="119"/>
        <v>1480250</v>
      </c>
      <c r="M335" s="856">
        <f t="shared" si="119"/>
        <v>7091351.2000000002</v>
      </c>
      <c r="N335" s="856">
        <f t="shared" si="119"/>
        <v>207265925.46000004</v>
      </c>
      <c r="O335" s="856">
        <f t="shared" si="119"/>
        <v>782758780.29999995</v>
      </c>
      <c r="P335" s="857"/>
      <c r="Q335" s="858"/>
      <c r="R335" s="858"/>
      <c r="S335" s="856">
        <f>SUBTOTAL(9,S5:S334)</f>
        <v>82414971</v>
      </c>
      <c r="T335" s="856">
        <f>SUBTOTAL(9,T5:T334)</f>
        <v>700343809.29999995</v>
      </c>
      <c r="U335" s="856">
        <f>SUBTOTAL(9,U5:U334)</f>
        <v>659349144.44000006</v>
      </c>
      <c r="V335" s="856">
        <f>SUBTOTAL(9,V5:V334)</f>
        <v>123409635.86000007</v>
      </c>
    </row>
    <row r="336" spans="1:22" ht="20" customHeight="1">
      <c r="A336" s="816"/>
      <c r="B336" s="1232" t="s">
        <v>31</v>
      </c>
      <c r="C336" s="1233"/>
      <c r="D336" s="844"/>
      <c r="E336" s="843"/>
      <c r="F336" s="830"/>
      <c r="G336" s="830"/>
      <c r="H336" s="843"/>
      <c r="I336" s="830"/>
      <c r="J336" s="831"/>
      <c r="K336" s="831"/>
      <c r="L336" s="831"/>
      <c r="M336" s="831"/>
      <c r="N336" s="831"/>
      <c r="O336" s="831"/>
      <c r="P336" s="832"/>
      <c r="Q336" s="859"/>
      <c r="R336" s="859"/>
      <c r="S336" s="860"/>
      <c r="T336" s="860"/>
      <c r="U336" s="861"/>
      <c r="V336" s="861"/>
    </row>
    <row r="337" spans="1:22">
      <c r="A337" s="816"/>
      <c r="B337" s="828">
        <v>1</v>
      </c>
      <c r="C337" s="843" t="s">
        <v>2839</v>
      </c>
      <c r="D337" s="829" t="s">
        <v>35</v>
      </c>
      <c r="E337" s="843" t="s">
        <v>3962</v>
      </c>
      <c r="F337" s="847">
        <v>45327</v>
      </c>
      <c r="G337" s="847">
        <v>45327</v>
      </c>
      <c r="H337" s="843" t="s">
        <v>798</v>
      </c>
      <c r="I337" s="847">
        <f t="shared" ref="I337:I368" si="120">MAX(F337,G337)</f>
        <v>45327</v>
      </c>
      <c r="J337" s="831">
        <v>68000</v>
      </c>
      <c r="K337" s="831"/>
      <c r="L337" s="831"/>
      <c r="M337" s="831"/>
      <c r="N337" s="831">
        <f>5186.44*2</f>
        <v>10372.879999999999</v>
      </c>
      <c r="O337" s="831">
        <f t="shared" ref="O337:O368" si="121">J337+L337-M337-N337</f>
        <v>57627.12</v>
      </c>
      <c r="P337" s="832">
        <f t="shared" ref="P337:P368" si="122">$P$1-I337</f>
        <v>55</v>
      </c>
      <c r="Q337" s="833">
        <v>3</v>
      </c>
      <c r="R337" s="834">
        <f t="shared" ref="R337:R368" si="123">Q337-(P337/365)</f>
        <v>2.8493150684931505</v>
      </c>
      <c r="S337" s="861">
        <f t="shared" ref="S337:S368" si="124">O337*95%/Q337*P337/365</f>
        <v>2749.7872328767121</v>
      </c>
      <c r="T337" s="860">
        <f t="shared" ref="T337:T368" si="125">O337-S337</f>
        <v>54877.332767123291</v>
      </c>
      <c r="U337" s="835">
        <f t="shared" ref="U337:U368" si="126">IF(I337&lt;=DATE(2023,9,30),O337,0)</f>
        <v>0</v>
      </c>
      <c r="V337" s="835">
        <f t="shared" ref="V337:V368" si="127">IF(I337&gt;DATE(2023,10,1),O337,0)</f>
        <v>57627.12</v>
      </c>
    </row>
    <row r="338" spans="1:22">
      <c r="A338" s="816"/>
      <c r="B338" s="828">
        <v>2</v>
      </c>
      <c r="C338" s="843" t="s">
        <v>209</v>
      </c>
      <c r="D338" s="829" t="s">
        <v>3614</v>
      </c>
      <c r="E338" s="843" t="s">
        <v>3963</v>
      </c>
      <c r="F338" s="847">
        <v>45160</v>
      </c>
      <c r="G338" s="847">
        <v>45160</v>
      </c>
      <c r="H338" s="843" t="s">
        <v>435</v>
      </c>
      <c r="I338" s="847">
        <f t="shared" si="120"/>
        <v>45160</v>
      </c>
      <c r="J338" s="831">
        <v>11500</v>
      </c>
      <c r="K338" s="831"/>
      <c r="L338" s="831"/>
      <c r="M338" s="831"/>
      <c r="N338" s="831">
        <v>1754.2372881355932</v>
      </c>
      <c r="O338" s="831">
        <f t="shared" si="121"/>
        <v>9745.7627118644068</v>
      </c>
      <c r="P338" s="832">
        <f t="shared" si="122"/>
        <v>222</v>
      </c>
      <c r="Q338" s="833">
        <v>3</v>
      </c>
      <c r="R338" s="834">
        <f t="shared" si="123"/>
        <v>2.3917808219178083</v>
      </c>
      <c r="S338" s="861">
        <f t="shared" si="124"/>
        <v>1877.0605990248432</v>
      </c>
      <c r="T338" s="860">
        <f t="shared" si="125"/>
        <v>7868.7021128395636</v>
      </c>
      <c r="U338" s="835">
        <f t="shared" si="126"/>
        <v>9745.7627118644068</v>
      </c>
      <c r="V338" s="835">
        <f t="shared" si="127"/>
        <v>0</v>
      </c>
    </row>
    <row r="339" spans="1:22">
      <c r="A339" s="816"/>
      <c r="B339" s="828">
        <f>+B338+1</f>
        <v>3</v>
      </c>
      <c r="C339" s="836" t="s">
        <v>2839</v>
      </c>
      <c r="D339" s="843" t="s">
        <v>3614</v>
      </c>
      <c r="E339" s="836" t="s">
        <v>3964</v>
      </c>
      <c r="F339" s="842">
        <v>45353</v>
      </c>
      <c r="G339" s="842">
        <v>45353</v>
      </c>
      <c r="H339" s="836" t="s">
        <v>435</v>
      </c>
      <c r="I339" s="847">
        <f t="shared" si="120"/>
        <v>45353</v>
      </c>
      <c r="J339" s="839">
        <v>69500</v>
      </c>
      <c r="K339" s="839"/>
      <c r="L339" s="839"/>
      <c r="M339" s="839"/>
      <c r="N339" s="839">
        <f>5300.85*2</f>
        <v>10601.7</v>
      </c>
      <c r="O339" s="839">
        <f t="shared" si="121"/>
        <v>58898.3</v>
      </c>
      <c r="P339" s="832">
        <f t="shared" si="122"/>
        <v>29</v>
      </c>
      <c r="Q339" s="840">
        <v>3</v>
      </c>
      <c r="R339" s="841">
        <f t="shared" si="123"/>
        <v>2.9205479452054792</v>
      </c>
      <c r="S339" s="861">
        <f t="shared" si="124"/>
        <v>1481.8704703196347</v>
      </c>
      <c r="T339" s="860">
        <f t="shared" si="125"/>
        <v>57416.429529680368</v>
      </c>
      <c r="U339" s="835">
        <f t="shared" si="126"/>
        <v>0</v>
      </c>
      <c r="V339" s="835">
        <f t="shared" si="127"/>
        <v>58898.3</v>
      </c>
    </row>
    <row r="340" spans="1:22">
      <c r="A340" s="816"/>
      <c r="B340" s="828">
        <f t="shared" ref="B340:B368" si="128">+B339+1</f>
        <v>4</v>
      </c>
      <c r="C340" s="836" t="s">
        <v>3965</v>
      </c>
      <c r="D340" s="829" t="s">
        <v>3702</v>
      </c>
      <c r="E340" s="836" t="s">
        <v>3966</v>
      </c>
      <c r="F340" s="837">
        <v>45206</v>
      </c>
      <c r="G340" s="837">
        <v>45206</v>
      </c>
      <c r="H340" s="836" t="s">
        <v>427</v>
      </c>
      <c r="I340" s="847">
        <f t="shared" si="120"/>
        <v>45206</v>
      </c>
      <c r="J340" s="839">
        <v>72900</v>
      </c>
      <c r="K340" s="839"/>
      <c r="L340" s="839"/>
      <c r="M340" s="839"/>
      <c r="N340" s="839">
        <v>11120</v>
      </c>
      <c r="O340" s="839">
        <f t="shared" si="121"/>
        <v>61780</v>
      </c>
      <c r="P340" s="832">
        <f t="shared" si="122"/>
        <v>176</v>
      </c>
      <c r="Q340" s="840">
        <v>3</v>
      </c>
      <c r="R340" s="841">
        <f t="shared" si="123"/>
        <v>2.5178082191780824</v>
      </c>
      <c r="S340" s="861">
        <f t="shared" si="124"/>
        <v>9433.4392694063936</v>
      </c>
      <c r="T340" s="860">
        <f t="shared" si="125"/>
        <v>52346.560730593606</v>
      </c>
      <c r="U340" s="835">
        <f t="shared" si="126"/>
        <v>0</v>
      </c>
      <c r="V340" s="835">
        <f t="shared" si="127"/>
        <v>61780</v>
      </c>
    </row>
    <row r="341" spans="1:22">
      <c r="A341" s="816"/>
      <c r="B341" s="828">
        <f t="shared" si="128"/>
        <v>5</v>
      </c>
      <c r="C341" s="836" t="s">
        <v>425</v>
      </c>
      <c r="D341" s="846" t="s">
        <v>3705</v>
      </c>
      <c r="E341" s="836" t="s">
        <v>3967</v>
      </c>
      <c r="F341" s="837">
        <v>45225</v>
      </c>
      <c r="G341" s="837">
        <v>45230</v>
      </c>
      <c r="H341" s="836" t="s">
        <v>427</v>
      </c>
      <c r="I341" s="847">
        <f t="shared" si="120"/>
        <v>45230</v>
      </c>
      <c r="J341" s="839">
        <v>240300</v>
      </c>
      <c r="K341" s="839"/>
      <c r="L341" s="839"/>
      <c r="M341" s="839"/>
      <c r="N341" s="839">
        <v>36656</v>
      </c>
      <c r="O341" s="839">
        <f t="shared" si="121"/>
        <v>203644</v>
      </c>
      <c r="P341" s="832">
        <f t="shared" si="122"/>
        <v>152</v>
      </c>
      <c r="Q341" s="840">
        <v>3</v>
      </c>
      <c r="R341" s="841">
        <f t="shared" si="123"/>
        <v>2.5835616438356164</v>
      </c>
      <c r="S341" s="861">
        <f t="shared" si="124"/>
        <v>26854.971324200913</v>
      </c>
      <c r="T341" s="860">
        <f t="shared" si="125"/>
        <v>176789.02867579908</v>
      </c>
      <c r="U341" s="835">
        <f t="shared" si="126"/>
        <v>0</v>
      </c>
      <c r="V341" s="835">
        <f t="shared" si="127"/>
        <v>203644</v>
      </c>
    </row>
    <row r="342" spans="1:22">
      <c r="A342" s="816"/>
      <c r="B342" s="828">
        <f t="shared" si="128"/>
        <v>6</v>
      </c>
      <c r="C342" s="836" t="s">
        <v>2839</v>
      </c>
      <c r="D342" s="836" t="s">
        <v>3705</v>
      </c>
      <c r="E342" s="836" t="s">
        <v>3968</v>
      </c>
      <c r="F342" s="842">
        <v>45257</v>
      </c>
      <c r="G342" s="842">
        <v>45257</v>
      </c>
      <c r="H342" s="836" t="s">
        <v>427</v>
      </c>
      <c r="I342" s="847">
        <f t="shared" si="120"/>
        <v>45257</v>
      </c>
      <c r="J342" s="839">
        <v>113300</v>
      </c>
      <c r="K342" s="839"/>
      <c r="L342" s="839"/>
      <c r="M342" s="839"/>
      <c r="N342" s="839">
        <v>17283</v>
      </c>
      <c r="O342" s="839">
        <f t="shared" si="121"/>
        <v>96017</v>
      </c>
      <c r="P342" s="832">
        <f t="shared" si="122"/>
        <v>125</v>
      </c>
      <c r="Q342" s="840">
        <v>3</v>
      </c>
      <c r="R342" s="841">
        <f t="shared" si="123"/>
        <v>2.6575342465753424</v>
      </c>
      <c r="S342" s="861">
        <f t="shared" si="124"/>
        <v>10412.802511415524</v>
      </c>
      <c r="T342" s="860">
        <f t="shared" si="125"/>
        <v>85604.197488584468</v>
      </c>
      <c r="U342" s="835">
        <f t="shared" si="126"/>
        <v>0</v>
      </c>
      <c r="V342" s="835">
        <f t="shared" si="127"/>
        <v>96017</v>
      </c>
    </row>
    <row r="343" spans="1:22">
      <c r="A343" s="816"/>
      <c r="B343" s="828">
        <f t="shared" si="128"/>
        <v>7</v>
      </c>
      <c r="C343" s="843" t="s">
        <v>3969</v>
      </c>
      <c r="D343" s="843" t="s">
        <v>3427</v>
      </c>
      <c r="E343" s="843" t="s">
        <v>3970</v>
      </c>
      <c r="F343" s="830">
        <v>45226</v>
      </c>
      <c r="G343" s="830">
        <v>45226</v>
      </c>
      <c r="H343" s="843" t="s">
        <v>3971</v>
      </c>
      <c r="I343" s="847">
        <f t="shared" si="120"/>
        <v>45226</v>
      </c>
      <c r="J343" s="831">
        <v>180299</v>
      </c>
      <c r="K343" s="831"/>
      <c r="L343" s="831"/>
      <c r="M343" s="831"/>
      <c r="N343" s="831">
        <v>27504</v>
      </c>
      <c r="O343" s="831">
        <f t="shared" si="121"/>
        <v>152795</v>
      </c>
      <c r="P343" s="832">
        <f t="shared" si="122"/>
        <v>156</v>
      </c>
      <c r="Q343" s="833">
        <v>3</v>
      </c>
      <c r="R343" s="834">
        <f t="shared" si="123"/>
        <v>2.5726027397260274</v>
      </c>
      <c r="S343" s="861">
        <f t="shared" si="124"/>
        <v>20679.652054794522</v>
      </c>
      <c r="T343" s="860">
        <f t="shared" si="125"/>
        <v>132115.34794520549</v>
      </c>
      <c r="U343" s="835">
        <f t="shared" si="126"/>
        <v>0</v>
      </c>
      <c r="V343" s="835">
        <f t="shared" si="127"/>
        <v>152795</v>
      </c>
    </row>
    <row r="344" spans="1:22">
      <c r="A344" s="816"/>
      <c r="B344" s="828">
        <f t="shared" si="128"/>
        <v>8</v>
      </c>
      <c r="C344" s="843" t="s">
        <v>3972</v>
      </c>
      <c r="D344" s="844" t="s">
        <v>3427</v>
      </c>
      <c r="E344" s="843" t="s">
        <v>3973</v>
      </c>
      <c r="F344" s="830">
        <v>45121</v>
      </c>
      <c r="G344" s="830">
        <v>45121</v>
      </c>
      <c r="H344" s="843" t="s">
        <v>3974</v>
      </c>
      <c r="I344" s="847">
        <f t="shared" si="120"/>
        <v>45121</v>
      </c>
      <c r="J344" s="831">
        <v>78100</v>
      </c>
      <c r="K344" s="831"/>
      <c r="L344" s="831"/>
      <c r="M344" s="831"/>
      <c r="N344" s="831">
        <v>11913.559322033898</v>
      </c>
      <c r="O344" s="831">
        <f t="shared" si="121"/>
        <v>66186.440677966108</v>
      </c>
      <c r="P344" s="832">
        <f t="shared" si="122"/>
        <v>261</v>
      </c>
      <c r="Q344" s="833">
        <v>3</v>
      </c>
      <c r="R344" s="834">
        <f t="shared" si="123"/>
        <v>2.2849315068493152</v>
      </c>
      <c r="S344" s="861">
        <f t="shared" si="124"/>
        <v>14987.148827490135</v>
      </c>
      <c r="T344" s="860">
        <f t="shared" si="125"/>
        <v>51199.291850475973</v>
      </c>
      <c r="U344" s="835">
        <f t="shared" si="126"/>
        <v>66186.440677966108</v>
      </c>
      <c r="V344" s="835">
        <f t="shared" si="127"/>
        <v>0</v>
      </c>
    </row>
    <row r="345" spans="1:22">
      <c r="A345" s="816"/>
      <c r="B345" s="828">
        <f t="shared" si="128"/>
        <v>9</v>
      </c>
      <c r="C345" s="843" t="s">
        <v>3972</v>
      </c>
      <c r="D345" s="843" t="s">
        <v>3427</v>
      </c>
      <c r="E345" s="843" t="s">
        <v>3975</v>
      </c>
      <c r="F345" s="847">
        <v>45142</v>
      </c>
      <c r="G345" s="847">
        <v>45147</v>
      </c>
      <c r="H345" s="843" t="s">
        <v>3971</v>
      </c>
      <c r="I345" s="847">
        <f t="shared" si="120"/>
        <v>45147</v>
      </c>
      <c r="J345" s="831">
        <v>83600</v>
      </c>
      <c r="K345" s="831"/>
      <c r="L345" s="831"/>
      <c r="M345" s="831"/>
      <c r="N345" s="831">
        <v>12752.542372881357</v>
      </c>
      <c r="O345" s="831">
        <f t="shared" si="121"/>
        <v>70847.457627118638</v>
      </c>
      <c r="P345" s="832">
        <f t="shared" si="122"/>
        <v>235</v>
      </c>
      <c r="Q345" s="833">
        <v>3</v>
      </c>
      <c r="R345" s="834">
        <f t="shared" si="123"/>
        <v>2.3561643835616439</v>
      </c>
      <c r="S345" s="861">
        <f t="shared" si="124"/>
        <v>14444.47024224131</v>
      </c>
      <c r="T345" s="860">
        <f t="shared" si="125"/>
        <v>56402.987384877328</v>
      </c>
      <c r="U345" s="835">
        <f t="shared" si="126"/>
        <v>70847.457627118638</v>
      </c>
      <c r="V345" s="835">
        <f t="shared" si="127"/>
        <v>0</v>
      </c>
    </row>
    <row r="346" spans="1:22">
      <c r="A346" s="816"/>
      <c r="B346" s="828">
        <f t="shared" si="128"/>
        <v>10</v>
      </c>
      <c r="C346" s="843" t="s">
        <v>209</v>
      </c>
      <c r="D346" s="843" t="s">
        <v>3427</v>
      </c>
      <c r="E346" s="843" t="s">
        <v>3976</v>
      </c>
      <c r="F346" s="830">
        <v>45135</v>
      </c>
      <c r="G346" s="830">
        <v>45135</v>
      </c>
      <c r="H346" s="843" t="s">
        <v>3971</v>
      </c>
      <c r="I346" s="847">
        <f t="shared" si="120"/>
        <v>45135</v>
      </c>
      <c r="J346" s="831">
        <v>20400</v>
      </c>
      <c r="K346" s="831"/>
      <c r="L346" s="831"/>
      <c r="M346" s="831"/>
      <c r="N346" s="831">
        <v>3111.8644067796608</v>
      </c>
      <c r="O346" s="831">
        <f t="shared" si="121"/>
        <v>17288.135593220341</v>
      </c>
      <c r="P346" s="832">
        <f t="shared" si="122"/>
        <v>247</v>
      </c>
      <c r="Q346" s="833">
        <v>3</v>
      </c>
      <c r="R346" s="834">
        <f t="shared" si="123"/>
        <v>2.3232876712328769</v>
      </c>
      <c r="S346" s="861">
        <f t="shared" si="124"/>
        <v>3704.7132574878106</v>
      </c>
      <c r="T346" s="860">
        <f t="shared" si="125"/>
        <v>13583.42233573253</v>
      </c>
      <c r="U346" s="835">
        <f t="shared" si="126"/>
        <v>17288.135593220341</v>
      </c>
      <c r="V346" s="835">
        <f t="shared" si="127"/>
        <v>0</v>
      </c>
    </row>
    <row r="347" spans="1:22">
      <c r="A347" s="816"/>
      <c r="B347" s="828">
        <f t="shared" si="128"/>
        <v>11</v>
      </c>
      <c r="C347" s="843" t="s">
        <v>209</v>
      </c>
      <c r="D347" s="843" t="s">
        <v>3427</v>
      </c>
      <c r="E347" s="843">
        <v>764</v>
      </c>
      <c r="F347" s="830">
        <v>45246</v>
      </c>
      <c r="G347" s="830">
        <v>45246</v>
      </c>
      <c r="H347" s="843" t="s">
        <v>439</v>
      </c>
      <c r="I347" s="847">
        <f t="shared" si="120"/>
        <v>45246</v>
      </c>
      <c r="J347" s="831">
        <v>175820</v>
      </c>
      <c r="K347" s="831"/>
      <c r="L347" s="831"/>
      <c r="M347" s="831"/>
      <c r="N347" s="831">
        <v>26820</v>
      </c>
      <c r="O347" s="831">
        <f t="shared" si="121"/>
        <v>149000</v>
      </c>
      <c r="P347" s="832">
        <f t="shared" si="122"/>
        <v>136</v>
      </c>
      <c r="Q347" s="833">
        <v>3</v>
      </c>
      <c r="R347" s="834">
        <f t="shared" si="123"/>
        <v>2.6273972602739724</v>
      </c>
      <c r="S347" s="861">
        <f t="shared" si="124"/>
        <v>17580.639269406394</v>
      </c>
      <c r="T347" s="860">
        <f t="shared" si="125"/>
        <v>131419.36073059362</v>
      </c>
      <c r="U347" s="835">
        <f t="shared" si="126"/>
        <v>0</v>
      </c>
      <c r="V347" s="835">
        <f t="shared" si="127"/>
        <v>149000</v>
      </c>
    </row>
    <row r="348" spans="1:22">
      <c r="A348" s="816"/>
      <c r="B348" s="828">
        <f t="shared" si="128"/>
        <v>12</v>
      </c>
      <c r="C348" s="843" t="s">
        <v>3977</v>
      </c>
      <c r="D348" s="843" t="s">
        <v>2474</v>
      </c>
      <c r="E348" s="843">
        <v>569</v>
      </c>
      <c r="F348" s="847">
        <v>45218</v>
      </c>
      <c r="G348" s="847">
        <v>45225</v>
      </c>
      <c r="H348" s="843" t="s">
        <v>3978</v>
      </c>
      <c r="I348" s="847">
        <f t="shared" si="120"/>
        <v>45225</v>
      </c>
      <c r="J348" s="831">
        <v>20665</v>
      </c>
      <c r="K348" s="831"/>
      <c r="L348" s="831"/>
      <c r="M348" s="831"/>
      <c r="N348" s="831">
        <v>3152</v>
      </c>
      <c r="O348" s="831">
        <f t="shared" si="121"/>
        <v>17513</v>
      </c>
      <c r="P348" s="832">
        <f t="shared" si="122"/>
        <v>157</v>
      </c>
      <c r="Q348" s="833">
        <v>3</v>
      </c>
      <c r="R348" s="834">
        <f t="shared" si="123"/>
        <v>2.56986301369863</v>
      </c>
      <c r="S348" s="861">
        <f t="shared" si="124"/>
        <v>2385.4465296803651</v>
      </c>
      <c r="T348" s="860">
        <f t="shared" si="125"/>
        <v>15127.553470319635</v>
      </c>
      <c r="U348" s="835">
        <f t="shared" si="126"/>
        <v>0</v>
      </c>
      <c r="V348" s="835">
        <f t="shared" si="127"/>
        <v>17513</v>
      </c>
    </row>
    <row r="349" spans="1:22">
      <c r="A349" s="816"/>
      <c r="B349" s="828">
        <f t="shared" si="128"/>
        <v>13</v>
      </c>
      <c r="C349" s="843" t="s">
        <v>900</v>
      </c>
      <c r="D349" s="843" t="s">
        <v>2474</v>
      </c>
      <c r="E349" s="843" t="s">
        <v>3979</v>
      </c>
      <c r="F349" s="830">
        <v>45121</v>
      </c>
      <c r="G349" s="830">
        <v>45124</v>
      </c>
      <c r="H349" s="843" t="s">
        <v>427</v>
      </c>
      <c r="I349" s="847">
        <f t="shared" si="120"/>
        <v>45124</v>
      </c>
      <c r="J349" s="831">
        <v>47250</v>
      </c>
      <c r="K349" s="831"/>
      <c r="L349" s="831"/>
      <c r="M349" s="831"/>
      <c r="N349" s="831">
        <v>7207.62</v>
      </c>
      <c r="O349" s="831">
        <f t="shared" si="121"/>
        <v>40042.379999999997</v>
      </c>
      <c r="P349" s="832">
        <f t="shared" si="122"/>
        <v>258</v>
      </c>
      <c r="Q349" s="833">
        <v>3</v>
      </c>
      <c r="R349" s="834">
        <f t="shared" si="123"/>
        <v>2.2931506849315069</v>
      </c>
      <c r="S349" s="861">
        <f t="shared" si="124"/>
        <v>8962.9108109589033</v>
      </c>
      <c r="T349" s="860">
        <f t="shared" si="125"/>
        <v>31079.469189041094</v>
      </c>
      <c r="U349" s="835">
        <f t="shared" si="126"/>
        <v>40042.379999999997</v>
      </c>
      <c r="V349" s="835">
        <f t="shared" si="127"/>
        <v>0</v>
      </c>
    </row>
    <row r="350" spans="1:22">
      <c r="A350" s="816"/>
      <c r="B350" s="828">
        <f t="shared" si="128"/>
        <v>14</v>
      </c>
      <c r="C350" s="843" t="s">
        <v>900</v>
      </c>
      <c r="D350" s="843" t="s">
        <v>2474</v>
      </c>
      <c r="E350" s="843" t="s">
        <v>3980</v>
      </c>
      <c r="F350" s="830">
        <v>45188</v>
      </c>
      <c r="G350" s="830">
        <v>45188</v>
      </c>
      <c r="H350" s="843" t="s">
        <v>427</v>
      </c>
      <c r="I350" s="847">
        <f t="shared" si="120"/>
        <v>45188</v>
      </c>
      <c r="J350" s="831">
        <v>118200</v>
      </c>
      <c r="K350" s="831"/>
      <c r="L350" s="831"/>
      <c r="M350" s="831"/>
      <c r="N350" s="831">
        <v>18030</v>
      </c>
      <c r="O350" s="831">
        <f t="shared" si="121"/>
        <v>100170</v>
      </c>
      <c r="P350" s="832">
        <f t="shared" si="122"/>
        <v>194</v>
      </c>
      <c r="Q350" s="833">
        <v>3</v>
      </c>
      <c r="R350" s="834">
        <f t="shared" si="123"/>
        <v>2.4684931506849317</v>
      </c>
      <c r="S350" s="861">
        <f t="shared" si="124"/>
        <v>16859.663013698631</v>
      </c>
      <c r="T350" s="860">
        <f t="shared" si="125"/>
        <v>83310.336986301365</v>
      </c>
      <c r="U350" s="835">
        <f t="shared" si="126"/>
        <v>100170</v>
      </c>
      <c r="V350" s="835">
        <f t="shared" si="127"/>
        <v>0</v>
      </c>
    </row>
    <row r="351" spans="1:22">
      <c r="A351" s="816"/>
      <c r="B351" s="828">
        <f t="shared" si="128"/>
        <v>15</v>
      </c>
      <c r="C351" s="843" t="s">
        <v>425</v>
      </c>
      <c r="D351" s="843" t="s">
        <v>2474</v>
      </c>
      <c r="E351" s="843" t="s">
        <v>3981</v>
      </c>
      <c r="F351" s="847">
        <v>45029</v>
      </c>
      <c r="G351" s="847">
        <v>45031</v>
      </c>
      <c r="H351" s="843" t="s">
        <v>427</v>
      </c>
      <c r="I351" s="847">
        <f t="shared" si="120"/>
        <v>45031</v>
      </c>
      <c r="J351" s="831">
        <v>65150</v>
      </c>
      <c r="K351" s="831"/>
      <c r="L351" s="831"/>
      <c r="M351" s="831"/>
      <c r="N351" s="831">
        <v>9938.1200000000008</v>
      </c>
      <c r="O351" s="831">
        <f t="shared" si="121"/>
        <v>55211.88</v>
      </c>
      <c r="P351" s="832">
        <f t="shared" si="122"/>
        <v>351</v>
      </c>
      <c r="Q351" s="833">
        <v>3</v>
      </c>
      <c r="R351" s="834">
        <f t="shared" si="123"/>
        <v>2.0383561643835617</v>
      </c>
      <c r="S351" s="861">
        <f t="shared" si="124"/>
        <v>16813.151950684929</v>
      </c>
      <c r="T351" s="860">
        <f t="shared" si="125"/>
        <v>38398.728049315068</v>
      </c>
      <c r="U351" s="835">
        <f t="shared" si="126"/>
        <v>55211.88</v>
      </c>
      <c r="V351" s="835">
        <f t="shared" si="127"/>
        <v>0</v>
      </c>
    </row>
    <row r="352" spans="1:22">
      <c r="A352" s="816"/>
      <c r="B352" s="828">
        <f t="shared" si="128"/>
        <v>16</v>
      </c>
      <c r="C352" s="843" t="s">
        <v>425</v>
      </c>
      <c r="D352" s="843" t="s">
        <v>2474</v>
      </c>
      <c r="E352" s="843" t="s">
        <v>3982</v>
      </c>
      <c r="F352" s="847">
        <v>45047</v>
      </c>
      <c r="G352" s="847">
        <v>45047</v>
      </c>
      <c r="H352" s="843" t="s">
        <v>427</v>
      </c>
      <c r="I352" s="847">
        <f t="shared" si="120"/>
        <v>45047</v>
      </c>
      <c r="J352" s="831">
        <v>360000</v>
      </c>
      <c r="K352" s="831"/>
      <c r="L352" s="831"/>
      <c r="M352" s="831"/>
      <c r="N352" s="831">
        <v>54916</v>
      </c>
      <c r="O352" s="831">
        <f t="shared" si="121"/>
        <v>305084</v>
      </c>
      <c r="P352" s="832">
        <f t="shared" si="122"/>
        <v>335</v>
      </c>
      <c r="Q352" s="833">
        <v>3</v>
      </c>
      <c r="R352" s="834">
        <f t="shared" si="123"/>
        <v>2.0821917808219177</v>
      </c>
      <c r="S352" s="861">
        <f t="shared" si="124"/>
        <v>88669.390867579918</v>
      </c>
      <c r="T352" s="860">
        <f t="shared" si="125"/>
        <v>216414.6091324201</v>
      </c>
      <c r="U352" s="835">
        <f t="shared" si="126"/>
        <v>305084</v>
      </c>
      <c r="V352" s="835">
        <f t="shared" si="127"/>
        <v>0</v>
      </c>
    </row>
    <row r="353" spans="1:22">
      <c r="A353" s="816"/>
      <c r="B353" s="828">
        <f t="shared" si="128"/>
        <v>17</v>
      </c>
      <c r="C353" s="843" t="s">
        <v>425</v>
      </c>
      <c r="D353" s="843" t="s">
        <v>2474</v>
      </c>
      <c r="E353" s="843" t="s">
        <v>3983</v>
      </c>
      <c r="F353" s="830">
        <v>45047</v>
      </c>
      <c r="G353" s="830">
        <v>45047</v>
      </c>
      <c r="H353" s="843" t="s">
        <v>427</v>
      </c>
      <c r="I353" s="847">
        <f t="shared" si="120"/>
        <v>45047</v>
      </c>
      <c r="J353" s="831">
        <v>505950</v>
      </c>
      <c r="K353" s="831"/>
      <c r="L353" s="831"/>
      <c r="M353" s="831"/>
      <c r="N353" s="831">
        <v>77178.84</v>
      </c>
      <c r="O353" s="831">
        <f t="shared" si="121"/>
        <v>428771.16000000003</v>
      </c>
      <c r="P353" s="832">
        <f t="shared" si="122"/>
        <v>335</v>
      </c>
      <c r="Q353" s="833">
        <v>3</v>
      </c>
      <c r="R353" s="834">
        <f t="shared" si="123"/>
        <v>2.0821917808219177</v>
      </c>
      <c r="S353" s="861">
        <f t="shared" si="124"/>
        <v>124617.73668493153</v>
      </c>
      <c r="T353" s="860">
        <f t="shared" si="125"/>
        <v>304153.42331506847</v>
      </c>
      <c r="U353" s="835">
        <f t="shared" si="126"/>
        <v>428771.16000000003</v>
      </c>
      <c r="V353" s="835">
        <f t="shared" si="127"/>
        <v>0</v>
      </c>
    </row>
    <row r="354" spans="1:22">
      <c r="A354" s="816"/>
      <c r="B354" s="828">
        <f t="shared" si="128"/>
        <v>18</v>
      </c>
      <c r="C354" s="843" t="s">
        <v>425</v>
      </c>
      <c r="D354" s="843" t="s">
        <v>2474</v>
      </c>
      <c r="E354" s="843" t="s">
        <v>3984</v>
      </c>
      <c r="F354" s="830">
        <v>45071</v>
      </c>
      <c r="G354" s="830">
        <v>45077</v>
      </c>
      <c r="H354" s="843" t="s">
        <v>427</v>
      </c>
      <c r="I354" s="847">
        <f t="shared" si="120"/>
        <v>45077</v>
      </c>
      <c r="J354" s="831">
        <v>91900</v>
      </c>
      <c r="K354" s="831"/>
      <c r="L354" s="831"/>
      <c r="M354" s="831"/>
      <c r="N354" s="831">
        <v>14018</v>
      </c>
      <c r="O354" s="831">
        <f t="shared" si="121"/>
        <v>77882</v>
      </c>
      <c r="P354" s="832">
        <f t="shared" si="122"/>
        <v>305</v>
      </c>
      <c r="Q354" s="833">
        <v>3</v>
      </c>
      <c r="R354" s="834">
        <f t="shared" si="123"/>
        <v>2.1643835616438354</v>
      </c>
      <c r="S354" s="861">
        <f t="shared" si="124"/>
        <v>20608.501826484018</v>
      </c>
      <c r="T354" s="860">
        <f t="shared" si="125"/>
        <v>57273.498173515982</v>
      </c>
      <c r="U354" s="835">
        <f t="shared" si="126"/>
        <v>77882</v>
      </c>
      <c r="V354" s="835">
        <f t="shared" si="127"/>
        <v>0</v>
      </c>
    </row>
    <row r="355" spans="1:22">
      <c r="A355" s="816"/>
      <c r="B355" s="828">
        <f t="shared" si="128"/>
        <v>19</v>
      </c>
      <c r="C355" s="843" t="s">
        <v>425</v>
      </c>
      <c r="D355" s="843" t="s">
        <v>2474</v>
      </c>
      <c r="E355" s="843" t="s">
        <v>3985</v>
      </c>
      <c r="F355" s="830">
        <v>45100</v>
      </c>
      <c r="G355" s="830">
        <v>45100</v>
      </c>
      <c r="H355" s="843" t="s">
        <v>427</v>
      </c>
      <c r="I355" s="847">
        <f t="shared" si="120"/>
        <v>45100</v>
      </c>
      <c r="J355" s="831">
        <v>140607</v>
      </c>
      <c r="K355" s="831"/>
      <c r="L355" s="831"/>
      <c r="M355" s="831"/>
      <c r="N355" s="831">
        <v>21448</v>
      </c>
      <c r="O355" s="831">
        <f t="shared" si="121"/>
        <v>119159</v>
      </c>
      <c r="P355" s="832">
        <f t="shared" si="122"/>
        <v>282</v>
      </c>
      <c r="Q355" s="833">
        <v>3</v>
      </c>
      <c r="R355" s="834">
        <f t="shared" si="123"/>
        <v>2.2273972602739724</v>
      </c>
      <c r="S355" s="861">
        <f t="shared" si="124"/>
        <v>29153.147123287665</v>
      </c>
      <c r="T355" s="860">
        <f t="shared" si="125"/>
        <v>90005.852876712335</v>
      </c>
      <c r="U355" s="835">
        <f t="shared" si="126"/>
        <v>119159</v>
      </c>
      <c r="V355" s="835">
        <f t="shared" si="127"/>
        <v>0</v>
      </c>
    </row>
    <row r="356" spans="1:22">
      <c r="A356" s="816"/>
      <c r="B356" s="828">
        <f t="shared" si="128"/>
        <v>20</v>
      </c>
      <c r="C356" s="843" t="s">
        <v>3986</v>
      </c>
      <c r="D356" s="843" t="s">
        <v>2474</v>
      </c>
      <c r="E356" s="843" t="s">
        <v>3987</v>
      </c>
      <c r="F356" s="847">
        <v>45314</v>
      </c>
      <c r="G356" s="847">
        <v>45314</v>
      </c>
      <c r="H356" s="843" t="s">
        <v>427</v>
      </c>
      <c r="I356" s="847">
        <f t="shared" si="120"/>
        <v>45314</v>
      </c>
      <c r="J356" s="831">
        <v>424200</v>
      </c>
      <c r="K356" s="831"/>
      <c r="L356" s="831"/>
      <c r="M356" s="831"/>
      <c r="N356" s="831">
        <f>32354.21*2</f>
        <v>64708.42</v>
      </c>
      <c r="O356" s="831">
        <f t="shared" si="121"/>
        <v>359491.58</v>
      </c>
      <c r="P356" s="832">
        <f t="shared" si="122"/>
        <v>68</v>
      </c>
      <c r="Q356" s="833">
        <v>3</v>
      </c>
      <c r="R356" s="834">
        <f t="shared" si="123"/>
        <v>2.8136986301369862</v>
      </c>
      <c r="S356" s="861">
        <f t="shared" si="124"/>
        <v>21208.361705936073</v>
      </c>
      <c r="T356" s="860">
        <f t="shared" si="125"/>
        <v>338283.21829406393</v>
      </c>
      <c r="U356" s="835">
        <f t="shared" si="126"/>
        <v>0</v>
      </c>
      <c r="V356" s="835">
        <f t="shared" si="127"/>
        <v>359491.58</v>
      </c>
    </row>
    <row r="357" spans="1:22">
      <c r="A357" s="816"/>
      <c r="B357" s="828">
        <f t="shared" si="128"/>
        <v>21</v>
      </c>
      <c r="C357" s="843" t="s">
        <v>3988</v>
      </c>
      <c r="D357" s="843" t="s">
        <v>2474</v>
      </c>
      <c r="E357" s="843" t="s">
        <v>3989</v>
      </c>
      <c r="F357" s="830">
        <v>45110</v>
      </c>
      <c r="G357" s="830">
        <v>45124</v>
      </c>
      <c r="H357" s="843" t="s">
        <v>427</v>
      </c>
      <c r="I357" s="847">
        <f t="shared" si="120"/>
        <v>45124</v>
      </c>
      <c r="J357" s="831">
        <v>3000</v>
      </c>
      <c r="K357" s="831"/>
      <c r="L357" s="831"/>
      <c r="M357" s="831"/>
      <c r="N357" s="831">
        <v>457.62</v>
      </c>
      <c r="O357" s="831">
        <f t="shared" si="121"/>
        <v>2542.38</v>
      </c>
      <c r="P357" s="832">
        <f t="shared" si="122"/>
        <v>258</v>
      </c>
      <c r="Q357" s="833">
        <v>3</v>
      </c>
      <c r="R357" s="834">
        <f t="shared" si="123"/>
        <v>2.2931506849315069</v>
      </c>
      <c r="S357" s="861">
        <f t="shared" si="124"/>
        <v>569.07519452054794</v>
      </c>
      <c r="T357" s="860">
        <f t="shared" si="125"/>
        <v>1973.3048054794522</v>
      </c>
      <c r="U357" s="835">
        <f t="shared" si="126"/>
        <v>2542.38</v>
      </c>
      <c r="V357" s="835">
        <f t="shared" si="127"/>
        <v>0</v>
      </c>
    </row>
    <row r="358" spans="1:22">
      <c r="A358" s="816"/>
      <c r="B358" s="828">
        <f t="shared" si="128"/>
        <v>22</v>
      </c>
      <c r="C358" s="843" t="s">
        <v>209</v>
      </c>
      <c r="D358" s="843" t="s">
        <v>2474</v>
      </c>
      <c r="E358" s="843" t="s">
        <v>3990</v>
      </c>
      <c r="F358" s="830">
        <v>45227</v>
      </c>
      <c r="G358" s="830">
        <v>45227</v>
      </c>
      <c r="H358" s="843" t="s">
        <v>427</v>
      </c>
      <c r="I358" s="847">
        <f t="shared" si="120"/>
        <v>45227</v>
      </c>
      <c r="J358" s="831">
        <v>25800</v>
      </c>
      <c r="K358" s="831"/>
      <c r="L358" s="831"/>
      <c r="M358" s="831"/>
      <c r="N358" s="831">
        <v>3936</v>
      </c>
      <c r="O358" s="831">
        <f t="shared" si="121"/>
        <v>21864</v>
      </c>
      <c r="P358" s="832">
        <f t="shared" si="122"/>
        <v>155</v>
      </c>
      <c r="Q358" s="833">
        <v>3</v>
      </c>
      <c r="R358" s="834">
        <f t="shared" si="123"/>
        <v>2.5753424657534247</v>
      </c>
      <c r="S358" s="861">
        <f t="shared" si="124"/>
        <v>2940.158904109589</v>
      </c>
      <c r="T358" s="860">
        <f t="shared" si="125"/>
        <v>18923.84109589041</v>
      </c>
      <c r="U358" s="835">
        <f t="shared" si="126"/>
        <v>0</v>
      </c>
      <c r="V358" s="835">
        <f t="shared" si="127"/>
        <v>21864</v>
      </c>
    </row>
    <row r="359" spans="1:22">
      <c r="A359" s="816"/>
      <c r="B359" s="828">
        <f t="shared" si="128"/>
        <v>23</v>
      </c>
      <c r="C359" s="843" t="s">
        <v>209</v>
      </c>
      <c r="D359" s="843" t="s">
        <v>2474</v>
      </c>
      <c r="E359" s="843" t="s">
        <v>3991</v>
      </c>
      <c r="F359" s="830">
        <v>45268</v>
      </c>
      <c r="G359" s="830">
        <v>45271</v>
      </c>
      <c r="H359" s="843" t="s">
        <v>427</v>
      </c>
      <c r="I359" s="847">
        <f t="shared" si="120"/>
        <v>45271</v>
      </c>
      <c r="J359" s="831">
        <v>13300</v>
      </c>
      <c r="K359" s="831"/>
      <c r="L359" s="831"/>
      <c r="M359" s="831"/>
      <c r="N359" s="831">
        <v>2028.82</v>
      </c>
      <c r="O359" s="831">
        <f t="shared" si="121"/>
        <v>11271.18</v>
      </c>
      <c r="P359" s="832">
        <f t="shared" si="122"/>
        <v>111</v>
      </c>
      <c r="Q359" s="833">
        <v>3</v>
      </c>
      <c r="R359" s="834">
        <f t="shared" si="123"/>
        <v>2.6958904109589041</v>
      </c>
      <c r="S359" s="861">
        <f t="shared" si="124"/>
        <v>1085.4300739726027</v>
      </c>
      <c r="T359" s="860">
        <f t="shared" si="125"/>
        <v>10185.749926027398</v>
      </c>
      <c r="U359" s="835">
        <f t="shared" si="126"/>
        <v>0</v>
      </c>
      <c r="V359" s="835">
        <f t="shared" si="127"/>
        <v>11271.18</v>
      </c>
    </row>
    <row r="360" spans="1:22">
      <c r="A360" s="816"/>
      <c r="B360" s="828">
        <f t="shared" si="128"/>
        <v>24</v>
      </c>
      <c r="C360" s="843" t="s">
        <v>3992</v>
      </c>
      <c r="D360" s="843" t="s">
        <v>3753</v>
      </c>
      <c r="E360" s="843">
        <v>551</v>
      </c>
      <c r="F360" s="847">
        <v>45167</v>
      </c>
      <c r="G360" s="847">
        <v>45167</v>
      </c>
      <c r="H360" s="843" t="s">
        <v>3978</v>
      </c>
      <c r="I360" s="847">
        <f t="shared" si="120"/>
        <v>45167</v>
      </c>
      <c r="J360" s="831">
        <v>85550</v>
      </c>
      <c r="K360" s="831"/>
      <c r="L360" s="831"/>
      <c r="M360" s="831"/>
      <c r="N360" s="831">
        <v>13050</v>
      </c>
      <c r="O360" s="831">
        <f t="shared" si="121"/>
        <v>72500</v>
      </c>
      <c r="P360" s="832">
        <f t="shared" si="122"/>
        <v>215</v>
      </c>
      <c r="Q360" s="833">
        <v>3</v>
      </c>
      <c r="R360" s="834">
        <f t="shared" si="123"/>
        <v>2.4109589041095889</v>
      </c>
      <c r="S360" s="861">
        <f t="shared" si="124"/>
        <v>13523.401826484016</v>
      </c>
      <c r="T360" s="860">
        <f t="shared" si="125"/>
        <v>58976.598173515988</v>
      </c>
      <c r="U360" s="835">
        <f t="shared" si="126"/>
        <v>72500</v>
      </c>
      <c r="V360" s="835">
        <f t="shared" si="127"/>
        <v>0</v>
      </c>
    </row>
    <row r="361" spans="1:22">
      <c r="A361" s="816"/>
      <c r="B361" s="828">
        <f t="shared" si="128"/>
        <v>25</v>
      </c>
      <c r="C361" s="843" t="s">
        <v>3969</v>
      </c>
      <c r="D361" s="843" t="s">
        <v>3753</v>
      </c>
      <c r="E361" s="843">
        <v>199</v>
      </c>
      <c r="F361" s="847">
        <v>45224</v>
      </c>
      <c r="G361" s="847">
        <v>45226</v>
      </c>
      <c r="H361" s="843" t="s">
        <v>438</v>
      </c>
      <c r="I361" s="847">
        <f t="shared" si="120"/>
        <v>45226</v>
      </c>
      <c r="J361" s="831">
        <v>69550</v>
      </c>
      <c r="K361" s="831"/>
      <c r="L361" s="831"/>
      <c r="M361" s="831"/>
      <c r="N361" s="831">
        <v>10609.38</v>
      </c>
      <c r="O361" s="831">
        <f t="shared" si="121"/>
        <v>58940.62</v>
      </c>
      <c r="P361" s="832">
        <f t="shared" si="122"/>
        <v>156</v>
      </c>
      <c r="Q361" s="833">
        <v>3</v>
      </c>
      <c r="R361" s="834">
        <f t="shared" si="123"/>
        <v>2.5726027397260274</v>
      </c>
      <c r="S361" s="861">
        <f t="shared" si="124"/>
        <v>7977.1688438356168</v>
      </c>
      <c r="T361" s="860">
        <f t="shared" si="125"/>
        <v>50963.451156164389</v>
      </c>
      <c r="U361" s="835">
        <f t="shared" si="126"/>
        <v>0</v>
      </c>
      <c r="V361" s="835">
        <f t="shared" si="127"/>
        <v>58940.62</v>
      </c>
    </row>
    <row r="362" spans="1:22">
      <c r="A362" s="816"/>
      <c r="B362" s="828">
        <f t="shared" si="128"/>
        <v>26</v>
      </c>
      <c r="C362" s="843" t="s">
        <v>3969</v>
      </c>
      <c r="D362" s="843" t="s">
        <v>3753</v>
      </c>
      <c r="E362" s="843">
        <v>55</v>
      </c>
      <c r="F362" s="847">
        <v>45241</v>
      </c>
      <c r="G362" s="847">
        <v>45245</v>
      </c>
      <c r="H362" s="843" t="s">
        <v>438</v>
      </c>
      <c r="I362" s="847">
        <f t="shared" si="120"/>
        <v>45245</v>
      </c>
      <c r="J362" s="831">
        <v>69750</v>
      </c>
      <c r="K362" s="831"/>
      <c r="L362" s="831"/>
      <c r="M362" s="831"/>
      <c r="N362" s="831">
        <v>10639.82</v>
      </c>
      <c r="O362" s="831">
        <f t="shared" si="121"/>
        <v>59110.18</v>
      </c>
      <c r="P362" s="832">
        <f t="shared" si="122"/>
        <v>137</v>
      </c>
      <c r="Q362" s="833">
        <v>3</v>
      </c>
      <c r="R362" s="834">
        <f t="shared" si="123"/>
        <v>2.6246575342465754</v>
      </c>
      <c r="S362" s="861">
        <f t="shared" si="124"/>
        <v>7025.7442255707747</v>
      </c>
      <c r="T362" s="860">
        <f t="shared" si="125"/>
        <v>52084.435774429228</v>
      </c>
      <c r="U362" s="835">
        <f t="shared" si="126"/>
        <v>0</v>
      </c>
      <c r="V362" s="835">
        <f t="shared" si="127"/>
        <v>59110.18</v>
      </c>
    </row>
    <row r="363" spans="1:22">
      <c r="A363" s="816"/>
      <c r="B363" s="828">
        <f t="shared" si="128"/>
        <v>27</v>
      </c>
      <c r="C363" s="843" t="s">
        <v>3993</v>
      </c>
      <c r="D363" s="843" t="s">
        <v>3753</v>
      </c>
      <c r="E363" s="843"/>
      <c r="F363" s="847"/>
      <c r="G363" s="847">
        <v>45245</v>
      </c>
      <c r="H363" s="843" t="s">
        <v>3994</v>
      </c>
      <c r="I363" s="847">
        <f>MAX(F363,G363)</f>
        <v>45245</v>
      </c>
      <c r="J363" s="831">
        <v>11789</v>
      </c>
      <c r="K363" s="831"/>
      <c r="L363" s="831"/>
      <c r="M363" s="831"/>
      <c r="N363" s="831"/>
      <c r="O363" s="831">
        <f t="shared" si="121"/>
        <v>11789</v>
      </c>
      <c r="P363" s="832">
        <f t="shared" si="122"/>
        <v>137</v>
      </c>
      <c r="Q363" s="833">
        <v>3</v>
      </c>
      <c r="R363" s="834">
        <f t="shared" si="123"/>
        <v>2.6246575342465754</v>
      </c>
      <c r="S363" s="861">
        <f t="shared" si="124"/>
        <v>1401.2222374429223</v>
      </c>
      <c r="T363" s="860">
        <f t="shared" si="125"/>
        <v>10387.777762557078</v>
      </c>
      <c r="U363" s="835">
        <f t="shared" si="126"/>
        <v>0</v>
      </c>
      <c r="V363" s="835">
        <f t="shared" si="127"/>
        <v>11789</v>
      </c>
    </row>
    <row r="364" spans="1:22">
      <c r="A364" s="816"/>
      <c r="B364" s="828">
        <f t="shared" si="128"/>
        <v>28</v>
      </c>
      <c r="C364" s="843" t="s">
        <v>2839</v>
      </c>
      <c r="D364" s="843" t="s">
        <v>3753</v>
      </c>
      <c r="E364" s="843">
        <v>192</v>
      </c>
      <c r="F364" s="847">
        <v>45178</v>
      </c>
      <c r="G364" s="847">
        <v>45180</v>
      </c>
      <c r="H364" s="843" t="s">
        <v>438</v>
      </c>
      <c r="I364" s="847">
        <f t="shared" si="120"/>
        <v>45180</v>
      </c>
      <c r="J364" s="831">
        <v>61900</v>
      </c>
      <c r="K364" s="831"/>
      <c r="L364" s="831"/>
      <c r="M364" s="831"/>
      <c r="N364" s="831">
        <v>9442.3728813559319</v>
      </c>
      <c r="O364" s="831">
        <f t="shared" si="121"/>
        <v>52457.627118644072</v>
      </c>
      <c r="P364" s="832">
        <f t="shared" si="122"/>
        <v>202</v>
      </c>
      <c r="Q364" s="833">
        <v>3</v>
      </c>
      <c r="R364" s="834">
        <f t="shared" si="123"/>
        <v>2.4465753424657537</v>
      </c>
      <c r="S364" s="861">
        <f t="shared" si="124"/>
        <v>9193.259035678353</v>
      </c>
      <c r="T364" s="860">
        <f t="shared" si="125"/>
        <v>43264.368082965717</v>
      </c>
      <c r="U364" s="835">
        <f t="shared" si="126"/>
        <v>52457.627118644072</v>
      </c>
      <c r="V364" s="835">
        <f t="shared" si="127"/>
        <v>0</v>
      </c>
    </row>
    <row r="365" spans="1:22">
      <c r="A365" s="816"/>
      <c r="B365" s="828">
        <f t="shared" si="128"/>
        <v>29</v>
      </c>
      <c r="C365" s="843" t="s">
        <v>436</v>
      </c>
      <c r="D365" s="843" t="s">
        <v>3753</v>
      </c>
      <c r="E365" s="843">
        <v>441</v>
      </c>
      <c r="F365" s="847">
        <v>45087</v>
      </c>
      <c r="G365" s="847">
        <v>45087</v>
      </c>
      <c r="H365" s="843" t="s">
        <v>3995</v>
      </c>
      <c r="I365" s="847">
        <f t="shared" si="120"/>
        <v>45087</v>
      </c>
      <c r="J365" s="831">
        <v>2600</v>
      </c>
      <c r="K365" s="831"/>
      <c r="L365" s="831"/>
      <c r="M365" s="831"/>
      <c r="N365" s="831">
        <v>396</v>
      </c>
      <c r="O365" s="831">
        <f t="shared" si="121"/>
        <v>2204</v>
      </c>
      <c r="P365" s="832">
        <f t="shared" si="122"/>
        <v>295</v>
      </c>
      <c r="Q365" s="833">
        <v>3</v>
      </c>
      <c r="R365" s="834">
        <f t="shared" si="123"/>
        <v>2.1917808219178081</v>
      </c>
      <c r="S365" s="861">
        <f t="shared" si="124"/>
        <v>564.08310502283098</v>
      </c>
      <c r="T365" s="860">
        <f t="shared" si="125"/>
        <v>1639.916894977169</v>
      </c>
      <c r="U365" s="835">
        <f t="shared" si="126"/>
        <v>2204</v>
      </c>
      <c r="V365" s="835">
        <f t="shared" si="127"/>
        <v>0</v>
      </c>
    </row>
    <row r="366" spans="1:22">
      <c r="A366" s="816"/>
      <c r="B366" s="828">
        <f t="shared" si="128"/>
        <v>30</v>
      </c>
      <c r="C366" s="836" t="s">
        <v>2839</v>
      </c>
      <c r="D366" s="843" t="s">
        <v>1108</v>
      </c>
      <c r="E366" s="836" t="s">
        <v>3996</v>
      </c>
      <c r="F366" s="842">
        <v>45318</v>
      </c>
      <c r="G366" s="842">
        <v>45318</v>
      </c>
      <c r="H366" s="836" t="s">
        <v>799</v>
      </c>
      <c r="I366" s="847">
        <f t="shared" si="120"/>
        <v>45318</v>
      </c>
      <c r="J366" s="839">
        <v>64000</v>
      </c>
      <c r="K366" s="839"/>
      <c r="L366" s="839"/>
      <c r="M366" s="839"/>
      <c r="N366" s="839">
        <f>4881.36*2</f>
        <v>9762.7199999999993</v>
      </c>
      <c r="O366" s="839">
        <f t="shared" si="121"/>
        <v>54237.279999999999</v>
      </c>
      <c r="P366" s="832">
        <f t="shared" si="122"/>
        <v>64</v>
      </c>
      <c r="Q366" s="840">
        <v>3</v>
      </c>
      <c r="R366" s="841">
        <f t="shared" si="123"/>
        <v>2.8246575342465752</v>
      </c>
      <c r="S366" s="861">
        <f t="shared" si="124"/>
        <v>3011.5311634703194</v>
      </c>
      <c r="T366" s="860">
        <f t="shared" si="125"/>
        <v>51225.748836529681</v>
      </c>
      <c r="U366" s="835">
        <f t="shared" si="126"/>
        <v>0</v>
      </c>
      <c r="V366" s="835">
        <f t="shared" si="127"/>
        <v>54237.279999999999</v>
      </c>
    </row>
    <row r="367" spans="1:22">
      <c r="A367" s="816"/>
      <c r="B367" s="828">
        <f t="shared" si="128"/>
        <v>31</v>
      </c>
      <c r="C367" s="843" t="s">
        <v>209</v>
      </c>
      <c r="D367" s="829" t="s">
        <v>74</v>
      </c>
      <c r="E367" s="843">
        <v>544</v>
      </c>
      <c r="F367" s="847">
        <v>45190</v>
      </c>
      <c r="G367" s="847">
        <v>45190</v>
      </c>
      <c r="H367" s="843" t="s">
        <v>439</v>
      </c>
      <c r="I367" s="847">
        <f t="shared" si="120"/>
        <v>45190</v>
      </c>
      <c r="J367" s="831">
        <v>175820</v>
      </c>
      <c r="K367" s="831"/>
      <c r="L367" s="831"/>
      <c r="M367" s="831"/>
      <c r="N367" s="831">
        <v>26820</v>
      </c>
      <c r="O367" s="831">
        <f t="shared" si="121"/>
        <v>149000</v>
      </c>
      <c r="P367" s="832">
        <f t="shared" si="122"/>
        <v>192</v>
      </c>
      <c r="Q367" s="833">
        <v>3</v>
      </c>
      <c r="R367" s="834">
        <f t="shared" si="123"/>
        <v>2.473972602739726</v>
      </c>
      <c r="S367" s="861">
        <f t="shared" si="124"/>
        <v>24819.726027397261</v>
      </c>
      <c r="T367" s="860">
        <f t="shared" si="125"/>
        <v>124180.27397260274</v>
      </c>
      <c r="U367" s="835">
        <f t="shared" si="126"/>
        <v>149000</v>
      </c>
      <c r="V367" s="835">
        <f t="shared" si="127"/>
        <v>0</v>
      </c>
    </row>
    <row r="368" spans="1:22">
      <c r="A368" s="816"/>
      <c r="B368" s="828">
        <f t="shared" si="128"/>
        <v>32</v>
      </c>
      <c r="C368" s="843" t="s">
        <v>3972</v>
      </c>
      <c r="D368" s="843" t="s">
        <v>21</v>
      </c>
      <c r="E368" s="843" t="s">
        <v>3997</v>
      </c>
      <c r="F368" s="847">
        <v>45117</v>
      </c>
      <c r="G368" s="847">
        <v>45117</v>
      </c>
      <c r="H368" s="843" t="s">
        <v>799</v>
      </c>
      <c r="I368" s="847">
        <f t="shared" si="120"/>
        <v>45117</v>
      </c>
      <c r="J368" s="831">
        <v>82650</v>
      </c>
      <c r="K368" s="831"/>
      <c r="L368" s="831"/>
      <c r="M368" s="831"/>
      <c r="N368" s="831">
        <v>12607.627118644068</v>
      </c>
      <c r="O368" s="964">
        <f t="shared" si="121"/>
        <v>70042.372881355928</v>
      </c>
      <c r="P368" s="832">
        <f t="shared" si="122"/>
        <v>265</v>
      </c>
      <c r="Q368" s="833">
        <v>3</v>
      </c>
      <c r="R368" s="834">
        <f t="shared" si="123"/>
        <v>2.2739726027397262</v>
      </c>
      <c r="S368" s="861">
        <f t="shared" si="124"/>
        <v>16103.349198978405</v>
      </c>
      <c r="T368" s="860">
        <f t="shared" si="125"/>
        <v>53939.023682377519</v>
      </c>
      <c r="U368" s="835">
        <f t="shared" si="126"/>
        <v>70042.372881355928</v>
      </c>
      <c r="V368" s="835">
        <f t="shared" si="127"/>
        <v>0</v>
      </c>
    </row>
    <row r="369" spans="1:22">
      <c r="A369" s="850"/>
      <c r="B369" s="850"/>
      <c r="C369" s="850"/>
      <c r="D369" s="850"/>
      <c r="E369" s="850"/>
      <c r="F369" s="850"/>
      <c r="G369" s="850"/>
      <c r="H369" s="850"/>
      <c r="I369" s="850"/>
      <c r="J369" s="862">
        <f>SUBTOTAL(9,J337:J368)</f>
        <v>3553350</v>
      </c>
      <c r="K369" s="862"/>
      <c r="L369" s="862">
        <f>SUBTOTAL(9,L337:L368)</f>
        <v>0</v>
      </c>
      <c r="M369" s="862">
        <f>SUBTOTAL(9,M337:M368)</f>
        <v>0</v>
      </c>
      <c r="N369" s="862">
        <f>SUBTOTAL(9,N337:N368)</f>
        <v>540237.14338983037</v>
      </c>
      <c r="O369" s="862">
        <f>SUBTOTAL(9,O337:O368)</f>
        <v>3013112.8566101696</v>
      </c>
      <c r="P369" s="850"/>
      <c r="Q369" s="850"/>
      <c r="R369" s="850"/>
      <c r="S369" s="862">
        <f>SUBTOTAL(9,S337:S368)</f>
        <v>541699.01540838927</v>
      </c>
      <c r="T369" s="862">
        <f>SUBTOTAL(9,T337:T368)</f>
        <v>2471413.8412017794</v>
      </c>
      <c r="U369" s="862">
        <f>SUBTOTAL(9,U337:U368)</f>
        <v>1639134.5966101694</v>
      </c>
      <c r="V369" s="862">
        <f>SUBTOTAL(9,V337:V368)</f>
        <v>1373978.26</v>
      </c>
    </row>
    <row r="370" spans="1:22" ht="27" customHeight="1">
      <c r="A370" s="816"/>
      <c r="B370" s="1232" t="s">
        <v>32</v>
      </c>
      <c r="C370" s="1233"/>
      <c r="D370" s="843"/>
      <c r="E370" s="843"/>
      <c r="F370" s="847"/>
      <c r="G370" s="847"/>
      <c r="H370" s="843"/>
      <c r="I370" s="847"/>
      <c r="J370" s="831"/>
      <c r="K370" s="831"/>
      <c r="L370" s="831"/>
      <c r="M370" s="831"/>
      <c r="N370" s="831"/>
      <c r="O370" s="831"/>
      <c r="P370" s="832" t="s">
        <v>24</v>
      </c>
      <c r="Q370" s="859"/>
      <c r="R370" s="859"/>
      <c r="S370" s="860"/>
      <c r="T370" s="860"/>
      <c r="U370" s="861"/>
      <c r="V370" s="861"/>
    </row>
    <row r="371" spans="1:22">
      <c r="A371" s="816"/>
      <c r="B371" s="828">
        <v>1</v>
      </c>
      <c r="C371" s="843" t="s">
        <v>3998</v>
      </c>
      <c r="D371" s="836" t="s">
        <v>2474</v>
      </c>
      <c r="E371" s="843" t="s">
        <v>3999</v>
      </c>
      <c r="F371" s="830">
        <v>45286</v>
      </c>
      <c r="G371" s="830">
        <v>45286</v>
      </c>
      <c r="H371" s="843" t="s">
        <v>812</v>
      </c>
      <c r="I371" s="847">
        <f t="shared" ref="I371:I395" si="129">MAX(F371,G371)</f>
        <v>45286</v>
      </c>
      <c r="J371" s="831">
        <v>152444</v>
      </c>
      <c r="K371" s="831"/>
      <c r="L371" s="831"/>
      <c r="M371" s="831"/>
      <c r="N371" s="831">
        <v>23254</v>
      </c>
      <c r="O371" s="831">
        <f t="shared" ref="O371:O395" si="130">J371+L371-M371-N371</f>
        <v>129190</v>
      </c>
      <c r="P371" s="832">
        <f t="shared" ref="P371:P395" si="131">$P$1-I371</f>
        <v>96</v>
      </c>
      <c r="Q371" s="833">
        <v>5</v>
      </c>
      <c r="R371" s="834">
        <f t="shared" ref="R371:R395" si="132">Q371-(P371/365)</f>
        <v>4.7369863013698632</v>
      </c>
      <c r="S371" s="861">
        <f t="shared" ref="S371:S395" si="133">O371*95%/Q371*P371/365</f>
        <v>6455.9605479452048</v>
      </c>
      <c r="T371" s="860">
        <f t="shared" ref="T371:T395" si="134">O371-S371</f>
        <v>122734.0394520548</v>
      </c>
      <c r="U371" s="835">
        <f t="shared" ref="U371:U395" si="135">IF(I371&lt;=DATE(2023,9,30),O371,0)</f>
        <v>0</v>
      </c>
      <c r="V371" s="835">
        <f t="shared" ref="V371:V395" si="136">IF(I371&gt;DATE(2023,10,1),O371,0)</f>
        <v>129190</v>
      </c>
    </row>
    <row r="372" spans="1:22">
      <c r="A372" s="816"/>
      <c r="B372" s="828">
        <v>2</v>
      </c>
      <c r="C372" s="843" t="s">
        <v>4000</v>
      </c>
      <c r="D372" s="843" t="s">
        <v>2474</v>
      </c>
      <c r="E372" s="843" t="s">
        <v>4001</v>
      </c>
      <c r="F372" s="830">
        <v>45345</v>
      </c>
      <c r="G372" s="830">
        <v>45348</v>
      </c>
      <c r="H372" s="843" t="s">
        <v>4002</v>
      </c>
      <c r="I372" s="847">
        <f t="shared" si="129"/>
        <v>45348</v>
      </c>
      <c r="J372" s="831">
        <v>183596</v>
      </c>
      <c r="K372" s="831"/>
      <c r="L372" s="831"/>
      <c r="M372" s="831"/>
      <c r="N372" s="831">
        <v>28006.240000000002</v>
      </c>
      <c r="O372" s="831">
        <f t="shared" si="130"/>
        <v>155589.76000000001</v>
      </c>
      <c r="P372" s="832">
        <f t="shared" si="131"/>
        <v>34</v>
      </c>
      <c r="Q372" s="833">
        <v>5</v>
      </c>
      <c r="R372" s="834">
        <f t="shared" si="132"/>
        <v>4.9068493150684933</v>
      </c>
      <c r="S372" s="861">
        <f t="shared" si="133"/>
        <v>2753.725615342466</v>
      </c>
      <c r="T372" s="860">
        <f t="shared" si="134"/>
        <v>152836.03438465754</v>
      </c>
      <c r="U372" s="835">
        <f t="shared" si="135"/>
        <v>0</v>
      </c>
      <c r="V372" s="835">
        <f t="shared" si="136"/>
        <v>155589.76000000001</v>
      </c>
    </row>
    <row r="373" spans="1:22">
      <c r="A373" s="816"/>
      <c r="B373" s="828">
        <f>+B372+1</f>
        <v>3</v>
      </c>
      <c r="C373" s="843" t="s">
        <v>4000</v>
      </c>
      <c r="D373" s="843" t="s">
        <v>2474</v>
      </c>
      <c r="E373" s="843" t="s">
        <v>4003</v>
      </c>
      <c r="F373" s="830">
        <v>45345</v>
      </c>
      <c r="G373" s="830">
        <v>45348</v>
      </c>
      <c r="H373" s="843" t="s">
        <v>4002</v>
      </c>
      <c r="I373" s="847">
        <f t="shared" si="129"/>
        <v>45348</v>
      </c>
      <c r="J373" s="831">
        <v>169196</v>
      </c>
      <c r="K373" s="831"/>
      <c r="L373" s="831"/>
      <c r="M373" s="831"/>
      <c r="N373" s="831">
        <v>25809.56</v>
      </c>
      <c r="O373" s="831">
        <f t="shared" si="130"/>
        <v>143386.44</v>
      </c>
      <c r="P373" s="832">
        <f t="shared" si="131"/>
        <v>34</v>
      </c>
      <c r="Q373" s="833">
        <v>5</v>
      </c>
      <c r="R373" s="834">
        <f t="shared" si="132"/>
        <v>4.9068493150684933</v>
      </c>
      <c r="S373" s="861">
        <f t="shared" si="133"/>
        <v>2537.7435682191776</v>
      </c>
      <c r="T373" s="860">
        <f t="shared" si="134"/>
        <v>140848.69643178082</v>
      </c>
      <c r="U373" s="835">
        <f t="shared" si="135"/>
        <v>0</v>
      </c>
      <c r="V373" s="835">
        <f t="shared" si="136"/>
        <v>143386.44</v>
      </c>
    </row>
    <row r="374" spans="1:22">
      <c r="A374" s="816"/>
      <c r="B374" s="828">
        <f t="shared" ref="B374:B395" si="137">+B373+1</f>
        <v>4</v>
      </c>
      <c r="C374" s="843" t="s">
        <v>236</v>
      </c>
      <c r="D374" s="844" t="s">
        <v>3753</v>
      </c>
      <c r="E374" s="843" t="s">
        <v>4004</v>
      </c>
      <c r="F374" s="830">
        <v>45032</v>
      </c>
      <c r="G374" s="830">
        <v>45163</v>
      </c>
      <c r="H374" s="843" t="s">
        <v>4005</v>
      </c>
      <c r="I374" s="847">
        <f t="shared" si="129"/>
        <v>45163</v>
      </c>
      <c r="J374" s="831">
        <v>6500</v>
      </c>
      <c r="K374" s="831"/>
      <c r="L374" s="831"/>
      <c r="M374" s="831"/>
      <c r="N374" s="831"/>
      <c r="O374" s="831">
        <f t="shared" si="130"/>
        <v>6500</v>
      </c>
      <c r="P374" s="832">
        <f t="shared" si="131"/>
        <v>219</v>
      </c>
      <c r="Q374" s="833">
        <v>5</v>
      </c>
      <c r="R374" s="834">
        <f t="shared" si="132"/>
        <v>4.4000000000000004</v>
      </c>
      <c r="S374" s="861">
        <f t="shared" si="133"/>
        <v>741</v>
      </c>
      <c r="T374" s="860">
        <f t="shared" si="134"/>
        <v>5759</v>
      </c>
      <c r="U374" s="835">
        <f t="shared" si="135"/>
        <v>6500</v>
      </c>
      <c r="V374" s="835">
        <f t="shared" si="136"/>
        <v>0</v>
      </c>
    </row>
    <row r="375" spans="1:22">
      <c r="A375" s="816"/>
      <c r="B375" s="828">
        <f t="shared" si="137"/>
        <v>5</v>
      </c>
      <c r="C375" s="843" t="s">
        <v>4006</v>
      </c>
      <c r="D375" s="844" t="s">
        <v>3753</v>
      </c>
      <c r="E375" s="843">
        <v>126</v>
      </c>
      <c r="F375" s="830">
        <v>45218</v>
      </c>
      <c r="G375" s="830">
        <v>45219</v>
      </c>
      <c r="H375" s="843" t="s">
        <v>456</v>
      </c>
      <c r="I375" s="847">
        <f t="shared" si="129"/>
        <v>45219</v>
      </c>
      <c r="J375" s="831">
        <v>3799.6</v>
      </c>
      <c r="K375" s="831"/>
      <c r="L375" s="831"/>
      <c r="M375" s="831"/>
      <c r="N375" s="831">
        <v>579.6</v>
      </c>
      <c r="O375" s="831">
        <f t="shared" si="130"/>
        <v>3220</v>
      </c>
      <c r="P375" s="832">
        <f t="shared" si="131"/>
        <v>163</v>
      </c>
      <c r="Q375" s="833">
        <v>5</v>
      </c>
      <c r="R375" s="834">
        <f t="shared" si="132"/>
        <v>4.5534246575342463</v>
      </c>
      <c r="S375" s="861">
        <f t="shared" si="133"/>
        <v>273.21479452054791</v>
      </c>
      <c r="T375" s="860">
        <f t="shared" si="134"/>
        <v>2946.7852054794521</v>
      </c>
      <c r="U375" s="835">
        <f t="shared" si="135"/>
        <v>0</v>
      </c>
      <c r="V375" s="835">
        <f t="shared" si="136"/>
        <v>3220</v>
      </c>
    </row>
    <row r="376" spans="1:22">
      <c r="A376" s="816"/>
      <c r="B376" s="828">
        <f t="shared" si="137"/>
        <v>6</v>
      </c>
      <c r="C376" s="843" t="s">
        <v>459</v>
      </c>
      <c r="D376" s="836" t="s">
        <v>3753</v>
      </c>
      <c r="E376" s="843">
        <v>24</v>
      </c>
      <c r="F376" s="830">
        <v>45194</v>
      </c>
      <c r="G376" s="830">
        <v>45203</v>
      </c>
      <c r="H376" s="843" t="s">
        <v>200</v>
      </c>
      <c r="I376" s="847">
        <f t="shared" si="129"/>
        <v>45203</v>
      </c>
      <c r="J376" s="831">
        <v>34000</v>
      </c>
      <c r="K376" s="831"/>
      <c r="L376" s="831"/>
      <c r="M376" s="831"/>
      <c r="N376" s="831"/>
      <c r="O376" s="831">
        <f t="shared" si="130"/>
        <v>34000</v>
      </c>
      <c r="P376" s="832">
        <f t="shared" si="131"/>
        <v>179</v>
      </c>
      <c r="Q376" s="833">
        <v>5</v>
      </c>
      <c r="R376" s="834">
        <f t="shared" si="132"/>
        <v>4.5095890410958903</v>
      </c>
      <c r="S376" s="861">
        <f t="shared" si="133"/>
        <v>3168.0547945205481</v>
      </c>
      <c r="T376" s="860">
        <f t="shared" si="134"/>
        <v>30831.945205479453</v>
      </c>
      <c r="U376" s="835">
        <f t="shared" si="135"/>
        <v>0</v>
      </c>
      <c r="V376" s="835">
        <f t="shared" si="136"/>
        <v>34000</v>
      </c>
    </row>
    <row r="377" spans="1:22">
      <c r="A377" s="816"/>
      <c r="B377" s="828">
        <f t="shared" si="137"/>
        <v>7</v>
      </c>
      <c r="C377" s="843" t="s">
        <v>459</v>
      </c>
      <c r="D377" s="836" t="s">
        <v>3753</v>
      </c>
      <c r="E377" s="843">
        <v>23</v>
      </c>
      <c r="F377" s="830">
        <v>45196</v>
      </c>
      <c r="G377" s="830">
        <v>45203</v>
      </c>
      <c r="H377" s="843" t="s">
        <v>200</v>
      </c>
      <c r="I377" s="847">
        <f t="shared" si="129"/>
        <v>45203</v>
      </c>
      <c r="J377" s="831">
        <v>25000</v>
      </c>
      <c r="K377" s="831"/>
      <c r="L377" s="831"/>
      <c r="M377" s="831"/>
      <c r="N377" s="831">
        <v>0</v>
      </c>
      <c r="O377" s="831">
        <f t="shared" si="130"/>
        <v>25000</v>
      </c>
      <c r="P377" s="832">
        <f t="shared" si="131"/>
        <v>179</v>
      </c>
      <c r="Q377" s="833">
        <v>5</v>
      </c>
      <c r="R377" s="834">
        <f t="shared" si="132"/>
        <v>4.5095890410958903</v>
      </c>
      <c r="S377" s="861">
        <f t="shared" si="133"/>
        <v>2329.4520547945203</v>
      </c>
      <c r="T377" s="860">
        <f t="shared" si="134"/>
        <v>22670.547945205479</v>
      </c>
      <c r="U377" s="835">
        <f t="shared" si="135"/>
        <v>0</v>
      </c>
      <c r="V377" s="835">
        <f t="shared" si="136"/>
        <v>25000</v>
      </c>
    </row>
    <row r="378" spans="1:22">
      <c r="A378" s="816"/>
      <c r="B378" s="828">
        <f t="shared" si="137"/>
        <v>8</v>
      </c>
      <c r="C378" s="843" t="s">
        <v>4007</v>
      </c>
      <c r="D378" s="844" t="s">
        <v>3753</v>
      </c>
      <c r="E378" s="843">
        <v>4</v>
      </c>
      <c r="F378" s="830">
        <v>45019</v>
      </c>
      <c r="G378" s="830">
        <v>45028</v>
      </c>
      <c r="H378" s="843" t="s">
        <v>456</v>
      </c>
      <c r="I378" s="847">
        <f t="shared" si="129"/>
        <v>45028</v>
      </c>
      <c r="J378" s="831">
        <v>6400</v>
      </c>
      <c r="K378" s="831"/>
      <c r="L378" s="831"/>
      <c r="M378" s="831"/>
      <c r="N378" s="831">
        <v>976</v>
      </c>
      <c r="O378" s="831">
        <f t="shared" si="130"/>
        <v>5424</v>
      </c>
      <c r="P378" s="832">
        <f t="shared" si="131"/>
        <v>354</v>
      </c>
      <c r="Q378" s="833">
        <v>5</v>
      </c>
      <c r="R378" s="834">
        <f t="shared" si="132"/>
        <v>4.0301369863013701</v>
      </c>
      <c r="S378" s="861">
        <f t="shared" si="133"/>
        <v>999.50202739726024</v>
      </c>
      <c r="T378" s="860">
        <f t="shared" si="134"/>
        <v>4424.4979726027395</v>
      </c>
      <c r="U378" s="835">
        <f t="shared" si="135"/>
        <v>5424</v>
      </c>
      <c r="V378" s="835">
        <f t="shared" si="136"/>
        <v>0</v>
      </c>
    </row>
    <row r="379" spans="1:22">
      <c r="A379" s="816"/>
      <c r="B379" s="828">
        <f t="shared" si="137"/>
        <v>9</v>
      </c>
      <c r="C379" s="843" t="s">
        <v>4007</v>
      </c>
      <c r="D379" s="836" t="s">
        <v>3753</v>
      </c>
      <c r="E379" s="843">
        <v>182</v>
      </c>
      <c r="F379" s="830">
        <v>45214</v>
      </c>
      <c r="G379" s="830">
        <v>45291</v>
      </c>
      <c r="H379" s="843" t="s">
        <v>456</v>
      </c>
      <c r="I379" s="847">
        <f t="shared" si="129"/>
        <v>45291</v>
      </c>
      <c r="J379" s="831">
        <v>16600</v>
      </c>
      <c r="K379" s="831"/>
      <c r="L379" s="831"/>
      <c r="M379" s="831"/>
      <c r="N379" s="831">
        <v>2532</v>
      </c>
      <c r="O379" s="831">
        <f t="shared" si="130"/>
        <v>14068</v>
      </c>
      <c r="P379" s="832">
        <f t="shared" si="131"/>
        <v>91</v>
      </c>
      <c r="Q379" s="833">
        <v>5</v>
      </c>
      <c r="R379" s="834">
        <f t="shared" si="132"/>
        <v>4.7506849315068491</v>
      </c>
      <c r="S379" s="861">
        <f t="shared" si="133"/>
        <v>666.39923287671229</v>
      </c>
      <c r="T379" s="860">
        <f t="shared" si="134"/>
        <v>13401.600767123287</v>
      </c>
      <c r="U379" s="835">
        <f t="shared" si="135"/>
        <v>0</v>
      </c>
      <c r="V379" s="835">
        <f t="shared" si="136"/>
        <v>14068</v>
      </c>
    </row>
    <row r="380" spans="1:22">
      <c r="A380" s="816"/>
      <c r="B380" s="828">
        <f t="shared" si="137"/>
        <v>10</v>
      </c>
      <c r="C380" s="843" t="s">
        <v>2610</v>
      </c>
      <c r="D380" s="844" t="s">
        <v>3753</v>
      </c>
      <c r="E380" s="843">
        <v>81</v>
      </c>
      <c r="F380" s="830">
        <v>45168</v>
      </c>
      <c r="G380" s="830">
        <v>45169</v>
      </c>
      <c r="H380" s="843" t="s">
        <v>4008</v>
      </c>
      <c r="I380" s="847">
        <f t="shared" si="129"/>
        <v>45169</v>
      </c>
      <c r="J380" s="831">
        <v>5800</v>
      </c>
      <c r="K380" s="831"/>
      <c r="L380" s="831"/>
      <c r="M380" s="831"/>
      <c r="N380" s="831">
        <v>884.74576271186447</v>
      </c>
      <c r="O380" s="831">
        <f t="shared" si="130"/>
        <v>4915.2542372881353</v>
      </c>
      <c r="P380" s="832">
        <f t="shared" si="131"/>
        <v>213</v>
      </c>
      <c r="Q380" s="833">
        <v>5</v>
      </c>
      <c r="R380" s="834">
        <f t="shared" si="132"/>
        <v>4.4164383561643836</v>
      </c>
      <c r="S380" s="861">
        <f t="shared" si="133"/>
        <v>544.98723009055027</v>
      </c>
      <c r="T380" s="860">
        <f t="shared" si="134"/>
        <v>4370.2670071975854</v>
      </c>
      <c r="U380" s="835">
        <f t="shared" si="135"/>
        <v>4915.2542372881353</v>
      </c>
      <c r="V380" s="835">
        <f t="shared" si="136"/>
        <v>0</v>
      </c>
    </row>
    <row r="381" spans="1:22">
      <c r="A381" s="816"/>
      <c r="B381" s="828">
        <f t="shared" si="137"/>
        <v>11</v>
      </c>
      <c r="C381" s="843" t="s">
        <v>807</v>
      </c>
      <c r="D381" s="844" t="s">
        <v>3753</v>
      </c>
      <c r="E381" s="843">
        <v>558</v>
      </c>
      <c r="F381" s="830">
        <v>45198</v>
      </c>
      <c r="G381" s="830">
        <v>45199</v>
      </c>
      <c r="H381" s="843" t="s">
        <v>4009</v>
      </c>
      <c r="I381" s="847">
        <f t="shared" si="129"/>
        <v>45199</v>
      </c>
      <c r="J381" s="831">
        <v>8400</v>
      </c>
      <c r="K381" s="831"/>
      <c r="L381" s="831"/>
      <c r="M381" s="831"/>
      <c r="N381" s="831"/>
      <c r="O381" s="831">
        <f t="shared" si="130"/>
        <v>8400</v>
      </c>
      <c r="P381" s="832">
        <f t="shared" si="131"/>
        <v>183</v>
      </c>
      <c r="Q381" s="833">
        <v>5</v>
      </c>
      <c r="R381" s="834">
        <f t="shared" si="132"/>
        <v>4.4986301369863018</v>
      </c>
      <c r="S381" s="861">
        <f t="shared" si="133"/>
        <v>800.18630136986303</v>
      </c>
      <c r="T381" s="860">
        <f t="shared" si="134"/>
        <v>7599.813698630137</v>
      </c>
      <c r="U381" s="835">
        <f t="shared" si="135"/>
        <v>8400</v>
      </c>
      <c r="V381" s="835">
        <f t="shared" si="136"/>
        <v>0</v>
      </c>
    </row>
    <row r="382" spans="1:22">
      <c r="A382" s="816"/>
      <c r="B382" s="828">
        <f t="shared" si="137"/>
        <v>12</v>
      </c>
      <c r="C382" s="843" t="s">
        <v>4010</v>
      </c>
      <c r="D382" s="844" t="s">
        <v>3753</v>
      </c>
      <c r="E382" s="843">
        <v>396</v>
      </c>
      <c r="F382" s="830">
        <v>45100</v>
      </c>
      <c r="G382" s="830">
        <v>45105</v>
      </c>
      <c r="H382" s="843" t="s">
        <v>200</v>
      </c>
      <c r="I382" s="847">
        <f t="shared" si="129"/>
        <v>45105</v>
      </c>
      <c r="J382" s="831">
        <v>20500</v>
      </c>
      <c r="K382" s="831"/>
      <c r="L382" s="831"/>
      <c r="M382" s="831"/>
      <c r="N382" s="831"/>
      <c r="O382" s="831">
        <f t="shared" si="130"/>
        <v>20500</v>
      </c>
      <c r="P382" s="832">
        <f t="shared" si="131"/>
        <v>277</v>
      </c>
      <c r="Q382" s="833">
        <v>5</v>
      </c>
      <c r="R382" s="834">
        <f t="shared" si="132"/>
        <v>4.2410958904109588</v>
      </c>
      <c r="S382" s="861">
        <f t="shared" si="133"/>
        <v>2955.9315068493152</v>
      </c>
      <c r="T382" s="860">
        <f t="shared" si="134"/>
        <v>17544.068493150684</v>
      </c>
      <c r="U382" s="835">
        <f t="shared" si="135"/>
        <v>20500</v>
      </c>
      <c r="V382" s="835">
        <f t="shared" si="136"/>
        <v>0</v>
      </c>
    </row>
    <row r="383" spans="1:22">
      <c r="A383" s="816"/>
      <c r="B383" s="828">
        <f t="shared" si="137"/>
        <v>13</v>
      </c>
      <c r="C383" s="843" t="s">
        <v>4010</v>
      </c>
      <c r="D383" s="844" t="s">
        <v>3753</v>
      </c>
      <c r="E383" s="843">
        <v>397</v>
      </c>
      <c r="F383" s="847">
        <v>45100</v>
      </c>
      <c r="G383" s="847">
        <v>45105</v>
      </c>
      <c r="H383" s="843" t="s">
        <v>200</v>
      </c>
      <c r="I383" s="847">
        <f t="shared" si="129"/>
        <v>45105</v>
      </c>
      <c r="J383" s="831">
        <v>18000</v>
      </c>
      <c r="K383" s="831"/>
      <c r="L383" s="831"/>
      <c r="M383" s="831"/>
      <c r="N383" s="831"/>
      <c r="O383" s="831">
        <f t="shared" si="130"/>
        <v>18000</v>
      </c>
      <c r="P383" s="832">
        <f t="shared" si="131"/>
        <v>277</v>
      </c>
      <c r="Q383" s="833">
        <v>5</v>
      </c>
      <c r="R383" s="834">
        <f t="shared" si="132"/>
        <v>4.2410958904109588</v>
      </c>
      <c r="S383" s="861">
        <f t="shared" si="133"/>
        <v>2595.4520547945203</v>
      </c>
      <c r="T383" s="860">
        <f t="shared" si="134"/>
        <v>15404.547945205479</v>
      </c>
      <c r="U383" s="835">
        <f t="shared" si="135"/>
        <v>18000</v>
      </c>
      <c r="V383" s="835">
        <f t="shared" si="136"/>
        <v>0</v>
      </c>
    </row>
    <row r="384" spans="1:22">
      <c r="A384" s="816"/>
      <c r="B384" s="828">
        <f t="shared" si="137"/>
        <v>14</v>
      </c>
      <c r="C384" s="979" t="s">
        <v>459</v>
      </c>
      <c r="D384" s="980" t="s">
        <v>1735</v>
      </c>
      <c r="E384" s="979">
        <v>90</v>
      </c>
      <c r="F384" s="984">
        <v>45200</v>
      </c>
      <c r="G384" s="984">
        <v>45382</v>
      </c>
      <c r="H384" s="979" t="s">
        <v>206</v>
      </c>
      <c r="I384" s="984">
        <f t="shared" si="129"/>
        <v>45382</v>
      </c>
      <c r="J384" s="964">
        <v>206420</v>
      </c>
      <c r="K384" s="964"/>
      <c r="L384" s="964"/>
      <c r="M384" s="964"/>
      <c r="N384" s="964">
        <f>15743.88*2</f>
        <v>31487.759999999998</v>
      </c>
      <c r="O384" s="964">
        <f t="shared" si="130"/>
        <v>174932.24</v>
      </c>
      <c r="P384" s="965">
        <f t="shared" si="131"/>
        <v>0</v>
      </c>
      <c r="Q384" s="966">
        <v>5</v>
      </c>
      <c r="R384" s="967">
        <f t="shared" si="132"/>
        <v>5</v>
      </c>
      <c r="S384" s="1047">
        <f t="shared" si="133"/>
        <v>0</v>
      </c>
      <c r="T384" s="1048">
        <f t="shared" si="134"/>
        <v>174932.24</v>
      </c>
      <c r="U384" s="969">
        <f t="shared" si="135"/>
        <v>0</v>
      </c>
      <c r="V384" s="969">
        <f t="shared" si="136"/>
        <v>174932.24</v>
      </c>
    </row>
    <row r="385" spans="1:22">
      <c r="A385" s="816"/>
      <c r="B385" s="828">
        <f t="shared" si="137"/>
        <v>15</v>
      </c>
      <c r="C385" s="979" t="s">
        <v>459</v>
      </c>
      <c r="D385" s="979" t="s">
        <v>1735</v>
      </c>
      <c r="E385" s="979">
        <v>128</v>
      </c>
      <c r="F385" s="984">
        <v>45304</v>
      </c>
      <c r="G385" s="984">
        <v>45382</v>
      </c>
      <c r="H385" s="979" t="s">
        <v>206</v>
      </c>
      <c r="I385" s="984">
        <f t="shared" si="129"/>
        <v>45382</v>
      </c>
      <c r="J385" s="964">
        <v>187626</v>
      </c>
      <c r="K385" s="964"/>
      <c r="L385" s="964"/>
      <c r="M385" s="964"/>
      <c r="N385" s="964">
        <f>14310*2</f>
        <v>28620</v>
      </c>
      <c r="O385" s="964">
        <f t="shared" si="130"/>
        <v>159006</v>
      </c>
      <c r="P385" s="965">
        <f t="shared" si="131"/>
        <v>0</v>
      </c>
      <c r="Q385" s="966">
        <v>5</v>
      </c>
      <c r="R385" s="967">
        <f t="shared" si="132"/>
        <v>5</v>
      </c>
      <c r="S385" s="1047">
        <f t="shared" si="133"/>
        <v>0</v>
      </c>
      <c r="T385" s="1048">
        <f t="shared" si="134"/>
        <v>159006</v>
      </c>
      <c r="U385" s="969">
        <f t="shared" si="135"/>
        <v>0</v>
      </c>
      <c r="V385" s="969">
        <f t="shared" si="136"/>
        <v>159006</v>
      </c>
    </row>
    <row r="386" spans="1:22">
      <c r="A386" s="816"/>
      <c r="B386" s="828">
        <f t="shared" si="137"/>
        <v>16</v>
      </c>
      <c r="C386" s="843" t="s">
        <v>4011</v>
      </c>
      <c r="D386" s="844" t="s">
        <v>1735</v>
      </c>
      <c r="E386" s="843">
        <v>34633</v>
      </c>
      <c r="F386" s="830">
        <v>45189</v>
      </c>
      <c r="G386" s="830">
        <v>45209</v>
      </c>
      <c r="H386" s="843" t="s">
        <v>4012</v>
      </c>
      <c r="I386" s="847">
        <f t="shared" si="129"/>
        <v>45209</v>
      </c>
      <c r="J386" s="831">
        <v>34600</v>
      </c>
      <c r="K386" s="831"/>
      <c r="L386" s="831"/>
      <c r="M386" s="831"/>
      <c r="N386" s="831">
        <v>5278</v>
      </c>
      <c r="O386" s="831">
        <f t="shared" si="130"/>
        <v>29322</v>
      </c>
      <c r="P386" s="832">
        <f t="shared" si="131"/>
        <v>173</v>
      </c>
      <c r="Q386" s="833">
        <v>5</v>
      </c>
      <c r="R386" s="834">
        <f t="shared" si="132"/>
        <v>4.5260273972602736</v>
      </c>
      <c r="S386" s="861">
        <f t="shared" si="133"/>
        <v>2640.5866849315066</v>
      </c>
      <c r="T386" s="860">
        <f t="shared" si="134"/>
        <v>26681.413315068494</v>
      </c>
      <c r="U386" s="835">
        <f t="shared" si="135"/>
        <v>0</v>
      </c>
      <c r="V386" s="835">
        <f t="shared" si="136"/>
        <v>29322</v>
      </c>
    </row>
    <row r="387" spans="1:22">
      <c r="A387" s="816"/>
      <c r="B387" s="828">
        <f t="shared" si="137"/>
        <v>17</v>
      </c>
      <c r="C387" s="843" t="s">
        <v>184</v>
      </c>
      <c r="D387" s="843" t="s">
        <v>1735</v>
      </c>
      <c r="E387" s="843">
        <v>34640</v>
      </c>
      <c r="F387" s="830">
        <v>45196</v>
      </c>
      <c r="G387" s="830">
        <v>45209</v>
      </c>
      <c r="H387" s="843" t="s">
        <v>4012</v>
      </c>
      <c r="I387" s="847">
        <f t="shared" si="129"/>
        <v>45209</v>
      </c>
      <c r="J387" s="831">
        <v>75800</v>
      </c>
      <c r="K387" s="831"/>
      <c r="L387" s="831"/>
      <c r="M387" s="831"/>
      <c r="N387" s="831">
        <v>11562</v>
      </c>
      <c r="O387" s="831">
        <f t="shared" si="130"/>
        <v>64238</v>
      </c>
      <c r="P387" s="832">
        <f t="shared" si="131"/>
        <v>173</v>
      </c>
      <c r="Q387" s="833">
        <v>5</v>
      </c>
      <c r="R387" s="834">
        <f t="shared" si="132"/>
        <v>4.5260273972602736</v>
      </c>
      <c r="S387" s="861">
        <f t="shared" si="133"/>
        <v>5784.9398904109594</v>
      </c>
      <c r="T387" s="860">
        <f t="shared" si="134"/>
        <v>58453.060109589038</v>
      </c>
      <c r="U387" s="835">
        <f t="shared" si="135"/>
        <v>0</v>
      </c>
      <c r="V387" s="835">
        <f t="shared" si="136"/>
        <v>64238</v>
      </c>
    </row>
    <row r="388" spans="1:22">
      <c r="A388" s="816"/>
      <c r="B388" s="828">
        <f t="shared" si="137"/>
        <v>18</v>
      </c>
      <c r="C388" s="843" t="s">
        <v>4013</v>
      </c>
      <c r="D388" s="844" t="s">
        <v>1735</v>
      </c>
      <c r="E388" s="843">
        <v>34628</v>
      </c>
      <c r="F388" s="830">
        <v>45188</v>
      </c>
      <c r="G388" s="830">
        <v>45209</v>
      </c>
      <c r="H388" s="843" t="s">
        <v>4012</v>
      </c>
      <c r="I388" s="847">
        <f t="shared" si="129"/>
        <v>45209</v>
      </c>
      <c r="J388" s="831">
        <v>96000</v>
      </c>
      <c r="K388" s="831"/>
      <c r="L388" s="831"/>
      <c r="M388" s="831"/>
      <c r="N388" s="831">
        <v>14644</v>
      </c>
      <c r="O388" s="831">
        <f t="shared" si="130"/>
        <v>81356</v>
      </c>
      <c r="P388" s="832">
        <f t="shared" si="131"/>
        <v>173</v>
      </c>
      <c r="Q388" s="833">
        <v>5</v>
      </c>
      <c r="R388" s="834">
        <f t="shared" si="132"/>
        <v>4.5260273972602736</v>
      </c>
      <c r="S388" s="861">
        <f t="shared" si="133"/>
        <v>7326.4978630136975</v>
      </c>
      <c r="T388" s="860">
        <f t="shared" si="134"/>
        <v>74029.502136986295</v>
      </c>
      <c r="U388" s="835">
        <f t="shared" si="135"/>
        <v>0</v>
      </c>
      <c r="V388" s="835">
        <f t="shared" si="136"/>
        <v>81356</v>
      </c>
    </row>
    <row r="389" spans="1:22">
      <c r="A389" s="816"/>
      <c r="B389" s="828">
        <f t="shared" si="137"/>
        <v>19</v>
      </c>
      <c r="C389" s="843" t="s">
        <v>4013</v>
      </c>
      <c r="D389" s="843" t="s">
        <v>1735</v>
      </c>
      <c r="E389" s="843">
        <v>34653</v>
      </c>
      <c r="F389" s="830">
        <v>45206</v>
      </c>
      <c r="G389" s="830">
        <v>45260</v>
      </c>
      <c r="H389" s="843" t="s">
        <v>4012</v>
      </c>
      <c r="I389" s="847">
        <f t="shared" si="129"/>
        <v>45260</v>
      </c>
      <c r="J389" s="831">
        <v>46200</v>
      </c>
      <c r="K389" s="831"/>
      <c r="L389" s="831"/>
      <c r="M389" s="831"/>
      <c r="N389" s="831">
        <v>7048</v>
      </c>
      <c r="O389" s="831">
        <f t="shared" si="130"/>
        <v>39152</v>
      </c>
      <c r="P389" s="832">
        <f t="shared" si="131"/>
        <v>122</v>
      </c>
      <c r="Q389" s="833">
        <v>5</v>
      </c>
      <c r="R389" s="834">
        <f t="shared" si="132"/>
        <v>4.6657534246575345</v>
      </c>
      <c r="S389" s="861">
        <f t="shared" si="133"/>
        <v>2486.4201643835618</v>
      </c>
      <c r="T389" s="860">
        <f t="shared" si="134"/>
        <v>36665.579835616438</v>
      </c>
      <c r="U389" s="835">
        <f t="shared" si="135"/>
        <v>0</v>
      </c>
      <c r="V389" s="835">
        <f t="shared" si="136"/>
        <v>39152</v>
      </c>
    </row>
    <row r="390" spans="1:22">
      <c r="A390" s="816"/>
      <c r="B390" s="828">
        <f t="shared" si="137"/>
        <v>20</v>
      </c>
      <c r="C390" s="843" t="s">
        <v>4013</v>
      </c>
      <c r="D390" s="843" t="s">
        <v>1735</v>
      </c>
      <c r="E390" s="843">
        <v>34654</v>
      </c>
      <c r="F390" s="830">
        <v>45206</v>
      </c>
      <c r="G390" s="830">
        <v>45260</v>
      </c>
      <c r="H390" s="843" t="s">
        <v>4012</v>
      </c>
      <c r="I390" s="847">
        <f t="shared" si="129"/>
        <v>45260</v>
      </c>
      <c r="J390" s="831">
        <v>46100</v>
      </c>
      <c r="K390" s="831"/>
      <c r="L390" s="831"/>
      <c r="M390" s="831"/>
      <c r="N390" s="831">
        <v>7032</v>
      </c>
      <c r="O390" s="831">
        <f t="shared" si="130"/>
        <v>39068</v>
      </c>
      <c r="P390" s="832">
        <f t="shared" si="131"/>
        <v>122</v>
      </c>
      <c r="Q390" s="833">
        <v>5</v>
      </c>
      <c r="R390" s="834">
        <f t="shared" si="132"/>
        <v>4.6657534246575345</v>
      </c>
      <c r="S390" s="861">
        <f t="shared" si="133"/>
        <v>2481.0855890410958</v>
      </c>
      <c r="T390" s="860">
        <f t="shared" si="134"/>
        <v>36586.914410958903</v>
      </c>
      <c r="U390" s="835">
        <f t="shared" si="135"/>
        <v>0</v>
      </c>
      <c r="V390" s="835">
        <f t="shared" si="136"/>
        <v>39068</v>
      </c>
    </row>
    <row r="391" spans="1:22">
      <c r="A391" s="816"/>
      <c r="B391" s="828">
        <f t="shared" si="137"/>
        <v>21</v>
      </c>
      <c r="C391" s="843" t="s">
        <v>4013</v>
      </c>
      <c r="D391" s="843" t="s">
        <v>1735</v>
      </c>
      <c r="E391" s="843">
        <v>34752</v>
      </c>
      <c r="F391" s="830">
        <v>45267</v>
      </c>
      <c r="G391" s="830">
        <v>45289</v>
      </c>
      <c r="H391" s="843" t="s">
        <v>4012</v>
      </c>
      <c r="I391" s="847">
        <f t="shared" si="129"/>
        <v>45289</v>
      </c>
      <c r="J391" s="831">
        <v>13100</v>
      </c>
      <c r="K391" s="831"/>
      <c r="L391" s="831"/>
      <c r="M391" s="831"/>
      <c r="N391" s="831">
        <v>1998</v>
      </c>
      <c r="O391" s="831">
        <f t="shared" si="130"/>
        <v>11102</v>
      </c>
      <c r="P391" s="832">
        <f t="shared" si="131"/>
        <v>93</v>
      </c>
      <c r="Q391" s="833">
        <v>5</v>
      </c>
      <c r="R391" s="834">
        <f t="shared" si="132"/>
        <v>4.7452054794520544</v>
      </c>
      <c r="S391" s="861">
        <f t="shared" si="133"/>
        <v>537.45846575342466</v>
      </c>
      <c r="T391" s="860">
        <f t="shared" si="134"/>
        <v>10564.541534246575</v>
      </c>
      <c r="U391" s="835">
        <f t="shared" si="135"/>
        <v>0</v>
      </c>
      <c r="V391" s="835">
        <f t="shared" si="136"/>
        <v>11102</v>
      </c>
    </row>
    <row r="392" spans="1:22">
      <c r="A392" s="816"/>
      <c r="B392" s="828">
        <f t="shared" si="137"/>
        <v>22</v>
      </c>
      <c r="C392" s="836" t="s">
        <v>4014</v>
      </c>
      <c r="D392" s="846" t="s">
        <v>1735</v>
      </c>
      <c r="E392" s="836">
        <v>34630</v>
      </c>
      <c r="F392" s="837">
        <v>45188</v>
      </c>
      <c r="G392" s="837">
        <v>45209</v>
      </c>
      <c r="H392" s="836" t="s">
        <v>4012</v>
      </c>
      <c r="I392" s="847">
        <f t="shared" si="129"/>
        <v>45209</v>
      </c>
      <c r="J392" s="839">
        <v>79000</v>
      </c>
      <c r="K392" s="839"/>
      <c r="L392" s="839"/>
      <c r="M392" s="839"/>
      <c r="N392" s="839">
        <v>12050.84</v>
      </c>
      <c r="O392" s="839">
        <f t="shared" si="130"/>
        <v>66949.16</v>
      </c>
      <c r="P392" s="832">
        <f t="shared" si="131"/>
        <v>173</v>
      </c>
      <c r="Q392" s="833">
        <v>5</v>
      </c>
      <c r="R392" s="841">
        <f t="shared" si="132"/>
        <v>4.5260273972602736</v>
      </c>
      <c r="S392" s="861">
        <f t="shared" si="133"/>
        <v>6029.0928471232864</v>
      </c>
      <c r="T392" s="860">
        <f t="shared" si="134"/>
        <v>60920.06715287672</v>
      </c>
      <c r="U392" s="835">
        <f t="shared" si="135"/>
        <v>0</v>
      </c>
      <c r="V392" s="835">
        <f t="shared" si="136"/>
        <v>66949.16</v>
      </c>
    </row>
    <row r="393" spans="1:22">
      <c r="A393" s="816"/>
      <c r="B393" s="828">
        <f t="shared" si="137"/>
        <v>23</v>
      </c>
      <c r="C393" s="843" t="s">
        <v>189</v>
      </c>
      <c r="D393" s="844" t="s">
        <v>1735</v>
      </c>
      <c r="E393" s="843">
        <v>34629</v>
      </c>
      <c r="F393" s="830">
        <v>45188</v>
      </c>
      <c r="G393" s="830">
        <v>45209</v>
      </c>
      <c r="H393" s="843" t="s">
        <v>32</v>
      </c>
      <c r="I393" s="847">
        <f t="shared" si="129"/>
        <v>45209</v>
      </c>
      <c r="J393" s="831">
        <v>108800</v>
      </c>
      <c r="K393" s="831"/>
      <c r="L393" s="831"/>
      <c r="M393" s="831"/>
      <c r="N393" s="831">
        <v>16596</v>
      </c>
      <c r="O393" s="831">
        <f t="shared" si="130"/>
        <v>92204</v>
      </c>
      <c r="P393" s="832">
        <f t="shared" si="131"/>
        <v>173</v>
      </c>
      <c r="Q393" s="833">
        <v>5</v>
      </c>
      <c r="R393" s="834">
        <f t="shared" si="132"/>
        <v>4.5260273972602736</v>
      </c>
      <c r="S393" s="861">
        <f t="shared" si="133"/>
        <v>8303.4122739726045</v>
      </c>
      <c r="T393" s="860">
        <f t="shared" si="134"/>
        <v>83900.587726027399</v>
      </c>
      <c r="U393" s="835">
        <f t="shared" si="135"/>
        <v>0</v>
      </c>
      <c r="V393" s="835">
        <f t="shared" si="136"/>
        <v>92204</v>
      </c>
    </row>
    <row r="394" spans="1:22">
      <c r="A394" s="816"/>
      <c r="B394" s="828">
        <f t="shared" si="137"/>
        <v>24</v>
      </c>
      <c r="C394" s="843" t="s">
        <v>186</v>
      </c>
      <c r="D394" s="843" t="s">
        <v>1735</v>
      </c>
      <c r="E394" s="843">
        <v>34632</v>
      </c>
      <c r="F394" s="830">
        <v>45189</v>
      </c>
      <c r="G394" s="830">
        <v>45209</v>
      </c>
      <c r="H394" s="843" t="s">
        <v>4012</v>
      </c>
      <c r="I394" s="847">
        <f t="shared" si="129"/>
        <v>45209</v>
      </c>
      <c r="J394" s="831">
        <v>87000</v>
      </c>
      <c r="K394" s="831"/>
      <c r="L394" s="831"/>
      <c r="M394" s="831"/>
      <c r="N394" s="831">
        <v>13272</v>
      </c>
      <c r="O394" s="831">
        <f t="shared" si="130"/>
        <v>73728</v>
      </c>
      <c r="P394" s="832">
        <f t="shared" si="131"/>
        <v>173</v>
      </c>
      <c r="Q394" s="833">
        <v>5</v>
      </c>
      <c r="R394" s="834">
        <f t="shared" si="132"/>
        <v>4.5260273972602736</v>
      </c>
      <c r="S394" s="861">
        <f t="shared" si="133"/>
        <v>6639.5598904109575</v>
      </c>
      <c r="T394" s="860">
        <f t="shared" si="134"/>
        <v>67088.44010958905</v>
      </c>
      <c r="U394" s="835">
        <f t="shared" si="135"/>
        <v>0</v>
      </c>
      <c r="V394" s="835">
        <f t="shared" si="136"/>
        <v>73728</v>
      </c>
    </row>
    <row r="395" spans="1:22">
      <c r="A395" s="816"/>
      <c r="B395" s="828">
        <f t="shared" si="137"/>
        <v>25</v>
      </c>
      <c r="C395" s="843" t="s">
        <v>4015</v>
      </c>
      <c r="D395" s="843" t="s">
        <v>3461</v>
      </c>
      <c r="E395" s="843">
        <v>1185</v>
      </c>
      <c r="F395" s="847">
        <v>45108</v>
      </c>
      <c r="G395" s="847">
        <v>45108</v>
      </c>
      <c r="H395" s="843" t="s">
        <v>4016</v>
      </c>
      <c r="I395" s="847">
        <f t="shared" si="129"/>
        <v>45108</v>
      </c>
      <c r="J395" s="831">
        <v>10400</v>
      </c>
      <c r="K395" s="831"/>
      <c r="L395" s="831"/>
      <c r="M395" s="831"/>
      <c r="N395" s="831"/>
      <c r="O395" s="831">
        <f t="shared" si="130"/>
        <v>10400</v>
      </c>
      <c r="P395" s="832">
        <f t="shared" si="131"/>
        <v>274</v>
      </c>
      <c r="Q395" s="833">
        <v>5</v>
      </c>
      <c r="R395" s="834">
        <f t="shared" si="132"/>
        <v>4.2493150684931509</v>
      </c>
      <c r="S395" s="861">
        <f t="shared" si="133"/>
        <v>1483.3534246575343</v>
      </c>
      <c r="T395" s="860">
        <f t="shared" si="134"/>
        <v>8916.6465753424654</v>
      </c>
      <c r="U395" s="835">
        <f t="shared" si="135"/>
        <v>10400</v>
      </c>
      <c r="V395" s="835">
        <f t="shared" si="136"/>
        <v>0</v>
      </c>
    </row>
    <row r="396" spans="1:22">
      <c r="A396" s="816"/>
      <c r="B396" s="828"/>
      <c r="C396" s="863" t="s">
        <v>30</v>
      </c>
      <c r="D396" s="844"/>
      <c r="E396" s="843"/>
      <c r="F396" s="830"/>
      <c r="G396" s="830"/>
      <c r="H396" s="843"/>
      <c r="I396" s="830"/>
      <c r="J396" s="864">
        <f>SUBTOTAL(9,J371:J395)</f>
        <v>1641281.6</v>
      </c>
      <c r="K396" s="864"/>
      <c r="L396" s="864">
        <f>SUBTOTAL(9,L371:L395)</f>
        <v>0</v>
      </c>
      <c r="M396" s="864">
        <f>SUBTOTAL(9,M371:M395)</f>
        <v>0</v>
      </c>
      <c r="N396" s="864">
        <f>SUBTOTAL(9,N371:N395)</f>
        <v>231630.74576271189</v>
      </c>
      <c r="O396" s="864">
        <f>SUBTOTAL(9,O371:O395)</f>
        <v>1409650.854237288</v>
      </c>
      <c r="P396" s="832"/>
      <c r="Q396" s="859"/>
      <c r="R396" s="859"/>
      <c r="S396" s="864">
        <f>SUBTOTAL(9,S371:S395)</f>
        <v>70534.016822419318</v>
      </c>
      <c r="T396" s="864">
        <f>SUBTOTAL(9,T371:T395)</f>
        <v>1339116.8374148691</v>
      </c>
      <c r="U396" s="864">
        <f>SUBTOTAL(9,U371:U395)</f>
        <v>74139.254237288143</v>
      </c>
      <c r="V396" s="864">
        <f>SUBTOTAL(9,V371:V395)</f>
        <v>1335511.5999999999</v>
      </c>
    </row>
    <row r="397" spans="1:22" ht="22.5" customHeight="1">
      <c r="A397" s="816"/>
      <c r="B397" s="1234" t="s">
        <v>33</v>
      </c>
      <c r="C397" s="1235"/>
      <c r="D397" s="844"/>
      <c r="E397" s="843"/>
      <c r="F397" s="830"/>
      <c r="G397" s="830"/>
      <c r="H397" s="843"/>
      <c r="I397" s="830"/>
      <c r="J397" s="831"/>
      <c r="K397" s="831"/>
      <c r="L397" s="831"/>
      <c r="M397" s="831"/>
      <c r="N397" s="831"/>
      <c r="O397" s="831"/>
      <c r="P397" s="832"/>
      <c r="Q397" s="859"/>
      <c r="R397" s="859"/>
      <c r="S397" s="860"/>
      <c r="T397" s="860"/>
      <c r="U397" s="861"/>
      <c r="V397" s="861"/>
    </row>
    <row r="398" spans="1:22">
      <c r="A398" s="816"/>
      <c r="B398" s="865">
        <v>1</v>
      </c>
      <c r="C398" s="836" t="s">
        <v>4017</v>
      </c>
      <c r="D398" s="836" t="s">
        <v>2474</v>
      </c>
      <c r="E398" s="836"/>
      <c r="F398" s="837">
        <v>45198</v>
      </c>
      <c r="G398" s="837">
        <v>45198</v>
      </c>
      <c r="H398" s="836" t="s">
        <v>414</v>
      </c>
      <c r="I398" s="847">
        <f t="shared" ref="I398:I402" si="138">MAX(F398,G398)</f>
        <v>45198</v>
      </c>
      <c r="J398" s="839">
        <v>171450</v>
      </c>
      <c r="K398" s="839"/>
      <c r="L398" s="839"/>
      <c r="M398" s="839"/>
      <c r="N398" s="839"/>
      <c r="O398" s="839">
        <f>J398+L398-M398-N398</f>
        <v>171450</v>
      </c>
      <c r="P398" s="866"/>
      <c r="Q398" s="867">
        <v>0</v>
      </c>
      <c r="R398" s="867"/>
      <c r="S398" s="868"/>
      <c r="T398" s="868">
        <f>O398-S398</f>
        <v>171450</v>
      </c>
      <c r="U398" s="835">
        <v>0</v>
      </c>
      <c r="V398" s="835">
        <f t="shared" ref="V398:V402" si="139">IF(I398&gt;DATE(2023,9,30),O398,0)</f>
        <v>0</v>
      </c>
    </row>
    <row r="399" spans="1:22">
      <c r="A399" s="816"/>
      <c r="B399" s="865">
        <v>2</v>
      </c>
      <c r="C399" s="836" t="s">
        <v>33</v>
      </c>
      <c r="D399" s="836" t="s">
        <v>2474</v>
      </c>
      <c r="E399" s="836"/>
      <c r="F399" s="837">
        <v>45134</v>
      </c>
      <c r="G399" s="837">
        <v>45134</v>
      </c>
      <c r="H399" s="836" t="s">
        <v>4018</v>
      </c>
      <c r="I399" s="847">
        <f t="shared" si="138"/>
        <v>45134</v>
      </c>
      <c r="J399" s="839">
        <v>546000</v>
      </c>
      <c r="K399" s="839"/>
      <c r="L399" s="839"/>
      <c r="M399" s="839"/>
      <c r="N399" s="839"/>
      <c r="O399" s="839">
        <f>J399+L399-M399-N399</f>
        <v>546000</v>
      </c>
      <c r="P399" s="866"/>
      <c r="Q399" s="867">
        <v>0</v>
      </c>
      <c r="R399" s="867"/>
      <c r="S399" s="868"/>
      <c r="T399" s="868">
        <f>O399-S399</f>
        <v>546000</v>
      </c>
      <c r="U399" s="835">
        <v>0</v>
      </c>
      <c r="V399" s="835">
        <f t="shared" si="139"/>
        <v>0</v>
      </c>
    </row>
    <row r="400" spans="1:22">
      <c r="A400" s="816"/>
      <c r="B400" s="865">
        <v>3</v>
      </c>
      <c r="C400" s="836" t="s">
        <v>33</v>
      </c>
      <c r="D400" s="836" t="s">
        <v>2474</v>
      </c>
      <c r="E400" s="836"/>
      <c r="F400" s="837">
        <v>45028</v>
      </c>
      <c r="G400" s="837">
        <v>45028</v>
      </c>
      <c r="H400" s="836" t="s">
        <v>4019</v>
      </c>
      <c r="I400" s="847">
        <f t="shared" si="138"/>
        <v>45028</v>
      </c>
      <c r="J400" s="839">
        <v>948000</v>
      </c>
      <c r="K400" s="839"/>
      <c r="L400" s="839"/>
      <c r="M400" s="839"/>
      <c r="N400" s="839"/>
      <c r="O400" s="839">
        <f>J400+L400-M400-N400</f>
        <v>948000</v>
      </c>
      <c r="P400" s="866"/>
      <c r="Q400" s="867">
        <v>0</v>
      </c>
      <c r="R400" s="867"/>
      <c r="S400" s="868"/>
      <c r="T400" s="868">
        <f>O400-S400</f>
        <v>948000</v>
      </c>
      <c r="U400" s="835">
        <v>0</v>
      </c>
      <c r="V400" s="835">
        <f t="shared" si="139"/>
        <v>0</v>
      </c>
    </row>
    <row r="401" spans="1:22">
      <c r="A401" s="816"/>
      <c r="B401" s="865">
        <v>4</v>
      </c>
      <c r="C401" s="843" t="s">
        <v>33</v>
      </c>
      <c r="D401" s="843" t="s">
        <v>2474</v>
      </c>
      <c r="E401" s="843"/>
      <c r="F401" s="830">
        <v>45028</v>
      </c>
      <c r="G401" s="830">
        <v>45028</v>
      </c>
      <c r="H401" s="843" t="s">
        <v>4020</v>
      </c>
      <c r="I401" s="847">
        <f t="shared" si="138"/>
        <v>45028</v>
      </c>
      <c r="J401" s="839">
        <v>600000</v>
      </c>
      <c r="K401" s="839"/>
      <c r="L401" s="839"/>
      <c r="M401" s="839"/>
      <c r="N401" s="839"/>
      <c r="O401" s="839">
        <f>J401+L401-M401-N401</f>
        <v>600000</v>
      </c>
      <c r="P401" s="866"/>
      <c r="Q401" s="867">
        <v>0</v>
      </c>
      <c r="R401" s="867"/>
      <c r="S401" s="868"/>
      <c r="T401" s="868">
        <f>O401-S401</f>
        <v>600000</v>
      </c>
      <c r="U401" s="835">
        <v>0</v>
      </c>
      <c r="V401" s="835">
        <f t="shared" si="139"/>
        <v>0</v>
      </c>
    </row>
    <row r="402" spans="1:22">
      <c r="A402" s="816"/>
      <c r="B402" s="865">
        <v>5</v>
      </c>
      <c r="C402" s="843" t="s">
        <v>33</v>
      </c>
      <c r="D402" s="843" t="s">
        <v>2474</v>
      </c>
      <c r="E402" s="843"/>
      <c r="F402" s="830">
        <v>45379</v>
      </c>
      <c r="G402" s="830">
        <v>45379</v>
      </c>
      <c r="H402" s="843" t="s">
        <v>4230</v>
      </c>
      <c r="I402" s="847">
        <f t="shared" si="138"/>
        <v>45379</v>
      </c>
      <c r="J402" s="839">
        <v>464000</v>
      </c>
      <c r="K402" s="839"/>
      <c r="L402" s="839"/>
      <c r="M402" s="839"/>
      <c r="N402" s="839"/>
      <c r="O402" s="839">
        <f>J402+L402-M402-N402</f>
        <v>464000</v>
      </c>
      <c r="P402" s="866"/>
      <c r="Q402" s="867">
        <v>0</v>
      </c>
      <c r="R402" s="867"/>
      <c r="S402" s="868"/>
      <c r="T402" s="868">
        <f>O402-S402</f>
        <v>464000</v>
      </c>
      <c r="U402" s="835"/>
      <c r="V402" s="835">
        <f t="shared" si="139"/>
        <v>464000</v>
      </c>
    </row>
    <row r="403" spans="1:22">
      <c r="A403" s="816"/>
      <c r="B403" s="828"/>
      <c r="C403" s="843"/>
      <c r="D403" s="843"/>
      <c r="E403" s="843"/>
      <c r="F403" s="830"/>
      <c r="G403" s="830"/>
      <c r="H403" s="843"/>
      <c r="I403" s="864"/>
      <c r="J403" s="864">
        <f>SUBTOTAL(9,J398:J402)</f>
        <v>2729450</v>
      </c>
      <c r="K403" s="864"/>
      <c r="L403" s="864">
        <f t="shared" ref="L403:N403" si="140">SUBTOTAL(9,L398:L401)</f>
        <v>0</v>
      </c>
      <c r="M403" s="864">
        <f t="shared" si="140"/>
        <v>0</v>
      </c>
      <c r="N403" s="864">
        <f t="shared" si="140"/>
        <v>0</v>
      </c>
      <c r="O403" s="864">
        <f>SUBTOTAL(9,O398:O402)</f>
        <v>2729450</v>
      </c>
      <c r="P403" s="832" t="s">
        <v>24</v>
      </c>
      <c r="Q403" s="859"/>
      <c r="R403" s="859"/>
      <c r="S403" s="864">
        <f t="shared" ref="S403" si="141">SUBTOTAL(9,S398:S401)</f>
        <v>0</v>
      </c>
      <c r="T403" s="864">
        <f>SUBTOTAL(9,T398:T402)</f>
        <v>2729450</v>
      </c>
      <c r="U403" s="864">
        <v>0</v>
      </c>
      <c r="V403" s="864">
        <f>SUBTOTAL(9,V398:V400)</f>
        <v>0</v>
      </c>
    </row>
    <row r="404" spans="1:22" ht="23.25">
      <c r="A404" s="816"/>
      <c r="B404" s="1234" t="s">
        <v>34</v>
      </c>
      <c r="C404" s="1235"/>
      <c r="D404" s="843"/>
      <c r="E404" s="843"/>
      <c r="F404" s="830"/>
      <c r="G404" s="830"/>
      <c r="H404" s="843"/>
      <c r="I404" s="830"/>
      <c r="J404" s="864"/>
      <c r="K404" s="864"/>
      <c r="L404" s="864"/>
      <c r="M404" s="864"/>
      <c r="N404" s="864"/>
      <c r="O404" s="864"/>
      <c r="P404" s="832" t="s">
        <v>24</v>
      </c>
      <c r="Q404" s="859"/>
      <c r="R404" s="859"/>
      <c r="S404" s="864"/>
      <c r="T404" s="864"/>
      <c r="U404" s="864"/>
      <c r="V404" s="864"/>
    </row>
    <row r="405" spans="1:22" ht="15.75" customHeight="1">
      <c r="A405" s="816"/>
      <c r="B405" s="828">
        <v>1</v>
      </c>
      <c r="C405" s="843" t="s">
        <v>4021</v>
      </c>
      <c r="D405" s="829" t="s">
        <v>35</v>
      </c>
      <c r="E405" s="845" t="s">
        <v>4022</v>
      </c>
      <c r="F405" s="847">
        <v>45046</v>
      </c>
      <c r="G405" s="847">
        <v>45107</v>
      </c>
      <c r="H405" s="843" t="s">
        <v>280</v>
      </c>
      <c r="I405" s="847">
        <f t="shared" ref="I405:I446" si="142">MAX(F405,G405)</f>
        <v>45107</v>
      </c>
      <c r="J405" s="831">
        <v>59885</v>
      </c>
      <c r="K405" s="831"/>
      <c r="L405" s="831"/>
      <c r="M405" s="831"/>
      <c r="N405" s="831">
        <v>9135</v>
      </c>
      <c r="O405" s="831">
        <f t="shared" ref="O405:O446" si="143">J405+L405-M405-N405</f>
        <v>50750</v>
      </c>
      <c r="P405" s="832">
        <f t="shared" ref="P405:P446" si="144">$P$1-I405</f>
        <v>275</v>
      </c>
      <c r="Q405" s="833">
        <v>2</v>
      </c>
      <c r="R405" s="834">
        <f t="shared" ref="R405:R432" si="145">Q405-(P405/365)</f>
        <v>1.2465753424657535</v>
      </c>
      <c r="S405" s="861">
        <f t="shared" ref="S405:S446" si="146">O405*95%/Q405*P405/365</f>
        <v>18162.243150684932</v>
      </c>
      <c r="T405" s="860">
        <f t="shared" ref="T405:T446" si="147">O405-S405</f>
        <v>32587.756849315068</v>
      </c>
      <c r="U405" s="835">
        <f t="shared" ref="U405:U446" si="148">IF(I405&lt;=DATE(2023,9,30),O405,0)</f>
        <v>50750</v>
      </c>
      <c r="V405" s="835">
        <f t="shared" ref="V405:V446" si="149">IF(I405&gt;DATE(2023,10,1),O405,0)</f>
        <v>0</v>
      </c>
    </row>
    <row r="406" spans="1:22" ht="15.75" customHeight="1">
      <c r="A406" s="816"/>
      <c r="B406" s="828">
        <v>2</v>
      </c>
      <c r="C406" s="829" t="s">
        <v>4021</v>
      </c>
      <c r="D406" s="829" t="s">
        <v>35</v>
      </c>
      <c r="E406" s="829" t="s">
        <v>4023</v>
      </c>
      <c r="F406" s="848">
        <v>45216</v>
      </c>
      <c r="G406" s="848">
        <v>45230</v>
      </c>
      <c r="H406" s="829" t="s">
        <v>280</v>
      </c>
      <c r="I406" s="830">
        <f t="shared" si="142"/>
        <v>45230</v>
      </c>
      <c r="J406" s="831">
        <v>89208</v>
      </c>
      <c r="K406" s="831"/>
      <c r="L406" s="831"/>
      <c r="M406" s="831"/>
      <c r="N406" s="831">
        <v>13608</v>
      </c>
      <c r="O406" s="831">
        <f t="shared" si="143"/>
        <v>75600</v>
      </c>
      <c r="P406" s="832">
        <f t="shared" si="144"/>
        <v>152</v>
      </c>
      <c r="Q406" s="833">
        <v>2</v>
      </c>
      <c r="R406" s="834">
        <f t="shared" si="145"/>
        <v>1.5835616438356164</v>
      </c>
      <c r="S406" s="861">
        <f t="shared" si="146"/>
        <v>14954.301369863013</v>
      </c>
      <c r="T406" s="860">
        <f t="shared" si="147"/>
        <v>60645.698630136991</v>
      </c>
      <c r="U406" s="835">
        <f t="shared" si="148"/>
        <v>0</v>
      </c>
      <c r="V406" s="835">
        <f t="shared" si="149"/>
        <v>75600</v>
      </c>
    </row>
    <row r="407" spans="1:22" ht="15.75" customHeight="1">
      <c r="A407" s="816"/>
      <c r="B407" s="828">
        <f>+B406+1</f>
        <v>3</v>
      </c>
      <c r="C407" s="829" t="s">
        <v>4021</v>
      </c>
      <c r="D407" s="829" t="s">
        <v>35</v>
      </c>
      <c r="E407" s="829" t="s">
        <v>4024</v>
      </c>
      <c r="F407" s="848">
        <v>45271</v>
      </c>
      <c r="G407" s="848">
        <v>45281</v>
      </c>
      <c r="H407" s="829" t="s">
        <v>280</v>
      </c>
      <c r="I407" s="830">
        <f t="shared" si="142"/>
        <v>45281</v>
      </c>
      <c r="J407" s="831">
        <v>42362</v>
      </c>
      <c r="K407" s="831"/>
      <c r="L407" s="831"/>
      <c r="M407" s="831"/>
      <c r="N407" s="831">
        <v>6462</v>
      </c>
      <c r="O407" s="831">
        <f t="shared" si="143"/>
        <v>35900</v>
      </c>
      <c r="P407" s="832">
        <f t="shared" si="144"/>
        <v>101</v>
      </c>
      <c r="Q407" s="833">
        <v>2</v>
      </c>
      <c r="R407" s="834">
        <f t="shared" si="145"/>
        <v>1.7232876712328768</v>
      </c>
      <c r="S407" s="861">
        <f t="shared" si="146"/>
        <v>4718.6369863013697</v>
      </c>
      <c r="T407" s="860">
        <f t="shared" si="147"/>
        <v>31181.363013698632</v>
      </c>
      <c r="U407" s="835">
        <f t="shared" si="148"/>
        <v>0</v>
      </c>
      <c r="V407" s="835">
        <f t="shared" si="149"/>
        <v>35900</v>
      </c>
    </row>
    <row r="408" spans="1:22">
      <c r="A408" s="816"/>
      <c r="B408" s="828">
        <f t="shared" ref="B408:B446" si="150">+B407+1</f>
        <v>4</v>
      </c>
      <c r="C408" s="843" t="s">
        <v>4025</v>
      </c>
      <c r="D408" s="829" t="s">
        <v>35</v>
      </c>
      <c r="E408" s="843" t="s">
        <v>4026</v>
      </c>
      <c r="F408" s="847">
        <v>45227</v>
      </c>
      <c r="G408" s="847">
        <v>45227</v>
      </c>
      <c r="H408" s="843" t="s">
        <v>280</v>
      </c>
      <c r="I408" s="830">
        <f t="shared" si="142"/>
        <v>45227</v>
      </c>
      <c r="J408" s="831">
        <v>127440</v>
      </c>
      <c r="K408" s="831"/>
      <c r="L408" s="831"/>
      <c r="M408" s="831"/>
      <c r="N408" s="831">
        <v>19440</v>
      </c>
      <c r="O408" s="831">
        <f t="shared" si="143"/>
        <v>108000</v>
      </c>
      <c r="P408" s="832">
        <f t="shared" si="144"/>
        <v>155</v>
      </c>
      <c r="Q408" s="833">
        <v>2</v>
      </c>
      <c r="R408" s="834">
        <f t="shared" si="145"/>
        <v>1.5753424657534247</v>
      </c>
      <c r="S408" s="861">
        <f t="shared" si="146"/>
        <v>21784.931506849316</v>
      </c>
      <c r="T408" s="860">
        <f t="shared" si="147"/>
        <v>86215.068493150684</v>
      </c>
      <c r="U408" s="835">
        <f t="shared" si="148"/>
        <v>0</v>
      </c>
      <c r="V408" s="835">
        <f t="shared" si="149"/>
        <v>108000</v>
      </c>
    </row>
    <row r="409" spans="1:22">
      <c r="A409" s="816"/>
      <c r="B409" s="828">
        <f t="shared" si="150"/>
        <v>5</v>
      </c>
      <c r="C409" s="843" t="s">
        <v>822</v>
      </c>
      <c r="D409" s="829" t="s">
        <v>35</v>
      </c>
      <c r="E409" s="845" t="s">
        <v>4027</v>
      </c>
      <c r="F409" s="847">
        <v>45160</v>
      </c>
      <c r="G409" s="847">
        <v>45160</v>
      </c>
      <c r="H409" s="843" t="s">
        <v>4028</v>
      </c>
      <c r="I409" s="847">
        <f t="shared" si="142"/>
        <v>45160</v>
      </c>
      <c r="J409" s="831">
        <v>172469</v>
      </c>
      <c r="K409" s="831"/>
      <c r="L409" s="831"/>
      <c r="M409" s="831"/>
      <c r="N409" s="831">
        <v>26308</v>
      </c>
      <c r="O409" s="831">
        <f t="shared" si="143"/>
        <v>146161</v>
      </c>
      <c r="P409" s="832">
        <f t="shared" si="144"/>
        <v>222</v>
      </c>
      <c r="Q409" s="833">
        <v>2</v>
      </c>
      <c r="R409" s="834">
        <f t="shared" si="145"/>
        <v>1.3917808219178083</v>
      </c>
      <c r="S409" s="861">
        <f t="shared" si="146"/>
        <v>42226.513561643827</v>
      </c>
      <c r="T409" s="860">
        <f t="shared" si="147"/>
        <v>103934.48643835617</v>
      </c>
      <c r="U409" s="835">
        <f t="shared" si="148"/>
        <v>146161</v>
      </c>
      <c r="V409" s="835">
        <f t="shared" si="149"/>
        <v>0</v>
      </c>
    </row>
    <row r="410" spans="1:22">
      <c r="A410" s="816"/>
      <c r="B410" s="828">
        <f t="shared" si="150"/>
        <v>6</v>
      </c>
      <c r="C410" s="843" t="s">
        <v>822</v>
      </c>
      <c r="D410" s="829" t="s">
        <v>35</v>
      </c>
      <c r="E410" s="845" t="s">
        <v>4029</v>
      </c>
      <c r="F410" s="847">
        <v>45161</v>
      </c>
      <c r="G410" s="847">
        <v>45161</v>
      </c>
      <c r="H410" s="843" t="s">
        <v>4028</v>
      </c>
      <c r="I410" s="847">
        <f t="shared" si="142"/>
        <v>45161</v>
      </c>
      <c r="J410" s="831">
        <v>171494</v>
      </c>
      <c r="K410" s="831"/>
      <c r="L410" s="831"/>
      <c r="M410" s="831"/>
      <c r="N410" s="831">
        <v>26160</v>
      </c>
      <c r="O410" s="831">
        <f t="shared" si="143"/>
        <v>145334</v>
      </c>
      <c r="P410" s="832">
        <f t="shared" si="144"/>
        <v>221</v>
      </c>
      <c r="Q410" s="833">
        <v>2</v>
      </c>
      <c r="R410" s="834">
        <f t="shared" si="145"/>
        <v>1.3945205479452056</v>
      </c>
      <c r="S410" s="861">
        <f t="shared" si="146"/>
        <v>41798.456575342461</v>
      </c>
      <c r="T410" s="860">
        <f t="shared" si="147"/>
        <v>103535.54342465755</v>
      </c>
      <c r="U410" s="835">
        <f t="shared" si="148"/>
        <v>145334</v>
      </c>
      <c r="V410" s="835">
        <f t="shared" si="149"/>
        <v>0</v>
      </c>
    </row>
    <row r="411" spans="1:22">
      <c r="A411" s="816"/>
      <c r="B411" s="828">
        <f t="shared" si="150"/>
        <v>7</v>
      </c>
      <c r="C411" s="829" t="s">
        <v>538</v>
      </c>
      <c r="D411" s="829" t="s">
        <v>3614</v>
      </c>
      <c r="E411" s="829" t="s">
        <v>4030</v>
      </c>
      <c r="F411" s="848">
        <v>45051</v>
      </c>
      <c r="G411" s="869">
        <v>45107</v>
      </c>
      <c r="H411" s="829" t="s">
        <v>280</v>
      </c>
      <c r="I411" s="830">
        <f t="shared" si="142"/>
        <v>45107</v>
      </c>
      <c r="J411" s="831">
        <f>44090-364*1.18</f>
        <v>43660.480000000003</v>
      </c>
      <c r="K411" s="831"/>
      <c r="L411" s="831"/>
      <c r="M411" s="831"/>
      <c r="N411" s="831">
        <f>J411*0.18/1.18</f>
        <v>6660.0732203389834</v>
      </c>
      <c r="O411" s="831">
        <f t="shared" si="143"/>
        <v>37000.406779661018</v>
      </c>
      <c r="P411" s="832">
        <f t="shared" si="144"/>
        <v>275</v>
      </c>
      <c r="Q411" s="833">
        <v>2</v>
      </c>
      <c r="R411" s="834">
        <f t="shared" si="145"/>
        <v>1.2465753424657535</v>
      </c>
      <c r="S411" s="861">
        <f t="shared" si="146"/>
        <v>13241.583933132111</v>
      </c>
      <c r="T411" s="860">
        <f t="shared" si="147"/>
        <v>23758.822846528907</v>
      </c>
      <c r="U411" s="835">
        <f t="shared" si="148"/>
        <v>37000.406779661018</v>
      </c>
      <c r="V411" s="835">
        <f t="shared" si="149"/>
        <v>0</v>
      </c>
    </row>
    <row r="412" spans="1:22">
      <c r="A412" s="816"/>
      <c r="B412" s="828">
        <f t="shared" si="150"/>
        <v>8</v>
      </c>
      <c r="C412" s="829" t="s">
        <v>822</v>
      </c>
      <c r="D412" s="829" t="s">
        <v>3614</v>
      </c>
      <c r="E412" s="829" t="s">
        <v>4031</v>
      </c>
      <c r="F412" s="848">
        <v>45055</v>
      </c>
      <c r="G412" s="869">
        <v>45056</v>
      </c>
      <c r="H412" s="829" t="s">
        <v>280</v>
      </c>
      <c r="I412" s="830">
        <f t="shared" si="142"/>
        <v>45056</v>
      </c>
      <c r="J412" s="831">
        <v>15840</v>
      </c>
      <c r="K412" s="831"/>
      <c r="L412" s="831"/>
      <c r="M412" s="831"/>
      <c r="N412" s="831">
        <v>2416</v>
      </c>
      <c r="O412" s="831">
        <f t="shared" si="143"/>
        <v>13424</v>
      </c>
      <c r="P412" s="832">
        <f t="shared" si="144"/>
        <v>326</v>
      </c>
      <c r="Q412" s="833">
        <v>2</v>
      </c>
      <c r="R412" s="834">
        <f t="shared" si="145"/>
        <v>1.106849315068493</v>
      </c>
      <c r="S412" s="861">
        <f t="shared" si="146"/>
        <v>5695.0860273972603</v>
      </c>
      <c r="T412" s="860">
        <f t="shared" si="147"/>
        <v>7728.9139726027397</v>
      </c>
      <c r="U412" s="835">
        <f t="shared" si="148"/>
        <v>13424</v>
      </c>
      <c r="V412" s="835">
        <f t="shared" si="149"/>
        <v>0</v>
      </c>
    </row>
    <row r="413" spans="1:22">
      <c r="A413" s="816"/>
      <c r="B413" s="828">
        <f t="shared" si="150"/>
        <v>9</v>
      </c>
      <c r="C413" s="829" t="s">
        <v>4032</v>
      </c>
      <c r="D413" s="844" t="s">
        <v>3705</v>
      </c>
      <c r="E413" s="829" t="s">
        <v>4033</v>
      </c>
      <c r="F413" s="848">
        <v>45269</v>
      </c>
      <c r="G413" s="848">
        <v>45269</v>
      </c>
      <c r="H413" s="829" t="s">
        <v>4034</v>
      </c>
      <c r="I413" s="830">
        <f t="shared" si="142"/>
        <v>45269</v>
      </c>
      <c r="J413" s="831">
        <v>318600</v>
      </c>
      <c r="K413" s="831"/>
      <c r="L413" s="831"/>
      <c r="M413" s="831"/>
      <c r="N413" s="831">
        <v>48600</v>
      </c>
      <c r="O413" s="831">
        <f t="shared" si="143"/>
        <v>270000</v>
      </c>
      <c r="P413" s="832">
        <f t="shared" si="144"/>
        <v>113</v>
      </c>
      <c r="Q413" s="833">
        <v>2</v>
      </c>
      <c r="R413" s="834">
        <f t="shared" si="145"/>
        <v>1.6904109589041096</v>
      </c>
      <c r="S413" s="861">
        <f t="shared" si="146"/>
        <v>39704.794520547948</v>
      </c>
      <c r="T413" s="860">
        <f t="shared" si="147"/>
        <v>230295.20547945204</v>
      </c>
      <c r="U413" s="835">
        <f t="shared" si="148"/>
        <v>0</v>
      </c>
      <c r="V413" s="835">
        <f t="shared" si="149"/>
        <v>270000</v>
      </c>
    </row>
    <row r="414" spans="1:22">
      <c r="A414" s="816"/>
      <c r="B414" s="828">
        <f t="shared" si="150"/>
        <v>10</v>
      </c>
      <c r="C414" s="829" t="s">
        <v>4035</v>
      </c>
      <c r="D414" s="844" t="s">
        <v>3705</v>
      </c>
      <c r="E414" s="829" t="s">
        <v>4036</v>
      </c>
      <c r="F414" s="848">
        <v>45269</v>
      </c>
      <c r="G414" s="848">
        <v>45269</v>
      </c>
      <c r="H414" s="829" t="s">
        <v>4034</v>
      </c>
      <c r="I414" s="830">
        <f t="shared" si="142"/>
        <v>45269</v>
      </c>
      <c r="J414" s="831">
        <v>259600</v>
      </c>
      <c r="K414" s="831"/>
      <c r="L414" s="831"/>
      <c r="M414" s="831"/>
      <c r="N414" s="831">
        <v>39600</v>
      </c>
      <c r="O414" s="831">
        <f t="shared" si="143"/>
        <v>220000</v>
      </c>
      <c r="P414" s="832">
        <f t="shared" si="144"/>
        <v>113</v>
      </c>
      <c r="Q414" s="833">
        <v>2</v>
      </c>
      <c r="R414" s="834">
        <f t="shared" si="145"/>
        <v>1.6904109589041096</v>
      </c>
      <c r="S414" s="861">
        <f t="shared" si="146"/>
        <v>32352.054794520547</v>
      </c>
      <c r="T414" s="860">
        <f t="shared" si="147"/>
        <v>187647.94520547945</v>
      </c>
      <c r="U414" s="835">
        <f t="shared" si="148"/>
        <v>0</v>
      </c>
      <c r="V414" s="835">
        <f t="shared" si="149"/>
        <v>220000</v>
      </c>
    </row>
    <row r="415" spans="1:22">
      <c r="A415" s="816"/>
      <c r="B415" s="828">
        <f t="shared" si="150"/>
        <v>11</v>
      </c>
      <c r="C415" s="829" t="s">
        <v>4037</v>
      </c>
      <c r="D415" s="844" t="s">
        <v>3705</v>
      </c>
      <c r="E415" s="829" t="s">
        <v>4038</v>
      </c>
      <c r="F415" s="848">
        <v>45274</v>
      </c>
      <c r="G415" s="848">
        <v>45274</v>
      </c>
      <c r="H415" s="829" t="s">
        <v>4034</v>
      </c>
      <c r="I415" s="830">
        <f t="shared" si="142"/>
        <v>45274</v>
      </c>
      <c r="J415" s="831">
        <v>467280</v>
      </c>
      <c r="K415" s="831"/>
      <c r="L415" s="831"/>
      <c r="M415" s="831"/>
      <c r="N415" s="831">
        <v>71280</v>
      </c>
      <c r="O415" s="831">
        <f t="shared" si="143"/>
        <v>396000</v>
      </c>
      <c r="P415" s="832">
        <f t="shared" si="144"/>
        <v>108</v>
      </c>
      <c r="Q415" s="833">
        <v>2</v>
      </c>
      <c r="R415" s="834">
        <f t="shared" si="145"/>
        <v>1.7041095890410958</v>
      </c>
      <c r="S415" s="861">
        <f t="shared" si="146"/>
        <v>55656.986301369863</v>
      </c>
      <c r="T415" s="860">
        <f t="shared" si="147"/>
        <v>340343.01369863015</v>
      </c>
      <c r="U415" s="835">
        <f t="shared" si="148"/>
        <v>0</v>
      </c>
      <c r="V415" s="835">
        <f t="shared" si="149"/>
        <v>396000</v>
      </c>
    </row>
    <row r="416" spans="1:22">
      <c r="A416" s="816"/>
      <c r="B416" s="828">
        <f t="shared" si="150"/>
        <v>12</v>
      </c>
      <c r="C416" s="829" t="s">
        <v>4039</v>
      </c>
      <c r="D416" s="844" t="s">
        <v>3705</v>
      </c>
      <c r="E416" s="829" t="s">
        <v>4040</v>
      </c>
      <c r="F416" s="848">
        <v>45269</v>
      </c>
      <c r="G416" s="869">
        <v>45269</v>
      </c>
      <c r="H416" s="829" t="s">
        <v>4034</v>
      </c>
      <c r="I416" s="830">
        <f t="shared" si="142"/>
        <v>45269</v>
      </c>
      <c r="J416" s="831">
        <v>217120</v>
      </c>
      <c r="K416" s="831"/>
      <c r="L416" s="831"/>
      <c r="M416" s="831"/>
      <c r="N416" s="831">
        <v>33120</v>
      </c>
      <c r="O416" s="831">
        <f t="shared" si="143"/>
        <v>184000</v>
      </c>
      <c r="P416" s="832">
        <f t="shared" si="144"/>
        <v>113</v>
      </c>
      <c r="Q416" s="833">
        <v>2</v>
      </c>
      <c r="R416" s="834">
        <f t="shared" si="145"/>
        <v>1.6904109589041096</v>
      </c>
      <c r="S416" s="861">
        <f t="shared" si="146"/>
        <v>27058.082191780821</v>
      </c>
      <c r="T416" s="860">
        <f t="shared" si="147"/>
        <v>156941.91780821918</v>
      </c>
      <c r="U416" s="835">
        <f t="shared" si="148"/>
        <v>0</v>
      </c>
      <c r="V416" s="835">
        <f t="shared" si="149"/>
        <v>184000</v>
      </c>
    </row>
    <row r="417" spans="1:22">
      <c r="A417" s="816"/>
      <c r="B417" s="828">
        <f t="shared" si="150"/>
        <v>13</v>
      </c>
      <c r="C417" s="829" t="s">
        <v>4041</v>
      </c>
      <c r="D417" s="844" t="s">
        <v>3705</v>
      </c>
      <c r="E417" s="829" t="s">
        <v>4042</v>
      </c>
      <c r="F417" s="848">
        <v>45213</v>
      </c>
      <c r="G417" s="869">
        <v>45213</v>
      </c>
      <c r="H417" s="829" t="s">
        <v>4043</v>
      </c>
      <c r="I417" s="830">
        <f t="shared" si="142"/>
        <v>45213</v>
      </c>
      <c r="J417" s="831">
        <v>523920</v>
      </c>
      <c r="K417" s="831"/>
      <c r="L417" s="831"/>
      <c r="M417" s="831"/>
      <c r="N417" s="831">
        <v>79920</v>
      </c>
      <c r="O417" s="831">
        <f t="shared" si="143"/>
        <v>444000</v>
      </c>
      <c r="P417" s="832">
        <f t="shared" si="144"/>
        <v>169</v>
      </c>
      <c r="Q417" s="833">
        <v>2</v>
      </c>
      <c r="R417" s="834">
        <f t="shared" si="145"/>
        <v>1.536986301369863</v>
      </c>
      <c r="S417" s="861">
        <f t="shared" si="146"/>
        <v>97649.589041095896</v>
      </c>
      <c r="T417" s="860">
        <f t="shared" si="147"/>
        <v>346350.41095890407</v>
      </c>
      <c r="U417" s="835">
        <f t="shared" si="148"/>
        <v>0</v>
      </c>
      <c r="V417" s="835">
        <f t="shared" si="149"/>
        <v>444000</v>
      </c>
    </row>
    <row r="418" spans="1:22">
      <c r="A418" s="816"/>
      <c r="B418" s="828">
        <f t="shared" si="150"/>
        <v>14</v>
      </c>
      <c r="C418" s="829" t="s">
        <v>4041</v>
      </c>
      <c r="D418" s="844" t="s">
        <v>3705</v>
      </c>
      <c r="E418" s="829" t="s">
        <v>4044</v>
      </c>
      <c r="F418" s="848">
        <v>45234</v>
      </c>
      <c r="G418" s="869">
        <v>45234</v>
      </c>
      <c r="H418" s="829" t="s">
        <v>4043</v>
      </c>
      <c r="I418" s="830">
        <f t="shared" si="142"/>
        <v>45234</v>
      </c>
      <c r="J418" s="831">
        <v>304440</v>
      </c>
      <c r="K418" s="831"/>
      <c r="L418" s="831"/>
      <c r="M418" s="831"/>
      <c r="N418" s="831">
        <v>46440</v>
      </c>
      <c r="O418" s="831">
        <f t="shared" si="143"/>
        <v>258000</v>
      </c>
      <c r="P418" s="832">
        <f t="shared" si="144"/>
        <v>148</v>
      </c>
      <c r="Q418" s="833">
        <v>2</v>
      </c>
      <c r="R418" s="834">
        <f t="shared" si="145"/>
        <v>1.5945205479452054</v>
      </c>
      <c r="S418" s="861">
        <f t="shared" si="146"/>
        <v>49691.506849315068</v>
      </c>
      <c r="T418" s="860">
        <f t="shared" si="147"/>
        <v>208308.49315068492</v>
      </c>
      <c r="U418" s="835">
        <f t="shared" si="148"/>
        <v>0</v>
      </c>
      <c r="V418" s="835">
        <f t="shared" si="149"/>
        <v>258000</v>
      </c>
    </row>
    <row r="419" spans="1:22" ht="15.75" customHeight="1">
      <c r="A419" s="816"/>
      <c r="B419" s="828">
        <f t="shared" si="150"/>
        <v>15</v>
      </c>
      <c r="C419" s="843" t="s">
        <v>4045</v>
      </c>
      <c r="D419" s="870" t="s">
        <v>3427</v>
      </c>
      <c r="E419" s="845">
        <v>206</v>
      </c>
      <c r="F419" s="847">
        <v>45127</v>
      </c>
      <c r="G419" s="847">
        <v>45195</v>
      </c>
      <c r="H419" s="843" t="s">
        <v>4046</v>
      </c>
      <c r="I419" s="847">
        <f t="shared" si="142"/>
        <v>45195</v>
      </c>
      <c r="J419" s="831">
        <v>20650</v>
      </c>
      <c r="K419" s="831"/>
      <c r="L419" s="831"/>
      <c r="M419" s="831"/>
      <c r="N419" s="831">
        <v>3150</v>
      </c>
      <c r="O419" s="831">
        <f t="shared" si="143"/>
        <v>17500</v>
      </c>
      <c r="P419" s="832">
        <f t="shared" si="144"/>
        <v>187</v>
      </c>
      <c r="Q419" s="833">
        <v>2</v>
      </c>
      <c r="R419" s="834">
        <f t="shared" si="145"/>
        <v>1.4876712328767123</v>
      </c>
      <c r="S419" s="861">
        <f t="shared" si="146"/>
        <v>4258.732876712329</v>
      </c>
      <c r="T419" s="860">
        <f t="shared" si="147"/>
        <v>13241.267123287671</v>
      </c>
      <c r="U419" s="835">
        <f t="shared" si="148"/>
        <v>17500</v>
      </c>
      <c r="V419" s="835">
        <f t="shared" si="149"/>
        <v>0</v>
      </c>
    </row>
    <row r="420" spans="1:22" ht="15.75" customHeight="1">
      <c r="A420" s="816"/>
      <c r="B420" s="828">
        <f t="shared" si="150"/>
        <v>16</v>
      </c>
      <c r="C420" s="829" t="s">
        <v>234</v>
      </c>
      <c r="D420" s="844" t="s">
        <v>3427</v>
      </c>
      <c r="E420" s="829">
        <v>381</v>
      </c>
      <c r="F420" s="848">
        <v>45248</v>
      </c>
      <c r="G420" s="869">
        <v>45248</v>
      </c>
      <c r="H420" s="829" t="s">
        <v>4046</v>
      </c>
      <c r="I420" s="830">
        <f t="shared" si="142"/>
        <v>45248</v>
      </c>
      <c r="J420" s="831">
        <v>10325</v>
      </c>
      <c r="K420" s="831"/>
      <c r="L420" s="831"/>
      <c r="M420" s="831"/>
      <c r="N420" s="831">
        <v>1575</v>
      </c>
      <c r="O420" s="831">
        <f t="shared" si="143"/>
        <v>8750</v>
      </c>
      <c r="P420" s="832">
        <f t="shared" si="144"/>
        <v>134</v>
      </c>
      <c r="Q420" s="833">
        <v>2</v>
      </c>
      <c r="R420" s="834">
        <f t="shared" si="145"/>
        <v>1.6328767123287671</v>
      </c>
      <c r="S420" s="861">
        <f t="shared" si="146"/>
        <v>1525.8561643835617</v>
      </c>
      <c r="T420" s="860">
        <f t="shared" si="147"/>
        <v>7224.1438356164381</v>
      </c>
      <c r="U420" s="835">
        <f t="shared" si="148"/>
        <v>0</v>
      </c>
      <c r="V420" s="835">
        <f t="shared" si="149"/>
        <v>8750</v>
      </c>
    </row>
    <row r="421" spans="1:22" ht="15.75" customHeight="1">
      <c r="A421" s="816"/>
      <c r="B421" s="828">
        <f t="shared" si="150"/>
        <v>17</v>
      </c>
      <c r="C421" s="843" t="s">
        <v>3435</v>
      </c>
      <c r="D421" s="870" t="s">
        <v>3427</v>
      </c>
      <c r="E421" s="845">
        <v>146</v>
      </c>
      <c r="F421" s="847">
        <v>45092</v>
      </c>
      <c r="G421" s="847">
        <v>45107</v>
      </c>
      <c r="H421" s="843" t="s">
        <v>4047</v>
      </c>
      <c r="I421" s="847">
        <f t="shared" si="142"/>
        <v>45107</v>
      </c>
      <c r="J421" s="831">
        <v>80122</v>
      </c>
      <c r="K421" s="831"/>
      <c r="L421" s="831"/>
      <c r="M421" s="831"/>
      <c r="N421" s="831">
        <v>12222</v>
      </c>
      <c r="O421" s="831">
        <f t="shared" si="143"/>
        <v>67900</v>
      </c>
      <c r="P421" s="832">
        <f t="shared" si="144"/>
        <v>275</v>
      </c>
      <c r="Q421" s="833">
        <v>2</v>
      </c>
      <c r="R421" s="834">
        <f t="shared" si="145"/>
        <v>1.2465753424657535</v>
      </c>
      <c r="S421" s="861">
        <f t="shared" si="146"/>
        <v>24299.828767123287</v>
      </c>
      <c r="T421" s="860">
        <f t="shared" si="147"/>
        <v>43600.171232876717</v>
      </c>
      <c r="U421" s="835">
        <f t="shared" si="148"/>
        <v>67900</v>
      </c>
      <c r="V421" s="835">
        <f t="shared" si="149"/>
        <v>0</v>
      </c>
    </row>
    <row r="422" spans="1:22" ht="15.75" customHeight="1">
      <c r="A422" s="816"/>
      <c r="B422" s="828">
        <f t="shared" si="150"/>
        <v>18</v>
      </c>
      <c r="C422" s="829" t="s">
        <v>4045</v>
      </c>
      <c r="D422" s="849" t="s">
        <v>1735</v>
      </c>
      <c r="E422" s="829">
        <v>160</v>
      </c>
      <c r="F422" s="848">
        <v>45099</v>
      </c>
      <c r="G422" s="871">
        <v>45124</v>
      </c>
      <c r="H422" s="829" t="s">
        <v>4046</v>
      </c>
      <c r="I422" s="830">
        <f t="shared" si="142"/>
        <v>45124</v>
      </c>
      <c r="J422" s="831">
        <v>30374</v>
      </c>
      <c r="K422" s="831"/>
      <c r="L422" s="831"/>
      <c r="M422" s="831"/>
      <c r="N422" s="831">
        <v>4634</v>
      </c>
      <c r="O422" s="831">
        <f t="shared" si="143"/>
        <v>25740</v>
      </c>
      <c r="P422" s="832">
        <f t="shared" si="144"/>
        <v>258</v>
      </c>
      <c r="Q422" s="833">
        <v>2</v>
      </c>
      <c r="R422" s="834">
        <f t="shared" si="145"/>
        <v>1.2931506849315069</v>
      </c>
      <c r="S422" s="861">
        <f t="shared" si="146"/>
        <v>8642.2931506849309</v>
      </c>
      <c r="T422" s="860">
        <f t="shared" si="147"/>
        <v>17097.706849315069</v>
      </c>
      <c r="U422" s="835">
        <f t="shared" si="148"/>
        <v>25740</v>
      </c>
      <c r="V422" s="835">
        <f t="shared" si="149"/>
        <v>0</v>
      </c>
    </row>
    <row r="423" spans="1:22" ht="15.75" customHeight="1">
      <c r="A423" s="816"/>
      <c r="B423" s="828">
        <f t="shared" si="150"/>
        <v>19</v>
      </c>
      <c r="C423" s="843" t="s">
        <v>822</v>
      </c>
      <c r="D423" s="844" t="s">
        <v>1735</v>
      </c>
      <c r="E423" s="843" t="s">
        <v>4048</v>
      </c>
      <c r="F423" s="847">
        <v>45035</v>
      </c>
      <c r="G423" s="847">
        <v>45038</v>
      </c>
      <c r="H423" s="843" t="s">
        <v>486</v>
      </c>
      <c r="I423" s="847">
        <f t="shared" si="142"/>
        <v>45038</v>
      </c>
      <c r="J423" s="831">
        <v>228826</v>
      </c>
      <c r="K423" s="831"/>
      <c r="L423" s="831"/>
      <c r="M423" s="831"/>
      <c r="N423" s="831">
        <v>34906</v>
      </c>
      <c r="O423" s="831">
        <f t="shared" si="143"/>
        <v>193920</v>
      </c>
      <c r="P423" s="832">
        <f t="shared" si="144"/>
        <v>344</v>
      </c>
      <c r="Q423" s="833">
        <v>2</v>
      </c>
      <c r="R423" s="834">
        <f t="shared" si="145"/>
        <v>1.0575342465753423</v>
      </c>
      <c r="S423" s="861">
        <f t="shared" si="146"/>
        <v>86812.405479452049</v>
      </c>
      <c r="T423" s="860">
        <f t="shared" si="147"/>
        <v>107107.59452054795</v>
      </c>
      <c r="U423" s="835">
        <f t="shared" si="148"/>
        <v>193920</v>
      </c>
      <c r="V423" s="835">
        <f t="shared" si="149"/>
        <v>0</v>
      </c>
    </row>
    <row r="424" spans="1:22" ht="15.75" customHeight="1">
      <c r="A424" s="816"/>
      <c r="B424" s="828">
        <f t="shared" si="150"/>
        <v>20</v>
      </c>
      <c r="C424" s="843" t="s">
        <v>822</v>
      </c>
      <c r="D424" s="844" t="s">
        <v>1735</v>
      </c>
      <c r="E424" s="845" t="s">
        <v>4049</v>
      </c>
      <c r="F424" s="847">
        <v>45071</v>
      </c>
      <c r="G424" s="847">
        <v>45077</v>
      </c>
      <c r="H424" s="843" t="s">
        <v>486</v>
      </c>
      <c r="I424" s="847">
        <f t="shared" si="142"/>
        <v>45077</v>
      </c>
      <c r="J424" s="831">
        <v>809583</v>
      </c>
      <c r="K424" s="831"/>
      <c r="L424" s="831"/>
      <c r="M424" s="831"/>
      <c r="N424" s="831">
        <v>123496</v>
      </c>
      <c r="O424" s="831">
        <f t="shared" si="143"/>
        <v>686087</v>
      </c>
      <c r="P424" s="832">
        <f t="shared" si="144"/>
        <v>305</v>
      </c>
      <c r="Q424" s="833">
        <v>2</v>
      </c>
      <c r="R424" s="834">
        <f t="shared" si="145"/>
        <v>1.1643835616438356</v>
      </c>
      <c r="S424" s="861">
        <f t="shared" si="146"/>
        <v>272320.14828767121</v>
      </c>
      <c r="T424" s="860">
        <f t="shared" si="147"/>
        <v>413766.85171232879</v>
      </c>
      <c r="U424" s="835">
        <f t="shared" si="148"/>
        <v>686087</v>
      </c>
      <c r="V424" s="835">
        <f t="shared" si="149"/>
        <v>0</v>
      </c>
    </row>
    <row r="425" spans="1:22" ht="15.75" customHeight="1">
      <c r="A425" s="816"/>
      <c r="B425" s="828">
        <f t="shared" si="150"/>
        <v>21</v>
      </c>
      <c r="C425" s="843" t="s">
        <v>822</v>
      </c>
      <c r="D425" s="844" t="s">
        <v>1735</v>
      </c>
      <c r="E425" s="845" t="s">
        <v>4050</v>
      </c>
      <c r="F425" s="847">
        <v>45076</v>
      </c>
      <c r="G425" s="847">
        <v>45077</v>
      </c>
      <c r="H425" s="843" t="s">
        <v>486</v>
      </c>
      <c r="I425" s="847">
        <f t="shared" si="142"/>
        <v>45077</v>
      </c>
      <c r="J425" s="831">
        <v>148114</v>
      </c>
      <c r="K425" s="831"/>
      <c r="L425" s="831"/>
      <c r="M425" s="831"/>
      <c r="N425" s="831">
        <v>22594</v>
      </c>
      <c r="O425" s="831">
        <f t="shared" si="143"/>
        <v>125520</v>
      </c>
      <c r="P425" s="832">
        <f t="shared" si="144"/>
        <v>305</v>
      </c>
      <c r="Q425" s="833">
        <v>2</v>
      </c>
      <c r="R425" s="834">
        <f t="shared" si="145"/>
        <v>1.1643835616438356</v>
      </c>
      <c r="S425" s="861">
        <f t="shared" si="146"/>
        <v>49821.123287671231</v>
      </c>
      <c r="T425" s="860">
        <f t="shared" si="147"/>
        <v>75698.876712328769</v>
      </c>
      <c r="U425" s="835">
        <f t="shared" si="148"/>
        <v>125520</v>
      </c>
      <c r="V425" s="835">
        <f t="shared" si="149"/>
        <v>0</v>
      </c>
    </row>
    <row r="426" spans="1:22" ht="15.75" customHeight="1">
      <c r="A426" s="816"/>
      <c r="B426" s="828">
        <f t="shared" si="150"/>
        <v>22</v>
      </c>
      <c r="C426" s="836" t="s">
        <v>3435</v>
      </c>
      <c r="D426" s="872" t="s">
        <v>1735</v>
      </c>
      <c r="E426" s="873">
        <v>131</v>
      </c>
      <c r="F426" s="842">
        <v>45087</v>
      </c>
      <c r="G426" s="842">
        <v>45107</v>
      </c>
      <c r="H426" s="836" t="s">
        <v>4047</v>
      </c>
      <c r="I426" s="842">
        <f t="shared" si="142"/>
        <v>45107</v>
      </c>
      <c r="J426" s="839">
        <v>128148</v>
      </c>
      <c r="K426" s="839"/>
      <c r="L426" s="839"/>
      <c r="M426" s="839"/>
      <c r="N426" s="839">
        <v>19548</v>
      </c>
      <c r="O426" s="839">
        <f t="shared" si="143"/>
        <v>108600</v>
      </c>
      <c r="P426" s="832">
        <f t="shared" si="144"/>
        <v>275</v>
      </c>
      <c r="Q426" s="840">
        <v>2</v>
      </c>
      <c r="R426" s="841">
        <f t="shared" si="145"/>
        <v>1.2465753424657535</v>
      </c>
      <c r="S426" s="861">
        <f t="shared" si="146"/>
        <v>38865.410958904111</v>
      </c>
      <c r="T426" s="860">
        <f t="shared" si="147"/>
        <v>69734.589041095896</v>
      </c>
      <c r="U426" s="835">
        <f t="shared" si="148"/>
        <v>108600</v>
      </c>
      <c r="V426" s="835">
        <f t="shared" si="149"/>
        <v>0</v>
      </c>
    </row>
    <row r="427" spans="1:22" ht="15.75" customHeight="1">
      <c r="A427" s="816"/>
      <c r="B427" s="828">
        <f t="shared" si="150"/>
        <v>23</v>
      </c>
      <c r="C427" s="843" t="s">
        <v>4051</v>
      </c>
      <c r="D427" s="844" t="s">
        <v>3848</v>
      </c>
      <c r="E427" s="845" t="s">
        <v>4052</v>
      </c>
      <c r="F427" s="847">
        <v>45198</v>
      </c>
      <c r="G427" s="847">
        <v>45198</v>
      </c>
      <c r="H427" s="843" t="s">
        <v>4053</v>
      </c>
      <c r="I427" s="847">
        <f t="shared" si="142"/>
        <v>45198</v>
      </c>
      <c r="J427" s="831">
        <v>18408</v>
      </c>
      <c r="K427" s="831"/>
      <c r="L427" s="831"/>
      <c r="M427" s="831"/>
      <c r="N427" s="831">
        <v>2808</v>
      </c>
      <c r="O427" s="831">
        <f t="shared" si="143"/>
        <v>15600</v>
      </c>
      <c r="P427" s="832">
        <f t="shared" si="144"/>
        <v>184</v>
      </c>
      <c r="Q427" s="833">
        <v>2</v>
      </c>
      <c r="R427" s="834">
        <f t="shared" si="145"/>
        <v>1.495890410958904</v>
      </c>
      <c r="S427" s="861">
        <f t="shared" si="146"/>
        <v>3735.4520547945203</v>
      </c>
      <c r="T427" s="860">
        <f t="shared" si="147"/>
        <v>11864.547945205479</v>
      </c>
      <c r="U427" s="835">
        <f t="shared" si="148"/>
        <v>15600</v>
      </c>
      <c r="V427" s="835">
        <f t="shared" si="149"/>
        <v>0</v>
      </c>
    </row>
    <row r="428" spans="1:22">
      <c r="A428" s="816"/>
      <c r="B428" s="828">
        <f t="shared" si="150"/>
        <v>24</v>
      </c>
      <c r="C428" s="829" t="s">
        <v>4054</v>
      </c>
      <c r="D428" s="844" t="s">
        <v>3848</v>
      </c>
      <c r="E428" s="829">
        <v>2024</v>
      </c>
      <c r="F428" s="848">
        <v>45120</v>
      </c>
      <c r="G428" s="869">
        <v>45132</v>
      </c>
      <c r="H428" s="829" t="s">
        <v>4055</v>
      </c>
      <c r="I428" s="830">
        <f t="shared" si="142"/>
        <v>45132</v>
      </c>
      <c r="J428" s="831">
        <v>4080</v>
      </c>
      <c r="K428" s="831"/>
      <c r="L428" s="831"/>
      <c r="M428" s="831"/>
      <c r="N428" s="831">
        <v>622</v>
      </c>
      <c r="O428" s="831">
        <f t="shared" si="143"/>
        <v>3458</v>
      </c>
      <c r="P428" s="832">
        <f t="shared" si="144"/>
        <v>250</v>
      </c>
      <c r="Q428" s="833">
        <v>2</v>
      </c>
      <c r="R428" s="834">
        <f t="shared" si="145"/>
        <v>1.3150684931506849</v>
      </c>
      <c r="S428" s="861">
        <f t="shared" si="146"/>
        <v>1125.0342465753424</v>
      </c>
      <c r="T428" s="860">
        <f t="shared" si="147"/>
        <v>2332.9657534246576</v>
      </c>
      <c r="U428" s="835">
        <f t="shared" si="148"/>
        <v>3458</v>
      </c>
      <c r="V428" s="835">
        <f t="shared" si="149"/>
        <v>0</v>
      </c>
    </row>
    <row r="429" spans="1:22">
      <c r="A429" s="816"/>
      <c r="B429" s="828">
        <f t="shared" si="150"/>
        <v>25</v>
      </c>
      <c r="C429" s="829" t="s">
        <v>4056</v>
      </c>
      <c r="D429" s="844" t="s">
        <v>3848</v>
      </c>
      <c r="E429" s="829" t="s">
        <v>4057</v>
      </c>
      <c r="F429" s="848">
        <v>45170</v>
      </c>
      <c r="G429" s="848">
        <v>45170</v>
      </c>
      <c r="H429" s="829" t="s">
        <v>4058</v>
      </c>
      <c r="I429" s="830">
        <f t="shared" si="142"/>
        <v>45170</v>
      </c>
      <c r="J429" s="831">
        <v>103569</v>
      </c>
      <c r="K429" s="831"/>
      <c r="L429" s="831"/>
      <c r="M429" s="831"/>
      <c r="N429" s="831">
        <v>14929</v>
      </c>
      <c r="O429" s="831">
        <f t="shared" si="143"/>
        <v>88640</v>
      </c>
      <c r="P429" s="832">
        <f t="shared" si="144"/>
        <v>212</v>
      </c>
      <c r="Q429" s="833">
        <v>2</v>
      </c>
      <c r="R429" s="834">
        <f t="shared" si="145"/>
        <v>1.419178082191781</v>
      </c>
      <c r="S429" s="861">
        <f t="shared" si="146"/>
        <v>24454.926027397261</v>
      </c>
      <c r="T429" s="860">
        <f t="shared" si="147"/>
        <v>64185.073972602739</v>
      </c>
      <c r="U429" s="835">
        <f t="shared" si="148"/>
        <v>88640</v>
      </c>
      <c r="V429" s="835">
        <f t="shared" si="149"/>
        <v>0</v>
      </c>
    </row>
    <row r="430" spans="1:22">
      <c r="A430" s="816"/>
      <c r="B430" s="828">
        <f t="shared" si="150"/>
        <v>26</v>
      </c>
      <c r="C430" s="829" t="s">
        <v>533</v>
      </c>
      <c r="D430" s="844" t="s">
        <v>3848</v>
      </c>
      <c r="E430" s="829" t="s">
        <v>4059</v>
      </c>
      <c r="F430" s="848">
        <v>45121</v>
      </c>
      <c r="G430" s="848">
        <v>45169</v>
      </c>
      <c r="H430" s="829" t="s">
        <v>4060</v>
      </c>
      <c r="I430" s="830">
        <f t="shared" si="142"/>
        <v>45169</v>
      </c>
      <c r="J430" s="831">
        <v>4241</v>
      </c>
      <c r="K430" s="831"/>
      <c r="L430" s="831"/>
      <c r="M430" s="831"/>
      <c r="N430" s="831">
        <v>647</v>
      </c>
      <c r="O430" s="831">
        <f t="shared" si="143"/>
        <v>3594</v>
      </c>
      <c r="P430" s="832">
        <f t="shared" si="144"/>
        <v>213</v>
      </c>
      <c r="Q430" s="833">
        <v>2</v>
      </c>
      <c r="R430" s="834">
        <f t="shared" si="145"/>
        <v>1.4164383561643836</v>
      </c>
      <c r="S430" s="861">
        <f t="shared" si="146"/>
        <v>996.22726027397243</v>
      </c>
      <c r="T430" s="860">
        <f t="shared" si="147"/>
        <v>2597.7727397260278</v>
      </c>
      <c r="U430" s="835">
        <f t="shared" si="148"/>
        <v>3594</v>
      </c>
      <c r="V430" s="835">
        <f t="shared" si="149"/>
        <v>0</v>
      </c>
    </row>
    <row r="431" spans="1:22">
      <c r="A431" s="816"/>
      <c r="B431" s="828">
        <f t="shared" si="150"/>
        <v>27</v>
      </c>
      <c r="C431" s="843" t="s">
        <v>4061</v>
      </c>
      <c r="D431" s="844" t="s">
        <v>3848</v>
      </c>
      <c r="E431" s="843" t="s">
        <v>4062</v>
      </c>
      <c r="F431" s="847">
        <v>45093</v>
      </c>
      <c r="G431" s="847">
        <v>45093</v>
      </c>
      <c r="H431" s="843" t="s">
        <v>4060</v>
      </c>
      <c r="I431" s="847">
        <f t="shared" si="142"/>
        <v>45093</v>
      </c>
      <c r="J431" s="831">
        <v>20140</v>
      </c>
      <c r="K431" s="831"/>
      <c r="L431" s="831"/>
      <c r="M431" s="831"/>
      <c r="N431" s="831">
        <v>3072</v>
      </c>
      <c r="O431" s="831">
        <f t="shared" si="143"/>
        <v>17068</v>
      </c>
      <c r="P431" s="832">
        <f t="shared" si="144"/>
        <v>289</v>
      </c>
      <c r="Q431" s="833">
        <v>2</v>
      </c>
      <c r="R431" s="834">
        <f t="shared" si="145"/>
        <v>1.2082191780821918</v>
      </c>
      <c r="S431" s="861">
        <f t="shared" si="146"/>
        <v>6419.2046575342456</v>
      </c>
      <c r="T431" s="860">
        <f t="shared" si="147"/>
        <v>10648.795342465753</v>
      </c>
      <c r="U431" s="835">
        <f t="shared" si="148"/>
        <v>17068</v>
      </c>
      <c r="V431" s="835">
        <f t="shared" si="149"/>
        <v>0</v>
      </c>
    </row>
    <row r="432" spans="1:22">
      <c r="A432" s="816"/>
      <c r="B432" s="828">
        <f t="shared" si="150"/>
        <v>28</v>
      </c>
      <c r="C432" s="829" t="s">
        <v>4063</v>
      </c>
      <c r="D432" s="844" t="s">
        <v>3848</v>
      </c>
      <c r="E432" s="829" t="s">
        <v>4064</v>
      </c>
      <c r="F432" s="848">
        <v>45123</v>
      </c>
      <c r="G432" s="848">
        <v>45130</v>
      </c>
      <c r="H432" s="829" t="s">
        <v>4065</v>
      </c>
      <c r="I432" s="830">
        <f t="shared" si="142"/>
        <v>45130</v>
      </c>
      <c r="J432" s="831">
        <v>24950</v>
      </c>
      <c r="K432" s="831"/>
      <c r="L432" s="831"/>
      <c r="M432" s="831"/>
      <c r="N432" s="831">
        <v>3806</v>
      </c>
      <c r="O432" s="831">
        <f t="shared" si="143"/>
        <v>21144</v>
      </c>
      <c r="P432" s="832">
        <f t="shared" si="144"/>
        <v>252</v>
      </c>
      <c r="Q432" s="833">
        <v>2</v>
      </c>
      <c r="R432" s="834">
        <f t="shared" si="145"/>
        <v>1.3095890410958904</v>
      </c>
      <c r="S432" s="861">
        <f t="shared" si="146"/>
        <v>6934.0734246575339</v>
      </c>
      <c r="T432" s="860">
        <f t="shared" si="147"/>
        <v>14209.926575342466</v>
      </c>
      <c r="U432" s="835">
        <f t="shared" si="148"/>
        <v>21144</v>
      </c>
      <c r="V432" s="835">
        <f t="shared" si="149"/>
        <v>0</v>
      </c>
    </row>
    <row r="433" spans="1:22">
      <c r="A433" s="816"/>
      <c r="B433" s="828">
        <f t="shared" si="150"/>
        <v>29</v>
      </c>
      <c r="C433" s="836" t="s">
        <v>3435</v>
      </c>
      <c r="D433" s="844" t="s">
        <v>3848</v>
      </c>
      <c r="E433" s="836" t="s">
        <v>4066</v>
      </c>
      <c r="F433" s="837">
        <v>45300</v>
      </c>
      <c r="G433" s="837">
        <v>45331</v>
      </c>
      <c r="H433" s="836" t="s">
        <v>4067</v>
      </c>
      <c r="I433" s="830">
        <f t="shared" si="142"/>
        <v>45331</v>
      </c>
      <c r="J433" s="838">
        <v>63312</v>
      </c>
      <c r="K433" s="838"/>
      <c r="L433" s="839"/>
      <c r="M433" s="839"/>
      <c r="N433" s="839">
        <v>9657.7199999999993</v>
      </c>
      <c r="O433" s="839">
        <f t="shared" si="143"/>
        <v>53654.28</v>
      </c>
      <c r="P433" s="832">
        <f t="shared" si="144"/>
        <v>51</v>
      </c>
      <c r="Q433" s="840">
        <v>2</v>
      </c>
      <c r="R433" s="841">
        <f>+Q433-(P433/365)</f>
        <v>1.8602739726027397</v>
      </c>
      <c r="S433" s="861">
        <f t="shared" si="146"/>
        <v>3561.02721369863</v>
      </c>
      <c r="T433" s="860">
        <f t="shared" si="147"/>
        <v>50093.252786301367</v>
      </c>
      <c r="U433" s="835">
        <f t="shared" si="148"/>
        <v>0</v>
      </c>
      <c r="V433" s="835">
        <f t="shared" si="149"/>
        <v>53654.28</v>
      </c>
    </row>
    <row r="434" spans="1:22">
      <c r="A434" s="816"/>
      <c r="B434" s="828">
        <f t="shared" si="150"/>
        <v>30</v>
      </c>
      <c r="C434" s="829" t="s">
        <v>4068</v>
      </c>
      <c r="D434" s="829" t="s">
        <v>74</v>
      </c>
      <c r="E434" s="829" t="s">
        <v>4069</v>
      </c>
      <c r="F434" s="848">
        <v>45287</v>
      </c>
      <c r="G434" s="871">
        <v>45287</v>
      </c>
      <c r="H434" s="829" t="s">
        <v>4070</v>
      </c>
      <c r="I434" s="830">
        <f t="shared" si="142"/>
        <v>45287</v>
      </c>
      <c r="J434" s="831">
        <v>111771</v>
      </c>
      <c r="K434" s="831"/>
      <c r="L434" s="831"/>
      <c r="M434" s="831"/>
      <c r="N434" s="831">
        <v>17049.82</v>
      </c>
      <c r="O434" s="831">
        <f t="shared" si="143"/>
        <v>94721.18</v>
      </c>
      <c r="P434" s="832">
        <f t="shared" si="144"/>
        <v>95</v>
      </c>
      <c r="Q434" s="833">
        <v>2</v>
      </c>
      <c r="R434" s="834">
        <f>Q434-(P434/365)</f>
        <v>1.7397260273972603</v>
      </c>
      <c r="S434" s="861">
        <f t="shared" si="146"/>
        <v>11710.392458904109</v>
      </c>
      <c r="T434" s="860">
        <f t="shared" si="147"/>
        <v>83010.78754109588</v>
      </c>
      <c r="U434" s="835">
        <f t="shared" si="148"/>
        <v>0</v>
      </c>
      <c r="V434" s="835">
        <f t="shared" si="149"/>
        <v>94721.18</v>
      </c>
    </row>
    <row r="435" spans="1:22" ht="15.75" customHeight="1">
      <c r="A435" s="816"/>
      <c r="B435" s="828">
        <f t="shared" si="150"/>
        <v>31</v>
      </c>
      <c r="C435" s="829" t="s">
        <v>4071</v>
      </c>
      <c r="D435" s="829" t="s">
        <v>74</v>
      </c>
      <c r="E435" s="829" t="s">
        <v>4072</v>
      </c>
      <c r="F435" s="848">
        <v>45115</v>
      </c>
      <c r="G435" s="869">
        <v>45159</v>
      </c>
      <c r="H435" s="829" t="s">
        <v>4043</v>
      </c>
      <c r="I435" s="830">
        <f t="shared" si="142"/>
        <v>45159</v>
      </c>
      <c r="J435" s="831">
        <v>312700</v>
      </c>
      <c r="K435" s="831"/>
      <c r="L435" s="831"/>
      <c r="M435" s="831"/>
      <c r="N435" s="831">
        <v>47700</v>
      </c>
      <c r="O435" s="831">
        <f t="shared" si="143"/>
        <v>265000</v>
      </c>
      <c r="P435" s="832">
        <f t="shared" si="144"/>
        <v>223</v>
      </c>
      <c r="Q435" s="833">
        <v>2</v>
      </c>
      <c r="R435" s="834">
        <f>Q435-(P435/365)</f>
        <v>1.3890410958904109</v>
      </c>
      <c r="S435" s="861">
        <f t="shared" si="146"/>
        <v>76904.452054794514</v>
      </c>
      <c r="T435" s="860">
        <f t="shared" si="147"/>
        <v>188095.54794520547</v>
      </c>
      <c r="U435" s="835">
        <f t="shared" si="148"/>
        <v>265000</v>
      </c>
      <c r="V435" s="835">
        <f t="shared" si="149"/>
        <v>0</v>
      </c>
    </row>
    <row r="436" spans="1:22" ht="15.75" customHeight="1">
      <c r="A436" s="816"/>
      <c r="B436" s="828">
        <f t="shared" si="150"/>
        <v>32</v>
      </c>
      <c r="C436" s="843" t="s">
        <v>4073</v>
      </c>
      <c r="D436" s="829" t="s">
        <v>74</v>
      </c>
      <c r="E436" s="843" t="s">
        <v>4248</v>
      </c>
      <c r="F436" s="847">
        <v>45313</v>
      </c>
      <c r="G436" s="847">
        <v>45313</v>
      </c>
      <c r="H436" s="843" t="s">
        <v>4070</v>
      </c>
      <c r="I436" s="830">
        <f t="shared" si="142"/>
        <v>45313</v>
      </c>
      <c r="J436" s="831">
        <v>103920.23999999999</v>
      </c>
      <c r="K436" s="831"/>
      <c r="L436" s="831"/>
      <c r="M436" s="831"/>
      <c r="N436" s="831">
        <v>15852.24</v>
      </c>
      <c r="O436" s="831">
        <f t="shared" si="143"/>
        <v>88067.999999999985</v>
      </c>
      <c r="P436" s="832">
        <f t="shared" si="144"/>
        <v>69</v>
      </c>
      <c r="Q436" s="833">
        <v>2</v>
      </c>
      <c r="R436" s="834">
        <f>Q436-(P436/365)</f>
        <v>1.810958904109589</v>
      </c>
      <c r="S436" s="861">
        <f t="shared" si="146"/>
        <v>7908.0238356164364</v>
      </c>
      <c r="T436" s="860">
        <f t="shared" si="147"/>
        <v>80159.976164383552</v>
      </c>
      <c r="U436" s="835">
        <f t="shared" si="148"/>
        <v>0</v>
      </c>
      <c r="V436" s="835">
        <f t="shared" si="149"/>
        <v>88067.999999999985</v>
      </c>
    </row>
    <row r="437" spans="1:22" ht="15.75" customHeight="1">
      <c r="A437" s="816"/>
      <c r="B437" s="828">
        <f t="shared" si="150"/>
        <v>33</v>
      </c>
      <c r="C437" s="843" t="s">
        <v>4073</v>
      </c>
      <c r="D437" s="829" t="s">
        <v>74</v>
      </c>
      <c r="E437" s="843" t="s">
        <v>4075</v>
      </c>
      <c r="F437" s="847">
        <v>45328</v>
      </c>
      <c r="G437" s="847">
        <v>45328</v>
      </c>
      <c r="H437" s="843" t="s">
        <v>540</v>
      </c>
      <c r="I437" s="830">
        <f t="shared" si="142"/>
        <v>45328</v>
      </c>
      <c r="J437" s="831">
        <v>14534</v>
      </c>
      <c r="K437" s="831"/>
      <c r="L437" s="831"/>
      <c r="M437" s="831"/>
      <c r="N437" s="831">
        <v>2217.06</v>
      </c>
      <c r="O437" s="831">
        <f t="shared" si="143"/>
        <v>12316.94</v>
      </c>
      <c r="P437" s="832">
        <f t="shared" si="144"/>
        <v>54</v>
      </c>
      <c r="Q437" s="833">
        <v>2</v>
      </c>
      <c r="R437" s="834">
        <f>Q437-(P437/365)</f>
        <v>1.8520547945205479</v>
      </c>
      <c r="S437" s="861">
        <f t="shared" si="146"/>
        <v>865.56030410958908</v>
      </c>
      <c r="T437" s="860">
        <f t="shared" si="147"/>
        <v>11451.379695890411</v>
      </c>
      <c r="U437" s="835">
        <f t="shared" si="148"/>
        <v>0</v>
      </c>
      <c r="V437" s="835">
        <f t="shared" si="149"/>
        <v>12316.94</v>
      </c>
    </row>
    <row r="438" spans="1:22" ht="15.75" customHeight="1">
      <c r="A438" s="816"/>
      <c r="B438" s="828">
        <f t="shared" si="150"/>
        <v>34</v>
      </c>
      <c r="C438" s="836" t="s">
        <v>832</v>
      </c>
      <c r="D438" s="829" t="s">
        <v>74</v>
      </c>
      <c r="E438" s="836" t="s">
        <v>4074</v>
      </c>
      <c r="F438" s="837">
        <v>45313</v>
      </c>
      <c r="G438" s="837">
        <v>45313</v>
      </c>
      <c r="H438" s="836" t="s">
        <v>4070</v>
      </c>
      <c r="I438" s="830">
        <f t="shared" si="142"/>
        <v>45313</v>
      </c>
      <c r="J438" s="838">
        <v>40124.849799999996</v>
      </c>
      <c r="K438" s="838"/>
      <c r="L438" s="839"/>
      <c r="M438" s="839"/>
      <c r="N438" s="839">
        <v>6120.7397999999994</v>
      </c>
      <c r="O438" s="839">
        <f t="shared" si="143"/>
        <v>34004.11</v>
      </c>
      <c r="P438" s="832">
        <f t="shared" si="144"/>
        <v>69</v>
      </c>
      <c r="Q438" s="840">
        <v>2</v>
      </c>
      <c r="R438" s="841">
        <f>+Q438-(P438/365)</f>
        <v>1.810958904109589</v>
      </c>
      <c r="S438" s="861">
        <f t="shared" si="146"/>
        <v>3053.3827541095893</v>
      </c>
      <c r="T438" s="860">
        <f t="shared" si="147"/>
        <v>30950.727245890412</v>
      </c>
      <c r="U438" s="835">
        <f t="shared" si="148"/>
        <v>0</v>
      </c>
      <c r="V438" s="835">
        <f t="shared" si="149"/>
        <v>34004.11</v>
      </c>
    </row>
    <row r="439" spans="1:22" ht="15.75" customHeight="1">
      <c r="A439" s="816"/>
      <c r="B439" s="828">
        <f t="shared" si="150"/>
        <v>35</v>
      </c>
      <c r="C439" s="836" t="s">
        <v>538</v>
      </c>
      <c r="D439" s="829" t="s">
        <v>74</v>
      </c>
      <c r="E439" s="836" t="s">
        <v>4228</v>
      </c>
      <c r="F439" s="837">
        <v>45372</v>
      </c>
      <c r="G439" s="837">
        <v>45372</v>
      </c>
      <c r="H439" s="836" t="s">
        <v>540</v>
      </c>
      <c r="I439" s="830">
        <f t="shared" si="142"/>
        <v>45372</v>
      </c>
      <c r="J439" s="838">
        <v>10829</v>
      </c>
      <c r="K439" s="838"/>
      <c r="L439" s="839"/>
      <c r="M439" s="839"/>
      <c r="N439" s="839">
        <f>825.94*2</f>
        <v>1651.88</v>
      </c>
      <c r="O439" s="839">
        <f t="shared" si="143"/>
        <v>9177.119999999999</v>
      </c>
      <c r="P439" s="832">
        <f t="shared" si="144"/>
        <v>10</v>
      </c>
      <c r="Q439" s="840">
        <v>2</v>
      </c>
      <c r="R439" s="841">
        <f>+Q439-(P439/365)</f>
        <v>1.9726027397260273</v>
      </c>
      <c r="S439" s="861">
        <f t="shared" si="146"/>
        <v>119.42827397260272</v>
      </c>
      <c r="T439" s="860">
        <f t="shared" si="147"/>
        <v>9057.6917260273967</v>
      </c>
      <c r="U439" s="835">
        <f t="shared" si="148"/>
        <v>0</v>
      </c>
      <c r="V439" s="835">
        <f t="shared" si="149"/>
        <v>9177.119999999999</v>
      </c>
    </row>
    <row r="440" spans="1:22" ht="15.75" customHeight="1">
      <c r="A440" s="816"/>
      <c r="B440" s="828">
        <f t="shared" si="150"/>
        <v>36</v>
      </c>
      <c r="C440" s="829" t="s">
        <v>4076</v>
      </c>
      <c r="D440" s="844" t="s">
        <v>4077</v>
      </c>
      <c r="E440" s="829" t="s">
        <v>4078</v>
      </c>
      <c r="F440" s="848">
        <v>45089</v>
      </c>
      <c r="G440" s="869">
        <v>45096</v>
      </c>
      <c r="H440" s="829" t="s">
        <v>243</v>
      </c>
      <c r="I440" s="830">
        <f t="shared" si="142"/>
        <v>45096</v>
      </c>
      <c r="J440" s="831">
        <v>11960</v>
      </c>
      <c r="K440" s="831"/>
      <c r="L440" s="831"/>
      <c r="M440" s="831"/>
      <c r="N440" s="831">
        <v>1824</v>
      </c>
      <c r="O440" s="831">
        <f t="shared" si="143"/>
        <v>10136</v>
      </c>
      <c r="P440" s="832">
        <f t="shared" si="144"/>
        <v>286</v>
      </c>
      <c r="Q440" s="833">
        <v>2</v>
      </c>
      <c r="R440" s="834">
        <f>Q440-(P440/365)</f>
        <v>1.2164383561643834</v>
      </c>
      <c r="S440" s="861">
        <f t="shared" si="146"/>
        <v>3772.5358904109585</v>
      </c>
      <c r="T440" s="860">
        <f t="shared" si="147"/>
        <v>6363.464109589042</v>
      </c>
      <c r="U440" s="835">
        <f t="shared" si="148"/>
        <v>10136</v>
      </c>
      <c r="V440" s="835">
        <f t="shared" si="149"/>
        <v>0</v>
      </c>
    </row>
    <row r="441" spans="1:22">
      <c r="A441" s="816"/>
      <c r="B441" s="828">
        <f t="shared" si="150"/>
        <v>37</v>
      </c>
      <c r="C441" s="829" t="s">
        <v>4079</v>
      </c>
      <c r="D441" s="844" t="s">
        <v>21</v>
      </c>
      <c r="E441" s="829" t="s">
        <v>4080</v>
      </c>
      <c r="F441" s="848">
        <v>45040</v>
      </c>
      <c r="G441" s="869">
        <v>45040</v>
      </c>
      <c r="H441" s="829" t="s">
        <v>243</v>
      </c>
      <c r="I441" s="830">
        <f t="shared" si="142"/>
        <v>45040</v>
      </c>
      <c r="J441" s="831">
        <v>678500</v>
      </c>
      <c r="K441" s="831"/>
      <c r="L441" s="831"/>
      <c r="M441" s="831"/>
      <c r="N441" s="831">
        <v>103500</v>
      </c>
      <c r="O441" s="964">
        <f t="shared" si="143"/>
        <v>575000</v>
      </c>
      <c r="P441" s="832">
        <f t="shared" si="144"/>
        <v>342</v>
      </c>
      <c r="Q441" s="833">
        <v>2</v>
      </c>
      <c r="R441" s="834">
        <f>Q441-(P441/365)</f>
        <v>1.0630136986301371</v>
      </c>
      <c r="S441" s="861">
        <f t="shared" si="146"/>
        <v>255914.38356164383</v>
      </c>
      <c r="T441" s="860">
        <f t="shared" si="147"/>
        <v>319085.61643835617</v>
      </c>
      <c r="U441" s="835">
        <f t="shared" si="148"/>
        <v>575000</v>
      </c>
      <c r="V441" s="835">
        <f t="shared" si="149"/>
        <v>0</v>
      </c>
    </row>
    <row r="442" spans="1:22">
      <c r="A442" s="816"/>
      <c r="B442" s="828">
        <f t="shared" si="150"/>
        <v>38</v>
      </c>
      <c r="C442" s="829" t="s">
        <v>4079</v>
      </c>
      <c r="D442" s="844" t="s">
        <v>21</v>
      </c>
      <c r="E442" s="829" t="s">
        <v>4081</v>
      </c>
      <c r="F442" s="848">
        <v>45040</v>
      </c>
      <c r="G442" s="869">
        <v>45040</v>
      </c>
      <c r="H442" s="829" t="s">
        <v>243</v>
      </c>
      <c r="I442" s="830">
        <f t="shared" si="142"/>
        <v>45040</v>
      </c>
      <c r="J442" s="831">
        <v>566400</v>
      </c>
      <c r="K442" s="831"/>
      <c r="L442" s="831"/>
      <c r="M442" s="831"/>
      <c r="N442" s="831">
        <v>86400</v>
      </c>
      <c r="O442" s="964">
        <f t="shared" si="143"/>
        <v>480000</v>
      </c>
      <c r="P442" s="832">
        <f t="shared" si="144"/>
        <v>342</v>
      </c>
      <c r="Q442" s="833">
        <v>2</v>
      </c>
      <c r="R442" s="834">
        <f>Q442-(P442/365)</f>
        <v>1.0630136986301371</v>
      </c>
      <c r="S442" s="861">
        <f t="shared" si="146"/>
        <v>213632.87671232875</v>
      </c>
      <c r="T442" s="860">
        <f t="shared" si="147"/>
        <v>266367.12328767125</v>
      </c>
      <c r="U442" s="835">
        <f t="shared" si="148"/>
        <v>480000</v>
      </c>
      <c r="V442" s="835">
        <f t="shared" si="149"/>
        <v>0</v>
      </c>
    </row>
    <row r="443" spans="1:22">
      <c r="A443" s="816"/>
      <c r="B443" s="828">
        <f t="shared" si="150"/>
        <v>39</v>
      </c>
      <c r="C443" s="836" t="s">
        <v>1175</v>
      </c>
      <c r="D443" s="844" t="s">
        <v>21</v>
      </c>
      <c r="E443" s="836" t="s">
        <v>4082</v>
      </c>
      <c r="F443" s="837">
        <v>45084</v>
      </c>
      <c r="G443" s="837">
        <v>45276</v>
      </c>
      <c r="H443" s="836" t="s">
        <v>482</v>
      </c>
      <c r="I443" s="830">
        <f t="shared" si="142"/>
        <v>45276</v>
      </c>
      <c r="J443" s="838">
        <v>23820</v>
      </c>
      <c r="K443" s="838"/>
      <c r="L443" s="839"/>
      <c r="M443" s="839"/>
      <c r="N443" s="839">
        <v>3633.56</v>
      </c>
      <c r="O443" s="973">
        <f t="shared" si="143"/>
        <v>20186.439999999999</v>
      </c>
      <c r="P443" s="832">
        <f t="shared" si="144"/>
        <v>106</v>
      </c>
      <c r="Q443" s="840">
        <v>2</v>
      </c>
      <c r="R443" s="841">
        <f>+Q443-(P443/365)</f>
        <v>1.7095890410958905</v>
      </c>
      <c r="S443" s="861">
        <f t="shared" si="146"/>
        <v>2784.6226136986302</v>
      </c>
      <c r="T443" s="860">
        <f t="shared" si="147"/>
        <v>17401.817386301369</v>
      </c>
      <c r="U443" s="835">
        <f t="shared" si="148"/>
        <v>0</v>
      </c>
      <c r="V443" s="835">
        <f t="shared" si="149"/>
        <v>20186.439999999999</v>
      </c>
    </row>
    <row r="444" spans="1:22">
      <c r="A444" s="816"/>
      <c r="B444" s="828">
        <f t="shared" si="150"/>
        <v>40</v>
      </c>
      <c r="C444" s="829" t="s">
        <v>4083</v>
      </c>
      <c r="D444" s="844" t="s">
        <v>21</v>
      </c>
      <c r="E444" s="829" t="s">
        <v>4084</v>
      </c>
      <c r="F444" s="848">
        <v>45114</v>
      </c>
      <c r="G444" s="869">
        <v>45138</v>
      </c>
      <c r="H444" s="829" t="s">
        <v>4085</v>
      </c>
      <c r="I444" s="830">
        <f t="shared" si="142"/>
        <v>45138</v>
      </c>
      <c r="J444" s="831">
        <v>159300</v>
      </c>
      <c r="K444" s="831"/>
      <c r="L444" s="831"/>
      <c r="M444" s="831"/>
      <c r="N444" s="831">
        <v>24300</v>
      </c>
      <c r="O444" s="964">
        <f t="shared" si="143"/>
        <v>135000</v>
      </c>
      <c r="P444" s="832">
        <f t="shared" si="144"/>
        <v>244</v>
      </c>
      <c r="Q444" s="833">
        <v>2</v>
      </c>
      <c r="R444" s="834">
        <f>Q444-(P444/365)</f>
        <v>1.3315068493150686</v>
      </c>
      <c r="S444" s="861">
        <f t="shared" si="146"/>
        <v>42867.123287671231</v>
      </c>
      <c r="T444" s="860">
        <f t="shared" si="147"/>
        <v>92132.876712328769</v>
      </c>
      <c r="U444" s="835">
        <f t="shared" si="148"/>
        <v>135000</v>
      </c>
      <c r="V444" s="835">
        <f t="shared" si="149"/>
        <v>0</v>
      </c>
    </row>
    <row r="445" spans="1:22">
      <c r="A445" s="816"/>
      <c r="B445" s="828">
        <f t="shared" si="150"/>
        <v>41</v>
      </c>
      <c r="C445" s="843" t="s">
        <v>822</v>
      </c>
      <c r="D445" s="844" t="s">
        <v>21</v>
      </c>
      <c r="E445" s="843" t="s">
        <v>4086</v>
      </c>
      <c r="F445" s="847">
        <v>45050</v>
      </c>
      <c r="G445" s="847">
        <v>45050</v>
      </c>
      <c r="H445" s="843" t="s">
        <v>486</v>
      </c>
      <c r="I445" s="830">
        <f t="shared" si="142"/>
        <v>45050</v>
      </c>
      <c r="J445" s="831">
        <v>56711</v>
      </c>
      <c r="K445" s="831"/>
      <c r="L445" s="831"/>
      <c r="M445" s="831"/>
      <c r="N445" s="831">
        <v>8651</v>
      </c>
      <c r="O445" s="964">
        <f t="shared" si="143"/>
        <v>48060</v>
      </c>
      <c r="P445" s="832">
        <f t="shared" si="144"/>
        <v>332</v>
      </c>
      <c r="Q445" s="833">
        <v>2</v>
      </c>
      <c r="R445" s="834">
        <f>Q445-(P445/365)</f>
        <v>1.0904109589041096</v>
      </c>
      <c r="S445" s="861">
        <f t="shared" si="146"/>
        <v>20764.553424657533</v>
      </c>
      <c r="T445" s="860">
        <f t="shared" si="147"/>
        <v>27295.446575342467</v>
      </c>
      <c r="U445" s="835">
        <f t="shared" si="148"/>
        <v>48060</v>
      </c>
      <c r="V445" s="835">
        <f t="shared" si="149"/>
        <v>0</v>
      </c>
    </row>
    <row r="446" spans="1:22">
      <c r="A446" s="816"/>
      <c r="B446" s="828">
        <f t="shared" si="150"/>
        <v>42</v>
      </c>
      <c r="C446" s="829" t="s">
        <v>822</v>
      </c>
      <c r="D446" s="844" t="s">
        <v>21</v>
      </c>
      <c r="E446" s="829" t="s">
        <v>4087</v>
      </c>
      <c r="F446" s="848">
        <v>45057</v>
      </c>
      <c r="G446" s="869">
        <v>45070</v>
      </c>
      <c r="H446" s="829" t="s">
        <v>482</v>
      </c>
      <c r="I446" s="830">
        <f t="shared" si="142"/>
        <v>45070</v>
      </c>
      <c r="J446" s="831">
        <v>14620</v>
      </c>
      <c r="K446" s="831"/>
      <c r="L446" s="831"/>
      <c r="M446" s="831"/>
      <c r="N446" s="831">
        <v>2230</v>
      </c>
      <c r="O446" s="964">
        <f t="shared" si="143"/>
        <v>12390</v>
      </c>
      <c r="P446" s="832">
        <f t="shared" si="144"/>
        <v>312</v>
      </c>
      <c r="Q446" s="833">
        <v>2</v>
      </c>
      <c r="R446" s="834">
        <f>Q446-(P446/365)</f>
        <v>1.1452054794520548</v>
      </c>
      <c r="S446" s="861">
        <f t="shared" si="146"/>
        <v>5030.6794520547946</v>
      </c>
      <c r="T446" s="860">
        <f t="shared" si="147"/>
        <v>7359.3205479452054</v>
      </c>
      <c r="U446" s="835">
        <f t="shared" si="148"/>
        <v>12390</v>
      </c>
      <c r="V446" s="835">
        <f t="shared" si="149"/>
        <v>0</v>
      </c>
    </row>
    <row r="447" spans="1:22">
      <c r="A447" s="816"/>
      <c r="B447" s="828"/>
      <c r="C447" s="843"/>
      <c r="D447" s="844"/>
      <c r="E447" s="843"/>
      <c r="F447" s="847"/>
      <c r="G447" s="847"/>
      <c r="H447" s="843"/>
      <c r="I447" s="847"/>
      <c r="J447" s="864">
        <f>SUBTOTAL(9,J405:J446)</f>
        <v>6613350.5698000006</v>
      </c>
      <c r="K447" s="864"/>
      <c r="L447" s="864">
        <f>SUBTOTAL(9,L405:L446)</f>
        <v>0</v>
      </c>
      <c r="M447" s="864">
        <f>SUBTOTAL(9,M405:M446)</f>
        <v>0</v>
      </c>
      <c r="N447" s="864">
        <f>SUBTOTAL(9,N405:N446)</f>
        <v>1007946.0930203389</v>
      </c>
      <c r="O447" s="864">
        <f>SUBTOTAL(9,O405:O446)</f>
        <v>5605404.4767796621</v>
      </c>
      <c r="P447" s="874" t="s">
        <v>24</v>
      </c>
      <c r="Q447" s="875"/>
      <c r="R447" s="876"/>
      <c r="S447" s="864">
        <f>SUBTOTAL(9,S405:S446)</f>
        <v>1643794.5252913511</v>
      </c>
      <c r="T447" s="864">
        <f>SUBTOTAL(9,T405:T446)</f>
        <v>3961609.9514883109</v>
      </c>
      <c r="U447" s="864">
        <f>SUBTOTAL(9,U405:U446)</f>
        <v>3293026.4067796608</v>
      </c>
      <c r="V447" s="864">
        <f>SUBTOTAL(9,V405:V446)</f>
        <v>2312378.0699999998</v>
      </c>
    </row>
    <row r="448" spans="1:22" ht="21">
      <c r="A448" s="816"/>
      <c r="B448" s="1232" t="s">
        <v>3642</v>
      </c>
      <c r="C448" s="1233"/>
      <c r="D448" s="844"/>
      <c r="E448" s="843"/>
      <c r="F448" s="847"/>
      <c r="G448" s="847"/>
      <c r="H448" s="843"/>
      <c r="I448" s="847"/>
      <c r="J448" s="831"/>
      <c r="K448" s="831"/>
      <c r="L448" s="831"/>
      <c r="M448" s="831"/>
      <c r="N448" s="831"/>
      <c r="O448" s="831"/>
      <c r="P448" s="832"/>
      <c r="Q448" s="833"/>
      <c r="R448" s="834"/>
      <c r="S448" s="831"/>
      <c r="T448" s="831"/>
      <c r="U448" s="831"/>
      <c r="V448" s="831"/>
    </row>
    <row r="449" spans="1:22" ht="24" customHeight="1">
      <c r="A449" s="816"/>
      <c r="B449" s="828">
        <v>1</v>
      </c>
      <c r="C449" s="843" t="s">
        <v>474</v>
      </c>
      <c r="D449" s="829" t="s">
        <v>3614</v>
      </c>
      <c r="E449" s="843" t="s">
        <v>4088</v>
      </c>
      <c r="F449" s="830">
        <v>45278</v>
      </c>
      <c r="G449" s="830">
        <v>45278</v>
      </c>
      <c r="H449" s="843" t="s">
        <v>473</v>
      </c>
      <c r="I449" s="830">
        <f t="shared" ref="I449:I485" si="151">MAX(F449,G449)</f>
        <v>45278</v>
      </c>
      <c r="J449" s="831">
        <v>14800</v>
      </c>
      <c r="K449" s="831"/>
      <c r="L449" s="831"/>
      <c r="M449" s="831"/>
      <c r="N449" s="831">
        <v>2257.62</v>
      </c>
      <c r="O449" s="831">
        <f t="shared" ref="O449:O485" si="152">J449+L449-M449-N449</f>
        <v>12542.380000000001</v>
      </c>
      <c r="P449" s="832">
        <f t="shared" ref="P449:P485" si="153">$P$1-I449</f>
        <v>104</v>
      </c>
      <c r="Q449" s="833">
        <v>5</v>
      </c>
      <c r="R449" s="834">
        <f t="shared" ref="R449:R485" si="154">Q449-(P449/365)</f>
        <v>4.7150684931506852</v>
      </c>
      <c r="S449" s="861">
        <f t="shared" ref="S449:S485" si="155">O449*95%/Q449*P449/365</f>
        <v>679.00665424657529</v>
      </c>
      <c r="T449" s="860">
        <f t="shared" ref="T449:T485" si="156">O449-S449</f>
        <v>11863.373345753425</v>
      </c>
      <c r="U449" s="835">
        <f t="shared" ref="U449:U485" si="157">IF(I449&lt;=DATE(2023,9,30),O449,0)</f>
        <v>0</v>
      </c>
      <c r="V449" s="835">
        <f t="shared" ref="V449:V485" si="158">IF(I449&gt;DATE(2023,10,1),O449,0)</f>
        <v>12542.380000000001</v>
      </c>
    </row>
    <row r="450" spans="1:22">
      <c r="A450" s="816"/>
      <c r="B450" s="828">
        <v>2</v>
      </c>
      <c r="C450" s="843" t="s">
        <v>4089</v>
      </c>
      <c r="D450" s="843" t="s">
        <v>3705</v>
      </c>
      <c r="E450" s="843" t="s">
        <v>4090</v>
      </c>
      <c r="F450" s="830">
        <v>45237</v>
      </c>
      <c r="G450" s="830">
        <v>45245</v>
      </c>
      <c r="H450" s="843" t="s">
        <v>4091</v>
      </c>
      <c r="I450" s="830">
        <f t="shared" si="151"/>
        <v>45245</v>
      </c>
      <c r="J450" s="831">
        <v>440716</v>
      </c>
      <c r="K450" s="831"/>
      <c r="L450" s="831"/>
      <c r="M450" s="831"/>
      <c r="N450" s="831">
        <v>71516</v>
      </c>
      <c r="O450" s="831">
        <f t="shared" si="152"/>
        <v>369200</v>
      </c>
      <c r="P450" s="832">
        <f t="shared" si="153"/>
        <v>137</v>
      </c>
      <c r="Q450" s="833">
        <v>5</v>
      </c>
      <c r="R450" s="834">
        <f t="shared" si="154"/>
        <v>4.624657534246575</v>
      </c>
      <c r="S450" s="861">
        <f t="shared" si="155"/>
        <v>26329.523287671233</v>
      </c>
      <c r="T450" s="860">
        <f t="shared" si="156"/>
        <v>342870.47671232879</v>
      </c>
      <c r="U450" s="835">
        <f t="shared" si="157"/>
        <v>0</v>
      </c>
      <c r="V450" s="835">
        <f t="shared" si="158"/>
        <v>369200</v>
      </c>
    </row>
    <row r="451" spans="1:22">
      <c r="A451" s="816"/>
      <c r="B451" s="828">
        <f>+B450+1</f>
        <v>3</v>
      </c>
      <c r="C451" s="843" t="s">
        <v>4092</v>
      </c>
      <c r="D451" s="843" t="s">
        <v>3705</v>
      </c>
      <c r="E451" s="843" t="s">
        <v>4093</v>
      </c>
      <c r="F451" s="830">
        <v>45251</v>
      </c>
      <c r="G451" s="830">
        <v>45261</v>
      </c>
      <c r="H451" s="843" t="s">
        <v>4094</v>
      </c>
      <c r="I451" s="830">
        <f t="shared" si="151"/>
        <v>45261</v>
      </c>
      <c r="J451" s="831">
        <v>15790</v>
      </c>
      <c r="K451" s="831"/>
      <c r="L451" s="831"/>
      <c r="M451" s="831"/>
      <c r="N451" s="831"/>
      <c r="O451" s="831">
        <f t="shared" si="152"/>
        <v>15790</v>
      </c>
      <c r="P451" s="832">
        <f t="shared" si="153"/>
        <v>121</v>
      </c>
      <c r="Q451" s="833">
        <v>5</v>
      </c>
      <c r="R451" s="834">
        <f t="shared" si="154"/>
        <v>4.6684931506849319</v>
      </c>
      <c r="S451" s="861">
        <f t="shared" si="155"/>
        <v>994.55369863013698</v>
      </c>
      <c r="T451" s="860">
        <f t="shared" si="156"/>
        <v>14795.446301369862</v>
      </c>
      <c r="U451" s="835">
        <f t="shared" si="157"/>
        <v>0</v>
      </c>
      <c r="V451" s="835">
        <f t="shared" si="158"/>
        <v>15790</v>
      </c>
    </row>
    <row r="452" spans="1:22">
      <c r="A452" s="816"/>
      <c r="B452" s="828">
        <f t="shared" ref="B452:B485" si="159">+B451+1</f>
        <v>4</v>
      </c>
      <c r="C452" s="843" t="s">
        <v>4092</v>
      </c>
      <c r="D452" s="843" t="s">
        <v>3705</v>
      </c>
      <c r="E452" s="843" t="s">
        <v>4095</v>
      </c>
      <c r="F452" s="830">
        <v>45257</v>
      </c>
      <c r="G452" s="830">
        <v>45261</v>
      </c>
      <c r="H452" s="843" t="s">
        <v>4094</v>
      </c>
      <c r="I452" s="830">
        <f t="shared" si="151"/>
        <v>45261</v>
      </c>
      <c r="J452" s="831">
        <v>12290</v>
      </c>
      <c r="K452" s="831"/>
      <c r="L452" s="831"/>
      <c r="M452" s="831"/>
      <c r="N452" s="831">
        <v>1874.74</v>
      </c>
      <c r="O452" s="831">
        <f t="shared" si="152"/>
        <v>10415.26</v>
      </c>
      <c r="P452" s="832">
        <f t="shared" si="153"/>
        <v>121</v>
      </c>
      <c r="Q452" s="833">
        <v>5</v>
      </c>
      <c r="R452" s="834">
        <f t="shared" si="154"/>
        <v>4.6684931506849319</v>
      </c>
      <c r="S452" s="861">
        <f t="shared" si="155"/>
        <v>656.01870520547936</v>
      </c>
      <c r="T452" s="860">
        <f t="shared" si="156"/>
        <v>9759.2412947945213</v>
      </c>
      <c r="U452" s="835">
        <f t="shared" si="157"/>
        <v>0</v>
      </c>
      <c r="V452" s="835">
        <f t="shared" si="158"/>
        <v>10415.26</v>
      </c>
    </row>
    <row r="453" spans="1:22">
      <c r="A453" s="816"/>
      <c r="B453" s="828">
        <f t="shared" si="159"/>
        <v>5</v>
      </c>
      <c r="C453" s="843" t="s">
        <v>4096</v>
      </c>
      <c r="D453" s="870" t="s">
        <v>3427</v>
      </c>
      <c r="E453" s="845" t="s">
        <v>4097</v>
      </c>
      <c r="F453" s="830">
        <v>45310</v>
      </c>
      <c r="G453" s="830">
        <v>45310</v>
      </c>
      <c r="H453" s="843" t="s">
        <v>4098</v>
      </c>
      <c r="I453" s="830">
        <f t="shared" si="151"/>
        <v>45310</v>
      </c>
      <c r="J453" s="831">
        <v>22420</v>
      </c>
      <c r="K453" s="831"/>
      <c r="L453" s="831"/>
      <c r="M453" s="831"/>
      <c r="N453" s="831">
        <v>3420</v>
      </c>
      <c r="O453" s="831">
        <f t="shared" si="152"/>
        <v>19000</v>
      </c>
      <c r="P453" s="832">
        <f t="shared" si="153"/>
        <v>72</v>
      </c>
      <c r="Q453" s="833">
        <v>5</v>
      </c>
      <c r="R453" s="834">
        <f t="shared" si="154"/>
        <v>4.8027397260273972</v>
      </c>
      <c r="S453" s="861">
        <f t="shared" si="155"/>
        <v>712.10958904109589</v>
      </c>
      <c r="T453" s="860">
        <f t="shared" si="156"/>
        <v>18287.890410958906</v>
      </c>
      <c r="U453" s="835">
        <f t="shared" si="157"/>
        <v>0</v>
      </c>
      <c r="V453" s="835">
        <f t="shared" si="158"/>
        <v>19000</v>
      </c>
    </row>
    <row r="454" spans="1:22">
      <c r="A454" s="816"/>
      <c r="B454" s="828">
        <f t="shared" si="159"/>
        <v>6</v>
      </c>
      <c r="C454" s="843" t="s">
        <v>474</v>
      </c>
      <c r="D454" s="870" t="s">
        <v>3427</v>
      </c>
      <c r="E454" s="845" t="s">
        <v>4097</v>
      </c>
      <c r="F454" s="830">
        <v>45310</v>
      </c>
      <c r="G454" s="830">
        <v>45310</v>
      </c>
      <c r="H454" s="843" t="s">
        <v>4098</v>
      </c>
      <c r="I454" s="830">
        <f t="shared" si="151"/>
        <v>45310</v>
      </c>
      <c r="J454" s="831">
        <v>21500</v>
      </c>
      <c r="K454" s="831"/>
      <c r="L454" s="831"/>
      <c r="M454" s="831"/>
      <c r="N454" s="831">
        <v>3279.6610169491528</v>
      </c>
      <c r="O454" s="831">
        <f t="shared" si="152"/>
        <v>18220.338983050846</v>
      </c>
      <c r="P454" s="832">
        <f t="shared" si="153"/>
        <v>72</v>
      </c>
      <c r="Q454" s="833">
        <v>5</v>
      </c>
      <c r="R454" s="834">
        <f t="shared" si="154"/>
        <v>4.8027397260273972</v>
      </c>
      <c r="S454" s="861">
        <f t="shared" si="155"/>
        <v>682.88832133735764</v>
      </c>
      <c r="T454" s="860">
        <f t="shared" si="156"/>
        <v>17537.450661713487</v>
      </c>
      <c r="U454" s="835">
        <f t="shared" si="157"/>
        <v>0</v>
      </c>
      <c r="V454" s="835">
        <f t="shared" si="158"/>
        <v>18220.338983050846</v>
      </c>
    </row>
    <row r="455" spans="1:22">
      <c r="A455" s="816"/>
      <c r="B455" s="828">
        <f t="shared" si="159"/>
        <v>7</v>
      </c>
      <c r="C455" s="843" t="s">
        <v>4099</v>
      </c>
      <c r="D455" s="870" t="s">
        <v>3427</v>
      </c>
      <c r="E455" s="845" t="s">
        <v>4100</v>
      </c>
      <c r="F455" s="830">
        <v>45321</v>
      </c>
      <c r="G455" s="830">
        <v>45321</v>
      </c>
      <c r="H455" s="843" t="s">
        <v>4101</v>
      </c>
      <c r="I455" s="830">
        <f t="shared" si="151"/>
        <v>45321</v>
      </c>
      <c r="J455" s="831">
        <v>575840</v>
      </c>
      <c r="K455" s="831"/>
      <c r="L455" s="831"/>
      <c r="M455" s="831"/>
      <c r="N455" s="831">
        <v>87840</v>
      </c>
      <c r="O455" s="831">
        <f t="shared" si="152"/>
        <v>488000</v>
      </c>
      <c r="P455" s="832">
        <f t="shared" si="153"/>
        <v>61</v>
      </c>
      <c r="Q455" s="833">
        <v>5</v>
      </c>
      <c r="R455" s="834">
        <f t="shared" si="154"/>
        <v>4.8328767123287673</v>
      </c>
      <c r="S455" s="861">
        <f t="shared" si="155"/>
        <v>15495.671232876712</v>
      </c>
      <c r="T455" s="860">
        <f t="shared" si="156"/>
        <v>472504.32876712328</v>
      </c>
      <c r="U455" s="835">
        <f t="shared" si="157"/>
        <v>0</v>
      </c>
      <c r="V455" s="835">
        <f t="shared" si="158"/>
        <v>488000</v>
      </c>
    </row>
    <row r="456" spans="1:22">
      <c r="A456" s="816"/>
      <c r="B456" s="828">
        <f t="shared" si="159"/>
        <v>8</v>
      </c>
      <c r="C456" s="843" t="s">
        <v>4099</v>
      </c>
      <c r="D456" s="870" t="s">
        <v>3427</v>
      </c>
      <c r="E456" s="845" t="s">
        <v>4211</v>
      </c>
      <c r="F456" s="830">
        <v>45366</v>
      </c>
      <c r="G456" s="830">
        <v>45366</v>
      </c>
      <c r="H456" s="843" t="s">
        <v>4101</v>
      </c>
      <c r="I456" s="830">
        <f t="shared" si="151"/>
        <v>45366</v>
      </c>
      <c r="J456" s="831">
        <v>885000</v>
      </c>
      <c r="K456" s="831"/>
      <c r="L456" s="831"/>
      <c r="M456" s="831"/>
      <c r="N456" s="831">
        <v>135000</v>
      </c>
      <c r="O456" s="831">
        <f t="shared" si="152"/>
        <v>750000</v>
      </c>
      <c r="P456" s="832">
        <f t="shared" si="153"/>
        <v>16</v>
      </c>
      <c r="Q456" s="833">
        <v>5</v>
      </c>
      <c r="R456" s="834">
        <f t="shared" si="154"/>
        <v>4.956164383561644</v>
      </c>
      <c r="S456" s="861">
        <f t="shared" si="155"/>
        <v>6246.5753424657532</v>
      </c>
      <c r="T456" s="860">
        <f t="shared" si="156"/>
        <v>743753.42465753423</v>
      </c>
      <c r="U456" s="835">
        <f t="shared" si="157"/>
        <v>0</v>
      </c>
      <c r="V456" s="835">
        <f t="shared" si="158"/>
        <v>750000</v>
      </c>
    </row>
    <row r="457" spans="1:22">
      <c r="A457" s="816"/>
      <c r="B457" s="828">
        <f t="shared" si="159"/>
        <v>9</v>
      </c>
      <c r="C457" s="843" t="s">
        <v>238</v>
      </c>
      <c r="D457" s="870" t="s">
        <v>3427</v>
      </c>
      <c r="E457" s="845" t="s">
        <v>4097</v>
      </c>
      <c r="F457" s="830">
        <v>45310</v>
      </c>
      <c r="G457" s="830">
        <v>45310</v>
      </c>
      <c r="H457" s="843" t="s">
        <v>4098</v>
      </c>
      <c r="I457" s="830">
        <f t="shared" si="151"/>
        <v>45310</v>
      </c>
      <c r="J457" s="831">
        <v>13500</v>
      </c>
      <c r="K457" s="831"/>
      <c r="L457" s="831"/>
      <c r="M457" s="831"/>
      <c r="N457" s="831">
        <v>2059.3220338983051</v>
      </c>
      <c r="O457" s="831">
        <f t="shared" si="152"/>
        <v>11440.677966101695</v>
      </c>
      <c r="P457" s="832">
        <f t="shared" si="153"/>
        <v>72</v>
      </c>
      <c r="Q457" s="833">
        <v>5</v>
      </c>
      <c r="R457" s="834">
        <f t="shared" si="154"/>
        <v>4.8027397260273972</v>
      </c>
      <c r="S457" s="861">
        <f t="shared" si="155"/>
        <v>428.79034130485252</v>
      </c>
      <c r="T457" s="860">
        <f t="shared" si="156"/>
        <v>11011.887624796844</v>
      </c>
      <c r="U457" s="835">
        <f t="shared" si="157"/>
        <v>0</v>
      </c>
      <c r="V457" s="835">
        <f t="shared" si="158"/>
        <v>11440.677966101695</v>
      </c>
    </row>
    <row r="458" spans="1:22">
      <c r="A458" s="816"/>
      <c r="B458" s="828">
        <f t="shared" si="159"/>
        <v>10</v>
      </c>
      <c r="C458" s="843" t="s">
        <v>238</v>
      </c>
      <c r="D458" s="870" t="s">
        <v>3427</v>
      </c>
      <c r="E458" s="845" t="s">
        <v>4097</v>
      </c>
      <c r="F458" s="830">
        <v>45310</v>
      </c>
      <c r="G458" s="830">
        <v>45310</v>
      </c>
      <c r="H458" s="843" t="s">
        <v>4098</v>
      </c>
      <c r="I458" s="830">
        <f t="shared" si="151"/>
        <v>45310</v>
      </c>
      <c r="J458" s="831">
        <v>13500</v>
      </c>
      <c r="K458" s="831"/>
      <c r="L458" s="831"/>
      <c r="M458" s="831"/>
      <c r="N458" s="831">
        <v>2059.3220338983051</v>
      </c>
      <c r="O458" s="831">
        <f t="shared" si="152"/>
        <v>11440.677966101695</v>
      </c>
      <c r="P458" s="832">
        <f t="shared" si="153"/>
        <v>72</v>
      </c>
      <c r="Q458" s="833">
        <v>5</v>
      </c>
      <c r="R458" s="834">
        <f t="shared" si="154"/>
        <v>4.8027397260273972</v>
      </c>
      <c r="S458" s="861">
        <f t="shared" si="155"/>
        <v>428.79034130485252</v>
      </c>
      <c r="T458" s="860">
        <f t="shared" si="156"/>
        <v>11011.887624796844</v>
      </c>
      <c r="U458" s="835">
        <f t="shared" si="157"/>
        <v>0</v>
      </c>
      <c r="V458" s="835">
        <f t="shared" si="158"/>
        <v>11440.677966101695</v>
      </c>
    </row>
    <row r="459" spans="1:22">
      <c r="A459" s="816"/>
      <c r="B459" s="828">
        <f t="shared" si="159"/>
        <v>11</v>
      </c>
      <c r="C459" s="843" t="s">
        <v>235</v>
      </c>
      <c r="D459" s="870" t="s">
        <v>2474</v>
      </c>
      <c r="E459" s="845" t="s">
        <v>4102</v>
      </c>
      <c r="F459" s="830">
        <v>45254</v>
      </c>
      <c r="G459" s="830">
        <v>45275</v>
      </c>
      <c r="H459" s="843" t="s">
        <v>4103</v>
      </c>
      <c r="I459" s="830">
        <f t="shared" si="151"/>
        <v>45275</v>
      </c>
      <c r="J459" s="831">
        <v>64310</v>
      </c>
      <c r="K459" s="831"/>
      <c r="L459" s="831"/>
      <c r="M459" s="831"/>
      <c r="N459" s="831">
        <v>9810</v>
      </c>
      <c r="O459" s="831">
        <f t="shared" si="152"/>
        <v>54500</v>
      </c>
      <c r="P459" s="832">
        <f t="shared" si="153"/>
        <v>107</v>
      </c>
      <c r="Q459" s="833">
        <v>5</v>
      </c>
      <c r="R459" s="834">
        <f t="shared" si="154"/>
        <v>4.7068493150684931</v>
      </c>
      <c r="S459" s="861">
        <f t="shared" si="155"/>
        <v>3035.5753424657532</v>
      </c>
      <c r="T459" s="860">
        <f t="shared" si="156"/>
        <v>51464.424657534248</v>
      </c>
      <c r="U459" s="835">
        <f t="shared" si="157"/>
        <v>0</v>
      </c>
      <c r="V459" s="835">
        <f t="shared" si="158"/>
        <v>54500</v>
      </c>
    </row>
    <row r="460" spans="1:22">
      <c r="A460" s="816"/>
      <c r="B460" s="828">
        <f t="shared" si="159"/>
        <v>12</v>
      </c>
      <c r="C460" s="843" t="s">
        <v>235</v>
      </c>
      <c r="D460" s="843" t="s">
        <v>2474</v>
      </c>
      <c r="E460" s="843" t="s">
        <v>4104</v>
      </c>
      <c r="F460" s="830">
        <v>45254</v>
      </c>
      <c r="G460" s="830">
        <v>45275</v>
      </c>
      <c r="H460" s="843" t="s">
        <v>4103</v>
      </c>
      <c r="I460" s="830">
        <f t="shared" si="151"/>
        <v>45275</v>
      </c>
      <c r="J460" s="831">
        <v>40960</v>
      </c>
      <c r="K460" s="831"/>
      <c r="L460" s="831"/>
      <c r="M460" s="831"/>
      <c r="N460" s="831">
        <v>8960</v>
      </c>
      <c r="O460" s="831">
        <f t="shared" si="152"/>
        <v>32000</v>
      </c>
      <c r="P460" s="832">
        <f t="shared" si="153"/>
        <v>107</v>
      </c>
      <c r="Q460" s="833">
        <v>5</v>
      </c>
      <c r="R460" s="834">
        <f t="shared" si="154"/>
        <v>4.7068493150684931</v>
      </c>
      <c r="S460" s="861">
        <f t="shared" si="155"/>
        <v>1782.3561643835617</v>
      </c>
      <c r="T460" s="860">
        <f t="shared" si="156"/>
        <v>30217.64383561644</v>
      </c>
      <c r="U460" s="835">
        <f t="shared" si="157"/>
        <v>0</v>
      </c>
      <c r="V460" s="835">
        <f t="shared" si="158"/>
        <v>32000</v>
      </c>
    </row>
    <row r="461" spans="1:22">
      <c r="A461" s="816"/>
      <c r="B461" s="828">
        <f t="shared" si="159"/>
        <v>13</v>
      </c>
      <c r="C461" s="843" t="s">
        <v>4105</v>
      </c>
      <c r="D461" s="870" t="s">
        <v>2474</v>
      </c>
      <c r="E461" s="845" t="s">
        <v>4106</v>
      </c>
      <c r="F461" s="830">
        <v>45295</v>
      </c>
      <c r="G461" s="830">
        <v>45309</v>
      </c>
      <c r="H461" s="843" t="s">
        <v>4103</v>
      </c>
      <c r="I461" s="830">
        <f t="shared" si="151"/>
        <v>45309</v>
      </c>
      <c r="J461" s="831">
        <v>46180</v>
      </c>
      <c r="K461" s="831"/>
      <c r="L461" s="831"/>
      <c r="M461" s="831"/>
      <c r="N461" s="831">
        <v>10101.84</v>
      </c>
      <c r="O461" s="831">
        <f t="shared" si="152"/>
        <v>36078.160000000003</v>
      </c>
      <c r="P461" s="832">
        <f t="shared" si="153"/>
        <v>73</v>
      </c>
      <c r="Q461" s="833">
        <v>5</v>
      </c>
      <c r="R461" s="834">
        <f t="shared" si="154"/>
        <v>4.8</v>
      </c>
      <c r="S461" s="861">
        <f t="shared" si="155"/>
        <v>1370.9700800000001</v>
      </c>
      <c r="T461" s="860">
        <f t="shared" si="156"/>
        <v>34707.189920000004</v>
      </c>
      <c r="U461" s="835">
        <f t="shared" si="157"/>
        <v>0</v>
      </c>
      <c r="V461" s="835">
        <f t="shared" si="158"/>
        <v>36078.160000000003</v>
      </c>
    </row>
    <row r="462" spans="1:22">
      <c r="A462" s="816"/>
      <c r="B462" s="828">
        <f t="shared" si="159"/>
        <v>14</v>
      </c>
      <c r="C462" s="843" t="s">
        <v>4105</v>
      </c>
      <c r="D462" s="870" t="s">
        <v>2474</v>
      </c>
      <c r="E462" s="845" t="s">
        <v>4107</v>
      </c>
      <c r="F462" s="830">
        <v>45351</v>
      </c>
      <c r="G462" s="830">
        <v>45352</v>
      </c>
      <c r="H462" s="843" t="s">
        <v>4108</v>
      </c>
      <c r="I462" s="830">
        <f t="shared" si="151"/>
        <v>45352</v>
      </c>
      <c r="J462" s="831">
        <v>45770</v>
      </c>
      <c r="K462" s="831"/>
      <c r="L462" s="831"/>
      <c r="M462" s="831"/>
      <c r="N462" s="831">
        <v>9895</v>
      </c>
      <c r="O462" s="831">
        <f t="shared" si="152"/>
        <v>35875</v>
      </c>
      <c r="P462" s="832">
        <f t="shared" si="153"/>
        <v>30</v>
      </c>
      <c r="Q462" s="833">
        <v>5</v>
      </c>
      <c r="R462" s="834">
        <f t="shared" si="154"/>
        <v>4.9178082191780819</v>
      </c>
      <c r="S462" s="861">
        <f t="shared" si="155"/>
        <v>560.2397260273973</v>
      </c>
      <c r="T462" s="860">
        <f t="shared" si="156"/>
        <v>35314.760273972606</v>
      </c>
      <c r="U462" s="835">
        <f t="shared" si="157"/>
        <v>0</v>
      </c>
      <c r="V462" s="835">
        <f t="shared" si="158"/>
        <v>35875</v>
      </c>
    </row>
    <row r="463" spans="1:22">
      <c r="A463" s="816"/>
      <c r="B463" s="828">
        <f t="shared" si="159"/>
        <v>15</v>
      </c>
      <c r="C463" s="843" t="s">
        <v>184</v>
      </c>
      <c r="D463" s="870" t="s">
        <v>2474</v>
      </c>
      <c r="E463" s="845" t="s">
        <v>4109</v>
      </c>
      <c r="F463" s="830">
        <v>45302</v>
      </c>
      <c r="G463" s="830">
        <v>45324</v>
      </c>
      <c r="H463" s="843" t="s">
        <v>4110</v>
      </c>
      <c r="I463" s="830">
        <f t="shared" si="151"/>
        <v>45324</v>
      </c>
      <c r="J463" s="831">
        <v>10829</v>
      </c>
      <c r="K463" s="831"/>
      <c r="L463" s="831"/>
      <c r="M463" s="831"/>
      <c r="N463" s="831"/>
      <c r="O463" s="831">
        <f t="shared" si="152"/>
        <v>10829</v>
      </c>
      <c r="P463" s="832">
        <f t="shared" si="153"/>
        <v>58</v>
      </c>
      <c r="Q463" s="833">
        <v>5</v>
      </c>
      <c r="R463" s="834">
        <f t="shared" si="154"/>
        <v>4.8410958904109584</v>
      </c>
      <c r="S463" s="861">
        <f t="shared" si="155"/>
        <v>326.94679452054788</v>
      </c>
      <c r="T463" s="860">
        <f t="shared" si="156"/>
        <v>10502.053205479453</v>
      </c>
      <c r="U463" s="835">
        <f t="shared" si="157"/>
        <v>0</v>
      </c>
      <c r="V463" s="835">
        <f t="shared" si="158"/>
        <v>10829</v>
      </c>
    </row>
    <row r="464" spans="1:22">
      <c r="A464" s="816"/>
      <c r="B464" s="828">
        <f t="shared" si="159"/>
        <v>16</v>
      </c>
      <c r="C464" s="843" t="s">
        <v>474</v>
      </c>
      <c r="D464" s="870" t="s">
        <v>2474</v>
      </c>
      <c r="E464" s="845">
        <v>1005</v>
      </c>
      <c r="F464" s="830">
        <v>45318</v>
      </c>
      <c r="G464" s="830">
        <v>45318</v>
      </c>
      <c r="H464" s="843" t="s">
        <v>4111</v>
      </c>
      <c r="I464" s="830">
        <f t="shared" si="151"/>
        <v>45318</v>
      </c>
      <c r="J464" s="831">
        <v>97659</v>
      </c>
      <c r="K464" s="831"/>
      <c r="L464" s="831"/>
      <c r="M464" s="831"/>
      <c r="N464" s="831"/>
      <c r="O464" s="831">
        <f t="shared" si="152"/>
        <v>97659</v>
      </c>
      <c r="P464" s="832">
        <f t="shared" si="153"/>
        <v>64</v>
      </c>
      <c r="Q464" s="833">
        <v>5</v>
      </c>
      <c r="R464" s="834">
        <f t="shared" si="154"/>
        <v>4.8246575342465752</v>
      </c>
      <c r="S464" s="861">
        <f t="shared" si="155"/>
        <v>3253.5162739726024</v>
      </c>
      <c r="T464" s="860">
        <f t="shared" si="156"/>
        <v>94405.483726027393</v>
      </c>
      <c r="U464" s="835">
        <f t="shared" si="157"/>
        <v>0</v>
      </c>
      <c r="V464" s="835">
        <f t="shared" si="158"/>
        <v>97659</v>
      </c>
    </row>
    <row r="465" spans="1:22">
      <c r="A465" s="816"/>
      <c r="B465" s="828">
        <f t="shared" si="159"/>
        <v>17</v>
      </c>
      <c r="C465" s="843" t="s">
        <v>4000</v>
      </c>
      <c r="D465" s="843" t="s">
        <v>2474</v>
      </c>
      <c r="E465" s="843" t="s">
        <v>4112</v>
      </c>
      <c r="F465" s="830">
        <v>45321</v>
      </c>
      <c r="G465" s="830">
        <v>45324</v>
      </c>
      <c r="H465" s="843" t="s">
        <v>4113</v>
      </c>
      <c r="I465" s="830">
        <f t="shared" si="151"/>
        <v>45324</v>
      </c>
      <c r="J465" s="831">
        <v>33863</v>
      </c>
      <c r="K465" s="831"/>
      <c r="L465" s="831"/>
      <c r="M465" s="831"/>
      <c r="N465" s="831"/>
      <c r="O465" s="831">
        <f t="shared" si="152"/>
        <v>33863</v>
      </c>
      <c r="P465" s="832">
        <f t="shared" si="153"/>
        <v>58</v>
      </c>
      <c r="Q465" s="833">
        <v>5</v>
      </c>
      <c r="R465" s="834">
        <f t="shared" si="154"/>
        <v>4.8410958904109584</v>
      </c>
      <c r="S465" s="861">
        <f t="shared" si="155"/>
        <v>1022.3842739726026</v>
      </c>
      <c r="T465" s="860">
        <f t="shared" si="156"/>
        <v>32840.615726027398</v>
      </c>
      <c r="U465" s="835">
        <f t="shared" si="157"/>
        <v>0</v>
      </c>
      <c r="V465" s="835">
        <f t="shared" si="158"/>
        <v>33863</v>
      </c>
    </row>
    <row r="466" spans="1:22">
      <c r="A466" s="816"/>
      <c r="B466" s="828">
        <f t="shared" si="159"/>
        <v>18</v>
      </c>
      <c r="C466" s="843" t="s">
        <v>4000</v>
      </c>
      <c r="D466" s="870" t="s">
        <v>2474</v>
      </c>
      <c r="E466" s="845" t="s">
        <v>4114</v>
      </c>
      <c r="F466" s="830">
        <v>45321</v>
      </c>
      <c r="G466" s="830">
        <v>45324</v>
      </c>
      <c r="H466" s="843" t="s">
        <v>4113</v>
      </c>
      <c r="I466" s="830">
        <f t="shared" si="151"/>
        <v>45324</v>
      </c>
      <c r="J466" s="831">
        <v>36195</v>
      </c>
      <c r="K466" s="831"/>
      <c r="L466" s="831"/>
      <c r="M466" s="831"/>
      <c r="N466" s="831"/>
      <c r="O466" s="831">
        <f t="shared" si="152"/>
        <v>36195</v>
      </c>
      <c r="P466" s="832">
        <f t="shared" si="153"/>
        <v>58</v>
      </c>
      <c r="Q466" s="833">
        <v>5</v>
      </c>
      <c r="R466" s="834">
        <f t="shared" si="154"/>
        <v>4.8410958904109584</v>
      </c>
      <c r="S466" s="861">
        <f t="shared" si="155"/>
        <v>1092.7915068493151</v>
      </c>
      <c r="T466" s="860">
        <f t="shared" si="156"/>
        <v>35102.208493150683</v>
      </c>
      <c r="U466" s="835">
        <f t="shared" si="157"/>
        <v>0</v>
      </c>
      <c r="V466" s="835">
        <f t="shared" si="158"/>
        <v>36195</v>
      </c>
    </row>
    <row r="467" spans="1:22">
      <c r="A467" s="816"/>
      <c r="B467" s="828">
        <f t="shared" si="159"/>
        <v>19</v>
      </c>
      <c r="C467" s="843" t="s">
        <v>235</v>
      </c>
      <c r="D467" s="844" t="s">
        <v>3753</v>
      </c>
      <c r="E467" s="843">
        <v>259</v>
      </c>
      <c r="F467" s="830">
        <v>45086</v>
      </c>
      <c r="G467" s="830">
        <v>45102</v>
      </c>
      <c r="H467" s="843" t="s">
        <v>4115</v>
      </c>
      <c r="I467" s="830">
        <f t="shared" si="151"/>
        <v>45102</v>
      </c>
      <c r="J467" s="831">
        <v>37000</v>
      </c>
      <c r="K467" s="831"/>
      <c r="L467" s="831"/>
      <c r="M467" s="831"/>
      <c r="N467" s="831">
        <v>8094</v>
      </c>
      <c r="O467" s="831">
        <f t="shared" si="152"/>
        <v>28906</v>
      </c>
      <c r="P467" s="832">
        <f t="shared" si="153"/>
        <v>280</v>
      </c>
      <c r="Q467" s="833">
        <v>5</v>
      </c>
      <c r="R467" s="834">
        <f t="shared" si="154"/>
        <v>4.2328767123287676</v>
      </c>
      <c r="S467" s="861">
        <f t="shared" si="155"/>
        <v>4213.1484931506839</v>
      </c>
      <c r="T467" s="860">
        <f t="shared" si="156"/>
        <v>24692.851506849314</v>
      </c>
      <c r="U467" s="835">
        <f t="shared" si="157"/>
        <v>28906</v>
      </c>
      <c r="V467" s="835">
        <f t="shared" si="158"/>
        <v>0</v>
      </c>
    </row>
    <row r="468" spans="1:22">
      <c r="A468" s="816"/>
      <c r="B468" s="828">
        <f t="shared" si="159"/>
        <v>20</v>
      </c>
      <c r="C468" s="843" t="s">
        <v>235</v>
      </c>
      <c r="D468" s="843" t="s">
        <v>3753</v>
      </c>
      <c r="E468" s="843">
        <v>377</v>
      </c>
      <c r="F468" s="847">
        <v>45166</v>
      </c>
      <c r="G468" s="847">
        <v>45166</v>
      </c>
      <c r="H468" s="843" t="s">
        <v>4115</v>
      </c>
      <c r="I468" s="847">
        <f t="shared" si="151"/>
        <v>45166</v>
      </c>
      <c r="J468" s="831">
        <v>35000</v>
      </c>
      <c r="K468" s="831"/>
      <c r="L468" s="831"/>
      <c r="M468" s="831"/>
      <c r="N468" s="831">
        <v>7656</v>
      </c>
      <c r="O468" s="831">
        <f t="shared" si="152"/>
        <v>27344</v>
      </c>
      <c r="P468" s="832">
        <f t="shared" si="153"/>
        <v>216</v>
      </c>
      <c r="Q468" s="833">
        <v>5</v>
      </c>
      <c r="R468" s="834">
        <f t="shared" si="154"/>
        <v>4.4082191780821915</v>
      </c>
      <c r="S468" s="861">
        <f t="shared" si="155"/>
        <v>3074.5144109589041</v>
      </c>
      <c r="T468" s="860">
        <f t="shared" si="156"/>
        <v>24269.485589041094</v>
      </c>
      <c r="U468" s="835">
        <f t="shared" si="157"/>
        <v>27344</v>
      </c>
      <c r="V468" s="835">
        <f t="shared" si="158"/>
        <v>0</v>
      </c>
    </row>
    <row r="469" spans="1:22">
      <c r="A469" s="816"/>
      <c r="B469" s="828">
        <f t="shared" si="159"/>
        <v>21</v>
      </c>
      <c r="C469" s="843" t="s">
        <v>235</v>
      </c>
      <c r="D469" s="843" t="s">
        <v>3753</v>
      </c>
      <c r="E469" s="843" t="s">
        <v>4116</v>
      </c>
      <c r="F469" s="830">
        <v>45229</v>
      </c>
      <c r="G469" s="830">
        <v>45229</v>
      </c>
      <c r="H469" s="843" t="s">
        <v>4117</v>
      </c>
      <c r="I469" s="830">
        <f t="shared" si="151"/>
        <v>45229</v>
      </c>
      <c r="J469" s="831">
        <v>265300</v>
      </c>
      <c r="K469" s="831"/>
      <c r="L469" s="831"/>
      <c r="M469" s="831"/>
      <c r="N469" s="831">
        <v>56888</v>
      </c>
      <c r="O469" s="831">
        <f t="shared" si="152"/>
        <v>208412</v>
      </c>
      <c r="P469" s="832">
        <f t="shared" si="153"/>
        <v>153</v>
      </c>
      <c r="Q469" s="833">
        <v>5</v>
      </c>
      <c r="R469" s="834">
        <f t="shared" si="154"/>
        <v>4.580821917808219</v>
      </c>
      <c r="S469" s="861">
        <f t="shared" si="155"/>
        <v>16598.731068493151</v>
      </c>
      <c r="T469" s="860">
        <f t="shared" si="156"/>
        <v>191813.26893150684</v>
      </c>
      <c r="U469" s="835">
        <f t="shared" si="157"/>
        <v>0</v>
      </c>
      <c r="V469" s="835">
        <f t="shared" si="158"/>
        <v>208412</v>
      </c>
    </row>
    <row r="470" spans="1:22">
      <c r="A470" s="816"/>
      <c r="B470" s="828">
        <f t="shared" si="159"/>
        <v>22</v>
      </c>
      <c r="C470" s="843" t="s">
        <v>2686</v>
      </c>
      <c r="D470" s="844" t="s">
        <v>3753</v>
      </c>
      <c r="E470" s="843" t="s">
        <v>4118</v>
      </c>
      <c r="F470" s="830">
        <v>45028</v>
      </c>
      <c r="G470" s="830">
        <v>45028</v>
      </c>
      <c r="H470" s="843" t="s">
        <v>4119</v>
      </c>
      <c r="I470" s="830">
        <f t="shared" si="151"/>
        <v>45028</v>
      </c>
      <c r="J470" s="831">
        <v>33500</v>
      </c>
      <c r="K470" s="831"/>
      <c r="L470" s="831"/>
      <c r="M470" s="831"/>
      <c r="N470" s="831">
        <v>7328</v>
      </c>
      <c r="O470" s="831">
        <f t="shared" si="152"/>
        <v>26172</v>
      </c>
      <c r="P470" s="832">
        <f t="shared" si="153"/>
        <v>354</v>
      </c>
      <c r="Q470" s="833">
        <v>5</v>
      </c>
      <c r="R470" s="834">
        <f t="shared" si="154"/>
        <v>4.0301369863013701</v>
      </c>
      <c r="S470" s="861">
        <f t="shared" si="155"/>
        <v>4822.8184109589038</v>
      </c>
      <c r="T470" s="860">
        <f t="shared" si="156"/>
        <v>21349.181589041094</v>
      </c>
      <c r="U470" s="835">
        <f t="shared" si="157"/>
        <v>26172</v>
      </c>
      <c r="V470" s="835">
        <f t="shared" si="158"/>
        <v>0</v>
      </c>
    </row>
    <row r="471" spans="1:22">
      <c r="A471" s="816"/>
      <c r="B471" s="828">
        <f t="shared" si="159"/>
        <v>23</v>
      </c>
      <c r="C471" s="836" t="s">
        <v>235</v>
      </c>
      <c r="D471" s="836" t="s">
        <v>3811</v>
      </c>
      <c r="E471" s="836">
        <v>403</v>
      </c>
      <c r="F471" s="837">
        <v>45195</v>
      </c>
      <c r="G471" s="837">
        <v>45219</v>
      </c>
      <c r="H471" s="836" t="s">
        <v>4115</v>
      </c>
      <c r="I471" s="830">
        <f t="shared" si="151"/>
        <v>45219</v>
      </c>
      <c r="J471" s="839">
        <v>35000</v>
      </c>
      <c r="K471" s="839"/>
      <c r="L471" s="839"/>
      <c r="M471" s="839"/>
      <c r="N471" s="839">
        <v>7656</v>
      </c>
      <c r="O471" s="839">
        <f t="shared" si="152"/>
        <v>27344</v>
      </c>
      <c r="P471" s="832">
        <f t="shared" si="153"/>
        <v>163</v>
      </c>
      <c r="Q471" s="840">
        <v>5</v>
      </c>
      <c r="R471" s="841">
        <f t="shared" si="154"/>
        <v>4.5534246575342463</v>
      </c>
      <c r="S471" s="861">
        <f t="shared" si="155"/>
        <v>2320.1196712328765</v>
      </c>
      <c r="T471" s="860">
        <f t="shared" si="156"/>
        <v>25023.880328767125</v>
      </c>
      <c r="U471" s="835">
        <f t="shared" si="157"/>
        <v>0</v>
      </c>
      <c r="V471" s="835">
        <f t="shared" si="158"/>
        <v>27344</v>
      </c>
    </row>
    <row r="472" spans="1:22">
      <c r="A472" s="816"/>
      <c r="B472" s="828">
        <f t="shared" si="159"/>
        <v>24</v>
      </c>
      <c r="C472" s="843" t="s">
        <v>4099</v>
      </c>
      <c r="D472" s="843" t="s">
        <v>1735</v>
      </c>
      <c r="E472" s="843" t="s">
        <v>4120</v>
      </c>
      <c r="F472" s="830">
        <v>45161</v>
      </c>
      <c r="G472" s="830">
        <v>45161</v>
      </c>
      <c r="H472" s="843" t="s">
        <v>4101</v>
      </c>
      <c r="I472" s="830">
        <f t="shared" si="151"/>
        <v>45161</v>
      </c>
      <c r="J472" s="831">
        <v>446158</v>
      </c>
      <c r="K472" s="831"/>
      <c r="L472" s="831"/>
      <c r="M472" s="831"/>
      <c r="N472" s="831">
        <v>68058</v>
      </c>
      <c r="O472" s="831">
        <f t="shared" si="152"/>
        <v>378100</v>
      </c>
      <c r="P472" s="832">
        <f t="shared" si="153"/>
        <v>221</v>
      </c>
      <c r="Q472" s="833">
        <v>5</v>
      </c>
      <c r="R472" s="834">
        <f t="shared" si="154"/>
        <v>4.3945205479452056</v>
      </c>
      <c r="S472" s="861">
        <f t="shared" si="155"/>
        <v>43497.038356164383</v>
      </c>
      <c r="T472" s="860">
        <f t="shared" si="156"/>
        <v>334602.96164383565</v>
      </c>
      <c r="U472" s="835">
        <f t="shared" si="157"/>
        <v>378100</v>
      </c>
      <c r="V472" s="835">
        <f t="shared" si="158"/>
        <v>0</v>
      </c>
    </row>
    <row r="473" spans="1:22">
      <c r="A473" s="816"/>
      <c r="B473" s="828">
        <f t="shared" si="159"/>
        <v>25</v>
      </c>
      <c r="C473" s="843" t="s">
        <v>235</v>
      </c>
      <c r="D473" s="843" t="s">
        <v>27</v>
      </c>
      <c r="E473" s="843" t="s">
        <v>4121</v>
      </c>
      <c r="F473" s="830">
        <v>45185</v>
      </c>
      <c r="G473" s="830">
        <v>45185</v>
      </c>
      <c r="H473" s="843" t="s">
        <v>4122</v>
      </c>
      <c r="I473" s="830">
        <f t="shared" si="151"/>
        <v>45185</v>
      </c>
      <c r="J473" s="831">
        <v>70400</v>
      </c>
      <c r="K473" s="831"/>
      <c r="L473" s="831"/>
      <c r="M473" s="831"/>
      <c r="N473" s="831">
        <v>14810</v>
      </c>
      <c r="O473" s="831">
        <f t="shared" si="152"/>
        <v>55590</v>
      </c>
      <c r="P473" s="832">
        <f t="shared" si="153"/>
        <v>197</v>
      </c>
      <c r="Q473" s="833">
        <v>5</v>
      </c>
      <c r="R473" s="834">
        <f t="shared" si="154"/>
        <v>4.4602739726027396</v>
      </c>
      <c r="S473" s="861">
        <f t="shared" si="155"/>
        <v>5700.6402739726036</v>
      </c>
      <c r="T473" s="860">
        <f t="shared" si="156"/>
        <v>49889.359726027396</v>
      </c>
      <c r="U473" s="835">
        <f t="shared" si="157"/>
        <v>55590</v>
      </c>
      <c r="V473" s="835">
        <f t="shared" si="158"/>
        <v>0</v>
      </c>
    </row>
    <row r="474" spans="1:22">
      <c r="A474" s="816"/>
      <c r="B474" s="828">
        <f t="shared" si="159"/>
        <v>26</v>
      </c>
      <c r="C474" s="843" t="s">
        <v>235</v>
      </c>
      <c r="D474" s="843" t="s">
        <v>3848</v>
      </c>
      <c r="E474" s="843" t="s">
        <v>4123</v>
      </c>
      <c r="F474" s="830">
        <v>45108</v>
      </c>
      <c r="G474" s="830">
        <v>45108</v>
      </c>
      <c r="H474" s="843" t="s">
        <v>4124</v>
      </c>
      <c r="I474" s="830">
        <f t="shared" si="151"/>
        <v>45108</v>
      </c>
      <c r="J474" s="831">
        <v>175000</v>
      </c>
      <c r="K474" s="831"/>
      <c r="L474" s="831"/>
      <c r="M474" s="831"/>
      <c r="N474" s="831">
        <v>38281.26</v>
      </c>
      <c r="O474" s="831">
        <f t="shared" si="152"/>
        <v>136718.74</v>
      </c>
      <c r="P474" s="832">
        <f t="shared" si="153"/>
        <v>274</v>
      </c>
      <c r="Q474" s="833">
        <v>5</v>
      </c>
      <c r="R474" s="834">
        <f t="shared" si="154"/>
        <v>4.2493150684931509</v>
      </c>
      <c r="S474" s="861">
        <f t="shared" si="155"/>
        <v>19500.21261479452</v>
      </c>
      <c r="T474" s="860">
        <f t="shared" si="156"/>
        <v>117218.52738520547</v>
      </c>
      <c r="U474" s="835">
        <f t="shared" si="157"/>
        <v>136718.74</v>
      </c>
      <c r="V474" s="835">
        <f t="shared" si="158"/>
        <v>0</v>
      </c>
    </row>
    <row r="475" spans="1:22">
      <c r="A475" s="816"/>
      <c r="B475" s="828">
        <f t="shared" si="159"/>
        <v>27</v>
      </c>
      <c r="C475" s="843" t="s">
        <v>235</v>
      </c>
      <c r="D475" s="843" t="s">
        <v>3848</v>
      </c>
      <c r="E475" s="843" t="s">
        <v>4125</v>
      </c>
      <c r="F475" s="830">
        <v>45121</v>
      </c>
      <c r="G475" s="830">
        <v>45122</v>
      </c>
      <c r="H475" s="843" t="s">
        <v>4124</v>
      </c>
      <c r="I475" s="830">
        <f t="shared" si="151"/>
        <v>45122</v>
      </c>
      <c r="J475" s="831">
        <v>93800</v>
      </c>
      <c r="K475" s="831"/>
      <c r="L475" s="831"/>
      <c r="M475" s="831"/>
      <c r="N475" s="831">
        <v>20518</v>
      </c>
      <c r="O475" s="831">
        <f t="shared" si="152"/>
        <v>73282</v>
      </c>
      <c r="P475" s="832">
        <f t="shared" si="153"/>
        <v>260</v>
      </c>
      <c r="Q475" s="833">
        <v>5</v>
      </c>
      <c r="R475" s="834">
        <f t="shared" si="154"/>
        <v>4.2876712328767121</v>
      </c>
      <c r="S475" s="861">
        <f t="shared" si="155"/>
        <v>9918.1665753424641</v>
      </c>
      <c r="T475" s="860">
        <f t="shared" si="156"/>
        <v>63363.83342465754</v>
      </c>
      <c r="U475" s="835">
        <f t="shared" si="157"/>
        <v>73282</v>
      </c>
      <c r="V475" s="835">
        <f t="shared" si="158"/>
        <v>0</v>
      </c>
    </row>
    <row r="476" spans="1:22">
      <c r="A476" s="816"/>
      <c r="B476" s="828">
        <f t="shared" si="159"/>
        <v>28</v>
      </c>
      <c r="C476" s="836" t="s">
        <v>2686</v>
      </c>
      <c r="D476" s="836" t="s">
        <v>3848</v>
      </c>
      <c r="E476" s="836" t="s">
        <v>4126</v>
      </c>
      <c r="F476" s="842">
        <v>45088</v>
      </c>
      <c r="G476" s="842">
        <v>45088</v>
      </c>
      <c r="H476" s="836" t="s">
        <v>4124</v>
      </c>
      <c r="I476" s="842">
        <f t="shared" si="151"/>
        <v>45088</v>
      </c>
      <c r="J476" s="839">
        <v>34000</v>
      </c>
      <c r="K476" s="839"/>
      <c r="L476" s="839"/>
      <c r="M476" s="839"/>
      <c r="N476" s="839">
        <v>7438</v>
      </c>
      <c r="O476" s="839">
        <f t="shared" si="152"/>
        <v>26562</v>
      </c>
      <c r="P476" s="832">
        <f t="shared" si="153"/>
        <v>294</v>
      </c>
      <c r="Q476" s="840">
        <v>5</v>
      </c>
      <c r="R476" s="841">
        <f t="shared" si="154"/>
        <v>4.1945205479452055</v>
      </c>
      <c r="S476" s="861">
        <f t="shared" si="155"/>
        <v>4065.0775890410955</v>
      </c>
      <c r="T476" s="860">
        <f t="shared" si="156"/>
        <v>22496.922410958905</v>
      </c>
      <c r="U476" s="835">
        <f t="shared" si="157"/>
        <v>26562</v>
      </c>
      <c r="V476" s="835">
        <f t="shared" si="158"/>
        <v>0</v>
      </c>
    </row>
    <row r="477" spans="1:22">
      <c r="A477" s="816"/>
      <c r="B477" s="828">
        <f t="shared" si="159"/>
        <v>29</v>
      </c>
      <c r="C477" s="843" t="s">
        <v>474</v>
      </c>
      <c r="D477" s="843" t="s">
        <v>3848</v>
      </c>
      <c r="E477" s="843"/>
      <c r="F477" s="830"/>
      <c r="G477" s="830"/>
      <c r="H477" s="843" t="s">
        <v>217</v>
      </c>
      <c r="I477" s="830">
        <f t="shared" si="151"/>
        <v>0</v>
      </c>
      <c r="J477" s="831">
        <v>9490</v>
      </c>
      <c r="K477" s="831"/>
      <c r="L477" s="831"/>
      <c r="M477" s="831"/>
      <c r="N477" s="831"/>
      <c r="O477" s="831">
        <f t="shared" si="152"/>
        <v>9490</v>
      </c>
      <c r="P477" s="832">
        <f t="shared" si="153"/>
        <v>45382</v>
      </c>
      <c r="Q477" s="833">
        <v>5</v>
      </c>
      <c r="R477" s="834">
        <f t="shared" si="154"/>
        <v>-119.33424657534246</v>
      </c>
      <c r="S477" s="861">
        <f t="shared" si="155"/>
        <v>224187.08000000002</v>
      </c>
      <c r="T477" s="860">
        <f t="shared" si="156"/>
        <v>-214697.08000000002</v>
      </c>
      <c r="U477" s="835">
        <f t="shared" si="157"/>
        <v>9490</v>
      </c>
      <c r="V477" s="835">
        <f t="shared" si="158"/>
        <v>0</v>
      </c>
    </row>
    <row r="478" spans="1:22">
      <c r="A478" s="816"/>
      <c r="B478" s="828">
        <f t="shared" si="159"/>
        <v>30</v>
      </c>
      <c r="C478" s="836" t="s">
        <v>238</v>
      </c>
      <c r="D478" s="836" t="s">
        <v>3848</v>
      </c>
      <c r="E478" s="836" t="s">
        <v>4127</v>
      </c>
      <c r="F478" s="837">
        <v>45236</v>
      </c>
      <c r="G478" s="837">
        <v>45260</v>
      </c>
      <c r="H478" s="836" t="s">
        <v>4094</v>
      </c>
      <c r="I478" s="830">
        <f t="shared" si="151"/>
        <v>45260</v>
      </c>
      <c r="J478" s="839">
        <v>29999</v>
      </c>
      <c r="K478" s="839"/>
      <c r="L478" s="839"/>
      <c r="M478" s="839"/>
      <c r="N478" s="839"/>
      <c r="O478" s="839">
        <f t="shared" si="152"/>
        <v>29999</v>
      </c>
      <c r="P478" s="832">
        <f t="shared" si="153"/>
        <v>122</v>
      </c>
      <c r="Q478" s="840">
        <v>5</v>
      </c>
      <c r="R478" s="841">
        <f t="shared" si="154"/>
        <v>4.6657534246575345</v>
      </c>
      <c r="S478" s="861">
        <f t="shared" si="155"/>
        <v>1905.1419726027395</v>
      </c>
      <c r="T478" s="860">
        <f t="shared" si="156"/>
        <v>28093.858027397262</v>
      </c>
      <c r="U478" s="835">
        <f t="shared" si="157"/>
        <v>0</v>
      </c>
      <c r="V478" s="835">
        <f t="shared" si="158"/>
        <v>29999</v>
      </c>
    </row>
    <row r="479" spans="1:22">
      <c r="A479" s="816"/>
      <c r="B479" s="828">
        <f t="shared" si="159"/>
        <v>31</v>
      </c>
      <c r="C479" s="836" t="s">
        <v>4092</v>
      </c>
      <c r="D479" s="836" t="s">
        <v>3848</v>
      </c>
      <c r="E479" s="836">
        <v>11</v>
      </c>
      <c r="F479" s="837">
        <v>45222</v>
      </c>
      <c r="G479" s="837">
        <v>45291</v>
      </c>
      <c r="H479" s="836" t="s">
        <v>4128</v>
      </c>
      <c r="I479" s="830">
        <f t="shared" si="151"/>
        <v>45291</v>
      </c>
      <c r="J479" s="839">
        <v>24500</v>
      </c>
      <c r="K479" s="839"/>
      <c r="L479" s="839"/>
      <c r="M479" s="839"/>
      <c r="N479" s="839">
        <v>3737.2881355932204</v>
      </c>
      <c r="O479" s="839">
        <f t="shared" si="152"/>
        <v>20762.711864406781</v>
      </c>
      <c r="P479" s="832">
        <f t="shared" si="153"/>
        <v>91</v>
      </c>
      <c r="Q479" s="840">
        <v>5</v>
      </c>
      <c r="R479" s="841">
        <f t="shared" si="154"/>
        <v>4.7506849315068491</v>
      </c>
      <c r="S479" s="861">
        <f t="shared" si="155"/>
        <v>983.52681680984449</v>
      </c>
      <c r="T479" s="860">
        <f t="shared" si="156"/>
        <v>19779.185047596937</v>
      </c>
      <c r="U479" s="835">
        <f t="shared" si="157"/>
        <v>0</v>
      </c>
      <c r="V479" s="835">
        <f t="shared" si="158"/>
        <v>20762.711864406781</v>
      </c>
    </row>
    <row r="480" spans="1:22">
      <c r="A480" s="816"/>
      <c r="B480" s="828">
        <f t="shared" si="159"/>
        <v>32</v>
      </c>
      <c r="C480" s="836" t="s">
        <v>4223</v>
      </c>
      <c r="D480" s="836" t="s">
        <v>3449</v>
      </c>
      <c r="E480" s="836" t="s">
        <v>4224</v>
      </c>
      <c r="F480" s="837">
        <v>45140</v>
      </c>
      <c r="G480" s="837">
        <v>45352</v>
      </c>
      <c r="H480" s="836" t="s">
        <v>4098</v>
      </c>
      <c r="I480" s="830">
        <f t="shared" si="151"/>
        <v>45352</v>
      </c>
      <c r="J480" s="839">
        <v>118016</v>
      </c>
      <c r="K480" s="839"/>
      <c r="L480" s="839"/>
      <c r="M480" s="839"/>
      <c r="N480" s="839">
        <f>12908*2</f>
        <v>25816</v>
      </c>
      <c r="O480" s="839">
        <f t="shared" si="152"/>
        <v>92200</v>
      </c>
      <c r="P480" s="832">
        <f t="shared" si="153"/>
        <v>30</v>
      </c>
      <c r="Q480" s="840">
        <v>5</v>
      </c>
      <c r="R480" s="841">
        <f t="shared" ref="R480" si="160">Q480-(P480/365)</f>
        <v>4.9178082191780819</v>
      </c>
      <c r="S480" s="861">
        <f t="shared" ref="S480" si="161">O480*95%/Q480*P480/365</f>
        <v>1439.8356164383561</v>
      </c>
      <c r="T480" s="860">
        <f t="shared" ref="T480" si="162">O480-S480</f>
        <v>90760.164383561641</v>
      </c>
      <c r="U480" s="835">
        <f t="shared" ref="U480" si="163">IF(I480&lt;=DATE(2023,9,30),O480,0)</f>
        <v>0</v>
      </c>
      <c r="V480" s="835">
        <f t="shared" ref="V480" si="164">IF(I480&gt;DATE(2023,10,1),O480,0)</f>
        <v>92200</v>
      </c>
    </row>
    <row r="481" spans="1:22">
      <c r="A481" s="816"/>
      <c r="B481" s="828">
        <f t="shared" si="159"/>
        <v>33</v>
      </c>
      <c r="C481" s="836" t="s">
        <v>4223</v>
      </c>
      <c r="D481" s="836" t="s">
        <v>3449</v>
      </c>
      <c r="E481" s="836" t="s">
        <v>4238</v>
      </c>
      <c r="F481" s="837">
        <v>45161</v>
      </c>
      <c r="G481" s="837">
        <v>45161</v>
      </c>
      <c r="H481" s="836" t="s">
        <v>4098</v>
      </c>
      <c r="I481" s="830">
        <f>MAX(F481,G481)</f>
        <v>45161</v>
      </c>
      <c r="J481" s="839">
        <f>102000+28560</f>
        <v>130560</v>
      </c>
      <c r="K481" s="839"/>
      <c r="L481" s="839"/>
      <c r="M481" s="839"/>
      <c r="N481" s="839">
        <v>28560</v>
      </c>
      <c r="O481" s="839">
        <f t="shared" ref="O481" si="165">J481+L481-M481-N481</f>
        <v>102000</v>
      </c>
      <c r="P481" s="832">
        <f t="shared" ref="P481" si="166">$P$1-I481</f>
        <v>221</v>
      </c>
      <c r="Q481" s="840">
        <v>5</v>
      </c>
      <c r="R481" s="841">
        <f t="shared" ref="R481" si="167">Q481-(P481/365)</f>
        <v>4.3945205479452056</v>
      </c>
      <c r="S481" s="861">
        <f t="shared" ref="S481" si="168">O481*95%/Q481*P481/365</f>
        <v>11734.191780821919</v>
      </c>
      <c r="T481" s="860">
        <f t="shared" ref="T481" si="169">O481-S481</f>
        <v>90265.808219178085</v>
      </c>
      <c r="U481" s="835">
        <f t="shared" ref="U481" si="170">IF(I481&lt;=DATE(2023,9,30),O481,0)</f>
        <v>102000</v>
      </c>
      <c r="V481" s="835">
        <f t="shared" ref="V481" si="171">IF(I481&gt;DATE(2023,10,1),O481,0)</f>
        <v>0</v>
      </c>
    </row>
    <row r="482" spans="1:22">
      <c r="A482" s="816"/>
      <c r="B482" s="828">
        <f t="shared" si="159"/>
        <v>34</v>
      </c>
      <c r="C482" s="843" t="s">
        <v>1578</v>
      </c>
      <c r="D482" s="843" t="s">
        <v>4129</v>
      </c>
      <c r="E482" s="843">
        <v>8515</v>
      </c>
      <c r="F482" s="830">
        <v>45162</v>
      </c>
      <c r="G482" s="830">
        <v>45180</v>
      </c>
      <c r="H482" s="843" t="s">
        <v>4130</v>
      </c>
      <c r="I482" s="830">
        <f t="shared" si="151"/>
        <v>45180</v>
      </c>
      <c r="J482" s="831">
        <v>72000</v>
      </c>
      <c r="K482" s="831"/>
      <c r="L482" s="831"/>
      <c r="M482" s="831"/>
      <c r="N482" s="831">
        <v>0</v>
      </c>
      <c r="O482" s="831">
        <f t="shared" si="152"/>
        <v>72000</v>
      </c>
      <c r="P482" s="832">
        <f t="shared" si="153"/>
        <v>202</v>
      </c>
      <c r="Q482" s="833">
        <v>5</v>
      </c>
      <c r="R482" s="834">
        <f t="shared" si="154"/>
        <v>4.4465753424657537</v>
      </c>
      <c r="S482" s="861">
        <f t="shared" si="155"/>
        <v>7570.8493150684935</v>
      </c>
      <c r="T482" s="860">
        <f t="shared" si="156"/>
        <v>64429.150684931505</v>
      </c>
      <c r="U482" s="835">
        <f t="shared" si="157"/>
        <v>72000</v>
      </c>
      <c r="V482" s="835">
        <f t="shared" si="158"/>
        <v>0</v>
      </c>
    </row>
    <row r="483" spans="1:22">
      <c r="A483" s="816"/>
      <c r="B483" s="828">
        <f t="shared" si="159"/>
        <v>35</v>
      </c>
      <c r="C483" s="843" t="s">
        <v>2686</v>
      </c>
      <c r="D483" s="843" t="s">
        <v>21</v>
      </c>
      <c r="E483" s="845" t="s">
        <v>4131</v>
      </c>
      <c r="F483" s="830">
        <v>45079</v>
      </c>
      <c r="G483" s="830">
        <v>45079</v>
      </c>
      <c r="H483" s="843" t="s">
        <v>4132</v>
      </c>
      <c r="I483" s="830">
        <f t="shared" si="151"/>
        <v>45079</v>
      </c>
      <c r="J483" s="831">
        <v>100500</v>
      </c>
      <c r="K483" s="831"/>
      <c r="L483" s="831"/>
      <c r="M483" s="831"/>
      <c r="N483" s="831">
        <v>21984</v>
      </c>
      <c r="O483" s="964">
        <f t="shared" si="152"/>
        <v>78516</v>
      </c>
      <c r="P483" s="832">
        <f t="shared" si="153"/>
        <v>303</v>
      </c>
      <c r="Q483" s="833">
        <v>5</v>
      </c>
      <c r="R483" s="834">
        <f t="shared" si="154"/>
        <v>4.1698630136986301</v>
      </c>
      <c r="S483" s="861">
        <f t="shared" si="155"/>
        <v>12384.016767123288</v>
      </c>
      <c r="T483" s="860">
        <f t="shared" si="156"/>
        <v>66131.983232876708</v>
      </c>
      <c r="U483" s="835">
        <f t="shared" si="157"/>
        <v>78516</v>
      </c>
      <c r="V483" s="835">
        <f t="shared" si="158"/>
        <v>0</v>
      </c>
    </row>
    <row r="484" spans="1:22">
      <c r="A484" s="816"/>
      <c r="B484" s="828">
        <f t="shared" si="159"/>
        <v>36</v>
      </c>
      <c r="C484" s="843" t="s">
        <v>2686</v>
      </c>
      <c r="D484" s="843" t="s">
        <v>2079</v>
      </c>
      <c r="E484" s="843" t="s">
        <v>4133</v>
      </c>
      <c r="F484" s="830">
        <v>45043</v>
      </c>
      <c r="G484" s="830">
        <v>45055</v>
      </c>
      <c r="H484" s="843" t="s">
        <v>4134</v>
      </c>
      <c r="I484" s="830">
        <f t="shared" si="151"/>
        <v>45055</v>
      </c>
      <c r="J484" s="831">
        <v>30000</v>
      </c>
      <c r="K484" s="831"/>
      <c r="L484" s="831"/>
      <c r="M484" s="831"/>
      <c r="N484" s="831">
        <v>6562</v>
      </c>
      <c r="O484" s="831">
        <f t="shared" si="152"/>
        <v>23438</v>
      </c>
      <c r="P484" s="832">
        <f t="shared" si="153"/>
        <v>327</v>
      </c>
      <c r="Q484" s="833">
        <v>5</v>
      </c>
      <c r="R484" s="834">
        <f t="shared" si="154"/>
        <v>4.1041095890410961</v>
      </c>
      <c r="S484" s="861">
        <f t="shared" si="155"/>
        <v>3989.5970958904099</v>
      </c>
      <c r="T484" s="860">
        <f t="shared" si="156"/>
        <v>19448.402904109589</v>
      </c>
      <c r="U484" s="835">
        <f t="shared" si="157"/>
        <v>23438</v>
      </c>
      <c r="V484" s="835">
        <f t="shared" si="158"/>
        <v>0</v>
      </c>
    </row>
    <row r="485" spans="1:22">
      <c r="A485" s="816"/>
      <c r="B485" s="828">
        <f t="shared" si="159"/>
        <v>37</v>
      </c>
      <c r="C485" s="843" t="s">
        <v>4105</v>
      </c>
      <c r="D485" s="829" t="s">
        <v>880</v>
      </c>
      <c r="E485" s="845" t="s">
        <v>4135</v>
      </c>
      <c r="F485" s="830">
        <v>45329</v>
      </c>
      <c r="G485" s="830">
        <v>45342</v>
      </c>
      <c r="H485" s="843" t="s">
        <v>217</v>
      </c>
      <c r="I485" s="830">
        <f t="shared" si="151"/>
        <v>45342</v>
      </c>
      <c r="J485" s="831">
        <v>35519</v>
      </c>
      <c r="K485" s="831"/>
      <c r="L485" s="831"/>
      <c r="M485" s="831"/>
      <c r="N485" s="831"/>
      <c r="O485" s="831">
        <f t="shared" si="152"/>
        <v>35519</v>
      </c>
      <c r="P485" s="832">
        <f t="shared" si="153"/>
        <v>40</v>
      </c>
      <c r="Q485" s="833">
        <v>5</v>
      </c>
      <c r="R485" s="834">
        <f t="shared" si="154"/>
        <v>4.8904109589041092</v>
      </c>
      <c r="S485" s="861">
        <f t="shared" si="155"/>
        <v>739.57369863013685</v>
      </c>
      <c r="T485" s="860">
        <f t="shared" si="156"/>
        <v>34779.426301369866</v>
      </c>
      <c r="U485" s="835">
        <f t="shared" si="157"/>
        <v>0</v>
      </c>
      <c r="V485" s="835">
        <f t="shared" si="158"/>
        <v>35519</v>
      </c>
    </row>
    <row r="486" spans="1:22" ht="19.5" customHeight="1">
      <c r="A486" s="816"/>
      <c r="B486" s="828"/>
      <c r="C486" s="863" t="s">
        <v>30</v>
      </c>
      <c r="D486" s="843"/>
      <c r="E486" s="845"/>
      <c r="F486" s="830"/>
      <c r="G486" s="877"/>
      <c r="H486" s="843"/>
      <c r="I486" s="877"/>
      <c r="J486" s="864">
        <f>SUBTOTAL(9,J449:J485)</f>
        <v>4166864</v>
      </c>
      <c r="K486" s="864"/>
      <c r="L486" s="864">
        <f>SUBTOTAL(9,L449:L485)</f>
        <v>0</v>
      </c>
      <c r="M486" s="864">
        <f>SUBTOTAL(9,M449:M485)</f>
        <v>0</v>
      </c>
      <c r="N486" s="864">
        <f>SUBTOTAL(9,N449:N485)</f>
        <v>671460.053220339</v>
      </c>
      <c r="O486" s="864">
        <f>SUBTOTAL(9,O449:O485)</f>
        <v>3495403.9467796613</v>
      </c>
      <c r="P486" s="832" t="s">
        <v>24</v>
      </c>
      <c r="Q486" s="859"/>
      <c r="R486" s="859"/>
      <c r="S486" s="864">
        <f>SUBTOTAL(9,S449:S485)</f>
        <v>443742.98820377077</v>
      </c>
      <c r="T486" s="864">
        <f>SUBTOTAL(9,T449:T485)</f>
        <v>3051660.9585758909</v>
      </c>
      <c r="U486" s="864">
        <f>SUBTOTAL(9,U449:U485)</f>
        <v>1038118.74</v>
      </c>
      <c r="V486" s="864">
        <f>SUBTOTAL(9,V449:V485)</f>
        <v>2457285.2067796611</v>
      </c>
    </row>
    <row r="487" spans="1:22" ht="24.75" customHeight="1">
      <c r="A487" s="816"/>
      <c r="B487" s="1230" t="s">
        <v>37</v>
      </c>
      <c r="C487" s="1231"/>
      <c r="D487" s="843"/>
      <c r="E487" s="845"/>
      <c r="F487" s="830"/>
      <c r="G487" s="877"/>
      <c r="H487" s="843"/>
      <c r="I487" s="877"/>
      <c r="J487" s="831"/>
      <c r="K487" s="831"/>
      <c r="L487" s="831"/>
      <c r="M487" s="831"/>
      <c r="N487" s="831"/>
      <c r="O487" s="831"/>
      <c r="P487" s="832" t="s">
        <v>24</v>
      </c>
      <c r="Q487" s="859"/>
      <c r="R487" s="859"/>
      <c r="S487" s="861"/>
      <c r="T487" s="860"/>
      <c r="U487" s="861"/>
      <c r="V487" s="861"/>
    </row>
    <row r="488" spans="1:22">
      <c r="A488" s="816"/>
      <c r="B488" s="828">
        <v>1</v>
      </c>
      <c r="C488" s="843" t="s">
        <v>4136</v>
      </c>
      <c r="D488" s="829" t="s">
        <v>3614</v>
      </c>
      <c r="E488" s="843" t="s">
        <v>4137</v>
      </c>
      <c r="F488" s="830">
        <v>45227</v>
      </c>
      <c r="G488" s="830">
        <v>45227</v>
      </c>
      <c r="H488" s="843" t="s">
        <v>4138</v>
      </c>
      <c r="I488" s="830">
        <f t="shared" ref="I488:I526" si="172">MAX(F488,G488)</f>
        <v>45227</v>
      </c>
      <c r="J488" s="831">
        <v>68768</v>
      </c>
      <c r="K488" s="831"/>
      <c r="L488" s="831"/>
      <c r="M488" s="831"/>
      <c r="N488" s="831"/>
      <c r="O488" s="839">
        <f t="shared" ref="O488:O529" si="173">J488+L488-M488-N488</f>
        <v>68768</v>
      </c>
      <c r="P488" s="832">
        <f>$P$1-I488</f>
        <v>155</v>
      </c>
      <c r="Q488" s="833">
        <v>10</v>
      </c>
      <c r="R488" s="834">
        <f t="shared" ref="R488:R526" si="174">Q488-(P488/365)</f>
        <v>9.5753424657534243</v>
      </c>
      <c r="S488" s="861">
        <f t="shared" ref="S488:S526" si="175">O488*95%/Q488*P488/365</f>
        <v>2774.2706849315068</v>
      </c>
      <c r="T488" s="860">
        <f t="shared" ref="T488:T526" si="176">O488-S488</f>
        <v>65993.7293150685</v>
      </c>
      <c r="U488" s="835">
        <f>IF(I488&lt;=DATE(2023,9,30),O488,0)</f>
        <v>0</v>
      </c>
      <c r="V488" s="835">
        <f t="shared" ref="V488:V526" si="177">IF(I488&gt;DATE(2023,10,1),O488,0)</f>
        <v>68768</v>
      </c>
    </row>
    <row r="489" spans="1:22">
      <c r="A489" s="816"/>
      <c r="B489" s="828">
        <v>2</v>
      </c>
      <c r="C489" s="843" t="s">
        <v>4136</v>
      </c>
      <c r="D489" s="829" t="s">
        <v>3614</v>
      </c>
      <c r="E489" s="843" t="s">
        <v>4139</v>
      </c>
      <c r="F489" s="830">
        <v>45227</v>
      </c>
      <c r="G489" s="830">
        <v>45227</v>
      </c>
      <c r="H489" s="843" t="s">
        <v>4138</v>
      </c>
      <c r="I489" s="830">
        <f t="shared" si="172"/>
        <v>45227</v>
      </c>
      <c r="J489" s="831">
        <v>68768</v>
      </c>
      <c r="K489" s="831"/>
      <c r="L489" s="831"/>
      <c r="M489" s="831"/>
      <c r="N489" s="831"/>
      <c r="O489" s="839">
        <f t="shared" si="173"/>
        <v>68768</v>
      </c>
      <c r="P489" s="832">
        <f>$P$1-I489</f>
        <v>155</v>
      </c>
      <c r="Q489" s="833">
        <v>8</v>
      </c>
      <c r="R489" s="834">
        <f t="shared" si="174"/>
        <v>7.5753424657534243</v>
      </c>
      <c r="S489" s="861">
        <f t="shared" si="175"/>
        <v>3467.8383561643836</v>
      </c>
      <c r="T489" s="860">
        <f t="shared" si="176"/>
        <v>65300.161643835614</v>
      </c>
      <c r="U489" s="835">
        <f t="shared" ref="U489:U529" si="178">IF(I489&lt;=DATE(2023,9,30),O489,0)</f>
        <v>0</v>
      </c>
      <c r="V489" s="835">
        <f t="shared" si="177"/>
        <v>68768</v>
      </c>
    </row>
    <row r="490" spans="1:22" ht="15.75" customHeight="1">
      <c r="A490" s="816"/>
      <c r="B490" s="828">
        <f>+B489+1</f>
        <v>3</v>
      </c>
      <c r="C490" s="843" t="s">
        <v>4136</v>
      </c>
      <c r="D490" s="829" t="s">
        <v>3614</v>
      </c>
      <c r="E490" s="843" t="s">
        <v>4140</v>
      </c>
      <c r="F490" s="847">
        <v>45227</v>
      </c>
      <c r="G490" s="847">
        <v>45227</v>
      </c>
      <c r="H490" s="843" t="s">
        <v>4138</v>
      </c>
      <c r="I490" s="830">
        <f t="shared" si="172"/>
        <v>45227</v>
      </c>
      <c r="J490" s="831">
        <v>68768</v>
      </c>
      <c r="K490" s="831"/>
      <c r="L490" s="831"/>
      <c r="M490" s="831"/>
      <c r="N490" s="831"/>
      <c r="O490" s="839">
        <f t="shared" si="173"/>
        <v>68768</v>
      </c>
      <c r="P490" s="832">
        <f>$P$1-I490</f>
        <v>155</v>
      </c>
      <c r="Q490" s="833">
        <v>8</v>
      </c>
      <c r="R490" s="834">
        <f t="shared" si="174"/>
        <v>7.5753424657534243</v>
      </c>
      <c r="S490" s="861">
        <f t="shared" si="175"/>
        <v>3467.8383561643836</v>
      </c>
      <c r="T490" s="860">
        <f t="shared" si="176"/>
        <v>65300.161643835614</v>
      </c>
      <c r="U490" s="835">
        <f t="shared" si="178"/>
        <v>0</v>
      </c>
      <c r="V490" s="835">
        <f t="shared" si="177"/>
        <v>68768</v>
      </c>
    </row>
    <row r="491" spans="1:22" ht="15.75" customHeight="1">
      <c r="A491" s="816"/>
      <c r="B491" s="828">
        <f t="shared" ref="B491:B526" si="179">+B490+1</f>
        <v>4</v>
      </c>
      <c r="C491" s="843" t="s">
        <v>4136</v>
      </c>
      <c r="D491" s="829" t="s">
        <v>3614</v>
      </c>
      <c r="E491" s="843" t="s">
        <v>4141</v>
      </c>
      <c r="F491" s="847">
        <v>45227</v>
      </c>
      <c r="G491" s="847">
        <v>45227</v>
      </c>
      <c r="H491" s="843" t="s">
        <v>4138</v>
      </c>
      <c r="I491" s="830">
        <f t="shared" si="172"/>
        <v>45227</v>
      </c>
      <c r="J491" s="831">
        <v>68768</v>
      </c>
      <c r="K491" s="831"/>
      <c r="L491" s="831"/>
      <c r="M491" s="831"/>
      <c r="N491" s="831"/>
      <c r="O491" s="839">
        <f t="shared" si="173"/>
        <v>68768</v>
      </c>
      <c r="P491" s="832">
        <f>$P$1-I491</f>
        <v>155</v>
      </c>
      <c r="Q491" s="833">
        <v>8</v>
      </c>
      <c r="R491" s="834">
        <f t="shared" si="174"/>
        <v>7.5753424657534243</v>
      </c>
      <c r="S491" s="861">
        <f t="shared" si="175"/>
        <v>3467.8383561643836</v>
      </c>
      <c r="T491" s="860">
        <f t="shared" si="176"/>
        <v>65300.161643835614</v>
      </c>
      <c r="U491" s="835">
        <f t="shared" si="178"/>
        <v>0</v>
      </c>
      <c r="V491" s="835">
        <f t="shared" si="177"/>
        <v>68768</v>
      </c>
    </row>
    <row r="492" spans="1:22" ht="15.75" customHeight="1">
      <c r="A492" s="816"/>
      <c r="B492" s="828">
        <f t="shared" si="179"/>
        <v>5</v>
      </c>
      <c r="C492" s="843" t="s">
        <v>4136</v>
      </c>
      <c r="D492" s="846" t="s">
        <v>3705</v>
      </c>
      <c r="E492" s="836" t="s">
        <v>4142</v>
      </c>
      <c r="F492" s="837">
        <v>45264</v>
      </c>
      <c r="G492" s="837">
        <v>45289</v>
      </c>
      <c r="H492" s="836" t="s">
        <v>4143</v>
      </c>
      <c r="I492" s="830">
        <f t="shared" si="172"/>
        <v>45289</v>
      </c>
      <c r="J492" s="839">
        <v>76261</v>
      </c>
      <c r="K492" s="839"/>
      <c r="L492" s="839">
        <f>11368+841+6089</f>
        <v>18298</v>
      </c>
      <c r="M492" s="839"/>
      <c r="N492" s="839"/>
      <c r="O492" s="839">
        <f t="shared" si="173"/>
        <v>94559</v>
      </c>
      <c r="P492" s="866">
        <v>155</v>
      </c>
      <c r="Q492" s="840">
        <v>10</v>
      </c>
      <c r="R492" s="841">
        <f t="shared" si="174"/>
        <v>9.5753424657534243</v>
      </c>
      <c r="S492" s="861">
        <f t="shared" si="175"/>
        <v>3814.7432191780817</v>
      </c>
      <c r="T492" s="860">
        <f t="shared" si="176"/>
        <v>90744.256780821917</v>
      </c>
      <c r="U492" s="835">
        <f t="shared" si="178"/>
        <v>0</v>
      </c>
      <c r="V492" s="835">
        <f t="shared" si="177"/>
        <v>94559</v>
      </c>
    </row>
    <row r="493" spans="1:22">
      <c r="A493" s="816"/>
      <c r="B493" s="828">
        <f t="shared" si="179"/>
        <v>6</v>
      </c>
      <c r="C493" s="843" t="s">
        <v>4136</v>
      </c>
      <c r="D493" s="870" t="s">
        <v>3705</v>
      </c>
      <c r="E493" s="843" t="s">
        <v>4144</v>
      </c>
      <c r="F493" s="830">
        <v>45264</v>
      </c>
      <c r="G493" s="830">
        <v>45289</v>
      </c>
      <c r="H493" s="843" t="s">
        <v>4143</v>
      </c>
      <c r="I493" s="830">
        <f t="shared" si="172"/>
        <v>45289</v>
      </c>
      <c r="J493" s="831">
        <v>77361</v>
      </c>
      <c r="K493" s="831"/>
      <c r="L493" s="831">
        <f>11368+841+6089</f>
        <v>18298</v>
      </c>
      <c r="M493" s="831"/>
      <c r="N493" s="831"/>
      <c r="O493" s="839">
        <f t="shared" si="173"/>
        <v>95659</v>
      </c>
      <c r="P493" s="832">
        <f>$P$1-I493</f>
        <v>93</v>
      </c>
      <c r="Q493" s="833">
        <v>10</v>
      </c>
      <c r="R493" s="834">
        <f t="shared" si="174"/>
        <v>9.7452054794520553</v>
      </c>
      <c r="S493" s="861">
        <f t="shared" si="175"/>
        <v>2315.4719589041097</v>
      </c>
      <c r="T493" s="860">
        <f t="shared" si="176"/>
        <v>93343.528041095895</v>
      </c>
      <c r="U493" s="835">
        <f t="shared" si="178"/>
        <v>0</v>
      </c>
      <c r="V493" s="835">
        <f t="shared" si="177"/>
        <v>95659</v>
      </c>
    </row>
    <row r="494" spans="1:22">
      <c r="A494" s="816"/>
      <c r="B494" s="828">
        <f t="shared" si="179"/>
        <v>7</v>
      </c>
      <c r="C494" s="843" t="s">
        <v>4136</v>
      </c>
      <c r="D494" s="870" t="s">
        <v>3427</v>
      </c>
      <c r="E494" s="843" t="s">
        <v>4145</v>
      </c>
      <c r="F494" s="830">
        <v>45248</v>
      </c>
      <c r="G494" s="830">
        <v>45248</v>
      </c>
      <c r="H494" s="843" t="s">
        <v>4146</v>
      </c>
      <c r="I494" s="830">
        <f t="shared" si="172"/>
        <v>45248</v>
      </c>
      <c r="J494" s="831">
        <v>77871</v>
      </c>
      <c r="K494" s="831"/>
      <c r="L494" s="831"/>
      <c r="M494" s="831"/>
      <c r="N494" s="831"/>
      <c r="O494" s="839">
        <f t="shared" si="173"/>
        <v>77871</v>
      </c>
      <c r="P494" s="832">
        <f>$P$1-I494</f>
        <v>134</v>
      </c>
      <c r="Q494" s="833">
        <v>10</v>
      </c>
      <c r="R494" s="834">
        <f t="shared" si="174"/>
        <v>9.632876712328768</v>
      </c>
      <c r="S494" s="861">
        <f t="shared" si="175"/>
        <v>2715.8844657534246</v>
      </c>
      <c r="T494" s="860">
        <f t="shared" si="176"/>
        <v>75155.115534246579</v>
      </c>
      <c r="U494" s="835">
        <f t="shared" si="178"/>
        <v>0</v>
      </c>
      <c r="V494" s="835">
        <f t="shared" si="177"/>
        <v>77871</v>
      </c>
    </row>
    <row r="495" spans="1:22">
      <c r="A495" s="816"/>
      <c r="B495" s="828">
        <f t="shared" si="179"/>
        <v>8</v>
      </c>
      <c r="C495" s="843" t="s">
        <v>4136</v>
      </c>
      <c r="D495" s="870" t="s">
        <v>3427</v>
      </c>
      <c r="E495" s="843" t="s">
        <v>4147</v>
      </c>
      <c r="F495" s="830">
        <v>45248</v>
      </c>
      <c r="G495" s="830">
        <v>45248</v>
      </c>
      <c r="H495" s="843" t="s">
        <v>4146</v>
      </c>
      <c r="I495" s="830">
        <f t="shared" si="172"/>
        <v>45248</v>
      </c>
      <c r="J495" s="831">
        <v>77871</v>
      </c>
      <c r="K495" s="831"/>
      <c r="L495" s="831"/>
      <c r="M495" s="831"/>
      <c r="N495" s="831"/>
      <c r="O495" s="839">
        <f t="shared" si="173"/>
        <v>77871</v>
      </c>
      <c r="P495" s="832">
        <f>$P$1-I495</f>
        <v>134</v>
      </c>
      <c r="Q495" s="833">
        <v>10</v>
      </c>
      <c r="R495" s="834">
        <f t="shared" si="174"/>
        <v>9.632876712328768</v>
      </c>
      <c r="S495" s="861">
        <f t="shared" si="175"/>
        <v>2715.8844657534246</v>
      </c>
      <c r="T495" s="860">
        <f t="shared" si="176"/>
        <v>75155.115534246579</v>
      </c>
      <c r="U495" s="835">
        <f t="shared" si="178"/>
        <v>0</v>
      </c>
      <c r="V495" s="835">
        <f t="shared" si="177"/>
        <v>77871</v>
      </c>
    </row>
    <row r="496" spans="1:22">
      <c r="A496" s="816"/>
      <c r="B496" s="828">
        <f t="shared" si="179"/>
        <v>9</v>
      </c>
      <c r="C496" s="843" t="s">
        <v>862</v>
      </c>
      <c r="D496" s="844" t="s">
        <v>3427</v>
      </c>
      <c r="E496" s="844" t="s">
        <v>4148</v>
      </c>
      <c r="F496" s="830">
        <v>45289</v>
      </c>
      <c r="G496" s="830">
        <v>45321</v>
      </c>
      <c r="H496" s="843" t="s">
        <v>4149</v>
      </c>
      <c r="I496" s="830">
        <f t="shared" si="172"/>
        <v>45321</v>
      </c>
      <c r="J496" s="831">
        <v>88590</v>
      </c>
      <c r="K496" s="831"/>
      <c r="L496" s="831">
        <v>6573</v>
      </c>
      <c r="M496" s="831"/>
      <c r="N496" s="831"/>
      <c r="O496" s="839">
        <f t="shared" si="173"/>
        <v>95163</v>
      </c>
      <c r="P496" s="832">
        <f>$P$1-I496</f>
        <v>61</v>
      </c>
      <c r="Q496" s="833">
        <v>8</v>
      </c>
      <c r="R496" s="834">
        <f t="shared" si="174"/>
        <v>7.8328767123287673</v>
      </c>
      <c r="S496" s="861">
        <f t="shared" si="175"/>
        <v>1888.5944691780821</v>
      </c>
      <c r="T496" s="860">
        <f t="shared" si="176"/>
        <v>93274.405530821925</v>
      </c>
      <c r="U496" s="835">
        <f t="shared" si="178"/>
        <v>0</v>
      </c>
      <c r="V496" s="835">
        <f t="shared" si="177"/>
        <v>95163</v>
      </c>
    </row>
    <row r="497" spans="1:22" ht="16.5" customHeight="1">
      <c r="A497" s="816"/>
      <c r="B497" s="828">
        <f t="shared" si="179"/>
        <v>10</v>
      </c>
      <c r="C497" s="843" t="s">
        <v>862</v>
      </c>
      <c r="D497" s="844" t="s">
        <v>3427</v>
      </c>
      <c r="E497" s="844" t="s">
        <v>4150</v>
      </c>
      <c r="F497" s="830">
        <v>45289</v>
      </c>
      <c r="G497" s="830">
        <v>45321</v>
      </c>
      <c r="H497" s="843" t="s">
        <v>4149</v>
      </c>
      <c r="I497" s="830">
        <f t="shared" si="172"/>
        <v>45321</v>
      </c>
      <c r="J497" s="831">
        <v>88590</v>
      </c>
      <c r="K497" s="831"/>
      <c r="L497" s="839">
        <v>6573</v>
      </c>
      <c r="M497" s="831"/>
      <c r="N497" s="831"/>
      <c r="O497" s="839">
        <f t="shared" si="173"/>
        <v>95163</v>
      </c>
      <c r="P497" s="832">
        <f>$P$1-I497</f>
        <v>61</v>
      </c>
      <c r="Q497" s="833">
        <v>8</v>
      </c>
      <c r="R497" s="834">
        <f t="shared" si="174"/>
        <v>7.8328767123287673</v>
      </c>
      <c r="S497" s="861">
        <f t="shared" si="175"/>
        <v>1888.5944691780821</v>
      </c>
      <c r="T497" s="860">
        <f t="shared" si="176"/>
        <v>93274.405530821925</v>
      </c>
      <c r="U497" s="835">
        <f t="shared" si="178"/>
        <v>0</v>
      </c>
      <c r="V497" s="835">
        <f t="shared" si="177"/>
        <v>95163</v>
      </c>
    </row>
    <row r="498" spans="1:22" ht="16.5" customHeight="1">
      <c r="A498" s="816"/>
      <c r="B498" s="828">
        <f t="shared" si="179"/>
        <v>11</v>
      </c>
      <c r="C498" s="836" t="s">
        <v>287</v>
      </c>
      <c r="D498" s="846" t="s">
        <v>2474</v>
      </c>
      <c r="E498" s="836" t="s">
        <v>4151</v>
      </c>
      <c r="F498" s="837">
        <v>45034</v>
      </c>
      <c r="G498" s="837">
        <v>45040</v>
      </c>
      <c r="H498" s="836" t="s">
        <v>4152</v>
      </c>
      <c r="I498" s="830">
        <f t="shared" si="172"/>
        <v>45040</v>
      </c>
      <c r="J498" s="839">
        <v>1018500</v>
      </c>
      <c r="K498" s="839"/>
      <c r="L498" s="839">
        <v>3060</v>
      </c>
      <c r="M498" s="839"/>
      <c r="N498" s="839">
        <v>222796</v>
      </c>
      <c r="O498" s="839">
        <f t="shared" si="173"/>
        <v>798764</v>
      </c>
      <c r="P498" s="866">
        <v>275</v>
      </c>
      <c r="Q498" s="840">
        <v>10</v>
      </c>
      <c r="R498" s="841">
        <f t="shared" si="174"/>
        <v>9.2465753424657535</v>
      </c>
      <c r="S498" s="861">
        <f t="shared" si="175"/>
        <v>57171.806849315057</v>
      </c>
      <c r="T498" s="860">
        <f t="shared" si="176"/>
        <v>741592.19315068494</v>
      </c>
      <c r="U498" s="835">
        <f t="shared" si="178"/>
        <v>798764</v>
      </c>
      <c r="V498" s="835">
        <f t="shared" si="177"/>
        <v>0</v>
      </c>
    </row>
    <row r="499" spans="1:22" ht="16.5" customHeight="1">
      <c r="A499" s="816"/>
      <c r="B499" s="828">
        <f t="shared" si="179"/>
        <v>12</v>
      </c>
      <c r="C499" s="843" t="s">
        <v>4153</v>
      </c>
      <c r="D499" s="870" t="s">
        <v>2474</v>
      </c>
      <c r="E499" s="843" t="s">
        <v>4154</v>
      </c>
      <c r="F499" s="830">
        <v>45034</v>
      </c>
      <c r="G499" s="830">
        <v>45040</v>
      </c>
      <c r="H499" s="843" t="s">
        <v>4152</v>
      </c>
      <c r="I499" s="830">
        <f t="shared" si="172"/>
        <v>45040</v>
      </c>
      <c r="J499" s="831">
        <v>931000</v>
      </c>
      <c r="K499" s="831"/>
      <c r="L499" s="839">
        <v>3200</v>
      </c>
      <c r="M499" s="831"/>
      <c r="N499" s="831">
        <v>203656</v>
      </c>
      <c r="O499" s="839">
        <f t="shared" si="173"/>
        <v>730544</v>
      </c>
      <c r="P499" s="832">
        <f>$P$1-I499</f>
        <v>342</v>
      </c>
      <c r="Q499" s="833">
        <v>8</v>
      </c>
      <c r="R499" s="834">
        <f t="shared" si="174"/>
        <v>7.0630136986301366</v>
      </c>
      <c r="S499" s="861">
        <f t="shared" si="175"/>
        <v>81285.529315068474</v>
      </c>
      <c r="T499" s="860">
        <f t="shared" si="176"/>
        <v>649258.4706849315</v>
      </c>
      <c r="U499" s="835">
        <f t="shared" si="178"/>
        <v>730544</v>
      </c>
      <c r="V499" s="835">
        <f t="shared" si="177"/>
        <v>0</v>
      </c>
    </row>
    <row r="500" spans="1:22">
      <c r="A500" s="816"/>
      <c r="B500" s="828">
        <f t="shared" si="179"/>
        <v>13</v>
      </c>
      <c r="C500" s="836" t="s">
        <v>4155</v>
      </c>
      <c r="D500" s="846" t="s">
        <v>2474</v>
      </c>
      <c r="E500" s="836" t="s">
        <v>4156</v>
      </c>
      <c r="F500" s="837">
        <v>45043</v>
      </c>
      <c r="G500" s="842">
        <v>45178</v>
      </c>
      <c r="H500" s="836" t="s">
        <v>4157</v>
      </c>
      <c r="I500" s="830">
        <f t="shared" si="172"/>
        <v>45178</v>
      </c>
      <c r="J500" s="839">
        <v>4789999</v>
      </c>
      <c r="K500" s="839"/>
      <c r="L500" s="839">
        <f>239186+1140435</f>
        <v>1379621</v>
      </c>
      <c r="M500" s="839"/>
      <c r="N500" s="839"/>
      <c r="O500" s="839">
        <f t="shared" si="173"/>
        <v>6169620</v>
      </c>
      <c r="P500" s="832">
        <f>$P$1-I500</f>
        <v>204</v>
      </c>
      <c r="Q500" s="833">
        <v>8</v>
      </c>
      <c r="R500" s="841">
        <f t="shared" si="174"/>
        <v>7.441095890410959</v>
      </c>
      <c r="S500" s="861">
        <f t="shared" si="175"/>
        <v>409476.83424657537</v>
      </c>
      <c r="T500" s="860">
        <f t="shared" si="176"/>
        <v>5760143.1657534242</v>
      </c>
      <c r="U500" s="835">
        <f t="shared" si="178"/>
        <v>6169620</v>
      </c>
      <c r="V500" s="835">
        <f t="shared" si="177"/>
        <v>0</v>
      </c>
    </row>
    <row r="501" spans="1:22">
      <c r="A501" s="816"/>
      <c r="B501" s="828">
        <f t="shared" si="179"/>
        <v>14</v>
      </c>
      <c r="C501" s="843" t="s">
        <v>4158</v>
      </c>
      <c r="D501" s="844" t="s">
        <v>2474</v>
      </c>
      <c r="E501" s="843" t="s">
        <v>4159</v>
      </c>
      <c r="F501" s="830">
        <v>45055</v>
      </c>
      <c r="G501" s="847">
        <v>45069</v>
      </c>
      <c r="H501" s="843" t="s">
        <v>290</v>
      </c>
      <c r="I501" s="830">
        <f t="shared" si="172"/>
        <v>45069</v>
      </c>
      <c r="J501" s="831">
        <v>1164900</v>
      </c>
      <c r="K501" s="831"/>
      <c r="L501" s="831">
        <v>269867</v>
      </c>
      <c r="M501" s="831"/>
      <c r="N501" s="831"/>
      <c r="O501" s="831">
        <f t="shared" si="173"/>
        <v>1434767</v>
      </c>
      <c r="P501" s="832">
        <f>$P$1-I501</f>
        <v>313</v>
      </c>
      <c r="Q501" s="833">
        <v>8</v>
      </c>
      <c r="R501" s="834">
        <f t="shared" si="174"/>
        <v>7.1424657534246574</v>
      </c>
      <c r="S501" s="861">
        <f t="shared" si="175"/>
        <v>146105.46830479451</v>
      </c>
      <c r="T501" s="860">
        <f t="shared" si="176"/>
        <v>1288661.5316952055</v>
      </c>
      <c r="U501" s="835">
        <f t="shared" si="178"/>
        <v>1434767</v>
      </c>
      <c r="V501" s="835">
        <f t="shared" si="177"/>
        <v>0</v>
      </c>
    </row>
    <row r="502" spans="1:22">
      <c r="A502" s="816"/>
      <c r="B502" s="828">
        <f t="shared" si="179"/>
        <v>15</v>
      </c>
      <c r="C502" s="843" t="s">
        <v>4136</v>
      </c>
      <c r="D502" s="870" t="s">
        <v>2474</v>
      </c>
      <c r="E502" s="843" t="s">
        <v>4160</v>
      </c>
      <c r="F502" s="830">
        <v>45197</v>
      </c>
      <c r="G502" s="830">
        <v>45216</v>
      </c>
      <c r="H502" s="843" t="s">
        <v>4161</v>
      </c>
      <c r="I502" s="830">
        <f t="shared" si="172"/>
        <v>45216</v>
      </c>
      <c r="J502" s="831">
        <v>90764</v>
      </c>
      <c r="K502" s="831"/>
      <c r="L502" s="831"/>
      <c r="M502" s="831"/>
      <c r="N502" s="831"/>
      <c r="O502" s="839">
        <f t="shared" si="173"/>
        <v>90764</v>
      </c>
      <c r="P502" s="832">
        <f>$P$1-I502</f>
        <v>166</v>
      </c>
      <c r="Q502" s="833">
        <v>10</v>
      </c>
      <c r="R502" s="834">
        <f t="shared" si="174"/>
        <v>9.5452054794520542</v>
      </c>
      <c r="S502" s="861">
        <f t="shared" si="175"/>
        <v>3921.5021369863016</v>
      </c>
      <c r="T502" s="860">
        <f t="shared" si="176"/>
        <v>86842.497863013705</v>
      </c>
      <c r="U502" s="835">
        <f t="shared" si="178"/>
        <v>0</v>
      </c>
      <c r="V502" s="835">
        <f t="shared" si="177"/>
        <v>90764</v>
      </c>
    </row>
    <row r="503" spans="1:22">
      <c r="A503" s="816"/>
      <c r="B503" s="828">
        <f t="shared" si="179"/>
        <v>16</v>
      </c>
      <c r="C503" s="836" t="s">
        <v>4136</v>
      </c>
      <c r="D503" s="846" t="s">
        <v>2474</v>
      </c>
      <c r="E503" s="836" t="s">
        <v>4162</v>
      </c>
      <c r="F503" s="837">
        <v>45198</v>
      </c>
      <c r="G503" s="837">
        <v>45216</v>
      </c>
      <c r="H503" s="836" t="s">
        <v>4161</v>
      </c>
      <c r="I503" s="830">
        <f t="shared" si="172"/>
        <v>45216</v>
      </c>
      <c r="J503" s="839">
        <v>90764</v>
      </c>
      <c r="K503" s="839"/>
      <c r="L503" s="839"/>
      <c r="M503" s="839"/>
      <c r="N503" s="839"/>
      <c r="O503" s="839">
        <f t="shared" si="173"/>
        <v>90764</v>
      </c>
      <c r="P503" s="866">
        <v>47</v>
      </c>
      <c r="Q503" s="840">
        <v>10</v>
      </c>
      <c r="R503" s="841">
        <f t="shared" si="174"/>
        <v>9.8712328767123285</v>
      </c>
      <c r="S503" s="861">
        <f t="shared" si="175"/>
        <v>1110.3048219178083</v>
      </c>
      <c r="T503" s="860">
        <f t="shared" si="176"/>
        <v>89653.695178082198</v>
      </c>
      <c r="U503" s="835">
        <f t="shared" si="178"/>
        <v>0</v>
      </c>
      <c r="V503" s="835">
        <f t="shared" si="177"/>
        <v>90764</v>
      </c>
    </row>
    <row r="504" spans="1:22">
      <c r="A504" s="816"/>
      <c r="B504" s="828">
        <f t="shared" si="179"/>
        <v>17</v>
      </c>
      <c r="C504" s="836" t="s">
        <v>4136</v>
      </c>
      <c r="D504" s="846" t="s">
        <v>2474</v>
      </c>
      <c r="E504" s="836" t="s">
        <v>4163</v>
      </c>
      <c r="F504" s="837">
        <v>45198</v>
      </c>
      <c r="G504" s="837">
        <v>45216</v>
      </c>
      <c r="H504" s="836" t="s">
        <v>4161</v>
      </c>
      <c r="I504" s="830">
        <f t="shared" si="172"/>
        <v>45216</v>
      </c>
      <c r="J504" s="839">
        <v>90764</v>
      </c>
      <c r="K504" s="839"/>
      <c r="L504" s="839"/>
      <c r="M504" s="839"/>
      <c r="N504" s="839"/>
      <c r="O504" s="839">
        <f t="shared" si="173"/>
        <v>90764</v>
      </c>
      <c r="P504" s="866">
        <v>47</v>
      </c>
      <c r="Q504" s="840">
        <v>10</v>
      </c>
      <c r="R504" s="841">
        <f t="shared" si="174"/>
        <v>9.8712328767123285</v>
      </c>
      <c r="S504" s="861">
        <f t="shared" si="175"/>
        <v>1110.3048219178083</v>
      </c>
      <c r="T504" s="860">
        <f t="shared" si="176"/>
        <v>89653.695178082198</v>
      </c>
      <c r="U504" s="835">
        <f t="shared" si="178"/>
        <v>0</v>
      </c>
      <c r="V504" s="835">
        <f t="shared" si="177"/>
        <v>90764</v>
      </c>
    </row>
    <row r="505" spans="1:22">
      <c r="A505" s="816"/>
      <c r="B505" s="828">
        <f t="shared" si="179"/>
        <v>18</v>
      </c>
      <c r="C505" s="836" t="s">
        <v>4136</v>
      </c>
      <c r="D505" s="846" t="s">
        <v>2474</v>
      </c>
      <c r="E505" s="836" t="s">
        <v>4164</v>
      </c>
      <c r="F505" s="837">
        <v>45275</v>
      </c>
      <c r="G505" s="837">
        <v>45291</v>
      </c>
      <c r="H505" s="836" t="s">
        <v>4161</v>
      </c>
      <c r="I505" s="830">
        <f t="shared" si="172"/>
        <v>45291</v>
      </c>
      <c r="J505" s="839">
        <v>116050</v>
      </c>
      <c r="K505" s="839"/>
      <c r="L505" s="839"/>
      <c r="M505" s="839"/>
      <c r="N505" s="839"/>
      <c r="O505" s="839">
        <f t="shared" si="173"/>
        <v>116050</v>
      </c>
      <c r="P505" s="866">
        <v>47</v>
      </c>
      <c r="Q505" s="840">
        <v>10</v>
      </c>
      <c r="R505" s="841">
        <f t="shared" si="174"/>
        <v>9.8712328767123285</v>
      </c>
      <c r="S505" s="861">
        <f t="shared" si="175"/>
        <v>1419.6253424657534</v>
      </c>
      <c r="T505" s="860">
        <f t="shared" si="176"/>
        <v>114630.37465753425</v>
      </c>
      <c r="U505" s="835">
        <f t="shared" si="178"/>
        <v>0</v>
      </c>
      <c r="V505" s="835">
        <f t="shared" si="177"/>
        <v>116050</v>
      </c>
    </row>
    <row r="506" spans="1:22">
      <c r="A506" s="816"/>
      <c r="B506" s="828">
        <f t="shared" si="179"/>
        <v>19</v>
      </c>
      <c r="C506" s="843" t="s">
        <v>862</v>
      </c>
      <c r="D506" s="870" t="s">
        <v>2474</v>
      </c>
      <c r="E506" s="843" t="s">
        <v>4165</v>
      </c>
      <c r="F506" s="830">
        <v>45098</v>
      </c>
      <c r="G506" s="847">
        <v>45160</v>
      </c>
      <c r="H506" s="843" t="s">
        <v>4161</v>
      </c>
      <c r="I506" s="830">
        <f t="shared" si="172"/>
        <v>45160</v>
      </c>
      <c r="J506" s="831">
        <v>116259</v>
      </c>
      <c r="K506" s="831"/>
      <c r="L506" s="839"/>
      <c r="M506" s="831"/>
      <c r="N506" s="831"/>
      <c r="O506" s="839">
        <f t="shared" si="173"/>
        <v>116259</v>
      </c>
      <c r="P506" s="832">
        <f>$P$1-I506</f>
        <v>222</v>
      </c>
      <c r="Q506" s="833">
        <v>8</v>
      </c>
      <c r="R506" s="834">
        <f t="shared" si="174"/>
        <v>7.3917808219178083</v>
      </c>
      <c r="S506" s="861">
        <f t="shared" si="175"/>
        <v>8396.9257191780816</v>
      </c>
      <c r="T506" s="860">
        <f t="shared" si="176"/>
        <v>107862.07428082192</v>
      </c>
      <c r="U506" s="835">
        <f t="shared" si="178"/>
        <v>116259</v>
      </c>
      <c r="V506" s="835">
        <f t="shared" si="177"/>
        <v>0</v>
      </c>
    </row>
    <row r="507" spans="1:22">
      <c r="A507" s="816"/>
      <c r="B507" s="828">
        <f t="shared" si="179"/>
        <v>20</v>
      </c>
      <c r="C507" s="843" t="s">
        <v>4232</v>
      </c>
      <c r="D507" s="844" t="s">
        <v>2474</v>
      </c>
      <c r="E507" s="843" t="s">
        <v>24</v>
      </c>
      <c r="F507" s="830">
        <v>45338</v>
      </c>
      <c r="G507" s="830">
        <v>45338</v>
      </c>
      <c r="H507" s="843" t="s">
        <v>290</v>
      </c>
      <c r="I507" s="830">
        <f t="shared" ref="I507" si="180">MAX(F507,G507)</f>
        <v>45338</v>
      </c>
      <c r="J507" s="831">
        <v>2573223</v>
      </c>
      <c r="K507" s="831"/>
      <c r="L507" s="831">
        <v>0</v>
      </c>
      <c r="M507" s="831"/>
      <c r="N507" s="831">
        <v>20299</v>
      </c>
      <c r="O507" s="831">
        <f t="shared" ref="O507" si="181">J507+L507-M507-N507</f>
        <v>2552924</v>
      </c>
      <c r="P507" s="832">
        <f>$P$1-I507</f>
        <v>44</v>
      </c>
      <c r="Q507" s="833">
        <v>8</v>
      </c>
      <c r="R507" s="834">
        <f t="shared" ref="R507" si="182">Q507-(P507/365)</f>
        <v>7.8794520547945206</v>
      </c>
      <c r="S507" s="861">
        <f t="shared" ref="S507" si="183">O507*95%/Q507*P507/365</f>
        <v>36545.281917808214</v>
      </c>
      <c r="T507" s="860">
        <f t="shared" ref="T507" si="184">O507-S507</f>
        <v>2516378.7180821919</v>
      </c>
      <c r="U507" s="835">
        <f t="shared" ref="U507" si="185">IF(I507&lt;=DATE(2023,9,30),O507,0)</f>
        <v>0</v>
      </c>
      <c r="V507" s="835">
        <f t="shared" ref="V507" si="186">IF(I507&gt;DATE(2023,10,1),O507,0)</f>
        <v>2552924</v>
      </c>
    </row>
    <row r="508" spans="1:22">
      <c r="A508" s="816"/>
      <c r="B508" s="828">
        <f t="shared" si="179"/>
        <v>21</v>
      </c>
      <c r="C508" s="836" t="s">
        <v>4136</v>
      </c>
      <c r="D508" s="846" t="s">
        <v>3753</v>
      </c>
      <c r="E508" s="836" t="s">
        <v>4166</v>
      </c>
      <c r="F508" s="837">
        <v>45248</v>
      </c>
      <c r="G508" s="837">
        <v>45249</v>
      </c>
      <c r="H508" s="836" t="s">
        <v>292</v>
      </c>
      <c r="I508" s="830">
        <f t="shared" si="172"/>
        <v>45249</v>
      </c>
      <c r="J508" s="839">
        <v>76751</v>
      </c>
      <c r="K508" s="839"/>
      <c r="L508" s="839">
        <v>20910</v>
      </c>
      <c r="M508" s="839"/>
      <c r="N508" s="839"/>
      <c r="O508" s="839">
        <f t="shared" si="173"/>
        <v>97661</v>
      </c>
      <c r="P508" s="866">
        <v>47</v>
      </c>
      <c r="Q508" s="840">
        <v>10</v>
      </c>
      <c r="R508" s="841">
        <f t="shared" si="174"/>
        <v>9.8712328767123285</v>
      </c>
      <c r="S508" s="861">
        <f t="shared" si="175"/>
        <v>1194.6749726027397</v>
      </c>
      <c r="T508" s="860">
        <f t="shared" si="176"/>
        <v>96466.325027397266</v>
      </c>
      <c r="U508" s="835">
        <f t="shared" si="178"/>
        <v>0</v>
      </c>
      <c r="V508" s="835">
        <f t="shared" si="177"/>
        <v>97661</v>
      </c>
    </row>
    <row r="509" spans="1:22">
      <c r="A509" s="816"/>
      <c r="B509" s="828">
        <f t="shared" si="179"/>
        <v>22</v>
      </c>
      <c r="C509" s="836" t="s">
        <v>4136</v>
      </c>
      <c r="D509" s="846" t="s">
        <v>3753</v>
      </c>
      <c r="E509" s="836" t="s">
        <v>4167</v>
      </c>
      <c r="F509" s="837">
        <v>45248</v>
      </c>
      <c r="G509" s="837">
        <v>45249</v>
      </c>
      <c r="H509" s="836" t="s">
        <v>292</v>
      </c>
      <c r="I509" s="830">
        <f t="shared" si="172"/>
        <v>45249</v>
      </c>
      <c r="J509" s="839">
        <v>76751</v>
      </c>
      <c r="K509" s="839"/>
      <c r="L509" s="839">
        <v>20910</v>
      </c>
      <c r="M509" s="839"/>
      <c r="N509" s="839"/>
      <c r="O509" s="839">
        <f t="shared" si="173"/>
        <v>97661</v>
      </c>
      <c r="P509" s="866">
        <v>47</v>
      </c>
      <c r="Q509" s="840">
        <v>10</v>
      </c>
      <c r="R509" s="841">
        <f t="shared" si="174"/>
        <v>9.8712328767123285</v>
      </c>
      <c r="S509" s="861">
        <f t="shared" si="175"/>
        <v>1194.6749726027397</v>
      </c>
      <c r="T509" s="860">
        <f t="shared" si="176"/>
        <v>96466.325027397266</v>
      </c>
      <c r="U509" s="835">
        <f t="shared" si="178"/>
        <v>0</v>
      </c>
      <c r="V509" s="835">
        <f t="shared" si="177"/>
        <v>97661</v>
      </c>
    </row>
    <row r="510" spans="1:22">
      <c r="A510" s="816"/>
      <c r="B510" s="828">
        <f t="shared" si="179"/>
        <v>23</v>
      </c>
      <c r="C510" s="836" t="s">
        <v>4136</v>
      </c>
      <c r="D510" s="846" t="s">
        <v>3753</v>
      </c>
      <c r="E510" s="836" t="s">
        <v>4168</v>
      </c>
      <c r="F510" s="837">
        <v>45248</v>
      </c>
      <c r="G510" s="837">
        <v>45249</v>
      </c>
      <c r="H510" s="836" t="s">
        <v>292</v>
      </c>
      <c r="I510" s="830">
        <f t="shared" si="172"/>
        <v>45249</v>
      </c>
      <c r="J510" s="839">
        <v>76751</v>
      </c>
      <c r="K510" s="839"/>
      <c r="L510" s="839">
        <v>20910</v>
      </c>
      <c r="M510" s="839"/>
      <c r="N510" s="839"/>
      <c r="O510" s="839">
        <f t="shared" si="173"/>
        <v>97661</v>
      </c>
      <c r="P510" s="866">
        <v>47</v>
      </c>
      <c r="Q510" s="840">
        <v>10</v>
      </c>
      <c r="R510" s="841">
        <f t="shared" si="174"/>
        <v>9.8712328767123285</v>
      </c>
      <c r="S510" s="861">
        <f t="shared" si="175"/>
        <v>1194.6749726027397</v>
      </c>
      <c r="T510" s="860">
        <f t="shared" si="176"/>
        <v>96466.325027397266</v>
      </c>
      <c r="U510" s="835">
        <f t="shared" si="178"/>
        <v>0</v>
      </c>
      <c r="V510" s="835">
        <f t="shared" si="177"/>
        <v>97661</v>
      </c>
    </row>
    <row r="511" spans="1:22">
      <c r="A511" s="816"/>
      <c r="B511" s="828">
        <f t="shared" si="179"/>
        <v>24</v>
      </c>
      <c r="C511" s="836" t="s">
        <v>4136</v>
      </c>
      <c r="D511" s="846" t="s">
        <v>3753</v>
      </c>
      <c r="E511" s="836" t="s">
        <v>4169</v>
      </c>
      <c r="F511" s="837">
        <v>45267</v>
      </c>
      <c r="G511" s="837">
        <v>45275</v>
      </c>
      <c r="H511" s="836" t="s">
        <v>292</v>
      </c>
      <c r="I511" s="830">
        <f t="shared" si="172"/>
        <v>45275</v>
      </c>
      <c r="J511" s="839">
        <v>76751</v>
      </c>
      <c r="K511" s="839"/>
      <c r="L511" s="839">
        <v>20910</v>
      </c>
      <c r="M511" s="839"/>
      <c r="N511" s="839"/>
      <c r="O511" s="839">
        <f t="shared" si="173"/>
        <v>97661</v>
      </c>
      <c r="P511" s="832">
        <f t="shared" ref="P511:P523" si="187">$P$1-I511</f>
        <v>107</v>
      </c>
      <c r="Q511" s="833">
        <v>8</v>
      </c>
      <c r="R511" s="841">
        <f t="shared" si="174"/>
        <v>7.7068493150684931</v>
      </c>
      <c r="S511" s="861">
        <f t="shared" si="175"/>
        <v>3399.739948630137</v>
      </c>
      <c r="T511" s="860">
        <f t="shared" si="176"/>
        <v>94261.260051369856</v>
      </c>
      <c r="U511" s="835">
        <f t="shared" si="178"/>
        <v>0</v>
      </c>
      <c r="V511" s="835">
        <f t="shared" si="177"/>
        <v>97661</v>
      </c>
    </row>
    <row r="512" spans="1:22">
      <c r="A512" s="816"/>
      <c r="B512" s="828">
        <f t="shared" si="179"/>
        <v>25</v>
      </c>
      <c r="C512" s="843" t="s">
        <v>4136</v>
      </c>
      <c r="D512" s="843" t="s">
        <v>3753</v>
      </c>
      <c r="E512" s="843" t="s">
        <v>4170</v>
      </c>
      <c r="F512" s="830">
        <v>45267</v>
      </c>
      <c r="G512" s="830">
        <v>45275</v>
      </c>
      <c r="H512" s="843" t="s">
        <v>292</v>
      </c>
      <c r="I512" s="830">
        <f t="shared" si="172"/>
        <v>45275</v>
      </c>
      <c r="J512" s="831">
        <v>76751</v>
      </c>
      <c r="K512" s="831"/>
      <c r="L512" s="831">
        <v>20910</v>
      </c>
      <c r="M512" s="831"/>
      <c r="N512" s="831"/>
      <c r="O512" s="839">
        <f t="shared" si="173"/>
        <v>97661</v>
      </c>
      <c r="P512" s="832">
        <f t="shared" si="187"/>
        <v>107</v>
      </c>
      <c r="Q512" s="833">
        <v>8</v>
      </c>
      <c r="R512" s="834">
        <f t="shared" si="174"/>
        <v>7.7068493150684931</v>
      </c>
      <c r="S512" s="861">
        <f t="shared" si="175"/>
        <v>3399.739948630137</v>
      </c>
      <c r="T512" s="860">
        <f t="shared" si="176"/>
        <v>94261.260051369856</v>
      </c>
      <c r="U512" s="835">
        <f t="shared" si="178"/>
        <v>0</v>
      </c>
      <c r="V512" s="835">
        <f t="shared" si="177"/>
        <v>97661</v>
      </c>
    </row>
    <row r="513" spans="1:22">
      <c r="A513" s="816"/>
      <c r="B513" s="828">
        <f t="shared" si="179"/>
        <v>26</v>
      </c>
      <c r="C513" s="843" t="s">
        <v>4136</v>
      </c>
      <c r="D513" s="870" t="s">
        <v>3753</v>
      </c>
      <c r="E513" s="843" t="s">
        <v>4171</v>
      </c>
      <c r="F513" s="830">
        <v>45267</v>
      </c>
      <c r="G513" s="847">
        <v>45275</v>
      </c>
      <c r="H513" s="843" t="s">
        <v>292</v>
      </c>
      <c r="I513" s="830">
        <f t="shared" si="172"/>
        <v>45275</v>
      </c>
      <c r="J513" s="831">
        <v>76751</v>
      </c>
      <c r="K513" s="831"/>
      <c r="L513" s="831">
        <v>20910</v>
      </c>
      <c r="M513" s="831"/>
      <c r="N513" s="831"/>
      <c r="O513" s="839">
        <f t="shared" si="173"/>
        <v>97661</v>
      </c>
      <c r="P513" s="832">
        <f t="shared" si="187"/>
        <v>107</v>
      </c>
      <c r="Q513" s="833">
        <v>10</v>
      </c>
      <c r="R513" s="834">
        <f t="shared" si="174"/>
        <v>9.7068493150684922</v>
      </c>
      <c r="S513" s="861">
        <f t="shared" si="175"/>
        <v>2719.7919589041098</v>
      </c>
      <c r="T513" s="860">
        <f t="shared" si="176"/>
        <v>94941.208041095888</v>
      </c>
      <c r="U513" s="835">
        <f t="shared" si="178"/>
        <v>0</v>
      </c>
      <c r="V513" s="835">
        <f t="shared" si="177"/>
        <v>97661</v>
      </c>
    </row>
    <row r="514" spans="1:22">
      <c r="A514" s="816"/>
      <c r="B514" s="828">
        <f t="shared" si="179"/>
        <v>27</v>
      </c>
      <c r="C514" s="843" t="s">
        <v>862</v>
      </c>
      <c r="D514" s="844" t="s">
        <v>3753</v>
      </c>
      <c r="E514" s="844" t="s">
        <v>4172</v>
      </c>
      <c r="F514" s="830">
        <v>45327</v>
      </c>
      <c r="G514" s="830">
        <v>45364</v>
      </c>
      <c r="H514" s="843" t="s">
        <v>292</v>
      </c>
      <c r="I514" s="830">
        <f t="shared" si="172"/>
        <v>45364</v>
      </c>
      <c r="J514" s="831">
        <v>81900</v>
      </c>
      <c r="K514" s="831"/>
      <c r="L514" s="831">
        <v>21030</v>
      </c>
      <c r="M514" s="831"/>
      <c r="N514" s="831"/>
      <c r="O514" s="839">
        <f t="shared" si="173"/>
        <v>102930</v>
      </c>
      <c r="P514" s="832">
        <f t="shared" si="187"/>
        <v>18</v>
      </c>
      <c r="Q514" s="833">
        <v>8</v>
      </c>
      <c r="R514" s="834">
        <f t="shared" si="174"/>
        <v>7.9506849315068493</v>
      </c>
      <c r="S514" s="861">
        <f t="shared" si="175"/>
        <v>602.77499999999998</v>
      </c>
      <c r="T514" s="860">
        <f t="shared" si="176"/>
        <v>102327.22500000001</v>
      </c>
      <c r="U514" s="835">
        <f t="shared" si="178"/>
        <v>0</v>
      </c>
      <c r="V514" s="835">
        <f t="shared" si="177"/>
        <v>102930</v>
      </c>
    </row>
    <row r="515" spans="1:22">
      <c r="A515" s="816"/>
      <c r="B515" s="828">
        <f t="shared" si="179"/>
        <v>28</v>
      </c>
      <c r="C515" s="843" t="s">
        <v>862</v>
      </c>
      <c r="D515" s="870" t="s">
        <v>18</v>
      </c>
      <c r="E515" s="843" t="s">
        <v>4173</v>
      </c>
      <c r="F515" s="830">
        <v>45105</v>
      </c>
      <c r="G515" s="830">
        <v>45166</v>
      </c>
      <c r="H515" s="843" t="s">
        <v>292</v>
      </c>
      <c r="I515" s="830">
        <f t="shared" si="172"/>
        <v>45166</v>
      </c>
      <c r="J515" s="831">
        <v>75751</v>
      </c>
      <c r="K515" s="831"/>
      <c r="L515" s="839">
        <v>20800</v>
      </c>
      <c r="M515" s="831"/>
      <c r="N515" s="831"/>
      <c r="O515" s="839">
        <f t="shared" si="173"/>
        <v>96551</v>
      </c>
      <c r="P515" s="832">
        <f t="shared" si="187"/>
        <v>216</v>
      </c>
      <c r="Q515" s="833">
        <v>8</v>
      </c>
      <c r="R515" s="834">
        <f t="shared" si="174"/>
        <v>7.4082191780821915</v>
      </c>
      <c r="S515" s="861">
        <f t="shared" si="175"/>
        <v>6785.0223287671233</v>
      </c>
      <c r="T515" s="860">
        <f t="shared" si="176"/>
        <v>89765.977671232875</v>
      </c>
      <c r="U515" s="835">
        <f t="shared" si="178"/>
        <v>96551</v>
      </c>
      <c r="V515" s="835">
        <f t="shared" si="177"/>
        <v>0</v>
      </c>
    </row>
    <row r="516" spans="1:22">
      <c r="A516" s="816"/>
      <c r="B516" s="828">
        <f t="shared" si="179"/>
        <v>29</v>
      </c>
      <c r="C516" s="843" t="s">
        <v>862</v>
      </c>
      <c r="D516" s="870" t="s">
        <v>18</v>
      </c>
      <c r="E516" s="843" t="s">
        <v>4174</v>
      </c>
      <c r="F516" s="830">
        <v>45105</v>
      </c>
      <c r="G516" s="830">
        <v>45166</v>
      </c>
      <c r="H516" s="843" t="s">
        <v>292</v>
      </c>
      <c r="I516" s="830">
        <f t="shared" si="172"/>
        <v>45166</v>
      </c>
      <c r="J516" s="831">
        <v>75751</v>
      </c>
      <c r="K516" s="831"/>
      <c r="L516" s="839">
        <v>20800</v>
      </c>
      <c r="M516" s="831"/>
      <c r="N516" s="831"/>
      <c r="O516" s="839">
        <f t="shared" si="173"/>
        <v>96551</v>
      </c>
      <c r="P516" s="832">
        <f t="shared" si="187"/>
        <v>216</v>
      </c>
      <c r="Q516" s="833">
        <v>8</v>
      </c>
      <c r="R516" s="834">
        <f t="shared" si="174"/>
        <v>7.4082191780821915</v>
      </c>
      <c r="S516" s="861">
        <f t="shared" si="175"/>
        <v>6785.0223287671233</v>
      </c>
      <c r="T516" s="860">
        <f t="shared" si="176"/>
        <v>89765.977671232875</v>
      </c>
      <c r="U516" s="835">
        <f t="shared" si="178"/>
        <v>96551</v>
      </c>
      <c r="V516" s="835">
        <f t="shared" si="177"/>
        <v>0</v>
      </c>
    </row>
    <row r="517" spans="1:22">
      <c r="A517" s="816"/>
      <c r="B517" s="828">
        <f t="shared" si="179"/>
        <v>30</v>
      </c>
      <c r="C517" s="843" t="s">
        <v>862</v>
      </c>
      <c r="D517" s="870" t="s">
        <v>18</v>
      </c>
      <c r="E517" s="843" t="s">
        <v>4175</v>
      </c>
      <c r="F517" s="830">
        <v>45162</v>
      </c>
      <c r="G517" s="830">
        <v>45199</v>
      </c>
      <c r="H517" s="843" t="s">
        <v>292</v>
      </c>
      <c r="I517" s="830">
        <f t="shared" si="172"/>
        <v>45199</v>
      </c>
      <c r="J517" s="831">
        <v>75751</v>
      </c>
      <c r="K517" s="831"/>
      <c r="L517" s="831">
        <v>20800</v>
      </c>
      <c r="M517" s="831"/>
      <c r="N517" s="831"/>
      <c r="O517" s="839">
        <f t="shared" si="173"/>
        <v>96551</v>
      </c>
      <c r="P517" s="832">
        <f t="shared" si="187"/>
        <v>183</v>
      </c>
      <c r="Q517" s="833">
        <v>10</v>
      </c>
      <c r="R517" s="834">
        <f t="shared" si="174"/>
        <v>9.4986301369863018</v>
      </c>
      <c r="S517" s="861">
        <f t="shared" si="175"/>
        <v>4598.7373561643826</v>
      </c>
      <c r="T517" s="860">
        <f t="shared" si="176"/>
        <v>91952.262643835624</v>
      </c>
      <c r="U517" s="835">
        <f t="shared" si="178"/>
        <v>96551</v>
      </c>
      <c r="V517" s="835">
        <f t="shared" si="177"/>
        <v>0</v>
      </c>
    </row>
    <row r="518" spans="1:22">
      <c r="A518" s="816"/>
      <c r="B518" s="828">
        <f t="shared" si="179"/>
        <v>31</v>
      </c>
      <c r="C518" s="843" t="s">
        <v>4136</v>
      </c>
      <c r="D518" s="870" t="s">
        <v>3848</v>
      </c>
      <c r="E518" s="843" t="s">
        <v>4176</v>
      </c>
      <c r="F518" s="830">
        <v>45269</v>
      </c>
      <c r="G518" s="847">
        <v>45269</v>
      </c>
      <c r="H518" s="843" t="s">
        <v>551</v>
      </c>
      <c r="I518" s="830">
        <f t="shared" si="172"/>
        <v>45269</v>
      </c>
      <c r="J518" s="831">
        <v>77871</v>
      </c>
      <c r="K518" s="831"/>
      <c r="L518" s="831">
        <v>3851</v>
      </c>
      <c r="M518" s="831"/>
      <c r="N518" s="831"/>
      <c r="O518" s="839">
        <f t="shared" si="173"/>
        <v>81722</v>
      </c>
      <c r="P518" s="832">
        <f t="shared" si="187"/>
        <v>113</v>
      </c>
      <c r="Q518" s="833">
        <v>10</v>
      </c>
      <c r="R518" s="834">
        <f t="shared" si="174"/>
        <v>9.6904109589041099</v>
      </c>
      <c r="S518" s="861">
        <f t="shared" si="175"/>
        <v>2403.5223835616434</v>
      </c>
      <c r="T518" s="860">
        <f t="shared" si="176"/>
        <v>79318.477616438351</v>
      </c>
      <c r="U518" s="835">
        <f t="shared" si="178"/>
        <v>0</v>
      </c>
      <c r="V518" s="835">
        <f t="shared" si="177"/>
        <v>81722</v>
      </c>
    </row>
    <row r="519" spans="1:22">
      <c r="A519" s="816"/>
      <c r="B519" s="828">
        <f t="shared" si="179"/>
        <v>32</v>
      </c>
      <c r="C519" s="843" t="s">
        <v>4177</v>
      </c>
      <c r="D519" s="870" t="s">
        <v>3848</v>
      </c>
      <c r="E519" s="843" t="s">
        <v>4178</v>
      </c>
      <c r="F519" s="830">
        <v>45098</v>
      </c>
      <c r="G519" s="830">
        <v>45107</v>
      </c>
      <c r="H519" s="843" t="s">
        <v>551</v>
      </c>
      <c r="I519" s="830">
        <f t="shared" si="172"/>
        <v>45107</v>
      </c>
      <c r="J519" s="831">
        <v>76221</v>
      </c>
      <c r="K519" s="831"/>
      <c r="L519" s="831">
        <v>52874</v>
      </c>
      <c r="M519" s="831"/>
      <c r="N519" s="831"/>
      <c r="O519" s="839">
        <f t="shared" si="173"/>
        <v>129095</v>
      </c>
      <c r="P519" s="832">
        <f t="shared" si="187"/>
        <v>275</v>
      </c>
      <c r="Q519" s="833">
        <v>10</v>
      </c>
      <c r="R519" s="834">
        <f t="shared" si="174"/>
        <v>9.2465753424657535</v>
      </c>
      <c r="S519" s="861">
        <f t="shared" si="175"/>
        <v>9240.0188356164381</v>
      </c>
      <c r="T519" s="860">
        <f t="shared" si="176"/>
        <v>119854.98116438356</v>
      </c>
      <c r="U519" s="835">
        <f t="shared" si="178"/>
        <v>129095</v>
      </c>
      <c r="V519" s="835">
        <f t="shared" si="177"/>
        <v>0</v>
      </c>
    </row>
    <row r="520" spans="1:22">
      <c r="A520" s="816"/>
      <c r="B520" s="828">
        <f t="shared" si="179"/>
        <v>33</v>
      </c>
      <c r="C520" s="843" t="s">
        <v>4177</v>
      </c>
      <c r="D520" s="870" t="s">
        <v>3449</v>
      </c>
      <c r="E520" s="843" t="s">
        <v>4179</v>
      </c>
      <c r="F520" s="830">
        <v>45036</v>
      </c>
      <c r="G520" s="830">
        <v>45064</v>
      </c>
      <c r="H520" s="843" t="s">
        <v>4180</v>
      </c>
      <c r="I520" s="830">
        <f t="shared" si="172"/>
        <v>45064</v>
      </c>
      <c r="J520" s="831">
        <v>84638</v>
      </c>
      <c r="K520" s="831"/>
      <c r="L520" s="831">
        <v>7575</v>
      </c>
      <c r="M520" s="831"/>
      <c r="N520" s="831"/>
      <c r="O520" s="839">
        <f t="shared" si="173"/>
        <v>92213</v>
      </c>
      <c r="P520" s="832">
        <f t="shared" si="187"/>
        <v>318</v>
      </c>
      <c r="Q520" s="833">
        <v>10</v>
      </c>
      <c r="R520" s="834">
        <f t="shared" si="174"/>
        <v>9.1287671232876715</v>
      </c>
      <c r="S520" s="861">
        <f t="shared" si="175"/>
        <v>7632.2047397260258</v>
      </c>
      <c r="T520" s="860">
        <f t="shared" si="176"/>
        <v>84580.795260273968</v>
      </c>
      <c r="U520" s="835">
        <f t="shared" si="178"/>
        <v>92213</v>
      </c>
      <c r="V520" s="835">
        <f t="shared" si="177"/>
        <v>0</v>
      </c>
    </row>
    <row r="521" spans="1:22">
      <c r="A521" s="816"/>
      <c r="B521" s="828">
        <f t="shared" si="179"/>
        <v>34</v>
      </c>
      <c r="C521" s="843" t="s">
        <v>862</v>
      </c>
      <c r="D521" s="870" t="s">
        <v>3449</v>
      </c>
      <c r="E521" s="844" t="s">
        <v>4181</v>
      </c>
      <c r="F521" s="830">
        <v>45294</v>
      </c>
      <c r="G521" s="830">
        <v>45309</v>
      </c>
      <c r="H521" s="843" t="s">
        <v>4182</v>
      </c>
      <c r="I521" s="830">
        <f t="shared" si="172"/>
        <v>45309</v>
      </c>
      <c r="J521" s="831">
        <v>96592</v>
      </c>
      <c r="K521" s="831"/>
      <c r="L521" s="831">
        <v>12116</v>
      </c>
      <c r="M521" s="831"/>
      <c r="N521" s="831"/>
      <c r="O521" s="839">
        <f t="shared" si="173"/>
        <v>108708</v>
      </c>
      <c r="P521" s="832">
        <f t="shared" si="187"/>
        <v>73</v>
      </c>
      <c r="Q521" s="833">
        <v>8</v>
      </c>
      <c r="R521" s="834">
        <f t="shared" si="174"/>
        <v>7.8</v>
      </c>
      <c r="S521" s="861">
        <f t="shared" si="175"/>
        <v>2581.8150000000001</v>
      </c>
      <c r="T521" s="860">
        <f t="shared" si="176"/>
        <v>106126.185</v>
      </c>
      <c r="U521" s="835">
        <f t="shared" si="178"/>
        <v>0</v>
      </c>
      <c r="V521" s="835">
        <f t="shared" si="177"/>
        <v>108708</v>
      </c>
    </row>
    <row r="522" spans="1:22">
      <c r="A522" s="816"/>
      <c r="B522" s="828">
        <f t="shared" si="179"/>
        <v>35</v>
      </c>
      <c r="C522" s="843" t="s">
        <v>4136</v>
      </c>
      <c r="D522" s="829" t="s">
        <v>74</v>
      </c>
      <c r="E522" s="843" t="s">
        <v>4183</v>
      </c>
      <c r="F522" s="830">
        <v>45240</v>
      </c>
      <c r="G522" s="830">
        <v>45246</v>
      </c>
      <c r="H522" s="843" t="s">
        <v>4184</v>
      </c>
      <c r="I522" s="830">
        <f t="shared" si="172"/>
        <v>45246</v>
      </c>
      <c r="J522" s="831">
        <v>88298</v>
      </c>
      <c r="K522" s="831"/>
      <c r="L522" s="831">
        <f>6268+8434+7771</f>
        <v>22473</v>
      </c>
      <c r="M522" s="831"/>
      <c r="N522" s="831"/>
      <c r="O522" s="839">
        <f t="shared" si="173"/>
        <v>110771</v>
      </c>
      <c r="P522" s="832">
        <f t="shared" si="187"/>
        <v>136</v>
      </c>
      <c r="Q522" s="833">
        <v>10</v>
      </c>
      <c r="R522" s="834">
        <f t="shared" si="174"/>
        <v>9.6273972602739732</v>
      </c>
      <c r="S522" s="861">
        <f t="shared" si="175"/>
        <v>3920.9899178082187</v>
      </c>
      <c r="T522" s="860">
        <f t="shared" si="176"/>
        <v>106850.01008219179</v>
      </c>
      <c r="U522" s="835">
        <f t="shared" si="178"/>
        <v>0</v>
      </c>
      <c r="V522" s="835">
        <f t="shared" si="177"/>
        <v>110771</v>
      </c>
    </row>
    <row r="523" spans="1:22">
      <c r="A523" s="816"/>
      <c r="B523" s="828">
        <f t="shared" si="179"/>
        <v>36</v>
      </c>
      <c r="C523" s="843" t="s">
        <v>862</v>
      </c>
      <c r="D523" s="829" t="s">
        <v>74</v>
      </c>
      <c r="E523" s="843" t="s">
        <v>4185</v>
      </c>
      <c r="F523" s="830">
        <v>45169</v>
      </c>
      <c r="G523" s="830">
        <v>45169</v>
      </c>
      <c r="H523" s="843" t="s">
        <v>4184</v>
      </c>
      <c r="I523" s="830">
        <f t="shared" si="172"/>
        <v>45169</v>
      </c>
      <c r="J523" s="831">
        <v>68768</v>
      </c>
      <c r="K523" s="831"/>
      <c r="L523" s="831">
        <v>5886</v>
      </c>
      <c r="M523" s="831"/>
      <c r="N523" s="831"/>
      <c r="O523" s="839">
        <f t="shared" si="173"/>
        <v>74654</v>
      </c>
      <c r="P523" s="832">
        <f t="shared" si="187"/>
        <v>213</v>
      </c>
      <c r="Q523" s="833">
        <v>10</v>
      </c>
      <c r="R523" s="834">
        <f t="shared" si="174"/>
        <v>9.4164383561643827</v>
      </c>
      <c r="S523" s="861">
        <f t="shared" si="175"/>
        <v>4138.6950410958907</v>
      </c>
      <c r="T523" s="860">
        <f t="shared" si="176"/>
        <v>70515.304958904104</v>
      </c>
      <c r="U523" s="835">
        <f t="shared" si="178"/>
        <v>74654</v>
      </c>
      <c r="V523" s="835">
        <f t="shared" si="177"/>
        <v>0</v>
      </c>
    </row>
    <row r="524" spans="1:22">
      <c r="A524" s="816"/>
      <c r="B524" s="828">
        <f t="shared" si="179"/>
        <v>37</v>
      </c>
      <c r="C524" s="979" t="s">
        <v>862</v>
      </c>
      <c r="D524" s="960" t="s">
        <v>74</v>
      </c>
      <c r="E524" s="979" t="s">
        <v>4225</v>
      </c>
      <c r="F524" s="962">
        <v>45366</v>
      </c>
      <c r="G524" s="962">
        <v>45366</v>
      </c>
      <c r="H524" s="979" t="s">
        <v>4226</v>
      </c>
      <c r="I524" s="962">
        <f t="shared" si="172"/>
        <v>45366</v>
      </c>
      <c r="J524" s="964">
        <v>66268</v>
      </c>
      <c r="K524" s="964"/>
      <c r="L524" s="964"/>
      <c r="M524" s="964"/>
      <c r="N524" s="964"/>
      <c r="O524" s="973">
        <f t="shared" si="173"/>
        <v>66268</v>
      </c>
      <c r="P524" s="965">
        <f t="shared" ref="P524" si="188">$P$1-I524</f>
        <v>16</v>
      </c>
      <c r="Q524" s="966">
        <v>10</v>
      </c>
      <c r="R524" s="967">
        <f t="shared" ref="R524" si="189">Q524-(P524/365)</f>
        <v>9.956164383561644</v>
      </c>
      <c r="S524" s="1047">
        <f t="shared" ref="S524" si="190">O524*95%/Q524*P524/365</f>
        <v>275.96536986301368</v>
      </c>
      <c r="T524" s="1048">
        <f t="shared" ref="T524" si="191">O524-S524</f>
        <v>65992.034630136986</v>
      </c>
      <c r="U524" s="969">
        <f t="shared" ref="U524" si="192">IF(I524&lt;=DATE(2023,9,30),O524,0)</f>
        <v>0</v>
      </c>
      <c r="V524" s="969">
        <f t="shared" ref="V524" si="193">IF(I524&gt;DATE(2023,10,1),O524,0)</f>
        <v>66268</v>
      </c>
    </row>
    <row r="525" spans="1:22">
      <c r="A525" s="816"/>
      <c r="B525" s="828">
        <f t="shared" si="179"/>
        <v>38</v>
      </c>
      <c r="C525" s="979" t="s">
        <v>862</v>
      </c>
      <c r="D525" s="960" t="s">
        <v>74</v>
      </c>
      <c r="E525" s="979" t="s">
        <v>4227</v>
      </c>
      <c r="F525" s="962">
        <v>45366</v>
      </c>
      <c r="G525" s="962">
        <v>45370</v>
      </c>
      <c r="H525" s="979" t="s">
        <v>4226</v>
      </c>
      <c r="I525" s="962">
        <f t="shared" si="172"/>
        <v>45370</v>
      </c>
      <c r="J525" s="964">
        <v>6065</v>
      </c>
      <c r="K525" s="964"/>
      <c r="L525" s="964"/>
      <c r="M525" s="964"/>
      <c r="N525" s="964"/>
      <c r="O525" s="973">
        <f t="shared" si="173"/>
        <v>6065</v>
      </c>
      <c r="P525" s="965">
        <f t="shared" ref="P525" si="194">$P$1-I525</f>
        <v>12</v>
      </c>
      <c r="Q525" s="966">
        <v>10</v>
      </c>
      <c r="R525" s="967">
        <f t="shared" ref="R525" si="195">Q525-(P525/365)</f>
        <v>9.9671232876712335</v>
      </c>
      <c r="S525" s="1047">
        <f t="shared" ref="S525" si="196">O525*95%/Q525*P525/365</f>
        <v>18.942739726027394</v>
      </c>
      <c r="T525" s="1048">
        <f t="shared" ref="T525" si="197">O525-S525</f>
        <v>6046.057260273973</v>
      </c>
      <c r="U525" s="969">
        <f t="shared" ref="U525" si="198">IF(I525&lt;=DATE(2023,9,30),O525,0)</f>
        <v>0</v>
      </c>
      <c r="V525" s="969">
        <f t="shared" ref="V525" si="199">IF(I525&gt;DATE(2023,10,1),O525,0)</f>
        <v>6065</v>
      </c>
    </row>
    <row r="526" spans="1:22">
      <c r="A526" s="816"/>
      <c r="B526" s="828">
        <f t="shared" si="179"/>
        <v>39</v>
      </c>
      <c r="C526" s="843" t="s">
        <v>3447</v>
      </c>
      <c r="D526" s="846" t="s">
        <v>4077</v>
      </c>
      <c r="E526" s="836">
        <v>780004333</v>
      </c>
      <c r="F526" s="837">
        <v>45169</v>
      </c>
      <c r="G526" s="837">
        <v>45199</v>
      </c>
      <c r="H526" s="836" t="s">
        <v>3754</v>
      </c>
      <c r="I526" s="830">
        <f t="shared" si="172"/>
        <v>45199</v>
      </c>
      <c r="J526" s="839">
        <v>2527900</v>
      </c>
      <c r="K526" s="839"/>
      <c r="L526" s="839"/>
      <c r="M526" s="839"/>
      <c r="N526" s="839">
        <v>552978</v>
      </c>
      <c r="O526" s="839">
        <f t="shared" si="173"/>
        <v>1974922</v>
      </c>
      <c r="P526" s="866">
        <v>155</v>
      </c>
      <c r="Q526" s="840">
        <v>10</v>
      </c>
      <c r="R526" s="841">
        <f t="shared" si="174"/>
        <v>9.5753424657534243</v>
      </c>
      <c r="S526" s="861">
        <f t="shared" si="175"/>
        <v>79673.223150684935</v>
      </c>
      <c r="T526" s="860">
        <f t="shared" si="176"/>
        <v>1895248.776849315</v>
      </c>
      <c r="U526" s="835">
        <f t="shared" si="178"/>
        <v>1974922</v>
      </c>
      <c r="V526" s="835">
        <f t="shared" si="177"/>
        <v>0</v>
      </c>
    </row>
    <row r="527" spans="1:22">
      <c r="A527" s="816"/>
      <c r="B527" s="828"/>
      <c r="C527" s="863" t="s">
        <v>30</v>
      </c>
      <c r="D527" s="843"/>
      <c r="E527" s="844"/>
      <c r="F527" s="830"/>
      <c r="G527" s="847"/>
      <c r="H527" s="843"/>
      <c r="I527" s="847"/>
      <c r="J527" s="831">
        <f>SUBTOTAL(9,J488:J526)</f>
        <v>15606119</v>
      </c>
      <c r="K527" s="831"/>
      <c r="L527" s="831">
        <f>SUBTOTAL(9,L488:L526)</f>
        <v>2019155</v>
      </c>
      <c r="M527" s="831">
        <f>SUBTOTAL(9,M488:M526)</f>
        <v>0</v>
      </c>
      <c r="N527" s="831">
        <f>SUBTOTAL(9,N488:N526)</f>
        <v>999729</v>
      </c>
      <c r="O527" s="831">
        <f>SUBTOTAL(9,O488:O526)</f>
        <v>16625545</v>
      </c>
      <c r="P527" s="832"/>
      <c r="Q527" s="833"/>
      <c r="R527" s="834"/>
      <c r="S527" s="831">
        <f>SUBTOTAL(9,S488:S526)</f>
        <v>916820.77324315032</v>
      </c>
      <c r="T527" s="831">
        <f>SUBTOTAL(9,T488:T526)</f>
        <v>15708724.226756848</v>
      </c>
      <c r="U527" s="831">
        <f>SUBTOTAL(9,U488:U526)</f>
        <v>11810491</v>
      </c>
      <c r="V527" s="831">
        <f>SUBTOTAL(9,V488:V526)</f>
        <v>4815054</v>
      </c>
    </row>
    <row r="528" spans="1:22" ht="23.25">
      <c r="A528" s="816"/>
      <c r="B528" s="1050" t="s">
        <v>4186</v>
      </c>
      <c r="C528" s="836"/>
      <c r="D528" s="846"/>
      <c r="E528" s="846"/>
      <c r="F528" s="837"/>
      <c r="G528" s="837"/>
      <c r="H528" s="836"/>
      <c r="I528" s="837"/>
      <c r="J528" s="839"/>
      <c r="K528" s="839"/>
      <c r="L528" s="839"/>
      <c r="M528" s="839"/>
      <c r="N528" s="839"/>
      <c r="O528" s="839">
        <f t="shared" si="173"/>
        <v>0</v>
      </c>
      <c r="P528" s="866" t="s">
        <v>24</v>
      </c>
      <c r="Q528" s="840" t="s">
        <v>24</v>
      </c>
      <c r="R528" s="841" t="s">
        <v>24</v>
      </c>
      <c r="S528" s="868" t="s">
        <v>24</v>
      </c>
      <c r="T528" s="868" t="s">
        <v>24</v>
      </c>
      <c r="U528" s="835">
        <f t="shared" si="178"/>
        <v>0</v>
      </c>
      <c r="V528" s="878">
        <f t="shared" ref="V528" si="200">IF(I528&gt;DATE(2022,9,30),O528,0)</f>
        <v>0</v>
      </c>
    </row>
    <row r="529" spans="1:22">
      <c r="A529" s="816"/>
      <c r="B529" s="828">
        <v>1</v>
      </c>
      <c r="C529" s="836" t="s">
        <v>4187</v>
      </c>
      <c r="D529" s="846" t="s">
        <v>1735</v>
      </c>
      <c r="E529" s="846">
        <v>36</v>
      </c>
      <c r="F529" s="837">
        <v>45303</v>
      </c>
      <c r="G529" s="837">
        <v>45332</v>
      </c>
      <c r="H529" s="836" t="s">
        <v>4188</v>
      </c>
      <c r="I529" s="830">
        <f t="shared" ref="I529" si="201">MAX(F529,G529)</f>
        <v>45332</v>
      </c>
      <c r="J529" s="839">
        <v>129800</v>
      </c>
      <c r="K529" s="839"/>
      <c r="L529" s="839"/>
      <c r="M529" s="839"/>
      <c r="N529" s="839">
        <v>19800</v>
      </c>
      <c r="O529" s="839">
        <f t="shared" si="173"/>
        <v>110000</v>
      </c>
      <c r="P529" s="866">
        <v>335</v>
      </c>
      <c r="Q529" s="840">
        <v>3</v>
      </c>
      <c r="R529" s="841">
        <f t="shared" ref="R529" si="202">Q529-(P529/365)</f>
        <v>2.0821917808219177</v>
      </c>
      <c r="S529" s="868">
        <f t="shared" ref="S529" si="203">O529*95%/Q529*P529/365</f>
        <v>31970.319634703199</v>
      </c>
      <c r="T529" s="868">
        <f t="shared" ref="T529" si="204">O529-S529</f>
        <v>78029.680365296808</v>
      </c>
      <c r="U529" s="835">
        <f t="shared" si="178"/>
        <v>0</v>
      </c>
      <c r="V529" s="835">
        <f t="shared" ref="V529" si="205">IF(I529&gt;DATE(2023,10,1),O529,0)</f>
        <v>110000</v>
      </c>
    </row>
    <row r="530" spans="1:22" ht="19.5" customHeight="1">
      <c r="A530" s="816"/>
      <c r="B530" s="859"/>
      <c r="C530" s="863" t="s">
        <v>30</v>
      </c>
      <c r="D530" s="859"/>
      <c r="E530" s="859"/>
      <c r="F530" s="833"/>
      <c r="G530" s="833"/>
      <c r="H530" s="859"/>
      <c r="I530" s="859"/>
      <c r="J530" s="879">
        <f>SUBTOTAL(9,J529)</f>
        <v>129800</v>
      </c>
      <c r="K530" s="879"/>
      <c r="L530" s="879">
        <f t="shared" ref="L530:O530" si="206">SUBTOTAL(9,L529)</f>
        <v>0</v>
      </c>
      <c r="M530" s="879">
        <f t="shared" si="206"/>
        <v>0</v>
      </c>
      <c r="N530" s="879">
        <f t="shared" si="206"/>
        <v>19800</v>
      </c>
      <c r="O530" s="879">
        <f t="shared" si="206"/>
        <v>110000</v>
      </c>
      <c r="P530" s="879" t="s">
        <v>24</v>
      </c>
      <c r="Q530" s="879" t="s">
        <v>24</v>
      </c>
      <c r="R530" s="879" t="s">
        <v>24</v>
      </c>
      <c r="S530" s="879">
        <f t="shared" ref="S530:V530" si="207">SUBTOTAL(9,S529)</f>
        <v>31970.319634703199</v>
      </c>
      <c r="T530" s="879">
        <f t="shared" si="207"/>
        <v>78029.680365296808</v>
      </c>
      <c r="U530" s="879">
        <f t="shared" si="207"/>
        <v>0</v>
      </c>
      <c r="V530" s="879">
        <f t="shared" si="207"/>
        <v>110000</v>
      </c>
    </row>
    <row r="531" spans="1:22" ht="19.5" customHeight="1">
      <c r="A531" s="816"/>
      <c r="B531" s="859"/>
      <c r="C531" s="863" t="s">
        <v>4189</v>
      </c>
      <c r="D531" s="859"/>
      <c r="E531" s="859"/>
      <c r="F531" s="833"/>
      <c r="G531" s="833"/>
      <c r="H531" s="859"/>
      <c r="I531" s="859"/>
      <c r="J531" s="879">
        <f t="shared" ref="J531:O531" si="208">SUBTOTAL(9,J5:J530)</f>
        <v>1030076022.1298001</v>
      </c>
      <c r="K531" s="879">
        <f t="shared" si="208"/>
        <v>0</v>
      </c>
      <c r="L531" s="879">
        <f t="shared" si="208"/>
        <v>3499405</v>
      </c>
      <c r="M531" s="879">
        <f t="shared" si="208"/>
        <v>7091351.2000000002</v>
      </c>
      <c r="N531" s="879">
        <f t="shared" si="208"/>
        <v>210736728.49539328</v>
      </c>
      <c r="O531" s="879">
        <f t="shared" si="208"/>
        <v>815747347.43440664</v>
      </c>
      <c r="P531" s="859"/>
      <c r="Q531" s="833"/>
      <c r="R531" s="859"/>
      <c r="S531" s="879">
        <f>SUBTOTAL(9,S488:S530)</f>
        <v>948791.09287785355</v>
      </c>
      <c r="T531" s="879">
        <f>SUBTOTAL(9,T488:T530)</f>
        <v>15786753.907122144</v>
      </c>
      <c r="U531" s="879">
        <f>SUBTOTAL(9,U488:U530)</f>
        <v>11810491</v>
      </c>
      <c r="V531" s="879">
        <f>SUBTOTAL(9,V488:V530)</f>
        <v>4925054</v>
      </c>
    </row>
    <row r="532" spans="1:22">
      <c r="A532" s="816"/>
      <c r="B532" s="816"/>
      <c r="C532" s="816"/>
      <c r="D532" s="816"/>
      <c r="E532" s="816"/>
      <c r="F532" s="816"/>
      <c r="G532" s="816"/>
      <c r="H532" s="816"/>
      <c r="I532" s="816"/>
      <c r="J532" s="880"/>
      <c r="K532" s="880"/>
      <c r="L532" s="881"/>
      <c r="M532" s="881"/>
      <c r="N532" s="881"/>
      <c r="O532" s="882" t="s">
        <v>24</v>
      </c>
      <c r="P532" s="816"/>
      <c r="Q532" s="816"/>
      <c r="R532" s="816"/>
      <c r="S532" s="882"/>
      <c r="T532" s="882"/>
      <c r="U532" s="882"/>
      <c r="V532" s="882"/>
    </row>
    <row r="533" spans="1:22" ht="14.65" thickBot="1">
      <c r="A533" s="816"/>
      <c r="B533" s="816"/>
      <c r="C533" s="816"/>
      <c r="D533" s="816"/>
      <c r="E533" s="816"/>
      <c r="F533" s="816"/>
      <c r="G533" s="816"/>
      <c r="H533" s="883" t="s">
        <v>4190</v>
      </c>
      <c r="I533" s="816"/>
      <c r="J533" s="881"/>
      <c r="K533" s="881"/>
      <c r="L533" s="881"/>
      <c r="M533" s="881"/>
      <c r="N533" s="881"/>
      <c r="O533" s="881"/>
      <c r="P533" s="884"/>
      <c r="Q533" s="816"/>
      <c r="R533" s="816"/>
      <c r="S533" s="882"/>
      <c r="T533" s="882"/>
      <c r="U533" s="882"/>
      <c r="V533" s="882"/>
    </row>
    <row r="534" spans="1:22">
      <c r="A534" s="816"/>
      <c r="B534" s="816"/>
      <c r="C534" s="816"/>
      <c r="D534" s="816"/>
      <c r="E534" s="816"/>
      <c r="F534" s="816"/>
      <c r="G534" s="816"/>
      <c r="H534" s="885" t="s">
        <v>2</v>
      </c>
      <c r="I534" s="886"/>
      <c r="J534" s="887">
        <f>J335</f>
        <v>995635806.96000004</v>
      </c>
      <c r="K534" s="887"/>
      <c r="L534" s="887">
        <f>L335</f>
        <v>1480250</v>
      </c>
      <c r="M534" s="887">
        <f>M335</f>
        <v>7091351.2000000002</v>
      </c>
      <c r="N534" s="887">
        <f>N335</f>
        <v>207265925.46000004</v>
      </c>
      <c r="O534" s="887">
        <f>O335</f>
        <v>782758780.29999995</v>
      </c>
      <c r="P534" s="888"/>
      <c r="Q534" s="888"/>
      <c r="R534" s="889"/>
      <c r="S534" s="887">
        <f>S335</f>
        <v>82414971</v>
      </c>
      <c r="T534" s="887">
        <f>T335</f>
        <v>700343809.29999995</v>
      </c>
      <c r="U534" s="887">
        <f>U335</f>
        <v>659349144.44000006</v>
      </c>
      <c r="V534" s="887">
        <f>V335</f>
        <v>123409635.86000007</v>
      </c>
    </row>
    <row r="535" spans="1:22">
      <c r="A535" s="816"/>
      <c r="B535" s="816"/>
      <c r="C535" s="816"/>
      <c r="D535" s="816"/>
      <c r="E535" s="816"/>
      <c r="F535" s="816"/>
      <c r="G535" s="816"/>
      <c r="H535" s="890" t="s">
        <v>37</v>
      </c>
      <c r="I535" s="816"/>
      <c r="J535" s="882">
        <f>J527</f>
        <v>15606119</v>
      </c>
      <c r="K535" s="882"/>
      <c r="L535" s="882">
        <f>L527</f>
        <v>2019155</v>
      </c>
      <c r="M535" s="882">
        <f>M527</f>
        <v>0</v>
      </c>
      <c r="N535" s="882">
        <f>N527</f>
        <v>999729</v>
      </c>
      <c r="O535" s="882">
        <f>O527</f>
        <v>16625545</v>
      </c>
      <c r="P535" s="884"/>
      <c r="Q535" s="884"/>
      <c r="R535" s="891"/>
      <c r="S535" s="882">
        <f>S527</f>
        <v>916820.77324315032</v>
      </c>
      <c r="T535" s="882">
        <f>T527</f>
        <v>15708724.226756848</v>
      </c>
      <c r="U535" s="882">
        <f>U527</f>
        <v>11810491</v>
      </c>
      <c r="V535" s="882">
        <f>V527</f>
        <v>4815054</v>
      </c>
    </row>
    <row r="536" spans="1:22">
      <c r="A536" s="816"/>
      <c r="B536" s="816"/>
      <c r="C536" s="816"/>
      <c r="D536" s="816"/>
      <c r="E536" s="816"/>
      <c r="F536" s="816"/>
      <c r="G536" s="816"/>
      <c r="H536" s="890" t="s">
        <v>36</v>
      </c>
      <c r="I536" s="816"/>
      <c r="J536" s="882">
        <f>J486</f>
        <v>4166864</v>
      </c>
      <c r="K536" s="882"/>
      <c r="L536" s="882">
        <f>L486</f>
        <v>0</v>
      </c>
      <c r="M536" s="882">
        <f>M486</f>
        <v>0</v>
      </c>
      <c r="N536" s="882">
        <f>N486</f>
        <v>671460.053220339</v>
      </c>
      <c r="O536" s="882">
        <f>O486</f>
        <v>3495403.9467796613</v>
      </c>
      <c r="P536" s="884"/>
      <c r="Q536" s="884"/>
      <c r="R536" s="891"/>
      <c r="S536" s="882">
        <f>S486</f>
        <v>443742.98820377077</v>
      </c>
      <c r="T536" s="882">
        <f>T486</f>
        <v>3051660.9585758909</v>
      </c>
      <c r="U536" s="882">
        <f>U486</f>
        <v>1038118.74</v>
      </c>
      <c r="V536" s="882">
        <f>V486</f>
        <v>2457285.2067796611</v>
      </c>
    </row>
    <row r="537" spans="1:22">
      <c r="A537" s="816"/>
      <c r="B537" s="816"/>
      <c r="C537" s="816"/>
      <c r="D537" s="816"/>
      <c r="E537" s="816"/>
      <c r="F537" s="816"/>
      <c r="G537" s="816"/>
      <c r="H537" s="890" t="s">
        <v>38</v>
      </c>
      <c r="I537" s="816"/>
      <c r="J537" s="882">
        <f>J369</f>
        <v>3553350</v>
      </c>
      <c r="K537" s="882"/>
      <c r="L537" s="882">
        <f>L369</f>
        <v>0</v>
      </c>
      <c r="M537" s="882">
        <f>M369</f>
        <v>0</v>
      </c>
      <c r="N537" s="882">
        <f>N369</f>
        <v>540237.14338983037</v>
      </c>
      <c r="O537" s="882">
        <f>O369</f>
        <v>3013112.8566101696</v>
      </c>
      <c r="P537" s="884"/>
      <c r="Q537" s="884"/>
      <c r="R537" s="891"/>
      <c r="S537" s="882">
        <f>S369</f>
        <v>541699.01540838927</v>
      </c>
      <c r="T537" s="882">
        <f>T369</f>
        <v>2471413.8412017794</v>
      </c>
      <c r="U537" s="882">
        <f>U369</f>
        <v>1639134.5966101694</v>
      </c>
      <c r="V537" s="882">
        <f>V369</f>
        <v>1373978.26</v>
      </c>
    </row>
    <row r="538" spans="1:22">
      <c r="A538" s="816"/>
      <c r="B538" s="816"/>
      <c r="C538" s="816"/>
      <c r="D538" s="816"/>
      <c r="E538" s="816"/>
      <c r="F538" s="816"/>
      <c r="G538" s="816"/>
      <c r="H538" s="890" t="s">
        <v>4186</v>
      </c>
      <c r="I538" s="816"/>
      <c r="J538" s="882">
        <f>J530</f>
        <v>129800</v>
      </c>
      <c r="K538" s="882"/>
      <c r="L538" s="882">
        <f>L530</f>
        <v>0</v>
      </c>
      <c r="M538" s="882">
        <f>M530</f>
        <v>0</v>
      </c>
      <c r="N538" s="882">
        <f>N530</f>
        <v>19800</v>
      </c>
      <c r="O538" s="882">
        <f>O530</f>
        <v>110000</v>
      </c>
      <c r="P538" s="884"/>
      <c r="Q538" s="884"/>
      <c r="R538" s="891"/>
      <c r="S538" s="882">
        <f>S530</f>
        <v>31970.319634703199</v>
      </c>
      <c r="T538" s="882">
        <f>T530</f>
        <v>78029.680365296808</v>
      </c>
      <c r="U538" s="882">
        <f>U530</f>
        <v>0</v>
      </c>
      <c r="V538" s="882">
        <f>V530</f>
        <v>110000</v>
      </c>
    </row>
    <row r="539" spans="1:22">
      <c r="A539" s="816"/>
      <c r="B539" s="816"/>
      <c r="C539" s="816"/>
      <c r="D539" s="816"/>
      <c r="E539" s="816"/>
      <c r="F539" s="816"/>
      <c r="G539" s="816"/>
      <c r="H539" s="890" t="s">
        <v>32</v>
      </c>
      <c r="I539" s="816"/>
      <c r="J539" s="882">
        <f>J396</f>
        <v>1641281.6</v>
      </c>
      <c r="K539" s="882"/>
      <c r="L539" s="882">
        <f>L396</f>
        <v>0</v>
      </c>
      <c r="M539" s="882">
        <f>M396</f>
        <v>0</v>
      </c>
      <c r="N539" s="882">
        <f>N396</f>
        <v>231630.74576271189</v>
      </c>
      <c r="O539" s="882">
        <f>O396</f>
        <v>1409650.854237288</v>
      </c>
      <c r="P539" s="884"/>
      <c r="Q539" s="884"/>
      <c r="R539" s="891"/>
      <c r="S539" s="882">
        <f>S396</f>
        <v>70534.016822419318</v>
      </c>
      <c r="T539" s="882">
        <f>T396</f>
        <v>1339116.8374148691</v>
      </c>
      <c r="U539" s="882">
        <f>U396</f>
        <v>74139.254237288143</v>
      </c>
      <c r="V539" s="882">
        <f>V396</f>
        <v>1335511.5999999999</v>
      </c>
    </row>
    <row r="540" spans="1:22">
      <c r="A540" s="816"/>
      <c r="B540" s="816"/>
      <c r="C540" s="816"/>
      <c r="D540" s="816"/>
      <c r="E540" s="816"/>
      <c r="F540" s="816"/>
      <c r="G540" s="816"/>
      <c r="H540" s="890" t="s">
        <v>33</v>
      </c>
      <c r="I540" s="816"/>
      <c r="J540" s="882">
        <f>J403</f>
        <v>2729450</v>
      </c>
      <c r="K540" s="882"/>
      <c r="L540" s="882">
        <f>L403</f>
        <v>0</v>
      </c>
      <c r="M540" s="882">
        <f>M403</f>
        <v>0</v>
      </c>
      <c r="N540" s="882">
        <f>N403</f>
        <v>0</v>
      </c>
      <c r="O540" s="882">
        <f>O403</f>
        <v>2729450</v>
      </c>
      <c r="P540" s="884"/>
      <c r="Q540" s="884"/>
      <c r="R540" s="891"/>
      <c r="S540" s="882">
        <f>S397</f>
        <v>0</v>
      </c>
      <c r="T540" s="882">
        <f>T403</f>
        <v>2729450</v>
      </c>
      <c r="U540" s="882">
        <f>U403</f>
        <v>0</v>
      </c>
      <c r="V540" s="882">
        <f>V403</f>
        <v>0</v>
      </c>
    </row>
    <row r="541" spans="1:22" ht="14.65" thickBot="1">
      <c r="A541" s="816"/>
      <c r="B541" s="816"/>
      <c r="C541" s="816"/>
      <c r="D541" s="816"/>
      <c r="E541" s="816"/>
      <c r="F541" s="816"/>
      <c r="G541" s="816"/>
      <c r="H541" s="890" t="s">
        <v>39</v>
      </c>
      <c r="I541" s="816"/>
      <c r="J541" s="882">
        <f>J447</f>
        <v>6613350.5698000006</v>
      </c>
      <c r="K541" s="882"/>
      <c r="L541" s="882">
        <f>L447</f>
        <v>0</v>
      </c>
      <c r="M541" s="882">
        <f>M447</f>
        <v>0</v>
      </c>
      <c r="N541" s="882">
        <f>N447</f>
        <v>1007946.0930203389</v>
      </c>
      <c r="O541" s="882">
        <f>O447</f>
        <v>5605404.4767796621</v>
      </c>
      <c r="P541" s="884"/>
      <c r="Q541" s="884"/>
      <c r="R541" s="892"/>
      <c r="S541" s="882">
        <f>S447</f>
        <v>1643794.5252913511</v>
      </c>
      <c r="T541" s="882">
        <f>T447</f>
        <v>3961609.9514883109</v>
      </c>
      <c r="U541" s="882">
        <f>U447</f>
        <v>3293026.4067796608</v>
      </c>
      <c r="V541" s="882">
        <f>V447</f>
        <v>2312378.0699999998</v>
      </c>
    </row>
    <row r="542" spans="1:22" ht="14.65" thickBot="1">
      <c r="A542" s="816"/>
      <c r="B542" s="816"/>
      <c r="C542" s="816"/>
      <c r="D542" s="816"/>
      <c r="E542" s="816"/>
      <c r="F542" s="816"/>
      <c r="G542" s="816"/>
      <c r="H542" s="893" t="s">
        <v>40</v>
      </c>
      <c r="I542" s="894"/>
      <c r="J542" s="895">
        <f>SUM(J534:J541)</f>
        <v>1030076022.1298001</v>
      </c>
      <c r="K542" s="895"/>
      <c r="L542" s="895">
        <f t="shared" ref="L542:P542" si="209">SUM(L534:L541)</f>
        <v>3499405</v>
      </c>
      <c r="M542" s="895">
        <f t="shared" si="209"/>
        <v>7091351.2000000002</v>
      </c>
      <c r="N542" s="895">
        <f t="shared" si="209"/>
        <v>210736728.49539325</v>
      </c>
      <c r="O542" s="895">
        <f t="shared" si="209"/>
        <v>815747347.43440676</v>
      </c>
      <c r="P542" s="896">
        <f t="shared" si="209"/>
        <v>0</v>
      </c>
      <c r="Q542" s="896"/>
      <c r="R542" s="897"/>
      <c r="S542" s="898">
        <f>SUM(S534:S541)</f>
        <v>86063532.638603762</v>
      </c>
      <c r="T542" s="899">
        <f>SUM(T534:T541)</f>
        <v>729683814.79580283</v>
      </c>
      <c r="U542" s="899">
        <f>SUM(U534:U541)</f>
        <v>677204054.4376272</v>
      </c>
      <c r="V542" s="899">
        <f>SUM(V534:V541)</f>
        <v>135813842.99677974</v>
      </c>
    </row>
    <row r="543" spans="1:22">
      <c r="A543" s="816"/>
      <c r="B543" s="816"/>
      <c r="C543" s="816"/>
      <c r="D543" s="816"/>
      <c r="E543" s="816"/>
      <c r="F543" s="816"/>
      <c r="G543" s="816"/>
      <c r="H543" s="816"/>
      <c r="I543" s="816"/>
      <c r="J543" s="882">
        <f>+J531-J542</f>
        <v>0</v>
      </c>
      <c r="K543" s="882"/>
      <c r="L543" s="882"/>
      <c r="M543" s="882"/>
      <c r="N543" s="882"/>
      <c r="O543" s="882" t="s">
        <v>24</v>
      </c>
      <c r="P543" s="884"/>
      <c r="Q543" s="884"/>
      <c r="R543" s="816"/>
      <c r="S543" s="882"/>
      <c r="T543" s="882"/>
      <c r="U543" s="882" t="s">
        <v>24</v>
      </c>
      <c r="V543" s="882"/>
    </row>
    <row r="544" spans="1:22">
      <c r="A544" s="816"/>
      <c r="B544" s="816"/>
      <c r="C544" s="816"/>
      <c r="D544" s="816"/>
      <c r="E544" s="816"/>
      <c r="F544" s="816"/>
      <c r="G544" s="816"/>
      <c r="H544" s="818" t="s">
        <v>0</v>
      </c>
      <c r="I544" s="816"/>
      <c r="J544" s="816"/>
      <c r="K544" s="816"/>
      <c r="L544" s="816"/>
      <c r="M544" s="816"/>
      <c r="N544" s="816"/>
      <c r="O544" s="884" t="s">
        <v>24</v>
      </c>
      <c r="P544" s="882"/>
      <c r="Q544" s="882"/>
      <c r="R544" s="882"/>
      <c r="S544" s="882"/>
      <c r="T544" s="882"/>
      <c r="U544" s="882"/>
      <c r="V544" s="882"/>
    </row>
    <row r="545" spans="1:22" ht="14.65" thickBot="1">
      <c r="A545" s="816"/>
      <c r="B545" s="816"/>
      <c r="C545" s="816"/>
      <c r="D545" s="816"/>
      <c r="E545" s="816"/>
      <c r="F545" s="816"/>
      <c r="G545" s="816"/>
      <c r="H545" s="818" t="s">
        <v>3688</v>
      </c>
      <c r="I545" s="816"/>
      <c r="J545" s="816"/>
      <c r="K545" s="816"/>
      <c r="L545" s="816"/>
      <c r="M545" s="816"/>
      <c r="N545" s="816"/>
      <c r="O545" s="816"/>
      <c r="P545" s="816"/>
      <c r="Q545" s="816"/>
      <c r="R545" s="816"/>
      <c r="S545" s="884"/>
      <c r="T545" s="884"/>
      <c r="U545" s="884"/>
      <c r="V545" s="884"/>
    </row>
    <row r="546" spans="1:22" ht="180.75" thickBot="1">
      <c r="A546" s="816"/>
      <c r="B546" s="816"/>
      <c r="C546" s="816"/>
      <c r="D546" s="816"/>
      <c r="E546" s="816"/>
      <c r="F546" s="816"/>
      <c r="G546" s="816"/>
      <c r="H546" s="900" t="s">
        <v>41</v>
      </c>
      <c r="I546" s="988"/>
      <c r="J546" s="901" t="s">
        <v>42</v>
      </c>
      <c r="K546" s="901" t="s">
        <v>4239</v>
      </c>
      <c r="L546" s="901" t="s">
        <v>43</v>
      </c>
      <c r="M546" s="901" t="s">
        <v>44</v>
      </c>
      <c r="N546" s="901" t="s">
        <v>45</v>
      </c>
      <c r="O546" s="901" t="s">
        <v>4186</v>
      </c>
      <c r="P546" s="901" t="s">
        <v>32</v>
      </c>
      <c r="Q546" s="901" t="s">
        <v>39</v>
      </c>
      <c r="R546" s="902" t="s">
        <v>33</v>
      </c>
      <c r="S546" s="903" t="s">
        <v>40</v>
      </c>
      <c r="T546" s="904" t="s">
        <v>46</v>
      </c>
      <c r="U546" s="884" t="s">
        <v>24</v>
      </c>
      <c r="V546" s="884"/>
    </row>
    <row r="547" spans="1:22">
      <c r="A547" s="816"/>
      <c r="B547" s="816"/>
      <c r="C547" s="816"/>
      <c r="D547" s="816"/>
      <c r="E547" s="816"/>
      <c r="F547" s="816"/>
      <c r="G547" s="816">
        <v>1</v>
      </c>
      <c r="H547" s="859" t="s">
        <v>35</v>
      </c>
      <c r="I547" s="988"/>
      <c r="J547" s="831">
        <f t="shared" ref="J547:J574" si="210">SUMIF($D$5:$D$334,H547,($O$5:$O$334))</f>
        <v>31694735.780000001</v>
      </c>
      <c r="K547" s="831">
        <f t="shared" ref="K547:K574" si="211">SUMIF($D$5:$D$334,H547,($K$5:$K$334))</f>
        <v>0</v>
      </c>
      <c r="L547" s="831">
        <f t="shared" ref="L547:L574" si="212">SUMIF($D$488:$D$526,H547,($O$488:$O$526))</f>
        <v>0</v>
      </c>
      <c r="M547" s="831">
        <f t="shared" ref="M547:M574" si="213">SUMIF($D$449:$D$485,H547,($O$449:$O$485))</f>
        <v>0</v>
      </c>
      <c r="N547" s="831">
        <f t="shared" ref="N547:N574" si="214">SUMIF($D$337:$D$368,H547,($O$337:$O$368))</f>
        <v>57627.12</v>
      </c>
      <c r="O547" s="831">
        <f t="shared" ref="O547:O574" si="215">SUMIF($D$529:$D$529,H547,($O$529:$O$529))</f>
        <v>0</v>
      </c>
      <c r="P547" s="831">
        <f t="shared" ref="P547:P574" si="216">SUMIF($D$371:$D$395,H547,($O$371:$O$395))</f>
        <v>0</v>
      </c>
      <c r="Q547" s="831">
        <f t="shared" ref="Q547:Q574" si="217">SUMIF($D$405:$D$446,H547,($O$405:$O$446))</f>
        <v>561745</v>
      </c>
      <c r="R547" s="905">
        <f>SUMIF($D$398:$D$401,H547,($O$398:$O$401))</f>
        <v>0</v>
      </c>
      <c r="S547" s="906">
        <f>+J547-K547+L547+M547+N547+O547+P547+Q547+R547</f>
        <v>32314107.900000002</v>
      </c>
      <c r="T547" s="907">
        <f>32470356-156250</f>
        <v>32314106</v>
      </c>
      <c r="U547" s="884">
        <f>+S547-T547</f>
        <v>1.9000000022351742</v>
      </c>
      <c r="V547" s="884"/>
    </row>
    <row r="548" spans="1:22">
      <c r="A548" s="816"/>
      <c r="B548" s="816"/>
      <c r="C548" s="816"/>
      <c r="D548" s="816"/>
      <c r="E548" s="816"/>
      <c r="F548" s="816"/>
      <c r="G548" s="816">
        <v>2</v>
      </c>
      <c r="H548" s="829" t="s">
        <v>4208</v>
      </c>
      <c r="I548" s="988"/>
      <c r="J548" s="831">
        <f t="shared" si="210"/>
        <v>820550</v>
      </c>
      <c r="K548" s="831">
        <f t="shared" si="211"/>
        <v>0</v>
      </c>
      <c r="L548" s="831">
        <f t="shared" si="212"/>
        <v>0</v>
      </c>
      <c r="M548" s="831">
        <f t="shared" si="213"/>
        <v>0</v>
      </c>
      <c r="N548" s="831">
        <f t="shared" si="214"/>
        <v>0</v>
      </c>
      <c r="O548" s="831">
        <f t="shared" si="215"/>
        <v>0</v>
      </c>
      <c r="P548" s="831">
        <f t="shared" si="216"/>
        <v>0</v>
      </c>
      <c r="Q548" s="831">
        <f t="shared" si="217"/>
        <v>0</v>
      </c>
      <c r="R548" s="905">
        <f>SUMIF($D$398:$D$401,H548,($O$398:$O$401))</f>
        <v>0</v>
      </c>
      <c r="S548" s="906">
        <f t="shared" ref="S548:S578" si="218">+J548-K548+L548+M548+N548+O548+P548+Q548+R548</f>
        <v>820550</v>
      </c>
      <c r="T548" s="907">
        <v>820550</v>
      </c>
      <c r="U548" s="884">
        <f t="shared" ref="U548:U575" si="219">+S548-T548</f>
        <v>0</v>
      </c>
      <c r="V548" s="884"/>
    </row>
    <row r="549" spans="1:22">
      <c r="A549" s="816"/>
      <c r="B549" s="816"/>
      <c r="C549" s="816"/>
      <c r="D549" s="816"/>
      <c r="E549" s="816"/>
      <c r="F549" s="816"/>
      <c r="G549" s="816">
        <v>3</v>
      </c>
      <c r="H549" s="859" t="s">
        <v>3614</v>
      </c>
      <c r="I549" s="988"/>
      <c r="J549" s="831">
        <f t="shared" si="210"/>
        <v>4910321</v>
      </c>
      <c r="K549" s="831">
        <f t="shared" si="211"/>
        <v>0</v>
      </c>
      <c r="L549" s="831">
        <f t="shared" si="212"/>
        <v>275072</v>
      </c>
      <c r="M549" s="831">
        <f t="shared" si="213"/>
        <v>12542.380000000001</v>
      </c>
      <c r="N549" s="831">
        <f t="shared" si="214"/>
        <v>68644.062711864404</v>
      </c>
      <c r="O549" s="831">
        <f t="shared" si="215"/>
        <v>0</v>
      </c>
      <c r="P549" s="831">
        <f t="shared" si="216"/>
        <v>0</v>
      </c>
      <c r="Q549" s="831">
        <f t="shared" si="217"/>
        <v>50424.406779661018</v>
      </c>
      <c r="R549" s="905">
        <f>SUMIF($D$398:$D$401,H549,($O$398:$O$401))</f>
        <v>0</v>
      </c>
      <c r="S549" s="906">
        <f t="shared" si="218"/>
        <v>5317003.8494915254</v>
      </c>
      <c r="T549" s="908">
        <v>5317003.41</v>
      </c>
      <c r="U549" s="884">
        <f t="shared" si="219"/>
        <v>0.43949152529239655</v>
      </c>
      <c r="V549" s="884"/>
    </row>
    <row r="550" spans="1:22">
      <c r="A550" s="816"/>
      <c r="B550" s="816"/>
      <c r="C550" s="816"/>
      <c r="D550" s="816"/>
      <c r="E550" s="816"/>
      <c r="F550" s="816"/>
      <c r="G550" s="816">
        <f>G549+1</f>
        <v>4</v>
      </c>
      <c r="H550" s="859" t="s">
        <v>3702</v>
      </c>
      <c r="I550" s="988"/>
      <c r="J550" s="831">
        <f t="shared" si="210"/>
        <v>429895.3</v>
      </c>
      <c r="K550" s="831">
        <f t="shared" si="211"/>
        <v>0</v>
      </c>
      <c r="L550" s="831">
        <f t="shared" si="212"/>
        <v>0</v>
      </c>
      <c r="M550" s="831">
        <f t="shared" si="213"/>
        <v>0</v>
      </c>
      <c r="N550" s="831">
        <f t="shared" si="214"/>
        <v>61780</v>
      </c>
      <c r="O550" s="831">
        <f t="shared" si="215"/>
        <v>0</v>
      </c>
      <c r="P550" s="831">
        <f t="shared" si="216"/>
        <v>0</v>
      </c>
      <c r="Q550" s="831">
        <f t="shared" si="217"/>
        <v>0</v>
      </c>
      <c r="R550" s="905">
        <f>SUMIF($D$398:$D$401,H550,($O$398:$O$401))</f>
        <v>0</v>
      </c>
      <c r="S550" s="906">
        <f t="shared" si="218"/>
        <v>491675.3</v>
      </c>
      <c r="T550" s="907">
        <v>491674.53</v>
      </c>
      <c r="U550" s="884">
        <f t="shared" si="219"/>
        <v>0.76999999996041879</v>
      </c>
      <c r="V550" s="884"/>
    </row>
    <row r="551" spans="1:22">
      <c r="A551" s="816"/>
      <c r="B551" s="816"/>
      <c r="C551" s="816"/>
      <c r="D551" s="816"/>
      <c r="E551" s="816"/>
      <c r="F551" s="816"/>
      <c r="G551" s="816">
        <f t="shared" ref="G551:G574" si="220">G550+1</f>
        <v>5</v>
      </c>
      <c r="H551" s="859" t="s">
        <v>3705</v>
      </c>
      <c r="I551" s="988"/>
      <c r="J551" s="831">
        <f t="shared" si="210"/>
        <v>20081462.399999999</v>
      </c>
      <c r="K551" s="831">
        <f t="shared" si="211"/>
        <v>0</v>
      </c>
      <c r="L551" s="831">
        <f t="shared" si="212"/>
        <v>190218</v>
      </c>
      <c r="M551" s="831">
        <f t="shared" si="213"/>
        <v>395405.26</v>
      </c>
      <c r="N551" s="831">
        <f t="shared" si="214"/>
        <v>299661</v>
      </c>
      <c r="O551" s="831">
        <f t="shared" si="215"/>
        <v>0</v>
      </c>
      <c r="P551" s="831">
        <f t="shared" si="216"/>
        <v>0</v>
      </c>
      <c r="Q551" s="831">
        <f t="shared" si="217"/>
        <v>1772000</v>
      </c>
      <c r="R551" s="905">
        <f>SUMIF($D$398:$D$401,H551,($O$398:$O$401))</f>
        <v>0</v>
      </c>
      <c r="S551" s="906">
        <f t="shared" si="218"/>
        <v>22738746.66</v>
      </c>
      <c r="T551" s="907">
        <v>22738745</v>
      </c>
      <c r="U551" s="884">
        <f t="shared" si="219"/>
        <v>1.6600000001490116</v>
      </c>
      <c r="V551" s="884"/>
    </row>
    <row r="552" spans="1:22">
      <c r="A552" s="816"/>
      <c r="B552" s="816"/>
      <c r="C552" s="816"/>
      <c r="D552" s="816"/>
      <c r="E552" s="816"/>
      <c r="F552" s="816"/>
      <c r="G552" s="816">
        <f t="shared" si="220"/>
        <v>6</v>
      </c>
      <c r="H552" s="859" t="s">
        <v>3457</v>
      </c>
      <c r="I552" s="988"/>
      <c r="J552" s="831">
        <f t="shared" si="210"/>
        <v>8899650</v>
      </c>
      <c r="K552" s="831">
        <f t="shared" si="211"/>
        <v>0</v>
      </c>
      <c r="L552" s="831">
        <f t="shared" si="212"/>
        <v>12191220</v>
      </c>
      <c r="M552" s="831">
        <f t="shared" si="213"/>
        <v>336999.16000000003</v>
      </c>
      <c r="N552" s="831">
        <f t="shared" si="214"/>
        <v>1539002.5599999998</v>
      </c>
      <c r="O552" s="831">
        <f t="shared" si="215"/>
        <v>0</v>
      </c>
      <c r="P552" s="831">
        <f t="shared" si="216"/>
        <v>428166.2</v>
      </c>
      <c r="Q552" s="831">
        <f t="shared" si="217"/>
        <v>0</v>
      </c>
      <c r="R552" s="905">
        <f>SUMIF($D$398:$D$402,H552,($O$398:$O$402))</f>
        <v>2729450</v>
      </c>
      <c r="S552" s="906">
        <f t="shared" si="218"/>
        <v>26124487.919999998</v>
      </c>
      <c r="T552" s="908">
        <f>26867882-743394</f>
        <v>26124488</v>
      </c>
      <c r="U552" s="884">
        <f t="shared" si="219"/>
        <v>-8.0000001937150955E-2</v>
      </c>
      <c r="V552" s="884">
        <f>9691282+188651-743395</f>
        <v>9136538</v>
      </c>
    </row>
    <row r="553" spans="1:22">
      <c r="A553" s="816"/>
      <c r="B553" s="816"/>
      <c r="C553" s="816"/>
      <c r="D553" s="816"/>
      <c r="E553" s="816"/>
      <c r="F553" s="816"/>
      <c r="G553" s="816">
        <f t="shared" si="220"/>
        <v>7</v>
      </c>
      <c r="H553" s="836" t="s">
        <v>3427</v>
      </c>
      <c r="I553" s="988"/>
      <c r="J553" s="831">
        <f t="shared" si="210"/>
        <v>65787082.519999996</v>
      </c>
      <c r="K553" s="831">
        <f t="shared" si="211"/>
        <v>0</v>
      </c>
      <c r="L553" s="831">
        <f t="shared" si="212"/>
        <v>346068</v>
      </c>
      <c r="M553" s="831">
        <f t="shared" si="213"/>
        <v>1298101.6949152546</v>
      </c>
      <c r="N553" s="831">
        <f t="shared" si="214"/>
        <v>456117.03389830509</v>
      </c>
      <c r="O553" s="831">
        <f t="shared" si="215"/>
        <v>0</v>
      </c>
      <c r="P553" s="831">
        <f t="shared" si="216"/>
        <v>0</v>
      </c>
      <c r="Q553" s="831">
        <f t="shared" si="217"/>
        <v>94150</v>
      </c>
      <c r="R553" s="905">
        <f t="shared" ref="R553:R574" si="221">SUMIF($D$398:$D$401,H553,($O$398:$O$401))</f>
        <v>0</v>
      </c>
      <c r="S553" s="906">
        <f t="shared" si="218"/>
        <v>67981519.248813555</v>
      </c>
      <c r="T553" s="908">
        <f>68241518-260000</f>
        <v>67981518</v>
      </c>
      <c r="U553" s="884">
        <f t="shared" si="219"/>
        <v>1.2488135546445847</v>
      </c>
      <c r="V553" s="884"/>
    </row>
    <row r="554" spans="1:22">
      <c r="A554" s="816"/>
      <c r="B554" s="816"/>
      <c r="C554" s="816"/>
      <c r="D554" s="816"/>
      <c r="E554" s="816"/>
      <c r="F554" s="816"/>
      <c r="G554" s="816">
        <f t="shared" si="220"/>
        <v>8</v>
      </c>
      <c r="H554" s="844" t="s">
        <v>75</v>
      </c>
      <c r="I554" s="988"/>
      <c r="J554" s="831">
        <f t="shared" si="210"/>
        <v>6102541</v>
      </c>
      <c r="K554" s="831">
        <f t="shared" si="211"/>
        <v>0</v>
      </c>
      <c r="L554" s="831">
        <f t="shared" si="212"/>
        <v>0</v>
      </c>
      <c r="M554" s="831">
        <f t="shared" si="213"/>
        <v>0</v>
      </c>
      <c r="N554" s="831">
        <f t="shared" si="214"/>
        <v>0</v>
      </c>
      <c r="O554" s="831">
        <f t="shared" si="215"/>
        <v>0</v>
      </c>
      <c r="P554" s="831">
        <f t="shared" si="216"/>
        <v>0</v>
      </c>
      <c r="Q554" s="831">
        <f t="shared" si="217"/>
        <v>0</v>
      </c>
      <c r="R554" s="905">
        <f t="shared" si="221"/>
        <v>0</v>
      </c>
      <c r="S554" s="906">
        <f t="shared" si="218"/>
        <v>6102541</v>
      </c>
      <c r="T554" s="908">
        <v>6102542</v>
      </c>
      <c r="U554" s="884">
        <f t="shared" si="219"/>
        <v>-1</v>
      </c>
      <c r="V554" s="884"/>
    </row>
    <row r="555" spans="1:22">
      <c r="A555" s="816"/>
      <c r="B555" s="816"/>
      <c r="C555" s="816"/>
      <c r="D555" s="816"/>
      <c r="E555" s="816"/>
      <c r="F555" s="816"/>
      <c r="G555" s="816">
        <f t="shared" si="220"/>
        <v>9</v>
      </c>
      <c r="H555" s="859" t="s">
        <v>3753</v>
      </c>
      <c r="I555" s="988"/>
      <c r="J555" s="831">
        <f t="shared" si="210"/>
        <v>108526369.93000005</v>
      </c>
      <c r="K555" s="831">
        <f t="shared" si="211"/>
        <v>0</v>
      </c>
      <c r="L555" s="831">
        <f t="shared" si="212"/>
        <v>688896</v>
      </c>
      <c r="M555" s="831">
        <f t="shared" si="213"/>
        <v>290834</v>
      </c>
      <c r="N555" s="831">
        <f t="shared" si="214"/>
        <v>257001.42711864406</v>
      </c>
      <c r="O555" s="831">
        <f t="shared" si="215"/>
        <v>0</v>
      </c>
      <c r="P555" s="831">
        <f t="shared" si="216"/>
        <v>140027.25423728814</v>
      </c>
      <c r="Q555" s="831">
        <f t="shared" si="217"/>
        <v>0</v>
      </c>
      <c r="R555" s="905">
        <f t="shared" si="221"/>
        <v>0</v>
      </c>
      <c r="S555" s="906">
        <f t="shared" si="218"/>
        <v>109903128.61135599</v>
      </c>
      <c r="T555" s="908">
        <f>134348876-31945735</f>
        <v>102403141</v>
      </c>
      <c r="U555" s="884">
        <f t="shared" si="219"/>
        <v>7499987.6113559902</v>
      </c>
      <c r="V555" s="884" t="s">
        <v>4207</v>
      </c>
    </row>
    <row r="556" spans="1:22">
      <c r="A556" s="816"/>
      <c r="B556" s="816"/>
      <c r="C556" s="816"/>
      <c r="D556" s="816"/>
      <c r="E556" s="816"/>
      <c r="F556" s="816"/>
      <c r="G556" s="816">
        <f t="shared" si="220"/>
        <v>10</v>
      </c>
      <c r="H556" s="859" t="s">
        <v>3811</v>
      </c>
      <c r="I556" s="988"/>
      <c r="J556" s="831">
        <f t="shared" si="210"/>
        <v>3849848.33</v>
      </c>
      <c r="K556" s="831">
        <f t="shared" si="211"/>
        <v>0</v>
      </c>
      <c r="L556" s="831">
        <f t="shared" si="212"/>
        <v>0</v>
      </c>
      <c r="M556" s="831">
        <f t="shared" si="213"/>
        <v>27344</v>
      </c>
      <c r="N556" s="831">
        <f t="shared" si="214"/>
        <v>0</v>
      </c>
      <c r="O556" s="831">
        <f t="shared" si="215"/>
        <v>0</v>
      </c>
      <c r="P556" s="831">
        <f t="shared" si="216"/>
        <v>0</v>
      </c>
      <c r="Q556" s="831">
        <f t="shared" si="217"/>
        <v>0</v>
      </c>
      <c r="R556" s="905">
        <f t="shared" si="221"/>
        <v>0</v>
      </c>
      <c r="S556" s="906">
        <f t="shared" si="218"/>
        <v>3877192.33</v>
      </c>
      <c r="T556" s="908">
        <v>3877190.89</v>
      </c>
      <c r="U556" s="884">
        <f t="shared" si="219"/>
        <v>1.4399999999441206</v>
      </c>
      <c r="V556" s="884"/>
    </row>
    <row r="557" spans="1:22">
      <c r="A557" s="816"/>
      <c r="B557" s="816"/>
      <c r="C557" s="816"/>
      <c r="D557" s="816"/>
      <c r="E557" s="816"/>
      <c r="F557" s="816"/>
      <c r="G557" s="816">
        <f t="shared" si="220"/>
        <v>11</v>
      </c>
      <c r="H557" s="859" t="s">
        <v>1108</v>
      </c>
      <c r="I557" s="988"/>
      <c r="J557" s="831">
        <f t="shared" si="210"/>
        <v>408000</v>
      </c>
      <c r="K557" s="831">
        <f t="shared" si="211"/>
        <v>0</v>
      </c>
      <c r="L557" s="831">
        <f t="shared" si="212"/>
        <v>0</v>
      </c>
      <c r="M557" s="831">
        <f t="shared" si="213"/>
        <v>0</v>
      </c>
      <c r="N557" s="831">
        <f t="shared" si="214"/>
        <v>54237.279999999999</v>
      </c>
      <c r="O557" s="831">
        <f t="shared" si="215"/>
        <v>0</v>
      </c>
      <c r="P557" s="831">
        <f t="shared" si="216"/>
        <v>0</v>
      </c>
      <c r="Q557" s="831">
        <f t="shared" si="217"/>
        <v>0</v>
      </c>
      <c r="R557" s="905">
        <f t="shared" si="221"/>
        <v>0</v>
      </c>
      <c r="S557" s="906">
        <f t="shared" si="218"/>
        <v>462237.28</v>
      </c>
      <c r="T557" s="908">
        <v>462237.29</v>
      </c>
      <c r="U557" s="884">
        <f t="shared" si="219"/>
        <v>-9.9999999511055648E-3</v>
      </c>
      <c r="V557" s="884"/>
    </row>
    <row r="558" spans="1:22">
      <c r="A558" s="816"/>
      <c r="B558" s="816"/>
      <c r="C558" s="816"/>
      <c r="D558" s="816"/>
      <c r="E558" s="816"/>
      <c r="F558" s="816"/>
      <c r="G558" s="816">
        <f t="shared" si="220"/>
        <v>12</v>
      </c>
      <c r="H558" s="859" t="s">
        <v>4191</v>
      </c>
      <c r="I558" s="988"/>
      <c r="J558" s="831">
        <f t="shared" si="210"/>
        <v>6067131.6399999997</v>
      </c>
      <c r="K558" s="831">
        <f t="shared" si="211"/>
        <v>0</v>
      </c>
      <c r="L558" s="831">
        <f t="shared" si="212"/>
        <v>0</v>
      </c>
      <c r="M558" s="831">
        <f t="shared" si="213"/>
        <v>378100</v>
      </c>
      <c r="N558" s="831">
        <f t="shared" si="214"/>
        <v>0</v>
      </c>
      <c r="O558" s="831">
        <f t="shared" si="215"/>
        <v>110000</v>
      </c>
      <c r="P558" s="831">
        <f t="shared" si="216"/>
        <v>831057.4</v>
      </c>
      <c r="Q558" s="831">
        <f t="shared" si="217"/>
        <v>1139867</v>
      </c>
      <c r="R558" s="905">
        <f t="shared" si="221"/>
        <v>0</v>
      </c>
      <c r="S558" s="906">
        <f t="shared" si="218"/>
        <v>8526156.0399999991</v>
      </c>
      <c r="T558" s="908">
        <f>16494903-7968747</f>
        <v>8526156</v>
      </c>
      <c r="U558" s="884">
        <f t="shared" si="219"/>
        <v>3.9999999105930328E-2</v>
      </c>
      <c r="V558" s="884"/>
    </row>
    <row r="559" spans="1:22">
      <c r="A559" s="816"/>
      <c r="B559" s="816"/>
      <c r="C559" s="816"/>
      <c r="D559" s="816"/>
      <c r="E559" s="816"/>
      <c r="F559" s="816"/>
      <c r="G559" s="816">
        <f t="shared" si="220"/>
        <v>13</v>
      </c>
      <c r="H559" s="859" t="s">
        <v>3461</v>
      </c>
      <c r="I559" s="988"/>
      <c r="J559" s="831">
        <f t="shared" si="210"/>
        <v>77835</v>
      </c>
      <c r="K559" s="831">
        <f t="shared" si="211"/>
        <v>0</v>
      </c>
      <c r="L559" s="831">
        <f t="shared" si="212"/>
        <v>0</v>
      </c>
      <c r="M559" s="831">
        <f t="shared" si="213"/>
        <v>0</v>
      </c>
      <c r="N559" s="831">
        <f t="shared" si="214"/>
        <v>0</v>
      </c>
      <c r="O559" s="831">
        <f t="shared" si="215"/>
        <v>0</v>
      </c>
      <c r="P559" s="831">
        <f t="shared" si="216"/>
        <v>10400</v>
      </c>
      <c r="Q559" s="831">
        <f t="shared" si="217"/>
        <v>0</v>
      </c>
      <c r="R559" s="905">
        <f t="shared" si="221"/>
        <v>0</v>
      </c>
      <c r="S559" s="906">
        <f t="shared" si="218"/>
        <v>88235</v>
      </c>
      <c r="T559" s="908">
        <f>93150-4915</f>
        <v>88235</v>
      </c>
      <c r="U559" s="884">
        <f t="shared" si="219"/>
        <v>0</v>
      </c>
      <c r="V559" s="884"/>
    </row>
    <row r="560" spans="1:22">
      <c r="A560" s="816"/>
      <c r="B560" s="816"/>
      <c r="C560" s="816"/>
      <c r="D560" s="816"/>
      <c r="E560" s="816"/>
      <c r="F560" s="816"/>
      <c r="G560" s="816">
        <f t="shared" si="220"/>
        <v>14</v>
      </c>
      <c r="H560" s="859" t="s">
        <v>586</v>
      </c>
      <c r="I560" s="988"/>
      <c r="J560" s="831">
        <f t="shared" si="210"/>
        <v>0</v>
      </c>
      <c r="K560" s="831">
        <f t="shared" si="211"/>
        <v>0</v>
      </c>
      <c r="L560" s="831">
        <f t="shared" si="212"/>
        <v>0</v>
      </c>
      <c r="M560" s="831">
        <f t="shared" si="213"/>
        <v>0</v>
      </c>
      <c r="N560" s="831">
        <f t="shared" si="214"/>
        <v>0</v>
      </c>
      <c r="O560" s="831">
        <f t="shared" si="215"/>
        <v>0</v>
      </c>
      <c r="P560" s="831">
        <f t="shared" si="216"/>
        <v>0</v>
      </c>
      <c r="Q560" s="831">
        <f t="shared" si="217"/>
        <v>0</v>
      </c>
      <c r="R560" s="905">
        <f t="shared" si="221"/>
        <v>0</v>
      </c>
      <c r="S560" s="906">
        <f t="shared" si="218"/>
        <v>0</v>
      </c>
      <c r="T560" s="908"/>
      <c r="U560" s="884">
        <f t="shared" si="219"/>
        <v>0</v>
      </c>
      <c r="V560" s="884"/>
    </row>
    <row r="561" spans="1:22">
      <c r="A561" s="816"/>
      <c r="B561" s="816"/>
      <c r="C561" s="816"/>
      <c r="D561" s="816"/>
      <c r="E561" s="816"/>
      <c r="F561" s="816"/>
      <c r="G561" s="816">
        <f t="shared" si="220"/>
        <v>15</v>
      </c>
      <c r="H561" s="859" t="s">
        <v>18</v>
      </c>
      <c r="I561" s="988"/>
      <c r="J561" s="831">
        <f t="shared" si="210"/>
        <v>256251</v>
      </c>
      <c r="K561" s="831">
        <f t="shared" si="211"/>
        <v>0</v>
      </c>
      <c r="L561" s="831">
        <f t="shared" si="212"/>
        <v>289653</v>
      </c>
      <c r="M561" s="831">
        <f t="shared" si="213"/>
        <v>0</v>
      </c>
      <c r="N561" s="831">
        <f t="shared" si="214"/>
        <v>0</v>
      </c>
      <c r="O561" s="831">
        <f t="shared" si="215"/>
        <v>0</v>
      </c>
      <c r="P561" s="831">
        <f t="shared" si="216"/>
        <v>0</v>
      </c>
      <c r="Q561" s="831">
        <f t="shared" si="217"/>
        <v>0</v>
      </c>
      <c r="R561" s="905">
        <f t="shared" si="221"/>
        <v>0</v>
      </c>
      <c r="S561" s="906">
        <f t="shared" si="218"/>
        <v>545904</v>
      </c>
      <c r="T561" s="908">
        <f>-197492+743396</f>
        <v>545904</v>
      </c>
      <c r="U561" s="884">
        <f t="shared" si="219"/>
        <v>0</v>
      </c>
      <c r="V561" s="884" t="s">
        <v>4219</v>
      </c>
    </row>
    <row r="562" spans="1:22">
      <c r="A562" s="816"/>
      <c r="B562" s="816"/>
      <c r="C562" s="816"/>
      <c r="D562" s="816"/>
      <c r="E562" s="816"/>
      <c r="F562" s="816"/>
      <c r="G562" s="816">
        <f t="shared" si="220"/>
        <v>16</v>
      </c>
      <c r="H562" s="859" t="s">
        <v>27</v>
      </c>
      <c r="I562" s="988"/>
      <c r="J562" s="831">
        <f t="shared" si="210"/>
        <v>0</v>
      </c>
      <c r="K562" s="831">
        <f t="shared" si="211"/>
        <v>0</v>
      </c>
      <c r="L562" s="831">
        <f t="shared" si="212"/>
        <v>0</v>
      </c>
      <c r="M562" s="831">
        <f t="shared" si="213"/>
        <v>55590</v>
      </c>
      <c r="N562" s="831">
        <f t="shared" si="214"/>
        <v>0</v>
      </c>
      <c r="O562" s="831">
        <f t="shared" si="215"/>
        <v>0</v>
      </c>
      <c r="P562" s="831">
        <f t="shared" si="216"/>
        <v>0</v>
      </c>
      <c r="Q562" s="831">
        <f t="shared" si="217"/>
        <v>0</v>
      </c>
      <c r="R562" s="905">
        <f t="shared" si="221"/>
        <v>0</v>
      </c>
      <c r="S562" s="906">
        <f t="shared" si="218"/>
        <v>55590</v>
      </c>
      <c r="T562" s="908">
        <v>55589.24</v>
      </c>
      <c r="U562" s="884">
        <f t="shared" si="219"/>
        <v>0.76000000000203727</v>
      </c>
      <c r="V562" s="884"/>
    </row>
    <row r="563" spans="1:22">
      <c r="A563" s="816"/>
      <c r="B563" s="816"/>
      <c r="C563" s="816"/>
      <c r="D563" s="816"/>
      <c r="E563" s="816"/>
      <c r="F563" s="816"/>
      <c r="G563" s="816">
        <f t="shared" si="220"/>
        <v>17</v>
      </c>
      <c r="H563" s="859" t="s">
        <v>3848</v>
      </c>
      <c r="I563" s="988"/>
      <c r="J563" s="831">
        <f t="shared" si="210"/>
        <v>48726067.399999999</v>
      </c>
      <c r="K563" s="959">
        <f t="shared" si="211"/>
        <v>0</v>
      </c>
      <c r="L563" s="831">
        <f t="shared" si="212"/>
        <v>210817</v>
      </c>
      <c r="M563" s="831">
        <f t="shared" si="213"/>
        <v>296814.45186440676</v>
      </c>
      <c r="N563" s="831">
        <f t="shared" si="214"/>
        <v>0</v>
      </c>
      <c r="O563" s="831">
        <f t="shared" si="215"/>
        <v>0</v>
      </c>
      <c r="P563" s="831">
        <f t="shared" si="216"/>
        <v>0</v>
      </c>
      <c r="Q563" s="831">
        <f t="shared" si="217"/>
        <v>203158.28</v>
      </c>
      <c r="R563" s="905">
        <f t="shared" si="221"/>
        <v>0</v>
      </c>
      <c r="S563" s="906">
        <f t="shared" si="218"/>
        <v>49436857.131864406</v>
      </c>
      <c r="T563" s="908">
        <f>55623175-14155064+7968750</f>
        <v>49436861</v>
      </c>
      <c r="U563" s="884">
        <f t="shared" si="219"/>
        <v>-3.8681355938315392</v>
      </c>
      <c r="V563" s="884" t="s">
        <v>4222</v>
      </c>
    </row>
    <row r="564" spans="1:22">
      <c r="A564" s="816"/>
      <c r="B564" s="816"/>
      <c r="C564" s="816"/>
      <c r="D564" s="816"/>
      <c r="E564" s="816"/>
      <c r="F564" s="816"/>
      <c r="G564" s="816">
        <f t="shared" si="220"/>
        <v>18</v>
      </c>
      <c r="H564" s="859" t="s">
        <v>19</v>
      </c>
      <c r="I564" s="988"/>
      <c r="J564" s="831">
        <f t="shared" si="210"/>
        <v>0</v>
      </c>
      <c r="K564" s="831">
        <f t="shared" si="211"/>
        <v>0</v>
      </c>
      <c r="L564" s="831">
        <f t="shared" si="212"/>
        <v>0</v>
      </c>
      <c r="M564" s="831">
        <f t="shared" si="213"/>
        <v>0</v>
      </c>
      <c r="N564" s="831">
        <f t="shared" si="214"/>
        <v>0</v>
      </c>
      <c r="O564" s="831">
        <f t="shared" si="215"/>
        <v>0</v>
      </c>
      <c r="P564" s="831">
        <f t="shared" si="216"/>
        <v>0</v>
      </c>
      <c r="Q564" s="831">
        <f t="shared" si="217"/>
        <v>0</v>
      </c>
      <c r="R564" s="905">
        <f t="shared" si="221"/>
        <v>0</v>
      </c>
      <c r="S564" s="906">
        <f t="shared" si="218"/>
        <v>0</v>
      </c>
      <c r="T564" s="908"/>
      <c r="U564" s="884">
        <f t="shared" si="219"/>
        <v>0</v>
      </c>
      <c r="V564" s="884"/>
    </row>
    <row r="565" spans="1:22">
      <c r="A565" s="816"/>
      <c r="B565" s="816"/>
      <c r="C565" s="816"/>
      <c r="D565" s="816"/>
      <c r="E565" s="816"/>
      <c r="F565" s="816"/>
      <c r="G565" s="816">
        <f t="shared" si="220"/>
        <v>19</v>
      </c>
      <c r="H565" s="846" t="s">
        <v>3449</v>
      </c>
      <c r="I565" s="988"/>
      <c r="J565" s="831">
        <f t="shared" si="210"/>
        <v>0</v>
      </c>
      <c r="K565" s="831">
        <f t="shared" si="211"/>
        <v>0</v>
      </c>
      <c r="L565" s="831">
        <f t="shared" si="212"/>
        <v>200921</v>
      </c>
      <c r="M565" s="831">
        <f t="shared" si="213"/>
        <v>194200</v>
      </c>
      <c r="N565" s="831">
        <f t="shared" si="214"/>
        <v>0</v>
      </c>
      <c r="O565" s="831">
        <f t="shared" si="215"/>
        <v>0</v>
      </c>
      <c r="P565" s="831">
        <f t="shared" si="216"/>
        <v>0</v>
      </c>
      <c r="Q565" s="831">
        <f t="shared" si="217"/>
        <v>0</v>
      </c>
      <c r="R565" s="905">
        <f t="shared" si="221"/>
        <v>0</v>
      </c>
      <c r="S565" s="906">
        <f t="shared" si="218"/>
        <v>395121</v>
      </c>
      <c r="T565" s="908">
        <v>395121</v>
      </c>
      <c r="U565" s="884">
        <f t="shared" si="219"/>
        <v>0</v>
      </c>
      <c r="V565" s="884"/>
    </row>
    <row r="566" spans="1:22">
      <c r="A566" s="816"/>
      <c r="B566" s="816"/>
      <c r="C566" s="816"/>
      <c r="D566" s="816"/>
      <c r="E566" s="816"/>
      <c r="F566" s="816"/>
      <c r="G566" s="816">
        <f t="shared" si="220"/>
        <v>20</v>
      </c>
      <c r="H566" s="859" t="s">
        <v>74</v>
      </c>
      <c r="I566" s="988"/>
      <c r="J566" s="831">
        <f t="shared" si="210"/>
        <v>3704222</v>
      </c>
      <c r="K566" s="831">
        <f t="shared" si="211"/>
        <v>0</v>
      </c>
      <c r="L566" s="831">
        <f t="shared" si="212"/>
        <v>257758</v>
      </c>
      <c r="M566" s="831">
        <f t="shared" si="213"/>
        <v>0</v>
      </c>
      <c r="N566" s="831">
        <f t="shared" si="214"/>
        <v>149000</v>
      </c>
      <c r="O566" s="831">
        <f t="shared" si="215"/>
        <v>0</v>
      </c>
      <c r="P566" s="831">
        <f t="shared" si="216"/>
        <v>0</v>
      </c>
      <c r="Q566" s="831">
        <f t="shared" si="217"/>
        <v>503287.35</v>
      </c>
      <c r="R566" s="905">
        <f t="shared" si="221"/>
        <v>0</v>
      </c>
      <c r="S566" s="906">
        <f t="shared" si="218"/>
        <v>4614267.3499999996</v>
      </c>
      <c r="T566" s="908">
        <v>4614268.9400000004</v>
      </c>
      <c r="U566" s="884">
        <f t="shared" si="219"/>
        <v>-1.590000000782311</v>
      </c>
      <c r="V566" s="884"/>
    </row>
    <row r="567" spans="1:22">
      <c r="A567" s="816"/>
      <c r="B567" s="816"/>
      <c r="C567" s="816"/>
      <c r="D567" s="816"/>
      <c r="E567" s="816"/>
      <c r="F567" s="816"/>
      <c r="G567" s="816">
        <f t="shared" si="220"/>
        <v>21</v>
      </c>
      <c r="H567" s="859" t="s">
        <v>20</v>
      </c>
      <c r="I567" s="988"/>
      <c r="J567" s="831">
        <f t="shared" si="210"/>
        <v>0</v>
      </c>
      <c r="K567" s="831">
        <f t="shared" si="211"/>
        <v>0</v>
      </c>
      <c r="L567" s="831">
        <f t="shared" si="212"/>
        <v>0</v>
      </c>
      <c r="M567" s="831">
        <f t="shared" si="213"/>
        <v>0</v>
      </c>
      <c r="N567" s="831">
        <f t="shared" si="214"/>
        <v>0</v>
      </c>
      <c r="O567" s="831">
        <f t="shared" si="215"/>
        <v>0</v>
      </c>
      <c r="P567" s="831">
        <f t="shared" si="216"/>
        <v>0</v>
      </c>
      <c r="Q567" s="831">
        <f t="shared" si="217"/>
        <v>0</v>
      </c>
      <c r="R567" s="905">
        <f t="shared" si="221"/>
        <v>0</v>
      </c>
      <c r="S567" s="906">
        <f t="shared" si="218"/>
        <v>0</v>
      </c>
      <c r="T567" s="908"/>
      <c r="U567" s="884">
        <f t="shared" si="219"/>
        <v>0</v>
      </c>
      <c r="V567" s="884"/>
    </row>
    <row r="568" spans="1:22">
      <c r="A568" s="816"/>
      <c r="B568" s="816"/>
      <c r="C568" s="816"/>
      <c r="D568" s="816"/>
      <c r="E568" s="816"/>
      <c r="F568" s="816"/>
      <c r="G568" s="816">
        <f t="shared" si="220"/>
        <v>22</v>
      </c>
      <c r="H568" s="859" t="s">
        <v>4192</v>
      </c>
      <c r="I568" s="988"/>
      <c r="J568" s="831">
        <f t="shared" si="210"/>
        <v>0</v>
      </c>
      <c r="K568" s="831">
        <f t="shared" si="211"/>
        <v>0</v>
      </c>
      <c r="L568" s="831">
        <f t="shared" si="212"/>
        <v>0</v>
      </c>
      <c r="M568" s="831">
        <f t="shared" si="213"/>
        <v>72000</v>
      </c>
      <c r="N568" s="831">
        <f t="shared" si="214"/>
        <v>0</v>
      </c>
      <c r="O568" s="831">
        <f t="shared" si="215"/>
        <v>0</v>
      </c>
      <c r="P568" s="831">
        <f t="shared" si="216"/>
        <v>0</v>
      </c>
      <c r="Q568" s="831">
        <f t="shared" si="217"/>
        <v>0</v>
      </c>
      <c r="R568" s="905">
        <f t="shared" si="221"/>
        <v>0</v>
      </c>
      <c r="S568" s="906">
        <f t="shared" si="218"/>
        <v>72000</v>
      </c>
      <c r="T568" s="908">
        <v>72000</v>
      </c>
      <c r="U568" s="884">
        <f t="shared" si="219"/>
        <v>0</v>
      </c>
      <c r="V568" s="884"/>
    </row>
    <row r="569" spans="1:22">
      <c r="A569" s="816"/>
      <c r="B569" s="816"/>
      <c r="C569" s="816"/>
      <c r="D569" s="816"/>
      <c r="E569" s="816"/>
      <c r="F569" s="816"/>
      <c r="G569" s="816">
        <f t="shared" si="220"/>
        <v>23</v>
      </c>
      <c r="H569" s="859" t="s">
        <v>4193</v>
      </c>
      <c r="I569" s="988"/>
      <c r="J569" s="831">
        <f t="shared" si="210"/>
        <v>0</v>
      </c>
      <c r="K569" s="831">
        <f t="shared" si="211"/>
        <v>0</v>
      </c>
      <c r="L569" s="831">
        <f t="shared" si="212"/>
        <v>1974922</v>
      </c>
      <c r="M569" s="831">
        <f t="shared" si="213"/>
        <v>0</v>
      </c>
      <c r="N569" s="831">
        <f t="shared" si="214"/>
        <v>0</v>
      </c>
      <c r="O569" s="831">
        <f t="shared" si="215"/>
        <v>0</v>
      </c>
      <c r="P569" s="831">
        <f t="shared" si="216"/>
        <v>0</v>
      </c>
      <c r="Q569" s="831">
        <f t="shared" si="217"/>
        <v>10136</v>
      </c>
      <c r="R569" s="905">
        <f t="shared" si="221"/>
        <v>0</v>
      </c>
      <c r="S569" s="906">
        <f t="shared" si="218"/>
        <v>1985058</v>
      </c>
      <c r="T569" s="908">
        <v>1985058</v>
      </c>
      <c r="U569" s="884">
        <f t="shared" si="219"/>
        <v>0</v>
      </c>
      <c r="V569" s="884" t="s">
        <v>4229</v>
      </c>
    </row>
    <row r="570" spans="1:22">
      <c r="A570" s="816"/>
      <c r="B570" s="816"/>
      <c r="C570" s="816"/>
      <c r="D570" s="816"/>
      <c r="E570" s="816"/>
      <c r="F570" s="816"/>
      <c r="G570" s="816">
        <f t="shared" si="220"/>
        <v>24</v>
      </c>
      <c r="H570" s="859" t="s">
        <v>21</v>
      </c>
      <c r="I570" s="988"/>
      <c r="J570" s="831">
        <f t="shared" si="210"/>
        <v>471153417</v>
      </c>
      <c r="K570" s="831">
        <f t="shared" si="211"/>
        <v>0</v>
      </c>
      <c r="L570" s="831">
        <f t="shared" si="212"/>
        <v>0</v>
      </c>
      <c r="M570" s="831">
        <f t="shared" si="213"/>
        <v>78516</v>
      </c>
      <c r="N570" s="831">
        <f t="shared" si="214"/>
        <v>70042.372881355928</v>
      </c>
      <c r="O570" s="831">
        <f t="shared" si="215"/>
        <v>0</v>
      </c>
      <c r="P570" s="831">
        <f t="shared" si="216"/>
        <v>0</v>
      </c>
      <c r="Q570" s="831">
        <f t="shared" si="217"/>
        <v>1270636.44</v>
      </c>
      <c r="R570" s="905">
        <f t="shared" si="221"/>
        <v>0</v>
      </c>
      <c r="S570" s="906">
        <f t="shared" si="218"/>
        <v>472572611.81288135</v>
      </c>
      <c r="T570" s="908">
        <f>514646595-35073986</f>
        <v>479572609</v>
      </c>
      <c r="U570" s="884">
        <f t="shared" si="219"/>
        <v>-6999997.1871186495</v>
      </c>
      <c r="V570" s="884" t="s">
        <v>4231</v>
      </c>
    </row>
    <row r="571" spans="1:22">
      <c r="A571" s="816"/>
      <c r="B571" s="816"/>
      <c r="C571" s="816"/>
      <c r="D571" s="816"/>
      <c r="E571" s="816"/>
      <c r="F571" s="816"/>
      <c r="G571" s="816">
        <f t="shared" si="220"/>
        <v>25</v>
      </c>
      <c r="H571" s="846" t="s">
        <v>3958</v>
      </c>
      <c r="I571" s="988"/>
      <c r="J571" s="831">
        <f t="shared" si="210"/>
        <v>1000000</v>
      </c>
      <c r="K571" s="831">
        <f t="shared" si="211"/>
        <v>0</v>
      </c>
      <c r="L571" s="831">
        <f t="shared" si="212"/>
        <v>0</v>
      </c>
      <c r="M571" s="831">
        <f t="shared" si="213"/>
        <v>0</v>
      </c>
      <c r="N571" s="831">
        <f t="shared" si="214"/>
        <v>0</v>
      </c>
      <c r="O571" s="831">
        <f t="shared" si="215"/>
        <v>0</v>
      </c>
      <c r="P571" s="831">
        <f t="shared" si="216"/>
        <v>0</v>
      </c>
      <c r="Q571" s="831">
        <f t="shared" si="217"/>
        <v>0</v>
      </c>
      <c r="R571" s="905">
        <f t="shared" si="221"/>
        <v>0</v>
      </c>
      <c r="S571" s="906">
        <f t="shared" si="218"/>
        <v>1000000</v>
      </c>
      <c r="T571" s="908">
        <v>1000000</v>
      </c>
      <c r="U571" s="884">
        <f t="shared" si="219"/>
        <v>0</v>
      </c>
      <c r="V571" s="884"/>
    </row>
    <row r="572" spans="1:22">
      <c r="A572" s="816"/>
      <c r="B572" s="816"/>
      <c r="C572" s="816"/>
      <c r="D572" s="816"/>
      <c r="E572" s="816"/>
      <c r="F572" s="816"/>
      <c r="G572" s="816">
        <f t="shared" si="220"/>
        <v>26</v>
      </c>
      <c r="H572" s="843" t="s">
        <v>2079</v>
      </c>
      <c r="I572" s="988"/>
      <c r="J572" s="831">
        <f t="shared" si="210"/>
        <v>0</v>
      </c>
      <c r="K572" s="831">
        <f t="shared" si="211"/>
        <v>0</v>
      </c>
      <c r="L572" s="831">
        <f t="shared" si="212"/>
        <v>0</v>
      </c>
      <c r="M572" s="831">
        <f t="shared" si="213"/>
        <v>23438</v>
      </c>
      <c r="N572" s="831">
        <f t="shared" si="214"/>
        <v>0</v>
      </c>
      <c r="O572" s="831">
        <f t="shared" si="215"/>
        <v>0</v>
      </c>
      <c r="P572" s="831">
        <f t="shared" si="216"/>
        <v>0</v>
      </c>
      <c r="Q572" s="831">
        <f t="shared" si="217"/>
        <v>0</v>
      </c>
      <c r="R572" s="905">
        <f t="shared" si="221"/>
        <v>0</v>
      </c>
      <c r="S572" s="906">
        <f t="shared" si="218"/>
        <v>23438</v>
      </c>
      <c r="T572" s="908">
        <v>23437</v>
      </c>
      <c r="U572" s="884">
        <f t="shared" si="219"/>
        <v>1</v>
      </c>
      <c r="V572" s="884" t="s">
        <v>4229</v>
      </c>
    </row>
    <row r="573" spans="1:22">
      <c r="A573" s="816"/>
      <c r="B573" s="816"/>
      <c r="C573" s="816"/>
      <c r="D573" s="816"/>
      <c r="E573" s="816"/>
      <c r="F573" s="816"/>
      <c r="G573" s="816">
        <f t="shared" si="220"/>
        <v>27</v>
      </c>
      <c r="H573" s="843" t="s">
        <v>880</v>
      </c>
      <c r="I573" s="988"/>
      <c r="J573" s="831">
        <f t="shared" si="210"/>
        <v>233000</v>
      </c>
      <c r="K573" s="831">
        <f t="shared" si="211"/>
        <v>0</v>
      </c>
      <c r="L573" s="831">
        <f t="shared" si="212"/>
        <v>0</v>
      </c>
      <c r="M573" s="831">
        <f t="shared" si="213"/>
        <v>35519</v>
      </c>
      <c r="N573" s="831">
        <f t="shared" si="214"/>
        <v>0</v>
      </c>
      <c r="O573" s="831">
        <f t="shared" si="215"/>
        <v>0</v>
      </c>
      <c r="P573" s="831">
        <f t="shared" si="216"/>
        <v>0</v>
      </c>
      <c r="Q573" s="831">
        <f t="shared" si="217"/>
        <v>0</v>
      </c>
      <c r="R573" s="905">
        <f t="shared" si="221"/>
        <v>0</v>
      </c>
      <c r="S573" s="906">
        <f t="shared" si="218"/>
        <v>268519</v>
      </c>
      <c r="T573" s="908">
        <v>268519</v>
      </c>
      <c r="U573" s="884">
        <f t="shared" si="219"/>
        <v>0</v>
      </c>
      <c r="V573" s="884"/>
    </row>
    <row r="574" spans="1:22">
      <c r="A574" s="816"/>
      <c r="B574" s="816"/>
      <c r="C574" s="816"/>
      <c r="D574" s="816"/>
      <c r="E574" s="816"/>
      <c r="F574" s="816"/>
      <c r="G574" s="816">
        <f t="shared" si="220"/>
        <v>28</v>
      </c>
      <c r="H574" s="843" t="s">
        <v>3960</v>
      </c>
      <c r="I574" s="988"/>
      <c r="J574" s="831">
        <f t="shared" si="210"/>
        <v>30400</v>
      </c>
      <c r="K574" s="831">
        <f t="shared" si="211"/>
        <v>0</v>
      </c>
      <c r="L574" s="831">
        <f t="shared" si="212"/>
        <v>0</v>
      </c>
      <c r="M574" s="831">
        <f t="shared" si="213"/>
        <v>0</v>
      </c>
      <c r="N574" s="831">
        <f t="shared" si="214"/>
        <v>0</v>
      </c>
      <c r="O574" s="831">
        <f t="shared" si="215"/>
        <v>0</v>
      </c>
      <c r="P574" s="831">
        <f t="shared" si="216"/>
        <v>0</v>
      </c>
      <c r="Q574" s="831">
        <f t="shared" si="217"/>
        <v>0</v>
      </c>
      <c r="R574" s="905">
        <f t="shared" si="221"/>
        <v>0</v>
      </c>
      <c r="S574" s="906">
        <f t="shared" si="218"/>
        <v>30400</v>
      </c>
      <c r="T574" s="908">
        <v>30400</v>
      </c>
      <c r="U574" s="884">
        <f t="shared" si="219"/>
        <v>0</v>
      </c>
      <c r="V574" s="884"/>
    </row>
    <row r="575" spans="1:22">
      <c r="A575" s="816"/>
      <c r="B575" s="816"/>
      <c r="C575" s="816"/>
      <c r="D575" s="816"/>
      <c r="E575" s="816"/>
      <c r="F575" s="816"/>
      <c r="G575" s="816"/>
      <c r="H575" s="909" t="s">
        <v>30</v>
      </c>
      <c r="I575" s="988"/>
      <c r="J575" s="831">
        <f t="shared" ref="J575:R575" si="222">SUM(J547:J574)</f>
        <v>782758780.30000007</v>
      </c>
      <c r="K575" s="831">
        <f>SUM(K547:K574)</f>
        <v>0</v>
      </c>
      <c r="L575" s="831">
        <f>SUM(L547:L574)</f>
        <v>16625545</v>
      </c>
      <c r="M575" s="831">
        <f t="shared" si="222"/>
        <v>3495403.9467796613</v>
      </c>
      <c r="N575" s="831">
        <f t="shared" si="222"/>
        <v>3013112.8566101687</v>
      </c>
      <c r="O575" s="831">
        <f t="shared" si="222"/>
        <v>110000</v>
      </c>
      <c r="P575" s="831">
        <f t="shared" si="222"/>
        <v>1409650.8542372882</v>
      </c>
      <c r="Q575" s="831">
        <f t="shared" si="222"/>
        <v>5605404.4767796602</v>
      </c>
      <c r="R575" s="905">
        <f t="shared" si="222"/>
        <v>2729450</v>
      </c>
      <c r="S575" s="906">
        <f t="shared" si="218"/>
        <v>815747347.43440688</v>
      </c>
      <c r="T575" s="908">
        <f>SUM(T547:T574)</f>
        <v>815247354.29999995</v>
      </c>
      <c r="U575" s="884">
        <f t="shared" si="219"/>
        <v>499993.13440692425</v>
      </c>
      <c r="V575" s="884"/>
    </row>
    <row r="576" spans="1:22">
      <c r="A576" s="816"/>
      <c r="B576" s="816"/>
      <c r="C576" s="816"/>
      <c r="D576" s="816"/>
      <c r="E576" s="816"/>
      <c r="F576" s="816"/>
      <c r="G576" s="816"/>
      <c r="H576" s="909" t="s">
        <v>4233</v>
      </c>
      <c r="I576" s="988"/>
      <c r="J576" s="831"/>
      <c r="K576" s="987">
        <f>+'sold mc 24'!G13</f>
        <v>13138880</v>
      </c>
      <c r="L576" s="831"/>
      <c r="M576" s="831"/>
      <c r="N576" s="831"/>
      <c r="O576" s="831"/>
      <c r="P576" s="831"/>
      <c r="Q576" s="831"/>
      <c r="R576" s="905"/>
      <c r="S576" s="906">
        <f>+K576</f>
        <v>13138880</v>
      </c>
      <c r="T576" s="908"/>
      <c r="U576" s="884"/>
      <c r="V576" s="884"/>
    </row>
    <row r="577" spans="1:22">
      <c r="A577" s="816"/>
      <c r="B577" s="816"/>
      <c r="C577" s="816"/>
      <c r="D577" s="816"/>
      <c r="E577" s="816"/>
      <c r="F577" s="816"/>
      <c r="G577" s="816"/>
      <c r="H577" s="909" t="s">
        <v>40</v>
      </c>
      <c r="I577" s="988"/>
      <c r="J577" s="831">
        <f>+J575+J576</f>
        <v>782758780.30000007</v>
      </c>
      <c r="K577" s="831">
        <f t="shared" ref="K577:T577" si="223">+K575+K576</f>
        <v>13138880</v>
      </c>
      <c r="L577" s="831">
        <f t="shared" si="223"/>
        <v>16625545</v>
      </c>
      <c r="M577" s="831">
        <f t="shared" si="223"/>
        <v>3495403.9467796613</v>
      </c>
      <c r="N577" s="831">
        <f t="shared" si="223"/>
        <v>3013112.8566101687</v>
      </c>
      <c r="O577" s="831">
        <f t="shared" si="223"/>
        <v>110000</v>
      </c>
      <c r="P577" s="831">
        <f t="shared" si="223"/>
        <v>1409650.8542372882</v>
      </c>
      <c r="Q577" s="831">
        <f t="shared" si="223"/>
        <v>5605404.4767796602</v>
      </c>
      <c r="R577" s="831">
        <f t="shared" si="223"/>
        <v>2729450</v>
      </c>
      <c r="S577" s="831">
        <f t="shared" si="223"/>
        <v>828886227.43440688</v>
      </c>
      <c r="T577" s="831">
        <f t="shared" si="223"/>
        <v>815247354.29999995</v>
      </c>
      <c r="U577" s="884"/>
      <c r="V577" s="884"/>
    </row>
    <row r="578" spans="1:22">
      <c r="A578" s="816"/>
      <c r="B578" s="816"/>
      <c r="C578" s="816"/>
      <c r="D578" s="816"/>
      <c r="E578" s="816"/>
      <c r="F578" s="816"/>
      <c r="G578" s="816"/>
      <c r="H578" s="859" t="s">
        <v>47</v>
      </c>
      <c r="I578" s="988"/>
      <c r="J578" s="831">
        <v>865384049</v>
      </c>
      <c r="L578" s="831">
        <v>16625544</v>
      </c>
      <c r="M578" s="831">
        <v>3495398</v>
      </c>
      <c r="N578" s="831">
        <v>3013113</v>
      </c>
      <c r="O578" s="831">
        <v>110000</v>
      </c>
      <c r="P578" s="831">
        <v>1409649</v>
      </c>
      <c r="Q578" s="831">
        <v>5605404</v>
      </c>
      <c r="R578" s="905">
        <v>2729450</v>
      </c>
      <c r="S578" s="906">
        <f t="shared" si="218"/>
        <v>898372607</v>
      </c>
      <c r="T578" s="908" t="s">
        <v>24</v>
      </c>
      <c r="U578" s="884"/>
      <c r="V578" s="884"/>
    </row>
    <row r="579" spans="1:22">
      <c r="A579" s="816"/>
      <c r="B579" s="816"/>
      <c r="C579" s="816"/>
      <c r="D579" s="816"/>
      <c r="E579" s="816"/>
      <c r="F579" s="816"/>
      <c r="G579" s="816"/>
      <c r="H579" s="816"/>
      <c r="J579" s="884">
        <f>+J575-J578</f>
        <v>-82625268.699999928</v>
      </c>
      <c r="K579" s="57"/>
      <c r="L579" s="884">
        <f>+L575-L578</f>
        <v>1</v>
      </c>
      <c r="M579" s="884">
        <f t="shared" ref="M579:S579" si="224">+M575-M578</f>
        <v>5.9467796613462269</v>
      </c>
      <c r="N579" s="884">
        <f t="shared" si="224"/>
        <v>-0.14338983129709959</v>
      </c>
      <c r="O579" s="884">
        <f t="shared" si="224"/>
        <v>0</v>
      </c>
      <c r="P579" s="884">
        <f t="shared" si="224"/>
        <v>1.854237288236618</v>
      </c>
      <c r="Q579" s="884">
        <f t="shared" si="224"/>
        <v>0.47677966021001339</v>
      </c>
      <c r="R579" s="884">
        <f t="shared" si="224"/>
        <v>0</v>
      </c>
      <c r="S579" s="884">
        <f t="shared" si="224"/>
        <v>-82625259.565593123</v>
      </c>
      <c r="T579" s="884" t="s">
        <v>24</v>
      </c>
      <c r="U579" s="884"/>
      <c r="V579" s="884"/>
    </row>
    <row r="580" spans="1:22">
      <c r="A580" s="816"/>
      <c r="B580" s="816"/>
      <c r="C580" s="816"/>
      <c r="D580" s="816"/>
      <c r="E580" s="816"/>
      <c r="F580" s="816"/>
      <c r="G580" s="816"/>
      <c r="H580" s="816"/>
      <c r="I580" s="816" t="s">
        <v>24</v>
      </c>
      <c r="J580" s="884">
        <f>K577+J579</f>
        <v>-69486388.699999928</v>
      </c>
      <c r="K580" s="816"/>
      <c r="L580" s="816"/>
      <c r="M580" s="816"/>
      <c r="N580" s="816"/>
      <c r="O580" s="816"/>
      <c r="P580" s="816"/>
      <c r="Q580" s="884" t="s">
        <v>24</v>
      </c>
      <c r="R580" s="884"/>
      <c r="S580" s="884"/>
      <c r="T580" s="884"/>
      <c r="U580" s="884"/>
      <c r="V580" s="884"/>
    </row>
    <row r="581" spans="1:22">
      <c r="A581" s="816"/>
      <c r="B581" s="816"/>
      <c r="C581" s="816"/>
      <c r="D581" s="816"/>
      <c r="E581" s="816"/>
      <c r="F581" s="816"/>
      <c r="G581" s="816"/>
      <c r="H581" s="816"/>
      <c r="I581" s="884"/>
      <c r="J581" s="884" t="s">
        <v>24</v>
      </c>
      <c r="K581" s="816"/>
      <c r="L581" s="816"/>
      <c r="M581" s="816"/>
      <c r="N581" s="816"/>
      <c r="O581" s="816"/>
      <c r="P581" s="816"/>
      <c r="Q581" s="816"/>
      <c r="R581" s="884"/>
      <c r="S581" s="816"/>
      <c r="T581" s="816"/>
      <c r="U581" s="816"/>
      <c r="V581" s="816"/>
    </row>
    <row r="582" spans="1:22">
      <c r="A582" s="816"/>
      <c r="B582" s="816"/>
      <c r="C582" s="816"/>
      <c r="D582" s="816"/>
      <c r="E582" s="816"/>
      <c r="F582" s="816"/>
      <c r="G582" s="816"/>
      <c r="H582" s="816"/>
      <c r="I582" s="884"/>
      <c r="J582" s="884" t="s">
        <v>24</v>
      </c>
      <c r="K582" s="816"/>
      <c r="L582" s="816"/>
      <c r="M582" s="816"/>
      <c r="N582" s="816"/>
      <c r="O582" s="816"/>
      <c r="P582" s="816"/>
      <c r="Q582" s="816"/>
      <c r="R582" s="816"/>
      <c r="S582" s="816"/>
      <c r="T582" s="816"/>
      <c r="U582" s="816"/>
      <c r="V582" s="816"/>
    </row>
    <row r="583" spans="1:22">
      <c r="A583" s="816"/>
      <c r="B583" s="816"/>
      <c r="C583" s="816"/>
      <c r="D583" s="816"/>
      <c r="E583" s="816"/>
      <c r="F583" s="816"/>
      <c r="G583" s="816"/>
      <c r="H583" s="816"/>
      <c r="I583" s="884"/>
      <c r="J583" s="884" t="s">
        <v>24</v>
      </c>
      <c r="K583" s="816"/>
      <c r="L583" s="816"/>
      <c r="M583" s="816"/>
      <c r="N583" s="816"/>
      <c r="O583" s="816"/>
      <c r="P583" s="816"/>
      <c r="Q583" s="816"/>
      <c r="R583" s="884"/>
      <c r="S583" s="816"/>
      <c r="T583" s="816"/>
      <c r="U583" s="816"/>
      <c r="V583" s="816"/>
    </row>
    <row r="584" spans="1:22">
      <c r="I584" s="70"/>
    </row>
    <row r="585" spans="1:22">
      <c r="I585" s="59"/>
    </row>
  </sheetData>
  <sheetProtection autoFilter="0" pivotTables="0"/>
  <autoFilter ref="B3:V583" xr:uid="{D32F14C4-E3DA-4C1B-B070-4936C998AE6F}"/>
  <mergeCells count="6">
    <mergeCell ref="B487:C487"/>
    <mergeCell ref="B336:C336"/>
    <mergeCell ref="B370:C370"/>
    <mergeCell ref="B397:C397"/>
    <mergeCell ref="B404:C404"/>
    <mergeCell ref="B448:C448"/>
  </mergeCells>
  <conditionalFormatting sqref="E85:E8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{86529BB0-CD77-413A-A189-BD4B56BFDE50}</x14:id>
        </ext>
      </extLst>
    </cfRule>
  </conditionalFormatting>
  <conditionalFormatting sqref="E370:E1048576 E1:E368">
    <cfRule type="duplicateValues" dxfId="1" priority="2"/>
  </conditionalFormatting>
  <conditionalFormatting sqref="E399:E400">
    <cfRule type="duplicateValues" dxfId="0" priority="3"/>
  </conditionalFormatting>
  <printOptions horizontalCentered="1" verticalCentered="1" gridLines="1"/>
  <pageMargins left="0.11811023622047245" right="0" top="0" bottom="0" header="0.31496062992125984" footer="0.31496062992125984"/>
  <pageSetup paperSize="9" scale="53" fitToHeight="0" orientation="landscape" r:id="rId1"/>
  <headerFooter>
    <oddFooter>Page &amp;P</oddFooter>
  </headerFooter>
  <rowBreaks count="12" manualBreakCount="12">
    <brk id="45" min="1" max="21" man="1"/>
    <brk id="94" min="1" max="21" man="1"/>
    <brk id="134" min="1" max="21" man="1"/>
    <brk id="184" min="1" max="21" man="1"/>
    <brk id="244" min="1" max="21" man="1"/>
    <brk id="288" min="1" max="21" man="1"/>
    <brk id="335" min="1" max="21" man="1"/>
    <brk id="369" min="1" max="21" man="1"/>
    <brk id="403" min="1" max="21" man="1"/>
    <brk id="447" min="1" max="21" man="1"/>
    <brk id="486" min="1" max="21" man="1"/>
    <brk id="531" min="1" max="21" man="1"/>
  </rowBreak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6529BB0-CD77-413A-A189-BD4B56BFDE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E85:E86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158"/>
  <sheetViews>
    <sheetView view="pageBreakPreview" zoomScale="60" zoomScaleNormal="100" workbookViewId="0">
      <selection activeCell="I41" sqref="I41"/>
    </sheetView>
  </sheetViews>
  <sheetFormatPr defaultRowHeight="14.25"/>
  <cols>
    <col min="3" max="3" width="18" bestFit="1" customWidth="1"/>
    <col min="4" max="4" width="33.6640625" bestFit="1" customWidth="1"/>
    <col min="5" max="5" width="14.86328125" customWidth="1"/>
    <col min="7" max="7" width="35.33203125" bestFit="1" customWidth="1"/>
    <col min="8" max="8" width="21.6640625" customWidth="1"/>
    <col min="9" max="9" width="15.46484375" customWidth="1"/>
    <col min="10" max="10" width="25.33203125" bestFit="1" customWidth="1"/>
    <col min="11" max="11" width="16.6640625" bestFit="1" customWidth="1"/>
    <col min="12" max="12" width="16.1328125" customWidth="1"/>
    <col min="13" max="13" width="13.53125" customWidth="1"/>
    <col min="14" max="14" width="25" customWidth="1"/>
  </cols>
  <sheetData>
    <row r="1" spans="1:14" s="561" customFormat="1" ht="25.5" customHeight="1">
      <c r="A1" s="554" t="s">
        <v>2878</v>
      </c>
      <c r="B1" s="555" t="s">
        <v>2879</v>
      </c>
      <c r="C1" s="556" t="s">
        <v>2880</v>
      </c>
      <c r="D1" s="557" t="s">
        <v>2881</v>
      </c>
      <c r="E1" s="557" t="s">
        <v>2882</v>
      </c>
      <c r="F1" s="557" t="s">
        <v>2883</v>
      </c>
      <c r="G1" s="558" t="s">
        <v>2884</v>
      </c>
      <c r="H1" s="557" t="s">
        <v>2885</v>
      </c>
      <c r="I1" s="557" t="s">
        <v>2886</v>
      </c>
      <c r="J1" s="559" t="s">
        <v>2887</v>
      </c>
      <c r="K1" s="559" t="s">
        <v>2888</v>
      </c>
      <c r="L1" s="559" t="s">
        <v>2889</v>
      </c>
      <c r="M1" s="559" t="s">
        <v>2890</v>
      </c>
      <c r="N1" s="560" t="s">
        <v>2891</v>
      </c>
    </row>
    <row r="2" spans="1:14" ht="24.95" customHeight="1">
      <c r="A2" s="562">
        <v>1</v>
      </c>
      <c r="B2" s="563" t="s">
        <v>2892</v>
      </c>
      <c r="C2" s="563" t="s">
        <v>2893</v>
      </c>
      <c r="D2" s="564" t="s">
        <v>2894</v>
      </c>
      <c r="E2" s="564" t="s">
        <v>2895</v>
      </c>
      <c r="F2" s="564">
        <v>2008</v>
      </c>
      <c r="G2" s="565" t="s">
        <v>2896</v>
      </c>
      <c r="H2" s="566" t="s">
        <v>2897</v>
      </c>
      <c r="I2" s="564" t="s">
        <v>2898</v>
      </c>
      <c r="J2" s="564" t="s">
        <v>2899</v>
      </c>
      <c r="K2" s="564" t="s">
        <v>2900</v>
      </c>
      <c r="L2" s="567">
        <v>960000</v>
      </c>
      <c r="M2" s="568">
        <v>63492.007146409946</v>
      </c>
      <c r="N2" s="569"/>
    </row>
    <row r="3" spans="1:14" ht="24.95" customHeight="1">
      <c r="A3" s="562">
        <v>2</v>
      </c>
      <c r="B3" s="563" t="s">
        <v>2901</v>
      </c>
      <c r="C3" s="564" t="s">
        <v>2902</v>
      </c>
      <c r="D3" s="564" t="s">
        <v>2894</v>
      </c>
      <c r="E3" s="564" t="s">
        <v>2903</v>
      </c>
      <c r="F3" s="564">
        <v>2008</v>
      </c>
      <c r="G3" s="570" t="s">
        <v>2904</v>
      </c>
      <c r="H3" s="571" t="s">
        <v>2905</v>
      </c>
      <c r="I3" s="572" t="s">
        <v>2906</v>
      </c>
      <c r="J3" s="564" t="s">
        <v>2907</v>
      </c>
      <c r="K3" s="564" t="s">
        <v>2908</v>
      </c>
      <c r="L3" s="573">
        <v>468360</v>
      </c>
      <c r="M3" s="574">
        <v>23418</v>
      </c>
      <c r="N3" s="569"/>
    </row>
    <row r="4" spans="1:14" ht="24.95" customHeight="1">
      <c r="A4" s="562">
        <v>3</v>
      </c>
      <c r="B4" s="563" t="s">
        <v>2909</v>
      </c>
      <c r="C4" s="564" t="s">
        <v>2910</v>
      </c>
      <c r="D4" s="564" t="s">
        <v>2894</v>
      </c>
      <c r="E4" s="564" t="s">
        <v>2911</v>
      </c>
      <c r="F4" s="564">
        <v>2008</v>
      </c>
      <c r="G4" s="565" t="s">
        <v>2904</v>
      </c>
      <c r="H4" s="566" t="s">
        <v>2912</v>
      </c>
      <c r="I4" s="564" t="s">
        <v>2913</v>
      </c>
      <c r="J4" s="564" t="s">
        <v>2914</v>
      </c>
      <c r="K4" s="564" t="s">
        <v>2915</v>
      </c>
      <c r="L4" s="567">
        <v>556825</v>
      </c>
      <c r="M4" s="568">
        <v>30222.5</v>
      </c>
      <c r="N4" s="569"/>
    </row>
    <row r="5" spans="1:14" ht="24.95" customHeight="1">
      <c r="A5" s="562">
        <v>4</v>
      </c>
      <c r="B5" s="563" t="s">
        <v>2901</v>
      </c>
      <c r="C5" s="564" t="s">
        <v>2902</v>
      </c>
      <c r="D5" s="564" t="s">
        <v>2894</v>
      </c>
      <c r="E5" s="564" t="s">
        <v>2916</v>
      </c>
      <c r="F5" s="564">
        <v>2008</v>
      </c>
      <c r="G5" s="565" t="s">
        <v>2904</v>
      </c>
      <c r="H5" s="566" t="s">
        <v>2917</v>
      </c>
      <c r="I5" s="564" t="s">
        <v>2918</v>
      </c>
      <c r="J5" s="564" t="s">
        <v>2919</v>
      </c>
      <c r="K5" s="564" t="s">
        <v>2920</v>
      </c>
      <c r="L5" s="567">
        <v>604450</v>
      </c>
      <c r="M5" s="568">
        <v>30222.5</v>
      </c>
      <c r="N5" s="569"/>
    </row>
    <row r="6" spans="1:14" ht="24.95" customHeight="1">
      <c r="A6" s="562">
        <v>5</v>
      </c>
      <c r="B6" s="563" t="s">
        <v>2921</v>
      </c>
      <c r="C6" s="564" t="s">
        <v>2922</v>
      </c>
      <c r="D6" s="564" t="s">
        <v>2894</v>
      </c>
      <c r="E6" s="564" t="s">
        <v>2923</v>
      </c>
      <c r="F6" s="564">
        <v>2009</v>
      </c>
      <c r="G6" s="570" t="s">
        <v>2896</v>
      </c>
      <c r="H6" s="571" t="s">
        <v>2349</v>
      </c>
      <c r="I6" s="572" t="s">
        <v>2924</v>
      </c>
      <c r="J6" s="564" t="s">
        <v>2925</v>
      </c>
      <c r="K6" s="564" t="s">
        <v>2926</v>
      </c>
      <c r="L6" s="567">
        <v>1122791</v>
      </c>
      <c r="M6" s="568">
        <v>63492.007146409946</v>
      </c>
      <c r="N6" s="569"/>
    </row>
    <row r="7" spans="1:14" ht="24.95" customHeight="1">
      <c r="A7" s="562">
        <v>6</v>
      </c>
      <c r="B7" s="563" t="s">
        <v>2901</v>
      </c>
      <c r="C7" s="575" t="s">
        <v>2927</v>
      </c>
      <c r="D7" s="564" t="s">
        <v>2894</v>
      </c>
      <c r="E7" s="564" t="s">
        <v>2928</v>
      </c>
      <c r="F7" s="564">
        <v>2010</v>
      </c>
      <c r="G7" s="570" t="s">
        <v>2904</v>
      </c>
      <c r="H7" s="571" t="s">
        <v>2929</v>
      </c>
      <c r="I7" s="572" t="s">
        <v>2930</v>
      </c>
      <c r="J7" s="564" t="s">
        <v>2931</v>
      </c>
      <c r="K7" s="564" t="s">
        <v>2932</v>
      </c>
      <c r="L7" s="567">
        <v>621950</v>
      </c>
      <c r="M7" s="568">
        <v>30323</v>
      </c>
      <c r="N7" s="569"/>
    </row>
    <row r="8" spans="1:14" ht="24.95" customHeight="1">
      <c r="A8" s="562">
        <v>7</v>
      </c>
      <c r="B8" s="563" t="s">
        <v>2921</v>
      </c>
      <c r="C8" s="576" t="s">
        <v>2922</v>
      </c>
      <c r="D8" s="564" t="s">
        <v>2894</v>
      </c>
      <c r="E8" s="564" t="s">
        <v>2933</v>
      </c>
      <c r="F8" s="564">
        <v>2011</v>
      </c>
      <c r="G8" s="570" t="s">
        <v>2934</v>
      </c>
      <c r="H8" s="571" t="s">
        <v>2935</v>
      </c>
      <c r="I8" s="572" t="s">
        <v>2936</v>
      </c>
      <c r="J8" s="563" t="s">
        <v>2937</v>
      </c>
      <c r="K8" s="564" t="s">
        <v>2938</v>
      </c>
      <c r="L8" s="567">
        <v>537422</v>
      </c>
      <c r="M8" s="568">
        <v>32134.271080632461</v>
      </c>
      <c r="N8" s="569"/>
    </row>
    <row r="9" spans="1:14" ht="24.95" customHeight="1">
      <c r="A9" s="562">
        <v>8</v>
      </c>
      <c r="B9" s="563" t="s">
        <v>2921</v>
      </c>
      <c r="C9" s="564" t="s">
        <v>2922</v>
      </c>
      <c r="D9" s="564" t="s">
        <v>2894</v>
      </c>
      <c r="E9" s="564" t="s">
        <v>2939</v>
      </c>
      <c r="F9" s="564">
        <v>2012</v>
      </c>
      <c r="G9" s="565" t="s">
        <v>2896</v>
      </c>
      <c r="H9" s="566" t="s">
        <v>2897</v>
      </c>
      <c r="I9" s="564" t="s">
        <v>2940</v>
      </c>
      <c r="J9" s="577" t="s">
        <v>2941</v>
      </c>
      <c r="K9" s="564" t="s">
        <v>2942</v>
      </c>
      <c r="L9" s="567">
        <v>1371028</v>
      </c>
      <c r="M9" s="568">
        <v>148762.47894202877</v>
      </c>
      <c r="N9" s="569"/>
    </row>
    <row r="10" spans="1:14" ht="24.95" customHeight="1">
      <c r="A10" s="562">
        <v>9</v>
      </c>
      <c r="B10" s="563" t="s">
        <v>2909</v>
      </c>
      <c r="C10" s="564" t="s">
        <v>2910</v>
      </c>
      <c r="D10" s="564" t="s">
        <v>2894</v>
      </c>
      <c r="E10" s="564" t="s">
        <v>2943</v>
      </c>
      <c r="F10" s="564">
        <v>2013</v>
      </c>
      <c r="G10" s="570" t="s">
        <v>2944</v>
      </c>
      <c r="H10" s="566" t="s">
        <v>2945</v>
      </c>
      <c r="I10" s="578" t="s">
        <v>2946</v>
      </c>
      <c r="J10" s="577" t="s">
        <v>2947</v>
      </c>
      <c r="K10" s="577" t="s">
        <v>2948</v>
      </c>
      <c r="L10" s="567">
        <v>370000</v>
      </c>
      <c r="M10" s="568">
        <v>300000</v>
      </c>
      <c r="N10" s="569"/>
    </row>
    <row r="11" spans="1:14" ht="24.95" customHeight="1">
      <c r="A11" s="562">
        <v>10</v>
      </c>
      <c r="B11" s="563" t="s">
        <v>2909</v>
      </c>
      <c r="C11" s="564" t="s">
        <v>2910</v>
      </c>
      <c r="D11" s="564" t="s">
        <v>2894</v>
      </c>
      <c r="E11" s="564" t="s">
        <v>2949</v>
      </c>
      <c r="F11" s="564">
        <v>2015</v>
      </c>
      <c r="G11" s="565" t="s">
        <v>2944</v>
      </c>
      <c r="H11" s="566" t="s">
        <v>2950</v>
      </c>
      <c r="I11" s="578" t="s">
        <v>2951</v>
      </c>
      <c r="J11" s="577" t="s">
        <v>2952</v>
      </c>
      <c r="K11" s="577" t="s">
        <v>2953</v>
      </c>
      <c r="L11" s="567">
        <v>788849</v>
      </c>
      <c r="M11" s="568">
        <v>788849</v>
      </c>
      <c r="N11" s="569"/>
    </row>
    <row r="12" spans="1:14" ht="24.95" customHeight="1">
      <c r="A12" s="562">
        <v>11</v>
      </c>
      <c r="B12" s="563" t="s">
        <v>2921</v>
      </c>
      <c r="C12" s="564" t="s">
        <v>2922</v>
      </c>
      <c r="D12" s="572" t="s">
        <v>2894</v>
      </c>
      <c r="E12" s="564" t="s">
        <v>2954</v>
      </c>
      <c r="F12" s="564">
        <v>2015</v>
      </c>
      <c r="G12" s="570" t="s">
        <v>2896</v>
      </c>
      <c r="H12" s="571" t="s">
        <v>2955</v>
      </c>
      <c r="I12" s="579" t="s">
        <v>2956</v>
      </c>
      <c r="J12" s="564" t="s">
        <v>2957</v>
      </c>
      <c r="K12" s="564" t="s">
        <v>2958</v>
      </c>
      <c r="L12" s="567">
        <v>600000</v>
      </c>
      <c r="M12" s="568">
        <v>600000</v>
      </c>
      <c r="N12" s="569"/>
    </row>
    <row r="13" spans="1:14" ht="24.95" customHeight="1">
      <c r="A13" s="562">
        <v>12</v>
      </c>
      <c r="B13" s="563" t="s">
        <v>2892</v>
      </c>
      <c r="C13" s="563" t="s">
        <v>2959</v>
      </c>
      <c r="D13" s="572" t="s">
        <v>2894</v>
      </c>
      <c r="E13" s="564" t="s">
        <v>2960</v>
      </c>
      <c r="F13" s="564">
        <v>2016</v>
      </c>
      <c r="G13" s="570" t="s">
        <v>2904</v>
      </c>
      <c r="H13" s="571" t="s">
        <v>2961</v>
      </c>
      <c r="I13" s="579" t="s">
        <v>2962</v>
      </c>
      <c r="J13" s="564" t="s">
        <v>2963</v>
      </c>
      <c r="K13" s="564" t="s">
        <v>2964</v>
      </c>
      <c r="L13" s="567">
        <v>1555746</v>
      </c>
      <c r="M13" s="568">
        <v>558149.26819805347</v>
      </c>
      <c r="N13" s="569"/>
    </row>
    <row r="14" spans="1:14" ht="24.95" customHeight="1">
      <c r="A14" s="562">
        <v>13</v>
      </c>
      <c r="B14" s="563" t="s">
        <v>2921</v>
      </c>
      <c r="C14" s="564" t="s">
        <v>2965</v>
      </c>
      <c r="D14" s="564" t="s">
        <v>2894</v>
      </c>
      <c r="E14" s="564" t="s">
        <v>2966</v>
      </c>
      <c r="F14" s="564">
        <v>2017</v>
      </c>
      <c r="G14" s="565" t="s">
        <v>2944</v>
      </c>
      <c r="H14" s="566" t="s">
        <v>2967</v>
      </c>
      <c r="I14" s="564" t="s">
        <v>2968</v>
      </c>
      <c r="J14" s="577" t="s">
        <v>2969</v>
      </c>
      <c r="K14" s="577" t="s">
        <v>2970</v>
      </c>
      <c r="L14" s="567">
        <v>750808</v>
      </c>
      <c r="M14" s="568">
        <v>850000</v>
      </c>
      <c r="N14" s="569"/>
    </row>
    <row r="15" spans="1:14" ht="24.95" customHeight="1">
      <c r="A15" s="562">
        <v>14</v>
      </c>
      <c r="B15" s="563" t="s">
        <v>2921</v>
      </c>
      <c r="C15" s="564" t="s">
        <v>2922</v>
      </c>
      <c r="D15" s="564" t="s">
        <v>2894</v>
      </c>
      <c r="E15" s="564" t="s">
        <v>2971</v>
      </c>
      <c r="F15" s="564">
        <v>2017</v>
      </c>
      <c r="G15" s="565" t="s">
        <v>2944</v>
      </c>
      <c r="H15" s="566" t="s">
        <v>2972</v>
      </c>
      <c r="I15" s="564" t="s">
        <v>2973</v>
      </c>
      <c r="J15" s="577" t="s">
        <v>2974</v>
      </c>
      <c r="K15" s="577" t="s">
        <v>2975</v>
      </c>
      <c r="L15" s="567">
        <v>750808</v>
      </c>
      <c r="M15" s="568">
        <v>850000</v>
      </c>
      <c r="N15" s="569"/>
    </row>
    <row r="16" spans="1:14" ht="24.95" customHeight="1">
      <c r="A16" s="562">
        <v>15</v>
      </c>
      <c r="B16" s="563" t="s">
        <v>2892</v>
      </c>
      <c r="C16" s="563" t="s">
        <v>2976</v>
      </c>
      <c r="D16" s="564" t="s">
        <v>2894</v>
      </c>
      <c r="E16" s="564" t="s">
        <v>2977</v>
      </c>
      <c r="F16" s="564">
        <v>2017</v>
      </c>
      <c r="G16" s="565" t="s">
        <v>2904</v>
      </c>
      <c r="H16" s="566" t="s">
        <v>2978</v>
      </c>
      <c r="I16" s="578" t="s">
        <v>2979</v>
      </c>
      <c r="J16" s="577" t="s">
        <v>2980</v>
      </c>
      <c r="K16" s="577" t="s">
        <v>2981</v>
      </c>
      <c r="L16" s="567">
        <v>1434314</v>
      </c>
      <c r="M16" s="568">
        <v>1101405.6045136987</v>
      </c>
      <c r="N16" s="569"/>
    </row>
    <row r="17" spans="1:14" ht="24.95" customHeight="1">
      <c r="A17" s="562">
        <v>16</v>
      </c>
      <c r="B17" s="563" t="s">
        <v>2921</v>
      </c>
      <c r="C17" s="564" t="s">
        <v>2922</v>
      </c>
      <c r="D17" s="564" t="s">
        <v>2894</v>
      </c>
      <c r="E17" s="564" t="s">
        <v>2982</v>
      </c>
      <c r="F17" s="564">
        <v>2018</v>
      </c>
      <c r="G17" s="570" t="s">
        <v>2983</v>
      </c>
      <c r="H17" s="566" t="s">
        <v>2984</v>
      </c>
      <c r="I17" s="578" t="s">
        <v>2985</v>
      </c>
      <c r="J17" s="577" t="s">
        <v>2986</v>
      </c>
      <c r="K17" s="577" t="s">
        <v>2987</v>
      </c>
      <c r="L17" s="567">
        <v>3993333</v>
      </c>
      <c r="M17" s="568">
        <v>5769101.9648972601</v>
      </c>
      <c r="N17" s="569"/>
    </row>
    <row r="18" spans="1:14" ht="24.95" customHeight="1">
      <c r="A18" s="562">
        <v>17</v>
      </c>
      <c r="B18" s="563" t="s">
        <v>2921</v>
      </c>
      <c r="C18" s="564" t="s">
        <v>2922</v>
      </c>
      <c r="D18" s="564" t="s">
        <v>2894</v>
      </c>
      <c r="E18" s="564" t="s">
        <v>2988</v>
      </c>
      <c r="F18" s="564">
        <v>2018</v>
      </c>
      <c r="G18" s="570" t="s">
        <v>2896</v>
      </c>
      <c r="H18" s="566" t="s">
        <v>2989</v>
      </c>
      <c r="I18" s="578" t="s">
        <v>2990</v>
      </c>
      <c r="J18" s="577" t="s">
        <v>2991</v>
      </c>
      <c r="K18" s="577" t="s">
        <v>2992</v>
      </c>
      <c r="L18" s="567">
        <v>3023000</v>
      </c>
      <c r="M18" s="568">
        <v>2419246.3607876711</v>
      </c>
      <c r="N18" s="569"/>
    </row>
    <row r="19" spans="1:14" ht="24.95" customHeight="1">
      <c r="A19" s="562">
        <v>18</v>
      </c>
      <c r="B19" s="563" t="s">
        <v>2921</v>
      </c>
      <c r="C19" s="564" t="s">
        <v>2922</v>
      </c>
      <c r="D19" s="564" t="s">
        <v>2894</v>
      </c>
      <c r="E19" s="564" t="s">
        <v>2993</v>
      </c>
      <c r="F19" s="564">
        <v>2018</v>
      </c>
      <c r="G19" s="570" t="s">
        <v>2896</v>
      </c>
      <c r="H19" s="566" t="s">
        <v>2994</v>
      </c>
      <c r="I19" s="578" t="s">
        <v>2995</v>
      </c>
      <c r="J19" s="577" t="s">
        <v>2996</v>
      </c>
      <c r="K19" s="577" t="s">
        <v>2997</v>
      </c>
      <c r="L19" s="567">
        <v>1445270</v>
      </c>
      <c r="M19" s="568">
        <v>2155986.2578150686</v>
      </c>
      <c r="N19" s="569"/>
    </row>
    <row r="20" spans="1:14" ht="24.95" customHeight="1">
      <c r="A20" s="562">
        <v>19</v>
      </c>
      <c r="B20" s="563" t="s">
        <v>2909</v>
      </c>
      <c r="C20" s="564" t="s">
        <v>2910</v>
      </c>
      <c r="D20" s="564" t="s">
        <v>2894</v>
      </c>
      <c r="E20" s="564" t="s">
        <v>2998</v>
      </c>
      <c r="F20" s="564">
        <v>2018</v>
      </c>
      <c r="G20" s="570" t="s">
        <v>2896</v>
      </c>
      <c r="H20" s="566" t="s">
        <v>2999</v>
      </c>
      <c r="I20" s="578" t="s">
        <v>3000</v>
      </c>
      <c r="J20" s="577" t="s">
        <v>3001</v>
      </c>
      <c r="K20" s="577" t="s">
        <v>3002</v>
      </c>
      <c r="L20" s="567">
        <v>1820000</v>
      </c>
      <c r="M20" s="568">
        <v>2209000</v>
      </c>
      <c r="N20" s="569"/>
    </row>
    <row r="21" spans="1:14" ht="24.95" customHeight="1">
      <c r="A21" s="562">
        <v>20</v>
      </c>
      <c r="B21" s="563" t="s">
        <v>2921</v>
      </c>
      <c r="C21" s="564" t="s">
        <v>3003</v>
      </c>
      <c r="D21" s="564" t="s">
        <v>2894</v>
      </c>
      <c r="E21" s="564" t="s">
        <v>3004</v>
      </c>
      <c r="F21" s="564">
        <v>2018</v>
      </c>
      <c r="G21" s="570" t="s">
        <v>2904</v>
      </c>
      <c r="H21" s="571" t="s">
        <v>3005</v>
      </c>
      <c r="I21" s="579" t="s">
        <v>3006</v>
      </c>
      <c r="J21" s="564" t="s">
        <v>3007</v>
      </c>
      <c r="K21" s="564" t="s">
        <v>3008</v>
      </c>
      <c r="L21" s="567">
        <v>1116001</v>
      </c>
      <c r="M21" s="568">
        <v>1336291.2049315069</v>
      </c>
      <c r="N21" s="569"/>
    </row>
    <row r="22" spans="1:14" ht="24.95" customHeight="1">
      <c r="A22" s="562">
        <v>21</v>
      </c>
      <c r="B22" s="563" t="s">
        <v>2921</v>
      </c>
      <c r="C22" s="564" t="s">
        <v>3009</v>
      </c>
      <c r="D22" s="564" t="s">
        <v>2894</v>
      </c>
      <c r="E22" s="564" t="s">
        <v>3010</v>
      </c>
      <c r="F22" s="564">
        <v>2018</v>
      </c>
      <c r="G22" s="570" t="s">
        <v>2904</v>
      </c>
      <c r="H22" s="571" t="s">
        <v>3011</v>
      </c>
      <c r="I22" s="572" t="s">
        <v>3012</v>
      </c>
      <c r="J22" s="564" t="s">
        <v>3013</v>
      </c>
      <c r="K22" s="564" t="s">
        <v>3014</v>
      </c>
      <c r="L22" s="567">
        <v>833249</v>
      </c>
      <c r="M22" s="568">
        <v>756067.32657534245</v>
      </c>
      <c r="N22" s="569"/>
    </row>
    <row r="23" spans="1:14" ht="24.95" customHeight="1">
      <c r="A23" s="562">
        <v>22</v>
      </c>
      <c r="B23" s="563" t="s">
        <v>2901</v>
      </c>
      <c r="C23" s="564" t="s">
        <v>2902</v>
      </c>
      <c r="D23" s="564" t="s">
        <v>2894</v>
      </c>
      <c r="E23" s="564" t="s">
        <v>3015</v>
      </c>
      <c r="F23" s="564">
        <v>2018</v>
      </c>
      <c r="G23" s="570" t="s">
        <v>2904</v>
      </c>
      <c r="H23" s="566" t="s">
        <v>3016</v>
      </c>
      <c r="I23" s="578" t="s">
        <v>3017</v>
      </c>
      <c r="J23" s="564" t="s">
        <v>3018</v>
      </c>
      <c r="K23" s="577" t="s">
        <v>3019</v>
      </c>
      <c r="L23" s="567">
        <v>552830</v>
      </c>
      <c r="M23" s="568">
        <v>739922.44602739729</v>
      </c>
      <c r="N23" s="569"/>
    </row>
    <row r="24" spans="1:14" ht="24.95" customHeight="1">
      <c r="A24" s="562">
        <v>23</v>
      </c>
      <c r="B24" s="563" t="s">
        <v>2901</v>
      </c>
      <c r="C24" s="564" t="s">
        <v>2927</v>
      </c>
      <c r="D24" s="564" t="s">
        <v>2894</v>
      </c>
      <c r="E24" s="564" t="s">
        <v>3020</v>
      </c>
      <c r="F24" s="564">
        <v>2018</v>
      </c>
      <c r="G24" s="570" t="s">
        <v>2904</v>
      </c>
      <c r="H24" s="566" t="s">
        <v>3016</v>
      </c>
      <c r="I24" s="578" t="s">
        <v>3021</v>
      </c>
      <c r="J24" s="564" t="s">
        <v>3022</v>
      </c>
      <c r="K24" s="577" t="s">
        <v>3023</v>
      </c>
      <c r="L24" s="567">
        <v>552830</v>
      </c>
      <c r="M24" s="568">
        <v>739922.44602739729</v>
      </c>
      <c r="N24" s="569"/>
    </row>
    <row r="25" spans="1:14" ht="24.95" customHeight="1">
      <c r="A25" s="562">
        <v>24</v>
      </c>
      <c r="B25" s="563" t="s">
        <v>2921</v>
      </c>
      <c r="C25" s="564" t="s">
        <v>2922</v>
      </c>
      <c r="D25" s="564" t="s">
        <v>2894</v>
      </c>
      <c r="E25" s="564" t="s">
        <v>3024</v>
      </c>
      <c r="F25" s="564">
        <v>2020</v>
      </c>
      <c r="G25" s="570" t="s">
        <v>3025</v>
      </c>
      <c r="H25" s="566" t="s">
        <v>3026</v>
      </c>
      <c r="I25" s="578" t="s">
        <v>3027</v>
      </c>
      <c r="J25" s="577" t="s">
        <v>3028</v>
      </c>
      <c r="K25" s="577" t="s">
        <v>3029</v>
      </c>
      <c r="L25" s="567">
        <v>2293919</v>
      </c>
      <c r="M25" s="568"/>
      <c r="N25" s="569"/>
    </row>
    <row r="26" spans="1:14" ht="24.95" customHeight="1">
      <c r="A26" s="562">
        <v>25</v>
      </c>
      <c r="B26" s="563" t="s">
        <v>2909</v>
      </c>
      <c r="C26" s="564" t="s">
        <v>3030</v>
      </c>
      <c r="D26" s="564" t="s">
        <v>2894</v>
      </c>
      <c r="E26" s="564" t="s">
        <v>3031</v>
      </c>
      <c r="F26" s="564">
        <v>2020</v>
      </c>
      <c r="G26" s="565" t="s">
        <v>2896</v>
      </c>
      <c r="H26" s="566" t="s">
        <v>2897</v>
      </c>
      <c r="I26" s="578" t="s">
        <v>3032</v>
      </c>
      <c r="J26" s="577" t="s">
        <v>3033</v>
      </c>
      <c r="K26" s="577" t="s">
        <v>3034</v>
      </c>
      <c r="L26" s="567">
        <v>1417905</v>
      </c>
      <c r="M26" s="568"/>
      <c r="N26" s="569"/>
    </row>
    <row r="27" spans="1:14" ht="24.95" customHeight="1">
      <c r="A27" s="562">
        <v>26</v>
      </c>
      <c r="B27" s="563" t="s">
        <v>2892</v>
      </c>
      <c r="C27" s="564" t="s">
        <v>2976</v>
      </c>
      <c r="D27" s="564" t="s">
        <v>2894</v>
      </c>
      <c r="E27" s="564" t="s">
        <v>3035</v>
      </c>
      <c r="F27" s="564">
        <v>2021</v>
      </c>
      <c r="G27" s="565" t="s">
        <v>2904</v>
      </c>
      <c r="H27" s="566" t="s">
        <v>3036</v>
      </c>
      <c r="I27" s="578" t="s">
        <v>3037</v>
      </c>
      <c r="J27" s="577" t="s">
        <v>3038</v>
      </c>
      <c r="K27" s="577" t="s">
        <v>3039</v>
      </c>
      <c r="L27" s="567"/>
      <c r="M27" s="568"/>
      <c r="N27" s="569"/>
    </row>
    <row r="28" spans="1:14" ht="24.95" customHeight="1">
      <c r="A28" s="562">
        <v>27</v>
      </c>
      <c r="B28" s="563" t="s">
        <v>2921</v>
      </c>
      <c r="C28" s="564" t="s">
        <v>2922</v>
      </c>
      <c r="D28" s="564" t="s">
        <v>2894</v>
      </c>
      <c r="E28" s="564" t="s">
        <v>3040</v>
      </c>
      <c r="F28" s="564">
        <v>2021</v>
      </c>
      <c r="G28" s="565" t="s">
        <v>2896</v>
      </c>
      <c r="H28" s="566" t="s">
        <v>3041</v>
      </c>
      <c r="I28" s="578" t="s">
        <v>3042</v>
      </c>
      <c r="J28" s="577" t="s">
        <v>3043</v>
      </c>
      <c r="K28" s="577" t="s">
        <v>3044</v>
      </c>
      <c r="L28" s="567">
        <v>1643919</v>
      </c>
      <c r="M28" s="568"/>
      <c r="N28" s="569"/>
    </row>
    <row r="29" spans="1:14" ht="24.95" customHeight="1">
      <c r="A29" s="562">
        <v>28</v>
      </c>
      <c r="B29" s="563" t="s">
        <v>2909</v>
      </c>
      <c r="C29" s="563" t="s">
        <v>3030</v>
      </c>
      <c r="D29" s="572" t="s">
        <v>2894</v>
      </c>
      <c r="E29" s="564" t="s">
        <v>3045</v>
      </c>
      <c r="F29" s="564">
        <v>2022</v>
      </c>
      <c r="G29" s="570" t="s">
        <v>2904</v>
      </c>
      <c r="H29" s="571" t="s">
        <v>3046</v>
      </c>
      <c r="I29" s="579" t="s">
        <v>3047</v>
      </c>
      <c r="J29" s="564" t="s">
        <v>3048</v>
      </c>
      <c r="K29" s="564" t="s">
        <v>3049</v>
      </c>
      <c r="L29" s="567"/>
      <c r="M29" s="568"/>
      <c r="N29" s="569"/>
    </row>
    <row r="30" spans="1:14" ht="24.95" customHeight="1">
      <c r="A30" s="562">
        <v>29</v>
      </c>
      <c r="B30" s="563" t="s">
        <v>2892</v>
      </c>
      <c r="C30" s="564" t="s">
        <v>2893</v>
      </c>
      <c r="D30" s="564" t="s">
        <v>2894</v>
      </c>
      <c r="E30" s="564" t="s">
        <v>3050</v>
      </c>
      <c r="F30" s="564">
        <v>2022</v>
      </c>
      <c r="G30" s="565" t="s">
        <v>2904</v>
      </c>
      <c r="H30" s="566" t="s">
        <v>3051</v>
      </c>
      <c r="I30" s="578" t="s">
        <v>3052</v>
      </c>
      <c r="J30" s="577" t="s">
        <v>3053</v>
      </c>
      <c r="K30" s="577" t="s">
        <v>3054</v>
      </c>
      <c r="L30" s="567"/>
      <c r="M30" s="568"/>
      <c r="N30" s="569"/>
    </row>
    <row r="31" spans="1:14" ht="24.95" customHeight="1">
      <c r="A31" s="562">
        <v>30</v>
      </c>
      <c r="B31" s="563" t="s">
        <v>2909</v>
      </c>
      <c r="C31" s="564" t="s">
        <v>3030</v>
      </c>
      <c r="D31" s="564" t="s">
        <v>2894</v>
      </c>
      <c r="E31" s="564" t="s">
        <v>3055</v>
      </c>
      <c r="F31" s="564">
        <v>2022</v>
      </c>
      <c r="G31" s="565" t="s">
        <v>2904</v>
      </c>
      <c r="H31" s="566" t="s">
        <v>3056</v>
      </c>
      <c r="I31" s="578" t="s">
        <v>3057</v>
      </c>
      <c r="J31" s="577" t="s">
        <v>3058</v>
      </c>
      <c r="K31" s="577" t="s">
        <v>3059</v>
      </c>
      <c r="L31" s="567">
        <v>763355</v>
      </c>
      <c r="M31" s="568"/>
      <c r="N31" s="569"/>
    </row>
    <row r="32" spans="1:14" ht="24.95" customHeight="1">
      <c r="A32" s="562">
        <v>31</v>
      </c>
      <c r="B32" s="563" t="s">
        <v>2909</v>
      </c>
      <c r="C32" s="564" t="s">
        <v>3030</v>
      </c>
      <c r="D32" s="564" t="s">
        <v>2894</v>
      </c>
      <c r="E32" s="564" t="s">
        <v>3060</v>
      </c>
      <c r="F32" s="564">
        <v>2022</v>
      </c>
      <c r="G32" s="565" t="s">
        <v>2904</v>
      </c>
      <c r="H32" s="566" t="s">
        <v>3056</v>
      </c>
      <c r="I32" s="578" t="s">
        <v>3061</v>
      </c>
      <c r="J32" s="577" t="s">
        <v>3062</v>
      </c>
      <c r="K32" s="577" t="s">
        <v>3063</v>
      </c>
      <c r="L32" s="567">
        <v>763355</v>
      </c>
      <c r="M32" s="568"/>
      <c r="N32" s="569"/>
    </row>
    <row r="33" spans="1:14" ht="24.95" customHeight="1">
      <c r="A33" s="562">
        <v>32</v>
      </c>
      <c r="B33" s="563" t="s">
        <v>2921</v>
      </c>
      <c r="C33" s="564" t="s">
        <v>2922</v>
      </c>
      <c r="D33" s="564" t="s">
        <v>2894</v>
      </c>
      <c r="E33" s="564" t="s">
        <v>3064</v>
      </c>
      <c r="F33" s="564">
        <v>2022</v>
      </c>
      <c r="G33" s="565" t="s">
        <v>3025</v>
      </c>
      <c r="H33" s="566" t="s">
        <v>3065</v>
      </c>
      <c r="I33" s="578" t="s">
        <v>3066</v>
      </c>
      <c r="J33" s="577" t="s">
        <v>3067</v>
      </c>
      <c r="K33" s="577" t="s">
        <v>3068</v>
      </c>
      <c r="L33" s="567">
        <v>1254483</v>
      </c>
      <c r="M33" s="568"/>
      <c r="N33" s="569"/>
    </row>
    <row r="34" spans="1:14" ht="24.95" customHeight="1">
      <c r="A34" s="562">
        <v>33</v>
      </c>
      <c r="B34" s="563" t="s">
        <v>2921</v>
      </c>
      <c r="C34" s="564" t="s">
        <v>2922</v>
      </c>
      <c r="D34" s="564" t="s">
        <v>2894</v>
      </c>
      <c r="E34" s="564" t="s">
        <v>3069</v>
      </c>
      <c r="F34" s="564">
        <v>2022</v>
      </c>
      <c r="G34" s="565" t="s">
        <v>3025</v>
      </c>
      <c r="H34" s="566" t="s">
        <v>3065</v>
      </c>
      <c r="I34" s="578" t="s">
        <v>3070</v>
      </c>
      <c r="J34" s="577"/>
      <c r="K34" s="577"/>
      <c r="L34" s="567"/>
      <c r="M34" s="568"/>
      <c r="N34" s="569"/>
    </row>
    <row r="35" spans="1:14" ht="24.95" customHeight="1" thickBot="1">
      <c r="A35" s="580">
        <v>34</v>
      </c>
      <c r="B35" s="581" t="s">
        <v>2892</v>
      </c>
      <c r="C35" s="582" t="s">
        <v>2959</v>
      </c>
      <c r="D35" s="582" t="s">
        <v>2894</v>
      </c>
      <c r="E35" s="582" t="s">
        <v>3071</v>
      </c>
      <c r="F35" s="582">
        <v>2022</v>
      </c>
      <c r="G35" s="583" t="s">
        <v>2904</v>
      </c>
      <c r="H35" s="584" t="s">
        <v>3056</v>
      </c>
      <c r="I35" s="585" t="s">
        <v>3072</v>
      </c>
      <c r="J35" s="586" t="s">
        <v>3073</v>
      </c>
      <c r="K35" s="586" t="s">
        <v>3074</v>
      </c>
      <c r="L35" s="587">
        <v>791222</v>
      </c>
      <c r="M35" s="588"/>
      <c r="N35" s="589"/>
    </row>
    <row r="36" spans="1:14" ht="15.4" thickBot="1">
      <c r="K36" s="590" t="s">
        <v>3075</v>
      </c>
      <c r="L36" s="591">
        <f>SUM(L2:L35)</f>
        <v>34758022</v>
      </c>
      <c r="M36" s="592"/>
    </row>
    <row r="37" spans="1:14" ht="14.65" thickBot="1"/>
    <row r="38" spans="1:14">
      <c r="E38" s="593" t="s">
        <v>3076</v>
      </c>
      <c r="F38" s="594" t="s">
        <v>2879</v>
      </c>
      <c r="G38" s="594" t="s">
        <v>3077</v>
      </c>
      <c r="H38" s="594" t="s">
        <v>2884</v>
      </c>
      <c r="I38" s="594" t="s">
        <v>2883</v>
      </c>
      <c r="J38" s="594" t="s">
        <v>3078</v>
      </c>
      <c r="K38" s="594" t="s">
        <v>3079</v>
      </c>
      <c r="L38" s="594" t="s">
        <v>3080</v>
      </c>
      <c r="M38" s="594" t="s">
        <v>3081</v>
      </c>
      <c r="N38" s="595" t="s">
        <v>2891</v>
      </c>
    </row>
    <row r="39" spans="1:14" ht="39.4">
      <c r="E39" s="596">
        <v>1</v>
      </c>
      <c r="F39" s="597" t="s">
        <v>2901</v>
      </c>
      <c r="G39" s="597" t="s">
        <v>3082</v>
      </c>
      <c r="H39" s="598" t="s">
        <v>3083</v>
      </c>
      <c r="I39" s="597">
        <v>2021</v>
      </c>
      <c r="J39" s="597" t="s">
        <v>3084</v>
      </c>
      <c r="K39" s="598" t="s">
        <v>3085</v>
      </c>
      <c r="L39" s="597" t="s">
        <v>3086</v>
      </c>
      <c r="M39" s="599">
        <v>64990</v>
      </c>
      <c r="N39" s="600"/>
    </row>
    <row r="40" spans="1:14" ht="39.4">
      <c r="E40" s="596">
        <f t="shared" ref="E40:E49" si="0">+E39+1</f>
        <v>2</v>
      </c>
      <c r="F40" s="597" t="s">
        <v>2901</v>
      </c>
      <c r="G40" s="597" t="s">
        <v>3082</v>
      </c>
      <c r="H40" s="598" t="s">
        <v>3083</v>
      </c>
      <c r="I40" s="601"/>
      <c r="J40" s="597" t="s">
        <v>3084</v>
      </c>
      <c r="K40" s="598" t="s">
        <v>3087</v>
      </c>
      <c r="L40" s="597" t="s">
        <v>3088</v>
      </c>
      <c r="M40" s="599">
        <v>64990</v>
      </c>
      <c r="N40" s="600"/>
    </row>
    <row r="41" spans="1:14" ht="39.4">
      <c r="E41" s="596">
        <f t="shared" si="0"/>
        <v>3</v>
      </c>
      <c r="F41" s="597" t="s">
        <v>2901</v>
      </c>
      <c r="G41" s="597" t="s">
        <v>3082</v>
      </c>
      <c r="H41" s="598" t="s">
        <v>3083</v>
      </c>
      <c r="I41" s="601"/>
      <c r="J41" s="597" t="s">
        <v>3084</v>
      </c>
      <c r="K41" s="598" t="s">
        <v>3089</v>
      </c>
      <c r="L41" s="597" t="s">
        <v>3090</v>
      </c>
      <c r="M41" s="599">
        <v>64990</v>
      </c>
      <c r="N41" s="600"/>
    </row>
    <row r="42" spans="1:14" ht="39.4">
      <c r="E42" s="596">
        <f t="shared" si="0"/>
        <v>4</v>
      </c>
      <c r="F42" s="597" t="s">
        <v>2901</v>
      </c>
      <c r="G42" s="597" t="s">
        <v>3082</v>
      </c>
      <c r="H42" s="598" t="s">
        <v>3083</v>
      </c>
      <c r="I42" s="601"/>
      <c r="J42" s="597" t="s">
        <v>3084</v>
      </c>
      <c r="K42" s="598" t="s">
        <v>3091</v>
      </c>
      <c r="L42" s="597" t="s">
        <v>3092</v>
      </c>
      <c r="M42" s="599">
        <v>64990</v>
      </c>
      <c r="N42" s="600"/>
    </row>
    <row r="43" spans="1:14" ht="39.4">
      <c r="E43" s="596">
        <f t="shared" si="0"/>
        <v>5</v>
      </c>
      <c r="F43" s="597" t="s">
        <v>2901</v>
      </c>
      <c r="G43" s="597" t="s">
        <v>3082</v>
      </c>
      <c r="H43" s="598" t="s">
        <v>3093</v>
      </c>
      <c r="I43" s="597"/>
      <c r="J43" s="597" t="s">
        <v>3084</v>
      </c>
      <c r="K43" s="598" t="s">
        <v>3094</v>
      </c>
      <c r="L43" s="597" t="s">
        <v>3095</v>
      </c>
      <c r="M43" s="599">
        <v>84955</v>
      </c>
      <c r="N43" s="600"/>
    </row>
    <row r="44" spans="1:14" ht="39.4">
      <c r="E44" s="596">
        <f t="shared" si="0"/>
        <v>6</v>
      </c>
      <c r="F44" s="597" t="s">
        <v>2901</v>
      </c>
      <c r="G44" s="597" t="s">
        <v>2927</v>
      </c>
      <c r="H44" s="598" t="s">
        <v>3096</v>
      </c>
      <c r="I44" s="601"/>
      <c r="J44" s="597" t="s">
        <v>3084</v>
      </c>
      <c r="K44" s="598" t="s">
        <v>3097</v>
      </c>
      <c r="L44" s="597" t="s">
        <v>3098</v>
      </c>
      <c r="M44" s="599">
        <v>64495</v>
      </c>
      <c r="N44" s="600"/>
    </row>
    <row r="45" spans="1:14">
      <c r="E45" s="596">
        <f t="shared" si="0"/>
        <v>7</v>
      </c>
      <c r="F45" s="597" t="s">
        <v>2901</v>
      </c>
      <c r="G45" s="597" t="s">
        <v>3099</v>
      </c>
      <c r="H45" s="598" t="s">
        <v>3096</v>
      </c>
      <c r="I45" s="597"/>
      <c r="J45" s="597" t="s">
        <v>3084</v>
      </c>
      <c r="K45" s="598"/>
      <c r="L45" s="597" t="s">
        <v>3100</v>
      </c>
      <c r="M45" s="602">
        <v>64495</v>
      </c>
      <c r="N45" s="600"/>
    </row>
    <row r="46" spans="1:14" ht="39.4">
      <c r="E46" s="596">
        <f t="shared" si="0"/>
        <v>8</v>
      </c>
      <c r="F46" s="597" t="s">
        <v>2901</v>
      </c>
      <c r="G46" s="597" t="s">
        <v>2927</v>
      </c>
      <c r="H46" s="598" t="s">
        <v>3096</v>
      </c>
      <c r="I46" s="597"/>
      <c r="J46" s="597" t="s">
        <v>3084</v>
      </c>
      <c r="K46" s="598" t="s">
        <v>3101</v>
      </c>
      <c r="L46" s="597" t="s">
        <v>3102</v>
      </c>
      <c r="M46" s="603">
        <v>64495</v>
      </c>
      <c r="N46" s="600"/>
    </row>
    <row r="47" spans="1:14" ht="39.4">
      <c r="E47" s="596">
        <f t="shared" si="0"/>
        <v>9</v>
      </c>
      <c r="F47" s="597" t="s">
        <v>2901</v>
      </c>
      <c r="G47" s="597" t="s">
        <v>3082</v>
      </c>
      <c r="H47" s="598" t="s">
        <v>3096</v>
      </c>
      <c r="I47" s="597"/>
      <c r="J47" s="597" t="s">
        <v>3084</v>
      </c>
      <c r="K47" s="598" t="s">
        <v>3103</v>
      </c>
      <c r="L47" s="597" t="s">
        <v>3104</v>
      </c>
      <c r="M47" s="603">
        <v>64495</v>
      </c>
      <c r="N47" s="600"/>
    </row>
    <row r="48" spans="1:14" ht="39.4">
      <c r="E48" s="596">
        <f t="shared" si="0"/>
        <v>10</v>
      </c>
      <c r="F48" s="597" t="s">
        <v>2901</v>
      </c>
      <c r="G48" s="597" t="s">
        <v>3082</v>
      </c>
      <c r="H48" s="598" t="s">
        <v>3096</v>
      </c>
      <c r="I48" s="597"/>
      <c r="J48" s="597" t="s">
        <v>3084</v>
      </c>
      <c r="K48" s="598" t="s">
        <v>3105</v>
      </c>
      <c r="L48" s="597" t="s">
        <v>3106</v>
      </c>
      <c r="M48" s="603">
        <v>64495</v>
      </c>
      <c r="N48" s="600"/>
    </row>
    <row r="49" spans="5:14" ht="39.4">
      <c r="E49" s="596">
        <f t="shared" si="0"/>
        <v>11</v>
      </c>
      <c r="F49" s="597" t="s">
        <v>2901</v>
      </c>
      <c r="G49" s="597" t="s">
        <v>3082</v>
      </c>
      <c r="H49" s="598" t="s">
        <v>3096</v>
      </c>
      <c r="I49" s="597"/>
      <c r="J49" s="597" t="s">
        <v>3084</v>
      </c>
      <c r="K49" s="598" t="s">
        <v>3107</v>
      </c>
      <c r="L49" s="597" t="s">
        <v>3108</v>
      </c>
      <c r="M49" s="603">
        <v>64495</v>
      </c>
      <c r="N49" s="600"/>
    </row>
    <row r="50" spans="5:14" ht="26.25">
      <c r="E50" s="596">
        <v>12</v>
      </c>
      <c r="F50" s="597" t="s">
        <v>2901</v>
      </c>
      <c r="G50" s="597" t="s">
        <v>3109</v>
      </c>
      <c r="H50" s="598" t="s">
        <v>3110</v>
      </c>
      <c r="I50" s="597">
        <v>2021</v>
      </c>
      <c r="J50" s="597" t="s">
        <v>3084</v>
      </c>
      <c r="K50" s="598" t="s">
        <v>3111</v>
      </c>
      <c r="L50" s="597" t="s">
        <v>3112</v>
      </c>
      <c r="M50" s="599">
        <v>64990</v>
      </c>
      <c r="N50" s="600"/>
    </row>
    <row r="51" spans="5:14" ht="39.4">
      <c r="E51" s="596">
        <v>13</v>
      </c>
      <c r="F51" s="597" t="s">
        <v>2901</v>
      </c>
      <c r="G51" s="597" t="s">
        <v>3109</v>
      </c>
      <c r="H51" s="598" t="s">
        <v>3113</v>
      </c>
      <c r="I51" s="597">
        <v>2020</v>
      </c>
      <c r="J51" s="597" t="s">
        <v>3084</v>
      </c>
      <c r="K51" s="598" t="s">
        <v>3114</v>
      </c>
      <c r="L51" s="597" t="s">
        <v>3115</v>
      </c>
      <c r="M51" s="599">
        <v>64990</v>
      </c>
      <c r="N51" s="600"/>
    </row>
    <row r="52" spans="5:14" ht="39.4">
      <c r="E52" s="596">
        <v>14</v>
      </c>
      <c r="F52" s="597" t="s">
        <v>2901</v>
      </c>
      <c r="G52" s="597" t="s">
        <v>3116</v>
      </c>
      <c r="H52" s="598" t="s">
        <v>3083</v>
      </c>
      <c r="I52" s="597">
        <v>2018</v>
      </c>
      <c r="J52" s="597" t="s">
        <v>3084</v>
      </c>
      <c r="K52" s="598" t="s">
        <v>3117</v>
      </c>
      <c r="L52" s="597" t="s">
        <v>3118</v>
      </c>
      <c r="M52" s="599">
        <v>64990</v>
      </c>
      <c r="N52" s="600"/>
    </row>
    <row r="53" spans="5:14" ht="39.4">
      <c r="E53" s="596">
        <v>15</v>
      </c>
      <c r="F53" s="597" t="s">
        <v>2901</v>
      </c>
      <c r="G53" s="597" t="s">
        <v>3119</v>
      </c>
      <c r="H53" s="598" t="s">
        <v>3083</v>
      </c>
      <c r="I53" s="597">
        <v>2021</v>
      </c>
      <c r="J53" s="597" t="s">
        <v>3120</v>
      </c>
      <c r="K53" s="598" t="s">
        <v>3121</v>
      </c>
      <c r="L53" s="597" t="s">
        <v>3122</v>
      </c>
      <c r="M53" s="599">
        <v>64990</v>
      </c>
      <c r="N53" s="600"/>
    </row>
    <row r="54" spans="5:14" ht="39.4">
      <c r="E54" s="596">
        <v>16</v>
      </c>
      <c r="F54" s="598" t="s">
        <v>2909</v>
      </c>
      <c r="G54" s="598" t="s">
        <v>27</v>
      </c>
      <c r="H54" s="598" t="s">
        <v>3083</v>
      </c>
      <c r="I54" s="598">
        <v>2017</v>
      </c>
      <c r="J54" s="598" t="s">
        <v>3123</v>
      </c>
      <c r="K54" s="598" t="s">
        <v>3124</v>
      </c>
      <c r="L54" s="598" t="s">
        <v>3125</v>
      </c>
      <c r="M54" s="603">
        <v>64990</v>
      </c>
      <c r="N54" s="600"/>
    </row>
    <row r="55" spans="5:14" ht="39.4">
      <c r="E55" s="596">
        <v>17</v>
      </c>
      <c r="F55" s="598" t="s">
        <v>2892</v>
      </c>
      <c r="G55" s="598" t="s">
        <v>3126</v>
      </c>
      <c r="H55" s="598" t="s">
        <v>3096</v>
      </c>
      <c r="I55" s="598"/>
      <c r="J55" s="598" t="s">
        <v>3084</v>
      </c>
      <c r="K55" s="598" t="s">
        <v>3127</v>
      </c>
      <c r="L55" s="598" t="s">
        <v>3128</v>
      </c>
      <c r="M55" s="603">
        <v>64495</v>
      </c>
      <c r="N55" s="600"/>
    </row>
    <row r="56" spans="5:14" ht="39.4">
      <c r="E56" s="596">
        <v>18</v>
      </c>
      <c r="F56" s="598" t="s">
        <v>2892</v>
      </c>
      <c r="G56" s="598" t="s">
        <v>3129</v>
      </c>
      <c r="H56" s="598" t="s">
        <v>3130</v>
      </c>
      <c r="I56" s="598"/>
      <c r="J56" s="598" t="s">
        <v>3084</v>
      </c>
      <c r="K56" s="598" t="s">
        <v>3131</v>
      </c>
      <c r="L56" s="598" t="s">
        <v>3132</v>
      </c>
      <c r="M56" s="603">
        <v>64495</v>
      </c>
      <c r="N56" s="600"/>
    </row>
    <row r="57" spans="5:14" ht="39.4">
      <c r="E57" s="596">
        <v>19</v>
      </c>
      <c r="F57" s="598" t="s">
        <v>2892</v>
      </c>
      <c r="G57" s="598" t="s">
        <v>3129</v>
      </c>
      <c r="H57" s="598" t="s">
        <v>3133</v>
      </c>
      <c r="I57" s="598"/>
      <c r="J57" s="598" t="s">
        <v>3084</v>
      </c>
      <c r="K57" s="598" t="s">
        <v>3134</v>
      </c>
      <c r="L57" s="598" t="s">
        <v>3135</v>
      </c>
      <c r="M57" s="603">
        <v>64495</v>
      </c>
      <c r="N57" s="600"/>
    </row>
    <row r="58" spans="5:14" ht="39.4">
      <c r="E58" s="596">
        <v>20</v>
      </c>
      <c r="F58" s="598" t="s">
        <v>2892</v>
      </c>
      <c r="G58" s="598" t="s">
        <v>3129</v>
      </c>
      <c r="H58" s="598" t="s">
        <v>3136</v>
      </c>
      <c r="I58" s="598"/>
      <c r="J58" s="598" t="s">
        <v>3084</v>
      </c>
      <c r="K58" s="598" t="s">
        <v>3137</v>
      </c>
      <c r="L58" s="598" t="s">
        <v>3138</v>
      </c>
      <c r="M58" s="603">
        <v>65039</v>
      </c>
      <c r="N58" s="600"/>
    </row>
    <row r="59" spans="5:14" ht="39.4">
      <c r="E59" s="596">
        <v>21</v>
      </c>
      <c r="F59" s="598" t="s">
        <v>3139</v>
      </c>
      <c r="G59" s="598" t="s">
        <v>3129</v>
      </c>
      <c r="H59" s="598" t="s">
        <v>3133</v>
      </c>
      <c r="I59" s="598"/>
      <c r="J59" s="598" t="s">
        <v>3084</v>
      </c>
      <c r="K59" s="598" t="s">
        <v>3140</v>
      </c>
      <c r="L59" s="598" t="s">
        <v>3141</v>
      </c>
      <c r="M59" s="603">
        <v>64495</v>
      </c>
      <c r="N59" s="600"/>
    </row>
    <row r="60" spans="5:14" ht="39.4">
      <c r="E60" s="596">
        <v>22</v>
      </c>
      <c r="F60" s="598" t="s">
        <v>2892</v>
      </c>
      <c r="G60" s="598" t="s">
        <v>3129</v>
      </c>
      <c r="H60" s="598" t="s">
        <v>3096</v>
      </c>
      <c r="I60" s="598"/>
      <c r="J60" s="598" t="s">
        <v>3084</v>
      </c>
      <c r="K60" s="598" t="s">
        <v>3142</v>
      </c>
      <c r="L60" s="598" t="s">
        <v>3143</v>
      </c>
      <c r="M60" s="603">
        <v>64495</v>
      </c>
      <c r="N60" s="600"/>
    </row>
    <row r="61" spans="5:14" ht="39.4">
      <c r="E61" s="596">
        <v>23</v>
      </c>
      <c r="F61" s="598" t="s">
        <v>2892</v>
      </c>
      <c r="G61" s="598" t="s">
        <v>3126</v>
      </c>
      <c r="H61" s="598" t="s">
        <v>3096</v>
      </c>
      <c r="I61" s="598"/>
      <c r="J61" s="598" t="s">
        <v>3084</v>
      </c>
      <c r="K61" s="598" t="s">
        <v>3144</v>
      </c>
      <c r="L61" s="598" t="s">
        <v>3145</v>
      </c>
      <c r="M61" s="603">
        <v>64495</v>
      </c>
      <c r="N61" s="600"/>
    </row>
    <row r="62" spans="5:14" ht="39.4">
      <c r="E62" s="596">
        <v>24</v>
      </c>
      <c r="F62" s="598" t="s">
        <v>2892</v>
      </c>
      <c r="G62" s="598" t="s">
        <v>3146</v>
      </c>
      <c r="H62" s="598" t="s">
        <v>3096</v>
      </c>
      <c r="I62" s="598"/>
      <c r="J62" s="598" t="s">
        <v>3084</v>
      </c>
      <c r="K62" s="598" t="s">
        <v>3147</v>
      </c>
      <c r="L62" s="598" t="s">
        <v>3148</v>
      </c>
      <c r="M62" s="603">
        <v>64495</v>
      </c>
      <c r="N62" s="600"/>
    </row>
    <row r="63" spans="5:14" ht="39.4">
      <c r="E63" s="596">
        <v>25</v>
      </c>
      <c r="F63" s="598" t="s">
        <v>2892</v>
      </c>
      <c r="G63" s="598" t="s">
        <v>3126</v>
      </c>
      <c r="H63" s="598" t="s">
        <v>3149</v>
      </c>
      <c r="I63" s="598"/>
      <c r="J63" s="598" t="s">
        <v>3084</v>
      </c>
      <c r="K63" s="598" t="s">
        <v>3150</v>
      </c>
      <c r="L63" s="598" t="s">
        <v>3151</v>
      </c>
      <c r="M63" s="603">
        <v>64495</v>
      </c>
      <c r="N63" s="600"/>
    </row>
    <row r="64" spans="5:14" ht="39.4">
      <c r="E64" s="596">
        <v>26</v>
      </c>
      <c r="F64" s="598" t="s">
        <v>2892</v>
      </c>
      <c r="G64" s="598" t="s">
        <v>3129</v>
      </c>
      <c r="H64" s="598" t="s">
        <v>3152</v>
      </c>
      <c r="I64" s="598" t="s">
        <v>3153</v>
      </c>
      <c r="J64" s="598" t="s">
        <v>3084</v>
      </c>
      <c r="K64" s="598" t="s">
        <v>3154</v>
      </c>
      <c r="L64" s="598" t="s">
        <v>3155</v>
      </c>
      <c r="M64" s="603">
        <v>59602</v>
      </c>
      <c r="N64" s="600"/>
    </row>
    <row r="65" spans="5:14" ht="39.4">
      <c r="E65" s="596">
        <f t="shared" ref="E65:E96" si="1">+E64+1</f>
        <v>27</v>
      </c>
      <c r="F65" s="598" t="s">
        <v>2892</v>
      </c>
      <c r="G65" s="598" t="s">
        <v>3156</v>
      </c>
      <c r="H65" s="598" t="s">
        <v>3157</v>
      </c>
      <c r="I65" s="598" t="s">
        <v>3158</v>
      </c>
      <c r="J65" s="598" t="s">
        <v>3123</v>
      </c>
      <c r="K65" s="598" t="s">
        <v>3159</v>
      </c>
      <c r="L65" s="598" t="s">
        <v>3160</v>
      </c>
      <c r="M65" s="603">
        <v>53395</v>
      </c>
      <c r="N65" s="600"/>
    </row>
    <row r="66" spans="5:14" ht="39.4">
      <c r="E66" s="596">
        <f t="shared" si="1"/>
        <v>28</v>
      </c>
      <c r="F66" s="598" t="s">
        <v>2892</v>
      </c>
      <c r="G66" s="598" t="s">
        <v>3126</v>
      </c>
      <c r="H66" s="598" t="s">
        <v>3157</v>
      </c>
      <c r="I66" s="598" t="s">
        <v>3158</v>
      </c>
      <c r="J66" s="598" t="s">
        <v>3123</v>
      </c>
      <c r="K66" s="598" t="s">
        <v>3161</v>
      </c>
      <c r="L66" s="598" t="s">
        <v>3162</v>
      </c>
      <c r="M66" s="603">
        <v>53395</v>
      </c>
      <c r="N66" s="600"/>
    </row>
    <row r="67" spans="5:14" ht="39.4">
      <c r="E67" s="596">
        <f t="shared" si="1"/>
        <v>29</v>
      </c>
      <c r="F67" s="598" t="s">
        <v>2892</v>
      </c>
      <c r="G67" s="598" t="s">
        <v>3146</v>
      </c>
      <c r="H67" s="598" t="s">
        <v>3163</v>
      </c>
      <c r="I67" s="598"/>
      <c r="J67" s="598" t="s">
        <v>3123</v>
      </c>
      <c r="K67" s="598" t="s">
        <v>3164</v>
      </c>
      <c r="L67" s="598" t="s">
        <v>3165</v>
      </c>
      <c r="M67" s="603">
        <v>59800</v>
      </c>
      <c r="N67" s="600"/>
    </row>
    <row r="68" spans="5:14" ht="39.4">
      <c r="E68" s="596">
        <f t="shared" si="1"/>
        <v>30</v>
      </c>
      <c r="F68" s="598" t="s">
        <v>2892</v>
      </c>
      <c r="G68" s="598" t="s">
        <v>3156</v>
      </c>
      <c r="H68" s="598" t="s">
        <v>3166</v>
      </c>
      <c r="I68" s="598" t="s">
        <v>3167</v>
      </c>
      <c r="J68" s="598" t="s">
        <v>3084</v>
      </c>
      <c r="K68" s="598" t="s">
        <v>3168</v>
      </c>
      <c r="L68" s="598" t="s">
        <v>3169</v>
      </c>
      <c r="M68" s="603">
        <v>59602</v>
      </c>
      <c r="N68" s="600"/>
    </row>
    <row r="69" spans="5:14" ht="39.4">
      <c r="E69" s="596">
        <f t="shared" si="1"/>
        <v>31</v>
      </c>
      <c r="F69" s="598" t="s">
        <v>2892</v>
      </c>
      <c r="G69" s="598" t="s">
        <v>3129</v>
      </c>
      <c r="H69" s="598" t="s">
        <v>3170</v>
      </c>
      <c r="I69" s="598" t="s">
        <v>3171</v>
      </c>
      <c r="J69" s="598" t="s">
        <v>3172</v>
      </c>
      <c r="K69" s="598" t="s">
        <v>3173</v>
      </c>
      <c r="L69" s="598" t="s">
        <v>3174</v>
      </c>
      <c r="M69" s="603">
        <v>59800</v>
      </c>
      <c r="N69" s="600"/>
    </row>
    <row r="70" spans="5:14" ht="39.4">
      <c r="E70" s="596">
        <f t="shared" si="1"/>
        <v>32</v>
      </c>
      <c r="F70" s="598" t="s">
        <v>2892</v>
      </c>
      <c r="G70" s="598" t="s">
        <v>3126</v>
      </c>
      <c r="H70" s="598" t="s">
        <v>3175</v>
      </c>
      <c r="I70" s="598"/>
      <c r="J70" s="598" t="s">
        <v>3172</v>
      </c>
      <c r="K70" s="598" t="s">
        <v>3176</v>
      </c>
      <c r="L70" s="598" t="s">
        <v>3177</v>
      </c>
      <c r="M70" s="603">
        <v>64470</v>
      </c>
      <c r="N70" s="600"/>
    </row>
    <row r="71" spans="5:14" ht="39.4">
      <c r="E71" s="596">
        <f t="shared" si="1"/>
        <v>33</v>
      </c>
      <c r="F71" s="598" t="s">
        <v>2892</v>
      </c>
      <c r="G71" s="598" t="s">
        <v>3126</v>
      </c>
      <c r="H71" s="598" t="s">
        <v>3178</v>
      </c>
      <c r="I71" s="598"/>
      <c r="J71" s="598" t="s">
        <v>3172</v>
      </c>
      <c r="K71" s="598" t="s">
        <v>3179</v>
      </c>
      <c r="L71" s="598" t="s">
        <v>3180</v>
      </c>
      <c r="M71" s="603">
        <v>59800</v>
      </c>
      <c r="N71" s="600"/>
    </row>
    <row r="72" spans="5:14" ht="39.4">
      <c r="E72" s="596">
        <f t="shared" si="1"/>
        <v>34</v>
      </c>
      <c r="F72" s="598" t="s">
        <v>2892</v>
      </c>
      <c r="G72" s="598" t="s">
        <v>3126</v>
      </c>
      <c r="H72" s="598" t="s">
        <v>3163</v>
      </c>
      <c r="I72" s="598"/>
      <c r="J72" s="598" t="s">
        <v>3123</v>
      </c>
      <c r="K72" s="598" t="s">
        <v>3181</v>
      </c>
      <c r="L72" s="598" t="s">
        <v>3182</v>
      </c>
      <c r="M72" s="603">
        <v>59800</v>
      </c>
      <c r="N72" s="600"/>
    </row>
    <row r="73" spans="5:14" ht="39.4">
      <c r="E73" s="596">
        <f t="shared" si="1"/>
        <v>35</v>
      </c>
      <c r="F73" s="598" t="s">
        <v>2892</v>
      </c>
      <c r="G73" s="598" t="s">
        <v>3129</v>
      </c>
      <c r="H73" s="598" t="s">
        <v>3183</v>
      </c>
      <c r="I73" s="598"/>
      <c r="J73" s="598" t="s">
        <v>3123</v>
      </c>
      <c r="K73" s="598" t="s">
        <v>3184</v>
      </c>
      <c r="L73" s="598" t="s">
        <v>3185</v>
      </c>
      <c r="M73" s="603">
        <v>59800</v>
      </c>
      <c r="N73" s="600"/>
    </row>
    <row r="74" spans="5:14">
      <c r="E74" s="596">
        <f t="shared" si="1"/>
        <v>36</v>
      </c>
      <c r="F74" s="598" t="s">
        <v>2901</v>
      </c>
      <c r="G74" s="598" t="s">
        <v>2927</v>
      </c>
      <c r="H74" s="598" t="s">
        <v>3186</v>
      </c>
      <c r="I74" s="598"/>
      <c r="J74" s="598" t="s">
        <v>3123</v>
      </c>
      <c r="K74" s="598" t="s">
        <v>3187</v>
      </c>
      <c r="L74" s="598" t="s">
        <v>3188</v>
      </c>
      <c r="M74" s="603">
        <v>65856</v>
      </c>
      <c r="N74" s="600"/>
    </row>
    <row r="75" spans="5:14">
      <c r="E75" s="596">
        <f t="shared" si="1"/>
        <v>37</v>
      </c>
      <c r="F75" s="598" t="s">
        <v>3139</v>
      </c>
      <c r="G75" s="598" t="s">
        <v>3129</v>
      </c>
      <c r="H75" s="598" t="s">
        <v>3187</v>
      </c>
      <c r="I75" s="598" t="s">
        <v>3187</v>
      </c>
      <c r="J75" s="598" t="s">
        <v>3120</v>
      </c>
      <c r="K75" s="598"/>
      <c r="L75" s="598" t="s">
        <v>3189</v>
      </c>
      <c r="M75" s="603">
        <v>64990</v>
      </c>
      <c r="N75" s="600"/>
    </row>
    <row r="76" spans="5:14" ht="39.4">
      <c r="E76" s="596">
        <f t="shared" si="1"/>
        <v>38</v>
      </c>
      <c r="F76" s="598" t="s">
        <v>2909</v>
      </c>
      <c r="G76" s="598" t="s">
        <v>3190</v>
      </c>
      <c r="H76" s="598" t="s">
        <v>3191</v>
      </c>
      <c r="I76" s="598">
        <v>2018</v>
      </c>
      <c r="J76" s="598" t="s">
        <v>3084</v>
      </c>
      <c r="K76" s="598" t="s">
        <v>3192</v>
      </c>
      <c r="L76" s="598" t="s">
        <v>3193</v>
      </c>
      <c r="M76" s="599">
        <v>64990</v>
      </c>
      <c r="N76" s="600"/>
    </row>
    <row r="77" spans="5:14" ht="39.4">
      <c r="E77" s="604">
        <f t="shared" si="1"/>
        <v>39</v>
      </c>
      <c r="F77" s="598" t="s">
        <v>2921</v>
      </c>
      <c r="G77" s="598" t="s">
        <v>2922</v>
      </c>
      <c r="H77" s="598" t="s">
        <v>3191</v>
      </c>
      <c r="I77" s="598">
        <v>2018</v>
      </c>
      <c r="J77" s="598" t="s">
        <v>3084</v>
      </c>
      <c r="K77" s="598" t="s">
        <v>3194</v>
      </c>
      <c r="L77" s="598" t="s">
        <v>3195</v>
      </c>
      <c r="M77" s="599">
        <v>64990</v>
      </c>
      <c r="N77" s="600"/>
    </row>
    <row r="78" spans="5:14" ht="39.4">
      <c r="E78" s="596">
        <f t="shared" si="1"/>
        <v>40</v>
      </c>
      <c r="F78" s="598" t="s">
        <v>2909</v>
      </c>
      <c r="G78" s="598" t="s">
        <v>3196</v>
      </c>
      <c r="H78" s="598" t="s">
        <v>3191</v>
      </c>
      <c r="I78" s="598">
        <v>2018</v>
      </c>
      <c r="J78" s="598" t="s">
        <v>3084</v>
      </c>
      <c r="K78" s="598" t="s">
        <v>3197</v>
      </c>
      <c r="L78" s="598" t="s">
        <v>3198</v>
      </c>
      <c r="M78" s="603">
        <v>64990</v>
      </c>
      <c r="N78" s="600"/>
    </row>
    <row r="79" spans="5:14" ht="39.4">
      <c r="E79" s="596">
        <f t="shared" si="1"/>
        <v>41</v>
      </c>
      <c r="F79" s="598" t="s">
        <v>2909</v>
      </c>
      <c r="G79" s="598" t="s">
        <v>3199</v>
      </c>
      <c r="H79" s="598" t="s">
        <v>3191</v>
      </c>
      <c r="I79" s="598">
        <v>2018</v>
      </c>
      <c r="J79" s="598" t="s">
        <v>3084</v>
      </c>
      <c r="K79" s="598" t="s">
        <v>3200</v>
      </c>
      <c r="L79" s="598" t="s">
        <v>3201</v>
      </c>
      <c r="M79" s="603">
        <v>64990</v>
      </c>
      <c r="N79" s="600"/>
    </row>
    <row r="80" spans="5:14" ht="39.4">
      <c r="E80" s="596">
        <f t="shared" si="1"/>
        <v>42</v>
      </c>
      <c r="F80" s="598" t="s">
        <v>2909</v>
      </c>
      <c r="G80" s="598" t="s">
        <v>3190</v>
      </c>
      <c r="H80" s="598" t="s">
        <v>3191</v>
      </c>
      <c r="I80" s="598">
        <v>2018</v>
      </c>
      <c r="J80" s="598" t="s">
        <v>3084</v>
      </c>
      <c r="K80" s="598" t="s">
        <v>3202</v>
      </c>
      <c r="L80" s="598" t="s">
        <v>3203</v>
      </c>
      <c r="M80" s="603">
        <v>64990</v>
      </c>
      <c r="N80" s="600"/>
    </row>
    <row r="81" spans="5:14" ht="39.4">
      <c r="E81" s="596">
        <f t="shared" si="1"/>
        <v>43</v>
      </c>
      <c r="F81" s="598" t="s">
        <v>2909</v>
      </c>
      <c r="G81" s="598" t="s">
        <v>3196</v>
      </c>
      <c r="H81" s="598" t="s">
        <v>3191</v>
      </c>
      <c r="I81" s="598">
        <v>2018</v>
      </c>
      <c r="J81" s="598" t="s">
        <v>3084</v>
      </c>
      <c r="K81" s="598" t="s">
        <v>3204</v>
      </c>
      <c r="L81" s="598" t="s">
        <v>3205</v>
      </c>
      <c r="M81" s="603">
        <v>64990</v>
      </c>
      <c r="N81" s="600"/>
    </row>
    <row r="82" spans="5:14" ht="39.4">
      <c r="E82" s="596">
        <f t="shared" si="1"/>
        <v>44</v>
      </c>
      <c r="F82" s="598" t="s">
        <v>2909</v>
      </c>
      <c r="G82" s="598" t="s">
        <v>3196</v>
      </c>
      <c r="H82" s="598" t="s">
        <v>3191</v>
      </c>
      <c r="I82" s="598">
        <v>2018</v>
      </c>
      <c r="J82" s="598" t="s">
        <v>3084</v>
      </c>
      <c r="K82" s="598" t="s">
        <v>3206</v>
      </c>
      <c r="L82" s="598" t="s">
        <v>3207</v>
      </c>
      <c r="M82" s="603">
        <v>64990</v>
      </c>
      <c r="N82" s="600"/>
    </row>
    <row r="83" spans="5:14" ht="39.4">
      <c r="E83" s="596">
        <f t="shared" si="1"/>
        <v>45</v>
      </c>
      <c r="F83" s="598" t="s">
        <v>2909</v>
      </c>
      <c r="G83" s="598" t="s">
        <v>3199</v>
      </c>
      <c r="H83" s="598" t="s">
        <v>3191</v>
      </c>
      <c r="I83" s="598">
        <v>2018</v>
      </c>
      <c r="J83" s="598" t="s">
        <v>3084</v>
      </c>
      <c r="K83" s="598" t="s">
        <v>3208</v>
      </c>
      <c r="L83" s="598" t="s">
        <v>3209</v>
      </c>
      <c r="M83" s="603">
        <v>64990</v>
      </c>
      <c r="N83" s="600"/>
    </row>
    <row r="84" spans="5:14" ht="39.4">
      <c r="E84" s="604">
        <f t="shared" si="1"/>
        <v>46</v>
      </c>
      <c r="F84" s="598" t="s">
        <v>2921</v>
      </c>
      <c r="G84" s="598" t="s">
        <v>2922</v>
      </c>
      <c r="H84" s="598" t="s">
        <v>3210</v>
      </c>
      <c r="I84" s="598"/>
      <c r="J84" s="598" t="s">
        <v>3172</v>
      </c>
      <c r="K84" s="598" t="s">
        <v>3211</v>
      </c>
      <c r="L84" s="598" t="s">
        <v>3212</v>
      </c>
      <c r="M84" s="603">
        <v>59800</v>
      </c>
      <c r="N84" s="600"/>
    </row>
    <row r="85" spans="5:14" ht="39.4">
      <c r="E85" s="596">
        <f t="shared" si="1"/>
        <v>47</v>
      </c>
      <c r="F85" s="598" t="s">
        <v>2909</v>
      </c>
      <c r="G85" s="598" t="s">
        <v>3190</v>
      </c>
      <c r="H85" s="598" t="s">
        <v>3210</v>
      </c>
      <c r="I85" s="598"/>
      <c r="J85" s="598" t="s">
        <v>3172</v>
      </c>
      <c r="K85" s="598" t="s">
        <v>3213</v>
      </c>
      <c r="L85" s="598" t="s">
        <v>3214</v>
      </c>
      <c r="M85" s="603">
        <v>59800</v>
      </c>
      <c r="N85" s="600"/>
    </row>
    <row r="86" spans="5:14" ht="39.4">
      <c r="E86" s="604">
        <f t="shared" si="1"/>
        <v>48</v>
      </c>
      <c r="F86" s="598" t="s">
        <v>2909</v>
      </c>
      <c r="G86" s="598" t="s">
        <v>3215</v>
      </c>
      <c r="H86" s="598" t="s">
        <v>3210</v>
      </c>
      <c r="I86" s="598"/>
      <c r="J86" s="598" t="s">
        <v>3172</v>
      </c>
      <c r="K86" s="598" t="s">
        <v>3216</v>
      </c>
      <c r="L86" s="598" t="s">
        <v>3217</v>
      </c>
      <c r="M86" s="603">
        <v>59800</v>
      </c>
      <c r="N86" s="600"/>
    </row>
    <row r="87" spans="5:14" ht="39.4">
      <c r="E87" s="596">
        <f t="shared" si="1"/>
        <v>49</v>
      </c>
      <c r="F87" s="598" t="s">
        <v>2909</v>
      </c>
      <c r="G87" s="598" t="s">
        <v>3190</v>
      </c>
      <c r="H87" s="598" t="s">
        <v>3210</v>
      </c>
      <c r="I87" s="598"/>
      <c r="J87" s="598" t="s">
        <v>3172</v>
      </c>
      <c r="K87" s="598" t="s">
        <v>3218</v>
      </c>
      <c r="L87" s="598" t="s">
        <v>3219</v>
      </c>
      <c r="M87" s="603">
        <v>59800</v>
      </c>
      <c r="N87" s="600"/>
    </row>
    <row r="88" spans="5:14" ht="39.4">
      <c r="E88" s="604">
        <f t="shared" si="1"/>
        <v>50</v>
      </c>
      <c r="F88" s="598" t="s">
        <v>2909</v>
      </c>
      <c r="G88" s="598" t="s">
        <v>3215</v>
      </c>
      <c r="H88" s="598" t="s">
        <v>3210</v>
      </c>
      <c r="I88" s="598"/>
      <c r="J88" s="598" t="s">
        <v>3172</v>
      </c>
      <c r="K88" s="598" t="s">
        <v>3220</v>
      </c>
      <c r="L88" s="598" t="s">
        <v>3221</v>
      </c>
      <c r="M88" s="603">
        <v>59800</v>
      </c>
      <c r="N88" s="600"/>
    </row>
    <row r="89" spans="5:14" ht="39.4">
      <c r="E89" s="604">
        <f t="shared" si="1"/>
        <v>51</v>
      </c>
      <c r="F89" s="598" t="s">
        <v>2921</v>
      </c>
      <c r="G89" s="598" t="s">
        <v>2922</v>
      </c>
      <c r="H89" s="598" t="s">
        <v>3210</v>
      </c>
      <c r="I89" s="598"/>
      <c r="J89" s="598" t="s">
        <v>3172</v>
      </c>
      <c r="K89" s="598" t="s">
        <v>3222</v>
      </c>
      <c r="L89" s="598" t="s">
        <v>3223</v>
      </c>
      <c r="M89" s="603">
        <v>59800</v>
      </c>
      <c r="N89" s="600"/>
    </row>
    <row r="90" spans="5:14" ht="39.4">
      <c r="E90" s="604">
        <f t="shared" si="1"/>
        <v>52</v>
      </c>
      <c r="F90" s="598" t="s">
        <v>2921</v>
      </c>
      <c r="G90" s="598" t="s">
        <v>3224</v>
      </c>
      <c r="H90" s="598" t="s">
        <v>3225</v>
      </c>
      <c r="I90" s="598"/>
      <c r="J90" s="598" t="s">
        <v>3226</v>
      </c>
      <c r="K90" s="598" t="s">
        <v>3227</v>
      </c>
      <c r="L90" s="598" t="s">
        <v>3228</v>
      </c>
      <c r="M90" s="603">
        <v>59602</v>
      </c>
      <c r="N90" s="600"/>
    </row>
    <row r="91" spans="5:14">
      <c r="E91" s="604">
        <f t="shared" si="1"/>
        <v>53</v>
      </c>
      <c r="F91" s="598" t="s">
        <v>2921</v>
      </c>
      <c r="G91" s="598" t="s">
        <v>3224</v>
      </c>
      <c r="H91" s="598" t="s">
        <v>3225</v>
      </c>
      <c r="I91" s="598"/>
      <c r="J91" s="598" t="s">
        <v>3226</v>
      </c>
      <c r="K91" s="598"/>
      <c r="L91" s="598" t="s">
        <v>3229</v>
      </c>
      <c r="M91" s="603">
        <v>59602</v>
      </c>
      <c r="N91" s="600"/>
    </row>
    <row r="92" spans="5:14">
      <c r="E92" s="605">
        <f t="shared" si="1"/>
        <v>54</v>
      </c>
      <c r="F92" s="606" t="s">
        <v>2921</v>
      </c>
      <c r="G92" s="606" t="s">
        <v>3224</v>
      </c>
      <c r="H92" s="606" t="s">
        <v>3191</v>
      </c>
      <c r="I92" s="606"/>
      <c r="J92" s="606"/>
      <c r="K92" s="606"/>
      <c r="L92" s="606" t="s">
        <v>3230</v>
      </c>
      <c r="M92" s="607">
        <v>64990</v>
      </c>
      <c r="N92" s="600"/>
    </row>
    <row r="93" spans="5:14">
      <c r="E93" s="605">
        <f t="shared" si="1"/>
        <v>55</v>
      </c>
      <c r="F93" s="606"/>
      <c r="G93" s="606" t="s">
        <v>3224</v>
      </c>
      <c r="H93" s="598" t="s">
        <v>3225</v>
      </c>
      <c r="I93" s="606"/>
      <c r="J93" s="597" t="s">
        <v>3084</v>
      </c>
      <c r="K93" s="606"/>
      <c r="L93" s="606" t="s">
        <v>3231</v>
      </c>
      <c r="M93" s="607">
        <v>64995</v>
      </c>
      <c r="N93" s="600"/>
    </row>
    <row r="94" spans="5:14" ht="65.650000000000006">
      <c r="E94" s="605">
        <f t="shared" si="1"/>
        <v>56</v>
      </c>
      <c r="F94" s="597" t="s">
        <v>2901</v>
      </c>
      <c r="G94" s="597" t="s">
        <v>3232</v>
      </c>
      <c r="H94" s="598" t="s">
        <v>3225</v>
      </c>
      <c r="I94" s="597">
        <v>2008</v>
      </c>
      <c r="J94" s="597" t="s">
        <v>3084</v>
      </c>
      <c r="K94" s="598" t="s">
        <v>3233</v>
      </c>
      <c r="L94" s="597" t="s">
        <v>3234</v>
      </c>
      <c r="M94" s="599">
        <v>64995</v>
      </c>
      <c r="N94" s="600"/>
    </row>
    <row r="95" spans="5:14" ht="65.650000000000006">
      <c r="E95" s="596">
        <f t="shared" si="1"/>
        <v>57</v>
      </c>
      <c r="F95" s="597" t="s">
        <v>2901</v>
      </c>
      <c r="G95" s="597" t="s">
        <v>3232</v>
      </c>
      <c r="H95" s="598" t="s">
        <v>3235</v>
      </c>
      <c r="I95" s="597">
        <v>2010</v>
      </c>
      <c r="J95" s="597" t="s">
        <v>3236</v>
      </c>
      <c r="K95" s="598" t="s">
        <v>3237</v>
      </c>
      <c r="L95" s="597" t="s">
        <v>3238</v>
      </c>
      <c r="M95" s="599">
        <v>64995</v>
      </c>
      <c r="N95" s="600"/>
    </row>
    <row r="96" spans="5:14" ht="65.650000000000006">
      <c r="E96" s="596">
        <f t="shared" si="1"/>
        <v>58</v>
      </c>
      <c r="F96" s="597" t="s">
        <v>2901</v>
      </c>
      <c r="G96" s="597" t="s">
        <v>3232</v>
      </c>
      <c r="H96" s="598" t="s">
        <v>3191</v>
      </c>
      <c r="I96" s="597">
        <v>2018</v>
      </c>
      <c r="J96" s="597"/>
      <c r="K96" s="598" t="s">
        <v>3239</v>
      </c>
      <c r="L96" s="597" t="s">
        <v>3240</v>
      </c>
      <c r="M96" s="599">
        <v>64990</v>
      </c>
      <c r="N96" s="600"/>
    </row>
    <row r="97" spans="5:14">
      <c r="E97" s="596">
        <f t="shared" ref="E97:E128" si="2">+E96+1</f>
        <v>59</v>
      </c>
      <c r="F97" s="597" t="s">
        <v>2921</v>
      </c>
      <c r="G97" s="597" t="s">
        <v>3241</v>
      </c>
      <c r="H97" s="598" t="s">
        <v>3242</v>
      </c>
      <c r="I97" s="597">
        <v>2011</v>
      </c>
      <c r="J97" s="597" t="s">
        <v>3243</v>
      </c>
      <c r="K97" s="598" t="s">
        <v>3187</v>
      </c>
      <c r="L97" s="597" t="s">
        <v>3244</v>
      </c>
      <c r="M97" s="599">
        <v>64995</v>
      </c>
      <c r="N97" s="600"/>
    </row>
    <row r="98" spans="5:14">
      <c r="E98" s="596">
        <f t="shared" si="2"/>
        <v>60</v>
      </c>
      <c r="F98" s="597" t="s">
        <v>2921</v>
      </c>
      <c r="G98" s="597" t="s">
        <v>3245</v>
      </c>
      <c r="H98" s="598" t="s">
        <v>3242</v>
      </c>
      <c r="I98" s="597">
        <v>2011</v>
      </c>
      <c r="J98" s="597" t="s">
        <v>3243</v>
      </c>
      <c r="K98" s="598" t="s">
        <v>3187</v>
      </c>
      <c r="L98" s="597" t="s">
        <v>3246</v>
      </c>
      <c r="M98" s="599">
        <v>64995</v>
      </c>
      <c r="N98" s="600"/>
    </row>
    <row r="99" spans="5:14">
      <c r="E99" s="596">
        <f t="shared" si="2"/>
        <v>61</v>
      </c>
      <c r="F99" s="597" t="s">
        <v>2921</v>
      </c>
      <c r="G99" s="597" t="s">
        <v>3241</v>
      </c>
      <c r="H99" s="598" t="s">
        <v>3191</v>
      </c>
      <c r="I99" s="597">
        <v>2019</v>
      </c>
      <c r="J99" s="597" t="s">
        <v>3243</v>
      </c>
      <c r="K99" s="598" t="s">
        <v>3187</v>
      </c>
      <c r="L99" s="597" t="s">
        <v>3247</v>
      </c>
      <c r="M99" s="599">
        <v>64990</v>
      </c>
      <c r="N99" s="600"/>
    </row>
    <row r="100" spans="5:14">
      <c r="E100" s="596">
        <f t="shared" si="2"/>
        <v>62</v>
      </c>
      <c r="F100" s="597" t="s">
        <v>2921</v>
      </c>
      <c r="G100" s="597" t="s">
        <v>3241</v>
      </c>
      <c r="H100" s="598" t="s">
        <v>3191</v>
      </c>
      <c r="I100" s="597">
        <v>2017</v>
      </c>
      <c r="J100" s="597" t="s">
        <v>3243</v>
      </c>
      <c r="K100" s="598" t="s">
        <v>3187</v>
      </c>
      <c r="L100" s="597" t="s">
        <v>3248</v>
      </c>
      <c r="M100" s="599">
        <v>64990</v>
      </c>
      <c r="N100" s="600"/>
    </row>
    <row r="101" spans="5:14" ht="26.25">
      <c r="E101" s="596">
        <f t="shared" si="2"/>
        <v>63</v>
      </c>
      <c r="F101" s="597" t="s">
        <v>2921</v>
      </c>
      <c r="G101" s="597" t="s">
        <v>1302</v>
      </c>
      <c r="H101" s="598" t="s">
        <v>3249</v>
      </c>
      <c r="I101" s="597">
        <v>2005</v>
      </c>
      <c r="J101" s="597" t="s">
        <v>3243</v>
      </c>
      <c r="K101" s="598" t="s">
        <v>3250</v>
      </c>
      <c r="L101" s="597" t="s">
        <v>3251</v>
      </c>
      <c r="M101" s="599">
        <v>59800</v>
      </c>
      <c r="N101" s="600"/>
    </row>
    <row r="102" spans="5:14" ht="52.5">
      <c r="E102" s="596">
        <f t="shared" si="2"/>
        <v>64</v>
      </c>
      <c r="F102" s="597" t="s">
        <v>2921</v>
      </c>
      <c r="G102" s="597" t="s">
        <v>1302</v>
      </c>
      <c r="H102" s="598" t="s">
        <v>3252</v>
      </c>
      <c r="I102" s="597">
        <v>2014</v>
      </c>
      <c r="J102" s="597" t="s">
        <v>3243</v>
      </c>
      <c r="K102" s="598" t="s">
        <v>3253</v>
      </c>
      <c r="L102" s="597" t="s">
        <v>3254</v>
      </c>
      <c r="M102" s="599">
        <v>64995</v>
      </c>
      <c r="N102" s="600"/>
    </row>
    <row r="103" spans="5:14" ht="26.25">
      <c r="E103" s="596">
        <f t="shared" si="2"/>
        <v>65</v>
      </c>
      <c r="F103" s="597" t="s">
        <v>2921</v>
      </c>
      <c r="G103" s="597" t="s">
        <v>1302</v>
      </c>
      <c r="H103" s="598" t="s">
        <v>3255</v>
      </c>
      <c r="I103" s="597">
        <v>2011</v>
      </c>
      <c r="J103" s="597" t="s">
        <v>3243</v>
      </c>
      <c r="K103" s="598" t="s">
        <v>3256</v>
      </c>
      <c r="L103" s="597" t="s">
        <v>3257</v>
      </c>
      <c r="M103" s="599">
        <v>62875</v>
      </c>
      <c r="N103" s="600"/>
    </row>
    <row r="104" spans="5:14" ht="26.25">
      <c r="E104" s="596">
        <f t="shared" si="2"/>
        <v>66</v>
      </c>
      <c r="F104" s="597" t="s">
        <v>2921</v>
      </c>
      <c r="G104" s="597" t="s">
        <v>1302</v>
      </c>
      <c r="H104" s="598" t="s">
        <v>3252</v>
      </c>
      <c r="I104" s="597">
        <v>2015</v>
      </c>
      <c r="J104" s="597" t="s">
        <v>3243</v>
      </c>
      <c r="K104" s="598" t="s">
        <v>3258</v>
      </c>
      <c r="L104" s="598" t="s">
        <v>3259</v>
      </c>
      <c r="M104" s="599">
        <v>64995</v>
      </c>
      <c r="N104" s="600"/>
    </row>
    <row r="105" spans="5:14" ht="26.25">
      <c r="E105" s="596">
        <f t="shared" si="2"/>
        <v>67</v>
      </c>
      <c r="F105" s="597" t="s">
        <v>2921</v>
      </c>
      <c r="G105" s="597" t="s">
        <v>1302</v>
      </c>
      <c r="H105" s="598" t="s">
        <v>3252</v>
      </c>
      <c r="I105" s="597">
        <v>2016</v>
      </c>
      <c r="J105" s="597" t="s">
        <v>3243</v>
      </c>
      <c r="K105" s="598" t="s">
        <v>3260</v>
      </c>
      <c r="L105" s="598" t="s">
        <v>3261</v>
      </c>
      <c r="M105" s="599">
        <v>64995</v>
      </c>
      <c r="N105" s="600"/>
    </row>
    <row r="106" spans="5:14" ht="26.25">
      <c r="E106" s="596">
        <f t="shared" si="2"/>
        <v>68</v>
      </c>
      <c r="F106" s="597" t="s">
        <v>2921</v>
      </c>
      <c r="G106" s="597" t="s">
        <v>1302</v>
      </c>
      <c r="H106" s="598" t="s">
        <v>3252</v>
      </c>
      <c r="I106" s="597">
        <v>2016</v>
      </c>
      <c r="J106" s="597" t="s">
        <v>3243</v>
      </c>
      <c r="K106" s="598" t="s">
        <v>3262</v>
      </c>
      <c r="L106" s="598" t="s">
        <v>3263</v>
      </c>
      <c r="M106" s="599">
        <v>64995</v>
      </c>
      <c r="N106" s="600"/>
    </row>
    <row r="107" spans="5:14" ht="26.25">
      <c r="E107" s="596">
        <f t="shared" si="2"/>
        <v>69</v>
      </c>
      <c r="F107" s="597" t="s">
        <v>2921</v>
      </c>
      <c r="G107" s="597" t="s">
        <v>1302</v>
      </c>
      <c r="H107" s="598" t="s">
        <v>3225</v>
      </c>
      <c r="I107" s="597">
        <v>2010</v>
      </c>
      <c r="J107" s="597" t="s">
        <v>3264</v>
      </c>
      <c r="K107" s="598" t="s">
        <v>3265</v>
      </c>
      <c r="L107" s="597" t="s">
        <v>3266</v>
      </c>
      <c r="M107" s="599">
        <v>60485</v>
      </c>
      <c r="N107" s="600"/>
    </row>
    <row r="108" spans="5:14" ht="26.25">
      <c r="E108" s="596">
        <f t="shared" si="2"/>
        <v>70</v>
      </c>
      <c r="F108" s="597" t="s">
        <v>2921</v>
      </c>
      <c r="G108" s="597" t="s">
        <v>1302</v>
      </c>
      <c r="H108" s="598" t="s">
        <v>3252</v>
      </c>
      <c r="I108" s="597">
        <v>2011</v>
      </c>
      <c r="J108" s="597" t="s">
        <v>3264</v>
      </c>
      <c r="K108" s="598" t="s">
        <v>3267</v>
      </c>
      <c r="L108" s="597" t="s">
        <v>3268</v>
      </c>
      <c r="M108" s="599">
        <v>64995</v>
      </c>
      <c r="N108" s="600"/>
    </row>
    <row r="109" spans="5:14" ht="26.25">
      <c r="E109" s="596">
        <f t="shared" si="2"/>
        <v>71</v>
      </c>
      <c r="F109" s="597" t="s">
        <v>2921</v>
      </c>
      <c r="G109" s="597" t="s">
        <v>1302</v>
      </c>
      <c r="H109" s="598" t="s">
        <v>3225</v>
      </c>
      <c r="I109" s="597">
        <v>2008</v>
      </c>
      <c r="J109" s="597" t="s">
        <v>3264</v>
      </c>
      <c r="K109" s="598" t="s">
        <v>3269</v>
      </c>
      <c r="L109" s="597" t="s">
        <v>3270</v>
      </c>
      <c r="M109" s="599">
        <v>60485</v>
      </c>
      <c r="N109" s="600"/>
    </row>
    <row r="110" spans="5:14" ht="26.25">
      <c r="E110" s="596">
        <f t="shared" si="2"/>
        <v>72</v>
      </c>
      <c r="F110" s="597" t="s">
        <v>2921</v>
      </c>
      <c r="G110" s="597" t="s">
        <v>1302</v>
      </c>
      <c r="H110" s="598" t="s">
        <v>3252</v>
      </c>
      <c r="I110" s="597">
        <v>2012</v>
      </c>
      <c r="J110" s="597" t="s">
        <v>3264</v>
      </c>
      <c r="K110" s="598" t="s">
        <v>3271</v>
      </c>
      <c r="L110" s="597" t="s">
        <v>3272</v>
      </c>
      <c r="M110" s="599">
        <v>64995</v>
      </c>
      <c r="N110" s="600"/>
    </row>
    <row r="111" spans="5:14" ht="39.4">
      <c r="E111" s="596">
        <f t="shared" si="2"/>
        <v>73</v>
      </c>
      <c r="F111" s="597" t="s">
        <v>2921</v>
      </c>
      <c r="G111" s="597" t="s">
        <v>3273</v>
      </c>
      <c r="H111" s="598" t="s">
        <v>3274</v>
      </c>
      <c r="I111" s="597">
        <v>2020</v>
      </c>
      <c r="J111" s="597" t="s">
        <v>3275</v>
      </c>
      <c r="K111" s="598" t="s">
        <v>3276</v>
      </c>
      <c r="L111" s="597" t="s">
        <v>3277</v>
      </c>
      <c r="M111" s="599">
        <f>67181+7035</f>
        <v>74216</v>
      </c>
      <c r="N111" s="600"/>
    </row>
    <row r="112" spans="5:14" ht="26.25">
      <c r="E112" s="596">
        <f t="shared" si="2"/>
        <v>74</v>
      </c>
      <c r="F112" s="597" t="s">
        <v>2921</v>
      </c>
      <c r="G112" s="598" t="s">
        <v>3278</v>
      </c>
      <c r="H112" s="598" t="s">
        <v>3210</v>
      </c>
      <c r="I112" s="597">
        <v>2021</v>
      </c>
      <c r="J112" s="597" t="s">
        <v>3275</v>
      </c>
      <c r="K112" s="598" t="s">
        <v>3279</v>
      </c>
      <c r="L112" s="598" t="s">
        <v>3280</v>
      </c>
      <c r="M112" s="599">
        <v>72475</v>
      </c>
      <c r="N112" s="600"/>
    </row>
    <row r="113" spans="5:14" ht="26.25">
      <c r="E113" s="596">
        <f t="shared" si="2"/>
        <v>75</v>
      </c>
      <c r="F113" s="597" t="s">
        <v>2921</v>
      </c>
      <c r="G113" s="597" t="s">
        <v>3278</v>
      </c>
      <c r="H113" s="598" t="s">
        <v>3210</v>
      </c>
      <c r="I113" s="597">
        <v>2021</v>
      </c>
      <c r="J113" s="597" t="s">
        <v>3275</v>
      </c>
      <c r="K113" s="598" t="s">
        <v>3279</v>
      </c>
      <c r="L113" s="598" t="s">
        <v>3281</v>
      </c>
      <c r="M113" s="599">
        <v>72475</v>
      </c>
      <c r="N113" s="600"/>
    </row>
    <row r="114" spans="5:14" ht="26.25">
      <c r="E114" s="596">
        <f t="shared" si="2"/>
        <v>76</v>
      </c>
      <c r="F114" s="597" t="s">
        <v>2921</v>
      </c>
      <c r="G114" s="597" t="s">
        <v>3278</v>
      </c>
      <c r="H114" s="598" t="s">
        <v>3210</v>
      </c>
      <c r="I114" s="597">
        <v>2021</v>
      </c>
      <c r="J114" s="597" t="s">
        <v>3275</v>
      </c>
      <c r="K114" s="598" t="s">
        <v>3279</v>
      </c>
      <c r="L114" s="598" t="s">
        <v>3282</v>
      </c>
      <c r="M114" s="599">
        <v>72475</v>
      </c>
      <c r="N114" s="600"/>
    </row>
    <row r="115" spans="5:14" ht="26.25">
      <c r="E115" s="596">
        <f t="shared" si="2"/>
        <v>77</v>
      </c>
      <c r="F115" s="597" t="s">
        <v>2921</v>
      </c>
      <c r="G115" s="597" t="s">
        <v>3278</v>
      </c>
      <c r="H115" s="598" t="s">
        <v>3210</v>
      </c>
      <c r="I115" s="597">
        <v>2021</v>
      </c>
      <c r="J115" s="597" t="s">
        <v>3275</v>
      </c>
      <c r="K115" s="598" t="s">
        <v>3279</v>
      </c>
      <c r="L115" s="598" t="s">
        <v>3283</v>
      </c>
      <c r="M115" s="599">
        <v>72475</v>
      </c>
      <c r="N115" s="600"/>
    </row>
    <row r="116" spans="5:14" ht="52.5">
      <c r="E116" s="596">
        <f t="shared" si="2"/>
        <v>78</v>
      </c>
      <c r="F116" s="597" t="s">
        <v>2909</v>
      </c>
      <c r="G116" s="598" t="s">
        <v>3190</v>
      </c>
      <c r="H116" s="598" t="s">
        <v>3210</v>
      </c>
      <c r="I116" s="597">
        <v>2021</v>
      </c>
      <c r="J116" s="597" t="s">
        <v>3275</v>
      </c>
      <c r="K116" s="598" t="s">
        <v>3284</v>
      </c>
      <c r="L116" s="598" t="s">
        <v>3285</v>
      </c>
      <c r="M116" s="599">
        <v>72475</v>
      </c>
      <c r="N116" s="600"/>
    </row>
    <row r="117" spans="5:14" ht="39.4">
      <c r="E117" s="596">
        <f t="shared" si="2"/>
        <v>79</v>
      </c>
      <c r="F117" s="597" t="s">
        <v>2909</v>
      </c>
      <c r="G117" s="598" t="s">
        <v>3190</v>
      </c>
      <c r="H117" s="598" t="s">
        <v>3210</v>
      </c>
      <c r="I117" s="597">
        <v>2021</v>
      </c>
      <c r="J117" s="597" t="s">
        <v>3275</v>
      </c>
      <c r="K117" s="598" t="s">
        <v>3286</v>
      </c>
      <c r="L117" s="598" t="s">
        <v>3287</v>
      </c>
      <c r="M117" s="599">
        <v>72475</v>
      </c>
      <c r="N117" s="600"/>
    </row>
    <row r="118" spans="5:14">
      <c r="E118" s="596">
        <f t="shared" si="2"/>
        <v>80</v>
      </c>
      <c r="F118" s="597" t="s">
        <v>3288</v>
      </c>
      <c r="G118" s="598" t="s">
        <v>3289</v>
      </c>
      <c r="H118" s="598" t="s">
        <v>3191</v>
      </c>
      <c r="I118" s="597">
        <v>2021</v>
      </c>
      <c r="J118" s="597" t="s">
        <v>3275</v>
      </c>
      <c r="K118" s="598"/>
      <c r="L118" s="598" t="s">
        <v>3290</v>
      </c>
      <c r="M118" s="599">
        <v>64990</v>
      </c>
      <c r="N118" s="600"/>
    </row>
    <row r="119" spans="5:14">
      <c r="E119" s="596">
        <f t="shared" si="2"/>
        <v>81</v>
      </c>
      <c r="F119" s="597" t="s">
        <v>3288</v>
      </c>
      <c r="G119" s="598" t="s">
        <v>3289</v>
      </c>
      <c r="H119" s="598" t="s">
        <v>3191</v>
      </c>
      <c r="I119" s="597">
        <v>2021</v>
      </c>
      <c r="J119" s="597" t="s">
        <v>3275</v>
      </c>
      <c r="K119" s="598"/>
      <c r="L119" s="598" t="s">
        <v>3291</v>
      </c>
      <c r="M119" s="599">
        <v>64990</v>
      </c>
      <c r="N119" s="600"/>
    </row>
    <row r="120" spans="5:14" ht="39.4">
      <c r="E120" s="596">
        <f t="shared" si="2"/>
        <v>82</v>
      </c>
      <c r="F120" s="597" t="s">
        <v>2892</v>
      </c>
      <c r="G120" s="597" t="s">
        <v>2959</v>
      </c>
      <c r="H120" s="598" t="s">
        <v>3191</v>
      </c>
      <c r="I120" s="597">
        <v>2021</v>
      </c>
      <c r="J120" s="597" t="s">
        <v>3275</v>
      </c>
      <c r="K120" s="598" t="s">
        <v>3292</v>
      </c>
      <c r="L120" s="598" t="s">
        <v>3293</v>
      </c>
      <c r="M120" s="599">
        <v>86052</v>
      </c>
      <c r="N120" s="600"/>
    </row>
    <row r="121" spans="5:14" ht="39.4">
      <c r="E121" s="596">
        <f t="shared" si="2"/>
        <v>83</v>
      </c>
      <c r="F121" s="597" t="s">
        <v>2892</v>
      </c>
      <c r="G121" s="597" t="s">
        <v>2959</v>
      </c>
      <c r="H121" s="598" t="s">
        <v>3191</v>
      </c>
      <c r="I121" s="597">
        <v>2022</v>
      </c>
      <c r="J121" s="597" t="s">
        <v>3275</v>
      </c>
      <c r="K121" s="598" t="s">
        <v>3294</v>
      </c>
      <c r="L121" s="598" t="s">
        <v>3295</v>
      </c>
      <c r="M121" s="599">
        <v>86052</v>
      </c>
      <c r="N121" s="600"/>
    </row>
    <row r="122" spans="5:14" ht="39.4">
      <c r="E122" s="596">
        <f t="shared" si="2"/>
        <v>84</v>
      </c>
      <c r="F122" s="597" t="s">
        <v>2892</v>
      </c>
      <c r="G122" s="597" t="s">
        <v>2959</v>
      </c>
      <c r="H122" s="598" t="s">
        <v>3191</v>
      </c>
      <c r="I122" s="597">
        <v>2022</v>
      </c>
      <c r="J122" s="597" t="s">
        <v>3275</v>
      </c>
      <c r="K122" s="598" t="s">
        <v>3296</v>
      </c>
      <c r="L122" s="598" t="s">
        <v>3297</v>
      </c>
      <c r="M122" s="599">
        <v>86052</v>
      </c>
      <c r="N122" s="600"/>
    </row>
    <row r="123" spans="5:14" ht="26.25">
      <c r="E123" s="596">
        <f t="shared" si="2"/>
        <v>85</v>
      </c>
      <c r="F123" s="597" t="s">
        <v>2892</v>
      </c>
      <c r="G123" s="597" t="s">
        <v>2959</v>
      </c>
      <c r="H123" s="598" t="s">
        <v>3210</v>
      </c>
      <c r="I123" s="597">
        <v>2022</v>
      </c>
      <c r="J123" s="597" t="s">
        <v>3275</v>
      </c>
      <c r="K123" s="598" t="s">
        <v>3298</v>
      </c>
      <c r="L123" s="598" t="s">
        <v>3299</v>
      </c>
      <c r="M123" s="599">
        <v>86052</v>
      </c>
      <c r="N123" s="600"/>
    </row>
    <row r="124" spans="5:14" ht="26.25">
      <c r="E124" s="596">
        <f t="shared" si="2"/>
        <v>86</v>
      </c>
      <c r="F124" s="597" t="s">
        <v>2892</v>
      </c>
      <c r="G124" s="597" t="s">
        <v>2959</v>
      </c>
      <c r="H124" s="598" t="s">
        <v>3300</v>
      </c>
      <c r="I124" s="597">
        <v>2022</v>
      </c>
      <c r="J124" s="597" t="s">
        <v>3275</v>
      </c>
      <c r="K124" s="598" t="s">
        <v>3301</v>
      </c>
      <c r="L124" s="598" t="s">
        <v>3302</v>
      </c>
      <c r="M124" s="599">
        <v>97000</v>
      </c>
      <c r="N124" s="600"/>
    </row>
    <row r="125" spans="5:14">
      <c r="E125" s="596">
        <f t="shared" si="2"/>
        <v>87</v>
      </c>
      <c r="F125" s="597" t="s">
        <v>2892</v>
      </c>
      <c r="G125" s="597" t="s">
        <v>2959</v>
      </c>
      <c r="H125" s="598" t="s">
        <v>3300</v>
      </c>
      <c r="I125" s="597">
        <v>2022</v>
      </c>
      <c r="J125" s="597" t="s">
        <v>3275</v>
      </c>
      <c r="K125" s="598"/>
      <c r="L125" s="598"/>
      <c r="M125" s="599">
        <v>97000</v>
      </c>
      <c r="N125" s="600"/>
    </row>
    <row r="126" spans="5:14">
      <c r="E126" s="596">
        <f t="shared" si="2"/>
        <v>88</v>
      </c>
      <c r="F126" s="597" t="s">
        <v>2892</v>
      </c>
      <c r="G126" s="597" t="s">
        <v>2959</v>
      </c>
      <c r="H126" s="598" t="s">
        <v>3300</v>
      </c>
      <c r="I126" s="597">
        <v>2022</v>
      </c>
      <c r="J126" s="597" t="s">
        <v>3275</v>
      </c>
      <c r="K126" s="598"/>
      <c r="L126" s="598"/>
      <c r="M126" s="599">
        <v>97000</v>
      </c>
      <c r="N126" s="600"/>
    </row>
    <row r="127" spans="5:14">
      <c r="E127" s="596">
        <f t="shared" si="2"/>
        <v>89</v>
      </c>
      <c r="F127" s="597" t="s">
        <v>2892</v>
      </c>
      <c r="G127" s="597" t="s">
        <v>2959</v>
      </c>
      <c r="H127" s="598" t="s">
        <v>3300</v>
      </c>
      <c r="I127" s="597">
        <v>2022</v>
      </c>
      <c r="J127" s="597" t="s">
        <v>3275</v>
      </c>
      <c r="K127" s="598"/>
      <c r="L127" s="598"/>
      <c r="M127" s="599">
        <v>97000</v>
      </c>
      <c r="N127" s="600"/>
    </row>
    <row r="128" spans="5:14">
      <c r="E128" s="596">
        <f t="shared" si="2"/>
        <v>90</v>
      </c>
      <c r="F128" s="597" t="s">
        <v>2892</v>
      </c>
      <c r="G128" s="597" t="s">
        <v>2959</v>
      </c>
      <c r="H128" s="598" t="s">
        <v>3300</v>
      </c>
      <c r="I128" s="597">
        <v>2022</v>
      </c>
      <c r="J128" s="597" t="s">
        <v>3275</v>
      </c>
      <c r="K128" s="598"/>
      <c r="L128" s="598"/>
      <c r="M128" s="599">
        <v>97000</v>
      </c>
      <c r="N128" s="600"/>
    </row>
    <row r="129" spans="5:14" ht="26.25">
      <c r="E129" s="596">
        <f t="shared" ref="E129:E145" si="3">+E128+1</f>
        <v>91</v>
      </c>
      <c r="F129" s="597" t="s">
        <v>2921</v>
      </c>
      <c r="G129" s="598" t="s">
        <v>3245</v>
      </c>
      <c r="H129" s="598" t="s">
        <v>3191</v>
      </c>
      <c r="I129" s="597">
        <v>2022</v>
      </c>
      <c r="J129" s="597" t="s">
        <v>3275</v>
      </c>
      <c r="K129" s="598" t="s">
        <v>3250</v>
      </c>
      <c r="L129" s="598" t="s">
        <v>3303</v>
      </c>
      <c r="M129" s="599">
        <v>86052</v>
      </c>
      <c r="N129" s="600"/>
    </row>
    <row r="130" spans="5:14" ht="52.5">
      <c r="E130" s="596">
        <f t="shared" si="3"/>
        <v>92</v>
      </c>
      <c r="F130" s="597" t="s">
        <v>2909</v>
      </c>
      <c r="G130" s="598" t="s">
        <v>3190</v>
      </c>
      <c r="H130" s="598" t="s">
        <v>3210</v>
      </c>
      <c r="I130" s="597">
        <v>2022</v>
      </c>
      <c r="J130" s="597" t="s">
        <v>3120</v>
      </c>
      <c r="K130" s="598" t="s">
        <v>3253</v>
      </c>
      <c r="L130" s="598" t="s">
        <v>3304</v>
      </c>
      <c r="M130" s="599">
        <v>63400</v>
      </c>
      <c r="N130" s="600"/>
    </row>
    <row r="131" spans="5:14" ht="26.25">
      <c r="E131" s="596">
        <f t="shared" si="3"/>
        <v>93</v>
      </c>
      <c r="F131" s="597" t="s">
        <v>2909</v>
      </c>
      <c r="G131" s="598" t="s">
        <v>3190</v>
      </c>
      <c r="H131" s="598" t="s">
        <v>3191</v>
      </c>
      <c r="I131" s="597">
        <v>2022</v>
      </c>
      <c r="J131" s="597" t="s">
        <v>3120</v>
      </c>
      <c r="K131" s="598" t="s">
        <v>3256</v>
      </c>
      <c r="L131" s="598" t="s">
        <v>3305</v>
      </c>
      <c r="M131" s="599">
        <v>86000</v>
      </c>
      <c r="N131" s="600"/>
    </row>
    <row r="132" spans="5:14" ht="26.25">
      <c r="E132" s="596">
        <f t="shared" si="3"/>
        <v>94</v>
      </c>
      <c r="F132" s="597" t="s">
        <v>2909</v>
      </c>
      <c r="G132" s="598" t="s">
        <v>3190</v>
      </c>
      <c r="H132" s="598" t="s">
        <v>3191</v>
      </c>
      <c r="I132" s="597">
        <v>2022</v>
      </c>
      <c r="J132" s="597" t="s">
        <v>3120</v>
      </c>
      <c r="K132" s="598" t="s">
        <v>3258</v>
      </c>
      <c r="L132" s="598" t="s">
        <v>3306</v>
      </c>
      <c r="M132" s="599">
        <v>86000</v>
      </c>
      <c r="N132" s="600"/>
    </row>
    <row r="133" spans="5:14" ht="26.25">
      <c r="E133" s="596">
        <f t="shared" si="3"/>
        <v>95</v>
      </c>
      <c r="F133" s="597" t="s">
        <v>2909</v>
      </c>
      <c r="G133" s="598" t="s">
        <v>3190</v>
      </c>
      <c r="H133" s="598" t="s">
        <v>3210</v>
      </c>
      <c r="I133" s="597">
        <v>2022</v>
      </c>
      <c r="J133" s="597" t="s">
        <v>3120</v>
      </c>
      <c r="K133" s="598" t="s">
        <v>3260</v>
      </c>
      <c r="L133" s="598" t="s">
        <v>3307</v>
      </c>
      <c r="M133" s="599">
        <v>63400</v>
      </c>
      <c r="N133" s="600"/>
    </row>
    <row r="134" spans="5:14" ht="26.25">
      <c r="E134" s="596">
        <f t="shared" si="3"/>
        <v>96</v>
      </c>
      <c r="F134" s="597" t="s">
        <v>2909</v>
      </c>
      <c r="G134" s="598" t="s">
        <v>3190</v>
      </c>
      <c r="H134" s="598" t="s">
        <v>3210</v>
      </c>
      <c r="I134" s="597">
        <v>2022</v>
      </c>
      <c r="J134" s="597" t="s">
        <v>3120</v>
      </c>
      <c r="K134" s="598" t="s">
        <v>3262</v>
      </c>
      <c r="L134" s="598" t="s">
        <v>3308</v>
      </c>
      <c r="M134" s="599">
        <v>63400</v>
      </c>
      <c r="N134" s="600"/>
    </row>
    <row r="135" spans="5:14" ht="26.25">
      <c r="E135" s="596">
        <f t="shared" si="3"/>
        <v>97</v>
      </c>
      <c r="F135" s="597" t="s">
        <v>2909</v>
      </c>
      <c r="G135" s="598" t="s">
        <v>3190</v>
      </c>
      <c r="H135" s="598" t="s">
        <v>3210</v>
      </c>
      <c r="I135" s="597">
        <v>2022</v>
      </c>
      <c r="J135" s="597" t="s">
        <v>3120</v>
      </c>
      <c r="K135" s="598" t="s">
        <v>3265</v>
      </c>
      <c r="L135" s="598" t="s">
        <v>3309</v>
      </c>
      <c r="M135" s="599">
        <v>63400</v>
      </c>
      <c r="N135" s="600"/>
    </row>
    <row r="136" spans="5:14" ht="26.25">
      <c r="E136" s="596">
        <f t="shared" si="3"/>
        <v>98</v>
      </c>
      <c r="F136" s="597" t="s">
        <v>2909</v>
      </c>
      <c r="G136" s="598" t="s">
        <v>3190</v>
      </c>
      <c r="H136" s="598" t="s">
        <v>3210</v>
      </c>
      <c r="I136" s="597">
        <v>2022</v>
      </c>
      <c r="J136" s="597" t="s">
        <v>3120</v>
      </c>
      <c r="K136" s="598" t="s">
        <v>3267</v>
      </c>
      <c r="L136" s="598" t="s">
        <v>3310</v>
      </c>
      <c r="M136" s="599">
        <v>63400</v>
      </c>
      <c r="N136" s="600"/>
    </row>
    <row r="137" spans="5:14" ht="26.25">
      <c r="E137" s="596">
        <f t="shared" si="3"/>
        <v>99</v>
      </c>
      <c r="F137" s="597" t="s">
        <v>2909</v>
      </c>
      <c r="G137" s="598" t="s">
        <v>3190</v>
      </c>
      <c r="H137" s="598" t="s">
        <v>3210</v>
      </c>
      <c r="I137" s="597">
        <v>2022</v>
      </c>
      <c r="J137" s="597" t="s">
        <v>3120</v>
      </c>
      <c r="K137" s="598" t="s">
        <v>3269</v>
      </c>
      <c r="L137" s="598" t="s">
        <v>3311</v>
      </c>
      <c r="M137" s="599">
        <v>63400</v>
      </c>
      <c r="N137" s="600"/>
    </row>
    <row r="138" spans="5:14" ht="26.25">
      <c r="E138" s="596">
        <f t="shared" si="3"/>
        <v>100</v>
      </c>
      <c r="F138" s="597" t="s">
        <v>2909</v>
      </c>
      <c r="G138" s="598" t="s">
        <v>3190</v>
      </c>
      <c r="H138" s="598" t="s">
        <v>3210</v>
      </c>
      <c r="I138" s="597">
        <v>2022</v>
      </c>
      <c r="J138" s="597" t="s">
        <v>3120</v>
      </c>
      <c r="K138" s="598" t="s">
        <v>3271</v>
      </c>
      <c r="L138" s="598" t="s">
        <v>3312</v>
      </c>
      <c r="M138" s="599">
        <v>63400</v>
      </c>
      <c r="N138" s="600"/>
    </row>
    <row r="139" spans="5:14" ht="39.4">
      <c r="E139" s="596">
        <f t="shared" si="3"/>
        <v>101</v>
      </c>
      <c r="F139" s="597" t="s">
        <v>2909</v>
      </c>
      <c r="G139" s="598" t="s">
        <v>3190</v>
      </c>
      <c r="H139" s="598" t="s">
        <v>3210</v>
      </c>
      <c r="I139" s="597">
        <v>2022</v>
      </c>
      <c r="J139" s="597" t="s">
        <v>3120</v>
      </c>
      <c r="K139" s="598" t="s">
        <v>3276</v>
      </c>
      <c r="L139" s="598" t="s">
        <v>3313</v>
      </c>
      <c r="M139" s="599">
        <v>63400</v>
      </c>
      <c r="N139" s="600"/>
    </row>
    <row r="140" spans="5:14">
      <c r="E140" s="596">
        <f t="shared" si="3"/>
        <v>102</v>
      </c>
      <c r="F140" s="597" t="s">
        <v>2909</v>
      </c>
      <c r="G140" s="598" t="s">
        <v>3190</v>
      </c>
      <c r="H140" s="598" t="s">
        <v>3314</v>
      </c>
      <c r="I140" s="597">
        <v>2022</v>
      </c>
      <c r="J140" s="597" t="s">
        <v>3120</v>
      </c>
      <c r="K140" s="598"/>
      <c r="L140" s="598"/>
      <c r="M140" s="599">
        <v>78970</v>
      </c>
      <c r="N140" s="600"/>
    </row>
    <row r="141" spans="5:14" ht="26.25">
      <c r="E141" s="596">
        <f t="shared" si="3"/>
        <v>103</v>
      </c>
      <c r="F141" s="597" t="s">
        <v>2909</v>
      </c>
      <c r="G141" s="598" t="s">
        <v>3190</v>
      </c>
      <c r="H141" s="598" t="s">
        <v>3315</v>
      </c>
      <c r="I141" s="597">
        <v>2022</v>
      </c>
      <c r="J141" s="597" t="s">
        <v>3316</v>
      </c>
      <c r="K141" s="598" t="s">
        <v>3317</v>
      </c>
      <c r="L141" s="598"/>
      <c r="M141" s="599">
        <v>74440</v>
      </c>
      <c r="N141" s="600"/>
    </row>
    <row r="142" spans="5:14" ht="26.25">
      <c r="E142" s="596">
        <f t="shared" si="3"/>
        <v>104</v>
      </c>
      <c r="F142" s="597" t="s">
        <v>2909</v>
      </c>
      <c r="G142" s="598" t="s">
        <v>3190</v>
      </c>
      <c r="H142" s="598" t="s">
        <v>3315</v>
      </c>
      <c r="I142" s="597">
        <v>2022</v>
      </c>
      <c r="J142" s="597" t="s">
        <v>3316</v>
      </c>
      <c r="K142" s="598" t="s">
        <v>3318</v>
      </c>
      <c r="L142" s="598"/>
      <c r="M142" s="599">
        <v>76308</v>
      </c>
      <c r="N142" s="600"/>
    </row>
    <row r="143" spans="5:14" ht="26.25">
      <c r="E143" s="596">
        <f t="shared" si="3"/>
        <v>105</v>
      </c>
      <c r="F143" s="597" t="s">
        <v>2909</v>
      </c>
      <c r="G143" s="598" t="s">
        <v>3190</v>
      </c>
      <c r="H143" s="598" t="s">
        <v>3319</v>
      </c>
      <c r="I143" s="597">
        <v>2022</v>
      </c>
      <c r="J143" s="597" t="s">
        <v>3120</v>
      </c>
      <c r="K143" s="598" t="s">
        <v>3320</v>
      </c>
      <c r="L143" s="598"/>
      <c r="M143" s="599">
        <v>81388</v>
      </c>
      <c r="N143" s="600"/>
    </row>
    <row r="144" spans="5:14" ht="26.25">
      <c r="E144" s="596">
        <f t="shared" si="3"/>
        <v>106</v>
      </c>
      <c r="F144" s="597" t="s">
        <v>2909</v>
      </c>
      <c r="G144" s="598" t="s">
        <v>3190</v>
      </c>
      <c r="H144" s="598" t="s">
        <v>3319</v>
      </c>
      <c r="I144" s="597">
        <v>2022</v>
      </c>
      <c r="J144" s="597" t="s">
        <v>3120</v>
      </c>
      <c r="K144" s="598" t="s">
        <v>3321</v>
      </c>
      <c r="L144" s="598"/>
      <c r="M144" s="599">
        <v>81388</v>
      </c>
      <c r="N144" s="600"/>
    </row>
    <row r="145" spans="5:14" ht="26.25">
      <c r="E145" s="596">
        <f t="shared" si="3"/>
        <v>107</v>
      </c>
      <c r="F145" s="597" t="s">
        <v>2909</v>
      </c>
      <c r="G145" s="598" t="s">
        <v>3190</v>
      </c>
      <c r="H145" s="598" t="s">
        <v>3319</v>
      </c>
      <c r="I145" s="597">
        <v>2022</v>
      </c>
      <c r="J145" s="597" t="s">
        <v>3120</v>
      </c>
      <c r="K145" s="598" t="s">
        <v>3322</v>
      </c>
      <c r="L145" s="598"/>
      <c r="M145" s="599">
        <v>81388</v>
      </c>
      <c r="N145" s="600"/>
    </row>
    <row r="146" spans="5:14" ht="39.4">
      <c r="E146" s="596">
        <v>108</v>
      </c>
      <c r="F146" s="597" t="s">
        <v>2892</v>
      </c>
      <c r="G146" s="597" t="s">
        <v>2959</v>
      </c>
      <c r="H146" s="598" t="s">
        <v>3323</v>
      </c>
      <c r="I146" s="597">
        <v>2022</v>
      </c>
      <c r="J146" s="597" t="s">
        <v>3120</v>
      </c>
      <c r="K146" s="598" t="s">
        <v>3324</v>
      </c>
      <c r="L146" s="598"/>
      <c r="M146" s="599">
        <v>67968</v>
      </c>
      <c r="N146" s="600"/>
    </row>
    <row r="147" spans="5:14" ht="39.4">
      <c r="E147" s="596">
        <v>109</v>
      </c>
      <c r="F147" s="597" t="s">
        <v>2892</v>
      </c>
      <c r="G147" s="597" t="s">
        <v>2959</v>
      </c>
      <c r="H147" s="598" t="s">
        <v>3323</v>
      </c>
      <c r="I147" s="597">
        <v>2022</v>
      </c>
      <c r="J147" s="597" t="s">
        <v>3120</v>
      </c>
      <c r="K147" s="598" t="s">
        <v>3325</v>
      </c>
      <c r="L147" s="598"/>
      <c r="M147" s="599">
        <v>67968</v>
      </c>
      <c r="N147" s="600"/>
    </row>
    <row r="148" spans="5:14" ht="26.25">
      <c r="E148" s="596">
        <v>110</v>
      </c>
      <c r="F148" s="597" t="s">
        <v>2892</v>
      </c>
      <c r="G148" s="597" t="s">
        <v>2959</v>
      </c>
      <c r="H148" s="598" t="s">
        <v>3323</v>
      </c>
      <c r="I148" s="597">
        <v>2022</v>
      </c>
      <c r="J148" s="597" t="s">
        <v>3120</v>
      </c>
      <c r="K148" s="598" t="s">
        <v>3326</v>
      </c>
      <c r="L148" s="598"/>
      <c r="M148" s="599">
        <v>67968</v>
      </c>
      <c r="N148" s="600"/>
    </row>
    <row r="149" spans="5:14" ht="26.25">
      <c r="E149" s="596">
        <v>111</v>
      </c>
      <c r="F149" s="597" t="s">
        <v>2892</v>
      </c>
      <c r="G149" s="597" t="s">
        <v>2959</v>
      </c>
      <c r="H149" s="598" t="s">
        <v>3323</v>
      </c>
      <c r="I149" s="597">
        <v>2022</v>
      </c>
      <c r="J149" s="597" t="s">
        <v>3120</v>
      </c>
      <c r="K149" s="598" t="s">
        <v>3327</v>
      </c>
      <c r="L149" s="598"/>
      <c r="M149" s="599">
        <v>67968</v>
      </c>
      <c r="N149" s="600"/>
    </row>
    <row r="150" spans="5:14" ht="39.4">
      <c r="E150" s="596">
        <v>112</v>
      </c>
      <c r="F150" s="597" t="s">
        <v>2892</v>
      </c>
      <c r="G150" s="597" t="s">
        <v>2959</v>
      </c>
      <c r="H150" s="598" t="s">
        <v>3323</v>
      </c>
      <c r="I150" s="597">
        <v>2022</v>
      </c>
      <c r="J150" s="597" t="s">
        <v>3120</v>
      </c>
      <c r="K150" s="598" t="s">
        <v>3328</v>
      </c>
      <c r="L150" s="598"/>
      <c r="M150" s="599">
        <v>67968</v>
      </c>
      <c r="N150" s="600"/>
    </row>
    <row r="151" spans="5:14" ht="39.4">
      <c r="E151" s="596">
        <v>113</v>
      </c>
      <c r="F151" s="597" t="s">
        <v>2892</v>
      </c>
      <c r="G151" s="597" t="s">
        <v>2959</v>
      </c>
      <c r="H151" s="598" t="s">
        <v>3323</v>
      </c>
      <c r="I151" s="597">
        <v>2022</v>
      </c>
      <c r="J151" s="597" t="s">
        <v>3120</v>
      </c>
      <c r="K151" s="598" t="s">
        <v>3329</v>
      </c>
      <c r="L151" s="598"/>
      <c r="M151" s="599">
        <v>67968</v>
      </c>
      <c r="N151" s="600"/>
    </row>
    <row r="152" spans="5:14" ht="39.4">
      <c r="E152" s="596">
        <v>114</v>
      </c>
      <c r="F152" s="597" t="s">
        <v>2909</v>
      </c>
      <c r="G152" s="597" t="s">
        <v>3330</v>
      </c>
      <c r="H152" s="598" t="s">
        <v>3323</v>
      </c>
      <c r="I152" s="597">
        <v>2022</v>
      </c>
      <c r="J152" s="597" t="s">
        <v>3120</v>
      </c>
      <c r="K152" s="598" t="s">
        <v>3331</v>
      </c>
      <c r="L152" s="598"/>
      <c r="M152" s="599">
        <v>67968</v>
      </c>
      <c r="N152" s="600"/>
    </row>
    <row r="153" spans="5:14" ht="39.4">
      <c r="E153" s="596">
        <v>115</v>
      </c>
      <c r="F153" s="597" t="s">
        <v>2909</v>
      </c>
      <c r="G153" s="597" t="s">
        <v>3330</v>
      </c>
      <c r="H153" s="598" t="s">
        <v>3323</v>
      </c>
      <c r="I153" s="597">
        <v>2022</v>
      </c>
      <c r="J153" s="597" t="s">
        <v>3120</v>
      </c>
      <c r="K153" s="598" t="s">
        <v>3332</v>
      </c>
      <c r="L153" s="598"/>
      <c r="M153" s="599">
        <v>67968</v>
      </c>
      <c r="N153" s="600"/>
    </row>
    <row r="154" spans="5:14" ht="39.4">
      <c r="E154" s="596">
        <v>116</v>
      </c>
      <c r="F154" s="597" t="s">
        <v>2909</v>
      </c>
      <c r="G154" s="597" t="s">
        <v>3330</v>
      </c>
      <c r="H154" s="598" t="s">
        <v>3323</v>
      </c>
      <c r="I154" s="597">
        <v>2022</v>
      </c>
      <c r="J154" s="597" t="s">
        <v>3120</v>
      </c>
      <c r="K154" s="598" t="s">
        <v>3333</v>
      </c>
      <c r="L154" s="598"/>
      <c r="M154" s="599">
        <v>67968</v>
      </c>
      <c r="N154" s="600"/>
    </row>
    <row r="155" spans="5:14" ht="39.4">
      <c r="E155" s="596">
        <v>117</v>
      </c>
      <c r="F155" s="597" t="s">
        <v>2909</v>
      </c>
      <c r="G155" s="597" t="s">
        <v>3330</v>
      </c>
      <c r="H155" s="598" t="s">
        <v>3323</v>
      </c>
      <c r="I155" s="597">
        <v>2022</v>
      </c>
      <c r="J155" s="597" t="s">
        <v>3120</v>
      </c>
      <c r="K155" s="598" t="s">
        <v>3334</v>
      </c>
      <c r="L155" s="598"/>
      <c r="M155" s="599">
        <v>67968</v>
      </c>
      <c r="N155" s="600"/>
    </row>
    <row r="156" spans="5:14" ht="39.4">
      <c r="E156" s="596">
        <v>118</v>
      </c>
      <c r="F156" s="597" t="s">
        <v>2909</v>
      </c>
      <c r="G156" s="597" t="s">
        <v>3330</v>
      </c>
      <c r="H156" s="598" t="s">
        <v>3323</v>
      </c>
      <c r="I156" s="597">
        <v>2022</v>
      </c>
      <c r="J156" s="597" t="s">
        <v>3120</v>
      </c>
      <c r="K156" s="598" t="s">
        <v>3335</v>
      </c>
      <c r="L156" s="598"/>
      <c r="M156" s="599">
        <v>67968</v>
      </c>
      <c r="N156" s="600"/>
    </row>
    <row r="157" spans="5:14" ht="26.65" thickBot="1">
      <c r="E157" s="608">
        <v>119</v>
      </c>
      <c r="F157" s="609" t="s">
        <v>2909</v>
      </c>
      <c r="G157" s="609" t="s">
        <v>3330</v>
      </c>
      <c r="H157" s="610" t="s">
        <v>3323</v>
      </c>
      <c r="I157" s="609">
        <v>2022</v>
      </c>
      <c r="J157" s="609" t="s">
        <v>3120</v>
      </c>
      <c r="K157" s="610" t="s">
        <v>3336</v>
      </c>
      <c r="L157" s="610"/>
      <c r="M157" s="611">
        <v>67968</v>
      </c>
      <c r="N157" s="612"/>
    </row>
    <row r="158" spans="5:14" ht="14.65" thickBot="1">
      <c r="L158" s="613" t="s">
        <v>3075</v>
      </c>
      <c r="M158" s="614">
        <f>SUM(M39:M157)</f>
        <v>8097622</v>
      </c>
    </row>
  </sheetData>
  <conditionalFormatting sqref="B12:D12 B29:D29 F29:N29 F12:N12">
    <cfRule type="colorScale" priority="29">
      <colorScale>
        <cfvo type="min"/>
        <cfvo type="max"/>
        <color theme="0"/>
        <color theme="0"/>
      </colorScale>
    </cfRule>
    <cfRule type="colorScale" priority="30">
      <colorScale>
        <cfvo type="min"/>
        <cfvo type="max"/>
        <color theme="0" tint="-0.14999847407452621"/>
        <color theme="0" tint="-0.14999847407452621"/>
      </colorScale>
    </cfRule>
  </conditionalFormatting>
  <conditionalFormatting sqref="B30:D30 B27:D27 F27 F30">
    <cfRule type="colorScale" priority="17">
      <colorScale>
        <cfvo type="min"/>
        <cfvo type="max"/>
        <color theme="0" tint="-0.14999847407452621"/>
        <color theme="0" tint="-0.14999847407452621"/>
      </colorScale>
    </cfRule>
  </conditionalFormatting>
  <conditionalFormatting sqref="B30:D30 B27:D27 F27:N27 F30:N30">
    <cfRule type="colorScale" priority="26">
      <colorScale>
        <cfvo type="min"/>
        <cfvo type="max"/>
        <color theme="0"/>
        <color theme="0"/>
      </colorScale>
    </cfRule>
  </conditionalFormatting>
  <conditionalFormatting sqref="B31:D34 F31:N34 K36">
    <cfRule type="colorScale" priority="22">
      <colorScale>
        <cfvo type="min"/>
        <cfvo type="max"/>
        <color theme="0" tint="-0.14999847407452621"/>
        <color theme="0" tint="-0.14999847407452621"/>
      </colorScale>
    </cfRule>
    <cfRule type="colorScale" priority="31">
      <colorScale>
        <cfvo type="min"/>
        <cfvo type="max"/>
        <color theme="0"/>
        <color theme="0"/>
      </colorScale>
    </cfRule>
  </conditionalFormatting>
  <conditionalFormatting sqref="B31:D34">
    <cfRule type="colorScale" priority="10">
      <colorScale>
        <cfvo type="min"/>
        <cfvo type="max"/>
        <color theme="0" tint="-0.14999847407452621"/>
        <color theme="0" tint="-0.249977111117893"/>
      </colorScale>
    </cfRule>
  </conditionalFormatting>
  <conditionalFormatting sqref="B35:D35 F35:N35">
    <cfRule type="colorScale" priority="32">
      <colorScale>
        <cfvo type="min"/>
        <cfvo type="max"/>
        <color theme="0" tint="-0.14999847407452621"/>
        <color theme="0" tint="-0.14999847407452621"/>
      </colorScale>
    </cfRule>
    <cfRule type="colorScale" priority="33">
      <colorScale>
        <cfvo type="min"/>
        <cfvo type="max"/>
        <color theme="0"/>
        <color theme="0"/>
      </colorScale>
    </cfRule>
  </conditionalFormatting>
  <conditionalFormatting sqref="B35:D35">
    <cfRule type="colorScale" priority="4">
      <colorScale>
        <cfvo type="min"/>
        <cfvo type="max"/>
        <color theme="0" tint="-0.14999847407452621"/>
        <color theme="0" tint="-0.249977111117893"/>
      </colorScale>
    </cfRule>
  </conditionalFormatting>
  <conditionalFormatting sqref="F31:F34">
    <cfRule type="colorScale" priority="7">
      <colorScale>
        <cfvo type="min"/>
        <cfvo type="max"/>
        <color theme="0" tint="-0.14999847407452621"/>
        <color theme="0" tint="-0.14999847407452621"/>
      </colorScale>
    </cfRule>
    <cfRule type="colorScale" priority="8">
      <colorScale>
        <cfvo type="min"/>
        <cfvo type="max"/>
        <color rgb="FF00B0F0"/>
        <color rgb="FF00B0F0"/>
      </colorScale>
    </cfRule>
    <cfRule type="colorScale" priority="9">
      <colorScale>
        <cfvo type="min"/>
        <cfvo type="max"/>
        <color theme="0"/>
        <color theme="0"/>
      </colorScale>
    </cfRule>
  </conditionalFormatting>
  <conditionalFormatting sqref="F35">
    <cfRule type="colorScale" priority="2">
      <colorScale>
        <cfvo type="min"/>
        <cfvo type="max"/>
        <color rgb="FF00B0F0"/>
        <color rgb="FF00B0F0"/>
      </colorScale>
    </cfRule>
    <cfRule type="colorScale" priority="3">
      <colorScale>
        <cfvo type="min"/>
        <cfvo type="max"/>
        <color theme="0"/>
        <color theme="0"/>
      </colorScale>
    </cfRule>
    <cfRule type="colorScale" priority="1">
      <colorScale>
        <cfvo type="min"/>
        <cfvo type="max"/>
        <color theme="0" tint="-0.14999847407452621"/>
        <color theme="0" tint="-0.14999847407452621"/>
      </colorScale>
    </cfRule>
  </conditionalFormatting>
  <conditionalFormatting sqref="G35:H35 J35:N35 B35:E35">
    <cfRule type="colorScale" priority="25">
      <colorScale>
        <cfvo type="min"/>
        <cfvo type="max"/>
        <color theme="0"/>
        <color theme="0"/>
      </colorScale>
    </cfRule>
  </conditionalFormatting>
  <conditionalFormatting sqref="I30 I27">
    <cfRule type="colorScale" priority="11">
      <colorScale>
        <cfvo type="min"/>
        <cfvo type="max"/>
        <color rgb="FF00B0F0"/>
        <color rgb="FF00B0F0"/>
      </colorScale>
    </cfRule>
    <cfRule type="colorScale" priority="12">
      <colorScale>
        <cfvo type="min"/>
        <cfvo type="max"/>
        <color theme="0"/>
        <color theme="0"/>
      </colorScale>
    </cfRule>
  </conditionalFormatting>
  <conditionalFormatting sqref="I31:I32">
    <cfRule type="colorScale" priority="14">
      <colorScale>
        <cfvo type="min"/>
        <cfvo type="max"/>
        <color theme="0"/>
        <color theme="0"/>
      </colorScale>
    </cfRule>
    <cfRule type="colorScale" priority="13">
      <colorScale>
        <cfvo type="min"/>
        <cfvo type="max"/>
        <color rgb="FF00B0F0"/>
        <color rgb="FF00B0F0"/>
      </colorScale>
    </cfRule>
  </conditionalFormatting>
  <conditionalFormatting sqref="I33:I34 I28:I29 I2:I26">
    <cfRule type="colorScale" priority="23">
      <colorScale>
        <cfvo type="min"/>
        <cfvo type="max"/>
        <color theme="0"/>
        <color theme="0"/>
      </colorScale>
    </cfRule>
  </conditionalFormatting>
  <conditionalFormatting sqref="I33:I34">
    <cfRule type="colorScale" priority="15">
      <colorScale>
        <cfvo type="min"/>
        <cfvo type="max"/>
        <color rgb="FF00B0F0"/>
        <color rgb="FF00B0F0"/>
      </colorScale>
    </cfRule>
  </conditionalFormatting>
  <conditionalFormatting sqref="I35">
    <cfRule type="colorScale" priority="5">
      <colorScale>
        <cfvo type="min"/>
        <cfvo type="max"/>
        <color rgb="FF00B0F0"/>
        <color rgb="FF00B0F0"/>
      </colorScale>
    </cfRule>
    <cfRule type="colorScale" priority="6">
      <colorScale>
        <cfvo type="min"/>
        <cfvo type="max"/>
        <color theme="0"/>
        <color theme="0"/>
      </colorScale>
    </cfRule>
  </conditionalFormatting>
  <conditionalFormatting sqref="J23:J24">
    <cfRule type="colorScale" priority="16">
      <colorScale>
        <cfvo type="min"/>
        <cfvo type="max"/>
        <color theme="0"/>
        <color theme="0"/>
      </colorScale>
    </cfRule>
  </conditionalFormatting>
  <conditionalFormatting sqref="J27:N27 J30:N30 B30:D30 B27:D27 F27:H27 F30:H30">
    <cfRule type="colorScale" priority="19">
      <colorScale>
        <cfvo type="min"/>
        <cfvo type="max"/>
        <color theme="0"/>
        <color theme="0"/>
      </colorScale>
    </cfRule>
    <cfRule type="colorScale" priority="21">
      <colorScale>
        <cfvo type="min"/>
        <cfvo type="max"/>
        <color rgb="FF00B0F0"/>
        <color rgb="FF00B0F0"/>
      </colorScale>
    </cfRule>
  </conditionalFormatting>
  <conditionalFormatting sqref="J31:N32 G31:H32 B31:D32">
    <cfRule type="colorScale" priority="20">
      <colorScale>
        <cfvo type="min"/>
        <cfvo type="max"/>
        <color rgb="FF00B0F0"/>
        <color rgb="FF00B0F0"/>
      </colorScale>
    </cfRule>
    <cfRule type="colorScale" priority="18">
      <colorScale>
        <cfvo type="min"/>
        <cfvo type="max"/>
        <color theme="0"/>
        <color theme="0"/>
      </colorScale>
    </cfRule>
  </conditionalFormatting>
  <conditionalFormatting sqref="J33:N34 B33:D34 G33:H34 K36">
    <cfRule type="colorScale" priority="27">
      <colorScale>
        <cfvo type="min"/>
        <cfvo type="max"/>
        <color rgb="FF00B0F0"/>
        <color rgb="FF00B0F0"/>
      </colorScale>
    </cfRule>
  </conditionalFormatting>
  <conditionalFormatting sqref="J35:N35 B35:D35 G35:H35">
    <cfRule type="colorScale" priority="28">
      <colorScale>
        <cfvo type="min"/>
        <cfvo type="max"/>
        <color rgb="FF00B0F0"/>
        <color rgb="FF00B0F0"/>
      </colorScale>
    </cfRule>
  </conditionalFormatting>
  <conditionalFormatting sqref="K23:K24 J25:K26 J28:N29 B33:D34 G33:H34 J33:N34 J2:K22 B23:C26 B22 D2:E4 B28:D29 D5:D26 F28:H29 E5:E34 B2:C21 F2:H26 L2:N26 K36">
    <cfRule type="colorScale" priority="24">
      <colorScale>
        <cfvo type="min"/>
        <cfvo type="max"/>
        <color theme="0"/>
        <color theme="0"/>
      </colorScale>
    </cfRule>
  </conditionalFormatting>
  <hyperlinks>
    <hyperlink ref="I18" r:id="rId1" xr:uid="{00000000-0004-0000-1000-000000000000}"/>
    <hyperlink ref="I20" r:id="rId2" xr:uid="{00000000-0004-0000-1000-000001000000}"/>
    <hyperlink ref="I19" r:id="rId3" xr:uid="{00000000-0004-0000-1000-000002000000}"/>
    <hyperlink ref="I13" r:id="rId4" xr:uid="{00000000-0004-0000-1000-000003000000}"/>
    <hyperlink ref="I16" r:id="rId5" xr:uid="{00000000-0004-0000-1000-000004000000}"/>
    <hyperlink ref="I11" r:id="rId6" xr:uid="{00000000-0004-0000-1000-000005000000}"/>
    <hyperlink ref="I21" r:id="rId7" xr:uid="{00000000-0004-0000-1000-000006000000}"/>
    <hyperlink ref="I24" r:id="rId8" xr:uid="{00000000-0004-0000-1000-000007000000}"/>
    <hyperlink ref="I23" r:id="rId9" xr:uid="{00000000-0004-0000-1000-000008000000}"/>
    <hyperlink ref="I10" r:id="rId10" xr:uid="{00000000-0004-0000-1000-000009000000}"/>
  </hyperlinks>
  <pageMargins left="0.70866141732283472" right="0.70866141732283472" top="0.74803149606299213" bottom="0.74803149606299213" header="0.31496062992125984" footer="0.31496062992125984"/>
  <pageSetup paperSize="9" scale="54" orientation="landscape" r:id="rId11"/>
  <legacy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28</vt:i4>
      </vt:variant>
    </vt:vector>
  </HeadingPairs>
  <TitlesOfParts>
    <vt:vector size="48" baseType="lpstr">
      <vt:lpstr>summary</vt:lpstr>
      <vt:lpstr>LAND</vt:lpstr>
      <vt:lpstr>Buildings</vt:lpstr>
      <vt:lpstr>construction equipment</vt:lpstr>
      <vt:lpstr>electrical equipment</vt:lpstr>
      <vt:lpstr>Furniture</vt:lpstr>
      <vt:lpstr>vehicles</vt:lpstr>
      <vt:lpstr>office equipment</vt:lpstr>
      <vt:lpstr>EDP</vt:lpstr>
      <vt:lpstr>note12</vt:lpstr>
      <vt:lpstr>Note 12 workings</vt:lpstr>
      <vt:lpstr>Add21-22</vt:lpstr>
      <vt:lpstr>IT DEp 24</vt:lpstr>
      <vt:lpstr>sold mc 24</vt:lpstr>
      <vt:lpstr>Deffred tax 24</vt:lpstr>
      <vt:lpstr>Add22-23</vt:lpstr>
      <vt:lpstr>Sheet1</vt:lpstr>
      <vt:lpstr>Sheet2</vt:lpstr>
      <vt:lpstr>Add23-24</vt:lpstr>
      <vt:lpstr>LMV</vt:lpstr>
      <vt:lpstr>'Add21-22'!Print_Area</vt:lpstr>
      <vt:lpstr>'Add22-23'!Print_Area</vt:lpstr>
      <vt:lpstr>'Add23-24'!Print_Area</vt:lpstr>
      <vt:lpstr>Buildings!Print_Area</vt:lpstr>
      <vt:lpstr>'construction equipment'!Print_Area</vt:lpstr>
      <vt:lpstr>'Deffred tax 24'!Print_Area</vt:lpstr>
      <vt:lpstr>EDP!Print_Area</vt:lpstr>
      <vt:lpstr>'electrical equipment'!Print_Area</vt:lpstr>
      <vt:lpstr>Furniture!Print_Area</vt:lpstr>
      <vt:lpstr>'IT DEp 24'!Print_Area</vt:lpstr>
      <vt:lpstr>LAND!Print_Area</vt:lpstr>
      <vt:lpstr>LMV!Print_Area</vt:lpstr>
      <vt:lpstr>'Note 12 workings'!Print_Area</vt:lpstr>
      <vt:lpstr>note12!Print_Area</vt:lpstr>
      <vt:lpstr>'office equipment'!Print_Area</vt:lpstr>
      <vt:lpstr>'sold mc 24'!Print_Area</vt:lpstr>
      <vt:lpstr>summary!Print_Area</vt:lpstr>
      <vt:lpstr>vehicles!Print_Area</vt:lpstr>
      <vt:lpstr>'Add21-22'!Print_Titles</vt:lpstr>
      <vt:lpstr>'Add22-23'!Print_Titles</vt:lpstr>
      <vt:lpstr>'Add23-24'!Print_Titles</vt:lpstr>
      <vt:lpstr>'construction equipment'!Print_Titles</vt:lpstr>
      <vt:lpstr>EDP!Print_Titles</vt:lpstr>
      <vt:lpstr>'electrical equipment'!Print_Titles</vt:lpstr>
      <vt:lpstr>Furniture!Print_Titles</vt:lpstr>
      <vt:lpstr>note12!Print_Titles</vt:lpstr>
      <vt:lpstr>'office equipment'!Print_Titles</vt:lpstr>
      <vt:lpstr>vehicles!Print_Titles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vsrao</dc:creator>
  <cp:lastModifiedBy>Velchuri Vyaswanth</cp:lastModifiedBy>
  <cp:lastPrinted>2024-05-16T11:27:49Z</cp:lastPrinted>
  <dcterms:created xsi:type="dcterms:W3CDTF">2023-01-26T05:57:00Z</dcterms:created>
  <dcterms:modified xsi:type="dcterms:W3CDTF">2024-05-28T16:05:21Z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2024-01-02T05:40:41Z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83896ab4-07b0-4fec-af33-685fa36c274b</vt:lpwstr>
  </property>
  <property fmtid="{D5CDD505-2E9C-101B-9397-08002B2CF9AE}" pid="7" name="MSIP_Label_defa4170-0d19-0005-0004-bc88714345d2_ActionId">
    <vt:lpwstr>b505fbb8-f788-43f3-86fa-650ebd562349</vt:lpwstr>
  </property>
  <property fmtid="{D5CDD505-2E9C-101B-9397-08002B2CF9AE}" pid="8" name="MSIP_Label_defa4170-0d19-0005-0004-bc88714345d2_ContentBits">
    <vt:lpwstr>0</vt:lpwstr>
  </property>
</Properties>
</file>